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776" documentId="8_{5EC96AEB-4B67-44DC-B15D-8E0F5D3B6A05}" xr6:coauthVersionLast="47" xr6:coauthVersionMax="47" xr10:uidLastSave="{55A47862-7B98-4356-A649-95A434FD261B}"/>
  <bookViews>
    <workbookView xWindow="28680" yWindow="-120" windowWidth="29040" windowHeight="17640" tabRatio="702" activeTab="3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Bat!$A$4:$BB$534</definedName>
    <definedName name="_xlnm._FilterDatabase" localSheetId="5" hidden="1">Con!$A$4:$AE$20</definedName>
    <definedName name="_xlnm._FilterDatabase" localSheetId="3" hidden="1">'Draft List'!$A$4:$AD$1543</definedName>
    <definedName name="_xlnm._FilterDatabase" localSheetId="2" hidden="1">Pit!$A$4:$BL$781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3" l="1"/>
  <c r="C6" i="3"/>
  <c r="H6" i="3" s="1"/>
  <c r="B19" i="3"/>
  <c r="C19" i="3"/>
  <c r="D19" i="3" s="1"/>
  <c r="B26" i="3"/>
  <c r="C26" i="3"/>
  <c r="D26" i="3" s="1"/>
  <c r="B8" i="3"/>
  <c r="C8" i="3"/>
  <c r="B12" i="3"/>
  <c r="C12" i="3"/>
  <c r="G12" i="3" s="1"/>
  <c r="B21" i="3"/>
  <c r="C21" i="3"/>
  <c r="H21" i="3" s="1"/>
  <c r="F21" i="3"/>
  <c r="B10" i="3"/>
  <c r="C10" i="3"/>
  <c r="F10" i="3" s="1"/>
  <c r="B31" i="3"/>
  <c r="C31" i="3"/>
  <c r="G31" i="3" s="1"/>
  <c r="E31" i="3"/>
  <c r="B41" i="3"/>
  <c r="C41" i="3"/>
  <c r="H41" i="3" s="1"/>
  <c r="B11" i="3"/>
  <c r="C11" i="3"/>
  <c r="D11" i="3" s="1"/>
  <c r="B55" i="3"/>
  <c r="C55" i="3"/>
  <c r="D55" i="3" s="1"/>
  <c r="B32" i="3"/>
  <c r="C32" i="3"/>
  <c r="F32" i="3" s="1"/>
  <c r="B23" i="3"/>
  <c r="C23" i="3"/>
  <c r="D23" i="3" s="1"/>
  <c r="E23" i="3"/>
  <c r="B5" i="3"/>
  <c r="C5" i="3"/>
  <c r="E5" i="3" s="1"/>
  <c r="B16" i="3"/>
  <c r="C16" i="3"/>
  <c r="F16" i="3" s="1"/>
  <c r="B7" i="3"/>
  <c r="C7" i="3"/>
  <c r="E7" i="3" s="1"/>
  <c r="D7" i="3"/>
  <c r="H7" i="3"/>
  <c r="B60" i="3"/>
  <c r="C60" i="3"/>
  <c r="H60" i="3" s="1"/>
  <c r="B88" i="3"/>
  <c r="C88" i="3"/>
  <c r="D88" i="3" s="1"/>
  <c r="B122" i="3"/>
  <c r="C122" i="3"/>
  <c r="D122" i="3" s="1"/>
  <c r="B134" i="3"/>
  <c r="C134" i="3"/>
  <c r="F134" i="3" s="1"/>
  <c r="H134" i="3"/>
  <c r="B53" i="3"/>
  <c r="C53" i="3"/>
  <c r="D53" i="3" s="1"/>
  <c r="E53" i="3"/>
  <c r="B22" i="3"/>
  <c r="C22" i="3"/>
  <c r="E22" i="3" s="1"/>
  <c r="B152" i="3"/>
  <c r="C152" i="3"/>
  <c r="F152" i="3" s="1"/>
  <c r="B68" i="3"/>
  <c r="C68" i="3"/>
  <c r="E68" i="3" s="1"/>
  <c r="B36" i="3"/>
  <c r="C36" i="3"/>
  <c r="H36" i="3" s="1"/>
  <c r="B29" i="3"/>
  <c r="C29" i="3"/>
  <c r="B128" i="3"/>
  <c r="C128" i="3"/>
  <c r="D128" i="3" s="1"/>
  <c r="B149" i="3"/>
  <c r="C149" i="3"/>
  <c r="F149" i="3" s="1"/>
  <c r="B110" i="3"/>
  <c r="C110" i="3"/>
  <c r="D110" i="3" s="1"/>
  <c r="B9" i="3"/>
  <c r="C9" i="3"/>
  <c r="E9" i="3" s="1"/>
  <c r="B167" i="3"/>
  <c r="C167" i="3"/>
  <c r="F167" i="3" s="1"/>
  <c r="B35" i="3"/>
  <c r="C35" i="3"/>
  <c r="B119" i="3"/>
  <c r="C119" i="3"/>
  <c r="H119" i="3" s="1"/>
  <c r="B155" i="3"/>
  <c r="C155" i="3"/>
  <c r="D155" i="3" s="1"/>
  <c r="F155" i="3"/>
  <c r="G155" i="3"/>
  <c r="B102" i="3"/>
  <c r="C102" i="3"/>
  <c r="D102" i="3" s="1"/>
  <c r="B65" i="3"/>
  <c r="C65" i="3"/>
  <c r="F65" i="3" s="1"/>
  <c r="B38" i="3"/>
  <c r="C38" i="3"/>
  <c r="B13" i="3"/>
  <c r="C13" i="3"/>
  <c r="E13" i="3" s="1"/>
  <c r="B50" i="3"/>
  <c r="C50" i="3"/>
  <c r="F50" i="3" s="1"/>
  <c r="B51" i="3"/>
  <c r="C51" i="3"/>
  <c r="E51" i="3" s="1"/>
  <c r="D51" i="3"/>
  <c r="G51" i="3"/>
  <c r="B34" i="3"/>
  <c r="C34" i="3"/>
  <c r="H34" i="3" s="1"/>
  <c r="B74" i="3"/>
  <c r="C74" i="3"/>
  <c r="D74" i="3" s="1"/>
  <c r="G74" i="3"/>
  <c r="B225" i="3"/>
  <c r="C225" i="3"/>
  <c r="B47" i="3"/>
  <c r="C47" i="3"/>
  <c r="F47" i="3" s="1"/>
  <c r="H47" i="3"/>
  <c r="B76" i="3"/>
  <c r="C76" i="3"/>
  <c r="D76" i="3" s="1"/>
  <c r="E76" i="3"/>
  <c r="B100" i="3"/>
  <c r="C100" i="3"/>
  <c r="E100" i="3" s="1"/>
  <c r="F100" i="3"/>
  <c r="B112" i="3"/>
  <c r="C112" i="3"/>
  <c r="F112" i="3" s="1"/>
  <c r="B28" i="3"/>
  <c r="C28" i="3"/>
  <c r="E28" i="3" s="1"/>
  <c r="D28" i="3"/>
  <c r="G28" i="3"/>
  <c r="B49" i="3"/>
  <c r="C49" i="3"/>
  <c r="H49" i="3" s="1"/>
  <c r="B25" i="3"/>
  <c r="C25" i="3"/>
  <c r="D25" i="3" s="1"/>
  <c r="G25" i="3"/>
  <c r="B166" i="3"/>
  <c r="C166" i="3"/>
  <c r="B80" i="3"/>
  <c r="C80" i="3"/>
  <c r="F80" i="3" s="1"/>
  <c r="H80" i="3"/>
  <c r="B66" i="3"/>
  <c r="C66" i="3"/>
  <c r="D66" i="3" s="1"/>
  <c r="E66" i="3"/>
  <c r="B184" i="3"/>
  <c r="C184" i="3"/>
  <c r="E184" i="3" s="1"/>
  <c r="B45" i="3"/>
  <c r="C45" i="3"/>
  <c r="B71" i="3"/>
  <c r="C71" i="3"/>
  <c r="D71" i="3" s="1"/>
  <c r="B106" i="3"/>
  <c r="C106" i="3"/>
  <c r="H106" i="3" s="1"/>
  <c r="B78" i="3"/>
  <c r="C78" i="3"/>
  <c r="D78" i="3" s="1"/>
  <c r="B91" i="3"/>
  <c r="C91" i="3"/>
  <c r="G91" i="3" s="1"/>
  <c r="B123" i="3"/>
  <c r="C123" i="3"/>
  <c r="B24" i="3"/>
  <c r="C24" i="3"/>
  <c r="D24" i="3" s="1"/>
  <c r="B48" i="3"/>
  <c r="C48" i="3"/>
  <c r="E48" i="3" s="1"/>
  <c r="B182" i="3"/>
  <c r="C182" i="3"/>
  <c r="B81" i="3"/>
  <c r="C81" i="3"/>
  <c r="D81" i="3" s="1"/>
  <c r="B109" i="3"/>
  <c r="C109" i="3"/>
  <c r="H109" i="3" s="1"/>
  <c r="E109" i="3"/>
  <c r="B241" i="3"/>
  <c r="C241" i="3"/>
  <c r="D241" i="3" s="1"/>
  <c r="F241" i="3"/>
  <c r="G241" i="3"/>
  <c r="B242" i="3"/>
  <c r="C242" i="3"/>
  <c r="G242" i="3" s="1"/>
  <c r="B243" i="3"/>
  <c r="C243" i="3"/>
  <c r="F243" i="3" s="1"/>
  <c r="B14" i="3"/>
  <c r="C14" i="3"/>
  <c r="B258" i="3"/>
  <c r="C258" i="3"/>
  <c r="E258" i="3" s="1"/>
  <c r="B15" i="3"/>
  <c r="C15" i="3"/>
  <c r="B156" i="3"/>
  <c r="C156" i="3"/>
  <c r="E156" i="3" s="1"/>
  <c r="B333" i="3"/>
  <c r="C333" i="3"/>
  <c r="H333" i="3" s="1"/>
  <c r="B170" i="3"/>
  <c r="C170" i="3"/>
  <c r="D170" i="3" s="1"/>
  <c r="G170" i="3"/>
  <c r="B286" i="3"/>
  <c r="C286" i="3"/>
  <c r="G286" i="3" s="1"/>
  <c r="B252" i="3"/>
  <c r="C252" i="3"/>
  <c r="F252" i="3" s="1"/>
  <c r="D252" i="3"/>
  <c r="B42" i="3"/>
  <c r="C42" i="3"/>
  <c r="D42" i="3" s="1"/>
  <c r="E42" i="3"/>
  <c r="B20" i="3"/>
  <c r="C20" i="3"/>
  <c r="E20" i="3" s="1"/>
  <c r="F20" i="3"/>
  <c r="B316" i="3"/>
  <c r="C316" i="3"/>
  <c r="G316" i="3" s="1"/>
  <c r="B126" i="3"/>
  <c r="C126" i="3"/>
  <c r="E126" i="3" s="1"/>
  <c r="B143" i="3"/>
  <c r="C143" i="3"/>
  <c r="H143" i="3" s="1"/>
  <c r="B86" i="3"/>
  <c r="C86" i="3"/>
  <c r="D86" i="3" s="1"/>
  <c r="G86" i="3"/>
  <c r="B138" i="3"/>
  <c r="C138" i="3"/>
  <c r="H138" i="3" s="1"/>
  <c r="G138" i="3"/>
  <c r="B95" i="3"/>
  <c r="C95" i="3"/>
  <c r="F95" i="3" s="1"/>
  <c r="H95" i="3"/>
  <c r="B141" i="3"/>
  <c r="C141" i="3"/>
  <c r="D141" i="3" s="1"/>
  <c r="B394" i="3"/>
  <c r="C394" i="3"/>
  <c r="B96" i="3"/>
  <c r="C96" i="3"/>
  <c r="D96" i="3" s="1"/>
  <c r="B207" i="3"/>
  <c r="C207" i="3"/>
  <c r="B237" i="3"/>
  <c r="C237" i="3"/>
  <c r="H237" i="3" s="1"/>
  <c r="B213" i="3"/>
  <c r="C213" i="3"/>
  <c r="B67" i="3"/>
  <c r="C67" i="3"/>
  <c r="H67" i="3" s="1"/>
  <c r="G67" i="3"/>
  <c r="B79" i="3"/>
  <c r="C79" i="3"/>
  <c r="F79" i="3" s="1"/>
  <c r="D79" i="3"/>
  <c r="E79" i="3"/>
  <c r="B168" i="3"/>
  <c r="C168" i="3"/>
  <c r="D168" i="3" s="1"/>
  <c r="B116" i="3"/>
  <c r="C116" i="3"/>
  <c r="F116" i="3" s="1"/>
  <c r="B27" i="3"/>
  <c r="C27" i="3"/>
  <c r="B37" i="3"/>
  <c r="C37" i="3"/>
  <c r="E37" i="3" s="1"/>
  <c r="D37" i="3"/>
  <c r="B208" i="3"/>
  <c r="C208" i="3"/>
  <c r="H208" i="3" s="1"/>
  <c r="B171" i="3"/>
  <c r="C171" i="3"/>
  <c r="D171" i="3" s="1"/>
  <c r="B313" i="3"/>
  <c r="C313" i="3"/>
  <c r="H313" i="3" s="1"/>
  <c r="B302" i="3"/>
  <c r="C302" i="3"/>
  <c r="B94" i="3"/>
  <c r="C94" i="3"/>
  <c r="D94" i="3" s="1"/>
  <c r="B63" i="3"/>
  <c r="C63" i="3"/>
  <c r="F63" i="3" s="1"/>
  <c r="B58" i="3"/>
  <c r="C58" i="3"/>
  <c r="G58" i="3" s="1"/>
  <c r="B193" i="3"/>
  <c r="C193" i="3"/>
  <c r="D193" i="3" s="1"/>
  <c r="H193" i="3"/>
  <c r="B211" i="3"/>
  <c r="C211" i="3"/>
  <c r="H211" i="3" s="1"/>
  <c r="E211" i="3"/>
  <c r="B165" i="3"/>
  <c r="C165" i="3"/>
  <c r="D165" i="3" s="1"/>
  <c r="F165" i="3"/>
  <c r="G165" i="3"/>
  <c r="B191" i="3"/>
  <c r="C191" i="3"/>
  <c r="B84" i="3"/>
  <c r="C84" i="3"/>
  <c r="B185" i="3"/>
  <c r="C185" i="3"/>
  <c r="D185" i="3" s="1"/>
  <c r="B144" i="3"/>
  <c r="C144" i="3"/>
  <c r="B124" i="3"/>
  <c r="C124" i="3"/>
  <c r="F124" i="3" s="1"/>
  <c r="E124" i="3"/>
  <c r="B262" i="3"/>
  <c r="C262" i="3"/>
  <c r="D262" i="3" s="1"/>
  <c r="E262" i="3"/>
  <c r="F262" i="3"/>
  <c r="H262" i="3"/>
  <c r="B234" i="3"/>
  <c r="C234" i="3"/>
  <c r="H234" i="3" s="1"/>
  <c r="G234" i="3"/>
  <c r="B194" i="3"/>
  <c r="C194" i="3"/>
  <c r="F194" i="3" s="1"/>
  <c r="B272" i="3"/>
  <c r="C272" i="3"/>
  <c r="D272" i="3"/>
  <c r="H272" i="3"/>
  <c r="B223" i="3"/>
  <c r="C223" i="3"/>
  <c r="B70" i="3"/>
  <c r="C70" i="3"/>
  <c r="F70" i="3" s="1"/>
  <c r="B179" i="3"/>
  <c r="C179" i="3"/>
  <c r="B147" i="3"/>
  <c r="C147" i="3"/>
  <c r="F147" i="3" s="1"/>
  <c r="G147" i="3"/>
  <c r="B246" i="3"/>
  <c r="C246" i="3"/>
  <c r="H246" i="3" s="1"/>
  <c r="F246" i="3"/>
  <c r="G246" i="3"/>
  <c r="B103" i="3"/>
  <c r="C103" i="3"/>
  <c r="H103" i="3" s="1"/>
  <c r="G103" i="3"/>
  <c r="B180" i="3"/>
  <c r="C180" i="3"/>
  <c r="E180" i="3" s="1"/>
  <c r="B216" i="3"/>
  <c r="C216" i="3"/>
  <c r="F216" i="3" s="1"/>
  <c r="G216" i="3"/>
  <c r="B332" i="3"/>
  <c r="C332" i="3"/>
  <c r="G332" i="3" s="1"/>
  <c r="B239" i="3"/>
  <c r="C239" i="3"/>
  <c r="H239" i="3" s="1"/>
  <c r="B133" i="3"/>
  <c r="C133" i="3"/>
  <c r="H133" i="3" s="1"/>
  <c r="G133" i="3"/>
  <c r="B93" i="3"/>
  <c r="C93" i="3"/>
  <c r="D93" i="3" s="1"/>
  <c r="E93" i="3"/>
  <c r="G93" i="3"/>
  <c r="B187" i="3"/>
  <c r="C187" i="3"/>
  <c r="E187" i="3" s="1"/>
  <c r="F187" i="3"/>
  <c r="G187" i="3"/>
  <c r="B139" i="3"/>
  <c r="C139" i="3"/>
  <c r="D139" i="3" s="1"/>
  <c r="H139" i="3"/>
  <c r="B362" i="3"/>
  <c r="C362" i="3"/>
  <c r="E362" i="3" s="1"/>
  <c r="D362" i="3"/>
  <c r="G362" i="3"/>
  <c r="B255" i="3"/>
  <c r="C255" i="3"/>
  <c r="B392" i="3"/>
  <c r="C392" i="3"/>
  <c r="G392" i="3" s="1"/>
  <c r="B294" i="3"/>
  <c r="C294" i="3"/>
  <c r="B101" i="3"/>
  <c r="C101" i="3"/>
  <c r="E101" i="3" s="1"/>
  <c r="F101" i="3"/>
  <c r="B104" i="3"/>
  <c r="C104" i="3"/>
  <c r="E104" i="3" s="1"/>
  <c r="D104" i="3"/>
  <c r="F104" i="3"/>
  <c r="B218" i="3"/>
  <c r="C218" i="3"/>
  <c r="B150" i="3"/>
  <c r="C150" i="3"/>
  <c r="H150" i="3" s="1"/>
  <c r="B174" i="3"/>
  <c r="C174" i="3"/>
  <c r="F174" i="3" s="1"/>
  <c r="B40" i="3"/>
  <c r="C40" i="3"/>
  <c r="D40" i="3" s="1"/>
  <c r="F40" i="3"/>
  <c r="B305" i="3"/>
  <c r="C305" i="3"/>
  <c r="B44" i="3"/>
  <c r="C44" i="3"/>
  <c r="D44" i="3" s="1"/>
  <c r="B189" i="3"/>
  <c r="C189" i="3"/>
  <c r="B280" i="3"/>
  <c r="C280" i="3"/>
  <c r="H280" i="3" s="1"/>
  <c r="B183" i="3"/>
  <c r="C183" i="3"/>
  <c r="H183" i="3" s="1"/>
  <c r="B359" i="3"/>
  <c r="C359" i="3"/>
  <c r="H359" i="3" s="1"/>
  <c r="F359" i="3"/>
  <c r="B52" i="3"/>
  <c r="C52" i="3"/>
  <c r="B18" i="3"/>
  <c r="C18" i="3"/>
  <c r="B422" i="3"/>
  <c r="C422" i="3"/>
  <c r="E422" i="3" s="1"/>
  <c r="B452" i="3"/>
  <c r="C452" i="3"/>
  <c r="B169" i="3"/>
  <c r="C169" i="3"/>
  <c r="E169" i="3" s="1"/>
  <c r="D169" i="3"/>
  <c r="B377" i="3"/>
  <c r="C377" i="3"/>
  <c r="F377" i="3" s="1"/>
  <c r="D377" i="3"/>
  <c r="E377" i="3"/>
  <c r="G377" i="3"/>
  <c r="B338" i="3"/>
  <c r="C338" i="3"/>
  <c r="H338" i="3" s="1"/>
  <c r="B175" i="3"/>
  <c r="C175" i="3"/>
  <c r="B99" i="3"/>
  <c r="C99" i="3"/>
  <c r="E99" i="3" s="1"/>
  <c r="B200" i="3"/>
  <c r="C200" i="3"/>
  <c r="D200" i="3" s="1"/>
  <c r="F200" i="3"/>
  <c r="B154" i="3"/>
  <c r="C154" i="3"/>
  <c r="F154" i="3" s="1"/>
  <c r="D154" i="3"/>
  <c r="G154" i="3"/>
  <c r="B482" i="3"/>
  <c r="C482" i="3"/>
  <c r="D482" i="3" s="1"/>
  <c r="F482" i="3"/>
  <c r="B90" i="3"/>
  <c r="C90" i="3"/>
  <c r="E90" i="3" s="1"/>
  <c r="D90" i="3"/>
  <c r="G90" i="3"/>
  <c r="B512" i="3"/>
  <c r="C512" i="3"/>
  <c r="B326" i="3"/>
  <c r="C326" i="3"/>
  <c r="H326" i="3" s="1"/>
  <c r="B334" i="3"/>
  <c r="C334" i="3"/>
  <c r="H334" i="3" s="1"/>
  <c r="D334" i="3"/>
  <c r="G334" i="3"/>
  <c r="B137" i="3"/>
  <c r="C137" i="3"/>
  <c r="E137" i="3" s="1"/>
  <c r="B17" i="3"/>
  <c r="C17" i="3"/>
  <c r="D17" i="3" s="1"/>
  <c r="B157" i="3"/>
  <c r="C157" i="3"/>
  <c r="F157" i="3" s="1"/>
  <c r="B538" i="3"/>
  <c r="C538" i="3"/>
  <c r="H538" i="3" s="1"/>
  <c r="E538" i="3"/>
  <c r="B317" i="3"/>
  <c r="C317" i="3"/>
  <c r="E317" i="3" s="1"/>
  <c r="D317" i="3"/>
  <c r="G317" i="3"/>
  <c r="B196" i="3"/>
  <c r="C196" i="3"/>
  <c r="B33" i="3"/>
  <c r="C33" i="3"/>
  <c r="H33" i="3" s="1"/>
  <c r="B311" i="3"/>
  <c r="C311" i="3"/>
  <c r="H311" i="3" s="1"/>
  <c r="B401" i="3"/>
  <c r="C401" i="3"/>
  <c r="H401" i="3" s="1"/>
  <c r="E401" i="3"/>
  <c r="B108" i="3"/>
  <c r="C108" i="3"/>
  <c r="D108" i="3" s="1"/>
  <c r="B46" i="3"/>
  <c r="C46" i="3"/>
  <c r="F46" i="3" s="1"/>
  <c r="D46" i="3"/>
  <c r="E46" i="3"/>
  <c r="B69" i="3"/>
  <c r="C69" i="3"/>
  <c r="E69" i="3" s="1"/>
  <c r="B43" i="3"/>
  <c r="C43" i="3"/>
  <c r="E43" i="3" s="1"/>
  <c r="F43" i="3"/>
  <c r="G43" i="3"/>
  <c r="B361" i="3"/>
  <c r="C361" i="3"/>
  <c r="D361" i="3" s="1"/>
  <c r="B173" i="3"/>
  <c r="C173" i="3"/>
  <c r="H173" i="3" s="1"/>
  <c r="B312" i="3"/>
  <c r="C312" i="3"/>
  <c r="H312" i="3" s="1"/>
  <c r="B82" i="3"/>
  <c r="C82" i="3"/>
  <c r="H82" i="3" s="1"/>
  <c r="B117" i="3"/>
  <c r="C117" i="3"/>
  <c r="B351" i="3"/>
  <c r="C351" i="3"/>
  <c r="F351" i="3" s="1"/>
  <c r="G351" i="3"/>
  <c r="B299" i="3"/>
  <c r="C299" i="3"/>
  <c r="B130" i="3"/>
  <c r="C130" i="3"/>
  <c r="D130" i="3" s="1"/>
  <c r="B212" i="3"/>
  <c r="C212" i="3"/>
  <c r="D212" i="3" s="1"/>
  <c r="B57" i="3"/>
  <c r="C57" i="3"/>
  <c r="H57" i="3" s="1"/>
  <c r="B204" i="3"/>
  <c r="C204" i="3"/>
  <c r="H204" i="3" s="1"/>
  <c r="F204" i="3"/>
  <c r="B203" i="3"/>
  <c r="C203" i="3"/>
  <c r="E203" i="3" s="1"/>
  <c r="B330" i="3"/>
  <c r="C330" i="3"/>
  <c r="B254" i="3"/>
  <c r="C254" i="3"/>
  <c r="D254" i="3"/>
  <c r="B129" i="3"/>
  <c r="C129" i="3"/>
  <c r="E129" i="3" s="1"/>
  <c r="B222" i="3"/>
  <c r="C222" i="3"/>
  <c r="D222" i="3" s="1"/>
  <c r="B423" i="3"/>
  <c r="C423" i="3"/>
  <c r="H423" i="3" s="1"/>
  <c r="B476" i="3"/>
  <c r="C476" i="3"/>
  <c r="E476" i="3" s="1"/>
  <c r="B451" i="3"/>
  <c r="C451" i="3"/>
  <c r="E451" i="3" s="1"/>
  <c r="B274" i="3"/>
  <c r="C274" i="3"/>
  <c r="E274" i="3" s="1"/>
  <c r="B247" i="3"/>
  <c r="C247" i="3"/>
  <c r="B277" i="3"/>
  <c r="C277" i="3"/>
  <c r="F277" i="3" s="1"/>
  <c r="E277" i="3"/>
  <c r="G277" i="3"/>
  <c r="B219" i="3"/>
  <c r="C219" i="3"/>
  <c r="E219" i="3" s="1"/>
  <c r="B232" i="3"/>
  <c r="C232" i="3"/>
  <c r="F232" i="3" s="1"/>
  <c r="B30" i="3"/>
  <c r="C30" i="3"/>
  <c r="F30" i="3" s="1"/>
  <c r="D30" i="3"/>
  <c r="E30" i="3"/>
  <c r="G30" i="3"/>
  <c r="B77" i="3"/>
  <c r="C77" i="3"/>
  <c r="E77" i="3" s="1"/>
  <c r="B209" i="3"/>
  <c r="C209" i="3"/>
  <c r="B115" i="3"/>
  <c r="C115" i="3"/>
  <c r="H115" i="3" s="1"/>
  <c r="G115" i="3"/>
  <c r="B429" i="3"/>
  <c r="C429" i="3"/>
  <c r="D429" i="3" s="1"/>
  <c r="B230" i="3"/>
  <c r="C230" i="3"/>
  <c r="F230" i="3" s="1"/>
  <c r="D230" i="3"/>
  <c r="E230" i="3"/>
  <c r="G230" i="3"/>
  <c r="B250" i="3"/>
  <c r="C250" i="3"/>
  <c r="F250" i="3" s="1"/>
  <c r="B190" i="3"/>
  <c r="C190" i="3"/>
  <c r="D190" i="3" s="1"/>
  <c r="B87" i="3"/>
  <c r="C87" i="3"/>
  <c r="B153" i="3"/>
  <c r="C153" i="3"/>
  <c r="E153" i="3"/>
  <c r="B382" i="3"/>
  <c r="C382" i="3"/>
  <c r="E382" i="3" s="1"/>
  <c r="D382" i="3"/>
  <c r="F382" i="3"/>
  <c r="G382" i="3"/>
  <c r="H382" i="3"/>
  <c r="B339" i="3"/>
  <c r="C339" i="3"/>
  <c r="B231" i="3"/>
  <c r="C231" i="3"/>
  <c r="H231" i="3" s="1"/>
  <c r="D231" i="3"/>
  <c r="F231" i="3"/>
  <c r="B221" i="3"/>
  <c r="C221" i="3"/>
  <c r="B459" i="3"/>
  <c r="C459" i="3"/>
  <c r="E459" i="3" s="1"/>
  <c r="B314" i="3"/>
  <c r="C314" i="3"/>
  <c r="F314" i="3" s="1"/>
  <c r="B328" i="3"/>
  <c r="C328" i="3"/>
  <c r="F328" i="3" s="1"/>
  <c r="E328" i="3"/>
  <c r="G328" i="3"/>
  <c r="B158" i="3"/>
  <c r="C158" i="3"/>
  <c r="E158" i="3" s="1"/>
  <c r="F158" i="3"/>
  <c r="H158" i="3"/>
  <c r="B226" i="3"/>
  <c r="C226" i="3"/>
  <c r="E226" i="3" s="1"/>
  <c r="B542" i="3"/>
  <c r="C542" i="3"/>
  <c r="B282" i="3"/>
  <c r="C282" i="3"/>
  <c r="D282" i="3" s="1"/>
  <c r="F282" i="3"/>
  <c r="H282" i="3"/>
  <c r="B399" i="3"/>
  <c r="C399" i="3"/>
  <c r="B92" i="3"/>
  <c r="C92" i="3"/>
  <c r="G92" i="3" s="1"/>
  <c r="H92" i="3"/>
  <c r="B181" i="3"/>
  <c r="C181" i="3"/>
  <c r="H181" i="3" s="1"/>
  <c r="D181" i="3"/>
  <c r="F181" i="3"/>
  <c r="B229" i="3"/>
  <c r="C229" i="3"/>
  <c r="D229" i="3"/>
  <c r="B83" i="3"/>
  <c r="C83" i="3"/>
  <c r="D83" i="3" s="1"/>
  <c r="E83" i="3"/>
  <c r="F83" i="3"/>
  <c r="B455" i="3"/>
  <c r="C455" i="3"/>
  <c r="E455" i="3" s="1"/>
  <c r="F455" i="3"/>
  <c r="B146" i="3"/>
  <c r="C146" i="3"/>
  <c r="E146" i="3" s="1"/>
  <c r="B329" i="3"/>
  <c r="C329" i="3"/>
  <c r="D329" i="3" s="1"/>
  <c r="B281" i="3"/>
  <c r="C281" i="3"/>
  <c r="G281" i="3" s="1"/>
  <c r="E281" i="3"/>
  <c r="B279" i="3"/>
  <c r="C279" i="3"/>
  <c r="G279" i="3" s="1"/>
  <c r="D279" i="3"/>
  <c r="E279" i="3"/>
  <c r="F279" i="3"/>
  <c r="H279" i="3"/>
  <c r="B273" i="3"/>
  <c r="C273" i="3"/>
  <c r="B434" i="3"/>
  <c r="C434" i="3"/>
  <c r="H434" i="3" s="1"/>
  <c r="E434" i="3"/>
  <c r="B199" i="3"/>
  <c r="C199" i="3"/>
  <c r="D199" i="3" s="1"/>
  <c r="H199" i="3"/>
  <c r="B371" i="3"/>
  <c r="C371" i="3"/>
  <c r="E371" i="3" s="1"/>
  <c r="B306" i="3"/>
  <c r="C306" i="3"/>
  <c r="F306" i="3" s="1"/>
  <c r="B291" i="3"/>
  <c r="C291" i="3"/>
  <c r="D291" i="3" s="1"/>
  <c r="B163" i="3"/>
  <c r="C163" i="3"/>
  <c r="H163" i="3" s="1"/>
  <c r="D163" i="3"/>
  <c r="E163" i="3"/>
  <c r="G163" i="3"/>
  <c r="B485" i="3"/>
  <c r="C485" i="3"/>
  <c r="G485" i="3" s="1"/>
  <c r="B572" i="3"/>
  <c r="C572" i="3"/>
  <c r="H572" i="3" s="1"/>
  <c r="E572" i="3"/>
  <c r="F572" i="3"/>
  <c r="B111" i="3"/>
  <c r="C111" i="3"/>
  <c r="D111" i="3" s="1"/>
  <c r="F111" i="3"/>
  <c r="G111" i="3"/>
  <c r="H111" i="3"/>
  <c r="B248" i="3"/>
  <c r="C248" i="3"/>
  <c r="D248" i="3" s="1"/>
  <c r="B260" i="3"/>
  <c r="C260" i="3"/>
  <c r="E260" i="3" s="1"/>
  <c r="B224" i="3"/>
  <c r="C224" i="3"/>
  <c r="B135" i="3"/>
  <c r="C135" i="3"/>
  <c r="B309" i="3"/>
  <c r="C309" i="3"/>
  <c r="H309" i="3" s="1"/>
  <c r="B293" i="3"/>
  <c r="C293" i="3"/>
  <c r="B202" i="3"/>
  <c r="C202" i="3"/>
  <c r="F202" i="3" s="1"/>
  <c r="B360" i="3"/>
  <c r="C360" i="3"/>
  <c r="G360" i="3" s="1"/>
  <c r="E360" i="3"/>
  <c r="F360" i="3"/>
  <c r="B602" i="3"/>
  <c r="C602" i="3"/>
  <c r="B367" i="3"/>
  <c r="C367" i="3"/>
  <c r="E367" i="3" s="1"/>
  <c r="G367" i="3"/>
  <c r="B244" i="3"/>
  <c r="C244" i="3"/>
  <c r="B127" i="3"/>
  <c r="C127" i="3"/>
  <c r="D127" i="3" s="1"/>
  <c r="B264" i="3"/>
  <c r="C264" i="3"/>
  <c r="F264" i="3" s="1"/>
  <c r="G264" i="3"/>
  <c r="B142" i="3"/>
  <c r="C142" i="3"/>
  <c r="B386" i="3"/>
  <c r="C386" i="3"/>
  <c r="E386" i="3" s="1"/>
  <c r="D386" i="3"/>
  <c r="F386" i="3"/>
  <c r="G386" i="3"/>
  <c r="H386" i="3"/>
  <c r="B468" i="3"/>
  <c r="C468" i="3"/>
  <c r="B348" i="3"/>
  <c r="C348" i="3"/>
  <c r="D348" i="3" s="1"/>
  <c r="B364" i="3"/>
  <c r="C364" i="3"/>
  <c r="B59" i="3"/>
  <c r="C59" i="3"/>
  <c r="H59" i="3" s="1"/>
  <c r="B192" i="3"/>
  <c r="C192" i="3"/>
  <c r="H192" i="3" s="1"/>
  <c r="F192" i="3"/>
  <c r="B292" i="3"/>
  <c r="C292" i="3"/>
  <c r="B159" i="3"/>
  <c r="C159" i="3"/>
  <c r="B120" i="3"/>
  <c r="C120" i="3"/>
  <c r="E120" i="3"/>
  <c r="B378" i="3"/>
  <c r="C378" i="3"/>
  <c r="E378" i="3" s="1"/>
  <c r="B532" i="3"/>
  <c r="C532" i="3"/>
  <c r="D532" i="3" s="1"/>
  <c r="B379" i="3"/>
  <c r="C379" i="3"/>
  <c r="D379" i="3" s="1"/>
  <c r="B336" i="3"/>
  <c r="C336" i="3"/>
  <c r="D336" i="3" s="1"/>
  <c r="B600" i="3"/>
  <c r="C600" i="3"/>
  <c r="D600" i="3" s="1"/>
  <c r="B388" i="3"/>
  <c r="C388" i="3"/>
  <c r="F388" i="3" s="1"/>
  <c r="G388" i="3"/>
  <c r="B89" i="3"/>
  <c r="C89" i="3"/>
  <c r="B591" i="3"/>
  <c r="C591" i="3"/>
  <c r="H591" i="3"/>
  <c r="B75" i="3"/>
  <c r="C75" i="3"/>
  <c r="D75" i="3" s="1"/>
  <c r="E75" i="3"/>
  <c r="F75" i="3"/>
  <c r="H75" i="3"/>
  <c r="B620" i="3"/>
  <c r="C620" i="3"/>
  <c r="D620" i="3" s="1"/>
  <c r="F620" i="3"/>
  <c r="B136" i="3"/>
  <c r="C136" i="3"/>
  <c r="E136" i="3" s="1"/>
  <c r="D136" i="3"/>
  <c r="G136" i="3"/>
  <c r="B487" i="3"/>
  <c r="C487" i="3"/>
  <c r="D487" i="3" s="1"/>
  <c r="H487" i="3"/>
  <c r="B622" i="3"/>
  <c r="C622" i="3"/>
  <c r="G622" i="3" s="1"/>
  <c r="D622" i="3"/>
  <c r="E622" i="3"/>
  <c r="F622" i="3"/>
  <c r="B73" i="3"/>
  <c r="C73" i="3"/>
  <c r="F73" i="3" s="1"/>
  <c r="E73" i="3"/>
  <c r="G73" i="3"/>
  <c r="B278" i="3"/>
  <c r="C278" i="3"/>
  <c r="B599" i="3"/>
  <c r="C599" i="3"/>
  <c r="H599" i="3" s="1"/>
  <c r="G599" i="3"/>
  <c r="B85" i="3"/>
  <c r="C85" i="3"/>
  <c r="D85" i="3" s="1"/>
  <c r="H85" i="3"/>
  <c r="B303" i="3"/>
  <c r="C303" i="3"/>
  <c r="B298" i="3"/>
  <c r="C298" i="3"/>
  <c r="E298" i="3" s="1"/>
  <c r="B161" i="3"/>
  <c r="C161" i="3"/>
  <c r="E161" i="3" s="1"/>
  <c r="B433" i="3"/>
  <c r="C433" i="3"/>
  <c r="G433" i="3" s="1"/>
  <c r="F433" i="3"/>
  <c r="B275" i="3"/>
  <c r="C275" i="3"/>
  <c r="G275" i="3"/>
  <c r="B624" i="3"/>
  <c r="C624" i="3"/>
  <c r="B557" i="3"/>
  <c r="C557" i="3"/>
  <c r="D557" i="3" s="1"/>
  <c r="E557" i="3"/>
  <c r="B340" i="3"/>
  <c r="C340" i="3"/>
  <c r="D340" i="3" s="1"/>
  <c r="E340" i="3"/>
  <c r="F340" i="3"/>
  <c r="B405" i="3"/>
  <c r="C405" i="3"/>
  <c r="F405" i="3" s="1"/>
  <c r="B195" i="3"/>
  <c r="C195" i="3"/>
  <c r="E195" i="3" s="1"/>
  <c r="G195" i="3"/>
  <c r="B256" i="3"/>
  <c r="C256" i="3"/>
  <c r="D256" i="3" s="1"/>
  <c r="E256" i="3"/>
  <c r="H256" i="3"/>
  <c r="B140" i="3"/>
  <c r="C140" i="3"/>
  <c r="G140" i="3" s="1"/>
  <c r="E140" i="3"/>
  <c r="F140" i="3"/>
  <c r="B354" i="3"/>
  <c r="C354" i="3"/>
  <c r="B396" i="3"/>
  <c r="C396" i="3"/>
  <c r="H396" i="3" s="1"/>
  <c r="B467" i="3"/>
  <c r="C467" i="3"/>
  <c r="B462" i="3"/>
  <c r="C462" i="3"/>
  <c r="E462" i="3" s="1"/>
  <c r="B411" i="3"/>
  <c r="C411" i="3"/>
  <c r="F411" i="3" s="1"/>
  <c r="B628" i="3"/>
  <c r="C628" i="3"/>
  <c r="D628" i="3"/>
  <c r="B197" i="3"/>
  <c r="C197" i="3"/>
  <c r="E197" i="3" s="1"/>
  <c r="H197" i="3"/>
  <c r="B629" i="3"/>
  <c r="C629" i="3"/>
  <c r="D629" i="3" s="1"/>
  <c r="B331" i="3"/>
  <c r="C331" i="3"/>
  <c r="F331" i="3" s="1"/>
  <c r="B240" i="3"/>
  <c r="C240" i="3"/>
  <c r="H240" i="3" s="1"/>
  <c r="B296" i="3"/>
  <c r="C296" i="3"/>
  <c r="B323" i="3"/>
  <c r="C323" i="3"/>
  <c r="D323" i="3" s="1"/>
  <c r="F323" i="3"/>
  <c r="H323" i="3"/>
  <c r="B205" i="3"/>
  <c r="C205" i="3"/>
  <c r="F205" i="3" s="1"/>
  <c r="B391" i="3"/>
  <c r="C391" i="3"/>
  <c r="E391" i="3" s="1"/>
  <c r="B372" i="3"/>
  <c r="C372" i="3"/>
  <c r="E372" i="3" s="1"/>
  <c r="B566" i="3"/>
  <c r="C566" i="3"/>
  <c r="G566" i="3" s="1"/>
  <c r="D566" i="3"/>
  <c r="F566" i="3"/>
  <c r="B132" i="3"/>
  <c r="C132" i="3"/>
  <c r="F132" i="3" s="1"/>
  <c r="B456" i="3"/>
  <c r="C456" i="3"/>
  <c r="H456" i="3" s="1"/>
  <c r="B516" i="3"/>
  <c r="C516" i="3"/>
  <c r="D516" i="3" s="1"/>
  <c r="E516" i="3"/>
  <c r="B337" i="3"/>
  <c r="C337" i="3"/>
  <c r="D337" i="3" s="1"/>
  <c r="E337" i="3"/>
  <c r="H337" i="3"/>
  <c r="B634" i="3"/>
  <c r="C634" i="3"/>
  <c r="G634" i="3" s="1"/>
  <c r="B310" i="3"/>
  <c r="C310" i="3"/>
  <c r="G310" i="3" s="1"/>
  <c r="H310" i="3"/>
  <c r="B387" i="3"/>
  <c r="C387" i="3"/>
  <c r="D387" i="3" s="1"/>
  <c r="E387" i="3"/>
  <c r="B526" i="3"/>
  <c r="C526" i="3"/>
  <c r="G526" i="3" s="1"/>
  <c r="B148" i="3"/>
  <c r="C148" i="3"/>
  <c r="E148" i="3" s="1"/>
  <c r="B287" i="3"/>
  <c r="C287" i="3"/>
  <c r="E287" i="3" s="1"/>
  <c r="D287" i="3"/>
  <c r="H287" i="3"/>
  <c r="B446" i="3"/>
  <c r="C446" i="3"/>
  <c r="D446" i="3" s="1"/>
  <c r="B460" i="3"/>
  <c r="C460" i="3"/>
  <c r="D460" i="3" s="1"/>
  <c r="E460" i="3"/>
  <c r="B613" i="3"/>
  <c r="C613" i="3"/>
  <c r="E613" i="3" s="1"/>
  <c r="B308" i="3"/>
  <c r="C308" i="3"/>
  <c r="H308" i="3" s="1"/>
  <c r="B56" i="3"/>
  <c r="C56" i="3"/>
  <c r="G56" i="3" s="1"/>
  <c r="B215" i="3"/>
  <c r="C215" i="3"/>
  <c r="H215" i="3" s="1"/>
  <c r="B64" i="3"/>
  <c r="C64" i="3"/>
  <c r="F64" i="3" s="1"/>
  <c r="B400" i="3"/>
  <c r="C400" i="3"/>
  <c r="D400" i="3"/>
  <c r="E400" i="3"/>
  <c r="G400" i="3"/>
  <c r="B486" i="3"/>
  <c r="C486" i="3"/>
  <c r="G486" i="3" s="1"/>
  <c r="B614" i="3"/>
  <c r="C614" i="3"/>
  <c r="D614" i="3" s="1"/>
  <c r="B257" i="3"/>
  <c r="C257" i="3"/>
  <c r="E257" i="3" s="1"/>
  <c r="B529" i="3"/>
  <c r="C529" i="3"/>
  <c r="F529" i="3" s="1"/>
  <c r="D529" i="3"/>
  <c r="G529" i="3"/>
  <c r="H529" i="3"/>
  <c r="B97" i="3"/>
  <c r="C97" i="3"/>
  <c r="D97" i="3"/>
  <c r="F97" i="3"/>
  <c r="B501" i="3"/>
  <c r="C501" i="3"/>
  <c r="H501" i="3" s="1"/>
  <c r="B235" i="3"/>
  <c r="C235" i="3"/>
  <c r="H235" i="3" s="1"/>
  <c r="B206" i="3"/>
  <c r="C206" i="3"/>
  <c r="B573" i="3"/>
  <c r="C573" i="3"/>
  <c r="D573" i="3" s="1"/>
  <c r="G573" i="3"/>
  <c r="B403" i="3"/>
  <c r="C403" i="3"/>
  <c r="D403" i="3" s="1"/>
  <c r="B198" i="3"/>
  <c r="C198" i="3"/>
  <c r="E198" i="3" s="1"/>
  <c r="B160" i="3"/>
  <c r="C160" i="3"/>
  <c r="F160" i="3" s="1"/>
  <c r="B261" i="3"/>
  <c r="C261" i="3"/>
  <c r="G261" i="3" s="1"/>
  <c r="B490" i="3"/>
  <c r="C490" i="3"/>
  <c r="H490" i="3" s="1"/>
  <c r="B62" i="3"/>
  <c r="C62" i="3"/>
  <c r="F62" i="3" s="1"/>
  <c r="B288" i="3"/>
  <c r="C288" i="3"/>
  <c r="G288" i="3" s="1"/>
  <c r="B509" i="3"/>
  <c r="C509" i="3"/>
  <c r="H509" i="3" s="1"/>
  <c r="F509" i="3"/>
  <c r="G509" i="3"/>
  <c r="B113" i="3"/>
  <c r="C113" i="3"/>
  <c r="D113" i="3" s="1"/>
  <c r="B178" i="3"/>
  <c r="C178" i="3"/>
  <c r="H178" i="3" s="1"/>
  <c r="D178" i="3"/>
  <c r="E178" i="3"/>
  <c r="F178" i="3"/>
  <c r="B263" i="3"/>
  <c r="C263" i="3"/>
  <c r="D263" i="3" s="1"/>
  <c r="F263" i="3"/>
  <c r="B571" i="3"/>
  <c r="C571" i="3"/>
  <c r="E571" i="3" s="1"/>
  <c r="D571" i="3"/>
  <c r="F571" i="3"/>
  <c r="H571" i="3"/>
  <c r="B324" i="3"/>
  <c r="C324" i="3"/>
  <c r="F324" i="3" s="1"/>
  <c r="G324" i="3"/>
  <c r="H324" i="3"/>
  <c r="B214" i="3"/>
  <c r="C214" i="3"/>
  <c r="G214" i="3" s="1"/>
  <c r="B162" i="3"/>
  <c r="C162" i="3"/>
  <c r="H162" i="3" s="1"/>
  <c r="B266" i="3"/>
  <c r="C266" i="3"/>
  <c r="H266" i="3" s="1"/>
  <c r="B412" i="3"/>
  <c r="C412" i="3"/>
  <c r="E412" i="3" s="1"/>
  <c r="D412" i="3"/>
  <c r="B503" i="3"/>
  <c r="C503" i="3"/>
  <c r="H503" i="3" s="1"/>
  <c r="G503" i="3"/>
  <c r="B349" i="3"/>
  <c r="C349" i="3"/>
  <c r="D349" i="3" s="1"/>
  <c r="B151" i="3"/>
  <c r="C151" i="3"/>
  <c r="E151" i="3" s="1"/>
  <c r="G151" i="3"/>
  <c r="B475" i="3"/>
  <c r="C475" i="3"/>
  <c r="F475" i="3" s="1"/>
  <c r="E475" i="3"/>
  <c r="G475" i="3"/>
  <c r="B640" i="3"/>
  <c r="C640" i="3"/>
  <c r="G640" i="3" s="1"/>
  <c r="H640" i="3"/>
  <c r="B363" i="3"/>
  <c r="C363" i="3"/>
  <c r="H363" i="3" s="1"/>
  <c r="B210" i="3"/>
  <c r="C210" i="3"/>
  <c r="H210" i="3" s="1"/>
  <c r="B406" i="3"/>
  <c r="C406" i="3"/>
  <c r="E406" i="3" s="1"/>
  <c r="B499" i="3"/>
  <c r="C499" i="3"/>
  <c r="H499" i="3" s="1"/>
  <c r="B642" i="3"/>
  <c r="C642" i="3"/>
  <c r="B39" i="3"/>
  <c r="C39" i="3"/>
  <c r="E39" i="3" s="1"/>
  <c r="H39" i="3"/>
  <c r="B419" i="3"/>
  <c r="C419" i="3"/>
  <c r="F419" i="3" s="1"/>
  <c r="D419" i="3"/>
  <c r="H419" i="3"/>
  <c r="B347" i="3"/>
  <c r="C347" i="3"/>
  <c r="G347" i="3" s="1"/>
  <c r="B643" i="3"/>
  <c r="C643" i="3"/>
  <c r="H643" i="3" s="1"/>
  <c r="B342" i="3"/>
  <c r="C342" i="3"/>
  <c r="H342" i="3" s="1"/>
  <c r="B525" i="3"/>
  <c r="C525" i="3"/>
  <c r="E525" i="3" s="1"/>
  <c r="B268" i="3"/>
  <c r="C268" i="3"/>
  <c r="H268" i="3" s="1"/>
  <c r="F268" i="3"/>
  <c r="G268" i="3"/>
  <c r="B447" i="3"/>
  <c r="C447" i="3"/>
  <c r="B436" i="3"/>
  <c r="C436" i="3"/>
  <c r="E436" i="3" s="1"/>
  <c r="F436" i="3"/>
  <c r="B555" i="3"/>
  <c r="C555" i="3"/>
  <c r="F555" i="3" s="1"/>
  <c r="B500" i="3"/>
  <c r="C500" i="3"/>
  <c r="G500" i="3" s="1"/>
  <c r="H500" i="3"/>
  <c r="B105" i="3"/>
  <c r="C105" i="3"/>
  <c r="H105" i="3" s="1"/>
  <c r="G105" i="3"/>
  <c r="B517" i="3"/>
  <c r="C517" i="3"/>
  <c r="H517" i="3" s="1"/>
  <c r="B648" i="3"/>
  <c r="C648" i="3"/>
  <c r="E648" i="3" s="1"/>
  <c r="D648" i="3"/>
  <c r="B72" i="3"/>
  <c r="C72" i="3"/>
  <c r="H72" i="3" s="1"/>
  <c r="D72" i="3"/>
  <c r="E72" i="3"/>
  <c r="G72" i="3"/>
  <c r="B421" i="3"/>
  <c r="C421" i="3"/>
  <c r="D421" i="3" s="1"/>
  <c r="B114" i="3"/>
  <c r="C114" i="3"/>
  <c r="E114" i="3" s="1"/>
  <c r="F114" i="3"/>
  <c r="B131" i="3"/>
  <c r="C131" i="3"/>
  <c r="F131" i="3" s="1"/>
  <c r="E131" i="3"/>
  <c r="H131" i="3"/>
  <c r="B238" i="3"/>
  <c r="C238" i="3"/>
  <c r="G238" i="3" s="1"/>
  <c r="H238" i="3"/>
  <c r="B289" i="3"/>
  <c r="C289" i="3"/>
  <c r="H289" i="3" s="1"/>
  <c r="B484" i="3"/>
  <c r="C484" i="3"/>
  <c r="H484" i="3" s="1"/>
  <c r="B358" i="3"/>
  <c r="C358" i="3"/>
  <c r="E358" i="3" s="1"/>
  <c r="B441" i="3"/>
  <c r="C441" i="3"/>
  <c r="B228" i="3"/>
  <c r="C228" i="3"/>
  <c r="D228" i="3" s="1"/>
  <c r="B415" i="3"/>
  <c r="C415" i="3"/>
  <c r="E415" i="3" s="1"/>
  <c r="G415" i="3"/>
  <c r="B271" i="3"/>
  <c r="C271" i="3"/>
  <c r="F271" i="3" s="1"/>
  <c r="E271" i="3"/>
  <c r="B61" i="3"/>
  <c r="C61" i="3"/>
  <c r="G61" i="3" s="1"/>
  <c r="B380" i="3"/>
  <c r="C380" i="3"/>
  <c r="H380" i="3" s="1"/>
  <c r="B307" i="3"/>
  <c r="C307" i="3"/>
  <c r="H307" i="3" s="1"/>
  <c r="B655" i="3"/>
  <c r="C655" i="3"/>
  <c r="E655" i="3" s="1"/>
  <c r="B389" i="3"/>
  <c r="C389" i="3"/>
  <c r="H389" i="3" s="1"/>
  <c r="D389" i="3"/>
  <c r="F389" i="3"/>
  <c r="G389" i="3"/>
  <c r="B550" i="3"/>
  <c r="C550" i="3"/>
  <c r="B531" i="3"/>
  <c r="C531" i="3"/>
  <c r="E531" i="3" s="1"/>
  <c r="B343" i="3"/>
  <c r="C343" i="3"/>
  <c r="F343" i="3" s="1"/>
  <c r="B425" i="3"/>
  <c r="C425" i="3"/>
  <c r="G425" i="3" s="1"/>
  <c r="H425" i="3"/>
  <c r="B390" i="3"/>
  <c r="C390" i="3"/>
  <c r="H390" i="3" s="1"/>
  <c r="B453" i="3"/>
  <c r="C453" i="3"/>
  <c r="B251" i="3"/>
  <c r="C251" i="3"/>
  <c r="E251" i="3" s="1"/>
  <c r="B121" i="3"/>
  <c r="C121" i="3"/>
  <c r="H121" i="3" s="1"/>
  <c r="B663" i="3"/>
  <c r="C663" i="3"/>
  <c r="D663" i="3" s="1"/>
  <c r="B402" i="3"/>
  <c r="C402" i="3"/>
  <c r="E402" i="3" s="1"/>
  <c r="G402" i="3"/>
  <c r="B366" i="3"/>
  <c r="C366" i="3"/>
  <c r="F366" i="3" s="1"/>
  <c r="D366" i="3"/>
  <c r="G366" i="3"/>
  <c r="H366" i="3"/>
  <c r="B559" i="3"/>
  <c r="C559" i="3"/>
  <c r="B481" i="3"/>
  <c r="C481" i="3"/>
  <c r="H481" i="3" s="1"/>
  <c r="B233" i="3"/>
  <c r="C233" i="3"/>
  <c r="H233" i="3" s="1"/>
  <c r="B666" i="3"/>
  <c r="C666" i="3"/>
  <c r="D666" i="3" s="1"/>
  <c r="B304" i="3"/>
  <c r="C304" i="3"/>
  <c r="H304" i="3" s="1"/>
  <c r="E304" i="3"/>
  <c r="B561" i="3"/>
  <c r="C561" i="3"/>
  <c r="E561" i="3" s="1"/>
  <c r="B472" i="3"/>
  <c r="C472" i="3"/>
  <c r="B674" i="3"/>
  <c r="C674" i="3"/>
  <c r="F674" i="3" s="1"/>
  <c r="D674" i="3"/>
  <c r="E674" i="3"/>
  <c r="H674" i="3"/>
  <c r="B615" i="3"/>
  <c r="C615" i="3"/>
  <c r="G615" i="3" s="1"/>
  <c r="B172" i="3"/>
  <c r="C172" i="3"/>
  <c r="H172" i="3" s="1"/>
  <c r="B284" i="3"/>
  <c r="C284" i="3"/>
  <c r="H284" i="3" s="1"/>
  <c r="B269" i="3"/>
  <c r="C269" i="3"/>
  <c r="D269" i="3" s="1"/>
  <c r="B488" i="3"/>
  <c r="C488" i="3"/>
  <c r="H488" i="3" s="1"/>
  <c r="D488" i="3"/>
  <c r="E488" i="3"/>
  <c r="G488" i="3"/>
  <c r="B245" i="3"/>
  <c r="C245" i="3"/>
  <c r="E245" i="3" s="1"/>
  <c r="B285" i="3"/>
  <c r="C285" i="3"/>
  <c r="E285" i="3" s="1"/>
  <c r="F285" i="3"/>
  <c r="B679" i="3"/>
  <c r="C679" i="3"/>
  <c r="F679" i="3" s="1"/>
  <c r="B341" i="3"/>
  <c r="C341" i="3"/>
  <c r="G341" i="3" s="1"/>
  <c r="B397" i="3"/>
  <c r="C397" i="3"/>
  <c r="H397" i="3" s="1"/>
  <c r="G397" i="3"/>
  <c r="B414" i="3"/>
  <c r="C414" i="3"/>
  <c r="H414" i="3"/>
  <c r="B335" i="3"/>
  <c r="C335" i="3"/>
  <c r="D335" i="3" s="1"/>
  <c r="B684" i="3"/>
  <c r="C684" i="3"/>
  <c r="H684" i="3" s="1"/>
  <c r="F684" i="3"/>
  <c r="B583" i="3"/>
  <c r="C583" i="3"/>
  <c r="B424" i="3"/>
  <c r="C424" i="3"/>
  <c r="E424" i="3" s="1"/>
  <c r="B464" i="3"/>
  <c r="C464" i="3"/>
  <c r="F464" i="3" s="1"/>
  <c r="E464" i="3"/>
  <c r="B685" i="3"/>
  <c r="C685" i="3"/>
  <c r="G685" i="3" s="1"/>
  <c r="F685" i="3"/>
  <c r="H685" i="3"/>
  <c r="B686" i="3"/>
  <c r="C686" i="3"/>
  <c r="G686" i="3" s="1"/>
  <c r="B54" i="3"/>
  <c r="C54" i="3"/>
  <c r="D54" i="3" s="1"/>
  <c r="B687" i="3"/>
  <c r="C687" i="3"/>
  <c r="D687" i="3" s="1"/>
  <c r="B496" i="3"/>
  <c r="C496" i="3"/>
  <c r="H496" i="3" s="1"/>
  <c r="B558" i="3"/>
  <c r="C558" i="3"/>
  <c r="F558" i="3" s="1"/>
  <c r="B616" i="3"/>
  <c r="C616" i="3"/>
  <c r="B346" i="3"/>
  <c r="C346" i="3"/>
  <c r="F346" i="3" s="1"/>
  <c r="B98" i="3"/>
  <c r="C98" i="3"/>
  <c r="E98" i="3" s="1"/>
  <c r="B283" i="3"/>
  <c r="C283" i="3"/>
  <c r="D283" i="3" s="1"/>
  <c r="B471" i="3"/>
  <c r="C471" i="3"/>
  <c r="F471" i="3" s="1"/>
  <c r="B457" i="3"/>
  <c r="C457" i="3"/>
  <c r="G457" i="3" s="1"/>
  <c r="B554" i="3"/>
  <c r="C554" i="3"/>
  <c r="H554" i="3" s="1"/>
  <c r="B617" i="3"/>
  <c r="C617" i="3"/>
  <c r="D617" i="3" s="1"/>
  <c r="G617" i="3"/>
  <c r="B689" i="3"/>
  <c r="C689" i="3"/>
  <c r="E689" i="3" s="1"/>
  <c r="G689" i="3"/>
  <c r="B618" i="3"/>
  <c r="C618" i="3"/>
  <c r="F618" i="3" s="1"/>
  <c r="D618" i="3"/>
  <c r="H618" i="3"/>
  <c r="B270" i="3"/>
  <c r="C270" i="3"/>
  <c r="H270" i="3" s="1"/>
  <c r="B518" i="3"/>
  <c r="C518" i="3"/>
  <c r="B466" i="3"/>
  <c r="C466" i="3"/>
  <c r="F466" i="3" s="1"/>
  <c r="B598" i="3"/>
  <c r="C598" i="3"/>
  <c r="G598" i="3" s="1"/>
  <c r="B249" i="3"/>
  <c r="C249" i="3"/>
  <c r="B701" i="3"/>
  <c r="C701" i="3"/>
  <c r="D701" i="3" s="1"/>
  <c r="G701" i="3"/>
  <c r="B619" i="3"/>
  <c r="C619" i="3"/>
  <c r="E619" i="3" s="1"/>
  <c r="B276" i="3"/>
  <c r="C276" i="3"/>
  <c r="F276" i="3" s="1"/>
  <c r="G276" i="3"/>
  <c r="B621" i="3"/>
  <c r="C621" i="3"/>
  <c r="G621" i="3" s="1"/>
  <c r="B601" i="3"/>
  <c r="C601" i="3"/>
  <c r="H601" i="3" s="1"/>
  <c r="B186" i="3"/>
  <c r="C186" i="3"/>
  <c r="F186" i="3" s="1"/>
  <c r="B612" i="3"/>
  <c r="C612" i="3"/>
  <c r="G612" i="3" s="1"/>
  <c r="B440" i="3"/>
  <c r="C440" i="3"/>
  <c r="F440" i="3" s="1"/>
  <c r="B502" i="3"/>
  <c r="C502" i="3"/>
  <c r="D502" i="3" s="1"/>
  <c r="B523" i="3"/>
  <c r="C523" i="3"/>
  <c r="D523" i="3" s="1"/>
  <c r="B711" i="3"/>
  <c r="C711" i="3"/>
  <c r="F711" i="3" s="1"/>
  <c r="B715" i="3"/>
  <c r="C715" i="3"/>
  <c r="D715" i="3" s="1"/>
  <c r="B543" i="3"/>
  <c r="C543" i="3"/>
  <c r="H543" i="3" s="1"/>
  <c r="E543" i="3"/>
  <c r="F543" i="3"/>
  <c r="B717" i="3"/>
  <c r="C717" i="3"/>
  <c r="F717" i="3" s="1"/>
  <c r="B547" i="3"/>
  <c r="C547" i="3"/>
  <c r="G547" i="3" s="1"/>
  <c r="B164" i="3"/>
  <c r="C164" i="3"/>
  <c r="F164" i="3" s="1"/>
  <c r="B541" i="3"/>
  <c r="C541" i="3"/>
  <c r="B724" i="3"/>
  <c r="C724" i="3"/>
  <c r="D724" i="3" s="1"/>
  <c r="B623" i="3"/>
  <c r="C623" i="3"/>
  <c r="F623" i="3" s="1"/>
  <c r="E623" i="3"/>
  <c r="G623" i="3"/>
  <c r="B118" i="3"/>
  <c r="C118" i="3"/>
  <c r="D118" i="3" s="1"/>
  <c r="E118" i="3"/>
  <c r="B494" i="3"/>
  <c r="C494" i="3"/>
  <c r="E494" i="3" s="1"/>
  <c r="B188" i="3"/>
  <c r="C188" i="3"/>
  <c r="F188" i="3" s="1"/>
  <c r="B729" i="3"/>
  <c r="C729" i="3"/>
  <c r="H729" i="3" s="1"/>
  <c r="B564" i="3"/>
  <c r="C564" i="3"/>
  <c r="F564" i="3" s="1"/>
  <c r="B733" i="3"/>
  <c r="C733" i="3"/>
  <c r="B506" i="3"/>
  <c r="C506" i="3"/>
  <c r="D506" i="3" s="1"/>
  <c r="B741" i="3"/>
  <c r="C741" i="3"/>
  <c r="E741" i="3" s="1"/>
  <c r="B480" i="3"/>
  <c r="C480" i="3"/>
  <c r="D480" i="3" s="1"/>
  <c r="F480" i="3"/>
  <c r="B597" i="3"/>
  <c r="C597" i="3"/>
  <c r="B575" i="3"/>
  <c r="C575" i="3"/>
  <c r="F575" i="3" s="1"/>
  <c r="B176" i="3"/>
  <c r="C176" i="3"/>
  <c r="B177" i="3"/>
  <c r="C177" i="3"/>
  <c r="B625" i="3"/>
  <c r="C625" i="3"/>
  <c r="D625" i="3" s="1"/>
  <c r="B356" i="3"/>
  <c r="C356" i="3"/>
  <c r="B265" i="3"/>
  <c r="C265" i="3"/>
  <c r="B368" i="3"/>
  <c r="C368" i="3"/>
  <c r="B321" i="3"/>
  <c r="C321" i="3"/>
  <c r="H321" i="3" s="1"/>
  <c r="D321" i="3"/>
  <c r="G321" i="3"/>
  <c r="B549" i="3"/>
  <c r="C549" i="3"/>
  <c r="F549" i="3" s="1"/>
  <c r="B626" i="3"/>
  <c r="C626" i="3"/>
  <c r="G626" i="3" s="1"/>
  <c r="B442" i="3"/>
  <c r="C442" i="3"/>
  <c r="E442" i="3" s="1"/>
  <c r="B627" i="3"/>
  <c r="C627" i="3"/>
  <c r="D627" i="3" s="1"/>
  <c r="H627" i="3"/>
  <c r="B416" i="3"/>
  <c r="C416" i="3"/>
  <c r="B507" i="3"/>
  <c r="C507" i="3"/>
  <c r="F507" i="3" s="1"/>
  <c r="G507" i="3"/>
  <c r="B322" i="3"/>
  <c r="C322" i="3"/>
  <c r="D322" i="3" s="1"/>
  <c r="B350" i="3"/>
  <c r="C350" i="3"/>
  <c r="H350" i="3" s="1"/>
  <c r="F350" i="3"/>
  <c r="B524" i="3"/>
  <c r="C524" i="3"/>
  <c r="F524" i="3" s="1"/>
  <c r="B463" i="3"/>
  <c r="C463" i="3"/>
  <c r="G463" i="3" s="1"/>
  <c r="B758" i="3"/>
  <c r="C758" i="3"/>
  <c r="B630" i="3"/>
  <c r="C630" i="3"/>
  <c r="H630" i="3" s="1"/>
  <c r="B760" i="3"/>
  <c r="C760" i="3"/>
  <c r="B763" i="3"/>
  <c r="C763" i="3"/>
  <c r="F763" i="3" s="1"/>
  <c r="E763" i="3"/>
  <c r="B765" i="3"/>
  <c r="C765" i="3"/>
  <c r="D765" i="3" s="1"/>
  <c r="B766" i="3"/>
  <c r="C766" i="3"/>
  <c r="H766" i="3" s="1"/>
  <c r="E766" i="3"/>
  <c r="B454" i="3"/>
  <c r="C454" i="3"/>
  <c r="F454" i="3" s="1"/>
  <c r="B528" i="3"/>
  <c r="C528" i="3"/>
  <c r="G528" i="3" s="1"/>
  <c r="F528" i="3"/>
  <c r="B611" i="3"/>
  <c r="C611" i="3"/>
  <c r="B570" i="3"/>
  <c r="C570" i="3"/>
  <c r="B778" i="3"/>
  <c r="C778" i="3"/>
  <c r="D778" i="3" s="1"/>
  <c r="B376" i="3"/>
  <c r="C376" i="3"/>
  <c r="B432" i="3"/>
  <c r="C432" i="3"/>
  <c r="D432" i="3" s="1"/>
  <c r="B267" i="3"/>
  <c r="C267" i="3"/>
  <c r="B297" i="3"/>
  <c r="C297" i="3"/>
  <c r="F297" i="3" s="1"/>
  <c r="B489" i="3"/>
  <c r="C489" i="3"/>
  <c r="B430" i="3"/>
  <c r="C430" i="3"/>
  <c r="F430" i="3" s="1"/>
  <c r="H430" i="3"/>
  <c r="B631" i="3"/>
  <c r="C631" i="3"/>
  <c r="D631" i="3" s="1"/>
  <c r="F631" i="3"/>
  <c r="B632" i="3"/>
  <c r="C632" i="3"/>
  <c r="B409" i="3"/>
  <c r="C409" i="3"/>
  <c r="F409" i="3" s="1"/>
  <c r="D409" i="3"/>
  <c r="E409" i="3"/>
  <c r="B791" i="3"/>
  <c r="C791" i="3"/>
  <c r="D791" i="3" s="1"/>
  <c r="B792" i="3"/>
  <c r="C792" i="3"/>
  <c r="H792" i="3" s="1"/>
  <c r="B793" i="3"/>
  <c r="C793" i="3"/>
  <c r="F793" i="3" s="1"/>
  <c r="B633" i="3"/>
  <c r="C633" i="3"/>
  <c r="G633" i="3" s="1"/>
  <c r="F633" i="3"/>
  <c r="B802" i="3"/>
  <c r="C802" i="3"/>
  <c r="E802" i="3" s="1"/>
  <c r="B407" i="3"/>
  <c r="C407" i="3"/>
  <c r="D407" i="3" s="1"/>
  <c r="B808" i="3"/>
  <c r="C808" i="3"/>
  <c r="B810" i="3"/>
  <c r="C810" i="3"/>
  <c r="F810" i="3" s="1"/>
  <c r="B811" i="3"/>
  <c r="C811" i="3"/>
  <c r="D811" i="3" s="1"/>
  <c r="B428" i="3"/>
  <c r="C428" i="3"/>
  <c r="H428" i="3" s="1"/>
  <c r="B815" i="3"/>
  <c r="C815" i="3"/>
  <c r="F815" i="3" s="1"/>
  <c r="B817" i="3"/>
  <c r="C817" i="3"/>
  <c r="B820" i="3"/>
  <c r="C820" i="3"/>
  <c r="B413" i="3"/>
  <c r="C413" i="3"/>
  <c r="H413" i="3" s="1"/>
  <c r="B823" i="3"/>
  <c r="C823" i="3"/>
  <c r="D823" i="3" s="1"/>
  <c r="G823" i="3"/>
  <c r="B300" i="3"/>
  <c r="C300" i="3"/>
  <c r="F300" i="3" s="1"/>
  <c r="D300" i="3"/>
  <c r="E300" i="3"/>
  <c r="G300" i="3"/>
  <c r="H300" i="3"/>
  <c r="B107" i="3"/>
  <c r="C107" i="3"/>
  <c r="D107" i="3" s="1"/>
  <c r="B375" i="3"/>
  <c r="C375" i="3"/>
  <c r="H375" i="3" s="1"/>
  <c r="D375" i="3"/>
  <c r="E375" i="3"/>
  <c r="F375" i="3"/>
  <c r="G375" i="3"/>
  <c r="B829" i="3"/>
  <c r="C829" i="3"/>
  <c r="F829" i="3" s="1"/>
  <c r="B521" i="3"/>
  <c r="C521" i="3"/>
  <c r="E521" i="3" s="1"/>
  <c r="D521" i="3"/>
  <c r="F521" i="3"/>
  <c r="G521" i="3"/>
  <c r="H521" i="3"/>
  <c r="B836" i="3"/>
  <c r="C836" i="3"/>
  <c r="B145" i="3"/>
  <c r="C145" i="3"/>
  <c r="D145" i="3" s="1"/>
  <c r="H145" i="3"/>
  <c r="B837" i="3"/>
  <c r="C837" i="3"/>
  <c r="D837" i="3" s="1"/>
  <c r="G837" i="3"/>
  <c r="B445" i="3"/>
  <c r="C445" i="3"/>
  <c r="B839" i="3"/>
  <c r="C839" i="3"/>
  <c r="D839" i="3" s="1"/>
  <c r="B635" i="3"/>
  <c r="C635" i="3"/>
  <c r="E635" i="3" s="1"/>
  <c r="B841" i="3"/>
  <c r="C841" i="3"/>
  <c r="F841" i="3" s="1"/>
  <c r="B519" i="3"/>
  <c r="C519" i="3"/>
  <c r="F519" i="3" s="1"/>
  <c r="B854" i="3"/>
  <c r="C854" i="3"/>
  <c r="F854" i="3" s="1"/>
  <c r="H854" i="3"/>
  <c r="B508" i="3"/>
  <c r="C508" i="3"/>
  <c r="D508" i="3" s="1"/>
  <c r="F508" i="3"/>
  <c r="B636" i="3"/>
  <c r="C636" i="3"/>
  <c r="B858" i="3"/>
  <c r="C858" i="3"/>
  <c r="E858" i="3" s="1"/>
  <c r="D858" i="3"/>
  <c r="H858" i="3"/>
  <c r="B861" i="3"/>
  <c r="C861" i="3"/>
  <c r="D861" i="3" s="1"/>
  <c r="B385" i="3"/>
  <c r="C385" i="3"/>
  <c r="H385" i="3" s="1"/>
  <c r="F385" i="3"/>
  <c r="B864" i="3"/>
  <c r="C864" i="3"/>
  <c r="F864" i="3" s="1"/>
  <c r="B470" i="3"/>
  <c r="C470" i="3"/>
  <c r="E470" i="3" s="1"/>
  <c r="G470" i="3"/>
  <c r="B546" i="3"/>
  <c r="C546" i="3"/>
  <c r="F546" i="3" s="1"/>
  <c r="E546" i="3"/>
  <c r="B393" i="3"/>
  <c r="C393" i="3"/>
  <c r="B868" i="3"/>
  <c r="C868" i="3"/>
  <c r="D868" i="3" s="1"/>
  <c r="B870" i="3"/>
  <c r="C870" i="3"/>
  <c r="D870" i="3" s="1"/>
  <c r="B530" i="3"/>
  <c r="C530" i="3"/>
  <c r="D530" i="3" s="1"/>
  <c r="B596" i="3"/>
  <c r="C596" i="3"/>
  <c r="F596" i="3" s="1"/>
  <c r="E596" i="3"/>
  <c r="B408" i="3"/>
  <c r="C408" i="3"/>
  <c r="F408" i="3" s="1"/>
  <c r="B637" i="3"/>
  <c r="C637" i="3"/>
  <c r="F637" i="3" s="1"/>
  <c r="B437" i="3"/>
  <c r="C437" i="3"/>
  <c r="E437" i="3" s="1"/>
  <c r="B876" i="3"/>
  <c r="C876" i="3"/>
  <c r="D876" i="3" s="1"/>
  <c r="B435" i="3"/>
  <c r="C435" i="3"/>
  <c r="B381" i="3"/>
  <c r="C381" i="3"/>
  <c r="H381" i="3" s="1"/>
  <c r="B638" i="3"/>
  <c r="C638" i="3"/>
  <c r="D638" i="3" s="1"/>
  <c r="B478" i="3"/>
  <c r="C478" i="3"/>
  <c r="G478" i="3" s="1"/>
  <c r="B883" i="3"/>
  <c r="C883" i="3"/>
  <c r="F883" i="3" s="1"/>
  <c r="B319" i="3"/>
  <c r="C319" i="3"/>
  <c r="D319" i="3" s="1"/>
  <c r="B889" i="3"/>
  <c r="C889" i="3"/>
  <c r="D889" i="3" s="1"/>
  <c r="B890" i="3"/>
  <c r="C890" i="3"/>
  <c r="H890" i="3" s="1"/>
  <c r="B259" i="3"/>
  <c r="C259" i="3"/>
  <c r="D259" i="3" s="1"/>
  <c r="B907" i="3"/>
  <c r="C907" i="3"/>
  <c r="F907" i="3" s="1"/>
  <c r="E907" i="3"/>
  <c r="H907" i="3"/>
  <c r="B908" i="3"/>
  <c r="C908" i="3"/>
  <c r="D908" i="3" s="1"/>
  <c r="B474" i="3"/>
  <c r="C474" i="3"/>
  <c r="H474" i="3" s="1"/>
  <c r="G474" i="3"/>
  <c r="B915" i="3"/>
  <c r="C915" i="3"/>
  <c r="F915" i="3" s="1"/>
  <c r="B916" i="3"/>
  <c r="C916" i="3"/>
  <c r="E916" i="3" s="1"/>
  <c r="F916" i="3"/>
  <c r="G916" i="3"/>
  <c r="B918" i="3"/>
  <c r="C918" i="3"/>
  <c r="H918" i="3" s="1"/>
  <c r="B639" i="3"/>
  <c r="C639" i="3"/>
  <c r="D639" i="3" s="1"/>
  <c r="H639" i="3"/>
  <c r="B536" i="3"/>
  <c r="C536" i="3"/>
  <c r="D536" i="3" s="1"/>
  <c r="B534" i="3"/>
  <c r="C534" i="3"/>
  <c r="F534" i="3" s="1"/>
  <c r="B513" i="3"/>
  <c r="C513" i="3"/>
  <c r="D513" i="3" s="1"/>
  <c r="B922" i="3"/>
  <c r="C922" i="3"/>
  <c r="H922" i="3" s="1"/>
  <c r="B923" i="3"/>
  <c r="C923" i="3"/>
  <c r="F923" i="3" s="1"/>
  <c r="B345" i="3"/>
  <c r="C345" i="3"/>
  <c r="E345" i="3" s="1"/>
  <c r="B928" i="3"/>
  <c r="C928" i="3"/>
  <c r="E928" i="3" s="1"/>
  <c r="G928" i="3"/>
  <c r="B641" i="3"/>
  <c r="C641" i="3"/>
  <c r="D641" i="3" s="1"/>
  <c r="H641" i="3"/>
  <c r="B404" i="3"/>
  <c r="C404" i="3"/>
  <c r="D404" i="3" s="1"/>
  <c r="G404" i="3"/>
  <c r="B315" i="3"/>
  <c r="C315" i="3"/>
  <c r="F315" i="3" s="1"/>
  <c r="B644" i="3"/>
  <c r="C644" i="3"/>
  <c r="D644" i="3" s="1"/>
  <c r="B645" i="3"/>
  <c r="C645" i="3"/>
  <c r="H645" i="3" s="1"/>
  <c r="D645" i="3"/>
  <c r="G645" i="3"/>
  <c r="B505" i="3"/>
  <c r="C505" i="3"/>
  <c r="F505" i="3" s="1"/>
  <c r="B946" i="3"/>
  <c r="C946" i="3"/>
  <c r="B947" i="3"/>
  <c r="C947" i="3"/>
  <c r="F947" i="3" s="1"/>
  <c r="B398" i="3"/>
  <c r="C398" i="3"/>
  <c r="H398" i="3" s="1"/>
  <c r="B491" i="3"/>
  <c r="C491" i="3"/>
  <c r="D491" i="3" s="1"/>
  <c r="B352" i="3"/>
  <c r="C352" i="3"/>
  <c r="H352" i="3"/>
  <c r="B568" i="3"/>
  <c r="C568" i="3"/>
  <c r="D568" i="3" s="1"/>
  <c r="B646" i="3"/>
  <c r="C646" i="3"/>
  <c r="D646" i="3" s="1"/>
  <c r="B647" i="3"/>
  <c r="C647" i="3"/>
  <c r="F647" i="3" s="1"/>
  <c r="B949" i="3"/>
  <c r="C949" i="3"/>
  <c r="E949" i="3" s="1"/>
  <c r="B236" i="3"/>
  <c r="C236" i="3"/>
  <c r="B227" i="3"/>
  <c r="C227" i="3"/>
  <c r="D227" i="3" s="1"/>
  <c r="B950" i="3"/>
  <c r="C950" i="3"/>
  <c r="D950" i="3" s="1"/>
  <c r="B448" i="3"/>
  <c r="C448" i="3"/>
  <c r="E448" i="3" s="1"/>
  <c r="H448" i="3"/>
  <c r="B649" i="3"/>
  <c r="C649" i="3"/>
  <c r="D649" i="3" s="1"/>
  <c r="H611" i="7"/>
  <c r="V22" i="3"/>
  <c r="B1254" i="3"/>
  <c r="B1256" i="3"/>
  <c r="B1257" i="3"/>
  <c r="B1258" i="3"/>
  <c r="B1259" i="3"/>
  <c r="B1260" i="3"/>
  <c r="B1263" i="3"/>
  <c r="B1264" i="3"/>
  <c r="B1270" i="3"/>
  <c r="B1275" i="3"/>
  <c r="B1281" i="3"/>
  <c r="B1284" i="3"/>
  <c r="B1293" i="3"/>
  <c r="B1295" i="3"/>
  <c r="B1299" i="3"/>
  <c r="B1301" i="3"/>
  <c r="B1305" i="3"/>
  <c r="B1315" i="3"/>
  <c r="B1314" i="3"/>
  <c r="B1329" i="3"/>
  <c r="B1340" i="3"/>
  <c r="B1345" i="3"/>
  <c r="B1343" i="3"/>
  <c r="B1346" i="3"/>
  <c r="B1344" i="3"/>
  <c r="B1352" i="3"/>
  <c r="B1398" i="3"/>
  <c r="B652" i="3"/>
  <c r="B567" i="3"/>
  <c r="B469" i="3"/>
  <c r="B657" i="3"/>
  <c r="B656" i="3"/>
  <c r="B588" i="3"/>
  <c r="B661" i="3"/>
  <c r="B563" i="3"/>
  <c r="B664" i="3"/>
  <c r="B677" i="3"/>
  <c r="B520" i="3"/>
  <c r="B683" i="3"/>
  <c r="B579" i="3"/>
  <c r="B461" i="3"/>
  <c r="B688" i="3"/>
  <c r="B690" i="3"/>
  <c r="B696" i="3"/>
  <c r="B697" i="3"/>
  <c r="B699" i="3"/>
  <c r="B700" i="3"/>
  <c r="B707" i="3"/>
  <c r="B709" i="3"/>
  <c r="B712" i="3"/>
  <c r="B716" i="3"/>
  <c r="B719" i="3"/>
  <c r="B720" i="3"/>
  <c r="B722" i="3"/>
  <c r="B589" i="3"/>
  <c r="B727" i="3"/>
  <c r="B320" i="3"/>
  <c r="B728" i="3"/>
  <c r="B574" i="3"/>
  <c r="B730" i="3"/>
  <c r="B735" i="3"/>
  <c r="B734" i="3"/>
  <c r="B746" i="3"/>
  <c r="B497" i="3"/>
  <c r="B751" i="3"/>
  <c r="B753" i="3"/>
  <c r="B370" i="3"/>
  <c r="B761" i="3"/>
  <c r="B771" i="3"/>
  <c r="B769" i="3"/>
  <c r="B786" i="3"/>
  <c r="B790" i="3"/>
  <c r="B799" i="3"/>
  <c r="B805" i="3"/>
  <c r="B804" i="3"/>
  <c r="B809" i="3"/>
  <c r="B824" i="3"/>
  <c r="B825" i="3"/>
  <c r="B473" i="3"/>
  <c r="B831" i="3"/>
  <c r="B832" i="3"/>
  <c r="B840" i="3"/>
  <c r="B844" i="3"/>
  <c r="B556" i="3"/>
  <c r="B845" i="3"/>
  <c r="B855" i="3"/>
  <c r="B856" i="3"/>
  <c r="B865" i="3"/>
  <c r="B867" i="3"/>
  <c r="B587" i="3"/>
  <c r="B882" i="3"/>
  <c r="B888" i="3"/>
  <c r="B893" i="3"/>
  <c r="B896" i="3"/>
  <c r="B897" i="3"/>
  <c r="B900" i="3"/>
  <c r="B913" i="3"/>
  <c r="B927" i="3"/>
  <c r="B933" i="3"/>
  <c r="B938" i="3"/>
  <c r="B937" i="3"/>
  <c r="B940" i="3"/>
  <c r="B945" i="3"/>
  <c r="B514" i="3"/>
  <c r="B952" i="3"/>
  <c r="B590" i="3"/>
  <c r="B963" i="3"/>
  <c r="B969" i="3"/>
  <c r="B977" i="3"/>
  <c r="B980" i="3"/>
  <c r="B986" i="3"/>
  <c r="B992" i="3"/>
  <c r="B994" i="3"/>
  <c r="B995" i="3"/>
  <c r="B1017" i="3"/>
  <c r="B562" i="3"/>
  <c r="B1020" i="3"/>
  <c r="B1027" i="3"/>
  <c r="B1037" i="3"/>
  <c r="B1041" i="3"/>
  <c r="B1044" i="3"/>
  <c r="B1046" i="3"/>
  <c r="B1049" i="3"/>
  <c r="B1050" i="3"/>
  <c r="B1055" i="3"/>
  <c r="B1067" i="3"/>
  <c r="B1069" i="3"/>
  <c r="B585" i="3"/>
  <c r="B1076" i="3"/>
  <c r="B1077" i="3"/>
  <c r="B1085" i="3"/>
  <c r="B1086" i="3"/>
  <c r="B1099" i="3"/>
  <c r="B1105" i="3"/>
  <c r="B1120" i="3"/>
  <c r="B1128" i="3"/>
  <c r="B1164" i="3"/>
  <c r="B1180" i="3"/>
  <c r="B1197" i="3"/>
  <c r="B1229" i="3"/>
  <c r="B1272" i="3"/>
  <c r="B1276" i="3"/>
  <c r="B1286" i="3"/>
  <c r="C1254" i="3"/>
  <c r="C1256" i="3"/>
  <c r="C1257" i="3"/>
  <c r="C1258" i="3"/>
  <c r="F1258" i="3" s="1"/>
  <c r="C1259" i="3"/>
  <c r="C1260" i="3"/>
  <c r="D1260" i="3" s="1"/>
  <c r="C1263" i="3"/>
  <c r="C1264" i="3"/>
  <c r="E1264" i="3" s="1"/>
  <c r="C1270" i="3"/>
  <c r="C1275" i="3"/>
  <c r="C1281" i="3"/>
  <c r="C1284" i="3"/>
  <c r="E1284" i="3" s="1"/>
  <c r="C1293" i="3"/>
  <c r="D1293" i="3" s="1"/>
  <c r="C1295" i="3"/>
  <c r="C1299" i="3"/>
  <c r="C1301" i="3"/>
  <c r="E1301" i="3" s="1"/>
  <c r="C1305" i="3"/>
  <c r="C1315" i="3"/>
  <c r="C1314" i="3"/>
  <c r="C1329" i="3"/>
  <c r="J1329" i="3" s="1"/>
  <c r="C1340" i="3"/>
  <c r="C1345" i="3"/>
  <c r="C1343" i="3"/>
  <c r="C1346" i="3"/>
  <c r="D1346" i="3" s="1"/>
  <c r="C1344" i="3"/>
  <c r="C1352" i="3"/>
  <c r="C1398" i="3"/>
  <c r="V6" i="3"/>
  <c r="V10" i="3"/>
  <c r="V11" i="3"/>
  <c r="V7" i="3"/>
  <c r="V134" i="3"/>
  <c r="V53" i="3"/>
  <c r="V68" i="3"/>
  <c r="V128" i="3"/>
  <c r="V9" i="3"/>
  <c r="V155" i="3"/>
  <c r="V102" i="3"/>
  <c r="V65" i="3"/>
  <c r="V50" i="3"/>
  <c r="U51" i="3"/>
  <c r="V74" i="3"/>
  <c r="U112" i="3"/>
  <c r="V25" i="3"/>
  <c r="V45" i="3"/>
  <c r="V106" i="3"/>
  <c r="V78" i="3"/>
  <c r="V91" i="3"/>
  <c r="U156" i="3"/>
  <c r="V170" i="3"/>
  <c r="V42" i="3"/>
  <c r="V20" i="3"/>
  <c r="V126" i="3"/>
  <c r="V143" i="3"/>
  <c r="V86" i="3"/>
  <c r="V138" i="3"/>
  <c r="U96" i="3"/>
  <c r="V67" i="3"/>
  <c r="V79" i="3"/>
  <c r="V191" i="3"/>
  <c r="V185" i="3"/>
  <c r="V194" i="3"/>
  <c r="V103" i="3"/>
  <c r="U216" i="3"/>
  <c r="V332" i="3"/>
  <c r="V187" i="3"/>
  <c r="V101" i="3"/>
  <c r="V305" i="3"/>
  <c r="V280" i="3"/>
  <c r="V52" i="3"/>
  <c r="V377" i="3"/>
  <c r="V99" i="3"/>
  <c r="V200" i="3"/>
  <c r="V512" i="3"/>
  <c r="V317" i="3"/>
  <c r="V196" i="3"/>
  <c r="V33" i="3"/>
  <c r="U401" i="3"/>
  <c r="V108" i="3"/>
  <c r="V46" i="3"/>
  <c r="V312" i="3"/>
  <c r="V212" i="3"/>
  <c r="V57" i="3"/>
  <c r="V203" i="3"/>
  <c r="V254" i="3"/>
  <c r="V222" i="3"/>
  <c r="V476" i="3"/>
  <c r="V451" i="3"/>
  <c r="V382" i="3"/>
  <c r="V158" i="3"/>
  <c r="V229" i="3"/>
  <c r="V455" i="3"/>
  <c r="V281" i="3"/>
  <c r="V273" i="3"/>
  <c r="V434" i="3"/>
  <c r="V199" i="3"/>
  <c r="V371" i="3"/>
  <c r="V306" i="3"/>
  <c r="V485" i="3"/>
  <c r="V572" i="3"/>
  <c r="V248" i="3"/>
  <c r="V224" i="3"/>
  <c r="V202" i="3"/>
  <c r="V192" i="3"/>
  <c r="V120" i="3"/>
  <c r="V89" i="3"/>
  <c r="V591" i="3"/>
  <c r="V136" i="3"/>
  <c r="V298" i="3"/>
  <c r="V275" i="3"/>
  <c r="V340" i="3"/>
  <c r="V396" i="3"/>
  <c r="V197" i="3"/>
  <c r="V240" i="3"/>
  <c r="V323" i="3"/>
  <c r="V566" i="3"/>
  <c r="V310" i="3"/>
  <c r="V460" i="3"/>
  <c r="V486" i="3"/>
  <c r="V263" i="3"/>
  <c r="V268" i="3"/>
  <c r="C652" i="3"/>
  <c r="C567" i="3"/>
  <c r="C469" i="3"/>
  <c r="S469" i="3" s="1"/>
  <c r="C657" i="3"/>
  <c r="C656" i="3"/>
  <c r="C588" i="3"/>
  <c r="C661" i="3"/>
  <c r="F661" i="3" s="1"/>
  <c r="C563" i="3"/>
  <c r="C664" i="3"/>
  <c r="C677" i="3"/>
  <c r="C520" i="3"/>
  <c r="S520" i="3" s="1"/>
  <c r="C683" i="3"/>
  <c r="C579" i="3"/>
  <c r="C461" i="3"/>
  <c r="C688" i="3"/>
  <c r="G688" i="3" s="1"/>
  <c r="C690" i="3"/>
  <c r="C696" i="3"/>
  <c r="C697" i="3"/>
  <c r="C699" i="3"/>
  <c r="D699" i="3" s="1"/>
  <c r="C700" i="3"/>
  <c r="D700" i="3" s="1"/>
  <c r="C707" i="3"/>
  <c r="C709" i="3"/>
  <c r="C712" i="3"/>
  <c r="E712" i="3" s="1"/>
  <c r="C716" i="3"/>
  <c r="C719" i="3"/>
  <c r="C720" i="3"/>
  <c r="C722" i="3"/>
  <c r="K722" i="3" s="1"/>
  <c r="C589" i="3"/>
  <c r="E589" i="3" s="1"/>
  <c r="C727" i="3"/>
  <c r="C320" i="3"/>
  <c r="D320" i="3" s="1"/>
  <c r="C728" i="3"/>
  <c r="J728" i="3" s="1"/>
  <c r="C574" i="3"/>
  <c r="C730" i="3"/>
  <c r="C735" i="3"/>
  <c r="C734" i="3"/>
  <c r="M734" i="3" s="1"/>
  <c r="C746" i="3"/>
  <c r="C497" i="3"/>
  <c r="D497" i="3" s="1"/>
  <c r="C751" i="3"/>
  <c r="C753" i="3"/>
  <c r="N753" i="3" s="1"/>
  <c r="C370" i="3"/>
  <c r="U370" i="3" s="1"/>
  <c r="C761" i="3"/>
  <c r="C771" i="3"/>
  <c r="C769" i="3"/>
  <c r="H769" i="3" s="1"/>
  <c r="C786" i="3"/>
  <c r="C790" i="3"/>
  <c r="C799" i="3"/>
  <c r="C805" i="3"/>
  <c r="K805" i="3" s="1"/>
  <c r="C804" i="3"/>
  <c r="E804" i="3" s="1"/>
  <c r="C809" i="3"/>
  <c r="C824" i="3"/>
  <c r="C825" i="3"/>
  <c r="D825" i="3" s="1"/>
  <c r="C473" i="3"/>
  <c r="C831" i="3"/>
  <c r="F831" i="3" s="1"/>
  <c r="C832" i="3"/>
  <c r="C840" i="3"/>
  <c r="F840" i="3" s="1"/>
  <c r="C844" i="3"/>
  <c r="D844" i="3" s="1"/>
  <c r="C556" i="3"/>
  <c r="C845" i="3"/>
  <c r="C855" i="3"/>
  <c r="V855" i="3" s="1"/>
  <c r="C856" i="3"/>
  <c r="C865" i="3"/>
  <c r="D865" i="3" s="1"/>
  <c r="C867" i="3"/>
  <c r="C587" i="3"/>
  <c r="K587" i="3" s="1"/>
  <c r="C882" i="3"/>
  <c r="E882" i="3" s="1"/>
  <c r="C888" i="3"/>
  <c r="C893" i="3"/>
  <c r="C896" i="3"/>
  <c r="F896" i="3" s="1"/>
  <c r="C897" i="3"/>
  <c r="G897" i="3" s="1"/>
  <c r="C900" i="3"/>
  <c r="E900" i="3" s="1"/>
  <c r="C913" i="3"/>
  <c r="C927" i="3"/>
  <c r="M927" i="3" s="1"/>
  <c r="C933" i="3"/>
  <c r="D933" i="3" s="1"/>
  <c r="C938" i="3"/>
  <c r="C937" i="3"/>
  <c r="C940" i="3"/>
  <c r="E940" i="3" s="1"/>
  <c r="C945" i="3"/>
  <c r="C514" i="3"/>
  <c r="E514" i="3" s="1"/>
  <c r="C952" i="3"/>
  <c r="C590" i="3"/>
  <c r="I590" i="3" s="1"/>
  <c r="C963" i="3"/>
  <c r="D963" i="3" s="1"/>
  <c r="C969" i="3"/>
  <c r="C977" i="3"/>
  <c r="C980" i="3"/>
  <c r="D980" i="3" s="1"/>
  <c r="C986" i="3"/>
  <c r="C992" i="3"/>
  <c r="D992" i="3" s="1"/>
  <c r="C994" i="3"/>
  <c r="C995" i="3"/>
  <c r="I995" i="3" s="1"/>
  <c r="C1017" i="3"/>
  <c r="E1017" i="3" s="1"/>
  <c r="C562" i="3"/>
  <c r="C1020" i="3"/>
  <c r="C1027" i="3"/>
  <c r="H1027" i="3" s="1"/>
  <c r="C1037" i="3"/>
  <c r="C1041" i="3"/>
  <c r="D1041" i="3" s="1"/>
  <c r="C1044" i="3"/>
  <c r="C1046" i="3"/>
  <c r="J1046" i="3" s="1"/>
  <c r="C1049" i="3"/>
  <c r="D1049" i="3" s="1"/>
  <c r="C1050" i="3"/>
  <c r="C1055" i="3"/>
  <c r="C1067" i="3"/>
  <c r="C1069" i="3"/>
  <c r="C585" i="3"/>
  <c r="H585" i="3" s="1"/>
  <c r="C1076" i="3"/>
  <c r="C1077" i="3"/>
  <c r="D1077" i="3" s="1"/>
  <c r="C1085" i="3"/>
  <c r="D1085" i="3" s="1"/>
  <c r="C1086" i="3"/>
  <c r="C1099" i="3"/>
  <c r="C1105" i="3"/>
  <c r="E1105" i="3" s="1"/>
  <c r="C1120" i="3"/>
  <c r="G1120" i="3" s="1"/>
  <c r="C1128" i="3"/>
  <c r="E1128" i="3" s="1"/>
  <c r="C1164" i="3"/>
  <c r="C1180" i="3"/>
  <c r="E1180" i="3" s="1"/>
  <c r="C1197" i="3"/>
  <c r="I1197" i="3" s="1"/>
  <c r="C1229" i="3"/>
  <c r="C1272" i="3"/>
  <c r="C1276" i="3"/>
  <c r="D1276" i="3" s="1"/>
  <c r="C1286" i="3"/>
  <c r="D1254" i="3"/>
  <c r="D1256" i="3"/>
  <c r="D1259" i="3"/>
  <c r="D1263" i="3"/>
  <c r="D1264" i="3"/>
  <c r="D1270" i="3"/>
  <c r="D1275" i="3"/>
  <c r="D1295" i="3"/>
  <c r="D1299" i="3"/>
  <c r="D1305" i="3"/>
  <c r="D1315" i="3"/>
  <c r="D1340" i="3"/>
  <c r="D1345" i="3"/>
  <c r="D1343" i="3"/>
  <c r="D1344" i="3"/>
  <c r="D1352" i="3"/>
  <c r="D652" i="3"/>
  <c r="D657" i="3"/>
  <c r="D656" i="3"/>
  <c r="D588" i="3"/>
  <c r="D563" i="3"/>
  <c r="D664" i="3"/>
  <c r="D683" i="3"/>
  <c r="D579" i="3"/>
  <c r="D461" i="3"/>
  <c r="D690" i="3"/>
  <c r="D696" i="3"/>
  <c r="D707" i="3"/>
  <c r="D709" i="3"/>
  <c r="D716" i="3"/>
  <c r="D719" i="3"/>
  <c r="D727" i="3"/>
  <c r="D574" i="3"/>
  <c r="D730" i="3"/>
  <c r="D746" i="3"/>
  <c r="D751" i="3"/>
  <c r="D761" i="3"/>
  <c r="D786" i="3"/>
  <c r="D790" i="3"/>
  <c r="D799" i="3"/>
  <c r="D809" i="3"/>
  <c r="D473" i="3"/>
  <c r="D831" i="3"/>
  <c r="D832" i="3"/>
  <c r="D556" i="3"/>
  <c r="D855" i="3"/>
  <c r="D856" i="3"/>
  <c r="D867" i="3"/>
  <c r="D888" i="3"/>
  <c r="D913" i="3"/>
  <c r="D938" i="3"/>
  <c r="D940" i="3"/>
  <c r="D945" i="3"/>
  <c r="D514" i="3"/>
  <c r="D952" i="3"/>
  <c r="D969" i="3"/>
  <c r="D986" i="3"/>
  <c r="D994" i="3"/>
  <c r="D1017" i="3"/>
  <c r="D562" i="3"/>
  <c r="D1037" i="3"/>
  <c r="D1044" i="3"/>
  <c r="D1050" i="3"/>
  <c r="D1069" i="3"/>
  <c r="D1076" i="3"/>
  <c r="D1086" i="3"/>
  <c r="D1120" i="3"/>
  <c r="D1164" i="3"/>
  <c r="D1229" i="3"/>
  <c r="D1286" i="3"/>
  <c r="E1254" i="3"/>
  <c r="E1256" i="3"/>
  <c r="E1258" i="3"/>
  <c r="E1259" i="3"/>
  <c r="E1260" i="3"/>
  <c r="E1263" i="3"/>
  <c r="E1270" i="3"/>
  <c r="E1275" i="3"/>
  <c r="E1293" i="3"/>
  <c r="E1295" i="3"/>
  <c r="E1299" i="3"/>
  <c r="E1305" i="3"/>
  <c r="E1315" i="3"/>
  <c r="E1340" i="3"/>
  <c r="E1345" i="3"/>
  <c r="E1343" i="3"/>
  <c r="E1346" i="3"/>
  <c r="E1344" i="3"/>
  <c r="E1352" i="3"/>
  <c r="E652" i="3"/>
  <c r="E657" i="3"/>
  <c r="E656" i="3"/>
  <c r="E588" i="3"/>
  <c r="E661" i="3"/>
  <c r="E563" i="3"/>
  <c r="E664" i="3"/>
  <c r="E683" i="3"/>
  <c r="E579" i="3"/>
  <c r="E461" i="3"/>
  <c r="E690" i="3"/>
  <c r="E696" i="3"/>
  <c r="E700" i="3"/>
  <c r="E707" i="3"/>
  <c r="E709" i="3"/>
  <c r="E716" i="3"/>
  <c r="E719" i="3"/>
  <c r="E727" i="3"/>
  <c r="E320" i="3"/>
  <c r="E574" i="3"/>
  <c r="E730" i="3"/>
  <c r="E746" i="3"/>
  <c r="E497" i="3"/>
  <c r="E751" i="3"/>
  <c r="E370" i="3"/>
  <c r="E761" i="3"/>
  <c r="E786" i="3"/>
  <c r="E790" i="3"/>
  <c r="E799" i="3"/>
  <c r="E809" i="3"/>
  <c r="E825" i="3"/>
  <c r="E473" i="3"/>
  <c r="E831" i="3"/>
  <c r="E832" i="3"/>
  <c r="E844" i="3"/>
  <c r="E556" i="3"/>
  <c r="E856" i="3"/>
  <c r="E865" i="3"/>
  <c r="E867" i="3"/>
  <c r="E888" i="3"/>
  <c r="E897" i="3"/>
  <c r="E913" i="3"/>
  <c r="E933" i="3"/>
  <c r="E938" i="3"/>
  <c r="E945" i="3"/>
  <c r="E952" i="3"/>
  <c r="E963" i="3"/>
  <c r="E969" i="3"/>
  <c r="E986" i="3"/>
  <c r="E992" i="3"/>
  <c r="E994" i="3"/>
  <c r="E562" i="3"/>
  <c r="E1037" i="3"/>
  <c r="E1041" i="3"/>
  <c r="E1044" i="3"/>
  <c r="E1050" i="3"/>
  <c r="E1069" i="3"/>
  <c r="E585" i="3"/>
  <c r="E1076" i="3"/>
  <c r="E1086" i="3"/>
  <c r="E1120" i="3"/>
  <c r="E1164" i="3"/>
  <c r="E1229" i="3"/>
  <c r="E1286" i="3"/>
  <c r="F1254" i="3"/>
  <c r="F1256" i="3"/>
  <c r="F1259" i="3"/>
  <c r="F1260" i="3"/>
  <c r="F1263" i="3"/>
  <c r="F1264" i="3"/>
  <c r="F1270" i="3"/>
  <c r="F1275" i="3"/>
  <c r="F1284" i="3"/>
  <c r="F1293" i="3"/>
  <c r="F1295" i="3"/>
  <c r="F1299" i="3"/>
  <c r="F1301" i="3"/>
  <c r="F1305" i="3"/>
  <c r="F1315" i="3"/>
  <c r="F1340" i="3"/>
  <c r="F1345" i="3"/>
  <c r="F1343" i="3"/>
  <c r="F1344" i="3"/>
  <c r="F1352" i="3"/>
  <c r="F652" i="3"/>
  <c r="F657" i="3"/>
  <c r="F656" i="3"/>
  <c r="F588" i="3"/>
  <c r="F563" i="3"/>
  <c r="F664" i="3"/>
  <c r="F683" i="3"/>
  <c r="F579" i="3"/>
  <c r="F461" i="3"/>
  <c r="F690" i="3"/>
  <c r="F696" i="3"/>
  <c r="F700" i="3"/>
  <c r="F707" i="3"/>
  <c r="F709" i="3"/>
  <c r="F716" i="3"/>
  <c r="F719" i="3"/>
  <c r="F589" i="3"/>
  <c r="F727" i="3"/>
  <c r="F320" i="3"/>
  <c r="F728" i="3"/>
  <c r="F574" i="3"/>
  <c r="F730" i="3"/>
  <c r="F746" i="3"/>
  <c r="F497" i="3"/>
  <c r="F751" i="3"/>
  <c r="F370" i="3"/>
  <c r="F761" i="3"/>
  <c r="F769" i="3"/>
  <c r="F786" i="3"/>
  <c r="F790" i="3"/>
  <c r="F799" i="3"/>
  <c r="F804" i="3"/>
  <c r="F809" i="3"/>
  <c r="F473" i="3"/>
  <c r="F832" i="3"/>
  <c r="F844" i="3"/>
  <c r="F556" i="3"/>
  <c r="F856" i="3"/>
  <c r="F865" i="3"/>
  <c r="F867" i="3"/>
  <c r="F882" i="3"/>
  <c r="F888" i="3"/>
  <c r="F897" i="3"/>
  <c r="F900" i="3"/>
  <c r="F913" i="3"/>
  <c r="F938" i="3"/>
  <c r="F940" i="3"/>
  <c r="F945" i="3"/>
  <c r="F514" i="3"/>
  <c r="F952" i="3"/>
  <c r="F963" i="3"/>
  <c r="F969" i="3"/>
  <c r="F986" i="3"/>
  <c r="F992" i="3"/>
  <c r="F994" i="3"/>
  <c r="F562" i="3"/>
  <c r="F1037" i="3"/>
  <c r="F1044" i="3"/>
  <c r="F1049" i="3"/>
  <c r="F1050" i="3"/>
  <c r="F1069" i="3"/>
  <c r="F1076" i="3"/>
  <c r="F1085" i="3"/>
  <c r="F1086" i="3"/>
  <c r="F1120" i="3"/>
  <c r="F1128" i="3"/>
  <c r="F1164" i="3"/>
  <c r="F1229" i="3"/>
  <c r="F1286" i="3"/>
  <c r="G1254" i="3"/>
  <c r="G1256" i="3"/>
  <c r="G1259" i="3"/>
  <c r="G1260" i="3"/>
  <c r="G1263" i="3"/>
  <c r="G1264" i="3"/>
  <c r="G1270" i="3"/>
  <c r="G1275" i="3"/>
  <c r="G1284" i="3"/>
  <c r="G1293" i="3"/>
  <c r="G1295" i="3"/>
  <c r="G1299" i="3"/>
  <c r="G1301" i="3"/>
  <c r="G1305" i="3"/>
  <c r="G1315" i="3"/>
  <c r="G1340" i="3"/>
  <c r="G1345" i="3"/>
  <c r="G1343" i="3"/>
  <c r="G1344" i="3"/>
  <c r="G1352" i="3"/>
  <c r="G652" i="3"/>
  <c r="G657" i="3"/>
  <c r="G656" i="3"/>
  <c r="G588" i="3"/>
  <c r="G563" i="3"/>
  <c r="G664" i="3"/>
  <c r="G683" i="3"/>
  <c r="G579" i="3"/>
  <c r="G461" i="3"/>
  <c r="G690" i="3"/>
  <c r="G696" i="3"/>
  <c r="G700" i="3"/>
  <c r="G707" i="3"/>
  <c r="G709" i="3"/>
  <c r="G716" i="3"/>
  <c r="G719" i="3"/>
  <c r="G589" i="3"/>
  <c r="G727" i="3"/>
  <c r="G320" i="3"/>
  <c r="G574" i="3"/>
  <c r="G730" i="3"/>
  <c r="G734" i="3"/>
  <c r="G746" i="3"/>
  <c r="G497" i="3"/>
  <c r="G751" i="3"/>
  <c r="G753" i="3"/>
  <c r="G370" i="3"/>
  <c r="G761" i="3"/>
  <c r="G786" i="3"/>
  <c r="G790" i="3"/>
  <c r="G799" i="3"/>
  <c r="G804" i="3"/>
  <c r="G809" i="3"/>
  <c r="G473" i="3"/>
  <c r="G831" i="3"/>
  <c r="G832" i="3"/>
  <c r="G844" i="3"/>
  <c r="G556" i="3"/>
  <c r="G856" i="3"/>
  <c r="G865" i="3"/>
  <c r="G867" i="3"/>
  <c r="G587" i="3"/>
  <c r="G888" i="3"/>
  <c r="G900" i="3"/>
  <c r="G913" i="3"/>
  <c r="G938" i="3"/>
  <c r="G940" i="3"/>
  <c r="G945" i="3"/>
  <c r="G514" i="3"/>
  <c r="G952" i="3"/>
  <c r="G590" i="3"/>
  <c r="G963" i="3"/>
  <c r="G969" i="3"/>
  <c r="G986" i="3"/>
  <c r="G992" i="3"/>
  <c r="G994" i="3"/>
  <c r="G562" i="3"/>
  <c r="G1037" i="3"/>
  <c r="G1041" i="3"/>
  <c r="G1044" i="3"/>
  <c r="G1049" i="3"/>
  <c r="G1050" i="3"/>
  <c r="G1069" i="3"/>
  <c r="G1076" i="3"/>
  <c r="G1086" i="3"/>
  <c r="G1105" i="3"/>
  <c r="G1128" i="3"/>
  <c r="G1164" i="3"/>
  <c r="G1229" i="3"/>
  <c r="G1286" i="3"/>
  <c r="H1254" i="3"/>
  <c r="H1256" i="3"/>
  <c r="H1259" i="3"/>
  <c r="H1260" i="3"/>
  <c r="H1263" i="3"/>
  <c r="H1264" i="3"/>
  <c r="H1270" i="3"/>
  <c r="H1275" i="3"/>
  <c r="H1284" i="3"/>
  <c r="H1293" i="3"/>
  <c r="H1295" i="3"/>
  <c r="H1299" i="3"/>
  <c r="H1301" i="3"/>
  <c r="H1305" i="3"/>
  <c r="H1315" i="3"/>
  <c r="H1340" i="3"/>
  <c r="H1345" i="3"/>
  <c r="H1343" i="3"/>
  <c r="H1344" i="3"/>
  <c r="H1352" i="3"/>
  <c r="H652" i="3"/>
  <c r="H657" i="3"/>
  <c r="H656" i="3"/>
  <c r="H588" i="3"/>
  <c r="H563" i="3"/>
  <c r="H664" i="3"/>
  <c r="H683" i="3"/>
  <c r="H579" i="3"/>
  <c r="H461" i="3"/>
  <c r="H690" i="3"/>
  <c r="H696" i="3"/>
  <c r="H700" i="3"/>
  <c r="H707" i="3"/>
  <c r="H709" i="3"/>
  <c r="H712" i="3"/>
  <c r="H716" i="3"/>
  <c r="H719" i="3"/>
  <c r="H589" i="3"/>
  <c r="H727" i="3"/>
  <c r="H320" i="3"/>
  <c r="H728" i="3"/>
  <c r="H574" i="3"/>
  <c r="H730" i="3"/>
  <c r="H746" i="3"/>
  <c r="H497" i="3"/>
  <c r="H751" i="3"/>
  <c r="H370" i="3"/>
  <c r="H761" i="3"/>
  <c r="H786" i="3"/>
  <c r="H790" i="3"/>
  <c r="H799" i="3"/>
  <c r="H805" i="3"/>
  <c r="H804" i="3"/>
  <c r="H809" i="3"/>
  <c r="H825" i="3"/>
  <c r="H473" i="3"/>
  <c r="H831" i="3"/>
  <c r="H832" i="3"/>
  <c r="H844" i="3"/>
  <c r="H556" i="3"/>
  <c r="H856" i="3"/>
  <c r="H865" i="3"/>
  <c r="H867" i="3"/>
  <c r="H888" i="3"/>
  <c r="H897" i="3"/>
  <c r="H900" i="3"/>
  <c r="H913" i="3"/>
  <c r="H938" i="3"/>
  <c r="H945" i="3"/>
  <c r="H514" i="3"/>
  <c r="H952" i="3"/>
  <c r="H963" i="3"/>
  <c r="H969" i="3"/>
  <c r="H986" i="3"/>
  <c r="H992" i="3"/>
  <c r="H994" i="3"/>
  <c r="H562" i="3"/>
  <c r="H1037" i="3"/>
  <c r="H1041" i="3"/>
  <c r="H1044" i="3"/>
  <c r="H1050" i="3"/>
  <c r="H1069" i="3"/>
  <c r="H1076" i="3"/>
  <c r="H1077" i="3"/>
  <c r="H1086" i="3"/>
  <c r="H1120" i="3"/>
  <c r="H1128" i="3"/>
  <c r="H1164" i="3"/>
  <c r="H1180" i="3"/>
  <c r="H1197" i="3"/>
  <c r="H1229" i="3"/>
  <c r="H1286" i="3"/>
  <c r="I1254" i="3"/>
  <c r="I1256" i="3"/>
  <c r="I1259" i="3"/>
  <c r="I1260" i="3"/>
  <c r="I1263" i="3"/>
  <c r="I1270" i="3"/>
  <c r="I1275" i="3"/>
  <c r="I1293" i="3"/>
  <c r="I1295" i="3"/>
  <c r="I1299" i="3"/>
  <c r="I1305" i="3"/>
  <c r="I1315" i="3"/>
  <c r="I1340" i="3"/>
  <c r="I1345" i="3"/>
  <c r="I1343" i="3"/>
  <c r="I1346" i="3"/>
  <c r="I1344" i="3"/>
  <c r="I1352" i="3"/>
  <c r="I6" i="3"/>
  <c r="I8" i="3"/>
  <c r="I10" i="3"/>
  <c r="I11" i="3"/>
  <c r="I7" i="3"/>
  <c r="I134" i="3"/>
  <c r="I53" i="3"/>
  <c r="I68" i="3"/>
  <c r="I128" i="3"/>
  <c r="I9" i="3"/>
  <c r="I155" i="3"/>
  <c r="I102" i="3"/>
  <c r="I65" i="3"/>
  <c r="I50" i="3"/>
  <c r="I74" i="3"/>
  <c r="I112" i="3"/>
  <c r="I25" i="3"/>
  <c r="I45" i="3"/>
  <c r="I106" i="3"/>
  <c r="I78" i="3"/>
  <c r="I91" i="3"/>
  <c r="I170" i="3"/>
  <c r="I42" i="3"/>
  <c r="I20" i="3"/>
  <c r="I126" i="3"/>
  <c r="I143" i="3"/>
  <c r="I86" i="3"/>
  <c r="I138" i="3"/>
  <c r="I67" i="3"/>
  <c r="I79" i="3"/>
  <c r="I302" i="3"/>
  <c r="I191" i="3"/>
  <c r="I185" i="3"/>
  <c r="I194" i="3"/>
  <c r="I103" i="3"/>
  <c r="I332" i="3"/>
  <c r="I187" i="3"/>
  <c r="I101" i="3"/>
  <c r="I305" i="3"/>
  <c r="I280" i="3"/>
  <c r="I52" i="3"/>
  <c r="I377" i="3"/>
  <c r="I99" i="3"/>
  <c r="I200" i="3"/>
  <c r="I512" i="3"/>
  <c r="I317" i="3"/>
  <c r="I196" i="3"/>
  <c r="I33" i="3"/>
  <c r="I401" i="3"/>
  <c r="I46" i="3"/>
  <c r="I312" i="3"/>
  <c r="I117" i="3"/>
  <c r="I212" i="3"/>
  <c r="I57" i="3"/>
  <c r="I203" i="3"/>
  <c r="I254" i="3"/>
  <c r="I476" i="3"/>
  <c r="I451" i="3"/>
  <c r="I382" i="3"/>
  <c r="I221" i="3"/>
  <c r="I158" i="3"/>
  <c r="I229" i="3"/>
  <c r="I281" i="3"/>
  <c r="I273" i="3"/>
  <c r="I434" i="3"/>
  <c r="I199" i="3"/>
  <c r="I371" i="3"/>
  <c r="I306" i="3"/>
  <c r="I485" i="3"/>
  <c r="I248" i="3"/>
  <c r="I224" i="3"/>
  <c r="I293" i="3"/>
  <c r="I202" i="3"/>
  <c r="I192" i="3"/>
  <c r="I120" i="3"/>
  <c r="I89" i="3"/>
  <c r="I136" i="3"/>
  <c r="I298" i="3"/>
  <c r="I275" i="3"/>
  <c r="I340" i="3"/>
  <c r="I396" i="3"/>
  <c r="I197" i="3"/>
  <c r="I240" i="3"/>
  <c r="I566" i="3"/>
  <c r="I456" i="3"/>
  <c r="I516" i="3"/>
  <c r="I337" i="3"/>
  <c r="I310" i="3"/>
  <c r="I387" i="3"/>
  <c r="I526" i="3"/>
  <c r="I460" i="3"/>
  <c r="I486" i="3"/>
  <c r="I529" i="3"/>
  <c r="I178" i="3"/>
  <c r="I263" i="3"/>
  <c r="I503" i="3"/>
  <c r="I349" i="3"/>
  <c r="I347" i="3"/>
  <c r="I268" i="3"/>
  <c r="I447" i="3"/>
  <c r="I500" i="3"/>
  <c r="I114" i="3"/>
  <c r="I441" i="3"/>
  <c r="I228" i="3"/>
  <c r="I390" i="3"/>
  <c r="I251" i="3"/>
  <c r="I121" i="3"/>
  <c r="I615" i="3"/>
  <c r="I284" i="3"/>
  <c r="I245" i="3"/>
  <c r="I285" i="3"/>
  <c r="I98" i="3"/>
  <c r="I457" i="3"/>
  <c r="I617" i="3"/>
  <c r="I276" i="3"/>
  <c r="I621" i="3"/>
  <c r="I502" i="3"/>
  <c r="I543" i="3"/>
  <c r="I118" i="3"/>
  <c r="I494" i="3"/>
  <c r="I506" i="3"/>
  <c r="I176" i="3"/>
  <c r="I177" i="3"/>
  <c r="I549" i="3"/>
  <c r="I442" i="3"/>
  <c r="I375" i="3"/>
  <c r="I636" i="3"/>
  <c r="I470" i="3"/>
  <c r="I596" i="3"/>
  <c r="I437" i="3"/>
  <c r="I319" i="3"/>
  <c r="I259" i="3"/>
  <c r="I536" i="3"/>
  <c r="I513" i="3"/>
  <c r="I345" i="3"/>
  <c r="I404" i="3"/>
  <c r="I352" i="3"/>
  <c r="I568" i="3"/>
  <c r="I652" i="3"/>
  <c r="I657" i="3"/>
  <c r="I656" i="3"/>
  <c r="I588" i="3"/>
  <c r="I563" i="3"/>
  <c r="I664" i="3"/>
  <c r="I683" i="3"/>
  <c r="I579" i="3"/>
  <c r="I461" i="3"/>
  <c r="I690" i="3"/>
  <c r="I696" i="3"/>
  <c r="I700" i="3"/>
  <c r="I707" i="3"/>
  <c r="I709" i="3"/>
  <c r="I716" i="3"/>
  <c r="I719" i="3"/>
  <c r="I589" i="3"/>
  <c r="I727" i="3"/>
  <c r="I320" i="3"/>
  <c r="I728" i="3"/>
  <c r="I574" i="3"/>
  <c r="I730" i="3"/>
  <c r="I746" i="3"/>
  <c r="I497" i="3"/>
  <c r="I751" i="3"/>
  <c r="I753" i="3"/>
  <c r="I370" i="3"/>
  <c r="I761" i="3"/>
  <c r="I786" i="3"/>
  <c r="I790" i="3"/>
  <c r="I799" i="3"/>
  <c r="I804" i="3"/>
  <c r="I809" i="3"/>
  <c r="I473" i="3"/>
  <c r="I831" i="3"/>
  <c r="I832" i="3"/>
  <c r="I840" i="3"/>
  <c r="I844" i="3"/>
  <c r="I556" i="3"/>
  <c r="I855" i="3"/>
  <c r="I856" i="3"/>
  <c r="I865" i="3"/>
  <c r="I867" i="3"/>
  <c r="I587" i="3"/>
  <c r="I882" i="3"/>
  <c r="I888" i="3"/>
  <c r="I897" i="3"/>
  <c r="I900" i="3"/>
  <c r="I913" i="3"/>
  <c r="I933" i="3"/>
  <c r="I938" i="3"/>
  <c r="I945" i="3"/>
  <c r="I514" i="3"/>
  <c r="I952" i="3"/>
  <c r="I969" i="3"/>
  <c r="I986" i="3"/>
  <c r="I992" i="3"/>
  <c r="I994" i="3"/>
  <c r="I562" i="3"/>
  <c r="I1037" i="3"/>
  <c r="I1041" i="3"/>
  <c r="I1044" i="3"/>
  <c r="I1046" i="3"/>
  <c r="I1050" i="3"/>
  <c r="I1069" i="3"/>
  <c r="I585" i="3"/>
  <c r="I1076" i="3"/>
  <c r="I1085" i="3"/>
  <c r="I1086" i="3"/>
  <c r="I1120" i="3"/>
  <c r="I1128" i="3"/>
  <c r="I1164" i="3"/>
  <c r="I1180" i="3"/>
  <c r="I1229" i="3"/>
  <c r="I1286" i="3"/>
  <c r="J1254" i="3"/>
  <c r="J1256" i="3"/>
  <c r="J1259" i="3"/>
  <c r="J1260" i="3"/>
  <c r="J1263" i="3"/>
  <c r="J1264" i="3"/>
  <c r="J1270" i="3"/>
  <c r="J1275" i="3"/>
  <c r="J1293" i="3"/>
  <c r="J1295" i="3"/>
  <c r="J1299" i="3"/>
  <c r="J1305" i="3"/>
  <c r="J1315" i="3"/>
  <c r="J1340" i="3"/>
  <c r="J1345" i="3"/>
  <c r="J1343" i="3"/>
  <c r="J1346" i="3"/>
  <c r="J1344" i="3"/>
  <c r="J1352" i="3"/>
  <c r="J6" i="3"/>
  <c r="J8" i="3"/>
  <c r="J10" i="3"/>
  <c r="J11" i="3"/>
  <c r="J7" i="3"/>
  <c r="J134" i="3"/>
  <c r="J53" i="3"/>
  <c r="J68" i="3"/>
  <c r="J128" i="3"/>
  <c r="J9" i="3"/>
  <c r="J155" i="3"/>
  <c r="J102" i="3"/>
  <c r="J65" i="3"/>
  <c r="J50" i="3"/>
  <c r="J74" i="3"/>
  <c r="J112" i="3"/>
  <c r="J25" i="3"/>
  <c r="J45" i="3"/>
  <c r="J106" i="3"/>
  <c r="J78" i="3"/>
  <c r="J91" i="3"/>
  <c r="J170" i="3"/>
  <c r="J42" i="3"/>
  <c r="J20" i="3"/>
  <c r="J126" i="3"/>
  <c r="J143" i="3"/>
  <c r="J86" i="3"/>
  <c r="J138" i="3"/>
  <c r="J67" i="3"/>
  <c r="J79" i="3"/>
  <c r="J302" i="3"/>
  <c r="J191" i="3"/>
  <c r="J185" i="3"/>
  <c r="J194" i="3"/>
  <c r="J103" i="3"/>
  <c r="J332" i="3"/>
  <c r="J187" i="3"/>
  <c r="J101" i="3"/>
  <c r="J305" i="3"/>
  <c r="J280" i="3"/>
  <c r="J52" i="3"/>
  <c r="J377" i="3"/>
  <c r="J99" i="3"/>
  <c r="J200" i="3"/>
  <c r="J512" i="3"/>
  <c r="J317" i="3"/>
  <c r="J196" i="3"/>
  <c r="J33" i="3"/>
  <c r="J401" i="3"/>
  <c r="J46" i="3"/>
  <c r="J312" i="3"/>
  <c r="J117" i="3"/>
  <c r="J212" i="3"/>
  <c r="J57" i="3"/>
  <c r="J203" i="3"/>
  <c r="J254" i="3"/>
  <c r="J476" i="3"/>
  <c r="J451" i="3"/>
  <c r="J382" i="3"/>
  <c r="J221" i="3"/>
  <c r="J158" i="3"/>
  <c r="J229" i="3"/>
  <c r="J281" i="3"/>
  <c r="J273" i="3"/>
  <c r="J434" i="3"/>
  <c r="J199" i="3"/>
  <c r="J371" i="3"/>
  <c r="J306" i="3"/>
  <c r="J485" i="3"/>
  <c r="J248" i="3"/>
  <c r="J224" i="3"/>
  <c r="J293" i="3"/>
  <c r="J202" i="3"/>
  <c r="J192" i="3"/>
  <c r="J120" i="3"/>
  <c r="J89" i="3"/>
  <c r="J136" i="3"/>
  <c r="J298" i="3"/>
  <c r="J275" i="3"/>
  <c r="J340" i="3"/>
  <c r="J396" i="3"/>
  <c r="J197" i="3"/>
  <c r="J240" i="3"/>
  <c r="J566" i="3"/>
  <c r="J456" i="3"/>
  <c r="J516" i="3"/>
  <c r="J337" i="3"/>
  <c r="J310" i="3"/>
  <c r="J387" i="3"/>
  <c r="J526" i="3"/>
  <c r="J460" i="3"/>
  <c r="J486" i="3"/>
  <c r="J529" i="3"/>
  <c r="J178" i="3"/>
  <c r="J263" i="3"/>
  <c r="J503" i="3"/>
  <c r="J349" i="3"/>
  <c r="J347" i="3"/>
  <c r="J268" i="3"/>
  <c r="J447" i="3"/>
  <c r="J500" i="3"/>
  <c r="J114" i="3"/>
  <c r="J441" i="3"/>
  <c r="J228" i="3"/>
  <c r="J390" i="3"/>
  <c r="J251" i="3"/>
  <c r="J121" i="3"/>
  <c r="J615" i="3"/>
  <c r="J284" i="3"/>
  <c r="J245" i="3"/>
  <c r="J285" i="3"/>
  <c r="J98" i="3"/>
  <c r="J457" i="3"/>
  <c r="J617" i="3"/>
  <c r="J276" i="3"/>
  <c r="J621" i="3"/>
  <c r="J502" i="3"/>
  <c r="J543" i="3"/>
  <c r="J118" i="3"/>
  <c r="J494" i="3"/>
  <c r="J506" i="3"/>
  <c r="J176" i="3"/>
  <c r="J177" i="3"/>
  <c r="J549" i="3"/>
  <c r="J442" i="3"/>
  <c r="J375" i="3"/>
  <c r="J636" i="3"/>
  <c r="J470" i="3"/>
  <c r="J530" i="3"/>
  <c r="J596" i="3"/>
  <c r="J437" i="3"/>
  <c r="J319" i="3"/>
  <c r="J259" i="3"/>
  <c r="J639" i="3"/>
  <c r="J536" i="3"/>
  <c r="J534" i="3"/>
  <c r="J345" i="3"/>
  <c r="J404" i="3"/>
  <c r="J352" i="3"/>
  <c r="J568" i="3"/>
  <c r="J448" i="3"/>
  <c r="J649" i="3"/>
  <c r="J652" i="3"/>
  <c r="J469" i="3"/>
  <c r="J657" i="3"/>
  <c r="J656" i="3"/>
  <c r="J588" i="3"/>
  <c r="J661" i="3"/>
  <c r="J563" i="3"/>
  <c r="J664" i="3"/>
  <c r="J683" i="3"/>
  <c r="J579" i="3"/>
  <c r="J461" i="3"/>
  <c r="J690" i="3"/>
  <c r="J696" i="3"/>
  <c r="J700" i="3"/>
  <c r="J707" i="3"/>
  <c r="J709" i="3"/>
  <c r="J716" i="3"/>
  <c r="J719" i="3"/>
  <c r="J589" i="3"/>
  <c r="J727" i="3"/>
  <c r="J320" i="3"/>
  <c r="J574" i="3"/>
  <c r="J730" i="3"/>
  <c r="J746" i="3"/>
  <c r="J497" i="3"/>
  <c r="J751" i="3"/>
  <c r="J753" i="3"/>
  <c r="J370" i="3"/>
  <c r="J761" i="3"/>
  <c r="J786" i="3"/>
  <c r="J790" i="3"/>
  <c r="J799" i="3"/>
  <c r="J805" i="3"/>
  <c r="J804" i="3"/>
  <c r="J809" i="3"/>
  <c r="J473" i="3"/>
  <c r="J831" i="3"/>
  <c r="J832" i="3"/>
  <c r="J844" i="3"/>
  <c r="J556" i="3"/>
  <c r="J856" i="3"/>
  <c r="J865" i="3"/>
  <c r="J867" i="3"/>
  <c r="J587" i="3"/>
  <c r="J882" i="3"/>
  <c r="J888" i="3"/>
  <c r="J896" i="3"/>
  <c r="J897" i="3"/>
  <c r="J900" i="3"/>
  <c r="J913" i="3"/>
  <c r="J927" i="3"/>
  <c r="J933" i="3"/>
  <c r="J938" i="3"/>
  <c r="J945" i="3"/>
  <c r="J514" i="3"/>
  <c r="J952" i="3"/>
  <c r="J963" i="3"/>
  <c r="J969" i="3"/>
  <c r="J986" i="3"/>
  <c r="J992" i="3"/>
  <c r="J994" i="3"/>
  <c r="J562" i="3"/>
  <c r="J1037" i="3"/>
  <c r="J1041" i="3"/>
  <c r="J1044" i="3"/>
  <c r="J1050" i="3"/>
  <c r="J1069" i="3"/>
  <c r="J585" i="3"/>
  <c r="J1076" i="3"/>
  <c r="J1077" i="3"/>
  <c r="J1086" i="3"/>
  <c r="J1120" i="3"/>
  <c r="J1128" i="3"/>
  <c r="J1164" i="3"/>
  <c r="J1180" i="3"/>
  <c r="J1197" i="3"/>
  <c r="J1229" i="3"/>
  <c r="J1286" i="3"/>
  <c r="K1254" i="3"/>
  <c r="K1256" i="3"/>
  <c r="K1259" i="3"/>
  <c r="K1260" i="3"/>
  <c r="K1263" i="3"/>
  <c r="K1270" i="3"/>
  <c r="K1275" i="3"/>
  <c r="K1293" i="3"/>
  <c r="K1295" i="3"/>
  <c r="K1299" i="3"/>
  <c r="K1305" i="3"/>
  <c r="K1315" i="3"/>
  <c r="K1340" i="3"/>
  <c r="K1345" i="3"/>
  <c r="K1343" i="3"/>
  <c r="K1346" i="3"/>
  <c r="K1344" i="3"/>
  <c r="K1352" i="3"/>
  <c r="K6" i="3"/>
  <c r="K8" i="3"/>
  <c r="K10" i="3"/>
  <c r="K11" i="3"/>
  <c r="K7" i="3"/>
  <c r="K134" i="3"/>
  <c r="K53" i="3"/>
  <c r="K68" i="3"/>
  <c r="K128" i="3"/>
  <c r="K9" i="3"/>
  <c r="K155" i="3"/>
  <c r="K102" i="3"/>
  <c r="K65" i="3"/>
  <c r="K50" i="3"/>
  <c r="K74" i="3"/>
  <c r="K112" i="3"/>
  <c r="K25" i="3"/>
  <c r="K45" i="3"/>
  <c r="K106" i="3"/>
  <c r="K78" i="3"/>
  <c r="K91" i="3"/>
  <c r="K170" i="3"/>
  <c r="K42" i="3"/>
  <c r="K20" i="3"/>
  <c r="K126" i="3"/>
  <c r="K143" i="3"/>
  <c r="K86" i="3"/>
  <c r="K138" i="3"/>
  <c r="K67" i="3"/>
  <c r="K79" i="3"/>
  <c r="K302" i="3"/>
  <c r="K191" i="3"/>
  <c r="K185" i="3"/>
  <c r="K194" i="3"/>
  <c r="K103" i="3"/>
  <c r="K332" i="3"/>
  <c r="K187" i="3"/>
  <c r="K101" i="3"/>
  <c r="K305" i="3"/>
  <c r="K280" i="3"/>
  <c r="K52" i="3"/>
  <c r="K377" i="3"/>
  <c r="K99" i="3"/>
  <c r="K200" i="3"/>
  <c r="K512" i="3"/>
  <c r="K317" i="3"/>
  <c r="K196" i="3"/>
  <c r="K33" i="3"/>
  <c r="K401" i="3"/>
  <c r="K46" i="3"/>
  <c r="K312" i="3"/>
  <c r="K117" i="3"/>
  <c r="K212" i="3"/>
  <c r="K57" i="3"/>
  <c r="K203" i="3"/>
  <c r="K254" i="3"/>
  <c r="K476" i="3"/>
  <c r="K451" i="3"/>
  <c r="K382" i="3"/>
  <c r="K221" i="3"/>
  <c r="K158" i="3"/>
  <c r="K229" i="3"/>
  <c r="K281" i="3"/>
  <c r="K273" i="3"/>
  <c r="K434" i="3"/>
  <c r="K199" i="3"/>
  <c r="K371" i="3"/>
  <c r="K306" i="3"/>
  <c r="K485" i="3"/>
  <c r="K248" i="3"/>
  <c r="K224" i="3"/>
  <c r="K293" i="3"/>
  <c r="K202" i="3"/>
  <c r="K192" i="3"/>
  <c r="K120" i="3"/>
  <c r="K89" i="3"/>
  <c r="K136" i="3"/>
  <c r="K298" i="3"/>
  <c r="K275" i="3"/>
  <c r="K340" i="3"/>
  <c r="K396" i="3"/>
  <c r="K197" i="3"/>
  <c r="K240" i="3"/>
  <c r="K566" i="3"/>
  <c r="K456" i="3"/>
  <c r="K516" i="3"/>
  <c r="K337" i="3"/>
  <c r="K310" i="3"/>
  <c r="K387" i="3"/>
  <c r="K526" i="3"/>
  <c r="K460" i="3"/>
  <c r="K486" i="3"/>
  <c r="K529" i="3"/>
  <c r="K178" i="3"/>
  <c r="K263" i="3"/>
  <c r="K503" i="3"/>
  <c r="K349" i="3"/>
  <c r="K347" i="3"/>
  <c r="K268" i="3"/>
  <c r="K447" i="3"/>
  <c r="K500" i="3"/>
  <c r="K114" i="3"/>
  <c r="K441" i="3"/>
  <c r="K228" i="3"/>
  <c r="K390" i="3"/>
  <c r="K251" i="3"/>
  <c r="K121" i="3"/>
  <c r="K615" i="3"/>
  <c r="K284" i="3"/>
  <c r="K245" i="3"/>
  <c r="K285" i="3"/>
  <c r="K98" i="3"/>
  <c r="K457" i="3"/>
  <c r="K617" i="3"/>
  <c r="K276" i="3"/>
  <c r="K621" i="3"/>
  <c r="K502" i="3"/>
  <c r="K543" i="3"/>
  <c r="K118" i="3"/>
  <c r="K494" i="3"/>
  <c r="K506" i="3"/>
  <c r="K176" i="3"/>
  <c r="K177" i="3"/>
  <c r="K549" i="3"/>
  <c r="K442" i="3"/>
  <c r="K375" i="3"/>
  <c r="K636" i="3"/>
  <c r="K470" i="3"/>
  <c r="K530" i="3"/>
  <c r="K596" i="3"/>
  <c r="K437" i="3"/>
  <c r="K638" i="3"/>
  <c r="K319" i="3"/>
  <c r="K259" i="3"/>
  <c r="K639" i="3"/>
  <c r="K536" i="3"/>
  <c r="K534" i="3"/>
  <c r="K513" i="3"/>
  <c r="K345" i="3"/>
  <c r="K644" i="3"/>
  <c r="K352" i="3"/>
  <c r="K448" i="3"/>
  <c r="K649" i="3"/>
  <c r="K652" i="3"/>
  <c r="K657" i="3"/>
  <c r="K656" i="3"/>
  <c r="K588" i="3"/>
  <c r="K661" i="3"/>
  <c r="K563" i="3"/>
  <c r="K664" i="3"/>
  <c r="K683" i="3"/>
  <c r="K579" i="3"/>
  <c r="K461" i="3"/>
  <c r="K688" i="3"/>
  <c r="K690" i="3"/>
  <c r="K696" i="3"/>
  <c r="K700" i="3"/>
  <c r="K707" i="3"/>
  <c r="K709" i="3"/>
  <c r="K716" i="3"/>
  <c r="K719" i="3"/>
  <c r="K589" i="3"/>
  <c r="K727" i="3"/>
  <c r="K320" i="3"/>
  <c r="K728" i="3"/>
  <c r="K574" i="3"/>
  <c r="K730" i="3"/>
  <c r="K734" i="3"/>
  <c r="K746" i="3"/>
  <c r="K497" i="3"/>
  <c r="K751" i="3"/>
  <c r="K753" i="3"/>
  <c r="K370" i="3"/>
  <c r="K761" i="3"/>
  <c r="K786" i="3"/>
  <c r="K790" i="3"/>
  <c r="K799" i="3"/>
  <c r="K804" i="3"/>
  <c r="K809" i="3"/>
  <c r="K473" i="3"/>
  <c r="K831" i="3"/>
  <c r="K832" i="3"/>
  <c r="K844" i="3"/>
  <c r="K556" i="3"/>
  <c r="K856" i="3"/>
  <c r="K865" i="3"/>
  <c r="K867" i="3"/>
  <c r="K882" i="3"/>
  <c r="K888" i="3"/>
  <c r="K897" i="3"/>
  <c r="K900" i="3"/>
  <c r="K913" i="3"/>
  <c r="K927" i="3"/>
  <c r="K933" i="3"/>
  <c r="K938" i="3"/>
  <c r="K945" i="3"/>
  <c r="K514" i="3"/>
  <c r="K952" i="3"/>
  <c r="K590" i="3"/>
  <c r="K963" i="3"/>
  <c r="K969" i="3"/>
  <c r="K986" i="3"/>
  <c r="K992" i="3"/>
  <c r="K994" i="3"/>
  <c r="K1017" i="3"/>
  <c r="K562" i="3"/>
  <c r="K1037" i="3"/>
  <c r="K1041" i="3"/>
  <c r="K1044" i="3"/>
  <c r="K1046" i="3"/>
  <c r="K1049" i="3"/>
  <c r="K1050" i="3"/>
  <c r="K1067" i="3"/>
  <c r="K1069" i="3"/>
  <c r="K585" i="3"/>
  <c r="K1076" i="3"/>
  <c r="K1077" i="3"/>
  <c r="K1085" i="3"/>
  <c r="K1086" i="3"/>
  <c r="K1120" i="3"/>
  <c r="K1128" i="3"/>
  <c r="K1164" i="3"/>
  <c r="K1197" i="3"/>
  <c r="K1229" i="3"/>
  <c r="K1286" i="3"/>
  <c r="L1254" i="3"/>
  <c r="L1256" i="3"/>
  <c r="L1259" i="3"/>
  <c r="L1260" i="3"/>
  <c r="L1263" i="3"/>
  <c r="L1264" i="3"/>
  <c r="L1270" i="3"/>
  <c r="L1275" i="3"/>
  <c r="L1293" i="3"/>
  <c r="L1295" i="3"/>
  <c r="L1299" i="3"/>
  <c r="L1301" i="3"/>
  <c r="L1305" i="3"/>
  <c r="L1315" i="3"/>
  <c r="L1329" i="3"/>
  <c r="L1340" i="3"/>
  <c r="L1345" i="3"/>
  <c r="L1343" i="3"/>
  <c r="L1346" i="3"/>
  <c r="L1344" i="3"/>
  <c r="L1352" i="3"/>
  <c r="L6" i="3"/>
  <c r="L8" i="3"/>
  <c r="L10" i="3"/>
  <c r="L11" i="3"/>
  <c r="L7" i="3"/>
  <c r="L134" i="3"/>
  <c r="L53" i="3"/>
  <c r="L68" i="3"/>
  <c r="L128" i="3"/>
  <c r="L9" i="3"/>
  <c r="L155" i="3"/>
  <c r="L102" i="3"/>
  <c r="L65" i="3"/>
  <c r="L50" i="3"/>
  <c r="L74" i="3"/>
  <c r="L112" i="3"/>
  <c r="L25" i="3"/>
  <c r="L45" i="3"/>
  <c r="L106" i="3"/>
  <c r="L78" i="3"/>
  <c r="L91" i="3"/>
  <c r="L170" i="3"/>
  <c r="L42" i="3"/>
  <c r="L20" i="3"/>
  <c r="L126" i="3"/>
  <c r="L143" i="3"/>
  <c r="L86" i="3"/>
  <c r="L138" i="3"/>
  <c r="L67" i="3"/>
  <c r="L79" i="3"/>
  <c r="L302" i="3"/>
  <c r="L191" i="3"/>
  <c r="L185" i="3"/>
  <c r="L194" i="3"/>
  <c r="L103" i="3"/>
  <c r="L332" i="3"/>
  <c r="L187" i="3"/>
  <c r="L101" i="3"/>
  <c r="L305" i="3"/>
  <c r="L280" i="3"/>
  <c r="L52" i="3"/>
  <c r="L377" i="3"/>
  <c r="L99" i="3"/>
  <c r="L200" i="3"/>
  <c r="L512" i="3"/>
  <c r="L317" i="3"/>
  <c r="L196" i="3"/>
  <c r="L33" i="3"/>
  <c r="L401" i="3"/>
  <c r="L46" i="3"/>
  <c r="L312" i="3"/>
  <c r="L117" i="3"/>
  <c r="L212" i="3"/>
  <c r="L57" i="3"/>
  <c r="L203" i="3"/>
  <c r="L254" i="3"/>
  <c r="L476" i="3"/>
  <c r="L451" i="3"/>
  <c r="L382" i="3"/>
  <c r="L221" i="3"/>
  <c r="L158" i="3"/>
  <c r="L229" i="3"/>
  <c r="L281" i="3"/>
  <c r="L273" i="3"/>
  <c r="L434" i="3"/>
  <c r="L199" i="3"/>
  <c r="L371" i="3"/>
  <c r="L306" i="3"/>
  <c r="L485" i="3"/>
  <c r="L248" i="3"/>
  <c r="L224" i="3"/>
  <c r="L293" i="3"/>
  <c r="L202" i="3"/>
  <c r="L192" i="3"/>
  <c r="L120" i="3"/>
  <c r="L89" i="3"/>
  <c r="L136" i="3"/>
  <c r="L298" i="3"/>
  <c r="L275" i="3"/>
  <c r="L340" i="3"/>
  <c r="L396" i="3"/>
  <c r="L197" i="3"/>
  <c r="L240" i="3"/>
  <c r="L566" i="3"/>
  <c r="L456" i="3"/>
  <c r="L516" i="3"/>
  <c r="L337" i="3"/>
  <c r="L310" i="3"/>
  <c r="L387" i="3"/>
  <c r="L526" i="3"/>
  <c r="L460" i="3"/>
  <c r="L486" i="3"/>
  <c r="L529" i="3"/>
  <c r="L178" i="3"/>
  <c r="L263" i="3"/>
  <c r="L503" i="3"/>
  <c r="L349" i="3"/>
  <c r="L347" i="3"/>
  <c r="L268" i="3"/>
  <c r="L447" i="3"/>
  <c r="L500" i="3"/>
  <c r="L114" i="3"/>
  <c r="L441" i="3"/>
  <c r="L228" i="3"/>
  <c r="L390" i="3"/>
  <c r="L251" i="3"/>
  <c r="L121" i="3"/>
  <c r="L615" i="3"/>
  <c r="L284" i="3"/>
  <c r="L245" i="3"/>
  <c r="L285" i="3"/>
  <c r="L98" i="3"/>
  <c r="L457" i="3"/>
  <c r="L617" i="3"/>
  <c r="L276" i="3"/>
  <c r="L621" i="3"/>
  <c r="L502" i="3"/>
  <c r="L543" i="3"/>
  <c r="L118" i="3"/>
  <c r="L494" i="3"/>
  <c r="L506" i="3"/>
  <c r="L176" i="3"/>
  <c r="L177" i="3"/>
  <c r="L549" i="3"/>
  <c r="L442" i="3"/>
  <c r="L375" i="3"/>
  <c r="L636" i="3"/>
  <c r="L470" i="3"/>
  <c r="L530" i="3"/>
  <c r="L596" i="3"/>
  <c r="L437" i="3"/>
  <c r="L638" i="3"/>
  <c r="L319" i="3"/>
  <c r="L259" i="3"/>
  <c r="L639" i="3"/>
  <c r="L536" i="3"/>
  <c r="L534" i="3"/>
  <c r="L513" i="3"/>
  <c r="L345" i="3"/>
  <c r="L404" i="3"/>
  <c r="L644" i="3"/>
  <c r="L568" i="3"/>
  <c r="L448" i="3"/>
  <c r="L652" i="3"/>
  <c r="L469" i="3"/>
  <c r="L657" i="3"/>
  <c r="L656" i="3"/>
  <c r="L588" i="3"/>
  <c r="L661" i="3"/>
  <c r="L563" i="3"/>
  <c r="L664" i="3"/>
  <c r="L683" i="3"/>
  <c r="L579" i="3"/>
  <c r="L461" i="3"/>
  <c r="L690" i="3"/>
  <c r="L696" i="3"/>
  <c r="L700" i="3"/>
  <c r="L707" i="3"/>
  <c r="L709" i="3"/>
  <c r="L716" i="3"/>
  <c r="L719" i="3"/>
  <c r="L589" i="3"/>
  <c r="L727" i="3"/>
  <c r="L320" i="3"/>
  <c r="L574" i="3"/>
  <c r="L730" i="3"/>
  <c r="L746" i="3"/>
  <c r="L497" i="3"/>
  <c r="L751" i="3"/>
  <c r="L753" i="3"/>
  <c r="L370" i="3"/>
  <c r="L761" i="3"/>
  <c r="L786" i="3"/>
  <c r="L790" i="3"/>
  <c r="L799" i="3"/>
  <c r="L805" i="3"/>
  <c r="L804" i="3"/>
  <c r="L809" i="3"/>
  <c r="L473" i="3"/>
  <c r="L831" i="3"/>
  <c r="L832" i="3"/>
  <c r="L844" i="3"/>
  <c r="L556" i="3"/>
  <c r="L856" i="3"/>
  <c r="L865" i="3"/>
  <c r="L867" i="3"/>
  <c r="L587" i="3"/>
  <c r="L882" i="3"/>
  <c r="L888" i="3"/>
  <c r="L896" i="3"/>
  <c r="L897" i="3"/>
  <c r="L900" i="3"/>
  <c r="L913" i="3"/>
  <c r="L927" i="3"/>
  <c r="L933" i="3"/>
  <c r="L938" i="3"/>
  <c r="L945" i="3"/>
  <c r="L514" i="3"/>
  <c r="L952" i="3"/>
  <c r="L963" i="3"/>
  <c r="L969" i="3"/>
  <c r="L986" i="3"/>
  <c r="L992" i="3"/>
  <c r="L994" i="3"/>
  <c r="L562" i="3"/>
  <c r="L1037" i="3"/>
  <c r="L1041" i="3"/>
  <c r="L1044" i="3"/>
  <c r="L1049" i="3"/>
  <c r="L1050" i="3"/>
  <c r="L1069" i="3"/>
  <c r="L585" i="3"/>
  <c r="L1076" i="3"/>
  <c r="L1077" i="3"/>
  <c r="L1085" i="3"/>
  <c r="L1086" i="3"/>
  <c r="L1120" i="3"/>
  <c r="L1128" i="3"/>
  <c r="L1164" i="3"/>
  <c r="L1180" i="3"/>
  <c r="L1197" i="3"/>
  <c r="L1229" i="3"/>
  <c r="L1286" i="3"/>
  <c r="M1254" i="3"/>
  <c r="M1256" i="3"/>
  <c r="M1259" i="3"/>
  <c r="M1260" i="3"/>
  <c r="M1263" i="3"/>
  <c r="M1264" i="3"/>
  <c r="M1270" i="3"/>
  <c r="M1275" i="3"/>
  <c r="M1293" i="3"/>
  <c r="M1295" i="3"/>
  <c r="M1299" i="3"/>
  <c r="M1301" i="3"/>
  <c r="M1305" i="3"/>
  <c r="M1315" i="3"/>
  <c r="M1340" i="3"/>
  <c r="M1345" i="3"/>
  <c r="M1343" i="3"/>
  <c r="M1346" i="3"/>
  <c r="M1344" i="3"/>
  <c r="M1352" i="3"/>
  <c r="M6" i="3"/>
  <c r="M8" i="3"/>
  <c r="M10" i="3"/>
  <c r="M11" i="3"/>
  <c r="M7" i="3"/>
  <c r="M134" i="3"/>
  <c r="M53" i="3"/>
  <c r="M68" i="3"/>
  <c r="M128" i="3"/>
  <c r="M9" i="3"/>
  <c r="M155" i="3"/>
  <c r="M102" i="3"/>
  <c r="M65" i="3"/>
  <c r="M50" i="3"/>
  <c r="M74" i="3"/>
  <c r="M112" i="3"/>
  <c r="M25" i="3"/>
  <c r="M45" i="3"/>
  <c r="M106" i="3"/>
  <c r="M78" i="3"/>
  <c r="M91" i="3"/>
  <c r="M170" i="3"/>
  <c r="M42" i="3"/>
  <c r="M20" i="3"/>
  <c r="M126" i="3"/>
  <c r="M143" i="3"/>
  <c r="M86" i="3"/>
  <c r="M138" i="3"/>
  <c r="M67" i="3"/>
  <c r="M79" i="3"/>
  <c r="M302" i="3"/>
  <c r="M191" i="3"/>
  <c r="M185" i="3"/>
  <c r="M194" i="3"/>
  <c r="M103" i="3"/>
  <c r="M332" i="3"/>
  <c r="M187" i="3"/>
  <c r="M101" i="3"/>
  <c r="M305" i="3"/>
  <c r="M280" i="3"/>
  <c r="M52" i="3"/>
  <c r="M377" i="3"/>
  <c r="M99" i="3"/>
  <c r="M200" i="3"/>
  <c r="M512" i="3"/>
  <c r="M317" i="3"/>
  <c r="M196" i="3"/>
  <c r="M33" i="3"/>
  <c r="M401" i="3"/>
  <c r="M46" i="3"/>
  <c r="M312" i="3"/>
  <c r="M117" i="3"/>
  <c r="M212" i="3"/>
  <c r="M57" i="3"/>
  <c r="M203" i="3"/>
  <c r="M254" i="3"/>
  <c r="M476" i="3"/>
  <c r="M451" i="3"/>
  <c r="M382" i="3"/>
  <c r="M221" i="3"/>
  <c r="M158" i="3"/>
  <c r="M229" i="3"/>
  <c r="M281" i="3"/>
  <c r="M273" i="3"/>
  <c r="M434" i="3"/>
  <c r="M199" i="3"/>
  <c r="M371" i="3"/>
  <c r="M306" i="3"/>
  <c r="M485" i="3"/>
  <c r="M248" i="3"/>
  <c r="M224" i="3"/>
  <c r="M293" i="3"/>
  <c r="M202" i="3"/>
  <c r="M192" i="3"/>
  <c r="M120" i="3"/>
  <c r="M89" i="3"/>
  <c r="M136" i="3"/>
  <c r="M298" i="3"/>
  <c r="M275" i="3"/>
  <c r="M340" i="3"/>
  <c r="M396" i="3"/>
  <c r="M197" i="3"/>
  <c r="M240" i="3"/>
  <c r="M566" i="3"/>
  <c r="M456" i="3"/>
  <c r="M516" i="3"/>
  <c r="M337" i="3"/>
  <c r="M310" i="3"/>
  <c r="M387" i="3"/>
  <c r="M526" i="3"/>
  <c r="M460" i="3"/>
  <c r="M486" i="3"/>
  <c r="M529" i="3"/>
  <c r="M178" i="3"/>
  <c r="M263" i="3"/>
  <c r="M503" i="3"/>
  <c r="M349" i="3"/>
  <c r="M347" i="3"/>
  <c r="M268" i="3"/>
  <c r="M447" i="3"/>
  <c r="M500" i="3"/>
  <c r="M114" i="3"/>
  <c r="M441" i="3"/>
  <c r="M228" i="3"/>
  <c r="M390" i="3"/>
  <c r="M251" i="3"/>
  <c r="M121" i="3"/>
  <c r="M615" i="3"/>
  <c r="M284" i="3"/>
  <c r="M245" i="3"/>
  <c r="M285" i="3"/>
  <c r="M98" i="3"/>
  <c r="M457" i="3"/>
  <c r="M617" i="3"/>
  <c r="M276" i="3"/>
  <c r="M621" i="3"/>
  <c r="M502" i="3"/>
  <c r="M543" i="3"/>
  <c r="M118" i="3"/>
  <c r="M494" i="3"/>
  <c r="M506" i="3"/>
  <c r="M176" i="3"/>
  <c r="M177" i="3"/>
  <c r="M549" i="3"/>
  <c r="M442" i="3"/>
  <c r="M375" i="3"/>
  <c r="M636" i="3"/>
  <c r="M470" i="3"/>
  <c r="M530" i="3"/>
  <c r="M596" i="3"/>
  <c r="M437" i="3"/>
  <c r="M638" i="3"/>
  <c r="M319" i="3"/>
  <c r="M259" i="3"/>
  <c r="M639" i="3"/>
  <c r="M536" i="3"/>
  <c r="M534" i="3"/>
  <c r="M513" i="3"/>
  <c r="M345" i="3"/>
  <c r="M404" i="3"/>
  <c r="M644" i="3"/>
  <c r="M352" i="3"/>
  <c r="M568" i="3"/>
  <c r="M649" i="3"/>
  <c r="M652" i="3"/>
  <c r="M657" i="3"/>
  <c r="M656" i="3"/>
  <c r="M588" i="3"/>
  <c r="M661" i="3"/>
  <c r="M563" i="3"/>
  <c r="M664" i="3"/>
  <c r="M683" i="3"/>
  <c r="M579" i="3"/>
  <c r="M461" i="3"/>
  <c r="M688" i="3"/>
  <c r="M690" i="3"/>
  <c r="M696" i="3"/>
  <c r="M700" i="3"/>
  <c r="M707" i="3"/>
  <c r="M709" i="3"/>
  <c r="M712" i="3"/>
  <c r="M716" i="3"/>
  <c r="M719" i="3"/>
  <c r="M589" i="3"/>
  <c r="M727" i="3"/>
  <c r="M320" i="3"/>
  <c r="M728" i="3"/>
  <c r="M574" i="3"/>
  <c r="M730" i="3"/>
  <c r="M746" i="3"/>
  <c r="M497" i="3"/>
  <c r="M751" i="3"/>
  <c r="M753" i="3"/>
  <c r="M370" i="3"/>
  <c r="M761" i="3"/>
  <c r="M769" i="3"/>
  <c r="M786" i="3"/>
  <c r="M790" i="3"/>
  <c r="M799" i="3"/>
  <c r="M805" i="3"/>
  <c r="M804" i="3"/>
  <c r="M809" i="3"/>
  <c r="M473" i="3"/>
  <c r="M831" i="3"/>
  <c r="M832" i="3"/>
  <c r="M844" i="3"/>
  <c r="M556" i="3"/>
  <c r="M856" i="3"/>
  <c r="M865" i="3"/>
  <c r="M867" i="3"/>
  <c r="M882" i="3"/>
  <c r="M888" i="3"/>
  <c r="M897" i="3"/>
  <c r="M900" i="3"/>
  <c r="M913" i="3"/>
  <c r="M933" i="3"/>
  <c r="M938" i="3"/>
  <c r="M945" i="3"/>
  <c r="M514" i="3"/>
  <c r="M952" i="3"/>
  <c r="M590" i="3"/>
  <c r="M963" i="3"/>
  <c r="M969" i="3"/>
  <c r="M986" i="3"/>
  <c r="M992" i="3"/>
  <c r="M994" i="3"/>
  <c r="M995" i="3"/>
  <c r="M1017" i="3"/>
  <c r="M562" i="3"/>
  <c r="M1037" i="3"/>
  <c r="M1041" i="3"/>
  <c r="M1044" i="3"/>
  <c r="M1049" i="3"/>
  <c r="M1050" i="3"/>
  <c r="M1069" i="3"/>
  <c r="M585" i="3"/>
  <c r="M1076" i="3"/>
  <c r="M1077" i="3"/>
  <c r="M1085" i="3"/>
  <c r="M1086" i="3"/>
  <c r="M1105" i="3"/>
  <c r="M1120" i="3"/>
  <c r="M1128" i="3"/>
  <c r="M1164" i="3"/>
  <c r="M1180" i="3"/>
  <c r="M1197" i="3"/>
  <c r="M1229" i="3"/>
  <c r="M1286" i="3"/>
  <c r="N1254" i="3"/>
  <c r="N1256" i="3"/>
  <c r="N1259" i="3"/>
  <c r="N1260" i="3"/>
  <c r="N1263" i="3"/>
  <c r="N1264" i="3"/>
  <c r="N1270" i="3"/>
  <c r="N1275" i="3"/>
  <c r="N1293" i="3"/>
  <c r="N1295" i="3"/>
  <c r="N1299" i="3"/>
  <c r="N1301" i="3"/>
  <c r="N1305" i="3"/>
  <c r="N1315" i="3"/>
  <c r="N1340" i="3"/>
  <c r="N1345" i="3"/>
  <c r="N1343" i="3"/>
  <c r="N1346" i="3"/>
  <c r="N1344" i="3"/>
  <c r="N1352" i="3"/>
  <c r="N6" i="3"/>
  <c r="N8" i="3"/>
  <c r="N10" i="3"/>
  <c r="N11" i="3"/>
  <c r="N7" i="3"/>
  <c r="N134" i="3"/>
  <c r="N53" i="3"/>
  <c r="N68" i="3"/>
  <c r="N128" i="3"/>
  <c r="N9" i="3"/>
  <c r="N155" i="3"/>
  <c r="N102" i="3"/>
  <c r="N65" i="3"/>
  <c r="N50" i="3"/>
  <c r="N74" i="3"/>
  <c r="N112" i="3"/>
  <c r="N25" i="3"/>
  <c r="N45" i="3"/>
  <c r="N106" i="3"/>
  <c r="N78" i="3"/>
  <c r="N91" i="3"/>
  <c r="N170" i="3"/>
  <c r="N42" i="3"/>
  <c r="N20" i="3"/>
  <c r="N126" i="3"/>
  <c r="N143" i="3"/>
  <c r="N86" i="3"/>
  <c r="N138" i="3"/>
  <c r="N67" i="3"/>
  <c r="N79" i="3"/>
  <c r="N302" i="3"/>
  <c r="N191" i="3"/>
  <c r="N185" i="3"/>
  <c r="N194" i="3"/>
  <c r="N103" i="3"/>
  <c r="N332" i="3"/>
  <c r="N187" i="3"/>
  <c r="N101" i="3"/>
  <c r="N305" i="3"/>
  <c r="N280" i="3"/>
  <c r="N52" i="3"/>
  <c r="N377" i="3"/>
  <c r="N99" i="3"/>
  <c r="N200" i="3"/>
  <c r="N512" i="3"/>
  <c r="N317" i="3"/>
  <c r="N196" i="3"/>
  <c r="N33" i="3"/>
  <c r="N401" i="3"/>
  <c r="N46" i="3"/>
  <c r="N312" i="3"/>
  <c r="N117" i="3"/>
  <c r="N212" i="3"/>
  <c r="N57" i="3"/>
  <c r="N203" i="3"/>
  <c r="N254" i="3"/>
  <c r="N476" i="3"/>
  <c r="N451" i="3"/>
  <c r="N382" i="3"/>
  <c r="N221" i="3"/>
  <c r="N158" i="3"/>
  <c r="N229" i="3"/>
  <c r="N281" i="3"/>
  <c r="N273" i="3"/>
  <c r="N434" i="3"/>
  <c r="N199" i="3"/>
  <c r="N371" i="3"/>
  <c r="N306" i="3"/>
  <c r="N485" i="3"/>
  <c r="N248" i="3"/>
  <c r="N224" i="3"/>
  <c r="N293" i="3"/>
  <c r="N202" i="3"/>
  <c r="N192" i="3"/>
  <c r="N120" i="3"/>
  <c r="N89" i="3"/>
  <c r="N136" i="3"/>
  <c r="N298" i="3"/>
  <c r="N275" i="3"/>
  <c r="N340" i="3"/>
  <c r="N396" i="3"/>
  <c r="N197" i="3"/>
  <c r="N240" i="3"/>
  <c r="N566" i="3"/>
  <c r="N456" i="3"/>
  <c r="N516" i="3"/>
  <c r="N337" i="3"/>
  <c r="N310" i="3"/>
  <c r="N387" i="3"/>
  <c r="N526" i="3"/>
  <c r="N460" i="3"/>
  <c r="N486" i="3"/>
  <c r="N529" i="3"/>
  <c r="N178" i="3"/>
  <c r="N263" i="3"/>
  <c r="N503" i="3"/>
  <c r="N349" i="3"/>
  <c r="N347" i="3"/>
  <c r="N268" i="3"/>
  <c r="N447" i="3"/>
  <c r="N500" i="3"/>
  <c r="N114" i="3"/>
  <c r="N441" i="3"/>
  <c r="N228" i="3"/>
  <c r="N390" i="3"/>
  <c r="N251" i="3"/>
  <c r="N121" i="3"/>
  <c r="N615" i="3"/>
  <c r="N284" i="3"/>
  <c r="N245" i="3"/>
  <c r="N285" i="3"/>
  <c r="N98" i="3"/>
  <c r="N457" i="3"/>
  <c r="N617" i="3"/>
  <c r="N276" i="3"/>
  <c r="N621" i="3"/>
  <c r="N502" i="3"/>
  <c r="N543" i="3"/>
  <c r="N118" i="3"/>
  <c r="N494" i="3"/>
  <c r="N506" i="3"/>
  <c r="N176" i="3"/>
  <c r="N177" i="3"/>
  <c r="N549" i="3"/>
  <c r="N442" i="3"/>
  <c r="N375" i="3"/>
  <c r="N636" i="3"/>
  <c r="N470" i="3"/>
  <c r="N530" i="3"/>
  <c r="N596" i="3"/>
  <c r="N437" i="3"/>
  <c r="N638" i="3"/>
  <c r="N319" i="3"/>
  <c r="N259" i="3"/>
  <c r="N639" i="3"/>
  <c r="N536" i="3"/>
  <c r="N534" i="3"/>
  <c r="N513" i="3"/>
  <c r="N345" i="3"/>
  <c r="N404" i="3"/>
  <c r="N644" i="3"/>
  <c r="N352" i="3"/>
  <c r="N568" i="3"/>
  <c r="N448" i="3"/>
  <c r="N649" i="3"/>
  <c r="N652" i="3"/>
  <c r="N657" i="3"/>
  <c r="N656" i="3"/>
  <c r="N588" i="3"/>
  <c r="N661" i="3"/>
  <c r="N563" i="3"/>
  <c r="N664" i="3"/>
  <c r="N683" i="3"/>
  <c r="N579" i="3"/>
  <c r="N461" i="3"/>
  <c r="N688" i="3"/>
  <c r="N690" i="3"/>
  <c r="N696" i="3"/>
  <c r="N700" i="3"/>
  <c r="N707" i="3"/>
  <c r="N709" i="3"/>
  <c r="N712" i="3"/>
  <c r="N716" i="3"/>
  <c r="N719" i="3"/>
  <c r="N722" i="3"/>
  <c r="N589" i="3"/>
  <c r="N727" i="3"/>
  <c r="N320" i="3"/>
  <c r="N728" i="3"/>
  <c r="N574" i="3"/>
  <c r="N730" i="3"/>
  <c r="N746" i="3"/>
  <c r="N497" i="3"/>
  <c r="N751" i="3"/>
  <c r="N370" i="3"/>
  <c r="N761" i="3"/>
  <c r="N786" i="3"/>
  <c r="N790" i="3"/>
  <c r="N799" i="3"/>
  <c r="N805" i="3"/>
  <c r="N804" i="3"/>
  <c r="N809" i="3"/>
  <c r="N473" i="3"/>
  <c r="N831" i="3"/>
  <c r="N832" i="3"/>
  <c r="N840" i="3"/>
  <c r="N844" i="3"/>
  <c r="N556" i="3"/>
  <c r="N856" i="3"/>
  <c r="N865" i="3"/>
  <c r="N867" i="3"/>
  <c r="N587" i="3"/>
  <c r="N882" i="3"/>
  <c r="N888" i="3"/>
  <c r="N897" i="3"/>
  <c r="N900" i="3"/>
  <c r="N913" i="3"/>
  <c r="N927" i="3"/>
  <c r="N933" i="3"/>
  <c r="N938" i="3"/>
  <c r="N945" i="3"/>
  <c r="N514" i="3"/>
  <c r="N952" i="3"/>
  <c r="N590" i="3"/>
  <c r="N963" i="3"/>
  <c r="N969" i="3"/>
  <c r="N986" i="3"/>
  <c r="N992" i="3"/>
  <c r="N994" i="3"/>
  <c r="N995" i="3"/>
  <c r="N1017" i="3"/>
  <c r="N562" i="3"/>
  <c r="N1027" i="3"/>
  <c r="N1037" i="3"/>
  <c r="N1041" i="3"/>
  <c r="N1044" i="3"/>
  <c r="N1046" i="3"/>
  <c r="N1049" i="3"/>
  <c r="N1050" i="3"/>
  <c r="N1069" i="3"/>
  <c r="N585" i="3"/>
  <c r="N1076" i="3"/>
  <c r="N1085" i="3"/>
  <c r="N1086" i="3"/>
  <c r="N1120" i="3"/>
  <c r="N1128" i="3"/>
  <c r="N1164" i="3"/>
  <c r="N1197" i="3"/>
  <c r="N1229" i="3"/>
  <c r="N1286" i="3"/>
  <c r="O1254" i="3"/>
  <c r="O1256" i="3"/>
  <c r="O1257" i="3"/>
  <c r="O1259" i="3"/>
  <c r="O1260" i="3"/>
  <c r="O1263" i="3"/>
  <c r="O1264" i="3"/>
  <c r="O1270" i="3"/>
  <c r="O1275" i="3"/>
  <c r="O1281" i="3"/>
  <c r="O1293" i="3"/>
  <c r="O1295" i="3"/>
  <c r="O1299" i="3"/>
  <c r="O1301" i="3"/>
  <c r="O1305" i="3"/>
  <c r="O1315" i="3"/>
  <c r="O1314" i="3"/>
  <c r="O1340" i="3"/>
  <c r="O1345" i="3"/>
  <c r="O1343" i="3"/>
  <c r="O1346" i="3"/>
  <c r="O1344" i="3"/>
  <c r="O1352" i="3"/>
  <c r="O1398" i="3"/>
  <c r="O6" i="3"/>
  <c r="O8" i="3"/>
  <c r="O10" i="3"/>
  <c r="O11" i="3"/>
  <c r="O7" i="3"/>
  <c r="O134" i="3"/>
  <c r="O53" i="3"/>
  <c r="O22" i="3"/>
  <c r="O68" i="3"/>
  <c r="O128" i="3"/>
  <c r="O9" i="3"/>
  <c r="O155" i="3"/>
  <c r="O102" i="3"/>
  <c r="O65" i="3"/>
  <c r="O50" i="3"/>
  <c r="O51" i="3"/>
  <c r="O74" i="3"/>
  <c r="O112" i="3"/>
  <c r="O25" i="3"/>
  <c r="O45" i="3"/>
  <c r="O106" i="3"/>
  <c r="O78" i="3"/>
  <c r="O91" i="3"/>
  <c r="O170" i="3"/>
  <c r="O42" i="3"/>
  <c r="O20" i="3"/>
  <c r="O126" i="3"/>
  <c r="O143" i="3"/>
  <c r="O86" i="3"/>
  <c r="O138" i="3"/>
  <c r="O67" i="3"/>
  <c r="O79" i="3"/>
  <c r="O302" i="3"/>
  <c r="O191" i="3"/>
  <c r="O185" i="3"/>
  <c r="O194" i="3"/>
  <c r="O103" i="3"/>
  <c r="O332" i="3"/>
  <c r="O187" i="3"/>
  <c r="O101" i="3"/>
  <c r="O305" i="3"/>
  <c r="O280" i="3"/>
  <c r="O52" i="3"/>
  <c r="O377" i="3"/>
  <c r="O99" i="3"/>
  <c r="O200" i="3"/>
  <c r="O512" i="3"/>
  <c r="O317" i="3"/>
  <c r="O196" i="3"/>
  <c r="O33" i="3"/>
  <c r="O401" i="3"/>
  <c r="O46" i="3"/>
  <c r="O312" i="3"/>
  <c r="O117" i="3"/>
  <c r="O212" i="3"/>
  <c r="O57" i="3"/>
  <c r="O203" i="3"/>
  <c r="O254" i="3"/>
  <c r="O476" i="3"/>
  <c r="O451" i="3"/>
  <c r="O382" i="3"/>
  <c r="O339" i="3"/>
  <c r="O221" i="3"/>
  <c r="O158" i="3"/>
  <c r="O229" i="3"/>
  <c r="O281" i="3"/>
  <c r="O273" i="3"/>
  <c r="O434" i="3"/>
  <c r="O199" i="3"/>
  <c r="O371" i="3"/>
  <c r="O306" i="3"/>
  <c r="O485" i="3"/>
  <c r="O248" i="3"/>
  <c r="O224" i="3"/>
  <c r="O293" i="3"/>
  <c r="O202" i="3"/>
  <c r="O192" i="3"/>
  <c r="O120" i="3"/>
  <c r="O89" i="3"/>
  <c r="O136" i="3"/>
  <c r="O298" i="3"/>
  <c r="O275" i="3"/>
  <c r="O340" i="3"/>
  <c r="O396" i="3"/>
  <c r="O197" i="3"/>
  <c r="O240" i="3"/>
  <c r="O566" i="3"/>
  <c r="O456" i="3"/>
  <c r="O516" i="3"/>
  <c r="O337" i="3"/>
  <c r="O310" i="3"/>
  <c r="O387" i="3"/>
  <c r="O526" i="3"/>
  <c r="O460" i="3"/>
  <c r="O486" i="3"/>
  <c r="O529" i="3"/>
  <c r="O178" i="3"/>
  <c r="O263" i="3"/>
  <c r="O503" i="3"/>
  <c r="O349" i="3"/>
  <c r="O347" i="3"/>
  <c r="O268" i="3"/>
  <c r="O447" i="3"/>
  <c r="O500" i="3"/>
  <c r="O114" i="3"/>
  <c r="O441" i="3"/>
  <c r="O228" i="3"/>
  <c r="O390" i="3"/>
  <c r="O251" i="3"/>
  <c r="O121" i="3"/>
  <c r="O615" i="3"/>
  <c r="O284" i="3"/>
  <c r="O245" i="3"/>
  <c r="O285" i="3"/>
  <c r="O98" i="3"/>
  <c r="O457" i="3"/>
  <c r="O617" i="3"/>
  <c r="O276" i="3"/>
  <c r="O621" i="3"/>
  <c r="O502" i="3"/>
  <c r="O543" i="3"/>
  <c r="O118" i="3"/>
  <c r="O494" i="3"/>
  <c r="O506" i="3"/>
  <c r="O176" i="3"/>
  <c r="O177" i="3"/>
  <c r="O549" i="3"/>
  <c r="O442" i="3"/>
  <c r="O375" i="3"/>
  <c r="O636" i="3"/>
  <c r="O470" i="3"/>
  <c r="O530" i="3"/>
  <c r="O596" i="3"/>
  <c r="O437" i="3"/>
  <c r="O638" i="3"/>
  <c r="O319" i="3"/>
  <c r="O259" i="3"/>
  <c r="O639" i="3"/>
  <c r="O536" i="3"/>
  <c r="O534" i="3"/>
  <c r="O513" i="3"/>
  <c r="O345" i="3"/>
  <c r="O404" i="3"/>
  <c r="O644" i="3"/>
  <c r="O352" i="3"/>
  <c r="O568" i="3"/>
  <c r="O448" i="3"/>
  <c r="O652" i="3"/>
  <c r="O657" i="3"/>
  <c r="O656" i="3"/>
  <c r="O588" i="3"/>
  <c r="O661" i="3"/>
  <c r="O563" i="3"/>
  <c r="O664" i="3"/>
  <c r="O683" i="3"/>
  <c r="O579" i="3"/>
  <c r="O461" i="3"/>
  <c r="O688" i="3"/>
  <c r="O690" i="3"/>
  <c r="O696" i="3"/>
  <c r="O700" i="3"/>
  <c r="O707" i="3"/>
  <c r="O709" i="3"/>
  <c r="O712" i="3"/>
  <c r="O716" i="3"/>
  <c r="O719" i="3"/>
  <c r="O589" i="3"/>
  <c r="O727" i="3"/>
  <c r="O320" i="3"/>
  <c r="O728" i="3"/>
  <c r="O574" i="3"/>
  <c r="O730" i="3"/>
  <c r="O746" i="3"/>
  <c r="O497" i="3"/>
  <c r="O751" i="3"/>
  <c r="O753" i="3"/>
  <c r="O370" i="3"/>
  <c r="O761" i="3"/>
  <c r="O786" i="3"/>
  <c r="O790" i="3"/>
  <c r="O799" i="3"/>
  <c r="O805" i="3"/>
  <c r="O804" i="3"/>
  <c r="O809" i="3"/>
  <c r="O825" i="3"/>
  <c r="O473" i="3"/>
  <c r="O831" i="3"/>
  <c r="O832" i="3"/>
  <c r="O840" i="3"/>
  <c r="O844" i="3"/>
  <c r="O556" i="3"/>
  <c r="O856" i="3"/>
  <c r="O865" i="3"/>
  <c r="O867" i="3"/>
  <c r="O587" i="3"/>
  <c r="O882" i="3"/>
  <c r="O888" i="3"/>
  <c r="O897" i="3"/>
  <c r="O900" i="3"/>
  <c r="O913" i="3"/>
  <c r="O927" i="3"/>
  <c r="O933" i="3"/>
  <c r="O938" i="3"/>
  <c r="O945" i="3"/>
  <c r="O514" i="3"/>
  <c r="O952" i="3"/>
  <c r="O590" i="3"/>
  <c r="O963" i="3"/>
  <c r="O969" i="3"/>
  <c r="O986" i="3"/>
  <c r="O992" i="3"/>
  <c r="O994" i="3"/>
  <c r="O995" i="3"/>
  <c r="O1017" i="3"/>
  <c r="O562" i="3"/>
  <c r="O1037" i="3"/>
  <c r="O1041" i="3"/>
  <c r="O1044" i="3"/>
  <c r="O1046" i="3"/>
  <c r="O1049" i="3"/>
  <c r="O1050" i="3"/>
  <c r="O1069" i="3"/>
  <c r="O585" i="3"/>
  <c r="O1076" i="3"/>
  <c r="O1077" i="3"/>
  <c r="O1085" i="3"/>
  <c r="O1086" i="3"/>
  <c r="O1120" i="3"/>
  <c r="O1128" i="3"/>
  <c r="O1164" i="3"/>
  <c r="O1180" i="3"/>
  <c r="O1197" i="3"/>
  <c r="O1229" i="3"/>
  <c r="O1276" i="3"/>
  <c r="O1286" i="3"/>
  <c r="P1254" i="3"/>
  <c r="P1256" i="3"/>
  <c r="P1258" i="3"/>
  <c r="P1259" i="3"/>
  <c r="P1260" i="3"/>
  <c r="P1263" i="3"/>
  <c r="P1264" i="3"/>
  <c r="P1270" i="3"/>
  <c r="P1275" i="3"/>
  <c r="P1293" i="3"/>
  <c r="P1295" i="3"/>
  <c r="P1299" i="3"/>
  <c r="P1301" i="3"/>
  <c r="P1305" i="3"/>
  <c r="P1315" i="3"/>
  <c r="P1340" i="3"/>
  <c r="P1345" i="3"/>
  <c r="P1343" i="3"/>
  <c r="P1346" i="3"/>
  <c r="P1344" i="3"/>
  <c r="P1352" i="3"/>
  <c r="P6" i="3"/>
  <c r="P8" i="3"/>
  <c r="P10" i="3"/>
  <c r="P11" i="3"/>
  <c r="P7" i="3"/>
  <c r="P134" i="3"/>
  <c r="P53" i="3"/>
  <c r="P68" i="3"/>
  <c r="P128" i="3"/>
  <c r="P9" i="3"/>
  <c r="P155" i="3"/>
  <c r="P102" i="3"/>
  <c r="P65" i="3"/>
  <c r="P50" i="3"/>
  <c r="P74" i="3"/>
  <c r="P112" i="3"/>
  <c r="P25" i="3"/>
  <c r="P45" i="3"/>
  <c r="P106" i="3"/>
  <c r="P78" i="3"/>
  <c r="P91" i="3"/>
  <c r="P170" i="3"/>
  <c r="P42" i="3"/>
  <c r="P20" i="3"/>
  <c r="P126" i="3"/>
  <c r="P143" i="3"/>
  <c r="P86" i="3"/>
  <c r="P138" i="3"/>
  <c r="P67" i="3"/>
  <c r="P79" i="3"/>
  <c r="P302" i="3"/>
  <c r="P191" i="3"/>
  <c r="P185" i="3"/>
  <c r="P194" i="3"/>
  <c r="P103" i="3"/>
  <c r="P332" i="3"/>
  <c r="P187" i="3"/>
  <c r="P101" i="3"/>
  <c r="P305" i="3"/>
  <c r="P280" i="3"/>
  <c r="P52" i="3"/>
  <c r="P377" i="3"/>
  <c r="P99" i="3"/>
  <c r="P200" i="3"/>
  <c r="P512" i="3"/>
  <c r="P317" i="3"/>
  <c r="P196" i="3"/>
  <c r="P33" i="3"/>
  <c r="P401" i="3"/>
  <c r="P46" i="3"/>
  <c r="P312" i="3"/>
  <c r="P117" i="3"/>
  <c r="P212" i="3"/>
  <c r="P57" i="3"/>
  <c r="P203" i="3"/>
  <c r="P254" i="3"/>
  <c r="P476" i="3"/>
  <c r="P451" i="3"/>
  <c r="P382" i="3"/>
  <c r="P339" i="3"/>
  <c r="P221" i="3"/>
  <c r="P158" i="3"/>
  <c r="P229" i="3"/>
  <c r="P281" i="3"/>
  <c r="P273" i="3"/>
  <c r="P434" i="3"/>
  <c r="P199" i="3"/>
  <c r="P371" i="3"/>
  <c r="P306" i="3"/>
  <c r="P485" i="3"/>
  <c r="P248" i="3"/>
  <c r="P224" i="3"/>
  <c r="P293" i="3"/>
  <c r="P202" i="3"/>
  <c r="P192" i="3"/>
  <c r="P120" i="3"/>
  <c r="P89" i="3"/>
  <c r="P136" i="3"/>
  <c r="P298" i="3"/>
  <c r="P275" i="3"/>
  <c r="P340" i="3"/>
  <c r="P396" i="3"/>
  <c r="P197" i="3"/>
  <c r="P240" i="3"/>
  <c r="P566" i="3"/>
  <c r="P456" i="3"/>
  <c r="P516" i="3"/>
  <c r="P337" i="3"/>
  <c r="P310" i="3"/>
  <c r="P387" i="3"/>
  <c r="P526" i="3"/>
  <c r="P460" i="3"/>
  <c r="P486" i="3"/>
  <c r="P529" i="3"/>
  <c r="P178" i="3"/>
  <c r="P263" i="3"/>
  <c r="P503" i="3"/>
  <c r="P349" i="3"/>
  <c r="P347" i="3"/>
  <c r="P268" i="3"/>
  <c r="P447" i="3"/>
  <c r="P500" i="3"/>
  <c r="P114" i="3"/>
  <c r="P441" i="3"/>
  <c r="P228" i="3"/>
  <c r="P390" i="3"/>
  <c r="P251" i="3"/>
  <c r="P121" i="3"/>
  <c r="P615" i="3"/>
  <c r="P284" i="3"/>
  <c r="P245" i="3"/>
  <c r="P285" i="3"/>
  <c r="P98" i="3"/>
  <c r="P457" i="3"/>
  <c r="P617" i="3"/>
  <c r="P276" i="3"/>
  <c r="P621" i="3"/>
  <c r="P502" i="3"/>
  <c r="P543" i="3"/>
  <c r="P118" i="3"/>
  <c r="P494" i="3"/>
  <c r="P506" i="3"/>
  <c r="P176" i="3"/>
  <c r="P177" i="3"/>
  <c r="P549" i="3"/>
  <c r="P442" i="3"/>
  <c r="P375" i="3"/>
  <c r="P636" i="3"/>
  <c r="P470" i="3"/>
  <c r="P530" i="3"/>
  <c r="P596" i="3"/>
  <c r="P437" i="3"/>
  <c r="P638" i="3"/>
  <c r="P319" i="3"/>
  <c r="P259" i="3"/>
  <c r="P639" i="3"/>
  <c r="P536" i="3"/>
  <c r="P534" i="3"/>
  <c r="P513" i="3"/>
  <c r="P345" i="3"/>
  <c r="P404" i="3"/>
  <c r="P644" i="3"/>
  <c r="P352" i="3"/>
  <c r="P568" i="3"/>
  <c r="P448" i="3"/>
  <c r="P649" i="3"/>
  <c r="P652" i="3"/>
  <c r="P469" i="3"/>
  <c r="P657" i="3"/>
  <c r="P656" i="3"/>
  <c r="P588" i="3"/>
  <c r="P661" i="3"/>
  <c r="P563" i="3"/>
  <c r="P664" i="3"/>
  <c r="P683" i="3"/>
  <c r="P579" i="3"/>
  <c r="P461" i="3"/>
  <c r="P688" i="3"/>
  <c r="P690" i="3"/>
  <c r="P696" i="3"/>
  <c r="P700" i="3"/>
  <c r="P707" i="3"/>
  <c r="P709" i="3"/>
  <c r="P712" i="3"/>
  <c r="P716" i="3"/>
  <c r="P719" i="3"/>
  <c r="P589" i="3"/>
  <c r="P727" i="3"/>
  <c r="P320" i="3"/>
  <c r="P728" i="3"/>
  <c r="P574" i="3"/>
  <c r="P730" i="3"/>
  <c r="P734" i="3"/>
  <c r="P746" i="3"/>
  <c r="P497" i="3"/>
  <c r="P751" i="3"/>
  <c r="P753" i="3"/>
  <c r="P370" i="3"/>
  <c r="P761" i="3"/>
  <c r="P786" i="3"/>
  <c r="P790" i="3"/>
  <c r="P799" i="3"/>
  <c r="P805" i="3"/>
  <c r="P804" i="3"/>
  <c r="P809" i="3"/>
  <c r="P473" i="3"/>
  <c r="P831" i="3"/>
  <c r="P832" i="3"/>
  <c r="P840" i="3"/>
  <c r="P844" i="3"/>
  <c r="P556" i="3"/>
  <c r="P856" i="3"/>
  <c r="P865" i="3"/>
  <c r="P867" i="3"/>
  <c r="P587" i="3"/>
  <c r="P882" i="3"/>
  <c r="P888" i="3"/>
  <c r="P897" i="3"/>
  <c r="P900" i="3"/>
  <c r="P913" i="3"/>
  <c r="P927" i="3"/>
  <c r="P933" i="3"/>
  <c r="P938" i="3"/>
  <c r="P945" i="3"/>
  <c r="P514" i="3"/>
  <c r="P952" i="3"/>
  <c r="P590" i="3"/>
  <c r="P963" i="3"/>
  <c r="P969" i="3"/>
  <c r="P986" i="3"/>
  <c r="P992" i="3"/>
  <c r="P994" i="3"/>
  <c r="P995" i="3"/>
  <c r="P1017" i="3"/>
  <c r="P562" i="3"/>
  <c r="P1037" i="3"/>
  <c r="P1041" i="3"/>
  <c r="P1044" i="3"/>
  <c r="P1046" i="3"/>
  <c r="P1049" i="3"/>
  <c r="P1050" i="3"/>
  <c r="P1067" i="3"/>
  <c r="P1069" i="3"/>
  <c r="P585" i="3"/>
  <c r="P1076" i="3"/>
  <c r="P1077" i="3"/>
  <c r="P1085" i="3"/>
  <c r="P1086" i="3"/>
  <c r="P1120" i="3"/>
  <c r="P1128" i="3"/>
  <c r="P1164" i="3"/>
  <c r="P1180" i="3"/>
  <c r="P1197" i="3"/>
  <c r="P1229" i="3"/>
  <c r="P1286" i="3"/>
  <c r="S1254" i="3"/>
  <c r="S1256" i="3"/>
  <c r="S1259" i="3"/>
  <c r="S1260" i="3"/>
  <c r="S1263" i="3"/>
  <c r="S1264" i="3"/>
  <c r="S1270" i="3"/>
  <c r="S1275" i="3"/>
  <c r="S1293" i="3"/>
  <c r="S1295" i="3"/>
  <c r="S1299" i="3"/>
  <c r="S1301" i="3"/>
  <c r="S1305" i="3"/>
  <c r="S1315" i="3"/>
  <c r="S1329" i="3"/>
  <c r="S1340" i="3"/>
  <c r="S1345" i="3"/>
  <c r="S1343" i="3"/>
  <c r="S1346" i="3"/>
  <c r="S1344" i="3"/>
  <c r="S1352" i="3"/>
  <c r="S6" i="3"/>
  <c r="S8" i="3"/>
  <c r="S10" i="3"/>
  <c r="S11" i="3"/>
  <c r="S7" i="3"/>
  <c r="S134" i="3"/>
  <c r="S53" i="3"/>
  <c r="S68" i="3"/>
  <c r="S128" i="3"/>
  <c r="S9" i="3"/>
  <c r="S155" i="3"/>
  <c r="S102" i="3"/>
  <c r="S65" i="3"/>
  <c r="S50" i="3"/>
  <c r="S74" i="3"/>
  <c r="S112" i="3"/>
  <c r="S25" i="3"/>
  <c r="S45" i="3"/>
  <c r="S106" i="3"/>
  <c r="S78" i="3"/>
  <c r="S91" i="3"/>
  <c r="S170" i="3"/>
  <c r="S42" i="3"/>
  <c r="S20" i="3"/>
  <c r="S126" i="3"/>
  <c r="S143" i="3"/>
  <c r="S86" i="3"/>
  <c r="S138" i="3"/>
  <c r="S67" i="3"/>
  <c r="S79" i="3"/>
  <c r="S302" i="3"/>
  <c r="S191" i="3"/>
  <c r="S185" i="3"/>
  <c r="S194" i="3"/>
  <c r="S103" i="3"/>
  <c r="S332" i="3"/>
  <c r="S187" i="3"/>
  <c r="S101" i="3"/>
  <c r="S305" i="3"/>
  <c r="S280" i="3"/>
  <c r="S52" i="3"/>
  <c r="S377" i="3"/>
  <c r="S99" i="3"/>
  <c r="S200" i="3"/>
  <c r="S512" i="3"/>
  <c r="S317" i="3"/>
  <c r="S196" i="3"/>
  <c r="S33" i="3"/>
  <c r="S401" i="3"/>
  <c r="S46" i="3"/>
  <c r="S312" i="3"/>
  <c r="S117" i="3"/>
  <c r="S212" i="3"/>
  <c r="S57" i="3"/>
  <c r="S203" i="3"/>
  <c r="S254" i="3"/>
  <c r="S476" i="3"/>
  <c r="S451" i="3"/>
  <c r="S382" i="3"/>
  <c r="S339" i="3"/>
  <c r="S221" i="3"/>
  <c r="S158" i="3"/>
  <c r="S229" i="3"/>
  <c r="S281" i="3"/>
  <c r="S273" i="3"/>
  <c r="S434" i="3"/>
  <c r="S199" i="3"/>
  <c r="S371" i="3"/>
  <c r="S306" i="3"/>
  <c r="S485" i="3"/>
  <c r="S248" i="3"/>
  <c r="S224" i="3"/>
  <c r="S293" i="3"/>
  <c r="S202" i="3"/>
  <c r="S192" i="3"/>
  <c r="S120" i="3"/>
  <c r="S89" i="3"/>
  <c r="S136" i="3"/>
  <c r="S298" i="3"/>
  <c r="S275" i="3"/>
  <c r="S340" i="3"/>
  <c r="S396" i="3"/>
  <c r="S197" i="3"/>
  <c r="S240" i="3"/>
  <c r="S566" i="3"/>
  <c r="S456" i="3"/>
  <c r="S516" i="3"/>
  <c r="S337" i="3"/>
  <c r="S310" i="3"/>
  <c r="S387" i="3"/>
  <c r="S526" i="3"/>
  <c r="S460" i="3"/>
  <c r="S486" i="3"/>
  <c r="S529" i="3"/>
  <c r="S178" i="3"/>
  <c r="S263" i="3"/>
  <c r="S503" i="3"/>
  <c r="S349" i="3"/>
  <c r="S347" i="3"/>
  <c r="S268" i="3"/>
  <c r="S447" i="3"/>
  <c r="S500" i="3"/>
  <c r="S114" i="3"/>
  <c r="S441" i="3"/>
  <c r="S228" i="3"/>
  <c r="S390" i="3"/>
  <c r="S251" i="3"/>
  <c r="S121" i="3"/>
  <c r="S615" i="3"/>
  <c r="S284" i="3"/>
  <c r="S245" i="3"/>
  <c r="S285" i="3"/>
  <c r="S98" i="3"/>
  <c r="S457" i="3"/>
  <c r="S617" i="3"/>
  <c r="S276" i="3"/>
  <c r="S621" i="3"/>
  <c r="S502" i="3"/>
  <c r="S543" i="3"/>
  <c r="S118" i="3"/>
  <c r="S494" i="3"/>
  <c r="S506" i="3"/>
  <c r="S176" i="3"/>
  <c r="S177" i="3"/>
  <c r="S549" i="3"/>
  <c r="S442" i="3"/>
  <c r="S375" i="3"/>
  <c r="S636" i="3"/>
  <c r="S470" i="3"/>
  <c r="S530" i="3"/>
  <c r="S596" i="3"/>
  <c r="S437" i="3"/>
  <c r="S638" i="3"/>
  <c r="S319" i="3"/>
  <c r="S259" i="3"/>
  <c r="S639" i="3"/>
  <c r="S536" i="3"/>
  <c r="S534" i="3"/>
  <c r="S513" i="3"/>
  <c r="S345" i="3"/>
  <c r="S404" i="3"/>
  <c r="S644" i="3"/>
  <c r="S352" i="3"/>
  <c r="S568" i="3"/>
  <c r="S448" i="3"/>
  <c r="S649" i="3"/>
  <c r="S652" i="3"/>
  <c r="S657" i="3"/>
  <c r="S656" i="3"/>
  <c r="S588" i="3"/>
  <c r="S661" i="3"/>
  <c r="S563" i="3"/>
  <c r="S664" i="3"/>
  <c r="S683" i="3"/>
  <c r="S579" i="3"/>
  <c r="S461" i="3"/>
  <c r="S688" i="3"/>
  <c r="S690" i="3"/>
  <c r="S696" i="3"/>
  <c r="S699" i="3"/>
  <c r="S700" i="3"/>
  <c r="S707" i="3"/>
  <c r="S709" i="3"/>
  <c r="S712" i="3"/>
  <c r="S716" i="3"/>
  <c r="S719" i="3"/>
  <c r="S722" i="3"/>
  <c r="S589" i="3"/>
  <c r="S727" i="3"/>
  <c r="S320" i="3"/>
  <c r="S728" i="3"/>
  <c r="S574" i="3"/>
  <c r="S730" i="3"/>
  <c r="S746" i="3"/>
  <c r="S497" i="3"/>
  <c r="S751" i="3"/>
  <c r="S753" i="3"/>
  <c r="S370" i="3"/>
  <c r="S761" i="3"/>
  <c r="S786" i="3"/>
  <c r="S790" i="3"/>
  <c r="S799" i="3"/>
  <c r="S805" i="3"/>
  <c r="S804" i="3"/>
  <c r="S809" i="3"/>
  <c r="S473" i="3"/>
  <c r="S831" i="3"/>
  <c r="S832" i="3"/>
  <c r="S840" i="3"/>
  <c r="S844" i="3"/>
  <c r="S556" i="3"/>
  <c r="S856" i="3"/>
  <c r="S865" i="3"/>
  <c r="S867" i="3"/>
  <c r="S587" i="3"/>
  <c r="S882" i="3"/>
  <c r="S888" i="3"/>
  <c r="S897" i="3"/>
  <c r="S900" i="3"/>
  <c r="S913" i="3"/>
  <c r="S927" i="3"/>
  <c r="S933" i="3"/>
  <c r="S938" i="3"/>
  <c r="S945" i="3"/>
  <c r="S514" i="3"/>
  <c r="S952" i="3"/>
  <c r="S590" i="3"/>
  <c r="S963" i="3"/>
  <c r="S969" i="3"/>
  <c r="S980" i="3"/>
  <c r="S986" i="3"/>
  <c r="S992" i="3"/>
  <c r="S994" i="3"/>
  <c r="S995" i="3"/>
  <c r="S1017" i="3"/>
  <c r="S562" i="3"/>
  <c r="S1037" i="3"/>
  <c r="S1041" i="3"/>
  <c r="S1044" i="3"/>
  <c r="S1046" i="3"/>
  <c r="S1049" i="3"/>
  <c r="S1050" i="3"/>
  <c r="S1069" i="3"/>
  <c r="S585" i="3"/>
  <c r="S1076" i="3"/>
  <c r="S1077" i="3"/>
  <c r="S1085" i="3"/>
  <c r="S1086" i="3"/>
  <c r="S1120" i="3"/>
  <c r="S1128" i="3"/>
  <c r="S1164" i="3"/>
  <c r="S1180" i="3"/>
  <c r="S1197" i="3"/>
  <c r="S1229" i="3"/>
  <c r="S1286" i="3"/>
  <c r="Y1254" i="3"/>
  <c r="AE1254" i="3" s="1"/>
  <c r="Y1256" i="3"/>
  <c r="Y1257" i="3"/>
  <c r="Y1258" i="3"/>
  <c r="Y1259" i="3"/>
  <c r="Y1260" i="3"/>
  <c r="Y1263" i="3"/>
  <c r="Y1264" i="3"/>
  <c r="Y1270" i="3"/>
  <c r="AC1270" i="3" s="1"/>
  <c r="Y1275" i="3"/>
  <c r="Y1281" i="3"/>
  <c r="Y1284" i="3"/>
  <c r="Y1293" i="3"/>
  <c r="Y1295" i="3"/>
  <c r="Y1299" i="3"/>
  <c r="Y1301" i="3"/>
  <c r="Y1305" i="3"/>
  <c r="Y1315" i="3"/>
  <c r="Y1314" i="3"/>
  <c r="Y1329" i="3"/>
  <c r="Y1340" i="3"/>
  <c r="Y1345" i="3"/>
  <c r="Y1343" i="3"/>
  <c r="Y1346" i="3"/>
  <c r="Y1344" i="3"/>
  <c r="AE1344" i="3" s="1"/>
  <c r="Y1352" i="3"/>
  <c r="Y1398" i="3"/>
  <c r="Y615" i="3"/>
  <c r="AC615" i="3" s="1"/>
  <c r="Y616" i="3"/>
  <c r="Y617" i="3"/>
  <c r="Y621" i="3"/>
  <c r="Y636" i="3"/>
  <c r="Y638" i="3"/>
  <c r="AC638" i="3" s="1"/>
  <c r="Y639" i="3"/>
  <c r="Y641" i="3"/>
  <c r="Y644" i="3"/>
  <c r="Y649" i="3"/>
  <c r="AC649" i="3" s="1"/>
  <c r="Y652" i="3"/>
  <c r="Y657" i="3"/>
  <c r="Y656" i="3"/>
  <c r="Y661" i="3"/>
  <c r="AE661" i="3" s="1"/>
  <c r="Y664" i="3"/>
  <c r="Y677" i="3"/>
  <c r="AE677" i="3" s="1"/>
  <c r="Y683" i="3"/>
  <c r="Y688" i="3"/>
  <c r="Y690" i="3"/>
  <c r="Y696" i="3"/>
  <c r="Y697" i="3"/>
  <c r="Y699" i="3"/>
  <c r="AC699" i="3" s="1"/>
  <c r="Y700" i="3"/>
  <c r="Y707" i="3"/>
  <c r="AE707" i="3" s="1"/>
  <c r="Y709" i="3"/>
  <c r="Y712" i="3"/>
  <c r="Y716" i="3"/>
  <c r="Y719" i="3"/>
  <c r="Y720" i="3"/>
  <c r="Y722" i="3"/>
  <c r="AC722" i="3" s="1"/>
  <c r="Y727" i="3"/>
  <c r="Y728" i="3"/>
  <c r="AC728" i="3" s="1"/>
  <c r="Y730" i="3"/>
  <c r="Y735" i="3"/>
  <c r="Y734" i="3"/>
  <c r="AC734" i="3" s="1"/>
  <c r="Y746" i="3"/>
  <c r="Y751" i="3"/>
  <c r="Y753" i="3"/>
  <c r="AC753" i="3" s="1"/>
  <c r="Y761" i="3"/>
  <c r="Y771" i="3"/>
  <c r="Y769" i="3"/>
  <c r="AC769" i="3" s="1"/>
  <c r="Y786" i="3"/>
  <c r="Y790" i="3"/>
  <c r="Y799" i="3"/>
  <c r="AC799" i="3" s="1"/>
  <c r="Y805" i="3"/>
  <c r="Y804" i="3"/>
  <c r="AC804" i="3" s="1"/>
  <c r="Y809" i="3"/>
  <c r="Y824" i="3"/>
  <c r="Y825" i="3"/>
  <c r="AC825" i="3" s="1"/>
  <c r="Y831" i="3"/>
  <c r="Y832" i="3"/>
  <c r="Y840" i="3"/>
  <c r="Y844" i="3"/>
  <c r="Y845" i="3"/>
  <c r="Y855" i="3"/>
  <c r="AC855" i="3" s="1"/>
  <c r="Y856" i="3"/>
  <c r="AC856" i="3" s="1"/>
  <c r="Y865" i="3"/>
  <c r="Y867" i="3"/>
  <c r="Y882" i="3"/>
  <c r="Y888" i="3"/>
  <c r="Y893" i="3"/>
  <c r="AC893" i="3" s="1"/>
  <c r="Y896" i="3"/>
  <c r="AC896" i="3" s="1"/>
  <c r="Y897" i="3"/>
  <c r="Y900" i="3"/>
  <c r="AE900" i="3" s="1"/>
  <c r="Y913" i="3"/>
  <c r="Y927" i="3"/>
  <c r="Y933" i="3"/>
  <c r="Y938" i="3"/>
  <c r="Y937" i="3"/>
  <c r="AC937" i="3" s="1"/>
  <c r="Y940" i="3"/>
  <c r="AC940" i="3" s="1"/>
  <c r="Y945" i="3"/>
  <c r="Y952" i="3"/>
  <c r="AC952" i="3" s="1"/>
  <c r="Y963" i="3"/>
  <c r="Y969" i="3"/>
  <c r="Y977" i="3"/>
  <c r="Y980" i="3"/>
  <c r="AC980" i="3" s="1"/>
  <c r="Y986" i="3"/>
  <c r="Y992" i="3"/>
  <c r="Y994" i="3"/>
  <c r="Y995" i="3"/>
  <c r="AE995" i="3" s="1"/>
  <c r="Y1017" i="3"/>
  <c r="Y1020" i="3"/>
  <c r="Y1027" i="3"/>
  <c r="AC1027" i="3" s="1"/>
  <c r="Y1037" i="3"/>
  <c r="Y1041" i="3"/>
  <c r="Y1044" i="3"/>
  <c r="AC1044" i="3" s="1"/>
  <c r="Y1046" i="3"/>
  <c r="Y1049" i="3"/>
  <c r="AE1049" i="3" s="1"/>
  <c r="Y1050" i="3"/>
  <c r="Y1055" i="3"/>
  <c r="Y1067" i="3"/>
  <c r="AC1067" i="3" s="1"/>
  <c r="Y1069" i="3"/>
  <c r="Y1076" i="3"/>
  <c r="Y1077" i="3"/>
  <c r="AC1077" i="3" s="1"/>
  <c r="Y1085" i="3"/>
  <c r="Y1086" i="3"/>
  <c r="AE1086" i="3" s="1"/>
  <c r="Y1099" i="3"/>
  <c r="Y1105" i="3"/>
  <c r="AC1105" i="3" s="1"/>
  <c r="Y1120" i="3"/>
  <c r="Y1128" i="3"/>
  <c r="Y1164" i="3"/>
  <c r="AC1164" i="3" s="1"/>
  <c r="Y1180" i="3"/>
  <c r="AC1180" i="3" s="1"/>
  <c r="Y1197" i="3"/>
  <c r="Y1229" i="3"/>
  <c r="AC1229" i="3" s="1"/>
  <c r="Y1272" i="3"/>
  <c r="Y1276" i="3"/>
  <c r="AC1276" i="3" s="1"/>
  <c r="Y1286" i="3"/>
  <c r="Z1254" i="3"/>
  <c r="Z1256" i="3"/>
  <c r="Z1257" i="3"/>
  <c r="Z1258" i="3"/>
  <c r="Z1259" i="3"/>
  <c r="Z1260" i="3"/>
  <c r="Z1263" i="3"/>
  <c r="Z1264" i="3"/>
  <c r="Z1270" i="3"/>
  <c r="Z1275" i="3"/>
  <c r="Z1281" i="3"/>
  <c r="Z1284" i="3"/>
  <c r="Z1293" i="3"/>
  <c r="Z1295" i="3"/>
  <c r="Z1299" i="3"/>
  <c r="Z1301" i="3"/>
  <c r="Z1305" i="3"/>
  <c r="Z1315" i="3"/>
  <c r="Z1314" i="3"/>
  <c r="Z1329" i="3"/>
  <c r="Z1340" i="3"/>
  <c r="Z1345" i="3"/>
  <c r="Z1343" i="3"/>
  <c r="Z1346" i="3"/>
  <c r="Z1344" i="3"/>
  <c r="Z1352" i="3"/>
  <c r="Z1398" i="3"/>
  <c r="Z6" i="3"/>
  <c r="Z8" i="3"/>
  <c r="Z10" i="3"/>
  <c r="Z11" i="3"/>
  <c r="Z7" i="3"/>
  <c r="Z134" i="3"/>
  <c r="Z53" i="3"/>
  <c r="Z22" i="3"/>
  <c r="Z68" i="3"/>
  <c r="Z128" i="3"/>
  <c r="Z9" i="3"/>
  <c r="Z155" i="3"/>
  <c r="Z102" i="3"/>
  <c r="Z65" i="3"/>
  <c r="Z50" i="3"/>
  <c r="Z51" i="3"/>
  <c r="Z74" i="3"/>
  <c r="Z112" i="3"/>
  <c r="Z25" i="3"/>
  <c r="Z45" i="3"/>
  <c r="Z106" i="3"/>
  <c r="Z78" i="3"/>
  <c r="Z91" i="3"/>
  <c r="Z156" i="3"/>
  <c r="Z170" i="3"/>
  <c r="Z42" i="3"/>
  <c r="Z20" i="3"/>
  <c r="Z126" i="3"/>
  <c r="Z143" i="3"/>
  <c r="Z86" i="3"/>
  <c r="Z138" i="3"/>
  <c r="Z96" i="3"/>
  <c r="Z67" i="3"/>
  <c r="Z79" i="3"/>
  <c r="Z302" i="3"/>
  <c r="Z191" i="3"/>
  <c r="Z185" i="3"/>
  <c r="Z194" i="3"/>
  <c r="Z103" i="3"/>
  <c r="Z216" i="3"/>
  <c r="Z332" i="3"/>
  <c r="Z187" i="3"/>
  <c r="Z101" i="3"/>
  <c r="Z305" i="3"/>
  <c r="Z280" i="3"/>
  <c r="Z52" i="3"/>
  <c r="Z377" i="3"/>
  <c r="Z175" i="3"/>
  <c r="Z99" i="3"/>
  <c r="Z200" i="3"/>
  <c r="Z512" i="3"/>
  <c r="Z317" i="3"/>
  <c r="Z196" i="3"/>
  <c r="Z33" i="3"/>
  <c r="Z401" i="3"/>
  <c r="Z108" i="3"/>
  <c r="Z46" i="3"/>
  <c r="Z312" i="3"/>
  <c r="Z117" i="3"/>
  <c r="Z212" i="3"/>
  <c r="Z57" i="3"/>
  <c r="Z203" i="3"/>
  <c r="Z254" i="3"/>
  <c r="Z222" i="3"/>
  <c r="Z476" i="3"/>
  <c r="Z451" i="3"/>
  <c r="Z382" i="3"/>
  <c r="Z339" i="3"/>
  <c r="Z221" i="3"/>
  <c r="Z158" i="3"/>
  <c r="Z229" i="3"/>
  <c r="Z455" i="3"/>
  <c r="Z281" i="3"/>
  <c r="Z273" i="3"/>
  <c r="Z434" i="3"/>
  <c r="Z199" i="3"/>
  <c r="Z371" i="3"/>
  <c r="Z306" i="3"/>
  <c r="Z485" i="3"/>
  <c r="Z572" i="3"/>
  <c r="Z248" i="3"/>
  <c r="Z224" i="3"/>
  <c r="Z293" i="3"/>
  <c r="Z202" i="3"/>
  <c r="Z192" i="3"/>
  <c r="Z120" i="3"/>
  <c r="Z89" i="3"/>
  <c r="Z591" i="3"/>
  <c r="Z136" i="3"/>
  <c r="Z298" i="3"/>
  <c r="Z275" i="3"/>
  <c r="Z340" i="3"/>
  <c r="Z396" i="3"/>
  <c r="Z197" i="3"/>
  <c r="Z240" i="3"/>
  <c r="Z323" i="3"/>
  <c r="Z566" i="3"/>
  <c r="Z456" i="3"/>
  <c r="Z516" i="3"/>
  <c r="Z337" i="3"/>
  <c r="Z310" i="3"/>
  <c r="Z387" i="3"/>
  <c r="Z526" i="3"/>
  <c r="Z148" i="3"/>
  <c r="Z460" i="3"/>
  <c r="Z486" i="3"/>
  <c r="Z529" i="3"/>
  <c r="Z178" i="3"/>
  <c r="Z263" i="3"/>
  <c r="Z503" i="3"/>
  <c r="Z349" i="3"/>
  <c r="Z499" i="3"/>
  <c r="Z347" i="3"/>
  <c r="Z268" i="3"/>
  <c r="Z447" i="3"/>
  <c r="Z500" i="3"/>
  <c r="Z114" i="3"/>
  <c r="Z441" i="3"/>
  <c r="Z228" i="3"/>
  <c r="Z380" i="3"/>
  <c r="Z390" i="3"/>
  <c r="Z251" i="3"/>
  <c r="Z121" i="3"/>
  <c r="Z615" i="3"/>
  <c r="Z284" i="3"/>
  <c r="Z245" i="3"/>
  <c r="Z285" i="3"/>
  <c r="Z616" i="3"/>
  <c r="Z98" i="3"/>
  <c r="Z457" i="3"/>
  <c r="Z617" i="3"/>
  <c r="Z276" i="3"/>
  <c r="Z621" i="3"/>
  <c r="Z502" i="3"/>
  <c r="Z543" i="3"/>
  <c r="Z541" i="3"/>
  <c r="Z118" i="3"/>
  <c r="Z494" i="3"/>
  <c r="Z506" i="3"/>
  <c r="Z176" i="3"/>
  <c r="Z177" i="3"/>
  <c r="Z549" i="3"/>
  <c r="Z442" i="3"/>
  <c r="Z300" i="3"/>
  <c r="Z375" i="3"/>
  <c r="Z636" i="3"/>
  <c r="Z470" i="3"/>
  <c r="BI646" i="1" s="1"/>
  <c r="Z530" i="3"/>
  <c r="Z596" i="3"/>
  <c r="Z437" i="3"/>
  <c r="Z638" i="3"/>
  <c r="Z478" i="3"/>
  <c r="Z319" i="3"/>
  <c r="Z259" i="3"/>
  <c r="Z639" i="3"/>
  <c r="Z536" i="3"/>
  <c r="Z534" i="3"/>
  <c r="Z513" i="3"/>
  <c r="Z345" i="3"/>
  <c r="Z641" i="3"/>
  <c r="Z404" i="3"/>
  <c r="Z644" i="3"/>
  <c r="Z352" i="3"/>
  <c r="Z568" i="3"/>
  <c r="Z448" i="3"/>
  <c r="Z649" i="3"/>
  <c r="Z652" i="3"/>
  <c r="Z567" i="3"/>
  <c r="Z469" i="3"/>
  <c r="Z657" i="3"/>
  <c r="Z656" i="3"/>
  <c r="Z588" i="3"/>
  <c r="Z661" i="3"/>
  <c r="Z563" i="3"/>
  <c r="Z664" i="3"/>
  <c r="Z677" i="3"/>
  <c r="Z520" i="3"/>
  <c r="Z683" i="3"/>
  <c r="Z579" i="3"/>
  <c r="Z461" i="3"/>
  <c r="Z688" i="3"/>
  <c r="Z690" i="3"/>
  <c r="Z696" i="3"/>
  <c r="Z697" i="3"/>
  <c r="Z699" i="3"/>
  <c r="Z700" i="3"/>
  <c r="Z707" i="3"/>
  <c r="Z709" i="3"/>
  <c r="Z712" i="3"/>
  <c r="Z716" i="3"/>
  <c r="Z719" i="3"/>
  <c r="Z720" i="3"/>
  <c r="Z722" i="3"/>
  <c r="Z589" i="3"/>
  <c r="BI693" i="1" s="1"/>
  <c r="Z727" i="3"/>
  <c r="Z320" i="3"/>
  <c r="Z728" i="3"/>
  <c r="Z574" i="3"/>
  <c r="Z730" i="3"/>
  <c r="Z735" i="3"/>
  <c r="Z734" i="3"/>
  <c r="Z746" i="3"/>
  <c r="Z497" i="3"/>
  <c r="Z751" i="3"/>
  <c r="Z753" i="3"/>
  <c r="Z370" i="3"/>
  <c r="Z761" i="3"/>
  <c r="Z771" i="3"/>
  <c r="Z769" i="3"/>
  <c r="Z786" i="3"/>
  <c r="Z790" i="3"/>
  <c r="BI710" i="1" s="1"/>
  <c r="Z799" i="3"/>
  <c r="Z805" i="3"/>
  <c r="Z804" i="3"/>
  <c r="Z809" i="3"/>
  <c r="Z824" i="3"/>
  <c r="Z825" i="3"/>
  <c r="Z473" i="3"/>
  <c r="Z831" i="3"/>
  <c r="Z832" i="3"/>
  <c r="Z840" i="3"/>
  <c r="Z844" i="3"/>
  <c r="Z556" i="3"/>
  <c r="Z845" i="3"/>
  <c r="Z855" i="3"/>
  <c r="Z856" i="3"/>
  <c r="Z865" i="3"/>
  <c r="BI726" i="1" s="1"/>
  <c r="Z867" i="3"/>
  <c r="Z587" i="3"/>
  <c r="Z882" i="3"/>
  <c r="Z888" i="3"/>
  <c r="Z893" i="3"/>
  <c r="Z896" i="3"/>
  <c r="Z897" i="3"/>
  <c r="BI733" i="1" s="1"/>
  <c r="Z900" i="3"/>
  <c r="Z913" i="3"/>
  <c r="Z927" i="3"/>
  <c r="Z933" i="3"/>
  <c r="Z938" i="3"/>
  <c r="Z937" i="3"/>
  <c r="Z940" i="3"/>
  <c r="Z945" i="3"/>
  <c r="BI741" i="1" s="1"/>
  <c r="Z514" i="3"/>
  <c r="Z952" i="3"/>
  <c r="Z590" i="3"/>
  <c r="Z963" i="3"/>
  <c r="Z969" i="3"/>
  <c r="Z977" i="3"/>
  <c r="Z980" i="3"/>
  <c r="Z986" i="3"/>
  <c r="Z992" i="3"/>
  <c r="Z994" i="3"/>
  <c r="Z995" i="3"/>
  <c r="Z1017" i="3"/>
  <c r="Z562" i="3"/>
  <c r="Z1020" i="3"/>
  <c r="Z1027" i="3"/>
  <c r="Z1037" i="3"/>
  <c r="BI757" i="1" s="1"/>
  <c r="Z1041" i="3"/>
  <c r="Z1044" i="3"/>
  <c r="Z1046" i="3"/>
  <c r="Z1049" i="3"/>
  <c r="Z1050" i="3"/>
  <c r="Z1055" i="3"/>
  <c r="Z1067" i="3"/>
  <c r="Z1069" i="3"/>
  <c r="BI765" i="1" s="1"/>
  <c r="Z585" i="3"/>
  <c r="Z1076" i="3"/>
  <c r="Z1077" i="3"/>
  <c r="Z1085" i="3"/>
  <c r="Z1086" i="3"/>
  <c r="Z1099" i="3"/>
  <c r="Z1105" i="3"/>
  <c r="Z1120" i="3"/>
  <c r="Z1128" i="3"/>
  <c r="BI774" i="1" s="1"/>
  <c r="Z1164" i="3"/>
  <c r="Z1180" i="3"/>
  <c r="Z1197" i="3"/>
  <c r="Z1229" i="3"/>
  <c r="Z1272" i="3"/>
  <c r="Z1276" i="3"/>
  <c r="Z1286" i="3"/>
  <c r="AA1254" i="3"/>
  <c r="AA1256" i="3"/>
  <c r="AA1257" i="3"/>
  <c r="AA1258" i="3"/>
  <c r="AA1259" i="3"/>
  <c r="AA1260" i="3"/>
  <c r="AA1263" i="3"/>
  <c r="AA1264" i="3"/>
  <c r="AA1270" i="3"/>
  <c r="AA1275" i="3"/>
  <c r="AA1281" i="3"/>
  <c r="AA1284" i="3"/>
  <c r="AA1293" i="3"/>
  <c r="AA1295" i="3"/>
  <c r="AA1299" i="3"/>
  <c r="AA1301" i="3"/>
  <c r="AA1305" i="3"/>
  <c r="AA1315" i="3"/>
  <c r="AA1314" i="3"/>
  <c r="AA1329" i="3"/>
  <c r="AA1340" i="3"/>
  <c r="AA1345" i="3"/>
  <c r="AA1343" i="3"/>
  <c r="AA1346" i="3"/>
  <c r="BJ496" i="1" s="1"/>
  <c r="AA1344" i="3"/>
  <c r="AA1352" i="3"/>
  <c r="AA1398" i="3"/>
  <c r="AA6" i="3"/>
  <c r="AA8" i="3"/>
  <c r="AA10" i="3"/>
  <c r="AA11" i="3"/>
  <c r="AA7" i="3"/>
  <c r="AA134" i="3"/>
  <c r="AA53" i="3"/>
  <c r="AA22" i="3"/>
  <c r="AA68" i="3"/>
  <c r="AA128" i="3"/>
  <c r="AA9" i="3"/>
  <c r="AA155" i="3"/>
  <c r="AA102" i="3"/>
  <c r="AA65" i="3"/>
  <c r="AA50" i="3"/>
  <c r="AA51" i="3"/>
  <c r="AA74" i="3"/>
  <c r="AA112" i="3"/>
  <c r="AA25" i="3"/>
  <c r="AA45" i="3"/>
  <c r="AA106" i="3"/>
  <c r="AA78" i="3"/>
  <c r="AA91" i="3"/>
  <c r="AA156" i="3"/>
  <c r="AA170" i="3"/>
  <c r="AA42" i="3"/>
  <c r="AA20" i="3"/>
  <c r="AA126" i="3"/>
  <c r="AA143" i="3"/>
  <c r="AA86" i="3"/>
  <c r="AA138" i="3"/>
  <c r="AA96" i="3"/>
  <c r="AA67" i="3"/>
  <c r="AA79" i="3"/>
  <c r="AA302" i="3"/>
  <c r="AA191" i="3"/>
  <c r="AA185" i="3"/>
  <c r="AA194" i="3"/>
  <c r="AA103" i="3"/>
  <c r="AA216" i="3"/>
  <c r="AA332" i="3"/>
  <c r="AA187" i="3"/>
  <c r="AA101" i="3"/>
  <c r="AA305" i="3"/>
  <c r="AA280" i="3"/>
  <c r="AA52" i="3"/>
  <c r="AA377" i="3"/>
  <c r="AA175" i="3"/>
  <c r="AA99" i="3"/>
  <c r="AA200" i="3"/>
  <c r="AA512" i="3"/>
  <c r="AA317" i="3"/>
  <c r="AA196" i="3"/>
  <c r="AA33" i="3"/>
  <c r="AA401" i="3"/>
  <c r="AA108" i="3"/>
  <c r="AA46" i="3"/>
  <c r="AA312" i="3"/>
  <c r="AA117" i="3"/>
  <c r="AA212" i="3"/>
  <c r="AA57" i="3"/>
  <c r="BJ560" i="1" s="1"/>
  <c r="AA203" i="3"/>
  <c r="AA254" i="3"/>
  <c r="AA222" i="3"/>
  <c r="AA476" i="3"/>
  <c r="AA451" i="3"/>
  <c r="AA382" i="3"/>
  <c r="AA339" i="3"/>
  <c r="AA221" i="3"/>
  <c r="AA158" i="3"/>
  <c r="AA229" i="3"/>
  <c r="AA455" i="3"/>
  <c r="AA281" i="3"/>
  <c r="AA273" i="3"/>
  <c r="AA434" i="3"/>
  <c r="AA199" i="3"/>
  <c r="AA371" i="3"/>
  <c r="AA306" i="3"/>
  <c r="AA485" i="3"/>
  <c r="AA572" i="3"/>
  <c r="AA248" i="3"/>
  <c r="AA224" i="3"/>
  <c r="AA293" i="3"/>
  <c r="AA202" i="3"/>
  <c r="AA192" i="3"/>
  <c r="AA120" i="3"/>
  <c r="AA89" i="3"/>
  <c r="AA591" i="3"/>
  <c r="AA136" i="3"/>
  <c r="AA298" i="3"/>
  <c r="AA275" i="3"/>
  <c r="AA340" i="3"/>
  <c r="AA396" i="3"/>
  <c r="AA197" i="3"/>
  <c r="AA240" i="3"/>
  <c r="AA323" i="3"/>
  <c r="AA566" i="3"/>
  <c r="AA456" i="3"/>
  <c r="AA516" i="3"/>
  <c r="AA337" i="3"/>
  <c r="AA310" i="3"/>
  <c r="AA387" i="3"/>
  <c r="AA526" i="3"/>
  <c r="AA148" i="3"/>
  <c r="AA460" i="3"/>
  <c r="AA486" i="3"/>
  <c r="AA529" i="3"/>
  <c r="AA178" i="3"/>
  <c r="AA263" i="3"/>
  <c r="AA503" i="3"/>
  <c r="AA349" i="3"/>
  <c r="AA499" i="3"/>
  <c r="AA347" i="3"/>
  <c r="AA268" i="3"/>
  <c r="AA447" i="3"/>
  <c r="AA500" i="3"/>
  <c r="AA114" i="3"/>
  <c r="AA441" i="3"/>
  <c r="AA228" i="3"/>
  <c r="AA380" i="3"/>
  <c r="AA390" i="3"/>
  <c r="AA251" i="3"/>
  <c r="AA121" i="3"/>
  <c r="AA615" i="3"/>
  <c r="AA284" i="3"/>
  <c r="AA245" i="3"/>
  <c r="AA285" i="3"/>
  <c r="AA616" i="3"/>
  <c r="AA98" i="3"/>
  <c r="AA457" i="3"/>
  <c r="AA617" i="3"/>
  <c r="AA276" i="3"/>
  <c r="AA621" i="3"/>
  <c r="BJ632" i="1" s="1"/>
  <c r="AA502" i="3"/>
  <c r="AA543" i="3"/>
  <c r="AA541" i="3"/>
  <c r="AA118" i="3"/>
  <c r="AA494" i="3"/>
  <c r="AA506" i="3"/>
  <c r="AA176" i="3"/>
  <c r="AA177" i="3"/>
  <c r="AA549" i="3"/>
  <c r="AA442" i="3"/>
  <c r="AA300" i="3"/>
  <c r="AA375" i="3"/>
  <c r="AA636" i="3"/>
  <c r="AA470" i="3"/>
  <c r="AA530" i="3"/>
  <c r="AA596" i="3"/>
  <c r="AA437" i="3"/>
  <c r="AA638" i="3"/>
  <c r="AA478" i="3"/>
  <c r="AA319" i="3"/>
  <c r="AA259" i="3"/>
  <c r="AA639" i="3"/>
  <c r="AA536" i="3"/>
  <c r="AA534" i="3"/>
  <c r="AA513" i="3"/>
  <c r="AA345" i="3"/>
  <c r="AA641" i="3"/>
  <c r="AA404" i="3"/>
  <c r="AA644" i="3"/>
  <c r="AA352" i="3"/>
  <c r="AA568" i="3"/>
  <c r="AA448" i="3"/>
  <c r="BJ664" i="1" s="1"/>
  <c r="AA649" i="3"/>
  <c r="AA652" i="3"/>
  <c r="AA567" i="3"/>
  <c r="AA469" i="3"/>
  <c r="AA657" i="3"/>
  <c r="AA656" i="3"/>
  <c r="AA588" i="3"/>
  <c r="AA661" i="3"/>
  <c r="AA563" i="3"/>
  <c r="BJ673" i="1" s="1"/>
  <c r="AA664" i="3"/>
  <c r="AA677" i="3"/>
  <c r="AA520" i="3"/>
  <c r="AA683" i="3"/>
  <c r="AA579" i="3"/>
  <c r="AA461" i="3"/>
  <c r="AA688" i="3"/>
  <c r="AA690" i="3"/>
  <c r="AA696" i="3"/>
  <c r="AA697" i="3"/>
  <c r="AA699" i="3"/>
  <c r="AA700" i="3"/>
  <c r="AA707" i="3"/>
  <c r="AA709" i="3"/>
  <c r="AA712" i="3"/>
  <c r="AA716" i="3"/>
  <c r="AA719" i="3"/>
  <c r="AA720" i="3"/>
  <c r="AA722" i="3"/>
  <c r="AA589" i="3"/>
  <c r="AA727" i="3"/>
  <c r="AA320" i="3"/>
  <c r="AA728" i="3"/>
  <c r="AA574" i="3"/>
  <c r="AA730" i="3"/>
  <c r="AA735" i="3"/>
  <c r="AA734" i="3"/>
  <c r="AA746" i="3"/>
  <c r="AA497" i="3"/>
  <c r="AA751" i="3"/>
  <c r="AA753" i="3"/>
  <c r="AA370" i="3"/>
  <c r="BJ705" i="1" s="1"/>
  <c r="AA761" i="3"/>
  <c r="AA771" i="3"/>
  <c r="AA769" i="3"/>
  <c r="AA786" i="3"/>
  <c r="AA790" i="3"/>
  <c r="AA799" i="3"/>
  <c r="AA805" i="3"/>
  <c r="AA804" i="3"/>
  <c r="BJ713" i="1" s="1"/>
  <c r="AA809" i="3"/>
  <c r="AA824" i="3"/>
  <c r="AA825" i="3"/>
  <c r="AA473" i="3"/>
  <c r="AA831" i="3"/>
  <c r="AA832" i="3"/>
  <c r="AA840" i="3"/>
  <c r="AA844" i="3"/>
  <c r="BJ721" i="1" s="1"/>
  <c r="AA556" i="3"/>
  <c r="AA845" i="3"/>
  <c r="AA855" i="3"/>
  <c r="AA856" i="3"/>
  <c r="AA865" i="3"/>
  <c r="AA867" i="3"/>
  <c r="AA587" i="3"/>
  <c r="AA882" i="3"/>
  <c r="AA888" i="3"/>
  <c r="AA893" i="3"/>
  <c r="AA896" i="3"/>
  <c r="AA897" i="3"/>
  <c r="AA900" i="3"/>
  <c r="AA913" i="3"/>
  <c r="AA927" i="3"/>
  <c r="AA933" i="3"/>
  <c r="BJ737" i="1" s="1"/>
  <c r="AA938" i="3"/>
  <c r="AA937" i="3"/>
  <c r="AA940" i="3"/>
  <c r="AA945" i="3"/>
  <c r="AA514" i="3"/>
  <c r="AA952" i="3"/>
  <c r="AA590" i="3"/>
  <c r="BJ744" i="1" s="1"/>
  <c r="AA963" i="3"/>
  <c r="AA969" i="3"/>
  <c r="AA977" i="3"/>
  <c r="AA980" i="3"/>
  <c r="AA986" i="3"/>
  <c r="AA992" i="3"/>
  <c r="AA994" i="3"/>
  <c r="AA995" i="3"/>
  <c r="AA1017" i="3"/>
  <c r="AA562" i="3"/>
  <c r="AA1020" i="3"/>
  <c r="AA1027" i="3"/>
  <c r="AA1037" i="3"/>
  <c r="AA1041" i="3"/>
  <c r="AA1044" i="3"/>
  <c r="AA1046" i="3"/>
  <c r="AA1049" i="3"/>
  <c r="AA1050" i="3"/>
  <c r="AA1055" i="3"/>
  <c r="AA1067" i="3"/>
  <c r="AA1069" i="3"/>
  <c r="AA585" i="3"/>
  <c r="AA1076" i="3"/>
  <c r="AA1077" i="3"/>
  <c r="AA1085" i="3"/>
  <c r="AA1086" i="3"/>
  <c r="AA1099" i="3"/>
  <c r="AA1105" i="3"/>
  <c r="AA1120" i="3"/>
  <c r="AA1128" i="3"/>
  <c r="AA1164" i="3"/>
  <c r="AA1180" i="3"/>
  <c r="AA1197" i="3"/>
  <c r="AA1229" i="3"/>
  <c r="AA1272" i="3"/>
  <c r="AA1276" i="3"/>
  <c r="AA1286" i="3"/>
  <c r="AB1254" i="3"/>
  <c r="AD1254" i="3" s="1"/>
  <c r="AB1256" i="3"/>
  <c r="AB1257" i="3"/>
  <c r="AB1258" i="3"/>
  <c r="AB1259" i="3"/>
  <c r="AD1259" i="3" s="1"/>
  <c r="AB1260" i="3"/>
  <c r="AD1260" i="3" s="1"/>
  <c r="AB1263" i="3"/>
  <c r="AD1263" i="3" s="1"/>
  <c r="AB1264" i="3"/>
  <c r="AD1264" i="3" s="1"/>
  <c r="AB1270" i="3"/>
  <c r="AB1275" i="3"/>
  <c r="AD1275" i="3" s="1"/>
  <c r="AB1281" i="3"/>
  <c r="AB1284" i="3"/>
  <c r="AB1293" i="3"/>
  <c r="AD1293" i="3" s="1"/>
  <c r="AB1295" i="3"/>
  <c r="AD1295" i="3" s="1"/>
  <c r="AB1299" i="3"/>
  <c r="AD1299" i="3" s="1"/>
  <c r="AB1301" i="3"/>
  <c r="AB1305" i="3"/>
  <c r="AD1305" i="3" s="1"/>
  <c r="AB1315" i="3"/>
  <c r="AB1314" i="3"/>
  <c r="AB1329" i="3"/>
  <c r="AB1340" i="3"/>
  <c r="AB1345" i="3"/>
  <c r="AD1345" i="3" s="1"/>
  <c r="AB1343" i="3"/>
  <c r="AD1343" i="3" s="1"/>
  <c r="AB1346" i="3"/>
  <c r="AB1344" i="3"/>
  <c r="AD1344" i="3" s="1"/>
  <c r="AB1352" i="3"/>
  <c r="AD1352" i="3" s="1"/>
  <c r="AB1398" i="3"/>
  <c r="AB6" i="3"/>
  <c r="AB8" i="3"/>
  <c r="AB10" i="3"/>
  <c r="AB11" i="3"/>
  <c r="AB7" i="3"/>
  <c r="AB134" i="3"/>
  <c r="AB53" i="3"/>
  <c r="AB22" i="3"/>
  <c r="AB68" i="3"/>
  <c r="AB128" i="3"/>
  <c r="AB9" i="3"/>
  <c r="AB155" i="3"/>
  <c r="AB102" i="3"/>
  <c r="AB65" i="3"/>
  <c r="AB50" i="3"/>
  <c r="AB51" i="3"/>
  <c r="AB74" i="3"/>
  <c r="AB112" i="3"/>
  <c r="AB25" i="3"/>
  <c r="AB45" i="3"/>
  <c r="AB106" i="3"/>
  <c r="AB78" i="3"/>
  <c r="AB91" i="3"/>
  <c r="AB156" i="3"/>
  <c r="AB170" i="3"/>
  <c r="AB42" i="3"/>
  <c r="AB20" i="3"/>
  <c r="AD20" i="3" s="1"/>
  <c r="AB126" i="3"/>
  <c r="AB143" i="3"/>
  <c r="AB86" i="3"/>
  <c r="AB138" i="3"/>
  <c r="AB96" i="3"/>
  <c r="AB67" i="3"/>
  <c r="AB79" i="3"/>
  <c r="AD79" i="3" s="1"/>
  <c r="AB302" i="3"/>
  <c r="AB191" i="3"/>
  <c r="AB185" i="3"/>
  <c r="AB194" i="3"/>
  <c r="AB103" i="3"/>
  <c r="AB216" i="3"/>
  <c r="AB332" i="3"/>
  <c r="AB187" i="3"/>
  <c r="AD187" i="3" s="1"/>
  <c r="AB101" i="3"/>
  <c r="AD101" i="3" s="1"/>
  <c r="AB305" i="3"/>
  <c r="AB280" i="3"/>
  <c r="AB52" i="3"/>
  <c r="AB377" i="3"/>
  <c r="AB175" i="3"/>
  <c r="AB99" i="3"/>
  <c r="AB200" i="3"/>
  <c r="AB512" i="3"/>
  <c r="AB317" i="3"/>
  <c r="AB196" i="3"/>
  <c r="AB33" i="3"/>
  <c r="AB401" i="3"/>
  <c r="AB108" i="3"/>
  <c r="AB46" i="3"/>
  <c r="AD46" i="3" s="1"/>
  <c r="AB312" i="3"/>
  <c r="AB117" i="3"/>
  <c r="AB212" i="3"/>
  <c r="AB57" i="3"/>
  <c r="AB203" i="3"/>
  <c r="AB254" i="3"/>
  <c r="AB222" i="3"/>
  <c r="AB476" i="3"/>
  <c r="AB451" i="3"/>
  <c r="AB382" i="3"/>
  <c r="AB339" i="3"/>
  <c r="AB221" i="3"/>
  <c r="AB158" i="3"/>
  <c r="AB229" i="3"/>
  <c r="AB455" i="3"/>
  <c r="AB281" i="3"/>
  <c r="AB273" i="3"/>
  <c r="AB434" i="3"/>
  <c r="AB199" i="3"/>
  <c r="AB371" i="3"/>
  <c r="AB306" i="3"/>
  <c r="AB485" i="3"/>
  <c r="AB572" i="3"/>
  <c r="AB248" i="3"/>
  <c r="AB224" i="3"/>
  <c r="AB293" i="3"/>
  <c r="AB202" i="3"/>
  <c r="AB192" i="3"/>
  <c r="AB120" i="3"/>
  <c r="AB89" i="3"/>
  <c r="AB591" i="3"/>
  <c r="AB136" i="3"/>
  <c r="AB298" i="3"/>
  <c r="AB275" i="3"/>
  <c r="AB340" i="3"/>
  <c r="AB396" i="3"/>
  <c r="AB197" i="3"/>
  <c r="AB240" i="3"/>
  <c r="AB323" i="3"/>
  <c r="AB566" i="3"/>
  <c r="AB456" i="3"/>
  <c r="AB516" i="3"/>
  <c r="AB337" i="3"/>
  <c r="AB310" i="3"/>
  <c r="AB387" i="3"/>
  <c r="AB526" i="3"/>
  <c r="AB148" i="3"/>
  <c r="AB460" i="3"/>
  <c r="AB486" i="3"/>
  <c r="AB529" i="3"/>
  <c r="AB178" i="3"/>
  <c r="AB263" i="3"/>
  <c r="AB503" i="3"/>
  <c r="AB349" i="3"/>
  <c r="AB499" i="3"/>
  <c r="AB347" i="3"/>
  <c r="AB268" i="3"/>
  <c r="AB447" i="3"/>
  <c r="AB500" i="3"/>
  <c r="AB114" i="3"/>
  <c r="AB441" i="3"/>
  <c r="AB228" i="3"/>
  <c r="AB380" i="3"/>
  <c r="AB390" i="3"/>
  <c r="AB251" i="3"/>
  <c r="AB121" i="3"/>
  <c r="AB615" i="3"/>
  <c r="AB284" i="3"/>
  <c r="AB245" i="3"/>
  <c r="AB285" i="3"/>
  <c r="AD285" i="3" s="1"/>
  <c r="AB616" i="3"/>
  <c r="AB98" i="3"/>
  <c r="AB457" i="3"/>
  <c r="AB617" i="3"/>
  <c r="AB276" i="3"/>
  <c r="AB621" i="3"/>
  <c r="AB502" i="3"/>
  <c r="AB543" i="3"/>
  <c r="AB541" i="3"/>
  <c r="AB118" i="3"/>
  <c r="AB494" i="3"/>
  <c r="AB506" i="3"/>
  <c r="AB176" i="3"/>
  <c r="AB177" i="3"/>
  <c r="AB549" i="3"/>
  <c r="AB442" i="3"/>
  <c r="AB300" i="3"/>
  <c r="AB375" i="3"/>
  <c r="AB636" i="3"/>
  <c r="AB470" i="3"/>
  <c r="AB530" i="3"/>
  <c r="AB596" i="3"/>
  <c r="AB437" i="3"/>
  <c r="AB638" i="3"/>
  <c r="AB478" i="3"/>
  <c r="AB319" i="3"/>
  <c r="AB259" i="3"/>
  <c r="AB639" i="3"/>
  <c r="AB536" i="3"/>
  <c r="AB534" i="3"/>
  <c r="AB513" i="3"/>
  <c r="AB345" i="3"/>
  <c r="AB641" i="3"/>
  <c r="AB404" i="3"/>
  <c r="AB644" i="3"/>
  <c r="AB352" i="3"/>
  <c r="AB568" i="3"/>
  <c r="AB448" i="3"/>
  <c r="AB649" i="3"/>
  <c r="AB652" i="3"/>
  <c r="AB567" i="3"/>
  <c r="BK667" i="1" s="1"/>
  <c r="AB469" i="3"/>
  <c r="AB657" i="3"/>
  <c r="AB656" i="3"/>
  <c r="AD656" i="3" s="1"/>
  <c r="AB588" i="3"/>
  <c r="AD588" i="3" s="1"/>
  <c r="AB661" i="3"/>
  <c r="AB563" i="3"/>
  <c r="BK673" i="1" s="1"/>
  <c r="AB664" i="3"/>
  <c r="AD664" i="3" s="1"/>
  <c r="AB677" i="3"/>
  <c r="AB520" i="3"/>
  <c r="AB683" i="3"/>
  <c r="AD683" i="3" s="1"/>
  <c r="AB579" i="3"/>
  <c r="AB461" i="3"/>
  <c r="AD461" i="3" s="1"/>
  <c r="AB688" i="3"/>
  <c r="AB690" i="3"/>
  <c r="AD690" i="3" s="1"/>
  <c r="AB696" i="3"/>
  <c r="AB697" i="3"/>
  <c r="AB699" i="3"/>
  <c r="AB700" i="3"/>
  <c r="AB707" i="3"/>
  <c r="AD707" i="3" s="1"/>
  <c r="AB709" i="3"/>
  <c r="AB712" i="3"/>
  <c r="AB716" i="3"/>
  <c r="AD716" i="3" s="1"/>
  <c r="AB719" i="3"/>
  <c r="AD719" i="3" s="1"/>
  <c r="AB720" i="3"/>
  <c r="AB722" i="3"/>
  <c r="AB589" i="3"/>
  <c r="AB727" i="3"/>
  <c r="AB320" i="3"/>
  <c r="AD320" i="3" s="1"/>
  <c r="AB728" i="3"/>
  <c r="AB574" i="3"/>
  <c r="AB730" i="3"/>
  <c r="AD730" i="3" s="1"/>
  <c r="AB735" i="3"/>
  <c r="AB734" i="3"/>
  <c r="AB746" i="3"/>
  <c r="AB497" i="3"/>
  <c r="AD497" i="3" s="1"/>
  <c r="AB751" i="3"/>
  <c r="AB753" i="3"/>
  <c r="AB370" i="3"/>
  <c r="AB761" i="3"/>
  <c r="AD761" i="3" s="1"/>
  <c r="AB771" i="3"/>
  <c r="AB769" i="3"/>
  <c r="AB786" i="3"/>
  <c r="AD786" i="3" s="1"/>
  <c r="AB790" i="3"/>
  <c r="AB799" i="3"/>
  <c r="AD799" i="3" s="1"/>
  <c r="AB805" i="3"/>
  <c r="AB804" i="3"/>
  <c r="BK713" i="1" s="1"/>
  <c r="AB809" i="3"/>
  <c r="AD809" i="3" s="1"/>
  <c r="AB824" i="3"/>
  <c r="AB825" i="3"/>
  <c r="AB473" i="3"/>
  <c r="AD473" i="3" s="1"/>
  <c r="AB831" i="3"/>
  <c r="AB832" i="3"/>
  <c r="AB840" i="3"/>
  <c r="AB844" i="3"/>
  <c r="AB556" i="3"/>
  <c r="AD556" i="3" s="1"/>
  <c r="AB845" i="3"/>
  <c r="AB855" i="3"/>
  <c r="AB856" i="3"/>
  <c r="AD856" i="3" s="1"/>
  <c r="AB865" i="3"/>
  <c r="AD865" i="3" s="1"/>
  <c r="AB867" i="3"/>
  <c r="AB587" i="3"/>
  <c r="AB882" i="3"/>
  <c r="AB888" i="3"/>
  <c r="AB893" i="3"/>
  <c r="AB896" i="3"/>
  <c r="AB897" i="3"/>
  <c r="AD897" i="3" s="1"/>
  <c r="AB900" i="3"/>
  <c r="AB913" i="3"/>
  <c r="AD913" i="3" s="1"/>
  <c r="AB927" i="3"/>
  <c r="AB933" i="3"/>
  <c r="AB938" i="3"/>
  <c r="AD938" i="3" s="1"/>
  <c r="AB937" i="3"/>
  <c r="AB940" i="3"/>
  <c r="AB945" i="3"/>
  <c r="AD945" i="3" s="1"/>
  <c r="AB514" i="3"/>
  <c r="AB952" i="3"/>
  <c r="AD952" i="3" s="1"/>
  <c r="AB590" i="3"/>
  <c r="AB963" i="3"/>
  <c r="AD963" i="3" s="1"/>
  <c r="AB969" i="3"/>
  <c r="AB977" i="3"/>
  <c r="AB980" i="3"/>
  <c r="AB986" i="3"/>
  <c r="AB992" i="3"/>
  <c r="AD992" i="3" s="1"/>
  <c r="AB994" i="3"/>
  <c r="AD994" i="3" s="1"/>
  <c r="AB995" i="3"/>
  <c r="AB1017" i="3"/>
  <c r="AB562" i="3"/>
  <c r="AD562" i="3" s="1"/>
  <c r="AB1020" i="3"/>
  <c r="AB1027" i="3"/>
  <c r="AB1037" i="3"/>
  <c r="AD1037" i="3" s="1"/>
  <c r="AB1041" i="3"/>
  <c r="AB1044" i="3"/>
  <c r="AD1044" i="3" s="1"/>
  <c r="AB1046" i="3"/>
  <c r="AB1049" i="3"/>
  <c r="AB1050" i="3"/>
  <c r="AD1050" i="3" s="1"/>
  <c r="AB1055" i="3"/>
  <c r="AB1067" i="3"/>
  <c r="AB1069" i="3"/>
  <c r="AB585" i="3"/>
  <c r="AB1076" i="3"/>
  <c r="AB1077" i="3"/>
  <c r="AB1085" i="3"/>
  <c r="AB1086" i="3"/>
  <c r="AD1086" i="3" s="1"/>
  <c r="AB1099" i="3"/>
  <c r="AB1105" i="3"/>
  <c r="AB1120" i="3"/>
  <c r="AB1128" i="3"/>
  <c r="AB1164" i="3"/>
  <c r="AD1164" i="3" s="1"/>
  <c r="AB1180" i="3"/>
  <c r="AB1197" i="3"/>
  <c r="AB1229" i="3"/>
  <c r="AB1272" i="3"/>
  <c r="AB1276" i="3"/>
  <c r="AB1286" i="3"/>
  <c r="AD1286" i="3" s="1"/>
  <c r="AC1254" i="3"/>
  <c r="AC1256" i="3"/>
  <c r="AC1258" i="3"/>
  <c r="AC1259" i="3"/>
  <c r="AC1260" i="3"/>
  <c r="AC1263" i="3"/>
  <c r="AC1264" i="3"/>
  <c r="AC1275" i="3"/>
  <c r="AC1284" i="3"/>
  <c r="AC1293" i="3"/>
  <c r="AC1295" i="3"/>
  <c r="AC1299" i="3"/>
  <c r="AC1301" i="3"/>
  <c r="AC1305" i="3"/>
  <c r="AC1315" i="3"/>
  <c r="AC1329" i="3"/>
  <c r="AC1340" i="3"/>
  <c r="AC1345" i="3"/>
  <c r="AC1343" i="3"/>
  <c r="AC1346" i="3"/>
  <c r="AC1352" i="3"/>
  <c r="AC617" i="3"/>
  <c r="AC621" i="3"/>
  <c r="AC636" i="3"/>
  <c r="AC639" i="3"/>
  <c r="AC644" i="3"/>
  <c r="AC652" i="3"/>
  <c r="AC657" i="3"/>
  <c r="AC656" i="3"/>
  <c r="AC664" i="3"/>
  <c r="AC683" i="3"/>
  <c r="AC688" i="3"/>
  <c r="AC690" i="3"/>
  <c r="AC696" i="3"/>
  <c r="AC700" i="3"/>
  <c r="AC709" i="3"/>
  <c r="AC712" i="3"/>
  <c r="AC716" i="3"/>
  <c r="AC719" i="3"/>
  <c r="AC727" i="3"/>
  <c r="AC730" i="3"/>
  <c r="AC746" i="3"/>
  <c r="AC751" i="3"/>
  <c r="AC761" i="3"/>
  <c r="AC786" i="3"/>
  <c r="AC790" i="3"/>
  <c r="AC805" i="3"/>
  <c r="AC809" i="3"/>
  <c r="AC831" i="3"/>
  <c r="AC832" i="3"/>
  <c r="AC840" i="3"/>
  <c r="AC844" i="3"/>
  <c r="AC865" i="3"/>
  <c r="AC867" i="3"/>
  <c r="AC882" i="3"/>
  <c r="AC888" i="3"/>
  <c r="AC897" i="3"/>
  <c r="AC900" i="3"/>
  <c r="AC913" i="3"/>
  <c r="AC927" i="3"/>
  <c r="AC933" i="3"/>
  <c r="AC938" i="3"/>
  <c r="AC945" i="3"/>
  <c r="AC963" i="3"/>
  <c r="AC969" i="3"/>
  <c r="AC986" i="3"/>
  <c r="AC992" i="3"/>
  <c r="AC994" i="3"/>
  <c r="AC1017" i="3"/>
  <c r="AC1037" i="3"/>
  <c r="AC1041" i="3"/>
  <c r="AC1046" i="3"/>
  <c r="AC1049" i="3"/>
  <c r="AC1050" i="3"/>
  <c r="AC1069" i="3"/>
  <c r="AC1076" i="3"/>
  <c r="AC1085" i="3"/>
  <c r="AC1120" i="3"/>
  <c r="AC1128" i="3"/>
  <c r="AC1197" i="3"/>
  <c r="AC1286" i="3"/>
  <c r="AE1256" i="3"/>
  <c r="AE1258" i="3"/>
  <c r="AE1259" i="3"/>
  <c r="AE1260" i="3"/>
  <c r="AE1263" i="3"/>
  <c r="AE1264" i="3"/>
  <c r="AE1270" i="3"/>
  <c r="AE1275" i="3"/>
  <c r="AE1284" i="3"/>
  <c r="AE1293" i="3"/>
  <c r="AE1295" i="3"/>
  <c r="AE1299" i="3"/>
  <c r="AE1301" i="3"/>
  <c r="AE1305" i="3"/>
  <c r="AE1315" i="3"/>
  <c r="AE1329" i="3"/>
  <c r="AE1340" i="3"/>
  <c r="AE1345" i="3"/>
  <c r="AE1343" i="3"/>
  <c r="AE1346" i="3"/>
  <c r="AE1352" i="3"/>
  <c r="AE615" i="3"/>
  <c r="AE617" i="3"/>
  <c r="AE621" i="3"/>
  <c r="AE636" i="3"/>
  <c r="AE639" i="3"/>
  <c r="AE644" i="3"/>
  <c r="AE649" i="3"/>
  <c r="AE652" i="3"/>
  <c r="AE657" i="3"/>
  <c r="AE656" i="3"/>
  <c r="AE664" i="3"/>
  <c r="AE683" i="3"/>
  <c r="AE688" i="3"/>
  <c r="AE690" i="3"/>
  <c r="AE696" i="3"/>
  <c r="AE700" i="3"/>
  <c r="AE709" i="3"/>
  <c r="AE712" i="3"/>
  <c r="AE716" i="3"/>
  <c r="AE719" i="3"/>
  <c r="AE727" i="3"/>
  <c r="AE728" i="3"/>
  <c r="AE730" i="3"/>
  <c r="AE746" i="3"/>
  <c r="AE751" i="3"/>
  <c r="AE761" i="3"/>
  <c r="AE786" i="3"/>
  <c r="AE790" i="3"/>
  <c r="AE799" i="3"/>
  <c r="AE805" i="3"/>
  <c r="AE804" i="3"/>
  <c r="AE809" i="3"/>
  <c r="AE831" i="3"/>
  <c r="AE832" i="3"/>
  <c r="AE840" i="3"/>
  <c r="AE844" i="3"/>
  <c r="AE865" i="3"/>
  <c r="AE867" i="3"/>
  <c r="AE882" i="3"/>
  <c r="AE888" i="3"/>
  <c r="AE897" i="3"/>
  <c r="AE913" i="3"/>
  <c r="AE927" i="3"/>
  <c r="AE933" i="3"/>
  <c r="AE938" i="3"/>
  <c r="AE945" i="3"/>
  <c r="AE963" i="3"/>
  <c r="AE969" i="3"/>
  <c r="AE986" i="3"/>
  <c r="AE992" i="3"/>
  <c r="AE994" i="3"/>
  <c r="AE1017" i="3"/>
  <c r="AE1037" i="3"/>
  <c r="AE1041" i="3"/>
  <c r="AE1046" i="3"/>
  <c r="AE1050" i="3"/>
  <c r="AE1069" i="3"/>
  <c r="AE1076" i="3"/>
  <c r="AE1085" i="3"/>
  <c r="AE1120" i="3"/>
  <c r="AE1128" i="3"/>
  <c r="AE1164" i="3"/>
  <c r="AE1197" i="3"/>
  <c r="AE1229" i="3"/>
  <c r="AE1286" i="3"/>
  <c r="H608" i="7"/>
  <c r="H609" i="7"/>
  <c r="H610" i="7"/>
  <c r="AS714" i="2"/>
  <c r="AS712" i="2"/>
  <c r="AS700" i="2"/>
  <c r="AS656" i="2"/>
  <c r="AS647" i="2"/>
  <c r="AS633" i="2"/>
  <c r="AS623" i="2"/>
  <c r="AS617" i="2"/>
  <c r="AS565" i="2"/>
  <c r="AS562" i="2"/>
  <c r="AS551" i="2"/>
  <c r="AS522" i="2"/>
  <c r="AS513" i="2"/>
  <c r="AS501" i="2"/>
  <c r="AS471" i="2"/>
  <c r="AS455" i="2"/>
  <c r="AS442" i="2"/>
  <c r="AS441" i="2"/>
  <c r="AS421" i="2"/>
  <c r="AS417" i="2"/>
  <c r="AS411" i="2"/>
  <c r="AS400" i="2"/>
  <c r="AS390" i="2"/>
  <c r="AS389" i="2"/>
  <c r="AS363" i="2"/>
  <c r="AS352" i="2"/>
  <c r="AS307" i="2"/>
  <c r="AS279" i="2"/>
  <c r="AS248" i="2"/>
  <c r="AS399" i="2"/>
  <c r="AS241" i="2"/>
  <c r="AS238" i="2"/>
  <c r="AS205" i="2"/>
  <c r="AS199" i="2"/>
  <c r="AS196" i="2"/>
  <c r="AS194" i="2"/>
  <c r="AS193" i="2"/>
  <c r="AS190" i="2"/>
  <c r="AS512" i="2"/>
  <c r="AS86" i="2"/>
  <c r="AS176" i="2"/>
  <c r="AS167" i="2"/>
  <c r="AS164" i="2"/>
  <c r="AS163" i="2"/>
  <c r="AS161" i="2"/>
  <c r="AS149" i="2"/>
  <c r="AS147" i="2"/>
  <c r="AS123" i="2"/>
  <c r="AS101" i="2"/>
  <c r="AS82" i="2"/>
  <c r="AS74" i="2"/>
  <c r="AS337" i="2"/>
  <c r="AS625" i="2"/>
  <c r="AS319" i="2"/>
  <c r="AS229" i="2"/>
  <c r="AS165" i="2"/>
  <c r="AS535" i="2"/>
  <c r="AS219" i="2"/>
  <c r="AS54" i="2"/>
  <c r="AS48" i="2"/>
  <c r="AS42" i="2"/>
  <c r="AS640" i="2"/>
  <c r="AS602" i="2"/>
  <c r="AS519" i="2"/>
  <c r="AS478" i="2"/>
  <c r="AS477" i="2"/>
  <c r="AS446" i="2"/>
  <c r="AS445" i="2"/>
  <c r="AS430" i="2"/>
  <c r="AS392" i="2"/>
  <c r="AS336" i="2"/>
  <c r="AS324" i="2"/>
  <c r="AS309" i="2"/>
  <c r="AS296" i="2"/>
  <c r="AS294" i="2"/>
  <c r="AS289" i="2"/>
  <c r="AS281" i="2"/>
  <c r="AS278" i="2"/>
  <c r="AS273" i="2"/>
  <c r="AS260" i="2"/>
  <c r="AS257" i="2"/>
  <c r="AS252" i="2"/>
  <c r="AS234" i="2"/>
  <c r="AS552" i="2"/>
  <c r="AS225" i="2"/>
  <c r="AS408" i="2"/>
  <c r="AS764" i="2"/>
  <c r="AS349" i="2"/>
  <c r="AS221" i="2"/>
  <c r="AS548" i="2"/>
  <c r="AS293" i="2"/>
  <c r="AS667" i="2"/>
  <c r="AS500" i="2"/>
  <c r="AS646" i="2"/>
  <c r="AS645" i="2"/>
  <c r="AS692" i="2"/>
  <c r="AS682" i="2"/>
  <c r="AS576" i="2"/>
  <c r="AS228" i="2"/>
  <c r="AS166" i="2"/>
  <c r="AS204" i="2"/>
  <c r="AS201" i="2"/>
  <c r="AS30" i="2"/>
  <c r="AS653" i="2"/>
  <c r="AS528" i="2"/>
  <c r="AS663" i="2"/>
  <c r="AS122" i="2"/>
  <c r="AS168" i="2"/>
  <c r="AS154" i="2"/>
  <c r="AS142" i="2"/>
  <c r="AS136" i="2"/>
  <c r="AS131" i="2"/>
  <c r="AS126" i="2"/>
  <c r="AS117" i="2"/>
  <c r="AS115" i="2"/>
  <c r="AS98" i="2"/>
  <c r="AS97" i="2"/>
  <c r="AS81" i="2"/>
  <c r="AS71" i="2"/>
  <c r="AS159" i="2"/>
  <c r="AS387" i="2"/>
  <c r="AS160" i="2"/>
  <c r="AS70" i="2"/>
  <c r="AS69" i="2"/>
  <c r="AS68" i="2"/>
  <c r="AS66" i="2"/>
  <c r="AS377" i="2"/>
  <c r="AS212" i="2"/>
  <c r="AS57" i="2"/>
  <c r="AS320" i="2"/>
  <c r="AS460" i="2"/>
  <c r="AS250" i="2"/>
  <c r="AS33" i="2"/>
  <c r="AS415" i="2"/>
  <c r="AS110" i="2"/>
  <c r="AS92" i="2"/>
  <c r="AS46" i="2"/>
  <c r="AS39" i="2"/>
  <c r="AS38" i="2"/>
  <c r="AS25" i="2"/>
  <c r="AS14" i="2"/>
  <c r="AS13" i="2"/>
  <c r="AS8" i="2"/>
  <c r="AS639" i="2"/>
  <c r="AS607" i="2"/>
  <c r="AS601" i="2"/>
  <c r="AS600" i="2"/>
  <c r="AS593" i="2"/>
  <c r="AS575" i="2"/>
  <c r="AS573" i="2"/>
  <c r="AS561" i="2"/>
  <c r="AS532" i="2"/>
  <c r="AS525" i="2"/>
  <c r="AS521" i="2"/>
  <c r="AS510" i="2"/>
  <c r="AS498" i="2"/>
  <c r="AS491" i="2"/>
  <c r="AS486" i="2"/>
  <c r="AS468" i="2"/>
  <c r="AS461" i="2"/>
  <c r="AS435" i="2"/>
  <c r="AS433" i="2"/>
  <c r="AS432" i="2"/>
  <c r="AS406" i="2"/>
  <c r="AS379" i="2"/>
  <c r="AS374" i="2"/>
  <c r="AS339" i="2"/>
  <c r="AS334" i="2"/>
  <c r="AS316" i="2"/>
  <c r="AS304" i="2"/>
  <c r="AS292" i="2"/>
  <c r="AS291" i="2"/>
  <c r="AS288" i="2"/>
  <c r="AS282" i="2"/>
  <c r="AS277" i="2"/>
  <c r="AS274" i="2"/>
  <c r="AS270" i="2"/>
  <c r="AS266" i="2"/>
  <c r="AS265" i="2"/>
  <c r="AS251" i="2"/>
  <c r="AS242" i="2"/>
  <c r="AS673" i="2"/>
  <c r="AS226" i="2"/>
  <c r="AS598" i="2"/>
  <c r="AS214" i="2"/>
  <c r="AS570" i="2"/>
  <c r="AS450" i="2"/>
  <c r="AS129" i="2"/>
  <c r="AS582" i="2"/>
  <c r="AS619" i="2"/>
  <c r="AS397" i="2"/>
  <c r="AS211" i="2"/>
  <c r="AS209" i="2"/>
  <c r="AS197" i="2"/>
  <c r="AS189" i="2"/>
  <c r="AS697" i="2"/>
  <c r="AS636" i="2"/>
  <c r="AS180" i="2"/>
  <c r="AS179" i="2"/>
  <c r="AS178" i="2"/>
  <c r="AS150" i="2"/>
  <c r="AS125" i="2"/>
  <c r="AS111" i="2"/>
  <c r="AS95" i="2"/>
  <c r="AS91" i="2"/>
  <c r="AS83" i="2"/>
  <c r="AS80" i="2"/>
  <c r="AS79" i="2"/>
  <c r="AS76" i="2"/>
  <c r="AS100" i="2"/>
  <c r="AS72" i="2"/>
  <c r="AS153" i="2"/>
  <c r="AS401" i="2"/>
  <c r="AS423" i="2"/>
  <c r="AS368" i="2"/>
  <c r="AS448" i="2"/>
  <c r="AS128" i="2"/>
  <c r="AS243" i="2"/>
  <c r="AS138" i="2"/>
  <c r="AS137" i="2"/>
  <c r="AS384" i="2"/>
  <c r="AS29" i="2"/>
  <c r="AS94" i="2"/>
  <c r="AS187" i="2"/>
  <c r="AS124" i="2"/>
  <c r="AS350" i="2"/>
  <c r="AS328" i="2"/>
  <c r="AS733" i="2"/>
  <c r="AS61" i="2"/>
  <c r="AS44" i="2"/>
  <c r="AS35" i="2"/>
  <c r="AS32" i="2"/>
  <c r="AS26" i="2"/>
  <c r="AS24" i="2"/>
  <c r="AS18" i="2"/>
  <c r="AS10" i="2"/>
  <c r="AS6" i="2"/>
  <c r="AS544" i="2"/>
  <c r="AS527" i="2"/>
  <c r="AS496" i="2"/>
  <c r="AS488" i="2"/>
  <c r="AS484" i="2"/>
  <c r="AS463" i="2"/>
  <c r="AS451" i="2"/>
  <c r="AS394" i="2"/>
  <c r="AS347" i="2"/>
  <c r="AS345" i="2"/>
  <c r="AS312" i="2"/>
  <c r="AS300" i="2"/>
  <c r="AS299" i="2"/>
  <c r="AS272" i="2"/>
  <c r="AS262" i="2"/>
  <c r="AS255" i="2"/>
  <c r="AS489" i="2"/>
  <c r="AS737" i="2"/>
  <c r="AS224" i="2"/>
  <c r="AS218" i="2"/>
  <c r="AS217" i="2"/>
  <c r="AS404" i="2"/>
  <c r="AS203" i="2"/>
  <c r="AS202" i="2"/>
  <c r="AS641" i="2"/>
  <c r="AS354" i="2"/>
  <c r="AS186" i="2"/>
  <c r="AS185" i="2"/>
  <c r="AS148" i="2"/>
  <c r="AS127" i="2"/>
  <c r="AS118" i="2"/>
  <c r="AS112" i="2"/>
  <c r="AS105" i="2"/>
  <c r="AS93" i="2"/>
  <c r="AS85" i="2"/>
  <c r="AS595" i="2"/>
  <c r="AS84" i="2"/>
  <c r="AS78" i="2"/>
  <c r="AS449" i="2"/>
  <c r="AS370" i="2"/>
  <c r="AS271" i="2"/>
  <c r="AS418" i="2"/>
  <c r="AS367" i="2"/>
  <c r="AS56" i="2"/>
  <c r="AS53" i="2"/>
  <c r="AS52" i="2"/>
  <c r="AS50" i="2"/>
  <c r="AS41" i="2"/>
  <c r="AS36" i="2"/>
  <c r="AS31" i="2"/>
  <c r="AS16" i="2"/>
  <c r="AS7" i="2"/>
  <c r="AS756" i="2"/>
  <c r="AS753" i="2"/>
  <c r="AS752" i="2"/>
  <c r="AS746" i="2"/>
  <c r="AS739" i="2"/>
  <c r="AS738" i="2"/>
  <c r="AS735" i="2"/>
  <c r="AS734" i="2"/>
  <c r="AS732" i="2"/>
  <c r="AS728" i="2"/>
  <c r="AS724" i="2"/>
  <c r="AS723" i="2"/>
  <c r="AS720" i="2"/>
  <c r="AS719" i="2"/>
  <c r="AS717" i="2"/>
  <c r="AS716" i="2"/>
  <c r="AS709" i="2"/>
  <c r="AS706" i="2"/>
  <c r="AS702" i="2"/>
  <c r="AS695" i="2"/>
  <c r="AS690" i="2"/>
  <c r="AS686" i="2"/>
  <c r="AS685" i="2"/>
  <c r="AS683" i="2"/>
  <c r="AS679" i="2"/>
  <c r="AS677" i="2"/>
  <c r="AS676" i="2"/>
  <c r="AS674" i="2"/>
  <c r="AS666" i="2"/>
  <c r="AS664" i="2"/>
  <c r="AS661" i="2"/>
  <c r="AS657" i="2"/>
  <c r="AS651" i="2"/>
  <c r="AS642" i="2"/>
  <c r="AS638" i="2"/>
  <c r="AS631" i="2"/>
  <c r="AS618" i="2"/>
  <c r="AS605" i="2"/>
  <c r="AS604" i="2"/>
  <c r="AS586" i="2"/>
  <c r="AS583" i="2"/>
  <c r="AS579" i="2"/>
  <c r="AS571" i="2"/>
  <c r="AS567" i="2"/>
  <c r="AS566" i="2"/>
  <c r="AS560" i="2"/>
  <c r="AS558" i="2"/>
  <c r="AS555" i="2"/>
  <c r="AS547" i="2"/>
  <c r="AS545" i="2"/>
  <c r="AS540" i="2"/>
  <c r="AS538" i="2"/>
  <c r="AS537" i="2"/>
  <c r="AS536" i="2"/>
  <c r="AS533" i="2"/>
  <c r="AS531" i="2"/>
  <c r="AS524" i="2"/>
  <c r="AS518" i="2"/>
  <c r="AS516" i="2"/>
  <c r="AS509" i="2"/>
  <c r="AS508" i="2"/>
  <c r="AS506" i="2"/>
  <c r="AS505" i="2"/>
  <c r="AS497" i="2"/>
  <c r="AS495" i="2"/>
  <c r="AS490" i="2"/>
  <c r="AS483" i="2"/>
  <c r="AS480" i="2"/>
  <c r="AS479" i="2"/>
  <c r="AS475" i="2"/>
  <c r="AS469" i="2"/>
  <c r="AS467" i="2"/>
  <c r="AS457" i="2"/>
  <c r="AS454" i="2"/>
  <c r="AS444" i="2"/>
  <c r="AS427" i="2"/>
  <c r="AS426" i="2"/>
  <c r="AS424" i="2"/>
  <c r="AS419" i="2"/>
  <c r="AS409" i="2"/>
  <c r="AS407" i="2"/>
  <c r="AS402" i="2"/>
  <c r="AS396" i="2"/>
  <c r="AS391" i="2"/>
  <c r="AS383" i="2"/>
  <c r="AS381" i="2"/>
  <c r="AS372" i="2"/>
  <c r="AS371" i="2"/>
  <c r="AS369" i="2"/>
  <c r="AS356" i="2"/>
  <c r="AS342" i="2"/>
  <c r="AS338" i="2"/>
  <c r="AS335" i="2"/>
  <c r="AS332" i="2"/>
  <c r="AS327" i="2"/>
  <c r="AS325" i="2"/>
  <c r="AS322" i="2"/>
  <c r="AS318" i="2"/>
  <c r="AS313" i="2"/>
  <c r="AS310" i="2"/>
  <c r="AS305" i="2"/>
  <c r="AS295" i="2"/>
  <c r="AS290" i="2"/>
  <c r="AS286" i="2"/>
  <c r="AS283" i="2"/>
  <c r="AS280" i="2"/>
  <c r="AS258" i="2"/>
  <c r="AS245" i="2"/>
  <c r="AS763" i="2"/>
  <c r="AS766" i="2"/>
  <c r="AS761" i="2"/>
  <c r="AS239" i="2"/>
  <c r="AS237" i="2"/>
  <c r="AS235" i="2"/>
  <c r="AS730" i="2"/>
  <c r="AS181" i="2"/>
  <c r="AS223" i="2"/>
  <c r="AS589" i="2"/>
  <c r="AS740" i="2"/>
  <c r="AS704" i="2"/>
  <c r="AS748" i="2"/>
  <c r="AS222" i="2"/>
  <c r="AS216" i="2"/>
  <c r="AS606" i="2"/>
  <c r="AS688" i="2"/>
  <c r="AS749" i="2"/>
  <c r="AS378" i="2"/>
  <c r="AS264" i="2"/>
  <c r="AS207" i="2"/>
  <c r="AS200" i="2"/>
  <c r="AS765" i="2"/>
  <c r="AS701" i="2"/>
  <c r="AS715" i="2"/>
  <c r="AS351" i="2"/>
  <c r="AS172" i="2"/>
  <c r="AS169" i="2"/>
  <c r="AS146" i="2"/>
  <c r="AS145" i="2"/>
  <c r="AS139" i="2"/>
  <c r="AS135" i="2"/>
  <c r="AS120" i="2"/>
  <c r="AS87" i="2"/>
  <c r="AS77" i="2"/>
  <c r="AS539" i="2"/>
  <c r="AS398" i="2"/>
  <c r="AS103" i="2"/>
  <c r="AS613" i="2"/>
  <c r="AS650" i="2"/>
  <c r="AS578" i="2"/>
  <c r="AS622" i="2"/>
  <c r="AS696" i="2"/>
  <c r="AS481" i="2"/>
  <c r="AS440" i="2"/>
  <c r="AS380" i="2"/>
  <c r="AS596" i="2"/>
  <c r="AS542" i="2"/>
  <c r="AS660" i="2"/>
  <c r="AS405" i="2"/>
  <c r="AS130" i="2"/>
  <c r="AS220" i="2"/>
  <c r="AS581" i="2"/>
  <c r="AS629" i="2"/>
  <c r="AS174" i="2"/>
  <c r="AS559" i="2"/>
  <c r="AS227" i="2"/>
  <c r="AS703" i="2"/>
  <c r="AS670" i="2"/>
  <c r="AS662" i="2"/>
  <c r="AS634" i="2"/>
  <c r="AS621" i="2"/>
  <c r="AS588" i="2"/>
  <c r="AS577" i="2"/>
  <c r="AS574" i="2"/>
  <c r="AS556" i="2"/>
  <c r="AS511" i="2"/>
  <c r="AS494" i="2"/>
  <c r="AS492" i="2"/>
  <c r="AS482" i="2"/>
  <c r="AS472" i="2"/>
  <c r="AS470" i="2"/>
  <c r="AS464" i="2"/>
  <c r="AS458" i="2"/>
  <c r="AS447" i="2"/>
  <c r="AS436" i="2"/>
  <c r="AS425" i="2"/>
  <c r="AS420" i="2"/>
  <c r="AS413" i="2"/>
  <c r="AS403" i="2"/>
  <c r="AS376" i="2"/>
  <c r="AS365" i="2"/>
  <c r="AS362" i="2"/>
  <c r="AS344" i="2"/>
  <c r="AS341" i="2"/>
  <c r="AS330" i="2"/>
  <c r="AS303" i="2"/>
  <c r="AS301" i="2"/>
  <c r="AS276" i="2"/>
  <c r="AS263" i="2"/>
  <c r="AS261" i="2"/>
  <c r="AS256" i="2"/>
  <c r="AS254" i="2"/>
  <c r="AS247" i="2"/>
  <c r="AS246" i="2"/>
  <c r="AS244" i="2"/>
  <c r="AS240" i="2"/>
  <c r="AS233" i="2"/>
  <c r="AS231" i="2"/>
  <c r="AS680" i="2"/>
  <c r="AS585" i="2"/>
  <c r="AS754" i="2"/>
  <c r="AS616" i="2"/>
  <c r="AS287" i="2"/>
  <c r="AS215" i="2"/>
  <c r="AS366" i="2"/>
  <c r="AS210" i="2"/>
  <c r="AS206" i="2"/>
  <c r="AS104" i="2"/>
  <c r="AS183" i="2"/>
  <c r="AS173" i="2"/>
  <c r="AS170" i="2"/>
  <c r="AS156" i="2"/>
  <c r="AS155" i="2"/>
  <c r="AS133" i="2"/>
  <c r="AS109" i="2"/>
  <c r="AS108" i="2"/>
  <c r="AS90" i="2"/>
  <c r="AS132" i="2"/>
  <c r="AS434" i="2"/>
  <c r="AS208" i="2"/>
  <c r="AS89" i="2"/>
  <c r="AS465" i="2"/>
  <c r="AS116" i="2"/>
  <c r="AS65" i="2"/>
  <c r="AS329" i="2"/>
  <c r="AS191" i="2"/>
  <c r="AS59" i="2"/>
  <c r="AS587" i="2"/>
  <c r="AS302" i="2"/>
  <c r="AS361" i="2"/>
  <c r="AS12" i="2"/>
  <c r="AS708" i="2"/>
  <c r="AS687" i="2"/>
  <c r="AS655" i="2"/>
  <c r="AS630" i="2"/>
  <c r="AS620" i="2"/>
  <c r="AS615" i="2"/>
  <c r="AS612" i="2"/>
  <c r="AS609" i="2"/>
  <c r="AS584" i="2"/>
  <c r="AS563" i="2"/>
  <c r="AS553" i="2"/>
  <c r="AS515" i="2"/>
  <c r="AS507" i="2"/>
  <c r="AS503" i="2"/>
  <c r="AS476" i="2"/>
  <c r="AS474" i="2"/>
  <c r="AS456" i="2"/>
  <c r="AS443" i="2"/>
  <c r="AS429" i="2"/>
  <c r="AS373" i="2"/>
  <c r="AS364" i="2"/>
  <c r="AS359" i="2"/>
  <c r="AS358" i="2"/>
  <c r="AS357" i="2"/>
  <c r="AS340" i="2"/>
  <c r="AS326" i="2"/>
  <c r="AS323" i="2"/>
  <c r="AS311" i="2"/>
  <c r="AS285" i="2"/>
  <c r="AS269" i="2"/>
  <c r="AS259" i="2"/>
  <c r="AS236" i="2"/>
  <c r="AS681" i="2"/>
  <c r="AS591" i="2"/>
  <c r="AS699" i="2"/>
  <c r="AS637" i="2"/>
  <c r="AS668" i="2"/>
  <c r="AS718" i="2"/>
  <c r="AS343" i="2"/>
  <c r="AS564" i="2"/>
  <c r="AS611" i="2"/>
  <c r="AS649" i="2"/>
  <c r="AS213" i="2"/>
  <c r="AS648" i="2"/>
  <c r="AS382" i="2"/>
  <c r="AS725" i="2"/>
  <c r="AS192" i="2"/>
  <c r="AS188" i="2"/>
  <c r="AS684" i="2"/>
  <c r="AS743" i="2"/>
  <c r="AS184" i="2"/>
  <c r="AS175" i="2"/>
  <c r="AS162" i="2"/>
  <c r="AS152" i="2"/>
  <c r="AS141" i="2"/>
  <c r="AS140" i="2"/>
  <c r="AS121" i="2"/>
  <c r="AS114" i="2"/>
  <c r="AS107" i="2"/>
  <c r="AS102" i="2"/>
  <c r="AS96" i="2"/>
  <c r="AS75" i="2"/>
  <c r="AS580" i="2"/>
  <c r="AS321" i="2"/>
  <c r="AS493" i="2"/>
  <c r="AS557" i="2"/>
  <c r="AS514" i="2"/>
  <c r="AS64" i="2"/>
  <c r="AS375" i="2"/>
  <c r="AS437" i="2"/>
  <c r="AS386" i="2"/>
  <c r="AS438" i="2"/>
  <c r="AS73" i="2"/>
  <c r="AS151" i="2"/>
  <c r="AS63" i="2"/>
  <c r="AS314" i="2"/>
  <c r="AS20" i="2"/>
  <c r="AS5" i="2"/>
  <c r="AS652" i="2"/>
  <c r="AS590" i="2"/>
  <c r="AS568" i="2"/>
  <c r="AS554" i="2"/>
  <c r="AS526" i="2"/>
  <c r="AS523" i="2"/>
  <c r="AS517" i="2"/>
  <c r="AS487" i="2"/>
  <c r="AS485" i="2"/>
  <c r="AS462" i="2"/>
  <c r="AS414" i="2"/>
  <c r="AS410" i="2"/>
  <c r="AS388" i="2"/>
  <c r="AS348" i="2"/>
  <c r="AS346" i="2"/>
  <c r="AS315" i="2"/>
  <c r="AS308" i="2"/>
  <c r="AS268" i="2"/>
  <c r="AS267" i="2"/>
  <c r="AS253" i="2"/>
  <c r="AS628" i="2"/>
  <c r="AS672" i="2"/>
  <c r="AS758" i="2"/>
  <c r="AS762" i="2"/>
  <c r="AS230" i="2"/>
  <c r="AS751" i="2"/>
  <c r="AS747" i="2"/>
  <c r="AS721" i="2"/>
  <c r="AS610" i="2"/>
  <c r="AS726" i="2"/>
  <c r="AS750" i="2"/>
  <c r="AS760" i="2"/>
  <c r="AS755" i="2"/>
  <c r="AS736" i="2"/>
  <c r="AS689" i="2"/>
  <c r="AS671" i="2"/>
  <c r="AS635" i="2"/>
  <c r="AS275" i="2"/>
  <c r="AS530" i="2"/>
  <c r="AS731" i="2"/>
  <c r="AS106" i="2"/>
  <c r="AS21" i="2"/>
  <c r="AS675" i="2"/>
  <c r="AS742" i="2"/>
  <c r="AS502" i="2"/>
  <c r="AS627" i="2"/>
  <c r="AS608" i="2"/>
  <c r="AS643" i="2"/>
  <c r="AS710" i="2"/>
  <c r="AS549" i="2"/>
  <c r="AS520" i="2"/>
  <c r="AS599" i="2"/>
  <c r="AS603" i="2"/>
  <c r="AS759" i="2"/>
  <c r="AS654" i="2"/>
  <c r="AS711" i="2"/>
  <c r="AS694" i="2"/>
  <c r="AS659" i="2"/>
  <c r="AS632" i="2"/>
  <c r="AS693" i="2"/>
  <c r="AS757" i="2"/>
  <c r="AS691" i="2"/>
  <c r="AS624" i="2"/>
  <c r="AS727" i="2"/>
  <c r="AS658" i="2"/>
  <c r="AS729" i="2"/>
  <c r="AS713" i="2"/>
  <c r="AS678" i="2"/>
  <c r="AS249" i="2"/>
  <c r="AS198" i="2"/>
  <c r="AS546" i="2"/>
  <c r="AS195" i="2"/>
  <c r="AS707" i="2"/>
  <c r="AS534" i="2"/>
  <c r="AS644" i="2"/>
  <c r="AS459" i="2"/>
  <c r="AS698" i="2"/>
  <c r="AS745" i="2"/>
  <c r="AS722" i="2"/>
  <c r="AS569" i="2"/>
  <c r="AS182" i="2"/>
  <c r="AS741" i="2"/>
  <c r="AS499" i="2"/>
  <c r="AS597" i="2"/>
  <c r="AS177" i="2"/>
  <c r="AS543" i="2"/>
  <c r="AS171" i="2"/>
  <c r="AS144" i="2"/>
  <c r="AS134" i="2"/>
  <c r="AS119" i="2"/>
  <c r="AS113" i="2"/>
  <c r="AS99" i="2"/>
  <c r="AS88" i="2"/>
  <c r="AS297" i="2"/>
  <c r="AS665" i="2"/>
  <c r="AS11" i="2"/>
  <c r="AS744" i="2"/>
  <c r="AS412" i="2"/>
  <c r="AS669" i="2"/>
  <c r="AS466" i="2"/>
  <c r="AS27" i="2"/>
  <c r="AS541" i="2"/>
  <c r="AS298" i="2"/>
  <c r="AS67" i="2"/>
  <c r="AS158" i="2"/>
  <c r="AS45" i="2"/>
  <c r="AS317" i="2"/>
  <c r="AS333" i="2"/>
  <c r="AS550" i="2"/>
  <c r="AS331" i="2"/>
  <c r="AS594" i="2"/>
  <c r="AS428" i="2"/>
  <c r="AS306" i="2"/>
  <c r="AS431" i="2"/>
  <c r="AS572" i="2"/>
  <c r="AS385" i="2"/>
  <c r="AS453" i="2"/>
  <c r="AS422" i="2"/>
  <c r="AS504" i="2"/>
  <c r="AS360" i="2"/>
  <c r="AS353" i="2"/>
  <c r="AS43" i="2"/>
  <c r="AS157" i="2"/>
  <c r="AS58" i="2"/>
  <c r="AS60" i="2"/>
  <c r="AS355" i="2"/>
  <c r="AS15" i="2"/>
  <c r="AS62" i="2"/>
  <c r="AS143" i="2"/>
  <c r="AS592" i="2"/>
  <c r="AS232" i="2"/>
  <c r="AS395" i="2"/>
  <c r="AS284" i="2"/>
  <c r="AS614" i="2"/>
  <c r="AS416" i="2"/>
  <c r="AS705" i="2"/>
  <c r="AS439" i="2"/>
  <c r="AS473" i="2"/>
  <c r="AS393" i="2"/>
  <c r="AS529" i="2"/>
  <c r="AS55" i="2"/>
  <c r="AS452" i="2"/>
  <c r="AS51" i="2"/>
  <c r="AS49" i="2"/>
  <c r="AS47" i="2"/>
  <c r="AS40" i="2"/>
  <c r="AS37" i="2"/>
  <c r="AS34" i="2"/>
  <c r="AS28" i="2"/>
  <c r="AS23" i="2"/>
  <c r="AS22" i="2"/>
  <c r="AS19" i="2"/>
  <c r="AS17" i="2"/>
  <c r="AS9" i="2"/>
  <c r="AP714" i="2"/>
  <c r="AO714" i="2"/>
  <c r="AP712" i="2"/>
  <c r="AO712" i="2"/>
  <c r="AP700" i="2"/>
  <c r="AO700" i="2"/>
  <c r="AP656" i="2"/>
  <c r="AO656" i="2"/>
  <c r="AP647" i="2"/>
  <c r="AO647" i="2"/>
  <c r="AP633" i="2"/>
  <c r="AO633" i="2"/>
  <c r="AP623" i="2"/>
  <c r="AO623" i="2"/>
  <c r="AP617" i="2"/>
  <c r="AO617" i="2"/>
  <c r="AP565" i="2"/>
  <c r="AO565" i="2"/>
  <c r="AP562" i="2"/>
  <c r="AO562" i="2"/>
  <c r="AP551" i="2"/>
  <c r="AO551" i="2"/>
  <c r="AP522" i="2"/>
  <c r="AO522" i="2"/>
  <c r="AP513" i="2"/>
  <c r="AO513" i="2"/>
  <c r="AP501" i="2"/>
  <c r="AO501" i="2"/>
  <c r="AP471" i="2"/>
  <c r="AO471" i="2"/>
  <c r="AP455" i="2"/>
  <c r="AO455" i="2"/>
  <c r="AP442" i="2"/>
  <c r="AO442" i="2"/>
  <c r="AP441" i="2"/>
  <c r="AO441" i="2"/>
  <c r="AP421" i="2"/>
  <c r="AO421" i="2"/>
  <c r="AP417" i="2"/>
  <c r="AO417" i="2"/>
  <c r="AP411" i="2"/>
  <c r="AO411" i="2"/>
  <c r="AP400" i="2"/>
  <c r="AO400" i="2"/>
  <c r="AP390" i="2"/>
  <c r="AO390" i="2"/>
  <c r="AP389" i="2"/>
  <c r="AO389" i="2"/>
  <c r="AP363" i="2"/>
  <c r="AO363" i="2"/>
  <c r="AP352" i="2"/>
  <c r="AO352" i="2"/>
  <c r="AP307" i="2"/>
  <c r="AO307" i="2"/>
  <c r="AP279" i="2"/>
  <c r="AO279" i="2"/>
  <c r="AP248" i="2"/>
  <c r="AO248" i="2"/>
  <c r="AP399" i="2"/>
  <c r="AO399" i="2"/>
  <c r="AP241" i="2"/>
  <c r="AO241" i="2"/>
  <c r="AP238" i="2"/>
  <c r="AO238" i="2"/>
  <c r="AP205" i="2"/>
  <c r="AO205" i="2"/>
  <c r="AP199" i="2"/>
  <c r="AO199" i="2"/>
  <c r="AP196" i="2"/>
  <c r="AO196" i="2"/>
  <c r="AP194" i="2"/>
  <c r="AO194" i="2"/>
  <c r="AP193" i="2"/>
  <c r="AO193" i="2"/>
  <c r="AP190" i="2"/>
  <c r="AO190" i="2"/>
  <c r="AP512" i="2"/>
  <c r="AO512" i="2"/>
  <c r="AP86" i="2"/>
  <c r="AO86" i="2"/>
  <c r="AP176" i="2"/>
  <c r="AO176" i="2"/>
  <c r="AP167" i="2"/>
  <c r="AO167" i="2"/>
  <c r="AP164" i="2"/>
  <c r="AO164" i="2"/>
  <c r="AP163" i="2"/>
  <c r="AO163" i="2"/>
  <c r="AP161" i="2"/>
  <c r="AO161" i="2"/>
  <c r="AP149" i="2"/>
  <c r="AO149" i="2"/>
  <c r="AP147" i="2"/>
  <c r="AO147" i="2"/>
  <c r="AP123" i="2"/>
  <c r="AO123" i="2"/>
  <c r="AP101" i="2"/>
  <c r="AO101" i="2"/>
  <c r="AP82" i="2"/>
  <c r="AO82" i="2"/>
  <c r="AP74" i="2"/>
  <c r="AO74" i="2"/>
  <c r="AP337" i="2"/>
  <c r="AO337" i="2"/>
  <c r="AP625" i="2"/>
  <c r="AO625" i="2"/>
  <c r="AP319" i="2"/>
  <c r="AO319" i="2"/>
  <c r="AP229" i="2"/>
  <c r="AO229" i="2"/>
  <c r="AP165" i="2"/>
  <c r="AO165" i="2"/>
  <c r="AP535" i="2"/>
  <c r="AO535" i="2"/>
  <c r="AP219" i="2"/>
  <c r="AO219" i="2"/>
  <c r="AP54" i="2"/>
  <c r="AO54" i="2"/>
  <c r="AP48" i="2"/>
  <c r="AO48" i="2"/>
  <c r="AP42" i="2"/>
  <c r="AO42" i="2"/>
  <c r="AP640" i="2"/>
  <c r="AO640" i="2"/>
  <c r="AP602" i="2"/>
  <c r="AO602" i="2"/>
  <c r="AP519" i="2"/>
  <c r="AO519" i="2"/>
  <c r="AP478" i="2"/>
  <c r="AO478" i="2"/>
  <c r="AP477" i="2"/>
  <c r="AO477" i="2"/>
  <c r="AP446" i="2"/>
  <c r="AO446" i="2"/>
  <c r="AP445" i="2"/>
  <c r="AO445" i="2"/>
  <c r="AP430" i="2"/>
  <c r="AO430" i="2"/>
  <c r="AP392" i="2"/>
  <c r="AO392" i="2"/>
  <c r="AP336" i="2"/>
  <c r="AO336" i="2"/>
  <c r="AP324" i="2"/>
  <c r="AO324" i="2"/>
  <c r="AP309" i="2"/>
  <c r="AO309" i="2"/>
  <c r="AP296" i="2"/>
  <c r="AO296" i="2"/>
  <c r="AP294" i="2"/>
  <c r="AO294" i="2"/>
  <c r="AP289" i="2"/>
  <c r="AO289" i="2"/>
  <c r="AP281" i="2"/>
  <c r="AO281" i="2"/>
  <c r="AP278" i="2"/>
  <c r="AO278" i="2"/>
  <c r="AP273" i="2"/>
  <c r="AO273" i="2"/>
  <c r="AP260" i="2"/>
  <c r="AO260" i="2"/>
  <c r="AP257" i="2"/>
  <c r="AO257" i="2"/>
  <c r="AP252" i="2"/>
  <c r="AO252" i="2"/>
  <c r="AP234" i="2"/>
  <c r="AO234" i="2"/>
  <c r="AP552" i="2"/>
  <c r="AO552" i="2"/>
  <c r="AP225" i="2"/>
  <c r="AO225" i="2"/>
  <c r="AP408" i="2"/>
  <c r="AO408" i="2"/>
  <c r="AP764" i="2"/>
  <c r="AO764" i="2"/>
  <c r="AP349" i="2"/>
  <c r="AO349" i="2"/>
  <c r="AP221" i="2"/>
  <c r="AO221" i="2"/>
  <c r="AP548" i="2"/>
  <c r="AO548" i="2"/>
  <c r="AP293" i="2"/>
  <c r="AO293" i="2"/>
  <c r="AP667" i="2"/>
  <c r="AO667" i="2"/>
  <c r="AP500" i="2"/>
  <c r="AO500" i="2"/>
  <c r="AP646" i="2"/>
  <c r="AO646" i="2"/>
  <c r="AP645" i="2"/>
  <c r="AO645" i="2"/>
  <c r="AP692" i="2"/>
  <c r="AO692" i="2"/>
  <c r="AP682" i="2"/>
  <c r="AO682" i="2"/>
  <c r="AP576" i="2"/>
  <c r="AO576" i="2"/>
  <c r="AP228" i="2"/>
  <c r="AO228" i="2"/>
  <c r="AP166" i="2"/>
  <c r="AO166" i="2"/>
  <c r="AP204" i="2"/>
  <c r="AO204" i="2"/>
  <c r="AP201" i="2"/>
  <c r="AO201" i="2"/>
  <c r="AP30" i="2"/>
  <c r="AO30" i="2"/>
  <c r="AP653" i="2"/>
  <c r="AO653" i="2"/>
  <c r="AP528" i="2"/>
  <c r="AO528" i="2"/>
  <c r="AP663" i="2"/>
  <c r="AO663" i="2"/>
  <c r="AP122" i="2"/>
  <c r="AO122" i="2"/>
  <c r="AP168" i="2"/>
  <c r="AO168" i="2"/>
  <c r="AP154" i="2"/>
  <c r="AO154" i="2"/>
  <c r="AP142" i="2"/>
  <c r="AO142" i="2"/>
  <c r="AP136" i="2"/>
  <c r="AO136" i="2"/>
  <c r="AP131" i="2"/>
  <c r="AO131" i="2"/>
  <c r="AP126" i="2"/>
  <c r="AO126" i="2"/>
  <c r="AP117" i="2"/>
  <c r="AO117" i="2"/>
  <c r="AP115" i="2"/>
  <c r="AO115" i="2"/>
  <c r="AP98" i="2"/>
  <c r="AO98" i="2"/>
  <c r="AP97" i="2"/>
  <c r="AO97" i="2"/>
  <c r="AP81" i="2"/>
  <c r="AO81" i="2"/>
  <c r="AP71" i="2"/>
  <c r="AO71" i="2"/>
  <c r="AP159" i="2"/>
  <c r="AO159" i="2"/>
  <c r="AP387" i="2"/>
  <c r="AO387" i="2"/>
  <c r="AP160" i="2"/>
  <c r="AO160" i="2"/>
  <c r="AP70" i="2"/>
  <c r="AO70" i="2"/>
  <c r="AP69" i="2"/>
  <c r="AO69" i="2"/>
  <c r="AP68" i="2"/>
  <c r="AO68" i="2"/>
  <c r="AP66" i="2"/>
  <c r="AO66" i="2"/>
  <c r="AP377" i="2"/>
  <c r="AO377" i="2"/>
  <c r="AP212" i="2"/>
  <c r="AO212" i="2"/>
  <c r="AP57" i="2"/>
  <c r="AO57" i="2"/>
  <c r="AP320" i="2"/>
  <c r="AO320" i="2"/>
  <c r="AP460" i="2"/>
  <c r="AO460" i="2"/>
  <c r="AP250" i="2"/>
  <c r="AO250" i="2"/>
  <c r="AP33" i="2"/>
  <c r="AO33" i="2"/>
  <c r="AP415" i="2"/>
  <c r="AO415" i="2"/>
  <c r="AP110" i="2"/>
  <c r="AO110" i="2"/>
  <c r="AP92" i="2"/>
  <c r="AO92" i="2"/>
  <c r="AP46" i="2"/>
  <c r="AO46" i="2"/>
  <c r="AP39" i="2"/>
  <c r="AO39" i="2"/>
  <c r="AP38" i="2"/>
  <c r="AO38" i="2"/>
  <c r="AP25" i="2"/>
  <c r="AO25" i="2"/>
  <c r="AP14" i="2"/>
  <c r="AO14" i="2"/>
  <c r="AP13" i="2"/>
  <c r="AO13" i="2"/>
  <c r="AP8" i="2"/>
  <c r="AO8" i="2"/>
  <c r="AP639" i="2"/>
  <c r="AO639" i="2"/>
  <c r="AP607" i="2"/>
  <c r="AO607" i="2"/>
  <c r="AP601" i="2"/>
  <c r="AO601" i="2"/>
  <c r="AP600" i="2"/>
  <c r="AO600" i="2"/>
  <c r="AP593" i="2"/>
  <c r="AO593" i="2"/>
  <c r="AP575" i="2"/>
  <c r="AO575" i="2"/>
  <c r="AP573" i="2"/>
  <c r="AO573" i="2"/>
  <c r="AP561" i="2"/>
  <c r="AO561" i="2"/>
  <c r="AP532" i="2"/>
  <c r="AO532" i="2"/>
  <c r="AP525" i="2"/>
  <c r="AO525" i="2"/>
  <c r="AP521" i="2"/>
  <c r="AO521" i="2"/>
  <c r="AP510" i="2"/>
  <c r="AO510" i="2"/>
  <c r="AP498" i="2"/>
  <c r="AO498" i="2"/>
  <c r="AP491" i="2"/>
  <c r="AO491" i="2"/>
  <c r="AP486" i="2"/>
  <c r="AO486" i="2"/>
  <c r="AP468" i="2"/>
  <c r="AO468" i="2"/>
  <c r="AP461" i="2"/>
  <c r="AO461" i="2"/>
  <c r="AP435" i="2"/>
  <c r="AO435" i="2"/>
  <c r="AP433" i="2"/>
  <c r="AO433" i="2"/>
  <c r="AP432" i="2"/>
  <c r="AO432" i="2"/>
  <c r="AP406" i="2"/>
  <c r="AO406" i="2"/>
  <c r="AP379" i="2"/>
  <c r="AO379" i="2"/>
  <c r="AP374" i="2"/>
  <c r="AO374" i="2"/>
  <c r="AP339" i="2"/>
  <c r="AO339" i="2"/>
  <c r="AP334" i="2"/>
  <c r="AO334" i="2"/>
  <c r="AP316" i="2"/>
  <c r="AO316" i="2"/>
  <c r="AP304" i="2"/>
  <c r="AO304" i="2"/>
  <c r="AP292" i="2"/>
  <c r="AO292" i="2"/>
  <c r="AP291" i="2"/>
  <c r="AO291" i="2"/>
  <c r="AP288" i="2"/>
  <c r="AO288" i="2"/>
  <c r="AP282" i="2"/>
  <c r="AO282" i="2"/>
  <c r="AP277" i="2"/>
  <c r="AO277" i="2"/>
  <c r="AP274" i="2"/>
  <c r="AO274" i="2"/>
  <c r="AP270" i="2"/>
  <c r="AO270" i="2"/>
  <c r="AP266" i="2"/>
  <c r="AO266" i="2"/>
  <c r="AP265" i="2"/>
  <c r="AO265" i="2"/>
  <c r="AP251" i="2"/>
  <c r="AO251" i="2"/>
  <c r="AP242" i="2"/>
  <c r="AO242" i="2"/>
  <c r="AP673" i="2"/>
  <c r="AO673" i="2"/>
  <c r="AP226" i="2"/>
  <c r="AO226" i="2"/>
  <c r="AP598" i="2"/>
  <c r="AO598" i="2"/>
  <c r="AP214" i="2"/>
  <c r="AO214" i="2"/>
  <c r="AP570" i="2"/>
  <c r="AO570" i="2"/>
  <c r="AP450" i="2"/>
  <c r="AO450" i="2"/>
  <c r="AP129" i="2"/>
  <c r="AO129" i="2"/>
  <c r="AP582" i="2"/>
  <c r="AO582" i="2"/>
  <c r="AP619" i="2"/>
  <c r="AO619" i="2"/>
  <c r="AP397" i="2"/>
  <c r="AO397" i="2"/>
  <c r="AP211" i="2"/>
  <c r="AO211" i="2"/>
  <c r="AP209" i="2"/>
  <c r="AO209" i="2"/>
  <c r="AP197" i="2"/>
  <c r="AO197" i="2"/>
  <c r="AP189" i="2"/>
  <c r="AO189" i="2"/>
  <c r="AP697" i="2"/>
  <c r="AO697" i="2"/>
  <c r="AP636" i="2"/>
  <c r="AO636" i="2"/>
  <c r="AP180" i="2"/>
  <c r="AO180" i="2"/>
  <c r="AP179" i="2"/>
  <c r="AO179" i="2"/>
  <c r="AP178" i="2"/>
  <c r="AO178" i="2"/>
  <c r="AP150" i="2"/>
  <c r="AO150" i="2"/>
  <c r="AP125" i="2"/>
  <c r="AO125" i="2"/>
  <c r="AP111" i="2"/>
  <c r="AO111" i="2"/>
  <c r="AP95" i="2"/>
  <c r="AO95" i="2"/>
  <c r="AP91" i="2"/>
  <c r="AO91" i="2"/>
  <c r="AP83" i="2"/>
  <c r="AO83" i="2"/>
  <c r="AP80" i="2"/>
  <c r="AO80" i="2"/>
  <c r="AP79" i="2"/>
  <c r="AO79" i="2"/>
  <c r="AP76" i="2"/>
  <c r="AO76" i="2"/>
  <c r="AP100" i="2"/>
  <c r="AO100" i="2"/>
  <c r="AP72" i="2"/>
  <c r="AO72" i="2"/>
  <c r="AP153" i="2"/>
  <c r="AO153" i="2"/>
  <c r="AP401" i="2"/>
  <c r="AO401" i="2"/>
  <c r="AP423" i="2"/>
  <c r="AO423" i="2"/>
  <c r="AP368" i="2"/>
  <c r="AO368" i="2"/>
  <c r="AP448" i="2"/>
  <c r="AO448" i="2"/>
  <c r="AP128" i="2"/>
  <c r="AO128" i="2"/>
  <c r="AP243" i="2"/>
  <c r="AO243" i="2"/>
  <c r="AP138" i="2"/>
  <c r="AO138" i="2"/>
  <c r="AP137" i="2"/>
  <c r="AO137" i="2"/>
  <c r="AP384" i="2"/>
  <c r="AO384" i="2"/>
  <c r="AP29" i="2"/>
  <c r="AO29" i="2"/>
  <c r="AP94" i="2"/>
  <c r="AO94" i="2"/>
  <c r="AP187" i="2"/>
  <c r="AO187" i="2"/>
  <c r="AP124" i="2"/>
  <c r="AO124" i="2"/>
  <c r="AP350" i="2"/>
  <c r="AO350" i="2"/>
  <c r="AP328" i="2"/>
  <c r="AO328" i="2"/>
  <c r="AP733" i="2"/>
  <c r="AO733" i="2"/>
  <c r="AP61" i="2"/>
  <c r="AO61" i="2"/>
  <c r="AP44" i="2"/>
  <c r="AO44" i="2"/>
  <c r="AP35" i="2"/>
  <c r="AO35" i="2"/>
  <c r="AP32" i="2"/>
  <c r="AO32" i="2"/>
  <c r="AP26" i="2"/>
  <c r="AO26" i="2"/>
  <c r="AP24" i="2"/>
  <c r="AO24" i="2"/>
  <c r="AP18" i="2"/>
  <c r="AO18" i="2"/>
  <c r="AP10" i="2"/>
  <c r="AO10" i="2"/>
  <c r="AP6" i="2"/>
  <c r="AO6" i="2"/>
  <c r="AP626" i="2"/>
  <c r="AO626" i="2"/>
  <c r="AP544" i="2"/>
  <c r="AO544" i="2"/>
  <c r="AP527" i="2"/>
  <c r="AO527" i="2"/>
  <c r="AP496" i="2"/>
  <c r="AO496" i="2"/>
  <c r="AP488" i="2"/>
  <c r="AO488" i="2"/>
  <c r="AP484" i="2"/>
  <c r="AO484" i="2"/>
  <c r="AP463" i="2"/>
  <c r="AO463" i="2"/>
  <c r="AP451" i="2"/>
  <c r="AO451" i="2"/>
  <c r="AP394" i="2"/>
  <c r="AO394" i="2"/>
  <c r="AP347" i="2"/>
  <c r="AO347" i="2"/>
  <c r="AP345" i="2"/>
  <c r="AO345" i="2"/>
  <c r="AP312" i="2"/>
  <c r="AO312" i="2"/>
  <c r="AP300" i="2"/>
  <c r="AO300" i="2"/>
  <c r="AP299" i="2"/>
  <c r="AO299" i="2"/>
  <c r="AP272" i="2"/>
  <c r="AO272" i="2"/>
  <c r="AP262" i="2"/>
  <c r="AO262" i="2"/>
  <c r="AP255" i="2"/>
  <c r="AO255" i="2"/>
  <c r="AP489" i="2"/>
  <c r="AO489" i="2"/>
  <c r="AP737" i="2"/>
  <c r="AO737" i="2"/>
  <c r="AP224" i="2"/>
  <c r="AO224" i="2"/>
  <c r="AP218" i="2"/>
  <c r="AO218" i="2"/>
  <c r="AP217" i="2"/>
  <c r="AO217" i="2"/>
  <c r="AP404" i="2"/>
  <c r="AO404" i="2"/>
  <c r="AP203" i="2"/>
  <c r="AO203" i="2"/>
  <c r="AP202" i="2"/>
  <c r="AO202" i="2"/>
  <c r="AP641" i="2"/>
  <c r="AO641" i="2"/>
  <c r="AP354" i="2"/>
  <c r="AO354" i="2"/>
  <c r="AP186" i="2"/>
  <c r="AO186" i="2"/>
  <c r="AP185" i="2"/>
  <c r="AO185" i="2"/>
  <c r="AP148" i="2"/>
  <c r="AO148" i="2"/>
  <c r="AP127" i="2"/>
  <c r="AO127" i="2"/>
  <c r="AP118" i="2"/>
  <c r="AO118" i="2"/>
  <c r="AP112" i="2"/>
  <c r="AO112" i="2"/>
  <c r="AP105" i="2"/>
  <c r="AO105" i="2"/>
  <c r="AP93" i="2"/>
  <c r="AO93" i="2"/>
  <c r="AP85" i="2"/>
  <c r="AO85" i="2"/>
  <c r="AP595" i="2"/>
  <c r="AO595" i="2"/>
  <c r="AP84" i="2"/>
  <c r="AO84" i="2"/>
  <c r="AP78" i="2"/>
  <c r="AO78" i="2"/>
  <c r="AP449" i="2"/>
  <c r="AO449" i="2"/>
  <c r="AP370" i="2"/>
  <c r="AO370" i="2"/>
  <c r="AP271" i="2"/>
  <c r="AO271" i="2"/>
  <c r="AP418" i="2"/>
  <c r="AO418" i="2"/>
  <c r="AP367" i="2"/>
  <c r="AO367" i="2"/>
  <c r="AP56" i="2"/>
  <c r="AO56" i="2"/>
  <c r="AP53" i="2"/>
  <c r="AO53" i="2"/>
  <c r="AP52" i="2"/>
  <c r="AO52" i="2"/>
  <c r="AP50" i="2"/>
  <c r="AO50" i="2"/>
  <c r="AP41" i="2"/>
  <c r="AO41" i="2"/>
  <c r="AP36" i="2"/>
  <c r="AO36" i="2"/>
  <c r="AP31" i="2"/>
  <c r="AO31" i="2"/>
  <c r="AP16" i="2"/>
  <c r="AO16" i="2"/>
  <c r="AP7" i="2"/>
  <c r="AO7" i="2"/>
  <c r="AP756" i="2"/>
  <c r="AO756" i="2"/>
  <c r="AP753" i="2"/>
  <c r="AO753" i="2"/>
  <c r="AP752" i="2"/>
  <c r="AO752" i="2"/>
  <c r="AP746" i="2"/>
  <c r="AO746" i="2"/>
  <c r="AP739" i="2"/>
  <c r="AO739" i="2"/>
  <c r="AP738" i="2"/>
  <c r="AO738" i="2"/>
  <c r="AP735" i="2"/>
  <c r="AO735" i="2"/>
  <c r="AP734" i="2"/>
  <c r="AO734" i="2"/>
  <c r="AP732" i="2"/>
  <c r="AO732" i="2"/>
  <c r="AP728" i="2"/>
  <c r="AO728" i="2"/>
  <c r="AP724" i="2"/>
  <c r="AO724" i="2"/>
  <c r="AP723" i="2"/>
  <c r="AO723" i="2"/>
  <c r="AP720" i="2"/>
  <c r="AO720" i="2"/>
  <c r="AP719" i="2"/>
  <c r="AO719" i="2"/>
  <c r="AP717" i="2"/>
  <c r="AO717" i="2"/>
  <c r="AP716" i="2"/>
  <c r="AO716" i="2"/>
  <c r="AP709" i="2"/>
  <c r="AO709" i="2"/>
  <c r="AP706" i="2"/>
  <c r="AO706" i="2"/>
  <c r="AP702" i="2"/>
  <c r="AO702" i="2"/>
  <c r="AP695" i="2"/>
  <c r="AO695" i="2"/>
  <c r="AP690" i="2"/>
  <c r="AO690" i="2"/>
  <c r="AP686" i="2"/>
  <c r="AO686" i="2"/>
  <c r="AP685" i="2"/>
  <c r="AO685" i="2"/>
  <c r="AP683" i="2"/>
  <c r="AO683" i="2"/>
  <c r="AP679" i="2"/>
  <c r="AO679" i="2"/>
  <c r="AP677" i="2"/>
  <c r="AO677" i="2"/>
  <c r="AP676" i="2"/>
  <c r="AO676" i="2"/>
  <c r="AP674" i="2"/>
  <c r="AO674" i="2"/>
  <c r="AP666" i="2"/>
  <c r="AO666" i="2"/>
  <c r="AP664" i="2"/>
  <c r="AO664" i="2"/>
  <c r="AP661" i="2"/>
  <c r="AO661" i="2"/>
  <c r="AP657" i="2"/>
  <c r="AO657" i="2"/>
  <c r="AP651" i="2"/>
  <c r="AO651" i="2"/>
  <c r="AP642" i="2"/>
  <c r="AO642" i="2"/>
  <c r="AP638" i="2"/>
  <c r="AO638" i="2"/>
  <c r="AP631" i="2"/>
  <c r="AO631" i="2"/>
  <c r="AP618" i="2"/>
  <c r="AO618" i="2"/>
  <c r="AP605" i="2"/>
  <c r="AO605" i="2"/>
  <c r="AP604" i="2"/>
  <c r="AO604" i="2"/>
  <c r="AP586" i="2"/>
  <c r="AO586" i="2"/>
  <c r="AP583" i="2"/>
  <c r="AO583" i="2"/>
  <c r="AP579" i="2"/>
  <c r="AO579" i="2"/>
  <c r="AP571" i="2"/>
  <c r="AO571" i="2"/>
  <c r="AP567" i="2"/>
  <c r="AO567" i="2"/>
  <c r="AP566" i="2"/>
  <c r="AO566" i="2"/>
  <c r="AP560" i="2"/>
  <c r="AO560" i="2"/>
  <c r="AP558" i="2"/>
  <c r="AO558" i="2"/>
  <c r="AP555" i="2"/>
  <c r="AO555" i="2"/>
  <c r="AP547" i="2"/>
  <c r="AO547" i="2"/>
  <c r="AP545" i="2"/>
  <c r="AO545" i="2"/>
  <c r="AP540" i="2"/>
  <c r="AO540" i="2"/>
  <c r="AP538" i="2"/>
  <c r="AO538" i="2"/>
  <c r="AP537" i="2"/>
  <c r="AO537" i="2"/>
  <c r="AP536" i="2"/>
  <c r="AO536" i="2"/>
  <c r="AP533" i="2"/>
  <c r="AO533" i="2"/>
  <c r="AP531" i="2"/>
  <c r="AO531" i="2"/>
  <c r="AP524" i="2"/>
  <c r="AO524" i="2"/>
  <c r="AP518" i="2"/>
  <c r="AO518" i="2"/>
  <c r="AP516" i="2"/>
  <c r="AO516" i="2"/>
  <c r="AP509" i="2"/>
  <c r="AO509" i="2"/>
  <c r="AP508" i="2"/>
  <c r="AO508" i="2"/>
  <c r="AP506" i="2"/>
  <c r="AO506" i="2"/>
  <c r="AP505" i="2"/>
  <c r="AO505" i="2"/>
  <c r="AP497" i="2"/>
  <c r="AO497" i="2"/>
  <c r="AP495" i="2"/>
  <c r="AO495" i="2"/>
  <c r="AP490" i="2"/>
  <c r="AO490" i="2"/>
  <c r="AP483" i="2"/>
  <c r="AO483" i="2"/>
  <c r="AP480" i="2"/>
  <c r="AO480" i="2"/>
  <c r="AP479" i="2"/>
  <c r="AO479" i="2"/>
  <c r="AP475" i="2"/>
  <c r="AO475" i="2"/>
  <c r="AP469" i="2"/>
  <c r="AO469" i="2"/>
  <c r="AP467" i="2"/>
  <c r="AO467" i="2"/>
  <c r="AP457" i="2"/>
  <c r="AO457" i="2"/>
  <c r="AP454" i="2"/>
  <c r="AO454" i="2"/>
  <c r="AP444" i="2"/>
  <c r="AO444" i="2"/>
  <c r="AP427" i="2"/>
  <c r="AO427" i="2"/>
  <c r="AP426" i="2"/>
  <c r="AO426" i="2"/>
  <c r="AP424" i="2"/>
  <c r="AO424" i="2"/>
  <c r="AP419" i="2"/>
  <c r="AO419" i="2"/>
  <c r="AP409" i="2"/>
  <c r="AO409" i="2"/>
  <c r="AP407" i="2"/>
  <c r="AO407" i="2"/>
  <c r="AP402" i="2"/>
  <c r="AO402" i="2"/>
  <c r="AP396" i="2"/>
  <c r="AO396" i="2"/>
  <c r="AP391" i="2"/>
  <c r="AO391" i="2"/>
  <c r="AP383" i="2"/>
  <c r="AO383" i="2"/>
  <c r="AP381" i="2"/>
  <c r="AO381" i="2"/>
  <c r="AP372" i="2"/>
  <c r="AO372" i="2"/>
  <c r="AP371" i="2"/>
  <c r="AO371" i="2"/>
  <c r="AP369" i="2"/>
  <c r="AO369" i="2"/>
  <c r="AP356" i="2"/>
  <c r="AO356" i="2"/>
  <c r="AP342" i="2"/>
  <c r="AO342" i="2"/>
  <c r="AP338" i="2"/>
  <c r="AO338" i="2"/>
  <c r="AP335" i="2"/>
  <c r="AO335" i="2"/>
  <c r="AP332" i="2"/>
  <c r="AO332" i="2"/>
  <c r="AP327" i="2"/>
  <c r="AO327" i="2"/>
  <c r="AP325" i="2"/>
  <c r="AO325" i="2"/>
  <c r="AP322" i="2"/>
  <c r="AO322" i="2"/>
  <c r="AP318" i="2"/>
  <c r="AO318" i="2"/>
  <c r="AP313" i="2"/>
  <c r="AO313" i="2"/>
  <c r="AP310" i="2"/>
  <c r="AO310" i="2"/>
  <c r="AP305" i="2"/>
  <c r="AO305" i="2"/>
  <c r="AP295" i="2"/>
  <c r="AO295" i="2"/>
  <c r="AP290" i="2"/>
  <c r="AO290" i="2"/>
  <c r="AP286" i="2"/>
  <c r="AO286" i="2"/>
  <c r="AP283" i="2"/>
  <c r="AO283" i="2"/>
  <c r="AP280" i="2"/>
  <c r="AO280" i="2"/>
  <c r="AP258" i="2"/>
  <c r="AO258" i="2"/>
  <c r="AP245" i="2"/>
  <c r="AO245" i="2"/>
  <c r="AP763" i="2"/>
  <c r="AO763" i="2"/>
  <c r="AP766" i="2"/>
  <c r="AO766" i="2"/>
  <c r="AP761" i="2"/>
  <c r="AO761" i="2"/>
  <c r="AP239" i="2"/>
  <c r="AO239" i="2"/>
  <c r="AP237" i="2"/>
  <c r="AO237" i="2"/>
  <c r="AP235" i="2"/>
  <c r="AO235" i="2"/>
  <c r="AP730" i="2"/>
  <c r="AO730" i="2"/>
  <c r="AP181" i="2"/>
  <c r="AO181" i="2"/>
  <c r="AP223" i="2"/>
  <c r="AO223" i="2"/>
  <c r="AP589" i="2"/>
  <c r="AO589" i="2"/>
  <c r="AP740" i="2"/>
  <c r="AO740" i="2"/>
  <c r="AP704" i="2"/>
  <c r="AO704" i="2"/>
  <c r="AP748" i="2"/>
  <c r="AO748" i="2"/>
  <c r="AP222" i="2"/>
  <c r="AO222" i="2"/>
  <c r="AP216" i="2"/>
  <c r="AO216" i="2"/>
  <c r="AP606" i="2"/>
  <c r="AO606" i="2"/>
  <c r="AP688" i="2"/>
  <c r="AO688" i="2"/>
  <c r="AP749" i="2"/>
  <c r="AO749" i="2"/>
  <c r="AP378" i="2"/>
  <c r="AO378" i="2"/>
  <c r="AP264" i="2"/>
  <c r="AO264" i="2"/>
  <c r="AP207" i="2"/>
  <c r="AO207" i="2"/>
  <c r="AP200" i="2"/>
  <c r="AO200" i="2"/>
  <c r="AP765" i="2"/>
  <c r="AO765" i="2"/>
  <c r="AP701" i="2"/>
  <c r="AO701" i="2"/>
  <c r="AP715" i="2"/>
  <c r="AO715" i="2"/>
  <c r="AP351" i="2"/>
  <c r="AO351" i="2"/>
  <c r="AP172" i="2"/>
  <c r="AO172" i="2"/>
  <c r="AP169" i="2"/>
  <c r="AO169" i="2"/>
  <c r="AP146" i="2"/>
  <c r="AO146" i="2"/>
  <c r="AP145" i="2"/>
  <c r="AO145" i="2"/>
  <c r="AP139" i="2"/>
  <c r="AO139" i="2"/>
  <c r="AP135" i="2"/>
  <c r="AO135" i="2"/>
  <c r="AP120" i="2"/>
  <c r="AO120" i="2"/>
  <c r="AP87" i="2"/>
  <c r="AO87" i="2"/>
  <c r="AP77" i="2"/>
  <c r="AO77" i="2"/>
  <c r="AP539" i="2"/>
  <c r="AO539" i="2"/>
  <c r="AP398" i="2"/>
  <c r="AO398" i="2"/>
  <c r="AP103" i="2"/>
  <c r="AO103" i="2"/>
  <c r="AP613" i="2"/>
  <c r="AO613" i="2"/>
  <c r="AP650" i="2"/>
  <c r="AO650" i="2"/>
  <c r="AP578" i="2"/>
  <c r="AO578" i="2"/>
  <c r="AP622" i="2"/>
  <c r="AO622" i="2"/>
  <c r="AP696" i="2"/>
  <c r="AO696" i="2"/>
  <c r="AP481" i="2"/>
  <c r="AO481" i="2"/>
  <c r="AP440" i="2"/>
  <c r="AO440" i="2"/>
  <c r="AP380" i="2"/>
  <c r="AO380" i="2"/>
  <c r="AP596" i="2"/>
  <c r="AO596" i="2"/>
  <c r="AP542" i="2"/>
  <c r="AO542" i="2"/>
  <c r="AP660" i="2"/>
  <c r="AO660" i="2"/>
  <c r="AP405" i="2"/>
  <c r="AO405" i="2"/>
  <c r="AP130" i="2"/>
  <c r="AO130" i="2"/>
  <c r="AP220" i="2"/>
  <c r="AO220" i="2"/>
  <c r="AP581" i="2"/>
  <c r="AO581" i="2"/>
  <c r="AP629" i="2"/>
  <c r="AO629" i="2"/>
  <c r="AP174" i="2"/>
  <c r="AO174" i="2"/>
  <c r="AP559" i="2"/>
  <c r="AO559" i="2"/>
  <c r="AP227" i="2"/>
  <c r="AO227" i="2"/>
  <c r="AP703" i="2"/>
  <c r="AO703" i="2"/>
  <c r="AP670" i="2"/>
  <c r="AO670" i="2"/>
  <c r="AP662" i="2"/>
  <c r="AO662" i="2"/>
  <c r="AP634" i="2"/>
  <c r="AO634" i="2"/>
  <c r="AP621" i="2"/>
  <c r="AO621" i="2"/>
  <c r="AP588" i="2"/>
  <c r="AO588" i="2"/>
  <c r="AP577" i="2"/>
  <c r="AO577" i="2"/>
  <c r="AP574" i="2"/>
  <c r="AO574" i="2"/>
  <c r="AP556" i="2"/>
  <c r="AO556" i="2"/>
  <c r="AP511" i="2"/>
  <c r="AO511" i="2"/>
  <c r="AP494" i="2"/>
  <c r="AO494" i="2"/>
  <c r="AP492" i="2"/>
  <c r="AO492" i="2"/>
  <c r="AP482" i="2"/>
  <c r="AO482" i="2"/>
  <c r="AP472" i="2"/>
  <c r="AO472" i="2"/>
  <c r="AP470" i="2"/>
  <c r="AO470" i="2"/>
  <c r="AP464" i="2"/>
  <c r="AO464" i="2"/>
  <c r="AP458" i="2"/>
  <c r="AO458" i="2"/>
  <c r="AP447" i="2"/>
  <c r="AO447" i="2"/>
  <c r="AP436" i="2"/>
  <c r="AO436" i="2"/>
  <c r="AP425" i="2"/>
  <c r="AO425" i="2"/>
  <c r="AP420" i="2"/>
  <c r="AO420" i="2"/>
  <c r="AP413" i="2"/>
  <c r="AO413" i="2"/>
  <c r="AP403" i="2"/>
  <c r="AO403" i="2"/>
  <c r="AP376" i="2"/>
  <c r="AO376" i="2"/>
  <c r="AP365" i="2"/>
  <c r="AO365" i="2"/>
  <c r="AP362" i="2"/>
  <c r="AO362" i="2"/>
  <c r="AP344" i="2"/>
  <c r="AO344" i="2"/>
  <c r="AP341" i="2"/>
  <c r="AO341" i="2"/>
  <c r="AP330" i="2"/>
  <c r="AO330" i="2"/>
  <c r="AP303" i="2"/>
  <c r="AO303" i="2"/>
  <c r="AP301" i="2"/>
  <c r="AO301" i="2"/>
  <c r="AP276" i="2"/>
  <c r="AO276" i="2"/>
  <c r="AP263" i="2"/>
  <c r="AO263" i="2"/>
  <c r="AP261" i="2"/>
  <c r="AO261" i="2"/>
  <c r="AP256" i="2"/>
  <c r="AO256" i="2"/>
  <c r="AP254" i="2"/>
  <c r="AO254" i="2"/>
  <c r="AP247" i="2"/>
  <c r="AO247" i="2"/>
  <c r="AP246" i="2"/>
  <c r="AO246" i="2"/>
  <c r="AP244" i="2"/>
  <c r="AO244" i="2"/>
  <c r="AP240" i="2"/>
  <c r="AO240" i="2"/>
  <c r="AP233" i="2"/>
  <c r="AO233" i="2"/>
  <c r="AP231" i="2"/>
  <c r="AO231" i="2"/>
  <c r="AP680" i="2"/>
  <c r="AO680" i="2"/>
  <c r="AP585" i="2"/>
  <c r="AO585" i="2"/>
  <c r="AP754" i="2"/>
  <c r="AO754" i="2"/>
  <c r="AP616" i="2"/>
  <c r="AO616" i="2"/>
  <c r="AP287" i="2"/>
  <c r="AO287" i="2"/>
  <c r="AP215" i="2"/>
  <c r="AO215" i="2"/>
  <c r="AP366" i="2"/>
  <c r="AO366" i="2"/>
  <c r="AP210" i="2"/>
  <c r="AO210" i="2"/>
  <c r="AP206" i="2"/>
  <c r="AO206" i="2"/>
  <c r="AP104" i="2"/>
  <c r="AO104" i="2"/>
  <c r="AP183" i="2"/>
  <c r="AO183" i="2"/>
  <c r="AP173" i="2"/>
  <c r="AO173" i="2"/>
  <c r="AP170" i="2"/>
  <c r="AO170" i="2"/>
  <c r="AP156" i="2"/>
  <c r="AO156" i="2"/>
  <c r="AP155" i="2"/>
  <c r="AO155" i="2"/>
  <c r="AP133" i="2"/>
  <c r="AO133" i="2"/>
  <c r="AP109" i="2"/>
  <c r="AO109" i="2"/>
  <c r="AP108" i="2"/>
  <c r="AO108" i="2"/>
  <c r="AP90" i="2"/>
  <c r="AO90" i="2"/>
  <c r="AP132" i="2"/>
  <c r="AO132" i="2"/>
  <c r="AP434" i="2"/>
  <c r="AO434" i="2"/>
  <c r="AP208" i="2"/>
  <c r="AO208" i="2"/>
  <c r="AP89" i="2"/>
  <c r="AO89" i="2"/>
  <c r="AP465" i="2"/>
  <c r="AO465" i="2"/>
  <c r="AP116" i="2"/>
  <c r="AO116" i="2"/>
  <c r="AP65" i="2"/>
  <c r="AO65" i="2"/>
  <c r="AP329" i="2"/>
  <c r="AO329" i="2"/>
  <c r="AP191" i="2"/>
  <c r="AO191" i="2"/>
  <c r="AP59" i="2"/>
  <c r="AO59" i="2"/>
  <c r="AP587" i="2"/>
  <c r="AO587" i="2"/>
  <c r="AP302" i="2"/>
  <c r="AO302" i="2"/>
  <c r="AP361" i="2"/>
  <c r="AO361" i="2"/>
  <c r="AP12" i="2"/>
  <c r="AO12" i="2"/>
  <c r="AP708" i="2"/>
  <c r="AO708" i="2"/>
  <c r="AP687" i="2"/>
  <c r="AO687" i="2"/>
  <c r="AP655" i="2"/>
  <c r="AO655" i="2"/>
  <c r="AP630" i="2"/>
  <c r="AO630" i="2"/>
  <c r="AP620" i="2"/>
  <c r="AO620" i="2"/>
  <c r="AP615" i="2"/>
  <c r="AO615" i="2"/>
  <c r="AP612" i="2"/>
  <c r="AO612" i="2"/>
  <c r="AP609" i="2"/>
  <c r="AO609" i="2"/>
  <c r="AP584" i="2"/>
  <c r="AO584" i="2"/>
  <c r="AP563" i="2"/>
  <c r="AO563" i="2"/>
  <c r="AP553" i="2"/>
  <c r="AO553" i="2"/>
  <c r="AP515" i="2"/>
  <c r="AO515" i="2"/>
  <c r="AP507" i="2"/>
  <c r="AO507" i="2"/>
  <c r="AP503" i="2"/>
  <c r="AO503" i="2"/>
  <c r="AP476" i="2"/>
  <c r="AO476" i="2"/>
  <c r="AP474" i="2"/>
  <c r="AO474" i="2"/>
  <c r="AP456" i="2"/>
  <c r="AO456" i="2"/>
  <c r="AP443" i="2"/>
  <c r="AO443" i="2"/>
  <c r="AP429" i="2"/>
  <c r="AO429" i="2"/>
  <c r="AP373" i="2"/>
  <c r="AO373" i="2"/>
  <c r="AP364" i="2"/>
  <c r="AO364" i="2"/>
  <c r="AP359" i="2"/>
  <c r="AO359" i="2"/>
  <c r="AP358" i="2"/>
  <c r="AO358" i="2"/>
  <c r="AP357" i="2"/>
  <c r="AO357" i="2"/>
  <c r="AP340" i="2"/>
  <c r="AO340" i="2"/>
  <c r="AP326" i="2"/>
  <c r="AO326" i="2"/>
  <c r="AP323" i="2"/>
  <c r="AO323" i="2"/>
  <c r="AP311" i="2"/>
  <c r="AO311" i="2"/>
  <c r="AP285" i="2"/>
  <c r="AO285" i="2"/>
  <c r="AP269" i="2"/>
  <c r="AO269" i="2"/>
  <c r="AP259" i="2"/>
  <c r="AO259" i="2"/>
  <c r="AP236" i="2"/>
  <c r="AO236" i="2"/>
  <c r="AP681" i="2"/>
  <c r="AO681" i="2"/>
  <c r="AP591" i="2"/>
  <c r="AO591" i="2"/>
  <c r="AP699" i="2"/>
  <c r="AO699" i="2"/>
  <c r="AP637" i="2"/>
  <c r="AO637" i="2"/>
  <c r="AP668" i="2"/>
  <c r="AO668" i="2"/>
  <c r="AP718" i="2"/>
  <c r="AO718" i="2"/>
  <c r="AP343" i="2"/>
  <c r="AO343" i="2"/>
  <c r="AP564" i="2"/>
  <c r="AO564" i="2"/>
  <c r="AP611" i="2"/>
  <c r="AO611" i="2"/>
  <c r="AP649" i="2"/>
  <c r="AO649" i="2"/>
  <c r="AP213" i="2"/>
  <c r="AO213" i="2"/>
  <c r="AP648" i="2"/>
  <c r="AO648" i="2"/>
  <c r="AP382" i="2"/>
  <c r="AO382" i="2"/>
  <c r="AP725" i="2"/>
  <c r="AO725" i="2"/>
  <c r="AP192" i="2"/>
  <c r="AO192" i="2"/>
  <c r="AP188" i="2"/>
  <c r="AO188" i="2"/>
  <c r="AP684" i="2"/>
  <c r="AO684" i="2"/>
  <c r="AP743" i="2"/>
  <c r="AO743" i="2"/>
  <c r="AP184" i="2"/>
  <c r="AO184" i="2"/>
  <c r="AP175" i="2"/>
  <c r="AO175" i="2"/>
  <c r="AP162" i="2"/>
  <c r="AO162" i="2"/>
  <c r="AP152" i="2"/>
  <c r="AO152" i="2"/>
  <c r="AP141" i="2"/>
  <c r="AO141" i="2"/>
  <c r="AP140" i="2"/>
  <c r="AO140" i="2"/>
  <c r="AP121" i="2"/>
  <c r="AO121" i="2"/>
  <c r="AP114" i="2"/>
  <c r="AO114" i="2"/>
  <c r="AP107" i="2"/>
  <c r="AO107" i="2"/>
  <c r="AP102" i="2"/>
  <c r="AO102" i="2"/>
  <c r="AP96" i="2"/>
  <c r="AO96" i="2"/>
  <c r="AP75" i="2"/>
  <c r="AO75" i="2"/>
  <c r="AP580" i="2"/>
  <c r="AO580" i="2"/>
  <c r="AP321" i="2"/>
  <c r="AO321" i="2"/>
  <c r="AP493" i="2"/>
  <c r="AO493" i="2"/>
  <c r="AP557" i="2"/>
  <c r="AO557" i="2"/>
  <c r="AP514" i="2"/>
  <c r="AO514" i="2"/>
  <c r="AP64" i="2"/>
  <c r="AO64" i="2"/>
  <c r="AP375" i="2"/>
  <c r="AO375" i="2"/>
  <c r="AP437" i="2"/>
  <c r="AO437" i="2"/>
  <c r="AP386" i="2"/>
  <c r="AO386" i="2"/>
  <c r="AP438" i="2"/>
  <c r="AO438" i="2"/>
  <c r="AP73" i="2"/>
  <c r="AO73" i="2"/>
  <c r="AP151" i="2"/>
  <c r="AO151" i="2"/>
  <c r="AP63" i="2"/>
  <c r="AO63" i="2"/>
  <c r="AP314" i="2"/>
  <c r="AO314" i="2"/>
  <c r="AP20" i="2"/>
  <c r="AO20" i="2"/>
  <c r="AP5" i="2"/>
  <c r="AO5" i="2"/>
  <c r="AP652" i="2"/>
  <c r="AO652" i="2"/>
  <c r="AP590" i="2"/>
  <c r="AO590" i="2"/>
  <c r="AP568" i="2"/>
  <c r="AO568" i="2"/>
  <c r="AP554" i="2"/>
  <c r="AO554" i="2"/>
  <c r="AP526" i="2"/>
  <c r="AO526" i="2"/>
  <c r="AP523" i="2"/>
  <c r="AO523" i="2"/>
  <c r="AP517" i="2"/>
  <c r="AO517" i="2"/>
  <c r="AP487" i="2"/>
  <c r="AO487" i="2"/>
  <c r="AP485" i="2"/>
  <c r="AO485" i="2"/>
  <c r="AP462" i="2"/>
  <c r="AO462" i="2"/>
  <c r="AP414" i="2"/>
  <c r="AO414" i="2"/>
  <c r="AP410" i="2"/>
  <c r="AO410" i="2"/>
  <c r="AP388" i="2"/>
  <c r="AO388" i="2"/>
  <c r="AP348" i="2"/>
  <c r="AO348" i="2"/>
  <c r="AP346" i="2"/>
  <c r="AO346" i="2"/>
  <c r="AP315" i="2"/>
  <c r="AO315" i="2"/>
  <c r="AP308" i="2"/>
  <c r="AO308" i="2"/>
  <c r="AP268" i="2"/>
  <c r="AO268" i="2"/>
  <c r="AP267" i="2"/>
  <c r="AO267" i="2"/>
  <c r="AP253" i="2"/>
  <c r="AO253" i="2"/>
  <c r="AP628" i="2"/>
  <c r="AO628" i="2"/>
  <c r="AP672" i="2"/>
  <c r="AO672" i="2"/>
  <c r="AP758" i="2"/>
  <c r="AO758" i="2"/>
  <c r="AP762" i="2"/>
  <c r="AO762" i="2"/>
  <c r="AP230" i="2"/>
  <c r="AO230" i="2"/>
  <c r="AP751" i="2"/>
  <c r="AO751" i="2"/>
  <c r="AP747" i="2"/>
  <c r="AO747" i="2"/>
  <c r="AP721" i="2"/>
  <c r="AO721" i="2"/>
  <c r="AP610" i="2"/>
  <c r="AO610" i="2"/>
  <c r="AP726" i="2"/>
  <c r="AO726" i="2"/>
  <c r="AP750" i="2"/>
  <c r="AO750" i="2"/>
  <c r="AP760" i="2"/>
  <c r="AO760" i="2"/>
  <c r="AP755" i="2"/>
  <c r="AO755" i="2"/>
  <c r="AP736" i="2"/>
  <c r="AO736" i="2"/>
  <c r="AP689" i="2"/>
  <c r="AO689" i="2"/>
  <c r="AP671" i="2"/>
  <c r="AO671" i="2"/>
  <c r="AP635" i="2"/>
  <c r="AO635" i="2"/>
  <c r="AP275" i="2"/>
  <c r="AO275" i="2"/>
  <c r="AP530" i="2"/>
  <c r="AO530" i="2"/>
  <c r="AP731" i="2"/>
  <c r="AO731" i="2"/>
  <c r="AP106" i="2"/>
  <c r="AO106" i="2"/>
  <c r="AP21" i="2"/>
  <c r="AO21" i="2"/>
  <c r="AP675" i="2"/>
  <c r="AO675" i="2"/>
  <c r="AP742" i="2"/>
  <c r="AO742" i="2"/>
  <c r="AP502" i="2"/>
  <c r="AO502" i="2"/>
  <c r="AP627" i="2"/>
  <c r="AO627" i="2"/>
  <c r="AP608" i="2"/>
  <c r="AO608" i="2"/>
  <c r="AP643" i="2"/>
  <c r="AO643" i="2"/>
  <c r="AP710" i="2"/>
  <c r="AO710" i="2"/>
  <c r="AP549" i="2"/>
  <c r="AO549" i="2"/>
  <c r="AP520" i="2"/>
  <c r="AO520" i="2"/>
  <c r="AP599" i="2"/>
  <c r="AO599" i="2"/>
  <c r="AP603" i="2"/>
  <c r="AO603" i="2"/>
  <c r="AP759" i="2"/>
  <c r="AO759" i="2"/>
  <c r="AP654" i="2"/>
  <c r="AO654" i="2"/>
  <c r="AP711" i="2"/>
  <c r="AO711" i="2"/>
  <c r="AP694" i="2"/>
  <c r="AO694" i="2"/>
  <c r="AP659" i="2"/>
  <c r="AO659" i="2"/>
  <c r="AP632" i="2"/>
  <c r="AO632" i="2"/>
  <c r="AP693" i="2"/>
  <c r="AO693" i="2"/>
  <c r="AP757" i="2"/>
  <c r="AO757" i="2"/>
  <c r="AP691" i="2"/>
  <c r="AO691" i="2"/>
  <c r="AP624" i="2"/>
  <c r="AO624" i="2"/>
  <c r="AP727" i="2"/>
  <c r="AO727" i="2"/>
  <c r="AP658" i="2"/>
  <c r="AO658" i="2"/>
  <c r="AP729" i="2"/>
  <c r="AO729" i="2"/>
  <c r="AP713" i="2"/>
  <c r="AO713" i="2"/>
  <c r="AP678" i="2"/>
  <c r="AO678" i="2"/>
  <c r="AP249" i="2"/>
  <c r="AO249" i="2"/>
  <c r="AP198" i="2"/>
  <c r="AO198" i="2"/>
  <c r="AP546" i="2"/>
  <c r="AO546" i="2"/>
  <c r="AP195" i="2"/>
  <c r="AO195" i="2"/>
  <c r="AP707" i="2"/>
  <c r="AO707" i="2"/>
  <c r="AP534" i="2"/>
  <c r="AO534" i="2"/>
  <c r="AP644" i="2"/>
  <c r="AO644" i="2"/>
  <c r="AP459" i="2"/>
  <c r="AO459" i="2"/>
  <c r="AP698" i="2"/>
  <c r="AO698" i="2"/>
  <c r="AP745" i="2"/>
  <c r="AO745" i="2"/>
  <c r="AP722" i="2"/>
  <c r="AO722" i="2"/>
  <c r="AP569" i="2"/>
  <c r="AO569" i="2"/>
  <c r="AP182" i="2"/>
  <c r="AO182" i="2"/>
  <c r="AP741" i="2"/>
  <c r="AO741" i="2"/>
  <c r="AP499" i="2"/>
  <c r="AO499" i="2"/>
  <c r="AP597" i="2"/>
  <c r="AO597" i="2"/>
  <c r="AP177" i="2"/>
  <c r="AO177" i="2"/>
  <c r="AP543" i="2"/>
  <c r="AO543" i="2"/>
  <c r="AP171" i="2"/>
  <c r="AO171" i="2"/>
  <c r="AP144" i="2"/>
  <c r="AO144" i="2"/>
  <c r="AP134" i="2"/>
  <c r="AO134" i="2"/>
  <c r="AP119" i="2"/>
  <c r="AO119" i="2"/>
  <c r="AP113" i="2"/>
  <c r="AO113" i="2"/>
  <c r="AP99" i="2"/>
  <c r="AO99" i="2"/>
  <c r="AP88" i="2"/>
  <c r="AO88" i="2"/>
  <c r="AP297" i="2"/>
  <c r="AO297" i="2"/>
  <c r="AP665" i="2"/>
  <c r="AO665" i="2"/>
  <c r="AP11" i="2"/>
  <c r="AO11" i="2"/>
  <c r="AP744" i="2"/>
  <c r="AO744" i="2"/>
  <c r="AP412" i="2"/>
  <c r="AO412" i="2"/>
  <c r="AP669" i="2"/>
  <c r="AO669" i="2"/>
  <c r="AP466" i="2"/>
  <c r="AO466" i="2"/>
  <c r="AP27" i="2"/>
  <c r="AO27" i="2"/>
  <c r="AP541" i="2"/>
  <c r="AO541" i="2"/>
  <c r="AP298" i="2"/>
  <c r="AO298" i="2"/>
  <c r="AP67" i="2"/>
  <c r="AO67" i="2"/>
  <c r="AP158" i="2"/>
  <c r="AO158" i="2"/>
  <c r="AP45" i="2"/>
  <c r="AO45" i="2"/>
  <c r="AP317" i="2"/>
  <c r="AO317" i="2"/>
  <c r="AP333" i="2"/>
  <c r="AO333" i="2"/>
  <c r="AP550" i="2"/>
  <c r="AO550" i="2"/>
  <c r="AP331" i="2"/>
  <c r="AO331" i="2"/>
  <c r="AP594" i="2"/>
  <c r="AO594" i="2"/>
  <c r="AP428" i="2"/>
  <c r="AO428" i="2"/>
  <c r="AP306" i="2"/>
  <c r="AO306" i="2"/>
  <c r="AP431" i="2"/>
  <c r="AO431" i="2"/>
  <c r="AP572" i="2"/>
  <c r="AO572" i="2"/>
  <c r="AP385" i="2"/>
  <c r="AO385" i="2"/>
  <c r="AP453" i="2"/>
  <c r="AO453" i="2"/>
  <c r="AP422" i="2"/>
  <c r="AO422" i="2"/>
  <c r="AP504" i="2"/>
  <c r="AO504" i="2"/>
  <c r="AP360" i="2"/>
  <c r="AO360" i="2"/>
  <c r="AP353" i="2"/>
  <c r="AO353" i="2"/>
  <c r="AP43" i="2"/>
  <c r="AO43" i="2"/>
  <c r="AP157" i="2"/>
  <c r="AO157" i="2"/>
  <c r="AP58" i="2"/>
  <c r="AO58" i="2"/>
  <c r="AP60" i="2"/>
  <c r="AO60" i="2"/>
  <c r="AP355" i="2"/>
  <c r="AO355" i="2"/>
  <c r="AP15" i="2"/>
  <c r="AO15" i="2"/>
  <c r="AP62" i="2"/>
  <c r="AO62" i="2"/>
  <c r="AP143" i="2"/>
  <c r="AO143" i="2"/>
  <c r="AP592" i="2"/>
  <c r="AO592" i="2"/>
  <c r="AP232" i="2"/>
  <c r="AO232" i="2"/>
  <c r="AP395" i="2"/>
  <c r="AO395" i="2"/>
  <c r="AP284" i="2"/>
  <c r="AO284" i="2"/>
  <c r="AP614" i="2"/>
  <c r="AO614" i="2"/>
  <c r="AP416" i="2"/>
  <c r="AO416" i="2"/>
  <c r="AP705" i="2"/>
  <c r="AO705" i="2"/>
  <c r="AP439" i="2"/>
  <c r="AO439" i="2"/>
  <c r="AP473" i="2"/>
  <c r="AO473" i="2"/>
  <c r="AP393" i="2"/>
  <c r="AO393" i="2"/>
  <c r="AP529" i="2"/>
  <c r="AO529" i="2"/>
  <c r="AP55" i="2"/>
  <c r="AO55" i="2"/>
  <c r="AP452" i="2"/>
  <c r="AO452" i="2"/>
  <c r="AP51" i="2"/>
  <c r="AO51" i="2"/>
  <c r="AP49" i="2"/>
  <c r="AO49" i="2"/>
  <c r="AP47" i="2"/>
  <c r="AO47" i="2"/>
  <c r="AP40" i="2"/>
  <c r="AO40" i="2"/>
  <c r="AP37" i="2"/>
  <c r="AO37" i="2"/>
  <c r="AP34" i="2"/>
  <c r="AO34" i="2"/>
  <c r="AP28" i="2"/>
  <c r="AO28" i="2"/>
  <c r="AP23" i="2"/>
  <c r="AO23" i="2"/>
  <c r="AP22" i="2"/>
  <c r="AO22" i="2"/>
  <c r="AP19" i="2"/>
  <c r="AO19" i="2"/>
  <c r="AP17" i="2"/>
  <c r="AO17" i="2"/>
  <c r="AP9" i="2"/>
  <c r="AO9" i="2"/>
  <c r="B7" i="11"/>
  <c r="C7" i="11"/>
  <c r="D7" i="11"/>
  <c r="E7" i="11"/>
  <c r="F7" i="11"/>
  <c r="G7" i="11"/>
  <c r="O7" i="11"/>
  <c r="P7" i="11"/>
  <c r="Q7" i="11"/>
  <c r="R7" i="11"/>
  <c r="S7" i="11"/>
  <c r="T7" i="11"/>
  <c r="T4" i="11"/>
  <c r="S4" i="11"/>
  <c r="R4" i="11"/>
  <c r="Q4" i="11"/>
  <c r="P4" i="11"/>
  <c r="O4" i="11"/>
  <c r="G4" i="11"/>
  <c r="F4" i="11"/>
  <c r="E4" i="11"/>
  <c r="D4" i="11"/>
  <c r="C4" i="11"/>
  <c r="B4" i="11"/>
  <c r="T6" i="11"/>
  <c r="S6" i="11"/>
  <c r="R6" i="11"/>
  <c r="Q6" i="11"/>
  <c r="P6" i="11"/>
  <c r="O6" i="11"/>
  <c r="G6" i="11"/>
  <c r="F6" i="11"/>
  <c r="E6" i="11"/>
  <c r="D6" i="11"/>
  <c r="C6" i="11"/>
  <c r="B6" i="11"/>
  <c r="T5" i="11"/>
  <c r="S5" i="11"/>
  <c r="R5" i="11"/>
  <c r="Q5" i="11"/>
  <c r="P5" i="11"/>
  <c r="O5" i="11"/>
  <c r="G5" i="11"/>
  <c r="F5" i="11"/>
  <c r="E5" i="11"/>
  <c r="D5" i="11"/>
  <c r="C5" i="11"/>
  <c r="B5" i="11"/>
  <c r="AU646" i="1"/>
  <c r="AU45" i="1"/>
  <c r="AU369" i="1"/>
  <c r="AU708" i="1"/>
  <c r="AU673" i="1"/>
  <c r="AU495" i="1"/>
  <c r="AU404" i="1"/>
  <c r="AU693" i="1"/>
  <c r="AU666" i="1"/>
  <c r="AU744" i="1"/>
  <c r="AU391" i="1"/>
  <c r="AU462" i="1"/>
  <c r="AU293" i="1"/>
  <c r="AU448" i="1"/>
  <c r="AU721" i="1"/>
  <c r="AU713" i="1"/>
  <c r="AU490" i="1"/>
  <c r="AU465" i="1"/>
  <c r="AU560" i="1"/>
  <c r="AU122" i="1"/>
  <c r="AU347" i="1"/>
  <c r="AU311" i="1"/>
  <c r="AU346" i="1"/>
  <c r="AU131" i="1"/>
  <c r="AU726" i="1"/>
  <c r="AU196" i="1"/>
  <c r="AU383" i="1"/>
  <c r="AU447" i="1"/>
  <c r="AU460" i="1"/>
  <c r="AU218" i="1"/>
  <c r="AU402" i="1"/>
  <c r="AU230" i="1"/>
  <c r="AU300" i="1"/>
  <c r="AU430" i="1"/>
  <c r="AU743" i="1"/>
  <c r="AU178" i="1"/>
  <c r="AU632" i="1"/>
  <c r="AU426" i="1"/>
  <c r="AU181" i="1"/>
  <c r="AU163" i="1"/>
  <c r="AU380" i="1"/>
  <c r="AU687" i="1"/>
  <c r="AU667" i="1"/>
  <c r="AU396" i="1"/>
  <c r="AU474" i="1"/>
  <c r="AU496" i="1"/>
  <c r="AU722" i="1"/>
  <c r="AU733" i="1"/>
  <c r="AU774" i="1"/>
  <c r="AU746" i="1"/>
  <c r="AU764" i="1"/>
  <c r="AU281" i="1"/>
  <c r="AU189" i="1"/>
  <c r="AU385" i="1"/>
  <c r="AU741" i="1"/>
  <c r="AU162" i="1"/>
  <c r="AU757" i="1"/>
  <c r="AU190" i="1"/>
  <c r="AU254" i="1"/>
  <c r="AU441" i="1"/>
  <c r="AU419" i="1"/>
  <c r="AU206" i="1"/>
  <c r="AU437" i="1"/>
  <c r="AU280" i="1"/>
  <c r="AU739" i="1"/>
  <c r="AU292" i="1"/>
  <c r="AU765" i="1"/>
  <c r="AU356" i="1"/>
  <c r="AU637" i="1"/>
  <c r="AU710" i="1"/>
  <c r="AU394" i="1"/>
  <c r="AU257" i="1"/>
  <c r="AU88" i="1"/>
  <c r="AU160" i="1"/>
  <c r="AU171" i="1"/>
  <c r="AU238" i="1"/>
  <c r="AU737" i="1"/>
  <c r="AU336" i="1"/>
  <c r="AU659" i="1"/>
  <c r="AU359" i="1"/>
  <c r="AU197" i="1"/>
  <c r="AU259" i="1"/>
  <c r="AU343" i="1"/>
  <c r="AU735" i="1"/>
  <c r="AU207" i="1"/>
  <c r="AU695" i="1"/>
  <c r="AU410" i="1"/>
  <c r="AU297" i="1"/>
  <c r="AU499" i="1"/>
  <c r="AU747" i="1"/>
  <c r="AU301" i="1"/>
  <c r="AU151" i="1"/>
  <c r="AU479" i="1"/>
  <c r="AU698" i="1"/>
  <c r="AU211" i="1"/>
  <c r="AU705" i="1"/>
  <c r="AU329" i="1"/>
  <c r="AU664" i="1"/>
  <c r="AU413" i="1"/>
  <c r="AU418" i="1"/>
  <c r="AU309" i="1"/>
  <c r="AU700" i="1"/>
  <c r="AU364" i="1"/>
  <c r="AU381" i="1"/>
  <c r="AU357" i="1"/>
  <c r="AU318" i="1"/>
  <c r="AU409" i="1"/>
  <c r="AU242" i="1"/>
  <c r="AU150" i="1"/>
  <c r="AU50" i="1"/>
  <c r="AU354" i="1"/>
  <c r="AU420" i="1"/>
  <c r="AU459" i="1"/>
  <c r="AU377" i="1"/>
  <c r="AV646" i="1"/>
  <c r="AV45" i="1"/>
  <c r="AV369" i="1"/>
  <c r="AV708" i="1"/>
  <c r="AV673" i="1"/>
  <c r="AV495" i="1"/>
  <c r="AV404" i="1"/>
  <c r="AV693" i="1"/>
  <c r="AV666" i="1"/>
  <c r="AV744" i="1"/>
  <c r="AV391" i="1"/>
  <c r="AV462" i="1"/>
  <c r="AV293" i="1"/>
  <c r="AV448" i="1"/>
  <c r="AV721" i="1"/>
  <c r="AV713" i="1"/>
  <c r="AV490" i="1"/>
  <c r="AV465" i="1"/>
  <c r="AV560" i="1"/>
  <c r="AV122" i="1"/>
  <c r="AV347" i="1"/>
  <c r="AV311" i="1"/>
  <c r="AV346" i="1"/>
  <c r="AV131" i="1"/>
  <c r="AV726" i="1"/>
  <c r="AV196" i="1"/>
  <c r="AV383" i="1"/>
  <c r="AV447" i="1"/>
  <c r="AV460" i="1"/>
  <c r="AV218" i="1"/>
  <c r="AV402" i="1"/>
  <c r="AV230" i="1"/>
  <c r="AV300" i="1"/>
  <c r="AV430" i="1"/>
  <c r="AV743" i="1"/>
  <c r="AV178" i="1"/>
  <c r="AV632" i="1"/>
  <c r="AV426" i="1"/>
  <c r="AV181" i="1"/>
  <c r="AV163" i="1"/>
  <c r="AV380" i="1"/>
  <c r="AV687" i="1"/>
  <c r="AV667" i="1"/>
  <c r="AV396" i="1"/>
  <c r="AV474" i="1"/>
  <c r="AV496" i="1"/>
  <c r="AV722" i="1"/>
  <c r="AV733" i="1"/>
  <c r="AV774" i="1"/>
  <c r="AV746" i="1"/>
  <c r="AV764" i="1"/>
  <c r="AV281" i="1"/>
  <c r="AV189" i="1"/>
  <c r="AV385" i="1"/>
  <c r="AV741" i="1"/>
  <c r="AV162" i="1"/>
  <c r="AV757" i="1"/>
  <c r="AV190" i="1"/>
  <c r="AV254" i="1"/>
  <c r="AV441" i="1"/>
  <c r="AV419" i="1"/>
  <c r="AV206" i="1"/>
  <c r="AV437" i="1"/>
  <c r="AV280" i="1"/>
  <c r="AV739" i="1"/>
  <c r="AV292" i="1"/>
  <c r="AV765" i="1"/>
  <c r="AV356" i="1"/>
  <c r="AV637" i="1"/>
  <c r="AV710" i="1"/>
  <c r="AV394" i="1"/>
  <c r="AV257" i="1"/>
  <c r="AV88" i="1"/>
  <c r="AV160" i="1"/>
  <c r="AV171" i="1"/>
  <c r="AV238" i="1"/>
  <c r="AV737" i="1"/>
  <c r="AV336" i="1"/>
  <c r="AV659" i="1"/>
  <c r="AV359" i="1"/>
  <c r="AV197" i="1"/>
  <c r="AV259" i="1"/>
  <c r="AV343" i="1"/>
  <c r="AV735" i="1"/>
  <c r="AV207" i="1"/>
  <c r="AV695" i="1"/>
  <c r="AV410" i="1"/>
  <c r="AV297" i="1"/>
  <c r="AV499" i="1"/>
  <c r="AV747" i="1"/>
  <c r="AV301" i="1"/>
  <c r="AV151" i="1"/>
  <c r="AV479" i="1"/>
  <c r="AV698" i="1"/>
  <c r="AV211" i="1"/>
  <c r="AV705" i="1"/>
  <c r="AV329" i="1"/>
  <c r="AV664" i="1"/>
  <c r="AV413" i="1"/>
  <c r="AV418" i="1"/>
  <c r="AV309" i="1"/>
  <c r="AV700" i="1"/>
  <c r="AV364" i="1"/>
  <c r="AV381" i="1"/>
  <c r="AV357" i="1"/>
  <c r="AV318" i="1"/>
  <c r="AV409" i="1"/>
  <c r="AV242" i="1"/>
  <c r="AV150" i="1"/>
  <c r="AV50" i="1"/>
  <c r="AV354" i="1"/>
  <c r="AV420" i="1"/>
  <c r="AV459" i="1"/>
  <c r="AV377" i="1"/>
  <c r="AW646" i="1"/>
  <c r="AW45" i="1"/>
  <c r="AW369" i="1"/>
  <c r="AW708" i="1"/>
  <c r="AW673" i="1"/>
  <c r="AW495" i="1"/>
  <c r="AW404" i="1"/>
  <c r="AW693" i="1"/>
  <c r="AW666" i="1"/>
  <c r="AW744" i="1"/>
  <c r="AW391" i="1"/>
  <c r="AW462" i="1"/>
  <c r="AW293" i="1"/>
  <c r="AW448" i="1"/>
  <c r="AW721" i="1"/>
  <c r="AW713" i="1"/>
  <c r="AW490" i="1"/>
  <c r="AW465" i="1"/>
  <c r="AW560" i="1"/>
  <c r="AW122" i="1"/>
  <c r="AW347" i="1"/>
  <c r="AW311" i="1"/>
  <c r="AW346" i="1"/>
  <c r="AW131" i="1"/>
  <c r="AW726" i="1"/>
  <c r="AW196" i="1"/>
  <c r="AW383" i="1"/>
  <c r="AW447" i="1"/>
  <c r="AW460" i="1"/>
  <c r="AW218" i="1"/>
  <c r="AW402" i="1"/>
  <c r="AW230" i="1"/>
  <c r="AW300" i="1"/>
  <c r="AW430" i="1"/>
  <c r="AW743" i="1"/>
  <c r="AW178" i="1"/>
  <c r="AW632" i="1"/>
  <c r="AW426" i="1"/>
  <c r="AW181" i="1"/>
  <c r="AW163" i="1"/>
  <c r="AW380" i="1"/>
  <c r="AW687" i="1"/>
  <c r="AW667" i="1"/>
  <c r="AW396" i="1"/>
  <c r="AW474" i="1"/>
  <c r="AW496" i="1"/>
  <c r="AW722" i="1"/>
  <c r="AW733" i="1"/>
  <c r="AW774" i="1"/>
  <c r="AW746" i="1"/>
  <c r="AW764" i="1"/>
  <c r="AW281" i="1"/>
  <c r="AW189" i="1"/>
  <c r="AW385" i="1"/>
  <c r="AW741" i="1"/>
  <c r="AW162" i="1"/>
  <c r="AW757" i="1"/>
  <c r="AW190" i="1"/>
  <c r="AW254" i="1"/>
  <c r="AW441" i="1"/>
  <c r="AW419" i="1"/>
  <c r="AW206" i="1"/>
  <c r="AW437" i="1"/>
  <c r="AW280" i="1"/>
  <c r="AW739" i="1"/>
  <c r="AW292" i="1"/>
  <c r="AW765" i="1"/>
  <c r="AW356" i="1"/>
  <c r="AW637" i="1"/>
  <c r="AW710" i="1"/>
  <c r="AW394" i="1"/>
  <c r="AW257" i="1"/>
  <c r="AW88" i="1"/>
  <c r="AW160" i="1"/>
  <c r="AW171" i="1"/>
  <c r="AW238" i="1"/>
  <c r="AW737" i="1"/>
  <c r="AW336" i="1"/>
  <c r="AW659" i="1"/>
  <c r="AW359" i="1"/>
  <c r="AW197" i="1"/>
  <c r="AW259" i="1"/>
  <c r="AW343" i="1"/>
  <c r="AW735" i="1"/>
  <c r="AW207" i="1"/>
  <c r="AW695" i="1"/>
  <c r="AW410" i="1"/>
  <c r="AW297" i="1"/>
  <c r="AW499" i="1"/>
  <c r="AW747" i="1"/>
  <c r="AW301" i="1"/>
  <c r="AW151" i="1"/>
  <c r="AW479" i="1"/>
  <c r="AW698" i="1"/>
  <c r="AW211" i="1"/>
  <c r="AW705" i="1"/>
  <c r="AW329" i="1"/>
  <c r="AW664" i="1"/>
  <c r="AW413" i="1"/>
  <c r="AW418" i="1"/>
  <c r="AW309" i="1"/>
  <c r="AW700" i="1"/>
  <c r="AW364" i="1"/>
  <c r="AW381" i="1"/>
  <c r="AW357" i="1"/>
  <c r="AW318" i="1"/>
  <c r="AW409" i="1"/>
  <c r="AW242" i="1"/>
  <c r="AW150" i="1"/>
  <c r="AW50" i="1"/>
  <c r="AW354" i="1"/>
  <c r="AW420" i="1"/>
  <c r="AW459" i="1"/>
  <c r="AW377" i="1"/>
  <c r="AX646" i="1"/>
  <c r="BB646" i="1" s="1"/>
  <c r="AX45" i="1"/>
  <c r="AX369" i="1"/>
  <c r="AX708" i="1"/>
  <c r="AX673" i="1"/>
  <c r="AX495" i="1"/>
  <c r="AX404" i="1"/>
  <c r="AX693" i="1"/>
  <c r="AX666" i="1"/>
  <c r="BB666" i="1" s="1"/>
  <c r="AX744" i="1"/>
  <c r="AX391" i="1"/>
  <c r="AX462" i="1"/>
  <c r="AX293" i="1"/>
  <c r="AX448" i="1"/>
  <c r="AX721" i="1"/>
  <c r="AX713" i="1"/>
  <c r="AX490" i="1"/>
  <c r="AX465" i="1"/>
  <c r="AX560" i="1"/>
  <c r="AX122" i="1"/>
  <c r="AX347" i="1"/>
  <c r="AX311" i="1"/>
  <c r="AX346" i="1"/>
  <c r="AX131" i="1"/>
  <c r="AX726" i="1"/>
  <c r="AX196" i="1"/>
  <c r="AX383" i="1"/>
  <c r="AX447" i="1"/>
  <c r="AX460" i="1"/>
  <c r="AX218" i="1"/>
  <c r="AX402" i="1"/>
  <c r="AX230" i="1"/>
  <c r="AX300" i="1"/>
  <c r="AX430" i="1"/>
  <c r="AX743" i="1"/>
  <c r="AX178" i="1"/>
  <c r="AX632" i="1"/>
  <c r="AX426" i="1"/>
  <c r="AX181" i="1"/>
  <c r="AX163" i="1"/>
  <c r="AX380" i="1"/>
  <c r="AX687" i="1"/>
  <c r="AX667" i="1"/>
  <c r="AX396" i="1"/>
  <c r="AX474" i="1"/>
  <c r="AX496" i="1"/>
  <c r="AX722" i="1"/>
  <c r="AX733" i="1"/>
  <c r="AX774" i="1"/>
  <c r="AX746" i="1"/>
  <c r="AX764" i="1"/>
  <c r="AX281" i="1"/>
  <c r="AX189" i="1"/>
  <c r="AX385" i="1"/>
  <c r="AX741" i="1"/>
  <c r="AX162" i="1"/>
  <c r="AX757" i="1"/>
  <c r="AX190" i="1"/>
  <c r="AX254" i="1"/>
  <c r="AX441" i="1"/>
  <c r="AX419" i="1"/>
  <c r="AX206" i="1"/>
  <c r="AX437" i="1"/>
  <c r="BB437" i="1" s="1"/>
  <c r="AX280" i="1"/>
  <c r="AX739" i="1"/>
  <c r="AX292" i="1"/>
  <c r="AX765" i="1"/>
  <c r="AX356" i="1"/>
  <c r="AX637" i="1"/>
  <c r="AX710" i="1"/>
  <c r="AX394" i="1"/>
  <c r="BB394" i="1" s="1"/>
  <c r="AX257" i="1"/>
  <c r="AX88" i="1"/>
  <c r="AX160" i="1"/>
  <c r="AX171" i="1"/>
  <c r="AX238" i="1"/>
  <c r="AX737" i="1"/>
  <c r="AX336" i="1"/>
  <c r="BB336" i="1" s="1"/>
  <c r="AX659" i="1"/>
  <c r="AX359" i="1"/>
  <c r="AX197" i="1"/>
  <c r="AX259" i="1"/>
  <c r="AX343" i="1"/>
  <c r="AX735" i="1"/>
  <c r="AX207" i="1"/>
  <c r="AX695" i="1"/>
  <c r="BB695" i="1" s="1"/>
  <c r="AX410" i="1"/>
  <c r="AX297" i="1"/>
  <c r="AX499" i="1"/>
  <c r="AX747" i="1"/>
  <c r="AX301" i="1"/>
  <c r="AX151" i="1"/>
  <c r="AX479" i="1"/>
  <c r="AX698" i="1"/>
  <c r="BB698" i="1" s="1"/>
  <c r="AX211" i="1"/>
  <c r="AX705" i="1"/>
  <c r="AX329" i="1"/>
  <c r="AX664" i="1"/>
  <c r="AX413" i="1"/>
  <c r="AX418" i="1"/>
  <c r="AX309" i="1"/>
  <c r="AX700" i="1"/>
  <c r="BB700" i="1" s="1"/>
  <c r="AX364" i="1"/>
  <c r="AX381" i="1"/>
  <c r="AX357" i="1"/>
  <c r="AX318" i="1"/>
  <c r="AX409" i="1"/>
  <c r="AX242" i="1"/>
  <c r="AX150" i="1"/>
  <c r="AX50" i="1"/>
  <c r="BB50" i="1" s="1"/>
  <c r="AX354" i="1"/>
  <c r="AX420" i="1"/>
  <c r="AX459" i="1"/>
  <c r="AX377" i="1"/>
  <c r="AY646" i="1"/>
  <c r="AY45" i="1"/>
  <c r="AY369" i="1"/>
  <c r="AY708" i="1"/>
  <c r="AY673" i="1"/>
  <c r="AY495" i="1"/>
  <c r="AY404" i="1"/>
  <c r="AY693" i="1"/>
  <c r="AY666" i="1"/>
  <c r="AY744" i="1"/>
  <c r="AY391" i="1"/>
  <c r="AY462" i="1"/>
  <c r="AY293" i="1"/>
  <c r="AY448" i="1"/>
  <c r="AY721" i="1"/>
  <c r="AY713" i="1"/>
  <c r="AY490" i="1"/>
  <c r="AY465" i="1"/>
  <c r="AY560" i="1"/>
  <c r="AY122" i="1"/>
  <c r="AY347" i="1"/>
  <c r="AY311" i="1"/>
  <c r="AY346" i="1"/>
  <c r="AY131" i="1"/>
  <c r="AY726" i="1"/>
  <c r="AY196" i="1"/>
  <c r="AY383" i="1"/>
  <c r="AY447" i="1"/>
  <c r="AY460" i="1"/>
  <c r="AY218" i="1"/>
  <c r="AY402" i="1"/>
  <c r="AY230" i="1"/>
  <c r="AY300" i="1"/>
  <c r="AY430" i="1"/>
  <c r="AY743" i="1"/>
  <c r="AY178" i="1"/>
  <c r="AY632" i="1"/>
  <c r="AY426" i="1"/>
  <c r="AY181" i="1"/>
  <c r="AY163" i="1"/>
  <c r="AY380" i="1"/>
  <c r="AY687" i="1"/>
  <c r="AY667" i="1"/>
  <c r="AY396" i="1"/>
  <c r="AY474" i="1"/>
  <c r="AY496" i="1"/>
  <c r="AY722" i="1"/>
  <c r="AY733" i="1"/>
  <c r="AY774" i="1"/>
  <c r="AY746" i="1"/>
  <c r="AY764" i="1"/>
  <c r="AY281" i="1"/>
  <c r="AY189" i="1"/>
  <c r="AY385" i="1"/>
  <c r="AY741" i="1"/>
  <c r="AY162" i="1"/>
  <c r="AY757" i="1"/>
  <c r="AY190" i="1"/>
  <c r="AY254" i="1"/>
  <c r="AY441" i="1"/>
  <c r="AY419" i="1"/>
  <c r="AY206" i="1"/>
  <c r="AY437" i="1"/>
  <c r="AY280" i="1"/>
  <c r="AY739" i="1"/>
  <c r="AY292" i="1"/>
  <c r="AY765" i="1"/>
  <c r="AY356" i="1"/>
  <c r="AY637" i="1"/>
  <c r="AY710" i="1"/>
  <c r="AY394" i="1"/>
  <c r="AY257" i="1"/>
  <c r="AY88" i="1"/>
  <c r="AY160" i="1"/>
  <c r="AY171" i="1"/>
  <c r="AY238" i="1"/>
  <c r="AY737" i="1"/>
  <c r="AY336" i="1"/>
  <c r="AY659" i="1"/>
  <c r="AY359" i="1"/>
  <c r="AY197" i="1"/>
  <c r="AY259" i="1"/>
  <c r="AY343" i="1"/>
  <c r="AY735" i="1"/>
  <c r="AY207" i="1"/>
  <c r="AY695" i="1"/>
  <c r="AY410" i="1"/>
  <c r="AY297" i="1"/>
  <c r="AY499" i="1"/>
  <c r="AY747" i="1"/>
  <c r="AY301" i="1"/>
  <c r="AY151" i="1"/>
  <c r="AY479" i="1"/>
  <c r="AY698" i="1"/>
  <c r="AY211" i="1"/>
  <c r="AY705" i="1"/>
  <c r="AY329" i="1"/>
  <c r="AY664" i="1"/>
  <c r="AY413" i="1"/>
  <c r="AY418" i="1"/>
  <c r="AY309" i="1"/>
  <c r="AY700" i="1"/>
  <c r="AY364" i="1"/>
  <c r="AY381" i="1"/>
  <c r="AY357" i="1"/>
  <c r="AY318" i="1"/>
  <c r="AY409" i="1"/>
  <c r="AY242" i="1"/>
  <c r="AY150" i="1"/>
  <c r="AY50" i="1"/>
  <c r="AY354" i="1"/>
  <c r="AY420" i="1"/>
  <c r="AY459" i="1"/>
  <c r="AY377" i="1"/>
  <c r="BF646" i="1"/>
  <c r="BF45" i="1"/>
  <c r="BF369" i="1"/>
  <c r="BF708" i="1"/>
  <c r="BF673" i="1"/>
  <c r="BF495" i="1"/>
  <c r="BF404" i="1"/>
  <c r="BF693" i="1"/>
  <c r="BF666" i="1"/>
  <c r="BF744" i="1"/>
  <c r="BF391" i="1"/>
  <c r="BF462" i="1"/>
  <c r="BF293" i="1"/>
  <c r="BF448" i="1"/>
  <c r="BF721" i="1"/>
  <c r="BF713" i="1"/>
  <c r="BF490" i="1"/>
  <c r="BF465" i="1"/>
  <c r="BF560" i="1"/>
  <c r="BF122" i="1"/>
  <c r="BF347" i="1"/>
  <c r="BF311" i="1"/>
  <c r="BF346" i="1"/>
  <c r="BF131" i="1"/>
  <c r="BF726" i="1"/>
  <c r="BF196" i="1"/>
  <c r="BF383" i="1"/>
  <c r="BF447" i="1"/>
  <c r="BF460" i="1"/>
  <c r="BF218" i="1"/>
  <c r="BF402" i="1"/>
  <c r="BF230" i="1"/>
  <c r="BF300" i="1"/>
  <c r="BF430" i="1"/>
  <c r="BF743" i="1"/>
  <c r="BF178" i="1"/>
  <c r="BF632" i="1"/>
  <c r="BF426" i="1"/>
  <c r="BF181" i="1"/>
  <c r="BF163" i="1"/>
  <c r="BF380" i="1"/>
  <c r="BF687" i="1"/>
  <c r="BF667" i="1"/>
  <c r="BF396" i="1"/>
  <c r="BF474" i="1"/>
  <c r="BF496" i="1"/>
  <c r="BF722" i="1"/>
  <c r="BF733" i="1"/>
  <c r="BF774" i="1"/>
  <c r="BF746" i="1"/>
  <c r="BF764" i="1"/>
  <c r="BF281" i="1"/>
  <c r="BF189" i="1"/>
  <c r="BF385" i="1"/>
  <c r="BF741" i="1"/>
  <c r="BF162" i="1"/>
  <c r="BF757" i="1"/>
  <c r="BF190" i="1"/>
  <c r="BF254" i="1"/>
  <c r="BF441" i="1"/>
  <c r="BF419" i="1"/>
  <c r="BF206" i="1"/>
  <c r="BF437" i="1"/>
  <c r="BF280" i="1"/>
  <c r="BF739" i="1"/>
  <c r="BF292" i="1"/>
  <c r="BF765" i="1"/>
  <c r="BF356" i="1"/>
  <c r="BF637" i="1"/>
  <c r="BF710" i="1"/>
  <c r="BF394" i="1"/>
  <c r="BF257" i="1"/>
  <c r="BF88" i="1"/>
  <c r="BF160" i="1"/>
  <c r="BF171" i="1"/>
  <c r="BF238" i="1"/>
  <c r="BF737" i="1"/>
  <c r="BF336" i="1"/>
  <c r="BF659" i="1"/>
  <c r="BF359" i="1"/>
  <c r="BF197" i="1"/>
  <c r="BF259" i="1"/>
  <c r="BF343" i="1"/>
  <c r="BF735" i="1"/>
  <c r="BF207" i="1"/>
  <c r="BF695" i="1"/>
  <c r="BF410" i="1"/>
  <c r="BF297" i="1"/>
  <c r="BF499" i="1"/>
  <c r="BF747" i="1"/>
  <c r="BF301" i="1"/>
  <c r="BF151" i="1"/>
  <c r="BF479" i="1"/>
  <c r="BF698" i="1"/>
  <c r="BF211" i="1"/>
  <c r="BF705" i="1"/>
  <c r="BF329" i="1"/>
  <c r="BF664" i="1"/>
  <c r="BF413" i="1"/>
  <c r="BF418" i="1"/>
  <c r="BF309" i="1"/>
  <c r="BF700" i="1"/>
  <c r="BF364" i="1"/>
  <c r="BF381" i="1"/>
  <c r="BF357" i="1"/>
  <c r="BF318" i="1"/>
  <c r="BF409" i="1"/>
  <c r="BF242" i="1"/>
  <c r="BF150" i="1"/>
  <c r="BF50" i="1"/>
  <c r="BF354" i="1"/>
  <c r="BF420" i="1"/>
  <c r="BF459" i="1"/>
  <c r="BF377" i="1"/>
  <c r="BH708" i="1"/>
  <c r="BH495" i="1"/>
  <c r="BH666" i="1"/>
  <c r="BH721" i="1"/>
  <c r="BH713" i="1"/>
  <c r="BH490" i="1"/>
  <c r="BH726" i="1"/>
  <c r="BH632" i="1"/>
  <c r="BH687" i="1"/>
  <c r="BH474" i="1"/>
  <c r="BH496" i="1"/>
  <c r="BH733" i="1"/>
  <c r="BH774" i="1"/>
  <c r="BH746" i="1"/>
  <c r="BH764" i="1"/>
  <c r="BH741" i="1"/>
  <c r="BH757" i="1"/>
  <c r="BH765" i="1"/>
  <c r="BH710" i="1"/>
  <c r="BH737" i="1"/>
  <c r="BH735" i="1"/>
  <c r="BH479" i="1"/>
  <c r="BH698" i="1"/>
  <c r="BH700" i="1"/>
  <c r="BI708" i="1"/>
  <c r="BI673" i="1"/>
  <c r="BI495" i="1"/>
  <c r="BI666" i="1"/>
  <c r="BI744" i="1"/>
  <c r="BI721" i="1"/>
  <c r="BI713" i="1"/>
  <c r="BI490" i="1"/>
  <c r="BI560" i="1"/>
  <c r="BI743" i="1"/>
  <c r="BI632" i="1"/>
  <c r="BI687" i="1"/>
  <c r="BI667" i="1"/>
  <c r="BI474" i="1"/>
  <c r="BI496" i="1"/>
  <c r="BI722" i="1"/>
  <c r="BI746" i="1"/>
  <c r="BI764" i="1"/>
  <c r="BI739" i="1"/>
  <c r="BI637" i="1"/>
  <c r="BI737" i="1"/>
  <c r="BI659" i="1"/>
  <c r="BI735" i="1"/>
  <c r="BI695" i="1"/>
  <c r="BI499" i="1"/>
  <c r="BI747" i="1"/>
  <c r="BI479" i="1"/>
  <c r="BI698" i="1"/>
  <c r="BI705" i="1"/>
  <c r="BI664" i="1"/>
  <c r="BI700" i="1"/>
  <c r="BJ646" i="1"/>
  <c r="BJ708" i="1"/>
  <c r="BJ495" i="1"/>
  <c r="BJ693" i="1"/>
  <c r="BJ666" i="1"/>
  <c r="BJ490" i="1"/>
  <c r="BJ726" i="1"/>
  <c r="BJ743" i="1"/>
  <c r="BJ687" i="1"/>
  <c r="BJ667" i="1"/>
  <c r="BJ474" i="1"/>
  <c r="BJ722" i="1"/>
  <c r="BJ733" i="1"/>
  <c r="BJ774" i="1"/>
  <c r="BJ746" i="1"/>
  <c r="BJ764" i="1"/>
  <c r="BJ741" i="1"/>
  <c r="BJ757" i="1"/>
  <c r="BJ739" i="1"/>
  <c r="BJ765" i="1"/>
  <c r="BJ637" i="1"/>
  <c r="BJ710" i="1"/>
  <c r="BJ659" i="1"/>
  <c r="BJ735" i="1"/>
  <c r="BJ695" i="1"/>
  <c r="BJ499" i="1"/>
  <c r="BJ747" i="1"/>
  <c r="BJ479" i="1"/>
  <c r="BJ698" i="1"/>
  <c r="BJ700" i="1"/>
  <c r="BK646" i="1"/>
  <c r="BK495" i="1"/>
  <c r="BK693" i="1"/>
  <c r="BK666" i="1"/>
  <c r="BK744" i="1"/>
  <c r="BK721" i="1"/>
  <c r="BK490" i="1"/>
  <c r="BK560" i="1"/>
  <c r="BK726" i="1"/>
  <c r="BK743" i="1"/>
  <c r="BK632" i="1"/>
  <c r="BK687" i="1"/>
  <c r="BK474" i="1"/>
  <c r="BK496" i="1"/>
  <c r="BK722" i="1"/>
  <c r="BK733" i="1"/>
  <c r="BK774" i="1"/>
  <c r="BK746" i="1"/>
  <c r="BK741" i="1"/>
  <c r="BK757" i="1"/>
  <c r="BK739" i="1"/>
  <c r="BK765" i="1"/>
  <c r="BK637" i="1"/>
  <c r="BK710" i="1"/>
  <c r="BK737" i="1"/>
  <c r="BK659" i="1"/>
  <c r="BK735" i="1"/>
  <c r="BK695" i="1"/>
  <c r="BK499" i="1"/>
  <c r="BK747" i="1"/>
  <c r="BK479" i="1"/>
  <c r="BK698" i="1"/>
  <c r="BK705" i="1"/>
  <c r="BK664" i="1"/>
  <c r="BL646" i="1"/>
  <c r="BL45" i="1"/>
  <c r="BL369" i="1"/>
  <c r="BL708" i="1"/>
  <c r="BL673" i="1"/>
  <c r="BL495" i="1"/>
  <c r="BL404" i="1"/>
  <c r="BL693" i="1"/>
  <c r="BL666" i="1"/>
  <c r="BL744" i="1"/>
  <c r="BL391" i="1"/>
  <c r="BL462" i="1"/>
  <c r="BL293" i="1"/>
  <c r="BL448" i="1"/>
  <c r="BL721" i="1"/>
  <c r="BL713" i="1"/>
  <c r="BL490" i="1"/>
  <c r="BL465" i="1"/>
  <c r="BL560" i="1"/>
  <c r="BL122" i="1"/>
  <c r="BL347" i="1"/>
  <c r="BL311" i="1"/>
  <c r="BL346" i="1"/>
  <c r="BL131" i="1"/>
  <c r="BL726" i="1"/>
  <c r="BL196" i="1"/>
  <c r="BL383" i="1"/>
  <c r="BL447" i="1"/>
  <c r="BL460" i="1"/>
  <c r="BL218" i="1"/>
  <c r="BL402" i="1"/>
  <c r="BL230" i="1"/>
  <c r="BL300" i="1"/>
  <c r="BL430" i="1"/>
  <c r="BL743" i="1"/>
  <c r="BL178" i="1"/>
  <c r="BL632" i="1"/>
  <c r="BL426" i="1"/>
  <c r="BL181" i="1"/>
  <c r="BL163" i="1"/>
  <c r="BL380" i="1"/>
  <c r="BL687" i="1"/>
  <c r="BL667" i="1"/>
  <c r="BL396" i="1"/>
  <c r="BL474" i="1"/>
  <c r="BL496" i="1"/>
  <c r="BL722" i="1"/>
  <c r="BL733" i="1"/>
  <c r="BL774" i="1"/>
  <c r="BL746" i="1"/>
  <c r="BL764" i="1"/>
  <c r="BL281" i="1"/>
  <c r="BL189" i="1"/>
  <c r="BL385" i="1"/>
  <c r="BL741" i="1"/>
  <c r="BL162" i="1"/>
  <c r="BL757" i="1"/>
  <c r="BL190" i="1"/>
  <c r="BL254" i="1"/>
  <c r="BL441" i="1"/>
  <c r="BL419" i="1"/>
  <c r="BL206" i="1"/>
  <c r="BL437" i="1"/>
  <c r="BL280" i="1"/>
  <c r="BL739" i="1"/>
  <c r="BL292" i="1"/>
  <c r="BL765" i="1"/>
  <c r="BL356" i="1"/>
  <c r="BL637" i="1"/>
  <c r="BL710" i="1"/>
  <c r="BL394" i="1"/>
  <c r="BL257" i="1"/>
  <c r="BL88" i="1"/>
  <c r="BL160" i="1"/>
  <c r="BL171" i="1"/>
  <c r="BL238" i="1"/>
  <c r="BL737" i="1"/>
  <c r="BL336" i="1"/>
  <c r="BL659" i="1"/>
  <c r="BL359" i="1"/>
  <c r="BL197" i="1"/>
  <c r="BL259" i="1"/>
  <c r="BL343" i="1"/>
  <c r="BL735" i="1"/>
  <c r="BL207" i="1"/>
  <c r="BL695" i="1"/>
  <c r="BL410" i="1"/>
  <c r="BL297" i="1"/>
  <c r="BL499" i="1"/>
  <c r="BL747" i="1"/>
  <c r="BL301" i="1"/>
  <c r="BL151" i="1"/>
  <c r="BL479" i="1"/>
  <c r="BL698" i="1"/>
  <c r="BL211" i="1"/>
  <c r="BL705" i="1"/>
  <c r="BL329" i="1"/>
  <c r="BL664" i="1"/>
  <c r="BL413" i="1"/>
  <c r="BL418" i="1"/>
  <c r="BL309" i="1"/>
  <c r="BL700" i="1"/>
  <c r="BL364" i="1"/>
  <c r="BL381" i="1"/>
  <c r="BL357" i="1"/>
  <c r="BL318" i="1"/>
  <c r="BL409" i="1"/>
  <c r="BL242" i="1"/>
  <c r="BL150" i="1"/>
  <c r="BL50" i="1"/>
  <c r="BL354" i="1"/>
  <c r="BL420" i="1"/>
  <c r="BL459" i="1"/>
  <c r="BL377" i="1"/>
  <c r="AW668" i="2"/>
  <c r="AW243" i="2"/>
  <c r="AW688" i="2"/>
  <c r="AW232" i="2"/>
  <c r="AW271" i="2"/>
  <c r="AW730" i="2"/>
  <c r="AW165" i="2"/>
  <c r="AW354" i="2"/>
  <c r="AW596" i="2"/>
  <c r="AW158" i="2"/>
  <c r="AW153" i="2"/>
  <c r="AW229" i="2"/>
  <c r="AW137" i="2"/>
  <c r="AW589" i="2"/>
  <c r="AW329" i="2"/>
  <c r="AW138" i="2"/>
  <c r="AW143" i="2"/>
  <c r="AW637" i="2"/>
  <c r="AW450" i="2"/>
  <c r="AW546" i="2"/>
  <c r="AW398" i="2"/>
  <c r="AW337" i="2"/>
  <c r="AW548" i="2"/>
  <c r="AW648" i="2"/>
  <c r="AW606" i="2"/>
  <c r="AW408" i="2"/>
  <c r="AW539" i="2"/>
  <c r="AW159" i="2"/>
  <c r="AW293" i="2"/>
  <c r="AW350" i="2"/>
  <c r="AW611" i="2"/>
  <c r="AW250" i="2"/>
  <c r="AW564" i="2"/>
  <c r="AW663" i="2"/>
  <c r="AW460" i="2"/>
  <c r="AW701" i="2"/>
  <c r="AW761" i="2"/>
  <c r="AW370" i="2"/>
  <c r="AW552" i="2"/>
  <c r="AW355" i="2"/>
  <c r="AW559" i="2"/>
  <c r="AW725" i="2"/>
  <c r="AW387" i="2"/>
  <c r="AW635" i="2"/>
  <c r="AW368" i="2"/>
  <c r="AW367" i="2"/>
  <c r="AW636" i="2"/>
  <c r="AW514" i="2"/>
  <c r="AW440" i="2"/>
  <c r="AW298" i="2"/>
  <c r="AW766" i="2"/>
  <c r="AW715" i="2"/>
  <c r="AW591" i="2"/>
  <c r="AW481" i="2"/>
  <c r="AW765" i="2"/>
  <c r="AW535" i="2"/>
  <c r="AW754" i="2"/>
  <c r="AW748" i="2"/>
  <c r="AW576" i="2"/>
  <c r="AW624" i="2"/>
  <c r="AW328" i="2"/>
  <c r="AW360" i="2"/>
  <c r="AW434" i="2"/>
  <c r="AW317" i="2"/>
  <c r="AW718" i="2"/>
  <c r="AW749" i="2"/>
  <c r="AW422" i="2"/>
  <c r="AW625" i="2"/>
  <c r="AW453" i="2"/>
  <c r="AW361" i="2"/>
  <c r="AW622" i="2"/>
  <c r="AW682" i="2"/>
  <c r="AW595" i="2"/>
  <c r="AW763" i="2"/>
  <c r="AW644" i="2"/>
  <c r="AW704" i="2"/>
  <c r="AW616" i="2"/>
  <c r="AW619" i="2"/>
  <c r="AW542" i="2"/>
  <c r="AW534" i="2"/>
  <c r="AW530" i="2"/>
  <c r="AW412" i="2"/>
  <c r="AW418" i="2"/>
  <c r="AW578" i="2"/>
  <c r="AW499" i="2"/>
  <c r="AW629" i="2"/>
  <c r="AW431" i="2"/>
  <c r="AW684" i="2"/>
  <c r="AW646" i="2"/>
  <c r="AW384" i="2"/>
  <c r="AW306" i="2"/>
  <c r="AW711" i="2"/>
  <c r="AW212" i="2"/>
  <c r="AW386" i="2"/>
  <c r="AW377" i="2"/>
  <c r="AW681" i="2"/>
  <c r="AW750" i="2"/>
  <c r="AW603" i="2"/>
  <c r="AW321" i="2"/>
  <c r="AW500" i="2"/>
  <c r="AW740" i="2"/>
  <c r="AW673" i="2"/>
  <c r="AW449" i="2"/>
  <c r="AW528" i="2"/>
  <c r="AW610" i="2"/>
  <c r="AW599" i="2"/>
  <c r="AW641" i="2"/>
  <c r="AW395" i="2"/>
  <c r="AW437" i="2"/>
  <c r="AW520" i="2"/>
  <c r="AW331" i="2"/>
  <c r="AW401" i="2"/>
  <c r="AW585" i="2"/>
  <c r="AW549" i="2"/>
  <c r="AW297" i="2"/>
  <c r="AW653" i="2"/>
  <c r="AW643" i="2"/>
  <c r="AW543" i="2"/>
  <c r="AW581" i="2"/>
  <c r="AW502" i="2"/>
  <c r="AW737" i="2"/>
  <c r="AW459" i="2"/>
  <c r="AW570" i="2"/>
  <c r="AW598" i="2"/>
  <c r="AW284" i="2"/>
  <c r="AW465" i="2"/>
  <c r="AW675" i="2"/>
  <c r="AW743" i="2"/>
  <c r="AW415" i="2"/>
  <c r="AW320" i="2"/>
  <c r="AW597" i="2"/>
  <c r="AW678" i="2"/>
  <c r="AW314" i="2"/>
  <c r="AW529" i="2"/>
  <c r="AW569" i="2"/>
  <c r="AW448" i="2"/>
  <c r="AW699" i="2"/>
  <c r="AW713" i="2"/>
  <c r="AW722" i="2"/>
  <c r="AW762" i="2"/>
  <c r="AW393" i="2"/>
  <c r="AW671" i="2"/>
  <c r="AW745" i="2"/>
  <c r="AW557" i="2"/>
  <c r="AW541" i="2"/>
  <c r="AW353" i="2"/>
  <c r="AW729" i="2"/>
  <c r="AW658" i="2"/>
  <c r="AW727" i="2"/>
  <c r="AW689" i="2"/>
  <c r="AW736" i="2"/>
  <c r="AW504" i="2"/>
  <c r="AW691" i="2"/>
  <c r="AW375" i="2"/>
  <c r="AW680" i="2"/>
  <c r="AW466" i="2"/>
  <c r="AW696" i="2"/>
  <c r="AW757" i="2"/>
  <c r="AW665" i="2"/>
  <c r="AW473" i="2"/>
  <c r="AW385" i="2"/>
  <c r="AW669" i="2"/>
  <c r="AW439" i="2"/>
  <c r="AW572" i="2"/>
  <c r="AW755" i="2"/>
  <c r="AW731" i="2"/>
  <c r="AW493" i="2"/>
  <c r="AW693" i="2"/>
  <c r="AW672" i="2"/>
  <c r="AW405" i="2"/>
  <c r="AW632" i="2"/>
  <c r="AW660" i="2"/>
  <c r="AW659" i="2"/>
  <c r="AW692" i="2"/>
  <c r="AW333" i="2"/>
  <c r="AW733" i="2"/>
  <c r="AW760" i="2"/>
  <c r="AW438" i="2"/>
  <c r="AW694" i="2"/>
  <c r="AW587" i="2"/>
  <c r="AW592" i="2"/>
  <c r="AW744" i="2"/>
  <c r="AW452" i="2"/>
  <c r="AW758" i="2"/>
  <c r="AW705" i="2"/>
  <c r="AW645" i="2"/>
  <c r="AW428" i="2"/>
  <c r="AW707" i="2"/>
  <c r="AW416" i="2"/>
  <c r="AW650" i="2"/>
  <c r="AW654" i="2"/>
  <c r="AW582" i="2"/>
  <c r="AW759" i="2"/>
  <c r="AW628" i="2"/>
  <c r="AW726" i="2"/>
  <c r="AW423" i="2"/>
  <c r="AW594" i="2"/>
  <c r="AW667" i="2"/>
  <c r="AW764" i="2"/>
  <c r="AW697" i="2"/>
  <c r="AW698" i="2"/>
  <c r="AW721" i="2"/>
  <c r="AW613" i="2"/>
  <c r="AW741" i="2"/>
  <c r="AW710" i="2"/>
  <c r="AW751" i="2"/>
  <c r="AW649" i="2"/>
  <c r="AW747" i="2"/>
  <c r="AW608" i="2"/>
  <c r="AW627" i="2"/>
  <c r="AW614" i="2"/>
  <c r="AW550" i="2"/>
  <c r="AW580" i="2"/>
  <c r="AW742" i="2"/>
  <c r="B2" i="1"/>
  <c r="BL6" i="1"/>
  <c r="BL501" i="1"/>
  <c r="BL500" i="1"/>
  <c r="BL14" i="1"/>
  <c r="BL10" i="1"/>
  <c r="BL9" i="1"/>
  <c r="BL61" i="1"/>
  <c r="BL8" i="1"/>
  <c r="BL16" i="1"/>
  <c r="BL504" i="1"/>
  <c r="BL60" i="1"/>
  <c r="BL64" i="1"/>
  <c r="BL506" i="1"/>
  <c r="BL27" i="1"/>
  <c r="BL5" i="1"/>
  <c r="BL79" i="1"/>
  <c r="BL507" i="1"/>
  <c r="BL503" i="1"/>
  <c r="BL7" i="1"/>
  <c r="BL62" i="1"/>
  <c r="BL25" i="1"/>
  <c r="BL502" i="1"/>
  <c r="BL526" i="1"/>
  <c r="BL533" i="1"/>
  <c r="BL17" i="1"/>
  <c r="BL18" i="1"/>
  <c r="BL518" i="1"/>
  <c r="BL66" i="1"/>
  <c r="BL63" i="1"/>
  <c r="BL513" i="1"/>
  <c r="BL15" i="1"/>
  <c r="BL508" i="1"/>
  <c r="BL509" i="1"/>
  <c r="BL515" i="1"/>
  <c r="BL520" i="1"/>
  <c r="BL21" i="1"/>
  <c r="BL31" i="1"/>
  <c r="BL20" i="1"/>
  <c r="BL11" i="1"/>
  <c r="BL531" i="1"/>
  <c r="BL510" i="1"/>
  <c r="BL532" i="1"/>
  <c r="BL72" i="1"/>
  <c r="BL553" i="1"/>
  <c r="BL563" i="1"/>
  <c r="BL586" i="1"/>
  <c r="BL516" i="1"/>
  <c r="BL13" i="1"/>
  <c r="BL26" i="1"/>
  <c r="BL549" i="1"/>
  <c r="BL511" i="1"/>
  <c r="BL19" i="1"/>
  <c r="BL28" i="1"/>
  <c r="BL29" i="1"/>
  <c r="BL33" i="1"/>
  <c r="BL561" i="1"/>
  <c r="BL512" i="1"/>
  <c r="BL569" i="1"/>
  <c r="BL505" i="1"/>
  <c r="BL524" i="1"/>
  <c r="BL576" i="1"/>
  <c r="BL552" i="1"/>
  <c r="BL24" i="1"/>
  <c r="BL562" i="1"/>
  <c r="BL12" i="1"/>
  <c r="BL519" i="1"/>
  <c r="BL22" i="1"/>
  <c r="BL525" i="1"/>
  <c r="BL535" i="1"/>
  <c r="BL67" i="1"/>
  <c r="BL23" i="1"/>
  <c r="BL538" i="1"/>
  <c r="BL565" i="1"/>
  <c r="BL589" i="1"/>
  <c r="BL568" i="1"/>
  <c r="BL542" i="1"/>
  <c r="BL556" i="1"/>
  <c r="BL523" i="1"/>
  <c r="BL558" i="1"/>
  <c r="BL570" i="1"/>
  <c r="BL35" i="1"/>
  <c r="BL40" i="1"/>
  <c r="BL68" i="1"/>
  <c r="BL83" i="1"/>
  <c r="BL34" i="1"/>
  <c r="BL32" i="1"/>
  <c r="BL529" i="1"/>
  <c r="BL65" i="1"/>
  <c r="BL546" i="1"/>
  <c r="BL81" i="1"/>
  <c r="BL528" i="1"/>
  <c r="BL554" i="1"/>
  <c r="BL527" i="1"/>
  <c r="BL36" i="1"/>
  <c r="BL544" i="1"/>
  <c r="BL547" i="1"/>
  <c r="BL39" i="1"/>
  <c r="BL73" i="1"/>
  <c r="BL625" i="1"/>
  <c r="BL517" i="1"/>
  <c r="BL551" i="1"/>
  <c r="BL537" i="1"/>
  <c r="BL514" i="1"/>
  <c r="BL575" i="1"/>
  <c r="BL70" i="1"/>
  <c r="BL86" i="1"/>
  <c r="BL609" i="1"/>
  <c r="BL621" i="1"/>
  <c r="BL617" i="1"/>
  <c r="BL640" i="1"/>
  <c r="BL541" i="1"/>
  <c r="BL69" i="1"/>
  <c r="BL30" i="1"/>
  <c r="BL84" i="1"/>
  <c r="BL607" i="1"/>
  <c r="BL593" i="1"/>
  <c r="BL571" i="1"/>
  <c r="BL636" i="1"/>
  <c r="BL603" i="1"/>
  <c r="BL43" i="1"/>
  <c r="BL106" i="1"/>
  <c r="BL616" i="1"/>
  <c r="BL597" i="1"/>
  <c r="BL594" i="1"/>
  <c r="BL591" i="1"/>
  <c r="BL38" i="1"/>
  <c r="BL577" i="1"/>
  <c r="BL662" i="1"/>
  <c r="BL600" i="1"/>
  <c r="BL530" i="1"/>
  <c r="BL539" i="1"/>
  <c r="BL112" i="1"/>
  <c r="BL77" i="1"/>
  <c r="BL584" i="1"/>
  <c r="BL566" i="1"/>
  <c r="BL102" i="1"/>
  <c r="BL559" i="1"/>
  <c r="BL613" i="1"/>
  <c r="BL610" i="1"/>
  <c r="BL555" i="1"/>
  <c r="BL567" i="1"/>
  <c r="BL579" i="1"/>
  <c r="BL534" i="1"/>
  <c r="BL590" i="1"/>
  <c r="BL37" i="1"/>
  <c r="BL543" i="1"/>
  <c r="BL76" i="1"/>
  <c r="BL587" i="1"/>
  <c r="BL557" i="1"/>
  <c r="BL105" i="1"/>
  <c r="BL75" i="1"/>
  <c r="BL550" i="1"/>
  <c r="BL108" i="1"/>
  <c r="BL89" i="1"/>
  <c r="BL90" i="1"/>
  <c r="BL91" i="1"/>
  <c r="BL638" i="1"/>
  <c r="BL595" i="1"/>
  <c r="BL601" i="1"/>
  <c r="BL46" i="1"/>
  <c r="BL583" i="1"/>
  <c r="BL174" i="1"/>
  <c r="BL626" i="1"/>
  <c r="BL432" i="1"/>
  <c r="BL622" i="1"/>
  <c r="BL135" i="1"/>
  <c r="BL98" i="1"/>
  <c r="BL540" i="1"/>
  <c r="BL582" i="1"/>
  <c r="BL95" i="1"/>
  <c r="BL245" i="1"/>
  <c r="BL103" i="1"/>
  <c r="BL469" i="1"/>
  <c r="BL611" i="1"/>
  <c r="BL401" i="1"/>
  <c r="BL627" i="1"/>
  <c r="BL608" i="1"/>
  <c r="BL624" i="1"/>
  <c r="BL614" i="1"/>
  <c r="BL592" i="1"/>
  <c r="BL671" i="1"/>
  <c r="BL54" i="1"/>
  <c r="BL612" i="1"/>
  <c r="BL149" i="1"/>
  <c r="BL752" i="1"/>
  <c r="BL660" i="1"/>
  <c r="BL581" i="1"/>
  <c r="BL117" i="1"/>
  <c r="BL96" i="1"/>
  <c r="BL132" i="1"/>
  <c r="BL41" i="1"/>
  <c r="BL767" i="1"/>
  <c r="BL47" i="1"/>
  <c r="BL615" i="1"/>
  <c r="BL644" i="1"/>
  <c r="BL188" i="1"/>
  <c r="BL82" i="1"/>
  <c r="BL130" i="1"/>
  <c r="BL761" i="1"/>
  <c r="BL94" i="1"/>
  <c r="BL71" i="1"/>
  <c r="BL237" i="1"/>
  <c r="BL754" i="1"/>
  <c r="BL684" i="1"/>
  <c r="BL536" i="1"/>
  <c r="BL598" i="1"/>
  <c r="BL231" i="1"/>
  <c r="BL619" i="1"/>
  <c r="BL689" i="1"/>
  <c r="BL80" i="1"/>
  <c r="BL766" i="1"/>
  <c r="BL192" i="1"/>
  <c r="BL111" i="1"/>
  <c r="BL97" i="1"/>
  <c r="BL140" i="1"/>
  <c r="BL492" i="1"/>
  <c r="BL545" i="1"/>
  <c r="BL256" i="1"/>
  <c r="BL679" i="1"/>
  <c r="BL93" i="1"/>
  <c r="BL605" i="1"/>
  <c r="BL606" i="1"/>
  <c r="BL92" i="1"/>
  <c r="BL384" i="1"/>
  <c r="BL628" i="1"/>
  <c r="BL289" i="1"/>
  <c r="BL99" i="1"/>
  <c r="BL424" i="1"/>
  <c r="BL521" i="1"/>
  <c r="BL203" i="1"/>
  <c r="BL158" i="1"/>
  <c r="BL403" i="1"/>
  <c r="BL417" i="1"/>
  <c r="BL255" i="1"/>
  <c r="BL623" i="1"/>
  <c r="BL332" i="1"/>
  <c r="BL374" i="1"/>
  <c r="BL427" i="1"/>
  <c r="BL57" i="1"/>
  <c r="BL522" i="1"/>
  <c r="BL548" i="1"/>
  <c r="BL457" i="1"/>
  <c r="BL706" i="1"/>
  <c r="BL143" i="1"/>
  <c r="BL164" i="1"/>
  <c r="BL470" i="1"/>
  <c r="BL682" i="1"/>
  <c r="BL363" i="1"/>
  <c r="BL291" i="1"/>
  <c r="BL85" i="1"/>
  <c r="BL170" i="1"/>
  <c r="BL572" i="1"/>
  <c r="BL696" i="1"/>
  <c r="BL284" i="1"/>
  <c r="BL725" i="1"/>
  <c r="BL124" i="1"/>
  <c r="BL703" i="1"/>
  <c r="BL161" i="1"/>
  <c r="BL631" i="1"/>
  <c r="BL186" i="1"/>
  <c r="BL585" i="1"/>
  <c r="BL642" i="1"/>
  <c r="BL596" i="1"/>
  <c r="BL564" i="1"/>
  <c r="BL271" i="1"/>
  <c r="BL704" i="1"/>
  <c r="BL74" i="1"/>
  <c r="BL87" i="1"/>
  <c r="BL716" i="1"/>
  <c r="BL643" i="1"/>
  <c r="BL435" i="1"/>
  <c r="BL588" i="1"/>
  <c r="BL137" i="1"/>
  <c r="BL185" i="1"/>
  <c r="BL406" i="1"/>
  <c r="BL717" i="1"/>
  <c r="BL155" i="1"/>
  <c r="BL580" i="1"/>
  <c r="BL223" i="1"/>
  <c r="BL42" i="1"/>
  <c r="BL755" i="1"/>
  <c r="BL452" i="1"/>
  <c r="BL578" i="1"/>
  <c r="BL249" i="1"/>
  <c r="BL133" i="1"/>
  <c r="BL618" i="1"/>
  <c r="BL48" i="1"/>
  <c r="BL312" i="1"/>
  <c r="BL123" i="1"/>
  <c r="BL180" i="1"/>
  <c r="BL208" i="1"/>
  <c r="BL315" i="1"/>
  <c r="BL729" i="1"/>
  <c r="BL344" i="1"/>
  <c r="BL273" i="1"/>
  <c r="BL296" i="1"/>
  <c r="BL225" i="1"/>
  <c r="BL604" i="1"/>
  <c r="BL276" i="1"/>
  <c r="BL759" i="1"/>
  <c r="BL375" i="1"/>
  <c r="BL262" i="1"/>
  <c r="BL663" i="1"/>
  <c r="BL674" i="1"/>
  <c r="BL573" i="1"/>
  <c r="BL574" i="1"/>
  <c r="BL330" i="1"/>
  <c r="BL305" i="1"/>
  <c r="BL176" i="1"/>
  <c r="BL303" i="1"/>
  <c r="BL442" i="1"/>
  <c r="BL302" i="1"/>
  <c r="BL461" i="1"/>
  <c r="BL272" i="1"/>
  <c r="BL665" i="1"/>
  <c r="BL212" i="1"/>
  <c r="BL116" i="1"/>
  <c r="BL210" i="1"/>
  <c r="BL216" i="1"/>
  <c r="BL645" i="1"/>
  <c r="BL709" i="1"/>
  <c r="BL748" i="1"/>
  <c r="BL320" i="1"/>
  <c r="BL471" i="1"/>
  <c r="BL772" i="1"/>
  <c r="BL749" i="1"/>
  <c r="BL683" i="1"/>
  <c r="BL438" i="1"/>
  <c r="BL727" i="1"/>
  <c r="BL779" i="1"/>
  <c r="BL313" i="1"/>
  <c r="BL497" i="1"/>
  <c r="BL277" i="1"/>
  <c r="BL270" i="1"/>
  <c r="BL742" i="1"/>
  <c r="BL450" i="1"/>
  <c r="BL685" i="1"/>
  <c r="BL482" i="1"/>
  <c r="BL718" i="1"/>
  <c r="BL464" i="1"/>
  <c r="BL415" i="1"/>
  <c r="BL325" i="1"/>
  <c r="BL52" i="1"/>
  <c r="BL184" i="1"/>
  <c r="BL360" i="1"/>
  <c r="BL651" i="1"/>
  <c r="BL376" i="1"/>
  <c r="BL55" i="1"/>
  <c r="BL193" i="1"/>
  <c r="BL323" i="1"/>
  <c r="BL681" i="1"/>
  <c r="BL319" i="1"/>
  <c r="BL154" i="1"/>
  <c r="BL286" i="1"/>
  <c r="BL599" i="1"/>
  <c r="BL268" i="1"/>
  <c r="BL491" i="1"/>
  <c r="BL458" i="1"/>
  <c r="BL243" i="1"/>
  <c r="BL732" i="1"/>
  <c r="BL453" i="1"/>
  <c r="BL316" i="1"/>
  <c r="BL653" i="1"/>
  <c r="BL78" i="1"/>
  <c r="BL263" i="1"/>
  <c r="BL423" i="1"/>
  <c r="BL285" i="1"/>
  <c r="BL159" i="1"/>
  <c r="BL49" i="1"/>
  <c r="BL486" i="1"/>
  <c r="BL59" i="1"/>
  <c r="BL227" i="1"/>
  <c r="BL734" i="1"/>
  <c r="BL287" i="1"/>
  <c r="BL229" i="1"/>
  <c r="BL434" i="1"/>
  <c r="BL239" i="1"/>
  <c r="BL714" i="1"/>
  <c r="BL298" i="1"/>
  <c r="BL304" i="1"/>
  <c r="BL715" i="1"/>
  <c r="BL152" i="1"/>
  <c r="BL768" i="1"/>
  <c r="BL425" i="1"/>
  <c r="BL629" i="1"/>
  <c r="BL488" i="1"/>
  <c r="BL712" i="1"/>
  <c r="BL241" i="1"/>
  <c r="BL290" i="1"/>
  <c r="BL676" i="1"/>
  <c r="BL451" i="1"/>
  <c r="BL269" i="1"/>
  <c r="BL487" i="1"/>
  <c r="BL411" i="1"/>
  <c r="BL195" i="1"/>
  <c r="BL368" i="1"/>
  <c r="BL120" i="1"/>
  <c r="BL53" i="1"/>
  <c r="BL463" i="1"/>
  <c r="BL153" i="1"/>
  <c r="BL51" i="1"/>
  <c r="BL648" i="1"/>
  <c r="BL353" i="1"/>
  <c r="BL736" i="1"/>
  <c r="BL373" i="1"/>
  <c r="BL214" i="1"/>
  <c r="BL745" i="1"/>
  <c r="BL724" i="1"/>
  <c r="BL107" i="1"/>
  <c r="BL169" i="1"/>
  <c r="BL468" i="1"/>
  <c r="BL372" i="1"/>
  <c r="BL635" i="1"/>
  <c r="BL148" i="1"/>
  <c r="BL639" i="1"/>
  <c r="BL157" i="1"/>
  <c r="BL342" i="1"/>
  <c r="BL650" i="1"/>
  <c r="BL371" i="1"/>
  <c r="BL224" i="1"/>
  <c r="BL322" i="1"/>
  <c r="BL167" i="1"/>
  <c r="BL720" i="1"/>
  <c r="BL308" i="1"/>
  <c r="BL455" i="1"/>
  <c r="BL138" i="1"/>
  <c r="BL355" i="1"/>
  <c r="BL454" i="1"/>
  <c r="BL314" i="1"/>
  <c r="BL179" i="1"/>
  <c r="BL168" i="1"/>
  <c r="BL44" i="1"/>
  <c r="BL692" i="1"/>
  <c r="BL121" i="1"/>
  <c r="BL335" i="1"/>
  <c r="BL771" i="1"/>
  <c r="BL670" i="1"/>
  <c r="BL686" i="1"/>
  <c r="BL361" i="1"/>
  <c r="BL247" i="1"/>
  <c r="BL317" i="1"/>
  <c r="BL672" i="1"/>
  <c r="BL198" i="1"/>
  <c r="BL234" i="1"/>
  <c r="BL204" i="1"/>
  <c r="BL405" i="1"/>
  <c r="BL655" i="1"/>
  <c r="BL393" i="1"/>
  <c r="BL187" i="1"/>
  <c r="BL753" i="1"/>
  <c r="BL248" i="1"/>
  <c r="BL252" i="1"/>
  <c r="BL378" i="1"/>
  <c r="BL647" i="1"/>
  <c r="BL480" i="1"/>
  <c r="BL299" i="1"/>
  <c r="BL400" i="1"/>
  <c r="BL274" i="1"/>
  <c r="BL266" i="1"/>
  <c r="BL738" i="1"/>
  <c r="BL327" i="1"/>
  <c r="BL654" i="1"/>
  <c r="BL306" i="1"/>
  <c r="BL758" i="1"/>
  <c r="BL675" i="1"/>
  <c r="BL456" i="1"/>
  <c r="BL222" i="1"/>
  <c r="BL707" i="1"/>
  <c r="BL173" i="1"/>
  <c r="BL240" i="1"/>
  <c r="BL118" i="1"/>
  <c r="BL182" i="1"/>
  <c r="BL702" i="1"/>
  <c r="BL694" i="1"/>
  <c r="BL657" i="1"/>
  <c r="BL750" i="1"/>
  <c r="BL339" i="1"/>
  <c r="BL205" i="1"/>
  <c r="BL358" i="1"/>
  <c r="BL265" i="1"/>
  <c r="BL110" i="1"/>
  <c r="BL279" i="1"/>
  <c r="BL770" i="1"/>
  <c r="BL711" i="1"/>
  <c r="BL136" i="1"/>
  <c r="BL199" i="1"/>
  <c r="BL414" i="1"/>
  <c r="BL156" i="1"/>
  <c r="BL756" i="1"/>
  <c r="BL472" i="1"/>
  <c r="BL109" i="1"/>
  <c r="BL475" i="1"/>
  <c r="BL251" i="1"/>
  <c r="BL219" i="1"/>
  <c r="BL781" i="1"/>
  <c r="BL390" i="1"/>
  <c r="BL399" i="1"/>
  <c r="BL125" i="1"/>
  <c r="BL678" i="1"/>
  <c r="BL244" i="1"/>
  <c r="BL283" i="1"/>
  <c r="BL723" i="1"/>
  <c r="BL449" i="1"/>
  <c r="BL443" i="1"/>
  <c r="BL351" i="1"/>
  <c r="BL408" i="1"/>
  <c r="BL250" i="1"/>
  <c r="BL350" i="1"/>
  <c r="BL114" i="1"/>
  <c r="BL220" i="1"/>
  <c r="BL661" i="1"/>
  <c r="BL699" i="1"/>
  <c r="BL489" i="1"/>
  <c r="BL264" i="1"/>
  <c r="BL146" i="1"/>
  <c r="BL416" i="1"/>
  <c r="BL126" i="1"/>
  <c r="BL267" i="1"/>
  <c r="BL144" i="1"/>
  <c r="BL760" i="1"/>
  <c r="BL275" i="1"/>
  <c r="BL395" i="1"/>
  <c r="BL365" i="1"/>
  <c r="BL278" i="1"/>
  <c r="BL104" i="1"/>
  <c r="BL246" i="1"/>
  <c r="BL386" i="1"/>
  <c r="BL467" i="1"/>
  <c r="BL669" i="1"/>
  <c r="BL129" i="1"/>
  <c r="BL338" i="1"/>
  <c r="BL481" i="1"/>
  <c r="BL412" i="1"/>
  <c r="BL100" i="1"/>
  <c r="BL763" i="1"/>
  <c r="BL440" i="1"/>
  <c r="BL494" i="1"/>
  <c r="BL294" i="1"/>
  <c r="BL134" i="1"/>
  <c r="BL119" i="1"/>
  <c r="BL688" i="1"/>
  <c r="BL740" i="1"/>
  <c r="BL701" i="1"/>
  <c r="BL436" i="1"/>
  <c r="BL128" i="1"/>
  <c r="BL407" i="1"/>
  <c r="BL341" i="1"/>
  <c r="BL261" i="1"/>
  <c r="BL260" i="1"/>
  <c r="BL421" i="1"/>
  <c r="BL166" i="1"/>
  <c r="BL165" i="1"/>
  <c r="BL633" i="1"/>
  <c r="BL328" i="1"/>
  <c r="BL439" i="1"/>
  <c r="BL215" i="1"/>
  <c r="BL769" i="1"/>
  <c r="BL731" i="1"/>
  <c r="BL337" i="1"/>
  <c r="BL177" i="1"/>
  <c r="BL333" i="1"/>
  <c r="BL141" i="1"/>
  <c r="BL762" i="1"/>
  <c r="BL113" i="1"/>
  <c r="BL321" i="1"/>
  <c r="BL175" i="1"/>
  <c r="BL690" i="1"/>
  <c r="BL476" i="1"/>
  <c r="BL232" i="1"/>
  <c r="BL719" i="1"/>
  <c r="BL235" i="1"/>
  <c r="BL221" i="1"/>
  <c r="BL191" i="1"/>
  <c r="BL345" i="1"/>
  <c r="BL253" i="1"/>
  <c r="BL228" i="1"/>
  <c r="BL258" i="1"/>
  <c r="BL634" i="1"/>
  <c r="BL388" i="1"/>
  <c r="BL183" i="1"/>
  <c r="BL445" i="1"/>
  <c r="BL370" i="1"/>
  <c r="BL56" i="1"/>
  <c r="BL194" i="1"/>
  <c r="BL728" i="1"/>
  <c r="BL310" i="1"/>
  <c r="BL382" i="1"/>
  <c r="BL331" i="1"/>
  <c r="BL429" i="1"/>
  <c r="BL780" i="1"/>
  <c r="BL446" i="1"/>
  <c r="BL334" i="1"/>
  <c r="BL649" i="1"/>
  <c r="BL751" i="1"/>
  <c r="BL668" i="1"/>
  <c r="BL307" i="1"/>
  <c r="BL326" i="1"/>
  <c r="BL362" i="1"/>
  <c r="BL630" i="1"/>
  <c r="BL340" i="1"/>
  <c r="BL200" i="1"/>
  <c r="BL485" i="1"/>
  <c r="BL483" i="1"/>
  <c r="BL295" i="1"/>
  <c r="BL282" i="1"/>
  <c r="BL428" i="1"/>
  <c r="BL172" i="1"/>
  <c r="BL145" i="1"/>
  <c r="BL366" i="1"/>
  <c r="BL697" i="1"/>
  <c r="BL691" i="1"/>
  <c r="BL602" i="1"/>
  <c r="BL233" i="1"/>
  <c r="BL658" i="1"/>
  <c r="BL777" i="1"/>
  <c r="BL58" i="1"/>
  <c r="BL139" i="1"/>
  <c r="BL652" i="1"/>
  <c r="BL775" i="1"/>
  <c r="BL680" i="1"/>
  <c r="BL348" i="1"/>
  <c r="BL101" i="1"/>
  <c r="BL473" i="1"/>
  <c r="BL493" i="1"/>
  <c r="BL641" i="1"/>
  <c r="BL422" i="1"/>
  <c r="BL115" i="1"/>
  <c r="BL201" i="1"/>
  <c r="BL213" i="1"/>
  <c r="BL389" i="1"/>
  <c r="BL379" i="1"/>
  <c r="BL367" i="1"/>
  <c r="BL484" i="1"/>
  <c r="BL620" i="1"/>
  <c r="BL778" i="1"/>
  <c r="BL127" i="1"/>
  <c r="BL392" i="1"/>
  <c r="BL324" i="1"/>
  <c r="BL147" i="1"/>
  <c r="BL656" i="1"/>
  <c r="BL226" i="1"/>
  <c r="BL288" i="1"/>
  <c r="BL387" i="1"/>
  <c r="BL773" i="1"/>
  <c r="BL398" i="1"/>
  <c r="BL397" i="1"/>
  <c r="BL730" i="1"/>
  <c r="BL477" i="1"/>
  <c r="BL352" i="1"/>
  <c r="BL142" i="1"/>
  <c r="BL444" i="1"/>
  <c r="BL236" i="1"/>
  <c r="BL202" i="1"/>
  <c r="BL478" i="1"/>
  <c r="BL349" i="1"/>
  <c r="BL209" i="1"/>
  <c r="BL217" i="1"/>
  <c r="BL677" i="1"/>
  <c r="BL498" i="1"/>
  <c r="BL776" i="1"/>
  <c r="BL431" i="1"/>
  <c r="BL466" i="1"/>
  <c r="BL433" i="1"/>
  <c r="H4" i="7"/>
  <c r="H5" i="7"/>
  <c r="Y6" i="3" s="1"/>
  <c r="H6" i="7"/>
  <c r="Y7" i="3" s="1"/>
  <c r="H7" i="7"/>
  <c r="Y8" i="3" s="1"/>
  <c r="H8" i="7"/>
  <c r="Y9" i="3" s="1"/>
  <c r="H9" i="7"/>
  <c r="Y10" i="3" s="1"/>
  <c r="H10" i="7"/>
  <c r="Y11" i="3" s="1"/>
  <c r="H11" i="7"/>
  <c r="H12" i="7"/>
  <c r="H13" i="7"/>
  <c r="H14" i="7"/>
  <c r="H15" i="7"/>
  <c r="H16" i="7"/>
  <c r="H17" i="7"/>
  <c r="H18" i="7"/>
  <c r="H19" i="7"/>
  <c r="H20" i="7"/>
  <c r="H21" i="7"/>
  <c r="Y22" i="3" s="1"/>
  <c r="H22" i="7"/>
  <c r="H23" i="7"/>
  <c r="H24" i="7"/>
  <c r="Y25" i="3" s="1"/>
  <c r="H25" i="7"/>
  <c r="H26" i="7"/>
  <c r="H27" i="7"/>
  <c r="H28" i="7"/>
  <c r="H29" i="7"/>
  <c r="H30" i="7"/>
  <c r="H31" i="7"/>
  <c r="H32" i="7"/>
  <c r="Y33" i="3" s="1"/>
  <c r="H33" i="7"/>
  <c r="H34" i="7"/>
  <c r="H35" i="7"/>
  <c r="H36" i="7"/>
  <c r="H37" i="7"/>
  <c r="H38" i="7"/>
  <c r="H39" i="7"/>
  <c r="H40" i="7"/>
  <c r="H41" i="7"/>
  <c r="Y42" i="3" s="1"/>
  <c r="H42" i="7"/>
  <c r="H43" i="7"/>
  <c r="Y1536" i="3" s="1"/>
  <c r="H44" i="7"/>
  <c r="Y45" i="3" s="1"/>
  <c r="H45" i="7"/>
  <c r="Y46" i="3" s="1"/>
  <c r="H46" i="7"/>
  <c r="H47" i="7"/>
  <c r="H48" i="7"/>
  <c r="H49" i="7"/>
  <c r="Y50" i="3" s="1"/>
  <c r="H50" i="7"/>
  <c r="Y51" i="3" s="1"/>
  <c r="H51" i="7"/>
  <c r="Y1223" i="3" s="1"/>
  <c r="H52" i="7"/>
  <c r="Y53" i="3" s="1"/>
  <c r="H53" i="7"/>
  <c r="H54" i="7"/>
  <c r="H55" i="7"/>
  <c r="H56" i="7"/>
  <c r="Y57" i="3" s="1"/>
  <c r="H57" i="7"/>
  <c r="H58" i="7"/>
  <c r="H59" i="7"/>
  <c r="Y1453" i="3" s="1"/>
  <c r="H60" i="7"/>
  <c r="H61" i="7"/>
  <c r="H62" i="7"/>
  <c r="H63" i="7"/>
  <c r="H64" i="7"/>
  <c r="Y65" i="3" s="1"/>
  <c r="H65" i="7"/>
  <c r="H66" i="7"/>
  <c r="Y67" i="3" s="1"/>
  <c r="H67" i="7"/>
  <c r="H68" i="7"/>
  <c r="H69" i="7"/>
  <c r="H70" i="7"/>
  <c r="H71" i="7"/>
  <c r="H72" i="7"/>
  <c r="H73" i="7"/>
  <c r="Y74" i="3" s="1"/>
  <c r="H74" i="7"/>
  <c r="H75" i="7"/>
  <c r="Y1154" i="3" s="1"/>
  <c r="H76" i="7"/>
  <c r="H77" i="7"/>
  <c r="Y78" i="3" s="1"/>
  <c r="H78" i="7"/>
  <c r="Y79" i="3" s="1"/>
  <c r="H79" i="7"/>
  <c r="H80" i="7"/>
  <c r="H81" i="7"/>
  <c r="H82" i="7"/>
  <c r="H83" i="7"/>
  <c r="Y1487" i="3" s="1"/>
  <c r="H84" i="7"/>
  <c r="H85" i="7"/>
  <c r="Y86" i="3" s="1"/>
  <c r="H86" i="7"/>
  <c r="H87" i="7"/>
  <c r="H88" i="7"/>
  <c r="Y89" i="3" s="1"/>
  <c r="H89" i="7"/>
  <c r="H90" i="7"/>
  <c r="Y91" i="3" s="1"/>
  <c r="H91" i="7"/>
  <c r="H92" i="7"/>
  <c r="H93" i="7"/>
  <c r="H94" i="7"/>
  <c r="H95" i="7"/>
  <c r="Y96" i="3" s="1"/>
  <c r="H96" i="7"/>
  <c r="H97" i="7"/>
  <c r="Y98" i="3" s="1"/>
  <c r="H98" i="7"/>
  <c r="Y99" i="3" s="1"/>
  <c r="H99" i="7"/>
  <c r="H100" i="7"/>
  <c r="Y101" i="3" s="1"/>
  <c r="H101" i="7"/>
  <c r="Y102" i="3" s="1"/>
  <c r="H102" i="7"/>
  <c r="Y103" i="3" s="1"/>
  <c r="H103" i="7"/>
  <c r="H104" i="7"/>
  <c r="H105" i="7"/>
  <c r="Y106" i="3" s="1"/>
  <c r="H106" i="7"/>
  <c r="H107" i="7"/>
  <c r="H108" i="7"/>
  <c r="H109" i="7"/>
  <c r="H110" i="7"/>
  <c r="H111" i="7"/>
  <c r="Y112" i="3" s="1"/>
  <c r="H112" i="7"/>
  <c r="H113" i="7"/>
  <c r="Y114" i="3" s="1"/>
  <c r="H114" i="7"/>
  <c r="H115" i="7"/>
  <c r="Y1522" i="3" s="1"/>
  <c r="H116" i="7"/>
  <c r="Y117" i="3" s="1"/>
  <c r="H117" i="7"/>
  <c r="Y118" i="3" s="1"/>
  <c r="H118" i="7"/>
  <c r="H119" i="7"/>
  <c r="Y120" i="3" s="1"/>
  <c r="H120" i="7"/>
  <c r="Y121" i="3" s="1"/>
  <c r="H121" i="7"/>
  <c r="H122" i="7"/>
  <c r="H123" i="7"/>
  <c r="H124" i="7"/>
  <c r="H125" i="7"/>
  <c r="Y126" i="3" s="1"/>
  <c r="H126" i="7"/>
  <c r="H127" i="7"/>
  <c r="Y128" i="3" s="1"/>
  <c r="H128" i="7"/>
  <c r="H129" i="7"/>
  <c r="H130" i="7"/>
  <c r="H131" i="7"/>
  <c r="H132" i="7"/>
  <c r="H133" i="7"/>
  <c r="Y134" i="3" s="1"/>
  <c r="H134" i="7"/>
  <c r="H135" i="7"/>
  <c r="Y136" i="3" s="1"/>
  <c r="H136" i="7"/>
  <c r="H137" i="7"/>
  <c r="Y138" i="3" s="1"/>
  <c r="H138" i="7"/>
  <c r="H139" i="7"/>
  <c r="H140" i="7"/>
  <c r="H141" i="7"/>
  <c r="H142" i="7"/>
  <c r="Y143" i="3" s="1"/>
  <c r="H143" i="7"/>
  <c r="H144" i="7"/>
  <c r="H145" i="7"/>
  <c r="H146" i="7"/>
  <c r="H147" i="7"/>
  <c r="Y1440" i="3" s="1"/>
  <c r="H148" i="7"/>
  <c r="H149" i="7"/>
  <c r="H150" i="7"/>
  <c r="H151" i="7"/>
  <c r="H152" i="7"/>
  <c r="H153" i="7"/>
  <c r="H154" i="7"/>
  <c r="Y155" i="3" s="1"/>
  <c r="H155" i="7"/>
  <c r="Y1530" i="3" s="1"/>
  <c r="H156" i="7"/>
  <c r="H157" i="7"/>
  <c r="Y158" i="3" s="1"/>
  <c r="H158" i="7"/>
  <c r="H159" i="7"/>
  <c r="H160" i="7"/>
  <c r="H161" i="7"/>
  <c r="H162" i="7"/>
  <c r="H163" i="7"/>
  <c r="Y1529" i="3" s="1"/>
  <c r="H164" i="7"/>
  <c r="H165" i="7"/>
  <c r="H166" i="7"/>
  <c r="H167" i="7"/>
  <c r="H168" i="7"/>
  <c r="H169" i="7"/>
  <c r="Y170" i="3" s="1"/>
  <c r="H170" i="7"/>
  <c r="H171" i="7"/>
  <c r="Y1233" i="3" s="1"/>
  <c r="BH460" i="1" s="1"/>
  <c r="H172" i="7"/>
  <c r="H173" i="7"/>
  <c r="H174" i="7"/>
  <c r="Y175" i="3" s="1"/>
  <c r="H175" i="7"/>
  <c r="Y176" i="3" s="1"/>
  <c r="H176" i="7"/>
  <c r="Y177" i="3" s="1"/>
  <c r="H177" i="7"/>
  <c r="Y178" i="3" s="1"/>
  <c r="H178" i="7"/>
  <c r="H179" i="7"/>
  <c r="Y765" i="3" s="1"/>
  <c r="AY284" i="2" s="1"/>
  <c r="H180" i="7"/>
  <c r="H181" i="7"/>
  <c r="H182" i="7"/>
  <c r="H183" i="7"/>
  <c r="H184" i="7"/>
  <c r="Y185" i="3" s="1"/>
  <c r="H185" i="7"/>
  <c r="H186" i="7"/>
  <c r="Y187" i="3" s="1"/>
  <c r="H187" i="7"/>
  <c r="H188" i="7"/>
  <c r="H189" i="7"/>
  <c r="H190" i="7"/>
  <c r="Y191" i="3" s="1"/>
  <c r="H191" i="7"/>
  <c r="Y192" i="3" s="1"/>
  <c r="H192" i="7"/>
  <c r="H193" i="7"/>
  <c r="Y194" i="3" s="1"/>
  <c r="H194" i="7"/>
  <c r="H195" i="7"/>
  <c r="Y1499" i="3" s="1"/>
  <c r="H196" i="7"/>
  <c r="Y197" i="3" s="1"/>
  <c r="H197" i="7"/>
  <c r="H198" i="7"/>
  <c r="Y199" i="3" s="1"/>
  <c r="H199" i="7"/>
  <c r="Y200" i="3" s="1"/>
  <c r="H200" i="7"/>
  <c r="H201" i="7"/>
  <c r="Y202" i="3" s="1"/>
  <c r="H202" i="7"/>
  <c r="Y203" i="3" s="1"/>
  <c r="H203" i="7"/>
  <c r="Y115" i="3" s="1"/>
  <c r="H204" i="7"/>
  <c r="H205" i="7"/>
  <c r="H206" i="7"/>
  <c r="H207" i="7"/>
  <c r="H208" i="7"/>
  <c r="H209" i="7"/>
  <c r="H210" i="7"/>
  <c r="H211" i="7"/>
  <c r="Y212" i="3" s="1"/>
  <c r="H212" i="7"/>
  <c r="H213" i="7"/>
  <c r="H214" i="7"/>
  <c r="H215" i="7"/>
  <c r="Y216" i="3" s="1"/>
  <c r="H216" i="7"/>
  <c r="H217" i="7"/>
  <c r="H218" i="7"/>
  <c r="H219" i="7"/>
  <c r="Y1267" i="3" s="1"/>
  <c r="H220" i="7"/>
  <c r="Y221" i="3" s="1"/>
  <c r="H221" i="7"/>
  <c r="Y222" i="3" s="1"/>
  <c r="H222" i="7"/>
  <c r="H223" i="7"/>
  <c r="Y224" i="3" s="1"/>
  <c r="H224" i="7"/>
  <c r="H225" i="7"/>
  <c r="H226" i="7"/>
  <c r="H227" i="7"/>
  <c r="Y1271" i="3" s="1"/>
  <c r="H228" i="7"/>
  <c r="Y229" i="3" s="1"/>
  <c r="H229" i="7"/>
  <c r="H230" i="7"/>
  <c r="H231" i="7"/>
  <c r="H232" i="7"/>
  <c r="H233" i="7"/>
  <c r="H234" i="7"/>
  <c r="H235" i="7"/>
  <c r="Y131" i="3" s="1"/>
  <c r="H236" i="7"/>
  <c r="H237" i="7"/>
  <c r="H238" i="7"/>
  <c r="H239" i="7"/>
  <c r="Y240" i="3" s="1"/>
  <c r="H240" i="7"/>
  <c r="H241" i="7"/>
  <c r="H242" i="7"/>
  <c r="H243" i="7"/>
  <c r="H244" i="7"/>
  <c r="Y245" i="3" s="1"/>
  <c r="H245" i="7"/>
  <c r="H246" i="7"/>
  <c r="H247" i="7"/>
  <c r="Y248" i="3" s="1"/>
  <c r="H248" i="7"/>
  <c r="H249" i="7"/>
  <c r="H250" i="7"/>
  <c r="Y251" i="3" s="1"/>
  <c r="H251" i="7"/>
  <c r="Y991" i="3" s="1"/>
  <c r="H252" i="7"/>
  <c r="H253" i="7"/>
  <c r="Y254" i="3" s="1"/>
  <c r="H254" i="7"/>
  <c r="H255" i="7"/>
  <c r="H256" i="7"/>
  <c r="H257" i="7"/>
  <c r="H258" i="7"/>
  <c r="Y259" i="3" s="1"/>
  <c r="H259" i="7"/>
  <c r="Y1479" i="3" s="1"/>
  <c r="H260" i="7"/>
  <c r="H261" i="7"/>
  <c r="H262" i="7"/>
  <c r="Y263" i="3" s="1"/>
  <c r="H263" i="7"/>
  <c r="H264" i="7"/>
  <c r="H265" i="7"/>
  <c r="H266" i="7"/>
  <c r="H267" i="7"/>
  <c r="H268" i="7"/>
  <c r="H269" i="7"/>
  <c r="H270" i="7"/>
  <c r="H271" i="7"/>
  <c r="H272" i="7"/>
  <c r="Y273" i="3" s="1"/>
  <c r="H273" i="7"/>
  <c r="H274" i="7"/>
  <c r="Y275" i="3" s="1"/>
  <c r="H275" i="7"/>
  <c r="Y1177" i="3" s="1"/>
  <c r="H276" i="7"/>
  <c r="H277" i="7"/>
  <c r="H278" i="7"/>
  <c r="H279" i="7"/>
  <c r="Y280" i="3" s="1"/>
  <c r="H280" i="7"/>
  <c r="Y281" i="3" s="1"/>
  <c r="H281" i="7"/>
  <c r="H282" i="7"/>
  <c r="H283" i="7"/>
  <c r="Y684" i="3" s="1"/>
  <c r="H284" i="7"/>
  <c r="Y285" i="3" s="1"/>
  <c r="H285" i="7"/>
  <c r="H286" i="7"/>
  <c r="H287" i="7"/>
  <c r="H288" i="7"/>
  <c r="H289" i="7"/>
  <c r="H290" i="7"/>
  <c r="H291" i="7"/>
  <c r="Y1511" i="3" s="1"/>
  <c r="AY731" i="2" s="1"/>
  <c r="H292" i="7"/>
  <c r="Y293" i="3" s="1"/>
  <c r="H293" i="7"/>
  <c r="H294" i="7"/>
  <c r="H295" i="7"/>
  <c r="H296" i="7"/>
  <c r="H297" i="7"/>
  <c r="Y298" i="3" s="1"/>
  <c r="H298" i="7"/>
  <c r="H299" i="7"/>
  <c r="H300" i="7"/>
  <c r="H301" i="7"/>
  <c r="Y302" i="3" s="1"/>
  <c r="H302" i="7"/>
  <c r="H303" i="7"/>
  <c r="H304" i="7"/>
  <c r="Y305" i="3" s="1"/>
  <c r="H305" i="7"/>
  <c r="Y306" i="3" s="1"/>
  <c r="H306" i="7"/>
  <c r="H307" i="7"/>
  <c r="Y1523" i="3" s="1"/>
  <c r="H308" i="7"/>
  <c r="H309" i="7"/>
  <c r="Y310" i="3" s="1"/>
  <c r="H310" i="7"/>
  <c r="H311" i="7"/>
  <c r="Y312" i="3" s="1"/>
  <c r="H312" i="7"/>
  <c r="H313" i="7"/>
  <c r="H314" i="7"/>
  <c r="H315" i="7"/>
  <c r="Y1112" i="3" s="1"/>
  <c r="H316" i="7"/>
  <c r="Y317" i="3" s="1"/>
  <c r="H317" i="7"/>
  <c r="H318" i="7"/>
  <c r="Y319" i="3" s="1"/>
  <c r="H319" i="7"/>
  <c r="Y320" i="3" s="1"/>
  <c r="H320" i="7"/>
  <c r="H321" i="7"/>
  <c r="H322" i="7"/>
  <c r="Y323" i="3" s="1"/>
  <c r="H323" i="7"/>
  <c r="Y1268" i="3" s="1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Y337" i="3" s="1"/>
  <c r="H337" i="7"/>
  <c r="H338" i="7"/>
  <c r="Y339" i="3" s="1"/>
  <c r="H339" i="7"/>
  <c r="Y340" i="3" s="1"/>
  <c r="H340" i="7"/>
  <c r="H341" i="7"/>
  <c r="H342" i="7"/>
  <c r="H343" i="7"/>
  <c r="H344" i="7"/>
  <c r="Y345" i="3" s="1"/>
  <c r="H345" i="7"/>
  <c r="H346" i="7"/>
  <c r="Y347" i="3" s="1"/>
  <c r="H347" i="7"/>
  <c r="Y946" i="3" s="1"/>
  <c r="H348" i="7"/>
  <c r="Y349" i="3" s="1"/>
  <c r="H349" i="7"/>
  <c r="H350" i="7"/>
  <c r="H351" i="7"/>
  <c r="Y352" i="3" s="1"/>
  <c r="H352" i="7"/>
  <c r="H353" i="7"/>
  <c r="H354" i="7"/>
  <c r="H355" i="7"/>
  <c r="Y1521" i="3" s="1"/>
  <c r="AY741" i="2" s="1"/>
  <c r="H356" i="7"/>
  <c r="H357" i="7"/>
  <c r="H358" i="7"/>
  <c r="H359" i="7"/>
  <c r="H360" i="7"/>
  <c r="H361" i="7"/>
  <c r="H362" i="7"/>
  <c r="H363" i="7"/>
  <c r="Y1216" i="3" s="1"/>
  <c r="H364" i="7"/>
  <c r="H365" i="7"/>
  <c r="H366" i="7"/>
  <c r="H367" i="7"/>
  <c r="H368" i="7"/>
  <c r="H369" i="7"/>
  <c r="Y370" i="3" s="1"/>
  <c r="H370" i="7"/>
  <c r="Y371" i="3" s="1"/>
  <c r="H371" i="7"/>
  <c r="Y1503" i="3" s="1"/>
  <c r="H372" i="7"/>
  <c r="H373" i="7"/>
  <c r="H374" i="7"/>
  <c r="Y375" i="3" s="1"/>
  <c r="H375" i="7"/>
  <c r="H376" i="7"/>
  <c r="Y377" i="3" s="1"/>
  <c r="H377" i="7"/>
  <c r="H378" i="7"/>
  <c r="H379" i="7"/>
  <c r="Y1371" i="3" s="1"/>
  <c r="H380" i="7"/>
  <c r="H381" i="7"/>
  <c r="Y382" i="3" s="1"/>
  <c r="H382" i="7"/>
  <c r="H383" i="7"/>
  <c r="H384" i="7"/>
  <c r="H385" i="7"/>
  <c r="H386" i="7"/>
  <c r="Y387" i="3" s="1"/>
  <c r="H387" i="7"/>
  <c r="Y1231" i="3" s="1"/>
  <c r="H388" i="7"/>
  <c r="H389" i="7"/>
  <c r="Y390" i="3" s="1"/>
  <c r="H390" i="7"/>
  <c r="H391" i="7"/>
  <c r="H392" i="7"/>
  <c r="H393" i="7"/>
  <c r="H394" i="7"/>
  <c r="H395" i="7"/>
  <c r="Y415" i="3" s="1"/>
  <c r="H396" i="7"/>
  <c r="H397" i="7"/>
  <c r="H398" i="7"/>
  <c r="H399" i="7"/>
  <c r="H400" i="7"/>
  <c r="Y401" i="3" s="1"/>
  <c r="H401" i="7"/>
  <c r="H402" i="7"/>
  <c r="H403" i="7"/>
  <c r="Y1494" i="3" s="1"/>
  <c r="AY209" i="2" s="1"/>
  <c r="H404" i="7"/>
  <c r="H405" i="7"/>
  <c r="H406" i="7"/>
  <c r="H407" i="7"/>
  <c r="H408" i="7"/>
  <c r="H409" i="7"/>
  <c r="H410" i="7"/>
  <c r="H411" i="7"/>
  <c r="Y1028" i="3" s="1"/>
  <c r="H412" i="7"/>
  <c r="H413" i="7"/>
  <c r="H414" i="7"/>
  <c r="H415" i="7"/>
  <c r="H416" i="7"/>
  <c r="H417" i="7"/>
  <c r="H418" i="7"/>
  <c r="H419" i="7"/>
  <c r="Y269" i="3" s="1"/>
  <c r="H420" i="7"/>
  <c r="H421" i="7"/>
  <c r="H422" i="7"/>
  <c r="H423" i="7"/>
  <c r="H424" i="7"/>
  <c r="H425" i="7"/>
  <c r="H426" i="7"/>
  <c r="H427" i="7"/>
  <c r="Y325" i="3" s="1"/>
  <c r="H428" i="7"/>
  <c r="H429" i="7"/>
  <c r="H430" i="7"/>
  <c r="H431" i="7"/>
  <c r="H432" i="7"/>
  <c r="H433" i="7"/>
  <c r="Y434" i="3" s="1"/>
  <c r="H434" i="7"/>
  <c r="H435" i="7"/>
  <c r="Y75" i="3" s="1"/>
  <c r="H436" i="7"/>
  <c r="Y437" i="3" s="1"/>
  <c r="H437" i="7"/>
  <c r="H438" i="7"/>
  <c r="H439" i="7"/>
  <c r="H440" i="7"/>
  <c r="Y441" i="3" s="1"/>
  <c r="H441" i="7"/>
  <c r="Y442" i="3" s="1"/>
  <c r="H442" i="7"/>
  <c r="H443" i="7"/>
  <c r="Y234" i="3" s="1"/>
  <c r="H444" i="7"/>
  <c r="H445" i="7"/>
  <c r="H446" i="7"/>
  <c r="Y447" i="3" s="1"/>
  <c r="H447" i="7"/>
  <c r="Y448" i="3" s="1"/>
  <c r="H448" i="7"/>
  <c r="H449" i="7"/>
  <c r="H450" i="7"/>
  <c r="Y451" i="3" s="1"/>
  <c r="H451" i="7"/>
  <c r="Y979" i="3" s="1"/>
  <c r="BH311" i="1" s="1"/>
  <c r="H452" i="7"/>
  <c r="H453" i="7"/>
  <c r="H454" i="7"/>
  <c r="Y455" i="3" s="1"/>
  <c r="H455" i="7"/>
  <c r="Y456" i="3" s="1"/>
  <c r="H456" i="7"/>
  <c r="Y457" i="3" s="1"/>
  <c r="H457" i="7"/>
  <c r="H458" i="7"/>
  <c r="H459" i="7"/>
  <c r="Y348" i="3" s="1"/>
  <c r="H460" i="7"/>
  <c r="Y461" i="3" s="1"/>
  <c r="H461" i="7"/>
  <c r="H462" i="7"/>
  <c r="H463" i="7"/>
  <c r="H464" i="7"/>
  <c r="H465" i="7"/>
  <c r="H466" i="7"/>
  <c r="H467" i="7"/>
  <c r="Y266" i="3" s="1"/>
  <c r="H468" i="7"/>
  <c r="Y469" i="3" s="1"/>
  <c r="H469" i="7"/>
  <c r="Y470" i="3" s="1"/>
  <c r="H470" i="7"/>
  <c r="H471" i="7"/>
  <c r="H472" i="7"/>
  <c r="Y473" i="3" s="1"/>
  <c r="H473" i="7"/>
  <c r="H474" i="7"/>
  <c r="H475" i="7"/>
  <c r="Y476" i="3" s="1"/>
  <c r="H476" i="7"/>
  <c r="H477" i="7"/>
  <c r="Y478" i="3" s="1"/>
  <c r="H478" i="7"/>
  <c r="H479" i="7"/>
  <c r="H480" i="7"/>
  <c r="H481" i="7"/>
  <c r="H482" i="7"/>
  <c r="H483" i="7"/>
  <c r="Y204" i="3" s="1"/>
  <c r="H484" i="7"/>
  <c r="Y485" i="3" s="1"/>
  <c r="H485" i="7"/>
  <c r="Y486" i="3" s="1"/>
  <c r="H486" i="7"/>
  <c r="H487" i="7"/>
  <c r="H488" i="7"/>
  <c r="H489" i="7"/>
  <c r="H490" i="7"/>
  <c r="H491" i="7"/>
  <c r="Y355" i="3" s="1"/>
  <c r="BH627" i="1" s="1"/>
  <c r="H492" i="7"/>
  <c r="H493" i="7"/>
  <c r="Y494" i="3" s="1"/>
  <c r="H494" i="7"/>
  <c r="H495" i="7"/>
  <c r="H496" i="7"/>
  <c r="Y497" i="3" s="1"/>
  <c r="H497" i="7"/>
  <c r="H498" i="7"/>
  <c r="Y499" i="3" s="1"/>
  <c r="H499" i="7"/>
  <c r="Y950" i="3" s="1"/>
  <c r="H500" i="7"/>
  <c r="H501" i="7"/>
  <c r="Y502" i="3" s="1"/>
  <c r="H502" i="7"/>
  <c r="Y503" i="3" s="1"/>
  <c r="H503" i="7"/>
  <c r="H504" i="7"/>
  <c r="H505" i="7"/>
  <c r="Y506" i="3" s="1"/>
  <c r="H506" i="7"/>
  <c r="H507" i="7"/>
  <c r="Y426" i="3" s="1"/>
  <c r="H508" i="7"/>
  <c r="H509" i="7"/>
  <c r="H510" i="7"/>
  <c r="H511" i="7"/>
  <c r="Y512" i="3" s="1"/>
  <c r="H512" i="7"/>
  <c r="Y513" i="3" s="1"/>
  <c r="H513" i="7"/>
  <c r="Y514" i="3" s="1"/>
  <c r="H514" i="7"/>
  <c r="H515" i="7"/>
  <c r="Y1481" i="3" s="1"/>
  <c r="H516" i="7"/>
  <c r="H517" i="7"/>
  <c r="H518" i="7"/>
  <c r="H519" i="7"/>
  <c r="Y520" i="3" s="1"/>
  <c r="H520" i="7"/>
  <c r="H521" i="7"/>
  <c r="H522" i="7"/>
  <c r="H523" i="7"/>
  <c r="Y1512" i="3" s="1"/>
  <c r="H524" i="7"/>
  <c r="H525" i="7"/>
  <c r="Y526" i="3" s="1"/>
  <c r="H526" i="7"/>
  <c r="H527" i="7"/>
  <c r="H528" i="7"/>
  <c r="Y529" i="3" s="1"/>
  <c r="H529" i="7"/>
  <c r="Y530" i="3" s="1"/>
  <c r="H530" i="7"/>
  <c r="H531" i="7"/>
  <c r="H532" i="7"/>
  <c r="H533" i="7"/>
  <c r="Y534" i="3" s="1"/>
  <c r="H534" i="7"/>
  <c r="H535" i="7"/>
  <c r="Y536" i="3" s="1"/>
  <c r="H536" i="7"/>
  <c r="H537" i="7"/>
  <c r="H538" i="7"/>
  <c r="H539" i="7"/>
  <c r="Y1465" i="3" s="1"/>
  <c r="H540" i="7"/>
  <c r="Y541" i="3" s="1"/>
  <c r="H541" i="7"/>
  <c r="H542" i="7"/>
  <c r="Y543" i="3" s="1"/>
  <c r="H543" i="7"/>
  <c r="H544" i="7"/>
  <c r="H545" i="7"/>
  <c r="Y546" i="3" s="1"/>
  <c r="H546" i="7"/>
  <c r="H547" i="7"/>
  <c r="Y1467" i="3" s="1"/>
  <c r="H548" i="7"/>
  <c r="Y549" i="3" s="1"/>
  <c r="H549" i="7"/>
  <c r="Y550" i="3" s="1"/>
  <c r="BH629" i="1" s="1"/>
  <c r="H550" i="7"/>
  <c r="H551" i="7"/>
  <c r="H552" i="7"/>
  <c r="H553" i="7"/>
  <c r="H554" i="7"/>
  <c r="H555" i="7"/>
  <c r="Y556" i="3" s="1"/>
  <c r="H556" i="7"/>
  <c r="H557" i="7"/>
  <c r="Y558" i="3" s="1"/>
  <c r="H558" i="7"/>
  <c r="H559" i="7"/>
  <c r="H560" i="7"/>
  <c r="H561" i="7"/>
  <c r="Y562" i="3" s="1"/>
  <c r="H562" i="7"/>
  <c r="Y563" i="3" s="1"/>
  <c r="H563" i="7"/>
  <c r="Y1074" i="3" s="1"/>
  <c r="BH364" i="1" s="1"/>
  <c r="H564" i="7"/>
  <c r="H565" i="7"/>
  <c r="Y566" i="3" s="1"/>
  <c r="H566" i="7"/>
  <c r="Y567" i="3" s="1"/>
  <c r="H567" i="7"/>
  <c r="Y568" i="3" s="1"/>
  <c r="H568" i="7"/>
  <c r="H569" i="7"/>
  <c r="Y570" i="3" s="1"/>
  <c r="H570" i="7"/>
  <c r="H571" i="7"/>
  <c r="Y27" i="3" s="1"/>
  <c r="H572" i="7"/>
  <c r="Y573" i="3" s="1"/>
  <c r="H573" i="7"/>
  <c r="Y574" i="3" s="1"/>
  <c r="H574" i="7"/>
  <c r="H575" i="7"/>
  <c r="H576" i="7"/>
  <c r="H577" i="7"/>
  <c r="H578" i="7"/>
  <c r="Y579" i="3" s="1"/>
  <c r="H579" i="7"/>
  <c r="H580" i="7"/>
  <c r="Y581" i="3" s="1"/>
  <c r="H581" i="7"/>
  <c r="Y582" i="3" s="1"/>
  <c r="BH486" i="1" s="1"/>
  <c r="H582" i="7"/>
  <c r="H583" i="7"/>
  <c r="H584" i="7"/>
  <c r="Y585" i="3" s="1"/>
  <c r="H585" i="7"/>
  <c r="Y586" i="3" s="1"/>
  <c r="H586" i="7"/>
  <c r="Y587" i="3" s="1"/>
  <c r="H587" i="7"/>
  <c r="Y1000" i="3" s="1"/>
  <c r="H588" i="7"/>
  <c r="Y589" i="3" s="1"/>
  <c r="H589" i="7"/>
  <c r="Y590" i="3" s="1"/>
  <c r="H590" i="7"/>
  <c r="Y591" i="3" s="1"/>
  <c r="H591" i="7"/>
  <c r="H592" i="7"/>
  <c r="H593" i="7"/>
  <c r="Y594" i="3" s="1"/>
  <c r="H594" i="7"/>
  <c r="Y515" i="3" s="1"/>
  <c r="H595" i="7"/>
  <c r="Y633" i="3" s="1"/>
  <c r="H596" i="7"/>
  <c r="H597" i="7"/>
  <c r="Y598" i="3" s="1"/>
  <c r="H598" i="7"/>
  <c r="H599" i="7"/>
  <c r="H600" i="7"/>
  <c r="H601" i="7"/>
  <c r="Y602" i="3" s="1"/>
  <c r="H602" i="7"/>
  <c r="H603" i="7"/>
  <c r="Y190" i="3" s="1"/>
  <c r="H604" i="7"/>
  <c r="Y605" i="3" s="1"/>
  <c r="H605" i="7"/>
  <c r="Y606" i="3" s="1"/>
  <c r="H606" i="7"/>
  <c r="H607" i="7"/>
  <c r="Y41" i="3"/>
  <c r="Y1185" i="3"/>
  <c r="BH501" i="1" s="1"/>
  <c r="Y1184" i="3"/>
  <c r="Y1186" i="3"/>
  <c r="BH430" i="1" s="1"/>
  <c r="Y32" i="3"/>
  <c r="Y1188" i="3"/>
  <c r="Y122" i="3"/>
  <c r="Y149" i="3"/>
  <c r="Y1187" i="3"/>
  <c r="Y13" i="3"/>
  <c r="Y1189" i="3"/>
  <c r="Y225" i="3"/>
  <c r="Y166" i="3"/>
  <c r="Y184" i="3"/>
  <c r="Y1193" i="3"/>
  <c r="Y242" i="3"/>
  <c r="Y316" i="3"/>
  <c r="Y1194" i="3"/>
  <c r="Y394" i="3"/>
  <c r="Y1195" i="3"/>
  <c r="Y237" i="3"/>
  <c r="Y1198" i="3"/>
  <c r="Y1199" i="3"/>
  <c r="Y1200" i="3"/>
  <c r="Y1202" i="3"/>
  <c r="BH441" i="1" s="1"/>
  <c r="Y1201" i="3"/>
  <c r="BH502" i="1" s="1"/>
  <c r="Y116" i="3"/>
  <c r="Y208" i="3"/>
  <c r="Y1204" i="3"/>
  <c r="Y1208" i="3"/>
  <c r="BH518" i="1" s="1"/>
  <c r="Y262" i="3"/>
  <c r="Y147" i="3"/>
  <c r="Y180" i="3"/>
  <c r="Y133" i="3"/>
  <c r="Y294" i="3"/>
  <c r="Y538" i="3"/>
  <c r="AY48" i="2" s="1"/>
  <c r="Y1211" i="3"/>
  <c r="Y219" i="3"/>
  <c r="Y87" i="3"/>
  <c r="Y399" i="3"/>
  <c r="Y279" i="3"/>
  <c r="Y364" i="3"/>
  <c r="BH520" i="1" s="1"/>
  <c r="Y1209" i="3"/>
  <c r="BH447" i="1" s="1"/>
  <c r="Y1212" i="3"/>
  <c r="Y620" i="3"/>
  <c r="Y622" i="3"/>
  <c r="Y628" i="3"/>
  <c r="AY158" i="2" s="1"/>
  <c r="Y257" i="3"/>
  <c r="Y1210" i="3"/>
  <c r="BH448" i="1" s="1"/>
  <c r="Y198" i="3"/>
  <c r="Y571" i="3"/>
  <c r="Y643" i="3"/>
  <c r="Y1214" i="3"/>
  <c r="Y555" i="3"/>
  <c r="Y679" i="3"/>
  <c r="AY15" i="2" s="1"/>
  <c r="Y397" i="3"/>
  <c r="Y270" i="3"/>
  <c r="Y249" i="3"/>
  <c r="Y733" i="3"/>
  <c r="Y741" i="3"/>
  <c r="Y416" i="3"/>
  <c r="Y802" i="3"/>
  <c r="Y793" i="3"/>
  <c r="Y823" i="3"/>
  <c r="Y829" i="3"/>
  <c r="Y854" i="3"/>
  <c r="BH553" i="1" s="1"/>
  <c r="Y858" i="3"/>
  <c r="Y907" i="3"/>
  <c r="Y915" i="3"/>
  <c r="Y527" i="3"/>
  <c r="Y964" i="3"/>
  <c r="Y967" i="3"/>
  <c r="Y976" i="3"/>
  <c r="Y1039" i="3"/>
  <c r="Y1059" i="3"/>
  <c r="Y1064" i="3"/>
  <c r="Y417" i="3"/>
  <c r="Y1111" i="3"/>
  <c r="Y1113" i="3"/>
  <c r="Y1115" i="3"/>
  <c r="Y1121" i="3"/>
  <c r="Y1141" i="3"/>
  <c r="Y227" i="3"/>
  <c r="Y1167" i="3"/>
  <c r="Y1191" i="3"/>
  <c r="Y1192" i="3"/>
  <c r="Y1215" i="3"/>
  <c r="Y1149" i="3"/>
  <c r="Y1217" i="3"/>
  <c r="Y577" i="3"/>
  <c r="Y1222" i="3"/>
  <c r="Y1243" i="3"/>
  <c r="AY473" i="2" s="1"/>
  <c r="Y1218" i="3"/>
  <c r="Y369" i="3"/>
  <c r="Y1255" i="3"/>
  <c r="Y1274" i="3"/>
  <c r="Y1277" i="3"/>
  <c r="AY504" i="2" s="1"/>
  <c r="Y1292" i="3"/>
  <c r="Y1297" i="3"/>
  <c r="Y438" i="3"/>
  <c r="Y1303" i="3"/>
  <c r="Y1307" i="3"/>
  <c r="Y1308" i="3"/>
  <c r="Y1312" i="3"/>
  <c r="Y1323" i="3"/>
  <c r="Y1321" i="3"/>
  <c r="Y1326" i="3"/>
  <c r="Y1330" i="3"/>
  <c r="Y1335" i="3"/>
  <c r="Y1331" i="3"/>
  <c r="Y1354" i="3"/>
  <c r="Y1355" i="3"/>
  <c r="Y1358" i="3"/>
  <c r="Y1373" i="3"/>
  <c r="Y1374" i="3"/>
  <c r="Y1376" i="3"/>
  <c r="Y1379" i="3"/>
  <c r="Y1381" i="3"/>
  <c r="AY599" i="2" s="1"/>
  <c r="Y1385" i="3"/>
  <c r="Y1221" i="3"/>
  <c r="Y1392" i="3"/>
  <c r="Y1396" i="3"/>
  <c r="Y1225" i="3"/>
  <c r="Y1390" i="3"/>
  <c r="Y1406" i="3"/>
  <c r="Y1410" i="3"/>
  <c r="Y1409" i="3"/>
  <c r="Y1414" i="3"/>
  <c r="AY632" i="2" s="1"/>
  <c r="Y1224" i="3"/>
  <c r="Y1417" i="3"/>
  <c r="Y1425" i="3"/>
  <c r="Y1426" i="3"/>
  <c r="Y1228" i="3"/>
  <c r="Y1433" i="3"/>
  <c r="BH568" i="1" s="1"/>
  <c r="Y1436" i="3"/>
  <c r="Y1439" i="3"/>
  <c r="Y1446" i="3"/>
  <c r="Y1450" i="3"/>
  <c r="Y1452" i="3"/>
  <c r="Y1456" i="3"/>
  <c r="Y1459" i="3"/>
  <c r="Y1469" i="3"/>
  <c r="Y1471" i="3"/>
  <c r="Y1473" i="3"/>
  <c r="Y1474" i="3"/>
  <c r="Y1478" i="3"/>
  <c r="Y1490" i="3"/>
  <c r="Y1485" i="3"/>
  <c r="Y1491" i="3"/>
  <c r="Y1493" i="3"/>
  <c r="AY713" i="2" s="1"/>
  <c r="Y1501" i="3"/>
  <c r="Y1506" i="3"/>
  <c r="Y1502" i="3"/>
  <c r="Y1507" i="3"/>
  <c r="Y1509" i="3"/>
  <c r="AY729" i="2" s="1"/>
  <c r="Y1516" i="3"/>
  <c r="Y1524" i="3"/>
  <c r="Y1525" i="3"/>
  <c r="Y942" i="3"/>
  <c r="Y1533" i="3"/>
  <c r="Y1535" i="3"/>
  <c r="Y1537" i="3"/>
  <c r="Y1538" i="3"/>
  <c r="AY760" i="2" s="1"/>
  <c r="Y1539" i="3"/>
  <c r="Y19" i="3"/>
  <c r="AY249" i="2" s="1"/>
  <c r="Y119" i="3"/>
  <c r="Y93" i="3"/>
  <c r="Y1227" i="3"/>
  <c r="Y362" i="3"/>
  <c r="Y18" i="3"/>
  <c r="Y183" i="3"/>
  <c r="Y423" i="3"/>
  <c r="Y209" i="3"/>
  <c r="Y231" i="3"/>
  <c r="Y163" i="3"/>
  <c r="Y336" i="3"/>
  <c r="Y92" i="3"/>
  <c r="Y600" i="3"/>
  <c r="Y433" i="3"/>
  <c r="Y624" i="3"/>
  <c r="Y1230" i="3"/>
  <c r="Y391" i="3"/>
  <c r="Y214" i="3"/>
  <c r="Y475" i="3"/>
  <c r="Y642" i="3"/>
  <c r="Y389" i="3"/>
  <c r="Y583" i="3"/>
  <c r="AY121" i="2" s="1"/>
  <c r="Y711" i="3"/>
  <c r="Y597" i="3"/>
  <c r="Y766" i="3"/>
  <c r="Y837" i="3"/>
  <c r="Y841" i="3"/>
  <c r="Y393" i="3"/>
  <c r="Y870" i="3"/>
  <c r="Y435" i="3"/>
  <c r="Y505" i="3"/>
  <c r="Y972" i="3"/>
  <c r="Y398" i="3"/>
  <c r="Y973" i="3"/>
  <c r="Y975" i="3"/>
  <c r="Y993" i="3"/>
  <c r="BH575" i="1" s="1"/>
  <c r="Y373" i="3"/>
  <c r="Y1025" i="3"/>
  <c r="Y458" i="3"/>
  <c r="Y584" i="3"/>
  <c r="AY386" i="2" s="1"/>
  <c r="Y1142" i="3"/>
  <c r="Y1162" i="3"/>
  <c r="Y1163" i="3"/>
  <c r="Y1172" i="3"/>
  <c r="Y1205" i="3"/>
  <c r="Y1244" i="3"/>
  <c r="Y1265" i="3"/>
  <c r="Y1289" i="3"/>
  <c r="Y1280" i="3"/>
  <c r="Y1290" i="3"/>
  <c r="Y1334" i="3"/>
  <c r="Y1337" i="3"/>
  <c r="Y1348" i="3"/>
  <c r="Y1349" i="3"/>
  <c r="Y1366" i="3"/>
  <c r="Y1370" i="3"/>
  <c r="BH640" i="1" s="1"/>
  <c r="Y1391" i="3"/>
  <c r="Y535" i="3"/>
  <c r="Y1393" i="3"/>
  <c r="Y1394" i="3"/>
  <c r="Y1397" i="3"/>
  <c r="Y1402" i="3"/>
  <c r="Y1412" i="3"/>
  <c r="Y1419" i="3"/>
  <c r="Y1430" i="3"/>
  <c r="Y1431" i="3"/>
  <c r="Y1437" i="3"/>
  <c r="Y1449" i="3"/>
  <c r="Y1462" i="3"/>
  <c r="Y1464" i="3"/>
  <c r="AY684" i="2" s="1"/>
  <c r="Y1488" i="3"/>
  <c r="Y1498" i="3"/>
  <c r="Y1505" i="3"/>
  <c r="Y23" i="3"/>
  <c r="Y246" i="3"/>
  <c r="Y255" i="3"/>
  <c r="Y230" i="3"/>
  <c r="Y1235" i="3"/>
  <c r="BH462" i="1" s="1"/>
  <c r="Y311" i="3"/>
  <c r="Y69" i="3"/>
  <c r="Y459" i="3"/>
  <c r="Y83" i="3"/>
  <c r="Y468" i="3"/>
  <c r="Y467" i="3"/>
  <c r="Y462" i="3"/>
  <c r="Y64" i="3"/>
  <c r="Y501" i="3"/>
  <c r="Y289" i="3"/>
  <c r="Y324" i="3"/>
  <c r="Y358" i="3"/>
  <c r="Y271" i="3"/>
  <c r="Y531" i="3"/>
  <c r="Y341" i="3"/>
  <c r="Y414" i="3"/>
  <c r="Y554" i="3"/>
  <c r="Y686" i="3"/>
  <c r="Y346" i="3"/>
  <c r="Y701" i="3"/>
  <c r="Y612" i="3"/>
  <c r="Y717" i="3"/>
  <c r="Y724" i="3"/>
  <c r="Y507" i="3"/>
  <c r="Y528" i="3"/>
  <c r="Y811" i="3"/>
  <c r="Y428" i="3"/>
  <c r="Y815" i="3"/>
  <c r="Y889" i="3"/>
  <c r="Y890" i="3"/>
  <c r="Y491" i="3"/>
  <c r="Y983" i="3"/>
  <c r="Y989" i="3"/>
  <c r="Y395" i="3"/>
  <c r="Y290" i="3"/>
  <c r="Y1026" i="3"/>
  <c r="Y1084" i="3"/>
  <c r="Y1119" i="3"/>
  <c r="Y1126" i="3"/>
  <c r="Y1159" i="3"/>
  <c r="Y1219" i="3"/>
  <c r="AY173" i="2" s="1"/>
  <c r="Y1220" i="3"/>
  <c r="Y1207" i="3"/>
  <c r="Y1240" i="3"/>
  <c r="Y477" i="3"/>
  <c r="Y1262" i="3"/>
  <c r="Y1266" i="3"/>
  <c r="Y1287" i="3"/>
  <c r="Y537" i="3"/>
  <c r="Y1236" i="3"/>
  <c r="Y1360" i="3"/>
  <c r="Y1363" i="3"/>
  <c r="Y427" i="3"/>
  <c r="Y1399" i="3"/>
  <c r="Y1403" i="3"/>
  <c r="Y1416" i="3"/>
  <c r="Y1443" i="3"/>
  <c r="Y1237" i="3"/>
  <c r="Y1451" i="3"/>
  <c r="Y1461" i="3"/>
  <c r="Y1483" i="3"/>
  <c r="Y1532" i="3"/>
  <c r="Y452" i="3"/>
  <c r="Y157" i="3"/>
  <c r="Y291" i="3"/>
  <c r="Y142" i="3"/>
  <c r="Y59" i="3"/>
  <c r="Y379" i="3"/>
  <c r="Y73" i="3"/>
  <c r="Y278" i="3"/>
  <c r="BH557" i="1" s="1"/>
  <c r="Y56" i="3"/>
  <c r="AY77" i="2" s="1"/>
  <c r="Y97" i="3"/>
  <c r="Y235" i="3"/>
  <c r="Y113" i="3"/>
  <c r="Y484" i="3"/>
  <c r="Y517" i="3"/>
  <c r="Y343" i="3"/>
  <c r="Y366" i="3"/>
  <c r="BH550" i="1" s="1"/>
  <c r="Y481" i="3"/>
  <c r="Y666" i="3"/>
  <c r="Y172" i="3"/>
  <c r="Y424" i="3"/>
  <c r="Y685" i="3"/>
  <c r="Y283" i="3"/>
  <c r="Y523" i="3"/>
  <c r="Y188" i="3"/>
  <c r="Y463" i="3"/>
  <c r="Y763" i="3"/>
  <c r="Y454" i="3"/>
  <c r="Y432" i="3"/>
  <c r="Y791" i="3"/>
  <c r="Y820" i="3"/>
  <c r="Y836" i="3"/>
  <c r="Y839" i="3"/>
  <c r="Y861" i="3"/>
  <c r="Y868" i="3"/>
  <c r="Y876" i="3"/>
  <c r="Y381" i="3"/>
  <c r="Y908" i="3"/>
  <c r="Y918" i="3"/>
  <c r="Y928" i="3"/>
  <c r="Y947" i="3"/>
  <c r="Y960" i="3"/>
  <c r="Y970" i="3"/>
  <c r="Y253" i="3"/>
  <c r="Y1021" i="3"/>
  <c r="AY184" i="2" s="1"/>
  <c r="Y595" i="3"/>
  <c r="Y493" i="3"/>
  <c r="Y1032" i="3"/>
  <c r="Y1073" i="3"/>
  <c r="Y1036" i="3"/>
  <c r="Y295" i="3"/>
  <c r="AY155" i="2" s="1"/>
  <c r="Y1054" i="3"/>
  <c r="Y1066" i="3"/>
  <c r="AY327" i="2" s="1"/>
  <c r="Y1081" i="3"/>
  <c r="Y1088" i="3"/>
  <c r="Y1091" i="3"/>
  <c r="Y1117" i="3"/>
  <c r="Y201" i="3"/>
  <c r="Y384" i="3"/>
  <c r="Y449" i="3"/>
  <c r="Y1168" i="3"/>
  <c r="Y420" i="3"/>
  <c r="Y1206" i="3"/>
  <c r="BH608" i="1" s="1"/>
  <c r="Y1232" i="3"/>
  <c r="Y1238" i="3"/>
  <c r="BH614" i="1" s="1"/>
  <c r="Y1247" i="3"/>
  <c r="Y450" i="3"/>
  <c r="Y1252" i="3"/>
  <c r="Y1253" i="3"/>
  <c r="Y610" i="3"/>
  <c r="Y1261" i="3"/>
  <c r="Y1294" i="3"/>
  <c r="Y1278" i="3"/>
  <c r="Y1279" i="3"/>
  <c r="Y1282" i="3"/>
  <c r="Y1283" i="3"/>
  <c r="Y1291" i="3"/>
  <c r="Y1300" i="3"/>
  <c r="Y1309" i="3"/>
  <c r="Y1311" i="3"/>
  <c r="BH752" i="1" s="1"/>
  <c r="Y1239" i="3"/>
  <c r="Y1316" i="3"/>
  <c r="Y1317" i="3"/>
  <c r="BH581" i="1" s="1"/>
  <c r="Y1318" i="3"/>
  <c r="Y1319" i="3"/>
  <c r="Y1320" i="3"/>
  <c r="Y1322" i="3"/>
  <c r="Y1325" i="3"/>
  <c r="Y1327" i="3"/>
  <c r="Y1336" i="3"/>
  <c r="BH767" i="1" s="1"/>
  <c r="Y1338" i="3"/>
  <c r="Y1339" i="3"/>
  <c r="Y1341" i="3"/>
  <c r="Y1351" i="3"/>
  <c r="Y1353" i="3"/>
  <c r="Y1357" i="3"/>
  <c r="Y1364" i="3"/>
  <c r="Y1365" i="3"/>
  <c r="Y1367" i="3"/>
  <c r="Y1369" i="3"/>
  <c r="AY286" i="2" s="1"/>
  <c r="Y1372" i="3"/>
  <c r="Y1378" i="3"/>
  <c r="Y1386" i="3"/>
  <c r="Y1387" i="3"/>
  <c r="Y1388" i="3"/>
  <c r="Y1395" i="3"/>
  <c r="Y431" i="3"/>
  <c r="Y1404" i="3"/>
  <c r="Y1411" i="3"/>
  <c r="Y1413" i="3"/>
  <c r="Y1420" i="3"/>
  <c r="Y1424" i="3"/>
  <c r="Y1432" i="3"/>
  <c r="Y1434" i="3"/>
  <c r="Y1441" i="3"/>
  <c r="Y539" i="3"/>
  <c r="Y1470" i="3"/>
  <c r="Y1442" i="3"/>
  <c r="Y1445" i="3"/>
  <c r="Y1241" i="3"/>
  <c r="BH684" i="1" s="1"/>
  <c r="Y1447" i="3"/>
  <c r="BH536" i="1" s="1"/>
  <c r="Y1455" i="3"/>
  <c r="Y1486" i="3"/>
  <c r="BH749" i="1" s="1"/>
  <c r="Y1457" i="3"/>
  <c r="Y1458" i="3"/>
  <c r="Y1460" i="3"/>
  <c r="Y344" i="3"/>
  <c r="BH689" i="1" s="1"/>
  <c r="Y1466" i="3"/>
  <c r="Y1468" i="3"/>
  <c r="Y1475" i="3"/>
  <c r="Y1476" i="3"/>
  <c r="Y1482" i="3"/>
  <c r="Y1484" i="3"/>
  <c r="Y1489" i="3"/>
  <c r="Y1495" i="3"/>
  <c r="Y1496" i="3"/>
  <c r="Y1497" i="3"/>
  <c r="Y1504" i="3"/>
  <c r="Y1500" i="3"/>
  <c r="Y1508" i="3"/>
  <c r="BH492" i="1" s="1"/>
  <c r="Y1510" i="3"/>
  <c r="Y1242" i="3"/>
  <c r="Y1246" i="3"/>
  <c r="Y1514" i="3"/>
  <c r="Y1515" i="3"/>
  <c r="Y1518" i="3"/>
  <c r="Y1519" i="3"/>
  <c r="Y1520" i="3"/>
  <c r="Y1527" i="3"/>
  <c r="Y1526" i="3"/>
  <c r="Y1543" i="3"/>
  <c r="Y1528" i="3"/>
  <c r="Y374" i="3"/>
  <c r="Y1531" i="3"/>
  <c r="BH628" i="1" s="1"/>
  <c r="Y1534" i="3"/>
  <c r="Y1540" i="3"/>
  <c r="Y365" i="3"/>
  <c r="Y1542" i="3"/>
  <c r="Y94" i="3"/>
  <c r="Y12" i="3"/>
  <c r="Y36" i="3"/>
  <c r="Y81" i="3"/>
  <c r="Y15" i="3"/>
  <c r="Y95" i="3"/>
  <c r="Y171" i="3"/>
  <c r="BH623" i="1" s="1"/>
  <c r="Y144" i="3"/>
  <c r="Y272" i="3"/>
  <c r="Y169" i="3"/>
  <c r="Y334" i="3"/>
  <c r="Y137" i="3"/>
  <c r="Y299" i="3"/>
  <c r="Y282" i="3"/>
  <c r="Y329" i="3"/>
  <c r="Y367" i="3"/>
  <c r="Y162" i="3"/>
  <c r="BH706" i="1" s="1"/>
  <c r="Y85" i="3"/>
  <c r="Y412" i="3"/>
  <c r="Y72" i="3"/>
  <c r="Y421" i="3"/>
  <c r="Y453" i="3"/>
  <c r="Y663" i="3"/>
  <c r="Y304" i="3"/>
  <c r="Y186" i="3"/>
  <c r="BH682" i="1" s="1"/>
  <c r="Y492" i="3"/>
  <c r="Y265" i="3"/>
  <c r="Y164" i="3"/>
  <c r="Y356" i="3"/>
  <c r="Y808" i="3"/>
  <c r="Y445" i="3"/>
  <c r="Y810" i="3"/>
  <c r="Y949" i="3"/>
  <c r="Y1003" i="3"/>
  <c r="Y1019" i="3"/>
  <c r="Y318" i="3"/>
  <c r="Y125" i="3"/>
  <c r="BH696" i="1" s="1"/>
  <c r="Y1116" i="3"/>
  <c r="Y1181" i="3"/>
  <c r="Y1190" i="3"/>
  <c r="Y551" i="3"/>
  <c r="BH703" i="1" s="1"/>
  <c r="Y511" i="3"/>
  <c r="Y439" i="3"/>
  <c r="Y109" i="3"/>
  <c r="Y580" i="3"/>
  <c r="Y1304" i="3"/>
  <c r="Y1324" i="3"/>
  <c r="Y1377" i="3"/>
  <c r="Y1408" i="3"/>
  <c r="Y1423" i="3"/>
  <c r="Y1517" i="3"/>
  <c r="Y26" i="3"/>
  <c r="Y55" i="3"/>
  <c r="Y167" i="3"/>
  <c r="BH716" i="1" s="1"/>
  <c r="Y28" i="3"/>
  <c r="Y123" i="3"/>
  <c r="Y258" i="3"/>
  <c r="Y76" i="3"/>
  <c r="Y422" i="3"/>
  <c r="Y207" i="3"/>
  <c r="Y239" i="3"/>
  <c r="Y154" i="3"/>
  <c r="Y189" i="3"/>
  <c r="Y338" i="3"/>
  <c r="Y326" i="3"/>
  <c r="Y173" i="3"/>
  <c r="Y330" i="3"/>
  <c r="Y130" i="3"/>
  <c r="Y232" i="3"/>
  <c r="Y309" i="3"/>
  <c r="Y674" i="3"/>
  <c r="BH488" i="1" s="1"/>
  <c r="Y687" i="3"/>
  <c r="BH712" i="1" s="1"/>
  <c r="Y360" i="3"/>
  <c r="Y542" i="3"/>
  <c r="Y244" i="3"/>
  <c r="Y564" i="3"/>
  <c r="Y378" i="3"/>
  <c r="Y1245" i="3"/>
  <c r="BH452" i="1" s="1"/>
  <c r="Y127" i="3"/>
  <c r="Y532" i="3"/>
  <c r="Y161" i="3"/>
  <c r="Y557" i="3"/>
  <c r="Y160" i="3"/>
  <c r="Y315" i="3"/>
  <c r="BH487" i="1" s="1"/>
  <c r="Y62" i="3"/>
  <c r="Y288" i="3"/>
  <c r="Y151" i="3"/>
  <c r="Y640" i="3"/>
  <c r="Y436" i="3"/>
  <c r="Y1022" i="3"/>
  <c r="Y61" i="3"/>
  <c r="Y729" i="3"/>
  <c r="Y575" i="3"/>
  <c r="Y321" i="3"/>
  <c r="Y267" i="3"/>
  <c r="BH729" i="1" s="1"/>
  <c r="Y297" i="3"/>
  <c r="Y322" i="3"/>
  <c r="AY64" i="2" s="1"/>
  <c r="Y760" i="3"/>
  <c r="Y817" i="3"/>
  <c r="Y508" i="3"/>
  <c r="Y883" i="3"/>
  <c r="Y916" i="3"/>
  <c r="AY310" i="2" s="1"/>
  <c r="Y592" i="3"/>
  <c r="BH736" i="1" s="1"/>
  <c r="Y958" i="3"/>
  <c r="Y1010" i="3"/>
  <c r="Y1285" i="3"/>
  <c r="Y1298" i="3"/>
  <c r="Y1038" i="3"/>
  <c r="Y357" i="3"/>
  <c r="BH759" i="1" s="1"/>
  <c r="Y1079" i="3"/>
  <c r="Y1030" i="3"/>
  <c r="Y1153" i="3"/>
  <c r="Y1156" i="3"/>
  <c r="BH663" i="1" s="1"/>
  <c r="Y1179" i="3"/>
  <c r="BH674" i="1" s="1"/>
  <c r="Y465" i="3"/>
  <c r="Y1125" i="3"/>
  <c r="Y418" i="3"/>
  <c r="Y498" i="3"/>
  <c r="Y1234" i="3"/>
  <c r="Y327" i="3"/>
  <c r="Y1269" i="3"/>
  <c r="Y1302" i="3"/>
  <c r="Y1342" i="3"/>
  <c r="Y1356" i="3"/>
  <c r="Y1310" i="3"/>
  <c r="Y1359" i="3"/>
  <c r="Y1368" i="3"/>
  <c r="Y1361" i="3"/>
  <c r="Y1380" i="3"/>
  <c r="Y1375" i="3"/>
  <c r="Y1383" i="3"/>
  <c r="BH665" i="1" s="1"/>
  <c r="Y1382" i="3"/>
  <c r="Y1389" i="3"/>
  <c r="Y48" i="3"/>
  <c r="Y1401" i="3"/>
  <c r="Y1418" i="3"/>
  <c r="Y1421" i="3"/>
  <c r="Y1477" i="3"/>
  <c r="Y1454" i="3"/>
  <c r="Y21" i="3"/>
  <c r="BH645" i="1" s="1"/>
  <c r="Y1513" i="3"/>
  <c r="Y252" i="3"/>
  <c r="Y60" i="3"/>
  <c r="Y179" i="3"/>
  <c r="Y88" i="3"/>
  <c r="BH709" i="1" s="1"/>
  <c r="Y100" i="3"/>
  <c r="BH748" i="1" s="1"/>
  <c r="Y241" i="3"/>
  <c r="Y286" i="3"/>
  <c r="BH772" i="1" s="1"/>
  <c r="Y274" i="3"/>
  <c r="BH672" i="1" s="1"/>
  <c r="Y226" i="3"/>
  <c r="Y168" i="3"/>
  <c r="BH683" i="1" s="1"/>
  <c r="Y150" i="3"/>
  <c r="Y174" i="3"/>
  <c r="BH727" i="1" s="1"/>
  <c r="Y392" i="3"/>
  <c r="Y104" i="3"/>
  <c r="Y40" i="3"/>
  <c r="Y287" i="3"/>
  <c r="Y482" i="3"/>
  <c r="Y351" i="3"/>
  <c r="Y277" i="3"/>
  <c r="BH497" i="1" s="1"/>
  <c r="Y181" i="3"/>
  <c r="Y146" i="3"/>
  <c r="Y111" i="3"/>
  <c r="Y386" i="3"/>
  <c r="BH685" i="1" s="1"/>
  <c r="Y292" i="3"/>
  <c r="BH482" i="1" s="1"/>
  <c r="Y140" i="3"/>
  <c r="BH718" i="1" s="1"/>
  <c r="Y629" i="3"/>
  <c r="Y331" i="3"/>
  <c r="Y715" i="3"/>
  <c r="Y308" i="3"/>
  <c r="Y648" i="3"/>
  <c r="Y409" i="3"/>
  <c r="BH738" i="1" s="1"/>
  <c r="Y655" i="3"/>
  <c r="Y561" i="3"/>
  <c r="Y335" i="3"/>
  <c r="Y1144" i="3"/>
  <c r="Y518" i="3"/>
  <c r="Y440" i="3"/>
  <c r="Y1174" i="3"/>
  <c r="Y576" i="3"/>
  <c r="Y368" i="3"/>
  <c r="Y350" i="3"/>
  <c r="Y1296" i="3"/>
  <c r="Y758" i="3"/>
  <c r="Y778" i="3"/>
  <c r="Y489" i="3"/>
  <c r="Y792" i="3"/>
  <c r="Y521" i="3"/>
  <c r="Y864" i="3"/>
  <c r="Y408" i="3"/>
  <c r="Y922" i="3"/>
  <c r="Y1362" i="3"/>
  <c r="Y301" i="3"/>
  <c r="Y1428" i="3"/>
  <c r="Y1042" i="3"/>
  <c r="Y1056" i="3"/>
  <c r="Y510" i="3"/>
  <c r="Y1114" i="3"/>
  <c r="Y443" i="3"/>
  <c r="Y609" i="3"/>
  <c r="Y1213" i="3"/>
  <c r="Y1250" i="3"/>
  <c r="Y1306" i="3"/>
  <c r="Y1328" i="3"/>
  <c r="Y1333" i="3"/>
  <c r="Y1384" i="3"/>
  <c r="Y1427" i="3"/>
  <c r="Y359" i="3"/>
  <c r="Y1422" i="3"/>
  <c r="Y1435" i="3"/>
  <c r="Y1448" i="3"/>
  <c r="Y1444" i="3"/>
  <c r="Y599" i="3"/>
  <c r="Y1463" i="3"/>
  <c r="BH732" i="1" s="1"/>
  <c r="Y1541" i="3"/>
  <c r="Y1472" i="3"/>
  <c r="Y141" i="3"/>
  <c r="Y124" i="3"/>
  <c r="Y90" i="3"/>
  <c r="Y17" i="3"/>
  <c r="Y30" i="3"/>
  <c r="Y260" i="3"/>
  <c r="Y402" i="3"/>
  <c r="Y372" i="3"/>
  <c r="Y132" i="3"/>
  <c r="Y303" i="3"/>
  <c r="Y634" i="3"/>
  <c r="Y205" i="3"/>
  <c r="Y363" i="3"/>
  <c r="Y39" i="3"/>
  <c r="Y446" i="3"/>
  <c r="Y403" i="3"/>
  <c r="Y525" i="3"/>
  <c r="BH434" i="1" s="1"/>
  <c r="Y419" i="3"/>
  <c r="Y105" i="3"/>
  <c r="Y238" i="3"/>
  <c r="Y488" i="3"/>
  <c r="Y220" i="3"/>
  <c r="Y464" i="3"/>
  <c r="Y689" i="3"/>
  <c r="BH714" i="1" s="1"/>
  <c r="Y54" i="3"/>
  <c r="Y385" i="3"/>
  <c r="Y923" i="3"/>
  <c r="Y524" i="3"/>
  <c r="Y107" i="3"/>
  <c r="AY577" i="2" s="1"/>
  <c r="Y522" i="3"/>
  <c r="Y961" i="3"/>
  <c r="Y217" i="3"/>
  <c r="Y1110" i="3"/>
  <c r="Y1347" i="3"/>
  <c r="Y569" i="3"/>
  <c r="Y1438" i="3"/>
  <c r="Y1171" i="3"/>
  <c r="BH768" i="1" s="1"/>
  <c r="Y383" i="3"/>
  <c r="Y1169" i="3"/>
  <c r="Y1273" i="3"/>
  <c r="Y1203" i="3"/>
  <c r="AY411" i="2" s="1"/>
  <c r="Y479" i="3"/>
  <c r="Y1288" i="3"/>
  <c r="Y47" i="3"/>
  <c r="Y1350" i="3"/>
  <c r="Y1313" i="3"/>
  <c r="AY535" i="2" s="1"/>
  <c r="Y1400" i="3"/>
  <c r="Y1332" i="3"/>
  <c r="Y1405" i="3"/>
  <c r="Y1415" i="3"/>
  <c r="Y1429" i="3"/>
  <c r="Y1480" i="3"/>
  <c r="Y1407" i="3"/>
  <c r="Y193" i="3"/>
  <c r="Y1492" i="3"/>
  <c r="Y165" i="3"/>
  <c r="BH489" i="1" s="1"/>
  <c r="Y84" i="3"/>
  <c r="Y31" i="3"/>
  <c r="Y5" i="3"/>
  <c r="Y16" i="3"/>
  <c r="Y29" i="3"/>
  <c r="Y110" i="3"/>
  <c r="Y71" i="3"/>
  <c r="Y24" i="3"/>
  <c r="Y243" i="3"/>
  <c r="BH745" i="1" s="1"/>
  <c r="Y63" i="3"/>
  <c r="BH724" i="1" s="1"/>
  <c r="Y58" i="3"/>
  <c r="Y38" i="3"/>
  <c r="AY651" i="2" s="1"/>
  <c r="Y80" i="3"/>
  <c r="Y37" i="3"/>
  <c r="Y211" i="3"/>
  <c r="Y223" i="3"/>
  <c r="Y578" i="3"/>
  <c r="Y70" i="3"/>
  <c r="Y43" i="3"/>
  <c r="Y44" i="3"/>
  <c r="Y361" i="3"/>
  <c r="Y250" i="3"/>
  <c r="Y82" i="3"/>
  <c r="AY640" i="2" s="1"/>
  <c r="Y77" i="3"/>
  <c r="Y153" i="3"/>
  <c r="AY400" i="2" s="1"/>
  <c r="Y159" i="3"/>
  <c r="Y195" i="3"/>
  <c r="Y256" i="3"/>
  <c r="BH650" i="1" s="1"/>
  <c r="Y400" i="3"/>
  <c r="Y264" i="3"/>
  <c r="Y206" i="3"/>
  <c r="Y307" i="3"/>
  <c r="Y425" i="3"/>
  <c r="BH720" i="1" s="1"/>
  <c r="Y496" i="3"/>
  <c r="Y413" i="3"/>
  <c r="BH455" i="1" s="1"/>
  <c r="Y14" i="3"/>
  <c r="Y626" i="3"/>
  <c r="AY93" i="2" s="1"/>
  <c r="Y630" i="3"/>
  <c r="BH45" i="1" s="1"/>
  <c r="Y653" i="3"/>
  <c r="Y693" i="3"/>
  <c r="Y706" i="3"/>
  <c r="Y429" i="3"/>
  <c r="Y353" i="3"/>
  <c r="Y764" i="3"/>
  <c r="Y768" i="3"/>
  <c r="Y314" i="3"/>
  <c r="BH669" i="1" s="1"/>
  <c r="Y795" i="3"/>
  <c r="Y819" i="3"/>
  <c r="BH692" i="1" s="1"/>
  <c r="Y1106" i="3"/>
  <c r="Y777" i="3"/>
  <c r="Y388" i="3"/>
  <c r="Y152" i="3"/>
  <c r="Y1001" i="3"/>
  <c r="Y1013" i="3"/>
  <c r="Y213" i="3"/>
  <c r="BH670" i="1" s="1"/>
  <c r="Y49" i="3"/>
  <c r="Y66" i="3"/>
  <c r="Y182" i="3"/>
  <c r="Y139" i="3"/>
  <c r="BH686" i="1" s="1"/>
  <c r="Y218" i="3"/>
  <c r="Y247" i="3"/>
  <c r="Y129" i="3"/>
  <c r="Y619" i="3"/>
  <c r="Y135" i="3"/>
  <c r="Y487" i="3"/>
  <c r="Y430" i="3"/>
  <c r="BH494" i="1" s="1"/>
  <c r="Y405" i="3"/>
  <c r="Y296" i="3"/>
  <c r="Y354" i="3"/>
  <c r="AY257" i="2" s="1"/>
  <c r="Y613" i="3"/>
  <c r="Y407" i="3"/>
  <c r="Y215" i="3"/>
  <c r="Y637" i="3"/>
  <c r="BH740" i="1" s="1"/>
  <c r="Y474" i="3"/>
  <c r="BH701" i="1" s="1"/>
  <c r="Y509" i="3"/>
  <c r="BH655" i="1" s="1"/>
  <c r="Y614" i="3"/>
  <c r="Y210" i="3"/>
  <c r="Y261" i="3"/>
  <c r="Y490" i="3"/>
  <c r="Y472" i="3"/>
  <c r="Y342" i="3"/>
  <c r="Y233" i="3"/>
  <c r="Y601" i="3"/>
  <c r="BH753" i="1" s="1"/>
  <c r="Y547" i="3"/>
  <c r="Y623" i="3"/>
  <c r="Y618" i="3"/>
  <c r="Y625" i="3"/>
  <c r="Y627" i="3"/>
  <c r="Y611" i="3"/>
  <c r="BH480" i="1" s="1"/>
  <c r="Y533" i="3"/>
  <c r="Y376" i="3"/>
  <c r="Y480" i="3"/>
  <c r="Y631" i="3"/>
  <c r="Y635" i="3"/>
  <c r="Y632" i="3"/>
  <c r="Y145" i="3"/>
  <c r="AY574" i="2" s="1"/>
  <c r="Y519" i="3"/>
  <c r="Y236" i="3"/>
  <c r="BH654" i="1" s="1"/>
  <c r="Y650" i="3"/>
  <c r="Y645" i="3"/>
  <c r="AY140" i="2" s="1"/>
  <c r="Y646" i="3"/>
  <c r="Y647" i="3"/>
  <c r="Y651" i="3"/>
  <c r="BH758" i="1" s="1"/>
  <c r="Y654" i="3"/>
  <c r="Y670" i="3"/>
  <c r="Y410" i="3"/>
  <c r="Y673" i="3"/>
  <c r="BH769" i="1" s="1"/>
  <c r="Y565" i="3"/>
  <c r="Y1248" i="3"/>
  <c r="Y659" i="3"/>
  <c r="Y660" i="3"/>
  <c r="Y676" i="3"/>
  <c r="Y658" i="3"/>
  <c r="Y662" i="3"/>
  <c r="BH122" i="1" s="1"/>
  <c r="Y681" i="3"/>
  <c r="Y667" i="3"/>
  <c r="BH657" i="1" s="1"/>
  <c r="Y665" i="3"/>
  <c r="Y668" i="3"/>
  <c r="BH750" i="1" s="1"/>
  <c r="Y669" i="3"/>
  <c r="Y671" i="3"/>
  <c r="Y695" i="3"/>
  <c r="BH690" i="1" s="1"/>
  <c r="Y672" i="3"/>
  <c r="Y705" i="3"/>
  <c r="Y678" i="3"/>
  <c r="Y675" i="3"/>
  <c r="Y680" i="3"/>
  <c r="Y721" i="3"/>
  <c r="Y682" i="3"/>
  <c r="Y548" i="3"/>
  <c r="Y552" i="3"/>
  <c r="Y691" i="3"/>
  <c r="Y692" i="3"/>
  <c r="Y694" i="3"/>
  <c r="BH770" i="1" s="1"/>
  <c r="Y742" i="3"/>
  <c r="BH634" i="1" s="1"/>
  <c r="Y702" i="3"/>
  <c r="BH711" i="1" s="1"/>
  <c r="Y698" i="3"/>
  <c r="Y710" i="3"/>
  <c r="Y713" i="3"/>
  <c r="Y714" i="3"/>
  <c r="Y703" i="3"/>
  <c r="Y704" i="3"/>
  <c r="AY515" i="2" s="1"/>
  <c r="Y708" i="3"/>
  <c r="Y723" i="3"/>
  <c r="BH756" i="1" s="1"/>
  <c r="Y725" i="3"/>
  <c r="Y483" i="3"/>
  <c r="Y732" i="3"/>
  <c r="Y736" i="3"/>
  <c r="Y718" i="3"/>
  <c r="Y726" i="3"/>
  <c r="Y731" i="3"/>
  <c r="Y737" i="3"/>
  <c r="Y754" i="3"/>
  <c r="Y738" i="3"/>
  <c r="Y739" i="3"/>
  <c r="Y744" i="3"/>
  <c r="Y756" i="3"/>
  <c r="Y745" i="3"/>
  <c r="BH781" i="1" s="1"/>
  <c r="Y740" i="3"/>
  <c r="Y743" i="3"/>
  <c r="AY215" i="2" s="1"/>
  <c r="Y544" i="3"/>
  <c r="Y504" i="3"/>
  <c r="Y747" i="3"/>
  <c r="BH171" i="1" s="1"/>
  <c r="Y773" i="3"/>
  <c r="Y748" i="3"/>
  <c r="Y749" i="3"/>
  <c r="Y750" i="3"/>
  <c r="Y752" i="3"/>
  <c r="Y755" i="3"/>
  <c r="Y784" i="3"/>
  <c r="BH780" i="1" s="1"/>
  <c r="Y781" i="3"/>
  <c r="Y759" i="3"/>
  <c r="Y762" i="3"/>
  <c r="Y767" i="3"/>
  <c r="Y757" i="3"/>
  <c r="Y770" i="3"/>
  <c r="Y774" i="3"/>
  <c r="Y785" i="3"/>
  <c r="Y772" i="3"/>
  <c r="Y775" i="3"/>
  <c r="Y604" i="3"/>
  <c r="Y780" i="3"/>
  <c r="Y800" i="3"/>
  <c r="BH206" i="1" s="1"/>
  <c r="Y801" i="3"/>
  <c r="Y776" i="3"/>
  <c r="Y782" i="3"/>
  <c r="Y812" i="3"/>
  <c r="Y779" i="3"/>
  <c r="AY168" i="2" s="1"/>
  <c r="Y814" i="3"/>
  <c r="Y783" i="3"/>
  <c r="BH661" i="1" s="1"/>
  <c r="Y787" i="3"/>
  <c r="Y794" i="3"/>
  <c r="Y789" i="3"/>
  <c r="Y788" i="3"/>
  <c r="Y798" i="3"/>
  <c r="Y830" i="3"/>
  <c r="Y806" i="3"/>
  <c r="Y833" i="3"/>
  <c r="BH658" i="1" s="1"/>
  <c r="Y807" i="3"/>
  <c r="Y796" i="3"/>
  <c r="Y813" i="3"/>
  <c r="Y797" i="3"/>
  <c r="Y803" i="3"/>
  <c r="Y540" i="3"/>
  <c r="Y816" i="3"/>
  <c r="Y818" i="3"/>
  <c r="BH760" i="1" s="1"/>
  <c r="Y842" i="3"/>
  <c r="Y822" i="3"/>
  <c r="Y826" i="3"/>
  <c r="Y821" i="3"/>
  <c r="AY358" i="2" s="1"/>
  <c r="Y560" i="3"/>
  <c r="BH652" i="1" s="1"/>
  <c r="Y828" i="3"/>
  <c r="Y827" i="3"/>
  <c r="AY260" i="2" s="1"/>
  <c r="Y834" i="3"/>
  <c r="Y835" i="3"/>
  <c r="Y838" i="3"/>
  <c r="Y853" i="3"/>
  <c r="Y495" i="3"/>
  <c r="Y860" i="3"/>
  <c r="BH493" i="1" s="1"/>
  <c r="Y846" i="3"/>
  <c r="Y843" i="3"/>
  <c r="BH230" i="1" s="1"/>
  <c r="Y847" i="3"/>
  <c r="Y849" i="3"/>
  <c r="BH481" i="1" s="1"/>
  <c r="Y852" i="3"/>
  <c r="Y848" i="3"/>
  <c r="AY295" i="2" s="1"/>
  <c r="Y871" i="3"/>
  <c r="Y850" i="3"/>
  <c r="Y851" i="3"/>
  <c r="Y857" i="3"/>
  <c r="BH440" i="1" s="1"/>
  <c r="Y859" i="3"/>
  <c r="Y862" i="3"/>
  <c r="BH242" i="1" s="1"/>
  <c r="Y863" i="3"/>
  <c r="Y866" i="3"/>
  <c r="BH688" i="1" s="1"/>
  <c r="Y869" i="3"/>
  <c r="Y872" i="3"/>
  <c r="Y874" i="3"/>
  <c r="Y873" i="3"/>
  <c r="Y899" i="3"/>
  <c r="Y875" i="3"/>
  <c r="Y877" i="3"/>
  <c r="Y878" i="3"/>
  <c r="Y879" i="3"/>
  <c r="Y881" i="3"/>
  <c r="Y884" i="3"/>
  <c r="Y885" i="3"/>
  <c r="Y886" i="3"/>
  <c r="Y887" i="3"/>
  <c r="Y880" i="3"/>
  <c r="BH254" i="1" s="1"/>
  <c r="Y891" i="3"/>
  <c r="BH439" i="1" s="1"/>
  <c r="Y892" i="3"/>
  <c r="Y895" i="3"/>
  <c r="Y902" i="3"/>
  <c r="Y904" i="3"/>
  <c r="Y898" i="3"/>
  <c r="Y901" i="3"/>
  <c r="BH762" i="1" s="1"/>
  <c r="Y894" i="3"/>
  <c r="AY403" i="2" s="1"/>
  <c r="Y903" i="3"/>
  <c r="Y1249" i="3"/>
  <c r="Y905" i="3"/>
  <c r="Y906" i="3"/>
  <c r="AY414" i="2" s="1"/>
  <c r="Y909" i="3"/>
  <c r="BH476" i="1" s="1"/>
  <c r="Y910" i="3"/>
  <c r="BH232" i="1" s="1"/>
  <c r="Y911" i="3"/>
  <c r="BH719" i="1" s="1"/>
  <c r="Y912" i="3"/>
  <c r="Y917" i="3"/>
  <c r="Y914" i="3"/>
  <c r="Y931" i="3"/>
  <c r="Y919" i="3"/>
  <c r="Y924" i="3"/>
  <c r="Y925" i="3"/>
  <c r="BH258" i="1" s="1"/>
  <c r="Y921" i="3"/>
  <c r="Y936" i="3"/>
  <c r="BH778" i="1" s="1"/>
  <c r="Y920" i="3"/>
  <c r="Y934" i="3"/>
  <c r="Y926" i="3"/>
  <c r="Y929" i="3"/>
  <c r="Y939" i="3"/>
  <c r="Y930" i="3"/>
  <c r="Y943" i="3"/>
  <c r="Y932" i="3"/>
  <c r="Y935" i="3"/>
  <c r="Y965" i="3"/>
  <c r="Y944" i="3"/>
  <c r="Y968" i="3"/>
  <c r="Y941" i="3"/>
  <c r="Y948" i="3"/>
  <c r="Y981" i="3"/>
  <c r="BH773" i="1" s="1"/>
  <c r="Y955" i="3"/>
  <c r="Y953" i="3"/>
  <c r="Y954" i="3"/>
  <c r="BH751" i="1" s="1"/>
  <c r="Y956" i="3"/>
  <c r="Y957" i="3"/>
  <c r="Y951" i="3"/>
  <c r="AY485" i="2" s="1"/>
  <c r="Y959" i="3"/>
  <c r="Y966" i="3"/>
  <c r="BH630" i="1" s="1"/>
  <c r="Y971" i="3"/>
  <c r="Y962" i="3"/>
  <c r="AY244" i="2" s="1"/>
  <c r="Y974" i="3"/>
  <c r="BH483" i="1" s="1"/>
  <c r="Y978" i="3"/>
  <c r="Y982" i="3"/>
  <c r="BH172" i="1" s="1"/>
  <c r="Y984" i="3"/>
  <c r="Y985" i="3"/>
  <c r="Y987" i="3"/>
  <c r="Y988" i="3"/>
  <c r="Y990" i="3"/>
  <c r="BH602" i="1" s="1"/>
  <c r="Y1005" i="3"/>
  <c r="BH730" i="1" s="1"/>
  <c r="Y996" i="3"/>
  <c r="Y998" i="3"/>
  <c r="BH777" i="1" s="1"/>
  <c r="Y999" i="3"/>
  <c r="Y997" i="3"/>
  <c r="Y1007" i="3"/>
  <c r="BH775" i="1" s="1"/>
  <c r="Y1002" i="3"/>
  <c r="Y1006" i="3"/>
  <c r="BH680" i="1" s="1"/>
  <c r="Y1004" i="3"/>
  <c r="AY177" i="2" s="1"/>
  <c r="Y1033" i="3"/>
  <c r="Y1008" i="3"/>
  <c r="Y1011" i="3"/>
  <c r="Y1012" i="3"/>
  <c r="Y1015" i="3"/>
  <c r="BH473" i="1" s="1"/>
  <c r="Y1009" i="3"/>
  <c r="Y1016" i="3"/>
  <c r="BH641" i="1" s="1"/>
  <c r="Y1035" i="3"/>
  <c r="Y1251" i="3"/>
  <c r="Y1040" i="3"/>
  <c r="Y1014" i="3"/>
  <c r="Y1018" i="3"/>
  <c r="Y1023" i="3"/>
  <c r="Y1024" i="3"/>
  <c r="Y1029" i="3"/>
  <c r="BH115" i="1" s="1"/>
  <c r="Y545" i="3"/>
  <c r="Y1048" i="3"/>
  <c r="BH202" i="1" s="1"/>
  <c r="Y1031" i="3"/>
  <c r="AY590" i="2" s="1"/>
  <c r="Y603" i="3"/>
  <c r="Y1034" i="3"/>
  <c r="Y1047" i="3"/>
  <c r="Y1043" i="3"/>
  <c r="Y1052" i="3"/>
  <c r="Y1045" i="3"/>
  <c r="Y1053" i="3"/>
  <c r="Y1051" i="3"/>
  <c r="Y1060" i="3"/>
  <c r="Y1057" i="3"/>
  <c r="Y1062" i="3"/>
  <c r="Y1058" i="3"/>
  <c r="Y1063" i="3"/>
  <c r="BH357" i="1" s="1"/>
  <c r="Y1061" i="3"/>
  <c r="AY311" i="2" s="1"/>
  <c r="Y1065" i="3"/>
  <c r="Y1070" i="3"/>
  <c r="Y1068" i="3"/>
  <c r="Y1071" i="3"/>
  <c r="Y1072" i="3"/>
  <c r="Y1075" i="3"/>
  <c r="AY443" i="2" s="1"/>
  <c r="Y1078" i="3"/>
  <c r="AY563" i="2" s="1"/>
  <c r="Y1082" i="3"/>
  <c r="Y1087" i="3"/>
  <c r="Y1080" i="3"/>
  <c r="AY266" i="2" s="1"/>
  <c r="Y1083" i="3"/>
  <c r="Y1089" i="3"/>
  <c r="Y1090" i="3"/>
  <c r="AY555" i="2" s="1"/>
  <c r="Y1092" i="3"/>
  <c r="Y1097" i="3"/>
  <c r="BH677" i="1" s="1"/>
  <c r="Y444" i="3"/>
  <c r="AY318" i="2" s="1"/>
  <c r="Y1093" i="3"/>
  <c r="AY113" i="2" s="1"/>
  <c r="Y1094" i="3"/>
  <c r="Y1095" i="3"/>
  <c r="Y1096" i="3"/>
  <c r="Y1101" i="3"/>
  <c r="Y1098" i="3"/>
  <c r="Y1100" i="3"/>
  <c r="AY402" i="2" s="1"/>
  <c r="Y1103" i="3"/>
  <c r="Y1102" i="3"/>
  <c r="Y1104" i="3"/>
  <c r="Y1109" i="3"/>
  <c r="Y1107" i="3"/>
  <c r="Y1108" i="3"/>
  <c r="Y1118" i="3"/>
  <c r="AY131" i="2" s="1"/>
  <c r="Y1123" i="3"/>
  <c r="AY344" i="2" s="1"/>
  <c r="Y1124" i="3"/>
  <c r="Y1122" i="3"/>
  <c r="Y1130" i="3"/>
  <c r="Y1127" i="3"/>
  <c r="Y1129" i="3"/>
  <c r="Y1131" i="3"/>
  <c r="Y1137" i="3"/>
  <c r="Y1139" i="3"/>
  <c r="Y1134" i="3"/>
  <c r="AY294" i="2" s="1"/>
  <c r="Y1132" i="3"/>
  <c r="Y1135" i="3"/>
  <c r="Y1140" i="3"/>
  <c r="Y1136" i="3"/>
  <c r="Y1133" i="3"/>
  <c r="Y1146" i="3"/>
  <c r="Y1145" i="3"/>
  <c r="Y1138" i="3"/>
  <c r="AY308" i="2" s="1"/>
  <c r="Y1143" i="3"/>
  <c r="Y1148" i="3"/>
  <c r="Y1150" i="3"/>
  <c r="Y1147" i="3"/>
  <c r="Y1152" i="3"/>
  <c r="Y1151" i="3"/>
  <c r="Y1155" i="3"/>
  <c r="BH413" i="1" s="1"/>
  <c r="Y1157" i="3"/>
  <c r="AY586" i="2" s="1"/>
  <c r="Y1158" i="3"/>
  <c r="Y1160" i="3"/>
  <c r="AY289" i="2" s="1"/>
  <c r="Y1161" i="3"/>
  <c r="Y1165" i="3"/>
  <c r="AY601" i="2" s="1"/>
  <c r="Y1166" i="3"/>
  <c r="Y1170" i="3"/>
  <c r="AY638" i="2" s="1"/>
  <c r="Y1173" i="3"/>
  <c r="Y1175" i="3"/>
  <c r="Y1178" i="3"/>
  <c r="Y1176" i="3"/>
  <c r="Y1182" i="3"/>
  <c r="Y1183" i="3"/>
  <c r="Z41" i="3"/>
  <c r="Z1185" i="3"/>
  <c r="BI501" i="1" s="1"/>
  <c r="Z1184" i="3"/>
  <c r="BI500" i="1" s="1"/>
  <c r="Z1186" i="3"/>
  <c r="BI430" i="1" s="1"/>
  <c r="Z32" i="3"/>
  <c r="Z1188" i="3"/>
  <c r="Z122" i="3"/>
  <c r="Z149" i="3"/>
  <c r="Z1187" i="3"/>
  <c r="Z35" i="3"/>
  <c r="Z13" i="3"/>
  <c r="Z1189" i="3"/>
  <c r="Z34" i="3"/>
  <c r="BI504" i="1" s="1"/>
  <c r="Z225" i="3"/>
  <c r="Z166" i="3"/>
  <c r="Z184" i="3"/>
  <c r="Z1193" i="3"/>
  <c r="Z242" i="3"/>
  <c r="BI506" i="1" s="1"/>
  <c r="Z333" i="3"/>
  <c r="Z316" i="3"/>
  <c r="Z1194" i="3"/>
  <c r="Z394" i="3"/>
  <c r="BI507" i="1" s="1"/>
  <c r="Z1195" i="3"/>
  <c r="Z237" i="3"/>
  <c r="Z1198" i="3"/>
  <c r="Z1196" i="3"/>
  <c r="Z1199" i="3"/>
  <c r="Z1200" i="3"/>
  <c r="Z1202" i="3"/>
  <c r="Z1201" i="3"/>
  <c r="Z116" i="3"/>
  <c r="Z208" i="3"/>
  <c r="BI533" i="1" s="1"/>
  <c r="Z313" i="3"/>
  <c r="Z1204" i="3"/>
  <c r="Z1208" i="3"/>
  <c r="Z262" i="3"/>
  <c r="Z147" i="3"/>
  <c r="Z180" i="3"/>
  <c r="BI513" i="1" s="1"/>
  <c r="Z133" i="3"/>
  <c r="Z294" i="3"/>
  <c r="Z538" i="3"/>
  <c r="Z1211" i="3"/>
  <c r="Z219" i="3"/>
  <c r="Z87" i="3"/>
  <c r="BI508" i="1" s="1"/>
  <c r="Z399" i="3"/>
  <c r="BI509" i="1" s="1"/>
  <c r="Z279" i="3"/>
  <c r="BI515" i="1" s="1"/>
  <c r="Z364" i="3"/>
  <c r="BI520" i="1" s="1"/>
  <c r="Z1209" i="3"/>
  <c r="BI447" i="1" s="1"/>
  <c r="Z1212" i="3"/>
  <c r="Z620" i="3"/>
  <c r="Z411" i="3"/>
  <c r="Z622" i="3"/>
  <c r="Z628" i="3"/>
  <c r="Z257" i="3"/>
  <c r="Z1210" i="3"/>
  <c r="BI448" i="1" s="1"/>
  <c r="Z198" i="3"/>
  <c r="Z571" i="3"/>
  <c r="Z643" i="3"/>
  <c r="Z1214" i="3"/>
  <c r="Z555" i="3"/>
  <c r="Z679" i="3"/>
  <c r="Z397" i="3"/>
  <c r="Z270" i="3"/>
  <c r="Z249" i="3"/>
  <c r="Z733" i="3"/>
  <c r="Z741" i="3"/>
  <c r="Z416" i="3"/>
  <c r="BI531" i="1" s="1"/>
  <c r="Z765" i="3"/>
  <c r="Z802" i="3"/>
  <c r="Z793" i="3"/>
  <c r="Z823" i="3"/>
  <c r="Z829" i="3"/>
  <c r="Z854" i="3"/>
  <c r="BI553" i="1" s="1"/>
  <c r="Z858" i="3"/>
  <c r="Z907" i="3"/>
  <c r="Z915" i="3"/>
  <c r="Z527" i="3"/>
  <c r="Z964" i="3"/>
  <c r="Z967" i="3"/>
  <c r="Z976" i="3"/>
  <c r="Z1039" i="3"/>
  <c r="Z515" i="3"/>
  <c r="Z1059" i="3"/>
  <c r="Z1064" i="3"/>
  <c r="Z417" i="3"/>
  <c r="AZ58" i="2" s="1"/>
  <c r="Z1111" i="3"/>
  <c r="Z1113" i="3"/>
  <c r="Z1115" i="3"/>
  <c r="Z1121" i="3"/>
  <c r="Z1141" i="3"/>
  <c r="Z227" i="3"/>
  <c r="Z1167" i="3"/>
  <c r="Z1191" i="3"/>
  <c r="Z1192" i="3"/>
  <c r="Z1215" i="3"/>
  <c r="Z1149" i="3"/>
  <c r="Z1217" i="3"/>
  <c r="Z577" i="3"/>
  <c r="Z1222" i="3"/>
  <c r="Z1243" i="3"/>
  <c r="Z1218" i="3"/>
  <c r="Z369" i="3"/>
  <c r="Z1255" i="3"/>
  <c r="Z1271" i="3"/>
  <c r="Z1274" i="3"/>
  <c r="Z1277" i="3"/>
  <c r="Z1292" i="3"/>
  <c r="Z1297" i="3"/>
  <c r="Z438" i="3"/>
  <c r="Z1303" i="3"/>
  <c r="Z1307" i="3"/>
  <c r="Z1308" i="3"/>
  <c r="Z1312" i="3"/>
  <c r="Z1323" i="3"/>
  <c r="Z1321" i="3"/>
  <c r="Z1326" i="3"/>
  <c r="BI512" i="1" s="1"/>
  <c r="Z1330" i="3"/>
  <c r="BI569" i="1" s="1"/>
  <c r="Z1335" i="3"/>
  <c r="Z1331" i="3"/>
  <c r="BI505" i="1" s="1"/>
  <c r="Z1354" i="3"/>
  <c r="BI524" i="1" s="1"/>
  <c r="Z1355" i="3"/>
  <c r="Z1358" i="3"/>
  <c r="BI552" i="1" s="1"/>
  <c r="Z1373" i="3"/>
  <c r="Z1374" i="3"/>
  <c r="Z1376" i="3"/>
  <c r="Z1379" i="3"/>
  <c r="Z1381" i="3"/>
  <c r="Z1385" i="3"/>
  <c r="Z1221" i="3"/>
  <c r="Z1392" i="3"/>
  <c r="Z1396" i="3"/>
  <c r="Z1225" i="3"/>
  <c r="Z1390" i="3"/>
  <c r="Z1223" i="3"/>
  <c r="Z1406" i="3"/>
  <c r="Z1410" i="3"/>
  <c r="Z1409" i="3"/>
  <c r="BI535" i="1" s="1"/>
  <c r="Z1414" i="3"/>
  <c r="AZ632" i="2" s="1"/>
  <c r="Z1224" i="3"/>
  <c r="Z1417" i="3"/>
  <c r="Z1425" i="3"/>
  <c r="Z1426" i="3"/>
  <c r="Z1228" i="3"/>
  <c r="Z1433" i="3"/>
  <c r="BI568" i="1" s="1"/>
  <c r="Z1436" i="3"/>
  <c r="Z1439" i="3"/>
  <c r="BI556" i="1" s="1"/>
  <c r="Z1440" i="3"/>
  <c r="Z1446" i="3"/>
  <c r="Z1450" i="3"/>
  <c r="Z1452" i="3"/>
  <c r="Z1453" i="3"/>
  <c r="Z1456" i="3"/>
  <c r="Z1459" i="3"/>
  <c r="AZ678" i="2" s="1"/>
  <c r="Z1469" i="3"/>
  <c r="Z1471" i="3"/>
  <c r="Z1473" i="3"/>
  <c r="Z1474" i="3"/>
  <c r="Z1478" i="3"/>
  <c r="Z1487" i="3"/>
  <c r="Z1490" i="3"/>
  <c r="Z1485" i="3"/>
  <c r="Z1491" i="3"/>
  <c r="Z1226" i="3"/>
  <c r="Z1493" i="3"/>
  <c r="AZ713" i="2" s="1"/>
  <c r="Z1501" i="3"/>
  <c r="Z1506" i="3"/>
  <c r="Z1502" i="3"/>
  <c r="Z1507" i="3"/>
  <c r="Z1509" i="3"/>
  <c r="AZ729" i="2" s="1"/>
  <c r="Z1511" i="3"/>
  <c r="AZ731" i="2" s="1"/>
  <c r="Z1516" i="3"/>
  <c r="Z1521" i="3"/>
  <c r="AZ741" i="2" s="1"/>
  <c r="Z1522" i="3"/>
  <c r="Z1524" i="3"/>
  <c r="Z1525" i="3"/>
  <c r="Z942" i="3"/>
  <c r="Z1533" i="3"/>
  <c r="Z1529" i="3"/>
  <c r="Z1530" i="3"/>
  <c r="Z1535" i="3"/>
  <c r="Z1536" i="3"/>
  <c r="Z1537" i="3"/>
  <c r="Z1538" i="3"/>
  <c r="Z1539" i="3"/>
  <c r="Z19" i="3"/>
  <c r="Z119" i="3"/>
  <c r="Z93" i="3"/>
  <c r="BI554" i="1" s="1"/>
  <c r="Z1227" i="3"/>
  <c r="Z362" i="3"/>
  <c r="BI527" i="1" s="1"/>
  <c r="Z18" i="3"/>
  <c r="Z183" i="3"/>
  <c r="Z423" i="3"/>
  <c r="Z209" i="3"/>
  <c r="Z231" i="3"/>
  <c r="Z163" i="3"/>
  <c r="Z336" i="3"/>
  <c r="Z92" i="3"/>
  <c r="BI544" i="1" s="1"/>
  <c r="Z600" i="3"/>
  <c r="Z433" i="3"/>
  <c r="BI547" i="1" s="1"/>
  <c r="Z624" i="3"/>
  <c r="Z1230" i="3"/>
  <c r="Z391" i="3"/>
  <c r="Z573" i="3"/>
  <c r="Z1233" i="3"/>
  <c r="BI460" i="1" s="1"/>
  <c r="Z214" i="3"/>
  <c r="BI625" i="1" s="1"/>
  <c r="Z475" i="3"/>
  <c r="BI517" i="1" s="1"/>
  <c r="Z642" i="3"/>
  <c r="BI551" i="1" s="1"/>
  <c r="Z389" i="3"/>
  <c r="Z583" i="3"/>
  <c r="Z711" i="3"/>
  <c r="Z597" i="3"/>
  <c r="Z766" i="3"/>
  <c r="Z837" i="3"/>
  <c r="Z841" i="3"/>
  <c r="Z393" i="3"/>
  <c r="Z870" i="3"/>
  <c r="AZ45" i="2" s="1"/>
  <c r="Z435" i="3"/>
  <c r="Z505" i="3"/>
  <c r="Z972" i="3"/>
  <c r="Z398" i="3"/>
  <c r="BI514" i="1" s="1"/>
  <c r="Z973" i="3"/>
  <c r="Z975" i="3"/>
  <c r="Z993" i="3"/>
  <c r="BI575" i="1" s="1"/>
  <c r="Z373" i="3"/>
  <c r="BI600" i="1" s="1"/>
  <c r="Z1025" i="3"/>
  <c r="Z458" i="3"/>
  <c r="Z584" i="3"/>
  <c r="AZ386" i="2" s="1"/>
  <c r="Z1142" i="3"/>
  <c r="Z1162" i="3"/>
  <c r="Z1163" i="3"/>
  <c r="Z1172" i="3"/>
  <c r="Z1205" i="3"/>
  <c r="Z1244" i="3"/>
  <c r="Z608" i="3"/>
  <c r="Z1265" i="3"/>
  <c r="Z553" i="3"/>
  <c r="Z1289" i="3"/>
  <c r="Z1280" i="3"/>
  <c r="BI609" i="1" s="1"/>
  <c r="Z1290" i="3"/>
  <c r="Z1334" i="3"/>
  <c r="AZ253" i="2" s="1"/>
  <c r="Z1337" i="3"/>
  <c r="Z1348" i="3"/>
  <c r="Z1231" i="3"/>
  <c r="Z1349" i="3"/>
  <c r="Z1366" i="3"/>
  <c r="Z1370" i="3"/>
  <c r="BI640" i="1" s="1"/>
  <c r="Z1391" i="3"/>
  <c r="Z535" i="3"/>
  <c r="Z1393" i="3"/>
  <c r="Z1394" i="3"/>
  <c r="Z1397" i="3"/>
  <c r="Z1402" i="3"/>
  <c r="Z1412" i="3"/>
  <c r="Z1419" i="3"/>
  <c r="Z1430" i="3"/>
  <c r="Z1431" i="3"/>
  <c r="Z1437" i="3"/>
  <c r="Z1449" i="3"/>
  <c r="Z1462" i="3"/>
  <c r="Z1464" i="3"/>
  <c r="Z1467" i="3"/>
  <c r="Z1488" i="3"/>
  <c r="Z1498" i="3"/>
  <c r="Z1479" i="3"/>
  <c r="Z1505" i="3"/>
  <c r="Z1523" i="3"/>
  <c r="Z23" i="3"/>
  <c r="Z246" i="3"/>
  <c r="Z255" i="3"/>
  <c r="Z230" i="3"/>
  <c r="Z1235" i="3"/>
  <c r="BI462" i="1" s="1"/>
  <c r="Z311" i="3"/>
  <c r="BI636" i="1" s="1"/>
  <c r="Z69" i="3"/>
  <c r="Z459" i="3"/>
  <c r="Z328" i="3"/>
  <c r="BI603" i="1" s="1"/>
  <c r="Z83" i="3"/>
  <c r="Z468" i="3"/>
  <c r="Z467" i="3"/>
  <c r="Z348" i="3"/>
  <c r="Z462" i="3"/>
  <c r="Z64" i="3"/>
  <c r="Z501" i="3"/>
  <c r="Z406" i="3"/>
  <c r="Z289" i="3"/>
  <c r="Z324" i="3"/>
  <c r="BI616" i="1" s="1"/>
  <c r="Z358" i="3"/>
  <c r="BI597" i="1" s="1"/>
  <c r="Z271" i="3"/>
  <c r="BI594" i="1" s="1"/>
  <c r="Z531" i="3"/>
  <c r="Z341" i="3"/>
  <c r="BI591" i="1" s="1"/>
  <c r="Z414" i="3"/>
  <c r="Z471" i="3"/>
  <c r="Z554" i="3"/>
  <c r="Z686" i="3"/>
  <c r="Z346" i="3"/>
  <c r="BI577" i="1" s="1"/>
  <c r="Z701" i="3"/>
  <c r="Z612" i="3"/>
  <c r="Z717" i="3"/>
  <c r="Z724" i="3"/>
  <c r="Z507" i="3"/>
  <c r="Z528" i="3"/>
  <c r="BI662" i="1" s="1"/>
  <c r="Z811" i="3"/>
  <c r="Z428" i="3"/>
  <c r="Z815" i="3"/>
  <c r="BI530" i="1" s="1"/>
  <c r="Z889" i="3"/>
  <c r="Z890" i="3"/>
  <c r="Z946" i="3"/>
  <c r="Z491" i="3"/>
  <c r="Z983" i="3"/>
  <c r="Z989" i="3"/>
  <c r="Z395" i="3"/>
  <c r="Z290" i="3"/>
  <c r="Z1026" i="3"/>
  <c r="Z1084" i="3"/>
  <c r="Z1112" i="3"/>
  <c r="Z1119" i="3"/>
  <c r="Z1126" i="3"/>
  <c r="BI539" i="1" s="1"/>
  <c r="Z1154" i="3"/>
  <c r="Z1159" i="3"/>
  <c r="Z1177" i="3"/>
  <c r="BI584" i="1" s="1"/>
  <c r="Z1219" i="3"/>
  <c r="Z1220" i="3"/>
  <c r="Z1207" i="3"/>
  <c r="Z1240" i="3"/>
  <c r="Z477" i="3"/>
  <c r="AZ254" i="2" s="1"/>
  <c r="Z606" i="3"/>
  <c r="AZ134" i="2" s="1"/>
  <c r="Z1262" i="3"/>
  <c r="BI559" i="1" s="1"/>
  <c r="Z1266" i="3"/>
  <c r="Z1287" i="3"/>
  <c r="Z537" i="3"/>
  <c r="BI613" i="1" s="1"/>
  <c r="Z1236" i="3"/>
  <c r="Z1360" i="3"/>
  <c r="Z1363" i="3"/>
  <c r="Z593" i="3"/>
  <c r="Z594" i="3"/>
  <c r="Z427" i="3"/>
  <c r="Z1399" i="3"/>
  <c r="Z1403" i="3"/>
  <c r="BI610" i="1" s="1"/>
  <c r="Z1416" i="3"/>
  <c r="Z1443" i="3"/>
  <c r="BI555" i="1" s="1"/>
  <c r="Z1237" i="3"/>
  <c r="Z1451" i="3"/>
  <c r="Z1461" i="3"/>
  <c r="Z1483" i="3"/>
  <c r="Z1532" i="3"/>
  <c r="Z452" i="3"/>
  <c r="BI579" i="1" s="1"/>
  <c r="Z157" i="3"/>
  <c r="Z115" i="3"/>
  <c r="Z291" i="3"/>
  <c r="Z142" i="3"/>
  <c r="Z59" i="3"/>
  <c r="Z379" i="3"/>
  <c r="BI543" i="1" s="1"/>
  <c r="Z73" i="3"/>
  <c r="BI587" i="1" s="1"/>
  <c r="Z278" i="3"/>
  <c r="BI557" i="1" s="1"/>
  <c r="Z56" i="3"/>
  <c r="Z97" i="3"/>
  <c r="Z235" i="3"/>
  <c r="Z113" i="3"/>
  <c r="Z484" i="3"/>
  <c r="Z517" i="3"/>
  <c r="Z343" i="3"/>
  <c r="Z366" i="3"/>
  <c r="Z481" i="3"/>
  <c r="Z666" i="3"/>
  <c r="Z172" i="3"/>
  <c r="Z684" i="3"/>
  <c r="Z424" i="3"/>
  <c r="Z685" i="3"/>
  <c r="Z283" i="3"/>
  <c r="Z523" i="3"/>
  <c r="Z188" i="3"/>
  <c r="BI595" i="1" s="1"/>
  <c r="Z463" i="3"/>
  <c r="BI601" i="1" s="1"/>
  <c r="Z763" i="3"/>
  <c r="Z454" i="3"/>
  <c r="Z432" i="3"/>
  <c r="BI583" i="1" s="1"/>
  <c r="Z791" i="3"/>
  <c r="Z820" i="3"/>
  <c r="Z836" i="3"/>
  <c r="Z839" i="3"/>
  <c r="Z861" i="3"/>
  <c r="Z868" i="3"/>
  <c r="BI626" i="1" s="1"/>
  <c r="Z876" i="3"/>
  <c r="Z381" i="3"/>
  <c r="Z908" i="3"/>
  <c r="Z918" i="3"/>
  <c r="Z928" i="3"/>
  <c r="BI540" i="1" s="1"/>
  <c r="Z947" i="3"/>
  <c r="Z960" i="3"/>
  <c r="Z970" i="3"/>
  <c r="Z253" i="3"/>
  <c r="Z1021" i="3"/>
  <c r="Z595" i="3"/>
  <c r="Z493" i="3"/>
  <c r="Z1032" i="3"/>
  <c r="AZ102" i="2" s="1"/>
  <c r="Z1073" i="3"/>
  <c r="Z1036" i="3"/>
  <c r="Z295" i="3"/>
  <c r="Z1054" i="3"/>
  <c r="Z1066" i="3"/>
  <c r="AZ327" i="2" s="1"/>
  <c r="Z1081" i="3"/>
  <c r="Z1088" i="3"/>
  <c r="Z1091" i="3"/>
  <c r="Z325" i="3"/>
  <c r="Z1117" i="3"/>
  <c r="Z201" i="3"/>
  <c r="Z384" i="3"/>
  <c r="Z449" i="3"/>
  <c r="BI611" i="1" s="1"/>
  <c r="Z1168" i="3"/>
  <c r="Z355" i="3"/>
  <c r="BI627" i="1" s="1"/>
  <c r="Z420" i="3"/>
  <c r="Z1206" i="3"/>
  <c r="BI608" i="1" s="1"/>
  <c r="Z1232" i="3"/>
  <c r="BI624" i="1" s="1"/>
  <c r="Z1238" i="3"/>
  <c r="BI614" i="1" s="1"/>
  <c r="Z1247" i="3"/>
  <c r="BI592" i="1" s="1"/>
  <c r="Z450" i="3"/>
  <c r="AZ290" i="2" s="1"/>
  <c r="Z1252" i="3"/>
  <c r="BI671" i="1" s="1"/>
  <c r="Z1253" i="3"/>
  <c r="Z610" i="3"/>
  <c r="Z1261" i="3"/>
  <c r="Z1294" i="3"/>
  <c r="Z1267" i="3"/>
  <c r="Z1268" i="3"/>
  <c r="Z1278" i="3"/>
  <c r="BI612" i="1" s="1"/>
  <c r="Z1279" i="3"/>
  <c r="Z1282" i="3"/>
  <c r="Z1283" i="3"/>
  <c r="Z1291" i="3"/>
  <c r="Z1300" i="3"/>
  <c r="Z1309" i="3"/>
  <c r="Z1311" i="3"/>
  <c r="BI752" i="1" s="1"/>
  <c r="Z1239" i="3"/>
  <c r="BI660" i="1" s="1"/>
  <c r="Z1316" i="3"/>
  <c r="Z1317" i="3"/>
  <c r="BI581" i="1" s="1"/>
  <c r="Z1318" i="3"/>
  <c r="Z1319" i="3"/>
  <c r="Z1320" i="3"/>
  <c r="Z1322" i="3"/>
  <c r="Z1325" i="3"/>
  <c r="Z1327" i="3"/>
  <c r="AZ332" i="2" s="1"/>
  <c r="Z1336" i="3"/>
  <c r="BI767" i="1" s="1"/>
  <c r="Z1338" i="3"/>
  <c r="Z1339" i="3"/>
  <c r="Z1341" i="3"/>
  <c r="Z1351" i="3"/>
  <c r="Z1353" i="3"/>
  <c r="AZ247" i="2" s="1"/>
  <c r="Z1357" i="3"/>
  <c r="BI615" i="1" s="1"/>
  <c r="Z1364" i="3"/>
  <c r="Z1371" i="3"/>
  <c r="Z1365" i="3"/>
  <c r="Z1367" i="3"/>
  <c r="Z1369" i="3"/>
  <c r="Z1372" i="3"/>
  <c r="Z1378" i="3"/>
  <c r="Z1386" i="3"/>
  <c r="Z1387" i="3"/>
  <c r="Z1388" i="3"/>
  <c r="Z1395" i="3"/>
  <c r="Z431" i="3"/>
  <c r="Z1404" i="3"/>
  <c r="Z1411" i="3"/>
  <c r="Z1413" i="3"/>
  <c r="Z1420" i="3"/>
  <c r="Z1424" i="3"/>
  <c r="Z1432" i="3"/>
  <c r="Z1434" i="3"/>
  <c r="AZ558" i="2" s="1"/>
  <c r="Z1441" i="3"/>
  <c r="Z539" i="3"/>
  <c r="Z1470" i="3"/>
  <c r="Z1442" i="3"/>
  <c r="AZ133" i="2" s="1"/>
  <c r="Z1445" i="3"/>
  <c r="Z1241" i="3"/>
  <c r="BI684" i="1" s="1"/>
  <c r="Z1447" i="3"/>
  <c r="BI536" i="1" s="1"/>
  <c r="Z1455" i="3"/>
  <c r="Z1486" i="3"/>
  <c r="BI749" i="1" s="1"/>
  <c r="Z1457" i="3"/>
  <c r="Z1458" i="3"/>
  <c r="Z1460" i="3"/>
  <c r="BI619" i="1" s="1"/>
  <c r="Z344" i="3"/>
  <c r="BI689" i="1" s="1"/>
  <c r="Z1466" i="3"/>
  <c r="Z1465" i="3"/>
  <c r="Z1468" i="3"/>
  <c r="Z1475" i="3"/>
  <c r="Z1476" i="3"/>
  <c r="Z1482" i="3"/>
  <c r="Z1481" i="3"/>
  <c r="AZ703" i="2" s="1"/>
  <c r="Z1484" i="3"/>
  <c r="Z1489" i="3"/>
  <c r="Z1495" i="3"/>
  <c r="AZ715" i="2" s="1"/>
  <c r="Z1496" i="3"/>
  <c r="Z1497" i="3"/>
  <c r="Z1499" i="3"/>
  <c r="Z1503" i="3"/>
  <c r="Z1504" i="3"/>
  <c r="Z1500" i="3"/>
  <c r="Z1508" i="3"/>
  <c r="BI492" i="1" s="1"/>
  <c r="Z1510" i="3"/>
  <c r="Z1242" i="3"/>
  <c r="Z1512" i="3"/>
  <c r="Z1246" i="3"/>
  <c r="Z1514" i="3"/>
  <c r="Z1515" i="3"/>
  <c r="BI679" i="1" s="1"/>
  <c r="Z1518" i="3"/>
  <c r="Z1519" i="3"/>
  <c r="BI605" i="1" s="1"/>
  <c r="Z1520" i="3"/>
  <c r="Z1527" i="3"/>
  <c r="Z1526" i="3"/>
  <c r="Z1543" i="3"/>
  <c r="Z1528" i="3"/>
  <c r="Z374" i="3"/>
  <c r="Z1531" i="3"/>
  <c r="BI628" i="1" s="1"/>
  <c r="Z1534" i="3"/>
  <c r="Z1540" i="3"/>
  <c r="Z365" i="3"/>
  <c r="Z1542" i="3"/>
  <c r="Z94" i="3"/>
  <c r="Z12" i="3"/>
  <c r="Z36" i="3"/>
  <c r="Z81" i="3"/>
  <c r="Z15" i="3"/>
  <c r="Z95" i="3"/>
  <c r="Z171" i="3"/>
  <c r="BI623" i="1" s="1"/>
  <c r="Z144" i="3"/>
  <c r="Z272" i="3"/>
  <c r="Z169" i="3"/>
  <c r="Z334" i="3"/>
  <c r="Z137" i="3"/>
  <c r="Z299" i="3"/>
  <c r="Z190" i="3"/>
  <c r="BI522" i="1" s="1"/>
  <c r="Z282" i="3"/>
  <c r="Z329" i="3"/>
  <c r="BI548" i="1" s="1"/>
  <c r="Z367" i="3"/>
  <c r="Z162" i="3"/>
  <c r="BI706" i="1" s="1"/>
  <c r="Z85" i="3"/>
  <c r="Z412" i="3"/>
  <c r="Z72" i="3"/>
  <c r="Z421" i="3"/>
  <c r="Z453" i="3"/>
  <c r="Z663" i="3"/>
  <c r="Z304" i="3"/>
  <c r="Z186" i="3"/>
  <c r="BI682" i="1" s="1"/>
  <c r="Z492" i="3"/>
  <c r="Z265" i="3"/>
  <c r="Z164" i="3"/>
  <c r="Z356" i="3"/>
  <c r="Z808" i="3"/>
  <c r="Z445" i="3"/>
  <c r="Z810" i="3"/>
  <c r="Z949" i="3"/>
  <c r="Z950" i="3"/>
  <c r="Z582" i="3"/>
  <c r="Z1003" i="3"/>
  <c r="Z1019" i="3"/>
  <c r="Z318" i="3"/>
  <c r="Z125" i="3"/>
  <c r="BI696" i="1" s="1"/>
  <c r="Z1116" i="3"/>
  <c r="Z1181" i="3"/>
  <c r="Z1190" i="3"/>
  <c r="Z551" i="3"/>
  <c r="BI703" i="1" s="1"/>
  <c r="Z511" i="3"/>
  <c r="Z439" i="3"/>
  <c r="BI631" i="1" s="1"/>
  <c r="Z109" i="3"/>
  <c r="Z580" i="3"/>
  <c r="Z1304" i="3"/>
  <c r="BI585" i="1" s="1"/>
  <c r="Z1324" i="3"/>
  <c r="BI642" i="1" s="1"/>
  <c r="Z1377" i="3"/>
  <c r="Z1408" i="3"/>
  <c r="BI564" i="1" s="1"/>
  <c r="Z1423" i="3"/>
  <c r="Z1517" i="3"/>
  <c r="Z26" i="3"/>
  <c r="Z55" i="3"/>
  <c r="Z167" i="3"/>
  <c r="BI716" i="1" s="1"/>
  <c r="Z28" i="3"/>
  <c r="BI643" i="1" s="1"/>
  <c r="Z123" i="3"/>
  <c r="BI435" i="1" s="1"/>
  <c r="Z258" i="3"/>
  <c r="BI588" i="1" s="1"/>
  <c r="Z76" i="3"/>
  <c r="Z422" i="3"/>
  <c r="Z207" i="3"/>
  <c r="Z239" i="3"/>
  <c r="Z154" i="3"/>
  <c r="Z189" i="3"/>
  <c r="AZ609" i="2" s="1"/>
  <c r="Z338" i="3"/>
  <c r="Z326" i="3"/>
  <c r="Z173" i="3"/>
  <c r="BI717" i="1" s="1"/>
  <c r="Z330" i="3"/>
  <c r="Z130" i="3"/>
  <c r="Z232" i="3"/>
  <c r="Z309" i="3"/>
  <c r="BI580" i="1" s="1"/>
  <c r="Z550" i="3"/>
  <c r="BI629" i="1" s="1"/>
  <c r="Z674" i="3"/>
  <c r="BI488" i="1" s="1"/>
  <c r="Z687" i="3"/>
  <c r="BI712" i="1" s="1"/>
  <c r="Z360" i="3"/>
  <c r="Z542" i="3"/>
  <c r="Z244" i="3"/>
  <c r="Z564" i="3"/>
  <c r="BI676" i="1" s="1"/>
  <c r="Z378" i="3"/>
  <c r="Z1245" i="3"/>
  <c r="Z127" i="3"/>
  <c r="Z532" i="3"/>
  <c r="Z161" i="3"/>
  <c r="Z557" i="3"/>
  <c r="Z160" i="3"/>
  <c r="BI578" i="1" s="1"/>
  <c r="Z315" i="3"/>
  <c r="BI487" i="1" s="1"/>
  <c r="Z62" i="3"/>
  <c r="Z288" i="3"/>
  <c r="Z151" i="3"/>
  <c r="BI618" i="1" s="1"/>
  <c r="Z640" i="3"/>
  <c r="Z436" i="3"/>
  <c r="Z1022" i="3"/>
  <c r="Z415" i="3"/>
  <c r="Z61" i="3"/>
  <c r="Z558" i="3"/>
  <c r="Z729" i="3"/>
  <c r="Z575" i="3"/>
  <c r="Z466" i="3"/>
  <c r="AZ497" i="2" s="1"/>
  <c r="Z321" i="3"/>
  <c r="Z570" i="3"/>
  <c r="Z267" i="3"/>
  <c r="BI729" i="1" s="1"/>
  <c r="Z297" i="3"/>
  <c r="Z322" i="3"/>
  <c r="Z760" i="3"/>
  <c r="Z817" i="3"/>
  <c r="Z508" i="3"/>
  <c r="Z883" i="3"/>
  <c r="Z916" i="3"/>
  <c r="Z592" i="3"/>
  <c r="BI736" i="1" s="1"/>
  <c r="Z958" i="3"/>
  <c r="Z1010" i="3"/>
  <c r="Z1285" i="3"/>
  <c r="Z1298" i="3"/>
  <c r="Z1038" i="3"/>
  <c r="Z357" i="3"/>
  <c r="BI759" i="1" s="1"/>
  <c r="Z1079" i="3"/>
  <c r="Z1030" i="3"/>
  <c r="Z1153" i="3"/>
  <c r="Z1156" i="3"/>
  <c r="BI663" i="1" s="1"/>
  <c r="Z1179" i="3"/>
  <c r="Z465" i="3"/>
  <c r="Z1125" i="3"/>
  <c r="AZ423" i="2" s="1"/>
  <c r="Z418" i="3"/>
  <c r="Z498" i="3"/>
  <c r="Z1216" i="3"/>
  <c r="Z1234" i="3"/>
  <c r="Z327" i="3"/>
  <c r="Z1269" i="3"/>
  <c r="Z1302" i="3"/>
  <c r="Z1342" i="3"/>
  <c r="Z1356" i="3"/>
  <c r="Z1310" i="3"/>
  <c r="AZ685" i="2" s="1"/>
  <c r="Z1359" i="3"/>
  <c r="Z1368" i="3"/>
  <c r="Z1361" i="3"/>
  <c r="Z1380" i="3"/>
  <c r="Z1375" i="3"/>
  <c r="Z1383" i="3"/>
  <c r="BI665" i="1" s="1"/>
  <c r="Z1382" i="3"/>
  <c r="Z1389" i="3"/>
  <c r="Z48" i="3"/>
  <c r="Z1401" i="3"/>
  <c r="Z1418" i="3"/>
  <c r="Z1421" i="3"/>
  <c r="Z1477" i="3"/>
  <c r="Z1454" i="3"/>
  <c r="Z21" i="3"/>
  <c r="BI645" i="1" s="1"/>
  <c r="Z1513" i="3"/>
  <c r="Z252" i="3"/>
  <c r="BI771" i="1" s="1"/>
  <c r="Z60" i="3"/>
  <c r="AZ410" i="2" s="1"/>
  <c r="Z179" i="3"/>
  <c r="Z88" i="3"/>
  <c r="BI709" i="1" s="1"/>
  <c r="Z100" i="3"/>
  <c r="BI748" i="1" s="1"/>
  <c r="Z241" i="3"/>
  <c r="Z286" i="3"/>
  <c r="BI772" i="1" s="1"/>
  <c r="Z274" i="3"/>
  <c r="BI672" i="1" s="1"/>
  <c r="Z226" i="3"/>
  <c r="Z168" i="3"/>
  <c r="BI683" i="1" s="1"/>
  <c r="Z150" i="3"/>
  <c r="BI438" i="1" s="1"/>
  <c r="Z174" i="3"/>
  <c r="BI727" i="1" s="1"/>
  <c r="Z392" i="3"/>
  <c r="Z104" i="3"/>
  <c r="AZ666" i="2" s="1"/>
  <c r="Z40" i="3"/>
  <c r="BI779" i="1" s="1"/>
  <c r="Z287" i="3"/>
  <c r="Z482" i="3"/>
  <c r="Z351" i="3"/>
  <c r="Z277" i="3"/>
  <c r="BI497" i="1" s="1"/>
  <c r="Z181" i="3"/>
  <c r="Z146" i="3"/>
  <c r="Z111" i="3"/>
  <c r="Z602" i="3"/>
  <c r="BI450" i="1" s="1"/>
  <c r="Z386" i="3"/>
  <c r="BI685" i="1" s="1"/>
  <c r="Z292" i="3"/>
  <c r="BI482" i="1" s="1"/>
  <c r="Z140" i="3"/>
  <c r="Z75" i="3"/>
  <c r="Z629" i="3"/>
  <c r="Z331" i="3"/>
  <c r="Z715" i="3"/>
  <c r="Z308" i="3"/>
  <c r="Z648" i="3"/>
  <c r="Z409" i="3"/>
  <c r="BI738" i="1" s="1"/>
  <c r="Z131" i="3"/>
  <c r="AZ482" i="2" s="1"/>
  <c r="Z655" i="3"/>
  <c r="Z561" i="3"/>
  <c r="Z269" i="3"/>
  <c r="Z559" i="3"/>
  <c r="Z335" i="3"/>
  <c r="Z1144" i="3"/>
  <c r="BI675" i="1" s="1"/>
  <c r="Z518" i="3"/>
  <c r="Z598" i="3"/>
  <c r="Z440" i="3"/>
  <c r="Z1174" i="3"/>
  <c r="BI456" i="1" s="1"/>
  <c r="Z576" i="3"/>
  <c r="BI707" i="1" s="1"/>
  <c r="Z368" i="3"/>
  <c r="BI651" i="1" s="1"/>
  <c r="Z350" i="3"/>
  <c r="Z1296" i="3"/>
  <c r="Z758" i="3"/>
  <c r="Z778" i="3"/>
  <c r="Z489" i="3"/>
  <c r="Z792" i="3"/>
  <c r="Z521" i="3"/>
  <c r="Z864" i="3"/>
  <c r="Z408" i="3"/>
  <c r="Z922" i="3"/>
  <c r="Z1028" i="3"/>
  <c r="Z1362" i="3"/>
  <c r="Z301" i="3"/>
  <c r="Z1428" i="3"/>
  <c r="Z1042" i="3"/>
  <c r="Z1056" i="3"/>
  <c r="AZ242" i="2" s="1"/>
  <c r="Z510" i="3"/>
  <c r="Z1114" i="3"/>
  <c r="Z443" i="3"/>
  <c r="Z609" i="3"/>
  <c r="Z1213" i="3"/>
  <c r="Z1250" i="3"/>
  <c r="AZ246" i="2" s="1"/>
  <c r="Z1306" i="3"/>
  <c r="Z1328" i="3"/>
  <c r="Z1333" i="3"/>
  <c r="Z1384" i="3"/>
  <c r="Z1427" i="3"/>
  <c r="Z359" i="3"/>
  <c r="Z1422" i="3"/>
  <c r="AZ47" i="2" s="1"/>
  <c r="Z1435" i="3"/>
  <c r="Z1448" i="3"/>
  <c r="Z1444" i="3"/>
  <c r="Z599" i="3"/>
  <c r="Z1463" i="3"/>
  <c r="Z1541" i="3"/>
  <c r="Z1472" i="3"/>
  <c r="Z141" i="3"/>
  <c r="BI653" i="1" s="1"/>
  <c r="Z27" i="3"/>
  <c r="Z124" i="3"/>
  <c r="Z90" i="3"/>
  <c r="Z17" i="3"/>
  <c r="Z30" i="3"/>
  <c r="Z260" i="3"/>
  <c r="Z402" i="3"/>
  <c r="Z372" i="3"/>
  <c r="Z132" i="3"/>
  <c r="Z303" i="3"/>
  <c r="Z634" i="3"/>
  <c r="Z205" i="3"/>
  <c r="Z363" i="3"/>
  <c r="Z39" i="3"/>
  <c r="Z446" i="3"/>
  <c r="Z403" i="3"/>
  <c r="Z525" i="3"/>
  <c r="BI434" i="1" s="1"/>
  <c r="Z419" i="3"/>
  <c r="AZ735" i="2" s="1"/>
  <c r="Z105" i="3"/>
  <c r="Z238" i="3"/>
  <c r="Z488" i="3"/>
  <c r="Z220" i="3"/>
  <c r="Z464" i="3"/>
  <c r="AZ301" i="2" s="1"/>
  <c r="Z689" i="3"/>
  <c r="BI714" i="1" s="1"/>
  <c r="Z54" i="3"/>
  <c r="Z385" i="3"/>
  <c r="Z923" i="3"/>
  <c r="Z524" i="3"/>
  <c r="Z107" i="3"/>
  <c r="Z522" i="3"/>
  <c r="Z961" i="3"/>
  <c r="Z991" i="3"/>
  <c r="Z426" i="3"/>
  <c r="Z586" i="3"/>
  <c r="BI715" i="1" s="1"/>
  <c r="Z217" i="3"/>
  <c r="Z1110" i="3"/>
  <c r="Z1347" i="3"/>
  <c r="Z569" i="3"/>
  <c r="Z1438" i="3"/>
  <c r="Z1171" i="3"/>
  <c r="BI768" i="1" s="1"/>
  <c r="Z383" i="3"/>
  <c r="Z1169" i="3"/>
  <c r="Z1273" i="3"/>
  <c r="Z1203" i="3"/>
  <c r="AZ411" i="2" s="1"/>
  <c r="Z479" i="3"/>
  <c r="Z581" i="3"/>
  <c r="Z1288" i="3"/>
  <c r="Z47" i="3"/>
  <c r="Z1350" i="3"/>
  <c r="BI451" i="1" s="1"/>
  <c r="Z1313" i="3"/>
  <c r="Z1400" i="3"/>
  <c r="Z1332" i="3"/>
  <c r="AZ88" i="2" s="1"/>
  <c r="Z1405" i="3"/>
  <c r="Z1415" i="3"/>
  <c r="Z1429" i="3"/>
  <c r="Z1480" i="3"/>
  <c r="Z1407" i="3"/>
  <c r="AZ625" i="2" s="1"/>
  <c r="Z193" i="3"/>
  <c r="BI699" i="1" s="1"/>
  <c r="Z1492" i="3"/>
  <c r="Z165" i="3"/>
  <c r="BI489" i="1" s="1"/>
  <c r="Z84" i="3"/>
  <c r="Z31" i="3"/>
  <c r="Z1494" i="3"/>
  <c r="Z5" i="3"/>
  <c r="Z16" i="3"/>
  <c r="Z29" i="3"/>
  <c r="BI648" i="1" s="1"/>
  <c r="Z110" i="3"/>
  <c r="Z71" i="3"/>
  <c r="Z24" i="3"/>
  <c r="Z243" i="3"/>
  <c r="BI745" i="1" s="1"/>
  <c r="Z63" i="3"/>
  <c r="BI724" i="1" s="1"/>
  <c r="Z58" i="3"/>
  <c r="Z38" i="3"/>
  <c r="Z80" i="3"/>
  <c r="AZ532" i="2" s="1"/>
  <c r="Z37" i="3"/>
  <c r="Z211" i="3"/>
  <c r="Z234" i="3"/>
  <c r="AZ76" i="2" s="1"/>
  <c r="Z223" i="3"/>
  <c r="Z578" i="3"/>
  <c r="Z70" i="3"/>
  <c r="AZ700" i="2" s="1"/>
  <c r="Z43" i="3"/>
  <c r="BI635" i="1" s="1"/>
  <c r="Z204" i="3"/>
  <c r="Z44" i="3"/>
  <c r="Z361" i="3"/>
  <c r="Z250" i="3"/>
  <c r="BI639" i="1" s="1"/>
  <c r="Z82" i="3"/>
  <c r="Z77" i="3"/>
  <c r="Z153" i="3"/>
  <c r="Z159" i="3"/>
  <c r="Z195" i="3"/>
  <c r="Z256" i="3"/>
  <c r="BI650" i="1" s="1"/>
  <c r="Z400" i="3"/>
  <c r="Z264" i="3"/>
  <c r="Z206" i="3"/>
  <c r="Z266" i="3"/>
  <c r="Z307" i="3"/>
  <c r="Z425" i="3"/>
  <c r="BI720" i="1" s="1"/>
  <c r="Z496" i="3"/>
  <c r="Z413" i="3"/>
  <c r="Z14" i="3"/>
  <c r="Z626" i="3"/>
  <c r="Z630" i="3"/>
  <c r="Z653" i="3"/>
  <c r="Z693" i="3"/>
  <c r="Z706" i="3"/>
  <c r="Z429" i="3"/>
  <c r="Z353" i="3"/>
  <c r="Z764" i="3"/>
  <c r="Z768" i="3"/>
  <c r="Z314" i="3"/>
  <c r="BI669" i="1" s="1"/>
  <c r="Z795" i="3"/>
  <c r="Z819" i="3"/>
  <c r="BI692" i="1" s="1"/>
  <c r="Z1106" i="3"/>
  <c r="Z777" i="3"/>
  <c r="Z388" i="3"/>
  <c r="Z152" i="3"/>
  <c r="Z1001" i="3"/>
  <c r="Z1013" i="3"/>
  <c r="Z213" i="3"/>
  <c r="Z49" i="3"/>
  <c r="AZ435" i="2" s="1"/>
  <c r="Z66" i="3"/>
  <c r="AZ201" i="2" s="1"/>
  <c r="Z182" i="3"/>
  <c r="AZ567" i="2" s="1"/>
  <c r="Z139" i="3"/>
  <c r="Z218" i="3"/>
  <c r="Z247" i="3"/>
  <c r="Z129" i="3"/>
  <c r="Z619" i="3"/>
  <c r="BI763" i="1" s="1"/>
  <c r="Z135" i="3"/>
  <c r="Z487" i="3"/>
  <c r="AZ276" i="2" s="1"/>
  <c r="Z430" i="3"/>
  <c r="BI494" i="1" s="1"/>
  <c r="Z405" i="3"/>
  <c r="Z296" i="3"/>
  <c r="Z354" i="3"/>
  <c r="Z613" i="3"/>
  <c r="Z407" i="3"/>
  <c r="Z215" i="3"/>
  <c r="Z637" i="3"/>
  <c r="BI740" i="1" s="1"/>
  <c r="Z474" i="3"/>
  <c r="BI701" i="1" s="1"/>
  <c r="Z509" i="3"/>
  <c r="BI655" i="1" s="1"/>
  <c r="Z614" i="3"/>
  <c r="Z210" i="3"/>
  <c r="Z261" i="3"/>
  <c r="AZ379" i="2" s="1"/>
  <c r="Z490" i="3"/>
  <c r="Z472" i="3"/>
  <c r="Z342" i="3"/>
  <c r="AZ389" i="2" s="1"/>
  <c r="Z233" i="3"/>
  <c r="Z601" i="3"/>
  <c r="BI753" i="1" s="1"/>
  <c r="Z547" i="3"/>
  <c r="Z623" i="3"/>
  <c r="Z618" i="3"/>
  <c r="Z625" i="3"/>
  <c r="Z627" i="3"/>
  <c r="BI647" i="1" s="1"/>
  <c r="Z611" i="3"/>
  <c r="BI480" i="1" s="1"/>
  <c r="Z533" i="3"/>
  <c r="Z376" i="3"/>
  <c r="Z480" i="3"/>
  <c r="Z631" i="3"/>
  <c r="Z635" i="3"/>
  <c r="Z632" i="3"/>
  <c r="AZ474" i="2" s="1"/>
  <c r="Z546" i="3"/>
  <c r="Z633" i="3"/>
  <c r="Z145" i="3"/>
  <c r="Z519" i="3"/>
  <c r="Z236" i="3"/>
  <c r="Z650" i="3"/>
  <c r="Z645" i="3"/>
  <c r="Z646" i="3"/>
  <c r="Z647" i="3"/>
  <c r="Z651" i="3"/>
  <c r="Z654" i="3"/>
  <c r="Z670" i="3"/>
  <c r="Z410" i="3"/>
  <c r="Z673" i="3"/>
  <c r="BI769" i="1" s="1"/>
  <c r="Z565" i="3"/>
  <c r="Z1248" i="3"/>
  <c r="AZ536" i="2" s="1"/>
  <c r="Z659" i="3"/>
  <c r="Z660" i="3"/>
  <c r="Z676" i="3"/>
  <c r="Z658" i="3"/>
  <c r="Z662" i="3"/>
  <c r="BI122" i="1" s="1"/>
  <c r="Z681" i="3"/>
  <c r="Z667" i="3"/>
  <c r="BI657" i="1" s="1"/>
  <c r="Z665" i="3"/>
  <c r="Z668" i="3"/>
  <c r="BI750" i="1" s="1"/>
  <c r="Z669" i="3"/>
  <c r="Z671" i="3"/>
  <c r="BI205" i="1" s="1"/>
  <c r="Z695" i="3"/>
  <c r="BI690" i="1" s="1"/>
  <c r="Z672" i="3"/>
  <c r="AZ288" i="2" s="1"/>
  <c r="Z705" i="3"/>
  <c r="Z678" i="3"/>
  <c r="Z675" i="3"/>
  <c r="BI131" i="1" s="1"/>
  <c r="Z680" i="3"/>
  <c r="Z721" i="3"/>
  <c r="Z682" i="3"/>
  <c r="AZ430" i="2" s="1"/>
  <c r="Z548" i="3"/>
  <c r="Z552" i="3"/>
  <c r="Z691" i="3"/>
  <c r="AZ494" i="2" s="1"/>
  <c r="Z692" i="3"/>
  <c r="AZ315" i="2" s="1"/>
  <c r="Z694" i="3"/>
  <c r="BI770" i="1" s="1"/>
  <c r="Z742" i="3"/>
  <c r="BI634" i="1" s="1"/>
  <c r="Z702" i="3"/>
  <c r="BI711" i="1" s="1"/>
  <c r="Z698" i="3"/>
  <c r="Z605" i="3"/>
  <c r="AZ588" i="2" s="1"/>
  <c r="Z710" i="3"/>
  <c r="Z713" i="3"/>
  <c r="Z714" i="3"/>
  <c r="Z703" i="3"/>
  <c r="Z704" i="3"/>
  <c r="AZ515" i="2" s="1"/>
  <c r="Z708" i="3"/>
  <c r="AZ524" i="2" s="1"/>
  <c r="Z723" i="3"/>
  <c r="BI756" i="1" s="1"/>
  <c r="Z725" i="3"/>
  <c r="Z483" i="3"/>
  <c r="Z732" i="3"/>
  <c r="Z736" i="3"/>
  <c r="BI475" i="1" s="1"/>
  <c r="Z718" i="3"/>
  <c r="Z726" i="3"/>
  <c r="AZ146" i="2" s="1"/>
  <c r="Z731" i="3"/>
  <c r="AZ419" i="2" s="1"/>
  <c r="Z737" i="3"/>
  <c r="Z754" i="3"/>
  <c r="Z738" i="3"/>
  <c r="Z739" i="3"/>
  <c r="Z744" i="3"/>
  <c r="Z756" i="3"/>
  <c r="Z745" i="3"/>
  <c r="BI781" i="1" s="1"/>
  <c r="Z740" i="3"/>
  <c r="Z743" i="3"/>
  <c r="Z544" i="3"/>
  <c r="Z504" i="3"/>
  <c r="Z747" i="3"/>
  <c r="AZ364" i="2" s="1"/>
  <c r="Z773" i="3"/>
  <c r="Z748" i="3"/>
  <c r="Z749" i="3"/>
  <c r="Z750" i="3"/>
  <c r="AZ326" i="2" s="1"/>
  <c r="Z607" i="3"/>
  <c r="Z752" i="3"/>
  <c r="Z755" i="3"/>
  <c r="Z784" i="3"/>
  <c r="BI780" i="1" s="1"/>
  <c r="Z781" i="3"/>
  <c r="BI446" i="1" s="1"/>
  <c r="Z759" i="3"/>
  <c r="Z762" i="3"/>
  <c r="BI723" i="1" s="1"/>
  <c r="Z767" i="3"/>
  <c r="BI443" i="1" s="1"/>
  <c r="Z757" i="3"/>
  <c r="AZ303" i="2" s="1"/>
  <c r="Z770" i="3"/>
  <c r="Z774" i="3"/>
  <c r="AZ607" i="2" s="1"/>
  <c r="Z785" i="3"/>
  <c r="BI668" i="1" s="1"/>
  <c r="Z772" i="3"/>
  <c r="Z775" i="3"/>
  <c r="Z604" i="3"/>
  <c r="Z780" i="3"/>
  <c r="BI114" i="1" s="1"/>
  <c r="Z800" i="3"/>
  <c r="Z801" i="3"/>
  <c r="Z776" i="3"/>
  <c r="Z782" i="3"/>
  <c r="BI196" i="1" s="1"/>
  <c r="Z812" i="3"/>
  <c r="Z779" i="3"/>
  <c r="Z814" i="3"/>
  <c r="BI428" i="1" s="1"/>
  <c r="Z783" i="3"/>
  <c r="Z787" i="3"/>
  <c r="AZ670" i="2" s="1"/>
  <c r="Z794" i="3"/>
  <c r="Z789" i="3"/>
  <c r="AZ362" i="2" s="1"/>
  <c r="Z788" i="3"/>
  <c r="AZ372" i="2" s="1"/>
  <c r="Z798" i="3"/>
  <c r="AZ192" i="2" s="1"/>
  <c r="Z830" i="3"/>
  <c r="Z806" i="3"/>
  <c r="Z833" i="3"/>
  <c r="BI658" i="1" s="1"/>
  <c r="Z807" i="3"/>
  <c r="Z796" i="3"/>
  <c r="Z813" i="3"/>
  <c r="Z797" i="3"/>
  <c r="Z803" i="3"/>
  <c r="Z540" i="3"/>
  <c r="Z816" i="3"/>
  <c r="Z818" i="3"/>
  <c r="BI760" i="1" s="1"/>
  <c r="Z842" i="3"/>
  <c r="BI139" i="1" s="1"/>
  <c r="Z822" i="3"/>
  <c r="Z826" i="3"/>
  <c r="Z821" i="3"/>
  <c r="AZ358" i="2" s="1"/>
  <c r="Z560" i="3"/>
  <c r="BI652" i="1" s="1"/>
  <c r="Z828" i="3"/>
  <c r="Z827" i="3"/>
  <c r="Z834" i="3"/>
  <c r="Z835" i="3"/>
  <c r="BI246" i="1" s="1"/>
  <c r="Z838" i="3"/>
  <c r="Z853" i="3"/>
  <c r="Z495" i="3"/>
  <c r="Z860" i="3"/>
  <c r="BI493" i="1" s="1"/>
  <c r="Z846" i="3"/>
  <c r="Z843" i="3"/>
  <c r="BI230" i="1" s="1"/>
  <c r="Z847" i="3"/>
  <c r="Z849" i="3"/>
  <c r="BI481" i="1" s="1"/>
  <c r="Z852" i="3"/>
  <c r="Z848" i="3"/>
  <c r="AZ295" i="2" s="1"/>
  <c r="Z871" i="3"/>
  <c r="Z850" i="3"/>
  <c r="Z851" i="3"/>
  <c r="BI100" i="1" s="1"/>
  <c r="Z857" i="3"/>
  <c r="Z859" i="3"/>
  <c r="Z862" i="3"/>
  <c r="Z863" i="3"/>
  <c r="BI119" i="1" s="1"/>
  <c r="Z866" i="3"/>
  <c r="BI688" i="1" s="1"/>
  <c r="Z869" i="3"/>
  <c r="AZ480" i="2" s="1"/>
  <c r="Z872" i="3"/>
  <c r="BI436" i="1" s="1"/>
  <c r="Z874" i="3"/>
  <c r="Z873" i="3"/>
  <c r="Z899" i="3"/>
  <c r="Z875" i="3"/>
  <c r="Z877" i="3"/>
  <c r="Z878" i="3"/>
  <c r="Z879" i="3"/>
  <c r="Z881" i="3"/>
  <c r="Z884" i="3"/>
  <c r="Z885" i="3"/>
  <c r="Z886" i="3"/>
  <c r="BI633" i="1" s="1"/>
  <c r="Z887" i="3"/>
  <c r="Z880" i="3"/>
  <c r="Z891" i="3"/>
  <c r="Z892" i="3"/>
  <c r="Z895" i="3"/>
  <c r="BI731" i="1" s="1"/>
  <c r="Z902" i="3"/>
  <c r="Z904" i="3"/>
  <c r="Z898" i="3"/>
  <c r="Z901" i="3"/>
  <c r="BI762" i="1" s="1"/>
  <c r="Z894" i="3"/>
  <c r="Z903" i="3"/>
  <c r="BI113" i="1" s="1"/>
  <c r="Z1249" i="3"/>
  <c r="Z905" i="3"/>
  <c r="AZ602" i="2" s="1"/>
  <c r="Z906" i="3"/>
  <c r="AZ414" i="2" s="1"/>
  <c r="Z909" i="3"/>
  <c r="BI476" i="1" s="1"/>
  <c r="Z910" i="3"/>
  <c r="BI232" i="1" s="1"/>
  <c r="Z911" i="3"/>
  <c r="BI719" i="1" s="1"/>
  <c r="Z912" i="3"/>
  <c r="Z917" i="3"/>
  <c r="Z914" i="3"/>
  <c r="Z931" i="3"/>
  <c r="BI620" i="1" s="1"/>
  <c r="Z919" i="3"/>
  <c r="Z924" i="3"/>
  <c r="Z925" i="3"/>
  <c r="BI258" i="1" s="1"/>
  <c r="Z921" i="3"/>
  <c r="Z936" i="3"/>
  <c r="BI778" i="1" s="1"/>
  <c r="Z920" i="3"/>
  <c r="Z934" i="3"/>
  <c r="Z926" i="3"/>
  <c r="Z929" i="3"/>
  <c r="Z939" i="3"/>
  <c r="Z930" i="3"/>
  <c r="Z943" i="3"/>
  <c r="Z932" i="3"/>
  <c r="Z935" i="3"/>
  <c r="BI728" i="1" s="1"/>
  <c r="Z965" i="3"/>
  <c r="Z944" i="3"/>
  <c r="Z968" i="3"/>
  <c r="Z941" i="3"/>
  <c r="Z948" i="3"/>
  <c r="BI429" i="1" s="1"/>
  <c r="Z981" i="3"/>
  <c r="BI773" i="1" s="1"/>
  <c r="Z955" i="3"/>
  <c r="Z953" i="3"/>
  <c r="Z954" i="3"/>
  <c r="BI751" i="1" s="1"/>
  <c r="Z956" i="3"/>
  <c r="Z957" i="3"/>
  <c r="BI301" i="1" s="1"/>
  <c r="Z951" i="3"/>
  <c r="AZ485" i="2" s="1"/>
  <c r="Z959" i="3"/>
  <c r="Z966" i="3"/>
  <c r="BI630" i="1" s="1"/>
  <c r="Z971" i="3"/>
  <c r="Z962" i="3"/>
  <c r="AZ244" i="2" s="1"/>
  <c r="Z974" i="3"/>
  <c r="BI483" i="1" s="1"/>
  <c r="Z978" i="3"/>
  <c r="Z1000" i="3"/>
  <c r="Z982" i="3"/>
  <c r="Z979" i="3"/>
  <c r="BI311" i="1" s="1"/>
  <c r="Z984" i="3"/>
  <c r="Z985" i="3"/>
  <c r="Z987" i="3"/>
  <c r="BI697" i="1" s="1"/>
  <c r="Z988" i="3"/>
  <c r="BI691" i="1" s="1"/>
  <c r="Z990" i="3"/>
  <c r="BI602" i="1" s="1"/>
  <c r="Z1005" i="3"/>
  <c r="BI730" i="1" s="1"/>
  <c r="Z996" i="3"/>
  <c r="Z998" i="3"/>
  <c r="BI777" i="1" s="1"/>
  <c r="Z999" i="3"/>
  <c r="Z997" i="3"/>
  <c r="Z1007" i="3"/>
  <c r="BI775" i="1" s="1"/>
  <c r="Z1002" i="3"/>
  <c r="Z1006" i="3"/>
  <c r="BI680" i="1" s="1"/>
  <c r="Z1004" i="3"/>
  <c r="Z1033" i="3"/>
  <c r="Z1008" i="3"/>
  <c r="AZ268" i="2" s="1"/>
  <c r="Z1011" i="3"/>
  <c r="Z1012" i="3"/>
  <c r="Z1015" i="3"/>
  <c r="BI473" i="1" s="1"/>
  <c r="Z1009" i="3"/>
  <c r="AZ336" i="2" s="1"/>
  <c r="Z1016" i="3"/>
  <c r="BI641" i="1" s="1"/>
  <c r="Z1035" i="3"/>
  <c r="Z1251" i="3"/>
  <c r="Z1040" i="3"/>
  <c r="BI444" i="1" s="1"/>
  <c r="Z1014" i="3"/>
  <c r="Z1018" i="3"/>
  <c r="Z1023" i="3"/>
  <c r="Z1024" i="3"/>
  <c r="Z1029" i="3"/>
  <c r="Z545" i="3"/>
  <c r="Z1048" i="3"/>
  <c r="Z1031" i="3"/>
  <c r="AZ590" i="2" s="1"/>
  <c r="Z603" i="3"/>
  <c r="Z1034" i="3"/>
  <c r="Z1047" i="3"/>
  <c r="Z1043" i="3"/>
  <c r="Z1052" i="3"/>
  <c r="Z1045" i="3"/>
  <c r="Z1053" i="3"/>
  <c r="AZ519" i="2" s="1"/>
  <c r="Z1051" i="3"/>
  <c r="Z1060" i="3"/>
  <c r="Z1057" i="3"/>
  <c r="AZ712" i="2" s="1"/>
  <c r="Z1062" i="3"/>
  <c r="Z1058" i="3"/>
  <c r="Z1063" i="3"/>
  <c r="Z1061" i="3"/>
  <c r="AZ311" i="2" s="1"/>
  <c r="Z1065" i="3"/>
  <c r="Z1070" i="3"/>
  <c r="Z1068" i="3"/>
  <c r="Z1071" i="3"/>
  <c r="Z1072" i="3"/>
  <c r="Z1074" i="3"/>
  <c r="BI364" i="1" s="1"/>
  <c r="Z1075" i="3"/>
  <c r="AZ443" i="2" s="1"/>
  <c r="Z1078" i="3"/>
  <c r="Z1082" i="3"/>
  <c r="BI656" i="1" s="1"/>
  <c r="Z1087" i="3"/>
  <c r="Z1080" i="3"/>
  <c r="Z1083" i="3"/>
  <c r="Z1089" i="3"/>
  <c r="AZ182" i="2" s="1"/>
  <c r="Z1090" i="3"/>
  <c r="AZ555" i="2" s="1"/>
  <c r="Z1092" i="3"/>
  <c r="Z1097" i="3"/>
  <c r="BI677" i="1" s="1"/>
  <c r="Z444" i="3"/>
  <c r="Z1093" i="3"/>
  <c r="AZ113" i="2" s="1"/>
  <c r="Z1094" i="3"/>
  <c r="AZ425" i="2" s="1"/>
  <c r="Z1095" i="3"/>
  <c r="AZ189" i="2" s="1"/>
  <c r="Z1096" i="3"/>
  <c r="AZ538" i="2" s="1"/>
  <c r="Z1101" i="3"/>
  <c r="Z1098" i="3"/>
  <c r="Z1100" i="3"/>
  <c r="AZ402" i="2" s="1"/>
  <c r="Z1103" i="3"/>
  <c r="Z1102" i="3"/>
  <c r="Z1104" i="3"/>
  <c r="Z1109" i="3"/>
  <c r="Z1107" i="3"/>
  <c r="Z1108" i="3"/>
  <c r="Z1118" i="3"/>
  <c r="AZ131" i="2" s="1"/>
  <c r="Z1123" i="3"/>
  <c r="Z1124" i="3"/>
  <c r="Z1122" i="3"/>
  <c r="BI391" i="1" s="1"/>
  <c r="Z1130" i="3"/>
  <c r="Z1127" i="3"/>
  <c r="Z1129" i="3"/>
  <c r="Z1131" i="3"/>
  <c r="Z1137" i="3"/>
  <c r="Z1139" i="3"/>
  <c r="Z1134" i="3"/>
  <c r="Z1132" i="3"/>
  <c r="AZ252" i="2" s="1"/>
  <c r="Z1135" i="3"/>
  <c r="AZ240" i="2" s="1"/>
  <c r="Z1140" i="3"/>
  <c r="Z1136" i="3"/>
  <c r="Z1133" i="3"/>
  <c r="Z1146" i="3"/>
  <c r="Z1145" i="3"/>
  <c r="Z1138" i="3"/>
  <c r="Z1143" i="3"/>
  <c r="Z1148" i="3"/>
  <c r="Z1150" i="3"/>
  <c r="Z1147" i="3"/>
  <c r="Z1152" i="3"/>
  <c r="BI217" i="1" s="1"/>
  <c r="Z1151" i="3"/>
  <c r="Z1155" i="3"/>
  <c r="AZ623" i="2" s="1"/>
  <c r="Z1157" i="3"/>
  <c r="AZ586" i="2" s="1"/>
  <c r="Z1158" i="3"/>
  <c r="AZ488" i="2" s="1"/>
  <c r="Z1160" i="3"/>
  <c r="Z1161" i="3"/>
  <c r="BI418" i="1" s="1"/>
  <c r="Z1165" i="3"/>
  <c r="Z1166" i="3"/>
  <c r="BI420" i="1" s="1"/>
  <c r="Z1170" i="3"/>
  <c r="Z1173" i="3"/>
  <c r="Z1175" i="3"/>
  <c r="Z1178" i="3"/>
  <c r="Z1176" i="3"/>
  <c r="Z1182" i="3"/>
  <c r="BI426" i="1" s="1"/>
  <c r="Z1183" i="3"/>
  <c r="AB41" i="3"/>
  <c r="AB1185" i="3"/>
  <c r="BK501" i="1" s="1"/>
  <c r="AB1184" i="3"/>
  <c r="AB1186" i="3"/>
  <c r="BK430" i="1" s="1"/>
  <c r="AB32" i="3"/>
  <c r="AB1188" i="3"/>
  <c r="AB122" i="3"/>
  <c r="AB149" i="3"/>
  <c r="AB1187" i="3"/>
  <c r="AB35" i="3"/>
  <c r="AB13" i="3"/>
  <c r="AB1189" i="3"/>
  <c r="AB34" i="3"/>
  <c r="BK504" i="1" s="1"/>
  <c r="AB225" i="3"/>
  <c r="AB166" i="3"/>
  <c r="AB184" i="3"/>
  <c r="AB1193" i="3"/>
  <c r="AB242" i="3"/>
  <c r="BK506" i="1" s="1"/>
  <c r="AB333" i="3"/>
  <c r="AB316" i="3"/>
  <c r="AB1194" i="3"/>
  <c r="AB394" i="3"/>
  <c r="BK507" i="1" s="1"/>
  <c r="AB1195" i="3"/>
  <c r="AB237" i="3"/>
  <c r="AB1198" i="3"/>
  <c r="AB1196" i="3"/>
  <c r="AB1199" i="3"/>
  <c r="AB1200" i="3"/>
  <c r="AB1202" i="3"/>
  <c r="AB1201" i="3"/>
  <c r="BK502" i="1" s="1"/>
  <c r="AB116" i="3"/>
  <c r="BK526" i="1" s="1"/>
  <c r="AB208" i="3"/>
  <c r="BK533" i="1" s="1"/>
  <c r="AB313" i="3"/>
  <c r="AB1204" i="3"/>
  <c r="AB1208" i="3"/>
  <c r="BK518" i="1" s="1"/>
  <c r="AB262" i="3"/>
  <c r="AB147" i="3"/>
  <c r="AB180" i="3"/>
  <c r="BK513" i="1" s="1"/>
  <c r="AB133" i="3"/>
  <c r="AB294" i="3"/>
  <c r="AB538" i="3"/>
  <c r="AB1211" i="3"/>
  <c r="AB219" i="3"/>
  <c r="AB87" i="3"/>
  <c r="BK508" i="1" s="1"/>
  <c r="AB399" i="3"/>
  <c r="BK509" i="1" s="1"/>
  <c r="AB279" i="3"/>
  <c r="BK515" i="1" s="1"/>
  <c r="AB364" i="3"/>
  <c r="BK520" i="1" s="1"/>
  <c r="AB1209" i="3"/>
  <c r="BK447" i="1" s="1"/>
  <c r="AB1212" i="3"/>
  <c r="AB620" i="3"/>
  <c r="AB411" i="3"/>
  <c r="AB622" i="3"/>
  <c r="AB628" i="3"/>
  <c r="AB257" i="3"/>
  <c r="AB1210" i="3"/>
  <c r="BK448" i="1" s="1"/>
  <c r="AB198" i="3"/>
  <c r="AB571" i="3"/>
  <c r="AB643" i="3"/>
  <c r="AB1214" i="3"/>
  <c r="AB555" i="3"/>
  <c r="AB679" i="3"/>
  <c r="AB397" i="3"/>
  <c r="AB270" i="3"/>
  <c r="AB249" i="3"/>
  <c r="AB733" i="3"/>
  <c r="AB741" i="3"/>
  <c r="AB416" i="3"/>
  <c r="BK531" i="1" s="1"/>
  <c r="AB765" i="3"/>
  <c r="AB802" i="3"/>
  <c r="AB793" i="3"/>
  <c r="AB823" i="3"/>
  <c r="AB829" i="3"/>
  <c r="AB854" i="3"/>
  <c r="BK553" i="1" s="1"/>
  <c r="AB858" i="3"/>
  <c r="AB907" i="3"/>
  <c r="AB915" i="3"/>
  <c r="AB527" i="3"/>
  <c r="AB964" i="3"/>
  <c r="AB967" i="3"/>
  <c r="AB976" i="3"/>
  <c r="AB1039" i="3"/>
  <c r="AB515" i="3"/>
  <c r="AB1059" i="3"/>
  <c r="AB1064" i="3"/>
  <c r="AB417" i="3"/>
  <c r="BB58" i="2" s="1"/>
  <c r="AB1111" i="3"/>
  <c r="AB1113" i="3"/>
  <c r="AB1115" i="3"/>
  <c r="AB1121" i="3"/>
  <c r="AB1141" i="3"/>
  <c r="AB227" i="3"/>
  <c r="AB1167" i="3"/>
  <c r="AB1191" i="3"/>
  <c r="AB1192" i="3"/>
  <c r="AB1215" i="3"/>
  <c r="AB1149" i="3"/>
  <c r="AB1217" i="3"/>
  <c r="AB577" i="3"/>
  <c r="AB1222" i="3"/>
  <c r="BK511" i="1" s="1"/>
  <c r="AB1243" i="3"/>
  <c r="AB1218" i="3"/>
  <c r="AB369" i="3"/>
  <c r="AB1255" i="3"/>
  <c r="AB1271" i="3"/>
  <c r="AB1274" i="3"/>
  <c r="AB1277" i="3"/>
  <c r="AB1292" i="3"/>
  <c r="AB1297" i="3"/>
  <c r="AB438" i="3"/>
  <c r="AB1303" i="3"/>
  <c r="AB1307" i="3"/>
  <c r="AB1308" i="3"/>
  <c r="AB1312" i="3"/>
  <c r="AB1323" i="3"/>
  <c r="AB1321" i="3"/>
  <c r="AB1326" i="3"/>
  <c r="AB1330" i="3"/>
  <c r="AB1335" i="3"/>
  <c r="AB1331" i="3"/>
  <c r="AB1354" i="3"/>
  <c r="AB1355" i="3"/>
  <c r="AB1358" i="3"/>
  <c r="AB1373" i="3"/>
  <c r="AB1374" i="3"/>
  <c r="AB1376" i="3"/>
  <c r="AB1379" i="3"/>
  <c r="AB1381" i="3"/>
  <c r="AB1385" i="3"/>
  <c r="AB1221" i="3"/>
  <c r="AB1392" i="3"/>
  <c r="AB1396" i="3"/>
  <c r="AB1225" i="3"/>
  <c r="AB1390" i="3"/>
  <c r="AB1223" i="3"/>
  <c r="AB1406" i="3"/>
  <c r="AB1410" i="3"/>
  <c r="AB1409" i="3"/>
  <c r="AB1414" i="3"/>
  <c r="BB632" i="2" s="1"/>
  <c r="AB1224" i="3"/>
  <c r="AB1417" i="3"/>
  <c r="AB1425" i="3"/>
  <c r="AB1426" i="3"/>
  <c r="AB1228" i="3"/>
  <c r="AB1433" i="3"/>
  <c r="BK568" i="1" s="1"/>
  <c r="AB1436" i="3"/>
  <c r="AB1439" i="3"/>
  <c r="AB1440" i="3"/>
  <c r="AB1446" i="3"/>
  <c r="AB1450" i="3"/>
  <c r="AB1452" i="3"/>
  <c r="AB1453" i="3"/>
  <c r="AB1456" i="3"/>
  <c r="AB1459" i="3"/>
  <c r="AB1469" i="3"/>
  <c r="AB1471" i="3"/>
  <c r="AB1473" i="3"/>
  <c r="AB1474" i="3"/>
  <c r="AB1478" i="3"/>
  <c r="AB1487" i="3"/>
  <c r="AB1490" i="3"/>
  <c r="AB1485" i="3"/>
  <c r="AB1491" i="3"/>
  <c r="AB1226" i="3"/>
  <c r="AB1493" i="3"/>
  <c r="BB713" i="2" s="1"/>
  <c r="AB1501" i="3"/>
  <c r="AB1506" i="3"/>
  <c r="AB1502" i="3"/>
  <c r="AB1507" i="3"/>
  <c r="AB1509" i="3"/>
  <c r="BB729" i="2" s="1"/>
  <c r="AB1511" i="3"/>
  <c r="BB731" i="2" s="1"/>
  <c r="AB1516" i="3"/>
  <c r="AB1521" i="3"/>
  <c r="BB741" i="2" s="1"/>
  <c r="AB1522" i="3"/>
  <c r="AB1524" i="3"/>
  <c r="AB1525" i="3"/>
  <c r="AB942" i="3"/>
  <c r="AB1533" i="3"/>
  <c r="AB1529" i="3"/>
  <c r="AB1530" i="3"/>
  <c r="AB1535" i="3"/>
  <c r="AB1536" i="3"/>
  <c r="AB1537" i="3"/>
  <c r="AB1538" i="3"/>
  <c r="AB1539" i="3"/>
  <c r="AB19" i="3"/>
  <c r="AB119" i="3"/>
  <c r="AB93" i="3"/>
  <c r="BK554" i="1" s="1"/>
  <c r="AB1227" i="3"/>
  <c r="AB362" i="3"/>
  <c r="BK527" i="1" s="1"/>
  <c r="AB18" i="3"/>
  <c r="AB183" i="3"/>
  <c r="AB423" i="3"/>
  <c r="AB209" i="3"/>
  <c r="AB231" i="3"/>
  <c r="AB163" i="3"/>
  <c r="AB336" i="3"/>
  <c r="AB92" i="3"/>
  <c r="BK544" i="1" s="1"/>
  <c r="AB600" i="3"/>
  <c r="AB433" i="3"/>
  <c r="BK547" i="1" s="1"/>
  <c r="AB624" i="3"/>
  <c r="AB1230" i="3"/>
  <c r="AB391" i="3"/>
  <c r="AB573" i="3"/>
  <c r="AB1233" i="3"/>
  <c r="BK460" i="1" s="1"/>
  <c r="AB214" i="3"/>
  <c r="BK625" i="1" s="1"/>
  <c r="AB475" i="3"/>
  <c r="BK517" i="1" s="1"/>
  <c r="AB642" i="3"/>
  <c r="BK551" i="1" s="1"/>
  <c r="AB389" i="3"/>
  <c r="AB583" i="3"/>
  <c r="AB711" i="3"/>
  <c r="AB597" i="3"/>
  <c r="AB766" i="3"/>
  <c r="AB837" i="3"/>
  <c r="AB841" i="3"/>
  <c r="AB393" i="3"/>
  <c r="AB870" i="3"/>
  <c r="BB45" i="2" s="1"/>
  <c r="AB435" i="3"/>
  <c r="AB505" i="3"/>
  <c r="AB972" i="3"/>
  <c r="AB398" i="3"/>
  <c r="BK514" i="1" s="1"/>
  <c r="AB973" i="3"/>
  <c r="AB975" i="3"/>
  <c r="AB993" i="3"/>
  <c r="BK575" i="1" s="1"/>
  <c r="AB373" i="3"/>
  <c r="BK600" i="1" s="1"/>
  <c r="AB1025" i="3"/>
  <c r="AB458" i="3"/>
  <c r="AB584" i="3"/>
  <c r="BB386" i="2" s="1"/>
  <c r="AB1142" i="3"/>
  <c r="AB1162" i="3"/>
  <c r="AB1163" i="3"/>
  <c r="AB1172" i="3"/>
  <c r="AB1205" i="3"/>
  <c r="AB1244" i="3"/>
  <c r="AB608" i="3"/>
  <c r="AB1265" i="3"/>
  <c r="AB553" i="3"/>
  <c r="AB1289" i="3"/>
  <c r="AB1280" i="3"/>
  <c r="BK609" i="1" s="1"/>
  <c r="AB1290" i="3"/>
  <c r="AB1334" i="3"/>
  <c r="BB253" i="2" s="1"/>
  <c r="AB1337" i="3"/>
  <c r="AB1348" i="3"/>
  <c r="AB1231" i="3"/>
  <c r="AB1349" i="3"/>
  <c r="AB1366" i="3"/>
  <c r="AB1370" i="3"/>
  <c r="BK640" i="1" s="1"/>
  <c r="AB1391" i="3"/>
  <c r="AB535" i="3"/>
  <c r="AB1393" i="3"/>
  <c r="AB1394" i="3"/>
  <c r="AB1397" i="3"/>
  <c r="AB1402" i="3"/>
  <c r="AB1412" i="3"/>
  <c r="AB1419" i="3"/>
  <c r="AB1430" i="3"/>
  <c r="AB1431" i="3"/>
  <c r="AB1437" i="3"/>
  <c r="AB1449" i="3"/>
  <c r="AB1462" i="3"/>
  <c r="AB1464" i="3"/>
  <c r="AB1467" i="3"/>
  <c r="AB1488" i="3"/>
  <c r="AB1498" i="3"/>
  <c r="AB1479" i="3"/>
  <c r="AB1505" i="3"/>
  <c r="AB1523" i="3"/>
  <c r="AB23" i="3"/>
  <c r="AB246" i="3"/>
  <c r="AB255" i="3"/>
  <c r="AB230" i="3"/>
  <c r="AB1235" i="3"/>
  <c r="BK462" i="1" s="1"/>
  <c r="AB311" i="3"/>
  <c r="AB69" i="3"/>
  <c r="AB459" i="3"/>
  <c r="AB328" i="3"/>
  <c r="BK603" i="1" s="1"/>
  <c r="AB83" i="3"/>
  <c r="AB468" i="3"/>
  <c r="AB467" i="3"/>
  <c r="AB348" i="3"/>
  <c r="AB462" i="3"/>
  <c r="AB64" i="3"/>
  <c r="AB501" i="3"/>
  <c r="AB406" i="3"/>
  <c r="AB289" i="3"/>
  <c r="AB324" i="3"/>
  <c r="BK616" i="1" s="1"/>
  <c r="AB358" i="3"/>
  <c r="BK597" i="1" s="1"/>
  <c r="AB271" i="3"/>
  <c r="BK594" i="1" s="1"/>
  <c r="AB531" i="3"/>
  <c r="AB341" i="3"/>
  <c r="BK591" i="1" s="1"/>
  <c r="AB414" i="3"/>
  <c r="AB471" i="3"/>
  <c r="AB554" i="3"/>
  <c r="AB686" i="3"/>
  <c r="AB346" i="3"/>
  <c r="BK577" i="1" s="1"/>
  <c r="AB701" i="3"/>
  <c r="AB612" i="3"/>
  <c r="AB717" i="3"/>
  <c r="AB724" i="3"/>
  <c r="AB507" i="3"/>
  <c r="AB528" i="3"/>
  <c r="BK662" i="1" s="1"/>
  <c r="AB811" i="3"/>
  <c r="AB428" i="3"/>
  <c r="BB236" i="2" s="1"/>
  <c r="AB815" i="3"/>
  <c r="BK530" i="1" s="1"/>
  <c r="AB889" i="3"/>
  <c r="AB890" i="3"/>
  <c r="AB946" i="3"/>
  <c r="AB491" i="3"/>
  <c r="AB983" i="3"/>
  <c r="AB989" i="3"/>
  <c r="AB395" i="3"/>
  <c r="AB290" i="3"/>
  <c r="AB1026" i="3"/>
  <c r="AB1084" i="3"/>
  <c r="AB1112" i="3"/>
  <c r="AB1119" i="3"/>
  <c r="AB1126" i="3"/>
  <c r="BK539" i="1" s="1"/>
  <c r="AB1154" i="3"/>
  <c r="AB1159" i="3"/>
  <c r="AB1177" i="3"/>
  <c r="BK584" i="1" s="1"/>
  <c r="AB1219" i="3"/>
  <c r="AB1220" i="3"/>
  <c r="AB1207" i="3"/>
  <c r="BK566" i="1" s="1"/>
  <c r="AB1240" i="3"/>
  <c r="AB477" i="3"/>
  <c r="AB606" i="3"/>
  <c r="AB1262" i="3"/>
  <c r="BK559" i="1" s="1"/>
  <c r="AB1266" i="3"/>
  <c r="AB1287" i="3"/>
  <c r="AB537" i="3"/>
  <c r="BK613" i="1" s="1"/>
  <c r="AB1236" i="3"/>
  <c r="AB1360" i="3"/>
  <c r="AB1363" i="3"/>
  <c r="AB593" i="3"/>
  <c r="AB594" i="3"/>
  <c r="AB427" i="3"/>
  <c r="AB1399" i="3"/>
  <c r="AB1403" i="3"/>
  <c r="BK610" i="1" s="1"/>
  <c r="AB1416" i="3"/>
  <c r="AB1443" i="3"/>
  <c r="BK555" i="1" s="1"/>
  <c r="AB1237" i="3"/>
  <c r="AB1451" i="3"/>
  <c r="AB1461" i="3"/>
  <c r="AB1483" i="3"/>
  <c r="AB1532" i="3"/>
  <c r="AB452" i="3"/>
  <c r="BK579" i="1" s="1"/>
  <c r="AB157" i="3"/>
  <c r="BK534" i="1" s="1"/>
  <c r="AB115" i="3"/>
  <c r="BK590" i="1" s="1"/>
  <c r="AB291" i="3"/>
  <c r="AB142" i="3"/>
  <c r="AB59" i="3"/>
  <c r="AB379" i="3"/>
  <c r="BK543" i="1" s="1"/>
  <c r="AB73" i="3"/>
  <c r="BK587" i="1" s="1"/>
  <c r="AB278" i="3"/>
  <c r="BK557" i="1" s="1"/>
  <c r="AB56" i="3"/>
  <c r="AB97" i="3"/>
  <c r="AB235" i="3"/>
  <c r="AB113" i="3"/>
  <c r="AB484" i="3"/>
  <c r="AB517" i="3"/>
  <c r="AB343" i="3"/>
  <c r="AB366" i="3"/>
  <c r="BK550" i="1" s="1"/>
  <c r="AB481" i="3"/>
  <c r="AB666" i="3"/>
  <c r="AB172" i="3"/>
  <c r="AB684" i="3"/>
  <c r="AB424" i="3"/>
  <c r="AB685" i="3"/>
  <c r="AB283" i="3"/>
  <c r="AB523" i="3"/>
  <c r="BK638" i="1" s="1"/>
  <c r="AB188" i="3"/>
  <c r="BK595" i="1" s="1"/>
  <c r="AB463" i="3"/>
  <c r="BK601" i="1" s="1"/>
  <c r="AB763" i="3"/>
  <c r="AB454" i="3"/>
  <c r="AB432" i="3"/>
  <c r="BK583" i="1" s="1"/>
  <c r="AB791" i="3"/>
  <c r="AB820" i="3"/>
  <c r="AB836" i="3"/>
  <c r="AB839" i="3"/>
  <c r="AB861" i="3"/>
  <c r="AB868" i="3"/>
  <c r="BK626" i="1" s="1"/>
  <c r="AB876" i="3"/>
  <c r="BK432" i="1" s="1"/>
  <c r="AB381" i="3"/>
  <c r="BK622" i="1" s="1"/>
  <c r="AB908" i="3"/>
  <c r="AB918" i="3"/>
  <c r="AB928" i="3"/>
  <c r="AB947" i="3"/>
  <c r="AB960" i="3"/>
  <c r="AB970" i="3"/>
  <c r="AB253" i="3"/>
  <c r="AB1021" i="3"/>
  <c r="AB595" i="3"/>
  <c r="AB493" i="3"/>
  <c r="AB1032" i="3"/>
  <c r="BB102" i="2" s="1"/>
  <c r="AB1073" i="3"/>
  <c r="AB1036" i="3"/>
  <c r="BK582" i="1" s="1"/>
  <c r="AB295" i="3"/>
  <c r="AB1054" i="3"/>
  <c r="AB1066" i="3"/>
  <c r="BB327" i="2" s="1"/>
  <c r="AB1081" i="3"/>
  <c r="AB1088" i="3"/>
  <c r="AB1091" i="3"/>
  <c r="AB325" i="3"/>
  <c r="AB1117" i="3"/>
  <c r="AB201" i="3"/>
  <c r="AB384" i="3"/>
  <c r="AB449" i="3"/>
  <c r="BK611" i="1" s="1"/>
  <c r="AB1168" i="3"/>
  <c r="AB355" i="3"/>
  <c r="BK627" i="1" s="1"/>
  <c r="AB420" i="3"/>
  <c r="AB1206" i="3"/>
  <c r="BK608" i="1" s="1"/>
  <c r="AB1232" i="3"/>
  <c r="BK624" i="1" s="1"/>
  <c r="AB1238" i="3"/>
  <c r="BK614" i="1" s="1"/>
  <c r="AB1247" i="3"/>
  <c r="BK592" i="1" s="1"/>
  <c r="AB450" i="3"/>
  <c r="BB290" i="2" s="1"/>
  <c r="AB1252" i="3"/>
  <c r="BK671" i="1" s="1"/>
  <c r="AB1253" i="3"/>
  <c r="AB610" i="3"/>
  <c r="AB1261" i="3"/>
  <c r="AB1294" i="3"/>
  <c r="AB1267" i="3"/>
  <c r="AB1268" i="3"/>
  <c r="AB1278" i="3"/>
  <c r="BK612" i="1" s="1"/>
  <c r="AB1279" i="3"/>
  <c r="AB1282" i="3"/>
  <c r="AB1283" i="3"/>
  <c r="AB1291" i="3"/>
  <c r="AB1300" i="3"/>
  <c r="AB1309" i="3"/>
  <c r="AB1311" i="3"/>
  <c r="BK752" i="1" s="1"/>
  <c r="AB1239" i="3"/>
  <c r="AB1316" i="3"/>
  <c r="AB1317" i="3"/>
  <c r="BK581" i="1" s="1"/>
  <c r="AB1318" i="3"/>
  <c r="AB1319" i="3"/>
  <c r="AB1320" i="3"/>
  <c r="AB1322" i="3"/>
  <c r="AB1325" i="3"/>
  <c r="AB1327" i="3"/>
  <c r="AB1336" i="3"/>
  <c r="BK767" i="1" s="1"/>
  <c r="AB1338" i="3"/>
  <c r="AB1339" i="3"/>
  <c r="AB1341" i="3"/>
  <c r="AB1351" i="3"/>
  <c r="AB1353" i="3"/>
  <c r="BB247" i="2" s="1"/>
  <c r="AB1357" i="3"/>
  <c r="BK615" i="1" s="1"/>
  <c r="AB1364" i="3"/>
  <c r="AB1371" i="3"/>
  <c r="AB1365" i="3"/>
  <c r="AB1367" i="3"/>
  <c r="AB1369" i="3"/>
  <c r="AB1372" i="3"/>
  <c r="AB1378" i="3"/>
  <c r="AB1386" i="3"/>
  <c r="AB1387" i="3"/>
  <c r="AB1388" i="3"/>
  <c r="AB1395" i="3"/>
  <c r="AB431" i="3"/>
  <c r="AB1404" i="3"/>
  <c r="AB1411" i="3"/>
  <c r="AB1413" i="3"/>
  <c r="AB1420" i="3"/>
  <c r="AB1424" i="3"/>
  <c r="BB462" i="2" s="1"/>
  <c r="AB1432" i="3"/>
  <c r="AB1434" i="3"/>
  <c r="BB558" i="2" s="1"/>
  <c r="AB1441" i="3"/>
  <c r="AB539" i="3"/>
  <c r="AB1470" i="3"/>
  <c r="AB1442" i="3"/>
  <c r="AB1445" i="3"/>
  <c r="AB1241" i="3"/>
  <c r="BK684" i="1" s="1"/>
  <c r="AB1447" i="3"/>
  <c r="BK536" i="1" s="1"/>
  <c r="AB1455" i="3"/>
  <c r="BK598" i="1" s="1"/>
  <c r="AB1486" i="3"/>
  <c r="BK749" i="1" s="1"/>
  <c r="AB1457" i="3"/>
  <c r="AB1458" i="3"/>
  <c r="AB1460" i="3"/>
  <c r="BK619" i="1" s="1"/>
  <c r="AB344" i="3"/>
  <c r="BK689" i="1" s="1"/>
  <c r="AB1466" i="3"/>
  <c r="AB1465" i="3"/>
  <c r="AB1468" i="3"/>
  <c r="AB1475" i="3"/>
  <c r="AB1476" i="3"/>
  <c r="AB1482" i="3"/>
  <c r="AB1481" i="3"/>
  <c r="AB1484" i="3"/>
  <c r="AB1489" i="3"/>
  <c r="AB1495" i="3"/>
  <c r="AB1496" i="3"/>
  <c r="AB1497" i="3"/>
  <c r="AB1499" i="3"/>
  <c r="AB1503" i="3"/>
  <c r="AB1504" i="3"/>
  <c r="AB1500" i="3"/>
  <c r="AB1508" i="3"/>
  <c r="BK492" i="1" s="1"/>
  <c r="AB1510" i="3"/>
  <c r="AB1242" i="3"/>
  <c r="AB1512" i="3"/>
  <c r="AB1246" i="3"/>
  <c r="AB1514" i="3"/>
  <c r="AB1515" i="3"/>
  <c r="BK679" i="1" s="1"/>
  <c r="AB1518" i="3"/>
  <c r="AB1519" i="3"/>
  <c r="BK605" i="1" s="1"/>
  <c r="AB1520" i="3"/>
  <c r="AB1527" i="3"/>
  <c r="AB1526" i="3"/>
  <c r="AB1543" i="3"/>
  <c r="AB1528" i="3"/>
  <c r="AB374" i="3"/>
  <c r="AB1531" i="3"/>
  <c r="AB1534" i="3"/>
  <c r="AB1540" i="3"/>
  <c r="AB365" i="3"/>
  <c r="AB1542" i="3"/>
  <c r="AB94" i="3"/>
  <c r="AB12" i="3"/>
  <c r="AB36" i="3"/>
  <c r="AB81" i="3"/>
  <c r="AB15" i="3"/>
  <c r="AB95" i="3"/>
  <c r="AB171" i="3"/>
  <c r="BK623" i="1" s="1"/>
  <c r="AB144" i="3"/>
  <c r="AB272" i="3"/>
  <c r="AB169" i="3"/>
  <c r="AB334" i="3"/>
  <c r="AB137" i="3"/>
  <c r="AB299" i="3"/>
  <c r="AB190" i="3"/>
  <c r="BK522" i="1" s="1"/>
  <c r="AB282" i="3"/>
  <c r="BB338" i="2" s="1"/>
  <c r="AB329" i="3"/>
  <c r="AB367" i="3"/>
  <c r="AB162" i="3"/>
  <c r="BK706" i="1" s="1"/>
  <c r="AB85" i="3"/>
  <c r="AB412" i="3"/>
  <c r="AB72" i="3"/>
  <c r="AB421" i="3"/>
  <c r="AB453" i="3"/>
  <c r="AB663" i="3"/>
  <c r="AB304" i="3"/>
  <c r="AB186" i="3"/>
  <c r="BK682" i="1" s="1"/>
  <c r="AB492" i="3"/>
  <c r="AB265" i="3"/>
  <c r="AB164" i="3"/>
  <c r="AB356" i="3"/>
  <c r="AB808" i="3"/>
  <c r="AB445" i="3"/>
  <c r="AB810" i="3"/>
  <c r="AB949" i="3"/>
  <c r="AB950" i="3"/>
  <c r="AB582" i="3"/>
  <c r="BK486" i="1" s="1"/>
  <c r="AB1003" i="3"/>
  <c r="AB1019" i="3"/>
  <c r="AB318" i="3"/>
  <c r="AB125" i="3"/>
  <c r="BK696" i="1" s="1"/>
  <c r="AB1116" i="3"/>
  <c r="AB1181" i="3"/>
  <c r="AB1190" i="3"/>
  <c r="AB551" i="3"/>
  <c r="BK703" i="1" s="1"/>
  <c r="AB511" i="3"/>
  <c r="AB439" i="3"/>
  <c r="BK631" i="1" s="1"/>
  <c r="AB109" i="3"/>
  <c r="AB580" i="3"/>
  <c r="AB1304" i="3"/>
  <c r="BK585" i="1" s="1"/>
  <c r="AB1324" i="3"/>
  <c r="BK642" i="1" s="1"/>
  <c r="AB1377" i="3"/>
  <c r="AB1408" i="3"/>
  <c r="AB1423" i="3"/>
  <c r="AB1517" i="3"/>
  <c r="AB26" i="3"/>
  <c r="AB55" i="3"/>
  <c r="AB167" i="3"/>
  <c r="AB28" i="3"/>
  <c r="BK643" i="1" s="1"/>
  <c r="AB123" i="3"/>
  <c r="AB258" i="3"/>
  <c r="AB76" i="3"/>
  <c r="AB422" i="3"/>
  <c r="AB207" i="3"/>
  <c r="AB239" i="3"/>
  <c r="AB154" i="3"/>
  <c r="AB189" i="3"/>
  <c r="AB338" i="3"/>
  <c r="AB326" i="3"/>
  <c r="AB173" i="3"/>
  <c r="BK717" i="1" s="1"/>
  <c r="AB330" i="3"/>
  <c r="AB130" i="3"/>
  <c r="AB232" i="3"/>
  <c r="AB309" i="3"/>
  <c r="AB550" i="3"/>
  <c r="BK629" i="1" s="1"/>
  <c r="AB674" i="3"/>
  <c r="BK488" i="1" s="1"/>
  <c r="AB687" i="3"/>
  <c r="BK712" i="1" s="1"/>
  <c r="AB360" i="3"/>
  <c r="AB542" i="3"/>
  <c r="AB244" i="3"/>
  <c r="AB564" i="3"/>
  <c r="AB378" i="3"/>
  <c r="AB1245" i="3"/>
  <c r="AB127" i="3"/>
  <c r="AB532" i="3"/>
  <c r="AB161" i="3"/>
  <c r="BB717" i="2" s="1"/>
  <c r="AB557" i="3"/>
  <c r="AB160" i="3"/>
  <c r="BK578" i="1" s="1"/>
  <c r="AB315" i="3"/>
  <c r="BK487" i="1" s="1"/>
  <c r="AB62" i="3"/>
  <c r="AB288" i="3"/>
  <c r="AB151" i="3"/>
  <c r="BK618" i="1" s="1"/>
  <c r="AB640" i="3"/>
  <c r="AB436" i="3"/>
  <c r="AB1022" i="3"/>
  <c r="AB415" i="3"/>
  <c r="AB61" i="3"/>
  <c r="AB558" i="3"/>
  <c r="AB729" i="3"/>
  <c r="AB575" i="3"/>
  <c r="AB466" i="3"/>
  <c r="BB497" i="2" s="1"/>
  <c r="AB321" i="3"/>
  <c r="AB570" i="3"/>
  <c r="AB267" i="3"/>
  <c r="BK729" i="1" s="1"/>
  <c r="AB297" i="3"/>
  <c r="AB322" i="3"/>
  <c r="AB760" i="3"/>
  <c r="AB817" i="3"/>
  <c r="AB508" i="3"/>
  <c r="AB883" i="3"/>
  <c r="AB916" i="3"/>
  <c r="AB592" i="3"/>
  <c r="BK736" i="1" s="1"/>
  <c r="AB958" i="3"/>
  <c r="AB1010" i="3"/>
  <c r="AB1285" i="3"/>
  <c r="AB1298" i="3"/>
  <c r="AB1038" i="3"/>
  <c r="AB357" i="3"/>
  <c r="BK759" i="1" s="1"/>
  <c r="AB1079" i="3"/>
  <c r="AB1030" i="3"/>
  <c r="AB1153" i="3"/>
  <c r="AB1156" i="3"/>
  <c r="BK663" i="1" s="1"/>
  <c r="AB1179" i="3"/>
  <c r="AB465" i="3"/>
  <c r="AB1125" i="3"/>
  <c r="AB418" i="3"/>
  <c r="AB498" i="3"/>
  <c r="AB1216" i="3"/>
  <c r="BK574" i="1" s="1"/>
  <c r="AB1234" i="3"/>
  <c r="AB327" i="3"/>
  <c r="AB1269" i="3"/>
  <c r="AB1302" i="3"/>
  <c r="AB1342" i="3"/>
  <c r="AB1356" i="3"/>
  <c r="AB1310" i="3"/>
  <c r="BB685" i="2" s="1"/>
  <c r="AB1359" i="3"/>
  <c r="BB118" i="2" s="1"/>
  <c r="AB1368" i="3"/>
  <c r="AB1361" i="3"/>
  <c r="AB1380" i="3"/>
  <c r="AB1375" i="3"/>
  <c r="BB556" i="2" s="1"/>
  <c r="AB1383" i="3"/>
  <c r="BK665" i="1" s="1"/>
  <c r="AB1382" i="3"/>
  <c r="AB1389" i="3"/>
  <c r="AB48" i="3"/>
  <c r="AB1401" i="3"/>
  <c r="AB1418" i="3"/>
  <c r="AB1421" i="3"/>
  <c r="AB1477" i="3"/>
  <c r="AB1454" i="3"/>
  <c r="AB21" i="3"/>
  <c r="BK645" i="1" s="1"/>
  <c r="AB1513" i="3"/>
  <c r="AB252" i="3"/>
  <c r="BK771" i="1" s="1"/>
  <c r="AB60" i="3"/>
  <c r="AB179" i="3"/>
  <c r="AB88" i="3"/>
  <c r="BK709" i="1" s="1"/>
  <c r="AB100" i="3"/>
  <c r="BK748" i="1" s="1"/>
  <c r="AB241" i="3"/>
  <c r="AB286" i="3"/>
  <c r="BK772" i="1" s="1"/>
  <c r="AB274" i="3"/>
  <c r="BK672" i="1" s="1"/>
  <c r="AB226" i="3"/>
  <c r="AB168" i="3"/>
  <c r="BK683" i="1" s="1"/>
  <c r="AB150" i="3"/>
  <c r="BK438" i="1" s="1"/>
  <c r="AB174" i="3"/>
  <c r="BK727" i="1" s="1"/>
  <c r="AB392" i="3"/>
  <c r="AB104" i="3"/>
  <c r="AB40" i="3"/>
  <c r="BK779" i="1" s="1"/>
  <c r="AB287" i="3"/>
  <c r="AB482" i="3"/>
  <c r="AB351" i="3"/>
  <c r="AB277" i="3"/>
  <c r="BK497" i="1" s="1"/>
  <c r="AB181" i="3"/>
  <c r="AB146" i="3"/>
  <c r="AB111" i="3"/>
  <c r="BK742" i="1" s="1"/>
  <c r="AB602" i="3"/>
  <c r="AB386" i="3"/>
  <c r="BK685" i="1" s="1"/>
  <c r="AB292" i="3"/>
  <c r="BK482" i="1" s="1"/>
  <c r="AB140" i="3"/>
  <c r="BK718" i="1" s="1"/>
  <c r="AB75" i="3"/>
  <c r="AB629" i="3"/>
  <c r="AB331" i="3"/>
  <c r="AB715" i="3"/>
  <c r="AB308" i="3"/>
  <c r="AB648" i="3"/>
  <c r="AB409" i="3"/>
  <c r="BK738" i="1" s="1"/>
  <c r="AB131" i="3"/>
  <c r="AB655" i="3"/>
  <c r="AB561" i="3"/>
  <c r="AB269" i="3"/>
  <c r="AB559" i="3"/>
  <c r="AB335" i="3"/>
  <c r="AB1144" i="3"/>
  <c r="BK675" i="1" s="1"/>
  <c r="AB518" i="3"/>
  <c r="AB598" i="3"/>
  <c r="AB440" i="3"/>
  <c r="AB1174" i="3"/>
  <c r="BK456" i="1" s="1"/>
  <c r="AB576" i="3"/>
  <c r="BK707" i="1" s="1"/>
  <c r="AB368" i="3"/>
  <c r="BK651" i="1" s="1"/>
  <c r="AB350" i="3"/>
  <c r="AB1296" i="3"/>
  <c r="AB758" i="3"/>
  <c r="AB778" i="3"/>
  <c r="AB489" i="3"/>
  <c r="AB792" i="3"/>
  <c r="AB521" i="3"/>
  <c r="AB864" i="3"/>
  <c r="AB408" i="3"/>
  <c r="AB922" i="3"/>
  <c r="AB1028" i="3"/>
  <c r="AB1362" i="3"/>
  <c r="AB301" i="3"/>
  <c r="AB1428" i="3"/>
  <c r="AB1042" i="3"/>
  <c r="AB1056" i="3"/>
  <c r="BB242" i="2" s="1"/>
  <c r="AB510" i="3"/>
  <c r="AB1114" i="3"/>
  <c r="AB443" i="3"/>
  <c r="AB609" i="3"/>
  <c r="AB1213" i="3"/>
  <c r="AB1250" i="3"/>
  <c r="BB246" i="2" s="1"/>
  <c r="AB1306" i="3"/>
  <c r="AB1328" i="3"/>
  <c r="AB1333" i="3"/>
  <c r="AB1384" i="3"/>
  <c r="AB1427" i="3"/>
  <c r="AB359" i="3"/>
  <c r="AB1422" i="3"/>
  <c r="AB1435" i="3"/>
  <c r="AB1448" i="3"/>
  <c r="AB1444" i="3"/>
  <c r="AB599" i="3"/>
  <c r="AB1463" i="3"/>
  <c r="AB1541" i="3"/>
  <c r="AB1472" i="3"/>
  <c r="AB141" i="3"/>
  <c r="BK653" i="1" s="1"/>
  <c r="AB27" i="3"/>
  <c r="AB124" i="3"/>
  <c r="AB90" i="3"/>
  <c r="AB17" i="3"/>
  <c r="AB30" i="3"/>
  <c r="AB260" i="3"/>
  <c r="AB402" i="3"/>
  <c r="AB372" i="3"/>
  <c r="AB132" i="3"/>
  <c r="AB303" i="3"/>
  <c r="AB634" i="3"/>
  <c r="AB205" i="3"/>
  <c r="AB363" i="3"/>
  <c r="AB39" i="3"/>
  <c r="AB446" i="3"/>
  <c r="AB403" i="3"/>
  <c r="AB525" i="3"/>
  <c r="BK434" i="1" s="1"/>
  <c r="AB419" i="3"/>
  <c r="BB735" i="2" s="1"/>
  <c r="AB105" i="3"/>
  <c r="AB238" i="3"/>
  <c r="BB714" i="2" s="1"/>
  <c r="AB488" i="3"/>
  <c r="AB220" i="3"/>
  <c r="AB464" i="3"/>
  <c r="AB689" i="3"/>
  <c r="BK714" i="1" s="1"/>
  <c r="AB54" i="3"/>
  <c r="AB385" i="3"/>
  <c r="AB923" i="3"/>
  <c r="AB524" i="3"/>
  <c r="AB107" i="3"/>
  <c r="AB522" i="3"/>
  <c r="AB961" i="3"/>
  <c r="AB991" i="3"/>
  <c r="AB426" i="3"/>
  <c r="AB586" i="3"/>
  <c r="BK715" i="1" s="1"/>
  <c r="AB217" i="3"/>
  <c r="AB1110" i="3"/>
  <c r="AB1347" i="3"/>
  <c r="AB569" i="3"/>
  <c r="AB1438" i="3"/>
  <c r="AB1171" i="3"/>
  <c r="BK768" i="1" s="1"/>
  <c r="AB383" i="3"/>
  <c r="AB1169" i="3"/>
  <c r="AB1273" i="3"/>
  <c r="AB1203" i="3"/>
  <c r="BB411" i="2" s="1"/>
  <c r="AB479" i="3"/>
  <c r="AB581" i="3"/>
  <c r="AB1288" i="3"/>
  <c r="AB47" i="3"/>
  <c r="AB1350" i="3"/>
  <c r="AB1313" i="3"/>
  <c r="AB1400" i="3"/>
  <c r="AB1332" i="3"/>
  <c r="BB88" i="2" s="1"/>
  <c r="AB1405" i="3"/>
  <c r="AB1415" i="3"/>
  <c r="AB1429" i="3"/>
  <c r="AB1480" i="3"/>
  <c r="AB1407" i="3"/>
  <c r="AB193" i="3"/>
  <c r="BK699" i="1" s="1"/>
  <c r="AB1492" i="3"/>
  <c r="AB165" i="3"/>
  <c r="BK489" i="1" s="1"/>
  <c r="AB84" i="3"/>
  <c r="AB31" i="3"/>
  <c r="AB1494" i="3"/>
  <c r="AB5" i="3"/>
  <c r="AB16" i="3"/>
  <c r="AB29" i="3"/>
  <c r="BK648" i="1" s="1"/>
  <c r="AB110" i="3"/>
  <c r="AB71" i="3"/>
  <c r="AB24" i="3"/>
  <c r="AB243" i="3"/>
  <c r="BK745" i="1" s="1"/>
  <c r="AB63" i="3"/>
  <c r="AB58" i="3"/>
  <c r="AB38" i="3"/>
  <c r="AB80" i="3"/>
  <c r="AB37" i="3"/>
  <c r="AB211" i="3"/>
  <c r="AB234" i="3"/>
  <c r="BB76" i="2" s="1"/>
  <c r="AB223" i="3"/>
  <c r="AB578" i="3"/>
  <c r="AB70" i="3"/>
  <c r="BB700" i="2" s="1"/>
  <c r="AB43" i="3"/>
  <c r="BK635" i="1" s="1"/>
  <c r="AB204" i="3"/>
  <c r="AB44" i="3"/>
  <c r="AB361" i="3"/>
  <c r="AB250" i="3"/>
  <c r="BK639" i="1" s="1"/>
  <c r="AB82" i="3"/>
  <c r="AB77" i="3"/>
  <c r="AB153" i="3"/>
  <c r="AB159" i="3"/>
  <c r="AB195" i="3"/>
  <c r="AB256" i="3"/>
  <c r="BK650" i="1" s="1"/>
  <c r="AB400" i="3"/>
  <c r="AB264" i="3"/>
  <c r="AB206" i="3"/>
  <c r="AB266" i="3"/>
  <c r="AB307" i="3"/>
  <c r="AB425" i="3"/>
  <c r="BK720" i="1" s="1"/>
  <c r="AB496" i="3"/>
  <c r="AB413" i="3"/>
  <c r="AB14" i="3"/>
  <c r="AB626" i="3"/>
  <c r="AB630" i="3"/>
  <c r="AB653" i="3"/>
  <c r="AB693" i="3"/>
  <c r="AB706" i="3"/>
  <c r="AB429" i="3"/>
  <c r="AB353" i="3"/>
  <c r="AB764" i="3"/>
  <c r="BK179" i="1" s="1"/>
  <c r="AB768" i="3"/>
  <c r="AB314" i="3"/>
  <c r="BK669" i="1" s="1"/>
  <c r="AB795" i="3"/>
  <c r="AB819" i="3"/>
  <c r="AB1106" i="3"/>
  <c r="AB777" i="3"/>
  <c r="AB388" i="3"/>
  <c r="AB152" i="3"/>
  <c r="AB1001" i="3"/>
  <c r="AB1013" i="3"/>
  <c r="BB584" i="2" s="1"/>
  <c r="AB213" i="3"/>
  <c r="BK670" i="1" s="1"/>
  <c r="AB49" i="3"/>
  <c r="BB435" i="2" s="1"/>
  <c r="AB66" i="3"/>
  <c r="AB182" i="3"/>
  <c r="BB567" i="2" s="1"/>
  <c r="AB139" i="3"/>
  <c r="BK686" i="1" s="1"/>
  <c r="AB218" i="3"/>
  <c r="AB247" i="3"/>
  <c r="AB129" i="3"/>
  <c r="AB619" i="3"/>
  <c r="BK763" i="1" s="1"/>
  <c r="AB135" i="3"/>
  <c r="AB487" i="3"/>
  <c r="BB276" i="2" s="1"/>
  <c r="AB430" i="3"/>
  <c r="BK494" i="1" s="1"/>
  <c r="AB405" i="3"/>
  <c r="AB296" i="3"/>
  <c r="AB354" i="3"/>
  <c r="AB613" i="3"/>
  <c r="AB407" i="3"/>
  <c r="AB215" i="3"/>
  <c r="AB637" i="3"/>
  <c r="AB474" i="3"/>
  <c r="BK701" i="1" s="1"/>
  <c r="AB509" i="3"/>
  <c r="BK655" i="1" s="1"/>
  <c r="AB614" i="3"/>
  <c r="AB210" i="3"/>
  <c r="AB261" i="3"/>
  <c r="BB379" i="2" s="1"/>
  <c r="AB490" i="3"/>
  <c r="AB472" i="3"/>
  <c r="AB342" i="3"/>
  <c r="BB389" i="2" s="1"/>
  <c r="AB233" i="3"/>
  <c r="AB601" i="3"/>
  <c r="BK753" i="1" s="1"/>
  <c r="AB547" i="3"/>
  <c r="AB623" i="3"/>
  <c r="AB618" i="3"/>
  <c r="AB625" i="3"/>
  <c r="AB627" i="3"/>
  <c r="BK647" i="1" s="1"/>
  <c r="AB611" i="3"/>
  <c r="BK480" i="1" s="1"/>
  <c r="AB533" i="3"/>
  <c r="AB376" i="3"/>
  <c r="AB480" i="3"/>
  <c r="AB631" i="3"/>
  <c r="AB635" i="3"/>
  <c r="AB632" i="3"/>
  <c r="BB474" i="2" s="1"/>
  <c r="AB546" i="3"/>
  <c r="AB633" i="3"/>
  <c r="AB145" i="3"/>
  <c r="AB519" i="3"/>
  <c r="AB236" i="3"/>
  <c r="BK654" i="1" s="1"/>
  <c r="AB650" i="3"/>
  <c r="AB645" i="3"/>
  <c r="AB646" i="3"/>
  <c r="AB647" i="3"/>
  <c r="AB651" i="3"/>
  <c r="BK758" i="1" s="1"/>
  <c r="AB654" i="3"/>
  <c r="AB670" i="3"/>
  <c r="AB410" i="3"/>
  <c r="AB673" i="3"/>
  <c r="BK769" i="1" s="1"/>
  <c r="AB565" i="3"/>
  <c r="AB1248" i="3"/>
  <c r="AB659" i="3"/>
  <c r="AB660" i="3"/>
  <c r="AB676" i="3"/>
  <c r="AB658" i="3"/>
  <c r="BB352" i="2" s="1"/>
  <c r="AB662" i="3"/>
  <c r="BK122" i="1" s="1"/>
  <c r="AB681" i="3"/>
  <c r="AB667" i="3"/>
  <c r="BK657" i="1" s="1"/>
  <c r="AB665" i="3"/>
  <c r="AB668" i="3"/>
  <c r="BK750" i="1" s="1"/>
  <c r="AB669" i="3"/>
  <c r="AB671" i="3"/>
  <c r="AB695" i="3"/>
  <c r="BK690" i="1" s="1"/>
  <c r="AB672" i="3"/>
  <c r="AB705" i="3"/>
  <c r="AB678" i="3"/>
  <c r="AB675" i="3"/>
  <c r="BK131" i="1" s="1"/>
  <c r="AB680" i="3"/>
  <c r="AB721" i="3"/>
  <c r="AB682" i="3"/>
  <c r="AB548" i="3"/>
  <c r="AB552" i="3"/>
  <c r="AB691" i="3"/>
  <c r="BB494" i="2" s="1"/>
  <c r="AB692" i="3"/>
  <c r="BB315" i="2" s="1"/>
  <c r="AB694" i="3"/>
  <c r="BK770" i="1" s="1"/>
  <c r="AB742" i="3"/>
  <c r="BK634" i="1" s="1"/>
  <c r="AB702" i="3"/>
  <c r="BK711" i="1" s="1"/>
  <c r="AB698" i="3"/>
  <c r="AB605" i="3"/>
  <c r="AB710" i="3"/>
  <c r="AB713" i="3"/>
  <c r="AB714" i="3"/>
  <c r="AB703" i="3"/>
  <c r="AB704" i="3"/>
  <c r="AB708" i="3"/>
  <c r="BB524" i="2" s="1"/>
  <c r="AB723" i="3"/>
  <c r="BK756" i="1" s="1"/>
  <c r="AB725" i="3"/>
  <c r="AB483" i="3"/>
  <c r="AB732" i="3"/>
  <c r="AB736" i="3"/>
  <c r="BK475" i="1" s="1"/>
  <c r="AB718" i="3"/>
  <c r="AB726" i="3"/>
  <c r="BB146" i="2" s="1"/>
  <c r="AB731" i="3"/>
  <c r="BB419" i="2" s="1"/>
  <c r="AB737" i="3"/>
  <c r="AB754" i="3"/>
  <c r="AB738" i="3"/>
  <c r="BK163" i="1" s="1"/>
  <c r="AB739" i="3"/>
  <c r="AB744" i="3"/>
  <c r="AB756" i="3"/>
  <c r="AB745" i="3"/>
  <c r="BK781" i="1" s="1"/>
  <c r="AB740" i="3"/>
  <c r="AB743" i="3"/>
  <c r="AB544" i="3"/>
  <c r="AB504" i="3"/>
  <c r="AB747" i="3"/>
  <c r="AB773" i="3"/>
  <c r="AB748" i="3"/>
  <c r="AB749" i="3"/>
  <c r="AB750" i="3"/>
  <c r="BB326" i="2" s="1"/>
  <c r="AB607" i="3"/>
  <c r="AB752" i="3"/>
  <c r="BK678" i="1" s="1"/>
  <c r="AB755" i="3"/>
  <c r="AB784" i="3"/>
  <c r="BK780" i="1" s="1"/>
  <c r="AB781" i="3"/>
  <c r="BK446" i="1" s="1"/>
  <c r="AB759" i="3"/>
  <c r="AB762" i="3"/>
  <c r="BK723" i="1" s="1"/>
  <c r="AB767" i="3"/>
  <c r="AB757" i="3"/>
  <c r="AB770" i="3"/>
  <c r="BB732" i="2" s="1"/>
  <c r="AB774" i="3"/>
  <c r="AB785" i="3"/>
  <c r="BK668" i="1" s="1"/>
  <c r="AB772" i="3"/>
  <c r="AB775" i="3"/>
  <c r="AB604" i="3"/>
  <c r="AB780" i="3"/>
  <c r="BK114" i="1" s="1"/>
  <c r="AB800" i="3"/>
  <c r="AB801" i="3"/>
  <c r="AB776" i="3"/>
  <c r="AB782" i="3"/>
  <c r="AB812" i="3"/>
  <c r="AB779" i="3"/>
  <c r="AB814" i="3"/>
  <c r="BK428" i="1" s="1"/>
  <c r="AB783" i="3"/>
  <c r="AB787" i="3"/>
  <c r="AB794" i="3"/>
  <c r="BK146" i="1" s="1"/>
  <c r="AB789" i="3"/>
  <c r="AB788" i="3"/>
  <c r="BB372" i="2" s="1"/>
  <c r="AB798" i="3"/>
  <c r="AB830" i="3"/>
  <c r="AB806" i="3"/>
  <c r="AB833" i="3"/>
  <c r="BK658" i="1" s="1"/>
  <c r="AB807" i="3"/>
  <c r="AB796" i="3"/>
  <c r="AB813" i="3"/>
  <c r="AB797" i="3"/>
  <c r="AB803" i="3"/>
  <c r="AB540" i="3"/>
  <c r="AB816" i="3"/>
  <c r="AB818" i="3"/>
  <c r="BK760" i="1" s="1"/>
  <c r="AB842" i="3"/>
  <c r="AB822" i="3"/>
  <c r="AB826" i="3"/>
  <c r="AB821" i="3"/>
  <c r="AB560" i="3"/>
  <c r="BK652" i="1" s="1"/>
  <c r="AB828" i="3"/>
  <c r="AB827" i="3"/>
  <c r="AB834" i="3"/>
  <c r="AB835" i="3"/>
  <c r="AB838" i="3"/>
  <c r="AB853" i="3"/>
  <c r="AB495" i="3"/>
  <c r="AB860" i="3"/>
  <c r="BK493" i="1" s="1"/>
  <c r="AB846" i="3"/>
  <c r="AB843" i="3"/>
  <c r="AB847" i="3"/>
  <c r="AB849" i="3"/>
  <c r="BK481" i="1" s="1"/>
  <c r="AB852" i="3"/>
  <c r="AB848" i="3"/>
  <c r="BB295" i="2" s="1"/>
  <c r="AB871" i="3"/>
  <c r="AB850" i="3"/>
  <c r="AB851" i="3"/>
  <c r="BK100" i="1" s="1"/>
  <c r="AB857" i="3"/>
  <c r="AB859" i="3"/>
  <c r="AB862" i="3"/>
  <c r="AB863" i="3"/>
  <c r="BK119" i="1" s="1"/>
  <c r="AB866" i="3"/>
  <c r="BK688" i="1" s="1"/>
  <c r="AB869" i="3"/>
  <c r="BB480" i="2" s="1"/>
  <c r="AB872" i="3"/>
  <c r="BK436" i="1" s="1"/>
  <c r="AB874" i="3"/>
  <c r="AB873" i="3"/>
  <c r="AB899" i="3"/>
  <c r="AB875" i="3"/>
  <c r="AB877" i="3"/>
  <c r="AB878" i="3"/>
  <c r="AB879" i="3"/>
  <c r="AB881" i="3"/>
  <c r="AB884" i="3"/>
  <c r="AB885" i="3"/>
  <c r="AB886" i="3"/>
  <c r="BK633" i="1" s="1"/>
  <c r="AB887" i="3"/>
  <c r="AB880" i="3"/>
  <c r="AB891" i="3"/>
  <c r="AB892" i="3"/>
  <c r="AB895" i="3"/>
  <c r="BK731" i="1" s="1"/>
  <c r="AB902" i="3"/>
  <c r="AB904" i="3"/>
  <c r="AB898" i="3"/>
  <c r="AB901" i="3"/>
  <c r="BK762" i="1" s="1"/>
  <c r="AB894" i="3"/>
  <c r="BB403" i="2" s="1"/>
  <c r="AB903" i="3"/>
  <c r="AB1249" i="3"/>
  <c r="AB905" i="3"/>
  <c r="AB906" i="3"/>
  <c r="AB909" i="3"/>
  <c r="BK476" i="1" s="1"/>
  <c r="AB910" i="3"/>
  <c r="BK232" i="1" s="1"/>
  <c r="AB911" i="3"/>
  <c r="BK719" i="1" s="1"/>
  <c r="AB912" i="3"/>
  <c r="AB917" i="3"/>
  <c r="BB695" i="2" s="1"/>
  <c r="AB914" i="3"/>
  <c r="AB931" i="3"/>
  <c r="BK620" i="1" s="1"/>
  <c r="AB919" i="3"/>
  <c r="AB924" i="3"/>
  <c r="AB925" i="3"/>
  <c r="BK258" i="1" s="1"/>
  <c r="AB921" i="3"/>
  <c r="AB936" i="3"/>
  <c r="BK778" i="1" s="1"/>
  <c r="AB920" i="3"/>
  <c r="AB934" i="3"/>
  <c r="AB926" i="3"/>
  <c r="AB929" i="3"/>
  <c r="AB939" i="3"/>
  <c r="AB930" i="3"/>
  <c r="AB943" i="3"/>
  <c r="AB932" i="3"/>
  <c r="AB935" i="3"/>
  <c r="BK728" i="1" s="1"/>
  <c r="AB965" i="3"/>
  <c r="AB944" i="3"/>
  <c r="AB968" i="3"/>
  <c r="AB941" i="3"/>
  <c r="AB948" i="3"/>
  <c r="BK429" i="1" s="1"/>
  <c r="AB981" i="3"/>
  <c r="BK773" i="1" s="1"/>
  <c r="AB955" i="3"/>
  <c r="AB953" i="3"/>
  <c r="AB954" i="3"/>
  <c r="BK751" i="1" s="1"/>
  <c r="AB956" i="3"/>
  <c r="AB957" i="3"/>
  <c r="AB951" i="3"/>
  <c r="AB959" i="3"/>
  <c r="AB966" i="3"/>
  <c r="BK630" i="1" s="1"/>
  <c r="AB971" i="3"/>
  <c r="AB962" i="3"/>
  <c r="BB244" i="2" s="1"/>
  <c r="AB974" i="3"/>
  <c r="BK483" i="1" s="1"/>
  <c r="AB978" i="3"/>
  <c r="AB1000" i="3"/>
  <c r="AB982" i="3"/>
  <c r="AB979" i="3"/>
  <c r="BK311" i="1" s="1"/>
  <c r="AB984" i="3"/>
  <c r="AB985" i="3"/>
  <c r="BK366" i="1" s="1"/>
  <c r="AB987" i="3"/>
  <c r="BK697" i="1" s="1"/>
  <c r="AB988" i="3"/>
  <c r="BK691" i="1" s="1"/>
  <c r="AB990" i="3"/>
  <c r="BK602" i="1" s="1"/>
  <c r="AB1005" i="3"/>
  <c r="BK730" i="1" s="1"/>
  <c r="AB996" i="3"/>
  <c r="AB998" i="3"/>
  <c r="BK777" i="1" s="1"/>
  <c r="AB999" i="3"/>
  <c r="AB997" i="3"/>
  <c r="AB1007" i="3"/>
  <c r="BK775" i="1" s="1"/>
  <c r="AB1002" i="3"/>
  <c r="AB1006" i="3"/>
  <c r="BK680" i="1" s="1"/>
  <c r="AB1004" i="3"/>
  <c r="AB1033" i="3"/>
  <c r="AB1008" i="3"/>
  <c r="AB1011" i="3"/>
  <c r="BK329" i="1" s="1"/>
  <c r="AB1012" i="3"/>
  <c r="AB1015" i="3"/>
  <c r="BK473" i="1" s="1"/>
  <c r="AB1009" i="3"/>
  <c r="BB336" i="2" s="1"/>
  <c r="AB1016" i="3"/>
  <c r="BK641" i="1" s="1"/>
  <c r="AB1035" i="3"/>
  <c r="AB1251" i="3"/>
  <c r="AB1040" i="3"/>
  <c r="BK444" i="1" s="1"/>
  <c r="AB1014" i="3"/>
  <c r="AB1018" i="3"/>
  <c r="AB1023" i="3"/>
  <c r="BK336" i="1" s="1"/>
  <c r="AB1024" i="3"/>
  <c r="AB1029" i="3"/>
  <c r="AB545" i="3"/>
  <c r="AB1048" i="3"/>
  <c r="AB1031" i="3"/>
  <c r="BB590" i="2" s="1"/>
  <c r="AB603" i="3"/>
  <c r="AB1034" i="3"/>
  <c r="AB1047" i="3"/>
  <c r="AB1043" i="3"/>
  <c r="AB1052" i="3"/>
  <c r="BK379" i="1" s="1"/>
  <c r="AB1045" i="3"/>
  <c r="BK347" i="1" s="1"/>
  <c r="AB1053" i="3"/>
  <c r="AB1051" i="3"/>
  <c r="AB1060" i="3"/>
  <c r="AB1057" i="3"/>
  <c r="BB712" i="2" s="1"/>
  <c r="AB1062" i="3"/>
  <c r="AB1058" i="3"/>
  <c r="BB433" i="2" s="1"/>
  <c r="AB1063" i="3"/>
  <c r="AB1061" i="3"/>
  <c r="AB1065" i="3"/>
  <c r="BK359" i="1" s="1"/>
  <c r="AB1070" i="3"/>
  <c r="AB1068" i="3"/>
  <c r="AB1071" i="3"/>
  <c r="AB1072" i="3"/>
  <c r="AB1074" i="3"/>
  <c r="AB1075" i="3"/>
  <c r="BB443" i="2" s="1"/>
  <c r="AB1078" i="3"/>
  <c r="AB1082" i="3"/>
  <c r="BK656" i="1" s="1"/>
  <c r="AB1087" i="3"/>
  <c r="AB1080" i="3"/>
  <c r="BB266" i="2" s="1"/>
  <c r="AB1083" i="3"/>
  <c r="AB1089" i="3"/>
  <c r="BB182" i="2" s="1"/>
  <c r="AB1090" i="3"/>
  <c r="BB555" i="2" s="1"/>
  <c r="AB1092" i="3"/>
  <c r="AB1097" i="3"/>
  <c r="BK677" i="1" s="1"/>
  <c r="AB444" i="3"/>
  <c r="AB1093" i="3"/>
  <c r="AB1094" i="3"/>
  <c r="BB425" i="2" s="1"/>
  <c r="AB1095" i="3"/>
  <c r="AB1096" i="3"/>
  <c r="BB538" i="2" s="1"/>
  <c r="AB1101" i="3"/>
  <c r="AB1098" i="3"/>
  <c r="AB1100" i="3"/>
  <c r="AB1103" i="3"/>
  <c r="AB1102" i="3"/>
  <c r="AB1104" i="3"/>
  <c r="AB1109" i="3"/>
  <c r="AB1107" i="3"/>
  <c r="BB656" i="2" s="1"/>
  <c r="AB1108" i="3"/>
  <c r="BB483" i="2" s="1"/>
  <c r="AB1118" i="3"/>
  <c r="AB1123" i="3"/>
  <c r="AB1124" i="3"/>
  <c r="AB1122" i="3"/>
  <c r="AB1130" i="3"/>
  <c r="AB1127" i="3"/>
  <c r="AB1129" i="3"/>
  <c r="AB1131" i="3"/>
  <c r="AB1137" i="3"/>
  <c r="AB1139" i="3"/>
  <c r="AB1134" i="3"/>
  <c r="AB1132" i="3"/>
  <c r="BB252" i="2" s="1"/>
  <c r="AB1135" i="3"/>
  <c r="AB1140" i="3"/>
  <c r="AB1136" i="3"/>
  <c r="AB1133" i="3"/>
  <c r="AB1146" i="3"/>
  <c r="AB1145" i="3"/>
  <c r="AB1138" i="3"/>
  <c r="AB1143" i="3"/>
  <c r="AB1148" i="3"/>
  <c r="AB1150" i="3"/>
  <c r="AB1147" i="3"/>
  <c r="AB1152" i="3"/>
  <c r="BK217" i="1" s="1"/>
  <c r="AB1151" i="3"/>
  <c r="AB1155" i="3"/>
  <c r="BK413" i="1" s="1"/>
  <c r="AB1157" i="3"/>
  <c r="AB1158" i="3"/>
  <c r="AB1160" i="3"/>
  <c r="BB289" i="2" s="1"/>
  <c r="AB1161" i="3"/>
  <c r="BK418" i="1" s="1"/>
  <c r="AB1165" i="3"/>
  <c r="AB1166" i="3"/>
  <c r="AB1170" i="3"/>
  <c r="AB1173" i="3"/>
  <c r="AB1175" i="3"/>
  <c r="BB496" i="2" s="1"/>
  <c r="AB1178" i="3"/>
  <c r="AB1176" i="3"/>
  <c r="AB1182" i="3"/>
  <c r="BK426" i="1" s="1"/>
  <c r="AB1183" i="3"/>
  <c r="AA41" i="3"/>
  <c r="AA1185" i="3"/>
  <c r="BJ501" i="1" s="1"/>
  <c r="AA1184" i="3"/>
  <c r="BJ500" i="1" s="1"/>
  <c r="AA1186" i="3"/>
  <c r="BJ430" i="1" s="1"/>
  <c r="AA32" i="3"/>
  <c r="AA1188" i="3"/>
  <c r="AA122" i="3"/>
  <c r="AA149" i="3"/>
  <c r="AA1187" i="3"/>
  <c r="AA35" i="3"/>
  <c r="AA13" i="3"/>
  <c r="AA1189" i="3"/>
  <c r="AA34" i="3"/>
  <c r="BJ504" i="1" s="1"/>
  <c r="AA225" i="3"/>
  <c r="AA166" i="3"/>
  <c r="AA184" i="3"/>
  <c r="AA1193" i="3"/>
  <c r="AA242" i="3"/>
  <c r="BJ506" i="1" s="1"/>
  <c r="AA333" i="3"/>
  <c r="AA316" i="3"/>
  <c r="AA1194" i="3"/>
  <c r="AA394" i="3"/>
  <c r="BJ507" i="1" s="1"/>
  <c r="AA1195" i="3"/>
  <c r="AA237" i="3"/>
  <c r="BA12" i="2" s="1"/>
  <c r="AA1198" i="3"/>
  <c r="AA1196" i="3"/>
  <c r="AA1199" i="3"/>
  <c r="AA1200" i="3"/>
  <c r="AA1202" i="3"/>
  <c r="AA1201" i="3"/>
  <c r="BJ502" i="1" s="1"/>
  <c r="AA116" i="3"/>
  <c r="BJ526" i="1" s="1"/>
  <c r="AA208" i="3"/>
  <c r="BJ533" i="1" s="1"/>
  <c r="AA313" i="3"/>
  <c r="AA1204" i="3"/>
  <c r="AA1208" i="3"/>
  <c r="BJ518" i="1" s="1"/>
  <c r="AA262" i="3"/>
  <c r="AA147" i="3"/>
  <c r="AA180" i="3"/>
  <c r="BJ513" i="1" s="1"/>
  <c r="AA133" i="3"/>
  <c r="AA294" i="3"/>
  <c r="AA538" i="3"/>
  <c r="AA1211" i="3"/>
  <c r="AA219" i="3"/>
  <c r="AA87" i="3"/>
  <c r="BJ508" i="1" s="1"/>
  <c r="AA399" i="3"/>
  <c r="BJ509" i="1" s="1"/>
  <c r="AA279" i="3"/>
  <c r="BJ515" i="1" s="1"/>
  <c r="AA364" i="3"/>
  <c r="BJ520" i="1" s="1"/>
  <c r="AA1209" i="3"/>
  <c r="BJ447" i="1" s="1"/>
  <c r="AA1212" i="3"/>
  <c r="AA620" i="3"/>
  <c r="AA411" i="3"/>
  <c r="AA622" i="3"/>
  <c r="AA628" i="3"/>
  <c r="AA257" i="3"/>
  <c r="AA1210" i="3"/>
  <c r="BJ448" i="1" s="1"/>
  <c r="AA198" i="3"/>
  <c r="AA571" i="3"/>
  <c r="AA643" i="3"/>
  <c r="AA1214" i="3"/>
  <c r="AA555" i="3"/>
  <c r="AA679" i="3"/>
  <c r="AA397" i="3"/>
  <c r="AA270" i="3"/>
  <c r="AA249" i="3"/>
  <c r="AA733" i="3"/>
  <c r="AA741" i="3"/>
  <c r="AA416" i="3"/>
  <c r="BJ531" i="1" s="1"/>
  <c r="AA765" i="3"/>
  <c r="AA802" i="3"/>
  <c r="AA793" i="3"/>
  <c r="AA823" i="3"/>
  <c r="AA829" i="3"/>
  <c r="AA854" i="3"/>
  <c r="BJ553" i="1" s="1"/>
  <c r="AA858" i="3"/>
  <c r="AA907" i="3"/>
  <c r="AA915" i="3"/>
  <c r="AA527" i="3"/>
  <c r="AA964" i="3"/>
  <c r="AA967" i="3"/>
  <c r="AA976" i="3"/>
  <c r="AA1039" i="3"/>
  <c r="AA515" i="3"/>
  <c r="AA1059" i="3"/>
  <c r="AA1064" i="3"/>
  <c r="AA417" i="3"/>
  <c r="BA58" i="2" s="1"/>
  <c r="AA1111" i="3"/>
  <c r="AA1113" i="3"/>
  <c r="AA1115" i="3"/>
  <c r="AA1121" i="3"/>
  <c r="AA1141" i="3"/>
  <c r="AA227" i="3"/>
  <c r="AA1167" i="3"/>
  <c r="AA1191" i="3"/>
  <c r="AA1192" i="3"/>
  <c r="AA1215" i="3"/>
  <c r="AA1149" i="3"/>
  <c r="AA1217" i="3"/>
  <c r="AA577" i="3"/>
  <c r="AA1222" i="3"/>
  <c r="AA1243" i="3"/>
  <c r="AA1218" i="3"/>
  <c r="AA369" i="3"/>
  <c r="AA1255" i="3"/>
  <c r="AA1271" i="3"/>
  <c r="AA1274" i="3"/>
  <c r="AA1277" i="3"/>
  <c r="AA1292" i="3"/>
  <c r="AA1297" i="3"/>
  <c r="AA438" i="3"/>
  <c r="AA1303" i="3"/>
  <c r="AA1307" i="3"/>
  <c r="AA1308" i="3"/>
  <c r="AA1312" i="3"/>
  <c r="AA1323" i="3"/>
  <c r="AA1321" i="3"/>
  <c r="AA1326" i="3"/>
  <c r="AA1330" i="3"/>
  <c r="AA1335" i="3"/>
  <c r="AA1331" i="3"/>
  <c r="AA1354" i="3"/>
  <c r="BJ524" i="1" s="1"/>
  <c r="AA1355" i="3"/>
  <c r="AA1358" i="3"/>
  <c r="AA1373" i="3"/>
  <c r="AA1374" i="3"/>
  <c r="AA1376" i="3"/>
  <c r="AA1379" i="3"/>
  <c r="AA1381" i="3"/>
  <c r="AA1385" i="3"/>
  <c r="AA1221" i="3"/>
  <c r="AA1392" i="3"/>
  <c r="AA1396" i="3"/>
  <c r="AA1225" i="3"/>
  <c r="AA1390" i="3"/>
  <c r="AA1223" i="3"/>
  <c r="AA1406" i="3"/>
  <c r="AA1410" i="3"/>
  <c r="AA1409" i="3"/>
  <c r="AA1414" i="3"/>
  <c r="BA632" i="2" s="1"/>
  <c r="AA1224" i="3"/>
  <c r="AA1417" i="3"/>
  <c r="AA1425" i="3"/>
  <c r="AA1426" i="3"/>
  <c r="AA1228" i="3"/>
  <c r="AA1433" i="3"/>
  <c r="BJ568" i="1" s="1"/>
  <c r="AA1436" i="3"/>
  <c r="AA1439" i="3"/>
  <c r="AA1440" i="3"/>
  <c r="AA1446" i="3"/>
  <c r="AA1450" i="3"/>
  <c r="AA1452" i="3"/>
  <c r="AA1453" i="3"/>
  <c r="AA1456" i="3"/>
  <c r="AA1459" i="3"/>
  <c r="AA1469" i="3"/>
  <c r="AA1471" i="3"/>
  <c r="AA1473" i="3"/>
  <c r="AA1474" i="3"/>
  <c r="AA1478" i="3"/>
  <c r="AA1487" i="3"/>
  <c r="AA1490" i="3"/>
  <c r="AA1485" i="3"/>
  <c r="AA1491" i="3"/>
  <c r="AA1226" i="3"/>
  <c r="AA1493" i="3"/>
  <c r="BA713" i="2" s="1"/>
  <c r="AA1501" i="3"/>
  <c r="AA1506" i="3"/>
  <c r="AA1502" i="3"/>
  <c r="AA1507" i="3"/>
  <c r="AA1509" i="3"/>
  <c r="BA729" i="2" s="1"/>
  <c r="AA1511" i="3"/>
  <c r="BA731" i="2" s="1"/>
  <c r="AA1516" i="3"/>
  <c r="AA1521" i="3"/>
  <c r="BA741" i="2" s="1"/>
  <c r="AA1522" i="3"/>
  <c r="AA1524" i="3"/>
  <c r="AA1525" i="3"/>
  <c r="BA745" i="2" s="1"/>
  <c r="AA942" i="3"/>
  <c r="AA1533" i="3"/>
  <c r="AA1529" i="3"/>
  <c r="AA1530" i="3"/>
  <c r="AA1535" i="3"/>
  <c r="AA1536" i="3"/>
  <c r="AA1537" i="3"/>
  <c r="AA1538" i="3"/>
  <c r="AA1539" i="3"/>
  <c r="AA19" i="3"/>
  <c r="AA119" i="3"/>
  <c r="AA93" i="3"/>
  <c r="BJ554" i="1" s="1"/>
  <c r="AA1227" i="3"/>
  <c r="AA362" i="3"/>
  <c r="BJ527" i="1" s="1"/>
  <c r="AA18" i="3"/>
  <c r="AA183" i="3"/>
  <c r="AA423" i="3"/>
  <c r="AA209" i="3"/>
  <c r="AA231" i="3"/>
  <c r="AA163" i="3"/>
  <c r="AA336" i="3"/>
  <c r="AA92" i="3"/>
  <c r="BJ544" i="1" s="1"/>
  <c r="AA600" i="3"/>
  <c r="AA433" i="3"/>
  <c r="BJ547" i="1" s="1"/>
  <c r="AA624" i="3"/>
  <c r="AA1230" i="3"/>
  <c r="AA391" i="3"/>
  <c r="AA573" i="3"/>
  <c r="AA1233" i="3"/>
  <c r="BJ460" i="1" s="1"/>
  <c r="AA214" i="3"/>
  <c r="BJ625" i="1" s="1"/>
  <c r="AA475" i="3"/>
  <c r="BJ517" i="1" s="1"/>
  <c r="AA642" i="3"/>
  <c r="BJ551" i="1" s="1"/>
  <c r="AA389" i="3"/>
  <c r="AA583" i="3"/>
  <c r="AA711" i="3"/>
  <c r="AA597" i="3"/>
  <c r="AA766" i="3"/>
  <c r="AA837" i="3"/>
  <c r="AA841" i="3"/>
  <c r="AA393" i="3"/>
  <c r="AA870" i="3"/>
  <c r="BA45" i="2" s="1"/>
  <c r="AA435" i="3"/>
  <c r="AA505" i="3"/>
  <c r="AA972" i="3"/>
  <c r="AA398" i="3"/>
  <c r="BJ514" i="1" s="1"/>
  <c r="AA973" i="3"/>
  <c r="AA975" i="3"/>
  <c r="AA993" i="3"/>
  <c r="BJ575" i="1" s="1"/>
  <c r="AA373" i="3"/>
  <c r="BJ600" i="1" s="1"/>
  <c r="AA1025" i="3"/>
  <c r="AA458" i="3"/>
  <c r="AA584" i="3"/>
  <c r="BA386" i="2" s="1"/>
  <c r="AA1142" i="3"/>
  <c r="AA1162" i="3"/>
  <c r="AA1163" i="3"/>
  <c r="AA1172" i="3"/>
  <c r="AA1205" i="3"/>
  <c r="AA1244" i="3"/>
  <c r="AA608" i="3"/>
  <c r="AA1265" i="3"/>
  <c r="AA553" i="3"/>
  <c r="AA1289" i="3"/>
  <c r="AA1280" i="3"/>
  <c r="BJ609" i="1" s="1"/>
  <c r="AA1290" i="3"/>
  <c r="AA1334" i="3"/>
  <c r="BA253" i="2" s="1"/>
  <c r="AA1337" i="3"/>
  <c r="AA1348" i="3"/>
  <c r="AA1231" i="3"/>
  <c r="AA1349" i="3"/>
  <c r="AA1366" i="3"/>
  <c r="AA1370" i="3"/>
  <c r="BJ640" i="1" s="1"/>
  <c r="AA1391" i="3"/>
  <c r="AA535" i="3"/>
  <c r="AA1393" i="3"/>
  <c r="AA1394" i="3"/>
  <c r="AA1397" i="3"/>
  <c r="AA1402" i="3"/>
  <c r="AA1412" i="3"/>
  <c r="AA1419" i="3"/>
  <c r="AA1430" i="3"/>
  <c r="AA1431" i="3"/>
  <c r="AA1437" i="3"/>
  <c r="AA1449" i="3"/>
  <c r="AA1462" i="3"/>
  <c r="AA1464" i="3"/>
  <c r="AA1467" i="3"/>
  <c r="AA1488" i="3"/>
  <c r="AA1498" i="3"/>
  <c r="AA1479" i="3"/>
  <c r="AA1505" i="3"/>
  <c r="AA1523" i="3"/>
  <c r="AA23" i="3"/>
  <c r="AA246" i="3"/>
  <c r="AA255" i="3"/>
  <c r="AA230" i="3"/>
  <c r="AA1235" i="3"/>
  <c r="BJ462" i="1" s="1"/>
  <c r="AA311" i="3"/>
  <c r="BJ636" i="1" s="1"/>
  <c r="AA69" i="3"/>
  <c r="AA459" i="3"/>
  <c r="AA328" i="3"/>
  <c r="BJ603" i="1" s="1"/>
  <c r="AA83" i="3"/>
  <c r="AA468" i="3"/>
  <c r="AA467" i="3"/>
  <c r="AA348" i="3"/>
  <c r="AA462" i="3"/>
  <c r="AA64" i="3"/>
  <c r="AA501" i="3"/>
  <c r="AA406" i="3"/>
  <c r="AA289" i="3"/>
  <c r="AA324" i="3"/>
  <c r="BJ616" i="1" s="1"/>
  <c r="AA358" i="3"/>
  <c r="BJ597" i="1" s="1"/>
  <c r="AA271" i="3"/>
  <c r="BJ594" i="1" s="1"/>
  <c r="AA531" i="3"/>
  <c r="AA341" i="3"/>
  <c r="BJ591" i="1" s="1"/>
  <c r="AA414" i="3"/>
  <c r="AA471" i="3"/>
  <c r="AA554" i="3"/>
  <c r="AA686" i="3"/>
  <c r="AA346" i="3"/>
  <c r="BJ577" i="1" s="1"/>
  <c r="AA701" i="3"/>
  <c r="AA612" i="3"/>
  <c r="AA717" i="3"/>
  <c r="AA724" i="3"/>
  <c r="AA507" i="3"/>
  <c r="AA528" i="3"/>
  <c r="BJ662" i="1" s="1"/>
  <c r="AA811" i="3"/>
  <c r="AA428" i="3"/>
  <c r="AA815" i="3"/>
  <c r="BJ530" i="1" s="1"/>
  <c r="AA889" i="3"/>
  <c r="AA890" i="3"/>
  <c r="AA946" i="3"/>
  <c r="AA491" i="3"/>
  <c r="AA983" i="3"/>
  <c r="AA989" i="3"/>
  <c r="AA395" i="3"/>
  <c r="AA290" i="3"/>
  <c r="AA1026" i="3"/>
  <c r="AA1084" i="3"/>
  <c r="AA1112" i="3"/>
  <c r="AA1119" i="3"/>
  <c r="AA1126" i="3"/>
  <c r="BJ539" i="1" s="1"/>
  <c r="AA1154" i="3"/>
  <c r="AA1159" i="3"/>
  <c r="AA1177" i="3"/>
  <c r="BJ584" i="1" s="1"/>
  <c r="AA1219" i="3"/>
  <c r="AA1220" i="3"/>
  <c r="AA1207" i="3"/>
  <c r="BJ566" i="1" s="1"/>
  <c r="AA1240" i="3"/>
  <c r="AA477" i="3"/>
  <c r="AA606" i="3"/>
  <c r="AA1262" i="3"/>
  <c r="BJ559" i="1" s="1"/>
  <c r="AA1266" i="3"/>
  <c r="AA1287" i="3"/>
  <c r="AA537" i="3"/>
  <c r="BJ613" i="1" s="1"/>
  <c r="AA1236" i="3"/>
  <c r="AA1360" i="3"/>
  <c r="AA1363" i="3"/>
  <c r="AA593" i="3"/>
  <c r="AA594" i="3"/>
  <c r="AA427" i="3"/>
  <c r="AA1399" i="3"/>
  <c r="AA1403" i="3"/>
  <c r="BJ610" i="1" s="1"/>
  <c r="AA1416" i="3"/>
  <c r="AA1443" i="3"/>
  <c r="BJ555" i="1" s="1"/>
  <c r="AA1237" i="3"/>
  <c r="AA1451" i="3"/>
  <c r="AA1461" i="3"/>
  <c r="AA1483" i="3"/>
  <c r="AA1532" i="3"/>
  <c r="AA452" i="3"/>
  <c r="BJ579" i="1" s="1"/>
  <c r="AA157" i="3"/>
  <c r="BJ534" i="1" s="1"/>
  <c r="AA115" i="3"/>
  <c r="BJ590" i="1" s="1"/>
  <c r="AA291" i="3"/>
  <c r="AA142" i="3"/>
  <c r="AA59" i="3"/>
  <c r="AA379" i="3"/>
  <c r="BJ543" i="1" s="1"/>
  <c r="AA73" i="3"/>
  <c r="BJ587" i="1" s="1"/>
  <c r="AA278" i="3"/>
  <c r="BJ557" i="1" s="1"/>
  <c r="AA56" i="3"/>
  <c r="AA97" i="3"/>
  <c r="AA235" i="3"/>
  <c r="AA113" i="3"/>
  <c r="AA484" i="3"/>
  <c r="AA517" i="3"/>
  <c r="AA343" i="3"/>
  <c r="AA366" i="3"/>
  <c r="BJ550" i="1" s="1"/>
  <c r="AA481" i="3"/>
  <c r="AA666" i="3"/>
  <c r="AA172" i="3"/>
  <c r="AA684" i="3"/>
  <c r="AA424" i="3"/>
  <c r="AA685" i="3"/>
  <c r="AA283" i="3"/>
  <c r="AA523" i="3"/>
  <c r="BJ638" i="1" s="1"/>
  <c r="AA188" i="3"/>
  <c r="BJ595" i="1" s="1"/>
  <c r="AA463" i="3"/>
  <c r="BJ601" i="1" s="1"/>
  <c r="AA763" i="3"/>
  <c r="AA454" i="3"/>
  <c r="AA432" i="3"/>
  <c r="BJ583" i="1" s="1"/>
  <c r="AA791" i="3"/>
  <c r="AA820" i="3"/>
  <c r="AA836" i="3"/>
  <c r="AA839" i="3"/>
  <c r="AA861" i="3"/>
  <c r="AA868" i="3"/>
  <c r="BJ626" i="1" s="1"/>
  <c r="AA876" i="3"/>
  <c r="AA381" i="3"/>
  <c r="BJ622" i="1" s="1"/>
  <c r="AA908" i="3"/>
  <c r="AA918" i="3"/>
  <c r="AA928" i="3"/>
  <c r="BJ540" i="1" s="1"/>
  <c r="AA947" i="3"/>
  <c r="AA960" i="3"/>
  <c r="AA970" i="3"/>
  <c r="AA253" i="3"/>
  <c r="AA1021" i="3"/>
  <c r="AA595" i="3"/>
  <c r="AA493" i="3"/>
  <c r="AA1032" i="3"/>
  <c r="BA102" i="2" s="1"/>
  <c r="AA1073" i="3"/>
  <c r="AA1036" i="3"/>
  <c r="BJ582" i="1" s="1"/>
  <c r="AA295" i="3"/>
  <c r="AA1054" i="3"/>
  <c r="AA1066" i="3"/>
  <c r="BA327" i="2" s="1"/>
  <c r="AA1081" i="3"/>
  <c r="AA1088" i="3"/>
  <c r="AA1091" i="3"/>
  <c r="AA325" i="3"/>
  <c r="AA1117" i="3"/>
  <c r="AA201" i="3"/>
  <c r="AA384" i="3"/>
  <c r="AA449" i="3"/>
  <c r="BJ611" i="1" s="1"/>
  <c r="AA1168" i="3"/>
  <c r="AA355" i="3"/>
  <c r="BJ627" i="1" s="1"/>
  <c r="AA420" i="3"/>
  <c r="AA1206" i="3"/>
  <c r="BJ608" i="1" s="1"/>
  <c r="AA1232" i="3"/>
  <c r="BJ624" i="1" s="1"/>
  <c r="AA1238" i="3"/>
  <c r="BJ614" i="1" s="1"/>
  <c r="AA1247" i="3"/>
  <c r="BJ592" i="1" s="1"/>
  <c r="AA450" i="3"/>
  <c r="BA290" i="2" s="1"/>
  <c r="AA1252" i="3"/>
  <c r="BJ671" i="1" s="1"/>
  <c r="AA1253" i="3"/>
  <c r="AA610" i="3"/>
  <c r="AA1261" i="3"/>
  <c r="AA1294" i="3"/>
  <c r="AA1267" i="3"/>
  <c r="AA1268" i="3"/>
  <c r="BA99" i="2" s="1"/>
  <c r="AA1278" i="3"/>
  <c r="BJ612" i="1" s="1"/>
  <c r="AA1279" i="3"/>
  <c r="AA1282" i="3"/>
  <c r="AA1283" i="3"/>
  <c r="AA1291" i="3"/>
  <c r="AA1300" i="3"/>
  <c r="AA1309" i="3"/>
  <c r="AA1311" i="3"/>
  <c r="BJ752" i="1" s="1"/>
  <c r="AA1239" i="3"/>
  <c r="AA1316" i="3"/>
  <c r="AA1317" i="3"/>
  <c r="BJ581" i="1" s="1"/>
  <c r="AA1318" i="3"/>
  <c r="AA1319" i="3"/>
  <c r="AA1320" i="3"/>
  <c r="AA1322" i="3"/>
  <c r="AA1325" i="3"/>
  <c r="AA1327" i="3"/>
  <c r="AA1336" i="3"/>
  <c r="BJ767" i="1" s="1"/>
  <c r="AA1338" i="3"/>
  <c r="AA1339" i="3"/>
  <c r="AA1341" i="3"/>
  <c r="AA1351" i="3"/>
  <c r="AA1353" i="3"/>
  <c r="BA247" i="2" s="1"/>
  <c r="AA1357" i="3"/>
  <c r="BJ615" i="1" s="1"/>
  <c r="AA1364" i="3"/>
  <c r="AA1371" i="3"/>
  <c r="AA1365" i="3"/>
  <c r="AA1367" i="3"/>
  <c r="AA1369" i="3"/>
  <c r="AA1372" i="3"/>
  <c r="AA1378" i="3"/>
  <c r="AA1386" i="3"/>
  <c r="AA1387" i="3"/>
  <c r="AA1388" i="3"/>
  <c r="AA1395" i="3"/>
  <c r="AA431" i="3"/>
  <c r="AA1404" i="3"/>
  <c r="AA1411" i="3"/>
  <c r="AA1413" i="3"/>
  <c r="AA1420" i="3"/>
  <c r="AA1424" i="3"/>
  <c r="AA1432" i="3"/>
  <c r="AA1434" i="3"/>
  <c r="BA558" i="2" s="1"/>
  <c r="AA1441" i="3"/>
  <c r="AA539" i="3"/>
  <c r="AA1470" i="3"/>
  <c r="AA1442" i="3"/>
  <c r="AA1445" i="3"/>
  <c r="AA1241" i="3"/>
  <c r="BJ684" i="1" s="1"/>
  <c r="AA1447" i="3"/>
  <c r="BJ536" i="1" s="1"/>
  <c r="AA1455" i="3"/>
  <c r="BJ598" i="1" s="1"/>
  <c r="AA1486" i="3"/>
  <c r="BJ749" i="1" s="1"/>
  <c r="AA1457" i="3"/>
  <c r="AA1458" i="3"/>
  <c r="AA1460" i="3"/>
  <c r="BJ619" i="1" s="1"/>
  <c r="AA344" i="3"/>
  <c r="BJ689" i="1" s="1"/>
  <c r="AA1466" i="3"/>
  <c r="AA1465" i="3"/>
  <c r="AA1468" i="3"/>
  <c r="AA1475" i="3"/>
  <c r="AA1476" i="3"/>
  <c r="AA1482" i="3"/>
  <c r="AA1481" i="3"/>
  <c r="AA1484" i="3"/>
  <c r="AA1489" i="3"/>
  <c r="AA1495" i="3"/>
  <c r="AA1496" i="3"/>
  <c r="AA1497" i="3"/>
  <c r="AA1499" i="3"/>
  <c r="AA1503" i="3"/>
  <c r="AA1504" i="3"/>
  <c r="AA1500" i="3"/>
  <c r="AA1508" i="3"/>
  <c r="BJ492" i="1" s="1"/>
  <c r="AA1510" i="3"/>
  <c r="AA1242" i="3"/>
  <c r="AA1512" i="3"/>
  <c r="AA1246" i="3"/>
  <c r="AA1514" i="3"/>
  <c r="AA1515" i="3"/>
  <c r="BJ679" i="1" s="1"/>
  <c r="AA1518" i="3"/>
  <c r="AA1519" i="3"/>
  <c r="BJ605" i="1" s="1"/>
  <c r="AA1520" i="3"/>
  <c r="AA1527" i="3"/>
  <c r="AA1526" i="3"/>
  <c r="AA1543" i="3"/>
  <c r="AA1528" i="3"/>
  <c r="AA374" i="3"/>
  <c r="AA1531" i="3"/>
  <c r="BJ628" i="1" s="1"/>
  <c r="AA1534" i="3"/>
  <c r="AA1540" i="3"/>
  <c r="AA365" i="3"/>
  <c r="AA1542" i="3"/>
  <c r="AA94" i="3"/>
  <c r="AA12" i="3"/>
  <c r="AA36" i="3"/>
  <c r="AA81" i="3"/>
  <c r="AA15" i="3"/>
  <c r="AA95" i="3"/>
  <c r="AA171" i="3"/>
  <c r="BJ623" i="1" s="1"/>
  <c r="AA144" i="3"/>
  <c r="AA272" i="3"/>
  <c r="AA169" i="3"/>
  <c r="AA334" i="3"/>
  <c r="AA137" i="3"/>
  <c r="AA299" i="3"/>
  <c r="AA190" i="3"/>
  <c r="BJ522" i="1" s="1"/>
  <c r="AA282" i="3"/>
  <c r="AA329" i="3"/>
  <c r="BJ548" i="1" s="1"/>
  <c r="AA367" i="3"/>
  <c r="BJ457" i="1" s="1"/>
  <c r="AA162" i="3"/>
  <c r="BJ706" i="1" s="1"/>
  <c r="AA85" i="3"/>
  <c r="AA412" i="3"/>
  <c r="BA175" i="2" s="1"/>
  <c r="AA72" i="3"/>
  <c r="AA421" i="3"/>
  <c r="AA453" i="3"/>
  <c r="AA663" i="3"/>
  <c r="AA304" i="3"/>
  <c r="AA186" i="3"/>
  <c r="BJ682" i="1" s="1"/>
  <c r="AA492" i="3"/>
  <c r="AA265" i="3"/>
  <c r="AA164" i="3"/>
  <c r="AA356" i="3"/>
  <c r="AA808" i="3"/>
  <c r="AA445" i="3"/>
  <c r="AA810" i="3"/>
  <c r="BA346" i="2" s="1"/>
  <c r="AA949" i="3"/>
  <c r="AA950" i="3"/>
  <c r="AA582" i="3"/>
  <c r="BJ486" i="1" s="1"/>
  <c r="AA1003" i="3"/>
  <c r="AA1019" i="3"/>
  <c r="AA318" i="3"/>
  <c r="AA125" i="3"/>
  <c r="BJ696" i="1" s="1"/>
  <c r="AA1116" i="3"/>
  <c r="AA1181" i="3"/>
  <c r="AA1190" i="3"/>
  <c r="AA551" i="3"/>
  <c r="BJ703" i="1" s="1"/>
  <c r="AA511" i="3"/>
  <c r="AA439" i="3"/>
  <c r="BJ631" i="1" s="1"/>
  <c r="AA109" i="3"/>
  <c r="AA580" i="3"/>
  <c r="AA1304" i="3"/>
  <c r="BJ585" i="1" s="1"/>
  <c r="AA1324" i="3"/>
  <c r="BJ642" i="1" s="1"/>
  <c r="AA1377" i="3"/>
  <c r="AA1408" i="3"/>
  <c r="BJ564" i="1" s="1"/>
  <c r="AA1423" i="3"/>
  <c r="AA1517" i="3"/>
  <c r="AA26" i="3"/>
  <c r="AA55" i="3"/>
  <c r="AA167" i="3"/>
  <c r="BJ716" i="1" s="1"/>
  <c r="AA28" i="3"/>
  <c r="BJ643" i="1" s="1"/>
  <c r="AA123" i="3"/>
  <c r="AA258" i="3"/>
  <c r="BJ588" i="1" s="1"/>
  <c r="AA76" i="3"/>
  <c r="AA422" i="3"/>
  <c r="AA207" i="3"/>
  <c r="AA239" i="3"/>
  <c r="AA154" i="3"/>
  <c r="AA189" i="3"/>
  <c r="AA338" i="3"/>
  <c r="AA326" i="3"/>
  <c r="AA173" i="3"/>
  <c r="BJ717" i="1" s="1"/>
  <c r="AA330" i="3"/>
  <c r="AA130" i="3"/>
  <c r="AA232" i="3"/>
  <c r="AA309" i="3"/>
  <c r="BJ580" i="1" s="1"/>
  <c r="AA550" i="3"/>
  <c r="BJ629" i="1" s="1"/>
  <c r="AA674" i="3"/>
  <c r="BJ488" i="1" s="1"/>
  <c r="AA687" i="3"/>
  <c r="BJ712" i="1" s="1"/>
  <c r="AA360" i="3"/>
  <c r="AA542" i="3"/>
  <c r="AA244" i="3"/>
  <c r="AA564" i="3"/>
  <c r="BJ676" i="1" s="1"/>
  <c r="AA378" i="3"/>
  <c r="AA1245" i="3"/>
  <c r="AA127" i="3"/>
  <c r="AA532" i="3"/>
  <c r="AA161" i="3"/>
  <c r="AA557" i="3"/>
  <c r="AA160" i="3"/>
  <c r="BJ578" i="1" s="1"/>
  <c r="AA315" i="3"/>
  <c r="BJ487" i="1" s="1"/>
  <c r="AA62" i="3"/>
  <c r="AA288" i="3"/>
  <c r="AA151" i="3"/>
  <c r="BJ618" i="1" s="1"/>
  <c r="AA640" i="3"/>
  <c r="AA436" i="3"/>
  <c r="AA1022" i="3"/>
  <c r="AA415" i="3"/>
  <c r="AA61" i="3"/>
  <c r="AA558" i="3"/>
  <c r="AA729" i="3"/>
  <c r="AA575" i="3"/>
  <c r="AA466" i="3"/>
  <c r="BA497" i="2" s="1"/>
  <c r="AA321" i="3"/>
  <c r="AA570" i="3"/>
  <c r="AA267" i="3"/>
  <c r="BJ729" i="1" s="1"/>
  <c r="AA297" i="3"/>
  <c r="AA322" i="3"/>
  <c r="AA760" i="3"/>
  <c r="AA817" i="3"/>
  <c r="AA508" i="3"/>
  <c r="AA883" i="3"/>
  <c r="AA916" i="3"/>
  <c r="AA592" i="3"/>
  <c r="BJ736" i="1" s="1"/>
  <c r="AA958" i="3"/>
  <c r="AA1010" i="3"/>
  <c r="AA1285" i="3"/>
  <c r="AA1298" i="3"/>
  <c r="AA1038" i="3"/>
  <c r="AA357" i="3"/>
  <c r="BJ759" i="1" s="1"/>
  <c r="AA1079" i="3"/>
  <c r="AA1030" i="3"/>
  <c r="AA1153" i="3"/>
  <c r="AA1156" i="3"/>
  <c r="BJ663" i="1" s="1"/>
  <c r="AA1179" i="3"/>
  <c r="AA465" i="3"/>
  <c r="AA1125" i="3"/>
  <c r="AA418" i="3"/>
  <c r="AA498" i="3"/>
  <c r="AA1216" i="3"/>
  <c r="BJ574" i="1" s="1"/>
  <c r="AA1234" i="3"/>
  <c r="AA327" i="3"/>
  <c r="AA1269" i="3"/>
  <c r="AA1302" i="3"/>
  <c r="AA1342" i="3"/>
  <c r="AA1356" i="3"/>
  <c r="AA1310" i="3"/>
  <c r="BA685" i="2" s="1"/>
  <c r="AA1359" i="3"/>
  <c r="AA1368" i="3"/>
  <c r="AA1361" i="3"/>
  <c r="AA1380" i="3"/>
  <c r="AA1375" i="3"/>
  <c r="AA1383" i="3"/>
  <c r="BJ665" i="1" s="1"/>
  <c r="AA1382" i="3"/>
  <c r="AA1389" i="3"/>
  <c r="AA48" i="3"/>
  <c r="AA1401" i="3"/>
  <c r="AA1418" i="3"/>
  <c r="AA1421" i="3"/>
  <c r="AA1477" i="3"/>
  <c r="AA1454" i="3"/>
  <c r="AA21" i="3"/>
  <c r="BJ645" i="1" s="1"/>
  <c r="AA1513" i="3"/>
  <c r="AA252" i="3"/>
  <c r="BJ771" i="1" s="1"/>
  <c r="AA60" i="3"/>
  <c r="AA179" i="3"/>
  <c r="AA88" i="3"/>
  <c r="BJ709" i="1" s="1"/>
  <c r="AA100" i="3"/>
  <c r="BJ748" i="1" s="1"/>
  <c r="AA241" i="3"/>
  <c r="AA286" i="3"/>
  <c r="BJ772" i="1" s="1"/>
  <c r="AA274" i="3"/>
  <c r="BJ672" i="1" s="1"/>
  <c r="AA226" i="3"/>
  <c r="AA168" i="3"/>
  <c r="BJ683" i="1" s="1"/>
  <c r="AA150" i="3"/>
  <c r="BJ438" i="1" s="1"/>
  <c r="AA174" i="3"/>
  <c r="BJ727" i="1" s="1"/>
  <c r="AA392" i="3"/>
  <c r="AA104" i="3"/>
  <c r="AA40" i="3"/>
  <c r="BJ779" i="1" s="1"/>
  <c r="AA287" i="3"/>
  <c r="AA482" i="3"/>
  <c r="BA357" i="2" s="1"/>
  <c r="AA351" i="3"/>
  <c r="AA277" i="3"/>
  <c r="BJ497" i="1" s="1"/>
  <c r="AA181" i="3"/>
  <c r="AA146" i="3"/>
  <c r="AA111" i="3"/>
  <c r="BJ742" i="1" s="1"/>
  <c r="AA602" i="3"/>
  <c r="AA386" i="3"/>
  <c r="BJ685" i="1" s="1"/>
  <c r="AA292" i="3"/>
  <c r="BJ482" i="1" s="1"/>
  <c r="AA140" i="3"/>
  <c r="BJ718" i="1" s="1"/>
  <c r="AA75" i="3"/>
  <c r="BA296" i="2" s="1"/>
  <c r="AA629" i="3"/>
  <c r="AA331" i="3"/>
  <c r="AA715" i="3"/>
  <c r="AA308" i="3"/>
  <c r="AA648" i="3"/>
  <c r="AA409" i="3"/>
  <c r="BJ738" i="1" s="1"/>
  <c r="AA131" i="3"/>
  <c r="AA655" i="3"/>
  <c r="AA561" i="3"/>
  <c r="AA269" i="3"/>
  <c r="AA559" i="3"/>
  <c r="AA335" i="3"/>
  <c r="AA1144" i="3"/>
  <c r="BJ675" i="1" s="1"/>
  <c r="AA518" i="3"/>
  <c r="AA598" i="3"/>
  <c r="AA440" i="3"/>
  <c r="AA1174" i="3"/>
  <c r="AA576" i="3"/>
  <c r="BJ707" i="1" s="1"/>
  <c r="AA368" i="3"/>
  <c r="BJ651" i="1" s="1"/>
  <c r="AA350" i="3"/>
  <c r="AA1296" i="3"/>
  <c r="AA758" i="3"/>
  <c r="AA778" i="3"/>
  <c r="AA489" i="3"/>
  <c r="AA792" i="3"/>
  <c r="AA521" i="3"/>
  <c r="AA864" i="3"/>
  <c r="AA408" i="3"/>
  <c r="AA922" i="3"/>
  <c r="AA1028" i="3"/>
  <c r="AA1362" i="3"/>
  <c r="AA301" i="3"/>
  <c r="AA1428" i="3"/>
  <c r="AA1042" i="3"/>
  <c r="AA1056" i="3"/>
  <c r="BA242" i="2" s="1"/>
  <c r="AA510" i="3"/>
  <c r="AA1114" i="3"/>
  <c r="AA443" i="3"/>
  <c r="AA609" i="3"/>
  <c r="AA1213" i="3"/>
  <c r="AA1250" i="3"/>
  <c r="BA246" i="2" s="1"/>
  <c r="AA1306" i="3"/>
  <c r="AA1328" i="3"/>
  <c r="AA1333" i="3"/>
  <c r="AA1384" i="3"/>
  <c r="AA1427" i="3"/>
  <c r="AA359" i="3"/>
  <c r="AA1422" i="3"/>
  <c r="AA1435" i="3"/>
  <c r="AA1448" i="3"/>
  <c r="AA1444" i="3"/>
  <c r="AA599" i="3"/>
  <c r="AA1463" i="3"/>
  <c r="AA1541" i="3"/>
  <c r="AA1472" i="3"/>
  <c r="AA141" i="3"/>
  <c r="BJ653" i="1" s="1"/>
  <c r="AA27" i="3"/>
  <c r="AA124" i="3"/>
  <c r="AA90" i="3"/>
  <c r="AA17" i="3"/>
  <c r="AA30" i="3"/>
  <c r="AA260" i="3"/>
  <c r="AA402" i="3"/>
  <c r="AA372" i="3"/>
  <c r="BJ59" i="1" s="1"/>
  <c r="AA132" i="3"/>
  <c r="AA303" i="3"/>
  <c r="AA634" i="3"/>
  <c r="AA205" i="3"/>
  <c r="AA363" i="3"/>
  <c r="AA39" i="3"/>
  <c r="AA446" i="3"/>
  <c r="AA403" i="3"/>
  <c r="BA517" i="2" s="1"/>
  <c r="AA525" i="3"/>
  <c r="AA419" i="3"/>
  <c r="BA735" i="2" s="1"/>
  <c r="AA105" i="3"/>
  <c r="AA238" i="3"/>
  <c r="AA488" i="3"/>
  <c r="AA220" i="3"/>
  <c r="AA464" i="3"/>
  <c r="AA689" i="3"/>
  <c r="BJ714" i="1" s="1"/>
  <c r="AA54" i="3"/>
  <c r="AA385" i="3"/>
  <c r="AA923" i="3"/>
  <c r="AA524" i="3"/>
  <c r="AA107" i="3"/>
  <c r="AA522" i="3"/>
  <c r="AA961" i="3"/>
  <c r="AA991" i="3"/>
  <c r="AA426" i="3"/>
  <c r="AA586" i="3"/>
  <c r="BJ715" i="1" s="1"/>
  <c r="AA217" i="3"/>
  <c r="BA510" i="2" s="1"/>
  <c r="AA1110" i="3"/>
  <c r="AA1347" i="3"/>
  <c r="BJ449" i="1" s="1"/>
  <c r="AA569" i="3"/>
  <c r="AA1438" i="3"/>
  <c r="AA1171" i="3"/>
  <c r="BJ768" i="1" s="1"/>
  <c r="AA383" i="3"/>
  <c r="AA1169" i="3"/>
  <c r="AA1273" i="3"/>
  <c r="AA1203" i="3"/>
  <c r="BA411" i="2" s="1"/>
  <c r="AA479" i="3"/>
  <c r="AA581" i="3"/>
  <c r="AA1288" i="3"/>
  <c r="AA47" i="3"/>
  <c r="AA1350" i="3"/>
  <c r="AA1313" i="3"/>
  <c r="AA1400" i="3"/>
  <c r="AA1332" i="3"/>
  <c r="AA1405" i="3"/>
  <c r="AA1415" i="3"/>
  <c r="AA1429" i="3"/>
  <c r="AA1480" i="3"/>
  <c r="AA1407" i="3"/>
  <c r="AA193" i="3"/>
  <c r="BJ699" i="1" s="1"/>
  <c r="AA1492" i="3"/>
  <c r="AA165" i="3"/>
  <c r="BJ489" i="1" s="1"/>
  <c r="AA84" i="3"/>
  <c r="AA31" i="3"/>
  <c r="AA1494" i="3"/>
  <c r="AA5" i="3"/>
  <c r="AA16" i="3"/>
  <c r="AA29" i="3"/>
  <c r="BJ648" i="1" s="1"/>
  <c r="AA110" i="3"/>
  <c r="AA71" i="3"/>
  <c r="AA24" i="3"/>
  <c r="AA243" i="3"/>
  <c r="BJ745" i="1" s="1"/>
  <c r="AA63" i="3"/>
  <c r="BJ724" i="1" s="1"/>
  <c r="AA58" i="3"/>
  <c r="AA38" i="3"/>
  <c r="AA80" i="3"/>
  <c r="AA37" i="3"/>
  <c r="AA211" i="3"/>
  <c r="AA234" i="3"/>
  <c r="BA76" i="2" s="1"/>
  <c r="AA223" i="3"/>
  <c r="AA578" i="3"/>
  <c r="AA70" i="3"/>
  <c r="BA700" i="2" s="1"/>
  <c r="AA43" i="3"/>
  <c r="BJ635" i="1" s="1"/>
  <c r="AA204" i="3"/>
  <c r="AA44" i="3"/>
  <c r="BA544" i="2" s="1"/>
  <c r="AA361" i="3"/>
  <c r="AA250" i="3"/>
  <c r="BJ639" i="1" s="1"/>
  <c r="AA82" i="3"/>
  <c r="AA77" i="3"/>
  <c r="AA153" i="3"/>
  <c r="AA159" i="3"/>
  <c r="AA195" i="3"/>
  <c r="AA256" i="3"/>
  <c r="BJ650" i="1" s="1"/>
  <c r="AA400" i="3"/>
  <c r="AA264" i="3"/>
  <c r="AA206" i="3"/>
  <c r="AA266" i="3"/>
  <c r="AA307" i="3"/>
  <c r="AA425" i="3"/>
  <c r="BJ720" i="1" s="1"/>
  <c r="AA496" i="3"/>
  <c r="AA413" i="3"/>
  <c r="BJ455" i="1" s="1"/>
  <c r="AA14" i="3"/>
  <c r="AA626" i="3"/>
  <c r="AA630" i="3"/>
  <c r="BJ45" i="1" s="1"/>
  <c r="AA653" i="3"/>
  <c r="AA693" i="3"/>
  <c r="AA706" i="3"/>
  <c r="AA429" i="3"/>
  <c r="AA353" i="3"/>
  <c r="AA764" i="3"/>
  <c r="AA768" i="3"/>
  <c r="AA314" i="3"/>
  <c r="BJ669" i="1" s="1"/>
  <c r="AA795" i="3"/>
  <c r="AA819" i="3"/>
  <c r="BJ692" i="1" s="1"/>
  <c r="AA1106" i="3"/>
  <c r="AA777" i="3"/>
  <c r="BA109" i="2" s="1"/>
  <c r="AA388" i="3"/>
  <c r="AA152" i="3"/>
  <c r="AA1001" i="3"/>
  <c r="AA1013" i="3"/>
  <c r="AA213" i="3"/>
  <c r="BJ670" i="1" s="1"/>
  <c r="AA49" i="3"/>
  <c r="BA435" i="2" s="1"/>
  <c r="AA66" i="3"/>
  <c r="AA182" i="3"/>
  <c r="BA567" i="2" s="1"/>
  <c r="AA139" i="3"/>
  <c r="BJ686" i="1" s="1"/>
  <c r="AA218" i="3"/>
  <c r="AA247" i="3"/>
  <c r="AA129" i="3"/>
  <c r="AA619" i="3"/>
  <c r="BJ763" i="1" s="1"/>
  <c r="AA135" i="3"/>
  <c r="BA420" i="2" s="1"/>
  <c r="AA487" i="3"/>
  <c r="BA276" i="2" s="1"/>
  <c r="AA430" i="3"/>
  <c r="BJ494" i="1" s="1"/>
  <c r="AA405" i="3"/>
  <c r="AA296" i="3"/>
  <c r="AA354" i="3"/>
  <c r="AA613" i="3"/>
  <c r="AA407" i="3"/>
  <c r="AA215" i="3"/>
  <c r="AA637" i="3"/>
  <c r="BJ740" i="1" s="1"/>
  <c r="AA474" i="3"/>
  <c r="BJ701" i="1" s="1"/>
  <c r="AA509" i="3"/>
  <c r="BJ655" i="1" s="1"/>
  <c r="AA614" i="3"/>
  <c r="AA210" i="3"/>
  <c r="AA261" i="3"/>
  <c r="BA379" i="2" s="1"/>
  <c r="AA490" i="3"/>
  <c r="BA498" i="2" s="1"/>
  <c r="AA472" i="3"/>
  <c r="AA342" i="3"/>
  <c r="BA389" i="2" s="1"/>
  <c r="AA233" i="3"/>
  <c r="AA601" i="3"/>
  <c r="BJ753" i="1" s="1"/>
  <c r="AA547" i="3"/>
  <c r="AA623" i="3"/>
  <c r="AA618" i="3"/>
  <c r="BJ88" i="1" s="1"/>
  <c r="AA625" i="3"/>
  <c r="AA627" i="3"/>
  <c r="BJ647" i="1" s="1"/>
  <c r="AA611" i="3"/>
  <c r="BJ480" i="1" s="1"/>
  <c r="AA533" i="3"/>
  <c r="AA376" i="3"/>
  <c r="AA480" i="3"/>
  <c r="AA631" i="3"/>
  <c r="AA635" i="3"/>
  <c r="BJ266" i="1" s="1"/>
  <c r="AA632" i="3"/>
  <c r="BA474" i="2" s="1"/>
  <c r="AA546" i="3"/>
  <c r="AA633" i="3"/>
  <c r="AA145" i="3"/>
  <c r="BA574" i="2" s="1"/>
  <c r="AA519" i="3"/>
  <c r="AA236" i="3"/>
  <c r="BJ654" i="1" s="1"/>
  <c r="AA650" i="3"/>
  <c r="AA645" i="3"/>
  <c r="AA646" i="3"/>
  <c r="AA647" i="3"/>
  <c r="AA651" i="3"/>
  <c r="BJ758" i="1" s="1"/>
  <c r="AA654" i="3"/>
  <c r="AA670" i="3"/>
  <c r="AA410" i="3"/>
  <c r="AA673" i="3"/>
  <c r="BJ769" i="1" s="1"/>
  <c r="AA565" i="3"/>
  <c r="AA1248" i="3"/>
  <c r="AA659" i="3"/>
  <c r="AA660" i="3"/>
  <c r="AA676" i="3"/>
  <c r="AA658" i="3"/>
  <c r="AA662" i="3"/>
  <c r="BJ122" i="1" s="1"/>
  <c r="AA681" i="3"/>
  <c r="AA667" i="3"/>
  <c r="BJ657" i="1" s="1"/>
  <c r="AA665" i="3"/>
  <c r="AA668" i="3"/>
  <c r="BJ750" i="1" s="1"/>
  <c r="AA669" i="3"/>
  <c r="AA671" i="3"/>
  <c r="AA695" i="3"/>
  <c r="BJ690" i="1" s="1"/>
  <c r="AA672" i="3"/>
  <c r="AA705" i="3"/>
  <c r="AA678" i="3"/>
  <c r="AA675" i="3"/>
  <c r="AA680" i="3"/>
  <c r="AA721" i="3"/>
  <c r="AA682" i="3"/>
  <c r="AA548" i="3"/>
  <c r="AA552" i="3"/>
  <c r="AA691" i="3"/>
  <c r="BA494" i="2" s="1"/>
  <c r="AA692" i="3"/>
  <c r="BA315" i="2" s="1"/>
  <c r="AA694" i="3"/>
  <c r="BJ770" i="1" s="1"/>
  <c r="AA742" i="3"/>
  <c r="BJ634" i="1" s="1"/>
  <c r="AA702" i="3"/>
  <c r="BJ711" i="1" s="1"/>
  <c r="AA698" i="3"/>
  <c r="AA605" i="3"/>
  <c r="AA710" i="3"/>
  <c r="AA713" i="3"/>
  <c r="AA714" i="3"/>
  <c r="AA703" i="3"/>
  <c r="AA704" i="3"/>
  <c r="AA708" i="3"/>
  <c r="BA524" i="2" s="1"/>
  <c r="AA723" i="3"/>
  <c r="BJ756" i="1" s="1"/>
  <c r="AA725" i="3"/>
  <c r="AA483" i="3"/>
  <c r="BA540" i="2" s="1"/>
  <c r="AA732" i="3"/>
  <c r="AA736" i="3"/>
  <c r="BJ475" i="1" s="1"/>
  <c r="AA718" i="3"/>
  <c r="AA726" i="3"/>
  <c r="AA731" i="3"/>
  <c r="BA419" i="2" s="1"/>
  <c r="AA737" i="3"/>
  <c r="AA754" i="3"/>
  <c r="AA738" i="3"/>
  <c r="AA739" i="3"/>
  <c r="AA744" i="3"/>
  <c r="AA756" i="3"/>
  <c r="AA745" i="3"/>
  <c r="BJ781" i="1" s="1"/>
  <c r="AA740" i="3"/>
  <c r="AA743" i="3"/>
  <c r="AA544" i="3"/>
  <c r="AA504" i="3"/>
  <c r="AA747" i="3"/>
  <c r="AA773" i="3"/>
  <c r="AA748" i="3"/>
  <c r="AA749" i="3"/>
  <c r="BA323" i="2" s="1"/>
  <c r="AA750" i="3"/>
  <c r="AA607" i="3"/>
  <c r="AA752" i="3"/>
  <c r="BJ678" i="1" s="1"/>
  <c r="AA755" i="3"/>
  <c r="AA784" i="3"/>
  <c r="BJ780" i="1" s="1"/>
  <c r="AA781" i="3"/>
  <c r="BJ446" i="1" s="1"/>
  <c r="AA759" i="3"/>
  <c r="AA762" i="3"/>
  <c r="BJ723" i="1" s="1"/>
  <c r="AA767" i="3"/>
  <c r="AA757" i="3"/>
  <c r="AA770" i="3"/>
  <c r="AA774" i="3"/>
  <c r="AA785" i="3"/>
  <c r="BJ668" i="1" s="1"/>
  <c r="AA772" i="3"/>
  <c r="AA775" i="3"/>
  <c r="AA604" i="3"/>
  <c r="AA780" i="3"/>
  <c r="BJ114" i="1" s="1"/>
  <c r="AA800" i="3"/>
  <c r="AA801" i="3"/>
  <c r="AA776" i="3"/>
  <c r="BA470" i="2" s="1"/>
  <c r="AA782" i="3"/>
  <c r="AA812" i="3"/>
  <c r="AA779" i="3"/>
  <c r="AA814" i="3"/>
  <c r="BJ428" i="1" s="1"/>
  <c r="AA783" i="3"/>
  <c r="AA787" i="3"/>
  <c r="AA794" i="3"/>
  <c r="AA789" i="3"/>
  <c r="AA788" i="3"/>
  <c r="BA372" i="2" s="1"/>
  <c r="AA798" i="3"/>
  <c r="AA830" i="3"/>
  <c r="AA806" i="3"/>
  <c r="AA833" i="3"/>
  <c r="BJ658" i="1" s="1"/>
  <c r="AA807" i="3"/>
  <c r="AA796" i="3"/>
  <c r="AA813" i="3"/>
  <c r="BJ267" i="1" s="1"/>
  <c r="AA797" i="3"/>
  <c r="AA803" i="3"/>
  <c r="AA540" i="3"/>
  <c r="AA816" i="3"/>
  <c r="AA818" i="3"/>
  <c r="BJ760" i="1" s="1"/>
  <c r="AA842" i="3"/>
  <c r="AA822" i="3"/>
  <c r="AA826" i="3"/>
  <c r="AA821" i="3"/>
  <c r="AA560" i="3"/>
  <c r="BJ652" i="1" s="1"/>
  <c r="AA828" i="3"/>
  <c r="AA827" i="3"/>
  <c r="AA834" i="3"/>
  <c r="AA835" i="3"/>
  <c r="AA838" i="3"/>
  <c r="AA853" i="3"/>
  <c r="AA495" i="3"/>
  <c r="AA860" i="3"/>
  <c r="BJ493" i="1" s="1"/>
  <c r="AA846" i="3"/>
  <c r="AA843" i="3"/>
  <c r="AA847" i="3"/>
  <c r="AA849" i="3"/>
  <c r="BJ481" i="1" s="1"/>
  <c r="AA852" i="3"/>
  <c r="AA848" i="3"/>
  <c r="AA871" i="3"/>
  <c r="AA850" i="3"/>
  <c r="AA851" i="3"/>
  <c r="BJ100" i="1" s="1"/>
  <c r="AA857" i="3"/>
  <c r="AA859" i="3"/>
  <c r="AA862" i="3"/>
  <c r="AA863" i="3"/>
  <c r="BJ119" i="1" s="1"/>
  <c r="AA866" i="3"/>
  <c r="BJ688" i="1" s="1"/>
  <c r="AA869" i="3"/>
  <c r="BA480" i="2" s="1"/>
  <c r="AA872" i="3"/>
  <c r="AA874" i="3"/>
  <c r="AA873" i="3"/>
  <c r="BA690" i="2" s="1"/>
  <c r="AA899" i="3"/>
  <c r="AA875" i="3"/>
  <c r="AA877" i="3"/>
  <c r="AA878" i="3"/>
  <c r="AA879" i="3"/>
  <c r="AA881" i="3"/>
  <c r="AA884" i="3"/>
  <c r="AA885" i="3"/>
  <c r="AA886" i="3"/>
  <c r="BJ633" i="1" s="1"/>
  <c r="AA887" i="3"/>
  <c r="AA880" i="3"/>
  <c r="AA891" i="3"/>
  <c r="BJ439" i="1" s="1"/>
  <c r="AA892" i="3"/>
  <c r="AA895" i="3"/>
  <c r="BJ731" i="1" s="1"/>
  <c r="AA902" i="3"/>
  <c r="AA904" i="3"/>
  <c r="AA898" i="3"/>
  <c r="AA901" i="3"/>
  <c r="BJ762" i="1" s="1"/>
  <c r="AA894" i="3"/>
  <c r="BA403" i="2" s="1"/>
  <c r="AA903" i="3"/>
  <c r="AA1249" i="3"/>
  <c r="AA905" i="3"/>
  <c r="AA906" i="3"/>
  <c r="AA909" i="3"/>
  <c r="BJ476" i="1" s="1"/>
  <c r="AA910" i="3"/>
  <c r="BJ232" i="1" s="1"/>
  <c r="AA911" i="3"/>
  <c r="BJ719" i="1" s="1"/>
  <c r="AA912" i="3"/>
  <c r="AA917" i="3"/>
  <c r="AA914" i="3"/>
  <c r="AA931" i="3"/>
  <c r="BJ620" i="1" s="1"/>
  <c r="AA919" i="3"/>
  <c r="AA924" i="3"/>
  <c r="AA925" i="3"/>
  <c r="BJ258" i="1" s="1"/>
  <c r="AA921" i="3"/>
  <c r="AA936" i="3"/>
  <c r="BJ778" i="1" s="1"/>
  <c r="AA920" i="3"/>
  <c r="BJ280" i="1" s="1"/>
  <c r="AA934" i="3"/>
  <c r="AA926" i="3"/>
  <c r="AA929" i="3"/>
  <c r="AA939" i="3"/>
  <c r="AA930" i="3"/>
  <c r="AA943" i="3"/>
  <c r="AA932" i="3"/>
  <c r="AA935" i="3"/>
  <c r="BJ728" i="1" s="1"/>
  <c r="AA965" i="3"/>
  <c r="AA944" i="3"/>
  <c r="AA968" i="3"/>
  <c r="AA941" i="3"/>
  <c r="AA948" i="3"/>
  <c r="BJ429" i="1" s="1"/>
  <c r="AA981" i="3"/>
  <c r="BJ773" i="1" s="1"/>
  <c r="AA955" i="3"/>
  <c r="AA953" i="3"/>
  <c r="AA954" i="3"/>
  <c r="BJ751" i="1" s="1"/>
  <c r="AA956" i="3"/>
  <c r="AA957" i="3"/>
  <c r="AA951" i="3"/>
  <c r="AA959" i="3"/>
  <c r="AA966" i="3"/>
  <c r="BJ630" i="1" s="1"/>
  <c r="AA971" i="3"/>
  <c r="AA962" i="3"/>
  <c r="BA244" i="2" s="1"/>
  <c r="AA974" i="3"/>
  <c r="BJ483" i="1" s="1"/>
  <c r="AA978" i="3"/>
  <c r="AA1000" i="3"/>
  <c r="AA982" i="3"/>
  <c r="AA979" i="3"/>
  <c r="AA984" i="3"/>
  <c r="AA985" i="3"/>
  <c r="AA987" i="3"/>
  <c r="BJ697" i="1" s="1"/>
  <c r="AA988" i="3"/>
  <c r="BJ691" i="1" s="1"/>
  <c r="AA990" i="3"/>
  <c r="BJ602" i="1" s="1"/>
  <c r="AA1005" i="3"/>
  <c r="BJ730" i="1" s="1"/>
  <c r="AA996" i="3"/>
  <c r="AA998" i="3"/>
  <c r="BJ777" i="1" s="1"/>
  <c r="AA999" i="3"/>
  <c r="AA997" i="3"/>
  <c r="BA269" i="2" s="1"/>
  <c r="AA1007" i="3"/>
  <c r="BJ775" i="1" s="1"/>
  <c r="AA1002" i="3"/>
  <c r="AA1006" i="3"/>
  <c r="BJ680" i="1" s="1"/>
  <c r="AA1004" i="3"/>
  <c r="AA1033" i="3"/>
  <c r="AA1008" i="3"/>
  <c r="AA1011" i="3"/>
  <c r="BJ329" i="1" s="1"/>
  <c r="AA1012" i="3"/>
  <c r="BJ101" i="1" s="1"/>
  <c r="AA1015" i="3"/>
  <c r="BJ473" i="1" s="1"/>
  <c r="AA1009" i="3"/>
  <c r="BA336" i="2" s="1"/>
  <c r="AA1016" i="3"/>
  <c r="BJ641" i="1" s="1"/>
  <c r="AA1035" i="3"/>
  <c r="AA1251" i="3"/>
  <c r="BA421" i="2" s="1"/>
  <c r="AA1040" i="3"/>
  <c r="BJ444" i="1" s="1"/>
  <c r="AA1014" i="3"/>
  <c r="AA1018" i="3"/>
  <c r="AA1023" i="3"/>
  <c r="AA1024" i="3"/>
  <c r="AA1029" i="3"/>
  <c r="AA545" i="3"/>
  <c r="BA566" i="2" s="1"/>
  <c r="AA1048" i="3"/>
  <c r="AA1031" i="3"/>
  <c r="BA590" i="2" s="1"/>
  <c r="AA603" i="3"/>
  <c r="AA1034" i="3"/>
  <c r="AA1047" i="3"/>
  <c r="AA1043" i="3"/>
  <c r="BJ346" i="1" s="1"/>
  <c r="AA1052" i="3"/>
  <c r="AA1045" i="3"/>
  <c r="BJ347" i="1" s="1"/>
  <c r="AA1053" i="3"/>
  <c r="AA1051" i="3"/>
  <c r="AA1060" i="3"/>
  <c r="AA1057" i="3"/>
  <c r="BA712" i="2" s="1"/>
  <c r="AA1062" i="3"/>
  <c r="AA1058" i="3"/>
  <c r="AA1063" i="3"/>
  <c r="BJ357" i="1" s="1"/>
  <c r="AA1061" i="3"/>
  <c r="AA1065" i="3"/>
  <c r="AA1070" i="3"/>
  <c r="AA1068" i="3"/>
  <c r="AA1071" i="3"/>
  <c r="BA615" i="2" s="1"/>
  <c r="AA1072" i="3"/>
  <c r="AA1074" i="3"/>
  <c r="BJ364" i="1" s="1"/>
  <c r="AA1075" i="3"/>
  <c r="AA1078" i="3"/>
  <c r="AA1082" i="3"/>
  <c r="BJ656" i="1" s="1"/>
  <c r="AA1087" i="3"/>
  <c r="AA1080" i="3"/>
  <c r="AA1083" i="3"/>
  <c r="AA1089" i="3"/>
  <c r="AA1090" i="3"/>
  <c r="BA555" i="2" s="1"/>
  <c r="AA1092" i="3"/>
  <c r="BJ398" i="1" s="1"/>
  <c r="AA1097" i="3"/>
  <c r="BJ677" i="1" s="1"/>
  <c r="AA444" i="3"/>
  <c r="BA318" i="2" s="1"/>
  <c r="AA1093" i="3"/>
  <c r="AA1094" i="3"/>
  <c r="BA425" i="2" s="1"/>
  <c r="AA1095" i="3"/>
  <c r="AA1096" i="3"/>
  <c r="AA1101" i="3"/>
  <c r="AA1098" i="3"/>
  <c r="BJ380" i="1" s="1"/>
  <c r="AA1100" i="3"/>
  <c r="AA1103" i="3"/>
  <c r="AA1102" i="3"/>
  <c r="AA1104" i="3"/>
  <c r="AA1109" i="3"/>
  <c r="BJ352" i="1" s="1"/>
  <c r="AA1107" i="3"/>
  <c r="AA1108" i="3"/>
  <c r="AA1118" i="3"/>
  <c r="AA1123" i="3"/>
  <c r="BA344" i="2" s="1"/>
  <c r="AA1124" i="3"/>
  <c r="AA1122" i="3"/>
  <c r="BJ391" i="1" s="1"/>
  <c r="AA1130" i="3"/>
  <c r="AA1127" i="3"/>
  <c r="AA1129" i="3"/>
  <c r="BA702" i="2" s="1"/>
  <c r="AA1131" i="3"/>
  <c r="AA1137" i="3"/>
  <c r="AA1139" i="3"/>
  <c r="AA1134" i="3"/>
  <c r="BA294" i="2" s="1"/>
  <c r="AA1132" i="3"/>
  <c r="AA1135" i="3"/>
  <c r="AA1140" i="3"/>
  <c r="AA1136" i="3"/>
  <c r="BA518" i="2" s="1"/>
  <c r="AA1133" i="3"/>
  <c r="AA1146" i="3"/>
  <c r="AA1145" i="3"/>
  <c r="AA1138" i="3"/>
  <c r="BA308" i="2" s="1"/>
  <c r="AA1143" i="3"/>
  <c r="AA1148" i="3"/>
  <c r="AA1150" i="3"/>
  <c r="AA1147" i="3"/>
  <c r="AA1152" i="3"/>
  <c r="BJ217" i="1" s="1"/>
  <c r="AA1151" i="3"/>
  <c r="AA1155" i="3"/>
  <c r="AA1157" i="3"/>
  <c r="AA1158" i="3"/>
  <c r="AA1160" i="3"/>
  <c r="AA1161" i="3"/>
  <c r="AA1165" i="3"/>
  <c r="BJ419" i="1" s="1"/>
  <c r="AA1166" i="3"/>
  <c r="BJ420" i="1" s="1"/>
  <c r="AA1170" i="3"/>
  <c r="AA1173" i="3"/>
  <c r="AA1175" i="3"/>
  <c r="AA1178" i="3"/>
  <c r="AA1176" i="3"/>
  <c r="AA1182" i="3"/>
  <c r="AA1183" i="3"/>
  <c r="B1217" i="3"/>
  <c r="B1526" i="3"/>
  <c r="B1084" i="3"/>
  <c r="B1210" i="3"/>
  <c r="B1142" i="3"/>
  <c r="B960" i="3"/>
  <c r="B1493" i="3"/>
  <c r="B1535" i="3"/>
  <c r="B1469" i="3"/>
  <c r="B1095" i="3"/>
  <c r="B1489" i="3"/>
  <c r="B1449" i="3"/>
  <c r="B1226" i="3"/>
  <c r="B1287" i="3"/>
  <c r="B594" i="3"/>
  <c r="B1121" i="3"/>
  <c r="B427" i="3"/>
  <c r="B1141" i="3"/>
  <c r="B1225" i="3"/>
  <c r="B1414" i="3"/>
  <c r="B1442" i="3"/>
  <c r="B539" i="3"/>
  <c r="B1054" i="3"/>
  <c r="B675" i="3"/>
  <c r="B1363" i="3"/>
  <c r="B1319" i="3"/>
  <c r="B906" i="3"/>
  <c r="B1163" i="3"/>
  <c r="B740" i="3"/>
  <c r="B1353" i="3"/>
  <c r="B1127" i="3"/>
  <c r="B1499" i="3"/>
  <c r="B1533" i="3"/>
  <c r="B847" i="3"/>
  <c r="B217" i="3"/>
  <c r="B1021" i="3"/>
  <c r="B383" i="3"/>
  <c r="B504" i="3"/>
  <c r="B1495" i="3"/>
  <c r="B880" i="3"/>
  <c r="B1032" i="3"/>
  <c r="B569" i="3"/>
  <c r="B458" i="3"/>
  <c r="B1351" i="3"/>
  <c r="B1098" i="3"/>
  <c r="B1339" i="3"/>
  <c r="B1323" i="3"/>
  <c r="B374" i="3"/>
  <c r="B838" i="3"/>
  <c r="B493" i="3"/>
  <c r="B1416" i="3"/>
  <c r="B704" i="3"/>
  <c r="B1385" i="3"/>
  <c r="B961" i="3"/>
  <c r="B1266" i="3"/>
  <c r="B1228" i="3"/>
  <c r="B1411" i="3"/>
  <c r="B1316" i="3"/>
  <c r="B1289" i="3"/>
  <c r="B983" i="3"/>
  <c r="B1019" i="3"/>
  <c r="B606" i="3"/>
  <c r="B1369" i="3"/>
  <c r="B1462" i="3"/>
  <c r="B1424" i="3"/>
  <c r="C1217" i="3"/>
  <c r="C1526" i="3"/>
  <c r="C1084" i="3"/>
  <c r="C1210" i="3"/>
  <c r="C1142" i="3"/>
  <c r="C960" i="3"/>
  <c r="C1493" i="3"/>
  <c r="C1535" i="3"/>
  <c r="C1469" i="3"/>
  <c r="C1095" i="3"/>
  <c r="C1489" i="3"/>
  <c r="C1449" i="3"/>
  <c r="C1226" i="3"/>
  <c r="C1287" i="3"/>
  <c r="C594" i="3"/>
  <c r="C1121" i="3"/>
  <c r="C427" i="3"/>
  <c r="C1141" i="3"/>
  <c r="C1225" i="3"/>
  <c r="C1414" i="3"/>
  <c r="C1442" i="3"/>
  <c r="C539" i="3"/>
  <c r="C1054" i="3"/>
  <c r="C675" i="3"/>
  <c r="C1363" i="3"/>
  <c r="C1319" i="3"/>
  <c r="C906" i="3"/>
  <c r="C1163" i="3"/>
  <c r="C740" i="3"/>
  <c r="C1353" i="3"/>
  <c r="C1127" i="3"/>
  <c r="C1499" i="3"/>
  <c r="C1533" i="3"/>
  <c r="C847" i="3"/>
  <c r="C217" i="3"/>
  <c r="C1021" i="3"/>
  <c r="C383" i="3"/>
  <c r="C504" i="3"/>
  <c r="C1495" i="3"/>
  <c r="C880" i="3"/>
  <c r="C1032" i="3"/>
  <c r="C569" i="3"/>
  <c r="C458" i="3"/>
  <c r="C1351" i="3"/>
  <c r="C1098" i="3"/>
  <c r="C1339" i="3"/>
  <c r="C1323" i="3"/>
  <c r="C374" i="3"/>
  <c r="C838" i="3"/>
  <c r="C493" i="3"/>
  <c r="C1416" i="3"/>
  <c r="C704" i="3"/>
  <c r="C1385" i="3"/>
  <c r="C961" i="3"/>
  <c r="C1266" i="3"/>
  <c r="C1228" i="3"/>
  <c r="C1411" i="3"/>
  <c r="C1316" i="3"/>
  <c r="C1289" i="3"/>
  <c r="C983" i="3"/>
  <c r="C1019" i="3"/>
  <c r="C606" i="3"/>
  <c r="C1369" i="3"/>
  <c r="C1462" i="3"/>
  <c r="C1424" i="3"/>
  <c r="B1185" i="3"/>
  <c r="B1184" i="3"/>
  <c r="B1188" i="3"/>
  <c r="B1187" i="3"/>
  <c r="B1193" i="3"/>
  <c r="B1194" i="3"/>
  <c r="B1198" i="3"/>
  <c r="B1196" i="3"/>
  <c r="B1200" i="3"/>
  <c r="B1202" i="3"/>
  <c r="B1201" i="3"/>
  <c r="B1204" i="3"/>
  <c r="B1208" i="3"/>
  <c r="B1212" i="3"/>
  <c r="B1149" i="3"/>
  <c r="B577" i="3"/>
  <c r="B1222" i="3"/>
  <c r="B1255" i="3"/>
  <c r="B1271" i="3"/>
  <c r="B1274" i="3"/>
  <c r="B1312" i="3"/>
  <c r="B1321" i="3"/>
  <c r="B1326" i="3"/>
  <c r="B1330" i="3"/>
  <c r="B1331" i="3"/>
  <c r="B1354" i="3"/>
  <c r="B1355" i="3"/>
  <c r="B1358" i="3"/>
  <c r="B1373" i="3"/>
  <c r="B1376" i="3"/>
  <c r="B1379" i="3"/>
  <c r="B1390" i="3"/>
  <c r="B1223" i="3"/>
  <c r="B1406" i="3"/>
  <c r="B1409" i="3"/>
  <c r="B1224" i="3"/>
  <c r="B1417" i="3"/>
  <c r="B1243" i="3"/>
  <c r="B1425" i="3"/>
  <c r="B1426" i="3"/>
  <c r="B1433" i="3"/>
  <c r="B1436" i="3"/>
  <c r="B1439" i="3"/>
  <c r="B1446" i="3"/>
  <c r="B1450" i="3"/>
  <c r="B1452" i="3"/>
  <c r="B1456" i="3"/>
  <c r="B1471" i="3"/>
  <c r="B1473" i="3"/>
  <c r="B1490" i="3"/>
  <c r="B1491" i="3"/>
  <c r="B1502" i="3"/>
  <c r="B1507" i="3"/>
  <c r="B1511" i="3"/>
  <c r="B1516" i="3"/>
  <c r="B1529" i="3"/>
  <c r="B1530" i="3"/>
  <c r="B1537" i="3"/>
  <c r="B1230" i="3"/>
  <c r="B1485" i="3"/>
  <c r="B993" i="3"/>
  <c r="B1025" i="3"/>
  <c r="B608" i="3"/>
  <c r="B1280" i="3"/>
  <c r="B1337" i="3"/>
  <c r="B1366" i="3"/>
  <c r="B1370" i="3"/>
  <c r="B535" i="3"/>
  <c r="B1393" i="3"/>
  <c r="B1464" i="3"/>
  <c r="B1467" i="3"/>
  <c r="B1479" i="3"/>
  <c r="B1505" i="3"/>
  <c r="B1523" i="3"/>
  <c r="B373" i="3"/>
  <c r="B1126" i="3"/>
  <c r="B1159" i="3"/>
  <c r="B1391" i="3"/>
  <c r="B1177" i="3"/>
  <c r="B1207" i="3"/>
  <c r="B1240" i="3"/>
  <c r="B1262" i="3"/>
  <c r="B537" i="3"/>
  <c r="B1403" i="3"/>
  <c r="B1443" i="3"/>
  <c r="B1532" i="3"/>
  <c r="B1036" i="3"/>
  <c r="B1081" i="3"/>
  <c r="B325" i="3"/>
  <c r="B1117" i="3"/>
  <c r="B201" i="3"/>
  <c r="B449" i="3"/>
  <c r="B1168" i="3"/>
  <c r="B355" i="3"/>
  <c r="B1206" i="3"/>
  <c r="B1232" i="3"/>
  <c r="B1238" i="3"/>
  <c r="B1247" i="3"/>
  <c r="B1252" i="3"/>
  <c r="B1253" i="3"/>
  <c r="B1278" i="3"/>
  <c r="B1279" i="3"/>
  <c r="B1311" i="3"/>
  <c r="B1239" i="3"/>
  <c r="B1317" i="3"/>
  <c r="B1318" i="3"/>
  <c r="B1320" i="3"/>
  <c r="B1322" i="3"/>
  <c r="B1325" i="3"/>
  <c r="B1336" i="3"/>
  <c r="B1338" i="3"/>
  <c r="B1357" i="3"/>
  <c r="B1364" i="3"/>
  <c r="B1367" i="3"/>
  <c r="B1386" i="3"/>
  <c r="B1387" i="3"/>
  <c r="B1404" i="3"/>
  <c r="B1413" i="3"/>
  <c r="B1420" i="3"/>
  <c r="B1432" i="3"/>
  <c r="B1441" i="3"/>
  <c r="B1241" i="3"/>
  <c r="B1447" i="3"/>
  <c r="B1455" i="3"/>
  <c r="B1458" i="3"/>
  <c r="B1460" i="3"/>
  <c r="B344" i="3"/>
  <c r="B1466" i="3"/>
  <c r="B1468" i="3"/>
  <c r="B1482" i="3"/>
  <c r="B1484" i="3"/>
  <c r="B1503" i="3"/>
  <c r="B1504" i="3"/>
  <c r="B1508" i="3"/>
  <c r="B1510" i="3"/>
  <c r="B1514" i="3"/>
  <c r="B1515" i="3"/>
  <c r="B1518" i="3"/>
  <c r="B1519" i="3"/>
  <c r="B1520" i="3"/>
  <c r="B1527" i="3"/>
  <c r="B1528" i="3"/>
  <c r="B1531" i="3"/>
  <c r="B1534" i="3"/>
  <c r="B1540" i="3"/>
  <c r="B1073" i="3"/>
  <c r="B1542" i="3"/>
  <c r="B1003" i="3"/>
  <c r="B125" i="3"/>
  <c r="B1116" i="3"/>
  <c r="B1181" i="3"/>
  <c r="B1190" i="3"/>
  <c r="B551" i="3"/>
  <c r="B511" i="3"/>
  <c r="B439" i="3"/>
  <c r="B1294" i="3"/>
  <c r="B1304" i="3"/>
  <c r="B1324" i="3"/>
  <c r="B1377" i="3"/>
  <c r="B1408" i="3"/>
  <c r="B1423" i="3"/>
  <c r="B1517" i="3"/>
  <c r="B1245" i="3"/>
  <c r="B1371" i="3"/>
  <c r="B958" i="3"/>
  <c r="B1010" i="3"/>
  <c r="B1038" i="3"/>
  <c r="B357" i="3"/>
  <c r="B1079" i="3"/>
  <c r="B1153" i="3"/>
  <c r="B1156" i="3"/>
  <c r="B1179" i="3"/>
  <c r="B498" i="3"/>
  <c r="B1216" i="3"/>
  <c r="B1234" i="3"/>
  <c r="B327" i="3"/>
  <c r="B1269" i="3"/>
  <c r="B1302" i="3"/>
  <c r="B1342" i="3"/>
  <c r="B1356" i="3"/>
  <c r="B1368" i="3"/>
  <c r="B1380" i="3"/>
  <c r="B1383" i="3"/>
  <c r="B1389" i="3"/>
  <c r="B1418" i="3"/>
  <c r="B1421" i="3"/>
  <c r="B1477" i="3"/>
  <c r="B1470" i="3"/>
  <c r="B1486" i="3"/>
  <c r="B1543" i="3"/>
  <c r="B1028" i="3"/>
  <c r="B609" i="3"/>
  <c r="B1306" i="3"/>
  <c r="B1328" i="3"/>
  <c r="B1333" i="3"/>
  <c r="B1384" i="3"/>
  <c r="B1427" i="3"/>
  <c r="B1435" i="3"/>
  <c r="B1448" i="3"/>
  <c r="B1463" i="3"/>
  <c r="B492" i="3"/>
  <c r="B1541" i="3"/>
  <c r="B582" i="3"/>
  <c r="B586" i="3"/>
  <c r="B1110" i="3"/>
  <c r="B1171" i="3"/>
  <c r="B1273" i="3"/>
  <c r="B479" i="3"/>
  <c r="B581" i="3"/>
  <c r="B1350" i="3"/>
  <c r="B1400" i="3"/>
  <c r="B1405" i="3"/>
  <c r="B1415" i="3"/>
  <c r="B1429" i="3"/>
  <c r="B1480" i="3"/>
  <c r="B1492" i="3"/>
  <c r="B1022" i="3"/>
  <c r="B592" i="3"/>
  <c r="B1285" i="3"/>
  <c r="B1298" i="3"/>
  <c r="B693" i="3"/>
  <c r="B706" i="3"/>
  <c r="B353" i="3"/>
  <c r="B764" i="3"/>
  <c r="B768" i="3"/>
  <c r="B795" i="3"/>
  <c r="B819" i="3"/>
  <c r="B1106" i="3"/>
  <c r="B650" i="3"/>
  <c r="B651" i="3"/>
  <c r="B1144" i="3"/>
  <c r="B1174" i="3"/>
  <c r="B654" i="3"/>
  <c r="B576" i="3"/>
  <c r="B410" i="3"/>
  <c r="B659" i="3"/>
  <c r="B1296" i="3"/>
  <c r="B660" i="3"/>
  <c r="B662" i="3"/>
  <c r="B1362" i="3"/>
  <c r="B1428" i="3"/>
  <c r="B667" i="3"/>
  <c r="B668" i="3"/>
  <c r="B669" i="3"/>
  <c r="B671" i="3"/>
  <c r="B678" i="3"/>
  <c r="B680" i="3"/>
  <c r="B694" i="3"/>
  <c r="B702" i="3"/>
  <c r="B710" i="3"/>
  <c r="B713" i="3"/>
  <c r="B714" i="3"/>
  <c r="B723" i="3"/>
  <c r="B725" i="3"/>
  <c r="B732" i="3"/>
  <c r="B736" i="3"/>
  <c r="B739" i="3"/>
  <c r="B744" i="3"/>
  <c r="B745" i="3"/>
  <c r="B220" i="3"/>
  <c r="B522" i="3"/>
  <c r="B607" i="3"/>
  <c r="B752" i="3"/>
  <c r="B755" i="3"/>
  <c r="B759" i="3"/>
  <c r="B762" i="3"/>
  <c r="B1347" i="3"/>
  <c r="B767" i="3"/>
  <c r="B1438" i="3"/>
  <c r="B775" i="3"/>
  <c r="B604" i="3"/>
  <c r="B780" i="3"/>
  <c r="B782" i="3"/>
  <c r="B783" i="3"/>
  <c r="B794" i="3"/>
  <c r="B806" i="3"/>
  <c r="B807" i="3"/>
  <c r="B813" i="3"/>
  <c r="B816" i="3"/>
  <c r="B818" i="3"/>
  <c r="B578" i="3"/>
  <c r="B822" i="3"/>
  <c r="B826" i="3"/>
  <c r="B828" i="3"/>
  <c r="B834" i="3"/>
  <c r="B835" i="3"/>
  <c r="B846" i="3"/>
  <c r="B849" i="3"/>
  <c r="B850" i="3"/>
  <c r="B851" i="3"/>
  <c r="B857" i="3"/>
  <c r="B862" i="3"/>
  <c r="B863" i="3"/>
  <c r="B866" i="3"/>
  <c r="B872" i="3"/>
  <c r="B874" i="3"/>
  <c r="B533" i="3"/>
  <c r="B877" i="3"/>
  <c r="B878" i="3"/>
  <c r="B879" i="3"/>
  <c r="B881" i="3"/>
  <c r="B884" i="3"/>
  <c r="B885" i="3"/>
  <c r="B886" i="3"/>
  <c r="B887" i="3"/>
  <c r="B891" i="3"/>
  <c r="B892" i="3"/>
  <c r="B670" i="3"/>
  <c r="B673" i="3"/>
  <c r="B895" i="3"/>
  <c r="B902" i="3"/>
  <c r="B904" i="3"/>
  <c r="B898" i="3"/>
  <c r="B676" i="3"/>
  <c r="B901" i="3"/>
  <c r="B903" i="3"/>
  <c r="B1249" i="3"/>
  <c r="B681" i="3"/>
  <c r="B695" i="3"/>
  <c r="B909" i="3"/>
  <c r="B910" i="3"/>
  <c r="B911" i="3"/>
  <c r="B912" i="3"/>
  <c r="B705" i="3"/>
  <c r="B914" i="3"/>
  <c r="B721" i="3"/>
  <c r="B919" i="3"/>
  <c r="B924" i="3"/>
  <c r="B925" i="3"/>
  <c r="B742" i="3"/>
  <c r="B929" i="3"/>
  <c r="B930" i="3"/>
  <c r="B754" i="3"/>
  <c r="B932" i="3"/>
  <c r="B756" i="3"/>
  <c r="B544" i="3"/>
  <c r="B935" i="3"/>
  <c r="B773" i="3"/>
  <c r="B944" i="3"/>
  <c r="B941" i="3"/>
  <c r="B948" i="3"/>
  <c r="B784" i="3"/>
  <c r="B781" i="3"/>
  <c r="B955" i="3"/>
  <c r="B953" i="3"/>
  <c r="B954" i="3"/>
  <c r="B785" i="3"/>
  <c r="B956" i="3"/>
  <c r="B957" i="3"/>
  <c r="B959" i="3"/>
  <c r="B966" i="3"/>
  <c r="B971" i="3"/>
  <c r="B800" i="3"/>
  <c r="B801" i="3"/>
  <c r="B974" i="3"/>
  <c r="B978" i="3"/>
  <c r="B812" i="3"/>
  <c r="B814" i="3"/>
  <c r="B982" i="3"/>
  <c r="B984" i="3"/>
  <c r="B985" i="3"/>
  <c r="B987" i="3"/>
  <c r="B988" i="3"/>
  <c r="B990" i="3"/>
  <c r="B830" i="3"/>
  <c r="B833" i="3"/>
  <c r="B998" i="3"/>
  <c r="B999" i="3"/>
  <c r="B842" i="3"/>
  <c r="B560" i="3"/>
  <c r="B1007" i="3"/>
  <c r="B1006" i="3"/>
  <c r="B853" i="3"/>
  <c r="B1012" i="3"/>
  <c r="B1015" i="3"/>
  <c r="B860" i="3"/>
  <c r="B1016" i="3"/>
  <c r="B871" i="3"/>
  <c r="B1029" i="3"/>
  <c r="B603" i="3"/>
  <c r="B899" i="3"/>
  <c r="B1047" i="3"/>
  <c r="B1052" i="3"/>
  <c r="B1060" i="3"/>
  <c r="B1062" i="3"/>
  <c r="B931" i="3"/>
  <c r="B936" i="3"/>
  <c r="B934" i="3"/>
  <c r="B1068" i="3"/>
  <c r="B939" i="3"/>
  <c r="B943" i="3"/>
  <c r="B1082" i="3"/>
  <c r="B1087" i="3"/>
  <c r="B965" i="3"/>
  <c r="B968" i="3"/>
  <c r="B981" i="3"/>
  <c r="B1092" i="3"/>
  <c r="B1000" i="3"/>
  <c r="B1005" i="3"/>
  <c r="B1101" i="3"/>
  <c r="B1109" i="3"/>
  <c r="B1033" i="3"/>
  <c r="B1035" i="3"/>
  <c r="B1040" i="3"/>
  <c r="B1124" i="3"/>
  <c r="B1048" i="3"/>
  <c r="B1130" i="3"/>
  <c r="B1131" i="3"/>
  <c r="B1145" i="3"/>
  <c r="B1152" i="3"/>
  <c r="B1097" i="3"/>
  <c r="B1137" i="3"/>
  <c r="B1139" i="3"/>
  <c r="B1140" i="3"/>
  <c r="B1146" i="3"/>
  <c r="B1183" i="3"/>
  <c r="B395" i="3"/>
  <c r="B1481" i="3"/>
  <c r="B1378" i="3"/>
  <c r="B1288" i="3"/>
  <c r="B1078" i="3"/>
  <c r="B1011" i="3"/>
  <c r="B996" i="3"/>
  <c r="B1521" i="3"/>
  <c r="B1170" i="3"/>
  <c r="B1093" i="3"/>
  <c r="B1018" i="3"/>
  <c r="B873" i="3"/>
  <c r="B1231" i="3"/>
  <c r="B1045" i="3"/>
  <c r="B1088" i="3"/>
  <c r="B1148" i="3"/>
  <c r="B1178" i="3"/>
  <c r="B548" i="3"/>
  <c r="B1160" i="3"/>
  <c r="B1058" i="3"/>
  <c r="B691" i="3"/>
  <c r="B1220" i="3"/>
  <c r="B698" i="3"/>
  <c r="B1122" i="3"/>
  <c r="B1251" i="3"/>
  <c r="B295" i="3"/>
  <c r="B1457" i="3"/>
  <c r="B1422" i="3"/>
  <c r="B1051" i="3"/>
  <c r="B1030" i="3"/>
  <c r="B1150" i="3"/>
  <c r="B1031" i="3"/>
  <c r="B774" i="3"/>
  <c r="B703" i="3"/>
  <c r="B738" i="3"/>
  <c r="B1042" i="3"/>
  <c r="B1205" i="3"/>
  <c r="B1359" i="3"/>
  <c r="B1104" i="3"/>
  <c r="B920" i="3"/>
  <c r="B875" i="3"/>
  <c r="B1107" i="3"/>
  <c r="B1043" i="3"/>
  <c r="B1461" i="3"/>
  <c r="B1136" i="3"/>
  <c r="B1009" i="3"/>
  <c r="B770" i="3"/>
  <c r="B1158" i="3"/>
  <c r="B290" i="3"/>
  <c r="B1026" i="3"/>
  <c r="B1341" i="3"/>
  <c r="B708" i="3"/>
  <c r="B1094" i="3"/>
  <c r="B1399" i="3"/>
  <c r="B1135" i="3"/>
  <c r="B605" i="3"/>
  <c r="B749" i="3"/>
  <c r="B1235" i="3"/>
  <c r="B1066" i="3"/>
  <c r="B1147" i="3"/>
  <c r="B1008" i="3"/>
  <c r="B1500" i="3"/>
  <c r="B1218" i="3"/>
  <c r="B859" i="3"/>
  <c r="B997" i="3"/>
  <c r="B737" i="3"/>
  <c r="B483" i="3"/>
  <c r="B1023" i="3"/>
  <c r="B584" i="3"/>
  <c r="B527" i="3"/>
  <c r="B1024" i="3"/>
  <c r="B1375" i="3"/>
  <c r="B787" i="3"/>
  <c r="B1132" i="3"/>
  <c r="B1310" i="3"/>
  <c r="B1395" i="3"/>
  <c r="B1388" i="3"/>
  <c r="B1309" i="3"/>
  <c r="B1267" i="3"/>
  <c r="B797" i="3"/>
  <c r="B789" i="3"/>
  <c r="B1250" i="3"/>
  <c r="B1277" i="3"/>
  <c r="B1237" i="3"/>
  <c r="B1214" i="3"/>
  <c r="B747" i="3"/>
  <c r="B1114" i="3"/>
  <c r="B1501" i="3"/>
  <c r="B1089" i="3"/>
  <c r="B1394" i="3"/>
  <c r="B748" i="3"/>
  <c r="B1478" i="3"/>
  <c r="B1397" i="3"/>
  <c r="B964" i="3"/>
  <c r="B777" i="3"/>
  <c r="B1332" i="3"/>
  <c r="B595" i="3"/>
  <c r="B1512" i="3"/>
  <c r="B1100" i="3"/>
  <c r="B821" i="3"/>
  <c r="B1348" i="3"/>
  <c r="B1261" i="3"/>
  <c r="B1236" i="3"/>
  <c r="B1506" i="3"/>
  <c r="B1365" i="3"/>
  <c r="B1071" i="3"/>
  <c r="B1182" i="3"/>
  <c r="B545" i="3"/>
  <c r="B1157" i="3"/>
  <c r="B1242" i="3"/>
  <c r="B593" i="3"/>
  <c r="B1001" i="3"/>
  <c r="B465" i="3"/>
  <c r="B750" i="3"/>
  <c r="B852" i="3"/>
  <c r="B991" i="3"/>
  <c r="B1233" i="3"/>
  <c r="B1494" i="3"/>
  <c r="B1474" i="3"/>
  <c r="B1209" i="3"/>
  <c r="B682" i="3"/>
  <c r="B1154" i="3"/>
  <c r="B1313" i="3"/>
  <c r="B495" i="3"/>
  <c r="B1244" i="3"/>
  <c r="B426" i="3"/>
  <c r="B672" i="3"/>
  <c r="B1189" i="3"/>
  <c r="B1096" i="3"/>
  <c r="B450" i="3"/>
  <c r="B1453" i="3"/>
  <c r="B1004" i="3"/>
  <c r="B1292" i="3"/>
  <c r="B905" i="3"/>
  <c r="B973" i="3"/>
  <c r="B418" i="3"/>
  <c r="B318" i="3"/>
  <c r="B540" i="3"/>
  <c r="B1166" i="3"/>
  <c r="B772" i="3"/>
  <c r="B1360" i="3"/>
  <c r="B1134" i="3"/>
  <c r="B477" i="3"/>
  <c r="B1143" i="3"/>
  <c r="B610" i="3"/>
  <c r="B1169" i="3"/>
  <c r="B1290" i="3"/>
  <c r="B776" i="3"/>
  <c r="B1215" i="3"/>
  <c r="B431" i="3"/>
  <c r="B1138" i="3"/>
  <c r="B1199" i="3"/>
  <c r="B1186" i="3"/>
  <c r="B1013" i="3"/>
  <c r="B798" i="3"/>
  <c r="B972" i="3"/>
  <c r="B552" i="3"/>
  <c r="B1151" i="3"/>
  <c r="B1291" i="3"/>
  <c r="B1056" i="3"/>
  <c r="B1496" i="3"/>
  <c r="B1061" i="3"/>
  <c r="B967" i="3"/>
  <c r="B976" i="3"/>
  <c r="B1538" i="3"/>
  <c r="B1039" i="3"/>
  <c r="B1297" i="3"/>
  <c r="B1162" i="3"/>
  <c r="B1300" i="3"/>
  <c r="B1525" i="3"/>
  <c r="B1372" i="3"/>
  <c r="B438" i="3"/>
  <c r="B1539" i="3"/>
  <c r="B515" i="3"/>
  <c r="B1497" i="3"/>
  <c r="B692" i="3"/>
  <c r="B1509" i="3"/>
  <c r="B1175" i="3"/>
  <c r="B653" i="3"/>
  <c r="B1407" i="3"/>
  <c r="B1063" i="3"/>
  <c r="B1444" i="3"/>
  <c r="B1112" i="3"/>
  <c r="B301" i="3"/>
  <c r="B1059" i="3"/>
  <c r="B253" i="3"/>
  <c r="B1434" i="3"/>
  <c r="B1002" i="3"/>
  <c r="B979" i="3"/>
  <c r="B726" i="3"/>
  <c r="B1176" i="3"/>
  <c r="B1125" i="3"/>
  <c r="B743" i="3"/>
  <c r="B1213" i="3"/>
  <c r="B1203" i="3"/>
  <c r="B1014" i="3"/>
  <c r="B1172" i="3"/>
  <c r="B665" i="3"/>
  <c r="B779" i="3"/>
  <c r="B1165" i="3"/>
  <c r="B1536" i="3"/>
  <c r="B1382" i="3"/>
  <c r="B989" i="3"/>
  <c r="B1246" i="3"/>
  <c r="B1083" i="3"/>
  <c r="B1119" i="3"/>
  <c r="B894" i="3"/>
  <c r="B444" i="3"/>
  <c r="B962" i="3"/>
  <c r="B796" i="3"/>
  <c r="B1161" i="3"/>
  <c r="B1070" i="3"/>
  <c r="B803" i="3"/>
  <c r="B869" i="3"/>
  <c r="B1065" i="3"/>
  <c r="B788" i="3"/>
  <c r="B1248" i="3"/>
  <c r="B1034" i="3"/>
  <c r="B1524" i="3"/>
  <c r="B951" i="3"/>
  <c r="B917" i="3"/>
  <c r="B580" i="3"/>
  <c r="B1155" i="3"/>
  <c r="B926" i="3"/>
  <c r="B1173" i="3"/>
  <c r="B1075" i="3"/>
  <c r="B1072" i="3"/>
  <c r="B1392" i="3"/>
  <c r="B1472" i="3"/>
  <c r="B1133" i="3"/>
  <c r="B1118" i="3"/>
  <c r="B1265" i="3"/>
  <c r="B1090" i="3"/>
  <c r="B1103" i="3"/>
  <c r="B1108" i="3"/>
  <c r="B970" i="3"/>
  <c r="B1488" i="3"/>
  <c r="B942" i="3"/>
  <c r="B975" i="3"/>
  <c r="B1221" i="3"/>
  <c r="B1167" i="3"/>
  <c r="B1483" i="3"/>
  <c r="B1064" i="3"/>
  <c r="B417" i="3"/>
  <c r="B1440" i="3"/>
  <c r="B1303" i="3"/>
  <c r="B1402" i="3"/>
  <c r="B365" i="3"/>
  <c r="B1219" i="3"/>
  <c r="B1475" i="3"/>
  <c r="B1513" i="3"/>
  <c r="B1111" i="3"/>
  <c r="B1412" i="3"/>
  <c r="B1419" i="3"/>
  <c r="B1430" i="3"/>
  <c r="B1307" i="3"/>
  <c r="B1191" i="3"/>
  <c r="B1431" i="3"/>
  <c r="B1113" i="3"/>
  <c r="B510" i="3"/>
  <c r="B1437" i="3"/>
  <c r="B1308" i="3"/>
  <c r="B843" i="3"/>
  <c r="B1396" i="3"/>
  <c r="B1334" i="3"/>
  <c r="B1053" i="3"/>
  <c r="B1445" i="3"/>
  <c r="B553" i="3"/>
  <c r="B420" i="3"/>
  <c r="B1211" i="3"/>
  <c r="B1374" i="3"/>
  <c r="B1074" i="3"/>
  <c r="B1454" i="3"/>
  <c r="B384" i="3"/>
  <c r="B1381" i="3"/>
  <c r="B827" i="3"/>
  <c r="B1268" i="3"/>
  <c r="B1476" i="3"/>
  <c r="B1192" i="3"/>
  <c r="B1115" i="3"/>
  <c r="B1227" i="3"/>
  <c r="B1361" i="3"/>
  <c r="B1057" i="3"/>
  <c r="B1487" i="3"/>
  <c r="B1401" i="3"/>
  <c r="B1465" i="3"/>
  <c r="B757" i="3"/>
  <c r="B1283" i="3"/>
  <c r="B1459" i="3"/>
  <c r="B921" i="3"/>
  <c r="B1349" i="3"/>
  <c r="B1498" i="3"/>
  <c r="B1091" i="3"/>
  <c r="B1282" i="3"/>
  <c r="B1522" i="3"/>
  <c r="B718" i="3"/>
  <c r="B1129" i="3"/>
  <c r="B658" i="3"/>
  <c r="B1335" i="3"/>
  <c r="B1327" i="3"/>
  <c r="B1102" i="3"/>
  <c r="B731" i="3"/>
  <c r="B443" i="3"/>
  <c r="B565" i="3"/>
  <c r="B1410" i="3"/>
  <c r="B1195" i="3"/>
  <c r="B848" i="3"/>
  <c r="B369" i="3"/>
  <c r="B1080" i="3"/>
  <c r="B1451" i="3"/>
  <c r="B1123" i="3"/>
  <c r="C1185" i="3"/>
  <c r="C1184" i="3"/>
  <c r="C1188" i="3"/>
  <c r="C1187" i="3"/>
  <c r="C1193" i="3"/>
  <c r="C1194" i="3"/>
  <c r="C1198" i="3"/>
  <c r="C1196" i="3"/>
  <c r="C1200" i="3"/>
  <c r="C1202" i="3"/>
  <c r="C1201" i="3"/>
  <c r="C1204" i="3"/>
  <c r="C1208" i="3"/>
  <c r="C1212" i="3"/>
  <c r="C1149" i="3"/>
  <c r="C577" i="3"/>
  <c r="C1222" i="3"/>
  <c r="C1255" i="3"/>
  <c r="C1271" i="3"/>
  <c r="C1274" i="3"/>
  <c r="C1312" i="3"/>
  <c r="C1321" i="3"/>
  <c r="C1326" i="3"/>
  <c r="C1330" i="3"/>
  <c r="C1331" i="3"/>
  <c r="C1354" i="3"/>
  <c r="C1355" i="3"/>
  <c r="C1358" i="3"/>
  <c r="C1373" i="3"/>
  <c r="C1376" i="3"/>
  <c r="C1379" i="3"/>
  <c r="C1390" i="3"/>
  <c r="C1223" i="3"/>
  <c r="C1406" i="3"/>
  <c r="C1409" i="3"/>
  <c r="C1224" i="3"/>
  <c r="C1417" i="3"/>
  <c r="C1243" i="3"/>
  <c r="C1425" i="3"/>
  <c r="C1426" i="3"/>
  <c r="C1433" i="3"/>
  <c r="C1436" i="3"/>
  <c r="C1439" i="3"/>
  <c r="C1446" i="3"/>
  <c r="C1450" i="3"/>
  <c r="C1452" i="3"/>
  <c r="C1456" i="3"/>
  <c r="C1471" i="3"/>
  <c r="C1473" i="3"/>
  <c r="C1490" i="3"/>
  <c r="C1491" i="3"/>
  <c r="C1502" i="3"/>
  <c r="C1507" i="3"/>
  <c r="C1511" i="3"/>
  <c r="C1516" i="3"/>
  <c r="C1529" i="3"/>
  <c r="C1530" i="3"/>
  <c r="C1537" i="3"/>
  <c r="C1230" i="3"/>
  <c r="C1485" i="3"/>
  <c r="C993" i="3"/>
  <c r="C1025" i="3"/>
  <c r="C608" i="3"/>
  <c r="C1280" i="3"/>
  <c r="C1337" i="3"/>
  <c r="C1366" i="3"/>
  <c r="C1370" i="3"/>
  <c r="C535" i="3"/>
  <c r="C1393" i="3"/>
  <c r="C1464" i="3"/>
  <c r="C1467" i="3"/>
  <c r="C1479" i="3"/>
  <c r="C1505" i="3"/>
  <c r="C1523" i="3"/>
  <c r="C373" i="3"/>
  <c r="C1126" i="3"/>
  <c r="C1159" i="3"/>
  <c r="C1391" i="3"/>
  <c r="C1177" i="3"/>
  <c r="C1207" i="3"/>
  <c r="C1240" i="3"/>
  <c r="C1262" i="3"/>
  <c r="C537" i="3"/>
  <c r="C1403" i="3"/>
  <c r="C1443" i="3"/>
  <c r="C1532" i="3"/>
  <c r="C1036" i="3"/>
  <c r="C1081" i="3"/>
  <c r="C325" i="3"/>
  <c r="C1117" i="3"/>
  <c r="C201" i="3"/>
  <c r="C449" i="3"/>
  <c r="C1168" i="3"/>
  <c r="C355" i="3"/>
  <c r="C1206" i="3"/>
  <c r="C1232" i="3"/>
  <c r="C1238" i="3"/>
  <c r="C1247" i="3"/>
  <c r="C1252" i="3"/>
  <c r="C1253" i="3"/>
  <c r="C1278" i="3"/>
  <c r="C1279" i="3"/>
  <c r="C1311" i="3"/>
  <c r="C1239" i="3"/>
  <c r="C1317" i="3"/>
  <c r="C1318" i="3"/>
  <c r="C1320" i="3"/>
  <c r="C1322" i="3"/>
  <c r="C1325" i="3"/>
  <c r="C1336" i="3"/>
  <c r="C1338" i="3"/>
  <c r="C1357" i="3"/>
  <c r="C1364" i="3"/>
  <c r="C1367" i="3"/>
  <c r="C1386" i="3"/>
  <c r="C1387" i="3"/>
  <c r="C1404" i="3"/>
  <c r="C1413" i="3"/>
  <c r="C1420" i="3"/>
  <c r="C1432" i="3"/>
  <c r="C1441" i="3"/>
  <c r="C1241" i="3"/>
  <c r="C1447" i="3"/>
  <c r="C1455" i="3"/>
  <c r="C1458" i="3"/>
  <c r="C1460" i="3"/>
  <c r="C344" i="3"/>
  <c r="C1466" i="3"/>
  <c r="C1468" i="3"/>
  <c r="C1482" i="3"/>
  <c r="C1484" i="3"/>
  <c r="C1503" i="3"/>
  <c r="C1504" i="3"/>
  <c r="C1508" i="3"/>
  <c r="C1510" i="3"/>
  <c r="C1514" i="3"/>
  <c r="C1515" i="3"/>
  <c r="C1518" i="3"/>
  <c r="C1519" i="3"/>
  <c r="C1520" i="3"/>
  <c r="C1527" i="3"/>
  <c r="C1528" i="3"/>
  <c r="C1531" i="3"/>
  <c r="C1534" i="3"/>
  <c r="C1540" i="3"/>
  <c r="C1073" i="3"/>
  <c r="C1542" i="3"/>
  <c r="C1003" i="3"/>
  <c r="C125" i="3"/>
  <c r="C1116" i="3"/>
  <c r="C1181" i="3"/>
  <c r="C1190" i="3"/>
  <c r="C551" i="3"/>
  <c r="C511" i="3"/>
  <c r="C439" i="3"/>
  <c r="C1294" i="3"/>
  <c r="C1304" i="3"/>
  <c r="C1324" i="3"/>
  <c r="C1377" i="3"/>
  <c r="C1408" i="3"/>
  <c r="C1423" i="3"/>
  <c r="C1517" i="3"/>
  <c r="C1245" i="3"/>
  <c r="C1371" i="3"/>
  <c r="C958" i="3"/>
  <c r="C1010" i="3"/>
  <c r="C1038" i="3"/>
  <c r="C357" i="3"/>
  <c r="C1079" i="3"/>
  <c r="C1153" i="3"/>
  <c r="C1156" i="3"/>
  <c r="C1179" i="3"/>
  <c r="C498" i="3"/>
  <c r="C1216" i="3"/>
  <c r="C1234" i="3"/>
  <c r="C327" i="3"/>
  <c r="C1269" i="3"/>
  <c r="C1302" i="3"/>
  <c r="C1342" i="3"/>
  <c r="C1356" i="3"/>
  <c r="C1368" i="3"/>
  <c r="C1380" i="3"/>
  <c r="C1383" i="3"/>
  <c r="C1389" i="3"/>
  <c r="C1418" i="3"/>
  <c r="C1421" i="3"/>
  <c r="C1477" i="3"/>
  <c r="C1470" i="3"/>
  <c r="C1486" i="3"/>
  <c r="C1543" i="3"/>
  <c r="C1028" i="3"/>
  <c r="C609" i="3"/>
  <c r="C1306" i="3"/>
  <c r="C1328" i="3"/>
  <c r="C1333" i="3"/>
  <c r="C1384" i="3"/>
  <c r="C1427" i="3"/>
  <c r="C1435" i="3"/>
  <c r="C1448" i="3"/>
  <c r="C1463" i="3"/>
  <c r="C492" i="3"/>
  <c r="C1541" i="3"/>
  <c r="C582" i="3"/>
  <c r="C586" i="3"/>
  <c r="C1110" i="3"/>
  <c r="C1171" i="3"/>
  <c r="C1273" i="3"/>
  <c r="C479" i="3"/>
  <c r="C581" i="3"/>
  <c r="C1350" i="3"/>
  <c r="C1400" i="3"/>
  <c r="C1405" i="3"/>
  <c r="C1415" i="3"/>
  <c r="C1429" i="3"/>
  <c r="C1480" i="3"/>
  <c r="C1492" i="3"/>
  <c r="C1022" i="3"/>
  <c r="C592" i="3"/>
  <c r="C1285" i="3"/>
  <c r="C1298" i="3"/>
  <c r="C693" i="3"/>
  <c r="C706" i="3"/>
  <c r="C353" i="3"/>
  <c r="C764" i="3"/>
  <c r="C768" i="3"/>
  <c r="C795" i="3"/>
  <c r="C819" i="3"/>
  <c r="C1106" i="3"/>
  <c r="C650" i="3"/>
  <c r="C651" i="3"/>
  <c r="C1144" i="3"/>
  <c r="C1174" i="3"/>
  <c r="C654" i="3"/>
  <c r="C576" i="3"/>
  <c r="C410" i="3"/>
  <c r="C659" i="3"/>
  <c r="C1296" i="3"/>
  <c r="C660" i="3"/>
  <c r="C662" i="3"/>
  <c r="C1362" i="3"/>
  <c r="C1428" i="3"/>
  <c r="C667" i="3"/>
  <c r="C668" i="3"/>
  <c r="C669" i="3"/>
  <c r="C671" i="3"/>
  <c r="C678" i="3"/>
  <c r="C680" i="3"/>
  <c r="C694" i="3"/>
  <c r="C702" i="3"/>
  <c r="C710" i="3"/>
  <c r="C713" i="3"/>
  <c r="C714" i="3"/>
  <c r="C723" i="3"/>
  <c r="C725" i="3"/>
  <c r="C732" i="3"/>
  <c r="C736" i="3"/>
  <c r="C739" i="3"/>
  <c r="C744" i="3"/>
  <c r="C745" i="3"/>
  <c r="C220" i="3"/>
  <c r="C522" i="3"/>
  <c r="C607" i="3"/>
  <c r="C752" i="3"/>
  <c r="C755" i="3"/>
  <c r="C759" i="3"/>
  <c r="C762" i="3"/>
  <c r="C1347" i="3"/>
  <c r="C767" i="3"/>
  <c r="C1438" i="3"/>
  <c r="C775" i="3"/>
  <c r="C604" i="3"/>
  <c r="C780" i="3"/>
  <c r="C782" i="3"/>
  <c r="C783" i="3"/>
  <c r="C794" i="3"/>
  <c r="C806" i="3"/>
  <c r="C807" i="3"/>
  <c r="C813" i="3"/>
  <c r="C816" i="3"/>
  <c r="C818" i="3"/>
  <c r="C578" i="3"/>
  <c r="C822" i="3"/>
  <c r="C826" i="3"/>
  <c r="C828" i="3"/>
  <c r="C834" i="3"/>
  <c r="C835" i="3"/>
  <c r="C846" i="3"/>
  <c r="C849" i="3"/>
  <c r="C850" i="3"/>
  <c r="C851" i="3"/>
  <c r="C857" i="3"/>
  <c r="C862" i="3"/>
  <c r="C863" i="3"/>
  <c r="C866" i="3"/>
  <c r="C872" i="3"/>
  <c r="C874" i="3"/>
  <c r="C533" i="3"/>
  <c r="C877" i="3"/>
  <c r="C878" i="3"/>
  <c r="C879" i="3"/>
  <c r="C881" i="3"/>
  <c r="C884" i="3"/>
  <c r="C885" i="3"/>
  <c r="C886" i="3"/>
  <c r="C887" i="3"/>
  <c r="C891" i="3"/>
  <c r="C892" i="3"/>
  <c r="C670" i="3"/>
  <c r="C673" i="3"/>
  <c r="C895" i="3"/>
  <c r="C902" i="3"/>
  <c r="C904" i="3"/>
  <c r="C898" i="3"/>
  <c r="C676" i="3"/>
  <c r="C901" i="3"/>
  <c r="C903" i="3"/>
  <c r="C1249" i="3"/>
  <c r="C681" i="3"/>
  <c r="C695" i="3"/>
  <c r="C909" i="3"/>
  <c r="C910" i="3"/>
  <c r="C911" i="3"/>
  <c r="C912" i="3"/>
  <c r="C705" i="3"/>
  <c r="C914" i="3"/>
  <c r="C721" i="3"/>
  <c r="C919" i="3"/>
  <c r="C924" i="3"/>
  <c r="C925" i="3"/>
  <c r="C742" i="3"/>
  <c r="C929" i="3"/>
  <c r="C930" i="3"/>
  <c r="C754" i="3"/>
  <c r="C932" i="3"/>
  <c r="C756" i="3"/>
  <c r="C544" i="3"/>
  <c r="C935" i="3"/>
  <c r="C773" i="3"/>
  <c r="C944" i="3"/>
  <c r="C941" i="3"/>
  <c r="C948" i="3"/>
  <c r="C784" i="3"/>
  <c r="C781" i="3"/>
  <c r="C955" i="3"/>
  <c r="C953" i="3"/>
  <c r="C954" i="3"/>
  <c r="C785" i="3"/>
  <c r="C956" i="3"/>
  <c r="C957" i="3"/>
  <c r="C959" i="3"/>
  <c r="C966" i="3"/>
  <c r="C971" i="3"/>
  <c r="C800" i="3"/>
  <c r="C801" i="3"/>
  <c r="C974" i="3"/>
  <c r="C978" i="3"/>
  <c r="C812" i="3"/>
  <c r="C814" i="3"/>
  <c r="C982" i="3"/>
  <c r="C984" i="3"/>
  <c r="C985" i="3"/>
  <c r="C987" i="3"/>
  <c r="C988" i="3"/>
  <c r="C990" i="3"/>
  <c r="C830" i="3"/>
  <c r="C833" i="3"/>
  <c r="C998" i="3"/>
  <c r="C999" i="3"/>
  <c r="C842" i="3"/>
  <c r="C560" i="3"/>
  <c r="C1007" i="3"/>
  <c r="C1006" i="3"/>
  <c r="C853" i="3"/>
  <c r="C1012" i="3"/>
  <c r="C1015" i="3"/>
  <c r="C860" i="3"/>
  <c r="C1016" i="3"/>
  <c r="C871" i="3"/>
  <c r="C1029" i="3"/>
  <c r="C603" i="3"/>
  <c r="C899" i="3"/>
  <c r="C1047" i="3"/>
  <c r="C1052" i="3"/>
  <c r="C1060" i="3"/>
  <c r="C1062" i="3"/>
  <c r="C931" i="3"/>
  <c r="C936" i="3"/>
  <c r="C934" i="3"/>
  <c r="C1068" i="3"/>
  <c r="C939" i="3"/>
  <c r="C943" i="3"/>
  <c r="C1082" i="3"/>
  <c r="C1087" i="3"/>
  <c r="C965" i="3"/>
  <c r="C968" i="3"/>
  <c r="C981" i="3"/>
  <c r="C1092" i="3"/>
  <c r="C1000" i="3"/>
  <c r="C1005" i="3"/>
  <c r="C1101" i="3"/>
  <c r="C1109" i="3"/>
  <c r="C1033" i="3"/>
  <c r="C1035" i="3"/>
  <c r="C1040" i="3"/>
  <c r="C1124" i="3"/>
  <c r="C1048" i="3"/>
  <c r="C1130" i="3"/>
  <c r="C1131" i="3"/>
  <c r="C1145" i="3"/>
  <c r="C1152" i="3"/>
  <c r="C1097" i="3"/>
  <c r="C1137" i="3"/>
  <c r="C1139" i="3"/>
  <c r="C1140" i="3"/>
  <c r="C1146" i="3"/>
  <c r="C1183" i="3"/>
  <c r="C395" i="3"/>
  <c r="C1481" i="3"/>
  <c r="C1378" i="3"/>
  <c r="C1288" i="3"/>
  <c r="C1078" i="3"/>
  <c r="C1011" i="3"/>
  <c r="C996" i="3"/>
  <c r="C1521" i="3"/>
  <c r="C1170" i="3"/>
  <c r="C1093" i="3"/>
  <c r="C1018" i="3"/>
  <c r="C873" i="3"/>
  <c r="C1231" i="3"/>
  <c r="C1045" i="3"/>
  <c r="C1088" i="3"/>
  <c r="C1148" i="3"/>
  <c r="C1178" i="3"/>
  <c r="C548" i="3"/>
  <c r="C1160" i="3"/>
  <c r="C1058" i="3"/>
  <c r="C691" i="3"/>
  <c r="C1220" i="3"/>
  <c r="C698" i="3"/>
  <c r="C1122" i="3"/>
  <c r="C1251" i="3"/>
  <c r="C295" i="3"/>
  <c r="C1457" i="3"/>
  <c r="C1422" i="3"/>
  <c r="C1051" i="3"/>
  <c r="C1030" i="3"/>
  <c r="C1150" i="3"/>
  <c r="C1031" i="3"/>
  <c r="C774" i="3"/>
  <c r="C703" i="3"/>
  <c r="C738" i="3"/>
  <c r="C1042" i="3"/>
  <c r="C1205" i="3"/>
  <c r="C1359" i="3"/>
  <c r="C1104" i="3"/>
  <c r="C920" i="3"/>
  <c r="C875" i="3"/>
  <c r="C1107" i="3"/>
  <c r="C1043" i="3"/>
  <c r="C1461" i="3"/>
  <c r="C1136" i="3"/>
  <c r="C1009" i="3"/>
  <c r="C770" i="3"/>
  <c r="C1158" i="3"/>
  <c r="C290" i="3"/>
  <c r="C1026" i="3"/>
  <c r="C1341" i="3"/>
  <c r="C708" i="3"/>
  <c r="C1094" i="3"/>
  <c r="C1399" i="3"/>
  <c r="C1135" i="3"/>
  <c r="C605" i="3"/>
  <c r="C749" i="3"/>
  <c r="C1235" i="3"/>
  <c r="C1066" i="3"/>
  <c r="C1147" i="3"/>
  <c r="C1008" i="3"/>
  <c r="C1500" i="3"/>
  <c r="C1218" i="3"/>
  <c r="C859" i="3"/>
  <c r="C997" i="3"/>
  <c r="C737" i="3"/>
  <c r="C483" i="3"/>
  <c r="C1023" i="3"/>
  <c r="C584" i="3"/>
  <c r="C527" i="3"/>
  <c r="C1024" i="3"/>
  <c r="C1375" i="3"/>
  <c r="C787" i="3"/>
  <c r="C1132" i="3"/>
  <c r="C1310" i="3"/>
  <c r="C1395" i="3"/>
  <c r="C1388" i="3"/>
  <c r="C1309" i="3"/>
  <c r="C1267" i="3"/>
  <c r="C797" i="3"/>
  <c r="C789" i="3"/>
  <c r="C1250" i="3"/>
  <c r="C1277" i="3"/>
  <c r="C1237" i="3"/>
  <c r="C1214" i="3"/>
  <c r="C747" i="3"/>
  <c r="C1114" i="3"/>
  <c r="C1501" i="3"/>
  <c r="C1089" i="3"/>
  <c r="C1394" i="3"/>
  <c r="C748" i="3"/>
  <c r="C1478" i="3"/>
  <c r="C1397" i="3"/>
  <c r="C964" i="3"/>
  <c r="C777" i="3"/>
  <c r="C1332" i="3"/>
  <c r="C595" i="3"/>
  <c r="C1512" i="3"/>
  <c r="C1100" i="3"/>
  <c r="C821" i="3"/>
  <c r="C1348" i="3"/>
  <c r="C1261" i="3"/>
  <c r="C1236" i="3"/>
  <c r="C1506" i="3"/>
  <c r="C1365" i="3"/>
  <c r="C1071" i="3"/>
  <c r="C1182" i="3"/>
  <c r="C545" i="3"/>
  <c r="C1157" i="3"/>
  <c r="C1242" i="3"/>
  <c r="C593" i="3"/>
  <c r="C1001" i="3"/>
  <c r="C465" i="3"/>
  <c r="C750" i="3"/>
  <c r="C852" i="3"/>
  <c r="C991" i="3"/>
  <c r="C1233" i="3"/>
  <c r="C1494" i="3"/>
  <c r="C1474" i="3"/>
  <c r="C1209" i="3"/>
  <c r="C682" i="3"/>
  <c r="C1154" i="3"/>
  <c r="C1313" i="3"/>
  <c r="C495" i="3"/>
  <c r="C1244" i="3"/>
  <c r="C426" i="3"/>
  <c r="C672" i="3"/>
  <c r="C1189" i="3"/>
  <c r="C1096" i="3"/>
  <c r="C450" i="3"/>
  <c r="C1453" i="3"/>
  <c r="C1004" i="3"/>
  <c r="C1292" i="3"/>
  <c r="C905" i="3"/>
  <c r="C973" i="3"/>
  <c r="C418" i="3"/>
  <c r="C318" i="3"/>
  <c r="C540" i="3"/>
  <c r="C1166" i="3"/>
  <c r="C772" i="3"/>
  <c r="C1360" i="3"/>
  <c r="C1134" i="3"/>
  <c r="C477" i="3"/>
  <c r="C1143" i="3"/>
  <c r="C610" i="3"/>
  <c r="C1169" i="3"/>
  <c r="C1290" i="3"/>
  <c r="C776" i="3"/>
  <c r="C1215" i="3"/>
  <c r="C431" i="3"/>
  <c r="C1138" i="3"/>
  <c r="C1199" i="3"/>
  <c r="C1186" i="3"/>
  <c r="C1013" i="3"/>
  <c r="C798" i="3"/>
  <c r="C972" i="3"/>
  <c r="C552" i="3"/>
  <c r="C1151" i="3"/>
  <c r="C1291" i="3"/>
  <c r="C1056" i="3"/>
  <c r="C1496" i="3"/>
  <c r="C1061" i="3"/>
  <c r="C967" i="3"/>
  <c r="C976" i="3"/>
  <c r="C1538" i="3"/>
  <c r="C1039" i="3"/>
  <c r="C1297" i="3"/>
  <c r="C1162" i="3"/>
  <c r="C1300" i="3"/>
  <c r="C1525" i="3"/>
  <c r="C1372" i="3"/>
  <c r="C438" i="3"/>
  <c r="C1539" i="3"/>
  <c r="C515" i="3"/>
  <c r="C1497" i="3"/>
  <c r="C692" i="3"/>
  <c r="C1509" i="3"/>
  <c r="C1175" i="3"/>
  <c r="C653" i="3"/>
  <c r="C1407" i="3"/>
  <c r="C1063" i="3"/>
  <c r="C1444" i="3"/>
  <c r="C1112" i="3"/>
  <c r="C301" i="3"/>
  <c r="C1059" i="3"/>
  <c r="C253" i="3"/>
  <c r="C1434" i="3"/>
  <c r="C1002" i="3"/>
  <c r="C979" i="3"/>
  <c r="C726" i="3"/>
  <c r="C1176" i="3"/>
  <c r="C1125" i="3"/>
  <c r="C743" i="3"/>
  <c r="C1213" i="3"/>
  <c r="C1203" i="3"/>
  <c r="C1014" i="3"/>
  <c r="C1172" i="3"/>
  <c r="C665" i="3"/>
  <c r="C779" i="3"/>
  <c r="C1165" i="3"/>
  <c r="C1536" i="3"/>
  <c r="C1382" i="3"/>
  <c r="C989" i="3"/>
  <c r="C1246" i="3"/>
  <c r="C1083" i="3"/>
  <c r="C1119" i="3"/>
  <c r="C894" i="3"/>
  <c r="C444" i="3"/>
  <c r="C962" i="3"/>
  <c r="C796" i="3"/>
  <c r="C1161" i="3"/>
  <c r="C1070" i="3"/>
  <c r="C803" i="3"/>
  <c r="C869" i="3"/>
  <c r="C1065" i="3"/>
  <c r="C788" i="3"/>
  <c r="C1248" i="3"/>
  <c r="C1034" i="3"/>
  <c r="C1524" i="3"/>
  <c r="C951" i="3"/>
  <c r="C917" i="3"/>
  <c r="C580" i="3"/>
  <c r="C1155" i="3"/>
  <c r="C926" i="3"/>
  <c r="C1173" i="3"/>
  <c r="C1075" i="3"/>
  <c r="C1072" i="3"/>
  <c r="C1392" i="3"/>
  <c r="C1472" i="3"/>
  <c r="C1133" i="3"/>
  <c r="C1118" i="3"/>
  <c r="C1265" i="3"/>
  <c r="C1090" i="3"/>
  <c r="C1103" i="3"/>
  <c r="C1108" i="3"/>
  <c r="C970" i="3"/>
  <c r="C1488" i="3"/>
  <c r="C942" i="3"/>
  <c r="C975" i="3"/>
  <c r="C1221" i="3"/>
  <c r="C1167" i="3"/>
  <c r="C1483" i="3"/>
  <c r="C1064" i="3"/>
  <c r="C417" i="3"/>
  <c r="C1440" i="3"/>
  <c r="C1303" i="3"/>
  <c r="C1402" i="3"/>
  <c r="C365" i="3"/>
  <c r="C1219" i="3"/>
  <c r="C1475" i="3"/>
  <c r="C1513" i="3"/>
  <c r="C1111" i="3"/>
  <c r="C1412" i="3"/>
  <c r="C1419" i="3"/>
  <c r="C1430" i="3"/>
  <c r="C1307" i="3"/>
  <c r="C1191" i="3"/>
  <c r="C1431" i="3"/>
  <c r="C1113" i="3"/>
  <c r="C510" i="3"/>
  <c r="C1437" i="3"/>
  <c r="C1308" i="3"/>
  <c r="C843" i="3"/>
  <c r="C1396" i="3"/>
  <c r="C1334" i="3"/>
  <c r="C1053" i="3"/>
  <c r="C1445" i="3"/>
  <c r="C553" i="3"/>
  <c r="C420" i="3"/>
  <c r="C1211" i="3"/>
  <c r="C1374" i="3"/>
  <c r="C1074" i="3"/>
  <c r="C1454" i="3"/>
  <c r="C384" i="3"/>
  <c r="C1381" i="3"/>
  <c r="C827" i="3"/>
  <c r="C1268" i="3"/>
  <c r="C1476" i="3"/>
  <c r="C1192" i="3"/>
  <c r="C1115" i="3"/>
  <c r="C1227" i="3"/>
  <c r="C1361" i="3"/>
  <c r="C1057" i="3"/>
  <c r="C1487" i="3"/>
  <c r="C1401" i="3"/>
  <c r="C1465" i="3"/>
  <c r="C757" i="3"/>
  <c r="C1283" i="3"/>
  <c r="C1459" i="3"/>
  <c r="C921" i="3"/>
  <c r="C1349" i="3"/>
  <c r="C1498" i="3"/>
  <c r="C1091" i="3"/>
  <c r="C1282" i="3"/>
  <c r="C1522" i="3"/>
  <c r="C718" i="3"/>
  <c r="C1129" i="3"/>
  <c r="C658" i="3"/>
  <c r="C1335" i="3"/>
  <c r="C1327" i="3"/>
  <c r="C1102" i="3"/>
  <c r="C731" i="3"/>
  <c r="C443" i="3"/>
  <c r="C565" i="3"/>
  <c r="C1410" i="3"/>
  <c r="C1195" i="3"/>
  <c r="C848" i="3"/>
  <c r="C369" i="3"/>
  <c r="C1080" i="3"/>
  <c r="C1451" i="3"/>
  <c r="C1123" i="3"/>
  <c r="AU127" i="1"/>
  <c r="AU629" i="1"/>
  <c r="AU264" i="1"/>
  <c r="AU129" i="1"/>
  <c r="AU486" i="1"/>
  <c r="AU488" i="1"/>
  <c r="AU296" i="1"/>
  <c r="AU466" i="1"/>
  <c r="AU118" i="1"/>
  <c r="AU538" i="1"/>
  <c r="AU310" i="1"/>
  <c r="AU446" i="1"/>
  <c r="AU200" i="1"/>
  <c r="AU668" i="1"/>
  <c r="AU471" i="1"/>
  <c r="AU194" i="1"/>
  <c r="AU147" i="1"/>
  <c r="AU487" i="1"/>
  <c r="AU431" i="1"/>
  <c r="AU456" i="1"/>
  <c r="AU351" i="1"/>
  <c r="AU712" i="1"/>
  <c r="AU463" i="1"/>
  <c r="AU658" i="1"/>
  <c r="AU669" i="1"/>
  <c r="AU405" i="1"/>
  <c r="AU730" i="1"/>
  <c r="AU620" i="1"/>
  <c r="AU494" i="1"/>
  <c r="AU390" i="1"/>
  <c r="AU690" i="1"/>
  <c r="AU454" i="1"/>
  <c r="AU676" i="1"/>
  <c r="AU422" i="1"/>
  <c r="AU265" i="1"/>
  <c r="AU449" i="1"/>
  <c r="AU672" i="1"/>
  <c r="AU397" i="1"/>
  <c r="AU771" i="1"/>
  <c r="AU600" i="1"/>
  <c r="AU156" i="1"/>
  <c r="AU763" i="1"/>
  <c r="AU652" i="1"/>
  <c r="AU778" i="1"/>
  <c r="AU675" i="1"/>
  <c r="AU233" i="1"/>
  <c r="AU198" i="1"/>
  <c r="AU323" i="1"/>
  <c r="AU282" i="1"/>
  <c r="AU387" i="1"/>
  <c r="AU202" i="1"/>
  <c r="AU424" i="1"/>
  <c r="AU740" i="1"/>
  <c r="AU360" i="1"/>
  <c r="AU634" i="1"/>
  <c r="AU399" i="1"/>
  <c r="AU175" i="1"/>
  <c r="AU749" i="1"/>
  <c r="AU56" i="1"/>
  <c r="AU142" i="1"/>
  <c r="AU361" i="1"/>
  <c r="AU134" i="1"/>
  <c r="AU769" i="1"/>
  <c r="AU139" i="1"/>
  <c r="AU453" i="1"/>
  <c r="AU77" i="1"/>
  <c r="AU279" i="1"/>
  <c r="AU407" i="1"/>
  <c r="AU694" i="1"/>
  <c r="AU468" i="1"/>
  <c r="AU780" i="1"/>
  <c r="AU386" i="1"/>
  <c r="AU537" i="1"/>
  <c r="AU221" i="1"/>
  <c r="AU444" i="1"/>
  <c r="AU776" i="1"/>
  <c r="AU489" i="1"/>
  <c r="AU141" i="1"/>
  <c r="AU707" i="1"/>
  <c r="AU76" i="1"/>
  <c r="AU288" i="1"/>
  <c r="AU324" i="1"/>
  <c r="AU493" i="1"/>
  <c r="AU699" i="1"/>
  <c r="AU736" i="1"/>
  <c r="AU345" i="1"/>
  <c r="AU428" i="1"/>
  <c r="AU498" i="1"/>
  <c r="AU701" i="1"/>
  <c r="AU485" i="1"/>
  <c r="AU445" i="1"/>
  <c r="AU738" i="1"/>
  <c r="AU400" i="1"/>
  <c r="AU677" i="1"/>
  <c r="AU773" i="1"/>
  <c r="AU107" i="1"/>
  <c r="AU348" i="1"/>
  <c r="AU702" i="1"/>
  <c r="AU467" i="1"/>
  <c r="AU213" i="1"/>
  <c r="AU275" i="1"/>
  <c r="AU350" i="1"/>
  <c r="AU186" i="1"/>
  <c r="AV127" i="1"/>
  <c r="AV629" i="1"/>
  <c r="AV264" i="1"/>
  <c r="AV129" i="1"/>
  <c r="AV486" i="1"/>
  <c r="AV488" i="1"/>
  <c r="AV296" i="1"/>
  <c r="AV466" i="1"/>
  <c r="AV118" i="1"/>
  <c r="AV538" i="1"/>
  <c r="AV310" i="1"/>
  <c r="AV446" i="1"/>
  <c r="AV200" i="1"/>
  <c r="AV668" i="1"/>
  <c r="AV471" i="1"/>
  <c r="AV194" i="1"/>
  <c r="AV147" i="1"/>
  <c r="AV487" i="1"/>
  <c r="AV431" i="1"/>
  <c r="AV456" i="1"/>
  <c r="AV351" i="1"/>
  <c r="AV712" i="1"/>
  <c r="AV463" i="1"/>
  <c r="AV658" i="1"/>
  <c r="AV669" i="1"/>
  <c r="AV405" i="1"/>
  <c r="AV730" i="1"/>
  <c r="AV620" i="1"/>
  <c r="AV494" i="1"/>
  <c r="AV390" i="1"/>
  <c r="AV690" i="1"/>
  <c r="AV454" i="1"/>
  <c r="AV676" i="1"/>
  <c r="AV422" i="1"/>
  <c r="AV265" i="1"/>
  <c r="AV449" i="1"/>
  <c r="AV672" i="1"/>
  <c r="AV397" i="1"/>
  <c r="AV771" i="1"/>
  <c r="AV600" i="1"/>
  <c r="AV156" i="1"/>
  <c r="AV763" i="1"/>
  <c r="AV652" i="1"/>
  <c r="AV778" i="1"/>
  <c r="AV675" i="1"/>
  <c r="AV233" i="1"/>
  <c r="AV198" i="1"/>
  <c r="AV323" i="1"/>
  <c r="AV282" i="1"/>
  <c r="AV387" i="1"/>
  <c r="AV202" i="1"/>
  <c r="AV424" i="1"/>
  <c r="AV740" i="1"/>
  <c r="AV360" i="1"/>
  <c r="AV634" i="1"/>
  <c r="AV399" i="1"/>
  <c r="AV175" i="1"/>
  <c r="AV749" i="1"/>
  <c r="AV56" i="1"/>
  <c r="AV142" i="1"/>
  <c r="AV361" i="1"/>
  <c r="AV134" i="1"/>
  <c r="AV769" i="1"/>
  <c r="AV139" i="1"/>
  <c r="AV453" i="1"/>
  <c r="AV77" i="1"/>
  <c r="AV279" i="1"/>
  <c r="AV407" i="1"/>
  <c r="AV694" i="1"/>
  <c r="AV468" i="1"/>
  <c r="AV780" i="1"/>
  <c r="AV386" i="1"/>
  <c r="AV537" i="1"/>
  <c r="AV221" i="1"/>
  <c r="AV444" i="1"/>
  <c r="AV776" i="1"/>
  <c r="AV489" i="1"/>
  <c r="AV141" i="1"/>
  <c r="AV707" i="1"/>
  <c r="AV76" i="1"/>
  <c r="AV288" i="1"/>
  <c r="AV324" i="1"/>
  <c r="AV493" i="1"/>
  <c r="AV699" i="1"/>
  <c r="AV736" i="1"/>
  <c r="AV345" i="1"/>
  <c r="AV428" i="1"/>
  <c r="AV498" i="1"/>
  <c r="AV701" i="1"/>
  <c r="AV485" i="1"/>
  <c r="AV445" i="1"/>
  <c r="AV738" i="1"/>
  <c r="AV400" i="1"/>
  <c r="AV677" i="1"/>
  <c r="AV773" i="1"/>
  <c r="AV107" i="1"/>
  <c r="AV348" i="1"/>
  <c r="AV702" i="1"/>
  <c r="AV467" i="1"/>
  <c r="AV213" i="1"/>
  <c r="AV275" i="1"/>
  <c r="AV350" i="1"/>
  <c r="AV186" i="1"/>
  <c r="AW127" i="1"/>
  <c r="AW629" i="1"/>
  <c r="AW264" i="1"/>
  <c r="AW129" i="1"/>
  <c r="AW486" i="1"/>
  <c r="AW488" i="1"/>
  <c r="AW296" i="1"/>
  <c r="AW466" i="1"/>
  <c r="AW118" i="1"/>
  <c r="AW538" i="1"/>
  <c r="AW310" i="1"/>
  <c r="AW446" i="1"/>
  <c r="AW200" i="1"/>
  <c r="AW668" i="1"/>
  <c r="AW471" i="1"/>
  <c r="AW194" i="1"/>
  <c r="AW147" i="1"/>
  <c r="AW487" i="1"/>
  <c r="AW431" i="1"/>
  <c r="AW456" i="1"/>
  <c r="AW351" i="1"/>
  <c r="AW712" i="1"/>
  <c r="AW463" i="1"/>
  <c r="AW658" i="1"/>
  <c r="AW669" i="1"/>
  <c r="AW405" i="1"/>
  <c r="AW730" i="1"/>
  <c r="AW620" i="1"/>
  <c r="AW494" i="1"/>
  <c r="AW390" i="1"/>
  <c r="AW690" i="1"/>
  <c r="AW454" i="1"/>
  <c r="AW676" i="1"/>
  <c r="AW422" i="1"/>
  <c r="AW265" i="1"/>
  <c r="AW449" i="1"/>
  <c r="AW672" i="1"/>
  <c r="AW397" i="1"/>
  <c r="AW771" i="1"/>
  <c r="AW600" i="1"/>
  <c r="AW156" i="1"/>
  <c r="AW763" i="1"/>
  <c r="AW652" i="1"/>
  <c r="AW778" i="1"/>
  <c r="AW675" i="1"/>
  <c r="AW233" i="1"/>
  <c r="AW198" i="1"/>
  <c r="AW323" i="1"/>
  <c r="AW282" i="1"/>
  <c r="AW387" i="1"/>
  <c r="AW202" i="1"/>
  <c r="AW424" i="1"/>
  <c r="AW740" i="1"/>
  <c r="AW360" i="1"/>
  <c r="AW634" i="1"/>
  <c r="AW399" i="1"/>
  <c r="AW175" i="1"/>
  <c r="AW749" i="1"/>
  <c r="AW56" i="1"/>
  <c r="AW142" i="1"/>
  <c r="AW361" i="1"/>
  <c r="AW134" i="1"/>
  <c r="AW769" i="1"/>
  <c r="AW139" i="1"/>
  <c r="AW453" i="1"/>
  <c r="AW77" i="1"/>
  <c r="AW279" i="1"/>
  <c r="AW407" i="1"/>
  <c r="AW694" i="1"/>
  <c r="AW468" i="1"/>
  <c r="AW780" i="1"/>
  <c r="AW386" i="1"/>
  <c r="AW537" i="1"/>
  <c r="AW221" i="1"/>
  <c r="AW444" i="1"/>
  <c r="AW776" i="1"/>
  <c r="AW489" i="1"/>
  <c r="AW141" i="1"/>
  <c r="AW707" i="1"/>
  <c r="AW76" i="1"/>
  <c r="AW288" i="1"/>
  <c r="AW324" i="1"/>
  <c r="AW493" i="1"/>
  <c r="AW699" i="1"/>
  <c r="AW736" i="1"/>
  <c r="AW345" i="1"/>
  <c r="AW428" i="1"/>
  <c r="AW498" i="1"/>
  <c r="AW701" i="1"/>
  <c r="AW485" i="1"/>
  <c r="AW445" i="1"/>
  <c r="AW738" i="1"/>
  <c r="AW400" i="1"/>
  <c r="AW677" i="1"/>
  <c r="AW773" i="1"/>
  <c r="AW107" i="1"/>
  <c r="AW348" i="1"/>
  <c r="AW702" i="1"/>
  <c r="AW467" i="1"/>
  <c r="AW213" i="1"/>
  <c r="AW275" i="1"/>
  <c r="AW350" i="1"/>
  <c r="AW186" i="1"/>
  <c r="AX127" i="1"/>
  <c r="AX629" i="1"/>
  <c r="AX264" i="1"/>
  <c r="AX129" i="1"/>
  <c r="AX486" i="1"/>
  <c r="AX488" i="1"/>
  <c r="AX296" i="1"/>
  <c r="AX466" i="1"/>
  <c r="AX118" i="1"/>
  <c r="AX538" i="1"/>
  <c r="AX310" i="1"/>
  <c r="AX446" i="1"/>
  <c r="AX200" i="1"/>
  <c r="AX668" i="1"/>
  <c r="AX471" i="1"/>
  <c r="AX194" i="1"/>
  <c r="AX147" i="1"/>
  <c r="AX487" i="1"/>
  <c r="AX431" i="1"/>
  <c r="AX456" i="1"/>
  <c r="AX351" i="1"/>
  <c r="AX712" i="1"/>
  <c r="AX463" i="1"/>
  <c r="AX658" i="1"/>
  <c r="AX669" i="1"/>
  <c r="AX405" i="1"/>
  <c r="AX730" i="1"/>
  <c r="AX620" i="1"/>
  <c r="AX494" i="1"/>
  <c r="AX390" i="1"/>
  <c r="AX690" i="1"/>
  <c r="AX454" i="1"/>
  <c r="AX676" i="1"/>
  <c r="AX422" i="1"/>
  <c r="AX265" i="1"/>
  <c r="AX449" i="1"/>
  <c r="AX672" i="1"/>
  <c r="AX397" i="1"/>
  <c r="AX771" i="1"/>
  <c r="AX600" i="1"/>
  <c r="AX156" i="1"/>
  <c r="AX763" i="1"/>
  <c r="AX652" i="1"/>
  <c r="AX778" i="1"/>
  <c r="AX675" i="1"/>
  <c r="AX233" i="1"/>
  <c r="AX198" i="1"/>
  <c r="AX323" i="1"/>
  <c r="AX282" i="1"/>
  <c r="AX387" i="1"/>
  <c r="AX202" i="1"/>
  <c r="AX424" i="1"/>
  <c r="AX740" i="1"/>
  <c r="AX360" i="1"/>
  <c r="AX634" i="1"/>
  <c r="AX399" i="1"/>
  <c r="AX175" i="1"/>
  <c r="AX749" i="1"/>
  <c r="AX56" i="1"/>
  <c r="AX142" i="1"/>
  <c r="AX361" i="1"/>
  <c r="AX134" i="1"/>
  <c r="AX769" i="1"/>
  <c r="AX139" i="1"/>
  <c r="AX453" i="1"/>
  <c r="AX77" i="1"/>
  <c r="AX279" i="1"/>
  <c r="AX407" i="1"/>
  <c r="AX694" i="1"/>
  <c r="AX468" i="1"/>
  <c r="AX780" i="1"/>
  <c r="AX386" i="1"/>
  <c r="AX537" i="1"/>
  <c r="AX221" i="1"/>
  <c r="AX444" i="1"/>
  <c r="AX776" i="1"/>
  <c r="AX489" i="1"/>
  <c r="AX141" i="1"/>
  <c r="AX707" i="1"/>
  <c r="AX76" i="1"/>
  <c r="AX288" i="1"/>
  <c r="AX324" i="1"/>
  <c r="AX493" i="1"/>
  <c r="AX699" i="1"/>
  <c r="AX736" i="1"/>
  <c r="AX345" i="1"/>
  <c r="AX428" i="1"/>
  <c r="AX498" i="1"/>
  <c r="AX701" i="1"/>
  <c r="AX485" i="1"/>
  <c r="AX445" i="1"/>
  <c r="AX738" i="1"/>
  <c r="AX400" i="1"/>
  <c r="AX677" i="1"/>
  <c r="AX773" i="1"/>
  <c r="AX107" i="1"/>
  <c r="AX348" i="1"/>
  <c r="AX702" i="1"/>
  <c r="AX467" i="1"/>
  <c r="AX213" i="1"/>
  <c r="AX275" i="1"/>
  <c r="AX350" i="1"/>
  <c r="AX186" i="1"/>
  <c r="AY127" i="1"/>
  <c r="AY629" i="1"/>
  <c r="AY264" i="1"/>
  <c r="AY129" i="1"/>
  <c r="AY486" i="1"/>
  <c r="AY488" i="1"/>
  <c r="AY296" i="1"/>
  <c r="AY466" i="1"/>
  <c r="AY118" i="1"/>
  <c r="AY538" i="1"/>
  <c r="AY310" i="1"/>
  <c r="AY446" i="1"/>
  <c r="AY200" i="1"/>
  <c r="AY668" i="1"/>
  <c r="AY471" i="1"/>
  <c r="AY194" i="1"/>
  <c r="AY147" i="1"/>
  <c r="AY487" i="1"/>
  <c r="AY431" i="1"/>
  <c r="AY456" i="1"/>
  <c r="AY351" i="1"/>
  <c r="AY712" i="1"/>
  <c r="AY463" i="1"/>
  <c r="AY658" i="1"/>
  <c r="AY669" i="1"/>
  <c r="AY405" i="1"/>
  <c r="AY730" i="1"/>
  <c r="AY620" i="1"/>
  <c r="AY494" i="1"/>
  <c r="AY390" i="1"/>
  <c r="AY690" i="1"/>
  <c r="AY454" i="1"/>
  <c r="AY676" i="1"/>
  <c r="AY422" i="1"/>
  <c r="AY265" i="1"/>
  <c r="AY449" i="1"/>
  <c r="AY672" i="1"/>
  <c r="AY397" i="1"/>
  <c r="AY771" i="1"/>
  <c r="AY600" i="1"/>
  <c r="AY156" i="1"/>
  <c r="AY763" i="1"/>
  <c r="AY652" i="1"/>
  <c r="AY778" i="1"/>
  <c r="AY675" i="1"/>
  <c r="AY233" i="1"/>
  <c r="AY198" i="1"/>
  <c r="AY323" i="1"/>
  <c r="AY282" i="1"/>
  <c r="AY387" i="1"/>
  <c r="AY202" i="1"/>
  <c r="AY424" i="1"/>
  <c r="AY740" i="1"/>
  <c r="AY360" i="1"/>
  <c r="AY634" i="1"/>
  <c r="AY399" i="1"/>
  <c r="AY175" i="1"/>
  <c r="AY749" i="1"/>
  <c r="AY56" i="1"/>
  <c r="AY142" i="1"/>
  <c r="AY361" i="1"/>
  <c r="AY134" i="1"/>
  <c r="AY769" i="1"/>
  <c r="AY139" i="1"/>
  <c r="AY453" i="1"/>
  <c r="AY77" i="1"/>
  <c r="AY279" i="1"/>
  <c r="AY407" i="1"/>
  <c r="AY694" i="1"/>
  <c r="AY468" i="1"/>
  <c r="AY780" i="1"/>
  <c r="AY386" i="1"/>
  <c r="AY537" i="1"/>
  <c r="AY221" i="1"/>
  <c r="AY444" i="1"/>
  <c r="AY776" i="1"/>
  <c r="AY489" i="1"/>
  <c r="AY141" i="1"/>
  <c r="AY707" i="1"/>
  <c r="AY76" i="1"/>
  <c r="AY288" i="1"/>
  <c r="AY324" i="1"/>
  <c r="AY493" i="1"/>
  <c r="AY699" i="1"/>
  <c r="AY736" i="1"/>
  <c r="AY345" i="1"/>
  <c r="AY428" i="1"/>
  <c r="AY498" i="1"/>
  <c r="AY701" i="1"/>
  <c r="AY485" i="1"/>
  <c r="AY445" i="1"/>
  <c r="AY738" i="1"/>
  <c r="AY400" i="1"/>
  <c r="AY677" i="1"/>
  <c r="AY773" i="1"/>
  <c r="AY107" i="1"/>
  <c r="AY348" i="1"/>
  <c r="AY702" i="1"/>
  <c r="AY467" i="1"/>
  <c r="AY213" i="1"/>
  <c r="AY275" i="1"/>
  <c r="AY350" i="1"/>
  <c r="AY186" i="1"/>
  <c r="BF127" i="1"/>
  <c r="BF629" i="1"/>
  <c r="BF264" i="1"/>
  <c r="BF129" i="1"/>
  <c r="BF486" i="1"/>
  <c r="BF488" i="1"/>
  <c r="BF296" i="1"/>
  <c r="BF466" i="1"/>
  <c r="BF118" i="1"/>
  <c r="BF538" i="1"/>
  <c r="BF310" i="1"/>
  <c r="BF446" i="1"/>
  <c r="BF200" i="1"/>
  <c r="BF668" i="1"/>
  <c r="BF471" i="1"/>
  <c r="BF194" i="1"/>
  <c r="BF147" i="1"/>
  <c r="BF487" i="1"/>
  <c r="BF431" i="1"/>
  <c r="BF456" i="1"/>
  <c r="BF351" i="1"/>
  <c r="BF712" i="1"/>
  <c r="BF463" i="1"/>
  <c r="BF658" i="1"/>
  <c r="BF669" i="1"/>
  <c r="BF405" i="1"/>
  <c r="BF730" i="1"/>
  <c r="BF620" i="1"/>
  <c r="BF494" i="1"/>
  <c r="BF390" i="1"/>
  <c r="BF690" i="1"/>
  <c r="BF454" i="1"/>
  <c r="BF676" i="1"/>
  <c r="BF422" i="1"/>
  <c r="BF265" i="1"/>
  <c r="BF449" i="1"/>
  <c r="BF672" i="1"/>
  <c r="BF397" i="1"/>
  <c r="BF771" i="1"/>
  <c r="BF600" i="1"/>
  <c r="BF156" i="1"/>
  <c r="BF763" i="1"/>
  <c r="BF652" i="1"/>
  <c r="BF778" i="1"/>
  <c r="BF675" i="1"/>
  <c r="BF233" i="1"/>
  <c r="BF198" i="1"/>
  <c r="BF323" i="1"/>
  <c r="BF282" i="1"/>
  <c r="BF387" i="1"/>
  <c r="BF202" i="1"/>
  <c r="BF424" i="1"/>
  <c r="BF740" i="1"/>
  <c r="BF360" i="1"/>
  <c r="BF634" i="1"/>
  <c r="BF399" i="1"/>
  <c r="BF175" i="1"/>
  <c r="BF749" i="1"/>
  <c r="BF56" i="1"/>
  <c r="BF142" i="1"/>
  <c r="BF361" i="1"/>
  <c r="BF134" i="1"/>
  <c r="BF769" i="1"/>
  <c r="BF139" i="1"/>
  <c r="BF453" i="1"/>
  <c r="BF77" i="1"/>
  <c r="BF279" i="1"/>
  <c r="BF407" i="1"/>
  <c r="BF694" i="1"/>
  <c r="BF468" i="1"/>
  <c r="BF780" i="1"/>
  <c r="BF386" i="1"/>
  <c r="BF537" i="1"/>
  <c r="BF221" i="1"/>
  <c r="BF444" i="1"/>
  <c r="BF776" i="1"/>
  <c r="BF489" i="1"/>
  <c r="BF141" i="1"/>
  <c r="BF707" i="1"/>
  <c r="BF76" i="1"/>
  <c r="BF288" i="1"/>
  <c r="BF324" i="1"/>
  <c r="BF493" i="1"/>
  <c r="BF699" i="1"/>
  <c r="BF736" i="1"/>
  <c r="BF345" i="1"/>
  <c r="BF428" i="1"/>
  <c r="BF498" i="1"/>
  <c r="BF701" i="1"/>
  <c r="BF485" i="1"/>
  <c r="BF445" i="1"/>
  <c r="BF738" i="1"/>
  <c r="BF400" i="1"/>
  <c r="BF677" i="1"/>
  <c r="BF773" i="1"/>
  <c r="BF107" i="1"/>
  <c r="BF348" i="1"/>
  <c r="BF702" i="1"/>
  <c r="BF467" i="1"/>
  <c r="BF213" i="1"/>
  <c r="BF275" i="1"/>
  <c r="BF350" i="1"/>
  <c r="BF186" i="1"/>
  <c r="AW249" i="2"/>
  <c r="AW349" i="2"/>
  <c r="AW157" i="2"/>
  <c r="AW512" i="2"/>
  <c r="AW100" i="2"/>
  <c r="AW382" i="2"/>
  <c r="AW43" i="2"/>
  <c r="AW130" i="2"/>
  <c r="AW366" i="2"/>
  <c r="AW86" i="2"/>
  <c r="AW30" i="2"/>
  <c r="AW302" i="2"/>
  <c r="AW122" i="2"/>
  <c r="AW397" i="2"/>
  <c r="AW11" i="2"/>
  <c r="AW264" i="2"/>
  <c r="AW57" i="2"/>
  <c r="AW380" i="2"/>
  <c r="AW351" i="2"/>
  <c r="AW27" i="2"/>
  <c r="AW150" i="2"/>
  <c r="AW151" i="2"/>
  <c r="AW219" i="2"/>
  <c r="AW160" i="2"/>
  <c r="AW116" i="2"/>
  <c r="AW181" i="2"/>
  <c r="AW129" i="2"/>
  <c r="AW89" i="2"/>
  <c r="AW224" i="2"/>
  <c r="AW404" i="2"/>
  <c r="AW208" i="2"/>
  <c r="AW210" i="2"/>
  <c r="AW15" i="2"/>
  <c r="AW343" i="2"/>
  <c r="AW166" i="2"/>
  <c r="AW275" i="2"/>
  <c r="AW60" i="2"/>
  <c r="AW124" i="2"/>
  <c r="AW58" i="2"/>
  <c r="AW61" i="2"/>
  <c r="AW104" i="2"/>
  <c r="AW227" i="2"/>
  <c r="AW33" i="2"/>
  <c r="AW110" i="2"/>
  <c r="AW29" i="2"/>
  <c r="AW128" i="2"/>
  <c r="AW378" i="2"/>
  <c r="AW187" i="2"/>
  <c r="AW103" i="2"/>
  <c r="AW399" i="2"/>
  <c r="AW228" i="2"/>
  <c r="AW191" i="2"/>
  <c r="AW174" i="2"/>
  <c r="AW106" i="2"/>
  <c r="AW489" i="2"/>
  <c r="AW220" i="2"/>
  <c r="AW287" i="2"/>
  <c r="AW21" i="2"/>
  <c r="AW319" i="2"/>
  <c r="AW92" i="2"/>
  <c r="AW73" i="2"/>
  <c r="AW45" i="2"/>
  <c r="AW94" i="2"/>
  <c r="AW132" i="2"/>
  <c r="B2" i="2"/>
  <c r="B1" i="1"/>
  <c r="B1" i="2"/>
  <c r="K3" i="2"/>
  <c r="J3" i="2"/>
  <c r="J3" i="1"/>
  <c r="K3" i="1"/>
  <c r="E1067" i="3" l="1"/>
  <c r="D1067" i="3"/>
  <c r="G489" i="3"/>
  <c r="D489" i="3"/>
  <c r="F489" i="3"/>
  <c r="H489" i="3"/>
  <c r="F376" i="3"/>
  <c r="D376" i="3"/>
  <c r="E376" i="3"/>
  <c r="G376" i="3"/>
  <c r="H376" i="3"/>
  <c r="G559" i="3"/>
  <c r="F559" i="3"/>
  <c r="H559" i="3"/>
  <c r="D642" i="3"/>
  <c r="F642" i="3"/>
  <c r="G135" i="3"/>
  <c r="D135" i="3"/>
  <c r="F135" i="3"/>
  <c r="H135" i="3"/>
  <c r="G339" i="3"/>
  <c r="E339" i="3"/>
  <c r="H339" i="3"/>
  <c r="V339" i="3"/>
  <c r="F8" i="3"/>
  <c r="D8" i="3"/>
  <c r="E8" i="3"/>
  <c r="V8" i="3"/>
  <c r="U8" i="3"/>
  <c r="BA304" i="2"/>
  <c r="BA661" i="2"/>
  <c r="BH601" i="1"/>
  <c r="AE856" i="3"/>
  <c r="AC707" i="3"/>
  <c r="S1027" i="3"/>
  <c r="P1105" i="3"/>
  <c r="P769" i="3"/>
  <c r="O855" i="3"/>
  <c r="N1067" i="3"/>
  <c r="N734" i="3"/>
  <c r="M1276" i="3"/>
  <c r="M825" i="3"/>
  <c r="L940" i="3"/>
  <c r="L520" i="3"/>
  <c r="K1105" i="3"/>
  <c r="K769" i="3"/>
  <c r="J940" i="3"/>
  <c r="J520" i="3"/>
  <c r="I1276" i="3"/>
  <c r="I896" i="3"/>
  <c r="I469" i="3"/>
  <c r="H469" i="3"/>
  <c r="H1329" i="3"/>
  <c r="G980" i="3"/>
  <c r="G769" i="3"/>
  <c r="G469" i="3"/>
  <c r="G1329" i="3"/>
  <c r="F1105" i="3"/>
  <c r="F469" i="3"/>
  <c r="F1329" i="3"/>
  <c r="E980" i="3"/>
  <c r="E722" i="3"/>
  <c r="D1105" i="3"/>
  <c r="D769" i="3"/>
  <c r="D1329" i="3"/>
  <c r="E946" i="3"/>
  <c r="H946" i="3"/>
  <c r="E35" i="3"/>
  <c r="D35" i="3"/>
  <c r="G35" i="3"/>
  <c r="H35" i="3"/>
  <c r="BJ440" i="1"/>
  <c r="BA400" i="2"/>
  <c r="BA144" i="2"/>
  <c r="BA429" i="2"/>
  <c r="BA40" i="2"/>
  <c r="BB640" i="2"/>
  <c r="BB312" i="2"/>
  <c r="BI389" i="1"/>
  <c r="BI261" i="1"/>
  <c r="AZ152" i="2"/>
  <c r="AZ417" i="2"/>
  <c r="AZ291" i="2"/>
  <c r="AZ50" i="2"/>
  <c r="BH612" i="1"/>
  <c r="BH595" i="1"/>
  <c r="BH743" i="1"/>
  <c r="AD882" i="3"/>
  <c r="AD370" i="3"/>
  <c r="S1067" i="3"/>
  <c r="S734" i="3"/>
  <c r="P1276" i="3"/>
  <c r="P825" i="3"/>
  <c r="O896" i="3"/>
  <c r="O469" i="3"/>
  <c r="N1105" i="3"/>
  <c r="N769" i="3"/>
  <c r="M1046" i="3"/>
  <c r="M855" i="3"/>
  <c r="M339" i="3"/>
  <c r="M1258" i="3"/>
  <c r="L980" i="3"/>
  <c r="L840" i="3"/>
  <c r="L699" i="3"/>
  <c r="K1276" i="3"/>
  <c r="K995" i="3"/>
  <c r="K825" i="3"/>
  <c r="K712" i="3"/>
  <c r="K339" i="3"/>
  <c r="K1258" i="3"/>
  <c r="J980" i="3"/>
  <c r="J840" i="3"/>
  <c r="J699" i="3"/>
  <c r="J1301" i="3"/>
  <c r="I940" i="3"/>
  <c r="I805" i="3"/>
  <c r="I520" i="3"/>
  <c r="I339" i="3"/>
  <c r="I1258" i="3"/>
  <c r="H1017" i="3"/>
  <c r="H855" i="3"/>
  <c r="H753" i="3"/>
  <c r="H520" i="3"/>
  <c r="G1085" i="3"/>
  <c r="G933" i="3"/>
  <c r="F1046" i="3"/>
  <c r="F927" i="3"/>
  <c r="F825" i="3"/>
  <c r="F520" i="3"/>
  <c r="E1085" i="3"/>
  <c r="AD1085" i="3" s="1"/>
  <c r="E927" i="3"/>
  <c r="E805" i="3"/>
  <c r="D722" i="3"/>
  <c r="D469" i="3"/>
  <c r="D356" i="3"/>
  <c r="G356" i="3"/>
  <c r="H441" i="3"/>
  <c r="E441" i="3"/>
  <c r="V441" i="3"/>
  <c r="F221" i="3"/>
  <c r="V221" i="3"/>
  <c r="F84" i="3"/>
  <c r="D84" i="3"/>
  <c r="E84" i="3"/>
  <c r="H84" i="3"/>
  <c r="E207" i="3"/>
  <c r="D207" i="3"/>
  <c r="BJ142" i="1"/>
  <c r="BA477" i="2"/>
  <c r="BJ156" i="1"/>
  <c r="BA662" i="2"/>
  <c r="BA280" i="2"/>
  <c r="BA121" i="2"/>
  <c r="BK215" i="1"/>
  <c r="BK221" i="1"/>
  <c r="BB257" i="2"/>
  <c r="BB310" i="2"/>
  <c r="BK463" i="1"/>
  <c r="BB621" i="2"/>
  <c r="BB340" i="2"/>
  <c r="AZ376" i="2"/>
  <c r="AZ403" i="2"/>
  <c r="AZ618" i="2"/>
  <c r="AZ732" i="2"/>
  <c r="AY511" i="2"/>
  <c r="AC1086" i="3"/>
  <c r="AD927" i="3"/>
  <c r="AD661" i="3"/>
  <c r="AD1301" i="3"/>
  <c r="S1105" i="3"/>
  <c r="S769" i="3"/>
  <c r="P855" i="3"/>
  <c r="O940" i="3"/>
  <c r="O520" i="3"/>
  <c r="N1276" i="3"/>
  <c r="N825" i="3"/>
  <c r="M896" i="3"/>
  <c r="M469" i="3"/>
  <c r="M1284" i="3"/>
  <c r="L1027" i="3"/>
  <c r="L722" i="3"/>
  <c r="K855" i="3"/>
  <c r="K1284" i="3"/>
  <c r="J1027" i="3"/>
  <c r="J722" i="3"/>
  <c r="I980" i="3"/>
  <c r="I699" i="3"/>
  <c r="I1284" i="3"/>
  <c r="H1067" i="3"/>
  <c r="H995" i="3"/>
  <c r="H896" i="3"/>
  <c r="G1276" i="3"/>
  <c r="G1077" i="3"/>
  <c r="G825" i="3"/>
  <c r="G520" i="3"/>
  <c r="F1276" i="3"/>
  <c r="F699" i="3"/>
  <c r="E1276" i="3"/>
  <c r="E1027" i="3"/>
  <c r="D896" i="3"/>
  <c r="D753" i="3"/>
  <c r="G817" i="3"/>
  <c r="H817" i="3"/>
  <c r="E472" i="3"/>
  <c r="F472" i="3"/>
  <c r="G472" i="3"/>
  <c r="D550" i="3"/>
  <c r="F550" i="3"/>
  <c r="D447" i="3"/>
  <c r="F447" i="3"/>
  <c r="H175" i="3"/>
  <c r="D175" i="3"/>
  <c r="F175" i="3"/>
  <c r="V175" i="3"/>
  <c r="F223" i="3"/>
  <c r="D223" i="3"/>
  <c r="BJ115" i="1"/>
  <c r="BJ310" i="1"/>
  <c r="BA140" i="2"/>
  <c r="BA198" i="2"/>
  <c r="BJ454" i="1"/>
  <c r="BB263" i="2"/>
  <c r="BK439" i="1"/>
  <c r="BB195" i="2"/>
  <c r="BB342" i="2"/>
  <c r="AZ335" i="2"/>
  <c r="BI58" i="1"/>
  <c r="AZ215" i="2"/>
  <c r="AZ464" i="2"/>
  <c r="AZ579" i="2"/>
  <c r="BI467" i="1"/>
  <c r="AY496" i="2"/>
  <c r="S1276" i="3"/>
  <c r="S825" i="3"/>
  <c r="P896" i="3"/>
  <c r="O980" i="3"/>
  <c r="O699" i="3"/>
  <c r="N855" i="3"/>
  <c r="M940" i="3"/>
  <c r="M520" i="3"/>
  <c r="M1329" i="3"/>
  <c r="L1067" i="3"/>
  <c r="L734" i="3"/>
  <c r="K896" i="3"/>
  <c r="K469" i="3"/>
  <c r="K1329" i="3"/>
  <c r="J1067" i="3"/>
  <c r="J734" i="3"/>
  <c r="I1027" i="3"/>
  <c r="I722" i="3"/>
  <c r="I1329" i="3"/>
  <c r="H699" i="3"/>
  <c r="G1027" i="3"/>
  <c r="G855" i="3"/>
  <c r="G699" i="3"/>
  <c r="F855" i="3"/>
  <c r="E734" i="3"/>
  <c r="E469" i="3"/>
  <c r="E1329" i="3"/>
  <c r="D520" i="3"/>
  <c r="D1258" i="3"/>
  <c r="F836" i="3"/>
  <c r="G836" i="3"/>
  <c r="H267" i="3"/>
  <c r="D267" i="3"/>
  <c r="E267" i="3"/>
  <c r="F267" i="3"/>
  <c r="G267" i="3"/>
  <c r="G518" i="3"/>
  <c r="F518" i="3"/>
  <c r="D296" i="3"/>
  <c r="E296" i="3"/>
  <c r="F296" i="3"/>
  <c r="G296" i="3"/>
  <c r="H296" i="3"/>
  <c r="D293" i="3"/>
  <c r="H293" i="3"/>
  <c r="V293" i="3"/>
  <c r="H273" i="3"/>
  <c r="F273" i="3"/>
  <c r="G399" i="3"/>
  <c r="D399" i="3"/>
  <c r="H294" i="3"/>
  <c r="D294" i="3"/>
  <c r="F123" i="3"/>
  <c r="D123" i="3"/>
  <c r="BK445" i="1"/>
  <c r="BH728" i="1"/>
  <c r="AY134" i="2"/>
  <c r="AE952" i="3"/>
  <c r="AC995" i="3"/>
  <c r="AD514" i="3"/>
  <c r="AD302" i="3"/>
  <c r="S855" i="3"/>
  <c r="P940" i="3"/>
  <c r="P520" i="3"/>
  <c r="P1284" i="3"/>
  <c r="O1027" i="3"/>
  <c r="O722" i="3"/>
  <c r="N1077" i="3"/>
  <c r="N896" i="3"/>
  <c r="N469" i="3"/>
  <c r="N339" i="3"/>
  <c r="N1258" i="3"/>
  <c r="M980" i="3"/>
  <c r="M840" i="3"/>
  <c r="M699" i="3"/>
  <c r="L1105" i="3"/>
  <c r="L1017" i="3"/>
  <c r="L590" i="3"/>
  <c r="L769" i="3"/>
  <c r="L688" i="3"/>
  <c r="K1180" i="3"/>
  <c r="K940" i="3"/>
  <c r="K520" i="3"/>
  <c r="J1105" i="3"/>
  <c r="J1017" i="3"/>
  <c r="J590" i="3"/>
  <c r="J769" i="3"/>
  <c r="J688" i="3"/>
  <c r="J339" i="3"/>
  <c r="J1258" i="3"/>
  <c r="I1067" i="3"/>
  <c r="I963" i="3"/>
  <c r="I927" i="3"/>
  <c r="I734" i="3"/>
  <c r="I661" i="3"/>
  <c r="H1105" i="3"/>
  <c r="H1049" i="3"/>
  <c r="H940" i="3"/>
  <c r="H882" i="3"/>
  <c r="H722" i="3"/>
  <c r="H661" i="3"/>
  <c r="H1346" i="3"/>
  <c r="G1197" i="3"/>
  <c r="G585" i="3"/>
  <c r="G896" i="3"/>
  <c r="G1346" i="3"/>
  <c r="F1197" i="3"/>
  <c r="F585" i="3"/>
  <c r="AD585" i="3" s="1"/>
  <c r="F1027" i="3"/>
  <c r="AD1027" i="3" s="1"/>
  <c r="F722" i="3"/>
  <c r="F1346" i="3"/>
  <c r="AD1346" i="3" s="1"/>
  <c r="E1197" i="3"/>
  <c r="AD1197" i="3" s="1"/>
  <c r="E995" i="3"/>
  <c r="E896" i="3"/>
  <c r="AD896" i="3" s="1"/>
  <c r="E520" i="3"/>
  <c r="D1197" i="3"/>
  <c r="D882" i="3"/>
  <c r="D760" i="3"/>
  <c r="G760" i="3"/>
  <c r="D52" i="3"/>
  <c r="G52" i="3"/>
  <c r="D38" i="3"/>
  <c r="E38" i="3"/>
  <c r="D29" i="3"/>
  <c r="F29" i="3"/>
  <c r="G29" i="3"/>
  <c r="BJ433" i="1"/>
  <c r="BA347" i="2"/>
  <c r="BB583" i="2"/>
  <c r="BK222" i="1"/>
  <c r="BB388" i="2"/>
  <c r="BB513" i="2"/>
  <c r="BB509" i="2"/>
  <c r="BB231" i="2"/>
  <c r="AZ496" i="2"/>
  <c r="AZ308" i="2"/>
  <c r="AZ294" i="2"/>
  <c r="AZ323" i="2"/>
  <c r="BH678" i="1"/>
  <c r="AY270" i="2"/>
  <c r="AY588" i="2"/>
  <c r="AD1120" i="3"/>
  <c r="AD8" i="3"/>
  <c r="S896" i="3"/>
  <c r="S1258" i="3"/>
  <c r="P980" i="3"/>
  <c r="P699" i="3"/>
  <c r="P1329" i="3"/>
  <c r="O1067" i="3"/>
  <c r="O734" i="3"/>
  <c r="O1329" i="3"/>
  <c r="O1284" i="3"/>
  <c r="O1258" i="3"/>
  <c r="N1180" i="3"/>
  <c r="N940" i="3"/>
  <c r="N520" i="3"/>
  <c r="N1284" i="3"/>
  <c r="M1027" i="3"/>
  <c r="M587" i="3"/>
  <c r="M722" i="3"/>
  <c r="L1276" i="3"/>
  <c r="L995" i="3"/>
  <c r="L825" i="3"/>
  <c r="L712" i="3"/>
  <c r="L339" i="3"/>
  <c r="L1258" i="3"/>
  <c r="K980" i="3"/>
  <c r="K840" i="3"/>
  <c r="K699" i="3"/>
  <c r="K1264" i="3"/>
  <c r="J1276" i="3"/>
  <c r="J1049" i="3"/>
  <c r="J995" i="3"/>
  <c r="J825" i="3"/>
  <c r="J712" i="3"/>
  <c r="J1284" i="3"/>
  <c r="I1017" i="3"/>
  <c r="I769" i="3"/>
  <c r="I688" i="3"/>
  <c r="I1264" i="3"/>
  <c r="H1276" i="3"/>
  <c r="H587" i="3"/>
  <c r="H734" i="3"/>
  <c r="G722" i="3"/>
  <c r="F734" i="3"/>
  <c r="AD734" i="3" s="1"/>
  <c r="F688" i="3"/>
  <c r="E769" i="3"/>
  <c r="D734" i="3"/>
  <c r="D1284" i="3"/>
  <c r="F236" i="3"/>
  <c r="D236" i="3"/>
  <c r="E236" i="3"/>
  <c r="F611" i="3"/>
  <c r="K610" i="7" s="1"/>
  <c r="D611" i="3"/>
  <c r="I610" i="7" s="1"/>
  <c r="H611" i="3"/>
  <c r="F177" i="3"/>
  <c r="E177" i="3"/>
  <c r="G177" i="3"/>
  <c r="H177" i="3"/>
  <c r="H249" i="3"/>
  <c r="D249" i="3"/>
  <c r="E249" i="3"/>
  <c r="F249" i="3"/>
  <c r="G249" i="3"/>
  <c r="E616" i="3"/>
  <c r="D616" i="3"/>
  <c r="F616" i="3"/>
  <c r="G616" i="3"/>
  <c r="H616" i="3"/>
  <c r="D467" i="3"/>
  <c r="H467" i="3"/>
  <c r="G144" i="3"/>
  <c r="D144" i="3"/>
  <c r="F144" i="3"/>
  <c r="F302" i="3"/>
  <c r="D302" i="3"/>
  <c r="E302" i="3"/>
  <c r="V302" i="3"/>
  <c r="H302" i="3"/>
  <c r="D213" i="3"/>
  <c r="F213" i="3"/>
  <c r="G213" i="3"/>
  <c r="BJ235" i="1"/>
  <c r="BA356" i="2"/>
  <c r="BA383" i="2"/>
  <c r="BB527" i="2"/>
  <c r="BK213" i="1"/>
  <c r="BK443" i="1"/>
  <c r="AZ177" i="2"/>
  <c r="AZ553" i="2"/>
  <c r="BH147" i="1"/>
  <c r="BH454" i="1"/>
  <c r="AC677" i="3"/>
  <c r="AD1276" i="3"/>
  <c r="AD825" i="3"/>
  <c r="AD722" i="3"/>
  <c r="AD469" i="3"/>
  <c r="AD1329" i="3"/>
  <c r="AD1258" i="3"/>
  <c r="S940" i="3"/>
  <c r="S1284" i="3"/>
  <c r="P1027" i="3"/>
  <c r="P722" i="3"/>
  <c r="O1105" i="3"/>
  <c r="O769" i="3"/>
  <c r="N980" i="3"/>
  <c r="N699" i="3"/>
  <c r="N1329" i="3"/>
  <c r="M1067" i="3"/>
  <c r="L1046" i="3"/>
  <c r="L855" i="3"/>
  <c r="L728" i="3"/>
  <c r="L1284" i="3"/>
  <c r="K1027" i="3"/>
  <c r="K1301" i="3"/>
  <c r="J1085" i="3"/>
  <c r="J855" i="3"/>
  <c r="I1105" i="3"/>
  <c r="I1049" i="3"/>
  <c r="I825" i="3"/>
  <c r="I712" i="3"/>
  <c r="I1301" i="3"/>
  <c r="H1085" i="3"/>
  <c r="H980" i="3"/>
  <c r="H933" i="3"/>
  <c r="H1258" i="3"/>
  <c r="G882" i="3"/>
  <c r="G840" i="3"/>
  <c r="G1258" i="3"/>
  <c r="F1067" i="3"/>
  <c r="F1017" i="3"/>
  <c r="E1049" i="3"/>
  <c r="AD1049" i="3" s="1"/>
  <c r="E699" i="3"/>
  <c r="AD699" i="3" s="1"/>
  <c r="D1128" i="3"/>
  <c r="D117" i="3"/>
  <c r="F117" i="3"/>
  <c r="V117" i="3"/>
  <c r="D452" i="3"/>
  <c r="E452" i="3"/>
  <c r="H452" i="3"/>
  <c r="D14" i="3"/>
  <c r="E14" i="3"/>
  <c r="D804" i="3"/>
  <c r="H916" i="3"/>
  <c r="F474" i="3"/>
  <c r="D907" i="3"/>
  <c r="E889" i="3"/>
  <c r="D478" i="3"/>
  <c r="H546" i="3"/>
  <c r="F470" i="3"/>
  <c r="E385" i="3"/>
  <c r="G854" i="3"/>
  <c r="G810" i="3"/>
  <c r="E792" i="3"/>
  <c r="G430" i="3"/>
  <c r="G766" i="3"/>
  <c r="H763" i="3"/>
  <c r="H564" i="3"/>
  <c r="H547" i="3"/>
  <c r="G523" i="3"/>
  <c r="D612" i="3"/>
  <c r="I611" i="7" s="1"/>
  <c r="F701" i="3"/>
  <c r="G346" i="3"/>
  <c r="F402" i="3"/>
  <c r="D251" i="3"/>
  <c r="H271" i="3"/>
  <c r="F415" i="3"/>
  <c r="F238" i="3"/>
  <c r="H436" i="3"/>
  <c r="E503" i="3"/>
  <c r="H62" i="3"/>
  <c r="D261" i="3"/>
  <c r="D215" i="3"/>
  <c r="G613" i="3"/>
  <c r="F526" i="3"/>
  <c r="D310" i="3"/>
  <c r="G391" i="3"/>
  <c r="E629" i="3"/>
  <c r="D140" i="3"/>
  <c r="D195" i="3"/>
  <c r="F599" i="3"/>
  <c r="E487" i="3"/>
  <c r="E264" i="3"/>
  <c r="F367" i="3"/>
  <c r="D360" i="3"/>
  <c r="G434" i="3"/>
  <c r="D281" i="3"/>
  <c r="H455" i="3"/>
  <c r="D328" i="3"/>
  <c r="E115" i="3"/>
  <c r="G274" i="3"/>
  <c r="F476" i="3"/>
  <c r="E57" i="3"/>
  <c r="E173" i="3"/>
  <c r="D43" i="3"/>
  <c r="E482" i="3"/>
  <c r="G280" i="3"/>
  <c r="F150" i="3"/>
  <c r="D187" i="3"/>
  <c r="D133" i="3"/>
  <c r="E103" i="3"/>
  <c r="F234" i="3"/>
  <c r="F208" i="3"/>
  <c r="E95" i="3"/>
  <c r="F86" i="3"/>
  <c r="F170" i="3"/>
  <c r="H71" i="3"/>
  <c r="F25" i="3"/>
  <c r="F74" i="3"/>
  <c r="H149" i="3"/>
  <c r="H31" i="3"/>
  <c r="E21" i="3"/>
  <c r="H315" i="3"/>
  <c r="E474" i="3"/>
  <c r="H876" i="3"/>
  <c r="G546" i="3"/>
  <c r="D470" i="3"/>
  <c r="D385" i="3"/>
  <c r="E854" i="3"/>
  <c r="D792" i="3"/>
  <c r="E430" i="3"/>
  <c r="H528" i="3"/>
  <c r="F766" i="3"/>
  <c r="G763" i="3"/>
  <c r="D626" i="3"/>
  <c r="F625" i="3"/>
  <c r="D564" i="3"/>
  <c r="D598" i="3"/>
  <c r="E558" i="3"/>
  <c r="H285" i="3"/>
  <c r="D402" i="3"/>
  <c r="G271" i="3"/>
  <c r="D415" i="3"/>
  <c r="G436" i="3"/>
  <c r="F499" i="3"/>
  <c r="D503" i="3"/>
  <c r="G162" i="3"/>
  <c r="E62" i="3"/>
  <c r="H573" i="3"/>
  <c r="F613" i="3"/>
  <c r="D526" i="3"/>
  <c r="F240" i="3"/>
  <c r="E599" i="3"/>
  <c r="E336" i="3"/>
  <c r="G192" i="3"/>
  <c r="F309" i="3"/>
  <c r="F434" i="3"/>
  <c r="G455" i="3"/>
  <c r="D422" i="3"/>
  <c r="G359" i="3"/>
  <c r="F280" i="3"/>
  <c r="H392" i="3"/>
  <c r="E234" i="3"/>
  <c r="E185" i="3"/>
  <c r="G313" i="3"/>
  <c r="E208" i="3"/>
  <c r="G237" i="3"/>
  <c r="D95" i="3"/>
  <c r="F48" i="3"/>
  <c r="H65" i="3"/>
  <c r="F31" i="3"/>
  <c r="F237" i="3"/>
  <c r="D947" i="3"/>
  <c r="G259" i="3"/>
  <c r="G868" i="3"/>
  <c r="D546" i="3"/>
  <c r="F145" i="3"/>
  <c r="F428" i="3"/>
  <c r="D633" i="3"/>
  <c r="D528" i="3"/>
  <c r="D766" i="3"/>
  <c r="D763" i="3"/>
  <c r="D285" i="3"/>
  <c r="F304" i="3"/>
  <c r="E366" i="3"/>
  <c r="E389" i="3"/>
  <c r="G380" i="3"/>
  <c r="D271" i="3"/>
  <c r="D436" i="3"/>
  <c r="E268" i="3"/>
  <c r="F39" i="3"/>
  <c r="F640" i="3"/>
  <c r="F573" i="3"/>
  <c r="H486" i="3"/>
  <c r="F634" i="3"/>
  <c r="E192" i="3"/>
  <c r="F260" i="3"/>
  <c r="G199" i="3"/>
  <c r="D434" i="3"/>
  <c r="H329" i="3"/>
  <c r="D455" i="3"/>
  <c r="E92" i="3"/>
  <c r="D277" i="3"/>
  <c r="H451" i="3"/>
  <c r="G423" i="3"/>
  <c r="G204" i="3"/>
  <c r="H212" i="3"/>
  <c r="D351" i="3"/>
  <c r="G312" i="3"/>
  <c r="H361" i="3"/>
  <c r="H377" i="3"/>
  <c r="D359" i="3"/>
  <c r="D101" i="3"/>
  <c r="G239" i="3"/>
  <c r="E237" i="3"/>
  <c r="G143" i="3"/>
  <c r="G333" i="3"/>
  <c r="G78" i="3"/>
  <c r="H68" i="3"/>
  <c r="G7" i="3"/>
  <c r="F23" i="3"/>
  <c r="F11" i="3"/>
  <c r="H227" i="3"/>
  <c r="H437" i="3"/>
  <c r="H711" i="3"/>
  <c r="G496" i="3"/>
  <c r="H615" i="3"/>
  <c r="F490" i="3"/>
  <c r="E573" i="3"/>
  <c r="E486" i="3"/>
  <c r="G331" i="3"/>
  <c r="G306" i="3"/>
  <c r="F199" i="3"/>
  <c r="F451" i="3"/>
  <c r="F423" i="3"/>
  <c r="F312" i="3"/>
  <c r="F239" i="3"/>
  <c r="G171" i="3"/>
  <c r="F143" i="3"/>
  <c r="F333" i="3"/>
  <c r="G68" i="3"/>
  <c r="G88" i="3"/>
  <c r="F227" i="3"/>
  <c r="E534" i="3"/>
  <c r="D918" i="3"/>
  <c r="H407" i="3"/>
  <c r="H463" i="3"/>
  <c r="H623" i="3"/>
  <c r="G543" i="3"/>
  <c r="D711" i="3"/>
  <c r="E440" i="3"/>
  <c r="F601" i="3"/>
  <c r="F554" i="3"/>
  <c r="E496" i="3"/>
  <c r="G424" i="3"/>
  <c r="F615" i="3"/>
  <c r="F72" i="3"/>
  <c r="G555" i="3"/>
  <c r="H288" i="3"/>
  <c r="E490" i="3"/>
  <c r="D486" i="3"/>
  <c r="F148" i="3"/>
  <c r="H372" i="3"/>
  <c r="E331" i="3"/>
  <c r="H340" i="3"/>
  <c r="H360" i="3"/>
  <c r="G572" i="3"/>
  <c r="F163" i="3"/>
  <c r="E306" i="3"/>
  <c r="AD306" i="3" s="1"/>
  <c r="E199" i="3"/>
  <c r="G181" i="3"/>
  <c r="F77" i="3"/>
  <c r="D451" i="3"/>
  <c r="E423" i="3"/>
  <c r="D204" i="3"/>
  <c r="D312" i="3"/>
  <c r="G46" i="3"/>
  <c r="D174" i="3"/>
  <c r="H104" i="3"/>
  <c r="H187" i="3"/>
  <c r="D239" i="3"/>
  <c r="G262" i="3"/>
  <c r="D58" i="3"/>
  <c r="F171" i="3"/>
  <c r="H79" i="3"/>
  <c r="E143" i="3"/>
  <c r="AD143" i="3" s="1"/>
  <c r="E333" i="3"/>
  <c r="H28" i="3"/>
  <c r="H51" i="3"/>
  <c r="E110" i="3"/>
  <c r="D68" i="3"/>
  <c r="F88" i="3"/>
  <c r="H470" i="3"/>
  <c r="G385" i="3"/>
  <c r="H415" i="3"/>
  <c r="AY712" i="2"/>
  <c r="BH633" i="1"/>
  <c r="BH451" i="1"/>
  <c r="BH651" i="1"/>
  <c r="AY108" i="2"/>
  <c r="AY369" i="2"/>
  <c r="BH605" i="1"/>
  <c r="AY290" i="2"/>
  <c r="BH626" i="1"/>
  <c r="BH534" i="1"/>
  <c r="AY339" i="2"/>
  <c r="AD804" i="3"/>
  <c r="G949" i="3"/>
  <c r="E646" i="3"/>
  <c r="F352" i="3"/>
  <c r="E352" i="3"/>
  <c r="H947" i="3"/>
  <c r="F946" i="3"/>
  <c r="E645" i="3"/>
  <c r="D315" i="3"/>
  <c r="G345" i="3"/>
  <c r="F922" i="3"/>
  <c r="D368" i="3"/>
  <c r="E368" i="3"/>
  <c r="AZ483" i="2"/>
  <c r="AZ433" i="2"/>
  <c r="BH58" i="1"/>
  <c r="AY544" i="2"/>
  <c r="AY242" i="2"/>
  <c r="AY312" i="2"/>
  <c r="BH469" i="1"/>
  <c r="BH582" i="1"/>
  <c r="BH610" i="1"/>
  <c r="AE1077" i="3"/>
  <c r="AE753" i="3"/>
  <c r="AE638" i="3"/>
  <c r="AC661" i="3"/>
  <c r="AD900" i="3"/>
  <c r="D585" i="3"/>
  <c r="D1027" i="3"/>
  <c r="D900" i="3"/>
  <c r="D589" i="3"/>
  <c r="H236" i="3"/>
  <c r="F949" i="3"/>
  <c r="G947" i="3"/>
  <c r="D946" i="3"/>
  <c r="F345" i="3"/>
  <c r="E922" i="3"/>
  <c r="D534" i="3"/>
  <c r="F381" i="3"/>
  <c r="D381" i="3"/>
  <c r="E381" i="3"/>
  <c r="E870" i="3"/>
  <c r="H870" i="3"/>
  <c r="F741" i="3"/>
  <c r="D741" i="3"/>
  <c r="G741" i="3"/>
  <c r="H741" i="3"/>
  <c r="H494" i="3"/>
  <c r="D494" i="3"/>
  <c r="F494" i="3"/>
  <c r="G494" i="3"/>
  <c r="BJ240" i="1"/>
  <c r="BJ167" i="1"/>
  <c r="BA756" i="2"/>
  <c r="BJ305" i="1"/>
  <c r="BA639" i="2"/>
  <c r="BJ108" i="1"/>
  <c r="BJ86" i="1"/>
  <c r="BA351" i="2"/>
  <c r="BK115" i="1"/>
  <c r="BK358" i="1"/>
  <c r="BB140" i="2"/>
  <c r="BK49" i="1"/>
  <c r="BB198" i="2"/>
  <c r="BK454" i="1"/>
  <c r="BB424" i="2"/>
  <c r="BK291" i="1"/>
  <c r="BB173" i="2"/>
  <c r="AZ656" i="2"/>
  <c r="AZ263" i="2"/>
  <c r="AZ695" i="2"/>
  <c r="BI439" i="1"/>
  <c r="BI365" i="1"/>
  <c r="AZ195" i="2"/>
  <c r="BI247" i="1"/>
  <c r="BI152" i="1"/>
  <c r="AZ717" i="2"/>
  <c r="AZ462" i="2"/>
  <c r="AZ90" i="2"/>
  <c r="AZ236" i="2"/>
  <c r="AY583" i="2"/>
  <c r="AY240" i="2"/>
  <c r="AY661" i="2"/>
  <c r="BH444" i="1"/>
  <c r="BH166" i="1"/>
  <c r="BH100" i="1"/>
  <c r="AY507" i="2"/>
  <c r="BH314" i="1"/>
  <c r="BH342" i="1"/>
  <c r="BH635" i="1"/>
  <c r="BH169" i="1"/>
  <c r="AY334" i="2"/>
  <c r="AY426" i="2"/>
  <c r="BH578" i="1"/>
  <c r="AY175" i="2"/>
  <c r="BH679" i="1"/>
  <c r="BH551" i="1"/>
  <c r="AD589" i="3"/>
  <c r="D897" i="3"/>
  <c r="G950" i="3"/>
  <c r="G236" i="3"/>
  <c r="D949" i="3"/>
  <c r="H646" i="3"/>
  <c r="F646" i="3"/>
  <c r="G491" i="3"/>
  <c r="E947" i="3"/>
  <c r="H928" i="3"/>
  <c r="D345" i="3"/>
  <c r="D922" i="3"/>
  <c r="F889" i="3"/>
  <c r="H889" i="3"/>
  <c r="F437" i="3"/>
  <c r="D437" i="3"/>
  <c r="G437" i="3"/>
  <c r="D636" i="3"/>
  <c r="G636" i="3"/>
  <c r="H635" i="3"/>
  <c r="D635" i="3"/>
  <c r="F635" i="3"/>
  <c r="G635" i="3"/>
  <c r="F265" i="3"/>
  <c r="H265" i="3"/>
  <c r="D265" i="3"/>
  <c r="E265" i="3"/>
  <c r="G265" i="3"/>
  <c r="BA739" i="2"/>
  <c r="BA507" i="2"/>
  <c r="BB358" i="2"/>
  <c r="AZ615" i="2"/>
  <c r="AZ269" i="2"/>
  <c r="BI445" i="1"/>
  <c r="BI455" i="1"/>
  <c r="BI432" i="1"/>
  <c r="BH620" i="1"/>
  <c r="AY602" i="2"/>
  <c r="AY676" i="2"/>
  <c r="BH467" i="1"/>
  <c r="BH449" i="1"/>
  <c r="AY746" i="2"/>
  <c r="BH463" i="1"/>
  <c r="AY621" i="2"/>
  <c r="BH717" i="1"/>
  <c r="AY462" i="2"/>
  <c r="AE1180" i="3"/>
  <c r="AD1105" i="3"/>
  <c r="D435" i="3"/>
  <c r="G435" i="3"/>
  <c r="F802" i="3"/>
  <c r="D802" i="3"/>
  <c r="G802" i="3"/>
  <c r="H802" i="3"/>
  <c r="H597" i="3"/>
  <c r="G597" i="3"/>
  <c r="D597" i="3"/>
  <c r="E597" i="3"/>
  <c r="F597" i="3"/>
  <c r="BJ466" i="1"/>
  <c r="BJ219" i="1"/>
  <c r="BA642" i="2"/>
  <c r="BA279" i="2"/>
  <c r="BA584" i="2"/>
  <c r="BJ224" i="1"/>
  <c r="BJ153" i="1"/>
  <c r="BJ290" i="1"/>
  <c r="BJ399" i="1"/>
  <c r="BJ198" i="1"/>
  <c r="BJ42" i="1"/>
  <c r="BA709" i="2"/>
  <c r="BJ74" i="1"/>
  <c r="BA171" i="2"/>
  <c r="BJ98" i="1"/>
  <c r="BA365" i="2"/>
  <c r="BK433" i="1"/>
  <c r="BB347" i="2"/>
  <c r="BK173" i="1"/>
  <c r="BK248" i="1"/>
  <c r="BB531" i="2"/>
  <c r="BK279" i="1"/>
  <c r="BB270" i="2"/>
  <c r="BK312" i="1"/>
  <c r="BB154" i="2"/>
  <c r="BB13" i="2"/>
  <c r="AZ583" i="2"/>
  <c r="AZ289" i="2"/>
  <c r="AZ266" i="2"/>
  <c r="BI392" i="1"/>
  <c r="BI147" i="1"/>
  <c r="BI125" i="1"/>
  <c r="BI148" i="1"/>
  <c r="AZ388" i="2"/>
  <c r="AZ556" i="2"/>
  <c r="BI468" i="1"/>
  <c r="AZ200" i="2"/>
  <c r="AZ139" i="2"/>
  <c r="BH656" i="1"/>
  <c r="AY566" i="2"/>
  <c r="BH142" i="1"/>
  <c r="BH288" i="1"/>
  <c r="BH127" i="1"/>
  <c r="BH321" i="1"/>
  <c r="BH215" i="1"/>
  <c r="AY480" i="2"/>
  <c r="AY372" i="2"/>
  <c r="BH668" i="1"/>
  <c r="AY152" i="2"/>
  <c r="AY540" i="2"/>
  <c r="BH543" i="1"/>
  <c r="AC1344" i="3"/>
  <c r="F918" i="3"/>
  <c r="E918" i="3"/>
  <c r="G918" i="3"/>
  <c r="H319" i="3"/>
  <c r="H478" i="3"/>
  <c r="E478" i="3"/>
  <c r="F478" i="3"/>
  <c r="G637" i="3"/>
  <c r="H596" i="3"/>
  <c r="G596" i="3"/>
  <c r="D596" i="3"/>
  <c r="D413" i="3"/>
  <c r="F413" i="3"/>
  <c r="F442" i="3"/>
  <c r="D442" i="3"/>
  <c r="G442" i="3"/>
  <c r="H442" i="3"/>
  <c r="G729" i="3"/>
  <c r="D729" i="3"/>
  <c r="BJ191" i="1"/>
  <c r="F928" i="3"/>
  <c r="D928" i="3"/>
  <c r="D890" i="3"/>
  <c r="F890" i="3"/>
  <c r="E519" i="3"/>
  <c r="D519" i="3"/>
  <c r="G519" i="3"/>
  <c r="H519" i="3"/>
  <c r="D808" i="3"/>
  <c r="G808" i="3"/>
  <c r="D632" i="3"/>
  <c r="G632" i="3"/>
  <c r="D630" i="3"/>
  <c r="F630" i="3"/>
  <c r="D733" i="3"/>
  <c r="F733" i="3"/>
  <c r="D541" i="3"/>
  <c r="F541" i="3"/>
  <c r="AD1017" i="3"/>
  <c r="D398" i="3"/>
  <c r="F398" i="3"/>
  <c r="E319" i="3"/>
  <c r="F319" i="3"/>
  <c r="G319" i="3"/>
  <c r="E637" i="3"/>
  <c r="H637" i="3"/>
  <c r="D637" i="3"/>
  <c r="D393" i="3"/>
  <c r="F393" i="3"/>
  <c r="H393" i="3"/>
  <c r="E445" i="3"/>
  <c r="D445" i="3"/>
  <c r="H445" i="3"/>
  <c r="F820" i="3"/>
  <c r="H820" i="3"/>
  <c r="D820" i="3"/>
  <c r="E820" i="3"/>
  <c r="G820" i="3"/>
  <c r="D570" i="3"/>
  <c r="F570" i="3"/>
  <c r="H570" i="3"/>
  <c r="D416" i="3"/>
  <c r="G416" i="3"/>
  <c r="AZ563" i="2"/>
  <c r="AY483" i="2"/>
  <c r="BH697" i="1"/>
  <c r="BH126" i="1"/>
  <c r="AY670" i="2"/>
  <c r="AY524" i="2"/>
  <c r="AY458" i="2"/>
  <c r="BH636" i="1"/>
  <c r="AE1044" i="3"/>
  <c r="G1067" i="3"/>
  <c r="G1017" i="3"/>
  <c r="F1041" i="3"/>
  <c r="F980" i="3"/>
  <c r="AD980" i="3" s="1"/>
  <c r="F933" i="3"/>
  <c r="E855" i="3"/>
  <c r="AD855" i="3" s="1"/>
  <c r="D370" i="3"/>
  <c r="D448" i="3"/>
  <c r="H949" i="3"/>
  <c r="G646" i="3"/>
  <c r="D352" i="3"/>
  <c r="G946" i="3"/>
  <c r="F645" i="3"/>
  <c r="E315" i="3"/>
  <c r="F641" i="3"/>
  <c r="H345" i="3"/>
  <c r="G922" i="3"/>
  <c r="H534" i="3"/>
  <c r="F639" i="3"/>
  <c r="G889" i="3"/>
  <c r="F758" i="3"/>
  <c r="H758" i="3"/>
  <c r="D758" i="3"/>
  <c r="E758" i="3"/>
  <c r="G758" i="3"/>
  <c r="F368" i="3"/>
  <c r="G176" i="3"/>
  <c r="D176" i="3"/>
  <c r="H176" i="3"/>
  <c r="G164" i="3"/>
  <c r="G679" i="3"/>
  <c r="F121" i="3"/>
  <c r="G531" i="3"/>
  <c r="E206" i="3"/>
  <c r="D206" i="3"/>
  <c r="E628" i="3"/>
  <c r="G628" i="3"/>
  <c r="F354" i="3"/>
  <c r="E354" i="3"/>
  <c r="G354" i="3"/>
  <c r="D303" i="3"/>
  <c r="F303" i="3"/>
  <c r="H153" i="3"/>
  <c r="F153" i="3"/>
  <c r="G724" i="3"/>
  <c r="E164" i="3"/>
  <c r="F715" i="3"/>
  <c r="H440" i="3"/>
  <c r="H621" i="3"/>
  <c r="F270" i="3"/>
  <c r="E617" i="3"/>
  <c r="D464" i="3"/>
  <c r="E679" i="3"/>
  <c r="G172" i="3"/>
  <c r="G674" i="3"/>
  <c r="D472" i="3"/>
  <c r="D304" i="3"/>
  <c r="G481" i="3"/>
  <c r="E121" i="3"/>
  <c r="H343" i="3"/>
  <c r="F531" i="3"/>
  <c r="G441" i="3"/>
  <c r="H114" i="3"/>
  <c r="F500" i="3"/>
  <c r="D525" i="3"/>
  <c r="H347" i="3"/>
  <c r="D475" i="3"/>
  <c r="E324" i="3"/>
  <c r="E509" i="3"/>
  <c r="H198" i="3"/>
  <c r="G97" i="3"/>
  <c r="E97" i="3"/>
  <c r="H97" i="3"/>
  <c r="D64" i="3"/>
  <c r="E64" i="3"/>
  <c r="G516" i="3"/>
  <c r="H516" i="3"/>
  <c r="F557" i="3"/>
  <c r="H557" i="3"/>
  <c r="H378" i="3"/>
  <c r="D468" i="3"/>
  <c r="E468" i="3"/>
  <c r="F468" i="3"/>
  <c r="H468" i="3"/>
  <c r="H127" i="3"/>
  <c r="E127" i="3"/>
  <c r="G127" i="3"/>
  <c r="G291" i="3"/>
  <c r="E291" i="3"/>
  <c r="H291" i="3"/>
  <c r="F222" i="3"/>
  <c r="G222" i="3"/>
  <c r="E305" i="3"/>
  <c r="D305" i="3"/>
  <c r="G305" i="3"/>
  <c r="D164" i="3"/>
  <c r="E715" i="3"/>
  <c r="G440" i="3"/>
  <c r="E270" i="3"/>
  <c r="D679" i="3"/>
  <c r="D121" i="3"/>
  <c r="G390" i="3"/>
  <c r="G343" i="3"/>
  <c r="D531" i="3"/>
  <c r="F441" i="3"/>
  <c r="G114" i="3"/>
  <c r="F347" i="3"/>
  <c r="D406" i="3"/>
  <c r="F349" i="3"/>
  <c r="D324" i="3"/>
  <c r="D509" i="3"/>
  <c r="G62" i="3"/>
  <c r="F198" i="3"/>
  <c r="G614" i="3"/>
  <c r="F308" i="3"/>
  <c r="E308" i="3"/>
  <c r="G287" i="3"/>
  <c r="E526" i="3"/>
  <c r="F337" i="3"/>
  <c r="AD337" i="3" s="1"/>
  <c r="G629" i="3"/>
  <c r="F629" i="3"/>
  <c r="F292" i="3"/>
  <c r="E292" i="3"/>
  <c r="G292" i="3"/>
  <c r="D59" i="3"/>
  <c r="E59" i="3"/>
  <c r="E202" i="3"/>
  <c r="AD202" i="3" s="1"/>
  <c r="D202" i="3"/>
  <c r="G202" i="3"/>
  <c r="E229" i="3"/>
  <c r="F229" i="3"/>
  <c r="G229" i="3"/>
  <c r="H229" i="3"/>
  <c r="D87" i="3"/>
  <c r="E87" i="3"/>
  <c r="F87" i="3"/>
  <c r="G87" i="3"/>
  <c r="H87" i="3"/>
  <c r="D512" i="3"/>
  <c r="E512" i="3"/>
  <c r="F512" i="3"/>
  <c r="G512" i="3"/>
  <c r="H512" i="3"/>
  <c r="H54" i="3"/>
  <c r="H341" i="3"/>
  <c r="E343" i="3"/>
  <c r="H214" i="3"/>
  <c r="H446" i="3"/>
  <c r="E467" i="3"/>
  <c r="F467" i="3"/>
  <c r="G467" i="3"/>
  <c r="D378" i="3"/>
  <c r="F378" i="3"/>
  <c r="F244" i="3"/>
  <c r="D244" i="3"/>
  <c r="E244" i="3"/>
  <c r="H244" i="3"/>
  <c r="E209" i="3"/>
  <c r="D209" i="3"/>
  <c r="F209" i="3"/>
  <c r="G209" i="3"/>
  <c r="H209" i="3"/>
  <c r="H836" i="3"/>
  <c r="G428" i="3"/>
  <c r="H810" i="3"/>
  <c r="G350" i="3"/>
  <c r="H507" i="3"/>
  <c r="D440" i="3"/>
  <c r="H276" i="3"/>
  <c r="F689" i="3"/>
  <c r="G554" i="3"/>
  <c r="G471" i="3"/>
  <c r="H346" i="3"/>
  <c r="F496" i="3"/>
  <c r="H424" i="3"/>
  <c r="G684" i="3"/>
  <c r="F341" i="3"/>
  <c r="F663" i="3"/>
  <c r="D343" i="3"/>
  <c r="D441" i="3"/>
  <c r="G289" i="3"/>
  <c r="G131" i="3"/>
  <c r="D114" i="3"/>
  <c r="H555" i="3"/>
  <c r="G39" i="3"/>
  <c r="G499" i="3"/>
  <c r="H151" i="3"/>
  <c r="F214" i="3"/>
  <c r="D62" i="3"/>
  <c r="F501" i="3"/>
  <c r="G446" i="3"/>
  <c r="D161" i="3"/>
  <c r="H161" i="3"/>
  <c r="F364" i="3"/>
  <c r="D364" i="3"/>
  <c r="E364" i="3"/>
  <c r="G364" i="3"/>
  <c r="H364" i="3"/>
  <c r="E542" i="3"/>
  <c r="H542" i="3"/>
  <c r="F459" i="3"/>
  <c r="G403" i="3"/>
  <c r="F446" i="3"/>
  <c r="G132" i="3"/>
  <c r="F462" i="3"/>
  <c r="F600" i="3"/>
  <c r="E379" i="3"/>
  <c r="G379" i="3"/>
  <c r="D196" i="3"/>
  <c r="E196" i="3"/>
  <c r="F196" i="3"/>
  <c r="G196" i="3"/>
  <c r="H196" i="3"/>
  <c r="E189" i="3"/>
  <c r="D189" i="3"/>
  <c r="F189" i="3"/>
  <c r="G536" i="3"/>
  <c r="D916" i="3"/>
  <c r="D474" i="3"/>
  <c r="F876" i="3"/>
  <c r="D854" i="3"/>
  <c r="E836" i="3"/>
  <c r="F817" i="3"/>
  <c r="E428" i="3"/>
  <c r="E810" i="3"/>
  <c r="F407" i="3"/>
  <c r="G792" i="3"/>
  <c r="H409" i="3"/>
  <c r="D430" i="3"/>
  <c r="G778" i="3"/>
  <c r="G611" i="3"/>
  <c r="F463" i="3"/>
  <c r="E350" i="3"/>
  <c r="E507" i="3"/>
  <c r="F627" i="3"/>
  <c r="F321" i="3"/>
  <c r="D177" i="3"/>
  <c r="AE177" i="3" s="1"/>
  <c r="E480" i="3"/>
  <c r="G564" i="3"/>
  <c r="D623" i="3"/>
  <c r="D547" i="3"/>
  <c r="D543" i="3"/>
  <c r="G711" i="3"/>
  <c r="F502" i="3"/>
  <c r="E601" i="3"/>
  <c r="E276" i="3"/>
  <c r="H598" i="3"/>
  <c r="D518" i="3"/>
  <c r="G618" i="3"/>
  <c r="E554" i="3"/>
  <c r="E346" i="3"/>
  <c r="D496" i="3"/>
  <c r="H464" i="3"/>
  <c r="F424" i="3"/>
  <c r="E684" i="3"/>
  <c r="G285" i="3"/>
  <c r="F488" i="3"/>
  <c r="H472" i="3"/>
  <c r="G304" i="3"/>
  <c r="H402" i="3"/>
  <c r="F425" i="3"/>
  <c r="D655" i="3"/>
  <c r="H61" i="3"/>
  <c r="F228" i="3"/>
  <c r="D131" i="3"/>
  <c r="E555" i="3"/>
  <c r="D268" i="3"/>
  <c r="G643" i="3"/>
  <c r="G419" i="3"/>
  <c r="D39" i="3"/>
  <c r="E499" i="3"/>
  <c r="H475" i="3"/>
  <c r="F151" i="3"/>
  <c r="F503" i="3"/>
  <c r="G571" i="3"/>
  <c r="G178" i="3"/>
  <c r="F288" i="3"/>
  <c r="H160" i="3"/>
  <c r="F403" i="3"/>
  <c r="F486" i="3"/>
  <c r="F400" i="3"/>
  <c r="H400" i="3"/>
  <c r="H56" i="3"/>
  <c r="E446" i="3"/>
  <c r="F516" i="3"/>
  <c r="AD516" i="3" s="1"/>
  <c r="E132" i="3"/>
  <c r="G557" i="3"/>
  <c r="F275" i="3"/>
  <c r="E275" i="3"/>
  <c r="D591" i="3"/>
  <c r="E591" i="3"/>
  <c r="F591" i="3"/>
  <c r="G591" i="3"/>
  <c r="D120" i="3"/>
  <c r="F120" i="3"/>
  <c r="G120" i="3"/>
  <c r="H120" i="3"/>
  <c r="F348" i="3"/>
  <c r="D247" i="3"/>
  <c r="F247" i="3"/>
  <c r="F254" i="3"/>
  <c r="AE254" i="3" s="1"/>
  <c r="E254" i="3"/>
  <c r="G254" i="3"/>
  <c r="H508" i="3"/>
  <c r="D836" i="3"/>
  <c r="D817" i="3"/>
  <c r="D428" i="3"/>
  <c r="D810" i="3"/>
  <c r="H633" i="3"/>
  <c r="F792" i="3"/>
  <c r="G409" i="3"/>
  <c r="H631" i="3"/>
  <c r="E611" i="3"/>
  <c r="J610" i="7" s="1"/>
  <c r="D463" i="3"/>
  <c r="D350" i="3"/>
  <c r="D507" i="3"/>
  <c r="H626" i="3"/>
  <c r="E321" i="3"/>
  <c r="G506" i="3"/>
  <c r="E564" i="3"/>
  <c r="F118" i="3"/>
  <c r="H164" i="3"/>
  <c r="E711" i="3"/>
  <c r="H612" i="3"/>
  <c r="D276" i="3"/>
  <c r="E598" i="3"/>
  <c r="E618" i="3"/>
  <c r="H617" i="3"/>
  <c r="D554" i="3"/>
  <c r="G283" i="3"/>
  <c r="D346" i="3"/>
  <c r="G464" i="3"/>
  <c r="D424" i="3"/>
  <c r="D684" i="3"/>
  <c r="H679" i="3"/>
  <c r="G121" i="3"/>
  <c r="H531" i="3"/>
  <c r="F61" i="3"/>
  <c r="D358" i="3"/>
  <c r="F421" i="3"/>
  <c r="D555" i="3"/>
  <c r="E419" i="3"/>
  <c r="D499" i="3"/>
  <c r="G363" i="3"/>
  <c r="D151" i="3"/>
  <c r="D462" i="3"/>
  <c r="G462" i="3"/>
  <c r="H462" i="3"/>
  <c r="G600" i="3"/>
  <c r="E600" i="3"/>
  <c r="F127" i="3"/>
  <c r="F224" i="3"/>
  <c r="H224" i="3"/>
  <c r="D126" i="3"/>
  <c r="D156" i="3"/>
  <c r="H32" i="3"/>
  <c r="H226" i="3"/>
  <c r="G212" i="3"/>
  <c r="G361" i="3"/>
  <c r="E280" i="3"/>
  <c r="H44" i="3"/>
  <c r="E392" i="3"/>
  <c r="E246" i="3"/>
  <c r="G193" i="3"/>
  <c r="H123" i="3"/>
  <c r="F78" i="3"/>
  <c r="G71" i="3"/>
  <c r="F184" i="3"/>
  <c r="E80" i="3"/>
  <c r="F28" i="3"/>
  <c r="E47" i="3"/>
  <c r="F51" i="3"/>
  <c r="F13" i="3"/>
  <c r="E65" i="3"/>
  <c r="AD65" i="3" s="1"/>
  <c r="F35" i="3"/>
  <c r="F9" i="3"/>
  <c r="AD9" i="3" s="1"/>
  <c r="E149" i="3"/>
  <c r="F68" i="3"/>
  <c r="AD68" i="3" s="1"/>
  <c r="F22" i="3"/>
  <c r="E134" i="3"/>
  <c r="AD134" i="3" s="1"/>
  <c r="F7" i="3"/>
  <c r="AD7" i="3" s="1"/>
  <c r="F5" i="3"/>
  <c r="E32" i="3"/>
  <c r="D31" i="3"/>
  <c r="D21" i="3"/>
  <c r="H8" i="3"/>
  <c r="F19" i="3"/>
  <c r="E529" i="3"/>
  <c r="G148" i="3"/>
  <c r="F456" i="3"/>
  <c r="E566" i="3"/>
  <c r="D391" i="3"/>
  <c r="E323" i="3"/>
  <c r="E433" i="3"/>
  <c r="G298" i="3"/>
  <c r="F85" i="3"/>
  <c r="D599" i="3"/>
  <c r="E388" i="3"/>
  <c r="H336" i="3"/>
  <c r="F532" i="3"/>
  <c r="D192" i="3"/>
  <c r="E293" i="3"/>
  <c r="E135" i="3"/>
  <c r="E111" i="3"/>
  <c r="D572" i="3"/>
  <c r="G226" i="3"/>
  <c r="G221" i="3"/>
  <c r="D423" i="3"/>
  <c r="H129" i="3"/>
  <c r="F212" i="3"/>
  <c r="F361" i="3"/>
  <c r="G311" i="3"/>
  <c r="F317" i="3"/>
  <c r="AD317" i="3" s="1"/>
  <c r="G157" i="3"/>
  <c r="F90" i="3"/>
  <c r="H52" i="3"/>
  <c r="D280" i="3"/>
  <c r="E44" i="3"/>
  <c r="G150" i="3"/>
  <c r="G104" i="3"/>
  <c r="D392" i="3"/>
  <c r="E239" i="3"/>
  <c r="F103" i="3"/>
  <c r="D246" i="3"/>
  <c r="E70" i="3"/>
  <c r="F193" i="3"/>
  <c r="H243" i="3"/>
  <c r="H81" i="3"/>
  <c r="E123" i="3"/>
  <c r="F71" i="3"/>
  <c r="D80" i="3"/>
  <c r="D47" i="3"/>
  <c r="D65" i="3"/>
  <c r="D149" i="3"/>
  <c r="D134" i="3"/>
  <c r="D32" i="3"/>
  <c r="E41" i="3"/>
  <c r="D433" i="3"/>
  <c r="D298" i="3"/>
  <c r="E85" i="3"/>
  <c r="F226" i="3"/>
  <c r="G314" i="3"/>
  <c r="E221" i="3"/>
  <c r="AD221" i="3" s="1"/>
  <c r="H250" i="3"/>
  <c r="G232" i="3"/>
  <c r="E212" i="3"/>
  <c r="G82" i="3"/>
  <c r="E361" i="3"/>
  <c r="F311" i="3"/>
  <c r="E157" i="3"/>
  <c r="G211" i="3"/>
  <c r="E193" i="3"/>
  <c r="H37" i="3"/>
  <c r="H207" i="3"/>
  <c r="H126" i="3"/>
  <c r="H252" i="3"/>
  <c r="H156" i="3"/>
  <c r="E243" i="3"/>
  <c r="G81" i="3"/>
  <c r="E71" i="3"/>
  <c r="F49" i="3"/>
  <c r="F34" i="3"/>
  <c r="F119" i="3"/>
  <c r="F36" i="3"/>
  <c r="F60" i="3"/>
  <c r="G248" i="3"/>
  <c r="E181" i="3"/>
  <c r="E399" i="3"/>
  <c r="D226" i="3"/>
  <c r="H328" i="3"/>
  <c r="D221" i="3"/>
  <c r="F429" i="3"/>
  <c r="H30" i="3"/>
  <c r="D232" i="3"/>
  <c r="G203" i="3"/>
  <c r="F57" i="3"/>
  <c r="E351" i="3"/>
  <c r="E82" i="3"/>
  <c r="F69" i="3"/>
  <c r="D311" i="3"/>
  <c r="D157" i="3"/>
  <c r="F334" i="3"/>
  <c r="E154" i="3"/>
  <c r="F169" i="3"/>
  <c r="G422" i="3"/>
  <c r="E52" i="3"/>
  <c r="H174" i="3"/>
  <c r="D150" i="3"/>
  <c r="G294" i="3"/>
  <c r="E139" i="3"/>
  <c r="F133" i="3"/>
  <c r="H180" i="3"/>
  <c r="F185" i="3"/>
  <c r="F211" i="3"/>
  <c r="G37" i="3"/>
  <c r="G207" i="3"/>
  <c r="G126" i="3"/>
  <c r="E252" i="3"/>
  <c r="G156" i="3"/>
  <c r="F258" i="3"/>
  <c r="D243" i="3"/>
  <c r="F81" i="3"/>
  <c r="F106" i="3"/>
  <c r="F66" i="3"/>
  <c r="E49" i="3"/>
  <c r="F76" i="3"/>
  <c r="E34" i="3"/>
  <c r="F38" i="3"/>
  <c r="E119" i="3"/>
  <c r="F110" i="3"/>
  <c r="E36" i="3"/>
  <c r="F53" i="3"/>
  <c r="E60" i="3"/>
  <c r="F12" i="3"/>
  <c r="E6" i="3"/>
  <c r="G174" i="3"/>
  <c r="G180" i="3"/>
  <c r="H223" i="3"/>
  <c r="F94" i="3"/>
  <c r="F37" i="3"/>
  <c r="F207" i="3"/>
  <c r="F126" i="3"/>
  <c r="F156" i="3"/>
  <c r="E81" i="3"/>
  <c r="E106" i="3"/>
  <c r="E12" i="3"/>
  <c r="H83" i="3"/>
  <c r="G451" i="3"/>
  <c r="H482" i="3"/>
  <c r="G175" i="3"/>
  <c r="E174" i="3"/>
  <c r="H93" i="3"/>
  <c r="E332" i="3"/>
  <c r="D180" i="3"/>
  <c r="E223" i="3"/>
  <c r="H194" i="3"/>
  <c r="E94" i="3"/>
  <c r="G208" i="3"/>
  <c r="E168" i="3"/>
  <c r="E141" i="3"/>
  <c r="F109" i="3"/>
  <c r="E24" i="3"/>
  <c r="G112" i="3"/>
  <c r="G50" i="3"/>
  <c r="G167" i="3"/>
  <c r="G152" i="3"/>
  <c r="G16" i="3"/>
  <c r="G21" i="3"/>
  <c r="D12" i="3"/>
  <c r="G26" i="3"/>
  <c r="E647" i="3"/>
  <c r="E505" i="3"/>
  <c r="E923" i="3"/>
  <c r="E915" i="3"/>
  <c r="E883" i="3"/>
  <c r="E408" i="3"/>
  <c r="E864" i="3"/>
  <c r="E841" i="3"/>
  <c r="E829" i="3"/>
  <c r="E815" i="3"/>
  <c r="E793" i="3"/>
  <c r="E297" i="3"/>
  <c r="E454" i="3"/>
  <c r="E524" i="3"/>
  <c r="F626" i="3"/>
  <c r="E549" i="3"/>
  <c r="AD549" i="3" s="1"/>
  <c r="H625" i="3"/>
  <c r="F176" i="3"/>
  <c r="E575" i="3"/>
  <c r="H733" i="3"/>
  <c r="F729" i="3"/>
  <c r="E188" i="3"/>
  <c r="H541" i="3"/>
  <c r="F547" i="3"/>
  <c r="E717" i="3"/>
  <c r="H502" i="3"/>
  <c r="F612" i="3"/>
  <c r="K611" i="7" s="1"/>
  <c r="E186" i="3"/>
  <c r="F619" i="3"/>
  <c r="E466" i="3"/>
  <c r="E457" i="3"/>
  <c r="F98" i="3"/>
  <c r="AD98" i="3" s="1"/>
  <c r="G558" i="3"/>
  <c r="D583" i="3"/>
  <c r="G583" i="3"/>
  <c r="H583" i="3"/>
  <c r="O649" i="3"/>
  <c r="L649" i="3"/>
  <c r="K568" i="3"/>
  <c r="J644" i="3"/>
  <c r="I448" i="3"/>
  <c r="I639" i="3"/>
  <c r="H950" i="3"/>
  <c r="G227" i="3"/>
  <c r="D647" i="3"/>
  <c r="H491" i="3"/>
  <c r="G398" i="3"/>
  <c r="D505" i="3"/>
  <c r="H404" i="3"/>
  <c r="G641" i="3"/>
  <c r="D923" i="3"/>
  <c r="H536" i="3"/>
  <c r="G639" i="3"/>
  <c r="D915" i="3"/>
  <c r="H259" i="3"/>
  <c r="G890" i="3"/>
  <c r="D883" i="3"/>
  <c r="H435" i="3"/>
  <c r="G876" i="3"/>
  <c r="D408" i="3"/>
  <c r="H868" i="3"/>
  <c r="G393" i="3"/>
  <c r="D864" i="3"/>
  <c r="H636" i="3"/>
  <c r="G508" i="3"/>
  <c r="D841" i="3"/>
  <c r="H837" i="3"/>
  <c r="G145" i="3"/>
  <c r="D829" i="3"/>
  <c r="H823" i="3"/>
  <c r="G413" i="3"/>
  <c r="E817" i="3"/>
  <c r="D815" i="3"/>
  <c r="H808" i="3"/>
  <c r="G407" i="3"/>
  <c r="E633" i="3"/>
  <c r="D793" i="3"/>
  <c r="H632" i="3"/>
  <c r="G631" i="3"/>
  <c r="E489" i="3"/>
  <c r="D297" i="3"/>
  <c r="H778" i="3"/>
  <c r="G570" i="3"/>
  <c r="E528" i="3"/>
  <c r="D454" i="3"/>
  <c r="H760" i="3"/>
  <c r="G630" i="3"/>
  <c r="E463" i="3"/>
  <c r="D524" i="3"/>
  <c r="H416" i="3"/>
  <c r="G627" i="3"/>
  <c r="E626" i="3"/>
  <c r="D549" i="3"/>
  <c r="H356" i="3"/>
  <c r="G625" i="3"/>
  <c r="E176" i="3"/>
  <c r="D575" i="3"/>
  <c r="H506" i="3"/>
  <c r="G733" i="3"/>
  <c r="E729" i="3"/>
  <c r="D188" i="3"/>
  <c r="H724" i="3"/>
  <c r="G541" i="3"/>
  <c r="E547" i="3"/>
  <c r="D717" i="3"/>
  <c r="H523" i="3"/>
  <c r="G502" i="3"/>
  <c r="E612" i="3"/>
  <c r="J611" i="7" s="1"/>
  <c r="D186" i="3"/>
  <c r="D619" i="3"/>
  <c r="F598" i="3"/>
  <c r="D466" i="3"/>
  <c r="D457" i="3"/>
  <c r="E54" i="3"/>
  <c r="F54" i="3"/>
  <c r="G54" i="3"/>
  <c r="E335" i="3"/>
  <c r="F335" i="3"/>
  <c r="G335" i="3"/>
  <c r="H335" i="3"/>
  <c r="F245" i="3"/>
  <c r="G98" i="3"/>
  <c r="D98" i="3"/>
  <c r="D233" i="3"/>
  <c r="E233" i="3"/>
  <c r="F233" i="3"/>
  <c r="G233" i="3"/>
  <c r="H649" i="3"/>
  <c r="G448" i="3"/>
  <c r="F950" i="3"/>
  <c r="E227" i="3"/>
  <c r="H568" i="3"/>
  <c r="G352" i="3"/>
  <c r="F491" i="3"/>
  <c r="E398" i="3"/>
  <c r="H644" i="3"/>
  <c r="G315" i="3"/>
  <c r="F404" i="3"/>
  <c r="E641" i="3"/>
  <c r="H513" i="3"/>
  <c r="G534" i="3"/>
  <c r="F536" i="3"/>
  <c r="E639" i="3"/>
  <c r="AD639" i="3" s="1"/>
  <c r="H908" i="3"/>
  <c r="G907" i="3"/>
  <c r="F259" i="3"/>
  <c r="E890" i="3"/>
  <c r="H638" i="3"/>
  <c r="G381" i="3"/>
  <c r="F435" i="3"/>
  <c r="E876" i="3"/>
  <c r="H530" i="3"/>
  <c r="G870" i="3"/>
  <c r="F868" i="3"/>
  <c r="E393" i="3"/>
  <c r="H861" i="3"/>
  <c r="G858" i="3"/>
  <c r="F636" i="3"/>
  <c r="E508" i="3"/>
  <c r="H839" i="3"/>
  <c r="G445" i="3"/>
  <c r="F837" i="3"/>
  <c r="E145" i="3"/>
  <c r="H107" i="3"/>
  <c r="F823" i="3"/>
  <c r="E413" i="3"/>
  <c r="H811" i="3"/>
  <c r="F808" i="3"/>
  <c r="E407" i="3"/>
  <c r="H791" i="3"/>
  <c r="F632" i="3"/>
  <c r="E631" i="3"/>
  <c r="H432" i="3"/>
  <c r="F778" i="3"/>
  <c r="E570" i="3"/>
  <c r="H765" i="3"/>
  <c r="F760" i="3"/>
  <c r="E630" i="3"/>
  <c r="H322" i="3"/>
  <c r="F416" i="3"/>
  <c r="E627" i="3"/>
  <c r="H368" i="3"/>
  <c r="F356" i="3"/>
  <c r="E625" i="3"/>
  <c r="H480" i="3"/>
  <c r="F506" i="3"/>
  <c r="AE506" i="3" s="1"/>
  <c r="E733" i="3"/>
  <c r="H118" i="3"/>
  <c r="F724" i="3"/>
  <c r="E541" i="3"/>
  <c r="H715" i="3"/>
  <c r="F523" i="3"/>
  <c r="E502" i="3"/>
  <c r="F621" i="3"/>
  <c r="AD621" i="3" s="1"/>
  <c r="F283" i="3"/>
  <c r="D558" i="3"/>
  <c r="H558" i="3"/>
  <c r="E687" i="3"/>
  <c r="D245" i="3"/>
  <c r="AE245" i="3" s="1"/>
  <c r="G245" i="3"/>
  <c r="H245" i="3"/>
  <c r="H453" i="3"/>
  <c r="D453" i="3"/>
  <c r="E453" i="3"/>
  <c r="F453" i="3"/>
  <c r="G453" i="3"/>
  <c r="AD319" i="3"/>
  <c r="M448" i="3"/>
  <c r="L352" i="3"/>
  <c r="K404" i="3"/>
  <c r="J513" i="3"/>
  <c r="I644" i="3"/>
  <c r="I638" i="3"/>
  <c r="G649" i="3"/>
  <c r="F448" i="3"/>
  <c r="AE448" i="3" s="1"/>
  <c r="E950" i="3"/>
  <c r="G568" i="3"/>
  <c r="E491" i="3"/>
  <c r="G644" i="3"/>
  <c r="E404" i="3"/>
  <c r="G513" i="3"/>
  <c r="E536" i="3"/>
  <c r="G908" i="3"/>
  <c r="E259" i="3"/>
  <c r="G638" i="3"/>
  <c r="E435" i="3"/>
  <c r="G530" i="3"/>
  <c r="F870" i="3"/>
  <c r="E868" i="3"/>
  <c r="G861" i="3"/>
  <c r="F858" i="3"/>
  <c r="E636" i="3"/>
  <c r="G839" i="3"/>
  <c r="F445" i="3"/>
  <c r="E837" i="3"/>
  <c r="G107" i="3"/>
  <c r="E823" i="3"/>
  <c r="G811" i="3"/>
  <c r="E808" i="3"/>
  <c r="G791" i="3"/>
  <c r="E632" i="3"/>
  <c r="G432" i="3"/>
  <c r="E778" i="3"/>
  <c r="G765" i="3"/>
  <c r="E760" i="3"/>
  <c r="G322" i="3"/>
  <c r="E416" i="3"/>
  <c r="G368" i="3"/>
  <c r="E356" i="3"/>
  <c r="G480" i="3"/>
  <c r="E506" i="3"/>
  <c r="G118" i="3"/>
  <c r="E724" i="3"/>
  <c r="G715" i="3"/>
  <c r="E523" i="3"/>
  <c r="G601" i="3"/>
  <c r="E621" i="3"/>
  <c r="H701" i="3"/>
  <c r="G270" i="3"/>
  <c r="D270" i="3"/>
  <c r="H689" i="3"/>
  <c r="F617" i="3"/>
  <c r="H471" i="3"/>
  <c r="H686" i="3"/>
  <c r="D686" i="3"/>
  <c r="E686" i="3"/>
  <c r="F686" i="3"/>
  <c r="D414" i="3"/>
  <c r="E414" i="3"/>
  <c r="F414" i="3"/>
  <c r="G414" i="3"/>
  <c r="E269" i="3"/>
  <c r="F269" i="3"/>
  <c r="G269" i="3"/>
  <c r="H269" i="3"/>
  <c r="F561" i="3"/>
  <c r="F649" i="3"/>
  <c r="H647" i="3"/>
  <c r="F568" i="3"/>
  <c r="AE568" i="3" s="1"/>
  <c r="H505" i="3"/>
  <c r="F644" i="3"/>
  <c r="H923" i="3"/>
  <c r="F513" i="3"/>
  <c r="H915" i="3"/>
  <c r="F908" i="3"/>
  <c r="H883" i="3"/>
  <c r="F638" i="3"/>
  <c r="AD638" i="3" s="1"/>
  <c r="H408" i="3"/>
  <c r="F530" i="3"/>
  <c r="H864" i="3"/>
  <c r="F861" i="3"/>
  <c r="H841" i="3"/>
  <c r="F839" i="3"/>
  <c r="H829" i="3"/>
  <c r="F107" i="3"/>
  <c r="H815" i="3"/>
  <c r="F811" i="3"/>
  <c r="H793" i="3"/>
  <c r="F791" i="3"/>
  <c r="H297" i="3"/>
  <c r="F432" i="3"/>
  <c r="H454" i="3"/>
  <c r="F765" i="3"/>
  <c r="H524" i="3"/>
  <c r="F322" i="3"/>
  <c r="H549" i="3"/>
  <c r="H575" i="3"/>
  <c r="H188" i="3"/>
  <c r="H717" i="3"/>
  <c r="H186" i="3"/>
  <c r="D621" i="3"/>
  <c r="H283" i="3"/>
  <c r="E283" i="3"/>
  <c r="F687" i="3"/>
  <c r="G687" i="3"/>
  <c r="H687" i="3"/>
  <c r="AD442" i="3"/>
  <c r="E649" i="3"/>
  <c r="G647" i="3"/>
  <c r="E568" i="3"/>
  <c r="G505" i="3"/>
  <c r="E644" i="3"/>
  <c r="AD644" i="3" s="1"/>
  <c r="G923" i="3"/>
  <c r="E513" i="3"/>
  <c r="G915" i="3"/>
  <c r="E908" i="3"/>
  <c r="G883" i="3"/>
  <c r="E638" i="3"/>
  <c r="G408" i="3"/>
  <c r="E530" i="3"/>
  <c r="AD530" i="3" s="1"/>
  <c r="G864" i="3"/>
  <c r="E861" i="3"/>
  <c r="G841" i="3"/>
  <c r="E839" i="3"/>
  <c r="G829" i="3"/>
  <c r="E107" i="3"/>
  <c r="G815" i="3"/>
  <c r="E811" i="3"/>
  <c r="G793" i="3"/>
  <c r="E791" i="3"/>
  <c r="G297" i="3"/>
  <c r="E432" i="3"/>
  <c r="G454" i="3"/>
  <c r="E765" i="3"/>
  <c r="G524" i="3"/>
  <c r="E322" i="3"/>
  <c r="G549" i="3"/>
  <c r="G575" i="3"/>
  <c r="G188" i="3"/>
  <c r="G717" i="3"/>
  <c r="G186" i="3"/>
  <c r="H619" i="3"/>
  <c r="H466" i="3"/>
  <c r="H457" i="3"/>
  <c r="E471" i="3"/>
  <c r="F583" i="3"/>
  <c r="D561" i="3"/>
  <c r="G561" i="3"/>
  <c r="H561" i="3"/>
  <c r="D601" i="3"/>
  <c r="G619" i="3"/>
  <c r="E701" i="3"/>
  <c r="G466" i="3"/>
  <c r="H518" i="3"/>
  <c r="E518" i="3"/>
  <c r="D689" i="3"/>
  <c r="F457" i="3"/>
  <c r="D471" i="3"/>
  <c r="H98" i="3"/>
  <c r="E583" i="3"/>
  <c r="D284" i="3"/>
  <c r="E284" i="3"/>
  <c r="F284" i="3"/>
  <c r="G284" i="3"/>
  <c r="E666" i="3"/>
  <c r="F666" i="3"/>
  <c r="G666" i="3"/>
  <c r="H666" i="3"/>
  <c r="E685" i="3"/>
  <c r="F397" i="3"/>
  <c r="E341" i="3"/>
  <c r="F172" i="3"/>
  <c r="E615" i="3"/>
  <c r="AD615" i="3" s="1"/>
  <c r="F481" i="3"/>
  <c r="E559" i="3"/>
  <c r="H251" i="3"/>
  <c r="F390" i="3"/>
  <c r="E425" i="3"/>
  <c r="H655" i="3"/>
  <c r="G307" i="3"/>
  <c r="F380" i="3"/>
  <c r="E61" i="3"/>
  <c r="H358" i="3"/>
  <c r="G484" i="3"/>
  <c r="F289" i="3"/>
  <c r="E238" i="3"/>
  <c r="H648" i="3"/>
  <c r="G517" i="3"/>
  <c r="F105" i="3"/>
  <c r="E500" i="3"/>
  <c r="H525" i="3"/>
  <c r="G342" i="3"/>
  <c r="F643" i="3"/>
  <c r="E347" i="3"/>
  <c r="H406" i="3"/>
  <c r="G210" i="3"/>
  <c r="F363" i="3"/>
  <c r="E640" i="3"/>
  <c r="H412" i="3"/>
  <c r="G266" i="3"/>
  <c r="F162" i="3"/>
  <c r="E214" i="3"/>
  <c r="H113" i="3"/>
  <c r="E288" i="3"/>
  <c r="G160" i="3"/>
  <c r="D198" i="3"/>
  <c r="H206" i="3"/>
  <c r="G235" i="3"/>
  <c r="E501" i="3"/>
  <c r="H257" i="3"/>
  <c r="F614" i="3"/>
  <c r="F56" i="3"/>
  <c r="D308" i="3"/>
  <c r="F287" i="3"/>
  <c r="G89" i="3"/>
  <c r="H89" i="3"/>
  <c r="D89" i="3"/>
  <c r="E89" i="3"/>
  <c r="AD89" i="3" s="1"/>
  <c r="F89" i="3"/>
  <c r="D685" i="3"/>
  <c r="E397" i="3"/>
  <c r="D341" i="3"/>
  <c r="E172" i="3"/>
  <c r="D615" i="3"/>
  <c r="E481" i="3"/>
  <c r="D559" i="3"/>
  <c r="G251" i="3"/>
  <c r="E390" i="3"/>
  <c r="D425" i="3"/>
  <c r="G655" i="3"/>
  <c r="F307" i="3"/>
  <c r="E380" i="3"/>
  <c r="D61" i="3"/>
  <c r="G358" i="3"/>
  <c r="F484" i="3"/>
  <c r="E289" i="3"/>
  <c r="D238" i="3"/>
  <c r="G648" i="3"/>
  <c r="F517" i="3"/>
  <c r="E105" i="3"/>
  <c r="D500" i="3"/>
  <c r="G525" i="3"/>
  <c r="F342" i="3"/>
  <c r="E643" i="3"/>
  <c r="D347" i="3"/>
  <c r="G406" i="3"/>
  <c r="F210" i="3"/>
  <c r="E363" i="3"/>
  <c r="D640" i="3"/>
  <c r="G412" i="3"/>
  <c r="F266" i="3"/>
  <c r="E162" i="3"/>
  <c r="D214" i="3"/>
  <c r="G113" i="3"/>
  <c r="D288" i="3"/>
  <c r="H261" i="3"/>
  <c r="E160" i="3"/>
  <c r="G206" i="3"/>
  <c r="F235" i="3"/>
  <c r="D501" i="3"/>
  <c r="G257" i="3"/>
  <c r="E614" i="3"/>
  <c r="G215" i="3"/>
  <c r="E56" i="3"/>
  <c r="H460" i="3"/>
  <c r="F387" i="3"/>
  <c r="G387" i="3"/>
  <c r="D397" i="3"/>
  <c r="D172" i="3"/>
  <c r="D481" i="3"/>
  <c r="H663" i="3"/>
  <c r="F251" i="3"/>
  <c r="AE251" i="3" s="1"/>
  <c r="D390" i="3"/>
  <c r="H550" i="3"/>
  <c r="F655" i="3"/>
  <c r="E307" i="3"/>
  <c r="D380" i="3"/>
  <c r="H228" i="3"/>
  <c r="F358" i="3"/>
  <c r="E484" i="3"/>
  <c r="D289" i="3"/>
  <c r="H421" i="3"/>
  <c r="F648" i="3"/>
  <c r="E517" i="3"/>
  <c r="D105" i="3"/>
  <c r="H447" i="3"/>
  <c r="F525" i="3"/>
  <c r="E342" i="3"/>
  <c r="D643" i="3"/>
  <c r="H642" i="3"/>
  <c r="F406" i="3"/>
  <c r="E210" i="3"/>
  <c r="D363" i="3"/>
  <c r="H349" i="3"/>
  <c r="F412" i="3"/>
  <c r="E266" i="3"/>
  <c r="D162" i="3"/>
  <c r="H263" i="3"/>
  <c r="F113" i="3"/>
  <c r="F261" i="3"/>
  <c r="D160" i="3"/>
  <c r="F206" i="3"/>
  <c r="E235" i="3"/>
  <c r="F257" i="3"/>
  <c r="H64" i="3"/>
  <c r="F215" i="3"/>
  <c r="D56" i="3"/>
  <c r="G460" i="3"/>
  <c r="D634" i="3"/>
  <c r="E634" i="3"/>
  <c r="H634" i="3"/>
  <c r="G456" i="3"/>
  <c r="D456" i="3"/>
  <c r="E456" i="3"/>
  <c r="AD456" i="3" s="1"/>
  <c r="D411" i="3"/>
  <c r="E411" i="3"/>
  <c r="G411" i="3"/>
  <c r="H411" i="3"/>
  <c r="G396" i="3"/>
  <c r="D396" i="3"/>
  <c r="E396" i="3"/>
  <c r="F396" i="3"/>
  <c r="G159" i="3"/>
  <c r="H159" i="3"/>
  <c r="D159" i="3"/>
  <c r="E159" i="3"/>
  <c r="F159" i="3"/>
  <c r="G663" i="3"/>
  <c r="G550" i="3"/>
  <c r="D307" i="3"/>
  <c r="G228" i="3"/>
  <c r="D484" i="3"/>
  <c r="G421" i="3"/>
  <c r="D517" i="3"/>
  <c r="G447" i="3"/>
  <c r="D342" i="3"/>
  <c r="G642" i="3"/>
  <c r="D210" i="3"/>
  <c r="G349" i="3"/>
  <c r="D266" i="3"/>
  <c r="G263" i="3"/>
  <c r="E113" i="3"/>
  <c r="G490" i="3"/>
  <c r="E261" i="3"/>
  <c r="H403" i="3"/>
  <c r="D235" i="3"/>
  <c r="D257" i="3"/>
  <c r="G64" i="3"/>
  <c r="E215" i="3"/>
  <c r="H613" i="3"/>
  <c r="F460" i="3"/>
  <c r="AD460" i="3" s="1"/>
  <c r="D197" i="3"/>
  <c r="AE197" i="3" s="1"/>
  <c r="F197" i="3"/>
  <c r="G197" i="3"/>
  <c r="G624" i="3"/>
  <c r="H624" i="3"/>
  <c r="D624" i="3"/>
  <c r="E624" i="3"/>
  <c r="F624" i="3"/>
  <c r="D602" i="3"/>
  <c r="H602" i="3"/>
  <c r="E602" i="3"/>
  <c r="F602" i="3"/>
  <c r="G602" i="3"/>
  <c r="E663" i="3"/>
  <c r="E550" i="3"/>
  <c r="E228" i="3"/>
  <c r="E421" i="3"/>
  <c r="E447" i="3"/>
  <c r="E642" i="3"/>
  <c r="E349" i="3"/>
  <c r="E263" i="3"/>
  <c r="D490" i="3"/>
  <c r="G198" i="3"/>
  <c r="E403" i="3"/>
  <c r="G501" i="3"/>
  <c r="H614" i="3"/>
  <c r="G308" i="3"/>
  <c r="D613" i="3"/>
  <c r="H387" i="3"/>
  <c r="E310" i="3"/>
  <c r="F310" i="3"/>
  <c r="D205" i="3"/>
  <c r="E205" i="3"/>
  <c r="G205" i="3"/>
  <c r="H205" i="3"/>
  <c r="G240" i="3"/>
  <c r="D240" i="3"/>
  <c r="E240" i="3"/>
  <c r="AD240" i="3" s="1"/>
  <c r="D405" i="3"/>
  <c r="E405" i="3"/>
  <c r="G405" i="3"/>
  <c r="H405" i="3"/>
  <c r="G278" i="3"/>
  <c r="H278" i="3"/>
  <c r="D278" i="3"/>
  <c r="E278" i="3"/>
  <c r="F278" i="3"/>
  <c r="H148" i="3"/>
  <c r="D148" i="3"/>
  <c r="D372" i="3"/>
  <c r="F372" i="3"/>
  <c r="G372" i="3"/>
  <c r="G142" i="3"/>
  <c r="H142" i="3"/>
  <c r="D142" i="3"/>
  <c r="E142" i="3"/>
  <c r="F142" i="3"/>
  <c r="E224" i="3"/>
  <c r="F485" i="3"/>
  <c r="G371" i="3"/>
  <c r="H146" i="3"/>
  <c r="E314" i="3"/>
  <c r="H314" i="3"/>
  <c r="G190" i="3"/>
  <c r="D250" i="3"/>
  <c r="G250" i="3"/>
  <c r="H219" i="3"/>
  <c r="E330" i="3"/>
  <c r="G330" i="3"/>
  <c r="G130" i="3"/>
  <c r="D299" i="3"/>
  <c r="G299" i="3"/>
  <c r="G33" i="3"/>
  <c r="D33" i="3"/>
  <c r="E33" i="3"/>
  <c r="F17" i="3"/>
  <c r="D18" i="3"/>
  <c r="E18" i="3"/>
  <c r="G18" i="3"/>
  <c r="H18" i="3"/>
  <c r="F218" i="3"/>
  <c r="G218" i="3"/>
  <c r="H218" i="3"/>
  <c r="D218" i="3"/>
  <c r="E218" i="3"/>
  <c r="G337" i="3"/>
  <c r="D132" i="3"/>
  <c r="G323" i="3"/>
  <c r="D331" i="3"/>
  <c r="D354" i="3"/>
  <c r="G340" i="3"/>
  <c r="D275" i="3"/>
  <c r="H303" i="3"/>
  <c r="G85" i="3"/>
  <c r="D73" i="3"/>
  <c r="H620" i="3"/>
  <c r="G75" i="3"/>
  <c r="D388" i="3"/>
  <c r="H532" i="3"/>
  <c r="G378" i="3"/>
  <c r="D292" i="3"/>
  <c r="H348" i="3"/>
  <c r="G468" i="3"/>
  <c r="D264" i="3"/>
  <c r="H367" i="3"/>
  <c r="D224" i="3"/>
  <c r="E485" i="3"/>
  <c r="AD485" i="3" s="1"/>
  <c r="H306" i="3"/>
  <c r="F371" i="3"/>
  <c r="AD371" i="3" s="1"/>
  <c r="F281" i="3"/>
  <c r="AD281" i="3" s="1"/>
  <c r="H281" i="3"/>
  <c r="G146" i="3"/>
  <c r="D92" i="3"/>
  <c r="D542" i="3"/>
  <c r="F542" i="3"/>
  <c r="F190" i="3"/>
  <c r="F219" i="3"/>
  <c r="E222" i="3"/>
  <c r="H222" i="3"/>
  <c r="F130" i="3"/>
  <c r="G173" i="3"/>
  <c r="D173" i="3"/>
  <c r="F108" i="3"/>
  <c r="D538" i="3"/>
  <c r="G538" i="3"/>
  <c r="E179" i="3"/>
  <c r="H179" i="3"/>
  <c r="G179" i="3"/>
  <c r="D179" i="3"/>
  <c r="F179" i="3"/>
  <c r="H391" i="3"/>
  <c r="H628" i="3"/>
  <c r="H195" i="3"/>
  <c r="H298" i="3"/>
  <c r="G303" i="3"/>
  <c r="H136" i="3"/>
  <c r="G620" i="3"/>
  <c r="H379" i="3"/>
  <c r="G532" i="3"/>
  <c r="G348" i="3"/>
  <c r="G309" i="3"/>
  <c r="H248" i="3"/>
  <c r="D485" i="3"/>
  <c r="D371" i="3"/>
  <c r="G273" i="3"/>
  <c r="H459" i="3"/>
  <c r="E429" i="3"/>
  <c r="G429" i="3"/>
  <c r="G77" i="3"/>
  <c r="D77" i="3"/>
  <c r="H247" i="3"/>
  <c r="D274" i="3"/>
  <c r="F274" i="3"/>
  <c r="H476" i="3"/>
  <c r="H203" i="3"/>
  <c r="E117" i="3"/>
  <c r="AE117" i="3" s="1"/>
  <c r="G117" i="3"/>
  <c r="D69" i="3"/>
  <c r="G69" i="3"/>
  <c r="E17" i="3"/>
  <c r="G17" i="3"/>
  <c r="H17" i="3"/>
  <c r="H99" i="3"/>
  <c r="D99" i="3"/>
  <c r="F99" i="3"/>
  <c r="G99" i="3"/>
  <c r="F338" i="3"/>
  <c r="G338" i="3"/>
  <c r="D338" i="3"/>
  <c r="E338" i="3"/>
  <c r="D146" i="3"/>
  <c r="F146" i="3"/>
  <c r="E190" i="3"/>
  <c r="H190" i="3"/>
  <c r="D219" i="3"/>
  <c r="G219" i="3"/>
  <c r="E130" i="3"/>
  <c r="H130" i="3"/>
  <c r="E108" i="3"/>
  <c r="G108" i="3"/>
  <c r="H108" i="3"/>
  <c r="F27" i="3"/>
  <c r="H27" i="3"/>
  <c r="E27" i="3"/>
  <c r="D27" i="3"/>
  <c r="G27" i="3"/>
  <c r="H526" i="3"/>
  <c r="H566" i="3"/>
  <c r="F391" i="3"/>
  <c r="H629" i="3"/>
  <c r="F628" i="3"/>
  <c r="H140" i="3"/>
  <c r="G256" i="3"/>
  <c r="F195" i="3"/>
  <c r="H433" i="3"/>
  <c r="G161" i="3"/>
  <c r="F298" i="3"/>
  <c r="E303" i="3"/>
  <c r="H622" i="3"/>
  <c r="G487" i="3"/>
  <c r="F136" i="3"/>
  <c r="AD136" i="3" s="1"/>
  <c r="E620" i="3"/>
  <c r="H600" i="3"/>
  <c r="G336" i="3"/>
  <c r="F379" i="3"/>
  <c r="E532" i="3"/>
  <c r="G59" i="3"/>
  <c r="E348" i="3"/>
  <c r="G244" i="3"/>
  <c r="D367" i="3"/>
  <c r="H202" i="3"/>
  <c r="G293" i="3"/>
  <c r="E309" i="3"/>
  <c r="H260" i="3"/>
  <c r="F248" i="3"/>
  <c r="F291" i="3"/>
  <c r="D306" i="3"/>
  <c r="AE306" i="3" s="1"/>
  <c r="E273" i="3"/>
  <c r="F329" i="3"/>
  <c r="G83" i="3"/>
  <c r="E282" i="3"/>
  <c r="G282" i="3"/>
  <c r="G158" i="3"/>
  <c r="D158" i="3"/>
  <c r="D339" i="3"/>
  <c r="AE339" i="3" s="1"/>
  <c r="F339" i="3"/>
  <c r="AD339" i="3" s="1"/>
  <c r="F129" i="3"/>
  <c r="H132" i="3"/>
  <c r="H331" i="3"/>
  <c r="H354" i="3"/>
  <c r="F256" i="3"/>
  <c r="H275" i="3"/>
  <c r="F161" i="3"/>
  <c r="H73" i="3"/>
  <c r="F487" i="3"/>
  <c r="H388" i="3"/>
  <c r="F336" i="3"/>
  <c r="H292" i="3"/>
  <c r="F59" i="3"/>
  <c r="H264" i="3"/>
  <c r="F293" i="3"/>
  <c r="AE293" i="3" s="1"/>
  <c r="D309" i="3"/>
  <c r="G260" i="3"/>
  <c r="E248" i="3"/>
  <c r="D273" i="3"/>
  <c r="D459" i="3"/>
  <c r="G459" i="3"/>
  <c r="E247" i="3"/>
  <c r="G247" i="3"/>
  <c r="G476" i="3"/>
  <c r="D476" i="3"/>
  <c r="H330" i="3"/>
  <c r="D203" i="3"/>
  <c r="F203" i="3"/>
  <c r="AD203" i="3" s="1"/>
  <c r="H299" i="3"/>
  <c r="H137" i="3"/>
  <c r="D137" i="3"/>
  <c r="F137" i="3"/>
  <c r="G137" i="3"/>
  <c r="F326" i="3"/>
  <c r="G326" i="3"/>
  <c r="D326" i="3"/>
  <c r="E326" i="3"/>
  <c r="F183" i="3"/>
  <c r="G183" i="3"/>
  <c r="D183" i="3"/>
  <c r="E183" i="3"/>
  <c r="H485" i="3"/>
  <c r="E329" i="3"/>
  <c r="G329" i="3"/>
  <c r="E232" i="3"/>
  <c r="H232" i="3"/>
  <c r="D129" i="3"/>
  <c r="G129" i="3"/>
  <c r="F330" i="3"/>
  <c r="F299" i="3"/>
  <c r="F255" i="3"/>
  <c r="G255" i="3"/>
  <c r="H255" i="3"/>
  <c r="D255" i="3"/>
  <c r="E255" i="3"/>
  <c r="E191" i="3"/>
  <c r="F191" i="3"/>
  <c r="H191" i="3"/>
  <c r="D191" i="3"/>
  <c r="G191" i="3"/>
  <c r="G224" i="3"/>
  <c r="D260" i="3"/>
  <c r="H371" i="3"/>
  <c r="F92" i="3"/>
  <c r="F399" i="3"/>
  <c r="H399" i="3"/>
  <c r="G542" i="3"/>
  <c r="D314" i="3"/>
  <c r="E231" i="3"/>
  <c r="G231" i="3"/>
  <c r="G153" i="3"/>
  <c r="D153" i="3"/>
  <c r="E250" i="3"/>
  <c r="H429" i="3"/>
  <c r="D115" i="3"/>
  <c r="F115" i="3"/>
  <c r="H77" i="3"/>
  <c r="H274" i="3"/>
  <c r="D330" i="3"/>
  <c r="G57" i="3"/>
  <c r="D57" i="3"/>
  <c r="E299" i="3"/>
  <c r="H117" i="3"/>
  <c r="D82" i="3"/>
  <c r="F82" i="3"/>
  <c r="F173" i="3"/>
  <c r="H69" i="3"/>
  <c r="D401" i="3"/>
  <c r="F401" i="3"/>
  <c r="G401" i="3"/>
  <c r="F33" i="3"/>
  <c r="F538" i="3"/>
  <c r="E200" i="3"/>
  <c r="G200" i="3"/>
  <c r="H200" i="3"/>
  <c r="F18" i="3"/>
  <c r="H40" i="3"/>
  <c r="E272" i="3"/>
  <c r="F272" i="3"/>
  <c r="E394" i="3"/>
  <c r="G394" i="3"/>
  <c r="H394" i="3"/>
  <c r="D394" i="3"/>
  <c r="F15" i="3"/>
  <c r="H15" i="3"/>
  <c r="D15" i="3"/>
  <c r="E15" i="3"/>
  <c r="F182" i="3"/>
  <c r="H182" i="3"/>
  <c r="D182" i="3"/>
  <c r="E182" i="3"/>
  <c r="F45" i="3"/>
  <c r="H45" i="3"/>
  <c r="D45" i="3"/>
  <c r="E45" i="3"/>
  <c r="H221" i="3"/>
  <c r="H230" i="3"/>
  <c r="H277" i="3"/>
  <c r="H254" i="3"/>
  <c r="E204" i="3"/>
  <c r="H351" i="3"/>
  <c r="E312" i="3"/>
  <c r="H46" i="3"/>
  <c r="E311" i="3"/>
  <c r="H157" i="3"/>
  <c r="E334" i="3"/>
  <c r="H154" i="3"/>
  <c r="E175" i="3"/>
  <c r="H422" i="3"/>
  <c r="F52" i="3"/>
  <c r="E359" i="3"/>
  <c r="H305" i="3"/>
  <c r="G40" i="3"/>
  <c r="E150" i="3"/>
  <c r="F392" i="3"/>
  <c r="F93" i="3"/>
  <c r="E133" i="3"/>
  <c r="H216" i="3"/>
  <c r="F180" i="3"/>
  <c r="H147" i="3"/>
  <c r="E63" i="3"/>
  <c r="G63" i="3"/>
  <c r="H63" i="3"/>
  <c r="D63" i="3"/>
  <c r="D67" i="3"/>
  <c r="E67" i="3"/>
  <c r="F67" i="3"/>
  <c r="H43" i="3"/>
  <c r="H317" i="3"/>
  <c r="H90" i="3"/>
  <c r="G482" i="3"/>
  <c r="H169" i="3"/>
  <c r="G452" i="3"/>
  <c r="F422" i="3"/>
  <c r="H189" i="3"/>
  <c r="G44" i="3"/>
  <c r="F305" i="3"/>
  <c r="E40" i="3"/>
  <c r="H101" i="3"/>
  <c r="F294" i="3"/>
  <c r="G139" i="3"/>
  <c r="H332" i="3"/>
  <c r="E216" i="3"/>
  <c r="E147" i="3"/>
  <c r="G194" i="3"/>
  <c r="H124" i="3"/>
  <c r="G96" i="3"/>
  <c r="G169" i="3"/>
  <c r="F452" i="3"/>
  <c r="G189" i="3"/>
  <c r="F44" i="3"/>
  <c r="G101" i="3"/>
  <c r="E294" i="3"/>
  <c r="H362" i="3"/>
  <c r="F139" i="3"/>
  <c r="F332" i="3"/>
  <c r="D216" i="3"/>
  <c r="D147" i="3"/>
  <c r="G124" i="3"/>
  <c r="E144" i="3"/>
  <c r="H144" i="3"/>
  <c r="D138" i="3"/>
  <c r="E138" i="3"/>
  <c r="AE138" i="3" s="1"/>
  <c r="F138" i="3"/>
  <c r="D194" i="3"/>
  <c r="E194" i="3"/>
  <c r="E116" i="3"/>
  <c r="G116" i="3"/>
  <c r="H116" i="3"/>
  <c r="D116" i="3"/>
  <c r="F96" i="3"/>
  <c r="H96" i="3"/>
  <c r="E96" i="3"/>
  <c r="D286" i="3"/>
  <c r="E286" i="3"/>
  <c r="F286" i="3"/>
  <c r="H286" i="3"/>
  <c r="F362" i="3"/>
  <c r="D332" i="3"/>
  <c r="D70" i="3"/>
  <c r="G70" i="3"/>
  <c r="H70" i="3"/>
  <c r="G272" i="3"/>
  <c r="D124" i="3"/>
  <c r="F58" i="3"/>
  <c r="H58" i="3"/>
  <c r="E58" i="3"/>
  <c r="D313" i="3"/>
  <c r="E313" i="3"/>
  <c r="F313" i="3"/>
  <c r="D242" i="3"/>
  <c r="E242" i="3"/>
  <c r="F242" i="3"/>
  <c r="H242" i="3"/>
  <c r="D91" i="3"/>
  <c r="AE91" i="3" s="1"/>
  <c r="E91" i="3"/>
  <c r="F91" i="3"/>
  <c r="H91" i="3"/>
  <c r="D166" i="3"/>
  <c r="E166" i="3"/>
  <c r="F166" i="3"/>
  <c r="G166" i="3"/>
  <c r="H166" i="3"/>
  <c r="D225" i="3"/>
  <c r="E225" i="3"/>
  <c r="F225" i="3"/>
  <c r="G225" i="3"/>
  <c r="H225" i="3"/>
  <c r="F394" i="3"/>
  <c r="F316" i="3"/>
  <c r="H316" i="3"/>
  <c r="D316" i="3"/>
  <c r="E316" i="3"/>
  <c r="G15" i="3"/>
  <c r="G182" i="3"/>
  <c r="G45" i="3"/>
  <c r="H165" i="3"/>
  <c r="H171" i="3"/>
  <c r="H213" i="3"/>
  <c r="H86" i="3"/>
  <c r="D20" i="3"/>
  <c r="H170" i="3"/>
  <c r="D258" i="3"/>
  <c r="H241" i="3"/>
  <c r="G109" i="3"/>
  <c r="D48" i="3"/>
  <c r="H78" i="3"/>
  <c r="G106" i="3"/>
  <c r="D184" i="3"/>
  <c r="H25" i="3"/>
  <c r="G49" i="3"/>
  <c r="E112" i="3"/>
  <c r="AE112" i="3" s="1"/>
  <c r="D100" i="3"/>
  <c r="H74" i="3"/>
  <c r="G34" i="3"/>
  <c r="E50" i="3"/>
  <c r="D13" i="3"/>
  <c r="H155" i="3"/>
  <c r="G119" i="3"/>
  <c r="E167" i="3"/>
  <c r="D9" i="3"/>
  <c r="H29" i="3"/>
  <c r="G36" i="3"/>
  <c r="E152" i="3"/>
  <c r="D22" i="3"/>
  <c r="H88" i="3"/>
  <c r="G60" i="3"/>
  <c r="E16" i="3"/>
  <c r="D5" i="3"/>
  <c r="H11" i="3"/>
  <c r="G41" i="3"/>
  <c r="E10" i="3"/>
  <c r="H19" i="3"/>
  <c r="G6" i="3"/>
  <c r="D112" i="3"/>
  <c r="D50" i="3"/>
  <c r="H102" i="3"/>
  <c r="D167" i="3"/>
  <c r="H128" i="3"/>
  <c r="D152" i="3"/>
  <c r="H122" i="3"/>
  <c r="D16" i="3"/>
  <c r="H55" i="3"/>
  <c r="G11" i="3"/>
  <c r="F41" i="3"/>
  <c r="D10" i="3"/>
  <c r="H26" i="3"/>
  <c r="G19" i="3"/>
  <c r="F6" i="3"/>
  <c r="AD6" i="3" s="1"/>
  <c r="G102" i="3"/>
  <c r="G128" i="3"/>
  <c r="G122" i="3"/>
  <c r="G55" i="3"/>
  <c r="D103" i="3"/>
  <c r="G223" i="3"/>
  <c r="D234" i="3"/>
  <c r="H185" i="3"/>
  <c r="G84" i="3"/>
  <c r="E165" i="3"/>
  <c r="D211" i="3"/>
  <c r="H94" i="3"/>
  <c r="G302" i="3"/>
  <c r="E171" i="3"/>
  <c r="D208" i="3"/>
  <c r="H168" i="3"/>
  <c r="G79" i="3"/>
  <c r="E213" i="3"/>
  <c r="D237" i="3"/>
  <c r="H141" i="3"/>
  <c r="G95" i="3"/>
  <c r="E86" i="3"/>
  <c r="AE86" i="3" s="1"/>
  <c r="D143" i="3"/>
  <c r="H42" i="3"/>
  <c r="G252" i="3"/>
  <c r="E170" i="3"/>
  <c r="D333" i="3"/>
  <c r="H14" i="3"/>
  <c r="G243" i="3"/>
  <c r="E241" i="3"/>
  <c r="D109" i="3"/>
  <c r="H24" i="3"/>
  <c r="G123" i="3"/>
  <c r="E78" i="3"/>
  <c r="D106" i="3"/>
  <c r="AE106" i="3" s="1"/>
  <c r="H66" i="3"/>
  <c r="G80" i="3"/>
  <c r="E25" i="3"/>
  <c r="AE25" i="3" s="1"/>
  <c r="D49" i="3"/>
  <c r="H76" i="3"/>
  <c r="G47" i="3"/>
  <c r="E74" i="3"/>
  <c r="D34" i="3"/>
  <c r="H38" i="3"/>
  <c r="G65" i="3"/>
  <c r="F102" i="3"/>
  <c r="AE102" i="3" s="1"/>
  <c r="E155" i="3"/>
  <c r="D119" i="3"/>
  <c r="H110" i="3"/>
  <c r="G149" i="3"/>
  <c r="F128" i="3"/>
  <c r="E29" i="3"/>
  <c r="D36" i="3"/>
  <c r="H53" i="3"/>
  <c r="G134" i="3"/>
  <c r="F122" i="3"/>
  <c r="E88" i="3"/>
  <c r="D60" i="3"/>
  <c r="H23" i="3"/>
  <c r="G32" i="3"/>
  <c r="F55" i="3"/>
  <c r="E11" i="3"/>
  <c r="AD11" i="3" s="1"/>
  <c r="D41" i="3"/>
  <c r="H12" i="3"/>
  <c r="G8" i="3"/>
  <c r="F26" i="3"/>
  <c r="E19" i="3"/>
  <c r="D6" i="3"/>
  <c r="G185" i="3"/>
  <c r="G94" i="3"/>
  <c r="G168" i="3"/>
  <c r="G141" i="3"/>
  <c r="H20" i="3"/>
  <c r="G42" i="3"/>
  <c r="H258" i="3"/>
  <c r="G14" i="3"/>
  <c r="H48" i="3"/>
  <c r="G24" i="3"/>
  <c r="H184" i="3"/>
  <c r="G66" i="3"/>
  <c r="H100" i="3"/>
  <c r="G76" i="3"/>
  <c r="H13" i="3"/>
  <c r="G38" i="3"/>
  <c r="E102" i="3"/>
  <c r="H9" i="3"/>
  <c r="G110" i="3"/>
  <c r="E128" i="3"/>
  <c r="AE128" i="3" s="1"/>
  <c r="H22" i="3"/>
  <c r="G53" i="3"/>
  <c r="E122" i="3"/>
  <c r="H5" i="3"/>
  <c r="G23" i="3"/>
  <c r="E55" i="3"/>
  <c r="E26" i="3"/>
  <c r="F168" i="3"/>
  <c r="F141" i="3"/>
  <c r="G20" i="3"/>
  <c r="F42" i="3"/>
  <c r="AE42" i="3" s="1"/>
  <c r="G258" i="3"/>
  <c r="F14" i="3"/>
  <c r="G48" i="3"/>
  <c r="F24" i="3"/>
  <c r="G184" i="3"/>
  <c r="H112" i="3"/>
  <c r="G100" i="3"/>
  <c r="H50" i="3"/>
  <c r="G13" i="3"/>
  <c r="H167" i="3"/>
  <c r="G9" i="3"/>
  <c r="H152" i="3"/>
  <c r="G22" i="3"/>
  <c r="H16" i="3"/>
  <c r="G5" i="3"/>
  <c r="H10" i="3"/>
  <c r="G10" i="3"/>
  <c r="AD649" i="3"/>
  <c r="I649" i="3"/>
  <c r="I530" i="3"/>
  <c r="J638" i="3"/>
  <c r="AD352" i="3"/>
  <c r="I534" i="3"/>
  <c r="AD502" i="3"/>
  <c r="AD276" i="3"/>
  <c r="AD121" i="3"/>
  <c r="AD375" i="3"/>
  <c r="AD118" i="3"/>
  <c r="AD543" i="3"/>
  <c r="AD245" i="3"/>
  <c r="AD390" i="3"/>
  <c r="AD387" i="3"/>
  <c r="AD178" i="3"/>
  <c r="AD529" i="3"/>
  <c r="AD298" i="3"/>
  <c r="AD263" i="3"/>
  <c r="AD441" i="3"/>
  <c r="AD268" i="3"/>
  <c r="AE499" i="3"/>
  <c r="AD486" i="3"/>
  <c r="AD447" i="3"/>
  <c r="AD566" i="3"/>
  <c r="AD197" i="3"/>
  <c r="AD434" i="3"/>
  <c r="AD212" i="3"/>
  <c r="AD512" i="3"/>
  <c r="AD476" i="3"/>
  <c r="AD57" i="3"/>
  <c r="AD196" i="3"/>
  <c r="AD200" i="3"/>
  <c r="AD120" i="3"/>
  <c r="AD158" i="3"/>
  <c r="AD451" i="3"/>
  <c r="AD254" i="3"/>
  <c r="AD229" i="3"/>
  <c r="AD191" i="3"/>
  <c r="AD170" i="3"/>
  <c r="AD50" i="3"/>
  <c r="AD78" i="3"/>
  <c r="AD45" i="3"/>
  <c r="AD194" i="3"/>
  <c r="AD33" i="3"/>
  <c r="AD377" i="3"/>
  <c r="AD280" i="3"/>
  <c r="AD91" i="3"/>
  <c r="AD74" i="3"/>
  <c r="AD53" i="3"/>
  <c r="BH184" i="1"/>
  <c r="BH744" i="1"/>
  <c r="AE574" i="3"/>
  <c r="AE534" i="3"/>
  <c r="AE526" i="3"/>
  <c r="AE502" i="3"/>
  <c r="BH637" i="1"/>
  <c r="AE494" i="3"/>
  <c r="AE486" i="3"/>
  <c r="AE470" i="3"/>
  <c r="BH646" i="1"/>
  <c r="AE382" i="3"/>
  <c r="AE310" i="3"/>
  <c r="AE302" i="3"/>
  <c r="AE158" i="3"/>
  <c r="AE134" i="3"/>
  <c r="AE126" i="3"/>
  <c r="AE78" i="3"/>
  <c r="AE46" i="3"/>
  <c r="AE6" i="3"/>
  <c r="BI466" i="1"/>
  <c r="AY162" i="2"/>
  <c r="BH693" i="1"/>
  <c r="AE589" i="3"/>
  <c r="AE549" i="3"/>
  <c r="AE485" i="3"/>
  <c r="AE461" i="3"/>
  <c r="AE437" i="3"/>
  <c r="AE285" i="3"/>
  <c r="AE229" i="3"/>
  <c r="AE221" i="3"/>
  <c r="AE101" i="3"/>
  <c r="AE53" i="3"/>
  <c r="BJ362" i="1"/>
  <c r="BA322" i="2"/>
  <c r="BK209" i="1"/>
  <c r="BB344" i="2"/>
  <c r="BK166" i="1"/>
  <c r="BK56" i="1"/>
  <c r="BK134" i="1"/>
  <c r="BI109" i="1"/>
  <c r="BH431" i="1"/>
  <c r="BH428" i="1"/>
  <c r="AY315" i="2"/>
  <c r="BH120" i="1"/>
  <c r="BH722" i="1"/>
  <c r="AE556" i="3"/>
  <c r="AE476" i="3"/>
  <c r="AE340" i="3"/>
  <c r="AE212" i="3"/>
  <c r="AE579" i="3"/>
  <c r="AE563" i="3"/>
  <c r="BH673" i="1"/>
  <c r="AE451" i="3"/>
  <c r="AE387" i="3"/>
  <c r="AE371" i="3"/>
  <c r="AE203" i="3"/>
  <c r="AE187" i="3"/>
  <c r="AE155" i="3"/>
  <c r="BK466" i="1"/>
  <c r="BB357" i="2"/>
  <c r="BJ313" i="1"/>
  <c r="BJ332" i="1"/>
  <c r="BK449" i="1"/>
  <c r="BI431" i="1"/>
  <c r="BI366" i="1"/>
  <c r="BI334" i="1"/>
  <c r="BI146" i="1"/>
  <c r="BI442" i="1"/>
  <c r="BH173" i="1"/>
  <c r="AE562" i="3"/>
  <c r="AE514" i="3"/>
  <c r="AE442" i="3"/>
  <c r="AE434" i="3"/>
  <c r="BH705" i="1"/>
  <c r="AE370" i="3"/>
  <c r="AE298" i="3"/>
  <c r="AE202" i="3"/>
  <c r="AE178" i="3"/>
  <c r="AE170" i="3"/>
  <c r="AE114" i="3"/>
  <c r="AE74" i="3"/>
  <c r="AE50" i="3"/>
  <c r="AE10" i="3"/>
  <c r="BI407" i="1"/>
  <c r="BI308" i="1"/>
  <c r="BI263" i="1"/>
  <c r="BI270" i="1"/>
  <c r="AZ513" i="2"/>
  <c r="BI208" i="1"/>
  <c r="BI124" i="1"/>
  <c r="BI140" i="1"/>
  <c r="AZ105" i="2"/>
  <c r="AY717" i="2"/>
  <c r="AY141" i="2"/>
  <c r="AE585" i="3"/>
  <c r="AE529" i="3"/>
  <c r="AE513" i="3"/>
  <c r="AE497" i="3"/>
  <c r="AE473" i="3"/>
  <c r="AE441" i="3"/>
  <c r="AE401" i="3"/>
  <c r="AE377" i="3"/>
  <c r="AE345" i="3"/>
  <c r="AE337" i="3"/>
  <c r="AE305" i="3"/>
  <c r="AE273" i="3"/>
  <c r="AE185" i="3"/>
  <c r="AE121" i="3"/>
  <c r="AE65" i="3"/>
  <c r="BH560" i="1"/>
  <c r="AE57" i="3"/>
  <c r="AE33" i="3"/>
  <c r="AE9" i="3"/>
  <c r="BJ127" i="1"/>
  <c r="BJ321" i="1"/>
  <c r="BJ260" i="1"/>
  <c r="BJ422" i="1"/>
  <c r="BJ251" i="1"/>
  <c r="BJ221" i="1"/>
  <c r="BJ175" i="1"/>
  <c r="BJ306" i="1"/>
  <c r="BJ274" i="1"/>
  <c r="BJ252" i="1"/>
  <c r="BJ214" i="1"/>
  <c r="BJ264" i="1"/>
  <c r="BJ411" i="1"/>
  <c r="BJ159" i="1"/>
  <c r="BJ268" i="1"/>
  <c r="BJ52" i="1"/>
  <c r="BJ155" i="1"/>
  <c r="BJ137" i="1"/>
  <c r="BJ149" i="1"/>
  <c r="BJ105" i="1"/>
  <c r="BJ43" i="1"/>
  <c r="BJ36" i="1"/>
  <c r="BJ19" i="1"/>
  <c r="BJ9" i="1"/>
  <c r="BK352" i="1"/>
  <c r="BB615" i="2"/>
  <c r="BK101" i="1"/>
  <c r="BB269" i="2"/>
  <c r="BK340" i="1"/>
  <c r="BK370" i="1"/>
  <c r="BK235" i="1"/>
  <c r="BK341" i="1"/>
  <c r="BK194" i="1"/>
  <c r="BK472" i="1"/>
  <c r="BK299" i="1"/>
  <c r="BK455" i="1"/>
  <c r="BK53" i="1"/>
  <c r="BK423" i="1"/>
  <c r="BK320" i="1"/>
  <c r="BK48" i="1"/>
  <c r="BI226" i="1"/>
  <c r="BI183" i="1"/>
  <c r="AZ273" i="2"/>
  <c r="BI104" i="1"/>
  <c r="AZ475" i="2"/>
  <c r="BI452" i="1"/>
  <c r="BH435" i="1"/>
  <c r="AE536" i="3"/>
  <c r="AE512" i="3"/>
  <c r="AE456" i="3"/>
  <c r="BH664" i="1"/>
  <c r="AE352" i="3"/>
  <c r="AE320" i="3"/>
  <c r="BH695" i="1"/>
  <c r="AE312" i="3"/>
  <c r="AE280" i="3"/>
  <c r="AE224" i="3"/>
  <c r="AE200" i="3"/>
  <c r="AE192" i="3"/>
  <c r="AE176" i="3"/>
  <c r="AE120" i="3"/>
  <c r="AE8" i="3"/>
  <c r="BJ279" i="1"/>
  <c r="BK392" i="1"/>
  <c r="BK147" i="1"/>
  <c r="BK125" i="1"/>
  <c r="BB109" i="2"/>
  <c r="BK298" i="1"/>
  <c r="BK415" i="1"/>
  <c r="BK468" i="1"/>
  <c r="BK158" i="1"/>
  <c r="BB37" i="2"/>
  <c r="BI236" i="1"/>
  <c r="BI202" i="1"/>
  <c r="BI172" i="1"/>
  <c r="AZ674" i="2"/>
  <c r="BI327" i="1"/>
  <c r="BI187" i="1"/>
  <c r="AZ256" i="2"/>
  <c r="AZ746" i="2"/>
  <c r="AZ506" i="2"/>
  <c r="AZ447" i="2"/>
  <c r="BH146" i="1"/>
  <c r="AY301" i="2"/>
  <c r="AY554" i="2"/>
  <c r="AY410" i="2"/>
  <c r="BH667" i="1"/>
  <c r="AE543" i="3"/>
  <c r="AE503" i="3"/>
  <c r="AE447" i="3"/>
  <c r="AE263" i="3"/>
  <c r="AE199" i="3"/>
  <c r="AE191" i="3"/>
  <c r="AE143" i="3"/>
  <c r="AE103" i="3"/>
  <c r="AE79" i="3"/>
  <c r="AE7" i="3"/>
  <c r="Y588" i="3"/>
  <c r="Y276" i="3"/>
  <c r="BH631" i="1" s="1"/>
  <c r="Y500" i="3"/>
  <c r="BH533" i="1"/>
  <c r="BH522" i="1"/>
  <c r="BH574" i="1"/>
  <c r="Y607" i="3"/>
  <c r="Y608" i="3"/>
  <c r="BH584" i="1"/>
  <c r="Y471" i="3"/>
  <c r="Y328" i="3"/>
  <c r="Y466" i="3"/>
  <c r="BH590" i="1"/>
  <c r="Y333" i="3"/>
  <c r="Y553" i="3"/>
  <c r="Y593" i="3"/>
  <c r="Y313" i="3"/>
  <c r="Y406" i="3"/>
  <c r="Y559" i="3"/>
  <c r="Y411" i="3"/>
  <c r="Y35" i="3"/>
  <c r="Y34" i="3"/>
  <c r="BH504" i="1" s="1"/>
  <c r="Y516" i="3"/>
  <c r="BH598" i="1" s="1"/>
  <c r="Y20" i="3"/>
  <c r="BH526" i="1" s="1"/>
  <c r="AY695" i="2"/>
  <c r="BH113" i="1"/>
  <c r="AY362" i="2"/>
  <c r="BH445" i="1"/>
  <c r="AY708" i="2"/>
  <c r="AY579" i="2"/>
  <c r="AY357" i="2"/>
  <c r="BH588" i="1"/>
  <c r="BH564" i="1"/>
  <c r="AY239" i="2"/>
  <c r="BH615" i="1"/>
  <c r="BH638" i="1"/>
  <c r="AY655" i="2"/>
  <c r="AY472" i="2"/>
  <c r="BH559" i="1"/>
  <c r="BH591" i="1"/>
  <c r="AY40" i="2"/>
  <c r="BH600" i="1"/>
  <c r="BH500" i="1"/>
  <c r="Y268" i="3"/>
  <c r="Y404" i="3"/>
  <c r="Y460" i="3"/>
  <c r="Y332" i="3"/>
  <c r="BH540" i="1" s="1"/>
  <c r="Y68" i="3"/>
  <c r="BH647" i="1"/>
  <c r="BH642" i="1"/>
  <c r="BH594" i="1"/>
  <c r="BH517" i="1"/>
  <c r="BH544" i="1"/>
  <c r="BH527" i="1"/>
  <c r="BH513" i="1"/>
  <c r="Y300" i="3"/>
  <c r="Y380" i="3"/>
  <c r="Y148" i="3"/>
  <c r="Y572" i="3"/>
  <c r="Y108" i="3"/>
  <c r="Y156" i="3"/>
  <c r="AD574" i="3"/>
  <c r="AD437" i="3"/>
  <c r="AD1270" i="3"/>
  <c r="BH653" i="1"/>
  <c r="BH742" i="1"/>
  <c r="BH580" i="1"/>
  <c r="BH585" i="1"/>
  <c r="BH548" i="1"/>
  <c r="BH622" i="1"/>
  <c r="BH583" i="1"/>
  <c r="BH530" i="1"/>
  <c r="BH597" i="1"/>
  <c r="BH625" i="1"/>
  <c r="BH509" i="1"/>
  <c r="BH506" i="1"/>
  <c r="Y228" i="3"/>
  <c r="BH639" i="1"/>
  <c r="AY517" i="2"/>
  <c r="BH676" i="1"/>
  <c r="BH671" i="1"/>
  <c r="BH566" i="1"/>
  <c r="BH577" i="1"/>
  <c r="BH616" i="1"/>
  <c r="BH609" i="1"/>
  <c r="BH514" i="1"/>
  <c r="BH554" i="1"/>
  <c r="BH535" i="1"/>
  <c r="BH524" i="1"/>
  <c r="BH532" i="1"/>
  <c r="Y52" i="3"/>
  <c r="Y596" i="3"/>
  <c r="Y284" i="3"/>
  <c r="Y396" i="3"/>
  <c r="Y196" i="3"/>
  <c r="AD1229" i="3"/>
  <c r="AD345" i="3"/>
  <c r="AD867" i="3"/>
  <c r="AD709" i="3"/>
  <c r="AD831" i="3"/>
  <c r="AD579" i="3"/>
  <c r="AD506" i="3"/>
  <c r="AD657" i="3"/>
  <c r="V1074" i="3"/>
  <c r="U1074" i="3"/>
  <c r="V393" i="3"/>
  <c r="U393" i="3"/>
  <c r="G1034" i="3"/>
  <c r="V1034" i="3"/>
  <c r="U1034" i="3"/>
  <c r="V883" i="3"/>
  <c r="U883" i="3"/>
  <c r="V1199" i="3"/>
  <c r="U1199" i="3"/>
  <c r="V1242" i="3"/>
  <c r="U1242" i="3"/>
  <c r="V1522" i="3"/>
  <c r="U1522" i="3"/>
  <c r="V827" i="3"/>
  <c r="U827" i="3"/>
  <c r="V1191" i="3"/>
  <c r="U1191" i="3"/>
  <c r="V1488" i="3"/>
  <c r="U1488" i="3"/>
  <c r="V1070" i="3"/>
  <c r="U1070" i="3"/>
  <c r="G1176" i="3"/>
  <c r="V1176" i="3"/>
  <c r="U1176" i="3"/>
  <c r="V1300" i="3"/>
  <c r="U1300" i="3"/>
  <c r="V610" i="3"/>
  <c r="U610" i="3"/>
  <c r="V495" i="3"/>
  <c r="U495" i="3"/>
  <c r="G1332" i="3"/>
  <c r="V1332" i="3"/>
  <c r="U1332" i="3"/>
  <c r="G1123" i="3"/>
  <c r="V1123" i="3"/>
  <c r="U1123" i="3"/>
  <c r="V1195" i="3"/>
  <c r="U1195" i="3"/>
  <c r="V184" i="3"/>
  <c r="U184" i="3"/>
  <c r="V1091" i="3"/>
  <c r="U1091" i="3"/>
  <c r="V1410" i="3"/>
  <c r="U1410" i="3"/>
  <c r="V1498" i="3"/>
  <c r="U1498" i="3"/>
  <c r="V1057" i="3"/>
  <c r="U1057" i="3"/>
  <c r="V1334" i="3"/>
  <c r="U1334" i="3"/>
  <c r="V389" i="3"/>
  <c r="U389" i="3"/>
  <c r="V1303" i="3"/>
  <c r="U1303" i="3"/>
  <c r="G1103" i="3"/>
  <c r="V1103" i="3"/>
  <c r="U1103" i="3"/>
  <c r="V951" i="3"/>
  <c r="U951" i="3"/>
  <c r="V796" i="3"/>
  <c r="U796" i="3"/>
  <c r="V665" i="3"/>
  <c r="U665" i="3"/>
  <c r="V1002" i="3"/>
  <c r="U1002" i="3"/>
  <c r="V60" i="3"/>
  <c r="U60" i="3"/>
  <c r="V1297" i="3"/>
  <c r="U1297" i="3"/>
  <c r="V1013" i="3"/>
  <c r="U1013" i="3"/>
  <c r="G1134" i="3"/>
  <c r="V1134" i="3"/>
  <c r="U1134" i="3"/>
  <c r="V234" i="3"/>
  <c r="U234" i="3"/>
  <c r="V1154" i="3"/>
  <c r="U1154" i="3"/>
  <c r="G1001" i="3"/>
  <c r="V1001" i="3"/>
  <c r="U1001" i="3"/>
  <c r="G1100" i="3"/>
  <c r="V1100" i="3"/>
  <c r="U1100" i="3"/>
  <c r="V1501" i="3"/>
  <c r="U1501" i="3"/>
  <c r="V1309" i="3"/>
  <c r="U1309" i="3"/>
  <c r="V489" i="3"/>
  <c r="U489" i="3"/>
  <c r="G605" i="3"/>
  <c r="V605" i="3"/>
  <c r="U605" i="3"/>
  <c r="V645" i="3"/>
  <c r="U645" i="3"/>
  <c r="V1030" i="3"/>
  <c r="U1030" i="3"/>
  <c r="V1220" i="3"/>
  <c r="U1220" i="3"/>
  <c r="V1011" i="3"/>
  <c r="U1011" i="3"/>
  <c r="V395" i="3"/>
  <c r="U395" i="3"/>
  <c r="V232" i="3"/>
  <c r="U232" i="3"/>
  <c r="V235" i="3"/>
  <c r="U235" i="3"/>
  <c r="V354" i="3"/>
  <c r="U354" i="3"/>
  <c r="V23" i="3"/>
  <c r="U23" i="3"/>
  <c r="V231" i="3"/>
  <c r="U231" i="3"/>
  <c r="V553" i="3"/>
  <c r="U553" i="3"/>
  <c r="V510" i="3"/>
  <c r="U510" i="3"/>
  <c r="V1475" i="3"/>
  <c r="U1475" i="3"/>
  <c r="V1221" i="3"/>
  <c r="U1221" i="3"/>
  <c r="V1072" i="3"/>
  <c r="U1072" i="3"/>
  <c r="V869" i="3"/>
  <c r="U869" i="3"/>
  <c r="V1119" i="3"/>
  <c r="U1119" i="3"/>
  <c r="V532" i="3"/>
  <c r="U532" i="3"/>
  <c r="V1063" i="3"/>
  <c r="U1063" i="3"/>
  <c r="V1372" i="3"/>
  <c r="U1372" i="3"/>
  <c r="V554" i="3"/>
  <c r="U554" i="3"/>
  <c r="V1215" i="3"/>
  <c r="U1215" i="3"/>
  <c r="V540" i="3"/>
  <c r="U540" i="3"/>
  <c r="V672" i="3"/>
  <c r="U672" i="3"/>
  <c r="V810" i="3"/>
  <c r="U810" i="3"/>
  <c r="V1071" i="3"/>
  <c r="U1071" i="3"/>
  <c r="V1397" i="3"/>
  <c r="U1397" i="3"/>
  <c r="G789" i="3"/>
  <c r="V789" i="3"/>
  <c r="U789" i="3"/>
  <c r="V787" i="3"/>
  <c r="U787" i="3"/>
  <c r="V1500" i="3"/>
  <c r="U1500" i="3"/>
  <c r="G1158" i="3"/>
  <c r="V1158" i="3"/>
  <c r="U1158" i="3"/>
  <c r="V1205" i="3"/>
  <c r="U1205" i="3"/>
  <c r="G1178" i="3"/>
  <c r="V1178" i="3"/>
  <c r="U1178" i="3"/>
  <c r="G873" i="3"/>
  <c r="V873" i="3"/>
  <c r="U873" i="3"/>
  <c r="V653" i="3"/>
  <c r="U653" i="3"/>
  <c r="V1290" i="3"/>
  <c r="U1290" i="3"/>
  <c r="V518" i="3"/>
  <c r="U518" i="3"/>
  <c r="V411" i="3"/>
  <c r="U411" i="3"/>
  <c r="G1114" i="3"/>
  <c r="V1114" i="3"/>
  <c r="U1114" i="3"/>
  <c r="V766" i="3"/>
  <c r="U766" i="3"/>
  <c r="G997" i="3"/>
  <c r="V997" i="3"/>
  <c r="U997" i="3"/>
  <c r="V1399" i="3"/>
  <c r="U1399" i="3"/>
  <c r="V738" i="3"/>
  <c r="U738" i="3"/>
  <c r="V137" i="3"/>
  <c r="U137" i="3"/>
  <c r="G1093" i="3"/>
  <c r="V1093" i="3"/>
  <c r="U1093" i="3"/>
  <c r="G1146" i="3"/>
  <c r="V1146" i="3"/>
  <c r="U1146" i="3"/>
  <c r="V1005" i="3"/>
  <c r="U1005" i="3"/>
  <c r="G1052" i="3"/>
  <c r="V1052" i="3"/>
  <c r="U1052" i="3"/>
  <c r="V998" i="3"/>
  <c r="U998" i="3"/>
  <c r="V966" i="3"/>
  <c r="U966" i="3"/>
  <c r="V756" i="3"/>
  <c r="U756" i="3"/>
  <c r="V885" i="3"/>
  <c r="U885" i="3"/>
  <c r="V857" i="3"/>
  <c r="U857" i="3"/>
  <c r="G818" i="3"/>
  <c r="V818" i="3"/>
  <c r="U818" i="3"/>
  <c r="G767" i="3"/>
  <c r="V767" i="3"/>
  <c r="U767" i="3"/>
  <c r="V220" i="3"/>
  <c r="U220" i="3"/>
  <c r="V402" i="3"/>
  <c r="U402" i="3"/>
  <c r="V662" i="3"/>
  <c r="U662" i="3"/>
  <c r="V207" i="3"/>
  <c r="U207" i="3"/>
  <c r="V35" i="3"/>
  <c r="U35" i="3"/>
  <c r="V843" i="3"/>
  <c r="U843" i="3"/>
  <c r="V975" i="3"/>
  <c r="U975" i="3"/>
  <c r="V1246" i="3"/>
  <c r="U1246" i="3"/>
  <c r="V164" i="3"/>
  <c r="U164" i="3"/>
  <c r="V1360" i="3"/>
  <c r="U1360" i="3"/>
  <c r="V991" i="3"/>
  <c r="U991" i="3"/>
  <c r="V1478" i="3"/>
  <c r="U1478" i="3"/>
  <c r="V643" i="3"/>
  <c r="U643" i="3"/>
  <c r="V70" i="3"/>
  <c r="U70" i="3"/>
  <c r="G1147" i="3"/>
  <c r="V1147" i="3"/>
  <c r="U1147" i="3"/>
  <c r="V1009" i="3"/>
  <c r="U1009" i="3"/>
  <c r="V598" i="3"/>
  <c r="U598" i="3"/>
  <c r="V1422" i="3"/>
  <c r="U1422" i="3"/>
  <c r="G1148" i="3"/>
  <c r="V1148" i="3"/>
  <c r="U1148" i="3"/>
  <c r="G1078" i="3"/>
  <c r="V1078" i="3"/>
  <c r="U1078" i="3"/>
  <c r="G1130" i="3"/>
  <c r="V1130" i="3"/>
  <c r="U1130" i="3"/>
  <c r="V943" i="3"/>
  <c r="U943" i="3"/>
  <c r="V1015" i="3"/>
  <c r="U1015" i="3"/>
  <c r="V982" i="3"/>
  <c r="U982" i="3"/>
  <c r="V781" i="3"/>
  <c r="U781" i="3"/>
  <c r="V919" i="3"/>
  <c r="U919" i="3"/>
  <c r="V695" i="3"/>
  <c r="U695" i="3"/>
  <c r="G902" i="3"/>
  <c r="V902" i="3"/>
  <c r="U902" i="3"/>
  <c r="V872" i="3"/>
  <c r="U872" i="3"/>
  <c r="V429" i="3"/>
  <c r="U429" i="3"/>
  <c r="V193" i="3"/>
  <c r="U193" i="3"/>
  <c r="V359" i="3"/>
  <c r="U359" i="3"/>
  <c r="V443" i="3"/>
  <c r="U443" i="3"/>
  <c r="V1227" i="3"/>
  <c r="U1227" i="3"/>
  <c r="V1431" i="3"/>
  <c r="U1431" i="3"/>
  <c r="V321" i="3"/>
  <c r="U321" i="3"/>
  <c r="V205" i="3"/>
  <c r="U205" i="3"/>
  <c r="V61" i="3"/>
  <c r="U61" i="3"/>
  <c r="V1056" i="3"/>
  <c r="U1056" i="3"/>
  <c r="V322" i="3"/>
  <c r="U322" i="3"/>
  <c r="V369" i="3"/>
  <c r="U369" i="3"/>
  <c r="V1401" i="3"/>
  <c r="U1401" i="3"/>
  <c r="V1053" i="3"/>
  <c r="U1053" i="3"/>
  <c r="U490" i="3"/>
  <c r="V490" i="3"/>
  <c r="G1155" i="3"/>
  <c r="V1155" i="3"/>
  <c r="U1155" i="3"/>
  <c r="V1382" i="3"/>
  <c r="U1382" i="3"/>
  <c r="V1509" i="3"/>
  <c r="U1509" i="3"/>
  <c r="G1151" i="3"/>
  <c r="V1151" i="3"/>
  <c r="U1151" i="3"/>
  <c r="V655" i="3"/>
  <c r="U655" i="3"/>
  <c r="V1474" i="3"/>
  <c r="U1474" i="3"/>
  <c r="V1261" i="3"/>
  <c r="U1261" i="3"/>
  <c r="V837" i="3"/>
  <c r="U837" i="3"/>
  <c r="G859" i="3"/>
  <c r="V859" i="3"/>
  <c r="U859" i="3"/>
  <c r="G1136" i="3"/>
  <c r="V1136" i="3"/>
  <c r="U1136" i="3"/>
  <c r="V295" i="3"/>
  <c r="U295" i="3"/>
  <c r="V946" i="3"/>
  <c r="U946" i="3"/>
  <c r="G1124" i="3"/>
  <c r="V1124" i="3"/>
  <c r="U1124" i="3"/>
  <c r="V899" i="3"/>
  <c r="U899" i="3"/>
  <c r="V812" i="3"/>
  <c r="U812" i="3"/>
  <c r="V754" i="3"/>
  <c r="U754" i="3"/>
  <c r="V673" i="3"/>
  <c r="U673" i="3"/>
  <c r="V881" i="3"/>
  <c r="U881" i="3"/>
  <c r="V835" i="3"/>
  <c r="U835" i="3"/>
  <c r="V813" i="3"/>
  <c r="U813" i="3"/>
  <c r="V757" i="3"/>
  <c r="U757" i="3"/>
  <c r="V69" i="3"/>
  <c r="U69" i="3"/>
  <c r="V519" i="3"/>
  <c r="U519" i="3"/>
  <c r="G444" i="3"/>
  <c r="V444" i="3"/>
  <c r="U444" i="3"/>
  <c r="V600" i="3"/>
  <c r="U600" i="3"/>
  <c r="V405" i="3"/>
  <c r="U405" i="3"/>
  <c r="V1506" i="3"/>
  <c r="U1506" i="3"/>
  <c r="G921" i="3"/>
  <c r="V921" i="3"/>
  <c r="U921" i="3"/>
  <c r="V922" i="3"/>
  <c r="U922" i="3"/>
  <c r="V628" i="3"/>
  <c r="U628" i="3"/>
  <c r="G1118" i="3"/>
  <c r="V1118" i="3"/>
  <c r="U1118" i="3"/>
  <c r="V894" i="3"/>
  <c r="U894" i="3"/>
  <c r="V1059" i="3"/>
  <c r="U1059" i="3"/>
  <c r="V446" i="3"/>
  <c r="U446" i="3"/>
  <c r="V973" i="3"/>
  <c r="U973" i="3"/>
  <c r="V852" i="3"/>
  <c r="U852" i="3"/>
  <c r="V1214" i="3"/>
  <c r="U1214" i="3"/>
  <c r="V527" i="3"/>
  <c r="U527" i="3"/>
  <c r="V708" i="3"/>
  <c r="U708" i="3"/>
  <c r="V774" i="3"/>
  <c r="U774" i="3"/>
  <c r="V54" i="3"/>
  <c r="U54" i="3"/>
  <c r="G1139" i="3"/>
  <c r="V1139" i="3"/>
  <c r="U1139" i="3"/>
  <c r="V1068" i="3"/>
  <c r="U1068" i="3"/>
  <c r="V830" i="3"/>
  <c r="U830" i="3"/>
  <c r="G948" i="3"/>
  <c r="V948" i="3"/>
  <c r="U948" i="3"/>
  <c r="V1249" i="3"/>
  <c r="U1249" i="3"/>
  <c r="V851" i="3"/>
  <c r="U851" i="3"/>
  <c r="G1129" i="3"/>
  <c r="V1129" i="3"/>
  <c r="U1129" i="3"/>
  <c r="V949" i="3"/>
  <c r="U949" i="3"/>
  <c r="V870" i="3"/>
  <c r="U870" i="3"/>
  <c r="G1173" i="3"/>
  <c r="V1173" i="3"/>
  <c r="U1173" i="3"/>
  <c r="V1172" i="3"/>
  <c r="U1172" i="3"/>
  <c r="V1538" i="3"/>
  <c r="U1538" i="3"/>
  <c r="V1244" i="3"/>
  <c r="U1244" i="3"/>
  <c r="V1102" i="3"/>
  <c r="U1102" i="3"/>
  <c r="V531" i="3"/>
  <c r="U531" i="3"/>
  <c r="V238" i="3"/>
  <c r="U238" i="3"/>
  <c r="V1064" i="3"/>
  <c r="U1064" i="3"/>
  <c r="V788" i="3"/>
  <c r="U788" i="3"/>
  <c r="V1203" i="3"/>
  <c r="U1203" i="3"/>
  <c r="V19" i="3"/>
  <c r="U19" i="3"/>
  <c r="V811" i="3"/>
  <c r="U811" i="3"/>
  <c r="V450" i="3"/>
  <c r="U450" i="3"/>
  <c r="G1157" i="3"/>
  <c r="V1157" i="3"/>
  <c r="U1157" i="3"/>
  <c r="V1394" i="3"/>
  <c r="U1394" i="3"/>
  <c r="V1310" i="3"/>
  <c r="U1310" i="3"/>
  <c r="V1235" i="3"/>
  <c r="U1235" i="3"/>
  <c r="V875" i="3"/>
  <c r="U875" i="3"/>
  <c r="V37" i="3"/>
  <c r="U37" i="3"/>
  <c r="V1288" i="3"/>
  <c r="U1288" i="3"/>
  <c r="V1092" i="3"/>
  <c r="U1092" i="3"/>
  <c r="V853" i="3"/>
  <c r="U853" i="3"/>
  <c r="V957" i="3"/>
  <c r="U957" i="3"/>
  <c r="V914" i="3"/>
  <c r="U914" i="3"/>
  <c r="V637" i="3"/>
  <c r="U637" i="3"/>
  <c r="V762" i="3"/>
  <c r="U762" i="3"/>
  <c r="V713" i="3"/>
  <c r="U713" i="3"/>
  <c r="G650" i="3"/>
  <c r="V650" i="3"/>
  <c r="U650" i="3"/>
  <c r="V768" i="3"/>
  <c r="U768" i="3"/>
  <c r="V243" i="3"/>
  <c r="U243" i="3"/>
  <c r="G1171" i="3"/>
  <c r="V1171" i="3"/>
  <c r="U1171" i="3"/>
  <c r="V609" i="3"/>
  <c r="U609" i="3"/>
  <c r="V292" i="3"/>
  <c r="U292" i="3"/>
  <c r="V100" i="3"/>
  <c r="U100" i="3"/>
  <c r="V729" i="3"/>
  <c r="U729" i="3"/>
  <c r="V154" i="3"/>
  <c r="U154" i="3"/>
  <c r="V445" i="3"/>
  <c r="U445" i="3"/>
  <c r="V1534" i="3"/>
  <c r="U1534" i="3"/>
  <c r="V1432" i="3"/>
  <c r="U1432" i="3"/>
  <c r="V1232" i="3"/>
  <c r="U1232" i="3"/>
  <c r="V666" i="3"/>
  <c r="U666" i="3"/>
  <c r="V1126" i="3"/>
  <c r="U1126" i="3"/>
  <c r="V1280" i="3"/>
  <c r="U1280" i="3"/>
  <c r="V1537" i="3"/>
  <c r="U1537" i="3"/>
  <c r="V1436" i="3"/>
  <c r="U1436" i="3"/>
  <c r="V1255" i="3"/>
  <c r="U1255" i="3"/>
  <c r="V1202" i="3"/>
  <c r="U1202" i="3"/>
  <c r="V848" i="3"/>
  <c r="U848" i="3"/>
  <c r="V1327" i="3"/>
  <c r="U1327" i="3"/>
  <c r="V1282" i="3"/>
  <c r="U1282" i="3"/>
  <c r="V1459" i="3"/>
  <c r="U1459" i="3"/>
  <c r="V1487" i="3"/>
  <c r="U1487" i="3"/>
  <c r="V1115" i="3"/>
  <c r="U1115" i="3"/>
  <c r="V1381" i="3"/>
  <c r="U1381" i="3"/>
  <c r="V1374" i="3"/>
  <c r="U1374" i="3"/>
  <c r="V419" i="3"/>
  <c r="U419" i="3"/>
  <c r="V435" i="3"/>
  <c r="U435" i="3"/>
  <c r="V1307" i="3"/>
  <c r="U1307" i="3"/>
  <c r="V1111" i="3"/>
  <c r="U1111" i="3"/>
  <c r="V507" i="3"/>
  <c r="U507" i="3"/>
  <c r="V1483" i="3"/>
  <c r="U1483" i="3"/>
  <c r="V482" i="3"/>
  <c r="U482" i="3"/>
  <c r="G1133" i="3"/>
  <c r="V1133" i="3"/>
  <c r="U1133" i="3"/>
  <c r="V459" i="3"/>
  <c r="U459" i="3"/>
  <c r="V484" i="3"/>
  <c r="U484" i="3"/>
  <c r="V947" i="3"/>
  <c r="U947" i="3"/>
  <c r="V182" i="3"/>
  <c r="U182" i="3"/>
  <c r="V1536" i="3"/>
  <c r="U1536" i="3"/>
  <c r="V1213" i="3"/>
  <c r="U1213" i="3"/>
  <c r="V726" i="3"/>
  <c r="U726" i="3"/>
  <c r="V301" i="3"/>
  <c r="U301" i="3"/>
  <c r="V44" i="3"/>
  <c r="U44" i="3"/>
  <c r="G1539" i="3"/>
  <c r="V1539" i="3"/>
  <c r="U1539" i="3"/>
  <c r="V555" i="3"/>
  <c r="U555" i="3"/>
  <c r="V967" i="3"/>
  <c r="U967" i="3"/>
  <c r="V552" i="3"/>
  <c r="U552" i="3"/>
  <c r="G1138" i="3"/>
  <c r="V1138" i="3"/>
  <c r="U1138" i="3"/>
  <c r="V104" i="3"/>
  <c r="U104" i="3"/>
  <c r="V406" i="3"/>
  <c r="U406" i="3"/>
  <c r="V905" i="3"/>
  <c r="U905" i="3"/>
  <c r="V161" i="3"/>
  <c r="U161" i="3"/>
  <c r="V272" i="3"/>
  <c r="U272" i="3"/>
  <c r="V1494" i="3"/>
  <c r="U1494" i="3"/>
  <c r="V618" i="3"/>
  <c r="U618" i="3"/>
  <c r="V454" i="3"/>
  <c r="U454" i="3"/>
  <c r="V49" i="3"/>
  <c r="U49" i="3"/>
  <c r="V612" i="3"/>
  <c r="U612" i="3"/>
  <c r="V223" i="3"/>
  <c r="U223" i="3"/>
  <c r="V1237" i="3"/>
  <c r="U1237" i="3"/>
  <c r="V663" i="3"/>
  <c r="U663" i="3"/>
  <c r="V142" i="3"/>
  <c r="U142" i="3"/>
  <c r="V584" i="3"/>
  <c r="U584" i="3"/>
  <c r="V916" i="3"/>
  <c r="U916" i="3"/>
  <c r="V412" i="3"/>
  <c r="U412" i="3"/>
  <c r="V1341" i="3"/>
  <c r="U1341" i="3"/>
  <c r="V1461" i="3"/>
  <c r="U1461" i="3"/>
  <c r="V920" i="3"/>
  <c r="U920" i="3"/>
  <c r="V557" i="3"/>
  <c r="U557" i="3"/>
  <c r="V1251" i="3"/>
  <c r="U1251" i="3"/>
  <c r="G1160" i="3"/>
  <c r="V1160" i="3"/>
  <c r="U1160" i="3"/>
  <c r="V1045" i="3"/>
  <c r="U1045" i="3"/>
  <c r="G1170" i="3"/>
  <c r="V1170" i="3"/>
  <c r="U1170" i="3"/>
  <c r="V1378" i="3"/>
  <c r="U1378" i="3"/>
  <c r="G1137" i="3"/>
  <c r="V1137" i="3"/>
  <c r="U1137" i="3"/>
  <c r="U1040" i="3"/>
  <c r="V1040" i="3"/>
  <c r="V981" i="3"/>
  <c r="U981" i="3"/>
  <c r="V934" i="3"/>
  <c r="U934" i="3"/>
  <c r="V603" i="3"/>
  <c r="U603" i="3"/>
  <c r="G1006" i="3"/>
  <c r="V1006" i="3"/>
  <c r="U1006" i="3"/>
  <c r="V990" i="3"/>
  <c r="U990" i="3"/>
  <c r="V978" i="3"/>
  <c r="U978" i="3"/>
  <c r="V956" i="3"/>
  <c r="U956" i="3"/>
  <c r="V941" i="3"/>
  <c r="U941" i="3"/>
  <c r="V930" i="3"/>
  <c r="U930" i="3"/>
  <c r="V705" i="3"/>
  <c r="U705" i="3"/>
  <c r="V903" i="3"/>
  <c r="U903" i="3"/>
  <c r="G670" i="3"/>
  <c r="V670" i="3"/>
  <c r="U670" i="3"/>
  <c r="V879" i="3"/>
  <c r="U879" i="3"/>
  <c r="V866" i="3"/>
  <c r="U866" i="3"/>
  <c r="V850" i="3"/>
  <c r="U850" i="3"/>
  <c r="G834" i="3"/>
  <c r="V834" i="3"/>
  <c r="U834" i="3"/>
  <c r="V807" i="3"/>
  <c r="U807" i="3"/>
  <c r="V780" i="3"/>
  <c r="U780" i="3"/>
  <c r="V759" i="3"/>
  <c r="U759" i="3"/>
  <c r="V739" i="3"/>
  <c r="U739" i="3"/>
  <c r="V710" i="3"/>
  <c r="U710" i="3"/>
  <c r="V669" i="3"/>
  <c r="U669" i="3"/>
  <c r="G659" i="3"/>
  <c r="V659" i="3"/>
  <c r="U659" i="3"/>
  <c r="V236" i="3"/>
  <c r="U236" i="3"/>
  <c r="V627" i="3"/>
  <c r="U627" i="3"/>
  <c r="V287" i="3"/>
  <c r="U287" i="3"/>
  <c r="V139" i="3"/>
  <c r="U139" i="3"/>
  <c r="V764" i="3"/>
  <c r="U764" i="3"/>
  <c r="V307" i="3"/>
  <c r="U307" i="3"/>
  <c r="V204" i="3"/>
  <c r="U204" i="3"/>
  <c r="V24" i="3"/>
  <c r="U24" i="3"/>
  <c r="V1492" i="3"/>
  <c r="U1492" i="3"/>
  <c r="V564" i="3"/>
  <c r="U564" i="3"/>
  <c r="V1110" i="3"/>
  <c r="U1110" i="3"/>
  <c r="V39" i="3"/>
  <c r="U39" i="3"/>
  <c r="V17" i="3"/>
  <c r="U17" i="3"/>
  <c r="V1448" i="3"/>
  <c r="U1448" i="3"/>
  <c r="V1028" i="3"/>
  <c r="U1028" i="3"/>
  <c r="V269" i="3"/>
  <c r="U269" i="3"/>
  <c r="V386" i="3"/>
  <c r="U386" i="3"/>
  <c r="V174" i="3"/>
  <c r="U174" i="3"/>
  <c r="V88" i="3"/>
  <c r="U88" i="3"/>
  <c r="V1368" i="3"/>
  <c r="U1368" i="3"/>
  <c r="V498" i="3"/>
  <c r="U498" i="3"/>
  <c r="V958" i="3"/>
  <c r="U958" i="3"/>
  <c r="V558" i="3"/>
  <c r="U558" i="3"/>
  <c r="V378" i="3"/>
  <c r="U378" i="3"/>
  <c r="V422" i="3"/>
  <c r="U422" i="3"/>
  <c r="V1423" i="3"/>
  <c r="U1423" i="3"/>
  <c r="V551" i="3"/>
  <c r="U551" i="3"/>
  <c r="V808" i="3"/>
  <c r="U808" i="3"/>
  <c r="V329" i="3"/>
  <c r="U329" i="3"/>
  <c r="V15" i="3"/>
  <c r="U15" i="3"/>
  <c r="V1531" i="3"/>
  <c r="U1531" i="3"/>
  <c r="V1510" i="3"/>
  <c r="U1510" i="3"/>
  <c r="V344" i="3"/>
  <c r="U344" i="3"/>
  <c r="V1420" i="3"/>
  <c r="U1420" i="3"/>
  <c r="G1338" i="3"/>
  <c r="U1338" i="3"/>
  <c r="V1338" i="3"/>
  <c r="V1311" i="3"/>
  <c r="U1311" i="3"/>
  <c r="V1206" i="3"/>
  <c r="U1206" i="3"/>
  <c r="V1036" i="3"/>
  <c r="U1036" i="3"/>
  <c r="V432" i="3"/>
  <c r="U432" i="3"/>
  <c r="V481" i="3"/>
  <c r="U481" i="3"/>
  <c r="V59" i="3"/>
  <c r="U59" i="3"/>
  <c r="V537" i="3"/>
  <c r="U537" i="3"/>
  <c r="V815" i="3"/>
  <c r="U815" i="3"/>
  <c r="V324" i="3"/>
  <c r="U324" i="3"/>
  <c r="V1467" i="3"/>
  <c r="U1467" i="3"/>
  <c r="V608" i="3"/>
  <c r="U608" i="3"/>
  <c r="V391" i="3"/>
  <c r="U391" i="3"/>
  <c r="V1530" i="3"/>
  <c r="U1530" i="3"/>
  <c r="V1473" i="3"/>
  <c r="U1473" i="3"/>
  <c r="V1433" i="3"/>
  <c r="U1433" i="3"/>
  <c r="V1223" i="3"/>
  <c r="U1223" i="3"/>
  <c r="V1331" i="3"/>
  <c r="U1331" i="3"/>
  <c r="V1222" i="3"/>
  <c r="U1222" i="3"/>
  <c r="V823" i="3"/>
  <c r="U823" i="3"/>
  <c r="V364" i="3"/>
  <c r="U364" i="3"/>
  <c r="V262" i="3"/>
  <c r="U262" i="3"/>
  <c r="V1200" i="3"/>
  <c r="U1200" i="3"/>
  <c r="V1193" i="3"/>
  <c r="U1193" i="3"/>
  <c r="V32" i="3"/>
  <c r="U32" i="3"/>
  <c r="V733" i="3"/>
  <c r="U733" i="3"/>
  <c r="V983" i="3"/>
  <c r="U983" i="3"/>
  <c r="V961" i="3"/>
  <c r="U961" i="3"/>
  <c r="V493" i="3"/>
  <c r="U493" i="3"/>
  <c r="V466" i="3"/>
  <c r="U466" i="3"/>
  <c r="V569" i="3"/>
  <c r="U569" i="3"/>
  <c r="V423" i="3"/>
  <c r="U423" i="3"/>
  <c r="V791" i="3"/>
  <c r="U791" i="3"/>
  <c r="V1499" i="3"/>
  <c r="U1499" i="3"/>
  <c r="V1319" i="3"/>
  <c r="U1319" i="3"/>
  <c r="V1442" i="3"/>
  <c r="U1442" i="3"/>
  <c r="V1287" i="3"/>
  <c r="U1287" i="3"/>
  <c r="V1493" i="3"/>
  <c r="U1493" i="3"/>
  <c r="G1526" i="3"/>
  <c r="V1526" i="3"/>
  <c r="U1526" i="3"/>
  <c r="BJ435" i="1"/>
  <c r="BB586" i="2"/>
  <c r="BB318" i="2"/>
  <c r="BB421" i="2"/>
  <c r="BB485" i="2"/>
  <c r="BB690" i="2"/>
  <c r="BB515" i="2"/>
  <c r="BB420" i="2"/>
  <c r="BB517" i="2"/>
  <c r="BB47" i="2"/>
  <c r="BB346" i="2"/>
  <c r="BK457" i="1"/>
  <c r="AZ638" i="2"/>
  <c r="AZ221" i="2"/>
  <c r="AZ571" i="2"/>
  <c r="AZ186" i="2"/>
  <c r="AZ687" i="2"/>
  <c r="AZ118" i="2"/>
  <c r="AZ338" i="2"/>
  <c r="AY455" i="2"/>
  <c r="AY551" i="2"/>
  <c r="V782" i="3"/>
  <c r="U782" i="3"/>
  <c r="G744" i="3"/>
  <c r="V744" i="3"/>
  <c r="U744" i="3"/>
  <c r="G1296" i="3"/>
  <c r="V1296" i="3"/>
  <c r="U1296" i="3"/>
  <c r="V509" i="3"/>
  <c r="U509" i="3"/>
  <c r="V425" i="3"/>
  <c r="U425" i="3"/>
  <c r="V1022" i="3"/>
  <c r="U1022" i="3"/>
  <c r="V525" i="3"/>
  <c r="U525" i="3"/>
  <c r="V1463" i="3"/>
  <c r="U1463" i="3"/>
  <c r="V40" i="3"/>
  <c r="U40" i="3"/>
  <c r="V1216" i="3"/>
  <c r="U1216" i="3"/>
  <c r="V1010" i="3"/>
  <c r="U1010" i="3"/>
  <c r="V1517" i="3"/>
  <c r="U1517" i="3"/>
  <c r="V367" i="3"/>
  <c r="U367" i="3"/>
  <c r="V1514" i="3"/>
  <c r="U1514" i="3"/>
  <c r="V1239" i="3"/>
  <c r="U1239" i="3"/>
  <c r="V861" i="3"/>
  <c r="U861" i="3"/>
  <c r="V1403" i="3"/>
  <c r="U1403" i="3"/>
  <c r="V358" i="3"/>
  <c r="U358" i="3"/>
  <c r="V214" i="3"/>
  <c r="U214" i="3"/>
  <c r="V1490" i="3"/>
  <c r="U1490" i="3"/>
  <c r="G1354" i="3"/>
  <c r="V1354" i="3"/>
  <c r="U1354" i="3"/>
  <c r="V1212" i="3"/>
  <c r="U1212" i="3"/>
  <c r="V242" i="3"/>
  <c r="U242" i="3"/>
  <c r="V356" i="3"/>
  <c r="U356" i="3"/>
  <c r="V1335" i="3"/>
  <c r="U1335" i="3"/>
  <c r="V82" i="3"/>
  <c r="U82" i="3"/>
  <c r="V172" i="3"/>
  <c r="U172" i="3"/>
  <c r="V467" i="3"/>
  <c r="U467" i="3"/>
  <c r="V1192" i="3"/>
  <c r="U1192" i="3"/>
  <c r="V462" i="3"/>
  <c r="U462" i="3"/>
  <c r="V1211" i="3"/>
  <c r="U1211" i="3"/>
  <c r="V889" i="3"/>
  <c r="U889" i="3"/>
  <c r="V1308" i="3"/>
  <c r="U1308" i="3"/>
  <c r="V1430" i="3"/>
  <c r="U1430" i="3"/>
  <c r="V1513" i="3"/>
  <c r="U1513" i="3"/>
  <c r="V1402" i="3"/>
  <c r="U1402" i="3"/>
  <c r="V679" i="3"/>
  <c r="U679" i="3"/>
  <c r="V970" i="3"/>
  <c r="U970" i="3"/>
  <c r="V1472" i="3"/>
  <c r="U1472" i="3"/>
  <c r="V580" i="3"/>
  <c r="U580" i="3"/>
  <c r="V1065" i="3"/>
  <c r="U1065" i="3"/>
  <c r="V66" i="3"/>
  <c r="U66" i="3"/>
  <c r="V239" i="3"/>
  <c r="U239" i="3"/>
  <c r="G1165" i="3"/>
  <c r="V1165" i="3"/>
  <c r="U1165" i="3"/>
  <c r="V233" i="3"/>
  <c r="U233" i="3"/>
  <c r="G979" i="3"/>
  <c r="V979" i="3"/>
  <c r="U979" i="3"/>
  <c r="V1112" i="3"/>
  <c r="U1112" i="3"/>
  <c r="V692" i="3"/>
  <c r="U692" i="3"/>
  <c r="V438" i="3"/>
  <c r="U438" i="3"/>
  <c r="V246" i="3"/>
  <c r="U246" i="3"/>
  <c r="G1061" i="3"/>
  <c r="V1061" i="3"/>
  <c r="U1061" i="3"/>
  <c r="V972" i="3"/>
  <c r="U972" i="3"/>
  <c r="V72" i="3"/>
  <c r="U72" i="3"/>
  <c r="G1143" i="3"/>
  <c r="V1143" i="3"/>
  <c r="U1143" i="3"/>
  <c r="G1166" i="3"/>
  <c r="V1166" i="3"/>
  <c r="U1166" i="3"/>
  <c r="V1292" i="3"/>
  <c r="U1292" i="3"/>
  <c r="V1096" i="3"/>
  <c r="U1096" i="3"/>
  <c r="V97" i="3"/>
  <c r="U97" i="3"/>
  <c r="V1233" i="3"/>
  <c r="U1233" i="3"/>
  <c r="V750" i="3"/>
  <c r="U750" i="3"/>
  <c r="V545" i="3"/>
  <c r="U545" i="3"/>
  <c r="V1348" i="3"/>
  <c r="U1348" i="3"/>
  <c r="V777" i="3"/>
  <c r="U777" i="3"/>
  <c r="V261" i="3"/>
  <c r="U261" i="3"/>
  <c r="V1277" i="3"/>
  <c r="U1277" i="3"/>
  <c r="V647" i="3"/>
  <c r="U647" i="3"/>
  <c r="V571" i="3"/>
  <c r="U571" i="3"/>
  <c r="V1023" i="3"/>
  <c r="U1023" i="3"/>
  <c r="V836" i="3"/>
  <c r="U836" i="3"/>
  <c r="V778" i="3"/>
  <c r="U778" i="3"/>
  <c r="G1026" i="3"/>
  <c r="V1026" i="3"/>
  <c r="U1026" i="3"/>
  <c r="V237" i="3"/>
  <c r="U237" i="3"/>
  <c r="V1104" i="3"/>
  <c r="U1104" i="3"/>
  <c r="V1031" i="3"/>
  <c r="U1031" i="3"/>
  <c r="G1122" i="3"/>
  <c r="V1122" i="3"/>
  <c r="U1122" i="3"/>
  <c r="V548" i="3"/>
  <c r="U548" i="3"/>
  <c r="V1231" i="3"/>
  <c r="U1231" i="3"/>
  <c r="V1521" i="3"/>
  <c r="U1521" i="3"/>
  <c r="V1481" i="3"/>
  <c r="U1481" i="3"/>
  <c r="V1097" i="3"/>
  <c r="U1097" i="3"/>
  <c r="V1035" i="3"/>
  <c r="U1035" i="3"/>
  <c r="V968" i="3"/>
  <c r="U968" i="3"/>
  <c r="V936" i="3"/>
  <c r="U936" i="3"/>
  <c r="V1029" i="3"/>
  <c r="U1029" i="3"/>
  <c r="V1007" i="3"/>
  <c r="U1007" i="3"/>
  <c r="V988" i="3"/>
  <c r="U988" i="3"/>
  <c r="V974" i="3"/>
  <c r="U974" i="3"/>
  <c r="V785" i="3"/>
  <c r="U785" i="3"/>
  <c r="V944" i="3"/>
  <c r="U944" i="3"/>
  <c r="V929" i="3"/>
  <c r="U929" i="3"/>
  <c r="V912" i="3"/>
  <c r="U912" i="3"/>
  <c r="V901" i="3"/>
  <c r="U901" i="3"/>
  <c r="V892" i="3"/>
  <c r="U892" i="3"/>
  <c r="V878" i="3"/>
  <c r="U878" i="3"/>
  <c r="V863" i="3"/>
  <c r="U863" i="3"/>
  <c r="V849" i="3"/>
  <c r="U849" i="3"/>
  <c r="V828" i="3"/>
  <c r="U828" i="3"/>
  <c r="V806" i="3"/>
  <c r="U806" i="3"/>
  <c r="V47" i="3"/>
  <c r="U47" i="3"/>
  <c r="V755" i="3"/>
  <c r="U755" i="3"/>
  <c r="V736" i="3"/>
  <c r="U736" i="3"/>
  <c r="V702" i="3"/>
  <c r="U702" i="3"/>
  <c r="V668" i="3"/>
  <c r="U668" i="3"/>
  <c r="V410" i="3"/>
  <c r="U410" i="3"/>
  <c r="V546" i="3"/>
  <c r="U546" i="3"/>
  <c r="V625" i="3"/>
  <c r="U625" i="3"/>
  <c r="V613" i="3"/>
  <c r="U613" i="3"/>
  <c r="V213" i="3"/>
  <c r="U213" i="3"/>
  <c r="V353" i="3"/>
  <c r="U353" i="3"/>
  <c r="V266" i="3"/>
  <c r="U266" i="3"/>
  <c r="V43" i="3"/>
  <c r="U43" i="3"/>
  <c r="V71" i="3"/>
  <c r="U71" i="3"/>
  <c r="V1480" i="3"/>
  <c r="U1480" i="3"/>
  <c r="V581" i="3"/>
  <c r="U581" i="3"/>
  <c r="V586" i="3"/>
  <c r="U586" i="3"/>
  <c r="V363" i="3"/>
  <c r="U363" i="3"/>
  <c r="V90" i="3"/>
  <c r="U90" i="3"/>
  <c r="V1435" i="3"/>
  <c r="U1435" i="3"/>
  <c r="V94" i="3"/>
  <c r="U94" i="3"/>
  <c r="V561" i="3"/>
  <c r="U561" i="3"/>
  <c r="V602" i="3"/>
  <c r="U602" i="3"/>
  <c r="V150" i="3"/>
  <c r="U150" i="3"/>
  <c r="V21" i="3"/>
  <c r="U21" i="3"/>
  <c r="V1356" i="3"/>
  <c r="U1356" i="3"/>
  <c r="V1179" i="3"/>
  <c r="U1179" i="3"/>
  <c r="V1371" i="3"/>
  <c r="U1371" i="3"/>
  <c r="V436" i="3"/>
  <c r="U436" i="3"/>
  <c r="V244" i="3"/>
  <c r="U244" i="3"/>
  <c r="V258" i="3"/>
  <c r="U258" i="3"/>
  <c r="V1408" i="3"/>
  <c r="U1408" i="3"/>
  <c r="V1190" i="3"/>
  <c r="U1190" i="3"/>
  <c r="V265" i="3"/>
  <c r="U265" i="3"/>
  <c r="V190" i="3"/>
  <c r="U190" i="3"/>
  <c r="V81" i="3"/>
  <c r="U81" i="3"/>
  <c r="V1528" i="3"/>
  <c r="U1528" i="3"/>
  <c r="V1508" i="3"/>
  <c r="U1508" i="3"/>
  <c r="V1460" i="3"/>
  <c r="U1460" i="3"/>
  <c r="V1413" i="3"/>
  <c r="U1413" i="3"/>
  <c r="V1336" i="3"/>
  <c r="U1336" i="3"/>
  <c r="V1279" i="3"/>
  <c r="U1279" i="3"/>
  <c r="G355" i="3"/>
  <c r="V355" i="3"/>
  <c r="U355" i="3"/>
  <c r="V928" i="3"/>
  <c r="U928" i="3"/>
  <c r="V763" i="3"/>
  <c r="U763" i="3"/>
  <c r="V366" i="3"/>
  <c r="U366" i="3"/>
  <c r="V291" i="3"/>
  <c r="U291" i="3"/>
  <c r="V1262" i="3"/>
  <c r="U1262" i="3"/>
  <c r="V373" i="3"/>
  <c r="U373" i="3"/>
  <c r="V501" i="3"/>
  <c r="U501" i="3"/>
  <c r="V1464" i="3"/>
  <c r="U1464" i="3"/>
  <c r="V1025" i="3"/>
  <c r="U1025" i="3"/>
  <c r="V1230" i="3"/>
  <c r="U1230" i="3"/>
  <c r="V1529" i="3"/>
  <c r="U1529" i="3"/>
  <c r="V1471" i="3"/>
  <c r="U1471" i="3"/>
  <c r="V1426" i="3"/>
  <c r="U1426" i="3"/>
  <c r="V1390" i="3"/>
  <c r="U1390" i="3"/>
  <c r="V1330" i="3"/>
  <c r="U1330" i="3"/>
  <c r="V577" i="3"/>
  <c r="U577" i="3"/>
  <c r="V793" i="3"/>
  <c r="U793" i="3"/>
  <c r="V279" i="3"/>
  <c r="U279" i="3"/>
  <c r="V1208" i="3"/>
  <c r="U1208" i="3"/>
  <c r="V1196" i="3"/>
  <c r="U1196" i="3"/>
  <c r="V225" i="3"/>
  <c r="U225" i="3"/>
  <c r="V1184" i="3"/>
  <c r="U1184" i="3"/>
  <c r="V1424" i="3"/>
  <c r="U1424" i="3"/>
  <c r="V1289" i="3"/>
  <c r="U1289" i="3"/>
  <c r="V1385" i="3"/>
  <c r="U1385" i="3"/>
  <c r="V838" i="3"/>
  <c r="U838" i="3"/>
  <c r="V336" i="3"/>
  <c r="U336" i="3"/>
  <c r="V1032" i="3"/>
  <c r="U1032" i="3"/>
  <c r="V119" i="3"/>
  <c r="U119" i="3"/>
  <c r="V56" i="3"/>
  <c r="U56" i="3"/>
  <c r="G1127" i="3"/>
  <c r="V1127" i="3"/>
  <c r="U1127" i="3"/>
  <c r="V1363" i="3"/>
  <c r="U1363" i="3"/>
  <c r="V1414" i="3"/>
  <c r="U1414" i="3"/>
  <c r="V1226" i="3"/>
  <c r="U1226" i="3"/>
  <c r="V802" i="3"/>
  <c r="U802" i="3"/>
  <c r="V1217" i="3"/>
  <c r="U1217" i="3"/>
  <c r="BA252" i="2"/>
  <c r="BJ226" i="1"/>
  <c r="BJ183" i="1"/>
  <c r="BA326" i="2"/>
  <c r="BJ451" i="1"/>
  <c r="BJ434" i="1"/>
  <c r="BB311" i="2"/>
  <c r="BB566" i="2"/>
  <c r="AZ720" i="2"/>
  <c r="BI288" i="1"/>
  <c r="BI221" i="1"/>
  <c r="BI175" i="1"/>
  <c r="BI168" i="1"/>
  <c r="BI449" i="1"/>
  <c r="BI118" i="1"/>
  <c r="AZ310" i="2"/>
  <c r="AZ621" i="2"/>
  <c r="AZ655" i="2"/>
  <c r="AZ22" i="2"/>
  <c r="BH145" i="1"/>
  <c r="BH331" i="1"/>
  <c r="BH324" i="1"/>
  <c r="BH56" i="1"/>
  <c r="AY553" i="2"/>
  <c r="AY127" i="2"/>
  <c r="AY69" i="2"/>
  <c r="AY536" i="2"/>
  <c r="BH266" i="1"/>
  <c r="AY456" i="2"/>
  <c r="AY388" i="2"/>
  <c r="AY198" i="2"/>
  <c r="AY20" i="2"/>
  <c r="AY144" i="2"/>
  <c r="AY506" i="2"/>
  <c r="BH432" i="1"/>
  <c r="AY60" i="2"/>
  <c r="V1283" i="3"/>
  <c r="U1283" i="3"/>
  <c r="V85" i="3"/>
  <c r="U85" i="3"/>
  <c r="V1476" i="3"/>
  <c r="U1476" i="3"/>
  <c r="V384" i="3"/>
  <c r="U384" i="3"/>
  <c r="V420" i="3"/>
  <c r="U420" i="3"/>
  <c r="V105" i="3"/>
  <c r="U105" i="3"/>
  <c r="V1437" i="3"/>
  <c r="U1437" i="3"/>
  <c r="V1419" i="3"/>
  <c r="U1419" i="3"/>
  <c r="V397" i="3"/>
  <c r="U397" i="3"/>
  <c r="V630" i="3"/>
  <c r="U630" i="3"/>
  <c r="V1167" i="3"/>
  <c r="U1167" i="3"/>
  <c r="G1108" i="3"/>
  <c r="V1108" i="3"/>
  <c r="U1108" i="3"/>
  <c r="V1392" i="3"/>
  <c r="U1392" i="3"/>
  <c r="V917" i="3"/>
  <c r="U917" i="3"/>
  <c r="V524" i="3"/>
  <c r="U524" i="3"/>
  <c r="G1161" i="3"/>
  <c r="V1161" i="3"/>
  <c r="U1161" i="3"/>
  <c r="V685" i="3"/>
  <c r="U685" i="3"/>
  <c r="G779" i="3"/>
  <c r="V779" i="3"/>
  <c r="U779" i="3"/>
  <c r="V743" i="3"/>
  <c r="U743" i="3"/>
  <c r="V646" i="3"/>
  <c r="U646" i="3"/>
  <c r="V1444" i="3"/>
  <c r="U1444" i="3"/>
  <c r="V1497" i="3"/>
  <c r="U1497" i="3"/>
  <c r="V342" i="3"/>
  <c r="U342" i="3"/>
  <c r="V1162" i="3"/>
  <c r="U1162" i="3"/>
  <c r="V464" i="3"/>
  <c r="U464" i="3"/>
  <c r="V798" i="3"/>
  <c r="U798" i="3"/>
  <c r="V431" i="3"/>
  <c r="U431" i="3"/>
  <c r="V477" i="3"/>
  <c r="U477" i="3"/>
  <c r="V80" i="3"/>
  <c r="U80" i="3"/>
  <c r="V135" i="3"/>
  <c r="U135" i="3"/>
  <c r="V1189" i="3"/>
  <c r="U1189" i="3"/>
  <c r="V1313" i="3"/>
  <c r="U1313" i="3"/>
  <c r="V633" i="3"/>
  <c r="U633" i="3"/>
  <c r="V465" i="3"/>
  <c r="U465" i="3"/>
  <c r="G1182" i="3"/>
  <c r="V1182" i="3"/>
  <c r="U1182" i="3"/>
  <c r="V821" i="3"/>
  <c r="U821" i="3"/>
  <c r="V964" i="3"/>
  <c r="U964" i="3"/>
  <c r="V1089" i="3"/>
  <c r="U1089" i="3"/>
  <c r="V1250" i="3"/>
  <c r="U1250" i="3"/>
  <c r="V1267" i="3"/>
  <c r="U1267" i="3"/>
  <c r="G1132" i="3"/>
  <c r="V1132" i="3"/>
  <c r="U1132" i="3"/>
  <c r="V483" i="3"/>
  <c r="U483" i="3"/>
  <c r="V1218" i="3"/>
  <c r="U1218" i="3"/>
  <c r="V749" i="3"/>
  <c r="U749" i="3"/>
  <c r="V290" i="3"/>
  <c r="U290" i="3"/>
  <c r="V1043" i="3"/>
  <c r="U1043" i="3"/>
  <c r="V1359" i="3"/>
  <c r="U1359" i="3"/>
  <c r="G1150" i="3"/>
  <c r="V1150" i="3"/>
  <c r="U1150" i="3"/>
  <c r="V698" i="3"/>
  <c r="U698" i="3"/>
  <c r="V215" i="3"/>
  <c r="U215" i="3"/>
  <c r="V107" i="3"/>
  <c r="U107" i="3"/>
  <c r="V996" i="3"/>
  <c r="U996" i="3"/>
  <c r="V83" i="3"/>
  <c r="U83" i="3"/>
  <c r="G1152" i="3"/>
  <c r="V1152" i="3"/>
  <c r="U1152" i="3"/>
  <c r="V1033" i="3"/>
  <c r="U1033" i="3"/>
  <c r="V965" i="3"/>
  <c r="U965" i="3"/>
  <c r="V931" i="3"/>
  <c r="U931" i="3"/>
  <c r="V871" i="3"/>
  <c r="U871" i="3"/>
  <c r="V560" i="3"/>
  <c r="U560" i="3"/>
  <c r="V987" i="3"/>
  <c r="U987" i="3"/>
  <c r="V801" i="3"/>
  <c r="U801" i="3"/>
  <c r="V954" i="3"/>
  <c r="U954" i="3"/>
  <c r="V773" i="3"/>
  <c r="U773" i="3"/>
  <c r="V742" i="3"/>
  <c r="U742" i="3"/>
  <c r="V911" i="3"/>
  <c r="U911" i="3"/>
  <c r="V676" i="3"/>
  <c r="U676" i="3"/>
  <c r="V891" i="3"/>
  <c r="U891" i="3"/>
  <c r="V877" i="3"/>
  <c r="U877" i="3"/>
  <c r="V407" i="3"/>
  <c r="U407" i="3"/>
  <c r="V846" i="3"/>
  <c r="U846" i="3"/>
  <c r="V826" i="3"/>
  <c r="U826" i="3"/>
  <c r="V794" i="3"/>
  <c r="U794" i="3"/>
  <c r="V604" i="3"/>
  <c r="U604" i="3"/>
  <c r="V752" i="3"/>
  <c r="U752" i="3"/>
  <c r="G732" i="3"/>
  <c r="V732" i="3"/>
  <c r="U732" i="3"/>
  <c r="V694" i="3"/>
  <c r="U694" i="3"/>
  <c r="V667" i="3"/>
  <c r="U667" i="3"/>
  <c r="V576" i="3"/>
  <c r="U576" i="3"/>
  <c r="V409" i="3"/>
  <c r="U409" i="3"/>
  <c r="V623" i="3"/>
  <c r="U623" i="3"/>
  <c r="V296" i="3"/>
  <c r="U296" i="3"/>
  <c r="V252" i="3"/>
  <c r="U252" i="3"/>
  <c r="V48" i="3"/>
  <c r="U48" i="3"/>
  <c r="V206" i="3"/>
  <c r="U206" i="3"/>
  <c r="V211" i="3"/>
  <c r="U211" i="3"/>
  <c r="V592" i="3"/>
  <c r="U592" i="3"/>
  <c r="V1429" i="3"/>
  <c r="U1429" i="3"/>
  <c r="V479" i="3"/>
  <c r="U479" i="3"/>
  <c r="V923" i="3"/>
  <c r="U923" i="3"/>
  <c r="V634" i="3"/>
  <c r="U634" i="3"/>
  <c r="V124" i="3"/>
  <c r="U124" i="3"/>
  <c r="V1427" i="3"/>
  <c r="U1427" i="3"/>
  <c r="V408" i="3"/>
  <c r="U408" i="3"/>
  <c r="V648" i="3"/>
  <c r="U648" i="3"/>
  <c r="V111" i="3"/>
  <c r="U111" i="3"/>
  <c r="V168" i="3"/>
  <c r="U168" i="3"/>
  <c r="V1477" i="3"/>
  <c r="U1477" i="3"/>
  <c r="V1342" i="3"/>
  <c r="U1342" i="3"/>
  <c r="V1156" i="3"/>
  <c r="U1156" i="3"/>
  <c r="V817" i="3"/>
  <c r="U817" i="3"/>
  <c r="V640" i="3"/>
  <c r="U640" i="3"/>
  <c r="V360" i="3"/>
  <c r="U360" i="3"/>
  <c r="V123" i="3"/>
  <c r="U123" i="3"/>
  <c r="V1377" i="3"/>
  <c r="U1377" i="3"/>
  <c r="V1181" i="3"/>
  <c r="U1181" i="3"/>
  <c r="V186" i="3"/>
  <c r="U186" i="3"/>
  <c r="V299" i="3"/>
  <c r="U299" i="3"/>
  <c r="V36" i="3"/>
  <c r="U36" i="3"/>
  <c r="V1527" i="3"/>
  <c r="U1527" i="3"/>
  <c r="V1504" i="3"/>
  <c r="U1504" i="3"/>
  <c r="V1458" i="3"/>
  <c r="U1458" i="3"/>
  <c r="V1404" i="3"/>
  <c r="U1404" i="3"/>
  <c r="V1325" i="3"/>
  <c r="U1325" i="3"/>
  <c r="V1278" i="3"/>
  <c r="U1278" i="3"/>
  <c r="V1168" i="3"/>
  <c r="U1168" i="3"/>
  <c r="V918" i="3"/>
  <c r="U918" i="3"/>
  <c r="V463" i="3"/>
  <c r="U463" i="3"/>
  <c r="V343" i="3"/>
  <c r="U343" i="3"/>
  <c r="V115" i="3"/>
  <c r="U115" i="3"/>
  <c r="V1240" i="3"/>
  <c r="U1240" i="3"/>
  <c r="V528" i="3"/>
  <c r="U528" i="3"/>
  <c r="V348" i="3"/>
  <c r="U348" i="3"/>
  <c r="V1393" i="3"/>
  <c r="U1393" i="3"/>
  <c r="V993" i="3"/>
  <c r="U993" i="3"/>
  <c r="V433" i="3"/>
  <c r="U433" i="3"/>
  <c r="V1516" i="3"/>
  <c r="U1516" i="3"/>
  <c r="G1456" i="3"/>
  <c r="V1456" i="3"/>
  <c r="U1456" i="3"/>
  <c r="V1425" i="3"/>
  <c r="U1425" i="3"/>
  <c r="V1379" i="3"/>
  <c r="U1379" i="3"/>
  <c r="V1326" i="3"/>
  <c r="U1326" i="3"/>
  <c r="V1149" i="3"/>
  <c r="U1149" i="3"/>
  <c r="V765" i="3"/>
  <c r="U765" i="3"/>
  <c r="V399" i="3"/>
  <c r="U399" i="3"/>
  <c r="V1204" i="3"/>
  <c r="U1204" i="3"/>
  <c r="V1198" i="3"/>
  <c r="U1198" i="3"/>
  <c r="V34" i="3"/>
  <c r="U34" i="3"/>
  <c r="V1185" i="3"/>
  <c r="U1185" i="3"/>
  <c r="V1462" i="3"/>
  <c r="U1462" i="3"/>
  <c r="V1316" i="3"/>
  <c r="U1316" i="3"/>
  <c r="V487" i="3"/>
  <c r="U487" i="3"/>
  <c r="V374" i="3"/>
  <c r="U374" i="3"/>
  <c r="V1351" i="3"/>
  <c r="U1351" i="3"/>
  <c r="V289" i="3"/>
  <c r="U289" i="3"/>
  <c r="V504" i="3"/>
  <c r="U504" i="3"/>
  <c r="V217" i="3"/>
  <c r="U217" i="3"/>
  <c r="V829" i="3"/>
  <c r="U829" i="3"/>
  <c r="V675" i="3"/>
  <c r="U675" i="3"/>
  <c r="V1225" i="3"/>
  <c r="U1225" i="3"/>
  <c r="V1449" i="3"/>
  <c r="U1449" i="3"/>
  <c r="V350" i="3"/>
  <c r="U350" i="3"/>
  <c r="BA496" i="2"/>
  <c r="BA586" i="2"/>
  <c r="BJ172" i="1"/>
  <c r="BA485" i="2"/>
  <c r="BJ331" i="1"/>
  <c r="BJ177" i="1"/>
  <c r="BJ144" i="1"/>
  <c r="BA146" i="2"/>
  <c r="BA515" i="2"/>
  <c r="BJ51" i="1"/>
  <c r="BA47" i="2"/>
  <c r="BA746" i="2"/>
  <c r="BA5" i="2"/>
  <c r="BB638" i="2"/>
  <c r="BB221" i="2"/>
  <c r="BB131" i="2"/>
  <c r="BK398" i="1"/>
  <c r="BB571" i="2"/>
  <c r="BB602" i="2"/>
  <c r="BB186" i="2"/>
  <c r="BB192" i="2"/>
  <c r="BB445" i="2"/>
  <c r="BK266" i="1"/>
  <c r="BK224" i="1"/>
  <c r="BB734" i="2"/>
  <c r="BB334" i="2"/>
  <c r="BB78" i="2"/>
  <c r="BB95" i="2"/>
  <c r="BK42" i="1"/>
  <c r="BK74" i="1"/>
  <c r="BB239" i="2"/>
  <c r="BB723" i="2"/>
  <c r="BB677" i="2"/>
  <c r="AZ518" i="2"/>
  <c r="AZ702" i="2"/>
  <c r="AZ470" i="2"/>
  <c r="AZ540" i="2"/>
  <c r="BI179" i="1"/>
  <c r="AZ714" i="2"/>
  <c r="AZ501" i="2"/>
  <c r="AZ184" i="2"/>
  <c r="AZ230" i="2"/>
  <c r="AZ11" i="2"/>
  <c r="AY425" i="2"/>
  <c r="AY492" i="2"/>
  <c r="BH387" i="1"/>
  <c r="AY642" i="2"/>
  <c r="AY686" i="2"/>
  <c r="AY324" i="2"/>
  <c r="AY709" i="2"/>
  <c r="AY424" i="2"/>
  <c r="AY259" i="2"/>
  <c r="AY59" i="2"/>
  <c r="G1109" i="3"/>
  <c r="V1109" i="3"/>
  <c r="U1109" i="3"/>
  <c r="V1062" i="3"/>
  <c r="U1062" i="3"/>
  <c r="V842" i="3"/>
  <c r="U842" i="3"/>
  <c r="V800" i="3"/>
  <c r="U800" i="3"/>
  <c r="V935" i="3"/>
  <c r="U935" i="3"/>
  <c r="V910" i="3"/>
  <c r="U910" i="3"/>
  <c r="V898" i="3"/>
  <c r="U898" i="3"/>
  <c r="V533" i="3"/>
  <c r="U533" i="3"/>
  <c r="V862" i="3"/>
  <c r="U862" i="3"/>
  <c r="V388" i="3"/>
  <c r="U388" i="3"/>
  <c r="V822" i="3"/>
  <c r="U822" i="3"/>
  <c r="V84" i="3"/>
  <c r="U84" i="3"/>
  <c r="V775" i="3"/>
  <c r="U775" i="3"/>
  <c r="G607" i="3"/>
  <c r="V607" i="3"/>
  <c r="U607" i="3"/>
  <c r="V725" i="3"/>
  <c r="U725" i="3"/>
  <c r="V599" i="3"/>
  <c r="U599" i="3"/>
  <c r="G1428" i="3"/>
  <c r="V1428" i="3"/>
  <c r="U1428" i="3"/>
  <c r="V654" i="3"/>
  <c r="U654" i="3"/>
  <c r="V635" i="3"/>
  <c r="U635" i="3"/>
  <c r="V547" i="3"/>
  <c r="U547" i="3"/>
  <c r="V226" i="3"/>
  <c r="U226" i="3"/>
  <c r="V152" i="3"/>
  <c r="U152" i="3"/>
  <c r="V706" i="3"/>
  <c r="U706" i="3"/>
  <c r="V400" i="3"/>
  <c r="U400" i="3"/>
  <c r="V1298" i="3"/>
  <c r="U1298" i="3"/>
  <c r="V110" i="3"/>
  <c r="U110" i="3"/>
  <c r="V1415" i="3"/>
  <c r="U1415" i="3"/>
  <c r="V687" i="3"/>
  <c r="U687" i="3"/>
  <c r="V385" i="3"/>
  <c r="U385" i="3"/>
  <c r="V132" i="3"/>
  <c r="U132" i="3"/>
  <c r="V27" i="3"/>
  <c r="U27" i="3"/>
  <c r="V1384" i="3"/>
  <c r="U1384" i="3"/>
  <c r="V864" i="3"/>
  <c r="U864" i="3"/>
  <c r="V308" i="3"/>
  <c r="U308" i="3"/>
  <c r="V146" i="3"/>
  <c r="U146" i="3"/>
  <c r="V1486" i="3"/>
  <c r="U1486" i="3"/>
  <c r="V1421" i="3"/>
  <c r="U1421" i="3"/>
  <c r="V1302" i="3"/>
  <c r="U1302" i="3"/>
  <c r="V1153" i="3"/>
  <c r="U1153" i="3"/>
  <c r="V297" i="3"/>
  <c r="U297" i="3"/>
  <c r="V151" i="3"/>
  <c r="U151" i="3"/>
  <c r="V309" i="3"/>
  <c r="U309" i="3"/>
  <c r="V28" i="3"/>
  <c r="U28" i="3"/>
  <c r="V1324" i="3"/>
  <c r="U1324" i="3"/>
  <c r="V1116" i="3"/>
  <c r="U1116" i="3"/>
  <c r="V304" i="3"/>
  <c r="U304" i="3"/>
  <c r="V334" i="3"/>
  <c r="U334" i="3"/>
  <c r="V12" i="3"/>
  <c r="U12" i="3"/>
  <c r="V1520" i="3"/>
  <c r="U1520" i="3"/>
  <c r="V1503" i="3"/>
  <c r="U1503" i="3"/>
  <c r="V1455" i="3"/>
  <c r="U1455" i="3"/>
  <c r="V1387" i="3"/>
  <c r="U1387" i="3"/>
  <c r="V1322" i="3"/>
  <c r="U1322" i="3"/>
  <c r="V1253" i="3"/>
  <c r="U1253" i="3"/>
  <c r="V449" i="3"/>
  <c r="U449" i="3"/>
  <c r="V908" i="3"/>
  <c r="U908" i="3"/>
  <c r="V188" i="3"/>
  <c r="U188" i="3"/>
  <c r="V517" i="3"/>
  <c r="U517" i="3"/>
  <c r="V157" i="3"/>
  <c r="U157" i="3"/>
  <c r="V1207" i="3"/>
  <c r="U1207" i="3"/>
  <c r="V346" i="3"/>
  <c r="U346" i="3"/>
  <c r="V328" i="3"/>
  <c r="U328" i="3"/>
  <c r="V535" i="3"/>
  <c r="U535" i="3"/>
  <c r="V398" i="3"/>
  <c r="U398" i="3"/>
  <c r="V92" i="3"/>
  <c r="U92" i="3"/>
  <c r="V1511" i="3"/>
  <c r="U1511" i="3"/>
  <c r="V1452" i="3"/>
  <c r="U1452" i="3"/>
  <c r="V1243" i="3"/>
  <c r="U1243" i="3"/>
  <c r="V1376" i="3"/>
  <c r="U1376" i="3"/>
  <c r="V1321" i="3"/>
  <c r="U1321" i="3"/>
  <c r="V227" i="3"/>
  <c r="U227" i="3"/>
  <c r="V416" i="3"/>
  <c r="U416" i="3"/>
  <c r="V87" i="3"/>
  <c r="U87" i="3"/>
  <c r="V313" i="3"/>
  <c r="U313" i="3"/>
  <c r="V394" i="3"/>
  <c r="U394" i="3"/>
  <c r="V13" i="3"/>
  <c r="U13" i="3"/>
  <c r="V41" i="3"/>
  <c r="U41" i="3"/>
  <c r="V559" i="3"/>
  <c r="U559" i="3"/>
  <c r="V1411" i="3"/>
  <c r="U1411" i="3"/>
  <c r="V704" i="3"/>
  <c r="U704" i="3"/>
  <c r="V64" i="3"/>
  <c r="U64" i="3"/>
  <c r="V583" i="3"/>
  <c r="U583" i="3"/>
  <c r="V270" i="3"/>
  <c r="U270" i="3"/>
  <c r="V620" i="3"/>
  <c r="U620" i="3"/>
  <c r="V282" i="3"/>
  <c r="U282" i="3"/>
  <c r="V414" i="3"/>
  <c r="U414" i="3"/>
  <c r="V415" i="3"/>
  <c r="U415" i="3"/>
  <c r="V1141" i="3"/>
  <c r="U1141" i="3"/>
  <c r="V1489" i="3"/>
  <c r="U1489" i="3"/>
  <c r="V960" i="3"/>
  <c r="U960" i="3"/>
  <c r="BA402" i="2"/>
  <c r="BJ388" i="1"/>
  <c r="BA414" i="2"/>
  <c r="BJ128" i="1"/>
  <c r="BJ233" i="1"/>
  <c r="BB720" i="2"/>
  <c r="BK159" i="1"/>
  <c r="AY488" i="2"/>
  <c r="AY571" i="2"/>
  <c r="G1145" i="3"/>
  <c r="V1145" i="3"/>
  <c r="U1145" i="3"/>
  <c r="V1087" i="3"/>
  <c r="U1087" i="3"/>
  <c r="G1016" i="3"/>
  <c r="V1016" i="3"/>
  <c r="U1016" i="3"/>
  <c r="V985" i="3"/>
  <c r="U985" i="3"/>
  <c r="V953" i="3"/>
  <c r="U953" i="3"/>
  <c r="V925" i="3"/>
  <c r="U925" i="3"/>
  <c r="V887" i="3"/>
  <c r="U887" i="3"/>
  <c r="V1451" i="3"/>
  <c r="U1451" i="3"/>
  <c r="V565" i="3"/>
  <c r="U565" i="3"/>
  <c r="V658" i="3"/>
  <c r="U658" i="3"/>
  <c r="V75" i="3"/>
  <c r="U75" i="3"/>
  <c r="V760" i="3"/>
  <c r="U760" i="3"/>
  <c r="V1361" i="3"/>
  <c r="U1361" i="3"/>
  <c r="V1268" i="3"/>
  <c r="U1268" i="3"/>
  <c r="V1454" i="3"/>
  <c r="U1454" i="3"/>
  <c r="V1445" i="3"/>
  <c r="U1445" i="3"/>
  <c r="V1396" i="3"/>
  <c r="U1396" i="3"/>
  <c r="G1113" i="3"/>
  <c r="V1113" i="3"/>
  <c r="U1113" i="3"/>
  <c r="V361" i="3"/>
  <c r="U361" i="3"/>
  <c r="V1219" i="3"/>
  <c r="U1219" i="3"/>
  <c r="V1440" i="3"/>
  <c r="U1440" i="3"/>
  <c r="V335" i="3"/>
  <c r="U335" i="3"/>
  <c r="U1090" i="3"/>
  <c r="V1090" i="3"/>
  <c r="V1075" i="3"/>
  <c r="U1075" i="3"/>
  <c r="V1524" i="3"/>
  <c r="U1524" i="3"/>
  <c r="V542" i="3"/>
  <c r="U542" i="3"/>
  <c r="G962" i="3"/>
  <c r="V962" i="3"/>
  <c r="U962" i="3"/>
  <c r="V1083" i="3"/>
  <c r="U1083" i="3"/>
  <c r="V264" i="3"/>
  <c r="U264" i="3"/>
  <c r="V153" i="3"/>
  <c r="U153" i="3"/>
  <c r="V1434" i="3"/>
  <c r="U1434" i="3"/>
  <c r="V1407" i="3"/>
  <c r="U1407" i="3"/>
  <c r="V515" i="3"/>
  <c r="U515" i="3"/>
  <c r="V163" i="3"/>
  <c r="U163" i="3"/>
  <c r="V1039" i="3"/>
  <c r="U1039" i="3"/>
  <c r="V1496" i="3"/>
  <c r="U1496" i="3"/>
  <c r="V1186" i="3"/>
  <c r="U1186" i="3"/>
  <c r="V776" i="3"/>
  <c r="U776" i="3"/>
  <c r="V424" i="3"/>
  <c r="U424" i="3"/>
  <c r="V318" i="3"/>
  <c r="U318" i="3"/>
  <c r="V1004" i="3"/>
  <c r="U1004" i="3"/>
  <c r="G426" i="3"/>
  <c r="V426" i="3"/>
  <c r="U426" i="3"/>
  <c r="G682" i="3"/>
  <c r="V682" i="3"/>
  <c r="U682" i="3"/>
  <c r="V839" i="3"/>
  <c r="U839" i="3"/>
  <c r="V593" i="3"/>
  <c r="U593" i="3"/>
  <c r="V1365" i="3"/>
  <c r="U1365" i="3"/>
  <c r="V1512" i="3"/>
  <c r="U1512" i="3"/>
  <c r="V18" i="3"/>
  <c r="U18" i="3"/>
  <c r="V626" i="3"/>
  <c r="U626" i="3"/>
  <c r="V701" i="3"/>
  <c r="U701" i="3"/>
  <c r="V1388" i="3"/>
  <c r="U1388" i="3"/>
  <c r="V1375" i="3"/>
  <c r="U1375" i="3"/>
  <c r="V737" i="3"/>
  <c r="U737" i="3"/>
  <c r="V1008" i="3"/>
  <c r="U1008" i="3"/>
  <c r="G1135" i="3"/>
  <c r="V1135" i="3"/>
  <c r="U1135" i="3"/>
  <c r="V770" i="3"/>
  <c r="U770" i="3"/>
  <c r="V597" i="3"/>
  <c r="U597" i="3"/>
  <c r="V1042" i="3"/>
  <c r="U1042" i="3"/>
  <c r="V1051" i="3"/>
  <c r="U1051" i="3"/>
  <c r="V691" i="3"/>
  <c r="U691" i="3"/>
  <c r="V717" i="3"/>
  <c r="U717" i="3"/>
  <c r="V1018" i="3"/>
  <c r="U1018" i="3"/>
  <c r="V129" i="3"/>
  <c r="U129" i="3"/>
  <c r="G1183" i="3"/>
  <c r="V1183" i="3"/>
  <c r="U1183" i="3"/>
  <c r="G1131" i="3"/>
  <c r="V1131" i="3"/>
  <c r="U1131" i="3"/>
  <c r="V1101" i="3"/>
  <c r="U1101" i="3"/>
  <c r="V1082" i="3"/>
  <c r="U1082" i="3"/>
  <c r="V1060" i="3"/>
  <c r="U1060" i="3"/>
  <c r="V860" i="3"/>
  <c r="U860" i="3"/>
  <c r="V999" i="3"/>
  <c r="U999" i="3"/>
  <c r="V984" i="3"/>
  <c r="U984" i="3"/>
  <c r="V971" i="3"/>
  <c r="U971" i="3"/>
  <c r="V955" i="3"/>
  <c r="U955" i="3"/>
  <c r="V544" i="3"/>
  <c r="U544" i="3"/>
  <c r="V924" i="3"/>
  <c r="U924" i="3"/>
  <c r="V909" i="3"/>
  <c r="U909" i="3"/>
  <c r="V904" i="3"/>
  <c r="U904" i="3"/>
  <c r="V886" i="3"/>
  <c r="U886" i="3"/>
  <c r="V874" i="3"/>
  <c r="U874" i="3"/>
  <c r="V430" i="3"/>
  <c r="U430" i="3"/>
  <c r="V314" i="3"/>
  <c r="U314" i="3"/>
  <c r="V578" i="3"/>
  <c r="U578" i="3"/>
  <c r="V165" i="3"/>
  <c r="U165" i="3"/>
  <c r="G1438" i="3"/>
  <c r="V1438" i="3"/>
  <c r="U1438" i="3"/>
  <c r="V522" i="3"/>
  <c r="U522" i="3"/>
  <c r="V723" i="3"/>
  <c r="U723" i="3"/>
  <c r="V680" i="3"/>
  <c r="U680" i="3"/>
  <c r="V1362" i="3"/>
  <c r="U1362" i="3"/>
  <c r="V1174" i="3"/>
  <c r="U1174" i="3"/>
  <c r="V631" i="3"/>
  <c r="U631" i="3"/>
  <c r="V601" i="3"/>
  <c r="U601" i="3"/>
  <c r="V274" i="3"/>
  <c r="U274" i="3"/>
  <c r="V1106" i="3"/>
  <c r="U1106" i="3"/>
  <c r="G693" i="3"/>
  <c r="V693" i="3"/>
  <c r="U693" i="3"/>
  <c r="V256" i="3"/>
  <c r="U256" i="3"/>
  <c r="V58" i="3"/>
  <c r="U58" i="3"/>
  <c r="V29" i="3"/>
  <c r="U29" i="3"/>
  <c r="V1405" i="3"/>
  <c r="U1405" i="3"/>
  <c r="V674" i="3"/>
  <c r="U674" i="3"/>
  <c r="V689" i="3"/>
  <c r="U689" i="3"/>
  <c r="V372" i="3"/>
  <c r="U372" i="3"/>
  <c r="V141" i="3"/>
  <c r="U141" i="3"/>
  <c r="V1333" i="3"/>
  <c r="U1333" i="3"/>
  <c r="V521" i="3"/>
  <c r="U521" i="3"/>
  <c r="V331" i="3"/>
  <c r="U331" i="3"/>
  <c r="V181" i="3"/>
  <c r="U181" i="3"/>
  <c r="V286" i="3"/>
  <c r="U286" i="3"/>
  <c r="V1418" i="3"/>
  <c r="U1418" i="3"/>
  <c r="V1269" i="3"/>
  <c r="U1269" i="3"/>
  <c r="V1079" i="3"/>
  <c r="U1079" i="3"/>
  <c r="V267" i="3"/>
  <c r="U267" i="3"/>
  <c r="V288" i="3"/>
  <c r="U288" i="3"/>
  <c r="V330" i="3"/>
  <c r="U330" i="3"/>
  <c r="V167" i="3"/>
  <c r="U167" i="3"/>
  <c r="V1304" i="3"/>
  <c r="U1304" i="3"/>
  <c r="V125" i="3"/>
  <c r="U125" i="3"/>
  <c r="V453" i="3"/>
  <c r="U453" i="3"/>
  <c r="V169" i="3"/>
  <c r="U169" i="3"/>
  <c r="V1542" i="3"/>
  <c r="U1542" i="3"/>
  <c r="V1519" i="3"/>
  <c r="U1519" i="3"/>
  <c r="V1484" i="3"/>
  <c r="U1484" i="3"/>
  <c r="V1447" i="3"/>
  <c r="U1447" i="3"/>
  <c r="V1386" i="3"/>
  <c r="U1386" i="3"/>
  <c r="V1320" i="3"/>
  <c r="U1320" i="3"/>
  <c r="V1252" i="3"/>
  <c r="U1252" i="3"/>
  <c r="V201" i="3"/>
  <c r="U201" i="3"/>
  <c r="V381" i="3"/>
  <c r="U381" i="3"/>
  <c r="V523" i="3"/>
  <c r="U523" i="3"/>
  <c r="V278" i="3"/>
  <c r="U278" i="3"/>
  <c r="V452" i="3"/>
  <c r="U452" i="3"/>
  <c r="V1177" i="3"/>
  <c r="U1177" i="3"/>
  <c r="V686" i="3"/>
  <c r="U686" i="3"/>
  <c r="V311" i="3"/>
  <c r="U311" i="3"/>
  <c r="V1370" i="3"/>
  <c r="U1370" i="3"/>
  <c r="V1485" i="3"/>
  <c r="U1485" i="3"/>
  <c r="V183" i="3"/>
  <c r="U183" i="3"/>
  <c r="V1507" i="3"/>
  <c r="U1507" i="3"/>
  <c r="V1450" i="3"/>
  <c r="U1450" i="3"/>
  <c r="V1417" i="3"/>
  <c r="U1417" i="3"/>
  <c r="V1373" i="3"/>
  <c r="U1373" i="3"/>
  <c r="V1312" i="3"/>
  <c r="U1312" i="3"/>
  <c r="U915" i="3"/>
  <c r="V915" i="3"/>
  <c r="V741" i="3"/>
  <c r="U741" i="3"/>
  <c r="V219" i="3"/>
  <c r="U219" i="3"/>
  <c r="V208" i="3"/>
  <c r="U208" i="3"/>
  <c r="V1194" i="3"/>
  <c r="U1194" i="3"/>
  <c r="V1187" i="3"/>
  <c r="U1187" i="3"/>
  <c r="V249" i="3"/>
  <c r="U249" i="3"/>
  <c r="V468" i="3"/>
  <c r="U468" i="3"/>
  <c r="V508" i="3"/>
  <c r="U508" i="3"/>
  <c r="V1323" i="3"/>
  <c r="U1323" i="3"/>
  <c r="V458" i="3"/>
  <c r="U458" i="3"/>
  <c r="V403" i="3"/>
  <c r="U403" i="3"/>
  <c r="V383" i="3"/>
  <c r="U383" i="3"/>
  <c r="V76" i="3"/>
  <c r="U76" i="3"/>
  <c r="V1353" i="3"/>
  <c r="U1353" i="3"/>
  <c r="V294" i="3"/>
  <c r="U294" i="3"/>
  <c r="V257" i="3"/>
  <c r="U257" i="3"/>
  <c r="V1095" i="3"/>
  <c r="U1095" i="3"/>
  <c r="V1142" i="3"/>
  <c r="U1142" i="3"/>
  <c r="BA131" i="2"/>
  <c r="BA443" i="2"/>
  <c r="BJ379" i="1"/>
  <c r="BA602" i="2"/>
  <c r="BJ436" i="1"/>
  <c r="BA192" i="2"/>
  <c r="BJ358" i="1"/>
  <c r="BJ204" i="1"/>
  <c r="BA334" i="2"/>
  <c r="BA239" i="2"/>
  <c r="BJ75" i="1"/>
  <c r="BB518" i="2"/>
  <c r="BB702" i="2"/>
  <c r="BK113" i="1"/>
  <c r="BK261" i="1"/>
  <c r="BK267" i="1"/>
  <c r="BB362" i="2"/>
  <c r="BB470" i="2"/>
  <c r="BB540" i="2"/>
  <c r="BK372" i="1"/>
  <c r="BK285" i="1"/>
  <c r="BK193" i="1"/>
  <c r="BB478" i="2"/>
  <c r="BK325" i="1"/>
  <c r="BK450" i="1"/>
  <c r="BK223" i="1"/>
  <c r="BK57" i="1"/>
  <c r="BK289" i="1"/>
  <c r="BB70" i="2"/>
  <c r="BK130" i="1"/>
  <c r="BB184" i="2"/>
  <c r="BB230" i="2"/>
  <c r="BK76" i="1"/>
  <c r="BK22" i="1"/>
  <c r="BK10" i="1"/>
  <c r="BI145" i="1"/>
  <c r="AZ251" i="2"/>
  <c r="BI126" i="1"/>
  <c r="BI141" i="1"/>
  <c r="BI222" i="1"/>
  <c r="AZ574" i="2"/>
  <c r="AZ109" i="2"/>
  <c r="BI342" i="1"/>
  <c r="AZ225" i="2"/>
  <c r="AZ664" i="2"/>
  <c r="AZ467" i="2"/>
  <c r="BI94" i="1"/>
  <c r="AZ316" i="2"/>
  <c r="AZ235" i="2"/>
  <c r="BI46" i="1"/>
  <c r="AZ509" i="2"/>
  <c r="AZ523" i="2"/>
  <c r="AZ37" i="2"/>
  <c r="AZ231" i="2"/>
  <c r="BI31" i="1"/>
  <c r="BI5" i="1"/>
  <c r="BH236" i="1"/>
  <c r="BH191" i="1"/>
  <c r="BH260" i="1"/>
  <c r="AY716" i="2"/>
  <c r="AY288" i="2"/>
  <c r="AY600" i="2"/>
  <c r="AY753" i="2"/>
  <c r="BH351" i="1"/>
  <c r="BH287" i="1"/>
  <c r="BH159" i="1"/>
  <c r="BH279" i="1"/>
  <c r="BH313" i="1"/>
  <c r="AY78" i="2"/>
  <c r="BH223" i="1"/>
  <c r="BH161" i="1"/>
  <c r="BH363" i="1"/>
  <c r="BH427" i="1"/>
  <c r="BH158" i="1"/>
  <c r="AY522" i="2"/>
  <c r="AY136" i="2"/>
  <c r="AY332" i="2"/>
  <c r="AY258" i="2"/>
  <c r="AY151" i="2"/>
  <c r="AY454" i="2"/>
  <c r="AY73" i="2"/>
  <c r="BH11" i="1"/>
  <c r="BH21" i="1"/>
  <c r="BH60" i="1"/>
  <c r="AY475" i="2"/>
  <c r="AY652" i="2"/>
  <c r="BH125" i="1"/>
  <c r="AY99" i="2"/>
  <c r="V1144" i="3"/>
  <c r="U1144" i="3"/>
  <c r="V472" i="3"/>
  <c r="U472" i="3"/>
  <c r="V195" i="3"/>
  <c r="U195" i="3"/>
  <c r="V5" i="3"/>
  <c r="U5" i="3"/>
  <c r="V550" i="3"/>
  <c r="U550" i="3"/>
  <c r="V582" i="3"/>
  <c r="U582" i="3"/>
  <c r="V1328" i="3"/>
  <c r="U1328" i="3"/>
  <c r="V629" i="3"/>
  <c r="U629" i="3"/>
  <c r="V1470" i="3"/>
  <c r="U1470" i="3"/>
  <c r="V327" i="3"/>
  <c r="U327" i="3"/>
  <c r="V570" i="3"/>
  <c r="U570" i="3"/>
  <c r="V173" i="3"/>
  <c r="U173" i="3"/>
  <c r="V1294" i="3"/>
  <c r="U1294" i="3"/>
  <c r="V421" i="3"/>
  <c r="U421" i="3"/>
  <c r="V1073" i="3"/>
  <c r="U1073" i="3"/>
  <c r="V1518" i="3"/>
  <c r="U1518" i="3"/>
  <c r="V1482" i="3"/>
  <c r="U1482" i="3"/>
  <c r="V1367" i="3"/>
  <c r="U1367" i="3"/>
  <c r="V1318" i="3"/>
  <c r="U1318" i="3"/>
  <c r="V1247" i="3"/>
  <c r="U1247" i="3"/>
  <c r="V1117" i="3"/>
  <c r="U1117" i="3"/>
  <c r="V876" i="3"/>
  <c r="U876" i="3"/>
  <c r="V283" i="3"/>
  <c r="U283" i="3"/>
  <c r="V73" i="3"/>
  <c r="U73" i="3"/>
  <c r="G1532" i="3"/>
  <c r="V1532" i="3"/>
  <c r="U1532" i="3"/>
  <c r="G1391" i="3"/>
  <c r="V1391" i="3"/>
  <c r="U1391" i="3"/>
  <c r="V341" i="3"/>
  <c r="U341" i="3"/>
  <c r="V1523" i="3"/>
  <c r="U1523" i="3"/>
  <c r="V1366" i="3"/>
  <c r="U1366" i="3"/>
  <c r="V642" i="3"/>
  <c r="U642" i="3"/>
  <c r="V362" i="3"/>
  <c r="U362" i="3"/>
  <c r="V1502" i="3"/>
  <c r="U1502" i="3"/>
  <c r="V1446" i="3"/>
  <c r="U1446" i="3"/>
  <c r="V1224" i="3"/>
  <c r="U1224" i="3"/>
  <c r="V1358" i="3"/>
  <c r="U1358" i="3"/>
  <c r="V1274" i="3"/>
  <c r="U1274" i="3"/>
  <c r="V907" i="3"/>
  <c r="U907" i="3"/>
  <c r="V198" i="3"/>
  <c r="U198" i="3"/>
  <c r="V133" i="3"/>
  <c r="U133" i="3"/>
  <c r="V116" i="3"/>
  <c r="U116" i="3"/>
  <c r="V316" i="3"/>
  <c r="U316" i="3"/>
  <c r="V149" i="3"/>
  <c r="U149" i="3"/>
  <c r="V1369" i="3"/>
  <c r="U1369" i="3"/>
  <c r="V1228" i="3"/>
  <c r="U1228" i="3"/>
  <c r="V538" i="3"/>
  <c r="U538" i="3"/>
  <c r="V491" i="3"/>
  <c r="U491" i="3"/>
  <c r="V471" i="3"/>
  <c r="U471" i="3"/>
  <c r="V880" i="3"/>
  <c r="U880" i="3"/>
  <c r="V1021" i="3"/>
  <c r="U1021" i="3"/>
  <c r="V166" i="3"/>
  <c r="U166" i="3"/>
  <c r="V740" i="3"/>
  <c r="U740" i="3"/>
  <c r="V1054" i="3"/>
  <c r="U1054" i="3"/>
  <c r="V427" i="3"/>
  <c r="U427" i="3"/>
  <c r="V338" i="3"/>
  <c r="U338" i="3"/>
  <c r="V1210" i="3"/>
  <c r="U1210" i="3"/>
  <c r="BJ288" i="1"/>
  <c r="BJ393" i="1"/>
  <c r="BJ287" i="1"/>
  <c r="BJ296" i="1"/>
  <c r="V715" i="3"/>
  <c r="U715" i="3"/>
  <c r="V247" i="3"/>
  <c r="U247" i="3"/>
  <c r="V819" i="3"/>
  <c r="U819" i="3"/>
  <c r="V413" i="3"/>
  <c r="U413" i="3"/>
  <c r="V1285" i="3"/>
  <c r="U1285" i="3"/>
  <c r="V315" i="3"/>
  <c r="U315" i="3"/>
  <c r="V109" i="3"/>
  <c r="U109" i="3"/>
  <c r="V1541" i="3"/>
  <c r="U1541" i="3"/>
  <c r="V792" i="3"/>
  <c r="U792" i="3"/>
  <c r="V277" i="3"/>
  <c r="U277" i="3"/>
  <c r="V1389" i="3"/>
  <c r="U1389" i="3"/>
  <c r="V357" i="3"/>
  <c r="U357" i="3"/>
  <c r="V62" i="3"/>
  <c r="U62" i="3"/>
  <c r="V55" i="3"/>
  <c r="U55" i="3"/>
  <c r="V1003" i="3"/>
  <c r="U1003" i="3"/>
  <c r="V144" i="3"/>
  <c r="U144" i="3"/>
  <c r="V1241" i="3"/>
  <c r="U1241" i="3"/>
  <c r="V1080" i="3"/>
  <c r="U1080" i="3"/>
  <c r="V731" i="3"/>
  <c r="U731" i="3"/>
  <c r="V718" i="3"/>
  <c r="U718" i="3"/>
  <c r="V1349" i="3"/>
  <c r="U1349" i="3"/>
  <c r="V1465" i="3"/>
  <c r="U1465" i="3"/>
  <c r="V480" i="3"/>
  <c r="U480" i="3"/>
  <c r="V303" i="3"/>
  <c r="U303" i="3"/>
  <c r="V440" i="3"/>
  <c r="U440" i="3"/>
  <c r="V209" i="3"/>
  <c r="U209" i="3"/>
  <c r="V131" i="3"/>
  <c r="U131" i="3"/>
  <c r="V113" i="3"/>
  <c r="U113" i="3"/>
  <c r="V1412" i="3"/>
  <c r="U1412" i="3"/>
  <c r="V365" i="3"/>
  <c r="U365" i="3"/>
  <c r="V417" i="3"/>
  <c r="U417" i="3"/>
  <c r="V942" i="3"/>
  <c r="U942" i="3"/>
  <c r="V1265" i="3"/>
  <c r="U1265" i="3"/>
  <c r="V926" i="3"/>
  <c r="U926" i="3"/>
  <c r="V1248" i="3"/>
  <c r="U1248" i="3"/>
  <c r="G803" i="3"/>
  <c r="V803" i="3"/>
  <c r="U803" i="3"/>
  <c r="V38" i="3"/>
  <c r="U38" i="3"/>
  <c r="V989" i="3"/>
  <c r="U989" i="3"/>
  <c r="V1014" i="3"/>
  <c r="U1014" i="3"/>
  <c r="V1125" i="3"/>
  <c r="U1125" i="3"/>
  <c r="V253" i="3"/>
  <c r="U253" i="3"/>
  <c r="G1175" i="3"/>
  <c r="V1175" i="3"/>
  <c r="U1175" i="3"/>
  <c r="V841" i="3"/>
  <c r="U841" i="3"/>
  <c r="V1525" i="3"/>
  <c r="U1525" i="3"/>
  <c r="V976" i="3"/>
  <c r="U976" i="3"/>
  <c r="V1291" i="3"/>
  <c r="U1291" i="3"/>
  <c r="V255" i="3"/>
  <c r="U255" i="3"/>
  <c r="V1169" i="3"/>
  <c r="U1169" i="3"/>
  <c r="V772" i="3"/>
  <c r="U772" i="3"/>
  <c r="G418" i="3"/>
  <c r="V418" i="3"/>
  <c r="U418" i="3"/>
  <c r="V1453" i="3"/>
  <c r="U1453" i="3"/>
  <c r="V428" i="3"/>
  <c r="U428" i="3"/>
  <c r="V1209" i="3"/>
  <c r="U1209" i="3"/>
  <c r="V16" i="3"/>
  <c r="U16" i="3"/>
  <c r="V890" i="3"/>
  <c r="U890" i="3"/>
  <c r="U1236" i="3"/>
  <c r="V1236" i="3"/>
  <c r="V595" i="3"/>
  <c r="U595" i="3"/>
  <c r="V748" i="3"/>
  <c r="U748" i="3"/>
  <c r="V747" i="3"/>
  <c r="U747" i="3"/>
  <c r="V797" i="3"/>
  <c r="U797" i="3"/>
  <c r="V1395" i="3"/>
  <c r="U1395" i="3"/>
  <c r="V1024" i="3"/>
  <c r="U1024" i="3"/>
  <c r="V614" i="3"/>
  <c r="U614" i="3"/>
  <c r="V1066" i="3"/>
  <c r="U1066" i="3"/>
  <c r="V1094" i="3"/>
  <c r="U1094" i="3"/>
  <c r="V392" i="3"/>
  <c r="U392" i="3"/>
  <c r="G1107" i="3"/>
  <c r="V1107" i="3"/>
  <c r="U1107" i="3"/>
  <c r="V703" i="3"/>
  <c r="U703" i="3"/>
  <c r="G1457" i="3"/>
  <c r="V1457" i="3"/>
  <c r="U1457" i="3"/>
  <c r="V1058" i="3"/>
  <c r="U1058" i="3"/>
  <c r="V1088" i="3"/>
  <c r="U1088" i="3"/>
  <c r="V77" i="3"/>
  <c r="U77" i="3"/>
  <c r="V632" i="3"/>
  <c r="U632" i="3"/>
  <c r="G1140" i="3"/>
  <c r="V1140" i="3"/>
  <c r="U1140" i="3"/>
  <c r="V1048" i="3"/>
  <c r="U1048" i="3"/>
  <c r="V1000" i="3"/>
  <c r="U1000" i="3"/>
  <c r="V939" i="3"/>
  <c r="U939" i="3"/>
  <c r="V1047" i="3"/>
  <c r="U1047" i="3"/>
  <c r="V1012" i="3"/>
  <c r="U1012" i="3"/>
  <c r="V833" i="3"/>
  <c r="U833" i="3"/>
  <c r="V814" i="3"/>
  <c r="U814" i="3"/>
  <c r="V959" i="3"/>
  <c r="U959" i="3"/>
  <c r="V784" i="3"/>
  <c r="U784" i="3"/>
  <c r="G932" i="3"/>
  <c r="V932" i="3"/>
  <c r="U932" i="3"/>
  <c r="V721" i="3"/>
  <c r="U721" i="3"/>
  <c r="V681" i="3"/>
  <c r="U681" i="3"/>
  <c r="V895" i="3"/>
  <c r="U895" i="3"/>
  <c r="G884" i="3"/>
  <c r="V884" i="3"/>
  <c r="U884" i="3"/>
  <c r="V474" i="3"/>
  <c r="U474" i="3"/>
  <c r="V619" i="3"/>
  <c r="U619" i="3"/>
  <c r="V14" i="3"/>
  <c r="U14" i="3"/>
  <c r="V816" i="3"/>
  <c r="U816" i="3"/>
  <c r="V783" i="3"/>
  <c r="U783" i="3"/>
  <c r="V1347" i="3"/>
  <c r="U1347" i="3"/>
  <c r="V745" i="3"/>
  <c r="U745" i="3"/>
  <c r="G714" i="3"/>
  <c r="V714" i="3"/>
  <c r="U714" i="3"/>
  <c r="V678" i="3"/>
  <c r="U678" i="3"/>
  <c r="V660" i="3"/>
  <c r="U660" i="3"/>
  <c r="V651" i="3"/>
  <c r="U651" i="3"/>
  <c r="V376" i="3"/>
  <c r="U376" i="3"/>
  <c r="V210" i="3"/>
  <c r="U210" i="3"/>
  <c r="V218" i="3"/>
  <c r="U218" i="3"/>
  <c r="V795" i="3"/>
  <c r="U795" i="3"/>
  <c r="V496" i="3"/>
  <c r="U496" i="3"/>
  <c r="V159" i="3"/>
  <c r="U159" i="3"/>
  <c r="V63" i="3"/>
  <c r="U63" i="3"/>
  <c r="V31" i="3"/>
  <c r="U31" i="3"/>
  <c r="V1400" i="3"/>
  <c r="U1400" i="3"/>
  <c r="V1273" i="3"/>
  <c r="U1273" i="3"/>
  <c r="V488" i="3"/>
  <c r="U488" i="3"/>
  <c r="V260" i="3"/>
  <c r="U260" i="3"/>
  <c r="V492" i="3"/>
  <c r="U492" i="3"/>
  <c r="V1306" i="3"/>
  <c r="U1306" i="3"/>
  <c r="V368" i="3"/>
  <c r="U368" i="3"/>
  <c r="V140" i="3"/>
  <c r="U140" i="3"/>
  <c r="V351" i="3"/>
  <c r="U351" i="3"/>
  <c r="V241" i="3"/>
  <c r="U241" i="3"/>
  <c r="V1383" i="3"/>
  <c r="U1383" i="3"/>
  <c r="V1234" i="3"/>
  <c r="U1234" i="3"/>
  <c r="V1038" i="3"/>
  <c r="U1038" i="3"/>
  <c r="V575" i="3"/>
  <c r="U575" i="3"/>
  <c r="V160" i="3"/>
  <c r="U160" i="3"/>
  <c r="V326" i="3"/>
  <c r="U326" i="3"/>
  <c r="V26" i="3"/>
  <c r="U26" i="3"/>
  <c r="V439" i="3"/>
  <c r="U439" i="3"/>
  <c r="V950" i="3"/>
  <c r="U950" i="3"/>
  <c r="V162" i="3"/>
  <c r="U162" i="3"/>
  <c r="V171" i="3"/>
  <c r="U171" i="3"/>
  <c r="V1540" i="3"/>
  <c r="U1540" i="3"/>
  <c r="V1515" i="3"/>
  <c r="U1515" i="3"/>
  <c r="V1468" i="3"/>
  <c r="U1468" i="3"/>
  <c r="V1441" i="3"/>
  <c r="U1441" i="3"/>
  <c r="V1364" i="3"/>
  <c r="U1364" i="3"/>
  <c r="V1317" i="3"/>
  <c r="U1317" i="3"/>
  <c r="V1238" i="3"/>
  <c r="U1238" i="3"/>
  <c r="V325" i="3"/>
  <c r="U325" i="3"/>
  <c r="V868" i="3"/>
  <c r="U868" i="3"/>
  <c r="V684" i="3"/>
  <c r="U684" i="3"/>
  <c r="V230" i="3"/>
  <c r="U230" i="3"/>
  <c r="V1443" i="3"/>
  <c r="U1443" i="3"/>
  <c r="V1159" i="3"/>
  <c r="U1159" i="3"/>
  <c r="V271" i="3"/>
  <c r="U271" i="3"/>
  <c r="V1505" i="3"/>
  <c r="U1505" i="3"/>
  <c r="V1337" i="3"/>
  <c r="U1337" i="3"/>
  <c r="V475" i="3"/>
  <c r="U475" i="3"/>
  <c r="V93" i="3"/>
  <c r="U93" i="3"/>
  <c r="V1491" i="3"/>
  <c r="U1491" i="3"/>
  <c r="V1439" i="3"/>
  <c r="U1439" i="3"/>
  <c r="V1409" i="3"/>
  <c r="U1409" i="3"/>
  <c r="V1355" i="3"/>
  <c r="U1355" i="3"/>
  <c r="V1271" i="3"/>
  <c r="U1271" i="3"/>
  <c r="V858" i="3"/>
  <c r="U858" i="3"/>
  <c r="V622" i="3"/>
  <c r="U622" i="3"/>
  <c r="V180" i="3"/>
  <c r="U180" i="3"/>
  <c r="V1201" i="3"/>
  <c r="U1201" i="3"/>
  <c r="V333" i="3"/>
  <c r="U333" i="3"/>
  <c r="V122" i="3"/>
  <c r="U122" i="3"/>
  <c r="V505" i="3"/>
  <c r="U505" i="3"/>
  <c r="V606" i="3"/>
  <c r="U606" i="3"/>
  <c r="V1266" i="3"/>
  <c r="U1266" i="3"/>
  <c r="V624" i="3"/>
  <c r="U624" i="3"/>
  <c r="V1339" i="3"/>
  <c r="U1339" i="3"/>
  <c r="V758" i="3"/>
  <c r="U758" i="3"/>
  <c r="V189" i="3"/>
  <c r="U189" i="3"/>
  <c r="V711" i="3"/>
  <c r="U711" i="3"/>
  <c r="G847" i="3"/>
  <c r="V847" i="3"/>
  <c r="U847" i="3"/>
  <c r="V1163" i="3"/>
  <c r="U1163" i="3"/>
  <c r="V539" i="3"/>
  <c r="U539" i="3"/>
  <c r="V1121" i="3"/>
  <c r="U1121" i="3"/>
  <c r="V1469" i="3"/>
  <c r="U1469" i="3"/>
  <c r="V145" i="3"/>
  <c r="U145" i="3"/>
  <c r="BA538" i="2"/>
  <c r="BA182" i="2"/>
  <c r="BA695" i="2"/>
  <c r="BA295" i="2"/>
  <c r="BA88" i="2"/>
  <c r="BJ450" i="1"/>
  <c r="BB240" i="2"/>
  <c r="BK145" i="1"/>
  <c r="BK246" i="1"/>
  <c r="BK139" i="1"/>
  <c r="BK126" i="1"/>
  <c r="BB670" i="2"/>
  <c r="BB303" i="2"/>
  <c r="BK205" i="1"/>
  <c r="BB574" i="2"/>
  <c r="BK148" i="1"/>
  <c r="BB225" i="2"/>
  <c r="BK273" i="1"/>
  <c r="BB467" i="2"/>
  <c r="BK469" i="1"/>
  <c r="AZ318" i="2"/>
  <c r="AZ421" i="2"/>
  <c r="BI331" i="1"/>
  <c r="BI324" i="1"/>
  <c r="BI177" i="1"/>
  <c r="AZ690" i="2"/>
  <c r="AZ260" i="2"/>
  <c r="BI144" i="1"/>
  <c r="BI110" i="1"/>
  <c r="AZ463" i="2"/>
  <c r="AZ420" i="2"/>
  <c r="BI51" i="1"/>
  <c r="BI350" i="1"/>
  <c r="AZ517" i="2"/>
  <c r="AZ683" i="2"/>
  <c r="AZ64" i="2"/>
  <c r="BI249" i="1"/>
  <c r="AZ346" i="2"/>
  <c r="BI470" i="1"/>
  <c r="BI457" i="1"/>
  <c r="BI323" i="1"/>
  <c r="AZ286" i="2"/>
  <c r="AZ258" i="2"/>
  <c r="AZ77" i="2"/>
  <c r="BH466" i="1"/>
  <c r="BH398" i="1"/>
  <c r="AY433" i="2"/>
  <c r="BH340" i="1"/>
  <c r="BH370" i="1"/>
  <c r="BH235" i="1"/>
  <c r="BH341" i="1"/>
  <c r="AY464" i="2"/>
  <c r="AY201" i="2"/>
  <c r="BH121" i="1"/>
  <c r="BH411" i="1"/>
  <c r="BH241" i="1"/>
  <c r="BH154" i="1"/>
  <c r="BH456" i="1"/>
  <c r="AY467" i="2"/>
  <c r="AY188" i="2"/>
  <c r="AY216" i="2"/>
  <c r="AY381" i="2"/>
  <c r="BH82" i="1"/>
  <c r="AY247" i="2"/>
  <c r="AY213" i="2"/>
  <c r="V671" i="3"/>
  <c r="U671" i="3"/>
  <c r="V611" i="3"/>
  <c r="U611" i="3"/>
  <c r="V179" i="3"/>
  <c r="U179" i="3"/>
  <c r="V250" i="3"/>
  <c r="U250" i="3"/>
  <c r="V1350" i="3"/>
  <c r="U1350" i="3"/>
  <c r="V30" i="3"/>
  <c r="U30" i="3"/>
  <c r="V1543" i="3"/>
  <c r="U1543" i="3"/>
  <c r="V1380" i="3"/>
  <c r="U1380" i="3"/>
  <c r="V1245" i="3"/>
  <c r="U1245" i="3"/>
  <c r="U511" i="3"/>
  <c r="V511" i="3"/>
  <c r="V95" i="3"/>
  <c r="U95" i="3"/>
  <c r="V1466" i="3"/>
  <c r="U1466" i="3"/>
  <c r="V1357" i="3"/>
  <c r="U1357" i="3"/>
  <c r="V1081" i="3"/>
  <c r="U1081" i="3"/>
  <c r="V379" i="3"/>
  <c r="U379" i="3"/>
  <c r="V1479" i="3"/>
  <c r="U1479" i="3"/>
  <c r="V1406" i="3"/>
  <c r="U1406" i="3"/>
  <c r="V854" i="3"/>
  <c r="U854" i="3"/>
  <c r="V147" i="3"/>
  <c r="U147" i="3"/>
  <c r="V1188" i="3"/>
  <c r="U1188" i="3"/>
  <c r="V573" i="3"/>
  <c r="U573" i="3"/>
  <c r="V1019" i="3"/>
  <c r="U1019" i="3"/>
  <c r="V130" i="3"/>
  <c r="U130" i="3"/>
  <c r="V1416" i="3"/>
  <c r="U1416" i="3"/>
  <c r="V1098" i="3"/>
  <c r="U1098" i="3"/>
  <c r="V127" i="3"/>
  <c r="U127" i="3"/>
  <c r="V1495" i="3"/>
  <c r="U1495" i="3"/>
  <c r="V724" i="3"/>
  <c r="U724" i="3"/>
  <c r="V1533" i="3"/>
  <c r="U1533" i="3"/>
  <c r="G906" i="3"/>
  <c r="V906" i="3"/>
  <c r="U906" i="3"/>
  <c r="V820" i="3"/>
  <c r="U820" i="3"/>
  <c r="V594" i="3"/>
  <c r="U594" i="3"/>
  <c r="V1535" i="3"/>
  <c r="U1535" i="3"/>
  <c r="V1084" i="3"/>
  <c r="U1084" i="3"/>
  <c r="AZ344" i="2"/>
  <c r="AZ604" i="2"/>
  <c r="V1180" i="3"/>
  <c r="U1180" i="3"/>
  <c r="V1077" i="3"/>
  <c r="U1077" i="3"/>
  <c r="V1046" i="3"/>
  <c r="U1046" i="3"/>
  <c r="V995" i="3"/>
  <c r="U995" i="3"/>
  <c r="V590" i="3"/>
  <c r="U590" i="3"/>
  <c r="V927" i="3"/>
  <c r="U927" i="3"/>
  <c r="V587" i="3"/>
  <c r="U587" i="3"/>
  <c r="V840" i="3"/>
  <c r="U840" i="3"/>
  <c r="V805" i="3"/>
  <c r="U805" i="3"/>
  <c r="V753" i="3"/>
  <c r="U753" i="3"/>
  <c r="V728" i="3"/>
  <c r="U728" i="3"/>
  <c r="V712" i="3"/>
  <c r="U712" i="3"/>
  <c r="V688" i="3"/>
  <c r="U688" i="3"/>
  <c r="V661" i="3"/>
  <c r="U661" i="3"/>
  <c r="V448" i="3"/>
  <c r="U448" i="3"/>
  <c r="V534" i="3"/>
  <c r="U534" i="3"/>
  <c r="V596" i="3"/>
  <c r="U596" i="3"/>
  <c r="V177" i="3"/>
  <c r="U177" i="3"/>
  <c r="V621" i="3"/>
  <c r="U621" i="3"/>
  <c r="V284" i="3"/>
  <c r="U284" i="3"/>
  <c r="V114" i="3"/>
  <c r="U114" i="3"/>
  <c r="V1346" i="3"/>
  <c r="U1346" i="3"/>
  <c r="V1301" i="3"/>
  <c r="U1301" i="3"/>
  <c r="V1264" i="3"/>
  <c r="U1264" i="3"/>
  <c r="U53" i="3"/>
  <c r="U317" i="3"/>
  <c r="U281" i="3"/>
  <c r="U120" i="3"/>
  <c r="U136" i="3"/>
  <c r="U340" i="3"/>
  <c r="U323" i="3"/>
  <c r="F590" i="3"/>
  <c r="E1046" i="3"/>
  <c r="AD1046" i="3" s="1"/>
  <c r="E728" i="3"/>
  <c r="AD728" i="3" s="1"/>
  <c r="D1180" i="3"/>
  <c r="D805" i="3"/>
  <c r="V1164" i="3"/>
  <c r="U1164" i="3"/>
  <c r="V1076" i="3"/>
  <c r="U1076" i="3"/>
  <c r="V1044" i="3"/>
  <c r="U1044" i="3"/>
  <c r="V994" i="3"/>
  <c r="U994" i="3"/>
  <c r="V952" i="3"/>
  <c r="U952" i="3"/>
  <c r="V913" i="3"/>
  <c r="U913" i="3"/>
  <c r="V867" i="3"/>
  <c r="U867" i="3"/>
  <c r="V832" i="3"/>
  <c r="U832" i="3"/>
  <c r="V799" i="3"/>
  <c r="U799" i="3"/>
  <c r="V751" i="3"/>
  <c r="U751" i="3"/>
  <c r="V320" i="3"/>
  <c r="U320" i="3"/>
  <c r="V709" i="3"/>
  <c r="U709" i="3"/>
  <c r="V461" i="3"/>
  <c r="U461" i="3"/>
  <c r="V588" i="3"/>
  <c r="U588" i="3"/>
  <c r="V568" i="3"/>
  <c r="U568" i="3"/>
  <c r="V536" i="3"/>
  <c r="U536" i="3"/>
  <c r="V530" i="3"/>
  <c r="U530" i="3"/>
  <c r="V176" i="3"/>
  <c r="U176" i="3"/>
  <c r="V276" i="3"/>
  <c r="U276" i="3"/>
  <c r="V615" i="3"/>
  <c r="U615" i="3"/>
  <c r="V500" i="3"/>
  <c r="U500" i="3"/>
  <c r="V178" i="3"/>
  <c r="U178" i="3"/>
  <c r="V337" i="3"/>
  <c r="U337" i="3"/>
  <c r="V1343" i="3"/>
  <c r="U1343" i="3"/>
  <c r="V1299" i="3"/>
  <c r="U1299" i="3"/>
  <c r="V1263" i="3"/>
  <c r="U1263" i="3"/>
  <c r="U128" i="3"/>
  <c r="U102" i="3"/>
  <c r="U45" i="3"/>
  <c r="U91" i="3"/>
  <c r="U20" i="3"/>
  <c r="U138" i="3"/>
  <c r="U79" i="3"/>
  <c r="U191" i="3"/>
  <c r="U194" i="3"/>
  <c r="U101" i="3"/>
  <c r="U280" i="3"/>
  <c r="U99" i="3"/>
  <c r="U46" i="3"/>
  <c r="U222" i="3"/>
  <c r="U382" i="3"/>
  <c r="U158" i="3"/>
  <c r="U306" i="3"/>
  <c r="U224" i="3"/>
  <c r="U396" i="3"/>
  <c r="U441" i="3"/>
  <c r="V112" i="3"/>
  <c r="I1077" i="3"/>
  <c r="H840" i="3"/>
  <c r="G927" i="3"/>
  <c r="G661" i="3"/>
  <c r="F995" i="3"/>
  <c r="AD995" i="3" s="1"/>
  <c r="F712" i="3"/>
  <c r="AD712" i="3" s="1"/>
  <c r="AD284" i="3"/>
  <c r="E1077" i="3"/>
  <c r="E753" i="3"/>
  <c r="D840" i="3"/>
  <c r="V1128" i="3"/>
  <c r="U1128" i="3"/>
  <c r="V585" i="3"/>
  <c r="U585" i="3"/>
  <c r="V1041" i="3"/>
  <c r="U1041" i="3"/>
  <c r="V992" i="3"/>
  <c r="U992" i="3"/>
  <c r="V514" i="3"/>
  <c r="U514" i="3"/>
  <c r="V900" i="3"/>
  <c r="U900" i="3"/>
  <c r="V865" i="3"/>
  <c r="U865" i="3"/>
  <c r="V831" i="3"/>
  <c r="U831" i="3"/>
  <c r="V790" i="3"/>
  <c r="U790" i="3"/>
  <c r="V497" i="3"/>
  <c r="U497" i="3"/>
  <c r="V727" i="3"/>
  <c r="U727" i="3"/>
  <c r="V707" i="3"/>
  <c r="U707" i="3"/>
  <c r="V579" i="3"/>
  <c r="U579" i="3"/>
  <c r="V656" i="3"/>
  <c r="U656" i="3"/>
  <c r="V352" i="3"/>
  <c r="U352" i="3"/>
  <c r="V639" i="3"/>
  <c r="U639" i="3"/>
  <c r="V470" i="3"/>
  <c r="U470" i="3"/>
  <c r="V506" i="3"/>
  <c r="U506" i="3"/>
  <c r="V617" i="3"/>
  <c r="U617" i="3"/>
  <c r="V121" i="3"/>
  <c r="U121" i="3"/>
  <c r="V447" i="3"/>
  <c r="U447" i="3"/>
  <c r="V529" i="3"/>
  <c r="U529" i="3"/>
  <c r="V516" i="3"/>
  <c r="U516" i="3"/>
  <c r="V1345" i="3"/>
  <c r="U1345" i="3"/>
  <c r="V1295" i="3"/>
  <c r="U1295" i="3"/>
  <c r="V1260" i="3"/>
  <c r="U1260" i="3"/>
  <c r="U10" i="3"/>
  <c r="U22" i="3"/>
  <c r="U196" i="3"/>
  <c r="U273" i="3"/>
  <c r="U566" i="3"/>
  <c r="U460" i="3"/>
  <c r="V401" i="3"/>
  <c r="D587" i="3"/>
  <c r="V1286" i="3"/>
  <c r="U1286" i="3"/>
  <c r="V1120" i="3"/>
  <c r="U1120" i="3"/>
  <c r="V1069" i="3"/>
  <c r="U1069" i="3"/>
  <c r="V1037" i="3"/>
  <c r="U1037" i="3"/>
  <c r="V986" i="3"/>
  <c r="U986" i="3"/>
  <c r="V945" i="3"/>
  <c r="U945" i="3"/>
  <c r="V897" i="3"/>
  <c r="U897" i="3"/>
  <c r="V856" i="3"/>
  <c r="U856" i="3"/>
  <c r="V473" i="3"/>
  <c r="U473" i="3"/>
  <c r="V786" i="3"/>
  <c r="U786" i="3"/>
  <c r="V746" i="3"/>
  <c r="U746" i="3"/>
  <c r="V589" i="3"/>
  <c r="U589" i="3"/>
  <c r="V700" i="3"/>
  <c r="U700" i="3"/>
  <c r="V683" i="3"/>
  <c r="U683" i="3"/>
  <c r="V657" i="3"/>
  <c r="U657" i="3"/>
  <c r="V644" i="3"/>
  <c r="U644" i="3"/>
  <c r="V259" i="3"/>
  <c r="U259" i="3"/>
  <c r="V636" i="3"/>
  <c r="U636" i="3"/>
  <c r="V494" i="3"/>
  <c r="U494" i="3"/>
  <c r="V457" i="3"/>
  <c r="U457" i="3"/>
  <c r="V251" i="3"/>
  <c r="U251" i="3"/>
  <c r="V456" i="3"/>
  <c r="U456" i="3"/>
  <c r="V1340" i="3"/>
  <c r="U1340" i="3"/>
  <c r="V1293" i="3"/>
  <c r="U1293" i="3"/>
  <c r="V1259" i="3"/>
  <c r="U1259" i="3"/>
  <c r="U65" i="3"/>
  <c r="U74" i="3"/>
  <c r="U25" i="3"/>
  <c r="U126" i="3"/>
  <c r="U332" i="3"/>
  <c r="U52" i="3"/>
  <c r="U200" i="3"/>
  <c r="U117" i="3"/>
  <c r="U203" i="3"/>
  <c r="U476" i="3"/>
  <c r="U339" i="3"/>
  <c r="U229" i="3"/>
  <c r="U434" i="3"/>
  <c r="U485" i="3"/>
  <c r="U197" i="3"/>
  <c r="H927" i="3"/>
  <c r="G995" i="3"/>
  <c r="G712" i="3"/>
  <c r="F1077" i="3"/>
  <c r="F753" i="3"/>
  <c r="E840" i="3"/>
  <c r="AD840" i="3" s="1"/>
  <c r="AD534" i="3"/>
  <c r="D927" i="3"/>
  <c r="D661" i="3"/>
  <c r="V1276" i="3"/>
  <c r="U1276" i="3"/>
  <c r="V1105" i="3"/>
  <c r="U1105" i="3"/>
  <c r="V1067" i="3"/>
  <c r="U1067" i="3"/>
  <c r="V1027" i="3"/>
  <c r="U1027" i="3"/>
  <c r="V980" i="3"/>
  <c r="U980" i="3"/>
  <c r="V940" i="3"/>
  <c r="U940" i="3"/>
  <c r="V896" i="3"/>
  <c r="U896" i="3"/>
  <c r="V825" i="3"/>
  <c r="U825" i="3"/>
  <c r="V769" i="3"/>
  <c r="U769" i="3"/>
  <c r="V734" i="3"/>
  <c r="U734" i="3"/>
  <c r="V722" i="3"/>
  <c r="U722" i="3"/>
  <c r="V699" i="3"/>
  <c r="U699" i="3"/>
  <c r="V520" i="3"/>
  <c r="U520" i="3"/>
  <c r="V469" i="3"/>
  <c r="U469" i="3"/>
  <c r="V404" i="3"/>
  <c r="U404" i="3"/>
  <c r="V319" i="3"/>
  <c r="U319" i="3"/>
  <c r="V375" i="3"/>
  <c r="U375" i="3"/>
  <c r="V118" i="3"/>
  <c r="U118" i="3"/>
  <c r="V98" i="3"/>
  <c r="U98" i="3"/>
  <c r="V390" i="3"/>
  <c r="U390" i="3"/>
  <c r="V347" i="3"/>
  <c r="U347" i="3"/>
  <c r="U1329" i="3"/>
  <c r="V1329" i="3"/>
  <c r="V1284" i="3"/>
  <c r="U1284" i="3"/>
  <c r="V1258" i="3"/>
  <c r="U1258" i="3"/>
  <c r="U7" i="3"/>
  <c r="U33" i="3"/>
  <c r="U192" i="3"/>
  <c r="U89" i="3"/>
  <c r="U298" i="3"/>
  <c r="H590" i="3"/>
  <c r="H688" i="3"/>
  <c r="G1046" i="3"/>
  <c r="G728" i="3"/>
  <c r="F1180" i="3"/>
  <c r="AD1180" i="3" s="1"/>
  <c r="AD844" i="3"/>
  <c r="F805" i="3"/>
  <c r="AD805" i="3" s="1"/>
  <c r="AD513" i="3"/>
  <c r="AD596" i="3"/>
  <c r="AD192" i="3"/>
  <c r="AD86" i="3"/>
  <c r="AD106" i="3"/>
  <c r="AD933" i="3"/>
  <c r="E587" i="3"/>
  <c r="AD563" i="3"/>
  <c r="AD448" i="3"/>
  <c r="AD503" i="3"/>
  <c r="AD310" i="3"/>
  <c r="AD52" i="3"/>
  <c r="AD185" i="3"/>
  <c r="D590" i="3"/>
  <c r="AE590" i="3" s="1"/>
  <c r="D688" i="3"/>
  <c r="D1301" i="3"/>
  <c r="V1272" i="3"/>
  <c r="U1272" i="3"/>
  <c r="V1099" i="3"/>
  <c r="U1099" i="3"/>
  <c r="V1055" i="3"/>
  <c r="U1055" i="3"/>
  <c r="V1020" i="3"/>
  <c r="U1020" i="3"/>
  <c r="V977" i="3"/>
  <c r="U977" i="3"/>
  <c r="V937" i="3"/>
  <c r="U937" i="3"/>
  <c r="V893" i="3"/>
  <c r="U893" i="3"/>
  <c r="V845" i="3"/>
  <c r="U845" i="3"/>
  <c r="V824" i="3"/>
  <c r="U824" i="3"/>
  <c r="V771" i="3"/>
  <c r="U771" i="3"/>
  <c r="V735" i="3"/>
  <c r="U735" i="3"/>
  <c r="V720" i="3"/>
  <c r="U720" i="3"/>
  <c r="V697" i="3"/>
  <c r="U697" i="3"/>
  <c r="V677" i="3"/>
  <c r="U677" i="3"/>
  <c r="V567" i="3"/>
  <c r="U567" i="3"/>
  <c r="V641" i="3"/>
  <c r="U641" i="3"/>
  <c r="V478" i="3"/>
  <c r="U478" i="3"/>
  <c r="V300" i="3"/>
  <c r="U300" i="3"/>
  <c r="V541" i="3"/>
  <c r="U541" i="3"/>
  <c r="V616" i="3"/>
  <c r="U616" i="3"/>
  <c r="V380" i="3"/>
  <c r="U380" i="3"/>
  <c r="V499" i="3"/>
  <c r="U499" i="3"/>
  <c r="V148" i="3"/>
  <c r="U148" i="3"/>
  <c r="V216" i="3"/>
  <c r="V96" i="3"/>
  <c r="V156" i="3"/>
  <c r="V51" i="3"/>
  <c r="H1398" i="3"/>
  <c r="V1398" i="3"/>
  <c r="U1398" i="3"/>
  <c r="H1314" i="3"/>
  <c r="V1314" i="3"/>
  <c r="U1314" i="3"/>
  <c r="H1281" i="3"/>
  <c r="V1281" i="3"/>
  <c r="U1281" i="3"/>
  <c r="H1257" i="3"/>
  <c r="V1257" i="3"/>
  <c r="U1257" i="3"/>
  <c r="U6" i="3"/>
  <c r="U68" i="3"/>
  <c r="U9" i="3"/>
  <c r="U106" i="3"/>
  <c r="U170" i="3"/>
  <c r="U143" i="3"/>
  <c r="U302" i="3"/>
  <c r="U185" i="3"/>
  <c r="U187" i="3"/>
  <c r="U305" i="3"/>
  <c r="U377" i="3"/>
  <c r="U512" i="3"/>
  <c r="U212" i="3"/>
  <c r="U254" i="3"/>
  <c r="U451" i="3"/>
  <c r="U221" i="3"/>
  <c r="U455" i="3"/>
  <c r="U199" i="3"/>
  <c r="U572" i="3"/>
  <c r="U293" i="3"/>
  <c r="U240" i="3"/>
  <c r="D995" i="3"/>
  <c r="D712" i="3"/>
  <c r="V1229" i="3"/>
  <c r="U1229" i="3"/>
  <c r="V1086" i="3"/>
  <c r="U1086" i="3"/>
  <c r="V1050" i="3"/>
  <c r="U1050" i="3"/>
  <c r="V562" i="3"/>
  <c r="U562" i="3"/>
  <c r="V969" i="3"/>
  <c r="U969" i="3"/>
  <c r="V938" i="3"/>
  <c r="U938" i="3"/>
  <c r="V888" i="3"/>
  <c r="U888" i="3"/>
  <c r="U556" i="3"/>
  <c r="V556" i="3"/>
  <c r="V809" i="3"/>
  <c r="U809" i="3"/>
  <c r="V761" i="3"/>
  <c r="U761" i="3"/>
  <c r="V730" i="3"/>
  <c r="U730" i="3"/>
  <c r="V719" i="3"/>
  <c r="U719" i="3"/>
  <c r="V696" i="3"/>
  <c r="U696" i="3"/>
  <c r="V664" i="3"/>
  <c r="U664" i="3"/>
  <c r="V652" i="3"/>
  <c r="U652" i="3"/>
  <c r="V345" i="3"/>
  <c r="U345" i="3"/>
  <c r="V638" i="3"/>
  <c r="U638" i="3"/>
  <c r="V442" i="3"/>
  <c r="U442" i="3"/>
  <c r="V543" i="3"/>
  <c r="U543" i="3"/>
  <c r="V285" i="3"/>
  <c r="U285" i="3"/>
  <c r="V228" i="3"/>
  <c r="U228" i="3"/>
  <c r="V349" i="3"/>
  <c r="U349" i="3"/>
  <c r="V526" i="3"/>
  <c r="U526" i="3"/>
  <c r="V1352" i="3"/>
  <c r="U1352" i="3"/>
  <c r="V1315" i="3"/>
  <c r="U1315" i="3"/>
  <c r="V1275" i="3"/>
  <c r="U1275" i="3"/>
  <c r="V1256" i="3"/>
  <c r="U1256" i="3"/>
  <c r="U11" i="3"/>
  <c r="U134" i="3"/>
  <c r="U591" i="3"/>
  <c r="U275" i="3"/>
  <c r="U310" i="3"/>
  <c r="U486" i="3"/>
  <c r="U263" i="3"/>
  <c r="U268" i="3"/>
  <c r="H1046" i="3"/>
  <c r="G1180" i="3"/>
  <c r="G805" i="3"/>
  <c r="F587" i="3"/>
  <c r="E590" i="3"/>
  <c r="AD590" i="3" s="1"/>
  <c r="E688" i="3"/>
  <c r="AD688" i="3" s="1"/>
  <c r="AD114" i="3"/>
  <c r="D1046" i="3"/>
  <c r="D728" i="3"/>
  <c r="V1197" i="3"/>
  <c r="U1197" i="3"/>
  <c r="V1085" i="3"/>
  <c r="U1085" i="3"/>
  <c r="U1049" i="3"/>
  <c r="V1049" i="3"/>
  <c r="V1017" i="3"/>
  <c r="U1017" i="3"/>
  <c r="V963" i="3"/>
  <c r="U963" i="3"/>
  <c r="V933" i="3"/>
  <c r="U933" i="3"/>
  <c r="V882" i="3"/>
  <c r="U882" i="3"/>
  <c r="V844" i="3"/>
  <c r="U844" i="3"/>
  <c r="V804" i="3"/>
  <c r="U804" i="3"/>
  <c r="V574" i="3"/>
  <c r="U574" i="3"/>
  <c r="V716" i="3"/>
  <c r="U716" i="3"/>
  <c r="V690" i="3"/>
  <c r="U690" i="3"/>
  <c r="V563" i="3"/>
  <c r="U563" i="3"/>
  <c r="V649" i="3"/>
  <c r="U649" i="3"/>
  <c r="V513" i="3"/>
  <c r="U513" i="3"/>
  <c r="V437" i="3"/>
  <c r="U437" i="3"/>
  <c r="V549" i="3"/>
  <c r="U549" i="3"/>
  <c r="V502" i="3"/>
  <c r="U502" i="3"/>
  <c r="V245" i="3"/>
  <c r="U245" i="3"/>
  <c r="V503" i="3"/>
  <c r="U503" i="3"/>
  <c r="V387" i="3"/>
  <c r="U387" i="3"/>
  <c r="V1344" i="3"/>
  <c r="U1344" i="3"/>
  <c r="V1305" i="3"/>
  <c r="U1305" i="3"/>
  <c r="V1270" i="3"/>
  <c r="U1270" i="3"/>
  <c r="V1254" i="3"/>
  <c r="U1254" i="3"/>
  <c r="U155" i="3"/>
  <c r="U50" i="3"/>
  <c r="U78" i="3"/>
  <c r="U42" i="3"/>
  <c r="U86" i="3"/>
  <c r="U67" i="3"/>
  <c r="U103" i="3"/>
  <c r="U175" i="3"/>
  <c r="U108" i="3"/>
  <c r="U312" i="3"/>
  <c r="U57" i="3"/>
  <c r="U371" i="3"/>
  <c r="U248" i="3"/>
  <c r="U202" i="3"/>
  <c r="U855" i="3"/>
  <c r="V370" i="3"/>
  <c r="BK636" i="1"/>
  <c r="BJ209" i="1"/>
  <c r="BA177" i="2"/>
  <c r="BJ397" i="1"/>
  <c r="BJ166" i="1"/>
  <c r="BA168" i="2"/>
  <c r="BJ56" i="1"/>
  <c r="BA553" i="2"/>
  <c r="BA536" i="2"/>
  <c r="BJ134" i="1"/>
  <c r="BA274" i="2"/>
  <c r="BA505" i="2"/>
  <c r="BA487" i="2"/>
  <c r="BB752" i="2"/>
  <c r="BK127" i="1"/>
  <c r="BB226" i="2"/>
  <c r="BB495" i="2"/>
  <c r="BB469" i="2"/>
  <c r="BB577" i="2"/>
  <c r="BJ49" i="1"/>
  <c r="BK389" i="1"/>
  <c r="BK365" i="1"/>
  <c r="BK247" i="1"/>
  <c r="BK373" i="1"/>
  <c r="BK152" i="1"/>
  <c r="BK161" i="1"/>
  <c r="BK700" i="1"/>
  <c r="BJ215" i="1"/>
  <c r="BJ315" i="1"/>
  <c r="BJ463" i="1"/>
  <c r="BJ95" i="1"/>
  <c r="BK431" i="1"/>
  <c r="BK334" i="1"/>
  <c r="BK425" i="1"/>
  <c r="BK442" i="1"/>
  <c r="AD1067" i="3"/>
  <c r="BK764" i="1"/>
  <c r="BK708" i="1"/>
  <c r="AD769" i="3"/>
  <c r="AE1272" i="3"/>
  <c r="AC1272" i="3"/>
  <c r="AE1099" i="3"/>
  <c r="AC1099" i="3"/>
  <c r="AE1055" i="3"/>
  <c r="AC1055" i="3"/>
  <c r="AE1020" i="3"/>
  <c r="AC1020" i="3"/>
  <c r="BH747" i="1"/>
  <c r="AE977" i="3"/>
  <c r="AC977" i="3"/>
  <c r="BH739" i="1"/>
  <c r="AE937" i="3"/>
  <c r="AE845" i="3"/>
  <c r="AC845" i="3"/>
  <c r="AE824" i="3"/>
  <c r="AC824" i="3"/>
  <c r="AE771" i="3"/>
  <c r="AC771" i="3"/>
  <c r="AE735" i="3"/>
  <c r="AC735" i="3"/>
  <c r="AE720" i="3"/>
  <c r="AC720" i="3"/>
  <c r="AE697" i="3"/>
  <c r="AC697" i="3"/>
  <c r="AE641" i="3"/>
  <c r="AC641" i="3"/>
  <c r="BH659" i="1"/>
  <c r="AE478" i="3"/>
  <c r="AE300" i="3"/>
  <c r="AE541" i="3"/>
  <c r="AE616" i="3"/>
  <c r="AC616" i="3"/>
  <c r="AE380" i="3"/>
  <c r="AE323" i="3"/>
  <c r="AE591" i="3"/>
  <c r="AE572" i="3"/>
  <c r="AE455" i="3"/>
  <c r="AE222" i="3"/>
  <c r="AE108" i="3"/>
  <c r="AE175" i="3"/>
  <c r="AE216" i="3"/>
  <c r="AE96" i="3"/>
  <c r="AE156" i="3"/>
  <c r="AE51" i="3"/>
  <c r="AE22" i="3"/>
  <c r="BH499" i="1"/>
  <c r="AE1398" i="3"/>
  <c r="AC1398" i="3"/>
  <c r="AE1314" i="3"/>
  <c r="AC1314" i="3"/>
  <c r="AE1281" i="3"/>
  <c r="AC1281" i="3"/>
  <c r="AE1257" i="3"/>
  <c r="AC1257" i="3"/>
  <c r="BA152" i="2"/>
  <c r="BK58" i="1"/>
  <c r="BK467" i="1"/>
  <c r="BI440" i="1"/>
  <c r="BJ431" i="1"/>
  <c r="BA376" i="2"/>
  <c r="BA455" i="2"/>
  <c r="BA96" i="2"/>
  <c r="BA277" i="2"/>
  <c r="BA732" i="2"/>
  <c r="BJ445" i="1"/>
  <c r="BA708" i="2"/>
  <c r="BA426" i="2"/>
  <c r="BJ442" i="1"/>
  <c r="BA23" i="2"/>
  <c r="BJ432" i="1"/>
  <c r="BB511" i="2"/>
  <c r="BB661" i="2"/>
  <c r="BK740" i="1"/>
  <c r="BB519" i="2"/>
  <c r="BK440" i="1"/>
  <c r="BK692" i="1"/>
  <c r="AE893" i="3"/>
  <c r="BA511" i="2"/>
  <c r="BA492" i="2"/>
  <c r="BA268" i="2"/>
  <c r="BA551" i="2"/>
  <c r="BJ443" i="1"/>
  <c r="BA686" i="2"/>
  <c r="BJ210" i="1"/>
  <c r="BJ176" i="1"/>
  <c r="BJ180" i="1"/>
  <c r="BJ452" i="1"/>
  <c r="BA141" i="2"/>
  <c r="BK397" i="1"/>
  <c r="BK724" i="1"/>
  <c r="BK676" i="1"/>
  <c r="BK87" i="1"/>
  <c r="BK85" i="1"/>
  <c r="BK548" i="1"/>
  <c r="AD940" i="3"/>
  <c r="AD520" i="3"/>
  <c r="AD347" i="3"/>
  <c r="AD99" i="3"/>
  <c r="AD1284" i="3"/>
  <c r="BK588" i="1"/>
  <c r="BK564" i="1"/>
  <c r="BK403" i="1"/>
  <c r="BK628" i="1"/>
  <c r="BK71" i="1"/>
  <c r="BK82" i="1"/>
  <c r="BK41" i="1"/>
  <c r="BK84" i="1"/>
  <c r="BK79" i="1"/>
  <c r="BK14" i="1"/>
  <c r="AZ661" i="2"/>
  <c r="BI333" i="1"/>
  <c r="BI213" i="1"/>
  <c r="AZ612" i="2"/>
  <c r="BI339" i="1"/>
  <c r="BI182" i="1"/>
  <c r="BI758" i="1"/>
  <c r="BI157" i="1"/>
  <c r="AZ322" i="2"/>
  <c r="BI227" i="1"/>
  <c r="BI78" i="1"/>
  <c r="BI458" i="1"/>
  <c r="BI277" i="1"/>
  <c r="BI133" i="1"/>
  <c r="BI203" i="1"/>
  <c r="BI256" i="1"/>
  <c r="BI97" i="1"/>
  <c r="BI192" i="1"/>
  <c r="BI231" i="1"/>
  <c r="BI582" i="1"/>
  <c r="BI89" i="1"/>
  <c r="BI590" i="1"/>
  <c r="BI102" i="1"/>
  <c r="BI24" i="1"/>
  <c r="BI15" i="1"/>
  <c r="BI518" i="1"/>
  <c r="BH209" i="1"/>
  <c r="BH365" i="1"/>
  <c r="BH267" i="1"/>
  <c r="BH472" i="1"/>
  <c r="AY363" i="2"/>
  <c r="AY109" i="2"/>
  <c r="AY700" i="2"/>
  <c r="BH195" i="1"/>
  <c r="AY714" i="2"/>
  <c r="BH285" i="1"/>
  <c r="BH707" i="1"/>
  <c r="BH198" i="1"/>
  <c r="BH771" i="1"/>
  <c r="BH315" i="1"/>
  <c r="BH453" i="1"/>
  <c r="AY202" i="2"/>
  <c r="BH80" i="1"/>
  <c r="BH41" i="1"/>
  <c r="AY102" i="2"/>
  <c r="AY487" i="2"/>
  <c r="BH587" i="1"/>
  <c r="BH539" i="1"/>
  <c r="AY45" i="2"/>
  <c r="BH547" i="1"/>
  <c r="BH13" i="1"/>
  <c r="BH563" i="1"/>
  <c r="BH507" i="1"/>
  <c r="K216" i="3"/>
  <c r="K96" i="3"/>
  <c r="K156" i="3"/>
  <c r="K51" i="3"/>
  <c r="K22" i="3"/>
  <c r="K1398" i="3"/>
  <c r="K1314" i="3"/>
  <c r="K1281" i="3"/>
  <c r="K1257" i="3"/>
  <c r="AZ144" i="2"/>
  <c r="BI534" i="1"/>
  <c r="BI566" i="1"/>
  <c r="AY221" i="2"/>
  <c r="AY484" i="2"/>
  <c r="BH691" i="1"/>
  <c r="AY732" i="2"/>
  <c r="AY389" i="2"/>
  <c r="AY276" i="2"/>
  <c r="AY685" i="2"/>
  <c r="AY34" i="2"/>
  <c r="BH24" i="1"/>
  <c r="AY106" i="2"/>
  <c r="BH20" i="1"/>
  <c r="BH79" i="1"/>
  <c r="AD969" i="3"/>
  <c r="AD888" i="3"/>
  <c r="AD696" i="3"/>
  <c r="AD652" i="3"/>
  <c r="AD228" i="3"/>
  <c r="AD526" i="3"/>
  <c r="AD401" i="3"/>
  <c r="AD103" i="3"/>
  <c r="AD1315" i="3"/>
  <c r="AD1256" i="3"/>
  <c r="BK500" i="1"/>
  <c r="AZ457" i="2"/>
  <c r="BI670" i="1"/>
  <c r="BI718" i="1"/>
  <c r="BI638" i="1"/>
  <c r="BI550" i="1"/>
  <c r="BH779" i="1"/>
  <c r="BH643" i="1"/>
  <c r="BH619" i="1"/>
  <c r="BH515" i="1"/>
  <c r="S216" i="3"/>
  <c r="S96" i="3"/>
  <c r="S156" i="3"/>
  <c r="S51" i="3"/>
  <c r="S22" i="3"/>
  <c r="S1398" i="3"/>
  <c r="S1314" i="3"/>
  <c r="S1281" i="3"/>
  <c r="S1257" i="3"/>
  <c r="BB296" i="2"/>
  <c r="BK580" i="1"/>
  <c r="BK716" i="1"/>
  <c r="BB351" i="2"/>
  <c r="AZ575" i="2"/>
  <c r="BI379" i="1"/>
  <c r="BI574" i="1"/>
  <c r="AZ312" i="2"/>
  <c r="BI598" i="1"/>
  <c r="BH763" i="1"/>
  <c r="P51" i="3"/>
  <c r="P22" i="3"/>
  <c r="P1398" i="3"/>
  <c r="P1314" i="3"/>
  <c r="P1281" i="3"/>
  <c r="P1257" i="3"/>
  <c r="BK540" i="1"/>
  <c r="AZ752" i="2"/>
  <c r="BI422" i="1"/>
  <c r="BI251" i="1"/>
  <c r="BI306" i="1"/>
  <c r="BI317" i="1"/>
  <c r="BI264" i="1"/>
  <c r="BI241" i="1"/>
  <c r="BI212" i="1"/>
  <c r="BI463" i="1"/>
  <c r="BI143" i="1"/>
  <c r="BI526" i="1"/>
  <c r="BH723" i="1"/>
  <c r="BH353" i="1"/>
  <c r="BH699" i="1"/>
  <c r="BH715" i="1"/>
  <c r="BH400" i="1"/>
  <c r="BH216" i="1"/>
  <c r="BH87" i="1"/>
  <c r="BH611" i="1"/>
  <c r="BH555" i="1"/>
  <c r="AD1076" i="3"/>
  <c r="AD832" i="3"/>
  <c r="AD751" i="3"/>
  <c r="AD536" i="3"/>
  <c r="AD176" i="3"/>
  <c r="AD340" i="3"/>
  <c r="AD199" i="3"/>
  <c r="AD126" i="3"/>
  <c r="AD155" i="3"/>
  <c r="BB454" i="2"/>
  <c r="BK524" i="1"/>
  <c r="BI433" i="1"/>
  <c r="AZ347" i="2"/>
  <c r="AZ676" i="2"/>
  <c r="BI654" i="1"/>
  <c r="AZ342" i="2"/>
  <c r="BI335" i="1"/>
  <c r="BI373" i="1"/>
  <c r="AZ531" i="2"/>
  <c r="AZ108" i="2"/>
  <c r="AZ458" i="2"/>
  <c r="BI161" i="1"/>
  <c r="BI622" i="1"/>
  <c r="AZ19" i="2"/>
  <c r="BI502" i="1"/>
  <c r="AY268" i="2"/>
  <c r="BH388" i="1"/>
  <c r="BH310" i="1"/>
  <c r="BH475" i="1"/>
  <c r="BH414" i="1"/>
  <c r="BH274" i="1"/>
  <c r="AY495" i="2"/>
  <c r="BH371" i="1"/>
  <c r="AY532" i="2"/>
  <c r="AY687" i="2"/>
  <c r="BH675" i="1"/>
  <c r="BH210" i="1"/>
  <c r="BH176" i="1"/>
  <c r="AY282" i="2"/>
  <c r="BH47" i="1"/>
  <c r="BH89" i="1"/>
  <c r="BH31" i="1"/>
  <c r="AD1128" i="3"/>
  <c r="AD1041" i="3"/>
  <c r="AD790" i="3"/>
  <c r="AD727" i="3"/>
  <c r="AD470" i="3"/>
  <c r="AD617" i="3"/>
  <c r="AD293" i="3"/>
  <c r="AD382" i="3"/>
  <c r="AD25" i="3"/>
  <c r="AD10" i="3"/>
  <c r="BK155" i="1"/>
  <c r="AZ356" i="2"/>
  <c r="BI678" i="1"/>
  <c r="BI686" i="1"/>
  <c r="BI55" i="1"/>
  <c r="BI742" i="1"/>
  <c r="BI48" i="1"/>
  <c r="BI486" i="1"/>
  <c r="BI558" i="1"/>
  <c r="BH731" i="1"/>
  <c r="BH436" i="1"/>
  <c r="BH446" i="1"/>
  <c r="BH335" i="1"/>
  <c r="BH386" i="1"/>
  <c r="AY413" i="2"/>
  <c r="BH49" i="1"/>
  <c r="BH268" i="1"/>
  <c r="BH193" i="1"/>
  <c r="BH361" i="1"/>
  <c r="BH305" i="1"/>
  <c r="BH155" i="1"/>
  <c r="BH149" i="1"/>
  <c r="BH174" i="1"/>
  <c r="BH579" i="1"/>
  <c r="BH106" i="1"/>
  <c r="BH39" i="1"/>
  <c r="BH531" i="1"/>
  <c r="BH14" i="1"/>
  <c r="AD1069" i="3"/>
  <c r="AD986" i="3"/>
  <c r="AD746" i="3"/>
  <c r="AD700" i="3"/>
  <c r="AD494" i="3"/>
  <c r="AD251" i="3"/>
  <c r="AD273" i="3"/>
  <c r="AD312" i="3"/>
  <c r="AD128" i="3"/>
  <c r="AD1340" i="3"/>
  <c r="BJ498" i="1"/>
  <c r="BJ402" i="1"/>
  <c r="BJ295" i="1"/>
  <c r="BJ309" i="1"/>
  <c r="BJ307" i="1"/>
  <c r="BJ300" i="1"/>
  <c r="BJ382" i="1"/>
  <c r="BJ293" i="1"/>
  <c r="BJ421" i="1"/>
  <c r="BJ412" i="1"/>
  <c r="BJ282" i="1"/>
  <c r="BJ211" i="1"/>
  <c r="BJ414" i="1"/>
  <c r="BJ195" i="1"/>
  <c r="BJ390" i="1"/>
  <c r="BJ229" i="1"/>
  <c r="BA95" i="2"/>
  <c r="BJ291" i="1"/>
  <c r="BJ164" i="1"/>
  <c r="BJ47" i="1"/>
  <c r="BJ91" i="1"/>
  <c r="BJ20" i="1"/>
  <c r="BJ61" i="1"/>
  <c r="BB601" i="2"/>
  <c r="BK419" i="1"/>
  <c r="BK484" i="1"/>
  <c r="BK356" i="1"/>
  <c r="BK649" i="1"/>
  <c r="BK297" i="1"/>
  <c r="BB476" i="2"/>
  <c r="BK280" i="1"/>
  <c r="BK348" i="1"/>
  <c r="BK238" i="1"/>
  <c r="BK244" i="1"/>
  <c r="BK178" i="1"/>
  <c r="BK136" i="1"/>
  <c r="BK150" i="1"/>
  <c r="BK234" i="1"/>
  <c r="BK335" i="1"/>
  <c r="BK386" i="1"/>
  <c r="BK371" i="1"/>
  <c r="BB501" i="2"/>
  <c r="BK417" i="1"/>
  <c r="BK80" i="1"/>
  <c r="BK660" i="1"/>
  <c r="BK465" i="1"/>
  <c r="BK37" i="1"/>
  <c r="BK112" i="1"/>
  <c r="BB33" i="2"/>
  <c r="BB11" i="2"/>
  <c r="BK60" i="1"/>
  <c r="AZ593" i="2"/>
  <c r="BI409" i="1"/>
  <c r="BI478" i="1"/>
  <c r="BI394" i="1"/>
  <c r="AZ620" i="2"/>
  <c r="BI385" i="1"/>
  <c r="BI367" i="1"/>
  <c r="BI354" i="1"/>
  <c r="BI201" i="1"/>
  <c r="BI343" i="1"/>
  <c r="AZ442" i="2"/>
  <c r="BI329" i="1"/>
  <c r="BI328" i="1"/>
  <c r="BI259" i="1"/>
  <c r="BI294" i="1"/>
  <c r="BI242" i="1"/>
  <c r="BI200" i="1"/>
  <c r="BI206" i="1"/>
  <c r="AZ679" i="2"/>
  <c r="BI162" i="1"/>
  <c r="BI298" i="1"/>
  <c r="BI376" i="1"/>
  <c r="BI415" i="1"/>
  <c r="BI303" i="1"/>
  <c r="BI273" i="1"/>
  <c r="BJ349" i="1"/>
  <c r="BJ396" i="1"/>
  <c r="BJ477" i="1"/>
  <c r="BJ381" i="1"/>
  <c r="BJ220" i="1"/>
  <c r="BJ196" i="1"/>
  <c r="BA364" i="2"/>
  <c r="BJ171" i="1"/>
  <c r="BJ109" i="1"/>
  <c r="BJ160" i="1"/>
  <c r="BJ199" i="1"/>
  <c r="BJ151" i="1"/>
  <c r="BJ317" i="1"/>
  <c r="BJ168" i="1"/>
  <c r="BJ241" i="1"/>
  <c r="BJ118" i="1"/>
  <c r="BJ405" i="1"/>
  <c r="BJ212" i="1"/>
  <c r="BJ143" i="1"/>
  <c r="BJ255" i="1"/>
  <c r="BJ135" i="1"/>
  <c r="BJ77" i="1"/>
  <c r="BB738" i="2"/>
  <c r="BK410" i="1"/>
  <c r="BB189" i="2"/>
  <c r="BK377" i="1"/>
  <c r="BB533" i="2"/>
  <c r="BK369" i="1"/>
  <c r="BB618" i="2"/>
  <c r="BK254" i="1"/>
  <c r="BK395" i="1"/>
  <c r="BK218" i="1"/>
  <c r="BK485" i="1"/>
  <c r="BK207" i="1"/>
  <c r="BK129" i="1"/>
  <c r="BK314" i="1"/>
  <c r="BK353" i="1"/>
  <c r="BK269" i="1"/>
  <c r="BK400" i="1"/>
  <c r="BK406" i="1"/>
  <c r="BK363" i="1"/>
  <c r="BK93" i="1"/>
  <c r="BK90" i="1"/>
  <c r="BK38" i="1"/>
  <c r="BK63" i="1"/>
  <c r="BK25" i="1"/>
  <c r="BK441" i="1"/>
  <c r="BI362" i="1"/>
  <c r="BI661" i="1"/>
  <c r="BI197" i="1"/>
  <c r="BI345" i="1"/>
  <c r="BI121" i="1"/>
  <c r="BI355" i="1"/>
  <c r="BI50" i="1"/>
  <c r="BI184" i="1"/>
  <c r="BI210" i="1"/>
  <c r="BI176" i="1"/>
  <c r="BI107" i="1"/>
  <c r="BI180" i="1"/>
  <c r="BJ484" i="1"/>
  <c r="BJ356" i="1"/>
  <c r="BJ389" i="1"/>
  <c r="BA568" i="2"/>
  <c r="BJ336" i="1"/>
  <c r="BJ649" i="1"/>
  <c r="BJ297" i="1"/>
  <c r="BJ113" i="1"/>
  <c r="BJ261" i="1"/>
  <c r="BJ348" i="1"/>
  <c r="BJ238" i="1"/>
  <c r="BJ365" i="1"/>
  <c r="BA607" i="2"/>
  <c r="BJ244" i="1"/>
  <c r="BJ178" i="1"/>
  <c r="BA444" i="2"/>
  <c r="BJ163" i="1"/>
  <c r="BJ136" i="1"/>
  <c r="BJ150" i="1"/>
  <c r="BA288" i="2"/>
  <c r="BJ173" i="1"/>
  <c r="BJ248" i="1"/>
  <c r="BJ234" i="1"/>
  <c r="BJ247" i="1"/>
  <c r="BJ335" i="1"/>
  <c r="BJ179" i="1"/>
  <c r="BJ386" i="1"/>
  <c r="BJ371" i="1"/>
  <c r="BJ372" i="1"/>
  <c r="BJ373" i="1"/>
  <c r="BJ152" i="1"/>
  <c r="BJ285" i="1"/>
  <c r="BJ193" i="1"/>
  <c r="BJ325" i="1"/>
  <c r="BJ312" i="1"/>
  <c r="BJ223" i="1"/>
  <c r="BJ161" i="1"/>
  <c r="BJ57" i="1"/>
  <c r="BJ417" i="1"/>
  <c r="BJ289" i="1"/>
  <c r="BJ80" i="1"/>
  <c r="BJ130" i="1"/>
  <c r="BA332" i="2"/>
  <c r="BJ660" i="1"/>
  <c r="BJ465" i="1"/>
  <c r="BJ37" i="1"/>
  <c r="BJ112" i="1"/>
  <c r="BJ76" i="1"/>
  <c r="BJ22" i="1"/>
  <c r="BJ60" i="1"/>
  <c r="BJ10" i="1"/>
  <c r="BB593" i="2"/>
  <c r="BK409" i="1"/>
  <c r="BK478" i="1"/>
  <c r="BK394" i="1"/>
  <c r="BB620" i="2"/>
  <c r="BK385" i="1"/>
  <c r="BK367" i="1"/>
  <c r="BK354" i="1"/>
  <c r="BK201" i="1"/>
  <c r="BK343" i="1"/>
  <c r="BK328" i="1"/>
  <c r="BK259" i="1"/>
  <c r="BB251" i="2"/>
  <c r="BK294" i="1"/>
  <c r="BK242" i="1"/>
  <c r="BK200" i="1"/>
  <c r="BK206" i="1"/>
  <c r="BB679" i="2"/>
  <c r="BK162" i="1"/>
  <c r="BK141" i="1"/>
  <c r="BK407" i="1"/>
  <c r="BK308" i="1"/>
  <c r="BK342" i="1"/>
  <c r="BK263" i="1"/>
  <c r="BK376" i="1"/>
  <c r="BK270" i="1"/>
  <c r="BK303" i="1"/>
  <c r="BB664" i="2"/>
  <c r="BK208" i="1"/>
  <c r="BK435" i="1"/>
  <c r="BK124" i="1"/>
  <c r="BK170" i="1"/>
  <c r="BK427" i="1"/>
  <c r="BK140" i="1"/>
  <c r="BK94" i="1"/>
  <c r="BB235" i="2"/>
  <c r="BK46" i="1"/>
  <c r="BB523" i="2"/>
  <c r="BK31" i="1"/>
  <c r="BK66" i="1"/>
  <c r="BK62" i="1"/>
  <c r="BK5" i="1"/>
  <c r="AZ194" i="2"/>
  <c r="BI383" i="1"/>
  <c r="AZ461" i="2"/>
  <c r="BI359" i="1"/>
  <c r="AZ724" i="2"/>
  <c r="BI318" i="1"/>
  <c r="BI228" i="1"/>
  <c r="BI281" i="1"/>
  <c r="BI165" i="1"/>
  <c r="BI257" i="1"/>
  <c r="BI416" i="1"/>
  <c r="BI250" i="1"/>
  <c r="BI190" i="1"/>
  <c r="BI240" i="1"/>
  <c r="BI138" i="1"/>
  <c r="BA728" i="2"/>
  <c r="BJ426" i="1"/>
  <c r="BA126" i="2"/>
  <c r="BJ418" i="1"/>
  <c r="BA738" i="2"/>
  <c r="BJ410" i="1"/>
  <c r="BA189" i="2"/>
  <c r="BJ377" i="1"/>
  <c r="BA533" i="2"/>
  <c r="BJ369" i="1"/>
  <c r="BJ366" i="1"/>
  <c r="BJ340" i="1"/>
  <c r="BJ334" i="1"/>
  <c r="BJ370" i="1"/>
  <c r="BA618" i="2"/>
  <c r="BJ254" i="1"/>
  <c r="BJ341" i="1"/>
  <c r="BJ395" i="1"/>
  <c r="BJ218" i="1"/>
  <c r="BJ146" i="1"/>
  <c r="BJ485" i="1"/>
  <c r="BJ207" i="1"/>
  <c r="BJ194" i="1"/>
  <c r="BJ472" i="1"/>
  <c r="BA588" i="2"/>
  <c r="BA352" i="2"/>
  <c r="BJ299" i="1"/>
  <c r="BA600" i="2"/>
  <c r="BJ129" i="1"/>
  <c r="BJ314" i="1"/>
  <c r="BA456" i="2"/>
  <c r="BJ353" i="1"/>
  <c r="BJ53" i="1"/>
  <c r="BJ269" i="1"/>
  <c r="BJ425" i="1"/>
  <c r="BJ423" i="1"/>
  <c r="BJ400" i="1"/>
  <c r="BA666" i="2"/>
  <c r="BJ320" i="1"/>
  <c r="BA436" i="2"/>
  <c r="BJ48" i="1"/>
  <c r="BJ406" i="1"/>
  <c r="BJ363" i="1"/>
  <c r="BJ403" i="1"/>
  <c r="BJ93" i="1"/>
  <c r="BA259" i="2"/>
  <c r="BA381" i="2"/>
  <c r="BJ71" i="1"/>
  <c r="BJ82" i="1"/>
  <c r="BJ41" i="1"/>
  <c r="BJ90" i="1"/>
  <c r="BA134" i="2"/>
  <c r="BJ38" i="1"/>
  <c r="BJ84" i="1"/>
  <c r="BA15" i="2"/>
  <c r="BJ63" i="1"/>
  <c r="BJ25" i="1"/>
  <c r="BJ441" i="1"/>
  <c r="BJ79" i="1"/>
  <c r="BJ14" i="1"/>
  <c r="BB488" i="2"/>
  <c r="BB81" i="2"/>
  <c r="BK391" i="1"/>
  <c r="BB304" i="2"/>
  <c r="BB113" i="2"/>
  <c r="BK226" i="1"/>
  <c r="BB492" i="2"/>
  <c r="BK362" i="1"/>
  <c r="BK183" i="1"/>
  <c r="BK333" i="1"/>
  <c r="BB273" i="2"/>
  <c r="BK104" i="1"/>
  <c r="BK661" i="1"/>
  <c r="BK197" i="1"/>
  <c r="BK345" i="1"/>
  <c r="BK339" i="1"/>
  <c r="BK182" i="1"/>
  <c r="BB475" i="2"/>
  <c r="BK121" i="1"/>
  <c r="BK355" i="1"/>
  <c r="BK50" i="1"/>
  <c r="BK157" i="1"/>
  <c r="BK451" i="1"/>
  <c r="BK227" i="1"/>
  <c r="BK78" i="1"/>
  <c r="BK184" i="1"/>
  <c r="BK464" i="1"/>
  <c r="BK277" i="1"/>
  <c r="BK210" i="1"/>
  <c r="BK272" i="1"/>
  <c r="BK176" i="1"/>
  <c r="BK107" i="1"/>
  <c r="BK180" i="1"/>
  <c r="BK133" i="1"/>
  <c r="BK452" i="1"/>
  <c r="BK374" i="1"/>
  <c r="BK203" i="1"/>
  <c r="BK256" i="1"/>
  <c r="BK97" i="1"/>
  <c r="BA289" i="2"/>
  <c r="BA593" i="2"/>
  <c r="BJ409" i="1"/>
  <c r="BJ478" i="1"/>
  <c r="BJ394" i="1"/>
  <c r="BA620" i="2"/>
  <c r="BJ385" i="1"/>
  <c r="BA266" i="2"/>
  <c r="BJ392" i="1"/>
  <c r="BJ367" i="1"/>
  <c r="BJ354" i="1"/>
  <c r="BJ201" i="1"/>
  <c r="BJ343" i="1"/>
  <c r="BA335" i="2"/>
  <c r="BJ58" i="1"/>
  <c r="BJ145" i="1"/>
  <c r="BJ147" i="1"/>
  <c r="BA281" i="2"/>
  <c r="BJ328" i="1"/>
  <c r="BJ259" i="1"/>
  <c r="BJ294" i="1"/>
  <c r="BJ242" i="1"/>
  <c r="BJ246" i="1"/>
  <c r="BJ139" i="1"/>
  <c r="BJ126" i="1"/>
  <c r="BJ200" i="1"/>
  <c r="BJ206" i="1"/>
  <c r="BA303" i="2"/>
  <c r="BJ125" i="1"/>
  <c r="BA215" i="2"/>
  <c r="BA679" i="2"/>
  <c r="BJ162" i="1"/>
  <c r="BA464" i="2"/>
  <c r="BA430" i="2"/>
  <c r="BJ205" i="1"/>
  <c r="BJ141" i="1"/>
  <c r="BJ222" i="1"/>
  <c r="BJ407" i="1"/>
  <c r="BA579" i="2"/>
  <c r="BJ467" i="1"/>
  <c r="BJ308" i="1"/>
  <c r="BJ342" i="1"/>
  <c r="BJ148" i="1"/>
  <c r="BA532" i="2"/>
  <c r="BJ298" i="1"/>
  <c r="BA225" i="2"/>
  <c r="BJ263" i="1"/>
  <c r="BJ376" i="1"/>
  <c r="BJ415" i="1"/>
  <c r="BJ270" i="1"/>
  <c r="BA556" i="2"/>
  <c r="BJ303" i="1"/>
  <c r="BJ468" i="1"/>
  <c r="BJ273" i="1"/>
  <c r="BJ208" i="1"/>
  <c r="BA467" i="2"/>
  <c r="BA188" i="2"/>
  <c r="BJ124" i="1"/>
  <c r="BJ170" i="1"/>
  <c r="BJ427" i="1"/>
  <c r="BJ158" i="1"/>
  <c r="BJ140" i="1"/>
  <c r="BA133" i="2"/>
  <c r="BJ94" i="1"/>
  <c r="BJ469" i="1"/>
  <c r="BA155" i="2"/>
  <c r="BJ46" i="1"/>
  <c r="BA254" i="2"/>
  <c r="BA37" i="2"/>
  <c r="BA200" i="2"/>
  <c r="BA139" i="2"/>
  <c r="BA60" i="2"/>
  <c r="BJ31" i="1"/>
  <c r="BJ66" i="1"/>
  <c r="BJ62" i="1"/>
  <c r="BJ5" i="1"/>
  <c r="BK236" i="1"/>
  <c r="BB194" i="2"/>
  <c r="BK383" i="1"/>
  <c r="BK202" i="1"/>
  <c r="BB724" i="2"/>
  <c r="BK318" i="1"/>
  <c r="BK172" i="1"/>
  <c r="BK331" i="1"/>
  <c r="BK324" i="1"/>
  <c r="BK228" i="1"/>
  <c r="BK281" i="1"/>
  <c r="BK177" i="1"/>
  <c r="BK165" i="1"/>
  <c r="BK257" i="1"/>
  <c r="BB371" i="2"/>
  <c r="BK230" i="1"/>
  <c r="BB260" i="2"/>
  <c r="BK144" i="1"/>
  <c r="BK416" i="1"/>
  <c r="BK250" i="1"/>
  <c r="BK190" i="1"/>
  <c r="BK110" i="1"/>
  <c r="BK240" i="1"/>
  <c r="BK327" i="1"/>
  <c r="BK187" i="1"/>
  <c r="BB463" i="2"/>
  <c r="BK138" i="1"/>
  <c r="BK167" i="1"/>
  <c r="BB400" i="2"/>
  <c r="BK169" i="1"/>
  <c r="BK51" i="1"/>
  <c r="BK120" i="1"/>
  <c r="BK350" i="1"/>
  <c r="BK59" i="1"/>
  <c r="BB746" i="2"/>
  <c r="BK361" i="1"/>
  <c r="BB683" i="2"/>
  <c r="BK305" i="1"/>
  <c r="BB64" i="2"/>
  <c r="BK249" i="1"/>
  <c r="BK185" i="1"/>
  <c r="BK470" i="1"/>
  <c r="BK323" i="1"/>
  <c r="BB144" i="2"/>
  <c r="BB506" i="2"/>
  <c r="BB286" i="2"/>
  <c r="BB429" i="2"/>
  <c r="BK245" i="1"/>
  <c r="BB258" i="2"/>
  <c r="BK108" i="1"/>
  <c r="BB77" i="2"/>
  <c r="BK106" i="1"/>
  <c r="BB40" i="2"/>
  <c r="BK86" i="1"/>
  <c r="BK73" i="1"/>
  <c r="BA537" i="2"/>
  <c r="BJ311" i="1"/>
  <c r="BJ333" i="1"/>
  <c r="BJ213" i="1"/>
  <c r="BJ104" i="1"/>
  <c r="BJ661" i="1"/>
  <c r="BJ197" i="1"/>
  <c r="BJ345" i="1"/>
  <c r="BJ339" i="1"/>
  <c r="BJ182" i="1"/>
  <c r="BA201" i="2"/>
  <c r="BJ121" i="1"/>
  <c r="BJ355" i="1"/>
  <c r="BJ50" i="1"/>
  <c r="BJ157" i="1"/>
  <c r="BJ227" i="1"/>
  <c r="BJ78" i="1"/>
  <c r="BJ456" i="1"/>
  <c r="BJ184" i="1"/>
  <c r="BJ277" i="1"/>
  <c r="BJ107" i="1"/>
  <c r="BJ133" i="1"/>
  <c r="BA609" i="2"/>
  <c r="BJ374" i="1"/>
  <c r="BJ203" i="1"/>
  <c r="BJ256" i="1"/>
  <c r="BJ97" i="1"/>
  <c r="BJ192" i="1"/>
  <c r="BJ231" i="1"/>
  <c r="BJ471" i="1"/>
  <c r="BJ96" i="1"/>
  <c r="BJ186" i="1"/>
  <c r="BJ103" i="1"/>
  <c r="BJ174" i="1"/>
  <c r="BJ89" i="1"/>
  <c r="BJ102" i="1"/>
  <c r="BJ67" i="1"/>
  <c r="BJ24" i="1"/>
  <c r="BJ13" i="1"/>
  <c r="BJ15" i="1"/>
  <c r="BJ27" i="1"/>
  <c r="BJ16" i="1"/>
  <c r="BK776" i="1"/>
  <c r="BK404" i="1"/>
  <c r="BK142" i="1"/>
  <c r="BK326" i="1"/>
  <c r="BK301" i="1"/>
  <c r="BK387" i="1"/>
  <c r="BK388" i="1"/>
  <c r="BK253" i="1"/>
  <c r="BK337" i="1"/>
  <c r="BK128" i="1"/>
  <c r="BK338" i="1"/>
  <c r="BK278" i="1"/>
  <c r="BK233" i="1"/>
  <c r="BK408" i="1"/>
  <c r="BK189" i="1"/>
  <c r="BK283" i="1"/>
  <c r="BK181" i="1"/>
  <c r="BB604" i="2"/>
  <c r="BK378" i="1"/>
  <c r="BK44" i="1"/>
  <c r="BK322" i="1"/>
  <c r="BK275" i="1"/>
  <c r="BK368" i="1"/>
  <c r="BB753" i="2"/>
  <c r="BK351" i="1"/>
  <c r="BB301" i="2"/>
  <c r="BK156" i="1"/>
  <c r="BK265" i="1"/>
  <c r="BB391" i="2"/>
  <c r="BB482" i="2"/>
  <c r="BK313" i="1"/>
  <c r="BB410" i="2"/>
  <c r="BK330" i="1"/>
  <c r="BK262" i="1"/>
  <c r="BK344" i="1"/>
  <c r="BB369" i="2"/>
  <c r="BK332" i="1"/>
  <c r="BK117" i="1"/>
  <c r="BK39" i="1"/>
  <c r="BK459" i="1"/>
  <c r="BK21" i="1"/>
  <c r="BK17" i="1"/>
  <c r="BK503" i="1"/>
  <c r="BK437" i="1"/>
  <c r="BK64" i="1"/>
  <c r="BK8" i="1"/>
  <c r="BK6" i="1"/>
  <c r="B5" i="10"/>
  <c r="B28" i="10"/>
  <c r="B10" i="10"/>
  <c r="B27" i="10"/>
  <c r="B8" i="10"/>
  <c r="B11" i="10"/>
  <c r="B23" i="10"/>
  <c r="B21" i="10"/>
  <c r="B4" i="10"/>
  <c r="B17" i="10"/>
  <c r="B19" i="10"/>
  <c r="B25" i="10"/>
  <c r="F3" i="10"/>
  <c r="B14" i="10"/>
  <c r="B12" i="10"/>
  <c r="B13" i="10"/>
  <c r="B26" i="10"/>
  <c r="B18" i="10"/>
  <c r="B3" i="10"/>
  <c r="B22" i="10"/>
  <c r="B16" i="10"/>
  <c r="B20" i="10"/>
  <c r="B9" i="10"/>
  <c r="F27" i="10"/>
  <c r="B7" i="10"/>
  <c r="B6" i="10"/>
  <c r="B15" i="10"/>
  <c r="B24" i="10"/>
  <c r="BI349" i="1"/>
  <c r="BI396" i="1"/>
  <c r="BI477" i="1"/>
  <c r="BI381" i="1"/>
  <c r="AZ261" i="2"/>
  <c r="BI346" i="1"/>
  <c r="BI127" i="1"/>
  <c r="BI191" i="1"/>
  <c r="BI321" i="1"/>
  <c r="BI215" i="1"/>
  <c r="BJ236" i="1"/>
  <c r="BA194" i="2"/>
  <c r="BJ383" i="1"/>
  <c r="BA461" i="2"/>
  <c r="BJ359" i="1"/>
  <c r="BA519" i="2"/>
  <c r="BJ202" i="1"/>
  <c r="BA724" i="2"/>
  <c r="BJ318" i="1"/>
  <c r="BJ324" i="1"/>
  <c r="BJ228" i="1"/>
  <c r="BJ281" i="1"/>
  <c r="BJ165" i="1"/>
  <c r="BJ257" i="1"/>
  <c r="BA371" i="2"/>
  <c r="BJ230" i="1"/>
  <c r="BJ416" i="1"/>
  <c r="BJ250" i="1"/>
  <c r="BJ190" i="1"/>
  <c r="BJ110" i="1"/>
  <c r="BA674" i="2"/>
  <c r="BJ327" i="1"/>
  <c r="BJ187" i="1"/>
  <c r="BJ138" i="1"/>
  <c r="BJ169" i="1"/>
  <c r="BJ120" i="1"/>
  <c r="BJ350" i="1"/>
  <c r="BA256" i="2"/>
  <c r="BJ361" i="1"/>
  <c r="BJ249" i="1"/>
  <c r="BJ185" i="1"/>
  <c r="BJ470" i="1"/>
  <c r="BJ323" i="1"/>
  <c r="BA97" i="2"/>
  <c r="BA506" i="2"/>
  <c r="BA374" i="2"/>
  <c r="BJ245" i="1"/>
  <c r="BA258" i="2"/>
  <c r="BA77" i="2"/>
  <c r="BJ106" i="1"/>
  <c r="BA447" i="2"/>
  <c r="BJ73" i="1"/>
  <c r="BJ11" i="1"/>
  <c r="BJ18" i="1"/>
  <c r="BJ7" i="1"/>
  <c r="BK498" i="1"/>
  <c r="BK402" i="1"/>
  <c r="BB575" i="2"/>
  <c r="BK380" i="1"/>
  <c r="BB516" i="2"/>
  <c r="BK357" i="1"/>
  <c r="BK295" i="1"/>
  <c r="BK309" i="1"/>
  <c r="BK307" i="1"/>
  <c r="BK300" i="1"/>
  <c r="BK382" i="1"/>
  <c r="BK293" i="1"/>
  <c r="BK421" i="1"/>
  <c r="BK412" i="1"/>
  <c r="BK282" i="1"/>
  <c r="BK211" i="1"/>
  <c r="BK310" i="1"/>
  <c r="BK219" i="1"/>
  <c r="BK414" i="1"/>
  <c r="BB642" i="2"/>
  <c r="BB325" i="2"/>
  <c r="BK88" i="1"/>
  <c r="BK204" i="1"/>
  <c r="BB196" i="2"/>
  <c r="BK45" i="1"/>
  <c r="BK153" i="1"/>
  <c r="BK195" i="1"/>
  <c r="BK290" i="1"/>
  <c r="BK399" i="1"/>
  <c r="BK390" i="1"/>
  <c r="BK229" i="1"/>
  <c r="BB687" i="2"/>
  <c r="BK198" i="1"/>
  <c r="BK164" i="1"/>
  <c r="BK47" i="1"/>
  <c r="BK98" i="1"/>
  <c r="BK91" i="1"/>
  <c r="BK75" i="1"/>
  <c r="BB65" i="2"/>
  <c r="BK20" i="1"/>
  <c r="BK61" i="1"/>
  <c r="AZ601" i="2"/>
  <c r="BI419" i="1"/>
  <c r="BI484" i="1"/>
  <c r="BI356" i="1"/>
  <c r="AZ568" i="2"/>
  <c r="BI336" i="1"/>
  <c r="BI649" i="1"/>
  <c r="BI297" i="1"/>
  <c r="AZ476" i="2"/>
  <c r="BI280" i="1"/>
  <c r="BI348" i="1"/>
  <c r="BI238" i="1"/>
  <c r="BI267" i="1"/>
  <c r="BI244" i="1"/>
  <c r="BI178" i="1"/>
  <c r="AZ444" i="2"/>
  <c r="BI163" i="1"/>
  <c r="BI136" i="1"/>
  <c r="BI150" i="1"/>
  <c r="BI173" i="1"/>
  <c r="BI248" i="1"/>
  <c r="BI234" i="1"/>
  <c r="BA623" i="2"/>
  <c r="BJ413" i="1"/>
  <c r="BJ776" i="1"/>
  <c r="BJ404" i="1"/>
  <c r="BJ326" i="1"/>
  <c r="BJ301" i="1"/>
  <c r="BJ387" i="1"/>
  <c r="BJ253" i="1"/>
  <c r="BJ337" i="1"/>
  <c r="BJ338" i="1"/>
  <c r="BJ278" i="1"/>
  <c r="BJ408" i="1"/>
  <c r="BJ189" i="1"/>
  <c r="BJ283" i="1"/>
  <c r="BJ181" i="1"/>
  <c r="BA359" i="2"/>
  <c r="BJ131" i="1"/>
  <c r="BJ378" i="1"/>
  <c r="BJ44" i="1"/>
  <c r="BJ322" i="1"/>
  <c r="BJ275" i="1"/>
  <c r="BJ368" i="1"/>
  <c r="BJ351" i="1"/>
  <c r="BJ265" i="1"/>
  <c r="BJ330" i="1"/>
  <c r="BJ262" i="1"/>
  <c r="BJ344" i="1"/>
  <c r="BJ87" i="1"/>
  <c r="BJ85" i="1"/>
  <c r="BJ117" i="1"/>
  <c r="BA27" i="2"/>
  <c r="BA151" i="2"/>
  <c r="BJ39" i="1"/>
  <c r="BJ459" i="1"/>
  <c r="BA249" i="2"/>
  <c r="BJ21" i="1"/>
  <c r="BJ17" i="1"/>
  <c r="BJ503" i="1"/>
  <c r="BJ437" i="1"/>
  <c r="BJ64" i="1"/>
  <c r="BJ8" i="1"/>
  <c r="BJ6" i="1"/>
  <c r="BB525" i="2"/>
  <c r="BK420" i="1"/>
  <c r="BK349" i="1"/>
  <c r="BK396" i="1"/>
  <c r="BK477" i="1"/>
  <c r="BK381" i="1"/>
  <c r="BB547" i="2"/>
  <c r="BK364" i="1"/>
  <c r="BB261" i="2"/>
  <c r="BK346" i="1"/>
  <c r="BB484" i="2"/>
  <c r="BK288" i="1"/>
  <c r="BK191" i="1"/>
  <c r="BK321" i="1"/>
  <c r="BK260" i="1"/>
  <c r="BK422" i="1"/>
  <c r="BK220" i="1"/>
  <c r="BK196" i="1"/>
  <c r="BB364" i="2"/>
  <c r="BK171" i="1"/>
  <c r="BK251" i="1"/>
  <c r="BK109" i="1"/>
  <c r="BK160" i="1"/>
  <c r="BK199" i="1"/>
  <c r="BK151" i="1"/>
  <c r="BK175" i="1"/>
  <c r="BK306" i="1"/>
  <c r="BK274" i="1"/>
  <c r="BK252" i="1"/>
  <c r="BK393" i="1"/>
  <c r="BK317" i="1"/>
  <c r="BK168" i="1"/>
  <c r="BK214" i="1"/>
  <c r="BK264" i="1"/>
  <c r="BK411" i="1"/>
  <c r="BK241" i="1"/>
  <c r="BK287" i="1"/>
  <c r="BK268" i="1"/>
  <c r="BK118" i="1"/>
  <c r="BK52" i="1"/>
  <c r="BK405" i="1"/>
  <c r="BK212" i="1"/>
  <c r="BK315" i="1"/>
  <c r="BK137" i="1"/>
  <c r="BK143" i="1"/>
  <c r="BK255" i="1"/>
  <c r="BK296" i="1"/>
  <c r="BK149" i="1"/>
  <c r="BK95" i="1"/>
  <c r="BK135" i="1"/>
  <c r="BK105" i="1"/>
  <c r="BB655" i="2"/>
  <c r="BK43" i="1"/>
  <c r="BK77" i="1"/>
  <c r="BK36" i="1"/>
  <c r="BB22" i="2"/>
  <c r="BK19" i="1"/>
  <c r="BK9" i="1"/>
  <c r="AZ738" i="2"/>
  <c r="BI410" i="1"/>
  <c r="BI352" i="1"/>
  <c r="BK11" i="1"/>
  <c r="BK18" i="1"/>
  <c r="BK7" i="1"/>
  <c r="BB5" i="2"/>
  <c r="BI498" i="1"/>
  <c r="BI402" i="1"/>
  <c r="BI398" i="1"/>
  <c r="AZ516" i="2"/>
  <c r="BI357" i="1"/>
  <c r="BI115" i="1"/>
  <c r="BI295" i="1"/>
  <c r="BI309" i="1"/>
  <c r="BI307" i="1"/>
  <c r="BI382" i="1"/>
  <c r="BI293" i="1"/>
  <c r="BI421" i="1"/>
  <c r="BI412" i="1"/>
  <c r="BI282" i="1"/>
  <c r="BI211" i="1"/>
  <c r="AZ445" i="2"/>
  <c r="BI310" i="1"/>
  <c r="BI219" i="1"/>
  <c r="BI414" i="1"/>
  <c r="BI358" i="1"/>
  <c r="AZ140" i="2"/>
  <c r="BI266" i="1"/>
  <c r="AZ325" i="2"/>
  <c r="BI88" i="1"/>
  <c r="BI204" i="1"/>
  <c r="AZ196" i="2"/>
  <c r="BI45" i="1"/>
  <c r="BI224" i="1"/>
  <c r="AZ640" i="2"/>
  <c r="AZ734" i="2"/>
  <c r="BI153" i="1"/>
  <c r="BI195" i="1"/>
  <c r="BI290" i="1"/>
  <c r="AZ334" i="2"/>
  <c r="BI399" i="1"/>
  <c r="BI390" i="1"/>
  <c r="BI229" i="1"/>
  <c r="BI49" i="1"/>
  <c r="AZ198" i="2"/>
  <c r="AZ357" i="2"/>
  <c r="BI198" i="1"/>
  <c r="BI454" i="1"/>
  <c r="AZ78" i="2"/>
  <c r="AZ95" i="2"/>
  <c r="BI42" i="1"/>
  <c r="BI74" i="1"/>
  <c r="BI291" i="1"/>
  <c r="BI164" i="1"/>
  <c r="AZ239" i="2"/>
  <c r="BI47" i="1"/>
  <c r="BI98" i="1"/>
  <c r="BI91" i="1"/>
  <c r="BI75" i="1"/>
  <c r="AZ173" i="2"/>
  <c r="AZ65" i="2"/>
  <c r="BI260" i="1"/>
  <c r="BI220" i="1"/>
  <c r="BI199" i="1"/>
  <c r="BI274" i="1"/>
  <c r="BI252" i="1"/>
  <c r="BI393" i="1"/>
  <c r="AZ495" i="2"/>
  <c r="AZ469" i="2"/>
  <c r="BI214" i="1"/>
  <c r="BI411" i="1"/>
  <c r="AZ577" i="2"/>
  <c r="BI287" i="1"/>
  <c r="BI159" i="1"/>
  <c r="BI268" i="1"/>
  <c r="BI52" i="1"/>
  <c r="BI405" i="1"/>
  <c r="BI315" i="1"/>
  <c r="BI155" i="1"/>
  <c r="BI137" i="1"/>
  <c r="BI255" i="1"/>
  <c r="BI296" i="1"/>
  <c r="BI149" i="1"/>
  <c r="BI95" i="1"/>
  <c r="BI135" i="1"/>
  <c r="BI105" i="1"/>
  <c r="BI43" i="1"/>
  <c r="BI77" i="1"/>
  <c r="BI36" i="1"/>
  <c r="BI19" i="1"/>
  <c r="BI9" i="1"/>
  <c r="AY728" i="2"/>
  <c r="BH426" i="1"/>
  <c r="AY126" i="2"/>
  <c r="BH418" i="1"/>
  <c r="AY738" i="2"/>
  <c r="BH410" i="1"/>
  <c r="BH352" i="1"/>
  <c r="AY189" i="2"/>
  <c r="BH377" i="1"/>
  <c r="AY533" i="2"/>
  <c r="BH369" i="1"/>
  <c r="BH392" i="1"/>
  <c r="BH367" i="1"/>
  <c r="BH354" i="1"/>
  <c r="BH201" i="1"/>
  <c r="BH343" i="1"/>
  <c r="AY442" i="2"/>
  <c r="BH329" i="1"/>
  <c r="BH228" i="1"/>
  <c r="BH281" i="1"/>
  <c r="BH177" i="1"/>
  <c r="BH165" i="1"/>
  <c r="BH257" i="1"/>
  <c r="BH144" i="1"/>
  <c r="BH416" i="1"/>
  <c r="BH250" i="1"/>
  <c r="BH190" i="1"/>
  <c r="AY359" i="2"/>
  <c r="BH131" i="1"/>
  <c r="AY325" i="2"/>
  <c r="BH88" i="1"/>
  <c r="BH204" i="1"/>
  <c r="AY279" i="2"/>
  <c r="BH59" i="1"/>
  <c r="BH265" i="1"/>
  <c r="BH270" i="1"/>
  <c r="BH303" i="1"/>
  <c r="BH107" i="1"/>
  <c r="BH291" i="1"/>
  <c r="BH164" i="1"/>
  <c r="AY338" i="2"/>
  <c r="BH255" i="1"/>
  <c r="BH192" i="1"/>
  <c r="BH117" i="1"/>
  <c r="BI380" i="1"/>
  <c r="BI386" i="1"/>
  <c r="BI371" i="1"/>
  <c r="BI372" i="1"/>
  <c r="BI285" i="1"/>
  <c r="BI279" i="1"/>
  <c r="BI193" i="1"/>
  <c r="AZ478" i="2"/>
  <c r="BI325" i="1"/>
  <c r="BI312" i="1"/>
  <c r="BI223" i="1"/>
  <c r="BI57" i="1"/>
  <c r="BI417" i="1"/>
  <c r="BI289" i="1"/>
  <c r="BI80" i="1"/>
  <c r="BI130" i="1"/>
  <c r="BI37" i="1"/>
  <c r="BI112" i="1"/>
  <c r="BI76" i="1"/>
  <c r="BI22" i="1"/>
  <c r="BI60" i="1"/>
  <c r="BI10" i="1"/>
  <c r="AY593" i="2"/>
  <c r="BH409" i="1"/>
  <c r="BH478" i="1"/>
  <c r="BH394" i="1"/>
  <c r="AY620" i="2"/>
  <c r="BH385" i="1"/>
  <c r="BH326" i="1"/>
  <c r="BH301" i="1"/>
  <c r="BH253" i="1"/>
  <c r="BH337" i="1"/>
  <c r="BH128" i="1"/>
  <c r="BH338" i="1"/>
  <c r="BH278" i="1"/>
  <c r="BH233" i="1"/>
  <c r="BH408" i="1"/>
  <c r="BH189" i="1"/>
  <c r="BH283" i="1"/>
  <c r="BH181" i="1"/>
  <c r="BH219" i="1"/>
  <c r="BH358" i="1"/>
  <c r="BH252" i="1"/>
  <c r="BH393" i="1"/>
  <c r="BH317" i="1"/>
  <c r="BH168" i="1"/>
  <c r="AY417" i="2"/>
  <c r="BH156" i="1"/>
  <c r="BH118" i="1"/>
  <c r="BH415" i="1"/>
  <c r="BH277" i="1"/>
  <c r="BH42" i="1"/>
  <c r="BH74" i="1"/>
  <c r="BH143" i="1"/>
  <c r="BH57" i="1"/>
  <c r="BH417" i="1"/>
  <c r="BH289" i="1"/>
  <c r="BH46" i="1"/>
  <c r="BH38" i="1"/>
  <c r="BH73" i="1"/>
  <c r="BH15" i="1"/>
  <c r="BH503" i="1"/>
  <c r="BH437" i="1"/>
  <c r="BH10" i="1"/>
  <c r="BI413" i="1"/>
  <c r="BI347" i="1"/>
  <c r="AZ533" i="2"/>
  <c r="BI369" i="1"/>
  <c r="BI101" i="1"/>
  <c r="BI340" i="1"/>
  <c r="BI370" i="1"/>
  <c r="BI235" i="1"/>
  <c r="BI341" i="1"/>
  <c r="BI395" i="1"/>
  <c r="BI218" i="1"/>
  <c r="BI485" i="1"/>
  <c r="BI207" i="1"/>
  <c r="BI194" i="1"/>
  <c r="BI472" i="1"/>
  <c r="BI299" i="1"/>
  <c r="BI129" i="1"/>
  <c r="BI314" i="1"/>
  <c r="AZ544" i="2"/>
  <c r="BI353" i="1"/>
  <c r="BI53" i="1"/>
  <c r="BI269" i="1"/>
  <c r="BI425" i="1"/>
  <c r="AZ510" i="2"/>
  <c r="BI423" i="1"/>
  <c r="BI400" i="1"/>
  <c r="BI320" i="1"/>
  <c r="BI406" i="1"/>
  <c r="BI363" i="1"/>
  <c r="AZ175" i="2"/>
  <c r="BI403" i="1"/>
  <c r="BI93" i="1"/>
  <c r="AZ381" i="2"/>
  <c r="BI71" i="1"/>
  <c r="BI82" i="1"/>
  <c r="BI41" i="1"/>
  <c r="AZ99" i="2"/>
  <c r="BI90" i="1"/>
  <c r="BI38" i="1"/>
  <c r="BI84" i="1"/>
  <c r="AZ15" i="2"/>
  <c r="BI63" i="1"/>
  <c r="BI25" i="1"/>
  <c r="BI441" i="1"/>
  <c r="BI79" i="1"/>
  <c r="BI14" i="1"/>
  <c r="AY81" i="2"/>
  <c r="BH391" i="1"/>
  <c r="BH226" i="1"/>
  <c r="AY461" i="2"/>
  <c r="BH359" i="1"/>
  <c r="AY724" i="2"/>
  <c r="BH318" i="1"/>
  <c r="BH295" i="1"/>
  <c r="BH309" i="1"/>
  <c r="BH307" i="1"/>
  <c r="BH300" i="1"/>
  <c r="BH382" i="1"/>
  <c r="BH293" i="1"/>
  <c r="BH421" i="1"/>
  <c r="BH412" i="1"/>
  <c r="BH282" i="1"/>
  <c r="BH211" i="1"/>
  <c r="BH251" i="1"/>
  <c r="BH109" i="1"/>
  <c r="BH160" i="1"/>
  <c r="BH199" i="1"/>
  <c r="BH151" i="1"/>
  <c r="BH221" i="1"/>
  <c r="BH175" i="1"/>
  <c r="BH306" i="1"/>
  <c r="AY195" i="2"/>
  <c r="BH248" i="1"/>
  <c r="BH234" i="1"/>
  <c r="BH247" i="1"/>
  <c r="BH179" i="1"/>
  <c r="BH350" i="1"/>
  <c r="BH399" i="1"/>
  <c r="BH390" i="1"/>
  <c r="BH229" i="1"/>
  <c r="BH262" i="1"/>
  <c r="BH344" i="1"/>
  <c r="BH137" i="1"/>
  <c r="BH403" i="1"/>
  <c r="BH93" i="1"/>
  <c r="BH140" i="1"/>
  <c r="BI377" i="1"/>
  <c r="BI171" i="1"/>
  <c r="BI254" i="1"/>
  <c r="BI170" i="1"/>
  <c r="BI427" i="1"/>
  <c r="BI158" i="1"/>
  <c r="BI469" i="1"/>
  <c r="BI66" i="1"/>
  <c r="BI62" i="1"/>
  <c r="AY194" i="2"/>
  <c r="BH383" i="1"/>
  <c r="AY457" i="2"/>
  <c r="BH347" i="1"/>
  <c r="BH422" i="1"/>
  <c r="BH220" i="1"/>
  <c r="BH196" i="1"/>
  <c r="AY444" i="2"/>
  <c r="BH163" i="1"/>
  <c r="BH136" i="1"/>
  <c r="BH150" i="1"/>
  <c r="BH299" i="1"/>
  <c r="BH129" i="1"/>
  <c r="BH51" i="1"/>
  <c r="BH368" i="1"/>
  <c r="BH330" i="1"/>
  <c r="BH312" i="1"/>
  <c r="BH660" i="1"/>
  <c r="BH465" i="1"/>
  <c r="BH103" i="1"/>
  <c r="BH112" i="1"/>
  <c r="AY110" i="2"/>
  <c r="BH70" i="1"/>
  <c r="BH397" i="1"/>
  <c r="BH78" i="1"/>
  <c r="BH84" i="1"/>
  <c r="BH170" i="1"/>
  <c r="BH148" i="1"/>
  <c r="BH322" i="1"/>
  <c r="BH43" i="1"/>
  <c r="BH245" i="1"/>
  <c r="BH296" i="1"/>
  <c r="BH97" i="1"/>
  <c r="BH86" i="1"/>
  <c r="BH90" i="1"/>
  <c r="BH27" i="1"/>
  <c r="BH17" i="1"/>
  <c r="BH22" i="1"/>
  <c r="BI160" i="1"/>
  <c r="BI465" i="1"/>
  <c r="BI374" i="1"/>
  <c r="BI384" i="1"/>
  <c r="BI471" i="1"/>
  <c r="BI96" i="1"/>
  <c r="BI186" i="1"/>
  <c r="BI103" i="1"/>
  <c r="BI174" i="1"/>
  <c r="BI67" i="1"/>
  <c r="BI13" i="1"/>
  <c r="BI27" i="1"/>
  <c r="BI16" i="1"/>
  <c r="BH776" i="1"/>
  <c r="BH404" i="1"/>
  <c r="BH379" i="1"/>
  <c r="BH649" i="1"/>
  <c r="BH297" i="1"/>
  <c r="AY476" i="2"/>
  <c r="BH280" i="1"/>
  <c r="BH261" i="1"/>
  <c r="BH348" i="1"/>
  <c r="BH238" i="1"/>
  <c r="BH244" i="1"/>
  <c r="BH178" i="1"/>
  <c r="BH194" i="1"/>
  <c r="BH407" i="1"/>
  <c r="BH308" i="1"/>
  <c r="BH157" i="1"/>
  <c r="BH153" i="1"/>
  <c r="BH290" i="1"/>
  <c r="BH376" i="1"/>
  <c r="BH48" i="1"/>
  <c r="BH406" i="1"/>
  <c r="BH374" i="1"/>
  <c r="BH203" i="1"/>
  <c r="BH256" i="1"/>
  <c r="BH130" i="1"/>
  <c r="BH186" i="1"/>
  <c r="BH75" i="1"/>
  <c r="BH76" i="1"/>
  <c r="BH36" i="1"/>
  <c r="BI300" i="1"/>
  <c r="BI167" i="1"/>
  <c r="BI169" i="1"/>
  <c r="BI120" i="1"/>
  <c r="BI59" i="1"/>
  <c r="AZ296" i="2"/>
  <c r="BI361" i="1"/>
  <c r="BI305" i="1"/>
  <c r="BI185" i="1"/>
  <c r="BI245" i="1"/>
  <c r="BI108" i="1"/>
  <c r="BI106" i="1"/>
  <c r="BI86" i="1"/>
  <c r="BI73" i="1"/>
  <c r="BI11" i="1"/>
  <c r="BI18" i="1"/>
  <c r="BI7" i="1"/>
  <c r="BH498" i="1"/>
  <c r="BH402" i="1"/>
  <c r="AY575" i="2"/>
  <c r="BH380" i="1"/>
  <c r="AY261" i="2"/>
  <c r="BH346" i="1"/>
  <c r="BH334" i="1"/>
  <c r="BH119" i="1"/>
  <c r="BH395" i="1"/>
  <c r="BH218" i="1"/>
  <c r="BH485" i="1"/>
  <c r="BH207" i="1"/>
  <c r="AY679" i="2"/>
  <c r="BH162" i="1"/>
  <c r="BH205" i="1"/>
  <c r="BH141" i="1"/>
  <c r="BH222" i="1"/>
  <c r="BH355" i="1"/>
  <c r="BH50" i="1"/>
  <c r="BH275" i="1"/>
  <c r="BH264" i="1"/>
  <c r="BH423" i="1"/>
  <c r="BH405" i="1"/>
  <c r="BH212" i="1"/>
  <c r="BH124" i="1"/>
  <c r="BH323" i="1"/>
  <c r="BH71" i="1"/>
  <c r="BH98" i="1"/>
  <c r="BH91" i="1"/>
  <c r="BH105" i="1"/>
  <c r="BH16" i="1"/>
  <c r="BK192" i="1"/>
  <c r="BK231" i="1"/>
  <c r="BK471" i="1"/>
  <c r="BK96" i="1"/>
  <c r="BK186" i="1"/>
  <c r="BK103" i="1"/>
  <c r="BK174" i="1"/>
  <c r="BK89" i="1"/>
  <c r="BK102" i="1"/>
  <c r="BK67" i="1"/>
  <c r="BK24" i="1"/>
  <c r="BK13" i="1"/>
  <c r="BK15" i="1"/>
  <c r="BK27" i="1"/>
  <c r="BK16" i="1"/>
  <c r="BI209" i="1"/>
  <c r="BI776" i="1"/>
  <c r="BI404" i="1"/>
  <c r="AZ566" i="2"/>
  <c r="BI142" i="1"/>
  <c r="BI397" i="1"/>
  <c r="BI326" i="1"/>
  <c r="BI387" i="1"/>
  <c r="BI388" i="1"/>
  <c r="BI253" i="1"/>
  <c r="BI337" i="1"/>
  <c r="BI166" i="1"/>
  <c r="BI128" i="1"/>
  <c r="BI338" i="1"/>
  <c r="BI278" i="1"/>
  <c r="BI233" i="1"/>
  <c r="BI408" i="1"/>
  <c r="BI283" i="1"/>
  <c r="BI181" i="1"/>
  <c r="BI56" i="1"/>
  <c r="BI378" i="1"/>
  <c r="AZ498" i="2"/>
  <c r="BI134" i="1"/>
  <c r="BI44" i="1"/>
  <c r="BI322" i="1"/>
  <c r="BI275" i="1"/>
  <c r="BI368" i="1"/>
  <c r="AZ753" i="2"/>
  <c r="BI351" i="1"/>
  <c r="BI156" i="1"/>
  <c r="BI265" i="1"/>
  <c r="BI319" i="1"/>
  <c r="AZ391" i="2"/>
  <c r="BI313" i="1"/>
  <c r="BI330" i="1"/>
  <c r="BI262" i="1"/>
  <c r="BI344" i="1"/>
  <c r="AZ369" i="2"/>
  <c r="BI87" i="1"/>
  <c r="BI85" i="1"/>
  <c r="BI332" i="1"/>
  <c r="BI117" i="1"/>
  <c r="AZ545" i="2"/>
  <c r="AZ662" i="2"/>
  <c r="AZ27" i="2"/>
  <c r="AZ151" i="2"/>
  <c r="BI39" i="1"/>
  <c r="BI459" i="1"/>
  <c r="AZ249" i="2"/>
  <c r="BI21" i="1"/>
  <c r="BI17" i="1"/>
  <c r="BI503" i="1"/>
  <c r="BI437" i="1"/>
  <c r="BI64" i="1"/>
  <c r="BI8" i="1"/>
  <c r="BI6" i="1"/>
  <c r="AY525" i="2"/>
  <c r="BH420" i="1"/>
  <c r="BH217" i="1"/>
  <c r="AY752" i="2"/>
  <c r="BH349" i="1"/>
  <c r="BH396" i="1"/>
  <c r="BH477" i="1"/>
  <c r="BH381" i="1"/>
  <c r="AY263" i="2"/>
  <c r="BH484" i="1"/>
  <c r="BH356" i="1"/>
  <c r="BH389" i="1"/>
  <c r="AY568" i="2"/>
  <c r="BH336" i="1"/>
  <c r="AY281" i="2"/>
  <c r="BH328" i="1"/>
  <c r="BH259" i="1"/>
  <c r="BI151" i="1"/>
  <c r="BI189" i="1"/>
  <c r="BH108" i="1"/>
  <c r="BH12" i="1"/>
  <c r="BH18" i="1"/>
  <c r="BH419" i="1"/>
  <c r="AY251" i="2"/>
  <c r="BH294" i="1"/>
  <c r="BH246" i="1"/>
  <c r="BH139" i="1"/>
  <c r="BH200" i="1"/>
  <c r="AY326" i="2"/>
  <c r="BH345" i="1"/>
  <c r="BH339" i="1"/>
  <c r="BH182" i="1"/>
  <c r="BH327" i="1"/>
  <c r="BH187" i="1"/>
  <c r="AY463" i="2"/>
  <c r="BH138" i="1"/>
  <c r="BH167" i="1"/>
  <c r="AY734" i="2"/>
  <c r="BH214" i="1"/>
  <c r="AY88" i="2"/>
  <c r="BH152" i="1"/>
  <c r="BH298" i="1"/>
  <c r="BH263" i="1"/>
  <c r="AY246" i="2"/>
  <c r="BH52" i="1"/>
  <c r="BH450" i="1"/>
  <c r="BH208" i="1"/>
  <c r="BH133" i="1"/>
  <c r="AY609" i="2"/>
  <c r="AY346" i="2"/>
  <c r="BH470" i="1"/>
  <c r="BH332" i="1"/>
  <c r="BH94" i="1"/>
  <c r="AY156" i="2"/>
  <c r="BH96" i="1"/>
  <c r="AY662" i="2"/>
  <c r="BH95" i="1"/>
  <c r="AY526" i="2"/>
  <c r="BH135" i="1"/>
  <c r="AY340" i="2"/>
  <c r="AY230" i="2"/>
  <c r="BH37" i="1"/>
  <c r="AY107" i="2"/>
  <c r="AY27" i="2"/>
  <c r="BH32" i="1"/>
  <c r="BH67" i="1"/>
  <c r="BH25" i="1"/>
  <c r="BH5" i="1"/>
  <c r="BH8" i="1"/>
  <c r="BH6" i="1"/>
  <c r="BI20" i="1"/>
  <c r="BI61" i="1"/>
  <c r="BH433" i="1"/>
  <c r="AY347" i="2"/>
  <c r="AY518" i="2"/>
  <c r="AY702" i="2"/>
  <c r="AY538" i="2"/>
  <c r="AY182" i="2"/>
  <c r="AY615" i="2"/>
  <c r="AY96" i="2"/>
  <c r="BH101" i="1"/>
  <c r="AY269" i="2"/>
  <c r="BH366" i="1"/>
  <c r="BH362" i="1"/>
  <c r="BH429" i="1"/>
  <c r="BH183" i="1"/>
  <c r="BH333" i="1"/>
  <c r="BH213" i="1"/>
  <c r="BH104" i="1"/>
  <c r="BH114" i="1"/>
  <c r="BH443" i="1"/>
  <c r="AY323" i="2"/>
  <c r="AY146" i="2"/>
  <c r="BH110" i="1"/>
  <c r="BH240" i="1"/>
  <c r="AY674" i="2"/>
  <c r="AY474" i="2"/>
  <c r="BH378" i="1"/>
  <c r="BH134" i="1"/>
  <c r="BH44" i="1"/>
  <c r="AY477" i="2"/>
  <c r="BH224" i="1"/>
  <c r="BH372" i="1"/>
  <c r="BH373" i="1"/>
  <c r="BH53" i="1"/>
  <c r="BH269" i="1"/>
  <c r="BH425" i="1"/>
  <c r="AY510" i="2"/>
  <c r="BH227" i="1"/>
  <c r="AY47" i="2"/>
  <c r="AY391" i="2"/>
  <c r="BH325" i="1"/>
  <c r="BH320" i="1"/>
  <c r="BH442" i="1"/>
  <c r="AY664" i="2"/>
  <c r="BH468" i="1"/>
  <c r="BH273" i="1"/>
  <c r="BH180" i="1"/>
  <c r="BH249" i="1"/>
  <c r="BH185" i="1"/>
  <c r="BH85" i="1"/>
  <c r="BH231" i="1"/>
  <c r="BH471" i="1"/>
  <c r="AY429" i="2"/>
  <c r="BH102" i="1"/>
  <c r="AY503" i="2"/>
  <c r="AY382" i="2"/>
  <c r="BH68" i="1"/>
  <c r="AY28" i="2"/>
  <c r="BH29" i="1"/>
  <c r="AY11" i="2"/>
  <c r="BH63" i="1"/>
  <c r="BH62" i="1"/>
  <c r="BH61" i="1"/>
  <c r="BH459" i="1"/>
  <c r="BH197" i="1"/>
  <c r="AY43" i="2"/>
  <c r="BH77" i="1"/>
  <c r="AY67" i="2"/>
  <c r="BH40" i="1"/>
  <c r="BH19" i="1"/>
  <c r="BH64" i="1"/>
  <c r="BH9" i="1"/>
  <c r="H1272" i="3"/>
  <c r="P1272" i="3"/>
  <c r="E1272" i="3"/>
  <c r="M1272" i="3"/>
  <c r="J1272" i="3"/>
  <c r="G1272" i="3"/>
  <c r="O1272" i="3"/>
  <c r="D1272" i="3"/>
  <c r="L1272" i="3"/>
  <c r="I1272" i="3"/>
  <c r="F1272" i="3"/>
  <c r="N1272" i="3"/>
  <c r="S1272" i="3"/>
  <c r="K1272" i="3"/>
  <c r="H1099" i="3"/>
  <c r="P1099" i="3"/>
  <c r="E1099" i="3"/>
  <c r="M1099" i="3"/>
  <c r="J1099" i="3"/>
  <c r="G1099" i="3"/>
  <c r="O1099" i="3"/>
  <c r="D1099" i="3"/>
  <c r="L1099" i="3"/>
  <c r="I1099" i="3"/>
  <c r="F1099" i="3"/>
  <c r="N1099" i="3"/>
  <c r="S1099" i="3"/>
  <c r="K1099" i="3"/>
  <c r="H1055" i="3"/>
  <c r="P1055" i="3"/>
  <c r="E1055" i="3"/>
  <c r="M1055" i="3"/>
  <c r="J1055" i="3"/>
  <c r="G1055" i="3"/>
  <c r="O1055" i="3"/>
  <c r="D1055" i="3"/>
  <c r="L1055" i="3"/>
  <c r="I1055" i="3"/>
  <c r="F1055" i="3"/>
  <c r="N1055" i="3"/>
  <c r="S1055" i="3"/>
  <c r="K1055" i="3"/>
  <c r="H1020" i="3"/>
  <c r="P1020" i="3"/>
  <c r="E1020" i="3"/>
  <c r="M1020" i="3"/>
  <c r="J1020" i="3"/>
  <c r="G1020" i="3"/>
  <c r="O1020" i="3"/>
  <c r="D1020" i="3"/>
  <c r="L1020" i="3"/>
  <c r="I1020" i="3"/>
  <c r="F1020" i="3"/>
  <c r="N1020" i="3"/>
  <c r="S1020" i="3"/>
  <c r="K1020" i="3"/>
  <c r="H977" i="3"/>
  <c r="P977" i="3"/>
  <c r="E977" i="3"/>
  <c r="M977" i="3"/>
  <c r="J977" i="3"/>
  <c r="G977" i="3"/>
  <c r="O977" i="3"/>
  <c r="D977" i="3"/>
  <c r="L977" i="3"/>
  <c r="I977" i="3"/>
  <c r="F977" i="3"/>
  <c r="N977" i="3"/>
  <c r="S977" i="3"/>
  <c r="K977" i="3"/>
  <c r="H937" i="3"/>
  <c r="P937" i="3"/>
  <c r="E937" i="3"/>
  <c r="M937" i="3"/>
  <c r="J937" i="3"/>
  <c r="G937" i="3"/>
  <c r="O937" i="3"/>
  <c r="D937" i="3"/>
  <c r="L937" i="3"/>
  <c r="I937" i="3"/>
  <c r="F937" i="3"/>
  <c r="N937" i="3"/>
  <c r="S937" i="3"/>
  <c r="K937" i="3"/>
  <c r="H893" i="3"/>
  <c r="P893" i="3"/>
  <c r="E893" i="3"/>
  <c r="M893" i="3"/>
  <c r="J893" i="3"/>
  <c r="G893" i="3"/>
  <c r="O893" i="3"/>
  <c r="D893" i="3"/>
  <c r="L893" i="3"/>
  <c r="I893" i="3"/>
  <c r="F893" i="3"/>
  <c r="N893" i="3"/>
  <c r="S893" i="3"/>
  <c r="K893" i="3"/>
  <c r="H845" i="3"/>
  <c r="P845" i="3"/>
  <c r="E845" i="3"/>
  <c r="M845" i="3"/>
  <c r="J845" i="3"/>
  <c r="G845" i="3"/>
  <c r="O845" i="3"/>
  <c r="D845" i="3"/>
  <c r="L845" i="3"/>
  <c r="I845" i="3"/>
  <c r="F845" i="3"/>
  <c r="N845" i="3"/>
  <c r="S845" i="3"/>
  <c r="K845" i="3"/>
  <c r="H824" i="3"/>
  <c r="P824" i="3"/>
  <c r="E824" i="3"/>
  <c r="M824" i="3"/>
  <c r="J824" i="3"/>
  <c r="G824" i="3"/>
  <c r="O824" i="3"/>
  <c r="D824" i="3"/>
  <c r="L824" i="3"/>
  <c r="I824" i="3"/>
  <c r="F824" i="3"/>
  <c r="N824" i="3"/>
  <c r="S824" i="3"/>
  <c r="K824" i="3"/>
  <c r="H771" i="3"/>
  <c r="P771" i="3"/>
  <c r="E771" i="3"/>
  <c r="M771" i="3"/>
  <c r="J771" i="3"/>
  <c r="G771" i="3"/>
  <c r="O771" i="3"/>
  <c r="D771" i="3"/>
  <c r="L771" i="3"/>
  <c r="I771" i="3"/>
  <c r="F771" i="3"/>
  <c r="N771" i="3"/>
  <c r="S771" i="3"/>
  <c r="K771" i="3"/>
  <c r="H735" i="3"/>
  <c r="P735" i="3"/>
  <c r="E735" i="3"/>
  <c r="M735" i="3"/>
  <c r="J735" i="3"/>
  <c r="G735" i="3"/>
  <c r="O735" i="3"/>
  <c r="D735" i="3"/>
  <c r="L735" i="3"/>
  <c r="I735" i="3"/>
  <c r="F735" i="3"/>
  <c r="N735" i="3"/>
  <c r="S735" i="3"/>
  <c r="K735" i="3"/>
  <c r="H720" i="3"/>
  <c r="P720" i="3"/>
  <c r="E720" i="3"/>
  <c r="M720" i="3"/>
  <c r="J720" i="3"/>
  <c r="G720" i="3"/>
  <c r="O720" i="3"/>
  <c r="D720" i="3"/>
  <c r="L720" i="3"/>
  <c r="I720" i="3"/>
  <c r="F720" i="3"/>
  <c r="N720" i="3"/>
  <c r="S720" i="3"/>
  <c r="K720" i="3"/>
  <c r="H697" i="3"/>
  <c r="P697" i="3"/>
  <c r="E697" i="3"/>
  <c r="M697" i="3"/>
  <c r="J697" i="3"/>
  <c r="G697" i="3"/>
  <c r="O697" i="3"/>
  <c r="D697" i="3"/>
  <c r="L697" i="3"/>
  <c r="I697" i="3"/>
  <c r="F697" i="3"/>
  <c r="N697" i="3"/>
  <c r="S697" i="3"/>
  <c r="K697" i="3"/>
  <c r="H677" i="3"/>
  <c r="P677" i="3"/>
  <c r="E677" i="3"/>
  <c r="M677" i="3"/>
  <c r="J677" i="3"/>
  <c r="G677" i="3"/>
  <c r="O677" i="3"/>
  <c r="D677" i="3"/>
  <c r="L677" i="3"/>
  <c r="I677" i="3"/>
  <c r="F677" i="3"/>
  <c r="N677" i="3"/>
  <c r="S677" i="3"/>
  <c r="K677" i="3"/>
  <c r="H567" i="3"/>
  <c r="P567" i="3"/>
  <c r="E567" i="3"/>
  <c r="M567" i="3"/>
  <c r="J567" i="3"/>
  <c r="G567" i="3"/>
  <c r="O567" i="3"/>
  <c r="D567" i="3"/>
  <c r="AE567" i="3" s="1"/>
  <c r="L567" i="3"/>
  <c r="I567" i="3"/>
  <c r="F567" i="3"/>
  <c r="N567" i="3"/>
  <c r="S567" i="3"/>
  <c r="K567" i="3"/>
  <c r="P641" i="3"/>
  <c r="M641" i="3"/>
  <c r="J641" i="3"/>
  <c r="O641" i="3"/>
  <c r="L641" i="3"/>
  <c r="I641" i="3"/>
  <c r="N641" i="3"/>
  <c r="S641" i="3"/>
  <c r="K641" i="3"/>
  <c r="P478" i="3"/>
  <c r="M478" i="3"/>
  <c r="J478" i="3"/>
  <c r="O478" i="3"/>
  <c r="L478" i="3"/>
  <c r="I478" i="3"/>
  <c r="N478" i="3"/>
  <c r="S478" i="3"/>
  <c r="K478" i="3"/>
  <c r="P300" i="3"/>
  <c r="M300" i="3"/>
  <c r="J300" i="3"/>
  <c r="O300" i="3"/>
  <c r="L300" i="3"/>
  <c r="I300" i="3"/>
  <c r="N300" i="3"/>
  <c r="S300" i="3"/>
  <c r="K300" i="3"/>
  <c r="P541" i="3"/>
  <c r="M541" i="3"/>
  <c r="J541" i="3"/>
  <c r="O541" i="3"/>
  <c r="L541" i="3"/>
  <c r="I541" i="3"/>
  <c r="N541" i="3"/>
  <c r="S541" i="3"/>
  <c r="K541" i="3"/>
  <c r="P616" i="3"/>
  <c r="M616" i="3"/>
  <c r="J616" i="3"/>
  <c r="O616" i="3"/>
  <c r="L616" i="3"/>
  <c r="I616" i="3"/>
  <c r="N616" i="3"/>
  <c r="S616" i="3"/>
  <c r="K616" i="3"/>
  <c r="P380" i="3"/>
  <c r="M380" i="3"/>
  <c r="J380" i="3"/>
  <c r="O380" i="3"/>
  <c r="L380" i="3"/>
  <c r="I380" i="3"/>
  <c r="N380" i="3"/>
  <c r="S380" i="3"/>
  <c r="K380" i="3"/>
  <c r="P499" i="3"/>
  <c r="M499" i="3"/>
  <c r="J499" i="3"/>
  <c r="O499" i="3"/>
  <c r="L499" i="3"/>
  <c r="I499" i="3"/>
  <c r="N499" i="3"/>
  <c r="S499" i="3"/>
  <c r="K499" i="3"/>
  <c r="P148" i="3"/>
  <c r="M148" i="3"/>
  <c r="J148" i="3"/>
  <c r="O148" i="3"/>
  <c r="L148" i="3"/>
  <c r="I148" i="3"/>
  <c r="N148" i="3"/>
  <c r="S148" i="3"/>
  <c r="K148" i="3"/>
  <c r="P323" i="3"/>
  <c r="M323" i="3"/>
  <c r="J323" i="3"/>
  <c r="O323" i="3"/>
  <c r="L323" i="3"/>
  <c r="I323" i="3"/>
  <c r="N323" i="3"/>
  <c r="S323" i="3"/>
  <c r="K323" i="3"/>
  <c r="P591" i="3"/>
  <c r="M591" i="3"/>
  <c r="J591" i="3"/>
  <c r="O591" i="3"/>
  <c r="L591" i="3"/>
  <c r="I591" i="3"/>
  <c r="N591" i="3"/>
  <c r="S591" i="3"/>
  <c r="K591" i="3"/>
  <c r="P572" i="3"/>
  <c r="M572" i="3"/>
  <c r="J572" i="3"/>
  <c r="O572" i="3"/>
  <c r="L572" i="3"/>
  <c r="I572" i="3"/>
  <c r="N572" i="3"/>
  <c r="S572" i="3"/>
  <c r="K572" i="3"/>
  <c r="P455" i="3"/>
  <c r="M455" i="3"/>
  <c r="J455" i="3"/>
  <c r="O455" i="3"/>
  <c r="L455" i="3"/>
  <c r="I455" i="3"/>
  <c r="N455" i="3"/>
  <c r="S455" i="3"/>
  <c r="K455" i="3"/>
  <c r="P222" i="3"/>
  <c r="M222" i="3"/>
  <c r="J222" i="3"/>
  <c r="O222" i="3"/>
  <c r="L222" i="3"/>
  <c r="I222" i="3"/>
  <c r="N222" i="3"/>
  <c r="S222" i="3"/>
  <c r="K222" i="3"/>
  <c r="P108" i="3"/>
  <c r="M108" i="3"/>
  <c r="J108" i="3"/>
  <c r="O108" i="3"/>
  <c r="L108" i="3"/>
  <c r="I108" i="3"/>
  <c r="N108" i="3"/>
  <c r="S108" i="3"/>
  <c r="K108" i="3"/>
  <c r="P175" i="3"/>
  <c r="M175" i="3"/>
  <c r="J175" i="3"/>
  <c r="O175" i="3"/>
  <c r="L175" i="3"/>
  <c r="I175" i="3"/>
  <c r="N175" i="3"/>
  <c r="S175" i="3"/>
  <c r="K175" i="3"/>
  <c r="AE1276" i="3"/>
  <c r="AE1105" i="3"/>
  <c r="AE1067" i="3"/>
  <c r="AE1027" i="3"/>
  <c r="AE980" i="3"/>
  <c r="AE940" i="3"/>
  <c r="AE896" i="3"/>
  <c r="AE855" i="3"/>
  <c r="AE825" i="3"/>
  <c r="AE769" i="3"/>
  <c r="AE734" i="3"/>
  <c r="AE722" i="3"/>
  <c r="AE699" i="3"/>
  <c r="AE520" i="3"/>
  <c r="AE469" i="3"/>
  <c r="AE404" i="3"/>
  <c r="AE319" i="3"/>
  <c r="AE375" i="3"/>
  <c r="AE118" i="3"/>
  <c r="AE98" i="3"/>
  <c r="AE390" i="3"/>
  <c r="AE347" i="3"/>
  <c r="AE460" i="3"/>
  <c r="AE566" i="3"/>
  <c r="AE136" i="3"/>
  <c r="AE248" i="3"/>
  <c r="N216" i="3"/>
  <c r="N96" i="3"/>
  <c r="N156" i="3"/>
  <c r="N51" i="3"/>
  <c r="N22" i="3"/>
  <c r="N1398" i="3"/>
  <c r="N1314" i="3"/>
  <c r="N1281" i="3"/>
  <c r="N1257" i="3"/>
  <c r="F1398" i="3"/>
  <c r="F1314" i="3"/>
  <c r="F1281" i="3"/>
  <c r="F1257" i="3"/>
  <c r="I216" i="3"/>
  <c r="I96" i="3"/>
  <c r="I156" i="3"/>
  <c r="I51" i="3"/>
  <c r="I22" i="3"/>
  <c r="I1398" i="3"/>
  <c r="I1314" i="3"/>
  <c r="I1281" i="3"/>
  <c r="I1257" i="3"/>
  <c r="L216" i="3"/>
  <c r="L96" i="3"/>
  <c r="L156" i="3"/>
  <c r="L51" i="3"/>
  <c r="L22" i="3"/>
  <c r="L1398" i="3"/>
  <c r="L1314" i="3"/>
  <c r="L1281" i="3"/>
  <c r="L1257" i="3"/>
  <c r="D1398" i="3"/>
  <c r="D1314" i="3"/>
  <c r="D1281" i="3"/>
  <c r="D1257" i="3"/>
  <c r="O216" i="3"/>
  <c r="O96" i="3"/>
  <c r="O156" i="3"/>
  <c r="G1398" i="3"/>
  <c r="G1314" i="3"/>
  <c r="G1281" i="3"/>
  <c r="G1257" i="3"/>
  <c r="J216" i="3"/>
  <c r="J96" i="3"/>
  <c r="J156" i="3"/>
  <c r="J51" i="3"/>
  <c r="J22" i="3"/>
  <c r="J1398" i="3"/>
  <c r="J1314" i="3"/>
  <c r="J1281" i="3"/>
  <c r="J1257" i="3"/>
  <c r="M216" i="3"/>
  <c r="M96" i="3"/>
  <c r="M156" i="3"/>
  <c r="M51" i="3"/>
  <c r="M22" i="3"/>
  <c r="M1398" i="3"/>
  <c r="M1314" i="3"/>
  <c r="M1281" i="3"/>
  <c r="M1257" i="3"/>
  <c r="E1398" i="3"/>
  <c r="E1314" i="3"/>
  <c r="E1281" i="3"/>
  <c r="E1257" i="3"/>
  <c r="P216" i="3"/>
  <c r="P96" i="3"/>
  <c r="P156" i="3"/>
  <c r="BA216" i="2"/>
  <c r="BA125" i="2"/>
  <c r="BA123" i="2"/>
  <c r="BA631" i="2"/>
  <c r="BA339" i="2"/>
  <c r="BA100" i="2"/>
  <c r="BA234" i="2"/>
  <c r="BA193" i="2"/>
  <c r="BA120" i="2"/>
  <c r="BA397" i="2"/>
  <c r="BA187" i="2"/>
  <c r="BB279" i="2"/>
  <c r="BB709" i="2"/>
  <c r="BB171" i="2"/>
  <c r="BB142" i="2"/>
  <c r="BB179" i="2"/>
  <c r="BB626" i="2"/>
  <c r="BB84" i="2"/>
  <c r="BB365" i="2"/>
  <c r="BB238" i="2"/>
  <c r="BB237" i="2"/>
  <c r="BB349" i="2"/>
  <c r="BB42" i="2"/>
  <c r="BB106" i="2"/>
  <c r="BB26" i="2"/>
  <c r="BB52" i="2"/>
  <c r="BB12" i="2"/>
  <c r="BB211" i="2"/>
  <c r="AZ270" i="2"/>
  <c r="AZ149" i="2"/>
  <c r="AZ70" i="2"/>
  <c r="AZ18" i="2"/>
  <c r="AZ154" i="2"/>
  <c r="AZ13" i="2"/>
  <c r="AZ116" i="2"/>
  <c r="AZ89" i="2"/>
  <c r="AZ190" i="2"/>
  <c r="AZ390" i="2"/>
  <c r="AZ33" i="2"/>
  <c r="AY313" i="2"/>
  <c r="AY179" i="2"/>
  <c r="AY49" i="2"/>
  <c r="AY123" i="2"/>
  <c r="AY154" i="2"/>
  <c r="AY197" i="2"/>
  <c r="AY292" i="2"/>
  <c r="BA446" i="2"/>
  <c r="BA209" i="2"/>
  <c r="BA324" i="2"/>
  <c r="BA432" i="2"/>
  <c r="BA205" i="2"/>
  <c r="BA652" i="2"/>
  <c r="BA136" i="2"/>
  <c r="BA203" i="2"/>
  <c r="BA299" i="2"/>
  <c r="BA59" i="2"/>
  <c r="BA262" i="2"/>
  <c r="BA28" i="2"/>
  <c r="BA166" i="2"/>
  <c r="BB93" i="2"/>
  <c r="BB554" i="2"/>
  <c r="BB167" i="2"/>
  <c r="BB75" i="2"/>
  <c r="BB526" i="2"/>
  <c r="BB396" i="2"/>
  <c r="BB472" i="2"/>
  <c r="BB503" i="2"/>
  <c r="BB207" i="2"/>
  <c r="BB302" i="2"/>
  <c r="BB82" i="2"/>
  <c r="BB7" i="2"/>
  <c r="AY317" i="2"/>
  <c r="BB390" i="2"/>
  <c r="AY217" i="2"/>
  <c r="AY76" i="2"/>
  <c r="AY631" i="2"/>
  <c r="AY256" i="2"/>
  <c r="AY5" i="2"/>
  <c r="AZ653" i="2"/>
  <c r="BA417" i="2"/>
  <c r="BA291" i="2"/>
  <c r="BA50" i="2"/>
  <c r="BA190" i="2"/>
  <c r="BB188" i="2"/>
  <c r="BB316" i="2"/>
  <c r="BB155" i="2"/>
  <c r="BB292" i="2"/>
  <c r="BB60" i="2"/>
  <c r="BB46" i="2"/>
  <c r="AZ400" i="2"/>
  <c r="AZ97" i="2"/>
  <c r="AZ639" i="2"/>
  <c r="AZ429" i="2"/>
  <c r="AZ374" i="2"/>
  <c r="AZ631" i="2"/>
  <c r="AZ35" i="2"/>
  <c r="AZ427" i="2"/>
  <c r="AZ339" i="2"/>
  <c r="AZ100" i="2"/>
  <c r="AZ40" i="2"/>
  <c r="AZ351" i="2"/>
  <c r="AZ120" i="2"/>
  <c r="AZ5" i="2"/>
  <c r="AY491" i="2"/>
  <c r="AY125" i="2"/>
  <c r="AY316" i="2"/>
  <c r="AY374" i="2"/>
  <c r="AY626" i="2"/>
  <c r="AY84" i="2"/>
  <c r="AY72" i="2"/>
  <c r="AY280" i="2"/>
  <c r="AY723" i="2"/>
  <c r="AY100" i="2"/>
  <c r="AY39" i="2"/>
  <c r="BA491" i="2"/>
  <c r="BA363" i="2"/>
  <c r="BA49" i="2"/>
  <c r="BA471" i="2"/>
  <c r="BA562" i="2"/>
  <c r="BA265" i="2"/>
  <c r="BA407" i="2"/>
  <c r="BA145" i="2"/>
  <c r="BA91" i="2"/>
  <c r="BA197" i="2"/>
  <c r="BA34" i="2"/>
  <c r="BA319" i="2"/>
  <c r="BA382" i="2"/>
  <c r="BA29" i="2"/>
  <c r="BA73" i="2"/>
  <c r="BA53" i="2"/>
  <c r="BA224" i="2"/>
  <c r="BB31" i="2"/>
  <c r="BB170" i="2"/>
  <c r="AZ565" i="2"/>
  <c r="AZ282" i="2"/>
  <c r="AZ203" i="2"/>
  <c r="AZ121" i="2"/>
  <c r="AY183" i="2"/>
  <c r="AY721" i="2"/>
  <c r="BA202" i="2"/>
  <c r="BA522" i="2"/>
  <c r="BA245" i="2"/>
  <c r="BA278" i="2"/>
  <c r="BA508" i="2"/>
  <c r="BA105" i="2"/>
  <c r="BA135" i="2"/>
  <c r="BB756" i="2"/>
  <c r="BB125" i="2"/>
  <c r="BB639" i="2"/>
  <c r="BB631" i="2"/>
  <c r="BB35" i="2"/>
  <c r="BB427" i="2"/>
  <c r="BB339" i="2"/>
  <c r="BB100" i="2"/>
  <c r="BB120" i="2"/>
  <c r="AZ424" i="2"/>
  <c r="AZ142" i="2"/>
  <c r="AZ179" i="2"/>
  <c r="AZ626" i="2"/>
  <c r="AZ84" i="2"/>
  <c r="AZ238" i="2"/>
  <c r="AZ723" i="2"/>
  <c r="AZ677" i="2"/>
  <c r="AZ454" i="2"/>
  <c r="AZ180" i="2"/>
  <c r="AZ106" i="2"/>
  <c r="AZ26" i="2"/>
  <c r="AZ12" i="2"/>
  <c r="AY656" i="2"/>
  <c r="AY273" i="2"/>
  <c r="AY176" i="2"/>
  <c r="AY666" i="2"/>
  <c r="AY407" i="2"/>
  <c r="AY523" i="2"/>
  <c r="AY25" i="2"/>
  <c r="AY147" i="2"/>
  <c r="AY31" i="2"/>
  <c r="AY207" i="2"/>
  <c r="AY231" i="2"/>
  <c r="BA81" i="2"/>
  <c r="BA651" i="2"/>
  <c r="BA217" i="2"/>
  <c r="BB545" i="2"/>
  <c r="BJ304" i="1"/>
  <c r="BA337" i="2"/>
  <c r="BJ734" i="1"/>
  <c r="BA165" i="2"/>
  <c r="BA633" i="2"/>
  <c r="BA663" i="2"/>
  <c r="BJ286" i="1"/>
  <c r="BA548" i="2"/>
  <c r="BJ55" i="1"/>
  <c r="BA320" i="2"/>
  <c r="BA63" i="2"/>
  <c r="BA673" i="2"/>
  <c r="BA305" i="2"/>
  <c r="BA423" i="2"/>
  <c r="BJ276" i="1"/>
  <c r="BA384" i="2"/>
  <c r="BA267" i="2"/>
  <c r="BA138" i="2"/>
  <c r="BJ111" i="1"/>
  <c r="BA704" i="2"/>
  <c r="BA83" i="2"/>
  <c r="BA185" i="2"/>
  <c r="BA585" i="2"/>
  <c r="BA114" i="2"/>
  <c r="BA434" i="2"/>
  <c r="BA183" i="2"/>
  <c r="BJ617" i="1"/>
  <c r="BA580" i="2"/>
  <c r="BA162" i="2"/>
  <c r="BA514" i="2"/>
  <c r="BA112" i="2"/>
  <c r="BA437" i="2"/>
  <c r="BA10" i="2"/>
  <c r="BA758" i="2"/>
  <c r="BA233" i="2"/>
  <c r="BA742" i="2"/>
  <c r="BA67" i="2"/>
  <c r="BA721" i="2"/>
  <c r="BA98" i="2"/>
  <c r="BA694" i="2"/>
  <c r="BJ558" i="1"/>
  <c r="BA669" i="2"/>
  <c r="BJ565" i="1"/>
  <c r="BA643" i="2"/>
  <c r="BJ519" i="1"/>
  <c r="BA608" i="2"/>
  <c r="BJ562" i="1"/>
  <c r="BA594" i="2"/>
  <c r="BJ569" i="1"/>
  <c r="BA549" i="2"/>
  <c r="BA366" i="2"/>
  <c r="BA452" i="2"/>
  <c r="BA68" i="2"/>
  <c r="BA298" i="2"/>
  <c r="BA21" i="2"/>
  <c r="BA158" i="2"/>
  <c r="BA583" i="2"/>
  <c r="BA240" i="2"/>
  <c r="BA442" i="2"/>
  <c r="BA251" i="2"/>
  <c r="BA670" i="2"/>
  <c r="BA521" i="2"/>
  <c r="BA535" i="2"/>
  <c r="BA388" i="2"/>
  <c r="BJ243" i="1"/>
  <c r="BA667" i="2"/>
  <c r="BJ154" i="1"/>
  <c r="BA528" i="2"/>
  <c r="BA345" i="2"/>
  <c r="BA387" i="2"/>
  <c r="BA513" i="2"/>
  <c r="BJ216" i="1"/>
  <c r="BA697" i="2"/>
  <c r="BA664" i="2"/>
  <c r="BJ596" i="1"/>
  <c r="BA595" i="2"/>
  <c r="BJ453" i="1"/>
  <c r="BA354" i="2"/>
  <c r="BA703" i="2"/>
  <c r="BA701" i="2"/>
  <c r="BA630" i="2"/>
  <c r="BA596" i="2"/>
  <c r="BJ132" i="1"/>
  <c r="BA542" i="2"/>
  <c r="BA316" i="2"/>
  <c r="BA235" i="2"/>
  <c r="BA341" i="2"/>
  <c r="BA509" i="2"/>
  <c r="BA523" i="2"/>
  <c r="BA719" i="2"/>
  <c r="BA361" i="2"/>
  <c r="BA292" i="2"/>
  <c r="BA147" i="2"/>
  <c r="BJ30" i="1"/>
  <c r="BA684" i="2"/>
  <c r="BA110" i="2"/>
  <c r="BA479" i="2"/>
  <c r="BA564" i="2"/>
  <c r="BA66" i="2"/>
  <c r="BA231" i="2"/>
  <c r="BA51" i="2"/>
  <c r="BA757" i="2"/>
  <c r="BJ68" i="1"/>
  <c r="BA693" i="2"/>
  <c r="BJ523" i="1"/>
  <c r="BA665" i="2"/>
  <c r="BJ23" i="1"/>
  <c r="BA635" i="2"/>
  <c r="BA46" i="2"/>
  <c r="BA119" i="2"/>
  <c r="BA592" i="2"/>
  <c r="BJ512" i="1"/>
  <c r="BA546" i="2"/>
  <c r="BA61" i="2"/>
  <c r="BA520" i="2"/>
  <c r="BJ538" i="1"/>
  <c r="BA473" i="2"/>
  <c r="BA208" i="2"/>
  <c r="BA439" i="2"/>
  <c r="BA275" i="2"/>
  <c r="BA395" i="2"/>
  <c r="BJ516" i="1"/>
  <c r="BA333" i="2"/>
  <c r="BJ510" i="1"/>
  <c r="BA284" i="2"/>
  <c r="BA128" i="2"/>
  <c r="BA36" i="2"/>
  <c r="BB308" i="2"/>
  <c r="BB294" i="2"/>
  <c r="BB461" i="2"/>
  <c r="BB323" i="2"/>
  <c r="BB674" i="2"/>
  <c r="BB256" i="2"/>
  <c r="BB283" i="2"/>
  <c r="BB460" i="2"/>
  <c r="BB348" i="2"/>
  <c r="BB293" i="2"/>
  <c r="BB74" i="2"/>
  <c r="BB212" i="2"/>
  <c r="BK116" i="1"/>
  <c r="BB636" i="2"/>
  <c r="BK604" i="1"/>
  <c r="BB368" i="2"/>
  <c r="BK123" i="1"/>
  <c r="BB243" i="2"/>
  <c r="BK755" i="1"/>
  <c r="BB137" i="2"/>
  <c r="BK284" i="1"/>
  <c r="BB418" i="2"/>
  <c r="BB216" i="2"/>
  <c r="BK360" i="1"/>
  <c r="BB766" i="2"/>
  <c r="BB97" i="2"/>
  <c r="BB44" i="2"/>
  <c r="BB696" i="2"/>
  <c r="BK761" i="1"/>
  <c r="BB622" i="2"/>
  <c r="BB214" i="2"/>
  <c r="BB539" i="2"/>
  <c r="BB374" i="2"/>
  <c r="BK424" i="1"/>
  <c r="BB398" i="2"/>
  <c r="BB490" i="2"/>
  <c r="BB123" i="2"/>
  <c r="BB248" i="2"/>
  <c r="BB447" i="2"/>
  <c r="BK571" i="1"/>
  <c r="BB743" i="2"/>
  <c r="BB287" i="2"/>
  <c r="BB668" i="2"/>
  <c r="BB222" i="2"/>
  <c r="BB234" i="2"/>
  <c r="BB193" i="2"/>
  <c r="BK546" i="1"/>
  <c r="BB750" i="2"/>
  <c r="BK34" i="1"/>
  <c r="BB711" i="2"/>
  <c r="BB115" i="2"/>
  <c r="BB689" i="2"/>
  <c r="BK556" i="1"/>
  <c r="BB658" i="2"/>
  <c r="BB272" i="2"/>
  <c r="BB610" i="2"/>
  <c r="BK552" i="1"/>
  <c r="BB572" i="2"/>
  <c r="BB6" i="2"/>
  <c r="BB543" i="2"/>
  <c r="BB228" i="2"/>
  <c r="BB504" i="2"/>
  <c r="BK549" i="1"/>
  <c r="BB459" i="2"/>
  <c r="BB264" i="2"/>
  <c r="BB428" i="2"/>
  <c r="BB397" i="2"/>
  <c r="BK563" i="1"/>
  <c r="BB317" i="2"/>
  <c r="BB187" i="2"/>
  <c r="BB117" i="2"/>
  <c r="BB143" i="2"/>
  <c r="BB80" i="2"/>
  <c r="BA488" i="2"/>
  <c r="BA527" i="2"/>
  <c r="BA113" i="2"/>
  <c r="BA273" i="2"/>
  <c r="BA612" i="2"/>
  <c r="BA475" i="2"/>
  <c r="BA413" i="2"/>
  <c r="BA451" i="2"/>
  <c r="BA625" i="2"/>
  <c r="BJ458" i="1"/>
  <c r="BA653" i="2"/>
  <c r="BJ694" i="1"/>
  <c r="BA646" i="2"/>
  <c r="BJ464" i="1"/>
  <c r="BA159" i="2"/>
  <c r="BJ272" i="1"/>
  <c r="BA598" i="2"/>
  <c r="BJ674" i="1"/>
  <c r="BA448" i="2"/>
  <c r="BA20" i="2"/>
  <c r="BJ725" i="1"/>
  <c r="BA449" i="2"/>
  <c r="BJ384" i="1"/>
  <c r="BA749" i="2"/>
  <c r="BA111" i="2"/>
  <c r="BA629" i="2"/>
  <c r="BA647" i="2"/>
  <c r="BA589" i="2"/>
  <c r="BA156" i="2"/>
  <c r="BA164" i="2"/>
  <c r="BA260" i="2"/>
  <c r="BA463" i="2"/>
  <c r="BA283" i="2"/>
  <c r="BA460" i="2"/>
  <c r="BA348" i="2"/>
  <c r="BA293" i="2"/>
  <c r="BA74" i="2"/>
  <c r="BA212" i="2"/>
  <c r="BJ116" i="1"/>
  <c r="BA636" i="2"/>
  <c r="BA683" i="2"/>
  <c r="BJ604" i="1"/>
  <c r="BA368" i="2"/>
  <c r="BA64" i="2"/>
  <c r="BJ123" i="1"/>
  <c r="BA243" i="2"/>
  <c r="BJ755" i="1"/>
  <c r="BA137" i="2"/>
  <c r="BJ284" i="1"/>
  <c r="BA418" i="2"/>
  <c r="BJ360" i="1"/>
  <c r="BA766" i="2"/>
  <c r="BA44" i="2"/>
  <c r="BA696" i="2"/>
  <c r="BJ761" i="1"/>
  <c r="BA622" i="2"/>
  <c r="BA286" i="2"/>
  <c r="BA214" i="2"/>
  <c r="BA539" i="2"/>
  <c r="BJ424" i="1"/>
  <c r="BA398" i="2"/>
  <c r="BA490" i="2"/>
  <c r="BA248" i="2"/>
  <c r="BA35" i="2"/>
  <c r="BA427" i="2"/>
  <c r="BJ571" i="1"/>
  <c r="BA743" i="2"/>
  <c r="BA287" i="2"/>
  <c r="BA668" i="2"/>
  <c r="BA222" i="2"/>
  <c r="BJ546" i="1"/>
  <c r="BA750" i="2"/>
  <c r="BJ34" i="1"/>
  <c r="BA711" i="2"/>
  <c r="BA115" i="2"/>
  <c r="BA689" i="2"/>
  <c r="BJ556" i="1"/>
  <c r="BA658" i="2"/>
  <c r="BA272" i="2"/>
  <c r="BA610" i="2"/>
  <c r="BJ552" i="1"/>
  <c r="BA572" i="2"/>
  <c r="BA6" i="2"/>
  <c r="BA543" i="2"/>
  <c r="BA228" i="2"/>
  <c r="BA504" i="2"/>
  <c r="BJ549" i="1"/>
  <c r="BA459" i="2"/>
  <c r="BA264" i="2"/>
  <c r="BA428" i="2"/>
  <c r="BJ563" i="1"/>
  <c r="BA317" i="2"/>
  <c r="BA117" i="2"/>
  <c r="BA143" i="2"/>
  <c r="BA80" i="2"/>
  <c r="BK316" i="1"/>
  <c r="BB764" i="2"/>
  <c r="BK491" i="1"/>
  <c r="BB645" i="2"/>
  <c r="BK681" i="1"/>
  <c r="BB377" i="2"/>
  <c r="BB573" i="2"/>
  <c r="BB250" i="2"/>
  <c r="BB38" i="2"/>
  <c r="BB761" i="2"/>
  <c r="BK92" i="1"/>
  <c r="BB748" i="2"/>
  <c r="BK766" i="1"/>
  <c r="BB688" i="2"/>
  <c r="BB561" i="2"/>
  <c r="BB613" i="2"/>
  <c r="BK54" i="1"/>
  <c r="BB481" i="2"/>
  <c r="BB14" i="2"/>
  <c r="BB405" i="2"/>
  <c r="BK567" i="1"/>
  <c r="BB754" i="2"/>
  <c r="BB309" i="2"/>
  <c r="BB616" i="2"/>
  <c r="BB62" i="2"/>
  <c r="BB329" i="2"/>
  <c r="BK607" i="1"/>
  <c r="BB699" i="2"/>
  <c r="BB30" i="2"/>
  <c r="BB649" i="2"/>
  <c r="BK541" i="1"/>
  <c r="BB591" i="2"/>
  <c r="BB94" i="2"/>
  <c r="BB762" i="2"/>
  <c r="BB129" i="2"/>
  <c r="BK292" i="1"/>
  <c r="BB747" i="2"/>
  <c r="BK529" i="1"/>
  <c r="BB727" i="2"/>
  <c r="BK83" i="1"/>
  <c r="BB710" i="2"/>
  <c r="BK35" i="1"/>
  <c r="BB675" i="2"/>
  <c r="BB180" i="2"/>
  <c r="BB628" i="2"/>
  <c r="BB169" i="2"/>
  <c r="BB603" i="2"/>
  <c r="BB150" i="2"/>
  <c r="BB530" i="2"/>
  <c r="BK28" i="1"/>
  <c r="BB499" i="2"/>
  <c r="BK26" i="1"/>
  <c r="BB431" i="2"/>
  <c r="BB227" i="2"/>
  <c r="BB416" i="2"/>
  <c r="BB404" i="2"/>
  <c r="BB360" i="2"/>
  <c r="BB373" i="2"/>
  <c r="BI599" i="1"/>
  <c r="AZ552" i="2"/>
  <c r="AZ441" i="2"/>
  <c r="AZ408" i="2"/>
  <c r="BI302" i="1"/>
  <c r="AZ570" i="2"/>
  <c r="AZ163" i="2"/>
  <c r="AZ328" i="2"/>
  <c r="BI271" i="1"/>
  <c r="AZ641" i="2"/>
  <c r="BI572" i="1"/>
  <c r="AZ367" i="2"/>
  <c r="AZ161" i="2"/>
  <c r="BI644" i="1"/>
  <c r="AZ578" i="2"/>
  <c r="BA563" i="2"/>
  <c r="BA311" i="2"/>
  <c r="BA457" i="2"/>
  <c r="BA127" i="2"/>
  <c r="BA69" i="2"/>
  <c r="BA604" i="2"/>
  <c r="BA753" i="2"/>
  <c r="BA301" i="2"/>
  <c r="BA565" i="2"/>
  <c r="BA634" i="2"/>
  <c r="BA692" i="2"/>
  <c r="BJ319" i="1"/>
  <c r="BA500" i="2"/>
  <c r="BJ702" i="1"/>
  <c r="BA576" i="2"/>
  <c r="BA176" i="2"/>
  <c r="BA391" i="2"/>
  <c r="BA482" i="2"/>
  <c r="BA410" i="2"/>
  <c r="BA605" i="2"/>
  <c r="BA619" i="2"/>
  <c r="BJ461" i="1"/>
  <c r="BA582" i="2"/>
  <c r="BJ225" i="1"/>
  <c r="BA350" i="2"/>
  <c r="BA282" i="2"/>
  <c r="BA369" i="2"/>
  <c r="BA406" i="2"/>
  <c r="BJ521" i="1"/>
  <c r="BA765" i="2"/>
  <c r="BJ754" i="1"/>
  <c r="BA660" i="2"/>
  <c r="BA313" i="2"/>
  <c r="BJ188" i="1"/>
  <c r="BA581" i="2"/>
  <c r="BA657" i="2"/>
  <c r="BA559" i="2"/>
  <c r="BA545" i="2"/>
  <c r="BA468" i="2"/>
  <c r="BA300" i="2"/>
  <c r="BA465" i="2"/>
  <c r="BA107" i="2"/>
  <c r="BA72" i="2"/>
  <c r="BA255" i="2"/>
  <c r="BJ593" i="1"/>
  <c r="BA725" i="2"/>
  <c r="BJ69" i="1"/>
  <c r="BA611" i="2"/>
  <c r="BJ621" i="1"/>
  <c r="BA557" i="2"/>
  <c r="BA206" i="2"/>
  <c r="BJ70" i="1"/>
  <c r="BA375" i="2"/>
  <c r="BA204" i="2"/>
  <c r="BA755" i="2"/>
  <c r="BJ537" i="1"/>
  <c r="BA705" i="2"/>
  <c r="BA41" i="2"/>
  <c r="BA678" i="2"/>
  <c r="BJ542" i="1"/>
  <c r="BA654" i="2"/>
  <c r="BJ535" i="1"/>
  <c r="BA627" i="2"/>
  <c r="BJ576" i="1"/>
  <c r="BA569" i="2"/>
  <c r="BJ33" i="1"/>
  <c r="BA534" i="2"/>
  <c r="BJ29" i="1"/>
  <c r="BA502" i="2"/>
  <c r="BA241" i="2"/>
  <c r="BA132" i="2"/>
  <c r="BA422" i="2"/>
  <c r="BA343" i="2"/>
  <c r="BA385" i="2"/>
  <c r="BA380" i="2"/>
  <c r="BA48" i="2"/>
  <c r="BB716" i="2"/>
  <c r="BK239" i="1"/>
  <c r="BB229" i="2"/>
  <c r="BK732" i="1"/>
  <c r="BB682" i="2"/>
  <c r="BB330" i="2"/>
  <c r="BB415" i="2"/>
  <c r="BB285" i="2"/>
  <c r="BB733" i="2"/>
  <c r="BK573" i="1"/>
  <c r="BB450" i="2"/>
  <c r="BK375" i="1"/>
  <c r="BB401" i="2"/>
  <c r="BB560" i="2"/>
  <c r="BB153" i="2"/>
  <c r="BK704" i="1"/>
  <c r="BB737" i="2"/>
  <c r="BB9" i="2"/>
  <c r="BB370" i="2"/>
  <c r="BB307" i="2"/>
  <c r="BB271" i="2"/>
  <c r="BK99" i="1"/>
  <c r="BB763" i="2"/>
  <c r="BK606" i="1"/>
  <c r="BB740" i="2"/>
  <c r="BK545" i="1"/>
  <c r="BB730" i="2"/>
  <c r="BB218" i="2"/>
  <c r="BB715" i="2"/>
  <c r="BK237" i="1"/>
  <c r="BB650" i="2"/>
  <c r="BB706" i="2"/>
  <c r="BB606" i="2"/>
  <c r="BK401" i="1"/>
  <c r="BB440" i="2"/>
  <c r="BB409" i="2"/>
  <c r="BB101" i="2"/>
  <c r="BB85" i="2"/>
  <c r="BB718" i="2"/>
  <c r="BB43" i="2"/>
  <c r="BB648" i="2"/>
  <c r="BB39" i="2"/>
  <c r="BB174" i="2"/>
  <c r="BB321" i="2"/>
  <c r="BB210" i="2"/>
  <c r="BB760" i="2"/>
  <c r="BB103" i="2"/>
  <c r="BB745" i="2"/>
  <c r="BK32" i="1"/>
  <c r="BB722" i="2"/>
  <c r="BB71" i="2"/>
  <c r="BB707" i="2"/>
  <c r="BB16" i="2"/>
  <c r="BB672" i="2"/>
  <c r="BK525" i="1"/>
  <c r="BB624" i="2"/>
  <c r="BB54" i="2"/>
  <c r="BB599" i="2"/>
  <c r="BK505" i="1"/>
  <c r="BB550" i="2"/>
  <c r="BB130" i="2"/>
  <c r="BB529" i="2"/>
  <c r="BB56" i="2"/>
  <c r="BB181" i="2"/>
  <c r="BB355" i="2"/>
  <c r="BK72" i="1"/>
  <c r="BB306" i="2"/>
  <c r="BB124" i="2"/>
  <c r="AZ728" i="2"/>
  <c r="AZ126" i="2"/>
  <c r="AZ455" i="2"/>
  <c r="BA638" i="2"/>
  <c r="BA221" i="2"/>
  <c r="BA575" i="2"/>
  <c r="BA516" i="2"/>
  <c r="BA571" i="2"/>
  <c r="BA186" i="2"/>
  <c r="BA445" i="2"/>
  <c r="BA325" i="2"/>
  <c r="BA196" i="2"/>
  <c r="BA640" i="2"/>
  <c r="BA734" i="2"/>
  <c r="BJ316" i="1"/>
  <c r="BA764" i="2"/>
  <c r="BJ491" i="1"/>
  <c r="BA645" i="2"/>
  <c r="BA687" i="2"/>
  <c r="BJ681" i="1"/>
  <c r="BA377" i="2"/>
  <c r="BA573" i="2"/>
  <c r="BA250" i="2"/>
  <c r="BA118" i="2"/>
  <c r="BA78" i="2"/>
  <c r="BA312" i="2"/>
  <c r="BA424" i="2"/>
  <c r="BA338" i="2"/>
  <c r="BA38" i="2"/>
  <c r="BA761" i="2"/>
  <c r="BJ92" i="1"/>
  <c r="BA748" i="2"/>
  <c r="BJ766" i="1"/>
  <c r="BA688" i="2"/>
  <c r="BA561" i="2"/>
  <c r="BA613" i="2"/>
  <c r="BA142" i="2"/>
  <c r="BA179" i="2"/>
  <c r="BJ54" i="1"/>
  <c r="BA481" i="2"/>
  <c r="BA14" i="2"/>
  <c r="BA405" i="2"/>
  <c r="BA626" i="2"/>
  <c r="BA84" i="2"/>
  <c r="BJ567" i="1"/>
  <c r="BA754" i="2"/>
  <c r="BA309" i="2"/>
  <c r="BA616" i="2"/>
  <c r="BA173" i="2"/>
  <c r="BA238" i="2"/>
  <c r="BA62" i="2"/>
  <c r="BA329" i="2"/>
  <c r="BA237" i="2"/>
  <c r="BA723" i="2"/>
  <c r="BA677" i="2"/>
  <c r="BJ607" i="1"/>
  <c r="BA699" i="2"/>
  <c r="BA30" i="2"/>
  <c r="BA649" i="2"/>
  <c r="BJ541" i="1"/>
  <c r="BA591" i="2"/>
  <c r="BA65" i="2"/>
  <c r="BA349" i="2"/>
  <c r="BA454" i="2"/>
  <c r="BA42" i="2"/>
  <c r="BA94" i="2"/>
  <c r="BA762" i="2"/>
  <c r="BA129" i="2"/>
  <c r="BA747" i="2"/>
  <c r="BJ292" i="1"/>
  <c r="BJ529" i="1"/>
  <c r="BA727" i="2"/>
  <c r="BJ83" i="1"/>
  <c r="BA710" i="2"/>
  <c r="BJ35" i="1"/>
  <c r="BA675" i="2"/>
  <c r="BA180" i="2"/>
  <c r="BA628" i="2"/>
  <c r="BA169" i="2"/>
  <c r="BA603" i="2"/>
  <c r="BA150" i="2"/>
  <c r="BA530" i="2"/>
  <c r="BJ28" i="1"/>
  <c r="BA499" i="2"/>
  <c r="BJ26" i="1"/>
  <c r="BA431" i="2"/>
  <c r="BA227" i="2"/>
  <c r="BA416" i="2"/>
  <c r="BA404" i="2"/>
  <c r="BA360" i="2"/>
  <c r="BA373" i="2"/>
  <c r="BA106" i="2"/>
  <c r="BA26" i="2"/>
  <c r="BA52" i="2"/>
  <c r="BA211" i="2"/>
  <c r="BB568" i="2"/>
  <c r="BB607" i="2"/>
  <c r="BB152" i="2"/>
  <c r="BB444" i="2"/>
  <c r="BB676" i="2"/>
  <c r="BB288" i="2"/>
  <c r="BB417" i="2"/>
  <c r="BK599" i="1"/>
  <c r="BB552" i="2"/>
  <c r="BB441" i="2"/>
  <c r="BB408" i="2"/>
  <c r="BB291" i="2"/>
  <c r="BK302" i="1"/>
  <c r="BB570" i="2"/>
  <c r="BB108" i="2"/>
  <c r="BB163" i="2"/>
  <c r="BB328" i="2"/>
  <c r="BB458" i="2"/>
  <c r="BB50" i="2"/>
  <c r="BK271" i="1"/>
  <c r="BB641" i="2"/>
  <c r="BK572" i="1"/>
  <c r="BB367" i="2"/>
  <c r="BB161" i="2"/>
  <c r="BB149" i="2"/>
  <c r="BA525" i="2"/>
  <c r="BA752" i="2"/>
  <c r="BA483" i="2"/>
  <c r="BA547" i="2"/>
  <c r="BA433" i="2"/>
  <c r="BA261" i="2"/>
  <c r="BA720" i="2"/>
  <c r="BA484" i="2"/>
  <c r="BA716" i="2"/>
  <c r="BA358" i="2"/>
  <c r="BA226" i="2"/>
  <c r="BA257" i="2"/>
  <c r="BA495" i="2"/>
  <c r="BA93" i="2"/>
  <c r="BA469" i="2"/>
  <c r="BA577" i="2"/>
  <c r="BJ239" i="1"/>
  <c r="BA229" i="2"/>
  <c r="BJ732" i="1"/>
  <c r="BA682" i="2"/>
  <c r="BA330" i="2"/>
  <c r="BA415" i="2"/>
  <c r="BA554" i="2"/>
  <c r="BA285" i="2"/>
  <c r="BA733" i="2"/>
  <c r="BJ573" i="1"/>
  <c r="BA450" i="2"/>
  <c r="BJ375" i="1"/>
  <c r="BA401" i="2"/>
  <c r="BA310" i="2"/>
  <c r="BA560" i="2"/>
  <c r="BA153" i="2"/>
  <c r="BA621" i="2"/>
  <c r="BJ704" i="1"/>
  <c r="BA737" i="2"/>
  <c r="BA9" i="2"/>
  <c r="BA370" i="2"/>
  <c r="BA307" i="2"/>
  <c r="BA271" i="2"/>
  <c r="BJ99" i="1"/>
  <c r="BA763" i="2"/>
  <c r="BJ606" i="1"/>
  <c r="BA740" i="2"/>
  <c r="BJ545" i="1"/>
  <c r="BA730" i="2"/>
  <c r="BA218" i="2"/>
  <c r="BA715" i="2"/>
  <c r="BA167" i="2"/>
  <c r="BJ237" i="1"/>
  <c r="BA650" i="2"/>
  <c r="BA706" i="2"/>
  <c r="BA606" i="2"/>
  <c r="BA75" i="2"/>
  <c r="BJ401" i="1"/>
  <c r="BA440" i="2"/>
  <c r="BA526" i="2"/>
  <c r="BA340" i="2"/>
  <c r="BA396" i="2"/>
  <c r="BA601" i="2"/>
  <c r="BA656" i="2"/>
  <c r="BA263" i="2"/>
  <c r="BA476" i="2"/>
  <c r="BA362" i="2"/>
  <c r="BA676" i="2"/>
  <c r="BA195" i="2"/>
  <c r="BA342" i="2"/>
  <c r="BA531" i="2"/>
  <c r="BA714" i="2"/>
  <c r="BA501" i="2"/>
  <c r="BJ599" i="1"/>
  <c r="BA552" i="2"/>
  <c r="BA441" i="2"/>
  <c r="BA408" i="2"/>
  <c r="BA478" i="2"/>
  <c r="BA270" i="2"/>
  <c r="BJ302" i="1"/>
  <c r="BA570" i="2"/>
  <c r="BA108" i="2"/>
  <c r="BA163" i="2"/>
  <c r="BA328" i="2"/>
  <c r="BA458" i="2"/>
  <c r="BA717" i="2"/>
  <c r="BJ271" i="1"/>
  <c r="BA641" i="2"/>
  <c r="BJ572" i="1"/>
  <c r="BA367" i="2"/>
  <c r="BA161" i="2"/>
  <c r="BA149" i="2"/>
  <c r="BA70" i="2"/>
  <c r="BA462" i="2"/>
  <c r="BJ644" i="1"/>
  <c r="BA578" i="2"/>
  <c r="BA184" i="2"/>
  <c r="BA18" i="2"/>
  <c r="BA230" i="2"/>
  <c r="BA55" i="2"/>
  <c r="BA680" i="2"/>
  <c r="BA90" i="2"/>
  <c r="BA587" i="2"/>
  <c r="BA154" i="2"/>
  <c r="BA236" i="2"/>
  <c r="BA13" i="2"/>
  <c r="BA116" i="2"/>
  <c r="BA157" i="2"/>
  <c r="BA637" i="2"/>
  <c r="BA172" i="2"/>
  <c r="BA438" i="2"/>
  <c r="BA89" i="2"/>
  <c r="BA512" i="2"/>
  <c r="BA314" i="2"/>
  <c r="BJ528" i="1"/>
  <c r="BA759" i="2"/>
  <c r="BA148" i="2"/>
  <c r="BA744" i="2"/>
  <c r="BA8" i="2"/>
  <c r="BA726" i="2"/>
  <c r="BA86" i="2"/>
  <c r="BA698" i="2"/>
  <c r="BJ570" i="1"/>
  <c r="BA671" i="2"/>
  <c r="BJ589" i="1"/>
  <c r="BA644" i="2"/>
  <c r="BJ12" i="1"/>
  <c r="BA597" i="2"/>
  <c r="BA390" i="2"/>
  <c r="BA33" i="2"/>
  <c r="BA19" i="2"/>
  <c r="BA104" i="2"/>
  <c r="BA453" i="2"/>
  <c r="BA220" i="2"/>
  <c r="BA412" i="2"/>
  <c r="BA57" i="2"/>
  <c r="BA353" i="2"/>
  <c r="BJ532" i="1"/>
  <c r="BA297" i="2"/>
  <c r="BA489" i="2"/>
  <c r="BA232" i="2"/>
  <c r="BA11" i="2"/>
  <c r="BB335" i="2"/>
  <c r="BB442" i="2"/>
  <c r="BB281" i="2"/>
  <c r="BB215" i="2"/>
  <c r="BB464" i="2"/>
  <c r="BB430" i="2"/>
  <c r="BB579" i="2"/>
  <c r="BB532" i="2"/>
  <c r="BB521" i="2"/>
  <c r="BB535" i="2"/>
  <c r="BK243" i="1"/>
  <c r="BB667" i="2"/>
  <c r="BK154" i="1"/>
  <c r="BB528" i="2"/>
  <c r="BB345" i="2"/>
  <c r="BB387" i="2"/>
  <c r="BK216" i="1"/>
  <c r="BB697" i="2"/>
  <c r="BA394" i="2"/>
  <c r="BA25" i="2"/>
  <c r="BA213" i="2"/>
  <c r="BA392" i="2"/>
  <c r="BA378" i="2"/>
  <c r="BA486" i="2"/>
  <c r="BA87" i="2"/>
  <c r="BA31" i="2"/>
  <c r="BA92" i="2"/>
  <c r="BA681" i="2"/>
  <c r="BA122" i="2"/>
  <c r="BA617" i="2"/>
  <c r="BA17" i="2"/>
  <c r="BA493" i="2"/>
  <c r="BA24" i="2"/>
  <c r="BA160" i="2"/>
  <c r="BA32" i="2"/>
  <c r="BA178" i="2"/>
  <c r="BJ81" i="1"/>
  <c r="BA751" i="2"/>
  <c r="BJ65" i="1"/>
  <c r="BA736" i="2"/>
  <c r="BJ40" i="1"/>
  <c r="BA691" i="2"/>
  <c r="BA223" i="2"/>
  <c r="BA659" i="2"/>
  <c r="BA79" i="2"/>
  <c r="BA614" i="2"/>
  <c r="BJ561" i="1"/>
  <c r="BA541" i="2"/>
  <c r="BA399" i="2"/>
  <c r="BJ511" i="1"/>
  <c r="BA466" i="2"/>
  <c r="BA219" i="2"/>
  <c r="BA393" i="2"/>
  <c r="BJ586" i="1"/>
  <c r="BA331" i="2"/>
  <c r="BA191" i="2"/>
  <c r="BA199" i="2"/>
  <c r="BA170" i="2"/>
  <c r="BB739" i="2"/>
  <c r="BB623" i="2"/>
  <c r="BB402" i="2"/>
  <c r="BB563" i="2"/>
  <c r="BB457" i="2"/>
  <c r="BB177" i="2"/>
  <c r="BB414" i="2"/>
  <c r="BB507" i="2"/>
  <c r="BB168" i="2"/>
  <c r="BB446" i="2"/>
  <c r="BB553" i="2"/>
  <c r="BB127" i="2"/>
  <c r="BB359" i="2"/>
  <c r="BB69" i="2"/>
  <c r="BB536" i="2"/>
  <c r="BB498" i="2"/>
  <c r="BB477" i="2"/>
  <c r="BB274" i="2"/>
  <c r="BB209" i="2"/>
  <c r="BB324" i="2"/>
  <c r="BB565" i="2"/>
  <c r="BB634" i="2"/>
  <c r="BB692" i="2"/>
  <c r="BK319" i="1"/>
  <c r="BB500" i="2"/>
  <c r="BK702" i="1"/>
  <c r="BB576" i="2"/>
  <c r="BB176" i="2"/>
  <c r="BB605" i="2"/>
  <c r="BB619" i="2"/>
  <c r="BK461" i="1"/>
  <c r="BB582" i="2"/>
  <c r="BK225" i="1"/>
  <c r="BB350" i="2"/>
  <c r="BB282" i="2"/>
  <c r="BB505" i="2"/>
  <c r="BB432" i="2"/>
  <c r="BB406" i="2"/>
  <c r="BK521" i="1"/>
  <c r="BB765" i="2"/>
  <c r="BB205" i="2"/>
  <c r="BB652" i="2"/>
  <c r="BB136" i="2"/>
  <c r="BB203" i="2"/>
  <c r="BK754" i="1"/>
  <c r="BB660" i="2"/>
  <c r="BB313" i="2"/>
  <c r="BK188" i="1"/>
  <c r="BB581" i="2"/>
  <c r="BB657" i="2"/>
  <c r="BB559" i="2"/>
  <c r="BB662" i="2"/>
  <c r="BB299" i="2"/>
  <c r="BB468" i="2"/>
  <c r="BB487" i="2"/>
  <c r="BB300" i="2"/>
  <c r="BB465" i="2"/>
  <c r="BB107" i="2"/>
  <c r="BB72" i="2"/>
  <c r="BB280" i="2"/>
  <c r="BB255" i="2"/>
  <c r="BB59" i="2"/>
  <c r="BK593" i="1"/>
  <c r="BB725" i="2"/>
  <c r="BB27" i="2"/>
  <c r="BK69" i="1"/>
  <c r="BB611" i="2"/>
  <c r="BK621" i="1"/>
  <c r="BB557" i="2"/>
  <c r="BB206" i="2"/>
  <c r="BK70" i="1"/>
  <c r="BB375" i="2"/>
  <c r="BB151" i="2"/>
  <c r="BB121" i="2"/>
  <c r="BB262" i="2"/>
  <c r="BB249" i="2"/>
  <c r="BB204" i="2"/>
  <c r="BB755" i="2"/>
  <c r="BK537" i="1"/>
  <c r="BB705" i="2"/>
  <c r="BB41" i="2"/>
  <c r="BB678" i="2"/>
  <c r="BK542" i="1"/>
  <c r="BB654" i="2"/>
  <c r="BK535" i="1"/>
  <c r="BB627" i="2"/>
  <c r="BB28" i="2"/>
  <c r="BK576" i="1"/>
  <c r="BB569" i="2"/>
  <c r="BK33" i="1"/>
  <c r="BB534" i="2"/>
  <c r="BK29" i="1"/>
  <c r="BB502" i="2"/>
  <c r="BB241" i="2"/>
  <c r="BB132" i="2"/>
  <c r="BB422" i="2"/>
  <c r="BB343" i="2"/>
  <c r="BB385" i="2"/>
  <c r="BB380" i="2"/>
  <c r="BB166" i="2"/>
  <c r="BB48" i="2"/>
  <c r="AZ525" i="2"/>
  <c r="AZ547" i="2"/>
  <c r="AZ484" i="2"/>
  <c r="BB159" i="2"/>
  <c r="AZ55" i="2"/>
  <c r="AZ680" i="2"/>
  <c r="AZ157" i="2"/>
  <c r="AZ637" i="2"/>
  <c r="AZ172" i="2"/>
  <c r="AZ438" i="2"/>
  <c r="AZ512" i="2"/>
  <c r="AZ314" i="2"/>
  <c r="BI528" i="1"/>
  <c r="AZ759" i="2"/>
  <c r="AZ148" i="2"/>
  <c r="AZ744" i="2"/>
  <c r="AZ8" i="2"/>
  <c r="AZ726" i="2"/>
  <c r="AZ86" i="2"/>
  <c r="AZ698" i="2"/>
  <c r="BI570" i="1"/>
  <c r="AZ671" i="2"/>
  <c r="BI589" i="1"/>
  <c r="AZ644" i="2"/>
  <c r="BI12" i="1"/>
  <c r="AZ597" i="2"/>
  <c r="AZ104" i="2"/>
  <c r="AZ453" i="2"/>
  <c r="AZ220" i="2"/>
  <c r="AZ412" i="2"/>
  <c r="AZ57" i="2"/>
  <c r="AZ353" i="2"/>
  <c r="BI532" i="1"/>
  <c r="AZ297" i="2"/>
  <c r="AZ489" i="2"/>
  <c r="AZ232" i="2"/>
  <c r="AY451" i="2"/>
  <c r="AY625" i="2"/>
  <c r="AY565" i="2"/>
  <c r="BH316" i="1"/>
  <c r="AY764" i="2"/>
  <c r="BH491" i="1"/>
  <c r="AY645" i="2"/>
  <c r="BH272" i="1"/>
  <c r="AY598" i="2"/>
  <c r="BH604" i="1"/>
  <c r="AY368" i="2"/>
  <c r="AY307" i="2"/>
  <c r="AY271" i="2"/>
  <c r="AY44" i="2"/>
  <c r="AY696" i="2"/>
  <c r="BH754" i="1"/>
  <c r="AY660" i="2"/>
  <c r="BH188" i="1"/>
  <c r="AY581" i="2"/>
  <c r="AY394" i="2"/>
  <c r="AY300" i="2"/>
  <c r="AY465" i="2"/>
  <c r="AY85" i="2"/>
  <c r="AY718" i="2"/>
  <c r="AY157" i="2"/>
  <c r="AY637" i="2"/>
  <c r="BK644" i="1"/>
  <c r="BB578" i="2"/>
  <c r="BB332" i="2"/>
  <c r="BB18" i="2"/>
  <c r="BB55" i="2"/>
  <c r="BB680" i="2"/>
  <c r="BB90" i="2"/>
  <c r="BB587" i="2"/>
  <c r="BB116" i="2"/>
  <c r="BB157" i="2"/>
  <c r="BB637" i="2"/>
  <c r="BB172" i="2"/>
  <c r="BB438" i="2"/>
  <c r="BB89" i="2"/>
  <c r="BB512" i="2"/>
  <c r="BB314" i="2"/>
  <c r="BB190" i="2"/>
  <c r="BK528" i="1"/>
  <c r="BB759" i="2"/>
  <c r="BB148" i="2"/>
  <c r="BB744" i="2"/>
  <c r="BB8" i="2"/>
  <c r="BB726" i="2"/>
  <c r="BB86" i="2"/>
  <c r="BB698" i="2"/>
  <c r="BK570" i="1"/>
  <c r="BB671" i="2"/>
  <c r="BK589" i="1"/>
  <c r="BB644" i="2"/>
  <c r="BK12" i="1"/>
  <c r="BB597" i="2"/>
  <c r="BB19" i="2"/>
  <c r="BB104" i="2"/>
  <c r="BB453" i="2"/>
  <c r="BB220" i="2"/>
  <c r="BB412" i="2"/>
  <c r="BB57" i="2"/>
  <c r="BB353" i="2"/>
  <c r="BK532" i="1"/>
  <c r="BB297" i="2"/>
  <c r="BB489" i="2"/>
  <c r="BB232" i="2"/>
  <c r="AZ281" i="2"/>
  <c r="AZ521" i="2"/>
  <c r="AZ535" i="2"/>
  <c r="BI243" i="1"/>
  <c r="AZ667" i="2"/>
  <c r="BI154" i="1"/>
  <c r="AZ528" i="2"/>
  <c r="AZ345" i="2"/>
  <c r="AZ387" i="2"/>
  <c r="BI216" i="1"/>
  <c r="AZ697" i="2"/>
  <c r="BA655" i="2"/>
  <c r="BA472" i="2"/>
  <c r="BA409" i="2"/>
  <c r="BA503" i="2"/>
  <c r="BA101" i="2"/>
  <c r="BA85" i="2"/>
  <c r="BA718" i="2"/>
  <c r="BA43" i="2"/>
  <c r="BA648" i="2"/>
  <c r="BA207" i="2"/>
  <c r="BA39" i="2"/>
  <c r="BA174" i="2"/>
  <c r="BA321" i="2"/>
  <c r="BA210" i="2"/>
  <c r="BA760" i="2"/>
  <c r="BA103" i="2"/>
  <c r="BJ32" i="1"/>
  <c r="BA722" i="2"/>
  <c r="BA71" i="2"/>
  <c r="BA707" i="2"/>
  <c r="BA16" i="2"/>
  <c r="BA672" i="2"/>
  <c r="BA22" i="2"/>
  <c r="BJ525" i="1"/>
  <c r="BA624" i="2"/>
  <c r="BA54" i="2"/>
  <c r="BA599" i="2"/>
  <c r="BJ505" i="1"/>
  <c r="BA550" i="2"/>
  <c r="BA130" i="2"/>
  <c r="BA529" i="2"/>
  <c r="BA56" i="2"/>
  <c r="BA302" i="2"/>
  <c r="BA181" i="2"/>
  <c r="BA355" i="2"/>
  <c r="BJ72" i="1"/>
  <c r="BA306" i="2"/>
  <c r="BA124" i="2"/>
  <c r="BA82" i="2"/>
  <c r="BA7" i="2"/>
  <c r="BB728" i="2"/>
  <c r="BB126" i="2"/>
  <c r="BB376" i="2"/>
  <c r="BB455" i="2"/>
  <c r="BB96" i="2"/>
  <c r="BB277" i="2"/>
  <c r="BB491" i="2"/>
  <c r="BB356" i="2"/>
  <c r="BB588" i="2"/>
  <c r="BB363" i="2"/>
  <c r="BB708" i="2"/>
  <c r="BB600" i="2"/>
  <c r="BB544" i="2"/>
  <c r="BB456" i="2"/>
  <c r="BB510" i="2"/>
  <c r="BK304" i="1"/>
  <c r="BB337" i="2"/>
  <c r="BB426" i="2"/>
  <c r="BK734" i="1"/>
  <c r="BB165" i="2"/>
  <c r="BB633" i="2"/>
  <c r="BB663" i="2"/>
  <c r="BK286" i="1"/>
  <c r="BB548" i="2"/>
  <c r="BK55" i="1"/>
  <c r="BB320" i="2"/>
  <c r="BB383" i="2"/>
  <c r="BB666" i="2"/>
  <c r="BB63" i="2"/>
  <c r="BB673" i="2"/>
  <c r="BB305" i="2"/>
  <c r="BB423" i="2"/>
  <c r="BK276" i="1"/>
  <c r="BB384" i="2"/>
  <c r="BB436" i="2"/>
  <c r="BB267" i="2"/>
  <c r="BB138" i="2"/>
  <c r="BB175" i="2"/>
  <c r="BB23" i="2"/>
  <c r="BB259" i="2"/>
  <c r="BK111" i="1"/>
  <c r="BB704" i="2"/>
  <c r="BB381" i="2"/>
  <c r="BB99" i="2"/>
  <c r="BB49" i="2"/>
  <c r="BB83" i="2"/>
  <c r="BB471" i="2"/>
  <c r="BB562" i="2"/>
  <c r="BB265" i="2"/>
  <c r="BB407" i="2"/>
  <c r="BB145" i="2"/>
  <c r="BB185" i="2"/>
  <c r="BB585" i="2"/>
  <c r="BB134" i="2"/>
  <c r="BB114" i="2"/>
  <c r="BB434" i="2"/>
  <c r="BB91" i="2"/>
  <c r="BB197" i="2"/>
  <c r="BB183" i="2"/>
  <c r="BB34" i="2"/>
  <c r="BB319" i="2"/>
  <c r="BK617" i="1"/>
  <c r="BB580" i="2"/>
  <c r="BB162" i="2"/>
  <c r="BB514" i="2"/>
  <c r="BB112" i="2"/>
  <c r="BB437" i="2"/>
  <c r="BB382" i="2"/>
  <c r="BB29" i="2"/>
  <c r="BB10" i="2"/>
  <c r="BB758" i="2"/>
  <c r="BB233" i="2"/>
  <c r="BB742" i="2"/>
  <c r="BB67" i="2"/>
  <c r="BB721" i="2"/>
  <c r="BB98" i="2"/>
  <c r="BB694" i="2"/>
  <c r="BK558" i="1"/>
  <c r="BB669" i="2"/>
  <c r="BK565" i="1"/>
  <c r="BB643" i="2"/>
  <c r="BK519" i="1"/>
  <c r="BB608" i="2"/>
  <c r="BK562" i="1"/>
  <c r="BB594" i="2"/>
  <c r="BK569" i="1"/>
  <c r="BB549" i="2"/>
  <c r="BB73" i="2"/>
  <c r="BB53" i="2"/>
  <c r="BB366" i="2"/>
  <c r="BB452" i="2"/>
  <c r="BB224" i="2"/>
  <c r="BB68" i="2"/>
  <c r="BB298" i="2"/>
  <c r="BB15" i="2"/>
  <c r="BB21" i="2"/>
  <c r="BB158" i="2"/>
  <c r="AZ511" i="2"/>
  <c r="AZ527" i="2"/>
  <c r="BB466" i="2"/>
  <c r="BK596" i="1"/>
  <c r="BB595" i="2"/>
  <c r="BK453" i="1"/>
  <c r="BB354" i="2"/>
  <c r="BB202" i="2"/>
  <c r="BB522" i="2"/>
  <c r="BB703" i="2"/>
  <c r="BB701" i="2"/>
  <c r="BB133" i="2"/>
  <c r="BB630" i="2"/>
  <c r="BB596" i="2"/>
  <c r="BK132" i="1"/>
  <c r="BB542" i="2"/>
  <c r="BB341" i="2"/>
  <c r="BB245" i="2"/>
  <c r="BB278" i="2"/>
  <c r="BB254" i="2"/>
  <c r="BB719" i="2"/>
  <c r="BB361" i="2"/>
  <c r="BB508" i="2"/>
  <c r="BB147" i="2"/>
  <c r="BK30" i="1"/>
  <c r="BB684" i="2"/>
  <c r="BB110" i="2"/>
  <c r="BB479" i="2"/>
  <c r="BB564" i="2"/>
  <c r="BB200" i="2"/>
  <c r="BB139" i="2"/>
  <c r="BB66" i="2"/>
  <c r="BB105" i="2"/>
  <c r="BB51" i="2"/>
  <c r="BB757" i="2"/>
  <c r="BK68" i="1"/>
  <c r="BB693" i="2"/>
  <c r="BK523" i="1"/>
  <c r="BB665" i="2"/>
  <c r="BK23" i="1"/>
  <c r="BB635" i="2"/>
  <c r="BB119" i="2"/>
  <c r="BB592" i="2"/>
  <c r="BK512" i="1"/>
  <c r="BB546" i="2"/>
  <c r="BB61" i="2"/>
  <c r="BB520" i="2"/>
  <c r="BK538" i="1"/>
  <c r="BB473" i="2"/>
  <c r="BB208" i="2"/>
  <c r="BB439" i="2"/>
  <c r="BB275" i="2"/>
  <c r="BB395" i="2"/>
  <c r="BK516" i="1"/>
  <c r="BB333" i="2"/>
  <c r="BK510" i="1"/>
  <c r="BB284" i="2"/>
  <c r="BB128" i="2"/>
  <c r="BB135" i="2"/>
  <c r="BB36" i="2"/>
  <c r="AZ371" i="2"/>
  <c r="AZ283" i="2"/>
  <c r="AZ460" i="2"/>
  <c r="AZ756" i="2"/>
  <c r="AZ348" i="2"/>
  <c r="AZ293" i="2"/>
  <c r="AZ74" i="2"/>
  <c r="AZ212" i="2"/>
  <c r="BI116" i="1"/>
  <c r="AZ636" i="2"/>
  <c r="BI604" i="1"/>
  <c r="AZ368" i="2"/>
  <c r="BI123" i="1"/>
  <c r="AZ243" i="2"/>
  <c r="BI755" i="1"/>
  <c r="AZ137" i="2"/>
  <c r="BI284" i="1"/>
  <c r="AZ418" i="2"/>
  <c r="AZ216" i="2"/>
  <c r="BI360" i="1"/>
  <c r="AZ766" i="2"/>
  <c r="AZ125" i="2"/>
  <c r="AZ44" i="2"/>
  <c r="AZ696" i="2"/>
  <c r="BI761" i="1"/>
  <c r="AZ622" i="2"/>
  <c r="AZ214" i="2"/>
  <c r="AZ539" i="2"/>
  <c r="BI424" i="1"/>
  <c r="AZ398" i="2"/>
  <c r="AZ490" i="2"/>
  <c r="BB598" i="2"/>
  <c r="AZ587" i="2"/>
  <c r="BB268" i="2"/>
  <c r="BB537" i="2"/>
  <c r="BB551" i="2"/>
  <c r="BB612" i="2"/>
  <c r="BB201" i="2"/>
  <c r="BB651" i="2"/>
  <c r="BB413" i="2"/>
  <c r="BB451" i="2"/>
  <c r="BB625" i="2"/>
  <c r="BB686" i="2"/>
  <c r="BB217" i="2"/>
  <c r="BB322" i="2"/>
  <c r="BK458" i="1"/>
  <c r="BB653" i="2"/>
  <c r="BK694" i="1"/>
  <c r="BB646" i="2"/>
  <c r="BK674" i="1"/>
  <c r="BB448" i="2"/>
  <c r="BB20" i="2"/>
  <c r="BB609" i="2"/>
  <c r="BK725" i="1"/>
  <c r="BB449" i="2"/>
  <c r="BB141" i="2"/>
  <c r="BK384" i="1"/>
  <c r="BB749" i="2"/>
  <c r="BB111" i="2"/>
  <c r="BB629" i="2"/>
  <c r="BB647" i="2"/>
  <c r="BB589" i="2"/>
  <c r="BB156" i="2"/>
  <c r="BB164" i="2"/>
  <c r="BB394" i="2"/>
  <c r="BB25" i="2"/>
  <c r="BB213" i="2"/>
  <c r="BB392" i="2"/>
  <c r="BB378" i="2"/>
  <c r="BB486" i="2"/>
  <c r="BB87" i="2"/>
  <c r="BB92" i="2"/>
  <c r="BB681" i="2"/>
  <c r="BB122" i="2"/>
  <c r="BB617" i="2"/>
  <c r="BB17" i="2"/>
  <c r="BB493" i="2"/>
  <c r="BB24" i="2"/>
  <c r="BB160" i="2"/>
  <c r="BB32" i="2"/>
  <c r="BB178" i="2"/>
  <c r="BK81" i="1"/>
  <c r="BB751" i="2"/>
  <c r="BK65" i="1"/>
  <c r="BB736" i="2"/>
  <c r="BK40" i="1"/>
  <c r="BB691" i="2"/>
  <c r="BB223" i="2"/>
  <c r="BB659" i="2"/>
  <c r="BB79" i="2"/>
  <c r="BB614" i="2"/>
  <c r="BK561" i="1"/>
  <c r="BB541" i="2"/>
  <c r="BB399" i="2"/>
  <c r="BB219" i="2"/>
  <c r="BB393" i="2"/>
  <c r="BK586" i="1"/>
  <c r="BB331" i="2"/>
  <c r="BB191" i="2"/>
  <c r="BB199" i="2"/>
  <c r="AZ739" i="2"/>
  <c r="AZ507" i="2"/>
  <c r="AZ168" i="2"/>
  <c r="AZ446" i="2"/>
  <c r="AZ127" i="2"/>
  <c r="AZ359" i="2"/>
  <c r="AZ69" i="2"/>
  <c r="AZ477" i="2"/>
  <c r="AZ274" i="2"/>
  <c r="AZ209" i="2"/>
  <c r="AZ324" i="2"/>
  <c r="AZ634" i="2"/>
  <c r="AZ692" i="2"/>
  <c r="AZ642" i="2"/>
  <c r="AZ279" i="2"/>
  <c r="AZ584" i="2"/>
  <c r="BI316" i="1"/>
  <c r="AZ764" i="2"/>
  <c r="BI491" i="1"/>
  <c r="AZ645" i="2"/>
  <c r="BI681" i="1"/>
  <c r="AZ377" i="2"/>
  <c r="AZ573" i="2"/>
  <c r="AZ250" i="2"/>
  <c r="AZ709" i="2"/>
  <c r="AZ38" i="2"/>
  <c r="AZ761" i="2"/>
  <c r="BI92" i="1"/>
  <c r="AZ748" i="2"/>
  <c r="AZ171" i="2"/>
  <c r="BI766" i="1"/>
  <c r="AZ688" i="2"/>
  <c r="AZ561" i="2"/>
  <c r="AZ613" i="2"/>
  <c r="BI54" i="1"/>
  <c r="AZ481" i="2"/>
  <c r="AZ14" i="2"/>
  <c r="AZ405" i="2"/>
  <c r="BI567" i="1"/>
  <c r="AZ754" i="2"/>
  <c r="AZ309" i="2"/>
  <c r="AZ616" i="2"/>
  <c r="AZ365" i="2"/>
  <c r="AZ62" i="2"/>
  <c r="AZ329" i="2"/>
  <c r="AZ237" i="2"/>
  <c r="BI607" i="1"/>
  <c r="AZ699" i="2"/>
  <c r="AZ30" i="2"/>
  <c r="AZ649" i="2"/>
  <c r="BI541" i="1"/>
  <c r="AZ591" i="2"/>
  <c r="AZ349" i="2"/>
  <c r="AZ42" i="2"/>
  <c r="AZ94" i="2"/>
  <c r="AZ762" i="2"/>
  <c r="AZ129" i="2"/>
  <c r="BI292" i="1"/>
  <c r="AZ747" i="2"/>
  <c r="BI529" i="1"/>
  <c r="AZ727" i="2"/>
  <c r="BI83" i="1"/>
  <c r="AZ710" i="2"/>
  <c r="BI35" i="1"/>
  <c r="AZ675" i="2"/>
  <c r="AZ169" i="2"/>
  <c r="AZ150" i="2"/>
  <c r="AZ530" i="2"/>
  <c r="BI28" i="1"/>
  <c r="AZ499" i="2"/>
  <c r="BI26" i="1"/>
  <c r="AZ431" i="2"/>
  <c r="AZ227" i="2"/>
  <c r="AZ416" i="2"/>
  <c r="AZ404" i="2"/>
  <c r="AZ360" i="2"/>
  <c r="AZ373" i="2"/>
  <c r="AZ52" i="2"/>
  <c r="AZ211" i="2"/>
  <c r="AY498" i="2"/>
  <c r="AY322" i="2"/>
  <c r="AY283" i="2"/>
  <c r="AY460" i="2"/>
  <c r="AY756" i="2"/>
  <c r="AY63" i="2"/>
  <c r="AY673" i="2"/>
  <c r="BH755" i="1"/>
  <c r="AY137" i="2"/>
  <c r="BH284" i="1"/>
  <c r="AY418" i="2"/>
  <c r="AY406" i="2"/>
  <c r="AY38" i="2"/>
  <c r="AY761" i="2"/>
  <c r="BH92" i="1"/>
  <c r="AY748" i="2"/>
  <c r="BH545" i="1"/>
  <c r="AY730" i="2"/>
  <c r="BH111" i="1"/>
  <c r="AY704" i="2"/>
  <c r="AY111" i="2"/>
  <c r="AY629" i="2"/>
  <c r="AY647" i="2"/>
  <c r="AY589" i="2"/>
  <c r="AY639" i="2"/>
  <c r="AY214" i="2"/>
  <c r="AY539" i="2"/>
  <c r="BH54" i="1"/>
  <c r="AY481" i="2"/>
  <c r="BH401" i="1"/>
  <c r="AY440" i="2"/>
  <c r="AY18" i="2"/>
  <c r="AY265" i="2"/>
  <c r="AY238" i="2"/>
  <c r="AY30" i="2"/>
  <c r="AY649" i="2"/>
  <c r="BH541" i="1"/>
  <c r="AY591" i="2"/>
  <c r="AY112" i="2"/>
  <c r="AY437" i="2"/>
  <c r="AY29" i="2"/>
  <c r="AY204" i="2"/>
  <c r="AY755" i="2"/>
  <c r="AY8" i="2"/>
  <c r="AY726" i="2"/>
  <c r="BH556" i="1"/>
  <c r="AY658" i="2"/>
  <c r="BH576" i="1"/>
  <c r="AY569" i="2"/>
  <c r="BH33" i="1"/>
  <c r="AY534" i="2"/>
  <c r="BH26" i="1"/>
  <c r="AY431" i="2"/>
  <c r="AY227" i="2"/>
  <c r="AY416" i="2"/>
  <c r="AY181" i="2"/>
  <c r="BH72" i="1"/>
  <c r="AY306" i="2"/>
  <c r="AY489" i="2"/>
  <c r="AY232" i="2"/>
  <c r="AY375" i="2"/>
  <c r="AY682" i="2"/>
  <c r="AZ716" i="2"/>
  <c r="AZ226" i="2"/>
  <c r="AZ257" i="2"/>
  <c r="AZ93" i="2"/>
  <c r="BI239" i="1"/>
  <c r="AZ229" i="2"/>
  <c r="BI732" i="1"/>
  <c r="AZ682" i="2"/>
  <c r="AZ330" i="2"/>
  <c r="AZ415" i="2"/>
  <c r="AZ554" i="2"/>
  <c r="AZ285" i="2"/>
  <c r="AZ733" i="2"/>
  <c r="BI573" i="1"/>
  <c r="AZ450" i="2"/>
  <c r="BI375" i="1"/>
  <c r="AZ401" i="2"/>
  <c r="AZ560" i="2"/>
  <c r="AZ153" i="2"/>
  <c r="BI704" i="1"/>
  <c r="AZ737" i="2"/>
  <c r="AZ9" i="2"/>
  <c r="AZ370" i="2"/>
  <c r="AZ307" i="2"/>
  <c r="AZ271" i="2"/>
  <c r="BI99" i="1"/>
  <c r="AZ763" i="2"/>
  <c r="BI606" i="1"/>
  <c r="AZ740" i="2"/>
  <c r="BI545" i="1"/>
  <c r="AZ730" i="2"/>
  <c r="AZ218" i="2"/>
  <c r="AZ167" i="2"/>
  <c r="BI237" i="1"/>
  <c r="AZ650" i="2"/>
  <c r="AZ706" i="2"/>
  <c r="AZ606" i="2"/>
  <c r="AZ75" i="2"/>
  <c r="BI401" i="1"/>
  <c r="AZ440" i="2"/>
  <c r="AZ526" i="2"/>
  <c r="AZ340" i="2"/>
  <c r="AZ396" i="2"/>
  <c r="AZ472" i="2"/>
  <c r="AZ409" i="2"/>
  <c r="AZ503" i="2"/>
  <c r="AZ101" i="2"/>
  <c r="AZ85" i="2"/>
  <c r="AZ718" i="2"/>
  <c r="AZ43" i="2"/>
  <c r="AZ648" i="2"/>
  <c r="AZ207" i="2"/>
  <c r="AZ39" i="2"/>
  <c r="AZ174" i="2"/>
  <c r="AZ321" i="2"/>
  <c r="AZ210" i="2"/>
  <c r="AZ760" i="2"/>
  <c r="AZ103" i="2"/>
  <c r="AZ745" i="2"/>
  <c r="BI32" i="1"/>
  <c r="AZ722" i="2"/>
  <c r="AZ71" i="2"/>
  <c r="AZ707" i="2"/>
  <c r="AZ16" i="2"/>
  <c r="AZ672" i="2"/>
  <c r="BI525" i="1"/>
  <c r="AZ624" i="2"/>
  <c r="AZ54" i="2"/>
  <c r="AZ599" i="2"/>
  <c r="AZ130" i="2"/>
  <c r="AZ529" i="2"/>
  <c r="AZ56" i="2"/>
  <c r="AZ302" i="2"/>
  <c r="AZ181" i="2"/>
  <c r="AZ355" i="2"/>
  <c r="BI72" i="1"/>
  <c r="AZ306" i="2"/>
  <c r="AZ124" i="2"/>
  <c r="AZ82" i="2"/>
  <c r="AZ7" i="2"/>
  <c r="AY376" i="2"/>
  <c r="AY335" i="2"/>
  <c r="AY690" i="2"/>
  <c r="AY371" i="2"/>
  <c r="AY446" i="2"/>
  <c r="AY604" i="2"/>
  <c r="AY379" i="2"/>
  <c r="AY584" i="2"/>
  <c r="AY196" i="2"/>
  <c r="AY469" i="2"/>
  <c r="AY521" i="2"/>
  <c r="AY634" i="2"/>
  <c r="AY692" i="2"/>
  <c r="BH319" i="1"/>
  <c r="AY500" i="2"/>
  <c r="BH702" i="1"/>
  <c r="AY576" i="2"/>
  <c r="AY573" i="2"/>
  <c r="AY250" i="2"/>
  <c r="AY513" i="2"/>
  <c r="AY556" i="2"/>
  <c r="BH123" i="1"/>
  <c r="AY243" i="2"/>
  <c r="AY505" i="2"/>
  <c r="AY432" i="2"/>
  <c r="BH99" i="1"/>
  <c r="AY763" i="2"/>
  <c r="BH606" i="1"/>
  <c r="AY740" i="2"/>
  <c r="BH761" i="1"/>
  <c r="AY622" i="2"/>
  <c r="AY657" i="2"/>
  <c r="AY559" i="2"/>
  <c r="AY545" i="2"/>
  <c r="AY83" i="2"/>
  <c r="AY471" i="2"/>
  <c r="AY562" i="2"/>
  <c r="AY248" i="2"/>
  <c r="AY409" i="2"/>
  <c r="AY236" i="2"/>
  <c r="AY447" i="2"/>
  <c r="BH593" i="1"/>
  <c r="AY725" i="2"/>
  <c r="AZ628" i="2"/>
  <c r="AZ320" i="2"/>
  <c r="AZ749" i="2"/>
  <c r="AZ96" i="2"/>
  <c r="AZ277" i="2"/>
  <c r="AZ491" i="2"/>
  <c r="AZ363" i="2"/>
  <c r="AZ352" i="2"/>
  <c r="AZ708" i="2"/>
  <c r="AZ600" i="2"/>
  <c r="AZ456" i="2"/>
  <c r="BI304" i="1"/>
  <c r="AZ337" i="2"/>
  <c r="AZ426" i="2"/>
  <c r="BI734" i="1"/>
  <c r="AZ165" i="2"/>
  <c r="AZ633" i="2"/>
  <c r="BI286" i="1"/>
  <c r="AZ548" i="2"/>
  <c r="AZ383" i="2"/>
  <c r="AZ63" i="2"/>
  <c r="AZ673" i="2"/>
  <c r="AZ305" i="2"/>
  <c r="BI276" i="1"/>
  <c r="AZ384" i="2"/>
  <c r="AZ436" i="2"/>
  <c r="AZ267" i="2"/>
  <c r="AZ138" i="2"/>
  <c r="AZ23" i="2"/>
  <c r="AZ259" i="2"/>
  <c r="BI111" i="1"/>
  <c r="AZ704" i="2"/>
  <c r="AZ49" i="2"/>
  <c r="AZ83" i="2"/>
  <c r="AZ471" i="2"/>
  <c r="AZ562" i="2"/>
  <c r="AZ265" i="2"/>
  <c r="AZ407" i="2"/>
  <c r="AZ145" i="2"/>
  <c r="AZ185" i="2"/>
  <c r="AZ585" i="2"/>
  <c r="AZ114" i="2"/>
  <c r="AZ434" i="2"/>
  <c r="AZ91" i="2"/>
  <c r="AZ197" i="2"/>
  <c r="AZ183" i="2"/>
  <c r="AZ34" i="2"/>
  <c r="AZ319" i="2"/>
  <c r="BI617" i="1"/>
  <c r="AZ580" i="2"/>
  <c r="AZ162" i="2"/>
  <c r="AZ514" i="2"/>
  <c r="AZ112" i="2"/>
  <c r="AZ437" i="2"/>
  <c r="AZ382" i="2"/>
  <c r="AZ29" i="2"/>
  <c r="AZ10" i="2"/>
  <c r="AZ758" i="2"/>
  <c r="AZ233" i="2"/>
  <c r="AZ742" i="2"/>
  <c r="AZ67" i="2"/>
  <c r="AZ721" i="2"/>
  <c r="AZ98" i="2"/>
  <c r="AZ694" i="2"/>
  <c r="BI565" i="1"/>
  <c r="AZ643" i="2"/>
  <c r="BI519" i="1"/>
  <c r="AZ608" i="2"/>
  <c r="BI562" i="1"/>
  <c r="AZ594" i="2"/>
  <c r="AZ73" i="2"/>
  <c r="AZ53" i="2"/>
  <c r="AZ366" i="2"/>
  <c r="AZ452" i="2"/>
  <c r="AZ224" i="2"/>
  <c r="AZ68" i="2"/>
  <c r="AZ21" i="2"/>
  <c r="AZ158" i="2"/>
  <c r="AY527" i="2"/>
  <c r="AY252" i="2"/>
  <c r="AY304" i="2"/>
  <c r="AY519" i="2"/>
  <c r="AY421" i="2"/>
  <c r="AY186" i="2"/>
  <c r="AY192" i="2"/>
  <c r="AY445" i="2"/>
  <c r="AY364" i="2"/>
  <c r="AY494" i="2"/>
  <c r="AY342" i="2"/>
  <c r="AY330" i="2"/>
  <c r="AY415" i="2"/>
  <c r="AY478" i="2"/>
  <c r="BH464" i="1"/>
  <c r="AY159" i="2"/>
  <c r="BH116" i="1"/>
  <c r="AY636" i="2"/>
  <c r="AY683" i="2"/>
  <c r="BH225" i="1"/>
  <c r="AY350" i="2"/>
  <c r="AY560" i="2"/>
  <c r="AY153" i="2"/>
  <c r="BH704" i="1"/>
  <c r="AY737" i="2"/>
  <c r="AY9" i="2"/>
  <c r="AY370" i="2"/>
  <c r="AY161" i="2"/>
  <c r="AY149" i="2"/>
  <c r="AY23" i="2"/>
  <c r="AY203" i="2"/>
  <c r="AY558" i="2"/>
  <c r="AY561" i="2"/>
  <c r="AY613" i="2"/>
  <c r="AY142" i="2"/>
  <c r="AY75" i="2"/>
  <c r="AY164" i="2"/>
  <c r="AY365" i="2"/>
  <c r="AY91" i="2"/>
  <c r="AY508" i="2"/>
  <c r="AY116" i="2"/>
  <c r="AY319" i="2"/>
  <c r="AZ549" i="2"/>
  <c r="AZ298" i="2"/>
  <c r="AY697" i="2"/>
  <c r="AY448" i="2"/>
  <c r="AY355" i="2"/>
  <c r="AZ188" i="2"/>
  <c r="BI596" i="1"/>
  <c r="AZ595" i="2"/>
  <c r="BI453" i="1"/>
  <c r="AZ354" i="2"/>
  <c r="AZ202" i="2"/>
  <c r="AZ522" i="2"/>
  <c r="AZ630" i="2"/>
  <c r="AZ596" i="2"/>
  <c r="BI132" i="1"/>
  <c r="AZ542" i="2"/>
  <c r="AZ155" i="2"/>
  <c r="AZ341" i="2"/>
  <c r="AZ245" i="2"/>
  <c r="AZ278" i="2"/>
  <c r="AZ719" i="2"/>
  <c r="AZ361" i="2"/>
  <c r="AZ508" i="2"/>
  <c r="AZ292" i="2"/>
  <c r="AZ147" i="2"/>
  <c r="BI30" i="1"/>
  <c r="AZ684" i="2"/>
  <c r="AZ110" i="2"/>
  <c r="AZ479" i="2"/>
  <c r="AZ564" i="2"/>
  <c r="AZ60" i="2"/>
  <c r="AZ66" i="2"/>
  <c r="AZ51" i="2"/>
  <c r="AZ757" i="2"/>
  <c r="BI68" i="1"/>
  <c r="AZ693" i="2"/>
  <c r="BI523" i="1"/>
  <c r="AZ665" i="2"/>
  <c r="BI23" i="1"/>
  <c r="AZ635" i="2"/>
  <c r="AZ46" i="2"/>
  <c r="AZ119" i="2"/>
  <c r="AZ592" i="2"/>
  <c r="AZ61" i="2"/>
  <c r="AZ520" i="2"/>
  <c r="BI538" i="1"/>
  <c r="AZ473" i="2"/>
  <c r="AZ208" i="2"/>
  <c r="AZ439" i="2"/>
  <c r="AZ275" i="2"/>
  <c r="AZ395" i="2"/>
  <c r="BI516" i="1"/>
  <c r="AZ333" i="2"/>
  <c r="BI510" i="1"/>
  <c r="AZ284" i="2"/>
  <c r="AZ128" i="2"/>
  <c r="AZ135" i="2"/>
  <c r="AZ36" i="2"/>
  <c r="AY226" i="2"/>
  <c r="BH239" i="1"/>
  <c r="AY229" i="2"/>
  <c r="BH599" i="1"/>
  <c r="AY552" i="2"/>
  <c r="AY441" i="2"/>
  <c r="AY408" i="2"/>
  <c r="BH55" i="1"/>
  <c r="AY320" i="2"/>
  <c r="AY605" i="2"/>
  <c r="AY619" i="2"/>
  <c r="BH461" i="1"/>
  <c r="AY582" i="2"/>
  <c r="AY50" i="2"/>
  <c r="BH271" i="1"/>
  <c r="AY641" i="2"/>
  <c r="BH572" i="1"/>
  <c r="AY367" i="2"/>
  <c r="BH766" i="1"/>
  <c r="AY688" i="2"/>
  <c r="BH237" i="1"/>
  <c r="AY650" i="2"/>
  <c r="AY706" i="2"/>
  <c r="AY606" i="2"/>
  <c r="BH644" i="1"/>
  <c r="AY578" i="2"/>
  <c r="BH424" i="1"/>
  <c r="AY398" i="2"/>
  <c r="AY490" i="2"/>
  <c r="BH567" i="1"/>
  <c r="AY754" i="2"/>
  <c r="AY309" i="2"/>
  <c r="AY616" i="2"/>
  <c r="AY719" i="2"/>
  <c r="AY361" i="2"/>
  <c r="AY378" i="2"/>
  <c r="AY255" i="2"/>
  <c r="AY101" i="2"/>
  <c r="AY479" i="2"/>
  <c r="AY564" i="2"/>
  <c r="AY206" i="2"/>
  <c r="AY42" i="2"/>
  <c r="AY94" i="2"/>
  <c r="AY762" i="2"/>
  <c r="BH65" i="1"/>
  <c r="AY736" i="2"/>
  <c r="BH537" i="1"/>
  <c r="AY705" i="2"/>
  <c r="BH35" i="1"/>
  <c r="AY675" i="2"/>
  <c r="BH589" i="1"/>
  <c r="AY644" i="2"/>
  <c r="BH519" i="1"/>
  <c r="AY608" i="2"/>
  <c r="BH562" i="1"/>
  <c r="AY594" i="2"/>
  <c r="BH569" i="1"/>
  <c r="AY549" i="2"/>
  <c r="AY208" i="2"/>
  <c r="AY439" i="2"/>
  <c r="AY275" i="2"/>
  <c r="AY395" i="2"/>
  <c r="BH586" i="1"/>
  <c r="AY331" i="2"/>
  <c r="AY187" i="2"/>
  <c r="AY547" i="2"/>
  <c r="AY167" i="2"/>
  <c r="AY703" i="2"/>
  <c r="AY701" i="2"/>
  <c r="AY537" i="2"/>
  <c r="AY296" i="2"/>
  <c r="BH681" i="1"/>
  <c r="AY377" i="2"/>
  <c r="AY95" i="2"/>
  <c r="AY617" i="2"/>
  <c r="AY35" i="2"/>
  <c r="BH571" i="1"/>
  <c r="AY743" i="2"/>
  <c r="AY486" i="2"/>
  <c r="BH607" i="1"/>
  <c r="AY699" i="2"/>
  <c r="AY482" i="2"/>
  <c r="BH28" i="1"/>
  <c r="AY499" i="2"/>
  <c r="AY235" i="2"/>
  <c r="AY497" i="2"/>
  <c r="AY97" i="2"/>
  <c r="AY66" i="2"/>
  <c r="BH546" i="1"/>
  <c r="AY750" i="2"/>
  <c r="BH81" i="1"/>
  <c r="AY751" i="2"/>
  <c r="AY223" i="2"/>
  <c r="AY659" i="2"/>
  <c r="AY185" i="2"/>
  <c r="AY585" i="2"/>
  <c r="AY233" i="2"/>
  <c r="AY742" i="2"/>
  <c r="AY87" i="2"/>
  <c r="AY71" i="2"/>
  <c r="AY707" i="2"/>
  <c r="AY114" i="2"/>
  <c r="AY434" i="2"/>
  <c r="AY383" i="2"/>
  <c r="AY16" i="2"/>
  <c r="AY672" i="2"/>
  <c r="AY10" i="2"/>
  <c r="AY199" i="2"/>
  <c r="AZ572" i="2"/>
  <c r="AZ500" i="2"/>
  <c r="AZ701" i="2"/>
  <c r="AY502" i="2"/>
  <c r="AY648" i="2"/>
  <c r="AZ81" i="2"/>
  <c r="AZ304" i="2"/>
  <c r="AZ492" i="2"/>
  <c r="AZ537" i="2"/>
  <c r="AZ551" i="2"/>
  <c r="AZ651" i="2"/>
  <c r="AZ413" i="2"/>
  <c r="AZ451" i="2"/>
  <c r="AZ686" i="2"/>
  <c r="AZ217" i="2"/>
  <c r="BI694" i="1"/>
  <c r="AZ646" i="2"/>
  <c r="BI464" i="1"/>
  <c r="AZ159" i="2"/>
  <c r="BI272" i="1"/>
  <c r="AZ598" i="2"/>
  <c r="BI674" i="1"/>
  <c r="AZ448" i="2"/>
  <c r="AZ20" i="2"/>
  <c r="BI725" i="1"/>
  <c r="AZ449" i="2"/>
  <c r="AZ141" i="2"/>
  <c r="AZ111" i="2"/>
  <c r="AZ629" i="2"/>
  <c r="AZ647" i="2"/>
  <c r="AZ589" i="2"/>
  <c r="AZ156" i="2"/>
  <c r="AZ164" i="2"/>
  <c r="AZ394" i="2"/>
  <c r="AZ25" i="2"/>
  <c r="AZ213" i="2"/>
  <c r="AZ392" i="2"/>
  <c r="AZ378" i="2"/>
  <c r="AZ486" i="2"/>
  <c r="AZ87" i="2"/>
  <c r="AZ31" i="2"/>
  <c r="AZ92" i="2"/>
  <c r="AZ681" i="2"/>
  <c r="AZ122" i="2"/>
  <c r="AZ617" i="2"/>
  <c r="AZ17" i="2"/>
  <c r="AZ493" i="2"/>
  <c r="AZ24" i="2"/>
  <c r="AZ160" i="2"/>
  <c r="AZ32" i="2"/>
  <c r="AZ178" i="2"/>
  <c r="BI81" i="1"/>
  <c r="AZ751" i="2"/>
  <c r="BI65" i="1"/>
  <c r="AZ736" i="2"/>
  <c r="BI40" i="1"/>
  <c r="AZ691" i="2"/>
  <c r="AZ223" i="2"/>
  <c r="AZ659" i="2"/>
  <c r="AZ79" i="2"/>
  <c r="AZ614" i="2"/>
  <c r="BI561" i="1"/>
  <c r="AZ541" i="2"/>
  <c r="AZ399" i="2"/>
  <c r="BI511" i="1"/>
  <c r="AZ466" i="2"/>
  <c r="AZ219" i="2"/>
  <c r="AZ393" i="2"/>
  <c r="BI586" i="1"/>
  <c r="AZ331" i="2"/>
  <c r="AZ191" i="2"/>
  <c r="AZ199" i="2"/>
  <c r="AZ170" i="2"/>
  <c r="AY739" i="2"/>
  <c r="AY623" i="2"/>
  <c r="AY516" i="2"/>
  <c r="AY470" i="2"/>
  <c r="AY607" i="2"/>
  <c r="AY352" i="2"/>
  <c r="AY567" i="2"/>
  <c r="AY531" i="2"/>
  <c r="AY501" i="2"/>
  <c r="AY633" i="2"/>
  <c r="AY663" i="2"/>
  <c r="BH286" i="1"/>
  <c r="AY548" i="2"/>
  <c r="AY74" i="2"/>
  <c r="AY212" i="2"/>
  <c r="AY118" i="2"/>
  <c r="BH573" i="1"/>
  <c r="AY450" i="2"/>
  <c r="BH375" i="1"/>
  <c r="AY401" i="2"/>
  <c r="AY267" i="2"/>
  <c r="AY138" i="2"/>
  <c r="BH384" i="1"/>
  <c r="AY749" i="2"/>
  <c r="AY468" i="2"/>
  <c r="AY392" i="2"/>
  <c r="AY427" i="2"/>
  <c r="AY677" i="2"/>
  <c r="AY92" i="2"/>
  <c r="AY681" i="2"/>
  <c r="AY122" i="2"/>
  <c r="AY65" i="2"/>
  <c r="AY349" i="2"/>
  <c r="AZ669" i="2"/>
  <c r="AZ603" i="2"/>
  <c r="AZ663" i="2"/>
  <c r="AY758" i="2"/>
  <c r="AZ123" i="2"/>
  <c r="AZ248" i="2"/>
  <c r="BI571" i="1"/>
  <c r="AZ743" i="2"/>
  <c r="AZ287" i="2"/>
  <c r="AZ668" i="2"/>
  <c r="AZ222" i="2"/>
  <c r="AZ234" i="2"/>
  <c r="AZ193" i="2"/>
  <c r="BI546" i="1"/>
  <c r="AZ750" i="2"/>
  <c r="BI34" i="1"/>
  <c r="AZ711" i="2"/>
  <c r="AZ115" i="2"/>
  <c r="AZ689" i="2"/>
  <c r="AZ272" i="2"/>
  <c r="AZ610" i="2"/>
  <c r="AZ6" i="2"/>
  <c r="AZ543" i="2"/>
  <c r="AZ228" i="2"/>
  <c r="AZ504" i="2"/>
  <c r="BI549" i="1"/>
  <c r="AZ459" i="2"/>
  <c r="AZ264" i="2"/>
  <c r="AZ428" i="2"/>
  <c r="AZ397" i="2"/>
  <c r="BI563" i="1"/>
  <c r="AZ317" i="2"/>
  <c r="AZ187" i="2"/>
  <c r="AZ117" i="2"/>
  <c r="AZ143" i="2"/>
  <c r="AZ80" i="2"/>
  <c r="AY720" i="2"/>
  <c r="AY336" i="2"/>
  <c r="AY618" i="2"/>
  <c r="AY277" i="2"/>
  <c r="AY356" i="2"/>
  <c r="AY430" i="2"/>
  <c r="BH304" i="1"/>
  <c r="AY337" i="2"/>
  <c r="BH734" i="1"/>
  <c r="AY165" i="2"/>
  <c r="BH243" i="1"/>
  <c r="AY667" i="2"/>
  <c r="AY345" i="2"/>
  <c r="AY387" i="2"/>
  <c r="AY285" i="2"/>
  <c r="AY733" i="2"/>
  <c r="AY163" i="2"/>
  <c r="AY328" i="2"/>
  <c r="BH596" i="1"/>
  <c r="AY595" i="2"/>
  <c r="BH360" i="1"/>
  <c r="AY766" i="2"/>
  <c r="AY218" i="2"/>
  <c r="AY715" i="2"/>
  <c r="BH132" i="1"/>
  <c r="AY542" i="2"/>
  <c r="AY14" i="2"/>
  <c r="AY55" i="2"/>
  <c r="AY680" i="2"/>
  <c r="AY90" i="2"/>
  <c r="AY587" i="2"/>
  <c r="AY13" i="2"/>
  <c r="AY287" i="2"/>
  <c r="AY668" i="2"/>
  <c r="BH621" i="1"/>
  <c r="AY557" i="2"/>
  <c r="AY174" i="2"/>
  <c r="AY321" i="2"/>
  <c r="AY190" i="2"/>
  <c r="BH528" i="1"/>
  <c r="AY759" i="2"/>
  <c r="BH529" i="1"/>
  <c r="AY727" i="2"/>
  <c r="AY86" i="2"/>
  <c r="AY698" i="2"/>
  <c r="BH558" i="1"/>
  <c r="AY669" i="2"/>
  <c r="BH23" i="1"/>
  <c r="AY635" i="2"/>
  <c r="AY79" i="2"/>
  <c r="AY614" i="2"/>
  <c r="BH561" i="1"/>
  <c r="AY541" i="2"/>
  <c r="AY399" i="2"/>
  <c r="BH549" i="1"/>
  <c r="AY459" i="2"/>
  <c r="AY264" i="2"/>
  <c r="AY428" i="2"/>
  <c r="AY343" i="2"/>
  <c r="AY385" i="2"/>
  <c r="AZ550" i="2"/>
  <c r="AZ658" i="2"/>
  <c r="AZ546" i="2"/>
  <c r="AY405" i="2"/>
  <c r="AY528" i="2"/>
  <c r="AY354" i="2"/>
  <c r="BI702" i="1"/>
  <c r="AZ576" i="2"/>
  <c r="AZ176" i="2"/>
  <c r="AZ605" i="2"/>
  <c r="AZ619" i="2"/>
  <c r="BI461" i="1"/>
  <c r="AZ582" i="2"/>
  <c r="BI225" i="1"/>
  <c r="AZ350" i="2"/>
  <c r="AZ505" i="2"/>
  <c r="AZ432" i="2"/>
  <c r="AZ406" i="2"/>
  <c r="BI521" i="1"/>
  <c r="AZ765" i="2"/>
  <c r="AZ205" i="2"/>
  <c r="AZ652" i="2"/>
  <c r="AZ136" i="2"/>
  <c r="BI754" i="1"/>
  <c r="AZ660" i="2"/>
  <c r="AZ313" i="2"/>
  <c r="BI188" i="1"/>
  <c r="AZ581" i="2"/>
  <c r="AZ657" i="2"/>
  <c r="AZ559" i="2"/>
  <c r="AZ299" i="2"/>
  <c r="AZ468" i="2"/>
  <c r="AZ487" i="2"/>
  <c r="AZ300" i="2"/>
  <c r="AZ465" i="2"/>
  <c r="AZ107" i="2"/>
  <c r="AZ72" i="2"/>
  <c r="AZ280" i="2"/>
  <c r="AZ255" i="2"/>
  <c r="AZ59" i="2"/>
  <c r="BI593" i="1"/>
  <c r="AZ725" i="2"/>
  <c r="BI69" i="1"/>
  <c r="AZ611" i="2"/>
  <c r="BI621" i="1"/>
  <c r="AZ557" i="2"/>
  <c r="AZ206" i="2"/>
  <c r="BI70" i="1"/>
  <c r="AZ375" i="2"/>
  <c r="AZ262" i="2"/>
  <c r="AZ204" i="2"/>
  <c r="AZ755" i="2"/>
  <c r="BI537" i="1"/>
  <c r="AZ705" i="2"/>
  <c r="AZ41" i="2"/>
  <c r="BI542" i="1"/>
  <c r="AZ654" i="2"/>
  <c r="AZ28" i="2"/>
  <c r="BI576" i="1"/>
  <c r="AZ569" i="2"/>
  <c r="BI33" i="1"/>
  <c r="AZ534" i="2"/>
  <c r="BI29" i="1"/>
  <c r="AZ502" i="2"/>
  <c r="AZ241" i="2"/>
  <c r="AZ132" i="2"/>
  <c r="AZ422" i="2"/>
  <c r="AZ343" i="2"/>
  <c r="AZ385" i="2"/>
  <c r="AZ380" i="2"/>
  <c r="AZ166" i="2"/>
  <c r="AZ48" i="2"/>
  <c r="AY303" i="2"/>
  <c r="AY612" i="2"/>
  <c r="AY419" i="2"/>
  <c r="AY420" i="2"/>
  <c r="AY435" i="2"/>
  <c r="AY274" i="2"/>
  <c r="AY735" i="2"/>
  <c r="AY225" i="2"/>
  <c r="BH458" i="1"/>
  <c r="AY653" i="2"/>
  <c r="BH694" i="1"/>
  <c r="AY646" i="2"/>
  <c r="AY348" i="2"/>
  <c r="AY293" i="2"/>
  <c r="AY291" i="2"/>
  <c r="BH302" i="1"/>
  <c r="AY570" i="2"/>
  <c r="AY305" i="2"/>
  <c r="AY423" i="2"/>
  <c r="BH276" i="1"/>
  <c r="AY384" i="2"/>
  <c r="AY436" i="2"/>
  <c r="BH725" i="1"/>
  <c r="AY449" i="2"/>
  <c r="BH521" i="1"/>
  <c r="AY765" i="2"/>
  <c r="AY205" i="2"/>
  <c r="AY171" i="2"/>
  <c r="AY70" i="2"/>
  <c r="AY133" i="2"/>
  <c r="AY630" i="2"/>
  <c r="AY596" i="2"/>
  <c r="AY299" i="2"/>
  <c r="AY396" i="2"/>
  <c r="AY145" i="2"/>
  <c r="AY278" i="2"/>
  <c r="AY62" i="2"/>
  <c r="AY329" i="2"/>
  <c r="AY237" i="2"/>
  <c r="AY37" i="2"/>
  <c r="BH69" i="1"/>
  <c r="AY611" i="2"/>
  <c r="AZ627" i="2"/>
  <c r="AY693" i="2"/>
  <c r="AY253" i="2"/>
  <c r="AY172" i="2"/>
  <c r="AY89" i="2"/>
  <c r="AY512" i="2"/>
  <c r="AY314" i="2"/>
  <c r="AY51" i="2"/>
  <c r="AY757" i="2"/>
  <c r="AY98" i="2"/>
  <c r="BH523" i="1"/>
  <c r="AY665" i="2"/>
  <c r="AY272" i="2"/>
  <c r="BH552" i="1"/>
  <c r="AY572" i="2"/>
  <c r="AY6" i="2"/>
  <c r="AY543" i="2"/>
  <c r="AY228" i="2"/>
  <c r="AY241" i="2"/>
  <c r="AY132" i="2"/>
  <c r="AY404" i="2"/>
  <c r="AY360" i="2"/>
  <c r="AY373" i="2"/>
  <c r="AY124" i="2"/>
  <c r="AY82" i="2"/>
  <c r="AY691" i="2"/>
  <c r="AY610" i="2"/>
  <c r="AY32" i="2"/>
  <c r="AY178" i="2"/>
  <c r="AY129" i="2"/>
  <c r="BH292" i="1"/>
  <c r="BH542" i="1"/>
  <c r="AY654" i="2"/>
  <c r="AY169" i="2"/>
  <c r="AY150" i="2"/>
  <c r="AY56" i="2"/>
  <c r="AY302" i="2"/>
  <c r="AY57" i="2"/>
  <c r="AY21" i="2"/>
  <c r="AY170" i="2"/>
  <c r="AY694" i="2"/>
  <c r="AY597" i="2"/>
  <c r="AY297" i="2"/>
  <c r="AY422" i="2"/>
  <c r="AY24" i="2"/>
  <c r="AY160" i="2"/>
  <c r="AY193" i="2"/>
  <c r="AY120" i="2"/>
  <c r="AY103" i="2"/>
  <c r="AY745" i="2"/>
  <c r="AY115" i="2"/>
  <c r="AY689" i="2"/>
  <c r="AY180" i="2"/>
  <c r="AY54" i="2"/>
  <c r="BH505" i="1"/>
  <c r="AY550" i="2"/>
  <c r="AY130" i="2"/>
  <c r="AY529" i="2"/>
  <c r="AY19" i="2"/>
  <c r="AY104" i="2"/>
  <c r="AY453" i="2"/>
  <c r="AY220" i="2"/>
  <c r="AY224" i="2"/>
  <c r="AY68" i="2"/>
  <c r="AY128" i="2"/>
  <c r="AY211" i="2"/>
  <c r="AY627" i="2"/>
  <c r="AY628" i="2"/>
  <c r="AY438" i="2"/>
  <c r="AY353" i="2"/>
  <c r="AY603" i="2"/>
  <c r="AY412" i="2"/>
  <c r="AY298" i="2"/>
  <c r="BH617" i="1"/>
  <c r="AY580" i="2"/>
  <c r="AY17" i="2"/>
  <c r="AY493" i="2"/>
  <c r="AY222" i="2"/>
  <c r="AY351" i="2"/>
  <c r="AY234" i="2"/>
  <c r="AY262" i="2"/>
  <c r="AY148" i="2"/>
  <c r="AY744" i="2"/>
  <c r="BH34" i="1"/>
  <c r="AY711" i="2"/>
  <c r="AY41" i="2"/>
  <c r="AY678" i="2"/>
  <c r="AY22" i="2"/>
  <c r="BH525" i="1"/>
  <c r="AY624" i="2"/>
  <c r="AY390" i="2"/>
  <c r="AY33" i="2"/>
  <c r="AY53" i="2"/>
  <c r="AY366" i="2"/>
  <c r="AY452" i="2"/>
  <c r="AY58" i="2"/>
  <c r="BH516" i="1"/>
  <c r="AY333" i="2"/>
  <c r="AY191" i="2"/>
  <c r="AY117" i="2"/>
  <c r="AY80" i="2"/>
  <c r="AY12" i="2"/>
  <c r="AY7" i="2"/>
  <c r="AY530" i="2"/>
  <c r="AY143" i="2"/>
  <c r="AY747" i="2"/>
  <c r="AY514" i="2"/>
  <c r="AY210" i="2"/>
  <c r="BH83" i="1"/>
  <c r="AY710" i="2"/>
  <c r="BH570" i="1"/>
  <c r="AY671" i="2"/>
  <c r="BH565" i="1"/>
  <c r="AY643" i="2"/>
  <c r="AY119" i="2"/>
  <c r="AY592" i="2"/>
  <c r="BH512" i="1"/>
  <c r="AY546" i="2"/>
  <c r="AY61" i="2"/>
  <c r="AY520" i="2"/>
  <c r="BH511" i="1"/>
  <c r="AY466" i="2"/>
  <c r="AY219" i="2"/>
  <c r="AY393" i="2"/>
  <c r="AY380" i="2"/>
  <c r="AY166" i="2"/>
  <c r="AY26" i="2"/>
  <c r="AY52" i="2"/>
  <c r="AY135" i="2"/>
  <c r="AY397" i="2"/>
  <c r="AY722" i="2"/>
  <c r="BB162" i="1"/>
  <c r="BB733" i="1"/>
  <c r="BB163" i="1"/>
  <c r="BB230" i="1"/>
  <c r="BB131" i="1"/>
  <c r="AZ131" i="1" s="1"/>
  <c r="BB713" i="1"/>
  <c r="BB420" i="1"/>
  <c r="BB359" i="1"/>
  <c r="BB88" i="1"/>
  <c r="BB739" i="1"/>
  <c r="BB190" i="1"/>
  <c r="BB746" i="1"/>
  <c r="BB687" i="1"/>
  <c r="AZ687" i="1" s="1"/>
  <c r="Q709" i="3" s="1"/>
  <c r="BB196" i="1"/>
  <c r="Y1226" i="3"/>
  <c r="BH457" i="1" s="1"/>
  <c r="Y1196" i="3"/>
  <c r="BH7" i="1" s="1"/>
  <c r="BB664" i="1"/>
  <c r="BB171" i="1"/>
  <c r="BB396" i="1"/>
  <c r="BB354" i="1"/>
  <c r="BB280" i="1"/>
  <c r="AZ280" i="1" s="1"/>
  <c r="BB300" i="1"/>
  <c r="AZ300" i="1" s="1"/>
  <c r="BB744" i="1"/>
  <c r="AZ744" i="1" s="1"/>
  <c r="Q590" i="3" s="1"/>
  <c r="BB448" i="1"/>
  <c r="AZ448" i="1" s="1"/>
  <c r="BB479" i="1"/>
  <c r="AZ479" i="1" s="1"/>
  <c r="Q1263" i="3" s="1"/>
  <c r="BB150" i="1"/>
  <c r="AZ150" i="1" s="1"/>
  <c r="BB309" i="1"/>
  <c r="AZ309" i="1" s="1"/>
  <c r="BB207" i="1"/>
  <c r="AZ207" i="1" s="1"/>
  <c r="BB710" i="1"/>
  <c r="AZ710" i="1" s="1"/>
  <c r="Q790" i="3" s="1"/>
  <c r="BB206" i="1"/>
  <c r="AZ206" i="1" s="1"/>
  <c r="BB741" i="1"/>
  <c r="AZ741" i="1" s="1"/>
  <c r="Q945" i="3" s="1"/>
  <c r="BB722" i="1"/>
  <c r="AZ722" i="1" s="1"/>
  <c r="Q556" i="3" s="1"/>
  <c r="BB181" i="1"/>
  <c r="AZ181" i="1" s="1"/>
  <c r="BB402" i="1"/>
  <c r="AZ402" i="1" s="1"/>
  <c r="BB346" i="1"/>
  <c r="AZ346" i="1" s="1"/>
  <c r="BB721" i="1"/>
  <c r="AZ721" i="1" s="1"/>
  <c r="Q844" i="3" s="1"/>
  <c r="BB693" i="1"/>
  <c r="AZ693" i="1" s="1"/>
  <c r="Q589" i="3" s="1"/>
  <c r="BB301" i="1"/>
  <c r="AZ301" i="1" s="1"/>
  <c r="BB460" i="1"/>
  <c r="AZ460" i="1" s="1"/>
  <c r="BB242" i="1"/>
  <c r="AZ242" i="1" s="1"/>
  <c r="BB418" i="1"/>
  <c r="BB151" i="1"/>
  <c r="BB735" i="1"/>
  <c r="AZ735" i="1" s="1"/>
  <c r="Q913" i="3" s="1"/>
  <c r="BB737" i="1"/>
  <c r="BB637" i="1"/>
  <c r="AZ637" i="1" s="1"/>
  <c r="Q494" i="3" s="1"/>
  <c r="BB419" i="1"/>
  <c r="BB385" i="1"/>
  <c r="AZ385" i="1" s="1"/>
  <c r="BB496" i="1"/>
  <c r="AZ496" i="1" s="1"/>
  <c r="Q1346" i="3" s="1"/>
  <c r="BB426" i="1"/>
  <c r="AZ426" i="1" s="1"/>
  <c r="BB218" i="1"/>
  <c r="AZ218" i="1" s="1"/>
  <c r="BB311" i="1"/>
  <c r="BB404" i="1"/>
  <c r="BB765" i="1"/>
  <c r="AZ765" i="1" s="1"/>
  <c r="Q1069" i="3" s="1"/>
  <c r="BB441" i="1"/>
  <c r="BB281" i="1"/>
  <c r="AZ281" i="1" s="1"/>
  <c r="BB178" i="1"/>
  <c r="AZ178" i="1" s="1"/>
  <c r="BB447" i="1"/>
  <c r="BB122" i="1"/>
  <c r="BB462" i="1"/>
  <c r="BB673" i="1"/>
  <c r="BB364" i="1"/>
  <c r="AZ364" i="1" s="1"/>
  <c r="BB211" i="1"/>
  <c r="AZ211" i="1" s="1"/>
  <c r="BB410" i="1"/>
  <c r="AZ410" i="1" s="1"/>
  <c r="BB659" i="1"/>
  <c r="AZ659" i="1" s="1"/>
  <c r="Q641" i="3" s="1"/>
  <c r="BB257" i="1"/>
  <c r="AZ257" i="1" s="1"/>
  <c r="BB757" i="1"/>
  <c r="AZ757" i="1" s="1"/>
  <c r="Q1037" i="3" s="1"/>
  <c r="BB774" i="1"/>
  <c r="BB380" i="1"/>
  <c r="BB726" i="1"/>
  <c r="AZ726" i="1" s="1"/>
  <c r="Q865" i="3" s="1"/>
  <c r="BB490" i="1"/>
  <c r="AZ490" i="1" s="1"/>
  <c r="Q1315" i="3" s="1"/>
  <c r="BB45" i="1"/>
  <c r="AZ45" i="1" s="1"/>
  <c r="BB381" i="1"/>
  <c r="AZ381" i="1" s="1"/>
  <c r="BB705" i="1"/>
  <c r="AZ705" i="1" s="1"/>
  <c r="Q370" i="3" s="1"/>
  <c r="BB297" i="1"/>
  <c r="AZ297" i="1" s="1"/>
  <c r="BB430" i="1"/>
  <c r="BB465" i="1"/>
  <c r="BB369" i="1"/>
  <c r="AZ369" i="1" s="1"/>
  <c r="BB318" i="1"/>
  <c r="AZ318" i="1" s="1"/>
  <c r="BB747" i="1"/>
  <c r="AZ747" i="1" s="1"/>
  <c r="Q977" i="3" s="1"/>
  <c r="BB259" i="1"/>
  <c r="AZ259" i="1" s="1"/>
  <c r="BB413" i="1"/>
  <c r="AZ413" i="1" s="1"/>
  <c r="BB632" i="1"/>
  <c r="AZ632" i="1" s="1"/>
  <c r="Q621" i="3" s="1"/>
  <c r="BB409" i="1"/>
  <c r="AZ409" i="1" s="1"/>
  <c r="BB474" i="1"/>
  <c r="AZ474" i="1" s="1"/>
  <c r="Q1256" i="3" s="1"/>
  <c r="BB377" i="1"/>
  <c r="AZ377" i="1" s="1"/>
  <c r="BB189" i="1"/>
  <c r="AZ189" i="1" s="1"/>
  <c r="BB356" i="1"/>
  <c r="AZ356" i="1" s="1"/>
  <c r="BB495" i="1"/>
  <c r="AZ495" i="1" s="1"/>
  <c r="Q1343" i="3" s="1"/>
  <c r="BB238" i="1"/>
  <c r="AZ238" i="1" s="1"/>
  <c r="BB293" i="1"/>
  <c r="AZ293" i="1" s="1"/>
  <c r="BB343" i="1"/>
  <c r="AZ343" i="1" s="1"/>
  <c r="BB347" i="1"/>
  <c r="AZ347" i="1" s="1"/>
  <c r="AZ354" i="1"/>
  <c r="AZ774" i="1"/>
  <c r="Q1128" i="3" s="1"/>
  <c r="AZ380" i="1"/>
  <c r="AZ50" i="1"/>
  <c r="AZ700" i="1"/>
  <c r="Q734" i="3" s="1"/>
  <c r="AZ698" i="1"/>
  <c r="Q730" i="3" s="1"/>
  <c r="AZ695" i="1"/>
  <c r="Q320" i="3" s="1"/>
  <c r="AZ336" i="1"/>
  <c r="AZ394" i="1"/>
  <c r="AZ437" i="1"/>
  <c r="AZ162" i="1"/>
  <c r="AZ733" i="1"/>
  <c r="Q897" i="3" s="1"/>
  <c r="AZ163" i="1"/>
  <c r="AZ230" i="1"/>
  <c r="AZ713" i="1"/>
  <c r="Q804" i="3" s="1"/>
  <c r="AZ666" i="1"/>
  <c r="Q652" i="3" s="1"/>
  <c r="AZ646" i="1"/>
  <c r="Q470" i="3" s="1"/>
  <c r="BB459" i="1"/>
  <c r="AZ459" i="1" s="1"/>
  <c r="BB357" i="1"/>
  <c r="AZ357" i="1" s="1"/>
  <c r="BB329" i="1"/>
  <c r="AZ329" i="1" s="1"/>
  <c r="BB499" i="1"/>
  <c r="AZ499" i="1" s="1"/>
  <c r="Q1398" i="3" s="1"/>
  <c r="BB197" i="1"/>
  <c r="AZ197" i="1" s="1"/>
  <c r="BB160" i="1"/>
  <c r="AZ160" i="1" s="1"/>
  <c r="BB292" i="1"/>
  <c r="AZ292" i="1" s="1"/>
  <c r="BB254" i="1"/>
  <c r="AZ254" i="1" s="1"/>
  <c r="BB764" i="1"/>
  <c r="AZ764" i="1" s="1"/>
  <c r="Q1067" i="3" s="1"/>
  <c r="BB667" i="1"/>
  <c r="AZ667" i="1" s="1"/>
  <c r="Q567" i="3" s="1"/>
  <c r="BB743" i="1"/>
  <c r="AZ743" i="1" s="1"/>
  <c r="Q952" i="3" s="1"/>
  <c r="BB383" i="1"/>
  <c r="AZ383" i="1" s="1"/>
  <c r="BB560" i="1"/>
  <c r="AZ560" i="1" s="1"/>
  <c r="Q57" i="3" s="1"/>
  <c r="BB391" i="1"/>
  <c r="AZ391" i="1" s="1"/>
  <c r="BB708" i="1"/>
  <c r="AZ708" i="1" s="1"/>
  <c r="Q769" i="3" s="1"/>
  <c r="AZ418" i="1"/>
  <c r="AZ151" i="1"/>
  <c r="AZ737" i="1"/>
  <c r="Q933" i="3" s="1"/>
  <c r="AZ419" i="1"/>
  <c r="AZ311" i="1"/>
  <c r="AZ404" i="1"/>
  <c r="AZ664" i="1"/>
  <c r="Q448" i="3" s="1"/>
  <c r="AZ171" i="1"/>
  <c r="AZ441" i="1"/>
  <c r="AZ396" i="1"/>
  <c r="AZ447" i="1"/>
  <c r="AZ122" i="1"/>
  <c r="AZ462" i="1"/>
  <c r="AZ673" i="1"/>
  <c r="Q563" i="3" s="1"/>
  <c r="AZ420" i="1"/>
  <c r="AZ359" i="1"/>
  <c r="AZ88" i="1"/>
  <c r="AZ739" i="1"/>
  <c r="Q937" i="3" s="1"/>
  <c r="AZ190" i="1"/>
  <c r="AZ746" i="1"/>
  <c r="Q969" i="3" s="1"/>
  <c r="AZ430" i="1"/>
  <c r="AZ196" i="1"/>
  <c r="AZ465" i="1"/>
  <c r="G1211" i="3"/>
  <c r="G1430" i="3"/>
  <c r="G580" i="3"/>
  <c r="G1112" i="3"/>
  <c r="G438" i="3"/>
  <c r="G1233" i="3"/>
  <c r="G1348" i="3"/>
  <c r="G1104" i="3"/>
  <c r="G548" i="3"/>
  <c r="G1097" i="3"/>
  <c r="G1029" i="3"/>
  <c r="G944" i="3"/>
  <c r="G892" i="3"/>
  <c r="G828" i="3"/>
  <c r="G736" i="3"/>
  <c r="G353" i="3"/>
  <c r="G1480" i="3"/>
  <c r="G1371" i="3"/>
  <c r="G1460" i="3"/>
  <c r="G1279" i="3"/>
  <c r="G1230" i="3"/>
  <c r="G1390" i="3"/>
  <c r="G374" i="3"/>
  <c r="G217" i="3"/>
  <c r="G1225" i="3"/>
  <c r="G1195" i="3"/>
  <c r="G1091" i="3"/>
  <c r="G1283" i="3"/>
  <c r="G1476" i="3"/>
  <c r="G384" i="3"/>
  <c r="G420" i="3"/>
  <c r="G1437" i="3"/>
  <c r="G1419" i="3"/>
  <c r="G1167" i="3"/>
  <c r="G1392" i="3"/>
  <c r="G917" i="3"/>
  <c r="G743" i="3"/>
  <c r="G1444" i="3"/>
  <c r="G1497" i="3"/>
  <c r="G1162" i="3"/>
  <c r="G798" i="3"/>
  <c r="G431" i="3"/>
  <c r="G477" i="3"/>
  <c r="G1189" i="3"/>
  <c r="G1313" i="3"/>
  <c r="G465" i="3"/>
  <c r="G821" i="3"/>
  <c r="G964" i="3"/>
  <c r="G1089" i="3"/>
  <c r="G1250" i="3"/>
  <c r="G1267" i="3"/>
  <c r="G483" i="3"/>
  <c r="G1218" i="3"/>
  <c r="G749" i="3"/>
  <c r="G290" i="3"/>
  <c r="G1043" i="3"/>
  <c r="G1359" i="3"/>
  <c r="G698" i="3"/>
  <c r="G996" i="3"/>
  <c r="G1033" i="3"/>
  <c r="G965" i="3"/>
  <c r="G931" i="3"/>
  <c r="G871" i="3"/>
  <c r="G560" i="3"/>
  <c r="G987" i="3"/>
  <c r="G801" i="3"/>
  <c r="G954" i="3"/>
  <c r="G773" i="3"/>
  <c r="G742" i="3"/>
  <c r="G911" i="3"/>
  <c r="G676" i="3"/>
  <c r="G891" i="3"/>
  <c r="G877" i="3"/>
  <c r="G846" i="3"/>
  <c r="G826" i="3"/>
  <c r="G794" i="3"/>
  <c r="G604" i="3"/>
  <c r="G752" i="3"/>
  <c r="G694" i="3"/>
  <c r="G667" i="3"/>
  <c r="G576" i="3"/>
  <c r="G592" i="3"/>
  <c r="G1429" i="3"/>
  <c r="G479" i="3"/>
  <c r="G1427" i="3"/>
  <c r="G1477" i="3"/>
  <c r="G1342" i="3"/>
  <c r="G1156" i="3"/>
  <c r="G1377" i="3"/>
  <c r="G1181" i="3"/>
  <c r="G1527" i="3"/>
  <c r="G1504" i="3"/>
  <c r="G1458" i="3"/>
  <c r="G1404" i="3"/>
  <c r="G1325" i="3"/>
  <c r="G1278" i="3"/>
  <c r="G1168" i="3"/>
  <c r="G1240" i="3"/>
  <c r="G1393" i="3"/>
  <c r="G993" i="3"/>
  <c r="G1516" i="3"/>
  <c r="G1425" i="3"/>
  <c r="G1379" i="3"/>
  <c r="G1326" i="3"/>
  <c r="G1149" i="3"/>
  <c r="G1204" i="3"/>
  <c r="G1198" i="3"/>
  <c r="G1185" i="3"/>
  <c r="G1411" i="3"/>
  <c r="G704" i="3"/>
  <c r="G1141" i="3"/>
  <c r="G1489" i="3"/>
  <c r="G960" i="3"/>
  <c r="G1096" i="3"/>
  <c r="G545" i="3"/>
  <c r="G1277" i="3"/>
  <c r="G1481" i="3"/>
  <c r="G936" i="3"/>
  <c r="G974" i="3"/>
  <c r="G912" i="3"/>
  <c r="G863" i="3"/>
  <c r="G668" i="3"/>
  <c r="G1356" i="3"/>
  <c r="G1508" i="3"/>
  <c r="G373" i="3"/>
  <c r="G1025" i="3"/>
  <c r="G1471" i="3"/>
  <c r="G1330" i="3"/>
  <c r="G1208" i="3"/>
  <c r="G1316" i="3"/>
  <c r="G1449" i="3"/>
  <c r="G1410" i="3"/>
  <c r="G1498" i="3"/>
  <c r="G1057" i="3"/>
  <c r="G553" i="3"/>
  <c r="G1334" i="3"/>
  <c r="G510" i="3"/>
  <c r="G1475" i="3"/>
  <c r="G1303" i="3"/>
  <c r="G1221" i="3"/>
  <c r="G1072" i="3"/>
  <c r="G951" i="3"/>
  <c r="G869" i="3"/>
  <c r="G796" i="3"/>
  <c r="G1119" i="3"/>
  <c r="G665" i="3"/>
  <c r="G1002" i="3"/>
  <c r="G1063" i="3"/>
  <c r="G1372" i="3"/>
  <c r="G1297" i="3"/>
  <c r="G1013" i="3"/>
  <c r="G1215" i="3"/>
  <c r="G540" i="3"/>
  <c r="G672" i="3"/>
  <c r="G1154" i="3"/>
  <c r="G1071" i="3"/>
  <c r="G1397" i="3"/>
  <c r="G1501" i="3"/>
  <c r="G1309" i="3"/>
  <c r="G787" i="3"/>
  <c r="G1500" i="3"/>
  <c r="G1205" i="3"/>
  <c r="G1030" i="3"/>
  <c r="G1220" i="3"/>
  <c r="G1011" i="3"/>
  <c r="G395" i="3"/>
  <c r="G1087" i="3"/>
  <c r="G1062" i="3"/>
  <c r="G842" i="3"/>
  <c r="G985" i="3"/>
  <c r="G800" i="3"/>
  <c r="G953" i="3"/>
  <c r="G935" i="3"/>
  <c r="G925" i="3"/>
  <c r="G910" i="3"/>
  <c r="G898" i="3"/>
  <c r="G887" i="3"/>
  <c r="G533" i="3"/>
  <c r="G862" i="3"/>
  <c r="G822" i="3"/>
  <c r="G775" i="3"/>
  <c r="G725" i="3"/>
  <c r="G654" i="3"/>
  <c r="G706" i="3"/>
  <c r="G1298" i="3"/>
  <c r="G1415" i="3"/>
  <c r="G1384" i="3"/>
  <c r="G1486" i="3"/>
  <c r="G1421" i="3"/>
  <c r="G1302" i="3"/>
  <c r="G1153" i="3"/>
  <c r="G1324" i="3"/>
  <c r="G1116" i="3"/>
  <c r="G1520" i="3"/>
  <c r="G1503" i="3"/>
  <c r="G1455" i="3"/>
  <c r="G1387" i="3"/>
  <c r="G1322" i="3"/>
  <c r="G1253" i="3"/>
  <c r="G449" i="3"/>
  <c r="G1207" i="3"/>
  <c r="G535" i="3"/>
  <c r="G1511" i="3"/>
  <c r="G1452" i="3"/>
  <c r="G1243" i="3"/>
  <c r="G1376" i="3"/>
  <c r="G1321" i="3"/>
  <c r="G458" i="3"/>
  <c r="G383" i="3"/>
  <c r="G1353" i="3"/>
  <c r="G1095" i="3"/>
  <c r="G1142" i="3"/>
  <c r="G1335" i="3"/>
  <c r="G1192" i="3"/>
  <c r="G1308" i="3"/>
  <c r="G1402" i="3"/>
  <c r="G1472" i="3"/>
  <c r="G1023" i="3"/>
  <c r="G1031" i="3"/>
  <c r="G1521" i="3"/>
  <c r="G968" i="3"/>
  <c r="G988" i="3"/>
  <c r="G929" i="3"/>
  <c r="G878" i="3"/>
  <c r="G806" i="3"/>
  <c r="G702" i="3"/>
  <c r="G581" i="3"/>
  <c r="G1435" i="3"/>
  <c r="G1179" i="3"/>
  <c r="G1190" i="3"/>
  <c r="G1413" i="3"/>
  <c r="G1336" i="3"/>
  <c r="G1262" i="3"/>
  <c r="G1464" i="3"/>
  <c r="G1529" i="3"/>
  <c r="G1426" i="3"/>
  <c r="G577" i="3"/>
  <c r="G1184" i="3"/>
  <c r="G504" i="3"/>
  <c r="G1451" i="3"/>
  <c r="G565" i="3"/>
  <c r="G658" i="3"/>
  <c r="G1361" i="3"/>
  <c r="G1268" i="3"/>
  <c r="G1454" i="3"/>
  <c r="G1445" i="3"/>
  <c r="G1396" i="3"/>
  <c r="G1219" i="3"/>
  <c r="G1440" i="3"/>
  <c r="G1090" i="3"/>
  <c r="G1075" i="3"/>
  <c r="G1524" i="3"/>
  <c r="G1083" i="3"/>
  <c r="G1434" i="3"/>
  <c r="G1407" i="3"/>
  <c r="G515" i="3"/>
  <c r="G1039" i="3"/>
  <c r="G1496" i="3"/>
  <c r="G1186" i="3"/>
  <c r="G776" i="3"/>
  <c r="G318" i="3"/>
  <c r="G1004" i="3"/>
  <c r="G593" i="3"/>
  <c r="G1365" i="3"/>
  <c r="G1512" i="3"/>
  <c r="G1388" i="3"/>
  <c r="G1375" i="3"/>
  <c r="G737" i="3"/>
  <c r="G1008" i="3"/>
  <c r="G770" i="3"/>
  <c r="G1042" i="3"/>
  <c r="G1051" i="3"/>
  <c r="G691" i="3"/>
  <c r="G1018" i="3"/>
  <c r="G1101" i="3"/>
  <c r="G1082" i="3"/>
  <c r="G1060" i="3"/>
  <c r="G860" i="3"/>
  <c r="G999" i="3"/>
  <c r="G984" i="3"/>
  <c r="G971" i="3"/>
  <c r="G955" i="3"/>
  <c r="G544" i="3"/>
  <c r="G924" i="3"/>
  <c r="G909" i="3"/>
  <c r="G904" i="3"/>
  <c r="G886" i="3"/>
  <c r="G874" i="3"/>
  <c r="G578" i="3"/>
  <c r="G522" i="3"/>
  <c r="G723" i="3"/>
  <c r="G680" i="3"/>
  <c r="G1362" i="3"/>
  <c r="G1174" i="3"/>
  <c r="G1106" i="3"/>
  <c r="G1405" i="3"/>
  <c r="G1333" i="3"/>
  <c r="G1418" i="3"/>
  <c r="G1269" i="3"/>
  <c r="G1079" i="3"/>
  <c r="G1304" i="3"/>
  <c r="G125" i="3"/>
  <c r="G1542" i="3"/>
  <c r="G1519" i="3"/>
  <c r="G1484" i="3"/>
  <c r="G1447" i="3"/>
  <c r="G1386" i="3"/>
  <c r="G1320" i="3"/>
  <c r="G1252" i="3"/>
  <c r="G201" i="3"/>
  <c r="G1177" i="3"/>
  <c r="G1370" i="3"/>
  <c r="G1485" i="3"/>
  <c r="G1507" i="3"/>
  <c r="G1450" i="3"/>
  <c r="G1417" i="3"/>
  <c r="G1373" i="3"/>
  <c r="G1312" i="3"/>
  <c r="G1194" i="3"/>
  <c r="G1187" i="3"/>
  <c r="G1228" i="3"/>
  <c r="G880" i="3"/>
  <c r="G740" i="3"/>
  <c r="G1054" i="3"/>
  <c r="G1210" i="3"/>
  <c r="G1227" i="3"/>
  <c r="G975" i="3"/>
  <c r="G1244" i="3"/>
  <c r="G1242" i="3"/>
  <c r="G1478" i="3"/>
  <c r="G1399" i="3"/>
  <c r="G738" i="3"/>
  <c r="G943" i="3"/>
  <c r="G982" i="3"/>
  <c r="G885" i="3"/>
  <c r="G857" i="3"/>
  <c r="G1328" i="3"/>
  <c r="G1470" i="3"/>
  <c r="G1294" i="3"/>
  <c r="G1073" i="3"/>
  <c r="G1518" i="3"/>
  <c r="G1241" i="3"/>
  <c r="G1117" i="3"/>
  <c r="G1121" i="3"/>
  <c r="G1469" i="3"/>
  <c r="G1015" i="3"/>
  <c r="G756" i="3"/>
  <c r="G695" i="3"/>
  <c r="G872" i="3"/>
  <c r="G220" i="3"/>
  <c r="G1144" i="3"/>
  <c r="G819" i="3"/>
  <c r="G582" i="3"/>
  <c r="G1389" i="3"/>
  <c r="G1003" i="3"/>
  <c r="G1482" i="3"/>
  <c r="G1367" i="3"/>
  <c r="G1523" i="3"/>
  <c r="G1366" i="3"/>
  <c r="G1502" i="3"/>
  <c r="G1224" i="3"/>
  <c r="G1274" i="3"/>
  <c r="G1266" i="3"/>
  <c r="G1339" i="3"/>
  <c r="G539" i="3"/>
  <c r="G1080" i="3"/>
  <c r="G731" i="3"/>
  <c r="G718" i="3"/>
  <c r="G1349" i="3"/>
  <c r="G1465" i="3"/>
  <c r="G1412" i="3"/>
  <c r="G365" i="3"/>
  <c r="G417" i="3"/>
  <c r="G942" i="3"/>
  <c r="G1265" i="3"/>
  <c r="G926" i="3"/>
  <c r="G1248" i="3"/>
  <c r="G989" i="3"/>
  <c r="G1014" i="3"/>
  <c r="G1125" i="3"/>
  <c r="G253" i="3"/>
  <c r="G1525" i="3"/>
  <c r="G976" i="3"/>
  <c r="G1291" i="3"/>
  <c r="G1169" i="3"/>
  <c r="G772" i="3"/>
  <c r="G1453" i="3"/>
  <c r="G1209" i="3"/>
  <c r="G1236" i="3"/>
  <c r="G595" i="3"/>
  <c r="G748" i="3"/>
  <c r="G747" i="3"/>
  <c r="G797" i="3"/>
  <c r="G1395" i="3"/>
  <c r="G1024" i="3"/>
  <c r="G1066" i="3"/>
  <c r="G1094" i="3"/>
  <c r="G703" i="3"/>
  <c r="G1058" i="3"/>
  <c r="G1088" i="3"/>
  <c r="G1048" i="3"/>
  <c r="G1000" i="3"/>
  <c r="G939" i="3"/>
  <c r="G1047" i="3"/>
  <c r="G1012" i="3"/>
  <c r="G833" i="3"/>
  <c r="G814" i="3"/>
  <c r="G959" i="3"/>
  <c r="G784" i="3"/>
  <c r="G721" i="3"/>
  <c r="G681" i="3"/>
  <c r="G895" i="3"/>
  <c r="G816" i="3"/>
  <c r="G783" i="3"/>
  <c r="G1347" i="3"/>
  <c r="G745" i="3"/>
  <c r="G678" i="3"/>
  <c r="G660" i="3"/>
  <c r="G651" i="3"/>
  <c r="G795" i="3"/>
  <c r="G1400" i="3"/>
  <c r="G1273" i="3"/>
  <c r="G492" i="3"/>
  <c r="G1306" i="3"/>
  <c r="G1383" i="3"/>
  <c r="G1234" i="3"/>
  <c r="G1038" i="3"/>
  <c r="G439" i="3"/>
  <c r="G1540" i="3"/>
  <c r="G1515" i="3"/>
  <c r="G1468" i="3"/>
  <c r="G1441" i="3"/>
  <c r="G1364" i="3"/>
  <c r="G1317" i="3"/>
  <c r="G1238" i="3"/>
  <c r="G325" i="3"/>
  <c r="G1443" i="3"/>
  <c r="G1159" i="3"/>
  <c r="G1505" i="3"/>
  <c r="G1337" i="3"/>
  <c r="G1491" i="3"/>
  <c r="G1439" i="3"/>
  <c r="G1409" i="3"/>
  <c r="G1355" i="3"/>
  <c r="G1271" i="3"/>
  <c r="G1201" i="3"/>
  <c r="G1019" i="3"/>
  <c r="G1416" i="3"/>
  <c r="G1098" i="3"/>
  <c r="G1495" i="3"/>
  <c r="G1533" i="3"/>
  <c r="G1084" i="3"/>
  <c r="G443" i="3"/>
  <c r="G757" i="3"/>
  <c r="G1074" i="3"/>
  <c r="G1431" i="3"/>
  <c r="G1246" i="3"/>
  <c r="G653" i="3"/>
  <c r="G1056" i="3"/>
  <c r="G1290" i="3"/>
  <c r="G1506" i="3"/>
  <c r="G1009" i="3"/>
  <c r="G1422" i="3"/>
  <c r="G1005" i="3"/>
  <c r="G998" i="3"/>
  <c r="G781" i="3"/>
  <c r="G919" i="3"/>
  <c r="G1541" i="3"/>
  <c r="G357" i="3"/>
  <c r="G1318" i="3"/>
  <c r="G369" i="3"/>
  <c r="G1102" i="3"/>
  <c r="G1522" i="3"/>
  <c r="G1401" i="3"/>
  <c r="G827" i="3"/>
  <c r="G1053" i="3"/>
  <c r="G1191" i="3"/>
  <c r="G1064" i="3"/>
  <c r="G1488" i="3"/>
  <c r="G788" i="3"/>
  <c r="G1070" i="3"/>
  <c r="G894" i="3"/>
  <c r="G1382" i="3"/>
  <c r="G1203" i="3"/>
  <c r="G1059" i="3"/>
  <c r="G1509" i="3"/>
  <c r="G1300" i="3"/>
  <c r="G610" i="3"/>
  <c r="G973" i="3"/>
  <c r="G450" i="3"/>
  <c r="G495" i="3"/>
  <c r="G1474" i="3"/>
  <c r="G852" i="3"/>
  <c r="G1261" i="3"/>
  <c r="G1394" i="3"/>
  <c r="G1214" i="3"/>
  <c r="G1310" i="3"/>
  <c r="G527" i="3"/>
  <c r="G1235" i="3"/>
  <c r="G708" i="3"/>
  <c r="G875" i="3"/>
  <c r="G774" i="3"/>
  <c r="G295" i="3"/>
  <c r="G1288" i="3"/>
  <c r="G1092" i="3"/>
  <c r="G1068" i="3"/>
  <c r="G899" i="3"/>
  <c r="G853" i="3"/>
  <c r="G830" i="3"/>
  <c r="G812" i="3"/>
  <c r="G957" i="3"/>
  <c r="G754" i="3"/>
  <c r="G914" i="3"/>
  <c r="G1249" i="3"/>
  <c r="G673" i="3"/>
  <c r="G881" i="3"/>
  <c r="G851" i="3"/>
  <c r="G835" i="3"/>
  <c r="G813" i="3"/>
  <c r="G782" i="3"/>
  <c r="G762" i="3"/>
  <c r="G713" i="3"/>
  <c r="G671" i="3"/>
  <c r="G768" i="3"/>
  <c r="G1022" i="3"/>
  <c r="G1350" i="3"/>
  <c r="G1463" i="3"/>
  <c r="G609" i="3"/>
  <c r="G1543" i="3"/>
  <c r="G1380" i="3"/>
  <c r="G1216" i="3"/>
  <c r="G1010" i="3"/>
  <c r="G1245" i="3"/>
  <c r="G1517" i="3"/>
  <c r="G511" i="3"/>
  <c r="G1534" i="3"/>
  <c r="G1514" i="3"/>
  <c r="G1466" i="3"/>
  <c r="G1432" i="3"/>
  <c r="G1357" i="3"/>
  <c r="G1239" i="3"/>
  <c r="G1232" i="3"/>
  <c r="G1081" i="3"/>
  <c r="G1403" i="3"/>
  <c r="G1126" i="3"/>
  <c r="G1479" i="3"/>
  <c r="G1280" i="3"/>
  <c r="G1537" i="3"/>
  <c r="G1490" i="3"/>
  <c r="G1436" i="3"/>
  <c r="G1406" i="3"/>
  <c r="G1255" i="3"/>
  <c r="G1212" i="3"/>
  <c r="G1202" i="3"/>
  <c r="G1188" i="3"/>
  <c r="G961" i="3"/>
  <c r="G493" i="3"/>
  <c r="G569" i="3"/>
  <c r="G1287" i="3"/>
  <c r="G843" i="3"/>
  <c r="G1172" i="3"/>
  <c r="G1538" i="3"/>
  <c r="G1199" i="3"/>
  <c r="G1360" i="3"/>
  <c r="G991" i="3"/>
  <c r="G966" i="3"/>
  <c r="G662" i="3"/>
  <c r="G1285" i="3"/>
  <c r="G327" i="3"/>
  <c r="G1247" i="3"/>
  <c r="G848" i="3"/>
  <c r="G1327" i="3"/>
  <c r="G1282" i="3"/>
  <c r="G1459" i="3"/>
  <c r="G1487" i="3"/>
  <c r="G1115" i="3"/>
  <c r="G1381" i="3"/>
  <c r="G1374" i="3"/>
  <c r="G1307" i="3"/>
  <c r="G1111" i="3"/>
  <c r="G1483" i="3"/>
  <c r="G1536" i="3"/>
  <c r="G1213" i="3"/>
  <c r="G726" i="3"/>
  <c r="G301" i="3"/>
  <c r="G967" i="3"/>
  <c r="G552" i="3"/>
  <c r="G905" i="3"/>
  <c r="G1494" i="3"/>
  <c r="G1237" i="3"/>
  <c r="G584" i="3"/>
  <c r="G1341" i="3"/>
  <c r="G1461" i="3"/>
  <c r="G920" i="3"/>
  <c r="G1251" i="3"/>
  <c r="G1045" i="3"/>
  <c r="G1378" i="3"/>
  <c r="G1040" i="3"/>
  <c r="G981" i="3"/>
  <c r="G934" i="3"/>
  <c r="G603" i="3"/>
  <c r="G990" i="3"/>
  <c r="G978" i="3"/>
  <c r="G956" i="3"/>
  <c r="G941" i="3"/>
  <c r="G930" i="3"/>
  <c r="G705" i="3"/>
  <c r="G903" i="3"/>
  <c r="G879" i="3"/>
  <c r="G866" i="3"/>
  <c r="G850" i="3"/>
  <c r="G807" i="3"/>
  <c r="G780" i="3"/>
  <c r="G759" i="3"/>
  <c r="G739" i="3"/>
  <c r="G710" i="3"/>
  <c r="G669" i="3"/>
  <c r="G764" i="3"/>
  <c r="G1492" i="3"/>
  <c r="G1110" i="3"/>
  <c r="G1448" i="3"/>
  <c r="G1028" i="3"/>
  <c r="G1368" i="3"/>
  <c r="G498" i="3"/>
  <c r="G958" i="3"/>
  <c r="G1423" i="3"/>
  <c r="G551" i="3"/>
  <c r="G1531" i="3"/>
  <c r="G1510" i="3"/>
  <c r="G344" i="3"/>
  <c r="G1420" i="3"/>
  <c r="G1311" i="3"/>
  <c r="G1206" i="3"/>
  <c r="G1036" i="3"/>
  <c r="G537" i="3"/>
  <c r="G1467" i="3"/>
  <c r="G608" i="3"/>
  <c r="G1530" i="3"/>
  <c r="G1473" i="3"/>
  <c r="G1433" i="3"/>
  <c r="G1223" i="3"/>
  <c r="G1331" i="3"/>
  <c r="G1222" i="3"/>
  <c r="G1200" i="3"/>
  <c r="G1193" i="3"/>
  <c r="G1424" i="3"/>
  <c r="G1289" i="3"/>
  <c r="G1385" i="3"/>
  <c r="G838" i="3"/>
  <c r="G1032" i="3"/>
  <c r="G1363" i="3"/>
  <c r="G1414" i="3"/>
  <c r="G1217" i="3"/>
  <c r="G1513" i="3"/>
  <c r="G970" i="3"/>
  <c r="G1065" i="3"/>
  <c r="G692" i="3"/>
  <c r="G972" i="3"/>
  <c r="G1292" i="3"/>
  <c r="G750" i="3"/>
  <c r="G777" i="3"/>
  <c r="G1231" i="3"/>
  <c r="G1035" i="3"/>
  <c r="G1007" i="3"/>
  <c r="G785" i="3"/>
  <c r="G901" i="3"/>
  <c r="G849" i="3"/>
  <c r="G755" i="3"/>
  <c r="G410" i="3"/>
  <c r="G586" i="3"/>
  <c r="G1408" i="3"/>
  <c r="G1528" i="3"/>
  <c r="G1196" i="3"/>
  <c r="G1462" i="3"/>
  <c r="G1351" i="3"/>
  <c r="G675" i="3"/>
  <c r="S1233" i="3"/>
  <c r="BH538" i="1"/>
  <c r="BH508" i="1"/>
  <c r="BH30" i="1"/>
  <c r="BH66" i="1"/>
  <c r="BH662" i="1"/>
  <c r="BH510" i="1"/>
  <c r="AY341" i="2"/>
  <c r="AY245" i="2"/>
  <c r="AY509" i="2"/>
  <c r="AY254" i="2"/>
  <c r="AY200" i="2"/>
  <c r="AY139" i="2"/>
  <c r="AY105" i="2"/>
  <c r="AY46" i="2"/>
  <c r="AY36" i="2"/>
  <c r="I127" i="3"/>
  <c r="G594" i="3"/>
  <c r="I594" i="3"/>
  <c r="I1535" i="3"/>
  <c r="G1535" i="3"/>
  <c r="I983" i="3"/>
  <c r="G983" i="3"/>
  <c r="H1499" i="3"/>
  <c r="G1499" i="3"/>
  <c r="H1319" i="3"/>
  <c r="G1319" i="3"/>
  <c r="I1442" i="3"/>
  <c r="G1442" i="3"/>
  <c r="I1493" i="3"/>
  <c r="G1493" i="3"/>
  <c r="I119" i="3"/>
  <c r="I56" i="3"/>
  <c r="I1226" i="3"/>
  <c r="G1226" i="3"/>
  <c r="I415" i="3"/>
  <c r="G1323" i="3"/>
  <c r="I1446" i="3"/>
  <c r="G1446" i="3"/>
  <c r="H1358" i="3"/>
  <c r="G1358" i="3"/>
  <c r="I316" i="3"/>
  <c r="H1369" i="3"/>
  <c r="G1369" i="3"/>
  <c r="I1021" i="3"/>
  <c r="G1021" i="3"/>
  <c r="I427" i="3"/>
  <c r="G427" i="3"/>
  <c r="I606" i="3"/>
  <c r="G606" i="3"/>
  <c r="I1163" i="3"/>
  <c r="G1163" i="3"/>
  <c r="I350" i="3"/>
  <c r="S1102" i="3"/>
  <c r="P1102" i="3"/>
  <c r="O1102" i="3"/>
  <c r="N1102" i="3"/>
  <c r="M1102" i="3"/>
  <c r="L1102" i="3"/>
  <c r="K1102" i="3"/>
  <c r="J1102" i="3"/>
  <c r="E1102" i="3"/>
  <c r="J549" i="7" s="1"/>
  <c r="D1102" i="3"/>
  <c r="H1102" i="3"/>
  <c r="I1102" i="3"/>
  <c r="S921" i="3"/>
  <c r="O921" i="3"/>
  <c r="N921" i="3"/>
  <c r="P921" i="3"/>
  <c r="M921" i="3"/>
  <c r="L921" i="3"/>
  <c r="K921" i="3"/>
  <c r="E921" i="3"/>
  <c r="J921" i="3"/>
  <c r="D921" i="3"/>
  <c r="H921" i="3"/>
  <c r="I921" i="3"/>
  <c r="S531" i="3"/>
  <c r="P531" i="3"/>
  <c r="N531" i="3"/>
  <c r="O531" i="3"/>
  <c r="L531" i="3"/>
  <c r="M531" i="3"/>
  <c r="J531" i="3"/>
  <c r="K531" i="3"/>
  <c r="J240" i="7"/>
  <c r="I240" i="7"/>
  <c r="I531" i="3"/>
  <c r="S922" i="3"/>
  <c r="P922" i="3"/>
  <c r="O922" i="3"/>
  <c r="N922" i="3"/>
  <c r="M922" i="3"/>
  <c r="L922" i="3"/>
  <c r="K922" i="3"/>
  <c r="J922" i="3"/>
  <c r="J257" i="7"/>
  <c r="I922" i="3"/>
  <c r="S1053" i="3"/>
  <c r="P1053" i="3"/>
  <c r="O1053" i="3"/>
  <c r="N1053" i="3"/>
  <c r="M1053" i="3"/>
  <c r="L1053" i="3"/>
  <c r="J1053" i="3"/>
  <c r="K1053" i="3"/>
  <c r="E1053" i="3"/>
  <c r="D1053" i="3"/>
  <c r="I1053" i="3"/>
  <c r="H1053" i="3"/>
  <c r="S238" i="3"/>
  <c r="P238" i="3"/>
  <c r="O238" i="3"/>
  <c r="N238" i="3"/>
  <c r="M238" i="3"/>
  <c r="L238" i="3"/>
  <c r="K238" i="3"/>
  <c r="J481" i="7"/>
  <c r="J238" i="3"/>
  <c r="I238" i="3"/>
  <c r="S628" i="3"/>
  <c r="P628" i="3"/>
  <c r="O628" i="3"/>
  <c r="N628" i="3"/>
  <c r="M628" i="3"/>
  <c r="L628" i="3"/>
  <c r="K628" i="3"/>
  <c r="J628" i="3"/>
  <c r="J264" i="7"/>
  <c r="I628" i="3"/>
  <c r="S1064" i="3"/>
  <c r="P1064" i="3"/>
  <c r="O1064" i="3"/>
  <c r="N1064" i="3"/>
  <c r="M1064" i="3"/>
  <c r="L1064" i="3"/>
  <c r="K1064" i="3"/>
  <c r="J1064" i="3"/>
  <c r="E1064" i="3"/>
  <c r="D1064" i="3"/>
  <c r="H1064" i="3"/>
  <c r="I1064" i="3"/>
  <c r="S1155" i="3"/>
  <c r="P1155" i="3"/>
  <c r="O1155" i="3"/>
  <c r="M1155" i="3"/>
  <c r="N1155" i="3"/>
  <c r="L1155" i="3"/>
  <c r="J1155" i="3"/>
  <c r="K1155" i="3"/>
  <c r="E1155" i="3"/>
  <c r="D1155" i="3"/>
  <c r="H1155" i="3"/>
  <c r="I1155" i="3"/>
  <c r="S848" i="3"/>
  <c r="P848" i="3"/>
  <c r="O848" i="3"/>
  <c r="M848" i="3"/>
  <c r="N848" i="3"/>
  <c r="K848" i="3"/>
  <c r="L848" i="3"/>
  <c r="J848" i="3"/>
  <c r="E848" i="3"/>
  <c r="D848" i="3"/>
  <c r="H848" i="3"/>
  <c r="I848" i="3"/>
  <c r="S1327" i="3"/>
  <c r="P1327" i="3"/>
  <c r="N1327" i="3"/>
  <c r="O1327" i="3"/>
  <c r="M1327" i="3"/>
  <c r="L1327" i="3"/>
  <c r="K1327" i="3"/>
  <c r="J1327" i="3"/>
  <c r="E1327" i="3"/>
  <c r="J531" i="7" s="1"/>
  <c r="D1327" i="3"/>
  <c r="I531" i="7" s="1"/>
  <c r="H1327" i="3"/>
  <c r="I1327" i="3"/>
  <c r="S1282" i="3"/>
  <c r="P1282" i="3"/>
  <c r="O1282" i="3"/>
  <c r="N1282" i="3"/>
  <c r="M1282" i="3"/>
  <c r="L1282" i="3"/>
  <c r="K1282" i="3"/>
  <c r="J1282" i="3"/>
  <c r="E1282" i="3"/>
  <c r="J334" i="7" s="1"/>
  <c r="D1282" i="3"/>
  <c r="H1282" i="3"/>
  <c r="I1282" i="3"/>
  <c r="S1459" i="3"/>
  <c r="P1459" i="3"/>
  <c r="O1459" i="3"/>
  <c r="N1459" i="3"/>
  <c r="M1459" i="3"/>
  <c r="L1459" i="3"/>
  <c r="K1459" i="3"/>
  <c r="J1459" i="3"/>
  <c r="D1459" i="3"/>
  <c r="I78" i="7" s="1"/>
  <c r="E1459" i="3"/>
  <c r="J78" i="7" s="1"/>
  <c r="I1459" i="3"/>
  <c r="H1459" i="3"/>
  <c r="S1487" i="3"/>
  <c r="P1487" i="3"/>
  <c r="O1487" i="3"/>
  <c r="N1487" i="3"/>
  <c r="M1487" i="3"/>
  <c r="L1487" i="3"/>
  <c r="K1487" i="3"/>
  <c r="J1487" i="3"/>
  <c r="D1487" i="3"/>
  <c r="I83" i="7" s="1"/>
  <c r="E1487" i="3"/>
  <c r="J83" i="7" s="1"/>
  <c r="H1487" i="3"/>
  <c r="I1487" i="3"/>
  <c r="S1115" i="3"/>
  <c r="P1115" i="3"/>
  <c r="O1115" i="3"/>
  <c r="N1115" i="3"/>
  <c r="M1115" i="3"/>
  <c r="L1115" i="3"/>
  <c r="K1115" i="3"/>
  <c r="J1115" i="3"/>
  <c r="D1115" i="3"/>
  <c r="E1115" i="3"/>
  <c r="I1115" i="3"/>
  <c r="H1115" i="3"/>
  <c r="S1381" i="3"/>
  <c r="P1381" i="3"/>
  <c r="O1381" i="3"/>
  <c r="N1381" i="3"/>
  <c r="M1381" i="3"/>
  <c r="L1381" i="3"/>
  <c r="K1381" i="3"/>
  <c r="J1381" i="3"/>
  <c r="D1381" i="3"/>
  <c r="I31" i="7" s="1"/>
  <c r="E1381" i="3"/>
  <c r="J31" i="7" s="1"/>
  <c r="I1381" i="3"/>
  <c r="H1381" i="3"/>
  <c r="S1374" i="3"/>
  <c r="P1374" i="3"/>
  <c r="O1374" i="3"/>
  <c r="N1374" i="3"/>
  <c r="M1374" i="3"/>
  <c r="L1374" i="3"/>
  <c r="K1374" i="3"/>
  <c r="J1374" i="3"/>
  <c r="E1374" i="3"/>
  <c r="J23" i="7" s="1"/>
  <c r="D1374" i="3"/>
  <c r="I23" i="7" s="1"/>
  <c r="H1374" i="3"/>
  <c r="I1374" i="3"/>
  <c r="S419" i="3"/>
  <c r="P419" i="3"/>
  <c r="O419" i="3"/>
  <c r="N419" i="3"/>
  <c r="M419" i="3"/>
  <c r="L419" i="3"/>
  <c r="K419" i="3"/>
  <c r="J419" i="3"/>
  <c r="I419" i="3"/>
  <c r="S435" i="3"/>
  <c r="P435" i="3"/>
  <c r="O435" i="3"/>
  <c r="N435" i="3"/>
  <c r="M435" i="3"/>
  <c r="L435" i="3"/>
  <c r="K435" i="3"/>
  <c r="J435" i="3"/>
  <c r="I435" i="3"/>
  <c r="S1307" i="3"/>
  <c r="P1307" i="3"/>
  <c r="O1307" i="3"/>
  <c r="N1307" i="3"/>
  <c r="M1307" i="3"/>
  <c r="L1307" i="3"/>
  <c r="K1307" i="3"/>
  <c r="J1307" i="3"/>
  <c r="D1307" i="3"/>
  <c r="E1307" i="3"/>
  <c r="I1307" i="3"/>
  <c r="H1307" i="3"/>
  <c r="S1111" i="3"/>
  <c r="P1111" i="3"/>
  <c r="O1111" i="3"/>
  <c r="N1111" i="3"/>
  <c r="M1111" i="3"/>
  <c r="L1111" i="3"/>
  <c r="K1111" i="3"/>
  <c r="J1111" i="3"/>
  <c r="D1111" i="3"/>
  <c r="E1111" i="3"/>
  <c r="H1111" i="3"/>
  <c r="I1111" i="3"/>
  <c r="S507" i="3"/>
  <c r="P507" i="3"/>
  <c r="O507" i="3"/>
  <c r="N507" i="3"/>
  <c r="M507" i="3"/>
  <c r="L507" i="3"/>
  <c r="K507" i="3"/>
  <c r="J507" i="3"/>
  <c r="I507" i="3"/>
  <c r="S1483" i="3"/>
  <c r="P1483" i="3"/>
  <c r="O1483" i="3"/>
  <c r="N1483" i="3"/>
  <c r="M1483" i="3"/>
  <c r="L1483" i="3"/>
  <c r="K1483" i="3"/>
  <c r="J1483" i="3"/>
  <c r="E1483" i="3"/>
  <c r="D1483" i="3"/>
  <c r="H1483" i="3"/>
  <c r="I1483" i="3"/>
  <c r="P482" i="3"/>
  <c r="S482" i="3"/>
  <c r="O482" i="3"/>
  <c r="M482" i="3"/>
  <c r="L482" i="3"/>
  <c r="N482" i="3"/>
  <c r="J482" i="3"/>
  <c r="K482" i="3"/>
  <c r="J537" i="7"/>
  <c r="I482" i="3"/>
  <c r="S1133" i="3"/>
  <c r="P1133" i="3"/>
  <c r="O1133" i="3"/>
  <c r="N1133" i="3"/>
  <c r="M1133" i="3"/>
  <c r="L1133" i="3"/>
  <c r="K1133" i="3"/>
  <c r="J1133" i="3"/>
  <c r="E1133" i="3"/>
  <c r="D1133" i="3"/>
  <c r="H1133" i="3"/>
  <c r="I1133" i="3"/>
  <c r="S459" i="3"/>
  <c r="P459" i="3"/>
  <c r="O459" i="3"/>
  <c r="N459" i="3"/>
  <c r="L459" i="3"/>
  <c r="K459" i="3"/>
  <c r="M459" i="3"/>
  <c r="J459" i="3"/>
  <c r="I102" i="7"/>
  <c r="J102" i="7"/>
  <c r="I459" i="3"/>
  <c r="S484" i="3"/>
  <c r="P484" i="3"/>
  <c r="O484" i="3"/>
  <c r="N484" i="3"/>
  <c r="M484" i="3"/>
  <c r="L484" i="3"/>
  <c r="K484" i="3"/>
  <c r="J484" i="3"/>
  <c r="J332" i="7"/>
  <c r="I332" i="7"/>
  <c r="I484" i="3"/>
  <c r="S947" i="3"/>
  <c r="P947" i="3"/>
  <c r="O947" i="3"/>
  <c r="N947" i="3"/>
  <c r="M947" i="3"/>
  <c r="L947" i="3"/>
  <c r="K947" i="3"/>
  <c r="J947" i="3"/>
  <c r="I947" i="3"/>
  <c r="S182" i="3"/>
  <c r="P182" i="3"/>
  <c r="O182" i="3"/>
  <c r="N182" i="3"/>
  <c r="M182" i="3"/>
  <c r="K182" i="3"/>
  <c r="L182" i="3"/>
  <c r="J182" i="3"/>
  <c r="I182" i="3"/>
  <c r="S1536" i="3"/>
  <c r="P1536" i="3"/>
  <c r="O1536" i="3"/>
  <c r="N1536" i="3"/>
  <c r="M1536" i="3"/>
  <c r="L1536" i="3"/>
  <c r="K1536" i="3"/>
  <c r="J1536" i="3"/>
  <c r="E1536" i="3"/>
  <c r="J43" i="7" s="1"/>
  <c r="D1536" i="3"/>
  <c r="I43" i="7" s="1"/>
  <c r="H1536" i="3"/>
  <c r="I1536" i="3"/>
  <c r="S1213" i="3"/>
  <c r="P1213" i="3"/>
  <c r="O1213" i="3"/>
  <c r="N1213" i="3"/>
  <c r="M1213" i="3"/>
  <c r="L1213" i="3"/>
  <c r="K1213" i="3"/>
  <c r="J1213" i="3"/>
  <c r="E1213" i="3"/>
  <c r="J71" i="7" s="1"/>
  <c r="D1213" i="3"/>
  <c r="I71" i="7" s="1"/>
  <c r="I1213" i="3"/>
  <c r="H1213" i="3"/>
  <c r="S726" i="3"/>
  <c r="P726" i="3"/>
  <c r="O726" i="3"/>
  <c r="N726" i="3"/>
  <c r="M726" i="3"/>
  <c r="L726" i="3"/>
  <c r="J726" i="3"/>
  <c r="K726" i="3"/>
  <c r="E726" i="3"/>
  <c r="D726" i="3"/>
  <c r="I726" i="3"/>
  <c r="H726" i="3"/>
  <c r="S301" i="3"/>
  <c r="P301" i="3"/>
  <c r="O301" i="3"/>
  <c r="N301" i="3"/>
  <c r="M301" i="3"/>
  <c r="L301" i="3"/>
  <c r="K301" i="3"/>
  <c r="J301" i="3"/>
  <c r="E301" i="3"/>
  <c r="J310" i="7" s="1"/>
  <c r="D301" i="3"/>
  <c r="I310" i="7" s="1"/>
  <c r="H301" i="3"/>
  <c r="I301" i="3"/>
  <c r="S44" i="3"/>
  <c r="P44" i="3"/>
  <c r="O44" i="3"/>
  <c r="N44" i="3"/>
  <c r="M44" i="3"/>
  <c r="L44" i="3"/>
  <c r="K44" i="3"/>
  <c r="J44" i="3"/>
  <c r="I44" i="3"/>
  <c r="P1539" i="3"/>
  <c r="S1539" i="3"/>
  <c r="N1539" i="3"/>
  <c r="O1539" i="3"/>
  <c r="M1539" i="3"/>
  <c r="L1539" i="3"/>
  <c r="K1539" i="3"/>
  <c r="J1539" i="3"/>
  <c r="E1539" i="3"/>
  <c r="D1539" i="3"/>
  <c r="H1539" i="3"/>
  <c r="I1539" i="3"/>
  <c r="S555" i="3"/>
  <c r="P555" i="3"/>
  <c r="O555" i="3"/>
  <c r="N555" i="3"/>
  <c r="M555" i="3"/>
  <c r="L555" i="3"/>
  <c r="K555" i="3"/>
  <c r="J555" i="3"/>
  <c r="I555" i="3"/>
  <c r="S967" i="3"/>
  <c r="P967" i="3"/>
  <c r="O967" i="3"/>
  <c r="N967" i="3"/>
  <c r="M967" i="3"/>
  <c r="L967" i="3"/>
  <c r="K967" i="3"/>
  <c r="J967" i="3"/>
  <c r="D967" i="3"/>
  <c r="I346" i="7" s="1"/>
  <c r="E967" i="3"/>
  <c r="J346" i="7" s="1"/>
  <c r="I967" i="3"/>
  <c r="H967" i="3"/>
  <c r="S552" i="3"/>
  <c r="P552" i="3"/>
  <c r="O552" i="3"/>
  <c r="N552" i="3"/>
  <c r="M552" i="3"/>
  <c r="K552" i="3"/>
  <c r="L552" i="3"/>
  <c r="J552" i="3"/>
  <c r="E552" i="3"/>
  <c r="D552" i="3"/>
  <c r="H552" i="3"/>
  <c r="I552" i="3"/>
  <c r="S1138" i="3"/>
  <c r="P1138" i="3"/>
  <c r="O1138" i="3"/>
  <c r="N1138" i="3"/>
  <c r="L1138" i="3"/>
  <c r="M1138" i="3"/>
  <c r="J1138" i="3"/>
  <c r="K1138" i="3"/>
  <c r="E1138" i="3"/>
  <c r="D1138" i="3"/>
  <c r="I1138" i="3"/>
  <c r="H1138" i="3"/>
  <c r="S104" i="3"/>
  <c r="P104" i="3"/>
  <c r="O104" i="3"/>
  <c r="N104" i="3"/>
  <c r="M104" i="3"/>
  <c r="K104" i="3"/>
  <c r="L104" i="3"/>
  <c r="J104" i="3"/>
  <c r="J495" i="7"/>
  <c r="I104" i="3"/>
  <c r="S406" i="3"/>
  <c r="P406" i="3"/>
  <c r="O406" i="3"/>
  <c r="N406" i="3"/>
  <c r="M406" i="3"/>
  <c r="L406" i="3"/>
  <c r="K406" i="3"/>
  <c r="J406" i="3"/>
  <c r="J99" i="7"/>
  <c r="I99" i="7"/>
  <c r="I406" i="3"/>
  <c r="S905" i="3"/>
  <c r="P905" i="3"/>
  <c r="O905" i="3"/>
  <c r="M905" i="3"/>
  <c r="N905" i="3"/>
  <c r="L905" i="3"/>
  <c r="J905" i="3"/>
  <c r="E905" i="3"/>
  <c r="K905" i="3"/>
  <c r="D905" i="3"/>
  <c r="H905" i="3"/>
  <c r="I905" i="3"/>
  <c r="S161" i="3"/>
  <c r="P161" i="3"/>
  <c r="O161" i="3"/>
  <c r="N161" i="3"/>
  <c r="M161" i="3"/>
  <c r="L161" i="3"/>
  <c r="K161" i="3"/>
  <c r="J161" i="3"/>
  <c r="I161" i="3"/>
  <c r="S272" i="3"/>
  <c r="P272" i="3"/>
  <c r="O272" i="3"/>
  <c r="N272" i="3"/>
  <c r="M272" i="3"/>
  <c r="L272" i="3"/>
  <c r="K272" i="3"/>
  <c r="J272" i="3"/>
  <c r="J270" i="7"/>
  <c r="I272" i="3"/>
  <c r="S1494" i="3"/>
  <c r="P1494" i="3"/>
  <c r="M1494" i="3"/>
  <c r="N1494" i="3"/>
  <c r="O1494" i="3"/>
  <c r="L1494" i="3"/>
  <c r="J1494" i="3"/>
  <c r="K1494" i="3"/>
  <c r="E1494" i="3"/>
  <c r="J403" i="7" s="1"/>
  <c r="D1494" i="3"/>
  <c r="H1494" i="3"/>
  <c r="I1494" i="3"/>
  <c r="S618" i="3"/>
  <c r="P618" i="3"/>
  <c r="O618" i="3"/>
  <c r="M618" i="3"/>
  <c r="N618" i="3"/>
  <c r="L618" i="3"/>
  <c r="J618" i="3"/>
  <c r="K618" i="3"/>
  <c r="I618" i="3"/>
  <c r="S454" i="3"/>
  <c r="P454" i="3"/>
  <c r="O454" i="3"/>
  <c r="N454" i="3"/>
  <c r="M454" i="3"/>
  <c r="L454" i="3"/>
  <c r="K454" i="3"/>
  <c r="J454" i="3"/>
  <c r="J231" i="7"/>
  <c r="I454" i="3"/>
  <c r="S49" i="3"/>
  <c r="P49" i="3"/>
  <c r="O49" i="3"/>
  <c r="N49" i="3"/>
  <c r="M49" i="3"/>
  <c r="L49" i="3"/>
  <c r="K49" i="3"/>
  <c r="J49" i="3"/>
  <c r="J524" i="7"/>
  <c r="I49" i="3"/>
  <c r="S612" i="3"/>
  <c r="P612" i="3"/>
  <c r="O612" i="3"/>
  <c r="N612" i="3"/>
  <c r="L612" i="3"/>
  <c r="M612" i="3"/>
  <c r="K612" i="3"/>
  <c r="J612" i="3"/>
  <c r="J360" i="7"/>
  <c r="I360" i="7"/>
  <c r="I612" i="3"/>
  <c r="S223" i="3"/>
  <c r="P223" i="3"/>
  <c r="O223" i="3"/>
  <c r="M223" i="3"/>
  <c r="N223" i="3"/>
  <c r="L223" i="3"/>
  <c r="J223" i="3"/>
  <c r="K223" i="3"/>
  <c r="I223" i="3"/>
  <c r="S1237" i="3"/>
  <c r="P1237" i="3"/>
  <c r="O1237" i="3"/>
  <c r="N1237" i="3"/>
  <c r="M1237" i="3"/>
  <c r="L1237" i="3"/>
  <c r="K1237" i="3"/>
  <c r="J1237" i="3"/>
  <c r="E1237" i="3"/>
  <c r="D1237" i="3"/>
  <c r="H1237" i="3"/>
  <c r="I1237" i="3"/>
  <c r="S663" i="3"/>
  <c r="P663" i="3"/>
  <c r="O663" i="3"/>
  <c r="N663" i="3"/>
  <c r="M663" i="3"/>
  <c r="L663" i="3"/>
  <c r="K663" i="3"/>
  <c r="J663" i="3"/>
  <c r="I663" i="3"/>
  <c r="S142" i="3"/>
  <c r="P142" i="3"/>
  <c r="O142" i="3"/>
  <c r="N142" i="3"/>
  <c r="M142" i="3"/>
  <c r="K142" i="3"/>
  <c r="L142" i="3"/>
  <c r="J142" i="3"/>
  <c r="J192" i="7"/>
  <c r="I192" i="7"/>
  <c r="I142" i="3"/>
  <c r="S584" i="3"/>
  <c r="P584" i="3"/>
  <c r="O584" i="3"/>
  <c r="N584" i="3"/>
  <c r="M584" i="3"/>
  <c r="L584" i="3"/>
  <c r="K584" i="3"/>
  <c r="J584" i="3"/>
  <c r="E584" i="3"/>
  <c r="J236" i="7" s="1"/>
  <c r="D584" i="3"/>
  <c r="H584" i="3"/>
  <c r="I584" i="3"/>
  <c r="S916" i="3"/>
  <c r="P916" i="3"/>
  <c r="O916" i="3"/>
  <c r="N916" i="3"/>
  <c r="M916" i="3"/>
  <c r="L916" i="3"/>
  <c r="K916" i="3"/>
  <c r="J916" i="3"/>
  <c r="I916" i="3"/>
  <c r="S412" i="3"/>
  <c r="P412" i="3"/>
  <c r="O412" i="3"/>
  <c r="N412" i="3"/>
  <c r="L412" i="3"/>
  <c r="K412" i="3"/>
  <c r="M412" i="3"/>
  <c r="J412" i="3"/>
  <c r="J385" i="7"/>
  <c r="I412" i="3"/>
  <c r="S1341" i="3"/>
  <c r="P1341" i="3"/>
  <c r="O1341" i="3"/>
  <c r="N1341" i="3"/>
  <c r="M1341" i="3"/>
  <c r="L1341" i="3"/>
  <c r="K1341" i="3"/>
  <c r="J1341" i="3"/>
  <c r="E1341" i="3"/>
  <c r="J535" i="7" s="1"/>
  <c r="D1341" i="3"/>
  <c r="I535" i="7" s="1"/>
  <c r="I1341" i="3"/>
  <c r="H1341" i="3"/>
  <c r="S1461" i="3"/>
  <c r="P1461" i="3"/>
  <c r="N1461" i="3"/>
  <c r="O1461" i="3"/>
  <c r="M1461" i="3"/>
  <c r="L1461" i="3"/>
  <c r="K1461" i="3"/>
  <c r="J1461" i="3"/>
  <c r="E1461" i="3"/>
  <c r="J318" i="7" s="1"/>
  <c r="D1461" i="3"/>
  <c r="I318" i="7" s="1"/>
  <c r="H1461" i="3"/>
  <c r="I1461" i="3"/>
  <c r="S920" i="3"/>
  <c r="P920" i="3"/>
  <c r="O920" i="3"/>
  <c r="N920" i="3"/>
  <c r="M920" i="3"/>
  <c r="L920" i="3"/>
  <c r="K920" i="3"/>
  <c r="E920" i="3"/>
  <c r="J920" i="3"/>
  <c r="D920" i="3"/>
  <c r="H920" i="3"/>
  <c r="I920" i="3"/>
  <c r="S557" i="3"/>
  <c r="P557" i="3"/>
  <c r="O557" i="3"/>
  <c r="N557" i="3"/>
  <c r="L557" i="3"/>
  <c r="K557" i="3"/>
  <c r="J557" i="3"/>
  <c r="M557" i="3"/>
  <c r="I557" i="3"/>
  <c r="S1251" i="3"/>
  <c r="P1251" i="3"/>
  <c r="O1251" i="3"/>
  <c r="N1251" i="3"/>
  <c r="M1251" i="3"/>
  <c r="L1251" i="3"/>
  <c r="K1251" i="3"/>
  <c r="J1251" i="3"/>
  <c r="E1251" i="3"/>
  <c r="D1251" i="3"/>
  <c r="I1251" i="3"/>
  <c r="H1251" i="3"/>
  <c r="S1160" i="3"/>
  <c r="P1160" i="3"/>
  <c r="O1160" i="3"/>
  <c r="N1160" i="3"/>
  <c r="M1160" i="3"/>
  <c r="L1160" i="3"/>
  <c r="K1160" i="3"/>
  <c r="E1160" i="3"/>
  <c r="J1160" i="3"/>
  <c r="D1160" i="3"/>
  <c r="H1160" i="3"/>
  <c r="I1160" i="3"/>
  <c r="S1045" i="3"/>
  <c r="P1045" i="3"/>
  <c r="O1045" i="3"/>
  <c r="M1045" i="3"/>
  <c r="N1045" i="3"/>
  <c r="L1045" i="3"/>
  <c r="J1045" i="3"/>
  <c r="K1045" i="3"/>
  <c r="E1045" i="3"/>
  <c r="D1045" i="3"/>
  <c r="H1045" i="3"/>
  <c r="I1045" i="3"/>
  <c r="S1170" i="3"/>
  <c r="P1170" i="3"/>
  <c r="O1170" i="3"/>
  <c r="M1170" i="3"/>
  <c r="N1170" i="3"/>
  <c r="L1170" i="3"/>
  <c r="K1170" i="3"/>
  <c r="J1170" i="3"/>
  <c r="E1170" i="3"/>
  <c r="D1170" i="3"/>
  <c r="H1170" i="3"/>
  <c r="I1170" i="3"/>
  <c r="S1378" i="3"/>
  <c r="P1378" i="3"/>
  <c r="O1378" i="3"/>
  <c r="N1378" i="3"/>
  <c r="M1378" i="3"/>
  <c r="L1378" i="3"/>
  <c r="K1378" i="3"/>
  <c r="J1378" i="3"/>
  <c r="E1378" i="3"/>
  <c r="J562" i="7" s="1"/>
  <c r="D1378" i="3"/>
  <c r="I562" i="7" s="1"/>
  <c r="H1378" i="3"/>
  <c r="I1378" i="3"/>
  <c r="S1137" i="3"/>
  <c r="P1137" i="3"/>
  <c r="O1137" i="3"/>
  <c r="M1137" i="3"/>
  <c r="N1137" i="3"/>
  <c r="L1137" i="3"/>
  <c r="J1137" i="3"/>
  <c r="K1137" i="3"/>
  <c r="E1137" i="3"/>
  <c r="D1137" i="3"/>
  <c r="H1137" i="3"/>
  <c r="I1137" i="3"/>
  <c r="S1040" i="3"/>
  <c r="P1040" i="3"/>
  <c r="O1040" i="3"/>
  <c r="N1040" i="3"/>
  <c r="M1040" i="3"/>
  <c r="L1040" i="3"/>
  <c r="K1040" i="3"/>
  <c r="J1040" i="3"/>
  <c r="E1040" i="3"/>
  <c r="D1040" i="3"/>
  <c r="H1040" i="3"/>
  <c r="I1040" i="3"/>
  <c r="S981" i="3"/>
  <c r="P981" i="3"/>
  <c r="O981" i="3"/>
  <c r="N981" i="3"/>
  <c r="M981" i="3"/>
  <c r="L981" i="3"/>
  <c r="K981" i="3"/>
  <c r="E981" i="3"/>
  <c r="J981" i="3"/>
  <c r="D981" i="3"/>
  <c r="H981" i="3"/>
  <c r="I981" i="3"/>
  <c r="S934" i="3"/>
  <c r="P934" i="3"/>
  <c r="O934" i="3"/>
  <c r="N934" i="3"/>
  <c r="M934" i="3"/>
  <c r="L934" i="3"/>
  <c r="K934" i="3"/>
  <c r="J934" i="3"/>
  <c r="E934" i="3"/>
  <c r="D934" i="3"/>
  <c r="H934" i="3"/>
  <c r="I934" i="3"/>
  <c r="S603" i="3"/>
  <c r="P603" i="3"/>
  <c r="O603" i="3"/>
  <c r="N603" i="3"/>
  <c r="M603" i="3"/>
  <c r="L603" i="3"/>
  <c r="K603" i="3"/>
  <c r="E603" i="3"/>
  <c r="J603" i="3"/>
  <c r="D603" i="3"/>
  <c r="H603" i="3"/>
  <c r="I603" i="3"/>
  <c r="S1006" i="3"/>
  <c r="P1006" i="3"/>
  <c r="O1006" i="3"/>
  <c r="M1006" i="3"/>
  <c r="N1006" i="3"/>
  <c r="L1006" i="3"/>
  <c r="J1006" i="3"/>
  <c r="K1006" i="3"/>
  <c r="E1006" i="3"/>
  <c r="D1006" i="3"/>
  <c r="H1006" i="3"/>
  <c r="I1006" i="3"/>
  <c r="S990" i="3"/>
  <c r="P990" i="3"/>
  <c r="O990" i="3"/>
  <c r="M990" i="3"/>
  <c r="N990" i="3"/>
  <c r="L990" i="3"/>
  <c r="K990" i="3"/>
  <c r="J990" i="3"/>
  <c r="E990" i="3"/>
  <c r="D990" i="3"/>
  <c r="H990" i="3"/>
  <c r="I990" i="3"/>
  <c r="S978" i="3"/>
  <c r="P978" i="3"/>
  <c r="O978" i="3"/>
  <c r="M978" i="3"/>
  <c r="N978" i="3"/>
  <c r="L978" i="3"/>
  <c r="J978" i="3"/>
  <c r="K978" i="3"/>
  <c r="E978" i="3"/>
  <c r="D978" i="3"/>
  <c r="H978" i="3"/>
  <c r="I978" i="3"/>
  <c r="S956" i="3"/>
  <c r="P956" i="3"/>
  <c r="O956" i="3"/>
  <c r="N956" i="3"/>
  <c r="M956" i="3"/>
  <c r="L956" i="3"/>
  <c r="J956" i="3"/>
  <c r="K956" i="3"/>
  <c r="E956" i="3"/>
  <c r="D956" i="3"/>
  <c r="H956" i="3"/>
  <c r="I956" i="3"/>
  <c r="S941" i="3"/>
  <c r="P941" i="3"/>
  <c r="O941" i="3"/>
  <c r="N941" i="3"/>
  <c r="M941" i="3"/>
  <c r="L941" i="3"/>
  <c r="K941" i="3"/>
  <c r="J941" i="3"/>
  <c r="E941" i="3"/>
  <c r="D941" i="3"/>
  <c r="H941" i="3"/>
  <c r="I941" i="3"/>
  <c r="S930" i="3"/>
  <c r="P930" i="3"/>
  <c r="O930" i="3"/>
  <c r="N930" i="3"/>
  <c r="M930" i="3"/>
  <c r="L930" i="3"/>
  <c r="K930" i="3"/>
  <c r="J930" i="3"/>
  <c r="E930" i="3"/>
  <c r="D930" i="3"/>
  <c r="H930" i="3"/>
  <c r="I930" i="3"/>
  <c r="S705" i="3"/>
  <c r="P705" i="3"/>
  <c r="O705" i="3"/>
  <c r="N705" i="3"/>
  <c r="M705" i="3"/>
  <c r="L705" i="3"/>
  <c r="K705" i="3"/>
  <c r="J705" i="3"/>
  <c r="E705" i="3"/>
  <c r="D705" i="3"/>
  <c r="H705" i="3"/>
  <c r="I705" i="3"/>
  <c r="S903" i="3"/>
  <c r="P903" i="3"/>
  <c r="O903" i="3"/>
  <c r="N903" i="3"/>
  <c r="M903" i="3"/>
  <c r="K903" i="3"/>
  <c r="L903" i="3"/>
  <c r="J903" i="3"/>
  <c r="E903" i="3"/>
  <c r="D903" i="3"/>
  <c r="H903" i="3"/>
  <c r="I903" i="3"/>
  <c r="S670" i="3"/>
  <c r="P670" i="3"/>
  <c r="O670" i="3"/>
  <c r="N670" i="3"/>
  <c r="L670" i="3"/>
  <c r="M670" i="3"/>
  <c r="K670" i="3"/>
  <c r="J670" i="3"/>
  <c r="E670" i="3"/>
  <c r="D670" i="3"/>
  <c r="H670" i="3"/>
  <c r="I670" i="3"/>
  <c r="S879" i="3"/>
  <c r="P879" i="3"/>
  <c r="O879" i="3"/>
  <c r="N879" i="3"/>
  <c r="M879" i="3"/>
  <c r="L879" i="3"/>
  <c r="K879" i="3"/>
  <c r="J879" i="3"/>
  <c r="E879" i="3"/>
  <c r="D879" i="3"/>
  <c r="H879" i="3"/>
  <c r="I879" i="3"/>
  <c r="S866" i="3"/>
  <c r="P866" i="3"/>
  <c r="O866" i="3"/>
  <c r="N866" i="3"/>
  <c r="M866" i="3"/>
  <c r="L866" i="3"/>
  <c r="K866" i="3"/>
  <c r="E866" i="3"/>
  <c r="J866" i="3"/>
  <c r="D866" i="3"/>
  <c r="H866" i="3"/>
  <c r="I866" i="3"/>
  <c r="S850" i="3"/>
  <c r="P850" i="3"/>
  <c r="O850" i="3"/>
  <c r="N850" i="3"/>
  <c r="M850" i="3"/>
  <c r="L850" i="3"/>
  <c r="J850" i="3"/>
  <c r="K850" i="3"/>
  <c r="E850" i="3"/>
  <c r="D850" i="3"/>
  <c r="H850" i="3"/>
  <c r="I850" i="3"/>
  <c r="S834" i="3"/>
  <c r="P834" i="3"/>
  <c r="O834" i="3"/>
  <c r="N834" i="3"/>
  <c r="M834" i="3"/>
  <c r="L834" i="3"/>
  <c r="K834" i="3"/>
  <c r="J834" i="3"/>
  <c r="E834" i="3"/>
  <c r="D834" i="3"/>
  <c r="H834" i="3"/>
  <c r="I834" i="3"/>
  <c r="S807" i="3"/>
  <c r="P807" i="3"/>
  <c r="O807" i="3"/>
  <c r="N807" i="3"/>
  <c r="M807" i="3"/>
  <c r="L807" i="3"/>
  <c r="K807" i="3"/>
  <c r="E807" i="3"/>
  <c r="J807" i="3"/>
  <c r="D807" i="3"/>
  <c r="H807" i="3"/>
  <c r="I807" i="3"/>
  <c r="S780" i="3"/>
  <c r="P780" i="3"/>
  <c r="O780" i="3"/>
  <c r="N780" i="3"/>
  <c r="M780" i="3"/>
  <c r="L780" i="3"/>
  <c r="K780" i="3"/>
  <c r="J780" i="3"/>
  <c r="E780" i="3"/>
  <c r="J599" i="7" s="1"/>
  <c r="D780" i="3"/>
  <c r="H780" i="3"/>
  <c r="I780" i="3"/>
  <c r="S759" i="3"/>
  <c r="P759" i="3"/>
  <c r="O759" i="3"/>
  <c r="M759" i="3"/>
  <c r="N759" i="3"/>
  <c r="L759" i="3"/>
  <c r="J759" i="3"/>
  <c r="K759" i="3"/>
  <c r="D759" i="3"/>
  <c r="E759" i="3"/>
  <c r="H759" i="3"/>
  <c r="I759" i="3"/>
  <c r="S739" i="3"/>
  <c r="P739" i="3"/>
  <c r="O739" i="3"/>
  <c r="N739" i="3"/>
  <c r="M739" i="3"/>
  <c r="L739" i="3"/>
  <c r="K739" i="3"/>
  <c r="J739" i="3"/>
  <c r="E739" i="3"/>
  <c r="D739" i="3"/>
  <c r="H739" i="3"/>
  <c r="I739" i="3"/>
  <c r="S710" i="3"/>
  <c r="P710" i="3"/>
  <c r="O710" i="3"/>
  <c r="N710" i="3"/>
  <c r="M710" i="3"/>
  <c r="L710" i="3"/>
  <c r="K710" i="3"/>
  <c r="E710" i="3"/>
  <c r="J710" i="3"/>
  <c r="D710" i="3"/>
  <c r="H710" i="3"/>
  <c r="I710" i="3"/>
  <c r="S669" i="3"/>
  <c r="P669" i="3"/>
  <c r="O669" i="3"/>
  <c r="N669" i="3"/>
  <c r="M669" i="3"/>
  <c r="L669" i="3"/>
  <c r="K669" i="3"/>
  <c r="J669" i="3"/>
  <c r="E669" i="3"/>
  <c r="D669" i="3"/>
  <c r="H669" i="3"/>
  <c r="I669" i="3"/>
  <c r="S659" i="3"/>
  <c r="P659" i="3"/>
  <c r="O659" i="3"/>
  <c r="N659" i="3"/>
  <c r="M659" i="3"/>
  <c r="L659" i="3"/>
  <c r="K659" i="3"/>
  <c r="J659" i="3"/>
  <c r="E659" i="3"/>
  <c r="D659" i="3"/>
  <c r="I659" i="3"/>
  <c r="H659" i="3"/>
  <c r="S236" i="3"/>
  <c r="P236" i="3"/>
  <c r="O236" i="3"/>
  <c r="M236" i="3"/>
  <c r="N236" i="3"/>
  <c r="L236" i="3"/>
  <c r="K236" i="3"/>
  <c r="J236" i="3"/>
  <c r="I236" i="3"/>
  <c r="S627" i="3"/>
  <c r="P627" i="3"/>
  <c r="O627" i="3"/>
  <c r="N627" i="3"/>
  <c r="M627" i="3"/>
  <c r="L627" i="3"/>
  <c r="J627" i="3"/>
  <c r="K627" i="3"/>
  <c r="I627" i="3"/>
  <c r="S287" i="3"/>
  <c r="P287" i="3"/>
  <c r="O287" i="3"/>
  <c r="N287" i="3"/>
  <c r="M287" i="3"/>
  <c r="L287" i="3"/>
  <c r="K287" i="3"/>
  <c r="J287" i="3"/>
  <c r="J458" i="7"/>
  <c r="I287" i="3"/>
  <c r="S139" i="3"/>
  <c r="P139" i="3"/>
  <c r="O139" i="3"/>
  <c r="N139" i="3"/>
  <c r="M139" i="3"/>
  <c r="K139" i="3"/>
  <c r="L139" i="3"/>
  <c r="J139" i="3"/>
  <c r="I139" i="3"/>
  <c r="S764" i="3"/>
  <c r="P764" i="3"/>
  <c r="O764" i="3"/>
  <c r="N764" i="3"/>
  <c r="M764" i="3"/>
  <c r="L764" i="3"/>
  <c r="K764" i="3"/>
  <c r="E764" i="3"/>
  <c r="J528" i="7" s="1"/>
  <c r="J764" i="3"/>
  <c r="D764" i="3"/>
  <c r="I528" i="7" s="1"/>
  <c r="H764" i="3"/>
  <c r="I764" i="3"/>
  <c r="S307" i="3"/>
  <c r="P307" i="3"/>
  <c r="O307" i="3"/>
  <c r="N307" i="3"/>
  <c r="M307" i="3"/>
  <c r="L307" i="3"/>
  <c r="K307" i="3"/>
  <c r="J307" i="3"/>
  <c r="J391" i="7"/>
  <c r="I307" i="3"/>
  <c r="S204" i="3"/>
  <c r="P204" i="3"/>
  <c r="O204" i="3"/>
  <c r="N204" i="3"/>
  <c r="M204" i="3"/>
  <c r="L204" i="3"/>
  <c r="K204" i="3"/>
  <c r="J483" i="7"/>
  <c r="J204" i="3"/>
  <c r="I204" i="3"/>
  <c r="S24" i="3"/>
  <c r="P24" i="3"/>
  <c r="O24" i="3"/>
  <c r="N24" i="3"/>
  <c r="M24" i="3"/>
  <c r="L24" i="3"/>
  <c r="K24" i="3"/>
  <c r="J24" i="3"/>
  <c r="I24" i="3"/>
  <c r="S1492" i="3"/>
  <c r="P1492" i="3"/>
  <c r="O1492" i="3"/>
  <c r="N1492" i="3"/>
  <c r="M1492" i="3"/>
  <c r="L1492" i="3"/>
  <c r="K1492" i="3"/>
  <c r="J1492" i="3"/>
  <c r="E1492" i="3"/>
  <c r="D1492" i="3"/>
  <c r="H1492" i="3"/>
  <c r="I1492" i="3"/>
  <c r="S564" i="3"/>
  <c r="P564" i="3"/>
  <c r="O564" i="3"/>
  <c r="N564" i="3"/>
  <c r="M564" i="3"/>
  <c r="L564" i="3"/>
  <c r="K564" i="3"/>
  <c r="J564" i="3"/>
  <c r="I564" i="3"/>
  <c r="J554" i="7"/>
  <c r="S1110" i="3"/>
  <c r="P1110" i="3"/>
  <c r="O1110" i="3"/>
  <c r="N1110" i="3"/>
  <c r="M1110" i="3"/>
  <c r="L1110" i="3"/>
  <c r="K1110" i="3"/>
  <c r="E1110" i="3"/>
  <c r="D1110" i="3"/>
  <c r="J1110" i="3"/>
  <c r="H1110" i="3"/>
  <c r="I1110" i="3"/>
  <c r="S39" i="3"/>
  <c r="P39" i="3"/>
  <c r="O39" i="3"/>
  <c r="M39" i="3"/>
  <c r="N39" i="3"/>
  <c r="L39" i="3"/>
  <c r="J39" i="3"/>
  <c r="K39" i="3"/>
  <c r="I39" i="3"/>
  <c r="S17" i="3"/>
  <c r="P17" i="3"/>
  <c r="O17" i="3"/>
  <c r="M17" i="3"/>
  <c r="L17" i="3"/>
  <c r="N17" i="3"/>
  <c r="K17" i="3"/>
  <c r="J17" i="3"/>
  <c r="J555" i="7"/>
  <c r="I555" i="7"/>
  <c r="I17" i="3"/>
  <c r="S1448" i="3"/>
  <c r="P1448" i="3"/>
  <c r="O1448" i="3"/>
  <c r="N1448" i="3"/>
  <c r="M1448" i="3"/>
  <c r="L1448" i="3"/>
  <c r="K1448" i="3"/>
  <c r="J1448" i="3"/>
  <c r="E1448" i="3"/>
  <c r="D1448" i="3"/>
  <c r="H1448" i="3"/>
  <c r="I1448" i="3"/>
  <c r="S1028" i="3"/>
  <c r="P1028" i="3"/>
  <c r="O1028" i="3"/>
  <c r="N1028" i="3"/>
  <c r="M1028" i="3"/>
  <c r="L1028" i="3"/>
  <c r="J1028" i="3"/>
  <c r="K1028" i="3"/>
  <c r="E1028" i="3"/>
  <c r="J411" i="7" s="1"/>
  <c r="D1028" i="3"/>
  <c r="H1028" i="3"/>
  <c r="I1028" i="3"/>
  <c r="S269" i="3"/>
  <c r="P269" i="3"/>
  <c r="O269" i="3"/>
  <c r="N269" i="3"/>
  <c r="M269" i="3"/>
  <c r="L269" i="3"/>
  <c r="K269" i="3"/>
  <c r="J269" i="3"/>
  <c r="I269" i="3"/>
  <c r="S386" i="3"/>
  <c r="P386" i="3"/>
  <c r="O386" i="3"/>
  <c r="N386" i="3"/>
  <c r="M386" i="3"/>
  <c r="L386" i="3"/>
  <c r="K386" i="3"/>
  <c r="J386" i="3"/>
  <c r="I386" i="3"/>
  <c r="S174" i="3"/>
  <c r="P174" i="3"/>
  <c r="O174" i="3"/>
  <c r="N174" i="3"/>
  <c r="L174" i="3"/>
  <c r="M174" i="3"/>
  <c r="K174" i="3"/>
  <c r="J174" i="3"/>
  <c r="J496" i="7"/>
  <c r="I174" i="3"/>
  <c r="S88" i="3"/>
  <c r="P88" i="3"/>
  <c r="O88" i="3"/>
  <c r="N88" i="3"/>
  <c r="M88" i="3"/>
  <c r="L88" i="3"/>
  <c r="K88" i="3"/>
  <c r="J88" i="3"/>
  <c r="J232" i="7"/>
  <c r="I88" i="3"/>
  <c r="S1368" i="3"/>
  <c r="P1368" i="3"/>
  <c r="O1368" i="3"/>
  <c r="N1368" i="3"/>
  <c r="M1368" i="3"/>
  <c r="L1368" i="3"/>
  <c r="J1368" i="3"/>
  <c r="K1368" i="3"/>
  <c r="E1368" i="3"/>
  <c r="D1368" i="3"/>
  <c r="H1368" i="3"/>
  <c r="I1368" i="3"/>
  <c r="S498" i="3"/>
  <c r="P498" i="3"/>
  <c r="O498" i="3"/>
  <c r="N498" i="3"/>
  <c r="M498" i="3"/>
  <c r="L498" i="3"/>
  <c r="K498" i="3"/>
  <c r="J498" i="3"/>
  <c r="E498" i="3"/>
  <c r="D498" i="3"/>
  <c r="H498" i="3"/>
  <c r="I498" i="3"/>
  <c r="S958" i="3"/>
  <c r="P958" i="3"/>
  <c r="O958" i="3"/>
  <c r="N958" i="3"/>
  <c r="M958" i="3"/>
  <c r="L958" i="3"/>
  <c r="J958" i="3"/>
  <c r="K958" i="3"/>
  <c r="D958" i="3"/>
  <c r="H958" i="3"/>
  <c r="E958" i="3"/>
  <c r="I958" i="3"/>
  <c r="S558" i="3"/>
  <c r="P558" i="3"/>
  <c r="O558" i="3"/>
  <c r="N558" i="3"/>
  <c r="M558" i="3"/>
  <c r="L558" i="3"/>
  <c r="K558" i="3"/>
  <c r="J558" i="3"/>
  <c r="I558" i="3"/>
  <c r="S378" i="3"/>
  <c r="P378" i="3"/>
  <c r="O378" i="3"/>
  <c r="N378" i="3"/>
  <c r="M378" i="3"/>
  <c r="L378" i="3"/>
  <c r="K378" i="3"/>
  <c r="J378" i="3"/>
  <c r="I378" i="3"/>
  <c r="S422" i="3"/>
  <c r="P422" i="3"/>
  <c r="O422" i="3"/>
  <c r="N422" i="3"/>
  <c r="M422" i="3"/>
  <c r="L422" i="3"/>
  <c r="K422" i="3"/>
  <c r="J422" i="3"/>
  <c r="J601" i="7"/>
  <c r="I601" i="7"/>
  <c r="I422" i="3"/>
  <c r="S1423" i="3"/>
  <c r="P1423" i="3"/>
  <c r="O1423" i="3"/>
  <c r="N1423" i="3"/>
  <c r="M1423" i="3"/>
  <c r="L1423" i="3"/>
  <c r="K1423" i="3"/>
  <c r="J1423" i="3"/>
  <c r="E1423" i="3"/>
  <c r="J479" i="7" s="1"/>
  <c r="D1423" i="3"/>
  <c r="H1423" i="3"/>
  <c r="I1423" i="3"/>
  <c r="S551" i="3"/>
  <c r="P551" i="3"/>
  <c r="O551" i="3"/>
  <c r="N551" i="3"/>
  <c r="M551" i="3"/>
  <c r="L551" i="3"/>
  <c r="K551" i="3"/>
  <c r="J551" i="3"/>
  <c r="E551" i="3"/>
  <c r="J487" i="7" s="1"/>
  <c r="D551" i="3"/>
  <c r="I487" i="7" s="1"/>
  <c r="H551" i="3"/>
  <c r="I551" i="3"/>
  <c r="S808" i="3"/>
  <c r="P808" i="3"/>
  <c r="N808" i="3"/>
  <c r="O808" i="3"/>
  <c r="M808" i="3"/>
  <c r="L808" i="3"/>
  <c r="K808" i="3"/>
  <c r="J808" i="3"/>
  <c r="I808" i="3"/>
  <c r="S329" i="3"/>
  <c r="P329" i="3"/>
  <c r="O329" i="3"/>
  <c r="N329" i="3"/>
  <c r="M329" i="3"/>
  <c r="L329" i="3"/>
  <c r="K329" i="3"/>
  <c r="J329" i="3"/>
  <c r="I329" i="3"/>
  <c r="S15" i="3"/>
  <c r="P15" i="3"/>
  <c r="O15" i="3"/>
  <c r="N15" i="3"/>
  <c r="M15" i="3"/>
  <c r="L15" i="3"/>
  <c r="K15" i="3"/>
  <c r="J15" i="3"/>
  <c r="I15" i="3"/>
  <c r="S1531" i="3"/>
  <c r="P1531" i="3"/>
  <c r="O1531" i="3"/>
  <c r="N1531" i="3"/>
  <c r="M1531" i="3"/>
  <c r="K1531" i="3"/>
  <c r="L1531" i="3"/>
  <c r="J1531" i="3"/>
  <c r="E1531" i="3"/>
  <c r="D1531" i="3"/>
  <c r="H1531" i="3"/>
  <c r="I1531" i="3"/>
  <c r="S1510" i="3"/>
  <c r="P1510" i="3"/>
  <c r="O1510" i="3"/>
  <c r="N1510" i="3"/>
  <c r="M1510" i="3"/>
  <c r="L1510" i="3"/>
  <c r="K1510" i="3"/>
  <c r="J1510" i="3"/>
  <c r="E1510" i="3"/>
  <c r="D1510" i="3"/>
  <c r="H1510" i="3"/>
  <c r="I1510" i="3"/>
  <c r="S344" i="3"/>
  <c r="P344" i="3"/>
  <c r="O344" i="3"/>
  <c r="N344" i="3"/>
  <c r="M344" i="3"/>
  <c r="K344" i="3"/>
  <c r="L344" i="3"/>
  <c r="J344" i="3"/>
  <c r="E344" i="3"/>
  <c r="J511" i="7" s="1"/>
  <c r="D344" i="3"/>
  <c r="H344" i="3"/>
  <c r="I344" i="3"/>
  <c r="S1420" i="3"/>
  <c r="P1420" i="3"/>
  <c r="O1420" i="3"/>
  <c r="N1420" i="3"/>
  <c r="M1420" i="3"/>
  <c r="L1420" i="3"/>
  <c r="K1420" i="3"/>
  <c r="J1420" i="3"/>
  <c r="E1420" i="3"/>
  <c r="J546" i="7" s="1"/>
  <c r="D1420" i="3"/>
  <c r="H1420" i="3"/>
  <c r="I1420" i="3"/>
  <c r="S1338" i="3"/>
  <c r="P1338" i="3"/>
  <c r="N1338" i="3"/>
  <c r="O1338" i="3"/>
  <c r="M1338" i="3"/>
  <c r="L1338" i="3"/>
  <c r="K1338" i="3"/>
  <c r="J1338" i="3"/>
  <c r="E1338" i="3"/>
  <c r="J446" i="7" s="1"/>
  <c r="D1338" i="3"/>
  <c r="I446" i="7" s="1"/>
  <c r="H1338" i="3"/>
  <c r="I1338" i="3"/>
  <c r="S1311" i="3"/>
  <c r="P1311" i="3"/>
  <c r="O1311" i="3"/>
  <c r="N1311" i="3"/>
  <c r="M1311" i="3"/>
  <c r="L1311" i="3"/>
  <c r="K1311" i="3"/>
  <c r="J1311" i="3"/>
  <c r="E1311" i="3"/>
  <c r="D1311" i="3"/>
  <c r="H1311" i="3"/>
  <c r="I1311" i="3"/>
  <c r="S1206" i="3"/>
  <c r="P1206" i="3"/>
  <c r="O1206" i="3"/>
  <c r="N1206" i="3"/>
  <c r="M1206" i="3"/>
  <c r="L1206" i="3"/>
  <c r="K1206" i="3"/>
  <c r="J1206" i="3"/>
  <c r="E1206" i="3"/>
  <c r="D1206" i="3"/>
  <c r="I1206" i="3"/>
  <c r="H1206" i="3"/>
  <c r="S1036" i="3"/>
  <c r="P1036" i="3"/>
  <c r="O1036" i="3"/>
  <c r="N1036" i="3"/>
  <c r="L1036" i="3"/>
  <c r="M1036" i="3"/>
  <c r="K1036" i="3"/>
  <c r="J1036" i="3"/>
  <c r="E1036" i="3"/>
  <c r="J313" i="7" s="1"/>
  <c r="D1036" i="3"/>
  <c r="H1036" i="3"/>
  <c r="I1036" i="3"/>
  <c r="S432" i="3"/>
  <c r="P432" i="3"/>
  <c r="N432" i="3"/>
  <c r="O432" i="3"/>
  <c r="L432" i="3"/>
  <c r="K432" i="3"/>
  <c r="M432" i="3"/>
  <c r="J432" i="3"/>
  <c r="J273" i="7"/>
  <c r="I273" i="7"/>
  <c r="I432" i="3"/>
  <c r="S481" i="3"/>
  <c r="P481" i="3"/>
  <c r="O481" i="3"/>
  <c r="N481" i="3"/>
  <c r="M481" i="3"/>
  <c r="L481" i="3"/>
  <c r="K481" i="3"/>
  <c r="J481" i="3"/>
  <c r="I481" i="3"/>
  <c r="S59" i="3"/>
  <c r="P59" i="3"/>
  <c r="N59" i="3"/>
  <c r="M59" i="3"/>
  <c r="O59" i="3"/>
  <c r="L59" i="3"/>
  <c r="K59" i="3"/>
  <c r="J59" i="3"/>
  <c r="I59" i="3"/>
  <c r="S537" i="3"/>
  <c r="P537" i="3"/>
  <c r="O537" i="3"/>
  <c r="N537" i="3"/>
  <c r="M537" i="3"/>
  <c r="L537" i="3"/>
  <c r="K537" i="3"/>
  <c r="J537" i="3"/>
  <c r="E537" i="3"/>
  <c r="J238" i="7" s="1"/>
  <c r="D537" i="3"/>
  <c r="I238" i="7" s="1"/>
  <c r="H537" i="3"/>
  <c r="I537" i="3"/>
  <c r="S815" i="3"/>
  <c r="P815" i="3"/>
  <c r="O815" i="3"/>
  <c r="N815" i="3"/>
  <c r="M815" i="3"/>
  <c r="L815" i="3"/>
  <c r="K815" i="3"/>
  <c r="J815" i="3"/>
  <c r="I815" i="3"/>
  <c r="S324" i="3"/>
  <c r="P324" i="3"/>
  <c r="O324" i="3"/>
  <c r="N324" i="3"/>
  <c r="M324" i="3"/>
  <c r="K324" i="3"/>
  <c r="L324" i="3"/>
  <c r="J324" i="3"/>
  <c r="J359" i="7"/>
  <c r="I324" i="3"/>
  <c r="S1467" i="3"/>
  <c r="P1467" i="3"/>
  <c r="O1467" i="3"/>
  <c r="N1467" i="3"/>
  <c r="M1467" i="3"/>
  <c r="K1467" i="3"/>
  <c r="L1467" i="3"/>
  <c r="J1467" i="3"/>
  <c r="E1467" i="3"/>
  <c r="D1467" i="3"/>
  <c r="H1467" i="3"/>
  <c r="I1467" i="3"/>
  <c r="S608" i="3"/>
  <c r="P608" i="3"/>
  <c r="O608" i="3"/>
  <c r="N608" i="3"/>
  <c r="M608" i="3"/>
  <c r="L608" i="3"/>
  <c r="K608" i="3"/>
  <c r="J608" i="3"/>
  <c r="D608" i="3"/>
  <c r="I299" i="7" s="1"/>
  <c r="E608" i="3"/>
  <c r="J299" i="7" s="1"/>
  <c r="I608" i="3"/>
  <c r="H608" i="3"/>
  <c r="S391" i="3"/>
  <c r="P391" i="3"/>
  <c r="O391" i="3"/>
  <c r="N391" i="3"/>
  <c r="L391" i="3"/>
  <c r="M391" i="3"/>
  <c r="K391" i="3"/>
  <c r="J391" i="3"/>
  <c r="I207" i="7"/>
  <c r="J207" i="7"/>
  <c r="I391" i="3"/>
  <c r="S1530" i="3"/>
  <c r="P1530" i="3"/>
  <c r="O1530" i="3"/>
  <c r="N1530" i="3"/>
  <c r="M1530" i="3"/>
  <c r="L1530" i="3"/>
  <c r="K1530" i="3"/>
  <c r="J1530" i="3"/>
  <c r="E1530" i="3"/>
  <c r="J155" i="7" s="1"/>
  <c r="H1530" i="3"/>
  <c r="D1530" i="3"/>
  <c r="I155" i="7" s="1"/>
  <c r="I1530" i="3"/>
  <c r="S1473" i="3"/>
  <c r="P1473" i="3"/>
  <c r="O1473" i="3"/>
  <c r="N1473" i="3"/>
  <c r="M1473" i="3"/>
  <c r="L1473" i="3"/>
  <c r="K1473" i="3"/>
  <c r="J1473" i="3"/>
  <c r="E1473" i="3"/>
  <c r="J106" i="7" s="1"/>
  <c r="D1473" i="3"/>
  <c r="I106" i="7" s="1"/>
  <c r="H1473" i="3"/>
  <c r="I1473" i="3"/>
  <c r="S1433" i="3"/>
  <c r="P1433" i="3"/>
  <c r="O1433" i="3"/>
  <c r="N1433" i="3"/>
  <c r="M1433" i="3"/>
  <c r="L1433" i="3"/>
  <c r="K1433" i="3"/>
  <c r="J1433" i="3"/>
  <c r="D1433" i="3"/>
  <c r="I265" i="7" s="1"/>
  <c r="E1433" i="3"/>
  <c r="J265" i="7" s="1"/>
  <c r="I1433" i="3"/>
  <c r="H1433" i="3"/>
  <c r="S1223" i="3"/>
  <c r="P1223" i="3"/>
  <c r="O1223" i="3"/>
  <c r="N1223" i="3"/>
  <c r="M1223" i="3"/>
  <c r="L1223" i="3"/>
  <c r="K1223" i="3"/>
  <c r="J1223" i="3"/>
  <c r="D1223" i="3"/>
  <c r="I51" i="7" s="1"/>
  <c r="E1223" i="3"/>
  <c r="J51" i="7" s="1"/>
  <c r="H1223" i="3"/>
  <c r="I1223" i="3"/>
  <c r="S1331" i="3"/>
  <c r="P1331" i="3"/>
  <c r="O1331" i="3"/>
  <c r="N1331" i="3"/>
  <c r="M1331" i="3"/>
  <c r="L1331" i="3"/>
  <c r="K1331" i="3"/>
  <c r="J1331" i="3"/>
  <c r="D1331" i="3"/>
  <c r="I92" i="7" s="1"/>
  <c r="E1331" i="3"/>
  <c r="J92" i="7" s="1"/>
  <c r="I1331" i="3"/>
  <c r="H1331" i="3"/>
  <c r="S1222" i="3"/>
  <c r="P1222" i="3"/>
  <c r="O1222" i="3"/>
  <c r="N1222" i="3"/>
  <c r="M1222" i="3"/>
  <c r="L1222" i="3"/>
  <c r="K1222" i="3"/>
  <c r="J1222" i="3"/>
  <c r="E1222" i="3"/>
  <c r="J76" i="7" s="1"/>
  <c r="D1222" i="3"/>
  <c r="I76" i="7" s="1"/>
  <c r="I1222" i="3"/>
  <c r="H1222" i="3"/>
  <c r="S823" i="3"/>
  <c r="P823" i="3"/>
  <c r="N823" i="3"/>
  <c r="O823" i="3"/>
  <c r="M823" i="3"/>
  <c r="K823" i="3"/>
  <c r="J823" i="3"/>
  <c r="L823" i="3"/>
  <c r="I182" i="7"/>
  <c r="J182" i="7"/>
  <c r="I823" i="3"/>
  <c r="S364" i="3"/>
  <c r="P364" i="3"/>
  <c r="O364" i="3"/>
  <c r="N364" i="3"/>
  <c r="M364" i="3"/>
  <c r="L364" i="3"/>
  <c r="K364" i="3"/>
  <c r="J364" i="3"/>
  <c r="I86" i="7"/>
  <c r="J86" i="7"/>
  <c r="I364" i="3"/>
  <c r="S262" i="3"/>
  <c r="P262" i="3"/>
  <c r="O262" i="3"/>
  <c r="N262" i="3"/>
  <c r="M262" i="3"/>
  <c r="K262" i="3"/>
  <c r="L262" i="3"/>
  <c r="J262" i="3"/>
  <c r="J100" i="7"/>
  <c r="I100" i="7"/>
  <c r="I262" i="3"/>
  <c r="S1200" i="3"/>
  <c r="P1200" i="3"/>
  <c r="O1200" i="3"/>
  <c r="N1200" i="3"/>
  <c r="M1200" i="3"/>
  <c r="L1200" i="3"/>
  <c r="K1200" i="3"/>
  <c r="E1200" i="3"/>
  <c r="J41" i="7" s="1"/>
  <c r="J1200" i="3"/>
  <c r="D1200" i="3"/>
  <c r="I41" i="7" s="1"/>
  <c r="H1200" i="3"/>
  <c r="I1200" i="3"/>
  <c r="S1193" i="3"/>
  <c r="P1193" i="3"/>
  <c r="O1193" i="3"/>
  <c r="N1193" i="3"/>
  <c r="M1193" i="3"/>
  <c r="L1193" i="3"/>
  <c r="K1193" i="3"/>
  <c r="J1193" i="3"/>
  <c r="E1193" i="3"/>
  <c r="J47" i="7" s="1"/>
  <c r="D1193" i="3"/>
  <c r="I47" i="7" s="1"/>
  <c r="I1193" i="3"/>
  <c r="H1193" i="3"/>
  <c r="S32" i="3"/>
  <c r="P32" i="3"/>
  <c r="O32" i="3"/>
  <c r="N32" i="3"/>
  <c r="M32" i="3"/>
  <c r="L32" i="3"/>
  <c r="K32" i="3"/>
  <c r="J32" i="3"/>
  <c r="J84" i="7"/>
  <c r="I84" i="7"/>
  <c r="I32" i="3"/>
  <c r="S467" i="3"/>
  <c r="P467" i="3"/>
  <c r="N467" i="3"/>
  <c r="O467" i="3"/>
  <c r="M467" i="3"/>
  <c r="L467" i="3"/>
  <c r="K467" i="3"/>
  <c r="J467" i="3"/>
  <c r="J242" i="7"/>
  <c r="I467" i="3"/>
  <c r="S1513" i="3"/>
  <c r="P1513" i="3"/>
  <c r="O1513" i="3"/>
  <c r="N1513" i="3"/>
  <c r="L1513" i="3"/>
  <c r="M1513" i="3"/>
  <c r="K1513" i="3"/>
  <c r="J1513" i="3"/>
  <c r="E1513" i="3"/>
  <c r="D1513" i="3"/>
  <c r="H1513" i="3"/>
  <c r="I1513" i="3"/>
  <c r="S1065" i="3"/>
  <c r="P1065" i="3"/>
  <c r="O1065" i="3"/>
  <c r="N1065" i="3"/>
  <c r="M1065" i="3"/>
  <c r="L1065" i="3"/>
  <c r="K1065" i="3"/>
  <c r="J1065" i="3"/>
  <c r="E1065" i="3"/>
  <c r="D1065" i="3"/>
  <c r="H1065" i="3"/>
  <c r="I1065" i="3"/>
  <c r="S66" i="3"/>
  <c r="P66" i="3"/>
  <c r="O66" i="3"/>
  <c r="N66" i="3"/>
  <c r="M66" i="3"/>
  <c r="L66" i="3"/>
  <c r="K66" i="3"/>
  <c r="J66" i="3"/>
  <c r="I66" i="3"/>
  <c r="S692" i="3"/>
  <c r="P692" i="3"/>
  <c r="O692" i="3"/>
  <c r="M692" i="3"/>
  <c r="N692" i="3"/>
  <c r="L692" i="3"/>
  <c r="J692" i="3"/>
  <c r="K692" i="3"/>
  <c r="E692" i="3"/>
  <c r="D692" i="3"/>
  <c r="H692" i="3"/>
  <c r="I692" i="3"/>
  <c r="S438" i="3"/>
  <c r="P438" i="3"/>
  <c r="O438" i="3"/>
  <c r="N438" i="3"/>
  <c r="M438" i="3"/>
  <c r="L438" i="3"/>
  <c r="K438" i="3"/>
  <c r="J438" i="3"/>
  <c r="E438" i="3"/>
  <c r="D438" i="3"/>
  <c r="H438" i="3"/>
  <c r="I438" i="3"/>
  <c r="S246" i="3"/>
  <c r="P246" i="3"/>
  <c r="O246" i="3"/>
  <c r="N246" i="3"/>
  <c r="M246" i="3"/>
  <c r="L246" i="3"/>
  <c r="K246" i="3"/>
  <c r="J246" i="3"/>
  <c r="J221" i="7"/>
  <c r="I246" i="3"/>
  <c r="S1061" i="3"/>
  <c r="P1061" i="3"/>
  <c r="M1061" i="3"/>
  <c r="O1061" i="3"/>
  <c r="L1061" i="3"/>
  <c r="N1061" i="3"/>
  <c r="K1061" i="3"/>
  <c r="J1061" i="3"/>
  <c r="E1061" i="3"/>
  <c r="J453" i="7" s="1"/>
  <c r="D1061" i="3"/>
  <c r="H1061" i="3"/>
  <c r="I1061" i="3"/>
  <c r="S972" i="3"/>
  <c r="P972" i="3"/>
  <c r="O972" i="3"/>
  <c r="M972" i="3"/>
  <c r="N972" i="3"/>
  <c r="L972" i="3"/>
  <c r="K972" i="3"/>
  <c r="J972" i="3"/>
  <c r="E972" i="3"/>
  <c r="J74" i="7" s="1"/>
  <c r="D972" i="3"/>
  <c r="I74" i="7" s="1"/>
  <c r="H972" i="3"/>
  <c r="I972" i="3"/>
  <c r="S72" i="3"/>
  <c r="P72" i="3"/>
  <c r="N72" i="3"/>
  <c r="O72" i="3"/>
  <c r="M72" i="3"/>
  <c r="L72" i="3"/>
  <c r="K72" i="3"/>
  <c r="J72" i="3"/>
  <c r="I72" i="3"/>
  <c r="S1143" i="3"/>
  <c r="P1143" i="3"/>
  <c r="O1143" i="3"/>
  <c r="N1143" i="3"/>
  <c r="M1143" i="3"/>
  <c r="L1143" i="3"/>
  <c r="K1143" i="3"/>
  <c r="J1143" i="3"/>
  <c r="E1143" i="3"/>
  <c r="D1143" i="3"/>
  <c r="H1143" i="3"/>
  <c r="I1143" i="3"/>
  <c r="S1166" i="3"/>
  <c r="P1166" i="3"/>
  <c r="O1166" i="3"/>
  <c r="N1166" i="3"/>
  <c r="M1166" i="3"/>
  <c r="L1166" i="3"/>
  <c r="K1166" i="3"/>
  <c r="J1166" i="3"/>
  <c r="E1166" i="3"/>
  <c r="D1166" i="3"/>
  <c r="H1166" i="3"/>
  <c r="I1166" i="3"/>
  <c r="S1292" i="3"/>
  <c r="P1292" i="3"/>
  <c r="O1292" i="3"/>
  <c r="N1292" i="3"/>
  <c r="M1292" i="3"/>
  <c r="L1292" i="3"/>
  <c r="K1292" i="3"/>
  <c r="J1292" i="3"/>
  <c r="E1292" i="3"/>
  <c r="D1292" i="3"/>
  <c r="I1292" i="3"/>
  <c r="H1292" i="3"/>
  <c r="S1096" i="3"/>
  <c r="P1096" i="3"/>
  <c r="O1096" i="3"/>
  <c r="N1096" i="3"/>
  <c r="M1096" i="3"/>
  <c r="L1096" i="3"/>
  <c r="K1096" i="3"/>
  <c r="E1096" i="3"/>
  <c r="J1096" i="3"/>
  <c r="D1096" i="3"/>
  <c r="H1096" i="3"/>
  <c r="I1096" i="3"/>
  <c r="S97" i="3"/>
  <c r="P97" i="3"/>
  <c r="O97" i="3"/>
  <c r="N97" i="3"/>
  <c r="M97" i="3"/>
  <c r="L97" i="3"/>
  <c r="K97" i="3"/>
  <c r="J97" i="3"/>
  <c r="J375" i="7"/>
  <c r="I375" i="7"/>
  <c r="I97" i="3"/>
  <c r="P1233" i="3"/>
  <c r="O1233" i="3"/>
  <c r="N1233" i="3"/>
  <c r="M1233" i="3"/>
  <c r="L1233" i="3"/>
  <c r="K1233" i="3"/>
  <c r="J1233" i="3"/>
  <c r="E1233" i="3"/>
  <c r="J171" i="7" s="1"/>
  <c r="D1233" i="3"/>
  <c r="I171" i="7" s="1"/>
  <c r="H1233" i="3"/>
  <c r="I1233" i="3"/>
  <c r="S750" i="3"/>
  <c r="P750" i="3"/>
  <c r="O750" i="3"/>
  <c r="N750" i="3"/>
  <c r="M750" i="3"/>
  <c r="L750" i="3"/>
  <c r="K750" i="3"/>
  <c r="J750" i="3"/>
  <c r="E750" i="3"/>
  <c r="J441" i="7" s="1"/>
  <c r="D750" i="3"/>
  <c r="H750" i="3"/>
  <c r="I750" i="3"/>
  <c r="S545" i="3"/>
  <c r="P545" i="3"/>
  <c r="O545" i="3"/>
  <c r="N545" i="3"/>
  <c r="M545" i="3"/>
  <c r="L545" i="3"/>
  <c r="J545" i="3"/>
  <c r="K545" i="3"/>
  <c r="D545" i="3"/>
  <c r="I567" i="7" s="1"/>
  <c r="E545" i="3"/>
  <c r="J567" i="7" s="1"/>
  <c r="H545" i="3"/>
  <c r="I545" i="3"/>
  <c r="S1348" i="3"/>
  <c r="P1348" i="3"/>
  <c r="O1348" i="3"/>
  <c r="N1348" i="3"/>
  <c r="M1348" i="3"/>
  <c r="L1348" i="3"/>
  <c r="K1348" i="3"/>
  <c r="J1348" i="3"/>
  <c r="D1348" i="3"/>
  <c r="I218" i="7" s="1"/>
  <c r="E1348" i="3"/>
  <c r="J218" i="7" s="1"/>
  <c r="I1348" i="3"/>
  <c r="H1348" i="3"/>
  <c r="S777" i="3"/>
  <c r="P777" i="3"/>
  <c r="O777" i="3"/>
  <c r="N777" i="3"/>
  <c r="M777" i="3"/>
  <c r="K777" i="3"/>
  <c r="L777" i="3"/>
  <c r="E777" i="3"/>
  <c r="J777" i="3"/>
  <c r="D777" i="3"/>
  <c r="H777" i="3"/>
  <c r="I777" i="3"/>
  <c r="S261" i="3"/>
  <c r="P261" i="3"/>
  <c r="O261" i="3"/>
  <c r="M261" i="3"/>
  <c r="N261" i="3"/>
  <c r="L261" i="3"/>
  <c r="J261" i="3"/>
  <c r="K261" i="3"/>
  <c r="I261" i="3"/>
  <c r="S1277" i="3"/>
  <c r="P1277" i="3"/>
  <c r="O1277" i="3"/>
  <c r="N1277" i="3"/>
  <c r="M1277" i="3"/>
  <c r="L1277" i="3"/>
  <c r="K1277" i="3"/>
  <c r="J1277" i="3"/>
  <c r="D1277" i="3"/>
  <c r="I376" i="7" s="1"/>
  <c r="E1277" i="3"/>
  <c r="J376" i="7" s="1"/>
  <c r="I1277" i="3"/>
  <c r="H1277" i="3"/>
  <c r="S647" i="3"/>
  <c r="P647" i="3"/>
  <c r="O647" i="3"/>
  <c r="N647" i="3"/>
  <c r="M647" i="3"/>
  <c r="L647" i="3"/>
  <c r="J647" i="3"/>
  <c r="K647" i="3"/>
  <c r="I647" i="3"/>
  <c r="S571" i="3"/>
  <c r="P571" i="3"/>
  <c r="O571" i="3"/>
  <c r="N571" i="3"/>
  <c r="M571" i="3"/>
  <c r="L571" i="3"/>
  <c r="K571" i="3"/>
  <c r="J571" i="3"/>
  <c r="I234" i="7"/>
  <c r="J234" i="7"/>
  <c r="I571" i="3"/>
  <c r="S1023" i="3"/>
  <c r="P1023" i="3"/>
  <c r="O1023" i="3"/>
  <c r="N1023" i="3"/>
  <c r="M1023" i="3"/>
  <c r="L1023" i="3"/>
  <c r="K1023" i="3"/>
  <c r="E1023" i="3"/>
  <c r="J269" i="7" s="1"/>
  <c r="J1023" i="3"/>
  <c r="D1023" i="3"/>
  <c r="I269" i="7" s="1"/>
  <c r="H1023" i="3"/>
  <c r="I1023" i="3"/>
  <c r="S836" i="3"/>
  <c r="P836" i="3"/>
  <c r="O836" i="3"/>
  <c r="N836" i="3"/>
  <c r="M836" i="3"/>
  <c r="L836" i="3"/>
  <c r="K836" i="3"/>
  <c r="J836" i="3"/>
  <c r="I836" i="3"/>
  <c r="S778" i="3"/>
  <c r="P778" i="3"/>
  <c r="M778" i="3"/>
  <c r="N778" i="3"/>
  <c r="L778" i="3"/>
  <c r="O778" i="3"/>
  <c r="J778" i="3"/>
  <c r="K778" i="3"/>
  <c r="I778" i="3"/>
  <c r="S1026" i="3"/>
  <c r="P1026" i="3"/>
  <c r="N1026" i="3"/>
  <c r="O1026" i="3"/>
  <c r="M1026" i="3"/>
  <c r="L1026" i="3"/>
  <c r="K1026" i="3"/>
  <c r="J1026" i="3"/>
  <c r="E1026" i="3"/>
  <c r="D1026" i="3"/>
  <c r="H1026" i="3"/>
  <c r="I1026" i="3"/>
  <c r="S237" i="3"/>
  <c r="P237" i="3"/>
  <c r="O237" i="3"/>
  <c r="N237" i="3"/>
  <c r="M237" i="3"/>
  <c r="L237" i="3"/>
  <c r="K237" i="3"/>
  <c r="J237" i="3"/>
  <c r="J18" i="7"/>
  <c r="I18" i="7"/>
  <c r="I237" i="3"/>
  <c r="S1104" i="3"/>
  <c r="O1104" i="3"/>
  <c r="P1104" i="3"/>
  <c r="N1104" i="3"/>
  <c r="M1104" i="3"/>
  <c r="L1104" i="3"/>
  <c r="K1104" i="3"/>
  <c r="E1104" i="3"/>
  <c r="J1104" i="3"/>
  <c r="D1104" i="3"/>
  <c r="H1104" i="3"/>
  <c r="I1104" i="3"/>
  <c r="S1031" i="3"/>
  <c r="P1031" i="3"/>
  <c r="O1031" i="3"/>
  <c r="N1031" i="3"/>
  <c r="M1031" i="3"/>
  <c r="L1031" i="3"/>
  <c r="K1031" i="3"/>
  <c r="J1031" i="3"/>
  <c r="E1031" i="3"/>
  <c r="D1031" i="3"/>
  <c r="H1031" i="3"/>
  <c r="I1031" i="3"/>
  <c r="S1122" i="3"/>
  <c r="P1122" i="3"/>
  <c r="O1122" i="3"/>
  <c r="N1122" i="3"/>
  <c r="M1122" i="3"/>
  <c r="L1122" i="3"/>
  <c r="K1122" i="3"/>
  <c r="J1122" i="3"/>
  <c r="E1122" i="3"/>
  <c r="D1122" i="3"/>
  <c r="H1122" i="3"/>
  <c r="I1122" i="3"/>
  <c r="S548" i="3"/>
  <c r="P548" i="3"/>
  <c r="O548" i="3"/>
  <c r="N548" i="3"/>
  <c r="M548" i="3"/>
  <c r="K548" i="3"/>
  <c r="L548" i="3"/>
  <c r="J548" i="3"/>
  <c r="E548" i="3"/>
  <c r="D548" i="3"/>
  <c r="H548" i="3"/>
  <c r="I548" i="3"/>
  <c r="S1231" i="3"/>
  <c r="P1231" i="3"/>
  <c r="O1231" i="3"/>
  <c r="N1231" i="3"/>
  <c r="M1231" i="3"/>
  <c r="L1231" i="3"/>
  <c r="K1231" i="3"/>
  <c r="J1231" i="3"/>
  <c r="E1231" i="3"/>
  <c r="J387" i="7" s="1"/>
  <c r="D1231" i="3"/>
  <c r="H1231" i="3"/>
  <c r="I1231" i="3"/>
  <c r="S1521" i="3"/>
  <c r="P1521" i="3"/>
  <c r="O1521" i="3"/>
  <c r="N1521" i="3"/>
  <c r="M1521" i="3"/>
  <c r="L1521" i="3"/>
  <c r="K1521" i="3"/>
  <c r="J1521" i="3"/>
  <c r="E1521" i="3"/>
  <c r="J355" i="7" s="1"/>
  <c r="D1521" i="3"/>
  <c r="H1521" i="3"/>
  <c r="I1521" i="3"/>
  <c r="S1481" i="3"/>
  <c r="P1481" i="3"/>
  <c r="O1481" i="3"/>
  <c r="N1481" i="3"/>
  <c r="M1481" i="3"/>
  <c r="L1481" i="3"/>
  <c r="K1481" i="3"/>
  <c r="J1481" i="3"/>
  <c r="E1481" i="3"/>
  <c r="J515" i="7" s="1"/>
  <c r="D1481" i="3"/>
  <c r="I515" i="7" s="1"/>
  <c r="H1481" i="3"/>
  <c r="I1481" i="3"/>
  <c r="S1097" i="3"/>
  <c r="P1097" i="3"/>
  <c r="O1097" i="3"/>
  <c r="M1097" i="3"/>
  <c r="N1097" i="3"/>
  <c r="L1097" i="3"/>
  <c r="J1097" i="3"/>
  <c r="K1097" i="3"/>
  <c r="D1097" i="3"/>
  <c r="E1097" i="3"/>
  <c r="H1097" i="3"/>
  <c r="I1097" i="3"/>
  <c r="S1035" i="3"/>
  <c r="P1035" i="3"/>
  <c r="O1035" i="3"/>
  <c r="M1035" i="3"/>
  <c r="N1035" i="3"/>
  <c r="L1035" i="3"/>
  <c r="K1035" i="3"/>
  <c r="J1035" i="3"/>
  <c r="D1035" i="3"/>
  <c r="H1035" i="3"/>
  <c r="E1035" i="3"/>
  <c r="I1035" i="3"/>
  <c r="S968" i="3"/>
  <c r="P968" i="3"/>
  <c r="M968" i="3"/>
  <c r="O968" i="3"/>
  <c r="N968" i="3"/>
  <c r="L968" i="3"/>
  <c r="K968" i="3"/>
  <c r="J968" i="3"/>
  <c r="E968" i="3"/>
  <c r="D968" i="3"/>
  <c r="H968" i="3"/>
  <c r="I968" i="3"/>
  <c r="S936" i="3"/>
  <c r="P936" i="3"/>
  <c r="O936" i="3"/>
  <c r="N936" i="3"/>
  <c r="M936" i="3"/>
  <c r="L936" i="3"/>
  <c r="K936" i="3"/>
  <c r="J936" i="3"/>
  <c r="E936" i="3"/>
  <c r="D936" i="3"/>
  <c r="H936" i="3"/>
  <c r="I936" i="3"/>
  <c r="S1029" i="3"/>
  <c r="P1029" i="3"/>
  <c r="O1029" i="3"/>
  <c r="M1029" i="3"/>
  <c r="L1029" i="3"/>
  <c r="N1029" i="3"/>
  <c r="J1029" i="3"/>
  <c r="K1029" i="3"/>
  <c r="E1029" i="3"/>
  <c r="D1029" i="3"/>
  <c r="H1029" i="3"/>
  <c r="I1029" i="3"/>
  <c r="S1007" i="3"/>
  <c r="P1007" i="3"/>
  <c r="O1007" i="3"/>
  <c r="N1007" i="3"/>
  <c r="M1007" i="3"/>
  <c r="L1007" i="3"/>
  <c r="K1007" i="3"/>
  <c r="J1007" i="3"/>
  <c r="E1007" i="3"/>
  <c r="D1007" i="3"/>
  <c r="H1007" i="3"/>
  <c r="I1007" i="3"/>
  <c r="S988" i="3"/>
  <c r="P988" i="3"/>
  <c r="O988" i="3"/>
  <c r="N988" i="3"/>
  <c r="M988" i="3"/>
  <c r="L988" i="3"/>
  <c r="K988" i="3"/>
  <c r="J988" i="3"/>
  <c r="E988" i="3"/>
  <c r="D988" i="3"/>
  <c r="H988" i="3"/>
  <c r="I988" i="3"/>
  <c r="S974" i="3"/>
  <c r="P974" i="3"/>
  <c r="O974" i="3"/>
  <c r="N974" i="3"/>
  <c r="L974" i="3"/>
  <c r="K974" i="3"/>
  <c r="J974" i="3"/>
  <c r="M974" i="3"/>
  <c r="E974" i="3"/>
  <c r="D974" i="3"/>
  <c r="H974" i="3"/>
  <c r="I974" i="3"/>
  <c r="S785" i="3"/>
  <c r="P785" i="3"/>
  <c r="O785" i="3"/>
  <c r="N785" i="3"/>
  <c r="M785" i="3"/>
  <c r="L785" i="3"/>
  <c r="K785" i="3"/>
  <c r="J785" i="3"/>
  <c r="E785" i="3"/>
  <c r="D785" i="3"/>
  <c r="H785" i="3"/>
  <c r="I785" i="3"/>
  <c r="S944" i="3"/>
  <c r="P944" i="3"/>
  <c r="O944" i="3"/>
  <c r="M944" i="3"/>
  <c r="N944" i="3"/>
  <c r="L944" i="3"/>
  <c r="K944" i="3"/>
  <c r="J944" i="3"/>
  <c r="E944" i="3"/>
  <c r="J410" i="7" s="1"/>
  <c r="D944" i="3"/>
  <c r="H944" i="3"/>
  <c r="I944" i="3"/>
  <c r="S929" i="3"/>
  <c r="P929" i="3"/>
  <c r="O929" i="3"/>
  <c r="M929" i="3"/>
  <c r="L929" i="3"/>
  <c r="N929" i="3"/>
  <c r="J929" i="3"/>
  <c r="K929" i="3"/>
  <c r="E929" i="3"/>
  <c r="D929" i="3"/>
  <c r="H929" i="3"/>
  <c r="I929" i="3"/>
  <c r="S912" i="3"/>
  <c r="P912" i="3"/>
  <c r="O912" i="3"/>
  <c r="N912" i="3"/>
  <c r="M912" i="3"/>
  <c r="L912" i="3"/>
  <c r="K912" i="3"/>
  <c r="J912" i="3"/>
  <c r="E912" i="3"/>
  <c r="D912" i="3"/>
  <c r="H912" i="3"/>
  <c r="I912" i="3"/>
  <c r="S901" i="3"/>
  <c r="P901" i="3"/>
  <c r="O901" i="3"/>
  <c r="N901" i="3"/>
  <c r="M901" i="3"/>
  <c r="L901" i="3"/>
  <c r="K901" i="3"/>
  <c r="E901" i="3"/>
  <c r="J901" i="3"/>
  <c r="D901" i="3"/>
  <c r="H901" i="3"/>
  <c r="I901" i="3"/>
  <c r="S892" i="3"/>
  <c r="P892" i="3"/>
  <c r="O892" i="3"/>
  <c r="N892" i="3"/>
  <c r="M892" i="3"/>
  <c r="L892" i="3"/>
  <c r="K892" i="3"/>
  <c r="J892" i="3"/>
  <c r="E892" i="3"/>
  <c r="D892" i="3"/>
  <c r="H892" i="3"/>
  <c r="I892" i="3"/>
  <c r="S878" i="3"/>
  <c r="P878" i="3"/>
  <c r="O878" i="3"/>
  <c r="N878" i="3"/>
  <c r="M878" i="3"/>
  <c r="L878" i="3"/>
  <c r="K878" i="3"/>
  <c r="E878" i="3"/>
  <c r="J878" i="3"/>
  <c r="D878" i="3"/>
  <c r="H878" i="3"/>
  <c r="I878" i="3"/>
  <c r="P863" i="3"/>
  <c r="S863" i="3"/>
  <c r="O863" i="3"/>
  <c r="N863" i="3"/>
  <c r="L863" i="3"/>
  <c r="K863" i="3"/>
  <c r="M863" i="3"/>
  <c r="J863" i="3"/>
  <c r="E863" i="3"/>
  <c r="D863" i="3"/>
  <c r="H863" i="3"/>
  <c r="I863" i="3"/>
  <c r="S849" i="3"/>
  <c r="P849" i="3"/>
  <c r="O849" i="3"/>
  <c r="N849" i="3"/>
  <c r="M849" i="3"/>
  <c r="L849" i="3"/>
  <c r="K849" i="3"/>
  <c r="E849" i="3"/>
  <c r="J849" i="3"/>
  <c r="D849" i="3"/>
  <c r="H849" i="3"/>
  <c r="I849" i="3"/>
  <c r="S828" i="3"/>
  <c r="P828" i="3"/>
  <c r="O828" i="3"/>
  <c r="M828" i="3"/>
  <c r="N828" i="3"/>
  <c r="L828" i="3"/>
  <c r="J828" i="3"/>
  <c r="K828" i="3"/>
  <c r="E828" i="3"/>
  <c r="D828" i="3"/>
  <c r="H828" i="3"/>
  <c r="I828" i="3"/>
  <c r="S806" i="3"/>
  <c r="P806" i="3"/>
  <c r="O806" i="3"/>
  <c r="N806" i="3"/>
  <c r="M806" i="3"/>
  <c r="L806" i="3"/>
  <c r="K806" i="3"/>
  <c r="J806" i="3"/>
  <c r="E806" i="3"/>
  <c r="D806" i="3"/>
  <c r="I806" i="3"/>
  <c r="H806" i="3"/>
  <c r="S47" i="3"/>
  <c r="P47" i="3"/>
  <c r="O47" i="3"/>
  <c r="N47" i="3"/>
  <c r="M47" i="3"/>
  <c r="L47" i="3"/>
  <c r="K47" i="3"/>
  <c r="J47" i="3"/>
  <c r="I47" i="3"/>
  <c r="S755" i="3"/>
  <c r="P755" i="3"/>
  <c r="O755" i="3"/>
  <c r="N755" i="3"/>
  <c r="M755" i="3"/>
  <c r="L755" i="3"/>
  <c r="K755" i="3"/>
  <c r="E755" i="3"/>
  <c r="J755" i="3"/>
  <c r="D755" i="3"/>
  <c r="H755" i="3"/>
  <c r="I755" i="3"/>
  <c r="P736" i="3"/>
  <c r="S736" i="3"/>
  <c r="O736" i="3"/>
  <c r="M736" i="3"/>
  <c r="N736" i="3"/>
  <c r="L736" i="3"/>
  <c r="J736" i="3"/>
  <c r="K736" i="3"/>
  <c r="E736" i="3"/>
  <c r="D736" i="3"/>
  <c r="H736" i="3"/>
  <c r="I736" i="3"/>
  <c r="S702" i="3"/>
  <c r="P702" i="3"/>
  <c r="O702" i="3"/>
  <c r="N702" i="3"/>
  <c r="M702" i="3"/>
  <c r="L702" i="3"/>
  <c r="K702" i="3"/>
  <c r="J702" i="3"/>
  <c r="E702" i="3"/>
  <c r="D702" i="3"/>
  <c r="H702" i="3"/>
  <c r="I702" i="3"/>
  <c r="S668" i="3"/>
  <c r="P668" i="3"/>
  <c r="O668" i="3"/>
  <c r="N668" i="3"/>
  <c r="M668" i="3"/>
  <c r="L668" i="3"/>
  <c r="K668" i="3"/>
  <c r="J668" i="3"/>
  <c r="E668" i="3"/>
  <c r="D668" i="3"/>
  <c r="I668" i="3"/>
  <c r="H668" i="3"/>
  <c r="S410" i="3"/>
  <c r="P410" i="3"/>
  <c r="O410" i="3"/>
  <c r="N410" i="3"/>
  <c r="M410" i="3"/>
  <c r="L410" i="3"/>
  <c r="K410" i="3"/>
  <c r="E410" i="3"/>
  <c r="J569" i="7" s="1"/>
  <c r="J410" i="3"/>
  <c r="D410" i="3"/>
  <c r="I569" i="7" s="1"/>
  <c r="H410" i="3"/>
  <c r="I410" i="3"/>
  <c r="S546" i="3"/>
  <c r="P546" i="3"/>
  <c r="O546" i="3"/>
  <c r="N546" i="3"/>
  <c r="M546" i="3"/>
  <c r="K546" i="3"/>
  <c r="L546" i="3"/>
  <c r="J546" i="3"/>
  <c r="I546" i="3"/>
  <c r="S625" i="3"/>
  <c r="P625" i="3"/>
  <c r="O625" i="3"/>
  <c r="M625" i="3"/>
  <c r="L625" i="3"/>
  <c r="N625" i="3"/>
  <c r="J625" i="3"/>
  <c r="K625" i="3"/>
  <c r="I625" i="3"/>
  <c r="S613" i="3"/>
  <c r="P613" i="3"/>
  <c r="O613" i="3"/>
  <c r="M613" i="3"/>
  <c r="N613" i="3"/>
  <c r="L613" i="3"/>
  <c r="J613" i="3"/>
  <c r="K613" i="3"/>
  <c r="I613" i="3"/>
  <c r="S213" i="3"/>
  <c r="P213" i="3"/>
  <c r="O213" i="3"/>
  <c r="M213" i="3"/>
  <c r="L213" i="3"/>
  <c r="N213" i="3"/>
  <c r="K213" i="3"/>
  <c r="J213" i="3"/>
  <c r="J557" i="7"/>
  <c r="I213" i="3"/>
  <c r="P353" i="3"/>
  <c r="S353" i="3"/>
  <c r="O353" i="3"/>
  <c r="N353" i="3"/>
  <c r="L353" i="3"/>
  <c r="K353" i="3"/>
  <c r="M353" i="3"/>
  <c r="J353" i="3"/>
  <c r="E353" i="3"/>
  <c r="D353" i="3"/>
  <c r="H353" i="3"/>
  <c r="I353" i="3"/>
  <c r="S266" i="3"/>
  <c r="P266" i="3"/>
  <c r="M266" i="3"/>
  <c r="L266" i="3"/>
  <c r="N266" i="3"/>
  <c r="O266" i="3"/>
  <c r="K266" i="3"/>
  <c r="J266" i="3"/>
  <c r="J467" i="7"/>
  <c r="I266" i="3"/>
  <c r="S43" i="3"/>
  <c r="P43" i="3"/>
  <c r="O43" i="3"/>
  <c r="N43" i="3"/>
  <c r="M43" i="3"/>
  <c r="L43" i="3"/>
  <c r="K43" i="3"/>
  <c r="J43" i="3"/>
  <c r="I43" i="3"/>
  <c r="S71" i="3"/>
  <c r="P71" i="3"/>
  <c r="O71" i="3"/>
  <c r="M71" i="3"/>
  <c r="N71" i="3"/>
  <c r="L71" i="3"/>
  <c r="K71" i="3"/>
  <c r="J71" i="3"/>
  <c r="I71" i="3"/>
  <c r="S1480" i="3"/>
  <c r="P1480" i="3"/>
  <c r="O1480" i="3"/>
  <c r="N1480" i="3"/>
  <c r="M1480" i="3"/>
  <c r="L1480" i="3"/>
  <c r="K1480" i="3"/>
  <c r="J1480" i="3"/>
  <c r="E1480" i="3"/>
  <c r="D1480" i="3"/>
  <c r="I1480" i="3"/>
  <c r="H1480" i="3"/>
  <c r="S581" i="3"/>
  <c r="P581" i="3"/>
  <c r="O581" i="3"/>
  <c r="M581" i="3"/>
  <c r="N581" i="3"/>
  <c r="L581" i="3"/>
  <c r="J581" i="3"/>
  <c r="K581" i="3"/>
  <c r="E581" i="3"/>
  <c r="D581" i="3"/>
  <c r="H581" i="3"/>
  <c r="I581" i="3"/>
  <c r="S586" i="3"/>
  <c r="P586" i="3"/>
  <c r="O586" i="3"/>
  <c r="N586" i="3"/>
  <c r="M586" i="3"/>
  <c r="L586" i="3"/>
  <c r="K586" i="3"/>
  <c r="J586" i="3"/>
  <c r="E586" i="3"/>
  <c r="J421" i="7" s="1"/>
  <c r="D586" i="3"/>
  <c r="H586" i="3"/>
  <c r="I586" i="3"/>
  <c r="S363" i="3"/>
  <c r="P363" i="3"/>
  <c r="O363" i="3"/>
  <c r="N363" i="3"/>
  <c r="M363" i="3"/>
  <c r="L363" i="3"/>
  <c r="K363" i="3"/>
  <c r="J363" i="3"/>
  <c r="I363" i="3"/>
  <c r="S90" i="3"/>
  <c r="P90" i="3"/>
  <c r="O90" i="3"/>
  <c r="N90" i="3"/>
  <c r="M90" i="3"/>
  <c r="L90" i="3"/>
  <c r="K90" i="3"/>
  <c r="J90" i="3"/>
  <c r="I90" i="3"/>
  <c r="S1435" i="3"/>
  <c r="P1435" i="3"/>
  <c r="O1435" i="3"/>
  <c r="N1435" i="3"/>
  <c r="L1435" i="3"/>
  <c r="M1435" i="3"/>
  <c r="K1435" i="3"/>
  <c r="J1435" i="3"/>
  <c r="E1435" i="3"/>
  <c r="D1435" i="3"/>
  <c r="H1435" i="3"/>
  <c r="I1435" i="3"/>
  <c r="S94" i="3"/>
  <c r="P94" i="3"/>
  <c r="O94" i="3"/>
  <c r="N94" i="3"/>
  <c r="M94" i="3"/>
  <c r="L94" i="3"/>
  <c r="K94" i="3"/>
  <c r="J94" i="3"/>
  <c r="I94" i="3"/>
  <c r="S561" i="3"/>
  <c r="P561" i="3"/>
  <c r="O561" i="3"/>
  <c r="N561" i="3"/>
  <c r="M561" i="3"/>
  <c r="L561" i="3"/>
  <c r="K561" i="3"/>
  <c r="J561" i="3"/>
  <c r="I561" i="3"/>
  <c r="S602" i="3"/>
  <c r="P602" i="3"/>
  <c r="O602" i="3"/>
  <c r="N602" i="3"/>
  <c r="M602" i="3"/>
  <c r="L602" i="3"/>
  <c r="K602" i="3"/>
  <c r="J602" i="3"/>
  <c r="I602" i="3"/>
  <c r="S150" i="3"/>
  <c r="P150" i="3"/>
  <c r="O150" i="3"/>
  <c r="N150" i="3"/>
  <c r="M150" i="3"/>
  <c r="L150" i="3"/>
  <c r="K150" i="3"/>
  <c r="J150" i="3"/>
  <c r="J301" i="7"/>
  <c r="I301" i="7"/>
  <c r="I150" i="3"/>
  <c r="S21" i="3"/>
  <c r="P21" i="3"/>
  <c r="O21" i="3"/>
  <c r="N21" i="3"/>
  <c r="M21" i="3"/>
  <c r="L21" i="3"/>
  <c r="K21" i="3"/>
  <c r="J21" i="3"/>
  <c r="I21" i="3"/>
  <c r="S1356" i="3"/>
  <c r="P1356" i="3"/>
  <c r="O1356" i="3"/>
  <c r="N1356" i="3"/>
  <c r="M1356" i="3"/>
  <c r="L1356" i="3"/>
  <c r="K1356" i="3"/>
  <c r="E1356" i="3"/>
  <c r="J367" i="7" s="1"/>
  <c r="J1356" i="3"/>
  <c r="D1356" i="3"/>
  <c r="I367" i="7" s="1"/>
  <c r="H1356" i="3"/>
  <c r="I1356" i="3"/>
  <c r="S1179" i="3"/>
  <c r="P1179" i="3"/>
  <c r="O1179" i="3"/>
  <c r="N1179" i="3"/>
  <c r="M1179" i="3"/>
  <c r="L1179" i="3"/>
  <c r="K1179" i="3"/>
  <c r="J1179" i="3"/>
  <c r="E1179" i="3"/>
  <c r="J350" i="7" s="1"/>
  <c r="D1179" i="3"/>
  <c r="H1179" i="3"/>
  <c r="I1179" i="3"/>
  <c r="S1371" i="3"/>
  <c r="P1371" i="3"/>
  <c r="O1371" i="3"/>
  <c r="N1371" i="3"/>
  <c r="M1371" i="3"/>
  <c r="L1371" i="3"/>
  <c r="K1371" i="3"/>
  <c r="J1371" i="3"/>
  <c r="E1371" i="3"/>
  <c r="J379" i="7" s="1"/>
  <c r="D1371" i="3"/>
  <c r="I379" i="7" s="1"/>
  <c r="H1371" i="3"/>
  <c r="I1371" i="3"/>
  <c r="S436" i="3"/>
  <c r="P436" i="3"/>
  <c r="O436" i="3"/>
  <c r="N436" i="3"/>
  <c r="M436" i="3"/>
  <c r="L436" i="3"/>
  <c r="K436" i="3"/>
  <c r="J520" i="7"/>
  <c r="J436" i="3"/>
  <c r="I436" i="3"/>
  <c r="S244" i="3"/>
  <c r="P244" i="3"/>
  <c r="O244" i="3"/>
  <c r="N244" i="3"/>
  <c r="M244" i="3"/>
  <c r="L244" i="3"/>
  <c r="K244" i="3"/>
  <c r="J244" i="3"/>
  <c r="J271" i="7"/>
  <c r="I244" i="3"/>
  <c r="S258" i="3"/>
  <c r="O258" i="3"/>
  <c r="N258" i="3"/>
  <c r="P258" i="3"/>
  <c r="M258" i="3"/>
  <c r="K258" i="3"/>
  <c r="L258" i="3"/>
  <c r="J258" i="3"/>
  <c r="I258" i="3"/>
  <c r="S1408" i="3"/>
  <c r="P1408" i="3"/>
  <c r="O1408" i="3"/>
  <c r="N1408" i="3"/>
  <c r="M1408" i="3"/>
  <c r="L1408" i="3"/>
  <c r="K1408" i="3"/>
  <c r="J1408" i="3"/>
  <c r="E1408" i="3"/>
  <c r="J408" i="7" s="1"/>
  <c r="D1408" i="3"/>
  <c r="I408" i="7" s="1"/>
  <c r="H1408" i="3"/>
  <c r="I1408" i="3"/>
  <c r="S1190" i="3"/>
  <c r="P1190" i="3"/>
  <c r="O1190" i="3"/>
  <c r="N1190" i="3"/>
  <c r="M1190" i="3"/>
  <c r="L1190" i="3"/>
  <c r="K1190" i="3"/>
  <c r="J1190" i="3"/>
  <c r="E1190" i="3"/>
  <c r="D1190" i="3"/>
  <c r="H1190" i="3"/>
  <c r="I1190" i="3"/>
  <c r="S265" i="3"/>
  <c r="P265" i="3"/>
  <c r="O265" i="3"/>
  <c r="N265" i="3"/>
  <c r="M265" i="3"/>
  <c r="K265" i="3"/>
  <c r="L265" i="3"/>
  <c r="J265" i="3"/>
  <c r="I265" i="3"/>
  <c r="S190" i="3"/>
  <c r="P190" i="3"/>
  <c r="O190" i="3"/>
  <c r="N190" i="3"/>
  <c r="M190" i="3"/>
  <c r="L190" i="3"/>
  <c r="K190" i="3"/>
  <c r="J190" i="3"/>
  <c r="I190" i="3"/>
  <c r="S81" i="3"/>
  <c r="P81" i="3"/>
  <c r="O81" i="3"/>
  <c r="N81" i="3"/>
  <c r="K81" i="3"/>
  <c r="M81" i="3"/>
  <c r="L81" i="3"/>
  <c r="J81" i="3"/>
  <c r="I81" i="3"/>
  <c r="S1528" i="3"/>
  <c r="P1528" i="3"/>
  <c r="O1528" i="3"/>
  <c r="M1528" i="3"/>
  <c r="N1528" i="3"/>
  <c r="L1528" i="3"/>
  <c r="K1528" i="3"/>
  <c r="J1528" i="3"/>
  <c r="E1528" i="3"/>
  <c r="D1528" i="3"/>
  <c r="H1528" i="3"/>
  <c r="I1528" i="3"/>
  <c r="S1508" i="3"/>
  <c r="P1508" i="3"/>
  <c r="O1508" i="3"/>
  <c r="N1508" i="3"/>
  <c r="M1508" i="3"/>
  <c r="L1508" i="3"/>
  <c r="K1508" i="3"/>
  <c r="J1508" i="3"/>
  <c r="E1508" i="3"/>
  <c r="D1508" i="3"/>
  <c r="H1508" i="3"/>
  <c r="I1508" i="3"/>
  <c r="S1460" i="3"/>
  <c r="P1460" i="3"/>
  <c r="O1460" i="3"/>
  <c r="N1460" i="3"/>
  <c r="M1460" i="3"/>
  <c r="L1460" i="3"/>
  <c r="K1460" i="3"/>
  <c r="J1460" i="3"/>
  <c r="E1460" i="3"/>
  <c r="J574" i="7" s="1"/>
  <c r="D1460" i="3"/>
  <c r="I574" i="7" s="1"/>
  <c r="H1460" i="3"/>
  <c r="I1460" i="3"/>
  <c r="S1413" i="3"/>
  <c r="P1413" i="3"/>
  <c r="O1413" i="3"/>
  <c r="N1413" i="3"/>
  <c r="M1413" i="3"/>
  <c r="L1413" i="3"/>
  <c r="K1413" i="3"/>
  <c r="J1413" i="3"/>
  <c r="E1413" i="3"/>
  <c r="D1413" i="3"/>
  <c r="H1413" i="3"/>
  <c r="I1413" i="3"/>
  <c r="S1336" i="3"/>
  <c r="P1336" i="3"/>
  <c r="O1336" i="3"/>
  <c r="N1336" i="3"/>
  <c r="L1336" i="3"/>
  <c r="M1336" i="3"/>
  <c r="K1336" i="3"/>
  <c r="J1336" i="3"/>
  <c r="E1336" i="3"/>
  <c r="D1336" i="3"/>
  <c r="H1336" i="3"/>
  <c r="I1336" i="3"/>
  <c r="S1279" i="3"/>
  <c r="P1279" i="3"/>
  <c r="O1279" i="3"/>
  <c r="N1279" i="3"/>
  <c r="M1279" i="3"/>
  <c r="K1279" i="3"/>
  <c r="L1279" i="3"/>
  <c r="J1279" i="3"/>
  <c r="E1279" i="3"/>
  <c r="D1279" i="3"/>
  <c r="H1279" i="3"/>
  <c r="I1279" i="3"/>
  <c r="S355" i="3"/>
  <c r="P355" i="3"/>
  <c r="N355" i="3"/>
  <c r="O355" i="3"/>
  <c r="M355" i="3"/>
  <c r="L355" i="3"/>
  <c r="K355" i="3"/>
  <c r="J355" i="3"/>
  <c r="E355" i="3"/>
  <c r="J354" i="7" s="1"/>
  <c r="D355" i="3"/>
  <c r="H355" i="3"/>
  <c r="I355" i="3"/>
  <c r="S928" i="3"/>
  <c r="P928" i="3"/>
  <c r="O928" i="3"/>
  <c r="N928" i="3"/>
  <c r="M928" i="3"/>
  <c r="L928" i="3"/>
  <c r="J928" i="3"/>
  <c r="K928" i="3"/>
  <c r="I928" i="3"/>
  <c r="S763" i="3"/>
  <c r="P763" i="3"/>
  <c r="O763" i="3"/>
  <c r="N763" i="3"/>
  <c r="M763" i="3"/>
  <c r="L763" i="3"/>
  <c r="K763" i="3"/>
  <c r="J763" i="3"/>
  <c r="J154" i="7"/>
  <c r="I154" i="7"/>
  <c r="I763" i="3"/>
  <c r="S366" i="3"/>
  <c r="P366" i="3"/>
  <c r="O366" i="3"/>
  <c r="N366" i="3"/>
  <c r="M366" i="3"/>
  <c r="L366" i="3"/>
  <c r="K366" i="3"/>
  <c r="J366" i="3"/>
  <c r="I366" i="3"/>
  <c r="S291" i="3"/>
  <c r="P291" i="3"/>
  <c r="O291" i="3"/>
  <c r="N291" i="3"/>
  <c r="M291" i="3"/>
  <c r="L291" i="3"/>
  <c r="K291" i="3"/>
  <c r="J291" i="3"/>
  <c r="I291" i="3"/>
  <c r="S1262" i="3"/>
  <c r="P1262" i="3"/>
  <c r="O1262" i="3"/>
  <c r="N1262" i="3"/>
  <c r="M1262" i="3"/>
  <c r="L1262" i="3"/>
  <c r="K1262" i="3"/>
  <c r="J1262" i="3"/>
  <c r="E1262" i="3"/>
  <c r="J497" i="7" s="1"/>
  <c r="D1262" i="3"/>
  <c r="H1262" i="3"/>
  <c r="I1262" i="3"/>
  <c r="S373" i="3"/>
  <c r="P373" i="3"/>
  <c r="N373" i="3"/>
  <c r="O373" i="3"/>
  <c r="M373" i="3"/>
  <c r="L373" i="3"/>
  <c r="J373" i="3"/>
  <c r="K373" i="3"/>
  <c r="E373" i="3"/>
  <c r="J477" i="7" s="1"/>
  <c r="D373" i="3"/>
  <c r="I477" i="7" s="1"/>
  <c r="H373" i="3"/>
  <c r="I373" i="3"/>
  <c r="S501" i="3"/>
  <c r="P501" i="3"/>
  <c r="O501" i="3"/>
  <c r="N501" i="3"/>
  <c r="M501" i="3"/>
  <c r="L501" i="3"/>
  <c r="K501" i="3"/>
  <c r="J501" i="3"/>
  <c r="I461" i="7"/>
  <c r="J461" i="7"/>
  <c r="I501" i="3"/>
  <c r="S1464" i="3"/>
  <c r="P1464" i="3"/>
  <c r="O1464" i="3"/>
  <c r="N1464" i="3"/>
  <c r="M1464" i="3"/>
  <c r="L1464" i="3"/>
  <c r="K1464" i="3"/>
  <c r="J1464" i="3"/>
  <c r="E1464" i="3"/>
  <c r="J213" i="7" s="1"/>
  <c r="D1464" i="3"/>
  <c r="H1464" i="3"/>
  <c r="I1464" i="3"/>
  <c r="S1025" i="3"/>
  <c r="P1025" i="3"/>
  <c r="O1025" i="3"/>
  <c r="N1025" i="3"/>
  <c r="M1025" i="3"/>
  <c r="L1025" i="3"/>
  <c r="J1025" i="3"/>
  <c r="K1025" i="3"/>
  <c r="D1025" i="3"/>
  <c r="I188" i="7" s="1"/>
  <c r="E1025" i="3"/>
  <c r="J188" i="7" s="1"/>
  <c r="H1025" i="3"/>
  <c r="I1025" i="3"/>
  <c r="S1230" i="3"/>
  <c r="P1230" i="3"/>
  <c r="O1230" i="3"/>
  <c r="N1230" i="3"/>
  <c r="M1230" i="3"/>
  <c r="L1230" i="3"/>
  <c r="K1230" i="3"/>
  <c r="J1230" i="3"/>
  <c r="D1230" i="3"/>
  <c r="I121" i="7" s="1"/>
  <c r="E1230" i="3"/>
  <c r="J121" i="7" s="1"/>
  <c r="H1230" i="3"/>
  <c r="I1230" i="3"/>
  <c r="S1529" i="3"/>
  <c r="P1529" i="3"/>
  <c r="O1529" i="3"/>
  <c r="N1529" i="3"/>
  <c r="M1529" i="3"/>
  <c r="L1529" i="3"/>
  <c r="K1529" i="3"/>
  <c r="J1529" i="3"/>
  <c r="D1529" i="3"/>
  <c r="I163" i="7" s="1"/>
  <c r="E1529" i="3"/>
  <c r="J163" i="7" s="1"/>
  <c r="I1529" i="3"/>
  <c r="H1529" i="3"/>
  <c r="S1471" i="3"/>
  <c r="P1471" i="3"/>
  <c r="O1471" i="3"/>
  <c r="N1471" i="3"/>
  <c r="M1471" i="3"/>
  <c r="L1471" i="3"/>
  <c r="K1471" i="3"/>
  <c r="J1471" i="3"/>
  <c r="E1471" i="3"/>
  <c r="J138" i="7" s="1"/>
  <c r="D1471" i="3"/>
  <c r="I138" i="7" s="1"/>
  <c r="I1471" i="3"/>
  <c r="H1471" i="3"/>
  <c r="S1426" i="3"/>
  <c r="P1426" i="3"/>
  <c r="O1426" i="3"/>
  <c r="N1426" i="3"/>
  <c r="M1426" i="3"/>
  <c r="L1426" i="3"/>
  <c r="K1426" i="3"/>
  <c r="J1426" i="3"/>
  <c r="D1426" i="3"/>
  <c r="I338" i="7" s="1"/>
  <c r="E1426" i="3"/>
  <c r="J338" i="7" s="1"/>
  <c r="H1426" i="3"/>
  <c r="I1426" i="3"/>
  <c r="S1390" i="3"/>
  <c r="P1390" i="3"/>
  <c r="O1390" i="3"/>
  <c r="N1390" i="3"/>
  <c r="M1390" i="3"/>
  <c r="K1390" i="3"/>
  <c r="J1390" i="3"/>
  <c r="L1390" i="3"/>
  <c r="E1390" i="3"/>
  <c r="J103" i="7" s="1"/>
  <c r="D1390" i="3"/>
  <c r="I103" i="7" s="1"/>
  <c r="H1390" i="3"/>
  <c r="I1390" i="3"/>
  <c r="S1330" i="3"/>
  <c r="P1330" i="3"/>
  <c r="O1330" i="3"/>
  <c r="N1330" i="3"/>
  <c r="M1330" i="3"/>
  <c r="L1330" i="3"/>
  <c r="K1330" i="3"/>
  <c r="J1330" i="3"/>
  <c r="E1330" i="3"/>
  <c r="J184" i="7" s="1"/>
  <c r="D1330" i="3"/>
  <c r="I184" i="7" s="1"/>
  <c r="H1330" i="3"/>
  <c r="I1330" i="3"/>
  <c r="S577" i="3"/>
  <c r="P577" i="3"/>
  <c r="O577" i="3"/>
  <c r="N577" i="3"/>
  <c r="M577" i="3"/>
  <c r="L577" i="3"/>
  <c r="K577" i="3"/>
  <c r="J577" i="3"/>
  <c r="D577" i="3"/>
  <c r="I148" i="7" s="1"/>
  <c r="E577" i="3"/>
  <c r="J148" i="7" s="1"/>
  <c r="I577" i="3"/>
  <c r="H577" i="3"/>
  <c r="S793" i="3"/>
  <c r="P793" i="3"/>
  <c r="O793" i="3"/>
  <c r="N793" i="3"/>
  <c r="M793" i="3"/>
  <c r="L793" i="3"/>
  <c r="K793" i="3"/>
  <c r="J793" i="3"/>
  <c r="I165" i="7"/>
  <c r="J165" i="7"/>
  <c r="I793" i="3"/>
  <c r="S279" i="3"/>
  <c r="P279" i="3"/>
  <c r="N279" i="3"/>
  <c r="O279" i="3"/>
  <c r="M279" i="3"/>
  <c r="L279" i="3"/>
  <c r="K279" i="3"/>
  <c r="J279" i="3"/>
  <c r="I40" i="7"/>
  <c r="J40" i="7"/>
  <c r="I279" i="3"/>
  <c r="S1208" i="3"/>
  <c r="P1208" i="3"/>
  <c r="O1208" i="3"/>
  <c r="N1208" i="3"/>
  <c r="M1208" i="3"/>
  <c r="L1208" i="3"/>
  <c r="K1208" i="3"/>
  <c r="J1208" i="3"/>
  <c r="E1208" i="3"/>
  <c r="J39" i="7" s="1"/>
  <c r="D1208" i="3"/>
  <c r="I39" i="7" s="1"/>
  <c r="I1208" i="3"/>
  <c r="H1208" i="3"/>
  <c r="S1196" i="3"/>
  <c r="P1196" i="3"/>
  <c r="O1196" i="3"/>
  <c r="N1196" i="3"/>
  <c r="L1196" i="3"/>
  <c r="M1196" i="3"/>
  <c r="K1196" i="3"/>
  <c r="E1196" i="3"/>
  <c r="J5" i="7" s="1"/>
  <c r="J1196" i="3"/>
  <c r="D1196" i="3"/>
  <c r="I5" i="7" s="1"/>
  <c r="I1196" i="3"/>
  <c r="H1196" i="3"/>
  <c r="S225" i="3"/>
  <c r="P225" i="3"/>
  <c r="O225" i="3"/>
  <c r="N225" i="3"/>
  <c r="M225" i="3"/>
  <c r="L225" i="3"/>
  <c r="K225" i="3"/>
  <c r="J225" i="3"/>
  <c r="I34" i="7"/>
  <c r="J34" i="7"/>
  <c r="I225" i="3"/>
  <c r="S1184" i="3"/>
  <c r="P1184" i="3"/>
  <c r="O1184" i="3"/>
  <c r="M1184" i="3"/>
  <c r="N1184" i="3"/>
  <c r="L1184" i="3"/>
  <c r="K1184" i="3"/>
  <c r="E1184" i="3"/>
  <c r="J14" i="7" s="1"/>
  <c r="J1184" i="3"/>
  <c r="D1184" i="3"/>
  <c r="I14" i="7" s="1"/>
  <c r="I1184" i="3"/>
  <c r="H1184" i="3"/>
  <c r="S356" i="3"/>
  <c r="P356" i="3"/>
  <c r="O356" i="3"/>
  <c r="N356" i="3"/>
  <c r="M356" i="3"/>
  <c r="L356" i="3"/>
  <c r="K356" i="3"/>
  <c r="J356" i="3"/>
  <c r="I356" i="3"/>
  <c r="S1211" i="3"/>
  <c r="P1211" i="3"/>
  <c r="O1211" i="3"/>
  <c r="N1211" i="3"/>
  <c r="L1211" i="3"/>
  <c r="K1211" i="3"/>
  <c r="M1211" i="3"/>
  <c r="J1211" i="3"/>
  <c r="D1211" i="3"/>
  <c r="I42" i="7" s="1"/>
  <c r="E1211" i="3"/>
  <c r="J42" i="7" s="1"/>
  <c r="I1211" i="3"/>
  <c r="H1211" i="3"/>
  <c r="S970" i="3"/>
  <c r="P970" i="3"/>
  <c r="O970" i="3"/>
  <c r="N970" i="3"/>
  <c r="M970" i="3"/>
  <c r="L970" i="3"/>
  <c r="K970" i="3"/>
  <c r="J970" i="3"/>
  <c r="E970" i="3"/>
  <c r="D970" i="3"/>
  <c r="H970" i="3"/>
  <c r="I970" i="3"/>
  <c r="S1165" i="3"/>
  <c r="P1165" i="3"/>
  <c r="O1165" i="3"/>
  <c r="N1165" i="3"/>
  <c r="M1165" i="3"/>
  <c r="L1165" i="3"/>
  <c r="K1165" i="3"/>
  <c r="J1165" i="3"/>
  <c r="E1165" i="3"/>
  <c r="D1165" i="3"/>
  <c r="H1165" i="3"/>
  <c r="I1165" i="3"/>
  <c r="S1195" i="3"/>
  <c r="P1195" i="3"/>
  <c r="O1195" i="3"/>
  <c r="N1195" i="3"/>
  <c r="M1195" i="3"/>
  <c r="L1195" i="3"/>
  <c r="K1195" i="3"/>
  <c r="J1195" i="3"/>
  <c r="E1195" i="3"/>
  <c r="J21" i="7" s="1"/>
  <c r="D1195" i="3"/>
  <c r="I21" i="7" s="1"/>
  <c r="I1195" i="3"/>
  <c r="H1195" i="3"/>
  <c r="S1476" i="3"/>
  <c r="P1476" i="3"/>
  <c r="O1476" i="3"/>
  <c r="N1476" i="3"/>
  <c r="M1476" i="3"/>
  <c r="L1476" i="3"/>
  <c r="K1476" i="3"/>
  <c r="J1476" i="3"/>
  <c r="E1476" i="3"/>
  <c r="J237" i="7" s="1"/>
  <c r="D1476" i="3"/>
  <c r="I237" i="7" s="1"/>
  <c r="I1476" i="3"/>
  <c r="H1476" i="3"/>
  <c r="S105" i="3"/>
  <c r="P105" i="3"/>
  <c r="O105" i="3"/>
  <c r="N105" i="3"/>
  <c r="M105" i="3"/>
  <c r="L105" i="3"/>
  <c r="K105" i="3"/>
  <c r="J105" i="3"/>
  <c r="J485" i="7"/>
  <c r="I485" i="7"/>
  <c r="I105" i="3"/>
  <c r="S630" i="3"/>
  <c r="P630" i="3"/>
  <c r="O630" i="3"/>
  <c r="N630" i="3"/>
  <c r="M630" i="3"/>
  <c r="L630" i="3"/>
  <c r="J630" i="3"/>
  <c r="K630" i="3"/>
  <c r="I630" i="3"/>
  <c r="S917" i="3"/>
  <c r="P917" i="3"/>
  <c r="O917" i="3"/>
  <c r="N917" i="3"/>
  <c r="M917" i="3"/>
  <c r="L917" i="3"/>
  <c r="K917" i="3"/>
  <c r="E917" i="3"/>
  <c r="J561" i="7" s="1"/>
  <c r="J917" i="3"/>
  <c r="D917" i="3"/>
  <c r="I561" i="7" s="1"/>
  <c r="H917" i="3"/>
  <c r="I917" i="3"/>
  <c r="S779" i="3"/>
  <c r="P779" i="3"/>
  <c r="O779" i="3"/>
  <c r="M779" i="3"/>
  <c r="N779" i="3"/>
  <c r="L779" i="3"/>
  <c r="J779" i="3"/>
  <c r="K779" i="3"/>
  <c r="E779" i="3"/>
  <c r="D779" i="3"/>
  <c r="H779" i="3"/>
  <c r="I779" i="3"/>
  <c r="S342" i="3"/>
  <c r="P342" i="3"/>
  <c r="O342" i="3"/>
  <c r="N342" i="3"/>
  <c r="M342" i="3"/>
  <c r="L342" i="3"/>
  <c r="K342" i="3"/>
  <c r="J342" i="3"/>
  <c r="I342" i="3"/>
  <c r="S798" i="3"/>
  <c r="P798" i="3"/>
  <c r="O798" i="3"/>
  <c r="M798" i="3"/>
  <c r="N798" i="3"/>
  <c r="L798" i="3"/>
  <c r="J798" i="3"/>
  <c r="K798" i="3"/>
  <c r="E798" i="3"/>
  <c r="D798" i="3"/>
  <c r="H798" i="3"/>
  <c r="I798" i="3"/>
  <c r="S135" i="3"/>
  <c r="P135" i="3"/>
  <c r="O135" i="3"/>
  <c r="N135" i="3"/>
  <c r="M135" i="3"/>
  <c r="L135" i="3"/>
  <c r="J135" i="3"/>
  <c r="K135" i="3"/>
  <c r="I135" i="3"/>
  <c r="S633" i="3"/>
  <c r="P633" i="3"/>
  <c r="O633" i="3"/>
  <c r="N633" i="3"/>
  <c r="M633" i="3"/>
  <c r="L633" i="3"/>
  <c r="K633" i="3"/>
  <c r="J633" i="3"/>
  <c r="J595" i="7"/>
  <c r="I595" i="7"/>
  <c r="I633" i="3"/>
  <c r="S821" i="3"/>
  <c r="P821" i="3"/>
  <c r="O821" i="3"/>
  <c r="N821" i="3"/>
  <c r="M821" i="3"/>
  <c r="L821" i="3"/>
  <c r="K821" i="3"/>
  <c r="J821" i="3"/>
  <c r="E821" i="3"/>
  <c r="D821" i="3"/>
  <c r="H821" i="3"/>
  <c r="I821" i="3"/>
  <c r="S964" i="3"/>
  <c r="P964" i="3"/>
  <c r="O964" i="3"/>
  <c r="N964" i="3"/>
  <c r="M964" i="3"/>
  <c r="L964" i="3"/>
  <c r="K964" i="3"/>
  <c r="J964" i="3"/>
  <c r="D964" i="3"/>
  <c r="I504" i="7" s="1"/>
  <c r="E964" i="3"/>
  <c r="J504" i="7" s="1"/>
  <c r="H964" i="3"/>
  <c r="I964" i="3"/>
  <c r="S1267" i="3"/>
  <c r="P1267" i="3"/>
  <c r="O1267" i="3"/>
  <c r="N1267" i="3"/>
  <c r="M1267" i="3"/>
  <c r="L1267" i="3"/>
  <c r="K1267" i="3"/>
  <c r="J1267" i="3"/>
  <c r="E1267" i="3"/>
  <c r="D1267" i="3"/>
  <c r="H1267" i="3"/>
  <c r="I1267" i="3"/>
  <c r="S1132" i="3"/>
  <c r="P1132" i="3"/>
  <c r="O1132" i="3"/>
  <c r="N1132" i="3"/>
  <c r="M1132" i="3"/>
  <c r="L1132" i="3"/>
  <c r="K1132" i="3"/>
  <c r="J1132" i="3"/>
  <c r="E1132" i="3"/>
  <c r="D1132" i="3"/>
  <c r="H1132" i="3"/>
  <c r="I1132" i="3"/>
  <c r="S483" i="3"/>
  <c r="P483" i="3"/>
  <c r="O483" i="3"/>
  <c r="N483" i="3"/>
  <c r="M483" i="3"/>
  <c r="L483" i="3"/>
  <c r="K483" i="3"/>
  <c r="E483" i="3"/>
  <c r="J475" i="7" s="1"/>
  <c r="J483" i="3"/>
  <c r="D483" i="3"/>
  <c r="I475" i="7" s="1"/>
  <c r="H483" i="3"/>
  <c r="I483" i="3"/>
  <c r="S1218" i="3"/>
  <c r="P1218" i="3"/>
  <c r="O1218" i="3"/>
  <c r="N1218" i="3"/>
  <c r="M1218" i="3"/>
  <c r="K1218" i="3"/>
  <c r="L1218" i="3"/>
  <c r="J1218" i="3"/>
  <c r="E1218" i="3"/>
  <c r="J55" i="7" s="1"/>
  <c r="D1218" i="3"/>
  <c r="I55" i="7" s="1"/>
  <c r="H1218" i="3"/>
  <c r="I1218" i="3"/>
  <c r="S749" i="3"/>
  <c r="P749" i="3"/>
  <c r="O749" i="3"/>
  <c r="N749" i="3"/>
  <c r="M749" i="3"/>
  <c r="L749" i="3"/>
  <c r="J749" i="3"/>
  <c r="K749" i="3"/>
  <c r="E749" i="3"/>
  <c r="D749" i="3"/>
  <c r="H749" i="3"/>
  <c r="I749" i="3"/>
  <c r="S290" i="3"/>
  <c r="P290" i="3"/>
  <c r="O290" i="3"/>
  <c r="N290" i="3"/>
  <c r="M290" i="3"/>
  <c r="L290" i="3"/>
  <c r="K290" i="3"/>
  <c r="J290" i="3"/>
  <c r="D290" i="3"/>
  <c r="E290" i="3"/>
  <c r="H290" i="3"/>
  <c r="I290" i="3"/>
  <c r="S1043" i="3"/>
  <c r="P1043" i="3"/>
  <c r="O1043" i="3"/>
  <c r="N1043" i="3"/>
  <c r="M1043" i="3"/>
  <c r="L1043" i="3"/>
  <c r="K1043" i="3"/>
  <c r="J1043" i="3"/>
  <c r="E1043" i="3"/>
  <c r="D1043" i="3"/>
  <c r="H1043" i="3"/>
  <c r="I1043" i="3"/>
  <c r="S1359" i="3"/>
  <c r="P1359" i="3"/>
  <c r="O1359" i="3"/>
  <c r="M1359" i="3"/>
  <c r="L1359" i="3"/>
  <c r="N1359" i="3"/>
  <c r="J1359" i="3"/>
  <c r="K1359" i="3"/>
  <c r="E1359" i="3"/>
  <c r="J565" i="7" s="1"/>
  <c r="D1359" i="3"/>
  <c r="I565" i="7" s="1"/>
  <c r="H1359" i="3"/>
  <c r="I1359" i="3"/>
  <c r="S1150" i="3"/>
  <c r="P1150" i="3"/>
  <c r="O1150" i="3"/>
  <c r="N1150" i="3"/>
  <c r="M1150" i="3"/>
  <c r="L1150" i="3"/>
  <c r="K1150" i="3"/>
  <c r="J1150" i="3"/>
  <c r="E1150" i="3"/>
  <c r="D1150" i="3"/>
  <c r="H1150" i="3"/>
  <c r="I1150" i="3"/>
  <c r="S698" i="3"/>
  <c r="P698" i="3"/>
  <c r="O698" i="3"/>
  <c r="N698" i="3"/>
  <c r="M698" i="3"/>
  <c r="L698" i="3"/>
  <c r="K698" i="3"/>
  <c r="E698" i="3"/>
  <c r="J698" i="3"/>
  <c r="D698" i="3"/>
  <c r="I602" i="7" s="1"/>
  <c r="H698" i="3"/>
  <c r="I698" i="3"/>
  <c r="S215" i="3"/>
  <c r="P215" i="3"/>
  <c r="O215" i="3"/>
  <c r="N215" i="3"/>
  <c r="M215" i="3"/>
  <c r="L215" i="3"/>
  <c r="K215" i="3"/>
  <c r="J215" i="3"/>
  <c r="I215" i="3"/>
  <c r="S107" i="3"/>
  <c r="P107" i="3"/>
  <c r="O107" i="3"/>
  <c r="N107" i="3"/>
  <c r="L107" i="3"/>
  <c r="M107" i="3"/>
  <c r="K107" i="3"/>
  <c r="J107" i="3"/>
  <c r="I107" i="3"/>
  <c r="S996" i="3"/>
  <c r="P996" i="3"/>
  <c r="O996" i="3"/>
  <c r="N996" i="3"/>
  <c r="M996" i="3"/>
  <c r="L996" i="3"/>
  <c r="K996" i="3"/>
  <c r="J996" i="3"/>
  <c r="E996" i="3"/>
  <c r="D996" i="3"/>
  <c r="I996" i="3"/>
  <c r="H996" i="3"/>
  <c r="S83" i="3"/>
  <c r="P83" i="3"/>
  <c r="O83" i="3"/>
  <c r="N83" i="3"/>
  <c r="M83" i="3"/>
  <c r="L83" i="3"/>
  <c r="K83" i="3"/>
  <c r="J83" i="3"/>
  <c r="J266" i="7"/>
  <c r="I266" i="7"/>
  <c r="I83" i="3"/>
  <c r="S1152" i="3"/>
  <c r="P1152" i="3"/>
  <c r="O1152" i="3"/>
  <c r="N1152" i="3"/>
  <c r="M1152" i="3"/>
  <c r="L1152" i="3"/>
  <c r="K1152" i="3"/>
  <c r="J1152" i="3"/>
  <c r="E1152" i="3"/>
  <c r="D1152" i="3"/>
  <c r="H1152" i="3"/>
  <c r="I1152" i="3"/>
  <c r="S1033" i="3"/>
  <c r="P1033" i="3"/>
  <c r="O1033" i="3"/>
  <c r="N1033" i="3"/>
  <c r="M1033" i="3"/>
  <c r="L1033" i="3"/>
  <c r="J1033" i="3"/>
  <c r="K1033" i="3"/>
  <c r="E1033" i="3"/>
  <c r="I1033" i="3"/>
  <c r="D1033" i="3"/>
  <c r="H1033" i="3"/>
  <c r="S965" i="3"/>
  <c r="P965" i="3"/>
  <c r="O965" i="3"/>
  <c r="N965" i="3"/>
  <c r="M965" i="3"/>
  <c r="L965" i="3"/>
  <c r="K965" i="3"/>
  <c r="J965" i="3"/>
  <c r="E965" i="3"/>
  <c r="D965" i="3"/>
  <c r="H965" i="3"/>
  <c r="I965" i="3"/>
  <c r="S931" i="3"/>
  <c r="P931" i="3"/>
  <c r="O931" i="3"/>
  <c r="M931" i="3"/>
  <c r="N931" i="3"/>
  <c r="L931" i="3"/>
  <c r="J931" i="3"/>
  <c r="K931" i="3"/>
  <c r="E931" i="3"/>
  <c r="D931" i="3"/>
  <c r="H931" i="3"/>
  <c r="I931" i="3"/>
  <c r="S871" i="3"/>
  <c r="P871" i="3"/>
  <c r="O871" i="3"/>
  <c r="N871" i="3"/>
  <c r="M871" i="3"/>
  <c r="K871" i="3"/>
  <c r="J871" i="3"/>
  <c r="L871" i="3"/>
  <c r="E871" i="3"/>
  <c r="D871" i="3"/>
  <c r="H871" i="3"/>
  <c r="I871" i="3"/>
  <c r="S560" i="3"/>
  <c r="P560" i="3"/>
  <c r="O560" i="3"/>
  <c r="M560" i="3"/>
  <c r="N560" i="3"/>
  <c r="L560" i="3"/>
  <c r="J560" i="3"/>
  <c r="K560" i="3"/>
  <c r="E560" i="3"/>
  <c r="D560" i="3"/>
  <c r="H560" i="3"/>
  <c r="I560" i="3"/>
  <c r="S987" i="3"/>
  <c r="P987" i="3"/>
  <c r="O987" i="3"/>
  <c r="N987" i="3"/>
  <c r="M987" i="3"/>
  <c r="L987" i="3"/>
  <c r="K987" i="3"/>
  <c r="E987" i="3"/>
  <c r="J586" i="7" s="1"/>
  <c r="J987" i="3"/>
  <c r="D987" i="3"/>
  <c r="I586" i="7" s="1"/>
  <c r="H987" i="3"/>
  <c r="I987" i="3"/>
  <c r="S801" i="3"/>
  <c r="P801" i="3"/>
  <c r="O801" i="3"/>
  <c r="N801" i="3"/>
  <c r="M801" i="3"/>
  <c r="L801" i="3"/>
  <c r="K801" i="3"/>
  <c r="J801" i="3"/>
  <c r="E801" i="3"/>
  <c r="D801" i="3"/>
  <c r="H801" i="3"/>
  <c r="I801" i="3"/>
  <c r="S954" i="3"/>
  <c r="P954" i="3"/>
  <c r="O954" i="3"/>
  <c r="N954" i="3"/>
  <c r="M954" i="3"/>
  <c r="K954" i="3"/>
  <c r="J954" i="3"/>
  <c r="E954" i="3"/>
  <c r="L954" i="3"/>
  <c r="D954" i="3"/>
  <c r="H954" i="3"/>
  <c r="I954" i="3"/>
  <c r="S773" i="3"/>
  <c r="P773" i="3"/>
  <c r="O773" i="3"/>
  <c r="N773" i="3"/>
  <c r="M773" i="3"/>
  <c r="L773" i="3"/>
  <c r="J773" i="3"/>
  <c r="K773" i="3"/>
  <c r="E773" i="3"/>
  <c r="D773" i="3"/>
  <c r="H773" i="3"/>
  <c r="I773" i="3"/>
  <c r="S742" i="3"/>
  <c r="P742" i="3"/>
  <c r="O742" i="3"/>
  <c r="N742" i="3"/>
  <c r="M742" i="3"/>
  <c r="L742" i="3"/>
  <c r="K742" i="3"/>
  <c r="J742" i="3"/>
  <c r="E742" i="3"/>
  <c r="D742" i="3"/>
  <c r="I742" i="3"/>
  <c r="H742" i="3"/>
  <c r="S911" i="3"/>
  <c r="P911" i="3"/>
  <c r="O911" i="3"/>
  <c r="N911" i="3"/>
  <c r="M911" i="3"/>
  <c r="L911" i="3"/>
  <c r="K911" i="3"/>
  <c r="E911" i="3"/>
  <c r="J911" i="3"/>
  <c r="D911" i="3"/>
  <c r="H911" i="3"/>
  <c r="I911" i="3"/>
  <c r="S676" i="3"/>
  <c r="O676" i="3"/>
  <c r="P676" i="3"/>
  <c r="N676" i="3"/>
  <c r="M676" i="3"/>
  <c r="K676" i="3"/>
  <c r="L676" i="3"/>
  <c r="E676" i="3"/>
  <c r="J676" i="3"/>
  <c r="D676" i="3"/>
  <c r="H676" i="3"/>
  <c r="I676" i="3"/>
  <c r="S891" i="3"/>
  <c r="P891" i="3"/>
  <c r="O891" i="3"/>
  <c r="N891" i="3"/>
  <c r="M891" i="3"/>
  <c r="L891" i="3"/>
  <c r="K891" i="3"/>
  <c r="J891" i="3"/>
  <c r="E891" i="3"/>
  <c r="D891" i="3"/>
  <c r="H891" i="3"/>
  <c r="I891" i="3"/>
  <c r="S877" i="3"/>
  <c r="P877" i="3"/>
  <c r="O877" i="3"/>
  <c r="N877" i="3"/>
  <c r="M877" i="3"/>
  <c r="L877" i="3"/>
  <c r="K877" i="3"/>
  <c r="J877" i="3"/>
  <c r="E877" i="3"/>
  <c r="D877" i="3"/>
  <c r="H877" i="3"/>
  <c r="I877" i="3"/>
  <c r="S407" i="3"/>
  <c r="P407" i="3"/>
  <c r="O407" i="3"/>
  <c r="M407" i="3"/>
  <c r="N407" i="3"/>
  <c r="L407" i="3"/>
  <c r="K407" i="3"/>
  <c r="J407" i="3"/>
  <c r="I407" i="3"/>
  <c r="S846" i="3"/>
  <c r="P846" i="3"/>
  <c r="M846" i="3"/>
  <c r="O846" i="3"/>
  <c r="L846" i="3"/>
  <c r="N846" i="3"/>
  <c r="K846" i="3"/>
  <c r="J846" i="3"/>
  <c r="E846" i="3"/>
  <c r="D846" i="3"/>
  <c r="H846" i="3"/>
  <c r="I846" i="3"/>
  <c r="S826" i="3"/>
  <c r="P826" i="3"/>
  <c r="O826" i="3"/>
  <c r="N826" i="3"/>
  <c r="M826" i="3"/>
  <c r="L826" i="3"/>
  <c r="K826" i="3"/>
  <c r="E826" i="3"/>
  <c r="J826" i="3"/>
  <c r="D826" i="3"/>
  <c r="H826" i="3"/>
  <c r="I826" i="3"/>
  <c r="S794" i="3"/>
  <c r="P794" i="3"/>
  <c r="O794" i="3"/>
  <c r="N794" i="3"/>
  <c r="M794" i="3"/>
  <c r="L794" i="3"/>
  <c r="K794" i="3"/>
  <c r="J794" i="3"/>
  <c r="E794" i="3"/>
  <c r="D794" i="3"/>
  <c r="H794" i="3"/>
  <c r="I794" i="3"/>
  <c r="S604" i="3"/>
  <c r="P604" i="3"/>
  <c r="O604" i="3"/>
  <c r="N604" i="3"/>
  <c r="M604" i="3"/>
  <c r="L604" i="3"/>
  <c r="K604" i="3"/>
  <c r="J604" i="3"/>
  <c r="E604" i="3"/>
  <c r="J603" i="7" s="1"/>
  <c r="D604" i="3"/>
  <c r="I603" i="7" s="1"/>
  <c r="I604" i="3"/>
  <c r="H604" i="3"/>
  <c r="S752" i="3"/>
  <c r="P752" i="3"/>
  <c r="O752" i="3"/>
  <c r="N752" i="3"/>
  <c r="L752" i="3"/>
  <c r="M752" i="3"/>
  <c r="K752" i="3"/>
  <c r="J752" i="3"/>
  <c r="E752" i="3"/>
  <c r="J572" i="7" s="1"/>
  <c r="D752" i="3"/>
  <c r="I572" i="7" s="1"/>
  <c r="H752" i="3"/>
  <c r="I752" i="3"/>
  <c r="S732" i="3"/>
  <c r="P732" i="3"/>
  <c r="O732" i="3"/>
  <c r="N732" i="3"/>
  <c r="M732" i="3"/>
  <c r="L732" i="3"/>
  <c r="K732" i="3"/>
  <c r="J732" i="3"/>
  <c r="E732" i="3"/>
  <c r="J429" i="7" s="1"/>
  <c r="D732" i="3"/>
  <c r="I429" i="7" s="1"/>
  <c r="H732" i="3"/>
  <c r="I732" i="3"/>
  <c r="S694" i="3"/>
  <c r="P694" i="3"/>
  <c r="M694" i="3"/>
  <c r="O694" i="3"/>
  <c r="N694" i="3"/>
  <c r="L694" i="3"/>
  <c r="K694" i="3"/>
  <c r="J694" i="3"/>
  <c r="D694" i="3"/>
  <c r="E694" i="3"/>
  <c r="H694" i="3"/>
  <c r="I694" i="3"/>
  <c r="S667" i="3"/>
  <c r="P667" i="3"/>
  <c r="O667" i="3"/>
  <c r="M667" i="3"/>
  <c r="N667" i="3"/>
  <c r="L667" i="3"/>
  <c r="K667" i="3"/>
  <c r="J667" i="3"/>
  <c r="E667" i="3"/>
  <c r="D667" i="3"/>
  <c r="H667" i="3"/>
  <c r="I667" i="3"/>
  <c r="S576" i="3"/>
  <c r="P576" i="3"/>
  <c r="O576" i="3"/>
  <c r="N576" i="3"/>
  <c r="M576" i="3"/>
  <c r="L576" i="3"/>
  <c r="K576" i="3"/>
  <c r="J576" i="3"/>
  <c r="E576" i="3"/>
  <c r="D576" i="3"/>
  <c r="H576" i="3"/>
  <c r="I576" i="3"/>
  <c r="S409" i="3"/>
  <c r="P409" i="3"/>
  <c r="O409" i="3"/>
  <c r="M409" i="3"/>
  <c r="L409" i="3"/>
  <c r="N409" i="3"/>
  <c r="J409" i="3"/>
  <c r="K409" i="3"/>
  <c r="I409" i="3"/>
  <c r="S623" i="3"/>
  <c r="P623" i="3"/>
  <c r="O623" i="3"/>
  <c r="N623" i="3"/>
  <c r="M623" i="3"/>
  <c r="L623" i="3"/>
  <c r="K623" i="3"/>
  <c r="J623" i="3"/>
  <c r="I623" i="3"/>
  <c r="S296" i="3"/>
  <c r="P296" i="3"/>
  <c r="O296" i="3"/>
  <c r="M296" i="3"/>
  <c r="N296" i="3"/>
  <c r="L296" i="3"/>
  <c r="K296" i="3"/>
  <c r="J296" i="3"/>
  <c r="I296" i="3"/>
  <c r="S252" i="3"/>
  <c r="P252" i="3"/>
  <c r="O252" i="3"/>
  <c r="M252" i="3"/>
  <c r="L252" i="3"/>
  <c r="N252" i="3"/>
  <c r="J252" i="3"/>
  <c r="K252" i="3"/>
  <c r="I252" i="3"/>
  <c r="S48" i="3"/>
  <c r="P48" i="3"/>
  <c r="O48" i="3"/>
  <c r="M48" i="3"/>
  <c r="N48" i="3"/>
  <c r="L48" i="3"/>
  <c r="J48" i="3"/>
  <c r="K48" i="3"/>
  <c r="I48" i="3"/>
  <c r="S206" i="3"/>
  <c r="P206" i="3"/>
  <c r="O206" i="3"/>
  <c r="M206" i="3"/>
  <c r="N206" i="3"/>
  <c r="L206" i="3"/>
  <c r="K206" i="3"/>
  <c r="J206" i="3"/>
  <c r="I206" i="3"/>
  <c r="S211" i="3"/>
  <c r="P211" i="3"/>
  <c r="O211" i="3"/>
  <c r="M211" i="3"/>
  <c r="N211" i="3"/>
  <c r="L211" i="3"/>
  <c r="K211" i="3"/>
  <c r="J211" i="3"/>
  <c r="I211" i="3"/>
  <c r="S592" i="3"/>
  <c r="P592" i="3"/>
  <c r="O592" i="3"/>
  <c r="M592" i="3"/>
  <c r="N592" i="3"/>
  <c r="L592" i="3"/>
  <c r="J592" i="3"/>
  <c r="K592" i="3"/>
  <c r="E592" i="3"/>
  <c r="D592" i="3"/>
  <c r="H592" i="3"/>
  <c r="I592" i="3"/>
  <c r="S1429" i="3"/>
  <c r="P1429" i="3"/>
  <c r="O1429" i="3"/>
  <c r="M1429" i="3"/>
  <c r="L1429" i="3"/>
  <c r="N1429" i="3"/>
  <c r="K1429" i="3"/>
  <c r="J1429" i="3"/>
  <c r="E1429" i="3"/>
  <c r="D1429" i="3"/>
  <c r="H1429" i="3"/>
  <c r="I1429" i="3"/>
  <c r="S479" i="3"/>
  <c r="P479" i="3"/>
  <c r="O479" i="3"/>
  <c r="N479" i="3"/>
  <c r="L479" i="3"/>
  <c r="M479" i="3"/>
  <c r="K479" i="3"/>
  <c r="J479" i="3"/>
  <c r="E479" i="3"/>
  <c r="J478" i="7" s="1"/>
  <c r="D479" i="3"/>
  <c r="I478" i="7" s="1"/>
  <c r="H479" i="3"/>
  <c r="I479" i="3"/>
  <c r="S923" i="3"/>
  <c r="P923" i="3"/>
  <c r="O923" i="3"/>
  <c r="N923" i="3"/>
  <c r="L923" i="3"/>
  <c r="M923" i="3"/>
  <c r="K923" i="3"/>
  <c r="J923" i="3"/>
  <c r="I923" i="3"/>
  <c r="S634" i="3"/>
  <c r="P634" i="3"/>
  <c r="O634" i="3"/>
  <c r="N634" i="3"/>
  <c r="M634" i="3"/>
  <c r="L634" i="3"/>
  <c r="K634" i="3"/>
  <c r="J634" i="3"/>
  <c r="I634" i="3"/>
  <c r="S124" i="3"/>
  <c r="P124" i="3"/>
  <c r="O124" i="3"/>
  <c r="N124" i="3"/>
  <c r="M124" i="3"/>
  <c r="L124" i="3"/>
  <c r="K124" i="3"/>
  <c r="J124" i="3"/>
  <c r="J542" i="7"/>
  <c r="I542" i="7"/>
  <c r="I124" i="3"/>
  <c r="S1427" i="3"/>
  <c r="P1427" i="3"/>
  <c r="O1427" i="3"/>
  <c r="M1427" i="3"/>
  <c r="L1427" i="3"/>
  <c r="N1427" i="3"/>
  <c r="K1427" i="3"/>
  <c r="J1427" i="3"/>
  <c r="E1427" i="3"/>
  <c r="D1427" i="3"/>
  <c r="H1427" i="3"/>
  <c r="I1427" i="3"/>
  <c r="S408" i="3"/>
  <c r="P408" i="3"/>
  <c r="O408" i="3"/>
  <c r="N408" i="3"/>
  <c r="M408" i="3"/>
  <c r="L408" i="3"/>
  <c r="K408" i="3"/>
  <c r="J408" i="3"/>
  <c r="I408" i="3"/>
  <c r="S648" i="3"/>
  <c r="P648" i="3"/>
  <c r="O648" i="3"/>
  <c r="N648" i="3"/>
  <c r="M648" i="3"/>
  <c r="L648" i="3"/>
  <c r="K648" i="3"/>
  <c r="J648" i="3"/>
  <c r="I648" i="3"/>
  <c r="S111" i="3"/>
  <c r="P111" i="3"/>
  <c r="O111" i="3"/>
  <c r="N111" i="3"/>
  <c r="M111" i="3"/>
  <c r="L111" i="3"/>
  <c r="K111" i="3"/>
  <c r="J111" i="3"/>
  <c r="J559" i="7"/>
  <c r="I559" i="7"/>
  <c r="I111" i="3"/>
  <c r="S168" i="3"/>
  <c r="P168" i="3"/>
  <c r="O168" i="3"/>
  <c r="N168" i="3"/>
  <c r="M168" i="3"/>
  <c r="L168" i="3"/>
  <c r="K168" i="3"/>
  <c r="J168" i="3"/>
  <c r="I168" i="3"/>
  <c r="S1477" i="3"/>
  <c r="P1477" i="3"/>
  <c r="O1477" i="3"/>
  <c r="N1477" i="3"/>
  <c r="M1477" i="3"/>
  <c r="L1477" i="3"/>
  <c r="K1477" i="3"/>
  <c r="J1477" i="3"/>
  <c r="E1477" i="3"/>
  <c r="J525" i="7" s="1"/>
  <c r="D1477" i="3"/>
  <c r="H1477" i="3"/>
  <c r="I1477" i="3"/>
  <c r="S1342" i="3"/>
  <c r="P1342" i="3"/>
  <c r="O1342" i="3"/>
  <c r="N1342" i="3"/>
  <c r="M1342" i="3"/>
  <c r="L1342" i="3"/>
  <c r="K1342" i="3"/>
  <c r="J1342" i="3"/>
  <c r="E1342" i="3"/>
  <c r="D1342" i="3"/>
  <c r="H1342" i="3"/>
  <c r="I1342" i="3"/>
  <c r="S1156" i="3"/>
  <c r="P1156" i="3"/>
  <c r="O1156" i="3"/>
  <c r="N1156" i="3"/>
  <c r="M1156" i="3"/>
  <c r="L1156" i="3"/>
  <c r="K1156" i="3"/>
  <c r="J1156" i="3"/>
  <c r="E1156" i="3"/>
  <c r="J462" i="7" s="1"/>
  <c r="D1156" i="3"/>
  <c r="I462" i="7" s="1"/>
  <c r="I1156" i="3"/>
  <c r="H1156" i="3"/>
  <c r="S817" i="3"/>
  <c r="P817" i="3"/>
  <c r="O817" i="3"/>
  <c r="N817" i="3"/>
  <c r="M817" i="3"/>
  <c r="L817" i="3"/>
  <c r="K817" i="3"/>
  <c r="J817" i="3"/>
  <c r="I817" i="3"/>
  <c r="S640" i="3"/>
  <c r="P640" i="3"/>
  <c r="O640" i="3"/>
  <c r="N640" i="3"/>
  <c r="M640" i="3"/>
  <c r="L640" i="3"/>
  <c r="K640" i="3"/>
  <c r="J640" i="3"/>
  <c r="J380" i="7"/>
  <c r="I640" i="3"/>
  <c r="S360" i="3"/>
  <c r="P360" i="3"/>
  <c r="O360" i="3"/>
  <c r="N360" i="3"/>
  <c r="M360" i="3"/>
  <c r="L360" i="3"/>
  <c r="K360" i="3"/>
  <c r="J360" i="3"/>
  <c r="I360" i="3"/>
  <c r="S123" i="3"/>
  <c r="P123" i="3"/>
  <c r="O123" i="3"/>
  <c r="N123" i="3"/>
  <c r="M123" i="3"/>
  <c r="L123" i="3"/>
  <c r="K123" i="3"/>
  <c r="J123" i="3"/>
  <c r="I123" i="3"/>
  <c r="S1377" i="3"/>
  <c r="P1377" i="3"/>
  <c r="O1377" i="3"/>
  <c r="N1377" i="3"/>
  <c r="M1377" i="3"/>
  <c r="L1377" i="3"/>
  <c r="K1377" i="3"/>
  <c r="J1377" i="3"/>
  <c r="E1377" i="3"/>
  <c r="J282" i="7" s="1"/>
  <c r="D1377" i="3"/>
  <c r="H1377" i="3"/>
  <c r="I1377" i="3"/>
  <c r="S1181" i="3"/>
  <c r="P1181" i="3"/>
  <c r="O1181" i="3"/>
  <c r="N1181" i="3"/>
  <c r="M1181" i="3"/>
  <c r="L1181" i="3"/>
  <c r="K1181" i="3"/>
  <c r="J1181" i="3"/>
  <c r="E1181" i="3"/>
  <c r="J420" i="7" s="1"/>
  <c r="D1181" i="3"/>
  <c r="H1181" i="3"/>
  <c r="I1181" i="3"/>
  <c r="S186" i="3"/>
  <c r="P186" i="3"/>
  <c r="O186" i="3"/>
  <c r="N186" i="3"/>
  <c r="M186" i="3"/>
  <c r="L186" i="3"/>
  <c r="K186" i="3"/>
  <c r="J186" i="3"/>
  <c r="I186" i="3"/>
  <c r="S299" i="3"/>
  <c r="P299" i="3"/>
  <c r="O299" i="3"/>
  <c r="N299" i="3"/>
  <c r="M299" i="3"/>
  <c r="L299" i="3"/>
  <c r="K299" i="3"/>
  <c r="J299" i="3"/>
  <c r="I299" i="3"/>
  <c r="S36" i="3"/>
  <c r="P36" i="3"/>
  <c r="O36" i="3"/>
  <c r="N36" i="3"/>
  <c r="M36" i="3"/>
  <c r="L36" i="3"/>
  <c r="K36" i="3"/>
  <c r="J36" i="3"/>
  <c r="I36" i="3"/>
  <c r="S1527" i="3"/>
  <c r="P1527" i="3"/>
  <c r="N1527" i="3"/>
  <c r="O1527" i="3"/>
  <c r="M1527" i="3"/>
  <c r="L1527" i="3"/>
  <c r="K1527" i="3"/>
  <c r="J1527" i="3"/>
  <c r="E1527" i="3"/>
  <c r="J333" i="7" s="1"/>
  <c r="D1527" i="3"/>
  <c r="I333" i="7" s="1"/>
  <c r="H1527" i="3"/>
  <c r="I1527" i="3"/>
  <c r="S1504" i="3"/>
  <c r="P1504" i="3"/>
  <c r="O1504" i="3"/>
  <c r="N1504" i="3"/>
  <c r="M1504" i="3"/>
  <c r="L1504" i="3"/>
  <c r="K1504" i="3"/>
  <c r="J1504" i="3"/>
  <c r="E1504" i="3"/>
  <c r="J397" i="7" s="1"/>
  <c r="D1504" i="3"/>
  <c r="I397" i="7" s="1"/>
  <c r="H1504" i="3"/>
  <c r="I1504" i="3"/>
  <c r="S1458" i="3"/>
  <c r="O1458" i="3"/>
  <c r="P1458" i="3"/>
  <c r="N1458" i="3"/>
  <c r="L1458" i="3"/>
  <c r="M1458" i="3"/>
  <c r="K1458" i="3"/>
  <c r="J1458" i="3"/>
  <c r="E1458" i="3"/>
  <c r="D1458" i="3"/>
  <c r="H1458" i="3"/>
  <c r="I1458" i="3"/>
  <c r="S1404" i="3"/>
  <c r="P1404" i="3"/>
  <c r="O1404" i="3"/>
  <c r="N1404" i="3"/>
  <c r="M1404" i="3"/>
  <c r="L1404" i="3"/>
  <c r="K1404" i="3"/>
  <c r="J1404" i="3"/>
  <c r="E1404" i="3"/>
  <c r="D1404" i="3"/>
  <c r="H1404" i="3"/>
  <c r="I1404" i="3"/>
  <c r="S1325" i="3"/>
  <c r="P1325" i="3"/>
  <c r="O1325" i="3"/>
  <c r="N1325" i="3"/>
  <c r="M1325" i="3"/>
  <c r="L1325" i="3"/>
  <c r="K1325" i="3"/>
  <c r="J1325" i="3"/>
  <c r="E1325" i="3"/>
  <c r="D1325" i="3"/>
  <c r="H1325" i="3"/>
  <c r="I1325" i="3"/>
  <c r="S1278" i="3"/>
  <c r="P1278" i="3"/>
  <c r="O1278" i="3"/>
  <c r="N1278" i="3"/>
  <c r="M1278" i="3"/>
  <c r="L1278" i="3"/>
  <c r="K1278" i="3"/>
  <c r="J1278" i="3"/>
  <c r="E1278" i="3"/>
  <c r="J432" i="7" s="1"/>
  <c r="D1278" i="3"/>
  <c r="I432" i="7" s="1"/>
  <c r="H1278" i="3"/>
  <c r="I1278" i="3"/>
  <c r="S1168" i="3"/>
  <c r="P1168" i="3"/>
  <c r="O1168" i="3"/>
  <c r="N1168" i="3"/>
  <c r="M1168" i="3"/>
  <c r="L1168" i="3"/>
  <c r="K1168" i="3"/>
  <c r="J1168" i="3"/>
  <c r="E1168" i="3"/>
  <c r="J527" i="7" s="1"/>
  <c r="D1168" i="3"/>
  <c r="I527" i="7" s="1"/>
  <c r="H1168" i="3"/>
  <c r="I1168" i="3"/>
  <c r="S918" i="3"/>
  <c r="P918" i="3"/>
  <c r="N918" i="3"/>
  <c r="O918" i="3"/>
  <c r="M918" i="3"/>
  <c r="L918" i="3"/>
  <c r="J918" i="3"/>
  <c r="K918" i="3"/>
  <c r="J329" i="7"/>
  <c r="I329" i="7"/>
  <c r="I918" i="3"/>
  <c r="S463" i="3"/>
  <c r="P463" i="3"/>
  <c r="O463" i="3"/>
  <c r="N463" i="3"/>
  <c r="M463" i="3"/>
  <c r="L463" i="3"/>
  <c r="K463" i="3"/>
  <c r="J463" i="3"/>
  <c r="I463" i="3"/>
  <c r="S343" i="3"/>
  <c r="P343" i="3"/>
  <c r="O343" i="3"/>
  <c r="N343" i="3"/>
  <c r="L343" i="3"/>
  <c r="M343" i="3"/>
  <c r="K343" i="3"/>
  <c r="J343" i="3"/>
  <c r="J193" i="7"/>
  <c r="I193" i="7"/>
  <c r="I343" i="3"/>
  <c r="S115" i="3"/>
  <c r="P115" i="3"/>
  <c r="O115" i="3"/>
  <c r="M115" i="3"/>
  <c r="N115" i="3"/>
  <c r="L115" i="3"/>
  <c r="K115" i="3"/>
  <c r="J115" i="3"/>
  <c r="J203" i="7"/>
  <c r="I115" i="3"/>
  <c r="S1240" i="3"/>
  <c r="P1240" i="3"/>
  <c r="O1240" i="3"/>
  <c r="M1240" i="3"/>
  <c r="N1240" i="3"/>
  <c r="L1240" i="3"/>
  <c r="K1240" i="3"/>
  <c r="J1240" i="3"/>
  <c r="E1240" i="3"/>
  <c r="D1240" i="3"/>
  <c r="H1240" i="3"/>
  <c r="I1240" i="3"/>
  <c r="S528" i="3"/>
  <c r="P528" i="3"/>
  <c r="O528" i="3"/>
  <c r="N528" i="3"/>
  <c r="M528" i="3"/>
  <c r="L528" i="3"/>
  <c r="K528" i="3"/>
  <c r="J528" i="3"/>
  <c r="J319" i="7"/>
  <c r="I528" i="3"/>
  <c r="S348" i="3"/>
  <c r="P348" i="3"/>
  <c r="O348" i="3"/>
  <c r="N348" i="3"/>
  <c r="M348" i="3"/>
  <c r="L348" i="3"/>
  <c r="K348" i="3"/>
  <c r="J348" i="3"/>
  <c r="I459" i="7"/>
  <c r="J459" i="7"/>
  <c r="I348" i="3"/>
  <c r="S1393" i="3"/>
  <c r="P1393" i="3"/>
  <c r="O1393" i="3"/>
  <c r="N1393" i="3"/>
  <c r="M1393" i="3"/>
  <c r="L1393" i="3"/>
  <c r="K1393" i="3"/>
  <c r="J1393" i="3"/>
  <c r="D1393" i="3"/>
  <c r="I170" i="7" s="1"/>
  <c r="E1393" i="3"/>
  <c r="J170" i="7" s="1"/>
  <c r="H1393" i="3"/>
  <c r="I1393" i="3"/>
  <c r="S993" i="3"/>
  <c r="P993" i="3"/>
  <c r="O993" i="3"/>
  <c r="N993" i="3"/>
  <c r="M993" i="3"/>
  <c r="L993" i="3"/>
  <c r="K993" i="3"/>
  <c r="J993" i="3"/>
  <c r="D993" i="3"/>
  <c r="I342" i="7" s="1"/>
  <c r="E993" i="3"/>
  <c r="J342" i="7" s="1"/>
  <c r="H993" i="3"/>
  <c r="I993" i="3"/>
  <c r="S433" i="3"/>
  <c r="P433" i="3"/>
  <c r="O433" i="3"/>
  <c r="N433" i="3"/>
  <c r="M433" i="3"/>
  <c r="K433" i="3"/>
  <c r="J433" i="3"/>
  <c r="L433" i="3"/>
  <c r="I433" i="3"/>
  <c r="S1516" i="3"/>
  <c r="P1516" i="3"/>
  <c r="O1516" i="3"/>
  <c r="N1516" i="3"/>
  <c r="M1516" i="3"/>
  <c r="L1516" i="3"/>
  <c r="K1516" i="3"/>
  <c r="J1516" i="3"/>
  <c r="E1516" i="3"/>
  <c r="J208" i="7" s="1"/>
  <c r="D1516" i="3"/>
  <c r="H1516" i="3"/>
  <c r="I1516" i="3"/>
  <c r="S1456" i="3"/>
  <c r="P1456" i="3"/>
  <c r="O1456" i="3"/>
  <c r="N1456" i="3"/>
  <c r="M1456" i="3"/>
  <c r="L1456" i="3"/>
  <c r="K1456" i="3"/>
  <c r="J1456" i="3"/>
  <c r="E1456" i="3"/>
  <c r="J135" i="7" s="1"/>
  <c r="D1456" i="3"/>
  <c r="I135" i="7" s="1"/>
  <c r="I1456" i="3"/>
  <c r="H1456" i="3"/>
  <c r="S1425" i="3"/>
  <c r="P1425" i="3"/>
  <c r="O1425" i="3"/>
  <c r="N1425" i="3"/>
  <c r="M1425" i="3"/>
  <c r="L1425" i="3"/>
  <c r="K1425" i="3"/>
  <c r="J1425" i="3"/>
  <c r="E1425" i="3"/>
  <c r="D1425" i="3"/>
  <c r="H1425" i="3"/>
  <c r="I1425" i="3"/>
  <c r="S1379" i="3"/>
  <c r="P1379" i="3"/>
  <c r="O1379" i="3"/>
  <c r="N1379" i="3"/>
  <c r="M1379" i="3"/>
  <c r="L1379" i="3"/>
  <c r="K1379" i="3"/>
  <c r="J1379" i="3"/>
  <c r="D1379" i="3"/>
  <c r="I190" i="7" s="1"/>
  <c r="E1379" i="3"/>
  <c r="J190" i="7" s="1"/>
  <c r="H1379" i="3"/>
  <c r="I1379" i="3"/>
  <c r="S1326" i="3"/>
  <c r="P1326" i="3"/>
  <c r="N1326" i="3"/>
  <c r="O1326" i="3"/>
  <c r="M1326" i="3"/>
  <c r="L1326" i="3"/>
  <c r="K1326" i="3"/>
  <c r="E1326" i="3"/>
  <c r="J129" i="7" s="1"/>
  <c r="J1326" i="3"/>
  <c r="D1326" i="3"/>
  <c r="I129" i="7" s="1"/>
  <c r="H1326" i="3"/>
  <c r="I1326" i="3"/>
  <c r="S1149" i="3"/>
  <c r="P1149" i="3"/>
  <c r="O1149" i="3"/>
  <c r="N1149" i="3"/>
  <c r="L1149" i="3"/>
  <c r="M1149" i="3"/>
  <c r="J1149" i="3"/>
  <c r="K1149" i="3"/>
  <c r="D1149" i="3"/>
  <c r="I160" i="7" s="1"/>
  <c r="E1149" i="3"/>
  <c r="J160" i="7" s="1"/>
  <c r="I1149" i="3"/>
  <c r="H1149" i="3"/>
  <c r="S765" i="3"/>
  <c r="P765" i="3"/>
  <c r="N765" i="3"/>
  <c r="O765" i="3"/>
  <c r="M765" i="3"/>
  <c r="L765" i="3"/>
  <c r="K765" i="3"/>
  <c r="J765" i="3"/>
  <c r="J179" i="7"/>
  <c r="I765" i="3"/>
  <c r="S399" i="3"/>
  <c r="P399" i="3"/>
  <c r="O399" i="3"/>
  <c r="N399" i="3"/>
  <c r="M399" i="3"/>
  <c r="L399" i="3"/>
  <c r="K399" i="3"/>
  <c r="J399" i="3"/>
  <c r="J230" i="7"/>
  <c r="I230" i="7"/>
  <c r="I399" i="3"/>
  <c r="S1204" i="3"/>
  <c r="P1204" i="3"/>
  <c r="O1204" i="3"/>
  <c r="N1204" i="3"/>
  <c r="L1204" i="3"/>
  <c r="M1204" i="3"/>
  <c r="K1204" i="3"/>
  <c r="E1204" i="3"/>
  <c r="J54" i="7" s="1"/>
  <c r="D1204" i="3"/>
  <c r="I54" i="7" s="1"/>
  <c r="J1204" i="3"/>
  <c r="I1204" i="3"/>
  <c r="H1204" i="3"/>
  <c r="S1198" i="3"/>
  <c r="P1198" i="3"/>
  <c r="O1198" i="3"/>
  <c r="N1198" i="3"/>
  <c r="M1198" i="3"/>
  <c r="L1198" i="3"/>
  <c r="K1198" i="3"/>
  <c r="J1198" i="3"/>
  <c r="E1198" i="3"/>
  <c r="J12" i="7" s="1"/>
  <c r="D1198" i="3"/>
  <c r="I12" i="7" s="1"/>
  <c r="I1198" i="3"/>
  <c r="H1198" i="3"/>
  <c r="S34" i="3"/>
  <c r="P34" i="3"/>
  <c r="O34" i="3"/>
  <c r="N34" i="3"/>
  <c r="M34" i="3"/>
  <c r="L34" i="3"/>
  <c r="K34" i="3"/>
  <c r="J34" i="3"/>
  <c r="J19" i="7"/>
  <c r="I19" i="7"/>
  <c r="I34" i="3"/>
  <c r="S1185" i="3"/>
  <c r="P1185" i="3"/>
  <c r="O1185" i="3"/>
  <c r="N1185" i="3"/>
  <c r="M1185" i="3"/>
  <c r="L1185" i="3"/>
  <c r="K1185" i="3"/>
  <c r="E1185" i="3"/>
  <c r="J1185" i="3"/>
  <c r="D1185" i="3"/>
  <c r="I1185" i="3"/>
  <c r="H1185" i="3"/>
  <c r="S1192" i="3"/>
  <c r="P1192" i="3"/>
  <c r="O1192" i="3"/>
  <c r="N1192" i="3"/>
  <c r="M1192" i="3"/>
  <c r="L1192" i="3"/>
  <c r="K1192" i="3"/>
  <c r="J1192" i="3"/>
  <c r="D1192" i="3"/>
  <c r="E1192" i="3"/>
  <c r="H1192" i="3"/>
  <c r="I1192" i="3"/>
  <c r="S1430" i="3"/>
  <c r="P1430" i="3"/>
  <c r="O1430" i="3"/>
  <c r="N1430" i="3"/>
  <c r="M1430" i="3"/>
  <c r="L1430" i="3"/>
  <c r="K1430" i="3"/>
  <c r="J1430" i="3"/>
  <c r="D1430" i="3"/>
  <c r="E1430" i="3"/>
  <c r="H1430" i="3"/>
  <c r="I1430" i="3"/>
  <c r="S1472" i="3"/>
  <c r="P1472" i="3"/>
  <c r="O1472" i="3"/>
  <c r="M1472" i="3"/>
  <c r="N1472" i="3"/>
  <c r="L1472" i="3"/>
  <c r="J1472" i="3"/>
  <c r="K1472" i="3"/>
  <c r="E1472" i="3"/>
  <c r="D1472" i="3"/>
  <c r="H1472" i="3"/>
  <c r="I1472" i="3"/>
  <c r="S979" i="3"/>
  <c r="P979" i="3"/>
  <c r="O979" i="3"/>
  <c r="N979" i="3"/>
  <c r="M979" i="3"/>
  <c r="L979" i="3"/>
  <c r="K979" i="3"/>
  <c r="J979" i="3"/>
  <c r="E979" i="3"/>
  <c r="J451" i="7" s="1"/>
  <c r="D979" i="3"/>
  <c r="I451" i="7" s="1"/>
  <c r="H979" i="3"/>
  <c r="I979" i="3"/>
  <c r="S1283" i="3"/>
  <c r="P1283" i="3"/>
  <c r="O1283" i="3"/>
  <c r="N1283" i="3"/>
  <c r="M1283" i="3"/>
  <c r="L1283" i="3"/>
  <c r="K1283" i="3"/>
  <c r="J1283" i="3"/>
  <c r="E1283" i="3"/>
  <c r="D1283" i="3"/>
  <c r="H1283" i="3"/>
  <c r="I1283" i="3"/>
  <c r="S235" i="3"/>
  <c r="P235" i="3"/>
  <c r="O235" i="3"/>
  <c r="N235" i="3"/>
  <c r="M235" i="3"/>
  <c r="L235" i="3"/>
  <c r="K235" i="3"/>
  <c r="J235" i="3"/>
  <c r="J505" i="7"/>
  <c r="I235" i="3"/>
  <c r="S1057" i="3"/>
  <c r="P1057" i="3"/>
  <c r="O1057" i="3"/>
  <c r="N1057" i="3"/>
  <c r="M1057" i="3"/>
  <c r="L1057" i="3"/>
  <c r="K1057" i="3"/>
  <c r="J1057" i="3"/>
  <c r="E1057" i="3"/>
  <c r="D1057" i="3"/>
  <c r="H1057" i="3"/>
  <c r="I1057" i="3"/>
  <c r="S553" i="3"/>
  <c r="P553" i="3"/>
  <c r="O553" i="3"/>
  <c r="N553" i="3"/>
  <c r="M553" i="3"/>
  <c r="L553" i="3"/>
  <c r="K553" i="3"/>
  <c r="J553" i="3"/>
  <c r="E553" i="3"/>
  <c r="J131" i="7" s="1"/>
  <c r="D553" i="3"/>
  <c r="I131" i="7" s="1"/>
  <c r="H553" i="3"/>
  <c r="I553" i="3"/>
  <c r="S389" i="3"/>
  <c r="P389" i="3"/>
  <c r="O389" i="3"/>
  <c r="N389" i="3"/>
  <c r="M389" i="3"/>
  <c r="L389" i="3"/>
  <c r="K389" i="3"/>
  <c r="J389" i="3"/>
  <c r="I389" i="3"/>
  <c r="S1221" i="3"/>
  <c r="P1221" i="3"/>
  <c r="O1221" i="3"/>
  <c r="N1221" i="3"/>
  <c r="M1221" i="3"/>
  <c r="L1221" i="3"/>
  <c r="J1221" i="3"/>
  <c r="D1221" i="3"/>
  <c r="I22" i="7" s="1"/>
  <c r="K1221" i="3"/>
  <c r="E1221" i="3"/>
  <c r="J22" i="7" s="1"/>
  <c r="I1221" i="3"/>
  <c r="H1221" i="3"/>
  <c r="S951" i="3"/>
  <c r="P951" i="3"/>
  <c r="O951" i="3"/>
  <c r="N951" i="3"/>
  <c r="M951" i="3"/>
  <c r="L951" i="3"/>
  <c r="J951" i="3"/>
  <c r="K951" i="3"/>
  <c r="E951" i="3"/>
  <c r="D951" i="3"/>
  <c r="H951" i="3"/>
  <c r="I951" i="3"/>
  <c r="S1119" i="3"/>
  <c r="P1119" i="3"/>
  <c r="O1119" i="3"/>
  <c r="N1119" i="3"/>
  <c r="L1119" i="3"/>
  <c r="K1119" i="3"/>
  <c r="M1119" i="3"/>
  <c r="J1119" i="3"/>
  <c r="E1119" i="3"/>
  <c r="J149" i="7" s="1"/>
  <c r="D1119" i="3"/>
  <c r="I149" i="7" s="1"/>
  <c r="H1119" i="3"/>
  <c r="I1119" i="3"/>
  <c r="S1002" i="3"/>
  <c r="P1002" i="3"/>
  <c r="O1002" i="3"/>
  <c r="N1002" i="3"/>
  <c r="M1002" i="3"/>
  <c r="L1002" i="3"/>
  <c r="K1002" i="3"/>
  <c r="J1002" i="3"/>
  <c r="E1002" i="3"/>
  <c r="J413" i="7" s="1"/>
  <c r="D1002" i="3"/>
  <c r="H1002" i="3"/>
  <c r="I1002" i="3"/>
  <c r="S1372" i="3"/>
  <c r="P1372" i="3"/>
  <c r="O1372" i="3"/>
  <c r="N1372" i="3"/>
  <c r="M1372" i="3"/>
  <c r="L1372" i="3"/>
  <c r="K1372" i="3"/>
  <c r="J1372" i="3"/>
  <c r="E1372" i="3"/>
  <c r="D1372" i="3"/>
  <c r="H1372" i="3"/>
  <c r="I1372" i="3"/>
  <c r="S1013" i="3"/>
  <c r="P1013" i="3"/>
  <c r="O1013" i="3"/>
  <c r="M1013" i="3"/>
  <c r="L1013" i="3"/>
  <c r="N1013" i="3"/>
  <c r="K1013" i="3"/>
  <c r="J1013" i="3"/>
  <c r="E1013" i="3"/>
  <c r="D1013" i="3"/>
  <c r="H1013" i="3"/>
  <c r="I1013" i="3"/>
  <c r="S540" i="3"/>
  <c r="P540" i="3"/>
  <c r="O540" i="3"/>
  <c r="N540" i="3"/>
  <c r="M540" i="3"/>
  <c r="L540" i="3"/>
  <c r="J540" i="3"/>
  <c r="K540" i="3"/>
  <c r="D540" i="3"/>
  <c r="I224" i="7" s="1"/>
  <c r="E540" i="3"/>
  <c r="J224" i="7" s="1"/>
  <c r="H540" i="3"/>
  <c r="I540" i="3"/>
  <c r="S1154" i="3"/>
  <c r="P1154" i="3"/>
  <c r="O1154" i="3"/>
  <c r="N1154" i="3"/>
  <c r="M1154" i="3"/>
  <c r="K1154" i="3"/>
  <c r="L1154" i="3"/>
  <c r="J1154" i="3"/>
  <c r="E1154" i="3"/>
  <c r="J75" i="7" s="1"/>
  <c r="D1154" i="3"/>
  <c r="I75" i="7" s="1"/>
  <c r="H1154" i="3"/>
  <c r="I1154" i="3"/>
  <c r="S1501" i="3"/>
  <c r="P1501" i="3"/>
  <c r="O1501" i="3"/>
  <c r="N1501" i="3"/>
  <c r="M1501" i="3"/>
  <c r="K1501" i="3"/>
  <c r="J1501" i="3"/>
  <c r="L1501" i="3"/>
  <c r="E1501" i="3"/>
  <c r="J400" i="7" s="1"/>
  <c r="D1501" i="3"/>
  <c r="H1501" i="3"/>
  <c r="I1501" i="3"/>
  <c r="S1309" i="3"/>
  <c r="P1309" i="3"/>
  <c r="O1309" i="3"/>
  <c r="N1309" i="3"/>
  <c r="M1309" i="3"/>
  <c r="L1309" i="3"/>
  <c r="K1309" i="3"/>
  <c r="J1309" i="3"/>
  <c r="E1309" i="3"/>
  <c r="J341" i="7" s="1"/>
  <c r="D1309" i="3"/>
  <c r="I341" i="7" s="1"/>
  <c r="H1309" i="3"/>
  <c r="I1309" i="3"/>
  <c r="S489" i="3"/>
  <c r="P489" i="3"/>
  <c r="O489" i="3"/>
  <c r="N489" i="3"/>
  <c r="M489" i="3"/>
  <c r="L489" i="3"/>
  <c r="K489" i="3"/>
  <c r="J489" i="3"/>
  <c r="J349" i="7"/>
  <c r="I489" i="3"/>
  <c r="S605" i="3"/>
  <c r="P605" i="3"/>
  <c r="O605" i="3"/>
  <c r="N605" i="3"/>
  <c r="M605" i="3"/>
  <c r="L605" i="3"/>
  <c r="K605" i="3"/>
  <c r="J605" i="3"/>
  <c r="E605" i="3"/>
  <c r="D605" i="3"/>
  <c r="H605" i="3"/>
  <c r="I605" i="3"/>
  <c r="S1158" i="3"/>
  <c r="P1158" i="3"/>
  <c r="O1158" i="3"/>
  <c r="N1158" i="3"/>
  <c r="M1158" i="3"/>
  <c r="L1158" i="3"/>
  <c r="K1158" i="3"/>
  <c r="J1158" i="3"/>
  <c r="E1158" i="3"/>
  <c r="D1158" i="3"/>
  <c r="H1158" i="3"/>
  <c r="I1158" i="3"/>
  <c r="S1205" i="3"/>
  <c r="P1205" i="3"/>
  <c r="O1205" i="3"/>
  <c r="N1205" i="3"/>
  <c r="L1205" i="3"/>
  <c r="M1205" i="3"/>
  <c r="K1205" i="3"/>
  <c r="J1205" i="3"/>
  <c r="E1205" i="3"/>
  <c r="J428" i="7" s="1"/>
  <c r="D1205" i="3"/>
  <c r="I428" i="7" s="1"/>
  <c r="H1205" i="3"/>
  <c r="I1205" i="3"/>
  <c r="S1030" i="3"/>
  <c r="P1030" i="3"/>
  <c r="O1030" i="3"/>
  <c r="M1030" i="3"/>
  <c r="N1030" i="3"/>
  <c r="L1030" i="3"/>
  <c r="J1030" i="3"/>
  <c r="K1030" i="3"/>
  <c r="E1030" i="3"/>
  <c r="D1030" i="3"/>
  <c r="H1030" i="3"/>
  <c r="I1030" i="3"/>
  <c r="S1220" i="3"/>
  <c r="P1220" i="3"/>
  <c r="O1220" i="3"/>
  <c r="N1220" i="3"/>
  <c r="M1220" i="3"/>
  <c r="L1220" i="3"/>
  <c r="J1220" i="3"/>
  <c r="K1220" i="3"/>
  <c r="D1220" i="3"/>
  <c r="I473" i="7" s="1"/>
  <c r="E1220" i="3"/>
  <c r="J473" i="7" s="1"/>
  <c r="H1220" i="3"/>
  <c r="I1220" i="3"/>
  <c r="S1178" i="3"/>
  <c r="P1178" i="3"/>
  <c r="O1178" i="3"/>
  <c r="N1178" i="3"/>
  <c r="M1178" i="3"/>
  <c r="L1178" i="3"/>
  <c r="K1178" i="3"/>
  <c r="J1178" i="3"/>
  <c r="E1178" i="3"/>
  <c r="D1178" i="3"/>
  <c r="H1178" i="3"/>
  <c r="I1178" i="3"/>
  <c r="S873" i="3"/>
  <c r="P873" i="3"/>
  <c r="O873" i="3"/>
  <c r="N873" i="3"/>
  <c r="M873" i="3"/>
  <c r="L873" i="3"/>
  <c r="K873" i="3"/>
  <c r="J873" i="3"/>
  <c r="E873" i="3"/>
  <c r="D873" i="3"/>
  <c r="I873" i="3"/>
  <c r="H873" i="3"/>
  <c r="S1011" i="3"/>
  <c r="P1011" i="3"/>
  <c r="O1011" i="3"/>
  <c r="N1011" i="3"/>
  <c r="M1011" i="3"/>
  <c r="L1011" i="3"/>
  <c r="K1011" i="3"/>
  <c r="E1011" i="3"/>
  <c r="J1011" i="3"/>
  <c r="D1011" i="3"/>
  <c r="H1011" i="3"/>
  <c r="I1011" i="3"/>
  <c r="S395" i="3"/>
  <c r="P395" i="3"/>
  <c r="N395" i="3"/>
  <c r="O395" i="3"/>
  <c r="M395" i="3"/>
  <c r="L395" i="3"/>
  <c r="K395" i="3"/>
  <c r="J395" i="3"/>
  <c r="E395" i="3"/>
  <c r="J215" i="7" s="1"/>
  <c r="D395" i="3"/>
  <c r="I215" i="7" s="1"/>
  <c r="H395" i="3"/>
  <c r="I395" i="3"/>
  <c r="S1145" i="3"/>
  <c r="P1145" i="3"/>
  <c r="O1145" i="3"/>
  <c r="N1145" i="3"/>
  <c r="M1145" i="3"/>
  <c r="L1145" i="3"/>
  <c r="J1145" i="3"/>
  <c r="K1145" i="3"/>
  <c r="D1145" i="3"/>
  <c r="E1145" i="3"/>
  <c r="H1145" i="3"/>
  <c r="I1145" i="3"/>
  <c r="S1109" i="3"/>
  <c r="P1109" i="3"/>
  <c r="O1109" i="3"/>
  <c r="N1109" i="3"/>
  <c r="M1109" i="3"/>
  <c r="L1109" i="3"/>
  <c r="K1109" i="3"/>
  <c r="J1109" i="3"/>
  <c r="E1109" i="3"/>
  <c r="D1109" i="3"/>
  <c r="H1109" i="3"/>
  <c r="I1109" i="3"/>
  <c r="S1087" i="3"/>
  <c r="P1087" i="3"/>
  <c r="O1087" i="3"/>
  <c r="N1087" i="3"/>
  <c r="M1087" i="3"/>
  <c r="L1087" i="3"/>
  <c r="K1087" i="3"/>
  <c r="J1087" i="3"/>
  <c r="E1087" i="3"/>
  <c r="D1087" i="3"/>
  <c r="H1087" i="3"/>
  <c r="I1087" i="3"/>
  <c r="S1062" i="3"/>
  <c r="P1062" i="3"/>
  <c r="O1062" i="3"/>
  <c r="N1062" i="3"/>
  <c r="M1062" i="3"/>
  <c r="L1062" i="3"/>
  <c r="K1062" i="3"/>
  <c r="J1062" i="3"/>
  <c r="E1062" i="3"/>
  <c r="D1062" i="3"/>
  <c r="H1062" i="3"/>
  <c r="I1062" i="3"/>
  <c r="S1016" i="3"/>
  <c r="P1016" i="3"/>
  <c r="O1016" i="3"/>
  <c r="M1016" i="3"/>
  <c r="N1016" i="3"/>
  <c r="L1016" i="3"/>
  <c r="J1016" i="3"/>
  <c r="K1016" i="3"/>
  <c r="E1016" i="3"/>
  <c r="D1016" i="3"/>
  <c r="H1016" i="3"/>
  <c r="I1016" i="3"/>
  <c r="S842" i="3"/>
  <c r="P842" i="3"/>
  <c r="O842" i="3"/>
  <c r="N842" i="3"/>
  <c r="M842" i="3"/>
  <c r="L842" i="3"/>
  <c r="K842" i="3"/>
  <c r="E842" i="3"/>
  <c r="J842" i="3"/>
  <c r="D842" i="3"/>
  <c r="H842" i="3"/>
  <c r="I842" i="3"/>
  <c r="S985" i="3"/>
  <c r="P985" i="3"/>
  <c r="O985" i="3"/>
  <c r="N985" i="3"/>
  <c r="M985" i="3"/>
  <c r="L985" i="3"/>
  <c r="K985" i="3"/>
  <c r="J985" i="3"/>
  <c r="E985" i="3"/>
  <c r="D985" i="3"/>
  <c r="H985" i="3"/>
  <c r="I985" i="3"/>
  <c r="S800" i="3"/>
  <c r="P800" i="3"/>
  <c r="O800" i="3"/>
  <c r="N800" i="3"/>
  <c r="M800" i="3"/>
  <c r="L800" i="3"/>
  <c r="K800" i="3"/>
  <c r="E800" i="3"/>
  <c r="J800" i="3"/>
  <c r="D800" i="3"/>
  <c r="H800" i="3"/>
  <c r="I800" i="3"/>
  <c r="S953" i="3"/>
  <c r="P953" i="3"/>
  <c r="O953" i="3"/>
  <c r="M953" i="3"/>
  <c r="N953" i="3"/>
  <c r="K953" i="3"/>
  <c r="L953" i="3"/>
  <c r="J953" i="3"/>
  <c r="E953" i="3"/>
  <c r="D953" i="3"/>
  <c r="H953" i="3"/>
  <c r="I953" i="3"/>
  <c r="S935" i="3"/>
  <c r="P935" i="3"/>
  <c r="O935" i="3"/>
  <c r="N935" i="3"/>
  <c r="M935" i="3"/>
  <c r="L935" i="3"/>
  <c r="K935" i="3"/>
  <c r="J935" i="3"/>
  <c r="E935" i="3"/>
  <c r="D935" i="3"/>
  <c r="H935" i="3"/>
  <c r="I935" i="3"/>
  <c r="S925" i="3"/>
  <c r="P925" i="3"/>
  <c r="O925" i="3"/>
  <c r="N925" i="3"/>
  <c r="M925" i="3"/>
  <c r="L925" i="3"/>
  <c r="K925" i="3"/>
  <c r="J925" i="3"/>
  <c r="E925" i="3"/>
  <c r="D925" i="3"/>
  <c r="H925" i="3"/>
  <c r="I925" i="3"/>
  <c r="S910" i="3"/>
  <c r="P910" i="3"/>
  <c r="O910" i="3"/>
  <c r="N910" i="3"/>
  <c r="M910" i="3"/>
  <c r="L910" i="3"/>
  <c r="K910" i="3"/>
  <c r="J910" i="3"/>
  <c r="E910" i="3"/>
  <c r="D910" i="3"/>
  <c r="H910" i="3"/>
  <c r="I910" i="3"/>
  <c r="S898" i="3"/>
  <c r="P898" i="3"/>
  <c r="O898" i="3"/>
  <c r="N898" i="3"/>
  <c r="M898" i="3"/>
  <c r="L898" i="3"/>
  <c r="K898" i="3"/>
  <c r="J898" i="3"/>
  <c r="E898" i="3"/>
  <c r="J512" i="7" s="1"/>
  <c r="D898" i="3"/>
  <c r="H898" i="3"/>
  <c r="I898" i="3"/>
  <c r="S887" i="3"/>
  <c r="O887" i="3"/>
  <c r="P887" i="3"/>
  <c r="N887" i="3"/>
  <c r="M887" i="3"/>
  <c r="L887" i="3"/>
  <c r="K887" i="3"/>
  <c r="E887" i="3"/>
  <c r="J887" i="3"/>
  <c r="D887" i="3"/>
  <c r="H887" i="3"/>
  <c r="I887" i="3"/>
  <c r="S533" i="3"/>
  <c r="P533" i="3"/>
  <c r="O533" i="3"/>
  <c r="N533" i="3"/>
  <c r="M533" i="3"/>
  <c r="L533" i="3"/>
  <c r="K533" i="3"/>
  <c r="E533" i="3"/>
  <c r="J532" i="7" s="1"/>
  <c r="J533" i="3"/>
  <c r="D533" i="3"/>
  <c r="I532" i="7" s="1"/>
  <c r="H533" i="3"/>
  <c r="I533" i="3"/>
  <c r="S862" i="3"/>
  <c r="P862" i="3"/>
  <c r="O862" i="3"/>
  <c r="N862" i="3"/>
  <c r="M862" i="3"/>
  <c r="L862" i="3"/>
  <c r="K862" i="3"/>
  <c r="E862" i="3"/>
  <c r="J862" i="3"/>
  <c r="D862" i="3"/>
  <c r="H862" i="3"/>
  <c r="I862" i="3"/>
  <c r="S388" i="3"/>
  <c r="P388" i="3"/>
  <c r="O388" i="3"/>
  <c r="N388" i="3"/>
  <c r="M388" i="3"/>
  <c r="L388" i="3"/>
  <c r="K388" i="3"/>
  <c r="J388" i="3"/>
  <c r="I388" i="3"/>
  <c r="S822" i="3"/>
  <c r="P822" i="3"/>
  <c r="O822" i="3"/>
  <c r="N822" i="3"/>
  <c r="M822" i="3"/>
  <c r="L822" i="3"/>
  <c r="K822" i="3"/>
  <c r="J822" i="3"/>
  <c r="E822" i="3"/>
  <c r="D822" i="3"/>
  <c r="H822" i="3"/>
  <c r="I822" i="3"/>
  <c r="S84" i="3"/>
  <c r="P84" i="3"/>
  <c r="O84" i="3"/>
  <c r="N84" i="3"/>
  <c r="M84" i="3"/>
  <c r="L84" i="3"/>
  <c r="K84" i="3"/>
  <c r="J84" i="3"/>
  <c r="I84" i="3"/>
  <c r="S775" i="3"/>
  <c r="P775" i="3"/>
  <c r="O775" i="3"/>
  <c r="M775" i="3"/>
  <c r="N775" i="3"/>
  <c r="L775" i="3"/>
  <c r="K775" i="3"/>
  <c r="J775" i="3"/>
  <c r="E775" i="3"/>
  <c r="D775" i="3"/>
  <c r="H775" i="3"/>
  <c r="I775" i="3"/>
  <c r="S607" i="3"/>
  <c r="P607" i="3"/>
  <c r="O607" i="3"/>
  <c r="N607" i="3"/>
  <c r="M607" i="3"/>
  <c r="L607" i="3"/>
  <c r="K607" i="3"/>
  <c r="E607" i="3"/>
  <c r="J331" i="7" s="1"/>
  <c r="J607" i="3"/>
  <c r="D607" i="3"/>
  <c r="I331" i="7" s="1"/>
  <c r="H607" i="3"/>
  <c r="I607" i="3"/>
  <c r="S725" i="3"/>
  <c r="P725" i="3"/>
  <c r="O725" i="3"/>
  <c r="N725" i="3"/>
  <c r="M725" i="3"/>
  <c r="L725" i="3"/>
  <c r="K725" i="3"/>
  <c r="J725" i="3"/>
  <c r="E725" i="3"/>
  <c r="D725" i="3"/>
  <c r="H725" i="3"/>
  <c r="I725" i="3"/>
  <c r="S599" i="3"/>
  <c r="P599" i="3"/>
  <c r="O599" i="3"/>
  <c r="N599" i="3"/>
  <c r="M599" i="3"/>
  <c r="L599" i="3"/>
  <c r="K599" i="3"/>
  <c r="J599" i="3"/>
  <c r="I599" i="3"/>
  <c r="S1428" i="3"/>
  <c r="P1428" i="3"/>
  <c r="O1428" i="3"/>
  <c r="N1428" i="3"/>
  <c r="L1428" i="3"/>
  <c r="M1428" i="3"/>
  <c r="K1428" i="3"/>
  <c r="J1428" i="3"/>
  <c r="E1428" i="3"/>
  <c r="D1428" i="3"/>
  <c r="H1428" i="3"/>
  <c r="I1428" i="3"/>
  <c r="S654" i="3"/>
  <c r="P654" i="3"/>
  <c r="O654" i="3"/>
  <c r="N654" i="3"/>
  <c r="M654" i="3"/>
  <c r="L654" i="3"/>
  <c r="K654" i="3"/>
  <c r="E654" i="3"/>
  <c r="J654" i="3"/>
  <c r="D654" i="3"/>
  <c r="H654" i="3"/>
  <c r="I654" i="3"/>
  <c r="S635" i="3"/>
  <c r="P635" i="3"/>
  <c r="O635" i="3"/>
  <c r="M635" i="3"/>
  <c r="N635" i="3"/>
  <c r="K635" i="3"/>
  <c r="J635" i="3"/>
  <c r="L635" i="3"/>
  <c r="I635" i="3"/>
  <c r="S547" i="3"/>
  <c r="P547" i="3"/>
  <c r="O547" i="3"/>
  <c r="N547" i="3"/>
  <c r="M547" i="3"/>
  <c r="L547" i="3"/>
  <c r="K547" i="3"/>
  <c r="J598" i="7"/>
  <c r="J547" i="3"/>
  <c r="I598" i="7"/>
  <c r="I547" i="3"/>
  <c r="S226" i="3"/>
  <c r="P226" i="3"/>
  <c r="O226" i="3"/>
  <c r="M226" i="3"/>
  <c r="N226" i="3"/>
  <c r="L226" i="3"/>
  <c r="K226" i="3"/>
  <c r="J226" i="3"/>
  <c r="I226" i="3"/>
  <c r="S152" i="3"/>
  <c r="P152" i="3"/>
  <c r="O152" i="3"/>
  <c r="N152" i="3"/>
  <c r="M152" i="3"/>
  <c r="L152" i="3"/>
  <c r="K152" i="3"/>
  <c r="J152" i="3"/>
  <c r="I152" i="3"/>
  <c r="S706" i="3"/>
  <c r="O706" i="3"/>
  <c r="P706" i="3"/>
  <c r="N706" i="3"/>
  <c r="M706" i="3"/>
  <c r="K706" i="3"/>
  <c r="L706" i="3"/>
  <c r="J706" i="3"/>
  <c r="E706" i="3"/>
  <c r="J460" i="7" s="1"/>
  <c r="D706" i="3"/>
  <c r="I460" i="7" s="1"/>
  <c r="H706" i="3"/>
  <c r="I706" i="3"/>
  <c r="S400" i="3"/>
  <c r="P400" i="3"/>
  <c r="O400" i="3"/>
  <c r="N400" i="3"/>
  <c r="M400" i="3"/>
  <c r="L400" i="3"/>
  <c r="K400" i="3"/>
  <c r="J400" i="3"/>
  <c r="I400" i="3"/>
  <c r="S1298" i="3"/>
  <c r="P1298" i="3"/>
  <c r="O1298" i="3"/>
  <c r="N1298" i="3"/>
  <c r="M1298" i="3"/>
  <c r="L1298" i="3"/>
  <c r="K1298" i="3"/>
  <c r="J1298" i="3"/>
  <c r="E1298" i="3"/>
  <c r="D1298" i="3"/>
  <c r="H1298" i="3"/>
  <c r="I1298" i="3"/>
  <c r="S110" i="3"/>
  <c r="P110" i="3"/>
  <c r="O110" i="3"/>
  <c r="N110" i="3"/>
  <c r="M110" i="3"/>
  <c r="L110" i="3"/>
  <c r="K110" i="3"/>
  <c r="J110" i="3"/>
  <c r="I110" i="3"/>
  <c r="S1415" i="3"/>
  <c r="P1415" i="3"/>
  <c r="O1415" i="3"/>
  <c r="M1415" i="3"/>
  <c r="N1415" i="3"/>
  <c r="L1415" i="3"/>
  <c r="K1415" i="3"/>
  <c r="J1415" i="3"/>
  <c r="E1415" i="3"/>
  <c r="D1415" i="3"/>
  <c r="H1415" i="3"/>
  <c r="I1415" i="3"/>
  <c r="S687" i="3"/>
  <c r="O687" i="3"/>
  <c r="P687" i="3"/>
  <c r="N687" i="3"/>
  <c r="M687" i="3"/>
  <c r="L687" i="3"/>
  <c r="K687" i="3"/>
  <c r="J687" i="3"/>
  <c r="J578" i="7"/>
  <c r="I578" i="7"/>
  <c r="I687" i="3"/>
  <c r="S385" i="3"/>
  <c r="P385" i="3"/>
  <c r="O385" i="3"/>
  <c r="N385" i="3"/>
  <c r="M385" i="3"/>
  <c r="L385" i="3"/>
  <c r="K385" i="3"/>
  <c r="J385" i="3"/>
  <c r="I385" i="3"/>
  <c r="S132" i="3"/>
  <c r="P132" i="3"/>
  <c r="O132" i="3"/>
  <c r="N132" i="3"/>
  <c r="L132" i="3"/>
  <c r="M132" i="3"/>
  <c r="K132" i="3"/>
  <c r="J132" i="3"/>
  <c r="I132" i="3"/>
  <c r="S27" i="3"/>
  <c r="P27" i="3"/>
  <c r="O27" i="3"/>
  <c r="N27" i="3"/>
  <c r="M27" i="3"/>
  <c r="L27" i="3"/>
  <c r="K27" i="3"/>
  <c r="J27" i="3"/>
  <c r="J571" i="7"/>
  <c r="I571" i="7"/>
  <c r="I27" i="3"/>
  <c r="S1384" i="3"/>
  <c r="P1384" i="3"/>
  <c r="O1384" i="3"/>
  <c r="N1384" i="3"/>
  <c r="M1384" i="3"/>
  <c r="L1384" i="3"/>
  <c r="K1384" i="3"/>
  <c r="J1384" i="3"/>
  <c r="E1384" i="3"/>
  <c r="D1384" i="3"/>
  <c r="H1384" i="3"/>
  <c r="I1384" i="3"/>
  <c r="S864" i="3"/>
  <c r="P864" i="3"/>
  <c r="O864" i="3"/>
  <c r="N864" i="3"/>
  <c r="M864" i="3"/>
  <c r="L864" i="3"/>
  <c r="K864" i="3"/>
  <c r="J864" i="3"/>
  <c r="I864" i="3"/>
  <c r="S308" i="3"/>
  <c r="P308" i="3"/>
  <c r="O308" i="3"/>
  <c r="M308" i="3"/>
  <c r="L308" i="3"/>
  <c r="N308" i="3"/>
  <c r="K308" i="3"/>
  <c r="J308" i="3"/>
  <c r="I308" i="3"/>
  <c r="S146" i="3"/>
  <c r="P146" i="3"/>
  <c r="O146" i="3"/>
  <c r="N146" i="3"/>
  <c r="M146" i="3"/>
  <c r="L146" i="3"/>
  <c r="K146" i="3"/>
  <c r="J146" i="3"/>
  <c r="J469" i="7"/>
  <c r="I469" i="7"/>
  <c r="I146" i="3"/>
  <c r="S1486" i="3"/>
  <c r="P1486" i="3"/>
  <c r="O1486" i="3"/>
  <c r="N1486" i="3"/>
  <c r="M1486" i="3"/>
  <c r="L1486" i="3"/>
  <c r="K1486" i="3"/>
  <c r="J1486" i="3"/>
  <c r="E1486" i="3"/>
  <c r="D1486" i="3"/>
  <c r="H1486" i="3"/>
  <c r="I1486" i="3"/>
  <c r="S1421" i="3"/>
  <c r="O1421" i="3"/>
  <c r="P1421" i="3"/>
  <c r="N1421" i="3"/>
  <c r="L1421" i="3"/>
  <c r="M1421" i="3"/>
  <c r="K1421" i="3"/>
  <c r="J1421" i="3"/>
  <c r="E1421" i="3"/>
  <c r="D1421" i="3"/>
  <c r="H1421" i="3"/>
  <c r="I1421" i="3"/>
  <c r="S1302" i="3"/>
  <c r="P1302" i="3"/>
  <c r="N1302" i="3"/>
  <c r="O1302" i="3"/>
  <c r="M1302" i="3"/>
  <c r="L1302" i="3"/>
  <c r="K1302" i="3"/>
  <c r="J1302" i="3"/>
  <c r="E1302" i="3"/>
  <c r="D1302" i="3"/>
  <c r="H1302" i="3"/>
  <c r="I1302" i="3"/>
  <c r="S1153" i="3"/>
  <c r="P1153" i="3"/>
  <c r="O1153" i="3"/>
  <c r="N1153" i="3"/>
  <c r="M1153" i="3"/>
  <c r="L1153" i="3"/>
  <c r="J1153" i="3"/>
  <c r="K1153" i="3"/>
  <c r="D1153" i="3"/>
  <c r="E1153" i="3"/>
  <c r="H1153" i="3"/>
  <c r="I1153" i="3"/>
  <c r="S297" i="3"/>
  <c r="P297" i="3"/>
  <c r="N297" i="3"/>
  <c r="O297" i="3"/>
  <c r="M297" i="3"/>
  <c r="L297" i="3"/>
  <c r="J297" i="3"/>
  <c r="K297" i="3"/>
  <c r="I297" i="3"/>
  <c r="S151" i="3"/>
  <c r="P151" i="3"/>
  <c r="O151" i="3"/>
  <c r="N151" i="3"/>
  <c r="M151" i="3"/>
  <c r="L151" i="3"/>
  <c r="K151" i="3"/>
  <c r="J151" i="3"/>
  <c r="J437" i="7"/>
  <c r="I151" i="3"/>
  <c r="S309" i="3"/>
  <c r="P309" i="3"/>
  <c r="O309" i="3"/>
  <c r="M309" i="3"/>
  <c r="N309" i="3"/>
  <c r="L309" i="3"/>
  <c r="K309" i="3"/>
  <c r="J309" i="3"/>
  <c r="I309" i="3"/>
  <c r="S28" i="3"/>
  <c r="P28" i="3"/>
  <c r="O28" i="3"/>
  <c r="N28" i="3"/>
  <c r="M28" i="3"/>
  <c r="L28" i="3"/>
  <c r="K28" i="3"/>
  <c r="J28" i="3"/>
  <c r="I28" i="3"/>
  <c r="S1324" i="3"/>
  <c r="P1324" i="3"/>
  <c r="O1324" i="3"/>
  <c r="N1324" i="3"/>
  <c r="L1324" i="3"/>
  <c r="M1324" i="3"/>
  <c r="K1324" i="3"/>
  <c r="J1324" i="3"/>
  <c r="E1324" i="3"/>
  <c r="D1324" i="3"/>
  <c r="H1324" i="3"/>
  <c r="I1324" i="3"/>
  <c r="S1116" i="3"/>
  <c r="P1116" i="3"/>
  <c r="O1116" i="3"/>
  <c r="N1116" i="3"/>
  <c r="M1116" i="3"/>
  <c r="L1116" i="3"/>
  <c r="K1116" i="3"/>
  <c r="J1116" i="3"/>
  <c r="E1116" i="3"/>
  <c r="J260" i="7" s="1"/>
  <c r="D1116" i="3"/>
  <c r="I1116" i="3"/>
  <c r="H1116" i="3"/>
  <c r="S304" i="3"/>
  <c r="P304" i="3"/>
  <c r="O304" i="3"/>
  <c r="N304" i="3"/>
  <c r="M304" i="3"/>
  <c r="L304" i="3"/>
  <c r="K304" i="3"/>
  <c r="J304" i="3"/>
  <c r="I304" i="3"/>
  <c r="S334" i="3"/>
  <c r="P334" i="3"/>
  <c r="O334" i="3"/>
  <c r="N334" i="3"/>
  <c r="M334" i="3"/>
  <c r="L334" i="3"/>
  <c r="K334" i="3"/>
  <c r="J334" i="3"/>
  <c r="J607" i="7"/>
  <c r="I607" i="7"/>
  <c r="I334" i="3"/>
  <c r="S12" i="3"/>
  <c r="P12" i="3"/>
  <c r="O12" i="3"/>
  <c r="N12" i="3"/>
  <c r="L12" i="3"/>
  <c r="M12" i="3"/>
  <c r="K12" i="3"/>
  <c r="J12" i="3"/>
  <c r="I12" i="3"/>
  <c r="S1520" i="3"/>
  <c r="P1520" i="3"/>
  <c r="O1520" i="3"/>
  <c r="N1520" i="3"/>
  <c r="M1520" i="3"/>
  <c r="L1520" i="3"/>
  <c r="K1520" i="3"/>
  <c r="J1520" i="3"/>
  <c r="E1520" i="3"/>
  <c r="D1520" i="3"/>
  <c r="H1520" i="3"/>
  <c r="I1520" i="3"/>
  <c r="S1503" i="3"/>
  <c r="P1503" i="3"/>
  <c r="O1503" i="3"/>
  <c r="N1503" i="3"/>
  <c r="M1503" i="3"/>
  <c r="L1503" i="3"/>
  <c r="K1503" i="3"/>
  <c r="J1503" i="3"/>
  <c r="E1503" i="3"/>
  <c r="J371" i="7" s="1"/>
  <c r="D1503" i="3"/>
  <c r="I371" i="7" s="1"/>
  <c r="H1503" i="3"/>
  <c r="I1503" i="3"/>
  <c r="S1455" i="3"/>
  <c r="P1455" i="3"/>
  <c r="N1455" i="3"/>
  <c r="O1455" i="3"/>
  <c r="M1455" i="3"/>
  <c r="L1455" i="3"/>
  <c r="K1455" i="3"/>
  <c r="J1455" i="3"/>
  <c r="E1455" i="3"/>
  <c r="J401" i="7" s="1"/>
  <c r="D1455" i="3"/>
  <c r="I401" i="7" s="1"/>
  <c r="H1455" i="3"/>
  <c r="I1455" i="3"/>
  <c r="S1387" i="3"/>
  <c r="P1387" i="3"/>
  <c r="O1387" i="3"/>
  <c r="N1387" i="3"/>
  <c r="M1387" i="3"/>
  <c r="L1387" i="3"/>
  <c r="K1387" i="3"/>
  <c r="E1387" i="3"/>
  <c r="J1387" i="3"/>
  <c r="D1387" i="3"/>
  <c r="H1387" i="3"/>
  <c r="I1387" i="3"/>
  <c r="S1322" i="3"/>
  <c r="P1322" i="3"/>
  <c r="O1322" i="3"/>
  <c r="N1322" i="3"/>
  <c r="M1322" i="3"/>
  <c r="L1322" i="3"/>
  <c r="K1322" i="3"/>
  <c r="J1322" i="3"/>
  <c r="E1322" i="3"/>
  <c r="J498" i="7" s="1"/>
  <c r="D1322" i="3"/>
  <c r="I498" i="7" s="1"/>
  <c r="H1322" i="3"/>
  <c r="I1322" i="3"/>
  <c r="S1253" i="3"/>
  <c r="P1253" i="3"/>
  <c r="N1253" i="3"/>
  <c r="O1253" i="3"/>
  <c r="M1253" i="3"/>
  <c r="L1253" i="3"/>
  <c r="K1253" i="3"/>
  <c r="J1253" i="3"/>
  <c r="E1253" i="3"/>
  <c r="D1253" i="3"/>
  <c r="H1253" i="3"/>
  <c r="I1253" i="3"/>
  <c r="S449" i="3"/>
  <c r="P449" i="3"/>
  <c r="N449" i="3"/>
  <c r="O449" i="3"/>
  <c r="M449" i="3"/>
  <c r="L449" i="3"/>
  <c r="K449" i="3"/>
  <c r="E449" i="3"/>
  <c r="J448" i="7" s="1"/>
  <c r="J449" i="3"/>
  <c r="D449" i="3"/>
  <c r="H449" i="3"/>
  <c r="I449" i="3"/>
  <c r="S908" i="3"/>
  <c r="P908" i="3"/>
  <c r="O908" i="3"/>
  <c r="N908" i="3"/>
  <c r="M908" i="3"/>
  <c r="L908" i="3"/>
  <c r="K908" i="3"/>
  <c r="J908" i="3"/>
  <c r="I908" i="3"/>
  <c r="S188" i="3"/>
  <c r="P188" i="3"/>
  <c r="O188" i="3"/>
  <c r="N188" i="3"/>
  <c r="M188" i="3"/>
  <c r="L188" i="3"/>
  <c r="K188" i="3"/>
  <c r="J188" i="3"/>
  <c r="J312" i="7"/>
  <c r="I312" i="7"/>
  <c r="I188" i="3"/>
  <c r="S517" i="3"/>
  <c r="P517" i="3"/>
  <c r="O517" i="3"/>
  <c r="N517" i="3"/>
  <c r="M517" i="3"/>
  <c r="K517" i="3"/>
  <c r="L517" i="3"/>
  <c r="J517" i="3"/>
  <c r="I517" i="3"/>
  <c r="S157" i="3"/>
  <c r="P157" i="3"/>
  <c r="O157" i="3"/>
  <c r="N157" i="3"/>
  <c r="M157" i="3"/>
  <c r="L157" i="3"/>
  <c r="K157" i="3"/>
  <c r="J157" i="3"/>
  <c r="J576" i="7"/>
  <c r="I576" i="7"/>
  <c r="I157" i="3"/>
  <c r="S1207" i="3"/>
  <c r="P1207" i="3"/>
  <c r="O1207" i="3"/>
  <c r="N1207" i="3"/>
  <c r="M1207" i="3"/>
  <c r="L1207" i="3"/>
  <c r="K1207" i="3"/>
  <c r="J1207" i="3"/>
  <c r="D1207" i="3"/>
  <c r="E1207" i="3"/>
  <c r="I1207" i="3"/>
  <c r="H1207" i="3"/>
  <c r="S346" i="3"/>
  <c r="P346" i="3"/>
  <c r="O346" i="3"/>
  <c r="N346" i="3"/>
  <c r="M346" i="3"/>
  <c r="L346" i="3"/>
  <c r="K346" i="3"/>
  <c r="J346" i="3"/>
  <c r="J201" i="7"/>
  <c r="I201" i="7"/>
  <c r="I346" i="3"/>
  <c r="S328" i="3"/>
  <c r="P328" i="3"/>
  <c r="O328" i="3"/>
  <c r="N328" i="3"/>
  <c r="M328" i="3"/>
  <c r="L328" i="3"/>
  <c r="K328" i="3"/>
  <c r="J328" i="3"/>
  <c r="J243" i="7"/>
  <c r="I328" i="3"/>
  <c r="S535" i="3"/>
  <c r="P535" i="3"/>
  <c r="N535" i="3"/>
  <c r="O535" i="3"/>
  <c r="M535" i="3"/>
  <c r="L535" i="3"/>
  <c r="K535" i="3"/>
  <c r="J535" i="3"/>
  <c r="E535" i="3"/>
  <c r="J183" i="7" s="1"/>
  <c r="D535" i="3"/>
  <c r="I183" i="7" s="1"/>
  <c r="H535" i="3"/>
  <c r="I535" i="3"/>
  <c r="S398" i="3"/>
  <c r="P398" i="3"/>
  <c r="O398" i="3"/>
  <c r="N398" i="3"/>
  <c r="M398" i="3"/>
  <c r="L398" i="3"/>
  <c r="K398" i="3"/>
  <c r="J398" i="3"/>
  <c r="J68" i="7"/>
  <c r="I68" i="7"/>
  <c r="I398" i="3"/>
  <c r="S92" i="3"/>
  <c r="P92" i="3"/>
  <c r="O92" i="3"/>
  <c r="N92" i="3"/>
  <c r="M92" i="3"/>
  <c r="K92" i="3"/>
  <c r="J92" i="3"/>
  <c r="L92" i="3"/>
  <c r="J168" i="7"/>
  <c r="I168" i="7"/>
  <c r="I92" i="3"/>
  <c r="S1511" i="3"/>
  <c r="P1511" i="3"/>
  <c r="O1511" i="3"/>
  <c r="N1511" i="3"/>
  <c r="M1511" i="3"/>
  <c r="L1511" i="3"/>
  <c r="K1511" i="3"/>
  <c r="J1511" i="3"/>
  <c r="D1511" i="3"/>
  <c r="I291" i="7" s="1"/>
  <c r="E1511" i="3"/>
  <c r="J291" i="7" s="1"/>
  <c r="I1511" i="3"/>
  <c r="H1511" i="3"/>
  <c r="S1452" i="3"/>
  <c r="P1452" i="3"/>
  <c r="O1452" i="3"/>
  <c r="N1452" i="3"/>
  <c r="M1452" i="3"/>
  <c r="L1452" i="3"/>
  <c r="K1452" i="3"/>
  <c r="J1452" i="3"/>
  <c r="D1452" i="3"/>
  <c r="I144" i="7" s="1"/>
  <c r="E1452" i="3"/>
  <c r="J144" i="7" s="1"/>
  <c r="H1452" i="3"/>
  <c r="I1452" i="3"/>
  <c r="S1243" i="3"/>
  <c r="P1243" i="3"/>
  <c r="O1243" i="3"/>
  <c r="N1243" i="3"/>
  <c r="M1243" i="3"/>
  <c r="L1243" i="3"/>
  <c r="K1243" i="3"/>
  <c r="J1243" i="3"/>
  <c r="E1243" i="3"/>
  <c r="J278" i="7" s="1"/>
  <c r="D1243" i="3"/>
  <c r="I278" i="7" s="1"/>
  <c r="H1243" i="3"/>
  <c r="I1243" i="3"/>
  <c r="S1376" i="3"/>
  <c r="P1376" i="3"/>
  <c r="O1376" i="3"/>
  <c r="N1376" i="3"/>
  <c r="M1376" i="3"/>
  <c r="K1376" i="3"/>
  <c r="L1376" i="3"/>
  <c r="J1376" i="3"/>
  <c r="E1376" i="3"/>
  <c r="J151" i="7" s="1"/>
  <c r="D1376" i="3"/>
  <c r="I151" i="7" s="1"/>
  <c r="H1376" i="3"/>
  <c r="I1376" i="3"/>
  <c r="S1321" i="3"/>
  <c r="P1321" i="3"/>
  <c r="O1321" i="3"/>
  <c r="N1321" i="3"/>
  <c r="M1321" i="3"/>
  <c r="L1321" i="3"/>
  <c r="K1321" i="3"/>
  <c r="J1321" i="3"/>
  <c r="E1321" i="3"/>
  <c r="J81" i="7" s="1"/>
  <c r="D1321" i="3"/>
  <c r="I81" i="7" s="1"/>
  <c r="I1321" i="3"/>
  <c r="H1321" i="3"/>
  <c r="S227" i="3"/>
  <c r="P227" i="3"/>
  <c r="O227" i="3"/>
  <c r="M227" i="3"/>
  <c r="N227" i="3"/>
  <c r="L227" i="3"/>
  <c r="K227" i="3"/>
  <c r="J227" i="3"/>
  <c r="J58" i="7"/>
  <c r="I58" i="7"/>
  <c r="I227" i="3"/>
  <c r="S416" i="3"/>
  <c r="P416" i="3"/>
  <c r="O416" i="3"/>
  <c r="M416" i="3"/>
  <c r="N416" i="3"/>
  <c r="L416" i="3"/>
  <c r="K416" i="3"/>
  <c r="J416" i="3"/>
  <c r="J25" i="7"/>
  <c r="I25" i="7"/>
  <c r="I416" i="3"/>
  <c r="S87" i="3"/>
  <c r="P87" i="3"/>
  <c r="O87" i="3"/>
  <c r="N87" i="3"/>
  <c r="M87" i="3"/>
  <c r="L87" i="3"/>
  <c r="K87" i="3"/>
  <c r="J87" i="3"/>
  <c r="J152" i="7"/>
  <c r="I152" i="7"/>
  <c r="I87" i="3"/>
  <c r="S313" i="3"/>
  <c r="P313" i="3"/>
  <c r="O313" i="3"/>
  <c r="N313" i="3"/>
  <c r="M313" i="3"/>
  <c r="L313" i="3"/>
  <c r="J313" i="3"/>
  <c r="J107" i="7"/>
  <c r="K313" i="3"/>
  <c r="I107" i="7"/>
  <c r="I313" i="3"/>
  <c r="S394" i="3"/>
  <c r="P394" i="3"/>
  <c r="O394" i="3"/>
  <c r="N394" i="3"/>
  <c r="M394" i="3"/>
  <c r="L394" i="3"/>
  <c r="K394" i="3"/>
  <c r="J394" i="3"/>
  <c r="I117" i="7"/>
  <c r="J117" i="7"/>
  <c r="I394" i="3"/>
  <c r="S13" i="3"/>
  <c r="P13" i="3"/>
  <c r="O13" i="3"/>
  <c r="N13" i="3"/>
  <c r="M13" i="3"/>
  <c r="L13" i="3"/>
  <c r="K13" i="3"/>
  <c r="J70" i="7"/>
  <c r="J13" i="3"/>
  <c r="I70" i="7"/>
  <c r="I13" i="3"/>
  <c r="S41" i="3"/>
  <c r="P41" i="3"/>
  <c r="O41" i="3"/>
  <c r="N41" i="3"/>
  <c r="M41" i="3"/>
  <c r="L41" i="3"/>
  <c r="J41" i="3"/>
  <c r="J17" i="7"/>
  <c r="I17" i="7"/>
  <c r="K41" i="3"/>
  <c r="I41" i="3"/>
  <c r="P82" i="3"/>
  <c r="S82" i="3"/>
  <c r="O82" i="3"/>
  <c r="M82" i="3"/>
  <c r="N82" i="3"/>
  <c r="J82" i="3"/>
  <c r="K82" i="3"/>
  <c r="L82" i="3"/>
  <c r="J304" i="7"/>
  <c r="I82" i="3"/>
  <c r="S889" i="3"/>
  <c r="P889" i="3"/>
  <c r="O889" i="3"/>
  <c r="N889" i="3"/>
  <c r="M889" i="3"/>
  <c r="L889" i="3"/>
  <c r="K889" i="3"/>
  <c r="J889" i="3"/>
  <c r="I889" i="3"/>
  <c r="S679" i="3"/>
  <c r="P679" i="3"/>
  <c r="O679" i="3"/>
  <c r="N679" i="3"/>
  <c r="M679" i="3"/>
  <c r="K679" i="3"/>
  <c r="L679" i="3"/>
  <c r="J679" i="3"/>
  <c r="I354" i="7"/>
  <c r="I679" i="3"/>
  <c r="S239" i="3"/>
  <c r="P239" i="3"/>
  <c r="O239" i="3"/>
  <c r="N239" i="3"/>
  <c r="M239" i="3"/>
  <c r="L239" i="3"/>
  <c r="K239" i="3"/>
  <c r="J239" i="3"/>
  <c r="I239" i="3"/>
  <c r="S1091" i="3"/>
  <c r="P1091" i="3"/>
  <c r="O1091" i="3"/>
  <c r="N1091" i="3"/>
  <c r="M1091" i="3"/>
  <c r="L1091" i="3"/>
  <c r="K1091" i="3"/>
  <c r="J1091" i="3"/>
  <c r="E1091" i="3"/>
  <c r="J377" i="7" s="1"/>
  <c r="D1091" i="3"/>
  <c r="I377" i="7" s="1"/>
  <c r="H1091" i="3"/>
  <c r="I1091" i="3"/>
  <c r="S420" i="3"/>
  <c r="P420" i="3"/>
  <c r="O420" i="3"/>
  <c r="N420" i="3"/>
  <c r="M420" i="3"/>
  <c r="L420" i="3"/>
  <c r="K420" i="3"/>
  <c r="J420" i="3"/>
  <c r="E420" i="3"/>
  <c r="J419" i="7" s="1"/>
  <c r="D420" i="3"/>
  <c r="H420" i="3"/>
  <c r="I420" i="3"/>
  <c r="S397" i="3"/>
  <c r="P397" i="3"/>
  <c r="O397" i="3"/>
  <c r="N397" i="3"/>
  <c r="M397" i="3"/>
  <c r="L397" i="3"/>
  <c r="K397" i="3"/>
  <c r="J397" i="3"/>
  <c r="I384" i="7"/>
  <c r="J384" i="7"/>
  <c r="I397" i="3"/>
  <c r="S1108" i="3"/>
  <c r="P1108" i="3"/>
  <c r="O1108" i="3"/>
  <c r="N1108" i="3"/>
  <c r="M1108" i="3"/>
  <c r="L1108" i="3"/>
  <c r="K1108" i="3"/>
  <c r="J1108" i="3"/>
  <c r="E1108" i="3"/>
  <c r="D1108" i="3"/>
  <c r="H1108" i="3"/>
  <c r="I1108" i="3"/>
  <c r="S524" i="3"/>
  <c r="P524" i="3"/>
  <c r="O524" i="3"/>
  <c r="N524" i="3"/>
  <c r="M524" i="3"/>
  <c r="L524" i="3"/>
  <c r="K524" i="3"/>
  <c r="J524" i="3"/>
  <c r="I524" i="3"/>
  <c r="S743" i="3"/>
  <c r="P743" i="3"/>
  <c r="O743" i="3"/>
  <c r="N743" i="3"/>
  <c r="M743" i="3"/>
  <c r="L743" i="3"/>
  <c r="K743" i="3"/>
  <c r="E743" i="3"/>
  <c r="J743" i="3"/>
  <c r="D743" i="3"/>
  <c r="H743" i="3"/>
  <c r="I743" i="3"/>
  <c r="S1497" i="3"/>
  <c r="P1497" i="3"/>
  <c r="O1497" i="3"/>
  <c r="N1497" i="3"/>
  <c r="M1497" i="3"/>
  <c r="L1497" i="3"/>
  <c r="K1497" i="3"/>
  <c r="J1497" i="3"/>
  <c r="E1497" i="3"/>
  <c r="J393" i="7" s="1"/>
  <c r="D1497" i="3"/>
  <c r="H1497" i="3"/>
  <c r="I1497" i="3"/>
  <c r="S464" i="3"/>
  <c r="P464" i="3"/>
  <c r="O464" i="3"/>
  <c r="M464" i="3"/>
  <c r="N464" i="3"/>
  <c r="L464" i="3"/>
  <c r="J464" i="3"/>
  <c r="K464" i="3"/>
  <c r="J335" i="7"/>
  <c r="I464" i="3"/>
  <c r="S477" i="3"/>
  <c r="P477" i="3"/>
  <c r="O477" i="3"/>
  <c r="N477" i="3"/>
  <c r="M477" i="3"/>
  <c r="L477" i="3"/>
  <c r="K477" i="3"/>
  <c r="J477" i="3"/>
  <c r="E477" i="3"/>
  <c r="J405" i="7" s="1"/>
  <c r="D477" i="3"/>
  <c r="I405" i="7" s="1"/>
  <c r="H477" i="3"/>
  <c r="I477" i="3"/>
  <c r="S1189" i="3"/>
  <c r="P1189" i="3"/>
  <c r="O1189" i="3"/>
  <c r="N1189" i="3"/>
  <c r="M1189" i="3"/>
  <c r="L1189" i="3"/>
  <c r="K1189" i="3"/>
  <c r="J1189" i="3"/>
  <c r="E1189" i="3"/>
  <c r="J11" i="7" s="1"/>
  <c r="D1189" i="3"/>
  <c r="I11" i="7" s="1"/>
  <c r="H1189" i="3"/>
  <c r="I1189" i="3"/>
  <c r="S465" i="3"/>
  <c r="P465" i="3"/>
  <c r="O465" i="3"/>
  <c r="N465" i="3"/>
  <c r="M465" i="3"/>
  <c r="L465" i="3"/>
  <c r="K465" i="3"/>
  <c r="J465" i="3"/>
  <c r="E465" i="3"/>
  <c r="J560" i="7" s="1"/>
  <c r="D465" i="3"/>
  <c r="H465" i="3"/>
  <c r="I465" i="3"/>
  <c r="S1250" i="3"/>
  <c r="P1250" i="3"/>
  <c r="O1250" i="3"/>
  <c r="N1250" i="3"/>
  <c r="M1250" i="3"/>
  <c r="L1250" i="3"/>
  <c r="K1250" i="3"/>
  <c r="J1250" i="3"/>
  <c r="E1250" i="3"/>
  <c r="J126" i="7" s="1"/>
  <c r="D1250" i="3"/>
  <c r="I126" i="7" s="1"/>
  <c r="H1250" i="3"/>
  <c r="I1250" i="3"/>
  <c r="S232" i="3"/>
  <c r="P232" i="3"/>
  <c r="O232" i="3"/>
  <c r="N232" i="3"/>
  <c r="M232" i="3"/>
  <c r="L232" i="3"/>
  <c r="K232" i="3"/>
  <c r="J232" i="3"/>
  <c r="I232" i="3"/>
  <c r="S1498" i="3"/>
  <c r="P1498" i="3"/>
  <c r="O1498" i="3"/>
  <c r="N1498" i="3"/>
  <c r="M1498" i="3"/>
  <c r="K1498" i="3"/>
  <c r="L1498" i="3"/>
  <c r="J1498" i="3"/>
  <c r="D1498" i="3"/>
  <c r="I104" i="7" s="1"/>
  <c r="E1498" i="3"/>
  <c r="J104" i="7" s="1"/>
  <c r="H1498" i="3"/>
  <c r="I1498" i="3"/>
  <c r="S231" i="3"/>
  <c r="P231" i="3"/>
  <c r="O231" i="3"/>
  <c r="N231" i="3"/>
  <c r="M231" i="3"/>
  <c r="L231" i="3"/>
  <c r="K231" i="3"/>
  <c r="J231" i="3"/>
  <c r="I69" i="7"/>
  <c r="J69" i="7"/>
  <c r="I231" i="3"/>
  <c r="S510" i="3"/>
  <c r="P510" i="3"/>
  <c r="O510" i="3"/>
  <c r="N510" i="3"/>
  <c r="M510" i="3"/>
  <c r="L510" i="3"/>
  <c r="K510" i="3"/>
  <c r="E510" i="3"/>
  <c r="J509" i="7" s="1"/>
  <c r="J510" i="3"/>
  <c r="D510" i="3"/>
  <c r="I509" i="7" s="1"/>
  <c r="H510" i="3"/>
  <c r="I510" i="3"/>
  <c r="S1475" i="3"/>
  <c r="P1475" i="3"/>
  <c r="O1475" i="3"/>
  <c r="N1475" i="3"/>
  <c r="M1475" i="3"/>
  <c r="L1475" i="3"/>
  <c r="J1475" i="3"/>
  <c r="K1475" i="3"/>
  <c r="E1475" i="3"/>
  <c r="J250" i="7" s="1"/>
  <c r="D1475" i="3"/>
  <c r="I250" i="7" s="1"/>
  <c r="H1475" i="3"/>
  <c r="I1475" i="3"/>
  <c r="S1103" i="3"/>
  <c r="P1103" i="3"/>
  <c r="O1103" i="3"/>
  <c r="N1103" i="3"/>
  <c r="M1103" i="3"/>
  <c r="L1103" i="3"/>
  <c r="K1103" i="3"/>
  <c r="J1103" i="3"/>
  <c r="E1103" i="3"/>
  <c r="D1103" i="3"/>
  <c r="I1103" i="3"/>
  <c r="H1103" i="3"/>
  <c r="S869" i="3"/>
  <c r="P869" i="3"/>
  <c r="O869" i="3"/>
  <c r="N869" i="3"/>
  <c r="L869" i="3"/>
  <c r="M869" i="3"/>
  <c r="K869" i="3"/>
  <c r="J869" i="3"/>
  <c r="E869" i="3"/>
  <c r="D869" i="3"/>
  <c r="H869" i="3"/>
  <c r="I869" i="3"/>
  <c r="S665" i="3"/>
  <c r="P665" i="3"/>
  <c r="O665" i="3"/>
  <c r="M665" i="3"/>
  <c r="L665" i="3"/>
  <c r="N665" i="3"/>
  <c r="K665" i="3"/>
  <c r="J665" i="3"/>
  <c r="E665" i="3"/>
  <c r="D665" i="3"/>
  <c r="H665" i="3"/>
  <c r="I665" i="3"/>
  <c r="S1063" i="3"/>
  <c r="P1063" i="3"/>
  <c r="O1063" i="3"/>
  <c r="M1063" i="3"/>
  <c r="N1063" i="3"/>
  <c r="L1063" i="3"/>
  <c r="K1063" i="3"/>
  <c r="J1063" i="3"/>
  <c r="E1063" i="3"/>
  <c r="D1063" i="3"/>
  <c r="H1063" i="3"/>
  <c r="I1063" i="3"/>
  <c r="S1297" i="3"/>
  <c r="P1297" i="3"/>
  <c r="O1297" i="3"/>
  <c r="N1297" i="3"/>
  <c r="M1297" i="3"/>
  <c r="L1297" i="3"/>
  <c r="K1297" i="3"/>
  <c r="J1297" i="3"/>
  <c r="E1297" i="3"/>
  <c r="D1297" i="3"/>
  <c r="H1297" i="3"/>
  <c r="I1297" i="3"/>
  <c r="S1215" i="3"/>
  <c r="P1215" i="3"/>
  <c r="O1215" i="3"/>
  <c r="N1215" i="3"/>
  <c r="M1215" i="3"/>
  <c r="L1215" i="3"/>
  <c r="K1215" i="3"/>
  <c r="J1215" i="3"/>
  <c r="D1215" i="3"/>
  <c r="I16" i="7" s="1"/>
  <c r="E1215" i="3"/>
  <c r="J16" i="7" s="1"/>
  <c r="I1215" i="3"/>
  <c r="H1215" i="3"/>
  <c r="S234" i="3"/>
  <c r="P234" i="3"/>
  <c r="O234" i="3"/>
  <c r="N234" i="3"/>
  <c r="M234" i="3"/>
  <c r="L234" i="3"/>
  <c r="K234" i="3"/>
  <c r="J234" i="3"/>
  <c r="I234" i="3"/>
  <c r="S810" i="3"/>
  <c r="P810" i="3"/>
  <c r="O810" i="3"/>
  <c r="N810" i="3"/>
  <c r="M810" i="3"/>
  <c r="L810" i="3"/>
  <c r="K810" i="3"/>
  <c r="J810" i="3"/>
  <c r="J276" i="7"/>
  <c r="I276" i="7"/>
  <c r="I810" i="3"/>
  <c r="S1071" i="3"/>
  <c r="P1071" i="3"/>
  <c r="O1071" i="3"/>
  <c r="N1071" i="3"/>
  <c r="M1071" i="3"/>
  <c r="L1071" i="3"/>
  <c r="K1071" i="3"/>
  <c r="J1071" i="3"/>
  <c r="E1071" i="3"/>
  <c r="J440" i="7" s="1"/>
  <c r="D1071" i="3"/>
  <c r="I440" i="7" s="1"/>
  <c r="H1071" i="3"/>
  <c r="I1071" i="3"/>
  <c r="S1100" i="3"/>
  <c r="P1100" i="3"/>
  <c r="O1100" i="3"/>
  <c r="M1100" i="3"/>
  <c r="N1100" i="3"/>
  <c r="L1100" i="3"/>
  <c r="K1100" i="3"/>
  <c r="J1100" i="3"/>
  <c r="E1100" i="3"/>
  <c r="D1100" i="3"/>
  <c r="H1100" i="3"/>
  <c r="I1100" i="3"/>
  <c r="S1397" i="3"/>
  <c r="O1397" i="3"/>
  <c r="P1397" i="3"/>
  <c r="L1397" i="3"/>
  <c r="M1397" i="3"/>
  <c r="N1397" i="3"/>
  <c r="K1397" i="3"/>
  <c r="J1397" i="3"/>
  <c r="E1397" i="3"/>
  <c r="D1397" i="3"/>
  <c r="H1397" i="3"/>
  <c r="I1397" i="3"/>
  <c r="S789" i="3"/>
  <c r="P789" i="3"/>
  <c r="O789" i="3"/>
  <c r="N789" i="3"/>
  <c r="M789" i="3"/>
  <c r="K789" i="3"/>
  <c r="L789" i="3"/>
  <c r="J789" i="3"/>
  <c r="E789" i="3"/>
  <c r="D789" i="3"/>
  <c r="H789" i="3"/>
  <c r="I789" i="3"/>
  <c r="S787" i="3"/>
  <c r="P787" i="3"/>
  <c r="O787" i="3"/>
  <c r="N787" i="3"/>
  <c r="M787" i="3"/>
  <c r="L787" i="3"/>
  <c r="K787" i="3"/>
  <c r="E787" i="3"/>
  <c r="J787" i="3"/>
  <c r="D787" i="3"/>
  <c r="H787" i="3"/>
  <c r="I787" i="3"/>
  <c r="S1500" i="3"/>
  <c r="P1500" i="3"/>
  <c r="O1500" i="3"/>
  <c r="N1500" i="3"/>
  <c r="M1500" i="3"/>
  <c r="L1500" i="3"/>
  <c r="K1500" i="3"/>
  <c r="J1500" i="3"/>
  <c r="E1500" i="3"/>
  <c r="D1500" i="3"/>
  <c r="H1500" i="3"/>
  <c r="I1500" i="3"/>
  <c r="S645" i="3"/>
  <c r="P645" i="3"/>
  <c r="O645" i="3"/>
  <c r="N645" i="3"/>
  <c r="M645" i="3"/>
  <c r="L645" i="3"/>
  <c r="J645" i="3"/>
  <c r="K645" i="3"/>
  <c r="J415" i="7"/>
  <c r="I645" i="3"/>
  <c r="S1451" i="3"/>
  <c r="P1451" i="3"/>
  <c r="O1451" i="3"/>
  <c r="N1451" i="3"/>
  <c r="M1451" i="3"/>
  <c r="L1451" i="3"/>
  <c r="K1451" i="3"/>
  <c r="J1451" i="3"/>
  <c r="E1451" i="3"/>
  <c r="J348" i="7" s="1"/>
  <c r="D1451" i="3"/>
  <c r="H1451" i="3"/>
  <c r="I1451" i="3"/>
  <c r="S565" i="3"/>
  <c r="P565" i="3"/>
  <c r="O565" i="3"/>
  <c r="M565" i="3"/>
  <c r="L565" i="3"/>
  <c r="N565" i="3"/>
  <c r="J565" i="3"/>
  <c r="K565" i="3"/>
  <c r="E565" i="3"/>
  <c r="D565" i="3"/>
  <c r="H565" i="3"/>
  <c r="I565" i="3"/>
  <c r="S658" i="3"/>
  <c r="P658" i="3"/>
  <c r="O658" i="3"/>
  <c r="N658" i="3"/>
  <c r="M658" i="3"/>
  <c r="L658" i="3"/>
  <c r="K658" i="3"/>
  <c r="J658" i="3"/>
  <c r="E658" i="3"/>
  <c r="D658" i="3"/>
  <c r="I425" i="7" s="1"/>
  <c r="H658" i="3"/>
  <c r="I658" i="3"/>
  <c r="S75" i="3"/>
  <c r="P75" i="3"/>
  <c r="O75" i="3"/>
  <c r="N75" i="3"/>
  <c r="M75" i="3"/>
  <c r="L75" i="3"/>
  <c r="K75" i="3"/>
  <c r="J75" i="3"/>
  <c r="J435" i="7"/>
  <c r="I435" i="7"/>
  <c r="I75" i="3"/>
  <c r="S760" i="3"/>
  <c r="P760" i="3"/>
  <c r="O760" i="3"/>
  <c r="N760" i="3"/>
  <c r="M760" i="3"/>
  <c r="L760" i="3"/>
  <c r="K760" i="3"/>
  <c r="J760" i="3"/>
  <c r="J352" i="7"/>
  <c r="I760" i="3"/>
  <c r="S1361" i="3"/>
  <c r="P1361" i="3"/>
  <c r="O1361" i="3"/>
  <c r="N1361" i="3"/>
  <c r="M1361" i="3"/>
  <c r="L1361" i="3"/>
  <c r="K1361" i="3"/>
  <c r="J1361" i="3"/>
  <c r="E1361" i="3"/>
  <c r="D1361" i="3"/>
  <c r="H1361" i="3"/>
  <c r="I1361" i="3"/>
  <c r="S1268" i="3"/>
  <c r="P1268" i="3"/>
  <c r="O1268" i="3"/>
  <c r="N1268" i="3"/>
  <c r="M1268" i="3"/>
  <c r="K1268" i="3"/>
  <c r="L1268" i="3"/>
  <c r="J1268" i="3"/>
  <c r="E1268" i="3"/>
  <c r="J323" i="7" s="1"/>
  <c r="D1268" i="3"/>
  <c r="I323" i="7" s="1"/>
  <c r="H1268" i="3"/>
  <c r="I1268" i="3"/>
  <c r="S1454" i="3"/>
  <c r="P1454" i="3"/>
  <c r="O1454" i="3"/>
  <c r="N1454" i="3"/>
  <c r="L1454" i="3"/>
  <c r="M1454" i="3"/>
  <c r="K1454" i="3"/>
  <c r="J1454" i="3"/>
  <c r="E1454" i="3"/>
  <c r="J386" i="7" s="1"/>
  <c r="D1454" i="3"/>
  <c r="I386" i="7" s="1"/>
  <c r="H1454" i="3"/>
  <c r="I1454" i="3"/>
  <c r="S1445" i="3"/>
  <c r="P1445" i="3"/>
  <c r="O1445" i="3"/>
  <c r="N1445" i="3"/>
  <c r="M1445" i="3"/>
  <c r="L1445" i="3"/>
  <c r="K1445" i="3"/>
  <c r="J1445" i="3"/>
  <c r="E1445" i="3"/>
  <c r="J204" i="7" s="1"/>
  <c r="D1445" i="3"/>
  <c r="I204" i="7" s="1"/>
  <c r="H1445" i="3"/>
  <c r="I1445" i="3"/>
  <c r="S1396" i="3"/>
  <c r="P1396" i="3"/>
  <c r="O1396" i="3"/>
  <c r="M1396" i="3"/>
  <c r="L1396" i="3"/>
  <c r="K1396" i="3"/>
  <c r="N1396" i="3"/>
  <c r="J1396" i="3"/>
  <c r="E1396" i="3"/>
  <c r="J177" i="7" s="1"/>
  <c r="I1396" i="3"/>
  <c r="H1396" i="3"/>
  <c r="D1396" i="3"/>
  <c r="I177" i="7" s="1"/>
  <c r="S1113" i="3"/>
  <c r="P1113" i="3"/>
  <c r="O1113" i="3"/>
  <c r="N1113" i="3"/>
  <c r="M1113" i="3"/>
  <c r="L1113" i="3"/>
  <c r="K1113" i="3"/>
  <c r="J1113" i="3"/>
  <c r="D1113" i="3"/>
  <c r="E1113" i="3"/>
  <c r="I1113" i="3"/>
  <c r="H1113" i="3"/>
  <c r="S361" i="3"/>
  <c r="P361" i="3"/>
  <c r="O361" i="3"/>
  <c r="N361" i="3"/>
  <c r="M361" i="3"/>
  <c r="L361" i="3"/>
  <c r="K361" i="3"/>
  <c r="J361" i="3"/>
  <c r="I361" i="3"/>
  <c r="S1219" i="3"/>
  <c r="P1219" i="3"/>
  <c r="N1219" i="3"/>
  <c r="O1219" i="3"/>
  <c r="L1219" i="3"/>
  <c r="M1219" i="3"/>
  <c r="J1219" i="3"/>
  <c r="K1219" i="3"/>
  <c r="E1219" i="3"/>
  <c r="J118" i="7" s="1"/>
  <c r="D1219" i="3"/>
  <c r="I118" i="7" s="1"/>
  <c r="H1219" i="3"/>
  <c r="I1219" i="3"/>
  <c r="S1440" i="3"/>
  <c r="P1440" i="3"/>
  <c r="O1440" i="3"/>
  <c r="N1440" i="3"/>
  <c r="L1440" i="3"/>
  <c r="M1440" i="3"/>
  <c r="K1440" i="3"/>
  <c r="J1440" i="3"/>
  <c r="E1440" i="3"/>
  <c r="J147" i="7" s="1"/>
  <c r="D1440" i="3"/>
  <c r="I147" i="7" s="1"/>
  <c r="I1440" i="3"/>
  <c r="H1440" i="3"/>
  <c r="S335" i="3"/>
  <c r="P335" i="3"/>
  <c r="O335" i="3"/>
  <c r="N335" i="3"/>
  <c r="M335" i="3"/>
  <c r="L335" i="3"/>
  <c r="K335" i="3"/>
  <c r="J335" i="3"/>
  <c r="I335" i="3"/>
  <c r="S1090" i="3"/>
  <c r="P1090" i="3"/>
  <c r="O1090" i="3"/>
  <c r="N1090" i="3"/>
  <c r="M1090" i="3"/>
  <c r="L1090" i="3"/>
  <c r="K1090" i="3"/>
  <c r="J1090" i="3"/>
  <c r="E1090" i="3"/>
  <c r="D1090" i="3"/>
  <c r="H1090" i="3"/>
  <c r="I1090" i="3"/>
  <c r="S1075" i="3"/>
  <c r="P1075" i="3"/>
  <c r="O1075" i="3"/>
  <c r="N1075" i="3"/>
  <c r="M1075" i="3"/>
  <c r="L1075" i="3"/>
  <c r="J1075" i="3"/>
  <c r="K1075" i="3"/>
  <c r="E1075" i="3"/>
  <c r="D1075" i="3"/>
  <c r="H1075" i="3"/>
  <c r="I1075" i="3"/>
  <c r="S1524" i="3"/>
  <c r="P1524" i="3"/>
  <c r="O1524" i="3"/>
  <c r="N1524" i="3"/>
  <c r="M1524" i="3"/>
  <c r="L1524" i="3"/>
  <c r="K1524" i="3"/>
  <c r="J1524" i="3"/>
  <c r="D1524" i="3"/>
  <c r="I62" i="7" s="1"/>
  <c r="E1524" i="3"/>
  <c r="J62" i="7" s="1"/>
  <c r="H1524" i="3"/>
  <c r="I1524" i="3"/>
  <c r="S542" i="3"/>
  <c r="P542" i="3"/>
  <c r="O542" i="3"/>
  <c r="N542" i="3"/>
  <c r="M542" i="3"/>
  <c r="L542" i="3"/>
  <c r="K542" i="3"/>
  <c r="J542" i="3"/>
  <c r="I542" i="3"/>
  <c r="S962" i="3"/>
  <c r="P962" i="3"/>
  <c r="O962" i="3"/>
  <c r="N962" i="3"/>
  <c r="M962" i="3"/>
  <c r="L962" i="3"/>
  <c r="K962" i="3"/>
  <c r="E962" i="3"/>
  <c r="J962" i="3"/>
  <c r="D962" i="3"/>
  <c r="H962" i="3"/>
  <c r="I962" i="3"/>
  <c r="S1083" i="3"/>
  <c r="P1083" i="3"/>
  <c r="O1083" i="3"/>
  <c r="N1083" i="3"/>
  <c r="L1083" i="3"/>
  <c r="M1083" i="3"/>
  <c r="K1083" i="3"/>
  <c r="J1083" i="3"/>
  <c r="E1083" i="3"/>
  <c r="D1083" i="3"/>
  <c r="H1083" i="3"/>
  <c r="I1083" i="3"/>
  <c r="S264" i="3"/>
  <c r="P264" i="3"/>
  <c r="O264" i="3"/>
  <c r="N264" i="3"/>
  <c r="M264" i="3"/>
  <c r="L264" i="3"/>
  <c r="K264" i="3"/>
  <c r="J264" i="3"/>
  <c r="I264" i="3"/>
  <c r="S153" i="3"/>
  <c r="P153" i="3"/>
  <c r="O153" i="3"/>
  <c r="N153" i="3"/>
  <c r="M153" i="3"/>
  <c r="L153" i="3"/>
  <c r="J153" i="3"/>
  <c r="K153" i="3"/>
  <c r="I153" i="3"/>
  <c r="S1434" i="3"/>
  <c r="P1434" i="3"/>
  <c r="O1434" i="3"/>
  <c r="N1434" i="3"/>
  <c r="M1434" i="3"/>
  <c r="L1434" i="3"/>
  <c r="K1434" i="3"/>
  <c r="J1434" i="3"/>
  <c r="E1434" i="3"/>
  <c r="D1434" i="3"/>
  <c r="H1434" i="3"/>
  <c r="I1434" i="3"/>
  <c r="S1407" i="3"/>
  <c r="P1407" i="3"/>
  <c r="O1407" i="3"/>
  <c r="N1407" i="3"/>
  <c r="M1407" i="3"/>
  <c r="L1407" i="3"/>
  <c r="K1407" i="3"/>
  <c r="J1407" i="3"/>
  <c r="E1407" i="3"/>
  <c r="D1407" i="3"/>
  <c r="H1407" i="3"/>
  <c r="I1407" i="3"/>
  <c r="S515" i="3"/>
  <c r="P515" i="3"/>
  <c r="O515" i="3"/>
  <c r="N515" i="3"/>
  <c r="L515" i="3"/>
  <c r="M515" i="3"/>
  <c r="K515" i="3"/>
  <c r="J515" i="3"/>
  <c r="D515" i="3"/>
  <c r="E515" i="3"/>
  <c r="I515" i="3"/>
  <c r="H515" i="3"/>
  <c r="S163" i="3"/>
  <c r="P163" i="3"/>
  <c r="O163" i="3"/>
  <c r="M163" i="3"/>
  <c r="N163" i="3"/>
  <c r="L163" i="3"/>
  <c r="K163" i="3"/>
  <c r="J163" i="3"/>
  <c r="J96" i="7"/>
  <c r="I96" i="7"/>
  <c r="I163" i="3"/>
  <c r="S1039" i="3"/>
  <c r="P1039" i="3"/>
  <c r="O1039" i="3"/>
  <c r="N1039" i="3"/>
  <c r="M1039" i="3"/>
  <c r="L1039" i="3"/>
  <c r="K1039" i="3"/>
  <c r="J1039" i="3"/>
  <c r="D1039" i="3"/>
  <c r="I564" i="7" s="1"/>
  <c r="E1039" i="3"/>
  <c r="J564" i="7" s="1"/>
  <c r="I1039" i="3"/>
  <c r="H1039" i="3"/>
  <c r="S1496" i="3"/>
  <c r="P1496" i="3"/>
  <c r="O1496" i="3"/>
  <c r="N1496" i="3"/>
  <c r="M1496" i="3"/>
  <c r="L1496" i="3"/>
  <c r="K1496" i="3"/>
  <c r="J1496" i="3"/>
  <c r="E1496" i="3"/>
  <c r="J241" i="7" s="1"/>
  <c r="D1496" i="3"/>
  <c r="I241" i="7" s="1"/>
  <c r="H1496" i="3"/>
  <c r="I1496" i="3"/>
  <c r="S1186" i="3"/>
  <c r="P1186" i="3"/>
  <c r="O1186" i="3"/>
  <c r="N1186" i="3"/>
  <c r="M1186" i="3"/>
  <c r="L1186" i="3"/>
  <c r="K1186" i="3"/>
  <c r="E1186" i="3"/>
  <c r="J1186" i="3"/>
  <c r="D1186" i="3"/>
  <c r="H1186" i="3"/>
  <c r="I1186" i="3"/>
  <c r="S776" i="3"/>
  <c r="P776" i="3"/>
  <c r="O776" i="3"/>
  <c r="N776" i="3"/>
  <c r="M776" i="3"/>
  <c r="L776" i="3"/>
  <c r="K776" i="3"/>
  <c r="J776" i="3"/>
  <c r="E776" i="3"/>
  <c r="J450" i="7" s="1"/>
  <c r="D776" i="3"/>
  <c r="I450" i="7" s="1"/>
  <c r="H776" i="3"/>
  <c r="I776" i="3"/>
  <c r="S424" i="3"/>
  <c r="P424" i="3"/>
  <c r="O424" i="3"/>
  <c r="N424" i="3"/>
  <c r="M424" i="3"/>
  <c r="L424" i="3"/>
  <c r="K424" i="3"/>
  <c r="J424" i="3"/>
  <c r="J143" i="7"/>
  <c r="I143" i="7"/>
  <c r="I424" i="3"/>
  <c r="S318" i="3"/>
  <c r="P318" i="3"/>
  <c r="O318" i="3"/>
  <c r="N318" i="3"/>
  <c r="M318" i="3"/>
  <c r="L318" i="3"/>
  <c r="K318" i="3"/>
  <c r="J318" i="3"/>
  <c r="E318" i="3"/>
  <c r="J244" i="7" s="1"/>
  <c r="D318" i="3"/>
  <c r="I244" i="7" s="1"/>
  <c r="H318" i="3"/>
  <c r="I318" i="3"/>
  <c r="S1004" i="3"/>
  <c r="P1004" i="3"/>
  <c r="O1004" i="3"/>
  <c r="M1004" i="3"/>
  <c r="N1004" i="3"/>
  <c r="L1004" i="3"/>
  <c r="J1004" i="3"/>
  <c r="K1004" i="3"/>
  <c r="E1004" i="3"/>
  <c r="D1004" i="3"/>
  <c r="H1004" i="3"/>
  <c r="I1004" i="3"/>
  <c r="S426" i="3"/>
  <c r="P426" i="3"/>
  <c r="O426" i="3"/>
  <c r="N426" i="3"/>
  <c r="M426" i="3"/>
  <c r="L426" i="3"/>
  <c r="K426" i="3"/>
  <c r="J426" i="3"/>
  <c r="E426" i="3"/>
  <c r="J507" i="7" s="1"/>
  <c r="D426" i="3"/>
  <c r="I507" i="7" s="1"/>
  <c r="H426" i="3"/>
  <c r="I426" i="3"/>
  <c r="S682" i="3"/>
  <c r="P682" i="3"/>
  <c r="O682" i="3"/>
  <c r="N682" i="3"/>
  <c r="M682" i="3"/>
  <c r="L682" i="3"/>
  <c r="K682" i="3"/>
  <c r="E682" i="3"/>
  <c r="J682" i="3"/>
  <c r="D682" i="3"/>
  <c r="H682" i="3"/>
  <c r="I682" i="3"/>
  <c r="S839" i="3"/>
  <c r="P839" i="3"/>
  <c r="O839" i="3"/>
  <c r="N839" i="3"/>
  <c r="M839" i="3"/>
  <c r="L839" i="3"/>
  <c r="K839" i="3"/>
  <c r="J839" i="3"/>
  <c r="J370" i="7"/>
  <c r="I370" i="7"/>
  <c r="I839" i="3"/>
  <c r="S593" i="3"/>
  <c r="P593" i="3"/>
  <c r="O593" i="3"/>
  <c r="N593" i="3"/>
  <c r="M593" i="3"/>
  <c r="L593" i="3"/>
  <c r="K593" i="3"/>
  <c r="J593" i="3"/>
  <c r="E593" i="3"/>
  <c r="J123" i="7" s="1"/>
  <c r="D593" i="3"/>
  <c r="I123" i="7" s="1"/>
  <c r="H593" i="3"/>
  <c r="I593" i="3"/>
  <c r="S1365" i="3"/>
  <c r="P1365" i="3"/>
  <c r="N1365" i="3"/>
  <c r="M1365" i="3"/>
  <c r="O1365" i="3"/>
  <c r="L1365" i="3"/>
  <c r="J1365" i="3"/>
  <c r="K1365" i="3"/>
  <c r="E1365" i="3"/>
  <c r="J321" i="7" s="1"/>
  <c r="D1365" i="3"/>
  <c r="I321" i="7" s="1"/>
  <c r="H1365" i="3"/>
  <c r="I1365" i="3"/>
  <c r="S1512" i="3"/>
  <c r="O1512" i="3"/>
  <c r="P1512" i="3"/>
  <c r="N1512" i="3"/>
  <c r="M1512" i="3"/>
  <c r="L1512" i="3"/>
  <c r="K1512" i="3"/>
  <c r="J1512" i="3"/>
  <c r="D1512" i="3"/>
  <c r="E1512" i="3"/>
  <c r="J523" i="7" s="1"/>
  <c r="H1512" i="3"/>
  <c r="I1512" i="3"/>
  <c r="S18" i="3"/>
  <c r="P18" i="3"/>
  <c r="N18" i="3"/>
  <c r="M18" i="3"/>
  <c r="O18" i="3"/>
  <c r="L18" i="3"/>
  <c r="K18" i="3"/>
  <c r="J18" i="3"/>
  <c r="I18" i="3"/>
  <c r="S626" i="3"/>
  <c r="P626" i="3"/>
  <c r="O626" i="3"/>
  <c r="N626" i="3"/>
  <c r="M626" i="3"/>
  <c r="L626" i="3"/>
  <c r="K626" i="3"/>
  <c r="J626" i="3"/>
  <c r="I626" i="3"/>
  <c r="S701" i="3"/>
  <c r="P701" i="3"/>
  <c r="O701" i="3"/>
  <c r="N701" i="3"/>
  <c r="M701" i="3"/>
  <c r="K701" i="3"/>
  <c r="J701" i="3"/>
  <c r="L701" i="3"/>
  <c r="J268" i="7"/>
  <c r="I701" i="3"/>
  <c r="S1388" i="3"/>
  <c r="P1388" i="3"/>
  <c r="O1388" i="3"/>
  <c r="N1388" i="3"/>
  <c r="K1388" i="3"/>
  <c r="M1388" i="3"/>
  <c r="J1388" i="3"/>
  <c r="L1388" i="3"/>
  <c r="E1388" i="3"/>
  <c r="D1388" i="3"/>
  <c r="H1388" i="3"/>
  <c r="I1388" i="3"/>
  <c r="S1375" i="3"/>
  <c r="P1375" i="3"/>
  <c r="O1375" i="3"/>
  <c r="N1375" i="3"/>
  <c r="M1375" i="3"/>
  <c r="L1375" i="3"/>
  <c r="K1375" i="3"/>
  <c r="J1375" i="3"/>
  <c r="E1375" i="3"/>
  <c r="D1375" i="3"/>
  <c r="H1375" i="3"/>
  <c r="I1375" i="3"/>
  <c r="S737" i="3"/>
  <c r="O737" i="3"/>
  <c r="P737" i="3"/>
  <c r="N737" i="3"/>
  <c r="M737" i="3"/>
  <c r="L737" i="3"/>
  <c r="K737" i="3"/>
  <c r="E737" i="3"/>
  <c r="J737" i="3"/>
  <c r="D737" i="3"/>
  <c r="H737" i="3"/>
  <c r="I737" i="3"/>
  <c r="S1008" i="3"/>
  <c r="P1008" i="3"/>
  <c r="O1008" i="3"/>
  <c r="N1008" i="3"/>
  <c r="M1008" i="3"/>
  <c r="L1008" i="3"/>
  <c r="K1008" i="3"/>
  <c r="J1008" i="3"/>
  <c r="E1008" i="3"/>
  <c r="D1008" i="3"/>
  <c r="H1008" i="3"/>
  <c r="I1008" i="3"/>
  <c r="S1135" i="3"/>
  <c r="P1135" i="3"/>
  <c r="O1135" i="3"/>
  <c r="N1135" i="3"/>
  <c r="M1135" i="3"/>
  <c r="L1135" i="3"/>
  <c r="K1135" i="3"/>
  <c r="E1135" i="3"/>
  <c r="J1135" i="3"/>
  <c r="D1135" i="3"/>
  <c r="H1135" i="3"/>
  <c r="I1135" i="3"/>
  <c r="S770" i="3"/>
  <c r="P770" i="3"/>
  <c r="O770" i="3"/>
  <c r="N770" i="3"/>
  <c r="M770" i="3"/>
  <c r="L770" i="3"/>
  <c r="K770" i="3"/>
  <c r="J770" i="3"/>
  <c r="E770" i="3"/>
  <c r="D770" i="3"/>
  <c r="H770" i="3"/>
  <c r="I770" i="3"/>
  <c r="S597" i="3"/>
  <c r="P597" i="3"/>
  <c r="O597" i="3"/>
  <c r="N597" i="3"/>
  <c r="L597" i="3"/>
  <c r="M597" i="3"/>
  <c r="K597" i="3"/>
  <c r="J597" i="3"/>
  <c r="I597" i="3"/>
  <c r="S1042" i="3"/>
  <c r="P1042" i="3"/>
  <c r="O1042" i="3"/>
  <c r="N1042" i="3"/>
  <c r="M1042" i="3"/>
  <c r="L1042" i="3"/>
  <c r="K1042" i="3"/>
  <c r="J1042" i="3"/>
  <c r="E1042" i="3"/>
  <c r="D1042" i="3"/>
  <c r="H1042" i="3"/>
  <c r="I1042" i="3"/>
  <c r="S1051" i="3"/>
  <c r="P1051" i="3"/>
  <c r="O1051" i="3"/>
  <c r="N1051" i="3"/>
  <c r="M1051" i="3"/>
  <c r="L1051" i="3"/>
  <c r="K1051" i="3"/>
  <c r="J1051" i="3"/>
  <c r="E1051" i="3"/>
  <c r="D1051" i="3"/>
  <c r="H1051" i="3"/>
  <c r="I1051" i="3"/>
  <c r="S691" i="3"/>
  <c r="P691" i="3"/>
  <c r="O691" i="3"/>
  <c r="N691" i="3"/>
  <c r="M691" i="3"/>
  <c r="L691" i="3"/>
  <c r="K691" i="3"/>
  <c r="J691" i="3"/>
  <c r="E691" i="3"/>
  <c r="D691" i="3"/>
  <c r="H691" i="3"/>
  <c r="I691" i="3"/>
  <c r="S717" i="3"/>
  <c r="P717" i="3"/>
  <c r="O717" i="3"/>
  <c r="N717" i="3"/>
  <c r="M717" i="3"/>
  <c r="L717" i="3"/>
  <c r="K717" i="3"/>
  <c r="J717" i="3"/>
  <c r="I717" i="3"/>
  <c r="S1018" i="3"/>
  <c r="P1018" i="3"/>
  <c r="O1018" i="3"/>
  <c r="N1018" i="3"/>
  <c r="M1018" i="3"/>
  <c r="L1018" i="3"/>
  <c r="K1018" i="3"/>
  <c r="J1018" i="3"/>
  <c r="E1018" i="3"/>
  <c r="D1018" i="3"/>
  <c r="H1018" i="3"/>
  <c r="I1018" i="3"/>
  <c r="P129" i="3"/>
  <c r="S129" i="3"/>
  <c r="O129" i="3"/>
  <c r="M129" i="3"/>
  <c r="N129" i="3"/>
  <c r="L129" i="3"/>
  <c r="J129" i="3"/>
  <c r="K129" i="3"/>
  <c r="I129" i="3"/>
  <c r="S1183" i="3"/>
  <c r="P1183" i="3"/>
  <c r="O1183" i="3"/>
  <c r="N1183" i="3"/>
  <c r="M1183" i="3"/>
  <c r="K1183" i="3"/>
  <c r="L1183" i="3"/>
  <c r="J1183" i="3"/>
  <c r="E1183" i="3"/>
  <c r="D1183" i="3"/>
  <c r="H1183" i="3"/>
  <c r="I1183" i="3"/>
  <c r="S1131" i="3"/>
  <c r="P1131" i="3"/>
  <c r="O1131" i="3"/>
  <c r="N1131" i="3"/>
  <c r="M1131" i="3"/>
  <c r="K1131" i="3"/>
  <c r="J1131" i="3"/>
  <c r="L1131" i="3"/>
  <c r="E1131" i="3"/>
  <c r="D1131" i="3"/>
  <c r="H1131" i="3"/>
  <c r="I1131" i="3"/>
  <c r="S1101" i="3"/>
  <c r="P1101" i="3"/>
  <c r="O1101" i="3"/>
  <c r="N1101" i="3"/>
  <c r="M1101" i="3"/>
  <c r="L1101" i="3"/>
  <c r="K1101" i="3"/>
  <c r="J1101" i="3"/>
  <c r="E1101" i="3"/>
  <c r="D1101" i="3"/>
  <c r="H1101" i="3"/>
  <c r="I1101" i="3"/>
  <c r="S1082" i="3"/>
  <c r="P1082" i="3"/>
  <c r="O1082" i="3"/>
  <c r="N1082" i="3"/>
  <c r="M1082" i="3"/>
  <c r="L1082" i="3"/>
  <c r="J1082" i="3"/>
  <c r="K1082" i="3"/>
  <c r="E1082" i="3"/>
  <c r="D1082" i="3"/>
  <c r="H1082" i="3"/>
  <c r="I1082" i="3"/>
  <c r="S1060" i="3"/>
  <c r="O1060" i="3"/>
  <c r="P1060" i="3"/>
  <c r="N1060" i="3"/>
  <c r="M1060" i="3"/>
  <c r="L1060" i="3"/>
  <c r="K1060" i="3"/>
  <c r="E1060" i="3"/>
  <c r="J1060" i="3"/>
  <c r="D1060" i="3"/>
  <c r="H1060" i="3"/>
  <c r="I1060" i="3"/>
  <c r="S860" i="3"/>
  <c r="P860" i="3"/>
  <c r="O860" i="3"/>
  <c r="M860" i="3"/>
  <c r="N860" i="3"/>
  <c r="L860" i="3"/>
  <c r="K860" i="3"/>
  <c r="J860" i="3"/>
  <c r="E860" i="3"/>
  <c r="D860" i="3"/>
  <c r="H860" i="3"/>
  <c r="I860" i="3"/>
  <c r="S999" i="3"/>
  <c r="P999" i="3"/>
  <c r="O999" i="3"/>
  <c r="N999" i="3"/>
  <c r="M999" i="3"/>
  <c r="L999" i="3"/>
  <c r="K999" i="3"/>
  <c r="E999" i="3"/>
  <c r="J999" i="3"/>
  <c r="D999" i="3"/>
  <c r="H999" i="3"/>
  <c r="I999" i="3"/>
  <c r="S984" i="3"/>
  <c r="P984" i="3"/>
  <c r="O984" i="3"/>
  <c r="N984" i="3"/>
  <c r="M984" i="3"/>
  <c r="L984" i="3"/>
  <c r="K984" i="3"/>
  <c r="E984" i="3"/>
  <c r="J984" i="3"/>
  <c r="D984" i="3"/>
  <c r="H984" i="3"/>
  <c r="I984" i="3"/>
  <c r="P971" i="3"/>
  <c r="S971" i="3"/>
  <c r="O971" i="3"/>
  <c r="N971" i="3"/>
  <c r="L971" i="3"/>
  <c r="K971" i="3"/>
  <c r="M971" i="3"/>
  <c r="J971" i="3"/>
  <c r="E971" i="3"/>
  <c r="D971" i="3"/>
  <c r="H971" i="3"/>
  <c r="I971" i="3"/>
  <c r="S955" i="3"/>
  <c r="P955" i="3"/>
  <c r="O955" i="3"/>
  <c r="N955" i="3"/>
  <c r="M955" i="3"/>
  <c r="L955" i="3"/>
  <c r="K955" i="3"/>
  <c r="J955" i="3"/>
  <c r="E955" i="3"/>
  <c r="D955" i="3"/>
  <c r="H955" i="3"/>
  <c r="I955" i="3"/>
  <c r="S544" i="3"/>
  <c r="P544" i="3"/>
  <c r="O544" i="3"/>
  <c r="N544" i="3"/>
  <c r="M544" i="3"/>
  <c r="L544" i="3"/>
  <c r="K544" i="3"/>
  <c r="J544" i="3"/>
  <c r="E544" i="3"/>
  <c r="D544" i="3"/>
  <c r="H544" i="3"/>
  <c r="I544" i="3"/>
  <c r="S924" i="3"/>
  <c r="P924" i="3"/>
  <c r="O924" i="3"/>
  <c r="N924" i="3"/>
  <c r="M924" i="3"/>
  <c r="L924" i="3"/>
  <c r="J924" i="3"/>
  <c r="K924" i="3"/>
  <c r="E924" i="3"/>
  <c r="D924" i="3"/>
  <c r="I924" i="3"/>
  <c r="H924" i="3"/>
  <c r="S909" i="3"/>
  <c r="P909" i="3"/>
  <c r="O909" i="3"/>
  <c r="N909" i="3"/>
  <c r="M909" i="3"/>
  <c r="L909" i="3"/>
  <c r="K909" i="3"/>
  <c r="J909" i="3"/>
  <c r="E909" i="3"/>
  <c r="J543" i="7" s="1"/>
  <c r="D909" i="3"/>
  <c r="I909" i="3"/>
  <c r="H909" i="3"/>
  <c r="S904" i="3"/>
  <c r="P904" i="3"/>
  <c r="O904" i="3"/>
  <c r="N904" i="3"/>
  <c r="M904" i="3"/>
  <c r="L904" i="3"/>
  <c r="J904" i="3"/>
  <c r="K904" i="3"/>
  <c r="E904" i="3"/>
  <c r="D904" i="3"/>
  <c r="I904" i="3"/>
  <c r="H904" i="3"/>
  <c r="S886" i="3"/>
  <c r="P886" i="3"/>
  <c r="O886" i="3"/>
  <c r="N886" i="3"/>
  <c r="M886" i="3"/>
  <c r="L886" i="3"/>
  <c r="K886" i="3"/>
  <c r="J886" i="3"/>
  <c r="E886" i="3"/>
  <c r="D886" i="3"/>
  <c r="H886" i="3"/>
  <c r="I886" i="3"/>
  <c r="S874" i="3"/>
  <c r="P874" i="3"/>
  <c r="O874" i="3"/>
  <c r="M874" i="3"/>
  <c r="N874" i="3"/>
  <c r="L874" i="3"/>
  <c r="J874" i="3"/>
  <c r="K874" i="3"/>
  <c r="D874" i="3"/>
  <c r="E874" i="3"/>
  <c r="H874" i="3"/>
  <c r="I874" i="3"/>
  <c r="S430" i="3"/>
  <c r="P430" i="3"/>
  <c r="O430" i="3"/>
  <c r="N430" i="3"/>
  <c r="M430" i="3"/>
  <c r="L430" i="3"/>
  <c r="K430" i="3"/>
  <c r="J430" i="3"/>
  <c r="I430" i="3"/>
  <c r="S314" i="3"/>
  <c r="P314" i="3"/>
  <c r="O314" i="3"/>
  <c r="M314" i="3"/>
  <c r="N314" i="3"/>
  <c r="L314" i="3"/>
  <c r="J314" i="3"/>
  <c r="K314" i="3"/>
  <c r="I314" i="3"/>
  <c r="S578" i="3"/>
  <c r="P578" i="3"/>
  <c r="O578" i="3"/>
  <c r="N578" i="3"/>
  <c r="M578" i="3"/>
  <c r="L578" i="3"/>
  <c r="J578" i="3"/>
  <c r="K578" i="3"/>
  <c r="D578" i="3"/>
  <c r="E578" i="3"/>
  <c r="H578" i="3"/>
  <c r="I578" i="3"/>
  <c r="S165" i="3"/>
  <c r="P165" i="3"/>
  <c r="O165" i="3"/>
  <c r="N165" i="3"/>
  <c r="M165" i="3"/>
  <c r="L165" i="3"/>
  <c r="K165" i="3"/>
  <c r="J165" i="3"/>
  <c r="I165" i="3"/>
  <c r="P1438" i="3"/>
  <c r="S1438" i="3"/>
  <c r="N1438" i="3"/>
  <c r="M1438" i="3"/>
  <c r="O1438" i="3"/>
  <c r="L1438" i="3"/>
  <c r="J1438" i="3"/>
  <c r="K1438" i="3"/>
  <c r="D1438" i="3"/>
  <c r="E1438" i="3"/>
  <c r="H1438" i="3"/>
  <c r="I1438" i="3"/>
  <c r="S522" i="3"/>
  <c r="P522" i="3"/>
  <c r="O522" i="3"/>
  <c r="M522" i="3"/>
  <c r="N522" i="3"/>
  <c r="L522" i="3"/>
  <c r="K522" i="3"/>
  <c r="J522" i="3"/>
  <c r="E522" i="3"/>
  <c r="J521" i="7" s="1"/>
  <c r="D522" i="3"/>
  <c r="H522" i="3"/>
  <c r="I522" i="3"/>
  <c r="S723" i="3"/>
  <c r="O723" i="3"/>
  <c r="P723" i="3"/>
  <c r="N723" i="3"/>
  <c r="M723" i="3"/>
  <c r="L723" i="3"/>
  <c r="K723" i="3"/>
  <c r="E723" i="3"/>
  <c r="J723" i="3"/>
  <c r="D723" i="3"/>
  <c r="H723" i="3"/>
  <c r="I723" i="3"/>
  <c r="S680" i="3"/>
  <c r="P680" i="3"/>
  <c r="O680" i="3"/>
  <c r="N680" i="3"/>
  <c r="M680" i="3"/>
  <c r="L680" i="3"/>
  <c r="J680" i="3"/>
  <c r="K680" i="3"/>
  <c r="E680" i="3"/>
  <c r="I680" i="3"/>
  <c r="H680" i="3"/>
  <c r="D680" i="3"/>
  <c r="S1362" i="3"/>
  <c r="P1362" i="3"/>
  <c r="N1362" i="3"/>
  <c r="M1362" i="3"/>
  <c r="L1362" i="3"/>
  <c r="O1362" i="3"/>
  <c r="J1362" i="3"/>
  <c r="K1362" i="3"/>
  <c r="D1362" i="3"/>
  <c r="E1362" i="3"/>
  <c r="H1362" i="3"/>
  <c r="I1362" i="3"/>
  <c r="S1174" i="3"/>
  <c r="P1174" i="3"/>
  <c r="O1174" i="3"/>
  <c r="N1174" i="3"/>
  <c r="L1174" i="3"/>
  <c r="M1174" i="3"/>
  <c r="K1174" i="3"/>
  <c r="J1174" i="3"/>
  <c r="E1174" i="3"/>
  <c r="D1174" i="3"/>
  <c r="H1174" i="3"/>
  <c r="I1174" i="3"/>
  <c r="S631" i="3"/>
  <c r="P631" i="3"/>
  <c r="O631" i="3"/>
  <c r="N631" i="3"/>
  <c r="M631" i="3"/>
  <c r="L631" i="3"/>
  <c r="K631" i="3"/>
  <c r="J631" i="3"/>
  <c r="I631" i="3"/>
  <c r="S601" i="3"/>
  <c r="P601" i="3"/>
  <c r="O601" i="3"/>
  <c r="N601" i="3"/>
  <c r="M601" i="3"/>
  <c r="L601" i="3"/>
  <c r="K601" i="3"/>
  <c r="J601" i="3"/>
  <c r="I601" i="3"/>
  <c r="S274" i="3"/>
  <c r="P274" i="3"/>
  <c r="O274" i="3"/>
  <c r="N274" i="3"/>
  <c r="M274" i="3"/>
  <c r="L274" i="3"/>
  <c r="K274" i="3"/>
  <c r="J274" i="3"/>
  <c r="I274" i="3"/>
  <c r="S1106" i="3"/>
  <c r="P1106" i="3"/>
  <c r="O1106" i="3"/>
  <c r="N1106" i="3"/>
  <c r="M1106" i="3"/>
  <c r="K1106" i="3"/>
  <c r="L1106" i="3"/>
  <c r="J1106" i="3"/>
  <c r="E1106" i="3"/>
  <c r="D1106" i="3"/>
  <c r="H1106" i="3"/>
  <c r="I1106" i="3"/>
  <c r="S693" i="3"/>
  <c r="P693" i="3"/>
  <c r="O693" i="3"/>
  <c r="N693" i="3"/>
  <c r="M693" i="3"/>
  <c r="L693" i="3"/>
  <c r="J693" i="3"/>
  <c r="K693" i="3"/>
  <c r="E693" i="3"/>
  <c r="D693" i="3"/>
  <c r="H693" i="3"/>
  <c r="I693" i="3"/>
  <c r="S256" i="3"/>
  <c r="P256" i="3"/>
  <c r="O256" i="3"/>
  <c r="N256" i="3"/>
  <c r="L256" i="3"/>
  <c r="M256" i="3"/>
  <c r="K256" i="3"/>
  <c r="J256" i="3"/>
  <c r="I256" i="3"/>
  <c r="S58" i="3"/>
  <c r="P58" i="3"/>
  <c r="O58" i="3"/>
  <c r="N58" i="3"/>
  <c r="M58" i="3"/>
  <c r="L58" i="3"/>
  <c r="K58" i="3"/>
  <c r="J58" i="3"/>
  <c r="J508" i="7"/>
  <c r="I58" i="3"/>
  <c r="S29" i="3"/>
  <c r="P29" i="3"/>
  <c r="O29" i="3"/>
  <c r="N29" i="3"/>
  <c r="M29" i="3"/>
  <c r="L29" i="3"/>
  <c r="K29" i="3"/>
  <c r="J29" i="3"/>
  <c r="I29" i="3"/>
  <c r="S1405" i="3"/>
  <c r="P1405" i="3"/>
  <c r="O1405" i="3"/>
  <c r="N1405" i="3"/>
  <c r="M1405" i="3"/>
  <c r="L1405" i="3"/>
  <c r="K1405" i="3"/>
  <c r="J1405" i="3"/>
  <c r="E1405" i="3"/>
  <c r="J606" i="7" s="1"/>
  <c r="D1405" i="3"/>
  <c r="I606" i="7" s="1"/>
  <c r="H1405" i="3"/>
  <c r="I1405" i="3"/>
  <c r="S674" i="3"/>
  <c r="P674" i="3"/>
  <c r="N674" i="3"/>
  <c r="O674" i="3"/>
  <c r="M674" i="3"/>
  <c r="L674" i="3"/>
  <c r="K674" i="3"/>
  <c r="J674" i="3"/>
  <c r="I674" i="3"/>
  <c r="S689" i="3"/>
  <c r="P689" i="3"/>
  <c r="O689" i="3"/>
  <c r="N689" i="3"/>
  <c r="M689" i="3"/>
  <c r="L689" i="3"/>
  <c r="J689" i="3"/>
  <c r="K689" i="3"/>
  <c r="I689" i="3"/>
  <c r="S372" i="3"/>
  <c r="P372" i="3"/>
  <c r="O372" i="3"/>
  <c r="N372" i="3"/>
  <c r="M372" i="3"/>
  <c r="L372" i="3"/>
  <c r="K372" i="3"/>
  <c r="J372" i="3"/>
  <c r="I372" i="3"/>
  <c r="S141" i="3"/>
  <c r="P141" i="3"/>
  <c r="O141" i="3"/>
  <c r="N141" i="3"/>
  <c r="M141" i="3"/>
  <c r="L141" i="3"/>
  <c r="J141" i="3"/>
  <c r="K141" i="3"/>
  <c r="I141" i="3"/>
  <c r="S1333" i="3"/>
  <c r="P1333" i="3"/>
  <c r="O1333" i="3"/>
  <c r="N1333" i="3"/>
  <c r="M1333" i="3"/>
  <c r="L1333" i="3"/>
  <c r="K1333" i="3"/>
  <c r="E1333" i="3"/>
  <c r="J582" i="7" s="1"/>
  <c r="J1333" i="3"/>
  <c r="D1333" i="3"/>
  <c r="H1333" i="3"/>
  <c r="I1333" i="3"/>
  <c r="S521" i="3"/>
  <c r="P521" i="3"/>
  <c r="O521" i="3"/>
  <c r="N521" i="3"/>
  <c r="M521" i="3"/>
  <c r="L521" i="3"/>
  <c r="K521" i="3"/>
  <c r="J521" i="3"/>
  <c r="I521" i="3"/>
  <c r="S331" i="3"/>
  <c r="P331" i="3"/>
  <c r="O331" i="3"/>
  <c r="N331" i="3"/>
  <c r="M331" i="3"/>
  <c r="L331" i="3"/>
  <c r="K331" i="3"/>
  <c r="J331" i="3"/>
  <c r="I331" i="3"/>
  <c r="S181" i="3"/>
  <c r="P181" i="3"/>
  <c r="O181" i="3"/>
  <c r="N181" i="3"/>
  <c r="M181" i="3"/>
  <c r="L181" i="3"/>
  <c r="K181" i="3"/>
  <c r="J181" i="3"/>
  <c r="I181" i="3"/>
  <c r="S286" i="3"/>
  <c r="P286" i="3"/>
  <c r="O286" i="3"/>
  <c r="N286" i="3"/>
  <c r="M286" i="3"/>
  <c r="L286" i="3"/>
  <c r="K286" i="3"/>
  <c r="J286" i="3"/>
  <c r="I286" i="3"/>
  <c r="S1418" i="3"/>
  <c r="P1418" i="3"/>
  <c r="O1418" i="3"/>
  <c r="N1418" i="3"/>
  <c r="M1418" i="3"/>
  <c r="L1418" i="3"/>
  <c r="K1418" i="3"/>
  <c r="J1418" i="3"/>
  <c r="E1418" i="3"/>
  <c r="D1418" i="3"/>
  <c r="H1418" i="3"/>
  <c r="I1418" i="3"/>
  <c r="S1269" i="3"/>
  <c r="P1269" i="3"/>
  <c r="O1269" i="3"/>
  <c r="N1269" i="3"/>
  <c r="L1269" i="3"/>
  <c r="M1269" i="3"/>
  <c r="K1269" i="3"/>
  <c r="J1269" i="3"/>
  <c r="E1269" i="3"/>
  <c r="J558" i="7" s="1"/>
  <c r="D1269" i="3"/>
  <c r="H1269" i="3"/>
  <c r="I1269" i="3"/>
  <c r="S1079" i="3"/>
  <c r="P1079" i="3"/>
  <c r="O1079" i="3"/>
  <c r="N1079" i="3"/>
  <c r="M1079" i="3"/>
  <c r="L1079" i="3"/>
  <c r="K1079" i="3"/>
  <c r="J1079" i="3"/>
  <c r="E1079" i="3"/>
  <c r="J592" i="7" s="1"/>
  <c r="D1079" i="3"/>
  <c r="H1079" i="3"/>
  <c r="I1079" i="3"/>
  <c r="S267" i="3"/>
  <c r="P267" i="3"/>
  <c r="O267" i="3"/>
  <c r="M267" i="3"/>
  <c r="L267" i="3"/>
  <c r="N267" i="3"/>
  <c r="J267" i="3"/>
  <c r="K267" i="3"/>
  <c r="I267" i="3"/>
  <c r="S288" i="3"/>
  <c r="P288" i="3"/>
  <c r="O288" i="3"/>
  <c r="N288" i="3"/>
  <c r="M288" i="3"/>
  <c r="L288" i="3"/>
  <c r="K288" i="3"/>
  <c r="J288" i="3"/>
  <c r="J303" i="7"/>
  <c r="I288" i="3"/>
  <c r="S330" i="3"/>
  <c r="P330" i="3"/>
  <c r="O330" i="3"/>
  <c r="N330" i="3"/>
  <c r="M330" i="3"/>
  <c r="K330" i="3"/>
  <c r="J330" i="3"/>
  <c r="L330" i="3"/>
  <c r="I330" i="3"/>
  <c r="S167" i="3"/>
  <c r="P167" i="3"/>
  <c r="O167" i="3"/>
  <c r="N167" i="3"/>
  <c r="M167" i="3"/>
  <c r="L167" i="3"/>
  <c r="K167" i="3"/>
  <c r="J167" i="3"/>
  <c r="J588" i="7"/>
  <c r="I588" i="7"/>
  <c r="I167" i="3"/>
  <c r="S1304" i="3"/>
  <c r="P1304" i="3"/>
  <c r="O1304" i="3"/>
  <c r="N1304" i="3"/>
  <c r="M1304" i="3"/>
  <c r="L1304" i="3"/>
  <c r="K1304" i="3"/>
  <c r="J1304" i="3"/>
  <c r="E1304" i="3"/>
  <c r="J517" i="7" s="1"/>
  <c r="D1304" i="3"/>
  <c r="I517" i="7" s="1"/>
  <c r="I1304" i="3"/>
  <c r="H1304" i="3"/>
  <c r="S125" i="3"/>
  <c r="P125" i="3"/>
  <c r="O125" i="3"/>
  <c r="N125" i="3"/>
  <c r="M125" i="3"/>
  <c r="L125" i="3"/>
  <c r="K125" i="3"/>
  <c r="J125" i="3"/>
  <c r="E125" i="3"/>
  <c r="J124" i="7" s="1"/>
  <c r="D125" i="3"/>
  <c r="I124" i="7" s="1"/>
  <c r="H125" i="3"/>
  <c r="I125" i="3"/>
  <c r="S453" i="3"/>
  <c r="P453" i="3"/>
  <c r="N453" i="3"/>
  <c r="O453" i="3"/>
  <c r="M453" i="3"/>
  <c r="L453" i="3"/>
  <c r="K453" i="3"/>
  <c r="J453" i="3"/>
  <c r="I453" i="3"/>
  <c r="S169" i="3"/>
  <c r="P169" i="3"/>
  <c r="O169" i="3"/>
  <c r="N169" i="3"/>
  <c r="M169" i="3"/>
  <c r="L169" i="3"/>
  <c r="K169" i="3"/>
  <c r="J169" i="3"/>
  <c r="J529" i="7"/>
  <c r="I529" i="7"/>
  <c r="I169" i="3"/>
  <c r="S1542" i="3"/>
  <c r="P1542" i="3"/>
  <c r="O1542" i="3"/>
  <c r="N1542" i="3"/>
  <c r="M1542" i="3"/>
  <c r="L1542" i="3"/>
  <c r="J1542" i="3"/>
  <c r="K1542" i="3"/>
  <c r="E1542" i="3"/>
  <c r="D1542" i="3"/>
  <c r="H1542" i="3"/>
  <c r="I1542" i="3"/>
  <c r="S1519" i="3"/>
  <c r="P1519" i="3"/>
  <c r="N1519" i="3"/>
  <c r="O1519" i="3"/>
  <c r="M1519" i="3"/>
  <c r="L1519" i="3"/>
  <c r="K1519" i="3"/>
  <c r="J1519" i="3"/>
  <c r="E1519" i="3"/>
  <c r="J173" i="7" s="1"/>
  <c r="D1519" i="3"/>
  <c r="I173" i="7" s="1"/>
  <c r="H1519" i="3"/>
  <c r="I1519" i="3"/>
  <c r="S1484" i="3"/>
  <c r="P1484" i="3"/>
  <c r="O1484" i="3"/>
  <c r="N1484" i="3"/>
  <c r="M1484" i="3"/>
  <c r="K1484" i="3"/>
  <c r="L1484" i="3"/>
  <c r="J1484" i="3"/>
  <c r="E1484" i="3"/>
  <c r="D1484" i="3"/>
  <c r="H1484" i="3"/>
  <c r="I1484" i="3"/>
  <c r="S1447" i="3"/>
  <c r="P1447" i="3"/>
  <c r="O1447" i="3"/>
  <c r="N1447" i="3"/>
  <c r="M1447" i="3"/>
  <c r="L1447" i="3"/>
  <c r="K1447" i="3"/>
  <c r="J1447" i="3"/>
  <c r="E1447" i="3"/>
  <c r="J502" i="7" s="1"/>
  <c r="D1447" i="3"/>
  <c r="I502" i="7" s="1"/>
  <c r="H1447" i="3"/>
  <c r="I1447" i="3"/>
  <c r="S1386" i="3"/>
  <c r="P1386" i="3"/>
  <c r="O1386" i="3"/>
  <c r="N1386" i="3"/>
  <c r="M1386" i="3"/>
  <c r="K1386" i="3"/>
  <c r="L1386" i="3"/>
  <c r="J1386" i="3"/>
  <c r="E1386" i="3"/>
  <c r="J279" i="7" s="1"/>
  <c r="D1386" i="3"/>
  <c r="I279" i="7" s="1"/>
  <c r="H1386" i="3"/>
  <c r="I1386" i="3"/>
  <c r="S1320" i="3"/>
  <c r="P1320" i="3"/>
  <c r="O1320" i="3"/>
  <c r="N1320" i="3"/>
  <c r="L1320" i="3"/>
  <c r="K1320" i="3"/>
  <c r="M1320" i="3"/>
  <c r="J1320" i="3"/>
  <c r="E1320" i="3"/>
  <c r="D1320" i="3"/>
  <c r="H1320" i="3"/>
  <c r="I1320" i="3"/>
  <c r="S1252" i="3"/>
  <c r="P1252" i="3"/>
  <c r="O1252" i="3"/>
  <c r="N1252" i="3"/>
  <c r="M1252" i="3"/>
  <c r="L1252" i="3"/>
  <c r="K1252" i="3"/>
  <c r="J1252" i="3"/>
  <c r="E1252" i="3"/>
  <c r="J337" i="7" s="1"/>
  <c r="D1252" i="3"/>
  <c r="I337" i="7" s="1"/>
  <c r="H1252" i="3"/>
  <c r="I1252" i="3"/>
  <c r="S201" i="3"/>
  <c r="P201" i="3"/>
  <c r="O201" i="3"/>
  <c r="N201" i="3"/>
  <c r="M201" i="3"/>
  <c r="L201" i="3"/>
  <c r="K201" i="3"/>
  <c r="J201" i="3"/>
  <c r="E201" i="3"/>
  <c r="J436" i="7" s="1"/>
  <c r="D201" i="3"/>
  <c r="I436" i="7" s="1"/>
  <c r="H201" i="3"/>
  <c r="I201" i="3"/>
  <c r="S381" i="3"/>
  <c r="P381" i="3"/>
  <c r="N381" i="3"/>
  <c r="O381" i="3"/>
  <c r="M381" i="3"/>
  <c r="L381" i="3"/>
  <c r="K381" i="3"/>
  <c r="J290" i="7"/>
  <c r="J381" i="3"/>
  <c r="I290" i="7"/>
  <c r="I381" i="3"/>
  <c r="S523" i="3"/>
  <c r="P523" i="3"/>
  <c r="O523" i="3"/>
  <c r="N523" i="3"/>
  <c r="M523" i="3"/>
  <c r="L523" i="3"/>
  <c r="K523" i="3"/>
  <c r="J523" i="3"/>
  <c r="I309" i="7"/>
  <c r="J309" i="7"/>
  <c r="I523" i="3"/>
  <c r="S278" i="3"/>
  <c r="P278" i="3"/>
  <c r="O278" i="3"/>
  <c r="N278" i="3"/>
  <c r="M278" i="3"/>
  <c r="L278" i="3"/>
  <c r="J278" i="3"/>
  <c r="K278" i="3"/>
  <c r="J412" i="7"/>
  <c r="I412" i="7"/>
  <c r="I278" i="3"/>
  <c r="S452" i="3"/>
  <c r="P452" i="3"/>
  <c r="O452" i="3"/>
  <c r="N452" i="3"/>
  <c r="M452" i="3"/>
  <c r="L452" i="3"/>
  <c r="K452" i="3"/>
  <c r="J452" i="3"/>
  <c r="J298" i="7"/>
  <c r="I298" i="7"/>
  <c r="I452" i="3"/>
  <c r="S1177" i="3"/>
  <c r="P1177" i="3"/>
  <c r="O1177" i="3"/>
  <c r="N1177" i="3"/>
  <c r="M1177" i="3"/>
  <c r="L1177" i="3"/>
  <c r="K1177" i="3"/>
  <c r="D1177" i="3"/>
  <c r="I275" i="7" s="1"/>
  <c r="E1177" i="3"/>
  <c r="J275" i="7" s="1"/>
  <c r="J1177" i="3"/>
  <c r="H1177" i="3"/>
  <c r="I1177" i="3"/>
  <c r="S686" i="3"/>
  <c r="P686" i="3"/>
  <c r="O686" i="3"/>
  <c r="N686" i="3"/>
  <c r="M686" i="3"/>
  <c r="K686" i="3"/>
  <c r="L686" i="3"/>
  <c r="J686" i="3"/>
  <c r="J389" i="7"/>
  <c r="I389" i="7"/>
  <c r="I686" i="3"/>
  <c r="S311" i="3"/>
  <c r="P311" i="3"/>
  <c r="O311" i="3"/>
  <c r="N311" i="3"/>
  <c r="M311" i="3"/>
  <c r="L311" i="3"/>
  <c r="K311" i="3"/>
  <c r="J311" i="3"/>
  <c r="J293" i="7"/>
  <c r="I293" i="7"/>
  <c r="I311" i="3"/>
  <c r="S1370" i="3"/>
  <c r="P1370" i="3"/>
  <c r="N1370" i="3"/>
  <c r="O1370" i="3"/>
  <c r="M1370" i="3"/>
  <c r="L1370" i="3"/>
  <c r="K1370" i="3"/>
  <c r="J1370" i="3"/>
  <c r="E1370" i="3"/>
  <c r="J197" i="7" s="1"/>
  <c r="D1370" i="3"/>
  <c r="I197" i="7" s="1"/>
  <c r="H1370" i="3"/>
  <c r="I1370" i="3"/>
  <c r="S1485" i="3"/>
  <c r="P1485" i="3"/>
  <c r="O1485" i="3"/>
  <c r="N1485" i="3"/>
  <c r="M1485" i="3"/>
  <c r="L1485" i="3"/>
  <c r="J1485" i="3"/>
  <c r="K1485" i="3"/>
  <c r="D1485" i="3"/>
  <c r="I518" i="7" s="1"/>
  <c r="E1485" i="3"/>
  <c r="J518" i="7" s="1"/>
  <c r="H1485" i="3"/>
  <c r="I1485" i="3"/>
  <c r="S172" i="3"/>
  <c r="P172" i="3"/>
  <c r="O172" i="3"/>
  <c r="N172" i="3"/>
  <c r="M172" i="3"/>
  <c r="L172" i="3"/>
  <c r="K172" i="3"/>
  <c r="J172" i="3"/>
  <c r="J336" i="7"/>
  <c r="I336" i="7"/>
  <c r="I172" i="3"/>
  <c r="S1308" i="3"/>
  <c r="P1308" i="3"/>
  <c r="O1308" i="3"/>
  <c r="N1308" i="3"/>
  <c r="M1308" i="3"/>
  <c r="L1308" i="3"/>
  <c r="K1308" i="3"/>
  <c r="J1308" i="3"/>
  <c r="D1308" i="3"/>
  <c r="E1308" i="3"/>
  <c r="I1308" i="3"/>
  <c r="H1308" i="3"/>
  <c r="S580" i="3"/>
  <c r="P580" i="3"/>
  <c r="O580" i="3"/>
  <c r="N580" i="3"/>
  <c r="M580" i="3"/>
  <c r="L580" i="3"/>
  <c r="J580" i="3"/>
  <c r="K580" i="3"/>
  <c r="D580" i="3"/>
  <c r="E580" i="3"/>
  <c r="H580" i="3"/>
  <c r="I580" i="3"/>
  <c r="S1112" i="3"/>
  <c r="P1112" i="3"/>
  <c r="O1112" i="3"/>
  <c r="N1112" i="3"/>
  <c r="M1112" i="3"/>
  <c r="L1112" i="3"/>
  <c r="K1112" i="3"/>
  <c r="J1112" i="3"/>
  <c r="D1112" i="3"/>
  <c r="I315" i="7" s="1"/>
  <c r="E1112" i="3"/>
  <c r="J315" i="7" s="1"/>
  <c r="I1112" i="3"/>
  <c r="H1112" i="3"/>
  <c r="S184" i="3"/>
  <c r="P184" i="3"/>
  <c r="O184" i="3"/>
  <c r="N184" i="3"/>
  <c r="M184" i="3"/>
  <c r="L184" i="3"/>
  <c r="K184" i="3"/>
  <c r="J184" i="3"/>
  <c r="I24" i="7"/>
  <c r="J24" i="7"/>
  <c r="I184" i="3"/>
  <c r="S384" i="3"/>
  <c r="P384" i="3"/>
  <c r="O384" i="3"/>
  <c r="N384" i="3"/>
  <c r="M384" i="3"/>
  <c r="L384" i="3"/>
  <c r="K384" i="3"/>
  <c r="J384" i="3"/>
  <c r="E384" i="3"/>
  <c r="J112" i="7" s="1"/>
  <c r="D384" i="3"/>
  <c r="I112" i="7" s="1"/>
  <c r="H384" i="3"/>
  <c r="I384" i="3"/>
  <c r="S1419" i="3"/>
  <c r="P1419" i="3"/>
  <c r="N1419" i="3"/>
  <c r="O1419" i="3"/>
  <c r="M1419" i="3"/>
  <c r="L1419" i="3"/>
  <c r="K1419" i="3"/>
  <c r="J1419" i="3"/>
  <c r="E1419" i="3"/>
  <c r="D1419" i="3"/>
  <c r="H1419" i="3"/>
  <c r="I1419" i="3"/>
  <c r="S1392" i="3"/>
  <c r="P1392" i="3"/>
  <c r="O1392" i="3"/>
  <c r="N1392" i="3"/>
  <c r="M1392" i="3"/>
  <c r="L1392" i="3"/>
  <c r="K1392" i="3"/>
  <c r="J1392" i="3"/>
  <c r="D1392" i="3"/>
  <c r="I113" i="7" s="1"/>
  <c r="E1392" i="3"/>
  <c r="J113" i="7" s="1"/>
  <c r="I1392" i="3"/>
  <c r="H1392" i="3"/>
  <c r="S685" i="3"/>
  <c r="P685" i="3"/>
  <c r="O685" i="3"/>
  <c r="N685" i="3"/>
  <c r="M685" i="3"/>
  <c r="L685" i="3"/>
  <c r="K685" i="3"/>
  <c r="J685" i="3"/>
  <c r="I685" i="3"/>
  <c r="S646" i="3"/>
  <c r="P646" i="3"/>
  <c r="N646" i="3"/>
  <c r="M646" i="3"/>
  <c r="O646" i="3"/>
  <c r="L646" i="3"/>
  <c r="J646" i="3"/>
  <c r="K646" i="3"/>
  <c r="I646" i="3"/>
  <c r="S1162" i="3"/>
  <c r="P1162" i="3"/>
  <c r="O1162" i="3"/>
  <c r="N1162" i="3"/>
  <c r="M1162" i="3"/>
  <c r="K1162" i="3"/>
  <c r="L1162" i="3"/>
  <c r="J1162" i="3"/>
  <c r="E1162" i="3"/>
  <c r="J220" i="7" s="1"/>
  <c r="D1162" i="3"/>
  <c r="I220" i="7" s="1"/>
  <c r="H1162" i="3"/>
  <c r="I1162" i="3"/>
  <c r="S431" i="3"/>
  <c r="P431" i="3"/>
  <c r="O431" i="3"/>
  <c r="N431" i="3"/>
  <c r="M431" i="3"/>
  <c r="L431" i="3"/>
  <c r="K431" i="3"/>
  <c r="J431" i="3"/>
  <c r="E431" i="3"/>
  <c r="J295" i="7" s="1"/>
  <c r="D431" i="3"/>
  <c r="H431" i="3"/>
  <c r="I431" i="3"/>
  <c r="S80" i="3"/>
  <c r="P80" i="3"/>
  <c r="O80" i="3"/>
  <c r="N80" i="3"/>
  <c r="M80" i="3"/>
  <c r="L80" i="3"/>
  <c r="K80" i="3"/>
  <c r="J258" i="7"/>
  <c r="J80" i="3"/>
  <c r="I258" i="7"/>
  <c r="I80" i="3"/>
  <c r="S1313" i="3"/>
  <c r="P1313" i="3"/>
  <c r="O1313" i="3"/>
  <c r="N1313" i="3"/>
  <c r="M1313" i="3"/>
  <c r="K1313" i="3"/>
  <c r="L1313" i="3"/>
  <c r="J1313" i="3"/>
  <c r="E1313" i="3"/>
  <c r="D1313" i="3"/>
  <c r="H1313" i="3"/>
  <c r="I1313" i="3"/>
  <c r="S1182" i="3"/>
  <c r="P1182" i="3"/>
  <c r="O1182" i="3"/>
  <c r="N1182" i="3"/>
  <c r="M1182" i="3"/>
  <c r="L1182" i="3"/>
  <c r="K1182" i="3"/>
  <c r="J1182" i="3"/>
  <c r="E1182" i="3"/>
  <c r="J500" i="7" s="1"/>
  <c r="D1182" i="3"/>
  <c r="I500" i="7" s="1"/>
  <c r="H1182" i="3"/>
  <c r="I1182" i="3"/>
  <c r="S1089" i="3"/>
  <c r="P1089" i="3"/>
  <c r="O1089" i="3"/>
  <c r="N1089" i="3"/>
  <c r="M1089" i="3"/>
  <c r="L1089" i="3"/>
  <c r="K1089" i="3"/>
  <c r="E1089" i="3"/>
  <c r="J1089" i="3"/>
  <c r="D1089" i="3"/>
  <c r="H1089" i="3"/>
  <c r="I1089" i="3"/>
  <c r="S1410" i="3"/>
  <c r="P1410" i="3"/>
  <c r="O1410" i="3"/>
  <c r="N1410" i="3"/>
  <c r="M1410" i="3"/>
  <c r="L1410" i="3"/>
  <c r="K1410" i="3"/>
  <c r="J1410" i="3"/>
  <c r="D1410" i="3"/>
  <c r="I142" i="7" s="1"/>
  <c r="E1410" i="3"/>
  <c r="J142" i="7" s="1"/>
  <c r="I1410" i="3"/>
  <c r="H1410" i="3"/>
  <c r="S354" i="3"/>
  <c r="P354" i="3"/>
  <c r="O354" i="3"/>
  <c r="N354" i="3"/>
  <c r="M354" i="3"/>
  <c r="L354" i="3"/>
  <c r="K354" i="3"/>
  <c r="J354" i="3"/>
  <c r="I354" i="3"/>
  <c r="S23" i="3"/>
  <c r="P23" i="3"/>
  <c r="O23" i="3"/>
  <c r="N23" i="3"/>
  <c r="M23" i="3"/>
  <c r="L23" i="3"/>
  <c r="K23" i="3"/>
  <c r="J23" i="3"/>
  <c r="J141" i="7"/>
  <c r="I141" i="7"/>
  <c r="I23" i="3"/>
  <c r="S1334" i="3"/>
  <c r="P1334" i="3"/>
  <c r="O1334" i="3"/>
  <c r="N1334" i="3"/>
  <c r="M1334" i="3"/>
  <c r="L1334" i="3"/>
  <c r="K1334" i="3"/>
  <c r="J1334" i="3"/>
  <c r="E1334" i="3"/>
  <c r="J169" i="7" s="1"/>
  <c r="D1334" i="3"/>
  <c r="I169" i="7" s="1"/>
  <c r="H1334" i="3"/>
  <c r="I1334" i="3"/>
  <c r="S1303" i="3"/>
  <c r="P1303" i="3"/>
  <c r="O1303" i="3"/>
  <c r="N1303" i="3"/>
  <c r="M1303" i="3"/>
  <c r="L1303" i="3"/>
  <c r="K1303" i="3"/>
  <c r="J1303" i="3"/>
  <c r="D1303" i="3"/>
  <c r="E1303" i="3"/>
  <c r="H1303" i="3"/>
  <c r="I1303" i="3"/>
  <c r="S1072" i="3"/>
  <c r="P1072" i="3"/>
  <c r="O1072" i="3"/>
  <c r="N1072" i="3"/>
  <c r="M1072" i="3"/>
  <c r="K1072" i="3"/>
  <c r="L1072" i="3"/>
  <c r="J1072" i="3"/>
  <c r="E1072" i="3"/>
  <c r="D1072" i="3"/>
  <c r="H1072" i="3"/>
  <c r="I1072" i="3"/>
  <c r="S796" i="3"/>
  <c r="P796" i="3"/>
  <c r="O796" i="3"/>
  <c r="N796" i="3"/>
  <c r="M796" i="3"/>
  <c r="L796" i="3"/>
  <c r="K796" i="3"/>
  <c r="J796" i="3"/>
  <c r="E796" i="3"/>
  <c r="J287" i="7" s="1"/>
  <c r="D796" i="3"/>
  <c r="I287" i="7" s="1"/>
  <c r="H796" i="3"/>
  <c r="I796" i="3"/>
  <c r="S532" i="3"/>
  <c r="P532" i="3"/>
  <c r="O532" i="3"/>
  <c r="N532" i="3"/>
  <c r="L532" i="3"/>
  <c r="K532" i="3"/>
  <c r="M532" i="3"/>
  <c r="J532" i="3"/>
  <c r="I532" i="3"/>
  <c r="S60" i="3"/>
  <c r="P60" i="3"/>
  <c r="O60" i="3"/>
  <c r="N60" i="3"/>
  <c r="M60" i="3"/>
  <c r="L60" i="3"/>
  <c r="J60" i="3"/>
  <c r="K60" i="3"/>
  <c r="I60" i="3"/>
  <c r="S554" i="3"/>
  <c r="P554" i="3"/>
  <c r="O554" i="3"/>
  <c r="N554" i="3"/>
  <c r="M554" i="3"/>
  <c r="L554" i="3"/>
  <c r="K554" i="3"/>
  <c r="J554" i="3"/>
  <c r="J472" i="7"/>
  <c r="I554" i="3"/>
  <c r="S1134" i="3"/>
  <c r="P1134" i="3"/>
  <c r="O1134" i="3"/>
  <c r="N1134" i="3"/>
  <c r="L1134" i="3"/>
  <c r="M1134" i="3"/>
  <c r="K1134" i="3"/>
  <c r="J1134" i="3"/>
  <c r="E1134" i="3"/>
  <c r="D1134" i="3"/>
  <c r="I1134" i="3"/>
  <c r="H1134" i="3"/>
  <c r="S672" i="3"/>
  <c r="P672" i="3"/>
  <c r="O672" i="3"/>
  <c r="N672" i="3"/>
  <c r="M672" i="3"/>
  <c r="L672" i="3"/>
  <c r="K672" i="3"/>
  <c r="J672" i="3"/>
  <c r="E672" i="3"/>
  <c r="D672" i="3"/>
  <c r="H672" i="3"/>
  <c r="I672" i="3"/>
  <c r="S1001" i="3"/>
  <c r="P1001" i="3"/>
  <c r="O1001" i="3"/>
  <c r="N1001" i="3"/>
  <c r="M1001" i="3"/>
  <c r="L1001" i="3"/>
  <c r="K1001" i="3"/>
  <c r="J1001" i="3"/>
  <c r="E1001" i="3"/>
  <c r="D1001" i="3"/>
  <c r="H1001" i="3"/>
  <c r="I1001" i="3"/>
  <c r="S207" i="3"/>
  <c r="P207" i="3"/>
  <c r="N207" i="3"/>
  <c r="O207" i="3"/>
  <c r="M207" i="3"/>
  <c r="L207" i="3"/>
  <c r="K207" i="3"/>
  <c r="J207" i="3"/>
  <c r="I207" i="3"/>
  <c r="S443" i="3"/>
  <c r="P443" i="3"/>
  <c r="O443" i="3"/>
  <c r="M443" i="3"/>
  <c r="L443" i="3"/>
  <c r="N443" i="3"/>
  <c r="J443" i="3"/>
  <c r="K443" i="3"/>
  <c r="E443" i="3"/>
  <c r="J455" i="7" s="1"/>
  <c r="D443" i="3"/>
  <c r="I455" i="7" s="1"/>
  <c r="H443" i="3"/>
  <c r="I443" i="3"/>
  <c r="S1129" i="3"/>
  <c r="P1129" i="3"/>
  <c r="O1129" i="3"/>
  <c r="N1129" i="3"/>
  <c r="M1129" i="3"/>
  <c r="K1129" i="3"/>
  <c r="L1129" i="3"/>
  <c r="J1129" i="3"/>
  <c r="E1129" i="3"/>
  <c r="D1129" i="3"/>
  <c r="H1129" i="3"/>
  <c r="I1129" i="3"/>
  <c r="S35" i="3"/>
  <c r="P35" i="3"/>
  <c r="O35" i="3"/>
  <c r="N35" i="3"/>
  <c r="L35" i="3"/>
  <c r="M35" i="3"/>
  <c r="K35" i="3"/>
  <c r="J27" i="7"/>
  <c r="J35" i="3"/>
  <c r="I27" i="7"/>
  <c r="I35" i="3"/>
  <c r="S757" i="3"/>
  <c r="P757" i="3"/>
  <c r="O757" i="3"/>
  <c r="N757" i="3"/>
  <c r="M757" i="3"/>
  <c r="L757" i="3"/>
  <c r="K757" i="3"/>
  <c r="E757" i="3"/>
  <c r="J424" i="7" s="1"/>
  <c r="J757" i="3"/>
  <c r="D757" i="3"/>
  <c r="H757" i="3"/>
  <c r="I757" i="3"/>
  <c r="S1227" i="3"/>
  <c r="P1227" i="3"/>
  <c r="O1227" i="3"/>
  <c r="N1227" i="3"/>
  <c r="M1227" i="3"/>
  <c r="L1227" i="3"/>
  <c r="K1227" i="3"/>
  <c r="J1227" i="3"/>
  <c r="E1227" i="3"/>
  <c r="J119" i="7" s="1"/>
  <c r="D1227" i="3"/>
  <c r="I119" i="7" s="1"/>
  <c r="H1227" i="3"/>
  <c r="I1227" i="3"/>
  <c r="S949" i="3"/>
  <c r="P949" i="3"/>
  <c r="O949" i="3"/>
  <c r="N949" i="3"/>
  <c r="L949" i="3"/>
  <c r="M949" i="3"/>
  <c r="K949" i="3"/>
  <c r="J949" i="3"/>
  <c r="J153" i="7"/>
  <c r="I153" i="7"/>
  <c r="I949" i="3"/>
  <c r="S1074" i="3"/>
  <c r="P1074" i="3"/>
  <c r="O1074" i="3"/>
  <c r="N1074" i="3"/>
  <c r="M1074" i="3"/>
  <c r="K1074" i="3"/>
  <c r="J1074" i="3"/>
  <c r="L1074" i="3"/>
  <c r="E1074" i="3"/>
  <c r="J563" i="7" s="1"/>
  <c r="D1074" i="3"/>
  <c r="I563" i="7" s="1"/>
  <c r="H1074" i="3"/>
  <c r="I1074" i="3"/>
  <c r="S69" i="3"/>
  <c r="P69" i="3"/>
  <c r="O69" i="3"/>
  <c r="N69" i="3"/>
  <c r="M69" i="3"/>
  <c r="L69" i="3"/>
  <c r="K69" i="3"/>
  <c r="J69" i="3"/>
  <c r="I69" i="3"/>
  <c r="S843" i="3"/>
  <c r="P843" i="3"/>
  <c r="O843" i="3"/>
  <c r="N843" i="3"/>
  <c r="M843" i="3"/>
  <c r="L843" i="3"/>
  <c r="K843" i="3"/>
  <c r="J843" i="3"/>
  <c r="E843" i="3"/>
  <c r="J330" i="7" s="1"/>
  <c r="D843" i="3"/>
  <c r="I330" i="7" s="1"/>
  <c r="H843" i="3"/>
  <c r="I843" i="3"/>
  <c r="S1431" i="3"/>
  <c r="P1431" i="3"/>
  <c r="N1431" i="3"/>
  <c r="O1431" i="3"/>
  <c r="L1431" i="3"/>
  <c r="M1431" i="3"/>
  <c r="J1431" i="3"/>
  <c r="K1431" i="3"/>
  <c r="E1431" i="3"/>
  <c r="D1431" i="3"/>
  <c r="H1431" i="3"/>
  <c r="I1431" i="3"/>
  <c r="S870" i="3"/>
  <c r="P870" i="3"/>
  <c r="N870" i="3"/>
  <c r="O870" i="3"/>
  <c r="M870" i="3"/>
  <c r="L870" i="3"/>
  <c r="K870" i="3"/>
  <c r="J870" i="3"/>
  <c r="I870" i="3"/>
  <c r="S393" i="3"/>
  <c r="P393" i="3"/>
  <c r="O393" i="3"/>
  <c r="N393" i="3"/>
  <c r="M393" i="3"/>
  <c r="L393" i="3"/>
  <c r="K393" i="3"/>
  <c r="J393" i="3"/>
  <c r="I393" i="3"/>
  <c r="S321" i="3"/>
  <c r="P321" i="3"/>
  <c r="O321" i="3"/>
  <c r="N321" i="3"/>
  <c r="M321" i="3"/>
  <c r="L321" i="3"/>
  <c r="K321" i="3"/>
  <c r="J321" i="3"/>
  <c r="I321" i="3"/>
  <c r="S975" i="3"/>
  <c r="P975" i="3"/>
  <c r="N975" i="3"/>
  <c r="M975" i="3"/>
  <c r="O975" i="3"/>
  <c r="L975" i="3"/>
  <c r="K975" i="3"/>
  <c r="J975" i="3"/>
  <c r="E975" i="3"/>
  <c r="D975" i="3"/>
  <c r="H975" i="3"/>
  <c r="I975" i="3"/>
  <c r="S519" i="3"/>
  <c r="P519" i="3"/>
  <c r="O519" i="3"/>
  <c r="N519" i="3"/>
  <c r="M519" i="3"/>
  <c r="L519" i="3"/>
  <c r="K519" i="3"/>
  <c r="J519" i="3"/>
  <c r="I519" i="3"/>
  <c r="S1173" i="3"/>
  <c r="P1173" i="3"/>
  <c r="N1173" i="3"/>
  <c r="M1173" i="3"/>
  <c r="O1173" i="3"/>
  <c r="L1173" i="3"/>
  <c r="K1173" i="3"/>
  <c r="J1173" i="3"/>
  <c r="E1173" i="3"/>
  <c r="D1173" i="3"/>
  <c r="H1173" i="3"/>
  <c r="I1173" i="3"/>
  <c r="S1034" i="3"/>
  <c r="P1034" i="3"/>
  <c r="O1034" i="3"/>
  <c r="N1034" i="3"/>
  <c r="M1034" i="3"/>
  <c r="L1034" i="3"/>
  <c r="K1034" i="3"/>
  <c r="J1034" i="3"/>
  <c r="E1034" i="3"/>
  <c r="D1034" i="3"/>
  <c r="H1034" i="3"/>
  <c r="I1034" i="3"/>
  <c r="S205" i="3"/>
  <c r="P205" i="3"/>
  <c r="O205" i="3"/>
  <c r="N205" i="3"/>
  <c r="M205" i="3"/>
  <c r="L205" i="3"/>
  <c r="K205" i="3"/>
  <c r="J205" i="3"/>
  <c r="J369" i="7"/>
  <c r="I369" i="7"/>
  <c r="I205" i="3"/>
  <c r="S444" i="3"/>
  <c r="P444" i="3"/>
  <c r="O444" i="3"/>
  <c r="N444" i="3"/>
  <c r="M444" i="3"/>
  <c r="L444" i="3"/>
  <c r="K444" i="3"/>
  <c r="J444" i="3"/>
  <c r="E444" i="3"/>
  <c r="J600" i="7" s="1"/>
  <c r="D444" i="3"/>
  <c r="I600" i="7" s="1"/>
  <c r="I444" i="3"/>
  <c r="H444" i="3"/>
  <c r="S1246" i="3"/>
  <c r="P1246" i="3"/>
  <c r="O1246" i="3"/>
  <c r="N1246" i="3"/>
  <c r="M1246" i="3"/>
  <c r="L1246" i="3"/>
  <c r="K1246" i="3"/>
  <c r="J1246" i="3"/>
  <c r="E1246" i="3"/>
  <c r="D1246" i="3"/>
  <c r="I1246" i="3"/>
  <c r="H1246" i="3"/>
  <c r="S1172" i="3"/>
  <c r="P1172" i="3"/>
  <c r="O1172" i="3"/>
  <c r="N1172" i="3"/>
  <c r="M1172" i="3"/>
  <c r="K1172" i="3"/>
  <c r="L1172" i="3"/>
  <c r="J1172" i="3"/>
  <c r="D1172" i="3"/>
  <c r="I49" i="7" s="1"/>
  <c r="E1172" i="3"/>
  <c r="J49" i="7" s="1"/>
  <c r="H1172" i="3"/>
  <c r="I1172" i="3"/>
  <c r="S883" i="3"/>
  <c r="P883" i="3"/>
  <c r="O883" i="3"/>
  <c r="N883" i="3"/>
  <c r="M883" i="3"/>
  <c r="L883" i="3"/>
  <c r="K883" i="3"/>
  <c r="J883" i="3"/>
  <c r="I883" i="3"/>
  <c r="S61" i="3"/>
  <c r="P61" i="3"/>
  <c r="O61" i="3"/>
  <c r="N61" i="3"/>
  <c r="M61" i="3"/>
  <c r="L61" i="3"/>
  <c r="K61" i="3"/>
  <c r="J61" i="3"/>
  <c r="I61" i="3"/>
  <c r="P653" i="3"/>
  <c r="S653" i="3"/>
  <c r="N653" i="3"/>
  <c r="M653" i="3"/>
  <c r="L653" i="3"/>
  <c r="O653" i="3"/>
  <c r="J653" i="3"/>
  <c r="K653" i="3"/>
  <c r="D653" i="3"/>
  <c r="H653" i="3"/>
  <c r="I653" i="3"/>
  <c r="E653" i="3"/>
  <c r="S600" i="3"/>
  <c r="P600" i="3"/>
  <c r="O600" i="3"/>
  <c r="N600" i="3"/>
  <c r="M600" i="3"/>
  <c r="L600" i="3"/>
  <c r="K600" i="3"/>
  <c r="J600" i="3"/>
  <c r="I306" i="7"/>
  <c r="J306" i="7"/>
  <c r="I600" i="3"/>
  <c r="S164" i="3"/>
  <c r="P164" i="3"/>
  <c r="N164" i="3"/>
  <c r="O164" i="3"/>
  <c r="M164" i="3"/>
  <c r="L164" i="3"/>
  <c r="K164" i="3"/>
  <c r="J316" i="7"/>
  <c r="J164" i="3"/>
  <c r="I316" i="7"/>
  <c r="I164" i="3"/>
  <c r="S1538" i="3"/>
  <c r="P1538" i="3"/>
  <c r="O1538" i="3"/>
  <c r="N1538" i="3"/>
  <c r="M1538" i="3"/>
  <c r="L1538" i="3"/>
  <c r="K1538" i="3"/>
  <c r="J1538" i="3"/>
  <c r="D1538" i="3"/>
  <c r="E1538" i="3"/>
  <c r="H1538" i="3"/>
  <c r="I1538" i="3"/>
  <c r="S1056" i="3"/>
  <c r="P1056" i="3"/>
  <c r="O1056" i="3"/>
  <c r="N1056" i="3"/>
  <c r="L1056" i="3"/>
  <c r="M1056" i="3"/>
  <c r="K1056" i="3"/>
  <c r="J1056" i="3"/>
  <c r="E1056" i="3"/>
  <c r="J284" i="7" s="1"/>
  <c r="D1056" i="3"/>
  <c r="I284" i="7" s="1"/>
  <c r="H1056" i="3"/>
  <c r="I1056" i="3"/>
  <c r="S1199" i="3"/>
  <c r="P1199" i="3"/>
  <c r="O1199" i="3"/>
  <c r="N1199" i="3"/>
  <c r="M1199" i="3"/>
  <c r="L1199" i="3"/>
  <c r="K1199" i="3"/>
  <c r="E1199" i="3"/>
  <c r="J7" i="7" s="1"/>
  <c r="J1199" i="3"/>
  <c r="D1199" i="3"/>
  <c r="I7" i="7" s="1"/>
  <c r="I1199" i="3"/>
  <c r="H1199" i="3"/>
  <c r="S1290" i="3"/>
  <c r="P1290" i="3"/>
  <c r="O1290" i="3"/>
  <c r="N1290" i="3"/>
  <c r="M1290" i="3"/>
  <c r="L1290" i="3"/>
  <c r="K1290" i="3"/>
  <c r="J1290" i="3"/>
  <c r="D1290" i="3"/>
  <c r="I199" i="7" s="1"/>
  <c r="E1290" i="3"/>
  <c r="J199" i="7" s="1"/>
  <c r="H1290" i="3"/>
  <c r="I1290" i="3"/>
  <c r="S1360" i="3"/>
  <c r="P1360" i="3"/>
  <c r="O1360" i="3"/>
  <c r="N1360" i="3"/>
  <c r="M1360" i="3"/>
  <c r="L1360" i="3"/>
  <c r="K1360" i="3"/>
  <c r="J1360" i="3"/>
  <c r="E1360" i="3"/>
  <c r="J98" i="7" s="1"/>
  <c r="D1360" i="3"/>
  <c r="I98" i="7" s="1"/>
  <c r="H1360" i="3"/>
  <c r="I1360" i="3"/>
  <c r="S405" i="3"/>
  <c r="P405" i="3"/>
  <c r="O405" i="3"/>
  <c r="N405" i="3"/>
  <c r="M405" i="3"/>
  <c r="L405" i="3"/>
  <c r="K405" i="3"/>
  <c r="J405" i="3"/>
  <c r="J470" i="7"/>
  <c r="I470" i="7"/>
  <c r="I405" i="3"/>
  <c r="P518" i="3"/>
  <c r="S518" i="3"/>
  <c r="O518" i="3"/>
  <c r="M518" i="3"/>
  <c r="N518" i="3"/>
  <c r="L518" i="3"/>
  <c r="K518" i="3"/>
  <c r="J518" i="3"/>
  <c r="I518" i="3"/>
  <c r="S1244" i="3"/>
  <c r="P1244" i="3"/>
  <c r="O1244" i="3"/>
  <c r="N1244" i="3"/>
  <c r="M1244" i="3"/>
  <c r="L1244" i="3"/>
  <c r="K1244" i="3"/>
  <c r="J1244" i="3"/>
  <c r="D1244" i="3"/>
  <c r="I95" i="7" s="1"/>
  <c r="E1244" i="3"/>
  <c r="J95" i="7" s="1"/>
  <c r="H1244" i="3"/>
  <c r="I1244" i="3"/>
  <c r="S322" i="3"/>
  <c r="P322" i="3"/>
  <c r="O322" i="3"/>
  <c r="N322" i="3"/>
  <c r="M322" i="3"/>
  <c r="L322" i="3"/>
  <c r="K322" i="3"/>
  <c r="J322" i="3"/>
  <c r="J533" i="7"/>
  <c r="I322" i="3"/>
  <c r="S991" i="3"/>
  <c r="P991" i="3"/>
  <c r="O991" i="3"/>
  <c r="N991" i="3"/>
  <c r="M991" i="3"/>
  <c r="L991" i="3"/>
  <c r="K991" i="3"/>
  <c r="J991" i="3"/>
  <c r="E991" i="3"/>
  <c r="J251" i="7" s="1"/>
  <c r="D991" i="3"/>
  <c r="I251" i="7" s="1"/>
  <c r="H991" i="3"/>
  <c r="I991" i="3"/>
  <c r="S1242" i="3"/>
  <c r="P1242" i="3"/>
  <c r="O1242" i="3"/>
  <c r="N1242" i="3"/>
  <c r="M1242" i="3"/>
  <c r="L1242" i="3"/>
  <c r="K1242" i="3"/>
  <c r="J1242" i="3"/>
  <c r="E1242" i="3"/>
  <c r="J545" i="7" s="1"/>
  <c r="D1242" i="3"/>
  <c r="I545" i="7" s="1"/>
  <c r="H1242" i="3"/>
  <c r="I1242" i="3"/>
  <c r="S1506" i="3"/>
  <c r="P1506" i="3"/>
  <c r="O1506" i="3"/>
  <c r="N1506" i="3"/>
  <c r="M1506" i="3"/>
  <c r="L1506" i="3"/>
  <c r="K1506" i="3"/>
  <c r="J1506" i="3"/>
  <c r="D1506" i="3"/>
  <c r="I50" i="7" s="1"/>
  <c r="E1506" i="3"/>
  <c r="J50" i="7" s="1"/>
  <c r="H1506" i="3"/>
  <c r="I1506" i="3"/>
  <c r="S411" i="3"/>
  <c r="P411" i="3"/>
  <c r="O411" i="3"/>
  <c r="N411" i="3"/>
  <c r="M411" i="3"/>
  <c r="L411" i="3"/>
  <c r="K411" i="3"/>
  <c r="J411" i="3"/>
  <c r="J35" i="7"/>
  <c r="I35" i="7"/>
  <c r="I411" i="3"/>
  <c r="S1478" i="3"/>
  <c r="P1478" i="3"/>
  <c r="N1478" i="3"/>
  <c r="O1478" i="3"/>
  <c r="M1478" i="3"/>
  <c r="L1478" i="3"/>
  <c r="K1478" i="3"/>
  <c r="J1478" i="3"/>
  <c r="D1478" i="3"/>
  <c r="E1478" i="3"/>
  <c r="H1478" i="3"/>
  <c r="I1478" i="3"/>
  <c r="S1114" i="3"/>
  <c r="P1114" i="3"/>
  <c r="O1114" i="3"/>
  <c r="N1114" i="3"/>
  <c r="L1114" i="3"/>
  <c r="M1114" i="3"/>
  <c r="K1114" i="3"/>
  <c r="J1114" i="3"/>
  <c r="E1114" i="3"/>
  <c r="D1114" i="3"/>
  <c r="H1114" i="3"/>
  <c r="I1114" i="3"/>
  <c r="S643" i="3"/>
  <c r="P643" i="3"/>
  <c r="O643" i="3"/>
  <c r="N643" i="3"/>
  <c r="M643" i="3"/>
  <c r="L643" i="3"/>
  <c r="K643" i="3"/>
  <c r="J643" i="3"/>
  <c r="I643" i="3"/>
  <c r="S766" i="3"/>
  <c r="P766" i="3"/>
  <c r="O766" i="3"/>
  <c r="N766" i="3"/>
  <c r="M766" i="3"/>
  <c r="L766" i="3"/>
  <c r="K766" i="3"/>
  <c r="J766" i="3"/>
  <c r="I766" i="3"/>
  <c r="S70" i="3"/>
  <c r="P70" i="3"/>
  <c r="O70" i="3"/>
  <c r="N70" i="3"/>
  <c r="M70" i="3"/>
  <c r="L70" i="3"/>
  <c r="J70" i="3"/>
  <c r="K70" i="3"/>
  <c r="J396" i="7"/>
  <c r="I396" i="7"/>
  <c r="I70" i="3"/>
  <c r="S997" i="3"/>
  <c r="P997" i="3"/>
  <c r="O997" i="3"/>
  <c r="N997" i="3"/>
  <c r="M997" i="3"/>
  <c r="L997" i="3"/>
  <c r="K997" i="3"/>
  <c r="J997" i="3"/>
  <c r="E997" i="3"/>
  <c r="D997" i="3"/>
  <c r="H997" i="3"/>
  <c r="I997" i="3"/>
  <c r="S1147" i="3"/>
  <c r="P1147" i="3"/>
  <c r="O1147" i="3"/>
  <c r="N1147" i="3"/>
  <c r="M1147" i="3"/>
  <c r="L1147" i="3"/>
  <c r="K1147" i="3"/>
  <c r="E1147" i="3"/>
  <c r="J1147" i="3"/>
  <c r="D1147" i="3"/>
  <c r="H1147" i="3"/>
  <c r="I1147" i="3"/>
  <c r="S1399" i="3"/>
  <c r="P1399" i="3"/>
  <c r="O1399" i="3"/>
  <c r="N1399" i="3"/>
  <c r="M1399" i="3"/>
  <c r="L1399" i="3"/>
  <c r="K1399" i="3"/>
  <c r="J1399" i="3"/>
  <c r="E1399" i="3"/>
  <c r="D1399" i="3"/>
  <c r="H1399" i="3"/>
  <c r="I1399" i="3"/>
  <c r="S1009" i="3"/>
  <c r="P1009" i="3"/>
  <c r="O1009" i="3"/>
  <c r="N1009" i="3"/>
  <c r="M1009" i="3"/>
  <c r="K1009" i="3"/>
  <c r="J1009" i="3"/>
  <c r="L1009" i="3"/>
  <c r="E1009" i="3"/>
  <c r="D1009" i="3"/>
  <c r="H1009" i="3"/>
  <c r="I1009" i="3"/>
  <c r="S598" i="3"/>
  <c r="P598" i="3"/>
  <c r="O598" i="3"/>
  <c r="M598" i="3"/>
  <c r="L598" i="3"/>
  <c r="N598" i="3"/>
  <c r="K598" i="3"/>
  <c r="J598" i="3"/>
  <c r="J570" i="7"/>
  <c r="I598" i="3"/>
  <c r="S738" i="3"/>
  <c r="P738" i="3"/>
  <c r="O738" i="3"/>
  <c r="N738" i="3"/>
  <c r="M738" i="3"/>
  <c r="L738" i="3"/>
  <c r="K738" i="3"/>
  <c r="J738" i="3"/>
  <c r="E738" i="3"/>
  <c r="D738" i="3"/>
  <c r="H738" i="3"/>
  <c r="I738" i="3"/>
  <c r="S1422" i="3"/>
  <c r="P1422" i="3"/>
  <c r="O1422" i="3"/>
  <c r="N1422" i="3"/>
  <c r="M1422" i="3"/>
  <c r="L1422" i="3"/>
  <c r="K1422" i="3"/>
  <c r="J1422" i="3"/>
  <c r="E1422" i="3"/>
  <c r="D1422" i="3"/>
  <c r="I1422" i="3"/>
  <c r="H1422" i="3"/>
  <c r="S137" i="3"/>
  <c r="P137" i="3"/>
  <c r="O137" i="3"/>
  <c r="N137" i="3"/>
  <c r="M137" i="3"/>
  <c r="L137" i="3"/>
  <c r="K137" i="3"/>
  <c r="J137" i="3"/>
  <c r="J584" i="7"/>
  <c r="I584" i="7"/>
  <c r="I137" i="3"/>
  <c r="S1148" i="3"/>
  <c r="O1148" i="3"/>
  <c r="N1148" i="3"/>
  <c r="P1148" i="3"/>
  <c r="M1148" i="3"/>
  <c r="L1148" i="3"/>
  <c r="K1148" i="3"/>
  <c r="E1148" i="3"/>
  <c r="J1148" i="3"/>
  <c r="D1148" i="3"/>
  <c r="H1148" i="3"/>
  <c r="I1148" i="3"/>
  <c r="S1093" i="3"/>
  <c r="P1093" i="3"/>
  <c r="O1093" i="3"/>
  <c r="N1093" i="3"/>
  <c r="M1093" i="3"/>
  <c r="L1093" i="3"/>
  <c r="K1093" i="3"/>
  <c r="J1093" i="3"/>
  <c r="E1093" i="3"/>
  <c r="D1093" i="3"/>
  <c r="H1093" i="3"/>
  <c r="I1093" i="3"/>
  <c r="S1078" i="3"/>
  <c r="P1078" i="3"/>
  <c r="N1078" i="3"/>
  <c r="M1078" i="3"/>
  <c r="O1078" i="3"/>
  <c r="L1078" i="3"/>
  <c r="J1078" i="3"/>
  <c r="K1078" i="3"/>
  <c r="D1078" i="3"/>
  <c r="H1078" i="3"/>
  <c r="E1078" i="3"/>
  <c r="I1078" i="3"/>
  <c r="S1146" i="3"/>
  <c r="P1146" i="3"/>
  <c r="O1146" i="3"/>
  <c r="M1146" i="3"/>
  <c r="N1146" i="3"/>
  <c r="L1146" i="3"/>
  <c r="J1146" i="3"/>
  <c r="K1146" i="3"/>
  <c r="E1146" i="3"/>
  <c r="D1146" i="3"/>
  <c r="H1146" i="3"/>
  <c r="I1146" i="3"/>
  <c r="S1130" i="3"/>
  <c r="P1130" i="3"/>
  <c r="O1130" i="3"/>
  <c r="N1130" i="3"/>
  <c r="M1130" i="3"/>
  <c r="L1130" i="3"/>
  <c r="K1130" i="3"/>
  <c r="E1130" i="3"/>
  <c r="J1130" i="3"/>
  <c r="D1130" i="3"/>
  <c r="H1130" i="3"/>
  <c r="I1130" i="3"/>
  <c r="S1005" i="3"/>
  <c r="P1005" i="3"/>
  <c r="O1005" i="3"/>
  <c r="M1005" i="3"/>
  <c r="N1005" i="3"/>
  <c r="L1005" i="3"/>
  <c r="K1005" i="3"/>
  <c r="J1005" i="3"/>
  <c r="E1005" i="3"/>
  <c r="D1005" i="3"/>
  <c r="H1005" i="3"/>
  <c r="I1005" i="3"/>
  <c r="S943" i="3"/>
  <c r="O943" i="3"/>
  <c r="N943" i="3"/>
  <c r="P943" i="3"/>
  <c r="M943" i="3"/>
  <c r="L943" i="3"/>
  <c r="K943" i="3"/>
  <c r="E943" i="3"/>
  <c r="J943" i="3"/>
  <c r="D943" i="3"/>
  <c r="H943" i="3"/>
  <c r="I943" i="3"/>
  <c r="S1052" i="3"/>
  <c r="P1052" i="3"/>
  <c r="O1052" i="3"/>
  <c r="M1052" i="3"/>
  <c r="N1052" i="3"/>
  <c r="L1052" i="3"/>
  <c r="J1052" i="3"/>
  <c r="K1052" i="3"/>
  <c r="E1052" i="3"/>
  <c r="J566" i="7" s="1"/>
  <c r="D1052" i="3"/>
  <c r="H1052" i="3"/>
  <c r="I1052" i="3"/>
  <c r="S1015" i="3"/>
  <c r="P1015" i="3"/>
  <c r="O1015" i="3"/>
  <c r="M1015" i="3"/>
  <c r="N1015" i="3"/>
  <c r="K1015" i="3"/>
  <c r="L1015" i="3"/>
  <c r="J1015" i="3"/>
  <c r="E1015" i="3"/>
  <c r="D1015" i="3"/>
  <c r="H1015" i="3"/>
  <c r="I1015" i="3"/>
  <c r="S998" i="3"/>
  <c r="P998" i="3"/>
  <c r="O998" i="3"/>
  <c r="N998" i="3"/>
  <c r="M998" i="3"/>
  <c r="L998" i="3"/>
  <c r="K998" i="3"/>
  <c r="J998" i="3"/>
  <c r="E998" i="3"/>
  <c r="D998" i="3"/>
  <c r="H998" i="3"/>
  <c r="I998" i="3"/>
  <c r="S982" i="3"/>
  <c r="P982" i="3"/>
  <c r="O982" i="3"/>
  <c r="N982" i="3"/>
  <c r="M982" i="3"/>
  <c r="L982" i="3"/>
  <c r="K982" i="3"/>
  <c r="J982" i="3"/>
  <c r="E982" i="3"/>
  <c r="D982" i="3"/>
  <c r="I982" i="3"/>
  <c r="H982" i="3"/>
  <c r="S966" i="3"/>
  <c r="P966" i="3"/>
  <c r="O966" i="3"/>
  <c r="N966" i="3"/>
  <c r="M966" i="3"/>
  <c r="L966" i="3"/>
  <c r="K966" i="3"/>
  <c r="E966" i="3"/>
  <c r="J966" i="3"/>
  <c r="D966" i="3"/>
  <c r="H966" i="3"/>
  <c r="I966" i="3"/>
  <c r="S781" i="3"/>
  <c r="P781" i="3"/>
  <c r="O781" i="3"/>
  <c r="M781" i="3"/>
  <c r="N781" i="3"/>
  <c r="L781" i="3"/>
  <c r="J781" i="3"/>
  <c r="K781" i="3"/>
  <c r="E781" i="3"/>
  <c r="D781" i="3"/>
  <c r="H781" i="3"/>
  <c r="I781" i="3"/>
  <c r="S756" i="3"/>
  <c r="P756" i="3"/>
  <c r="M756" i="3"/>
  <c r="N756" i="3"/>
  <c r="O756" i="3"/>
  <c r="L756" i="3"/>
  <c r="K756" i="3"/>
  <c r="J756" i="3"/>
  <c r="E756" i="3"/>
  <c r="D756" i="3"/>
  <c r="H756" i="3"/>
  <c r="I756" i="3"/>
  <c r="S919" i="3"/>
  <c r="P919" i="3"/>
  <c r="O919" i="3"/>
  <c r="N919" i="3"/>
  <c r="M919" i="3"/>
  <c r="L919" i="3"/>
  <c r="J919" i="3"/>
  <c r="K919" i="3"/>
  <c r="D919" i="3"/>
  <c r="E919" i="3"/>
  <c r="H919" i="3"/>
  <c r="I919" i="3"/>
  <c r="S695" i="3"/>
  <c r="P695" i="3"/>
  <c r="O695" i="3"/>
  <c r="N695" i="3"/>
  <c r="M695" i="3"/>
  <c r="K695" i="3"/>
  <c r="L695" i="3"/>
  <c r="J695" i="3"/>
  <c r="E695" i="3"/>
  <c r="D695" i="3"/>
  <c r="H695" i="3"/>
  <c r="I695" i="3"/>
  <c r="S902" i="3"/>
  <c r="P902" i="3"/>
  <c r="M902" i="3"/>
  <c r="N902" i="3"/>
  <c r="O902" i="3"/>
  <c r="L902" i="3"/>
  <c r="J902" i="3"/>
  <c r="K902" i="3"/>
  <c r="E902" i="3"/>
  <c r="D902" i="3"/>
  <c r="H902" i="3"/>
  <c r="I902" i="3"/>
  <c r="S885" i="3"/>
  <c r="P885" i="3"/>
  <c r="O885" i="3"/>
  <c r="N885" i="3"/>
  <c r="M885" i="3"/>
  <c r="L885" i="3"/>
  <c r="K885" i="3"/>
  <c r="J885" i="3"/>
  <c r="E885" i="3"/>
  <c r="D885" i="3"/>
  <c r="I885" i="3"/>
  <c r="H885" i="3"/>
  <c r="S872" i="3"/>
  <c r="P872" i="3"/>
  <c r="O872" i="3"/>
  <c r="M872" i="3"/>
  <c r="L872" i="3"/>
  <c r="N872" i="3"/>
  <c r="J872" i="3"/>
  <c r="K872" i="3"/>
  <c r="E872" i="3"/>
  <c r="D872" i="3"/>
  <c r="H872" i="3"/>
  <c r="I872" i="3"/>
  <c r="S857" i="3"/>
  <c r="P857" i="3"/>
  <c r="O857" i="3"/>
  <c r="N857" i="3"/>
  <c r="M857" i="3"/>
  <c r="L857" i="3"/>
  <c r="J857" i="3"/>
  <c r="K857" i="3"/>
  <c r="E857" i="3"/>
  <c r="D857" i="3"/>
  <c r="H857" i="3"/>
  <c r="I857" i="3"/>
  <c r="S429" i="3"/>
  <c r="P429" i="3"/>
  <c r="O429" i="3"/>
  <c r="N429" i="3"/>
  <c r="M429" i="3"/>
  <c r="L429" i="3"/>
  <c r="K429" i="3"/>
  <c r="J429" i="3"/>
  <c r="I429" i="3"/>
  <c r="S818" i="3"/>
  <c r="P818" i="3"/>
  <c r="O818" i="3"/>
  <c r="N818" i="3"/>
  <c r="M818" i="3"/>
  <c r="L818" i="3"/>
  <c r="K818" i="3"/>
  <c r="J818" i="3"/>
  <c r="E818" i="3"/>
  <c r="J390" i="7" s="1"/>
  <c r="D818" i="3"/>
  <c r="I390" i="7" s="1"/>
  <c r="H818" i="3"/>
  <c r="I818" i="3"/>
  <c r="S193" i="3"/>
  <c r="P193" i="3"/>
  <c r="O193" i="3"/>
  <c r="N193" i="3"/>
  <c r="M193" i="3"/>
  <c r="L193" i="3"/>
  <c r="K193" i="3"/>
  <c r="J193" i="3"/>
  <c r="I193" i="3"/>
  <c r="S767" i="3"/>
  <c r="P767" i="3"/>
  <c r="O767" i="3"/>
  <c r="N767" i="3"/>
  <c r="M767" i="3"/>
  <c r="L767" i="3"/>
  <c r="K767" i="3"/>
  <c r="J767" i="3"/>
  <c r="E767" i="3"/>
  <c r="D767" i="3"/>
  <c r="H767" i="3"/>
  <c r="I767" i="3"/>
  <c r="P220" i="3"/>
  <c r="S220" i="3"/>
  <c r="O220" i="3"/>
  <c r="M220" i="3"/>
  <c r="N220" i="3"/>
  <c r="L220" i="3"/>
  <c r="J220" i="3"/>
  <c r="K220" i="3"/>
  <c r="E220" i="3"/>
  <c r="D220" i="3"/>
  <c r="H220" i="3"/>
  <c r="I220" i="3"/>
  <c r="S402" i="3"/>
  <c r="P402" i="3"/>
  <c r="O402" i="3"/>
  <c r="M402" i="3"/>
  <c r="N402" i="3"/>
  <c r="L402" i="3"/>
  <c r="K402" i="3"/>
  <c r="J402" i="3"/>
  <c r="I402" i="3"/>
  <c r="S359" i="3"/>
  <c r="P359" i="3"/>
  <c r="O359" i="3"/>
  <c r="M359" i="3"/>
  <c r="L359" i="3"/>
  <c r="N359" i="3"/>
  <c r="K359" i="3"/>
  <c r="J359" i="3"/>
  <c r="I359" i="3"/>
  <c r="S662" i="3"/>
  <c r="P662" i="3"/>
  <c r="O662" i="3"/>
  <c r="N662" i="3"/>
  <c r="M662" i="3"/>
  <c r="L662" i="3"/>
  <c r="K662" i="3"/>
  <c r="E662" i="3"/>
  <c r="J662" i="3"/>
  <c r="D662" i="3"/>
  <c r="H662" i="3"/>
  <c r="I662" i="3"/>
  <c r="S1144" i="3"/>
  <c r="P1144" i="3"/>
  <c r="O1144" i="3"/>
  <c r="N1144" i="3"/>
  <c r="M1144" i="3"/>
  <c r="L1144" i="3"/>
  <c r="K1144" i="3"/>
  <c r="J1144" i="3"/>
  <c r="E1144" i="3"/>
  <c r="D1144" i="3"/>
  <c r="H1144" i="3"/>
  <c r="I1144" i="3"/>
  <c r="S715" i="3"/>
  <c r="P715" i="3"/>
  <c r="O715" i="3"/>
  <c r="N715" i="3"/>
  <c r="M715" i="3"/>
  <c r="L715" i="3"/>
  <c r="K715" i="3"/>
  <c r="J715" i="3"/>
  <c r="I715" i="3"/>
  <c r="S472" i="3"/>
  <c r="P472" i="3"/>
  <c r="O472" i="3"/>
  <c r="N472" i="3"/>
  <c r="M472" i="3"/>
  <c r="L472" i="3"/>
  <c r="J472" i="3"/>
  <c r="K472" i="3"/>
  <c r="I472" i="3"/>
  <c r="S247" i="3"/>
  <c r="P247" i="3"/>
  <c r="O247" i="3"/>
  <c r="N247" i="3"/>
  <c r="M247" i="3"/>
  <c r="L247" i="3"/>
  <c r="K247" i="3"/>
  <c r="J247" i="3"/>
  <c r="I247" i="3"/>
  <c r="S819" i="3"/>
  <c r="P819" i="3"/>
  <c r="O819" i="3"/>
  <c r="N819" i="3"/>
  <c r="M819" i="3"/>
  <c r="L819" i="3"/>
  <c r="K819" i="3"/>
  <c r="J819" i="3"/>
  <c r="E819" i="3"/>
  <c r="D819" i="3"/>
  <c r="I819" i="3"/>
  <c r="H819" i="3"/>
  <c r="S413" i="3"/>
  <c r="P413" i="3"/>
  <c r="O413" i="3"/>
  <c r="N413" i="3"/>
  <c r="M413" i="3"/>
  <c r="L413" i="3"/>
  <c r="K413" i="3"/>
  <c r="J413" i="3"/>
  <c r="I413" i="3"/>
  <c r="S195" i="3"/>
  <c r="P195" i="3"/>
  <c r="O195" i="3"/>
  <c r="N195" i="3"/>
  <c r="M195" i="3"/>
  <c r="L195" i="3"/>
  <c r="K195" i="3"/>
  <c r="J195" i="3"/>
  <c r="I195" i="3"/>
  <c r="S1285" i="3"/>
  <c r="P1285" i="3"/>
  <c r="O1285" i="3"/>
  <c r="N1285" i="3"/>
  <c r="L1285" i="3"/>
  <c r="M1285" i="3"/>
  <c r="K1285" i="3"/>
  <c r="J1285" i="3"/>
  <c r="E1285" i="3"/>
  <c r="D1285" i="3"/>
  <c r="H1285" i="3"/>
  <c r="I1285" i="3"/>
  <c r="S5" i="3"/>
  <c r="P5" i="3"/>
  <c r="O5" i="3"/>
  <c r="N5" i="3"/>
  <c r="M5" i="3"/>
  <c r="L5" i="3"/>
  <c r="J5" i="3"/>
  <c r="K5" i="3"/>
  <c r="J519" i="7"/>
  <c r="I5" i="3"/>
  <c r="I519" i="7"/>
  <c r="S315" i="3"/>
  <c r="P315" i="3"/>
  <c r="O315" i="3"/>
  <c r="N315" i="3"/>
  <c r="M315" i="3"/>
  <c r="L315" i="3"/>
  <c r="J315" i="3"/>
  <c r="K315" i="3"/>
  <c r="J596" i="7"/>
  <c r="I315" i="3"/>
  <c r="S550" i="3"/>
  <c r="P550" i="3"/>
  <c r="O550" i="3"/>
  <c r="N550" i="3"/>
  <c r="M550" i="3"/>
  <c r="L550" i="3"/>
  <c r="K550" i="3"/>
  <c r="J550" i="3"/>
  <c r="I550" i="3"/>
  <c r="S109" i="3"/>
  <c r="P109" i="3"/>
  <c r="O109" i="3"/>
  <c r="N109" i="3"/>
  <c r="M109" i="3"/>
  <c r="L109" i="3"/>
  <c r="J109" i="3"/>
  <c r="K109" i="3"/>
  <c r="I109" i="3"/>
  <c r="S582" i="3"/>
  <c r="P582" i="3"/>
  <c r="O582" i="3"/>
  <c r="N582" i="3"/>
  <c r="M582" i="3"/>
  <c r="K582" i="3"/>
  <c r="L582" i="3"/>
  <c r="J582" i="3"/>
  <c r="E582" i="3"/>
  <c r="D582" i="3"/>
  <c r="H582" i="3"/>
  <c r="I582" i="3"/>
  <c r="S1541" i="3"/>
  <c r="P1541" i="3"/>
  <c r="O1541" i="3"/>
  <c r="M1541" i="3"/>
  <c r="N1541" i="3"/>
  <c r="L1541" i="3"/>
  <c r="J1541" i="3"/>
  <c r="K1541" i="3"/>
  <c r="E1541" i="3"/>
  <c r="D1541" i="3"/>
  <c r="H1541" i="3"/>
  <c r="I1541" i="3"/>
  <c r="S1328" i="3"/>
  <c r="P1328" i="3"/>
  <c r="O1328" i="3"/>
  <c r="N1328" i="3"/>
  <c r="M1328" i="3"/>
  <c r="L1328" i="3"/>
  <c r="K1328" i="3"/>
  <c r="J1328" i="3"/>
  <c r="E1328" i="3"/>
  <c r="D1328" i="3"/>
  <c r="H1328" i="3"/>
  <c r="I1328" i="3"/>
  <c r="S792" i="3"/>
  <c r="P792" i="3"/>
  <c r="O792" i="3"/>
  <c r="N792" i="3"/>
  <c r="M792" i="3"/>
  <c r="L792" i="3"/>
  <c r="K792" i="3"/>
  <c r="J792" i="3"/>
  <c r="I792" i="3"/>
  <c r="S629" i="3"/>
  <c r="P629" i="3"/>
  <c r="O629" i="3"/>
  <c r="N629" i="3"/>
  <c r="L629" i="3"/>
  <c r="M629" i="3"/>
  <c r="K629" i="3"/>
  <c r="J629" i="3"/>
  <c r="I629" i="3"/>
  <c r="S277" i="3"/>
  <c r="P277" i="3"/>
  <c r="O277" i="3"/>
  <c r="N277" i="3"/>
  <c r="M277" i="3"/>
  <c r="L277" i="3"/>
  <c r="K277" i="3"/>
  <c r="J277" i="3"/>
  <c r="I277" i="3"/>
  <c r="S1470" i="3"/>
  <c r="P1470" i="3"/>
  <c r="O1470" i="3"/>
  <c r="N1470" i="3"/>
  <c r="M1470" i="3"/>
  <c r="L1470" i="3"/>
  <c r="K1470" i="3"/>
  <c r="J1470" i="3"/>
  <c r="E1470" i="3"/>
  <c r="D1470" i="3"/>
  <c r="H1470" i="3"/>
  <c r="I1470" i="3"/>
  <c r="S1389" i="3"/>
  <c r="P1389" i="3"/>
  <c r="O1389" i="3"/>
  <c r="N1389" i="3"/>
  <c r="M1389" i="3"/>
  <c r="L1389" i="3"/>
  <c r="K1389" i="3"/>
  <c r="J1389" i="3"/>
  <c r="E1389" i="3"/>
  <c r="D1389" i="3"/>
  <c r="H1389" i="3"/>
  <c r="I1389" i="3"/>
  <c r="S327" i="3"/>
  <c r="P327" i="3"/>
  <c r="O327" i="3"/>
  <c r="N327" i="3"/>
  <c r="M327" i="3"/>
  <c r="L327" i="3"/>
  <c r="K327" i="3"/>
  <c r="J327" i="3"/>
  <c r="E327" i="3"/>
  <c r="J513" i="7" s="1"/>
  <c r="D327" i="3"/>
  <c r="I513" i="7" s="1"/>
  <c r="I327" i="3"/>
  <c r="H327" i="3"/>
  <c r="S357" i="3"/>
  <c r="P357" i="3"/>
  <c r="O357" i="3"/>
  <c r="M357" i="3"/>
  <c r="L357" i="3"/>
  <c r="N357" i="3"/>
  <c r="K357" i="3"/>
  <c r="J357" i="3"/>
  <c r="E357" i="3"/>
  <c r="D357" i="3"/>
  <c r="H357" i="3"/>
  <c r="I357" i="3"/>
  <c r="S570" i="3"/>
  <c r="P570" i="3"/>
  <c r="O570" i="3"/>
  <c r="N570" i="3"/>
  <c r="M570" i="3"/>
  <c r="L570" i="3"/>
  <c r="K570" i="3"/>
  <c r="J570" i="3"/>
  <c r="I570" i="3"/>
  <c r="S62" i="3"/>
  <c r="P62" i="3"/>
  <c r="O62" i="3"/>
  <c r="N62" i="3"/>
  <c r="M62" i="3"/>
  <c r="L62" i="3"/>
  <c r="K62" i="3"/>
  <c r="J62" i="3"/>
  <c r="I62" i="3"/>
  <c r="S173" i="3"/>
  <c r="P173" i="3"/>
  <c r="O173" i="3"/>
  <c r="N173" i="3"/>
  <c r="M173" i="3"/>
  <c r="L173" i="3"/>
  <c r="K173" i="3"/>
  <c r="J490" i="7"/>
  <c r="J173" i="3"/>
  <c r="I490" i="7"/>
  <c r="I173" i="3"/>
  <c r="S55" i="3"/>
  <c r="P55" i="3"/>
  <c r="O55" i="3"/>
  <c r="N55" i="3"/>
  <c r="M55" i="3"/>
  <c r="L55" i="3"/>
  <c r="K55" i="3"/>
  <c r="J55" i="3"/>
  <c r="I55" i="3"/>
  <c r="S1294" i="3"/>
  <c r="P1294" i="3"/>
  <c r="O1294" i="3"/>
  <c r="N1294" i="3"/>
  <c r="L1294" i="3"/>
  <c r="K1294" i="3"/>
  <c r="M1294" i="3"/>
  <c r="J1294" i="3"/>
  <c r="E1294" i="3"/>
  <c r="D1294" i="3"/>
  <c r="H1294" i="3"/>
  <c r="I1294" i="3"/>
  <c r="S1003" i="3"/>
  <c r="P1003" i="3"/>
  <c r="O1003" i="3"/>
  <c r="N1003" i="3"/>
  <c r="M1003" i="3"/>
  <c r="L1003" i="3"/>
  <c r="K1003" i="3"/>
  <c r="J1003" i="3"/>
  <c r="E1003" i="3"/>
  <c r="J339" i="7" s="1"/>
  <c r="D1003" i="3"/>
  <c r="I339" i="7" s="1"/>
  <c r="H1003" i="3"/>
  <c r="I1003" i="3"/>
  <c r="S421" i="3"/>
  <c r="P421" i="3"/>
  <c r="O421" i="3"/>
  <c r="N421" i="3"/>
  <c r="L421" i="3"/>
  <c r="K421" i="3"/>
  <c r="M421" i="3"/>
  <c r="J421" i="3"/>
  <c r="I421" i="3"/>
  <c r="S144" i="3"/>
  <c r="P144" i="3"/>
  <c r="O144" i="3"/>
  <c r="N144" i="3"/>
  <c r="M144" i="3"/>
  <c r="L144" i="3"/>
  <c r="K144" i="3"/>
  <c r="J144" i="3"/>
  <c r="I144" i="3"/>
  <c r="S1073" i="3"/>
  <c r="P1073" i="3"/>
  <c r="O1073" i="3"/>
  <c r="N1073" i="3"/>
  <c r="M1073" i="3"/>
  <c r="L1073" i="3"/>
  <c r="K1073" i="3"/>
  <c r="J1073" i="3"/>
  <c r="E1073" i="3"/>
  <c r="D1073" i="3"/>
  <c r="H1073" i="3"/>
  <c r="I1073" i="3"/>
  <c r="S1518" i="3"/>
  <c r="P1518" i="3"/>
  <c r="O1518" i="3"/>
  <c r="N1518" i="3"/>
  <c r="M1518" i="3"/>
  <c r="L1518" i="3"/>
  <c r="K1518" i="3"/>
  <c r="J1518" i="3"/>
  <c r="E1518" i="3"/>
  <c r="J454" i="7" s="1"/>
  <c r="D1518" i="3"/>
  <c r="I454" i="7" s="1"/>
  <c r="H1518" i="3"/>
  <c r="I1518" i="3"/>
  <c r="S1482" i="3"/>
  <c r="P1482" i="3"/>
  <c r="O1482" i="3"/>
  <c r="N1482" i="3"/>
  <c r="L1482" i="3"/>
  <c r="M1482" i="3"/>
  <c r="K1482" i="3"/>
  <c r="J1482" i="3"/>
  <c r="E1482" i="3"/>
  <c r="D1482" i="3"/>
  <c r="H1482" i="3"/>
  <c r="I1482" i="3"/>
  <c r="S1241" i="3"/>
  <c r="P1241" i="3"/>
  <c r="N1241" i="3"/>
  <c r="O1241" i="3"/>
  <c r="M1241" i="3"/>
  <c r="L1241" i="3"/>
  <c r="K1241" i="3"/>
  <c r="E1241" i="3"/>
  <c r="J551" i="7" s="1"/>
  <c r="J1241" i="3"/>
  <c r="D1241" i="3"/>
  <c r="I551" i="7" s="1"/>
  <c r="H1241" i="3"/>
  <c r="I1241" i="3"/>
  <c r="S1367" i="3"/>
  <c r="P1367" i="3"/>
  <c r="O1367" i="3"/>
  <c r="N1367" i="3"/>
  <c r="M1367" i="3"/>
  <c r="L1367" i="3"/>
  <c r="J1367" i="3"/>
  <c r="K1367" i="3"/>
  <c r="D1367" i="3"/>
  <c r="E1367" i="3"/>
  <c r="H1367" i="3"/>
  <c r="I1367" i="3"/>
  <c r="S1318" i="3"/>
  <c r="P1318" i="3"/>
  <c r="O1318" i="3"/>
  <c r="N1318" i="3"/>
  <c r="M1318" i="3"/>
  <c r="L1318" i="3"/>
  <c r="K1318" i="3"/>
  <c r="J1318" i="3"/>
  <c r="D1318" i="3"/>
  <c r="E1318" i="3"/>
  <c r="H1318" i="3"/>
  <c r="I1318" i="3"/>
  <c r="S1247" i="3"/>
  <c r="P1247" i="3"/>
  <c r="O1247" i="3"/>
  <c r="N1247" i="3"/>
  <c r="M1247" i="3"/>
  <c r="K1247" i="3"/>
  <c r="L1247" i="3"/>
  <c r="J1247" i="3"/>
  <c r="E1247" i="3"/>
  <c r="J488" i="7" s="1"/>
  <c r="D1247" i="3"/>
  <c r="H1247" i="3"/>
  <c r="I1247" i="3"/>
  <c r="S1117" i="3"/>
  <c r="P1117" i="3"/>
  <c r="O1117" i="3"/>
  <c r="N1117" i="3"/>
  <c r="M1117" i="3"/>
  <c r="L1117" i="3"/>
  <c r="K1117" i="3"/>
  <c r="J1117" i="3"/>
  <c r="E1117" i="3"/>
  <c r="J328" i="7" s="1"/>
  <c r="D1117" i="3"/>
  <c r="H1117" i="3"/>
  <c r="I1117" i="3"/>
  <c r="S876" i="3"/>
  <c r="P876" i="3"/>
  <c r="O876" i="3"/>
  <c r="N876" i="3"/>
  <c r="M876" i="3"/>
  <c r="K876" i="3"/>
  <c r="L876" i="3"/>
  <c r="J876" i="3"/>
  <c r="I876" i="3"/>
  <c r="S283" i="3"/>
  <c r="P283" i="3"/>
  <c r="O283" i="3"/>
  <c r="N283" i="3"/>
  <c r="L283" i="3"/>
  <c r="M283" i="3"/>
  <c r="K283" i="3"/>
  <c r="J283" i="3"/>
  <c r="J289" i="7"/>
  <c r="I289" i="7"/>
  <c r="I283" i="3"/>
  <c r="S73" i="3"/>
  <c r="P73" i="3"/>
  <c r="N73" i="3"/>
  <c r="O73" i="3"/>
  <c r="L73" i="3"/>
  <c r="M73" i="3"/>
  <c r="J73" i="3"/>
  <c r="K73" i="3"/>
  <c r="J556" i="7"/>
  <c r="I556" i="7"/>
  <c r="I73" i="3"/>
  <c r="S1532" i="3"/>
  <c r="P1532" i="3"/>
  <c r="N1532" i="3"/>
  <c r="O1532" i="3"/>
  <c r="M1532" i="3"/>
  <c r="L1532" i="3"/>
  <c r="K1532" i="3"/>
  <c r="J1532" i="3"/>
  <c r="E1532" i="3"/>
  <c r="J261" i="7" s="1"/>
  <c r="D1532" i="3"/>
  <c r="I261" i="7" s="1"/>
  <c r="H1532" i="3"/>
  <c r="I1532" i="3"/>
  <c r="S1391" i="3"/>
  <c r="P1391" i="3"/>
  <c r="O1391" i="3"/>
  <c r="N1391" i="3"/>
  <c r="M1391" i="3"/>
  <c r="L1391" i="3"/>
  <c r="K1391" i="3"/>
  <c r="J1391" i="3"/>
  <c r="D1391" i="3"/>
  <c r="I501" i="7" s="1"/>
  <c r="E1391" i="3"/>
  <c r="J501" i="7" s="1"/>
  <c r="H1391" i="3"/>
  <c r="I1391" i="3"/>
  <c r="S341" i="3"/>
  <c r="P341" i="3"/>
  <c r="O341" i="3"/>
  <c r="N341" i="3"/>
  <c r="M341" i="3"/>
  <c r="L341" i="3"/>
  <c r="J341" i="3"/>
  <c r="K341" i="3"/>
  <c r="I357" i="7"/>
  <c r="J357" i="7"/>
  <c r="I341" i="3"/>
  <c r="S1523" i="3"/>
  <c r="P1523" i="3"/>
  <c r="O1523" i="3"/>
  <c r="N1523" i="3"/>
  <c r="L1523" i="3"/>
  <c r="M1523" i="3"/>
  <c r="K1523" i="3"/>
  <c r="J1523" i="3"/>
  <c r="D1523" i="3"/>
  <c r="I307" i="7" s="1"/>
  <c r="E1523" i="3"/>
  <c r="J307" i="7" s="1"/>
  <c r="H1523" i="3"/>
  <c r="I1523" i="3"/>
  <c r="S1366" i="3"/>
  <c r="P1366" i="3"/>
  <c r="O1366" i="3"/>
  <c r="N1366" i="3"/>
  <c r="M1366" i="3"/>
  <c r="L1366" i="3"/>
  <c r="K1366" i="3"/>
  <c r="J1366" i="3"/>
  <c r="E1366" i="3"/>
  <c r="J418" i="7" s="1"/>
  <c r="D1366" i="3"/>
  <c r="I418" i="7" s="1"/>
  <c r="H1366" i="3"/>
  <c r="I1366" i="3"/>
  <c r="S642" i="3"/>
  <c r="P642" i="3"/>
  <c r="O642" i="3"/>
  <c r="N642" i="3"/>
  <c r="M642" i="3"/>
  <c r="L642" i="3"/>
  <c r="K642" i="3"/>
  <c r="J642" i="3"/>
  <c r="I325" i="7"/>
  <c r="J325" i="7"/>
  <c r="I642" i="3"/>
  <c r="S362" i="3"/>
  <c r="P362" i="3"/>
  <c r="O362" i="3"/>
  <c r="N362" i="3"/>
  <c r="M362" i="3"/>
  <c r="K362" i="3"/>
  <c r="L362" i="3"/>
  <c r="J362" i="3"/>
  <c r="J308" i="7"/>
  <c r="I308" i="7"/>
  <c r="I362" i="3"/>
  <c r="S1502" i="3"/>
  <c r="P1502" i="3"/>
  <c r="O1502" i="3"/>
  <c r="N1502" i="3"/>
  <c r="M1502" i="3"/>
  <c r="K1502" i="3"/>
  <c r="J1502" i="3"/>
  <c r="L1502" i="3"/>
  <c r="D1502" i="3"/>
  <c r="I366" i="7" s="1"/>
  <c r="E1502" i="3"/>
  <c r="J366" i="7" s="1"/>
  <c r="H1502" i="3"/>
  <c r="I1502" i="3"/>
  <c r="S1335" i="3"/>
  <c r="P1335" i="3"/>
  <c r="O1335" i="3"/>
  <c r="N1335" i="3"/>
  <c r="M1335" i="3"/>
  <c r="L1335" i="3"/>
  <c r="K1335" i="3"/>
  <c r="J1335" i="3"/>
  <c r="D1335" i="3"/>
  <c r="I114" i="7" s="1"/>
  <c r="E1335" i="3"/>
  <c r="J114" i="7" s="1"/>
  <c r="H1335" i="3"/>
  <c r="I1335" i="3"/>
  <c r="S462" i="3"/>
  <c r="P462" i="3"/>
  <c r="N462" i="3"/>
  <c r="O462" i="3"/>
  <c r="M462" i="3"/>
  <c r="L462" i="3"/>
  <c r="K462" i="3"/>
  <c r="J462" i="3"/>
  <c r="J272" i="7"/>
  <c r="I272" i="7"/>
  <c r="I462" i="3"/>
  <c r="S1402" i="3"/>
  <c r="P1402" i="3"/>
  <c r="O1402" i="3"/>
  <c r="N1402" i="3"/>
  <c r="M1402" i="3"/>
  <c r="L1402" i="3"/>
  <c r="K1402" i="3"/>
  <c r="J1402" i="3"/>
  <c r="E1402" i="3"/>
  <c r="D1402" i="3"/>
  <c r="H1402" i="3"/>
  <c r="I1402" i="3"/>
  <c r="S233" i="3"/>
  <c r="P233" i="3"/>
  <c r="O233" i="3"/>
  <c r="N233" i="3"/>
  <c r="M233" i="3"/>
  <c r="L233" i="3"/>
  <c r="K233" i="3"/>
  <c r="J233" i="3"/>
  <c r="I233" i="3"/>
  <c r="S1123" i="3"/>
  <c r="P1123" i="3"/>
  <c r="N1123" i="3"/>
  <c r="O1123" i="3"/>
  <c r="M1123" i="3"/>
  <c r="L1123" i="3"/>
  <c r="J1123" i="3"/>
  <c r="K1123" i="3"/>
  <c r="E1123" i="3"/>
  <c r="D1123" i="3"/>
  <c r="H1123" i="3"/>
  <c r="I1123" i="3"/>
  <c r="S85" i="3"/>
  <c r="P85" i="3"/>
  <c r="O85" i="3"/>
  <c r="N85" i="3"/>
  <c r="M85" i="3"/>
  <c r="L85" i="3"/>
  <c r="K85" i="3"/>
  <c r="J85" i="3"/>
  <c r="J274" i="7"/>
  <c r="I274" i="7"/>
  <c r="I85" i="3"/>
  <c r="S1437" i="3"/>
  <c r="P1437" i="3"/>
  <c r="O1437" i="3"/>
  <c r="N1437" i="3"/>
  <c r="M1437" i="3"/>
  <c r="L1437" i="3"/>
  <c r="J1437" i="3"/>
  <c r="D1437" i="3"/>
  <c r="K1437" i="3"/>
  <c r="E1437" i="3"/>
  <c r="H1437" i="3"/>
  <c r="I1437" i="3"/>
  <c r="S1167" i="3"/>
  <c r="P1167" i="3"/>
  <c r="O1167" i="3"/>
  <c r="N1167" i="3"/>
  <c r="M1167" i="3"/>
  <c r="L1167" i="3"/>
  <c r="K1167" i="3"/>
  <c r="J1167" i="3"/>
  <c r="E1167" i="3"/>
  <c r="J210" i="7" s="1"/>
  <c r="D1167" i="3"/>
  <c r="I210" i="7" s="1"/>
  <c r="H1167" i="3"/>
  <c r="I1167" i="3"/>
  <c r="S1161" i="3"/>
  <c r="P1161" i="3"/>
  <c r="O1161" i="3"/>
  <c r="N1161" i="3"/>
  <c r="L1161" i="3"/>
  <c r="M1161" i="3"/>
  <c r="K1161" i="3"/>
  <c r="J1161" i="3"/>
  <c r="E1161" i="3"/>
  <c r="D1161" i="3"/>
  <c r="H1161" i="3"/>
  <c r="I1161" i="3"/>
  <c r="S1444" i="3"/>
  <c r="P1444" i="3"/>
  <c r="O1444" i="3"/>
  <c r="N1444" i="3"/>
  <c r="M1444" i="3"/>
  <c r="L1444" i="3"/>
  <c r="K1444" i="3"/>
  <c r="J1444" i="3"/>
  <c r="E1444" i="3"/>
  <c r="D1444" i="3"/>
  <c r="H1444" i="3"/>
  <c r="I1444" i="3"/>
  <c r="S1080" i="3"/>
  <c r="P1080" i="3"/>
  <c r="O1080" i="3"/>
  <c r="N1080" i="3"/>
  <c r="M1080" i="3"/>
  <c r="L1080" i="3"/>
  <c r="K1080" i="3"/>
  <c r="E1080" i="3"/>
  <c r="J1080" i="3"/>
  <c r="D1080" i="3"/>
  <c r="H1080" i="3"/>
  <c r="I1080" i="3"/>
  <c r="S731" i="3"/>
  <c r="P731" i="3"/>
  <c r="O731" i="3"/>
  <c r="N731" i="3"/>
  <c r="M731" i="3"/>
  <c r="L731" i="3"/>
  <c r="K731" i="3"/>
  <c r="J731" i="3"/>
  <c r="E731" i="3"/>
  <c r="D731" i="3"/>
  <c r="H731" i="3"/>
  <c r="I731" i="3"/>
  <c r="S718" i="3"/>
  <c r="P718" i="3"/>
  <c r="O718" i="3"/>
  <c r="M718" i="3"/>
  <c r="N718" i="3"/>
  <c r="L718" i="3"/>
  <c r="J718" i="3"/>
  <c r="K718" i="3"/>
  <c r="E718" i="3"/>
  <c r="D718" i="3"/>
  <c r="H718" i="3"/>
  <c r="I718" i="3"/>
  <c r="S1349" i="3"/>
  <c r="P1349" i="3"/>
  <c r="O1349" i="3"/>
  <c r="N1349" i="3"/>
  <c r="M1349" i="3"/>
  <c r="L1349" i="3"/>
  <c r="K1349" i="3"/>
  <c r="J1349" i="3"/>
  <c r="E1349" i="3"/>
  <c r="J180" i="7" s="1"/>
  <c r="D1349" i="3"/>
  <c r="I180" i="7" s="1"/>
  <c r="H1349" i="3"/>
  <c r="I1349" i="3"/>
  <c r="S1465" i="3"/>
  <c r="P1465" i="3"/>
  <c r="O1465" i="3"/>
  <c r="N1465" i="3"/>
  <c r="M1465" i="3"/>
  <c r="L1465" i="3"/>
  <c r="K1465" i="3"/>
  <c r="J1465" i="3"/>
  <c r="E1465" i="3"/>
  <c r="J539" i="7" s="1"/>
  <c r="D1465" i="3"/>
  <c r="I539" i="7" s="1"/>
  <c r="H1465" i="3"/>
  <c r="I1465" i="3"/>
  <c r="S480" i="3"/>
  <c r="P480" i="3"/>
  <c r="O480" i="3"/>
  <c r="N480" i="3"/>
  <c r="M480" i="3"/>
  <c r="L480" i="3"/>
  <c r="K480" i="3"/>
  <c r="J480" i="3"/>
  <c r="J583" i="7"/>
  <c r="I583" i="7"/>
  <c r="I480" i="3"/>
  <c r="S303" i="3"/>
  <c r="P303" i="3"/>
  <c r="O303" i="3"/>
  <c r="N303" i="3"/>
  <c r="M303" i="3"/>
  <c r="L303" i="3"/>
  <c r="K303" i="3"/>
  <c r="J303" i="3"/>
  <c r="J222" i="7"/>
  <c r="I303" i="3"/>
  <c r="S440" i="3"/>
  <c r="P440" i="3"/>
  <c r="O440" i="3"/>
  <c r="N440" i="3"/>
  <c r="M440" i="3"/>
  <c r="L440" i="3"/>
  <c r="K440" i="3"/>
  <c r="J440" i="3"/>
  <c r="I440" i="3"/>
  <c r="S209" i="3"/>
  <c r="P209" i="3"/>
  <c r="O209" i="3"/>
  <c r="N209" i="3"/>
  <c r="M209" i="3"/>
  <c r="L209" i="3"/>
  <c r="J209" i="3"/>
  <c r="K209" i="3"/>
  <c r="I196" i="7"/>
  <c r="J196" i="7"/>
  <c r="I209" i="3"/>
  <c r="S131" i="3"/>
  <c r="P131" i="3"/>
  <c r="O131" i="3"/>
  <c r="N131" i="3"/>
  <c r="M131" i="3"/>
  <c r="L131" i="3"/>
  <c r="J131" i="3"/>
  <c r="K131" i="3"/>
  <c r="J235" i="7"/>
  <c r="I131" i="3"/>
  <c r="S113" i="3"/>
  <c r="P113" i="3"/>
  <c r="O113" i="3"/>
  <c r="N113" i="3"/>
  <c r="M113" i="3"/>
  <c r="K113" i="3"/>
  <c r="L113" i="3"/>
  <c r="J113" i="3"/>
  <c r="J345" i="7"/>
  <c r="I345" i="7"/>
  <c r="I113" i="3"/>
  <c r="S1412" i="3"/>
  <c r="P1412" i="3"/>
  <c r="O1412" i="3"/>
  <c r="N1412" i="3"/>
  <c r="M1412" i="3"/>
  <c r="K1412" i="3"/>
  <c r="L1412" i="3"/>
  <c r="J1412" i="3"/>
  <c r="E1412" i="3"/>
  <c r="H1412" i="3"/>
  <c r="D1412" i="3"/>
  <c r="I1412" i="3"/>
  <c r="S365" i="3"/>
  <c r="P365" i="3"/>
  <c r="N365" i="3"/>
  <c r="O365" i="3"/>
  <c r="M365" i="3"/>
  <c r="L365" i="3"/>
  <c r="J365" i="3"/>
  <c r="K365" i="3"/>
  <c r="E365" i="3"/>
  <c r="J463" i="7" s="1"/>
  <c r="D365" i="3"/>
  <c r="I463" i="7" s="1"/>
  <c r="H365" i="3"/>
  <c r="I365" i="3"/>
  <c r="S417" i="3"/>
  <c r="P417" i="3"/>
  <c r="O417" i="3"/>
  <c r="N417" i="3"/>
  <c r="M417" i="3"/>
  <c r="L417" i="3"/>
  <c r="K417" i="3"/>
  <c r="J417" i="3"/>
  <c r="E417" i="3"/>
  <c r="D417" i="3"/>
  <c r="H417" i="3"/>
  <c r="I417" i="3"/>
  <c r="S942" i="3"/>
  <c r="P942" i="3"/>
  <c r="O942" i="3"/>
  <c r="N942" i="3"/>
  <c r="M942" i="3"/>
  <c r="L942" i="3"/>
  <c r="K942" i="3"/>
  <c r="J942" i="3"/>
  <c r="E942" i="3"/>
  <c r="D942" i="3"/>
  <c r="H942" i="3"/>
  <c r="I942" i="3"/>
  <c r="S1265" i="3"/>
  <c r="P1265" i="3"/>
  <c r="O1265" i="3"/>
  <c r="N1265" i="3"/>
  <c r="M1265" i="3"/>
  <c r="L1265" i="3"/>
  <c r="K1265" i="3"/>
  <c r="J1265" i="3"/>
  <c r="E1265" i="3"/>
  <c r="D1265" i="3"/>
  <c r="H1265" i="3"/>
  <c r="I1265" i="3"/>
  <c r="S926" i="3"/>
  <c r="P926" i="3"/>
  <c r="O926" i="3"/>
  <c r="M926" i="3"/>
  <c r="N926" i="3"/>
  <c r="L926" i="3"/>
  <c r="J926" i="3"/>
  <c r="K926" i="3"/>
  <c r="E926" i="3"/>
  <c r="D926" i="3"/>
  <c r="H926" i="3"/>
  <c r="I926" i="3"/>
  <c r="S1248" i="3"/>
  <c r="P1248" i="3"/>
  <c r="O1248" i="3"/>
  <c r="M1248" i="3"/>
  <c r="N1248" i="3"/>
  <c r="L1248" i="3"/>
  <c r="J1248" i="3"/>
  <c r="K1248" i="3"/>
  <c r="D1248" i="3"/>
  <c r="E1248" i="3"/>
  <c r="H1248" i="3"/>
  <c r="I1248" i="3"/>
  <c r="S803" i="3"/>
  <c r="P803" i="3"/>
  <c r="O803" i="3"/>
  <c r="M803" i="3"/>
  <c r="N803" i="3"/>
  <c r="L803" i="3"/>
  <c r="J803" i="3"/>
  <c r="K803" i="3"/>
  <c r="E803" i="3"/>
  <c r="D803" i="3"/>
  <c r="H803" i="3"/>
  <c r="I803" i="3"/>
  <c r="S38" i="3"/>
  <c r="P38" i="3"/>
  <c r="O38" i="3"/>
  <c r="N38" i="3"/>
  <c r="M38" i="3"/>
  <c r="L38" i="3"/>
  <c r="K38" i="3"/>
  <c r="J38" i="3"/>
  <c r="J340" i="7"/>
  <c r="I340" i="7"/>
  <c r="I38" i="3"/>
  <c r="S989" i="3"/>
  <c r="P989" i="3"/>
  <c r="O989" i="3"/>
  <c r="N989" i="3"/>
  <c r="M989" i="3"/>
  <c r="L989" i="3"/>
  <c r="K989" i="3"/>
  <c r="J989" i="3"/>
  <c r="E989" i="3"/>
  <c r="J456" i="7" s="1"/>
  <c r="D989" i="3"/>
  <c r="I456" i="7" s="1"/>
  <c r="H989" i="3"/>
  <c r="I989" i="3"/>
  <c r="S1014" i="3"/>
  <c r="P1014" i="3"/>
  <c r="O1014" i="3"/>
  <c r="N1014" i="3"/>
  <c r="M1014" i="3"/>
  <c r="L1014" i="3"/>
  <c r="K1014" i="3"/>
  <c r="E1014" i="3"/>
  <c r="J1014" i="3"/>
  <c r="D1014" i="3"/>
  <c r="H1014" i="3"/>
  <c r="I1014" i="3"/>
  <c r="S1125" i="3"/>
  <c r="P1125" i="3"/>
  <c r="O1125" i="3"/>
  <c r="N1125" i="3"/>
  <c r="M1125" i="3"/>
  <c r="L1125" i="3"/>
  <c r="K1125" i="3"/>
  <c r="J1125" i="3"/>
  <c r="E1125" i="3"/>
  <c r="D1125" i="3"/>
  <c r="H1125" i="3"/>
  <c r="I1125" i="3"/>
  <c r="S253" i="3"/>
  <c r="P253" i="3"/>
  <c r="O253" i="3"/>
  <c r="N253" i="3"/>
  <c r="M253" i="3"/>
  <c r="K253" i="3"/>
  <c r="L253" i="3"/>
  <c r="J253" i="3"/>
  <c r="E253" i="3"/>
  <c r="D253" i="3"/>
  <c r="H253" i="3"/>
  <c r="I253" i="3"/>
  <c r="S1175" i="3"/>
  <c r="P1175" i="3"/>
  <c r="O1175" i="3"/>
  <c r="N1175" i="3"/>
  <c r="M1175" i="3"/>
  <c r="L1175" i="3"/>
  <c r="K1175" i="3"/>
  <c r="J1175" i="3"/>
  <c r="E1175" i="3"/>
  <c r="D1175" i="3"/>
  <c r="H1175" i="3"/>
  <c r="I1175" i="3"/>
  <c r="S841" i="3"/>
  <c r="P841" i="3"/>
  <c r="N841" i="3"/>
  <c r="O841" i="3"/>
  <c r="M841" i="3"/>
  <c r="L841" i="3"/>
  <c r="K841" i="3"/>
  <c r="J841" i="3"/>
  <c r="I841" i="3"/>
  <c r="S1525" i="3"/>
  <c r="P1525" i="3"/>
  <c r="O1525" i="3"/>
  <c r="N1525" i="3"/>
  <c r="M1525" i="3"/>
  <c r="L1525" i="3"/>
  <c r="K1525" i="3"/>
  <c r="J1525" i="3"/>
  <c r="D1525" i="3"/>
  <c r="I580" i="7" s="1"/>
  <c r="E1525" i="3"/>
  <c r="J580" i="7" s="1"/>
  <c r="H1525" i="3"/>
  <c r="I1525" i="3"/>
  <c r="S976" i="3"/>
  <c r="P976" i="3"/>
  <c r="O976" i="3"/>
  <c r="N976" i="3"/>
  <c r="M976" i="3"/>
  <c r="L976" i="3"/>
  <c r="K976" i="3"/>
  <c r="J976" i="3"/>
  <c r="D976" i="3"/>
  <c r="E976" i="3"/>
  <c r="J534" i="7" s="1"/>
  <c r="I976" i="3"/>
  <c r="H976" i="3"/>
  <c r="S1291" i="3"/>
  <c r="P1291" i="3"/>
  <c r="O1291" i="3"/>
  <c r="N1291" i="3"/>
  <c r="M1291" i="3"/>
  <c r="L1291" i="3"/>
  <c r="K1291" i="3"/>
  <c r="J1291" i="3"/>
  <c r="E1291" i="3"/>
  <c r="J422" i="7" s="1"/>
  <c r="I1291" i="3"/>
  <c r="H1291" i="3"/>
  <c r="D1291" i="3"/>
  <c r="S255" i="3"/>
  <c r="P255" i="3"/>
  <c r="O255" i="3"/>
  <c r="N255" i="3"/>
  <c r="M255" i="3"/>
  <c r="L255" i="3"/>
  <c r="K255" i="3"/>
  <c r="J255" i="3"/>
  <c r="J296" i="7"/>
  <c r="I255" i="3"/>
  <c r="S1169" i="3"/>
  <c r="P1169" i="3"/>
  <c r="O1169" i="3"/>
  <c r="N1169" i="3"/>
  <c r="M1169" i="3"/>
  <c r="L1169" i="3"/>
  <c r="K1169" i="3"/>
  <c r="J1169" i="3"/>
  <c r="E1169" i="3"/>
  <c r="D1169" i="3"/>
  <c r="H1169" i="3"/>
  <c r="I1169" i="3"/>
  <c r="S772" i="3"/>
  <c r="P772" i="3"/>
  <c r="O772" i="3"/>
  <c r="M772" i="3"/>
  <c r="L772" i="3"/>
  <c r="N772" i="3"/>
  <c r="K772" i="3"/>
  <c r="J772" i="3"/>
  <c r="E772" i="3"/>
  <c r="J288" i="7" s="1"/>
  <c r="D772" i="3"/>
  <c r="H772" i="3"/>
  <c r="I772" i="3"/>
  <c r="S418" i="3"/>
  <c r="P418" i="3"/>
  <c r="O418" i="3"/>
  <c r="N418" i="3"/>
  <c r="M418" i="3"/>
  <c r="L418" i="3"/>
  <c r="K418" i="3"/>
  <c r="E418" i="3"/>
  <c r="J418" i="3"/>
  <c r="D418" i="3"/>
  <c r="I417" i="7" s="1"/>
  <c r="H418" i="3"/>
  <c r="I418" i="3"/>
  <c r="S1453" i="3"/>
  <c r="P1453" i="3"/>
  <c r="N1453" i="3"/>
  <c r="O1453" i="3"/>
  <c r="M1453" i="3"/>
  <c r="L1453" i="3"/>
  <c r="K1453" i="3"/>
  <c r="J1453" i="3"/>
  <c r="D1453" i="3"/>
  <c r="I59" i="7" s="1"/>
  <c r="E1453" i="3"/>
  <c r="J59" i="7" s="1"/>
  <c r="I1453" i="3"/>
  <c r="H1453" i="3"/>
  <c r="S428" i="3"/>
  <c r="P428" i="3"/>
  <c r="O428" i="3"/>
  <c r="N428" i="3"/>
  <c r="M428" i="3"/>
  <c r="L428" i="3"/>
  <c r="K428" i="3"/>
  <c r="J428" i="3"/>
  <c r="J94" i="7"/>
  <c r="I94" i="7"/>
  <c r="I428" i="3"/>
  <c r="S1209" i="3"/>
  <c r="P1209" i="3"/>
  <c r="O1209" i="3"/>
  <c r="N1209" i="3"/>
  <c r="M1209" i="3"/>
  <c r="L1209" i="3"/>
  <c r="K1209" i="3"/>
  <c r="J1209" i="3"/>
  <c r="D1209" i="3"/>
  <c r="I44" i="7" s="1"/>
  <c r="E1209" i="3"/>
  <c r="J44" i="7" s="1"/>
  <c r="I1209" i="3"/>
  <c r="H1209" i="3"/>
  <c r="S16" i="3"/>
  <c r="P16" i="3"/>
  <c r="O16" i="3"/>
  <c r="N16" i="3"/>
  <c r="M16" i="3"/>
  <c r="L16" i="3"/>
  <c r="K16" i="3"/>
  <c r="J16" i="3"/>
  <c r="I16" i="3"/>
  <c r="S890" i="3"/>
  <c r="P890" i="3"/>
  <c r="O890" i="3"/>
  <c r="N890" i="3"/>
  <c r="M890" i="3"/>
  <c r="L890" i="3"/>
  <c r="K890" i="3"/>
  <c r="J890" i="3"/>
  <c r="J164" i="7"/>
  <c r="I890" i="3"/>
  <c r="S1236" i="3"/>
  <c r="P1236" i="3"/>
  <c r="O1236" i="3"/>
  <c r="N1236" i="3"/>
  <c r="L1236" i="3"/>
  <c r="K1236" i="3"/>
  <c r="M1236" i="3"/>
  <c r="J1236" i="3"/>
  <c r="D1236" i="3"/>
  <c r="E1236" i="3"/>
  <c r="H1236" i="3"/>
  <c r="I1236" i="3"/>
  <c r="S595" i="3"/>
  <c r="P595" i="3"/>
  <c r="O595" i="3"/>
  <c r="N595" i="3"/>
  <c r="M595" i="3"/>
  <c r="K595" i="3"/>
  <c r="L595" i="3"/>
  <c r="J595" i="3"/>
  <c r="E595" i="3"/>
  <c r="J402" i="7" s="1"/>
  <c r="D595" i="3"/>
  <c r="H595" i="3"/>
  <c r="I595" i="3"/>
  <c r="S748" i="3"/>
  <c r="P748" i="3"/>
  <c r="N748" i="3"/>
  <c r="M748" i="3"/>
  <c r="O748" i="3"/>
  <c r="L748" i="3"/>
  <c r="J748" i="3"/>
  <c r="K748" i="3"/>
  <c r="D748" i="3"/>
  <c r="E748" i="3"/>
  <c r="H748" i="3"/>
  <c r="I748" i="3"/>
  <c r="S747" i="3"/>
  <c r="P747" i="3"/>
  <c r="O747" i="3"/>
  <c r="N747" i="3"/>
  <c r="M747" i="3"/>
  <c r="K747" i="3"/>
  <c r="J747" i="3"/>
  <c r="L747" i="3"/>
  <c r="E747" i="3"/>
  <c r="J344" i="7" s="1"/>
  <c r="D747" i="3"/>
  <c r="H747" i="3"/>
  <c r="I747" i="3"/>
  <c r="S797" i="3"/>
  <c r="P797" i="3"/>
  <c r="O797" i="3"/>
  <c r="N797" i="3"/>
  <c r="M797" i="3"/>
  <c r="L797" i="3"/>
  <c r="K797" i="3"/>
  <c r="J797" i="3"/>
  <c r="E797" i="3"/>
  <c r="D797" i="3"/>
  <c r="H797" i="3"/>
  <c r="I797" i="3"/>
  <c r="S1395" i="3"/>
  <c r="P1395" i="3"/>
  <c r="O1395" i="3"/>
  <c r="N1395" i="3"/>
  <c r="M1395" i="3"/>
  <c r="L1395" i="3"/>
  <c r="K1395" i="3"/>
  <c r="J1395" i="3"/>
  <c r="E1395" i="3"/>
  <c r="D1395" i="3"/>
  <c r="H1395" i="3"/>
  <c r="I1395" i="3"/>
  <c r="S1024" i="3"/>
  <c r="P1024" i="3"/>
  <c r="O1024" i="3"/>
  <c r="N1024" i="3"/>
  <c r="M1024" i="3"/>
  <c r="L1024" i="3"/>
  <c r="K1024" i="3"/>
  <c r="J1024" i="3"/>
  <c r="E1024" i="3"/>
  <c r="D1024" i="3"/>
  <c r="H1024" i="3"/>
  <c r="I1024" i="3"/>
  <c r="S614" i="3"/>
  <c r="P614" i="3"/>
  <c r="O614" i="3"/>
  <c r="N614" i="3"/>
  <c r="M614" i="3"/>
  <c r="L614" i="3"/>
  <c r="K614" i="3"/>
  <c r="J614" i="3"/>
  <c r="I614" i="3"/>
  <c r="S1066" i="3"/>
  <c r="P1066" i="3"/>
  <c r="O1066" i="3"/>
  <c r="N1066" i="3"/>
  <c r="L1066" i="3"/>
  <c r="M1066" i="3"/>
  <c r="K1066" i="3"/>
  <c r="E1066" i="3"/>
  <c r="J187" i="7" s="1"/>
  <c r="D1066" i="3"/>
  <c r="I187" i="7" s="1"/>
  <c r="J1066" i="3"/>
  <c r="H1066" i="3"/>
  <c r="I1066" i="3"/>
  <c r="S1094" i="3"/>
  <c r="O1094" i="3"/>
  <c r="P1094" i="3"/>
  <c r="N1094" i="3"/>
  <c r="M1094" i="3"/>
  <c r="L1094" i="3"/>
  <c r="K1094" i="3"/>
  <c r="E1094" i="3"/>
  <c r="J1094" i="3"/>
  <c r="D1094" i="3"/>
  <c r="H1094" i="3"/>
  <c r="I1094" i="3"/>
  <c r="S392" i="3"/>
  <c r="P392" i="3"/>
  <c r="O392" i="3"/>
  <c r="N392" i="3"/>
  <c r="M392" i="3"/>
  <c r="L392" i="3"/>
  <c r="K392" i="3"/>
  <c r="J392" i="3"/>
  <c r="I392" i="3"/>
  <c r="S1107" i="3"/>
  <c r="P1107" i="3"/>
  <c r="O1107" i="3"/>
  <c r="N1107" i="3"/>
  <c r="M1107" i="3"/>
  <c r="L1107" i="3"/>
  <c r="K1107" i="3"/>
  <c r="J1107" i="3"/>
  <c r="E1107" i="3"/>
  <c r="D1107" i="3"/>
  <c r="H1107" i="3"/>
  <c r="I1107" i="3"/>
  <c r="S703" i="3"/>
  <c r="P703" i="3"/>
  <c r="O703" i="3"/>
  <c r="N703" i="3"/>
  <c r="M703" i="3"/>
  <c r="L703" i="3"/>
  <c r="J703" i="3"/>
  <c r="K703" i="3"/>
  <c r="D703" i="3"/>
  <c r="E703" i="3"/>
  <c r="H703" i="3"/>
  <c r="I703" i="3"/>
  <c r="S1457" i="3"/>
  <c r="P1457" i="3"/>
  <c r="O1457" i="3"/>
  <c r="N1457" i="3"/>
  <c r="M1457" i="3"/>
  <c r="L1457" i="3"/>
  <c r="K1457" i="3"/>
  <c r="J1457" i="3"/>
  <c r="E1457" i="3"/>
  <c r="J365" i="7" s="1"/>
  <c r="D1457" i="3"/>
  <c r="I1457" i="3"/>
  <c r="H1457" i="3"/>
  <c r="S1058" i="3"/>
  <c r="P1058" i="3"/>
  <c r="O1058" i="3"/>
  <c r="N1058" i="3"/>
  <c r="M1058" i="3"/>
  <c r="L1058" i="3"/>
  <c r="K1058" i="3"/>
  <c r="J1058" i="3"/>
  <c r="E1058" i="3"/>
  <c r="D1058" i="3"/>
  <c r="H1058" i="3"/>
  <c r="I1058" i="3"/>
  <c r="S1088" i="3"/>
  <c r="P1088" i="3"/>
  <c r="O1088" i="3"/>
  <c r="N1088" i="3"/>
  <c r="M1088" i="3"/>
  <c r="L1088" i="3"/>
  <c r="K1088" i="3"/>
  <c r="J1088" i="3"/>
  <c r="E1088" i="3"/>
  <c r="D1088" i="3"/>
  <c r="H1088" i="3"/>
  <c r="I1088" i="3"/>
  <c r="S77" i="3"/>
  <c r="P77" i="3"/>
  <c r="O77" i="3"/>
  <c r="M77" i="3"/>
  <c r="N77" i="3"/>
  <c r="L77" i="3"/>
  <c r="J77" i="3"/>
  <c r="K77" i="3"/>
  <c r="J589" i="7"/>
  <c r="I77" i="3"/>
  <c r="S632" i="3"/>
  <c r="P632" i="3"/>
  <c r="M632" i="3"/>
  <c r="O632" i="3"/>
  <c r="L632" i="3"/>
  <c r="N632" i="3"/>
  <c r="K632" i="3"/>
  <c r="J632" i="3"/>
  <c r="J136" i="7"/>
  <c r="I136" i="7"/>
  <c r="I632" i="3"/>
  <c r="S1140" i="3"/>
  <c r="P1140" i="3"/>
  <c r="O1140" i="3"/>
  <c r="N1140" i="3"/>
  <c r="M1140" i="3"/>
  <c r="L1140" i="3"/>
  <c r="K1140" i="3"/>
  <c r="J1140" i="3"/>
  <c r="E1140" i="3"/>
  <c r="D1140" i="3"/>
  <c r="H1140" i="3"/>
  <c r="I1140" i="3"/>
  <c r="S1048" i="3"/>
  <c r="P1048" i="3"/>
  <c r="O1048" i="3"/>
  <c r="N1048" i="3"/>
  <c r="M1048" i="3"/>
  <c r="L1048" i="3"/>
  <c r="J1048" i="3"/>
  <c r="K1048" i="3"/>
  <c r="E1048" i="3"/>
  <c r="D1048" i="3"/>
  <c r="I1048" i="3"/>
  <c r="H1048" i="3"/>
  <c r="S1000" i="3"/>
  <c r="P1000" i="3"/>
  <c r="O1000" i="3"/>
  <c r="M1000" i="3"/>
  <c r="N1000" i="3"/>
  <c r="L1000" i="3"/>
  <c r="J1000" i="3"/>
  <c r="K1000" i="3"/>
  <c r="D1000" i="3"/>
  <c r="I587" i="7" s="1"/>
  <c r="E1000" i="3"/>
  <c r="J587" i="7" s="1"/>
  <c r="H1000" i="3"/>
  <c r="I1000" i="3"/>
  <c r="S939" i="3"/>
  <c r="P939" i="3"/>
  <c r="O939" i="3"/>
  <c r="N939" i="3"/>
  <c r="M939" i="3"/>
  <c r="L939" i="3"/>
  <c r="J939" i="3"/>
  <c r="E939" i="3"/>
  <c r="K939" i="3"/>
  <c r="D939" i="3"/>
  <c r="I939" i="3"/>
  <c r="H939" i="3"/>
  <c r="S1047" i="3"/>
  <c r="P1047" i="3"/>
  <c r="O1047" i="3"/>
  <c r="N1047" i="3"/>
  <c r="M1047" i="3"/>
  <c r="L1047" i="3"/>
  <c r="K1047" i="3"/>
  <c r="E1047" i="3"/>
  <c r="J1047" i="3"/>
  <c r="D1047" i="3"/>
  <c r="H1047" i="3"/>
  <c r="I1047" i="3"/>
  <c r="S1012" i="3"/>
  <c r="P1012" i="3"/>
  <c r="O1012" i="3"/>
  <c r="N1012" i="3"/>
  <c r="M1012" i="3"/>
  <c r="L1012" i="3"/>
  <c r="K1012" i="3"/>
  <c r="J1012" i="3"/>
  <c r="E1012" i="3"/>
  <c r="D1012" i="3"/>
  <c r="H1012" i="3"/>
  <c r="I1012" i="3"/>
  <c r="S833" i="3"/>
  <c r="P833" i="3"/>
  <c r="O833" i="3"/>
  <c r="N833" i="3"/>
  <c r="M833" i="3"/>
  <c r="L833" i="3"/>
  <c r="K833" i="3"/>
  <c r="J833" i="3"/>
  <c r="E833" i="3"/>
  <c r="D833" i="3"/>
  <c r="H833" i="3"/>
  <c r="I833" i="3"/>
  <c r="S814" i="3"/>
  <c r="P814" i="3"/>
  <c r="O814" i="3"/>
  <c r="N814" i="3"/>
  <c r="M814" i="3"/>
  <c r="L814" i="3"/>
  <c r="J814" i="3"/>
  <c r="K814" i="3"/>
  <c r="E814" i="3"/>
  <c r="D814" i="3"/>
  <c r="I814" i="3"/>
  <c r="H814" i="3"/>
  <c r="S959" i="3"/>
  <c r="P959" i="3"/>
  <c r="O959" i="3"/>
  <c r="N959" i="3"/>
  <c r="M959" i="3"/>
  <c r="L959" i="3"/>
  <c r="K959" i="3"/>
  <c r="J959" i="3"/>
  <c r="E959" i="3"/>
  <c r="D959" i="3"/>
  <c r="H959" i="3"/>
  <c r="I959" i="3"/>
  <c r="S784" i="3"/>
  <c r="P784" i="3"/>
  <c r="O784" i="3"/>
  <c r="N784" i="3"/>
  <c r="L784" i="3"/>
  <c r="M784" i="3"/>
  <c r="K784" i="3"/>
  <c r="J784" i="3"/>
  <c r="E784" i="3"/>
  <c r="D784" i="3"/>
  <c r="H784" i="3"/>
  <c r="I784" i="3"/>
  <c r="S932" i="3"/>
  <c r="P932" i="3"/>
  <c r="O932" i="3"/>
  <c r="N932" i="3"/>
  <c r="M932" i="3"/>
  <c r="L932" i="3"/>
  <c r="K932" i="3"/>
  <c r="J932" i="3"/>
  <c r="E932" i="3"/>
  <c r="D932" i="3"/>
  <c r="H932" i="3"/>
  <c r="I932" i="3"/>
  <c r="S721" i="3"/>
  <c r="P721" i="3"/>
  <c r="O721" i="3"/>
  <c r="N721" i="3"/>
  <c r="M721" i="3"/>
  <c r="L721" i="3"/>
  <c r="K721" i="3"/>
  <c r="J721" i="3"/>
  <c r="E721" i="3"/>
  <c r="D721" i="3"/>
  <c r="H721" i="3"/>
  <c r="I721" i="3"/>
  <c r="S681" i="3"/>
  <c r="P681" i="3"/>
  <c r="O681" i="3"/>
  <c r="N681" i="3"/>
  <c r="M681" i="3"/>
  <c r="L681" i="3"/>
  <c r="K681" i="3"/>
  <c r="J681" i="3"/>
  <c r="E681" i="3"/>
  <c r="D681" i="3"/>
  <c r="H681" i="3"/>
  <c r="I681" i="3"/>
  <c r="S895" i="3"/>
  <c r="P895" i="3"/>
  <c r="O895" i="3"/>
  <c r="M895" i="3"/>
  <c r="N895" i="3"/>
  <c r="L895" i="3"/>
  <c r="J895" i="3"/>
  <c r="K895" i="3"/>
  <c r="E895" i="3"/>
  <c r="D895" i="3"/>
  <c r="H895" i="3"/>
  <c r="I895" i="3"/>
  <c r="S884" i="3"/>
  <c r="P884" i="3"/>
  <c r="O884" i="3"/>
  <c r="M884" i="3"/>
  <c r="N884" i="3"/>
  <c r="L884" i="3"/>
  <c r="K884" i="3"/>
  <c r="J884" i="3"/>
  <c r="E884" i="3"/>
  <c r="D884" i="3"/>
  <c r="H884" i="3"/>
  <c r="I884" i="3"/>
  <c r="S474" i="3"/>
  <c r="P474" i="3"/>
  <c r="O474" i="3"/>
  <c r="N474" i="3"/>
  <c r="M474" i="3"/>
  <c r="L474" i="3"/>
  <c r="K474" i="3"/>
  <c r="J474" i="3"/>
  <c r="I474" i="3"/>
  <c r="P619" i="3"/>
  <c r="S619" i="3"/>
  <c r="O619" i="3"/>
  <c r="M619" i="3"/>
  <c r="N619" i="3"/>
  <c r="L619" i="3"/>
  <c r="J619" i="3"/>
  <c r="K619" i="3"/>
  <c r="I619" i="3"/>
  <c r="S14" i="3"/>
  <c r="P14" i="3"/>
  <c r="O14" i="3"/>
  <c r="M14" i="3"/>
  <c r="N14" i="3"/>
  <c r="L14" i="3"/>
  <c r="K14" i="3"/>
  <c r="J14" i="3"/>
  <c r="I14" i="3"/>
  <c r="S816" i="3"/>
  <c r="P816" i="3"/>
  <c r="O816" i="3"/>
  <c r="N816" i="3"/>
  <c r="M816" i="3"/>
  <c r="L816" i="3"/>
  <c r="J816" i="3"/>
  <c r="K816" i="3"/>
  <c r="E816" i="3"/>
  <c r="D816" i="3"/>
  <c r="I816" i="3"/>
  <c r="H816" i="3"/>
  <c r="S783" i="3"/>
  <c r="P783" i="3"/>
  <c r="O783" i="3"/>
  <c r="N783" i="3"/>
  <c r="M783" i="3"/>
  <c r="L783" i="3"/>
  <c r="K783" i="3"/>
  <c r="J783" i="3"/>
  <c r="E783" i="3"/>
  <c r="J480" i="7" s="1"/>
  <c r="D783" i="3"/>
  <c r="H783" i="3"/>
  <c r="I783" i="3"/>
  <c r="S1347" i="3"/>
  <c r="P1347" i="3"/>
  <c r="O1347" i="3"/>
  <c r="N1347" i="3"/>
  <c r="M1347" i="3"/>
  <c r="L1347" i="3"/>
  <c r="K1347" i="3"/>
  <c r="J1347" i="3"/>
  <c r="E1347" i="3"/>
  <c r="D1347" i="3"/>
  <c r="H1347" i="3"/>
  <c r="I1347" i="3"/>
  <c r="S745" i="3"/>
  <c r="P745" i="3"/>
  <c r="O745" i="3"/>
  <c r="N745" i="3"/>
  <c r="M745" i="3"/>
  <c r="L745" i="3"/>
  <c r="K745" i="3"/>
  <c r="J745" i="3"/>
  <c r="E745" i="3"/>
  <c r="D745" i="3"/>
  <c r="H745" i="3"/>
  <c r="I745" i="3"/>
  <c r="S714" i="3"/>
  <c r="P714" i="3"/>
  <c r="O714" i="3"/>
  <c r="M714" i="3"/>
  <c r="N714" i="3"/>
  <c r="L714" i="3"/>
  <c r="J714" i="3"/>
  <c r="K714" i="3"/>
  <c r="E714" i="3"/>
  <c r="D714" i="3"/>
  <c r="H714" i="3"/>
  <c r="I714" i="3"/>
  <c r="S678" i="3"/>
  <c r="P678" i="3"/>
  <c r="O678" i="3"/>
  <c r="M678" i="3"/>
  <c r="N678" i="3"/>
  <c r="L678" i="3"/>
  <c r="J678" i="3"/>
  <c r="K678" i="3"/>
  <c r="E678" i="3"/>
  <c r="D678" i="3"/>
  <c r="H678" i="3"/>
  <c r="I678" i="3"/>
  <c r="S660" i="3"/>
  <c r="P660" i="3"/>
  <c r="O660" i="3"/>
  <c r="N660" i="3"/>
  <c r="M660" i="3"/>
  <c r="K660" i="3"/>
  <c r="L660" i="3"/>
  <c r="J660" i="3"/>
  <c r="E660" i="3"/>
  <c r="D660" i="3"/>
  <c r="H660" i="3"/>
  <c r="I660" i="3"/>
  <c r="S651" i="3"/>
  <c r="P651" i="3"/>
  <c r="O651" i="3"/>
  <c r="N651" i="3"/>
  <c r="M651" i="3"/>
  <c r="L651" i="3"/>
  <c r="K651" i="3"/>
  <c r="J651" i="3"/>
  <c r="E651" i="3"/>
  <c r="D651" i="3"/>
  <c r="H651" i="3"/>
  <c r="I651" i="3"/>
  <c r="S376" i="3"/>
  <c r="P376" i="3"/>
  <c r="O376" i="3"/>
  <c r="N376" i="3"/>
  <c r="L376" i="3"/>
  <c r="M376" i="3"/>
  <c r="K376" i="3"/>
  <c r="J376" i="3"/>
  <c r="I376" i="3"/>
  <c r="S210" i="3"/>
  <c r="P210" i="3"/>
  <c r="O210" i="3"/>
  <c r="N210" i="3"/>
  <c r="M210" i="3"/>
  <c r="L210" i="3"/>
  <c r="K210" i="3"/>
  <c r="J210" i="3"/>
  <c r="I210" i="3"/>
  <c r="S218" i="3"/>
  <c r="P218" i="3"/>
  <c r="O218" i="3"/>
  <c r="N218" i="3"/>
  <c r="M218" i="3"/>
  <c r="L218" i="3"/>
  <c r="K218" i="3"/>
  <c r="J218" i="3"/>
  <c r="I218" i="3"/>
  <c r="S795" i="3"/>
  <c r="P795" i="3"/>
  <c r="O795" i="3"/>
  <c r="M795" i="3"/>
  <c r="N795" i="3"/>
  <c r="L795" i="3"/>
  <c r="J795" i="3"/>
  <c r="K795" i="3"/>
  <c r="D795" i="3"/>
  <c r="E795" i="3"/>
  <c r="J484" i="7" s="1"/>
  <c r="H795" i="3"/>
  <c r="I795" i="3"/>
  <c r="S496" i="3"/>
  <c r="P496" i="3"/>
  <c r="O496" i="3"/>
  <c r="N496" i="3"/>
  <c r="M496" i="3"/>
  <c r="L496" i="3"/>
  <c r="K496" i="3"/>
  <c r="J496" i="3"/>
  <c r="I496" i="3"/>
  <c r="S159" i="3"/>
  <c r="P159" i="3"/>
  <c r="O159" i="3"/>
  <c r="N159" i="3"/>
  <c r="M159" i="3"/>
  <c r="L159" i="3"/>
  <c r="K159" i="3"/>
  <c r="J159" i="3"/>
  <c r="I159" i="3"/>
  <c r="S63" i="3"/>
  <c r="P63" i="3"/>
  <c r="M63" i="3"/>
  <c r="O63" i="3"/>
  <c r="N63" i="3"/>
  <c r="L63" i="3"/>
  <c r="K63" i="3"/>
  <c r="J63" i="3"/>
  <c r="I63" i="3"/>
  <c r="S31" i="3"/>
  <c r="P31" i="3"/>
  <c r="O31" i="3"/>
  <c r="M31" i="3"/>
  <c r="N31" i="3"/>
  <c r="L31" i="3"/>
  <c r="J31" i="3"/>
  <c r="K31" i="3"/>
  <c r="I31" i="3"/>
  <c r="S1400" i="3"/>
  <c r="P1400" i="3"/>
  <c r="O1400" i="3"/>
  <c r="N1400" i="3"/>
  <c r="M1400" i="3"/>
  <c r="L1400" i="3"/>
  <c r="K1400" i="3"/>
  <c r="J1400" i="3"/>
  <c r="E1400" i="3"/>
  <c r="D1400" i="3"/>
  <c r="H1400" i="3"/>
  <c r="I1400" i="3"/>
  <c r="P1273" i="3"/>
  <c r="S1273" i="3"/>
  <c r="O1273" i="3"/>
  <c r="N1273" i="3"/>
  <c r="L1273" i="3"/>
  <c r="K1273" i="3"/>
  <c r="M1273" i="3"/>
  <c r="J1273" i="3"/>
  <c r="E1273" i="3"/>
  <c r="D1273" i="3"/>
  <c r="H1273" i="3"/>
  <c r="I1273" i="3"/>
  <c r="S488" i="3"/>
  <c r="P488" i="3"/>
  <c r="O488" i="3"/>
  <c r="N488" i="3"/>
  <c r="M488" i="3"/>
  <c r="L488" i="3"/>
  <c r="K488" i="3"/>
  <c r="J488" i="3"/>
  <c r="I488" i="3"/>
  <c r="S260" i="3"/>
  <c r="P260" i="3"/>
  <c r="O260" i="3"/>
  <c r="M260" i="3"/>
  <c r="N260" i="3"/>
  <c r="L260" i="3"/>
  <c r="J260" i="3"/>
  <c r="K260" i="3"/>
  <c r="I260" i="3"/>
  <c r="S492" i="3"/>
  <c r="P492" i="3"/>
  <c r="O492" i="3"/>
  <c r="N492" i="3"/>
  <c r="M492" i="3"/>
  <c r="L492" i="3"/>
  <c r="K492" i="3"/>
  <c r="J492" i="3"/>
  <c r="E492" i="3"/>
  <c r="D492" i="3"/>
  <c r="H492" i="3"/>
  <c r="I492" i="3"/>
  <c r="S1306" i="3"/>
  <c r="P1306" i="3"/>
  <c r="O1306" i="3"/>
  <c r="N1306" i="3"/>
  <c r="M1306" i="3"/>
  <c r="L1306" i="3"/>
  <c r="K1306" i="3"/>
  <c r="J1306" i="3"/>
  <c r="E1306" i="3"/>
  <c r="D1306" i="3"/>
  <c r="H1306" i="3"/>
  <c r="I1306" i="3"/>
  <c r="S368" i="3"/>
  <c r="P368" i="3"/>
  <c r="O368" i="3"/>
  <c r="N368" i="3"/>
  <c r="M368" i="3"/>
  <c r="K368" i="3"/>
  <c r="L368" i="3"/>
  <c r="J368" i="3"/>
  <c r="I368" i="3"/>
  <c r="S140" i="3"/>
  <c r="P140" i="3"/>
  <c r="N140" i="3"/>
  <c r="M140" i="3"/>
  <c r="O140" i="3"/>
  <c r="L140" i="3"/>
  <c r="J140" i="3"/>
  <c r="K140" i="3"/>
  <c r="I140" i="3"/>
  <c r="P351" i="3"/>
  <c r="S351" i="3"/>
  <c r="N351" i="3"/>
  <c r="M351" i="3"/>
  <c r="O351" i="3"/>
  <c r="L351" i="3"/>
  <c r="J351" i="3"/>
  <c r="K351" i="3"/>
  <c r="J585" i="7"/>
  <c r="I351" i="3"/>
  <c r="S241" i="3"/>
  <c r="P241" i="3"/>
  <c r="O241" i="3"/>
  <c r="N241" i="3"/>
  <c r="M241" i="3"/>
  <c r="L241" i="3"/>
  <c r="K241" i="3"/>
  <c r="J241" i="3"/>
  <c r="I241" i="3"/>
  <c r="S1383" i="3"/>
  <c r="P1383" i="3"/>
  <c r="N1383" i="3"/>
  <c r="O1383" i="3"/>
  <c r="M1383" i="3"/>
  <c r="L1383" i="3"/>
  <c r="K1383" i="3"/>
  <c r="J1383" i="3"/>
  <c r="E1383" i="3"/>
  <c r="D1383" i="3"/>
  <c r="H1383" i="3"/>
  <c r="I1383" i="3"/>
  <c r="S1234" i="3"/>
  <c r="P1234" i="3"/>
  <c r="N1234" i="3"/>
  <c r="O1234" i="3"/>
  <c r="M1234" i="3"/>
  <c r="L1234" i="3"/>
  <c r="K1234" i="3"/>
  <c r="J1234" i="3"/>
  <c r="E1234" i="3"/>
  <c r="J46" i="7" s="1"/>
  <c r="D1234" i="3"/>
  <c r="I46" i="7" s="1"/>
  <c r="H1234" i="3"/>
  <c r="I1234" i="3"/>
  <c r="S1038" i="3"/>
  <c r="P1038" i="3"/>
  <c r="O1038" i="3"/>
  <c r="N1038" i="3"/>
  <c r="M1038" i="3"/>
  <c r="L1038" i="3"/>
  <c r="K1038" i="3"/>
  <c r="J1038" i="3"/>
  <c r="E1038" i="3"/>
  <c r="J372" i="7" s="1"/>
  <c r="D1038" i="3"/>
  <c r="H1038" i="3"/>
  <c r="I1038" i="3"/>
  <c r="S575" i="3"/>
  <c r="P575" i="3"/>
  <c r="O575" i="3"/>
  <c r="N575" i="3"/>
  <c r="M575" i="3"/>
  <c r="L575" i="3"/>
  <c r="K575" i="3"/>
  <c r="J575" i="3"/>
  <c r="I575" i="3"/>
  <c r="S160" i="3"/>
  <c r="P160" i="3"/>
  <c r="M160" i="3"/>
  <c r="O160" i="3"/>
  <c r="L160" i="3"/>
  <c r="N160" i="3"/>
  <c r="J160" i="3"/>
  <c r="K160" i="3"/>
  <c r="J522" i="7"/>
  <c r="I522" i="7"/>
  <c r="I160" i="3"/>
  <c r="S326" i="3"/>
  <c r="P326" i="3"/>
  <c r="O326" i="3"/>
  <c r="N326" i="3"/>
  <c r="K326" i="3"/>
  <c r="M326" i="3"/>
  <c r="L326" i="3"/>
  <c r="J326" i="3"/>
  <c r="J452" i="7"/>
  <c r="I326" i="3"/>
  <c r="S26" i="3"/>
  <c r="P26" i="3"/>
  <c r="N26" i="3"/>
  <c r="O26" i="3"/>
  <c r="M26" i="3"/>
  <c r="L26" i="3"/>
  <c r="K26" i="3"/>
  <c r="J26" i="3"/>
  <c r="J604" i="7"/>
  <c r="I26" i="3"/>
  <c r="S439" i="3"/>
  <c r="P439" i="3"/>
  <c r="O439" i="3"/>
  <c r="N439" i="3"/>
  <c r="M439" i="3"/>
  <c r="L439" i="3"/>
  <c r="K439" i="3"/>
  <c r="J439" i="3"/>
  <c r="E439" i="3"/>
  <c r="J406" i="7" s="1"/>
  <c r="D439" i="3"/>
  <c r="H439" i="3"/>
  <c r="I439" i="3"/>
  <c r="S950" i="3"/>
  <c r="P950" i="3"/>
  <c r="O950" i="3"/>
  <c r="N950" i="3"/>
  <c r="M950" i="3"/>
  <c r="L950" i="3"/>
  <c r="K950" i="3"/>
  <c r="J950" i="3"/>
  <c r="J499" i="7"/>
  <c r="I950" i="3"/>
  <c r="S162" i="3"/>
  <c r="P162" i="3"/>
  <c r="O162" i="3"/>
  <c r="N162" i="3"/>
  <c r="L162" i="3"/>
  <c r="M162" i="3"/>
  <c r="K162" i="3"/>
  <c r="J162" i="3"/>
  <c r="I162" i="3"/>
  <c r="S171" i="3"/>
  <c r="P171" i="3"/>
  <c r="O171" i="3"/>
  <c r="N171" i="3"/>
  <c r="M171" i="3"/>
  <c r="L171" i="3"/>
  <c r="K171" i="3"/>
  <c r="J171" i="3"/>
  <c r="I171" i="3"/>
  <c r="S1540" i="3"/>
  <c r="P1540" i="3"/>
  <c r="O1540" i="3"/>
  <c r="N1540" i="3"/>
  <c r="M1540" i="3"/>
  <c r="L1540" i="3"/>
  <c r="K1540" i="3"/>
  <c r="J1540" i="3"/>
  <c r="E1540" i="3"/>
  <c r="J249" i="7" s="1"/>
  <c r="D1540" i="3"/>
  <c r="H1540" i="3"/>
  <c r="I1540" i="3"/>
  <c r="S1515" i="3"/>
  <c r="P1515" i="3"/>
  <c r="O1515" i="3"/>
  <c r="N1515" i="3"/>
  <c r="M1515" i="3"/>
  <c r="L1515" i="3"/>
  <c r="K1515" i="3"/>
  <c r="J1515" i="3"/>
  <c r="E1515" i="3"/>
  <c r="D1515" i="3"/>
  <c r="H1515" i="3"/>
  <c r="I1515" i="3"/>
  <c r="S1468" i="3"/>
  <c r="P1468" i="3"/>
  <c r="N1468" i="3"/>
  <c r="M1468" i="3"/>
  <c r="L1468" i="3"/>
  <c r="O1468" i="3"/>
  <c r="J1468" i="3"/>
  <c r="K1468" i="3"/>
  <c r="E1468" i="3"/>
  <c r="D1468" i="3"/>
  <c r="H1468" i="3"/>
  <c r="I1468" i="3"/>
  <c r="S1441" i="3"/>
  <c r="P1441" i="3"/>
  <c r="O1441" i="3"/>
  <c r="N1441" i="3"/>
  <c r="M1441" i="3"/>
  <c r="L1441" i="3"/>
  <c r="K1441" i="3"/>
  <c r="J1441" i="3"/>
  <c r="E1441" i="3"/>
  <c r="D1441" i="3"/>
  <c r="H1441" i="3"/>
  <c r="I1441" i="3"/>
  <c r="S1364" i="3"/>
  <c r="P1364" i="3"/>
  <c r="N1364" i="3"/>
  <c r="O1364" i="3"/>
  <c r="M1364" i="3"/>
  <c r="L1364" i="3"/>
  <c r="K1364" i="3"/>
  <c r="E1364" i="3"/>
  <c r="J1364" i="3"/>
  <c r="D1364" i="3"/>
  <c r="H1364" i="3"/>
  <c r="I1364" i="3"/>
  <c r="S1317" i="3"/>
  <c r="P1317" i="3"/>
  <c r="O1317" i="3"/>
  <c r="N1317" i="3"/>
  <c r="M1317" i="3"/>
  <c r="L1317" i="3"/>
  <c r="K1317" i="3"/>
  <c r="J1317" i="3"/>
  <c r="E1317" i="3"/>
  <c r="D1317" i="3"/>
  <c r="H1317" i="3"/>
  <c r="I1317" i="3"/>
  <c r="S1238" i="3"/>
  <c r="P1238" i="3"/>
  <c r="O1238" i="3"/>
  <c r="N1238" i="3"/>
  <c r="M1238" i="3"/>
  <c r="L1238" i="3"/>
  <c r="K1238" i="3"/>
  <c r="J1238" i="3"/>
  <c r="E1238" i="3"/>
  <c r="D1238" i="3"/>
  <c r="H1238" i="3"/>
  <c r="I1238" i="3"/>
  <c r="S325" i="3"/>
  <c r="P325" i="3"/>
  <c r="O325" i="3"/>
  <c r="N325" i="3"/>
  <c r="M325" i="3"/>
  <c r="L325" i="3"/>
  <c r="K325" i="3"/>
  <c r="J325" i="3"/>
  <c r="E325" i="3"/>
  <c r="J427" i="7" s="1"/>
  <c r="D325" i="3"/>
  <c r="H325" i="3"/>
  <c r="I325" i="3"/>
  <c r="S868" i="3"/>
  <c r="P868" i="3"/>
  <c r="O868" i="3"/>
  <c r="N868" i="3"/>
  <c r="M868" i="3"/>
  <c r="L868" i="3"/>
  <c r="K868" i="3"/>
  <c r="J868" i="3"/>
  <c r="I868" i="3"/>
  <c r="S684" i="3"/>
  <c r="P684" i="3"/>
  <c r="O684" i="3"/>
  <c r="N684" i="3"/>
  <c r="M684" i="3"/>
  <c r="L684" i="3"/>
  <c r="K684" i="3"/>
  <c r="J684" i="3"/>
  <c r="J283" i="7"/>
  <c r="I684" i="3"/>
  <c r="S230" i="3"/>
  <c r="P230" i="3"/>
  <c r="O230" i="3"/>
  <c r="N230" i="3"/>
  <c r="M230" i="3"/>
  <c r="L230" i="3"/>
  <c r="K230" i="3"/>
  <c r="J230" i="3"/>
  <c r="I230" i="3"/>
  <c r="S1443" i="3"/>
  <c r="P1443" i="3"/>
  <c r="O1443" i="3"/>
  <c r="N1443" i="3"/>
  <c r="M1443" i="3"/>
  <c r="L1443" i="3"/>
  <c r="K1443" i="3"/>
  <c r="J1443" i="3"/>
  <c r="E1443" i="3"/>
  <c r="D1443" i="3"/>
  <c r="H1443" i="3"/>
  <c r="I1443" i="3"/>
  <c r="S1159" i="3"/>
  <c r="P1159" i="3"/>
  <c r="N1159" i="3"/>
  <c r="M1159" i="3"/>
  <c r="O1159" i="3"/>
  <c r="L1159" i="3"/>
  <c r="K1159" i="3"/>
  <c r="J1159" i="3"/>
  <c r="E1159" i="3"/>
  <c r="J486" i="7" s="1"/>
  <c r="D1159" i="3"/>
  <c r="H1159" i="3"/>
  <c r="I1159" i="3"/>
  <c r="S271" i="3"/>
  <c r="P271" i="3"/>
  <c r="O271" i="3"/>
  <c r="N271" i="3"/>
  <c r="M271" i="3"/>
  <c r="L271" i="3"/>
  <c r="K271" i="3"/>
  <c r="J271" i="3"/>
  <c r="J253" i="7"/>
  <c r="I271" i="3"/>
  <c r="S1505" i="3"/>
  <c r="P1505" i="3"/>
  <c r="O1505" i="3"/>
  <c r="N1505" i="3"/>
  <c r="M1505" i="3"/>
  <c r="L1505" i="3"/>
  <c r="K1505" i="3"/>
  <c r="J1505" i="3"/>
  <c r="D1505" i="3"/>
  <c r="I145" i="7" s="1"/>
  <c r="E1505" i="3"/>
  <c r="J145" i="7" s="1"/>
  <c r="H1505" i="3"/>
  <c r="I1505" i="3"/>
  <c r="S1337" i="3"/>
  <c r="P1337" i="3"/>
  <c r="O1337" i="3"/>
  <c r="N1337" i="3"/>
  <c r="M1337" i="3"/>
  <c r="L1337" i="3"/>
  <c r="K1337" i="3"/>
  <c r="J1337" i="3"/>
  <c r="D1337" i="3"/>
  <c r="H1337" i="3"/>
  <c r="E1337" i="3"/>
  <c r="J246" i="7" s="1"/>
  <c r="I1337" i="3"/>
  <c r="S475" i="3"/>
  <c r="P475" i="3"/>
  <c r="O475" i="3"/>
  <c r="N475" i="3"/>
  <c r="M475" i="3"/>
  <c r="L475" i="3"/>
  <c r="K475" i="3"/>
  <c r="J475" i="3"/>
  <c r="I157" i="7"/>
  <c r="J157" i="7"/>
  <c r="I475" i="3"/>
  <c r="S93" i="3"/>
  <c r="P93" i="3"/>
  <c r="O93" i="3"/>
  <c r="N93" i="3"/>
  <c r="M93" i="3"/>
  <c r="L93" i="3"/>
  <c r="K93" i="3"/>
  <c r="J93" i="3"/>
  <c r="J516" i="7"/>
  <c r="I93" i="3"/>
  <c r="S1491" i="3"/>
  <c r="P1491" i="3"/>
  <c r="O1491" i="3"/>
  <c r="N1491" i="3"/>
  <c r="M1491" i="3"/>
  <c r="L1491" i="3"/>
  <c r="K1491" i="3"/>
  <c r="D1491" i="3"/>
  <c r="I116" i="7" s="1"/>
  <c r="E1491" i="3"/>
  <c r="J116" i="7" s="1"/>
  <c r="J1491" i="3"/>
  <c r="I1491" i="3"/>
  <c r="H1491" i="3"/>
  <c r="S1439" i="3"/>
  <c r="P1439" i="3"/>
  <c r="O1439" i="3"/>
  <c r="N1439" i="3"/>
  <c r="L1439" i="3"/>
  <c r="K1439" i="3"/>
  <c r="M1439" i="3"/>
  <c r="J1439" i="3"/>
  <c r="D1439" i="3"/>
  <c r="I158" i="7" s="1"/>
  <c r="E1439" i="3"/>
  <c r="J158" i="7" s="1"/>
  <c r="I1439" i="3"/>
  <c r="H1439" i="3"/>
  <c r="S1409" i="3"/>
  <c r="P1409" i="3"/>
  <c r="O1409" i="3"/>
  <c r="N1409" i="3"/>
  <c r="M1409" i="3"/>
  <c r="L1409" i="3"/>
  <c r="K1409" i="3"/>
  <c r="J1409" i="3"/>
  <c r="D1409" i="3"/>
  <c r="I130" i="7" s="1"/>
  <c r="E1409" i="3"/>
  <c r="J130" i="7" s="1"/>
  <c r="I1409" i="3"/>
  <c r="H1409" i="3"/>
  <c r="S1355" i="3"/>
  <c r="P1355" i="3"/>
  <c r="O1355" i="3"/>
  <c r="N1355" i="3"/>
  <c r="M1355" i="3"/>
  <c r="L1355" i="3"/>
  <c r="K1355" i="3"/>
  <c r="J1355" i="3"/>
  <c r="D1355" i="3"/>
  <c r="I134" i="7" s="1"/>
  <c r="E1355" i="3"/>
  <c r="J134" i="7" s="1"/>
  <c r="I1355" i="3"/>
  <c r="H1355" i="3"/>
  <c r="S1271" i="3"/>
  <c r="P1271" i="3"/>
  <c r="O1271" i="3"/>
  <c r="N1271" i="3"/>
  <c r="L1271" i="3"/>
  <c r="M1271" i="3"/>
  <c r="K1271" i="3"/>
  <c r="J1271" i="3"/>
  <c r="D1271" i="3"/>
  <c r="E1271" i="3"/>
  <c r="J227" i="7" s="1"/>
  <c r="I1271" i="3"/>
  <c r="H1271" i="3"/>
  <c r="S858" i="3"/>
  <c r="P858" i="3"/>
  <c r="O858" i="3"/>
  <c r="N858" i="3"/>
  <c r="L858" i="3"/>
  <c r="M858" i="3"/>
  <c r="K858" i="3"/>
  <c r="J858" i="3"/>
  <c r="J166" i="7"/>
  <c r="I858" i="3"/>
  <c r="S622" i="3"/>
  <c r="P622" i="3"/>
  <c r="N622" i="3"/>
  <c r="O622" i="3"/>
  <c r="M622" i="3"/>
  <c r="L622" i="3"/>
  <c r="K622" i="3"/>
  <c r="J622" i="3"/>
  <c r="J64" i="7"/>
  <c r="I64" i="7"/>
  <c r="I622" i="3"/>
  <c r="S180" i="3"/>
  <c r="P180" i="3"/>
  <c r="O180" i="3"/>
  <c r="N180" i="3"/>
  <c r="M180" i="3"/>
  <c r="L180" i="3"/>
  <c r="K180" i="3"/>
  <c r="J180" i="3"/>
  <c r="I146" i="7"/>
  <c r="J146" i="7"/>
  <c r="I180" i="3"/>
  <c r="S1201" i="3"/>
  <c r="P1201" i="3"/>
  <c r="N1201" i="3"/>
  <c r="O1201" i="3"/>
  <c r="M1201" i="3"/>
  <c r="L1201" i="3"/>
  <c r="K1201" i="3"/>
  <c r="J1201" i="3"/>
  <c r="D1201" i="3"/>
  <c r="I48" i="7" s="1"/>
  <c r="E1201" i="3"/>
  <c r="J48" i="7" s="1"/>
  <c r="H1201" i="3"/>
  <c r="I1201" i="3"/>
  <c r="S333" i="3"/>
  <c r="P333" i="3"/>
  <c r="O333" i="3"/>
  <c r="N333" i="3"/>
  <c r="L333" i="3"/>
  <c r="M333" i="3"/>
  <c r="K333" i="3"/>
  <c r="J333" i="3"/>
  <c r="J139" i="7"/>
  <c r="I139" i="7"/>
  <c r="I333" i="3"/>
  <c r="S122" i="3"/>
  <c r="P122" i="3"/>
  <c r="O122" i="3"/>
  <c r="N122" i="3"/>
  <c r="M122" i="3"/>
  <c r="L122" i="3"/>
  <c r="K122" i="3"/>
  <c r="J122" i="3"/>
  <c r="J36" i="7"/>
  <c r="I36" i="7"/>
  <c r="I122" i="3"/>
  <c r="S369" i="3"/>
  <c r="P369" i="3"/>
  <c r="O369" i="3"/>
  <c r="N369" i="3"/>
  <c r="M369" i="3"/>
  <c r="L369" i="3"/>
  <c r="K369" i="3"/>
  <c r="J369" i="3"/>
  <c r="D369" i="3"/>
  <c r="I108" i="7" s="1"/>
  <c r="E369" i="3"/>
  <c r="J108" i="7" s="1"/>
  <c r="H369" i="3"/>
  <c r="I369" i="3"/>
  <c r="S1522" i="3"/>
  <c r="P1522" i="3"/>
  <c r="O1522" i="3"/>
  <c r="N1522" i="3"/>
  <c r="M1522" i="3"/>
  <c r="L1522" i="3"/>
  <c r="K1522" i="3"/>
  <c r="J1522" i="3"/>
  <c r="E1522" i="3"/>
  <c r="J115" i="7" s="1"/>
  <c r="D1522" i="3"/>
  <c r="I115" i="7" s="1"/>
  <c r="H1522" i="3"/>
  <c r="I1522" i="3"/>
  <c r="S1401" i="3"/>
  <c r="P1401" i="3"/>
  <c r="O1401" i="3"/>
  <c r="N1401" i="3"/>
  <c r="M1401" i="3"/>
  <c r="L1401" i="3"/>
  <c r="J1401" i="3"/>
  <c r="K1401" i="3"/>
  <c r="D1401" i="3"/>
  <c r="H1401" i="3"/>
  <c r="E1401" i="3"/>
  <c r="I1401" i="3"/>
  <c r="S827" i="3"/>
  <c r="P827" i="3"/>
  <c r="O827" i="3"/>
  <c r="N827" i="3"/>
  <c r="M827" i="3"/>
  <c r="L827" i="3"/>
  <c r="J827" i="3"/>
  <c r="K827" i="3"/>
  <c r="E827" i="3"/>
  <c r="D827" i="3"/>
  <c r="I827" i="3"/>
  <c r="H827" i="3"/>
  <c r="S1191" i="3"/>
  <c r="P1191" i="3"/>
  <c r="O1191" i="3"/>
  <c r="N1191" i="3"/>
  <c r="M1191" i="3"/>
  <c r="K1191" i="3"/>
  <c r="L1191" i="3"/>
  <c r="J1191" i="3"/>
  <c r="E1191" i="3"/>
  <c r="D1191" i="3"/>
  <c r="H1191" i="3"/>
  <c r="I1191" i="3"/>
  <c r="S490" i="3"/>
  <c r="P490" i="3"/>
  <c r="O490" i="3"/>
  <c r="N490" i="3"/>
  <c r="M490" i="3"/>
  <c r="L490" i="3"/>
  <c r="J490" i="3"/>
  <c r="K490" i="3"/>
  <c r="I490" i="3"/>
  <c r="S1488" i="3"/>
  <c r="P1488" i="3"/>
  <c r="O1488" i="3"/>
  <c r="N1488" i="3"/>
  <c r="M1488" i="3"/>
  <c r="L1488" i="3"/>
  <c r="K1488" i="3"/>
  <c r="J1488" i="3"/>
  <c r="E1488" i="3"/>
  <c r="D1488" i="3"/>
  <c r="H1488" i="3"/>
  <c r="I1488" i="3"/>
  <c r="S1118" i="3"/>
  <c r="P1118" i="3"/>
  <c r="O1118" i="3"/>
  <c r="M1118" i="3"/>
  <c r="N1118" i="3"/>
  <c r="L1118" i="3"/>
  <c r="J1118" i="3"/>
  <c r="K1118" i="3"/>
  <c r="E1118" i="3"/>
  <c r="D1118" i="3"/>
  <c r="H1118" i="3"/>
  <c r="I1118" i="3"/>
  <c r="S788" i="3"/>
  <c r="P788" i="3"/>
  <c r="O788" i="3"/>
  <c r="N788" i="3"/>
  <c r="M788" i="3"/>
  <c r="K788" i="3"/>
  <c r="J788" i="3"/>
  <c r="L788" i="3"/>
  <c r="E788" i="3"/>
  <c r="D788" i="3"/>
  <c r="H788" i="3"/>
  <c r="I788" i="3"/>
  <c r="S1070" i="3"/>
  <c r="P1070" i="3"/>
  <c r="O1070" i="3"/>
  <c r="N1070" i="3"/>
  <c r="M1070" i="3"/>
  <c r="L1070" i="3"/>
  <c r="K1070" i="3"/>
  <c r="J1070" i="3"/>
  <c r="E1070" i="3"/>
  <c r="D1070" i="3"/>
  <c r="H1070" i="3"/>
  <c r="I1070" i="3"/>
  <c r="S894" i="3"/>
  <c r="P894" i="3"/>
  <c r="O894" i="3"/>
  <c r="N894" i="3"/>
  <c r="M894" i="3"/>
  <c r="L894" i="3"/>
  <c r="K894" i="3"/>
  <c r="J894" i="3"/>
  <c r="E894" i="3"/>
  <c r="D894" i="3"/>
  <c r="H894" i="3"/>
  <c r="I894" i="3"/>
  <c r="S1382" i="3"/>
  <c r="P1382" i="3"/>
  <c r="O1382" i="3"/>
  <c r="N1382" i="3"/>
  <c r="M1382" i="3"/>
  <c r="L1382" i="3"/>
  <c r="K1382" i="3"/>
  <c r="E1382" i="3"/>
  <c r="J214" i="7" s="1"/>
  <c r="D1382" i="3"/>
  <c r="J1382" i="3"/>
  <c r="H1382" i="3"/>
  <c r="I1382" i="3"/>
  <c r="S1203" i="3"/>
  <c r="P1203" i="3"/>
  <c r="O1203" i="3"/>
  <c r="N1203" i="3"/>
  <c r="M1203" i="3"/>
  <c r="L1203" i="3"/>
  <c r="K1203" i="3"/>
  <c r="E1203" i="3"/>
  <c r="J1203" i="3"/>
  <c r="D1203" i="3"/>
  <c r="H1203" i="3"/>
  <c r="I1203" i="3"/>
  <c r="S1176" i="3"/>
  <c r="P1176" i="3"/>
  <c r="O1176" i="3"/>
  <c r="N1176" i="3"/>
  <c r="M1176" i="3"/>
  <c r="L1176" i="3"/>
  <c r="K1176" i="3"/>
  <c r="E1176" i="3"/>
  <c r="J1176" i="3"/>
  <c r="D1176" i="3"/>
  <c r="H1176" i="3"/>
  <c r="I1176" i="3"/>
  <c r="S1059" i="3"/>
  <c r="P1059" i="3"/>
  <c r="O1059" i="3"/>
  <c r="N1059" i="3"/>
  <c r="L1059" i="3"/>
  <c r="K1059" i="3"/>
  <c r="M1059" i="3"/>
  <c r="J1059" i="3"/>
  <c r="E1059" i="3"/>
  <c r="D1059" i="3"/>
  <c r="I1059" i="3"/>
  <c r="H1059" i="3"/>
  <c r="S1509" i="3"/>
  <c r="P1509" i="3"/>
  <c r="O1509" i="3"/>
  <c r="N1509" i="3"/>
  <c r="M1509" i="3"/>
  <c r="L1509" i="3"/>
  <c r="K1509" i="3"/>
  <c r="J1509" i="3"/>
  <c r="D1509" i="3"/>
  <c r="I137" i="7" s="1"/>
  <c r="E1509" i="3"/>
  <c r="J137" i="7" s="1"/>
  <c r="H1509" i="3"/>
  <c r="I1509" i="3"/>
  <c r="S19" i="3"/>
  <c r="P19" i="3"/>
  <c r="O19" i="3"/>
  <c r="N19" i="3"/>
  <c r="M19" i="3"/>
  <c r="L19" i="3"/>
  <c r="K19" i="3"/>
  <c r="J19" i="3"/>
  <c r="J404" i="7"/>
  <c r="I19" i="3"/>
  <c r="S1300" i="3"/>
  <c r="P1300" i="3"/>
  <c r="O1300" i="3"/>
  <c r="N1300" i="3"/>
  <c r="M1300" i="3"/>
  <c r="L1300" i="3"/>
  <c r="K1300" i="3"/>
  <c r="J1300" i="3"/>
  <c r="E1300" i="3"/>
  <c r="J489" i="7" s="1"/>
  <c r="D1300" i="3"/>
  <c r="H1300" i="3"/>
  <c r="I1300" i="3"/>
  <c r="S446" i="3"/>
  <c r="P446" i="3"/>
  <c r="O446" i="3"/>
  <c r="N446" i="3"/>
  <c r="M446" i="3"/>
  <c r="L446" i="3"/>
  <c r="J446" i="3"/>
  <c r="K446" i="3"/>
  <c r="J327" i="7"/>
  <c r="I446" i="3"/>
  <c r="P1151" i="3"/>
  <c r="S1151" i="3"/>
  <c r="O1151" i="3"/>
  <c r="M1151" i="3"/>
  <c r="N1151" i="3"/>
  <c r="L1151" i="3"/>
  <c r="J1151" i="3"/>
  <c r="K1151" i="3"/>
  <c r="E1151" i="3"/>
  <c r="D1151" i="3"/>
  <c r="H1151" i="3"/>
  <c r="I1151" i="3"/>
  <c r="S811" i="3"/>
  <c r="P811" i="3"/>
  <c r="O811" i="3"/>
  <c r="N811" i="3"/>
  <c r="M811" i="3"/>
  <c r="L811" i="3"/>
  <c r="K811" i="3"/>
  <c r="J811" i="3"/>
  <c r="J417" i="7"/>
  <c r="I811" i="3"/>
  <c r="S610" i="3"/>
  <c r="P610" i="3"/>
  <c r="O610" i="3"/>
  <c r="N610" i="3"/>
  <c r="M610" i="3"/>
  <c r="L610" i="3"/>
  <c r="K610" i="3"/>
  <c r="J610" i="3"/>
  <c r="E610" i="3"/>
  <c r="D610" i="3"/>
  <c r="I609" i="7" s="1"/>
  <c r="H610" i="3"/>
  <c r="I610" i="3"/>
  <c r="S655" i="3"/>
  <c r="P655" i="3"/>
  <c r="O655" i="3"/>
  <c r="N655" i="3"/>
  <c r="M655" i="3"/>
  <c r="L655" i="3"/>
  <c r="K655" i="3"/>
  <c r="J655" i="3"/>
  <c r="J322" i="7"/>
  <c r="I655" i="3"/>
  <c r="S973" i="3"/>
  <c r="P973" i="3"/>
  <c r="O973" i="3"/>
  <c r="N973" i="3"/>
  <c r="M973" i="3"/>
  <c r="K973" i="3"/>
  <c r="L973" i="3"/>
  <c r="J973" i="3"/>
  <c r="E973" i="3"/>
  <c r="H973" i="3"/>
  <c r="D973" i="3"/>
  <c r="I973" i="3"/>
  <c r="S450" i="3"/>
  <c r="P450" i="3"/>
  <c r="N450" i="3"/>
  <c r="O450" i="3"/>
  <c r="L450" i="3"/>
  <c r="M450" i="3"/>
  <c r="K450" i="3"/>
  <c r="E450" i="3"/>
  <c r="J150" i="7" s="1"/>
  <c r="J450" i="3"/>
  <c r="D450" i="3"/>
  <c r="I150" i="7" s="1"/>
  <c r="H450" i="3"/>
  <c r="I450" i="3"/>
  <c r="S495" i="3"/>
  <c r="P495" i="3"/>
  <c r="O495" i="3"/>
  <c r="N495" i="3"/>
  <c r="M495" i="3"/>
  <c r="L495" i="3"/>
  <c r="K495" i="3"/>
  <c r="J495" i="3"/>
  <c r="E495" i="3"/>
  <c r="D495" i="3"/>
  <c r="H495" i="3"/>
  <c r="I495" i="3"/>
  <c r="S1474" i="3"/>
  <c r="P1474" i="3"/>
  <c r="O1474" i="3"/>
  <c r="N1474" i="3"/>
  <c r="M1474" i="3"/>
  <c r="K1474" i="3"/>
  <c r="L1474" i="3"/>
  <c r="J1474" i="3"/>
  <c r="E1474" i="3"/>
  <c r="J111" i="7" s="1"/>
  <c r="H1474" i="3"/>
  <c r="D1474" i="3"/>
  <c r="I111" i="7" s="1"/>
  <c r="I1474" i="3"/>
  <c r="S852" i="3"/>
  <c r="P852" i="3"/>
  <c r="O852" i="3"/>
  <c r="N852" i="3"/>
  <c r="M852" i="3"/>
  <c r="L852" i="3"/>
  <c r="K852" i="3"/>
  <c r="J852" i="3"/>
  <c r="E852" i="3"/>
  <c r="D852" i="3"/>
  <c r="H852" i="3"/>
  <c r="I852" i="3"/>
  <c r="S1157" i="3"/>
  <c r="O1157" i="3"/>
  <c r="N1157" i="3"/>
  <c r="P1157" i="3"/>
  <c r="M1157" i="3"/>
  <c r="L1157" i="3"/>
  <c r="J1157" i="3"/>
  <c r="E1157" i="3"/>
  <c r="J573" i="7" s="1"/>
  <c r="K1157" i="3"/>
  <c r="D1157" i="3"/>
  <c r="I1157" i="3"/>
  <c r="H1157" i="3"/>
  <c r="S1261" i="3"/>
  <c r="P1261" i="3"/>
  <c r="O1261" i="3"/>
  <c r="N1261" i="3"/>
  <c r="M1261" i="3"/>
  <c r="L1261" i="3"/>
  <c r="K1261" i="3"/>
  <c r="J1261" i="3"/>
  <c r="E1261" i="3"/>
  <c r="D1261" i="3"/>
  <c r="I1261" i="3"/>
  <c r="H1261" i="3"/>
  <c r="S1332" i="3"/>
  <c r="P1332" i="3"/>
  <c r="O1332" i="3"/>
  <c r="N1332" i="3"/>
  <c r="M1332" i="3"/>
  <c r="L1332" i="3"/>
  <c r="K1332" i="3"/>
  <c r="E1332" i="3"/>
  <c r="J320" i="7" s="1"/>
  <c r="J1332" i="3"/>
  <c r="D1332" i="3"/>
  <c r="H1332" i="3"/>
  <c r="I1332" i="3"/>
  <c r="S1394" i="3"/>
  <c r="P1394" i="3"/>
  <c r="O1394" i="3"/>
  <c r="N1394" i="3"/>
  <c r="M1394" i="3"/>
  <c r="L1394" i="3"/>
  <c r="K1394" i="3"/>
  <c r="J1394" i="3"/>
  <c r="D1394" i="3"/>
  <c r="E1394" i="3"/>
  <c r="I1394" i="3"/>
  <c r="H1394" i="3"/>
  <c r="S1214" i="3"/>
  <c r="P1214" i="3"/>
  <c r="O1214" i="3"/>
  <c r="N1214" i="3"/>
  <c r="M1214" i="3"/>
  <c r="L1214" i="3"/>
  <c r="K1214" i="3"/>
  <c r="J1214" i="3"/>
  <c r="E1214" i="3"/>
  <c r="D1214" i="3"/>
  <c r="I1214" i="3"/>
  <c r="H1214" i="3"/>
  <c r="S837" i="3"/>
  <c r="P837" i="3"/>
  <c r="O837" i="3"/>
  <c r="N837" i="3"/>
  <c r="M837" i="3"/>
  <c r="L837" i="3"/>
  <c r="K837" i="3"/>
  <c r="J837" i="3"/>
  <c r="J314" i="7"/>
  <c r="I837" i="3"/>
  <c r="S1310" i="3"/>
  <c r="P1310" i="3"/>
  <c r="O1310" i="3"/>
  <c r="N1310" i="3"/>
  <c r="M1310" i="3"/>
  <c r="L1310" i="3"/>
  <c r="K1310" i="3"/>
  <c r="J1310" i="3"/>
  <c r="E1310" i="3"/>
  <c r="J302" i="7" s="1"/>
  <c r="D1310" i="3"/>
  <c r="H1310" i="3"/>
  <c r="I1310" i="3"/>
  <c r="S527" i="3"/>
  <c r="P527" i="3"/>
  <c r="O527" i="3"/>
  <c r="N527" i="3"/>
  <c r="M527" i="3"/>
  <c r="L527" i="3"/>
  <c r="K527" i="3"/>
  <c r="J527" i="3"/>
  <c r="E527" i="3"/>
  <c r="J474" i="7" s="1"/>
  <c r="D527" i="3"/>
  <c r="H527" i="3"/>
  <c r="I527" i="3"/>
  <c r="S859" i="3"/>
  <c r="P859" i="3"/>
  <c r="O859" i="3"/>
  <c r="N859" i="3"/>
  <c r="M859" i="3"/>
  <c r="L859" i="3"/>
  <c r="K859" i="3"/>
  <c r="J859" i="3"/>
  <c r="E859" i="3"/>
  <c r="D859" i="3"/>
  <c r="H859" i="3"/>
  <c r="I859" i="3"/>
  <c r="S1235" i="3"/>
  <c r="P1235" i="3"/>
  <c r="O1235" i="3"/>
  <c r="N1235" i="3"/>
  <c r="M1235" i="3"/>
  <c r="L1235" i="3"/>
  <c r="K1235" i="3"/>
  <c r="J1235" i="3"/>
  <c r="D1235" i="3"/>
  <c r="E1235" i="3"/>
  <c r="H1235" i="3"/>
  <c r="I1235" i="3"/>
  <c r="S708" i="3"/>
  <c r="P708" i="3"/>
  <c r="O708" i="3"/>
  <c r="N708" i="3"/>
  <c r="M708" i="3"/>
  <c r="L708" i="3"/>
  <c r="K708" i="3"/>
  <c r="J708" i="3"/>
  <c r="E708" i="3"/>
  <c r="D708" i="3"/>
  <c r="H708" i="3"/>
  <c r="I708" i="3"/>
  <c r="S1136" i="3"/>
  <c r="P1136" i="3"/>
  <c r="O1136" i="3"/>
  <c r="M1136" i="3"/>
  <c r="N1136" i="3"/>
  <c r="L1136" i="3"/>
  <c r="K1136" i="3"/>
  <c r="E1136" i="3"/>
  <c r="J1136" i="3"/>
  <c r="D1136" i="3"/>
  <c r="H1136" i="3"/>
  <c r="I1136" i="3"/>
  <c r="S875" i="3"/>
  <c r="O875" i="3"/>
  <c r="P875" i="3"/>
  <c r="N875" i="3"/>
  <c r="M875" i="3"/>
  <c r="L875" i="3"/>
  <c r="K875" i="3"/>
  <c r="E875" i="3"/>
  <c r="D875" i="3"/>
  <c r="J875" i="3"/>
  <c r="H875" i="3"/>
  <c r="I875" i="3"/>
  <c r="S774" i="3"/>
  <c r="P774" i="3"/>
  <c r="O774" i="3"/>
  <c r="N774" i="3"/>
  <c r="M774" i="3"/>
  <c r="L774" i="3"/>
  <c r="K774" i="3"/>
  <c r="E774" i="3"/>
  <c r="J774" i="3"/>
  <c r="D774" i="3"/>
  <c r="H774" i="3"/>
  <c r="I774" i="3"/>
  <c r="S295" i="3"/>
  <c r="P295" i="3"/>
  <c r="O295" i="3"/>
  <c r="N295" i="3"/>
  <c r="M295" i="3"/>
  <c r="L295" i="3"/>
  <c r="K295" i="3"/>
  <c r="J295" i="3"/>
  <c r="E295" i="3"/>
  <c r="J185" i="7" s="1"/>
  <c r="D295" i="3"/>
  <c r="I294" i="7" s="1"/>
  <c r="H295" i="3"/>
  <c r="I295" i="3"/>
  <c r="S54" i="3"/>
  <c r="P54" i="3"/>
  <c r="O54" i="3"/>
  <c r="N54" i="3"/>
  <c r="M54" i="3"/>
  <c r="L54" i="3"/>
  <c r="K54" i="3"/>
  <c r="J54" i="3"/>
  <c r="I54" i="3"/>
  <c r="S37" i="3"/>
  <c r="P37" i="3"/>
  <c r="O37" i="3"/>
  <c r="N37" i="3"/>
  <c r="M37" i="3"/>
  <c r="L37" i="3"/>
  <c r="K37" i="3"/>
  <c r="J37" i="3"/>
  <c r="J381" i="7"/>
  <c r="I37" i="3"/>
  <c r="S946" i="3"/>
  <c r="P946" i="3"/>
  <c r="O946" i="3"/>
  <c r="N946" i="3"/>
  <c r="M946" i="3"/>
  <c r="L946" i="3"/>
  <c r="K946" i="3"/>
  <c r="J347" i="7"/>
  <c r="J946" i="3"/>
  <c r="I946" i="3"/>
  <c r="S1288" i="3"/>
  <c r="P1288" i="3"/>
  <c r="O1288" i="3"/>
  <c r="M1288" i="3"/>
  <c r="N1288" i="3"/>
  <c r="L1288" i="3"/>
  <c r="J1288" i="3"/>
  <c r="K1288" i="3"/>
  <c r="D1288" i="3"/>
  <c r="E1288" i="3"/>
  <c r="H1288" i="3"/>
  <c r="I1288" i="3"/>
  <c r="S1139" i="3"/>
  <c r="P1139" i="3"/>
  <c r="O1139" i="3"/>
  <c r="N1139" i="3"/>
  <c r="M1139" i="3"/>
  <c r="L1139" i="3"/>
  <c r="K1139" i="3"/>
  <c r="J1139" i="3"/>
  <c r="D1139" i="3"/>
  <c r="E1139" i="3"/>
  <c r="H1139" i="3"/>
  <c r="I1139" i="3"/>
  <c r="S1124" i="3"/>
  <c r="P1124" i="3"/>
  <c r="O1124" i="3"/>
  <c r="N1124" i="3"/>
  <c r="M1124" i="3"/>
  <c r="L1124" i="3"/>
  <c r="J1124" i="3"/>
  <c r="K1124" i="3"/>
  <c r="E1124" i="3"/>
  <c r="I1124" i="3"/>
  <c r="D1124" i="3"/>
  <c r="H1124" i="3"/>
  <c r="S1092" i="3"/>
  <c r="P1092" i="3"/>
  <c r="O1092" i="3"/>
  <c r="M1092" i="3"/>
  <c r="N1092" i="3"/>
  <c r="L1092" i="3"/>
  <c r="J1092" i="3"/>
  <c r="K1092" i="3"/>
  <c r="E1092" i="3"/>
  <c r="D1092" i="3"/>
  <c r="H1092" i="3"/>
  <c r="I1092" i="3"/>
  <c r="S1068" i="3"/>
  <c r="P1068" i="3"/>
  <c r="O1068" i="3"/>
  <c r="N1068" i="3"/>
  <c r="M1068" i="3"/>
  <c r="L1068" i="3"/>
  <c r="K1068" i="3"/>
  <c r="E1068" i="3"/>
  <c r="J1068" i="3"/>
  <c r="D1068" i="3"/>
  <c r="H1068" i="3"/>
  <c r="I1068" i="3"/>
  <c r="S899" i="3"/>
  <c r="P899" i="3"/>
  <c r="O899" i="3"/>
  <c r="N899" i="3"/>
  <c r="M899" i="3"/>
  <c r="L899" i="3"/>
  <c r="K899" i="3"/>
  <c r="J899" i="3"/>
  <c r="E899" i="3"/>
  <c r="D899" i="3"/>
  <c r="H899" i="3"/>
  <c r="I899" i="3"/>
  <c r="S853" i="3"/>
  <c r="P853" i="3"/>
  <c r="O853" i="3"/>
  <c r="N853" i="3"/>
  <c r="M853" i="3"/>
  <c r="L853" i="3"/>
  <c r="K853" i="3"/>
  <c r="J853" i="3"/>
  <c r="E853" i="3"/>
  <c r="D853" i="3"/>
  <c r="H853" i="3"/>
  <c r="I853" i="3"/>
  <c r="S830" i="3"/>
  <c r="P830" i="3"/>
  <c r="O830" i="3"/>
  <c r="M830" i="3"/>
  <c r="N830" i="3"/>
  <c r="L830" i="3"/>
  <c r="K830" i="3"/>
  <c r="J830" i="3"/>
  <c r="D830" i="3"/>
  <c r="E830" i="3"/>
  <c r="H830" i="3"/>
  <c r="I830" i="3"/>
  <c r="S812" i="3"/>
  <c r="P812" i="3"/>
  <c r="O812" i="3"/>
  <c r="M812" i="3"/>
  <c r="N812" i="3"/>
  <c r="L812" i="3"/>
  <c r="J812" i="3"/>
  <c r="K812" i="3"/>
  <c r="E812" i="3"/>
  <c r="D812" i="3"/>
  <c r="H812" i="3"/>
  <c r="I812" i="3"/>
  <c r="S957" i="3"/>
  <c r="P957" i="3"/>
  <c r="N957" i="3"/>
  <c r="M957" i="3"/>
  <c r="O957" i="3"/>
  <c r="L957" i="3"/>
  <c r="J957" i="3"/>
  <c r="K957" i="3"/>
  <c r="D957" i="3"/>
  <c r="H957" i="3"/>
  <c r="I957" i="3"/>
  <c r="E957" i="3"/>
  <c r="S948" i="3"/>
  <c r="P948" i="3"/>
  <c r="O948" i="3"/>
  <c r="N948" i="3"/>
  <c r="M948" i="3"/>
  <c r="L948" i="3"/>
  <c r="K948" i="3"/>
  <c r="J948" i="3"/>
  <c r="E948" i="3"/>
  <c r="D948" i="3"/>
  <c r="H948" i="3"/>
  <c r="I948" i="3"/>
  <c r="S754" i="3"/>
  <c r="P754" i="3"/>
  <c r="O754" i="3"/>
  <c r="N754" i="3"/>
  <c r="M754" i="3"/>
  <c r="L754" i="3"/>
  <c r="K754" i="3"/>
  <c r="J754" i="3"/>
  <c r="E754" i="3"/>
  <c r="D754" i="3"/>
  <c r="H754" i="3"/>
  <c r="I754" i="3"/>
  <c r="S914" i="3"/>
  <c r="P914" i="3"/>
  <c r="O914" i="3"/>
  <c r="N914" i="3"/>
  <c r="M914" i="3"/>
  <c r="L914" i="3"/>
  <c r="K914" i="3"/>
  <c r="J914" i="3"/>
  <c r="E914" i="3"/>
  <c r="D914" i="3"/>
  <c r="H914" i="3"/>
  <c r="I914" i="3"/>
  <c r="S1249" i="3"/>
  <c r="P1249" i="3"/>
  <c r="O1249" i="3"/>
  <c r="N1249" i="3"/>
  <c r="M1249" i="3"/>
  <c r="K1249" i="3"/>
  <c r="J1249" i="3"/>
  <c r="L1249" i="3"/>
  <c r="E1249" i="3"/>
  <c r="D1249" i="3"/>
  <c r="H1249" i="3"/>
  <c r="I1249" i="3"/>
  <c r="S673" i="3"/>
  <c r="P673" i="3"/>
  <c r="O673" i="3"/>
  <c r="N673" i="3"/>
  <c r="L673" i="3"/>
  <c r="M673" i="3"/>
  <c r="K673" i="3"/>
  <c r="J673" i="3"/>
  <c r="E673" i="3"/>
  <c r="D673" i="3"/>
  <c r="H673" i="3"/>
  <c r="I673" i="3"/>
  <c r="S881" i="3"/>
  <c r="P881" i="3"/>
  <c r="O881" i="3"/>
  <c r="M881" i="3"/>
  <c r="N881" i="3"/>
  <c r="L881" i="3"/>
  <c r="K881" i="3"/>
  <c r="J881" i="3"/>
  <c r="E881" i="3"/>
  <c r="D881" i="3"/>
  <c r="H881" i="3"/>
  <c r="I881" i="3"/>
  <c r="S637" i="3"/>
  <c r="P637" i="3"/>
  <c r="O637" i="3"/>
  <c r="N637" i="3"/>
  <c r="M637" i="3"/>
  <c r="L637" i="3"/>
  <c r="K637" i="3"/>
  <c r="J637" i="3"/>
  <c r="I637" i="3"/>
  <c r="S851" i="3"/>
  <c r="P851" i="3"/>
  <c r="N851" i="3"/>
  <c r="M851" i="3"/>
  <c r="O851" i="3"/>
  <c r="L851" i="3"/>
  <c r="J851" i="3"/>
  <c r="K851" i="3"/>
  <c r="D851" i="3"/>
  <c r="E851" i="3"/>
  <c r="H851" i="3"/>
  <c r="I851" i="3"/>
  <c r="S835" i="3"/>
  <c r="O835" i="3"/>
  <c r="P835" i="3"/>
  <c r="N835" i="3"/>
  <c r="M835" i="3"/>
  <c r="L835" i="3"/>
  <c r="K835" i="3"/>
  <c r="E835" i="3"/>
  <c r="J835" i="3"/>
  <c r="D835" i="3"/>
  <c r="H835" i="3"/>
  <c r="I835" i="3"/>
  <c r="S813" i="3"/>
  <c r="P813" i="3"/>
  <c r="O813" i="3"/>
  <c r="N813" i="3"/>
  <c r="M813" i="3"/>
  <c r="L813" i="3"/>
  <c r="K813" i="3"/>
  <c r="E813" i="3"/>
  <c r="J813" i="3"/>
  <c r="D813" i="3"/>
  <c r="H813" i="3"/>
  <c r="I813" i="3"/>
  <c r="S782" i="3"/>
  <c r="P782" i="3"/>
  <c r="O782" i="3"/>
  <c r="N782" i="3"/>
  <c r="M782" i="3"/>
  <c r="L782" i="3"/>
  <c r="K782" i="3"/>
  <c r="J782" i="3"/>
  <c r="E782" i="3"/>
  <c r="D782" i="3"/>
  <c r="H782" i="3"/>
  <c r="I782" i="3"/>
  <c r="S762" i="3"/>
  <c r="P762" i="3"/>
  <c r="O762" i="3"/>
  <c r="N762" i="3"/>
  <c r="M762" i="3"/>
  <c r="L762" i="3"/>
  <c r="K762" i="3"/>
  <c r="J762" i="3"/>
  <c r="E762" i="3"/>
  <c r="D762" i="3"/>
  <c r="I762" i="3"/>
  <c r="H762" i="3"/>
  <c r="S744" i="3"/>
  <c r="P744" i="3"/>
  <c r="O744" i="3"/>
  <c r="M744" i="3"/>
  <c r="N744" i="3"/>
  <c r="L744" i="3"/>
  <c r="K744" i="3"/>
  <c r="J744" i="3"/>
  <c r="E744" i="3"/>
  <c r="J431" i="7" s="1"/>
  <c r="D744" i="3"/>
  <c r="H744" i="3"/>
  <c r="I744" i="3"/>
  <c r="S713" i="3"/>
  <c r="P713" i="3"/>
  <c r="O713" i="3"/>
  <c r="N713" i="3"/>
  <c r="M713" i="3"/>
  <c r="L713" i="3"/>
  <c r="K713" i="3"/>
  <c r="J713" i="3"/>
  <c r="E713" i="3"/>
  <c r="J361" i="7" s="1"/>
  <c r="D713" i="3"/>
  <c r="H713" i="3"/>
  <c r="I713" i="3"/>
  <c r="S671" i="3"/>
  <c r="P671" i="3"/>
  <c r="O671" i="3"/>
  <c r="N671" i="3"/>
  <c r="M671" i="3"/>
  <c r="K671" i="3"/>
  <c r="L671" i="3"/>
  <c r="E671" i="3"/>
  <c r="J671" i="3"/>
  <c r="D671" i="3"/>
  <c r="H671" i="3"/>
  <c r="I671" i="3"/>
  <c r="S1296" i="3"/>
  <c r="P1296" i="3"/>
  <c r="O1296" i="3"/>
  <c r="N1296" i="3"/>
  <c r="M1296" i="3"/>
  <c r="K1296" i="3"/>
  <c r="J1296" i="3"/>
  <c r="L1296" i="3"/>
  <c r="E1296" i="3"/>
  <c r="D1296" i="3"/>
  <c r="H1296" i="3"/>
  <c r="I1296" i="3"/>
  <c r="S650" i="3"/>
  <c r="P650" i="3"/>
  <c r="O650" i="3"/>
  <c r="N650" i="3"/>
  <c r="M650" i="3"/>
  <c r="L650" i="3"/>
  <c r="K650" i="3"/>
  <c r="J650" i="3"/>
  <c r="E650" i="3"/>
  <c r="D650" i="3"/>
  <c r="H650" i="3"/>
  <c r="I650" i="3"/>
  <c r="S611" i="3"/>
  <c r="P611" i="3"/>
  <c r="O611" i="3"/>
  <c r="N611" i="3"/>
  <c r="M611" i="3"/>
  <c r="L611" i="3"/>
  <c r="K611" i="3"/>
  <c r="J611" i="3"/>
  <c r="J468" i="7"/>
  <c r="I611" i="3"/>
  <c r="S509" i="3"/>
  <c r="P509" i="3"/>
  <c r="O509" i="3"/>
  <c r="N509" i="3"/>
  <c r="M509" i="3"/>
  <c r="L509" i="3"/>
  <c r="K509" i="3"/>
  <c r="J509" i="3"/>
  <c r="J577" i="7"/>
  <c r="I509" i="3"/>
  <c r="S179" i="3"/>
  <c r="P179" i="3"/>
  <c r="O179" i="3"/>
  <c r="N179" i="3"/>
  <c r="M179" i="3"/>
  <c r="L179" i="3"/>
  <c r="K179" i="3"/>
  <c r="J179" i="3"/>
  <c r="I179" i="3"/>
  <c r="S768" i="3"/>
  <c r="P768" i="3"/>
  <c r="O768" i="3"/>
  <c r="N768" i="3"/>
  <c r="L768" i="3"/>
  <c r="K768" i="3"/>
  <c r="J768" i="3"/>
  <c r="M768" i="3"/>
  <c r="E768" i="3"/>
  <c r="J506" i="7" s="1"/>
  <c r="D768" i="3"/>
  <c r="H768" i="3"/>
  <c r="I768" i="3"/>
  <c r="S425" i="3"/>
  <c r="P425" i="3"/>
  <c r="O425" i="3"/>
  <c r="N425" i="3"/>
  <c r="M425" i="3"/>
  <c r="L425" i="3"/>
  <c r="K425" i="3"/>
  <c r="J425" i="3"/>
  <c r="J438" i="7"/>
  <c r="I425" i="3"/>
  <c r="S250" i="3"/>
  <c r="P250" i="3"/>
  <c r="O250" i="3"/>
  <c r="N250" i="3"/>
  <c r="M250" i="3"/>
  <c r="K250" i="3"/>
  <c r="J250" i="3"/>
  <c r="L250" i="3"/>
  <c r="I250" i="3"/>
  <c r="S243" i="3"/>
  <c r="P243" i="3"/>
  <c r="O243" i="3"/>
  <c r="M243" i="3"/>
  <c r="N243" i="3"/>
  <c r="L243" i="3"/>
  <c r="J243" i="3"/>
  <c r="K243" i="3"/>
  <c r="I243" i="3"/>
  <c r="S1022" i="3"/>
  <c r="P1022" i="3"/>
  <c r="O1022" i="3"/>
  <c r="N1022" i="3"/>
  <c r="M1022" i="3"/>
  <c r="L1022" i="3"/>
  <c r="K1022" i="3"/>
  <c r="J1022" i="3"/>
  <c r="E1022" i="3"/>
  <c r="D1022" i="3"/>
  <c r="H1022" i="3"/>
  <c r="I1022" i="3"/>
  <c r="S1350" i="3"/>
  <c r="P1350" i="3"/>
  <c r="O1350" i="3"/>
  <c r="N1350" i="3"/>
  <c r="M1350" i="3"/>
  <c r="K1350" i="3"/>
  <c r="L1350" i="3"/>
  <c r="J1350" i="3"/>
  <c r="E1350" i="3"/>
  <c r="D1350" i="3"/>
  <c r="H1350" i="3"/>
  <c r="I1350" i="3"/>
  <c r="S1171" i="3"/>
  <c r="P1171" i="3"/>
  <c r="O1171" i="3"/>
  <c r="N1171" i="3"/>
  <c r="M1171" i="3"/>
  <c r="L1171" i="3"/>
  <c r="J1171" i="3"/>
  <c r="K1171" i="3"/>
  <c r="E1171" i="3"/>
  <c r="D1171" i="3"/>
  <c r="H1171" i="3"/>
  <c r="I1171" i="3"/>
  <c r="S525" i="3"/>
  <c r="P525" i="3"/>
  <c r="O525" i="3"/>
  <c r="N525" i="3"/>
  <c r="M525" i="3"/>
  <c r="L525" i="3"/>
  <c r="K525" i="3"/>
  <c r="J525" i="3"/>
  <c r="I525" i="3"/>
  <c r="S30" i="3"/>
  <c r="P30" i="3"/>
  <c r="O30" i="3"/>
  <c r="N30" i="3"/>
  <c r="M30" i="3"/>
  <c r="L30" i="3"/>
  <c r="K30" i="3"/>
  <c r="J30" i="3"/>
  <c r="I30" i="3"/>
  <c r="S1463" i="3"/>
  <c r="P1463" i="3"/>
  <c r="O1463" i="3"/>
  <c r="N1463" i="3"/>
  <c r="M1463" i="3"/>
  <c r="L1463" i="3"/>
  <c r="K1463" i="3"/>
  <c r="J1463" i="3"/>
  <c r="E1463" i="3"/>
  <c r="D1463" i="3"/>
  <c r="H1463" i="3"/>
  <c r="I1463" i="3"/>
  <c r="S609" i="3"/>
  <c r="P609" i="3"/>
  <c r="O609" i="3"/>
  <c r="M609" i="3"/>
  <c r="N609" i="3"/>
  <c r="L609" i="3"/>
  <c r="J609" i="3"/>
  <c r="K609" i="3"/>
  <c r="D609" i="3"/>
  <c r="I608" i="7" s="1"/>
  <c r="E609" i="3"/>
  <c r="H609" i="3"/>
  <c r="I609" i="3"/>
  <c r="S1543" i="3"/>
  <c r="O1543" i="3"/>
  <c r="P1543" i="3"/>
  <c r="N1543" i="3"/>
  <c r="M1543" i="3"/>
  <c r="L1543" i="3"/>
  <c r="K1543" i="3"/>
  <c r="J1543" i="3"/>
  <c r="E1543" i="3"/>
  <c r="D1543" i="3"/>
  <c r="I1543" i="3"/>
  <c r="H1543" i="3"/>
  <c r="S292" i="3"/>
  <c r="P292" i="3"/>
  <c r="O292" i="3"/>
  <c r="M292" i="3"/>
  <c r="N292" i="3"/>
  <c r="L292" i="3"/>
  <c r="J292" i="3"/>
  <c r="K292" i="3"/>
  <c r="I292" i="3"/>
  <c r="S40" i="3"/>
  <c r="O40" i="3"/>
  <c r="P40" i="3"/>
  <c r="N40" i="3"/>
  <c r="M40" i="3"/>
  <c r="L40" i="3"/>
  <c r="K40" i="3"/>
  <c r="J40" i="3"/>
  <c r="I40" i="3"/>
  <c r="S100" i="3"/>
  <c r="P100" i="3"/>
  <c r="O100" i="3"/>
  <c r="N100" i="3"/>
  <c r="M100" i="3"/>
  <c r="L100" i="3"/>
  <c r="K100" i="3"/>
  <c r="J100" i="3"/>
  <c r="I100" i="3"/>
  <c r="S1380" i="3"/>
  <c r="P1380" i="3"/>
  <c r="O1380" i="3"/>
  <c r="N1380" i="3"/>
  <c r="M1380" i="3"/>
  <c r="L1380" i="3"/>
  <c r="K1380" i="3"/>
  <c r="J1380" i="3"/>
  <c r="E1380" i="3"/>
  <c r="J590" i="7" s="1"/>
  <c r="D1380" i="3"/>
  <c r="H1380" i="3"/>
  <c r="I1380" i="3"/>
  <c r="S1216" i="3"/>
  <c r="P1216" i="3"/>
  <c r="O1216" i="3"/>
  <c r="M1216" i="3"/>
  <c r="N1216" i="3"/>
  <c r="L1216" i="3"/>
  <c r="K1216" i="3"/>
  <c r="J1216" i="3"/>
  <c r="E1216" i="3"/>
  <c r="J363" i="7" s="1"/>
  <c r="D1216" i="3"/>
  <c r="H1216" i="3"/>
  <c r="I1216" i="3"/>
  <c r="S1010" i="3"/>
  <c r="P1010" i="3"/>
  <c r="O1010" i="3"/>
  <c r="N1010" i="3"/>
  <c r="M1010" i="3"/>
  <c r="L1010" i="3"/>
  <c r="K1010" i="3"/>
  <c r="J1010" i="3"/>
  <c r="E1010" i="3"/>
  <c r="D1010" i="3"/>
  <c r="I1010" i="3"/>
  <c r="H1010" i="3"/>
  <c r="S729" i="3"/>
  <c r="P729" i="3"/>
  <c r="O729" i="3"/>
  <c r="N729" i="3"/>
  <c r="L729" i="3"/>
  <c r="M729" i="3"/>
  <c r="K729" i="3"/>
  <c r="J729" i="3"/>
  <c r="I729" i="3"/>
  <c r="S1245" i="3"/>
  <c r="O1245" i="3"/>
  <c r="P1245" i="3"/>
  <c r="N1245" i="3"/>
  <c r="L1245" i="3"/>
  <c r="M1245" i="3"/>
  <c r="K1245" i="3"/>
  <c r="J1245" i="3"/>
  <c r="E1245" i="3"/>
  <c r="D1245" i="3"/>
  <c r="H1245" i="3"/>
  <c r="I1245" i="3"/>
  <c r="S154" i="3"/>
  <c r="P154" i="3"/>
  <c r="O154" i="3"/>
  <c r="N154" i="3"/>
  <c r="M154" i="3"/>
  <c r="L154" i="3"/>
  <c r="K154" i="3"/>
  <c r="J154" i="3"/>
  <c r="I154" i="3"/>
  <c r="S1517" i="3"/>
  <c r="P1517" i="3"/>
  <c r="O1517" i="3"/>
  <c r="N1517" i="3"/>
  <c r="M1517" i="3"/>
  <c r="L1517" i="3"/>
  <c r="K1517" i="3"/>
  <c r="J1517" i="3"/>
  <c r="E1517" i="3"/>
  <c r="D1517" i="3"/>
  <c r="H1517" i="3"/>
  <c r="I1517" i="3"/>
  <c r="S511" i="3"/>
  <c r="P511" i="3"/>
  <c r="O511" i="3"/>
  <c r="N511" i="3"/>
  <c r="M511" i="3"/>
  <c r="L511" i="3"/>
  <c r="K511" i="3"/>
  <c r="J511" i="3"/>
  <c r="E511" i="3"/>
  <c r="J530" i="7" s="1"/>
  <c r="D511" i="3"/>
  <c r="I510" i="7" s="1"/>
  <c r="H511" i="3"/>
  <c r="I511" i="3"/>
  <c r="S445" i="3"/>
  <c r="P445" i="3"/>
  <c r="O445" i="3"/>
  <c r="N445" i="3"/>
  <c r="M445" i="3"/>
  <c r="L445" i="3"/>
  <c r="K445" i="3"/>
  <c r="J445" i="3"/>
  <c r="I445" i="3"/>
  <c r="S367" i="3"/>
  <c r="P367" i="3"/>
  <c r="O367" i="3"/>
  <c r="N367" i="3"/>
  <c r="M367" i="3"/>
  <c r="L367" i="3"/>
  <c r="K367" i="3"/>
  <c r="J367" i="3"/>
  <c r="I367" i="3"/>
  <c r="S95" i="3"/>
  <c r="P95" i="3"/>
  <c r="O95" i="3"/>
  <c r="N95" i="3"/>
  <c r="M95" i="3"/>
  <c r="K95" i="3"/>
  <c r="L95" i="3"/>
  <c r="J95" i="3"/>
  <c r="I95" i="3"/>
  <c r="S1534" i="3"/>
  <c r="P1534" i="3"/>
  <c r="N1534" i="3"/>
  <c r="O1534" i="3"/>
  <c r="M1534" i="3"/>
  <c r="L1534" i="3"/>
  <c r="K1534" i="3"/>
  <c r="E1534" i="3"/>
  <c r="J1534" i="3"/>
  <c r="D1534" i="3"/>
  <c r="H1534" i="3"/>
  <c r="I1534" i="3"/>
  <c r="S1514" i="3"/>
  <c r="P1514" i="3"/>
  <c r="O1514" i="3"/>
  <c r="N1514" i="3"/>
  <c r="L1514" i="3"/>
  <c r="K1514" i="3"/>
  <c r="M1514" i="3"/>
  <c r="J1514" i="3"/>
  <c r="E1514" i="3"/>
  <c r="D1514" i="3"/>
  <c r="H1514" i="3"/>
  <c r="I1514" i="3"/>
  <c r="S1466" i="3"/>
  <c r="P1466" i="3"/>
  <c r="N1466" i="3"/>
  <c r="O1466" i="3"/>
  <c r="L1466" i="3"/>
  <c r="M1466" i="3"/>
  <c r="K1466" i="3"/>
  <c r="E1466" i="3"/>
  <c r="J1466" i="3"/>
  <c r="D1466" i="3"/>
  <c r="H1466" i="3"/>
  <c r="I1466" i="3"/>
  <c r="S1432" i="3"/>
  <c r="P1432" i="3"/>
  <c r="O1432" i="3"/>
  <c r="N1432" i="3"/>
  <c r="M1432" i="3"/>
  <c r="L1432" i="3"/>
  <c r="K1432" i="3"/>
  <c r="J1432" i="3"/>
  <c r="E1432" i="3"/>
  <c r="D1432" i="3"/>
  <c r="H1432" i="3"/>
  <c r="I1432" i="3"/>
  <c r="S1357" i="3"/>
  <c r="P1357" i="3"/>
  <c r="O1357" i="3"/>
  <c r="N1357" i="3"/>
  <c r="M1357" i="3"/>
  <c r="K1357" i="3"/>
  <c r="L1357" i="3"/>
  <c r="J1357" i="3"/>
  <c r="E1357" i="3"/>
  <c r="J548" i="7" s="1"/>
  <c r="D1357" i="3"/>
  <c r="H1357" i="3"/>
  <c r="I1357" i="3"/>
  <c r="S1239" i="3"/>
  <c r="P1239" i="3"/>
  <c r="O1239" i="3"/>
  <c r="N1239" i="3"/>
  <c r="M1239" i="3"/>
  <c r="L1239" i="3"/>
  <c r="K1239" i="3"/>
  <c r="J1239" i="3"/>
  <c r="E1239" i="3"/>
  <c r="D1239" i="3"/>
  <c r="H1239" i="3"/>
  <c r="I1239" i="3"/>
  <c r="S1232" i="3"/>
  <c r="P1232" i="3"/>
  <c r="O1232" i="3"/>
  <c r="N1232" i="3"/>
  <c r="L1232" i="3"/>
  <c r="M1232" i="3"/>
  <c r="K1232" i="3"/>
  <c r="J1232" i="3"/>
  <c r="E1232" i="3"/>
  <c r="J466" i="7" s="1"/>
  <c r="D1232" i="3"/>
  <c r="H1232" i="3"/>
  <c r="I1232" i="3"/>
  <c r="S1081" i="3"/>
  <c r="P1081" i="3"/>
  <c r="O1081" i="3"/>
  <c r="N1081" i="3"/>
  <c r="M1081" i="3"/>
  <c r="L1081" i="3"/>
  <c r="K1081" i="3"/>
  <c r="J1081" i="3"/>
  <c r="E1081" i="3"/>
  <c r="J353" i="7" s="1"/>
  <c r="D1081" i="3"/>
  <c r="I353" i="7" s="1"/>
  <c r="H1081" i="3"/>
  <c r="I1081" i="3"/>
  <c r="S861" i="3"/>
  <c r="P861" i="3"/>
  <c r="O861" i="3"/>
  <c r="N861" i="3"/>
  <c r="M861" i="3"/>
  <c r="L861" i="3"/>
  <c r="K861" i="3"/>
  <c r="J861" i="3"/>
  <c r="J399" i="7"/>
  <c r="I861" i="3"/>
  <c r="S666" i="3"/>
  <c r="P666" i="3"/>
  <c r="O666" i="3"/>
  <c r="N666" i="3"/>
  <c r="M666" i="3"/>
  <c r="L666" i="3"/>
  <c r="K666" i="3"/>
  <c r="J666" i="3"/>
  <c r="J305" i="7"/>
  <c r="I666" i="3"/>
  <c r="S379" i="3"/>
  <c r="P379" i="3"/>
  <c r="O379" i="3"/>
  <c r="N379" i="3"/>
  <c r="M379" i="3"/>
  <c r="L379" i="3"/>
  <c r="K379" i="3"/>
  <c r="J379" i="3"/>
  <c r="J262" i="7"/>
  <c r="I379" i="3"/>
  <c r="S1403" i="3"/>
  <c r="P1403" i="3"/>
  <c r="O1403" i="3"/>
  <c r="N1403" i="3"/>
  <c r="M1403" i="3"/>
  <c r="L1403" i="3"/>
  <c r="K1403" i="3"/>
  <c r="J1403" i="3"/>
  <c r="E1403" i="3"/>
  <c r="D1403" i="3"/>
  <c r="H1403" i="3"/>
  <c r="I1403" i="3"/>
  <c r="S1126" i="3"/>
  <c r="P1126" i="3"/>
  <c r="O1126" i="3"/>
  <c r="N1126" i="3"/>
  <c r="M1126" i="3"/>
  <c r="L1126" i="3"/>
  <c r="K1126" i="3"/>
  <c r="J1126" i="3"/>
  <c r="E1126" i="3"/>
  <c r="J343" i="7" s="1"/>
  <c r="D1126" i="3"/>
  <c r="H1126" i="3"/>
  <c r="I1126" i="3"/>
  <c r="S358" i="3"/>
  <c r="P358" i="3"/>
  <c r="N358" i="3"/>
  <c r="O358" i="3"/>
  <c r="M358" i="3"/>
  <c r="L358" i="3"/>
  <c r="K358" i="3"/>
  <c r="J358" i="3"/>
  <c r="J388" i="7"/>
  <c r="I358" i="3"/>
  <c r="S1479" i="3"/>
  <c r="P1479" i="3"/>
  <c r="O1479" i="3"/>
  <c r="N1479" i="3"/>
  <c r="M1479" i="3"/>
  <c r="L1479" i="3"/>
  <c r="K1479" i="3"/>
  <c r="J1479" i="3"/>
  <c r="E1479" i="3"/>
  <c r="J259" i="7" s="1"/>
  <c r="D1479" i="3"/>
  <c r="H1479" i="3"/>
  <c r="I1479" i="3"/>
  <c r="S1280" i="3"/>
  <c r="P1280" i="3"/>
  <c r="O1280" i="3"/>
  <c r="N1280" i="3"/>
  <c r="M1280" i="3"/>
  <c r="L1280" i="3"/>
  <c r="K1280" i="3"/>
  <c r="J1280" i="3"/>
  <c r="E1280" i="3"/>
  <c r="J125" i="7" s="1"/>
  <c r="D1280" i="3"/>
  <c r="I125" i="7" s="1"/>
  <c r="H1280" i="3"/>
  <c r="I1280" i="3"/>
  <c r="S214" i="3"/>
  <c r="P214" i="3"/>
  <c r="O214" i="3"/>
  <c r="N214" i="3"/>
  <c r="M214" i="3"/>
  <c r="L214" i="3"/>
  <c r="K214" i="3"/>
  <c r="J214" i="3"/>
  <c r="J239" i="7"/>
  <c r="I214" i="3"/>
  <c r="S1537" i="3"/>
  <c r="P1537" i="3"/>
  <c r="N1537" i="3"/>
  <c r="O1537" i="3"/>
  <c r="M1537" i="3"/>
  <c r="L1537" i="3"/>
  <c r="K1537" i="3"/>
  <c r="J1537" i="3"/>
  <c r="D1537" i="3"/>
  <c r="I292" i="7" s="1"/>
  <c r="E1537" i="3"/>
  <c r="J292" i="7" s="1"/>
  <c r="H1537" i="3"/>
  <c r="I1537" i="3"/>
  <c r="S1490" i="3"/>
  <c r="P1490" i="3"/>
  <c r="O1490" i="3"/>
  <c r="N1490" i="3"/>
  <c r="L1490" i="3"/>
  <c r="J1490" i="3"/>
  <c r="K1490" i="3"/>
  <c r="M1490" i="3"/>
  <c r="E1490" i="3"/>
  <c r="J161" i="7" s="1"/>
  <c r="D1490" i="3"/>
  <c r="H1490" i="3"/>
  <c r="I1490" i="3"/>
  <c r="S1436" i="3"/>
  <c r="P1436" i="3"/>
  <c r="O1436" i="3"/>
  <c r="N1436" i="3"/>
  <c r="M1436" i="3"/>
  <c r="L1436" i="3"/>
  <c r="K1436" i="3"/>
  <c r="J1436" i="3"/>
  <c r="D1436" i="3"/>
  <c r="I122" i="7" s="1"/>
  <c r="E1436" i="3"/>
  <c r="J122" i="7" s="1"/>
  <c r="I1436" i="3"/>
  <c r="H1436" i="3"/>
  <c r="S1406" i="3"/>
  <c r="P1406" i="3"/>
  <c r="N1406" i="3"/>
  <c r="O1406" i="3"/>
  <c r="M1406" i="3"/>
  <c r="K1406" i="3"/>
  <c r="L1406" i="3"/>
  <c r="J1406" i="3"/>
  <c r="D1406" i="3"/>
  <c r="I128" i="7" s="1"/>
  <c r="E1406" i="3"/>
  <c r="J128" i="7" s="1"/>
  <c r="I1406" i="3"/>
  <c r="H1406" i="3"/>
  <c r="S1354" i="3"/>
  <c r="P1354" i="3"/>
  <c r="O1354" i="3"/>
  <c r="N1354" i="3"/>
  <c r="M1354" i="3"/>
  <c r="L1354" i="3"/>
  <c r="K1354" i="3"/>
  <c r="J1354" i="3"/>
  <c r="D1354" i="3"/>
  <c r="E1354" i="3"/>
  <c r="J245" i="7" s="1"/>
  <c r="I1354" i="3"/>
  <c r="H1354" i="3"/>
  <c r="S1255" i="3"/>
  <c r="P1255" i="3"/>
  <c r="O1255" i="3"/>
  <c r="N1255" i="3"/>
  <c r="M1255" i="3"/>
  <c r="K1255" i="3"/>
  <c r="L1255" i="3"/>
  <c r="J1255" i="3"/>
  <c r="D1255" i="3"/>
  <c r="I97" i="7" s="1"/>
  <c r="E1255" i="3"/>
  <c r="J97" i="7" s="1"/>
  <c r="I1255" i="3"/>
  <c r="H1255" i="3"/>
  <c r="S854" i="3"/>
  <c r="P854" i="3"/>
  <c r="O854" i="3"/>
  <c r="N854" i="3"/>
  <c r="M854" i="3"/>
  <c r="L854" i="3"/>
  <c r="K854" i="3"/>
  <c r="J854" i="3"/>
  <c r="I77" i="7"/>
  <c r="J77" i="7"/>
  <c r="I854" i="3"/>
  <c r="S1212" i="3"/>
  <c r="P1212" i="3"/>
  <c r="O1212" i="3"/>
  <c r="N1212" i="3"/>
  <c r="M1212" i="3"/>
  <c r="L1212" i="3"/>
  <c r="K1212" i="3"/>
  <c r="J1212" i="3"/>
  <c r="D1212" i="3"/>
  <c r="I52" i="7" s="1"/>
  <c r="I1212" i="3"/>
  <c r="E1212" i="3"/>
  <c r="J52" i="7" s="1"/>
  <c r="H1212" i="3"/>
  <c r="S147" i="3"/>
  <c r="P147" i="3"/>
  <c r="O147" i="3"/>
  <c r="N147" i="3"/>
  <c r="M147" i="3"/>
  <c r="L147" i="3"/>
  <c r="K147" i="3"/>
  <c r="J147" i="3"/>
  <c r="J82" i="7"/>
  <c r="I82" i="7"/>
  <c r="I147" i="3"/>
  <c r="S1202" i="3"/>
  <c r="P1202" i="3"/>
  <c r="O1202" i="3"/>
  <c r="N1202" i="3"/>
  <c r="M1202" i="3"/>
  <c r="L1202" i="3"/>
  <c r="K1202" i="3"/>
  <c r="J1202" i="3"/>
  <c r="E1202" i="3"/>
  <c r="D1202" i="3"/>
  <c r="H1202" i="3"/>
  <c r="I1202" i="3"/>
  <c r="S242" i="3"/>
  <c r="P242" i="3"/>
  <c r="O242" i="3"/>
  <c r="N242" i="3"/>
  <c r="L242" i="3"/>
  <c r="M242" i="3"/>
  <c r="K242" i="3"/>
  <c r="J242" i="3"/>
  <c r="J63" i="7"/>
  <c r="I63" i="7"/>
  <c r="I242" i="3"/>
  <c r="S1188" i="3"/>
  <c r="P1188" i="3"/>
  <c r="O1188" i="3"/>
  <c r="N1188" i="3"/>
  <c r="M1188" i="3"/>
  <c r="L1188" i="3"/>
  <c r="K1188" i="3"/>
  <c r="J1188" i="3"/>
  <c r="D1188" i="3"/>
  <c r="I9" i="7" s="1"/>
  <c r="E1188" i="3"/>
  <c r="J9" i="7" s="1"/>
  <c r="H1188" i="3"/>
  <c r="I1188" i="3"/>
  <c r="S1462" i="3"/>
  <c r="P1462" i="3"/>
  <c r="O1462" i="3"/>
  <c r="M1462" i="3"/>
  <c r="L1462" i="3"/>
  <c r="K1462" i="3"/>
  <c r="N1462" i="3"/>
  <c r="J1462" i="3"/>
  <c r="E1462" i="3"/>
  <c r="J471" i="7" s="1"/>
  <c r="D1462" i="3"/>
  <c r="H1462" i="3"/>
  <c r="S1316" i="3"/>
  <c r="P1316" i="3"/>
  <c r="O1316" i="3"/>
  <c r="N1316" i="3"/>
  <c r="M1316" i="3"/>
  <c r="L1316" i="3"/>
  <c r="K1316" i="3"/>
  <c r="J1316" i="3"/>
  <c r="E1316" i="3"/>
  <c r="J285" i="7" s="1"/>
  <c r="D1316" i="3"/>
  <c r="H1316" i="3"/>
  <c r="S487" i="3"/>
  <c r="P487" i="3"/>
  <c r="O487" i="3"/>
  <c r="N487" i="3"/>
  <c r="M487" i="3"/>
  <c r="L487" i="3"/>
  <c r="K487" i="3"/>
  <c r="J487" i="3"/>
  <c r="S374" i="3"/>
  <c r="P374" i="3"/>
  <c r="O374" i="3"/>
  <c r="N374" i="3"/>
  <c r="M374" i="3"/>
  <c r="L374" i="3"/>
  <c r="K374" i="3"/>
  <c r="J374" i="3"/>
  <c r="E374" i="3"/>
  <c r="J132" i="7" s="1"/>
  <c r="D374" i="3"/>
  <c r="I132" i="7" s="1"/>
  <c r="H374" i="3"/>
  <c r="S1351" i="3"/>
  <c r="P1351" i="3"/>
  <c r="O1351" i="3"/>
  <c r="N1351" i="3"/>
  <c r="M1351" i="3"/>
  <c r="L1351" i="3"/>
  <c r="K1351" i="3"/>
  <c r="J1351" i="3"/>
  <c r="E1351" i="3"/>
  <c r="J156" i="7" s="1"/>
  <c r="D1351" i="3"/>
  <c r="I156" i="7" s="1"/>
  <c r="H1351" i="3"/>
  <c r="S289" i="3"/>
  <c r="P289" i="3"/>
  <c r="O289" i="3"/>
  <c r="N289" i="3"/>
  <c r="M289" i="3"/>
  <c r="L289" i="3"/>
  <c r="K289" i="3"/>
  <c r="J289" i="3"/>
  <c r="S504" i="3"/>
  <c r="P504" i="3"/>
  <c r="O504" i="3"/>
  <c r="M504" i="3"/>
  <c r="N504" i="3"/>
  <c r="K504" i="3"/>
  <c r="L504" i="3"/>
  <c r="J504" i="3"/>
  <c r="E504" i="3"/>
  <c r="J503" i="7" s="1"/>
  <c r="D504" i="3"/>
  <c r="I503" i="7" s="1"/>
  <c r="H504" i="3"/>
  <c r="S217" i="3"/>
  <c r="P217" i="3"/>
  <c r="O217" i="3"/>
  <c r="N217" i="3"/>
  <c r="M217" i="3"/>
  <c r="L217" i="3"/>
  <c r="K217" i="3"/>
  <c r="J217" i="3"/>
  <c r="E217" i="3"/>
  <c r="J194" i="7" s="1"/>
  <c r="D217" i="3"/>
  <c r="I216" i="7" s="1"/>
  <c r="H217" i="3"/>
  <c r="S829" i="3"/>
  <c r="P829" i="3"/>
  <c r="O829" i="3"/>
  <c r="N829" i="3"/>
  <c r="M829" i="3"/>
  <c r="L829" i="3"/>
  <c r="K829" i="3"/>
  <c r="J829" i="3"/>
  <c r="I33" i="7"/>
  <c r="J33" i="7"/>
  <c r="I829" i="3"/>
  <c r="P675" i="3"/>
  <c r="S675" i="3"/>
  <c r="M675" i="3"/>
  <c r="N675" i="3"/>
  <c r="O675" i="3"/>
  <c r="L675" i="3"/>
  <c r="J675" i="3"/>
  <c r="K675" i="3"/>
  <c r="E675" i="3"/>
  <c r="D675" i="3"/>
  <c r="H675" i="3"/>
  <c r="S1225" i="3"/>
  <c r="P1225" i="3"/>
  <c r="N1225" i="3"/>
  <c r="O1225" i="3"/>
  <c r="M1225" i="3"/>
  <c r="L1225" i="3"/>
  <c r="K1225" i="3"/>
  <c r="J1225" i="3"/>
  <c r="E1225" i="3"/>
  <c r="J10" i="7" s="1"/>
  <c r="D1225" i="3"/>
  <c r="I10" i="7" s="1"/>
  <c r="H1225" i="3"/>
  <c r="S1449" i="3"/>
  <c r="P1449" i="3"/>
  <c r="O1449" i="3"/>
  <c r="N1449" i="3"/>
  <c r="M1449" i="3"/>
  <c r="L1449" i="3"/>
  <c r="K1449" i="3"/>
  <c r="J1449" i="3"/>
  <c r="D1449" i="3"/>
  <c r="E1449" i="3"/>
  <c r="S350" i="3"/>
  <c r="P350" i="3"/>
  <c r="O350" i="3"/>
  <c r="N350" i="3"/>
  <c r="M350" i="3"/>
  <c r="L350" i="3"/>
  <c r="K350" i="3"/>
  <c r="J378" i="7"/>
  <c r="J350" i="3"/>
  <c r="I1098" i="3"/>
  <c r="I569" i="3"/>
  <c r="I758" i="3"/>
  <c r="I130" i="3"/>
  <c r="I282" i="3"/>
  <c r="I493" i="3"/>
  <c r="I820" i="3"/>
  <c r="I1287" i="3"/>
  <c r="I624" i="3"/>
  <c r="I423" i="3"/>
  <c r="I1507" i="3"/>
  <c r="H1449" i="3"/>
  <c r="S559" i="3"/>
  <c r="P559" i="3"/>
  <c r="O559" i="3"/>
  <c r="N559" i="3"/>
  <c r="M559" i="3"/>
  <c r="L559" i="3"/>
  <c r="K559" i="3"/>
  <c r="J559" i="3"/>
  <c r="J67" i="7"/>
  <c r="I67" i="7"/>
  <c r="S1411" i="3"/>
  <c r="P1411" i="3"/>
  <c r="O1411" i="3"/>
  <c r="N1411" i="3"/>
  <c r="L1411" i="3"/>
  <c r="M1411" i="3"/>
  <c r="K1411" i="3"/>
  <c r="J1411" i="3"/>
  <c r="E1411" i="3"/>
  <c r="J281" i="7" s="1"/>
  <c r="D1411" i="3"/>
  <c r="H1411" i="3"/>
  <c r="S704" i="3"/>
  <c r="P704" i="3"/>
  <c r="O704" i="3"/>
  <c r="N704" i="3"/>
  <c r="M704" i="3"/>
  <c r="L704" i="3"/>
  <c r="J704" i="3"/>
  <c r="K704" i="3"/>
  <c r="E704" i="3"/>
  <c r="J191" i="7" s="1"/>
  <c r="D704" i="3"/>
  <c r="S64" i="3"/>
  <c r="P64" i="3"/>
  <c r="O64" i="3"/>
  <c r="N64" i="3"/>
  <c r="M64" i="3"/>
  <c r="L64" i="3"/>
  <c r="K64" i="3"/>
  <c r="J64" i="3"/>
  <c r="I140" i="7"/>
  <c r="J140" i="7"/>
  <c r="S583" i="3"/>
  <c r="P583" i="3"/>
  <c r="O583" i="3"/>
  <c r="N583" i="3"/>
  <c r="M583" i="3"/>
  <c r="L583" i="3"/>
  <c r="K583" i="3"/>
  <c r="J583" i="3"/>
  <c r="I101" i="7"/>
  <c r="J101" i="7"/>
  <c r="S270" i="3"/>
  <c r="P270" i="3"/>
  <c r="O270" i="3"/>
  <c r="N270" i="3"/>
  <c r="M270" i="3"/>
  <c r="L270" i="3"/>
  <c r="K270" i="3"/>
  <c r="J270" i="3"/>
  <c r="J414" i="7"/>
  <c r="I270" i="3"/>
  <c r="S620" i="3"/>
  <c r="P620" i="3"/>
  <c r="O620" i="3"/>
  <c r="N620" i="3"/>
  <c r="M620" i="3"/>
  <c r="L620" i="3"/>
  <c r="K620" i="3"/>
  <c r="J620" i="3"/>
  <c r="I105" i="7"/>
  <c r="J105" i="7"/>
  <c r="I620" i="3"/>
  <c r="S282" i="3"/>
  <c r="P282" i="3"/>
  <c r="O282" i="3"/>
  <c r="N282" i="3"/>
  <c r="M282" i="3"/>
  <c r="L282" i="3"/>
  <c r="K282" i="3"/>
  <c r="J282" i="3"/>
  <c r="J206" i="7"/>
  <c r="S414" i="3"/>
  <c r="P414" i="3"/>
  <c r="O414" i="3"/>
  <c r="N414" i="3"/>
  <c r="M414" i="3"/>
  <c r="L414" i="3"/>
  <c r="K414" i="3"/>
  <c r="J414" i="3"/>
  <c r="J186" i="7"/>
  <c r="S415" i="3"/>
  <c r="P415" i="3"/>
  <c r="O415" i="3"/>
  <c r="M415" i="3"/>
  <c r="N415" i="3"/>
  <c r="L415" i="3"/>
  <c r="K415" i="3"/>
  <c r="J415" i="3"/>
  <c r="J395" i="7"/>
  <c r="S1141" i="3"/>
  <c r="P1141" i="3"/>
  <c r="O1141" i="3"/>
  <c r="N1141" i="3"/>
  <c r="M1141" i="3"/>
  <c r="L1141" i="3"/>
  <c r="K1141" i="3"/>
  <c r="J1141" i="3"/>
  <c r="D1141" i="3"/>
  <c r="E1141" i="3"/>
  <c r="I1141" i="3"/>
  <c r="S1489" i="3"/>
  <c r="P1489" i="3"/>
  <c r="O1489" i="3"/>
  <c r="N1489" i="3"/>
  <c r="M1489" i="3"/>
  <c r="L1489" i="3"/>
  <c r="K1489" i="3"/>
  <c r="J1489" i="3"/>
  <c r="E1489" i="3"/>
  <c r="J254" i="7" s="1"/>
  <c r="D1489" i="3"/>
  <c r="I254" i="7" s="1"/>
  <c r="H1489" i="3"/>
  <c r="S960" i="3"/>
  <c r="P960" i="3"/>
  <c r="O960" i="3"/>
  <c r="N960" i="3"/>
  <c r="M960" i="3"/>
  <c r="L960" i="3"/>
  <c r="K960" i="3"/>
  <c r="J960" i="3"/>
  <c r="E960" i="3"/>
  <c r="J263" i="7" s="1"/>
  <c r="D960" i="3"/>
  <c r="H960" i="3"/>
  <c r="I1019" i="3"/>
  <c r="I1495" i="3"/>
  <c r="I1316" i="3"/>
  <c r="I791" i="3"/>
  <c r="I1266" i="3"/>
  <c r="I183" i="3"/>
  <c r="H704" i="3"/>
  <c r="S249" i="3"/>
  <c r="P249" i="3"/>
  <c r="O249" i="3"/>
  <c r="N249" i="3"/>
  <c r="L249" i="3"/>
  <c r="M249" i="3"/>
  <c r="J249" i="3"/>
  <c r="K249" i="3"/>
  <c r="J444" i="7"/>
  <c r="I249" i="3"/>
  <c r="S468" i="3"/>
  <c r="P468" i="3"/>
  <c r="O468" i="3"/>
  <c r="N468" i="3"/>
  <c r="M468" i="3"/>
  <c r="L468" i="3"/>
  <c r="K468" i="3"/>
  <c r="J468" i="3"/>
  <c r="J255" i="7"/>
  <c r="S508" i="3"/>
  <c r="P508" i="3"/>
  <c r="O508" i="3"/>
  <c r="N508" i="3"/>
  <c r="M508" i="3"/>
  <c r="L508" i="3"/>
  <c r="K508" i="3"/>
  <c r="J508" i="3"/>
  <c r="S1323" i="3"/>
  <c r="P1323" i="3"/>
  <c r="O1323" i="3"/>
  <c r="N1323" i="3"/>
  <c r="M1323" i="3"/>
  <c r="L1323" i="3"/>
  <c r="K1323" i="3"/>
  <c r="J1323" i="3"/>
  <c r="D1323" i="3"/>
  <c r="I80" i="7" s="1"/>
  <c r="E1323" i="3"/>
  <c r="J80" i="7" s="1"/>
  <c r="I1323" i="3"/>
  <c r="S458" i="3"/>
  <c r="P458" i="3"/>
  <c r="O458" i="3"/>
  <c r="N458" i="3"/>
  <c r="M458" i="3"/>
  <c r="L458" i="3"/>
  <c r="K458" i="3"/>
  <c r="J458" i="3"/>
  <c r="D458" i="3"/>
  <c r="I228" i="7" s="1"/>
  <c r="E458" i="3"/>
  <c r="J228" i="7" s="1"/>
  <c r="S403" i="3"/>
  <c r="P403" i="3"/>
  <c r="O403" i="3"/>
  <c r="N403" i="3"/>
  <c r="M403" i="3"/>
  <c r="L403" i="3"/>
  <c r="J403" i="3"/>
  <c r="K403" i="3"/>
  <c r="S383" i="3"/>
  <c r="P383" i="3"/>
  <c r="O383" i="3"/>
  <c r="N383" i="3"/>
  <c r="M383" i="3"/>
  <c r="L383" i="3"/>
  <c r="K383" i="3"/>
  <c r="J383" i="3"/>
  <c r="E383" i="3"/>
  <c r="J540" i="7" s="1"/>
  <c r="D383" i="3"/>
  <c r="H383" i="3"/>
  <c r="S76" i="3"/>
  <c r="P76" i="3"/>
  <c r="O76" i="3"/>
  <c r="N76" i="3"/>
  <c r="M76" i="3"/>
  <c r="L76" i="3"/>
  <c r="K76" i="3"/>
  <c r="J229" i="7"/>
  <c r="J76" i="3"/>
  <c r="S1353" i="3"/>
  <c r="P1353" i="3"/>
  <c r="O1353" i="3"/>
  <c r="N1353" i="3"/>
  <c r="M1353" i="3"/>
  <c r="L1353" i="3"/>
  <c r="K1353" i="3"/>
  <c r="J1353" i="3"/>
  <c r="E1353" i="3"/>
  <c r="J223" i="7" s="1"/>
  <c r="D1353" i="3"/>
  <c r="H1353" i="3"/>
  <c r="S294" i="3"/>
  <c r="P294" i="3"/>
  <c r="O294" i="3"/>
  <c r="N294" i="3"/>
  <c r="L294" i="3"/>
  <c r="M294" i="3"/>
  <c r="K294" i="3"/>
  <c r="J294" i="3"/>
  <c r="I72" i="7"/>
  <c r="J72" i="7"/>
  <c r="I294" i="3"/>
  <c r="S257" i="3"/>
  <c r="P257" i="3"/>
  <c r="O257" i="3"/>
  <c r="N257" i="3"/>
  <c r="M257" i="3"/>
  <c r="L257" i="3"/>
  <c r="K257" i="3"/>
  <c r="J257" i="3"/>
  <c r="J205" i="7"/>
  <c r="I257" i="3"/>
  <c r="S1095" i="3"/>
  <c r="P1095" i="3"/>
  <c r="O1095" i="3"/>
  <c r="N1095" i="3"/>
  <c r="M1095" i="3"/>
  <c r="L1095" i="3"/>
  <c r="K1095" i="3"/>
  <c r="J1095" i="3"/>
  <c r="E1095" i="3"/>
  <c r="D1095" i="3"/>
  <c r="H1095" i="3"/>
  <c r="S1142" i="3"/>
  <c r="P1142" i="3"/>
  <c r="O1142" i="3"/>
  <c r="N1142" i="3"/>
  <c r="M1142" i="3"/>
  <c r="L1142" i="3"/>
  <c r="K1142" i="3"/>
  <c r="J1142" i="3"/>
  <c r="E1142" i="3"/>
  <c r="J392" i="7" s="1"/>
  <c r="D1142" i="3"/>
  <c r="H1142" i="3"/>
  <c r="I504" i="3"/>
  <c r="I76" i="3"/>
  <c r="I1489" i="3"/>
  <c r="I1424" i="3"/>
  <c r="H1323" i="3"/>
  <c r="S1369" i="3"/>
  <c r="P1369" i="3"/>
  <c r="O1369" i="3"/>
  <c r="N1369" i="3"/>
  <c r="M1369" i="3"/>
  <c r="L1369" i="3"/>
  <c r="K1369" i="3"/>
  <c r="J1369" i="3"/>
  <c r="E1369" i="3"/>
  <c r="J358" i="7" s="1"/>
  <c r="D1369" i="3"/>
  <c r="I358" i="7" s="1"/>
  <c r="S1228" i="3"/>
  <c r="P1228" i="3"/>
  <c r="O1228" i="3"/>
  <c r="N1228" i="3"/>
  <c r="M1228" i="3"/>
  <c r="L1228" i="3"/>
  <c r="K1228" i="3"/>
  <c r="J1228" i="3"/>
  <c r="D1228" i="3"/>
  <c r="I20" i="7" s="1"/>
  <c r="E1228" i="3"/>
  <c r="J20" i="7" s="1"/>
  <c r="I1228" i="3"/>
  <c r="H1228" i="3"/>
  <c r="S538" i="3"/>
  <c r="P538" i="3"/>
  <c r="O538" i="3"/>
  <c r="N538" i="3"/>
  <c r="M538" i="3"/>
  <c r="L538" i="3"/>
  <c r="K538" i="3"/>
  <c r="J538" i="3"/>
  <c r="J30" i="7"/>
  <c r="I30" i="7"/>
  <c r="I538" i="3"/>
  <c r="S491" i="3"/>
  <c r="P491" i="3"/>
  <c r="O491" i="3"/>
  <c r="N491" i="3"/>
  <c r="L491" i="3"/>
  <c r="M491" i="3"/>
  <c r="K491" i="3"/>
  <c r="J491" i="3"/>
  <c r="J167" i="7"/>
  <c r="S471" i="3"/>
  <c r="P471" i="3"/>
  <c r="O471" i="3"/>
  <c r="N471" i="3"/>
  <c r="M471" i="3"/>
  <c r="L471" i="3"/>
  <c r="K471" i="3"/>
  <c r="J471" i="3"/>
  <c r="J267" i="7"/>
  <c r="S880" i="3"/>
  <c r="P880" i="3"/>
  <c r="O880" i="3"/>
  <c r="N880" i="3"/>
  <c r="M880" i="3"/>
  <c r="L880" i="3"/>
  <c r="K880" i="3"/>
  <c r="J880" i="3"/>
  <c r="E880" i="3"/>
  <c r="D880" i="3"/>
  <c r="H880" i="3"/>
  <c r="S1021" i="3"/>
  <c r="P1021" i="3"/>
  <c r="O1021" i="3"/>
  <c r="N1021" i="3"/>
  <c r="M1021" i="3"/>
  <c r="L1021" i="3"/>
  <c r="K1021" i="3"/>
  <c r="E1021" i="3"/>
  <c r="J1021" i="3"/>
  <c r="D1021" i="3"/>
  <c r="H1021" i="3"/>
  <c r="S166" i="3"/>
  <c r="P166" i="3"/>
  <c r="O166" i="3"/>
  <c r="N166" i="3"/>
  <c r="M166" i="3"/>
  <c r="L166" i="3"/>
  <c r="K166" i="3"/>
  <c r="J166" i="3"/>
  <c r="J26" i="7"/>
  <c r="I26" i="7"/>
  <c r="I166" i="3"/>
  <c r="S740" i="3"/>
  <c r="P740" i="3"/>
  <c r="O740" i="3"/>
  <c r="N740" i="3"/>
  <c r="M740" i="3"/>
  <c r="L740" i="3"/>
  <c r="K740" i="3"/>
  <c r="J740" i="3"/>
  <c r="E740" i="3"/>
  <c r="D740" i="3"/>
  <c r="H740" i="3"/>
  <c r="S1054" i="3"/>
  <c r="P1054" i="3"/>
  <c r="O1054" i="3"/>
  <c r="N1054" i="3"/>
  <c r="M1054" i="3"/>
  <c r="L1054" i="3"/>
  <c r="K1054" i="3"/>
  <c r="J1054" i="3"/>
  <c r="E1054" i="3"/>
  <c r="J423" i="7" s="1"/>
  <c r="D1054" i="3"/>
  <c r="H1054" i="3"/>
  <c r="S427" i="3"/>
  <c r="P427" i="3"/>
  <c r="O427" i="3"/>
  <c r="N427" i="3"/>
  <c r="M427" i="3"/>
  <c r="L427" i="3"/>
  <c r="K427" i="3"/>
  <c r="J427" i="3"/>
  <c r="D427" i="3"/>
  <c r="E427" i="3"/>
  <c r="J445" i="7" s="1"/>
  <c r="H427" i="3"/>
  <c r="S338" i="3"/>
  <c r="P338" i="3"/>
  <c r="O338" i="3"/>
  <c r="N338" i="3"/>
  <c r="M338" i="3"/>
  <c r="L338" i="3"/>
  <c r="K338" i="3"/>
  <c r="J338" i="3"/>
  <c r="S1210" i="3"/>
  <c r="P1210" i="3"/>
  <c r="O1210" i="3"/>
  <c r="N1210" i="3"/>
  <c r="M1210" i="3"/>
  <c r="L1210" i="3"/>
  <c r="K1210" i="3"/>
  <c r="J1210" i="3"/>
  <c r="D1210" i="3"/>
  <c r="I66" i="7" s="1"/>
  <c r="E1210" i="3"/>
  <c r="J66" i="7" s="1"/>
  <c r="I1210" i="3"/>
  <c r="H1210" i="3"/>
  <c r="I1127" i="3"/>
  <c r="I1095" i="3"/>
  <c r="I880" i="3"/>
  <c r="I838" i="3"/>
  <c r="I217" i="3"/>
  <c r="I559" i="3"/>
  <c r="I508" i="3"/>
  <c r="I466" i="3"/>
  <c r="I1054" i="3"/>
  <c r="I468" i="3"/>
  <c r="I1289" i="3"/>
  <c r="S505" i="3"/>
  <c r="P505" i="3"/>
  <c r="O505" i="3"/>
  <c r="N505" i="3"/>
  <c r="M505" i="3"/>
  <c r="L505" i="3"/>
  <c r="K505" i="3"/>
  <c r="J505" i="3"/>
  <c r="J277" i="7"/>
  <c r="S606" i="3"/>
  <c r="P606" i="3"/>
  <c r="O606" i="3"/>
  <c r="N606" i="3"/>
  <c r="M606" i="3"/>
  <c r="K606" i="3"/>
  <c r="J606" i="3"/>
  <c r="L606" i="3"/>
  <c r="E606" i="3"/>
  <c r="J110" i="7" s="1"/>
  <c r="D606" i="3"/>
  <c r="I110" i="7" s="1"/>
  <c r="H606" i="3"/>
  <c r="S1266" i="3"/>
  <c r="P1266" i="3"/>
  <c r="O1266" i="3"/>
  <c r="N1266" i="3"/>
  <c r="M1266" i="3"/>
  <c r="K1266" i="3"/>
  <c r="J1266" i="3"/>
  <c r="L1266" i="3"/>
  <c r="D1266" i="3"/>
  <c r="E1266" i="3"/>
  <c r="J256" i="7" s="1"/>
  <c r="H1266" i="3"/>
  <c r="S624" i="3"/>
  <c r="P624" i="3"/>
  <c r="O624" i="3"/>
  <c r="N624" i="3"/>
  <c r="M624" i="3"/>
  <c r="L624" i="3"/>
  <c r="K624" i="3"/>
  <c r="J624" i="3"/>
  <c r="J172" i="7"/>
  <c r="S1339" i="3"/>
  <c r="P1339" i="3"/>
  <c r="O1339" i="3"/>
  <c r="N1339" i="3"/>
  <c r="M1339" i="3"/>
  <c r="L1339" i="3"/>
  <c r="K1339" i="3"/>
  <c r="J1339" i="3"/>
  <c r="D1339" i="3"/>
  <c r="E1339" i="3"/>
  <c r="J433" i="7" s="1"/>
  <c r="H1339" i="3"/>
  <c r="S758" i="3"/>
  <c r="P758" i="3"/>
  <c r="O758" i="3"/>
  <c r="M758" i="3"/>
  <c r="N758" i="3"/>
  <c r="L758" i="3"/>
  <c r="J758" i="3"/>
  <c r="K758" i="3"/>
  <c r="J202" i="7"/>
  <c r="S189" i="3"/>
  <c r="P189" i="3"/>
  <c r="O189" i="3"/>
  <c r="N189" i="3"/>
  <c r="L189" i="3"/>
  <c r="M189" i="3"/>
  <c r="K189" i="3"/>
  <c r="J189" i="3"/>
  <c r="J439" i="7"/>
  <c r="S711" i="3"/>
  <c r="P711" i="3"/>
  <c r="O711" i="3"/>
  <c r="N711" i="3"/>
  <c r="L711" i="3"/>
  <c r="M711" i="3"/>
  <c r="K711" i="3"/>
  <c r="J711" i="3"/>
  <c r="I133" i="7"/>
  <c r="J133" i="7"/>
  <c r="S847" i="3"/>
  <c r="P847" i="3"/>
  <c r="O847" i="3"/>
  <c r="N847" i="3"/>
  <c r="M847" i="3"/>
  <c r="L847" i="3"/>
  <c r="K847" i="3"/>
  <c r="J847" i="3"/>
  <c r="E847" i="3"/>
  <c r="D847" i="3"/>
  <c r="H847" i="3"/>
  <c r="S1163" i="3"/>
  <c r="P1163" i="3"/>
  <c r="O1163" i="3"/>
  <c r="N1163" i="3"/>
  <c r="M1163" i="3"/>
  <c r="L1163" i="3"/>
  <c r="K1163" i="3"/>
  <c r="J1163" i="3"/>
  <c r="E1163" i="3"/>
  <c r="J91" i="7" s="1"/>
  <c r="D1163" i="3"/>
  <c r="I91" i="7" s="1"/>
  <c r="H1163" i="3"/>
  <c r="S539" i="3"/>
  <c r="P539" i="3"/>
  <c r="O539" i="3"/>
  <c r="N539" i="3"/>
  <c r="M539" i="3"/>
  <c r="L539" i="3"/>
  <c r="K539" i="3"/>
  <c r="J539" i="3"/>
  <c r="E539" i="3"/>
  <c r="J300" i="7" s="1"/>
  <c r="D539" i="3"/>
  <c r="S1121" i="3"/>
  <c r="P1121" i="3"/>
  <c r="O1121" i="3"/>
  <c r="N1121" i="3"/>
  <c r="M1121" i="3"/>
  <c r="L1121" i="3"/>
  <c r="K1121" i="3"/>
  <c r="J1121" i="3"/>
  <c r="D1121" i="3"/>
  <c r="E1121" i="3"/>
  <c r="I1121" i="3"/>
  <c r="H1121" i="3"/>
  <c r="S1469" i="3"/>
  <c r="P1469" i="3"/>
  <c r="O1469" i="3"/>
  <c r="N1469" i="3"/>
  <c r="M1469" i="3"/>
  <c r="L1469" i="3"/>
  <c r="K1469" i="3"/>
  <c r="J1469" i="3"/>
  <c r="D1469" i="3"/>
  <c r="I79" i="7" s="1"/>
  <c r="E1469" i="3"/>
  <c r="J79" i="7" s="1"/>
  <c r="I1469" i="3"/>
  <c r="S145" i="3"/>
  <c r="P145" i="3"/>
  <c r="O145" i="3"/>
  <c r="N145" i="3"/>
  <c r="M145" i="3"/>
  <c r="L145" i="3"/>
  <c r="K145" i="3"/>
  <c r="J145" i="3"/>
  <c r="I145" i="3"/>
  <c r="I338" i="3"/>
  <c r="I374" i="3"/>
  <c r="I1353" i="3"/>
  <c r="I1363" i="3"/>
  <c r="I289" i="3"/>
  <c r="I1142" i="3"/>
  <c r="I336" i="3"/>
  <c r="H458" i="3"/>
  <c r="S183" i="3"/>
  <c r="P183" i="3"/>
  <c r="O183" i="3"/>
  <c r="N183" i="3"/>
  <c r="M183" i="3"/>
  <c r="L183" i="3"/>
  <c r="K183" i="3"/>
  <c r="J183" i="3"/>
  <c r="J297" i="7"/>
  <c r="S1507" i="3"/>
  <c r="P1507" i="3"/>
  <c r="O1507" i="3"/>
  <c r="N1507" i="3"/>
  <c r="M1507" i="3"/>
  <c r="L1507" i="3"/>
  <c r="K1507" i="3"/>
  <c r="J1507" i="3"/>
  <c r="E1507" i="3"/>
  <c r="J248" i="7" s="1"/>
  <c r="D1507" i="3"/>
  <c r="H1507" i="3"/>
  <c r="S1450" i="3"/>
  <c r="P1450" i="3"/>
  <c r="O1450" i="3"/>
  <c r="N1450" i="3"/>
  <c r="M1450" i="3"/>
  <c r="L1450" i="3"/>
  <c r="K1450" i="3"/>
  <c r="J1450" i="3"/>
  <c r="E1450" i="3"/>
  <c r="J159" i="7" s="1"/>
  <c r="D1450" i="3"/>
  <c r="I159" i="7" s="1"/>
  <c r="H1450" i="3"/>
  <c r="I1450" i="3"/>
  <c r="S1417" i="3"/>
  <c r="P1417" i="3"/>
  <c r="O1417" i="3"/>
  <c r="N1417" i="3"/>
  <c r="M1417" i="3"/>
  <c r="L1417" i="3"/>
  <c r="K1417" i="3"/>
  <c r="J1417" i="3"/>
  <c r="E1417" i="3"/>
  <c r="J60" i="7" s="1"/>
  <c r="D1417" i="3"/>
  <c r="I60" i="7" s="1"/>
  <c r="H1417" i="3"/>
  <c r="S1373" i="3"/>
  <c r="P1373" i="3"/>
  <c r="O1373" i="3"/>
  <c r="M1373" i="3"/>
  <c r="L1373" i="3"/>
  <c r="N1373" i="3"/>
  <c r="K1373" i="3"/>
  <c r="J1373" i="3"/>
  <c r="E1373" i="3"/>
  <c r="J280" i="7" s="1"/>
  <c r="D1373" i="3"/>
  <c r="I1373" i="3"/>
  <c r="H1373" i="3"/>
  <c r="S1312" i="3"/>
  <c r="P1312" i="3"/>
  <c r="O1312" i="3"/>
  <c r="N1312" i="3"/>
  <c r="M1312" i="3"/>
  <c r="L1312" i="3"/>
  <c r="K1312" i="3"/>
  <c r="J1312" i="3"/>
  <c r="D1312" i="3"/>
  <c r="I89" i="7" s="1"/>
  <c r="I1312" i="3"/>
  <c r="E1312" i="3"/>
  <c r="J89" i="7" s="1"/>
  <c r="H1312" i="3"/>
  <c r="S915" i="3"/>
  <c r="P915" i="3"/>
  <c r="O915" i="3"/>
  <c r="N915" i="3"/>
  <c r="M915" i="3"/>
  <c r="L915" i="3"/>
  <c r="K915" i="3"/>
  <c r="J915" i="3"/>
  <c r="J217" i="7"/>
  <c r="S741" i="3"/>
  <c r="P741" i="3"/>
  <c r="O741" i="3"/>
  <c r="N741" i="3"/>
  <c r="M741" i="3"/>
  <c r="L741" i="3"/>
  <c r="K741" i="3"/>
  <c r="J741" i="3"/>
  <c r="J178" i="7"/>
  <c r="I741" i="3"/>
  <c r="S219" i="3"/>
  <c r="P219" i="3"/>
  <c r="O219" i="3"/>
  <c r="N219" i="3"/>
  <c r="M219" i="3"/>
  <c r="L219" i="3"/>
  <c r="K219" i="3"/>
  <c r="J219" i="3"/>
  <c r="J93" i="7"/>
  <c r="I93" i="7"/>
  <c r="I219" i="3"/>
  <c r="S208" i="3"/>
  <c r="P208" i="3"/>
  <c r="O208" i="3"/>
  <c r="N208" i="3"/>
  <c r="L208" i="3"/>
  <c r="M208" i="3"/>
  <c r="J208" i="3"/>
  <c r="K208" i="3"/>
  <c r="J53" i="7"/>
  <c r="I53" i="7"/>
  <c r="I208" i="3"/>
  <c r="S1194" i="3"/>
  <c r="P1194" i="3"/>
  <c r="O1194" i="3"/>
  <c r="N1194" i="3"/>
  <c r="M1194" i="3"/>
  <c r="L1194" i="3"/>
  <c r="K1194" i="3"/>
  <c r="J1194" i="3"/>
  <c r="E1194" i="3"/>
  <c r="J57" i="7" s="1"/>
  <c r="D1194" i="3"/>
  <c r="I57" i="7" s="1"/>
  <c r="H1194" i="3"/>
  <c r="I1194" i="3"/>
  <c r="S1187" i="3"/>
  <c r="P1187" i="3"/>
  <c r="O1187" i="3"/>
  <c r="N1187" i="3"/>
  <c r="M1187" i="3"/>
  <c r="L1187" i="3"/>
  <c r="K1187" i="3"/>
  <c r="J1187" i="3"/>
  <c r="E1187" i="3"/>
  <c r="J15" i="7" s="1"/>
  <c r="D1187" i="3"/>
  <c r="I15" i="7" s="1"/>
  <c r="I1187" i="3"/>
  <c r="H1187" i="3"/>
  <c r="S573" i="3"/>
  <c r="P573" i="3"/>
  <c r="O573" i="3"/>
  <c r="N573" i="3"/>
  <c r="M573" i="3"/>
  <c r="L573" i="3"/>
  <c r="K573" i="3"/>
  <c r="J573" i="3"/>
  <c r="J37" i="7"/>
  <c r="I37" i="7"/>
  <c r="S1019" i="3"/>
  <c r="P1019" i="3"/>
  <c r="O1019" i="3"/>
  <c r="N1019" i="3"/>
  <c r="M1019" i="3"/>
  <c r="K1019" i="3"/>
  <c r="L1019" i="3"/>
  <c r="J1019" i="3"/>
  <c r="E1019" i="3"/>
  <c r="J233" i="7" s="1"/>
  <c r="D1019" i="3"/>
  <c r="H1019" i="3"/>
  <c r="S130" i="3"/>
  <c r="P130" i="3"/>
  <c r="O130" i="3"/>
  <c r="N130" i="3"/>
  <c r="M130" i="3"/>
  <c r="L130" i="3"/>
  <c r="J130" i="3"/>
  <c r="K130" i="3"/>
  <c r="J225" i="7"/>
  <c r="S1416" i="3"/>
  <c r="P1416" i="3"/>
  <c r="O1416" i="3"/>
  <c r="N1416" i="3"/>
  <c r="M1416" i="3"/>
  <c r="L1416" i="3"/>
  <c r="K1416" i="3"/>
  <c r="J1416" i="3"/>
  <c r="E1416" i="3"/>
  <c r="J85" i="7" s="1"/>
  <c r="D1416" i="3"/>
  <c r="I85" i="7" s="1"/>
  <c r="S1098" i="3"/>
  <c r="P1098" i="3"/>
  <c r="O1098" i="3"/>
  <c r="M1098" i="3"/>
  <c r="N1098" i="3"/>
  <c r="L1098" i="3"/>
  <c r="K1098" i="3"/>
  <c r="J1098" i="3"/>
  <c r="E1098" i="3"/>
  <c r="D1098" i="3"/>
  <c r="H1098" i="3"/>
  <c r="S127" i="3"/>
  <c r="P127" i="3"/>
  <c r="O127" i="3"/>
  <c r="N127" i="3"/>
  <c r="M127" i="3"/>
  <c r="L127" i="3"/>
  <c r="K127" i="3"/>
  <c r="J127" i="3"/>
  <c r="J317" i="7"/>
  <c r="S1495" i="3"/>
  <c r="P1495" i="3"/>
  <c r="O1495" i="3"/>
  <c r="N1495" i="3"/>
  <c r="M1495" i="3"/>
  <c r="K1495" i="3"/>
  <c r="L1495" i="3"/>
  <c r="J1495" i="3"/>
  <c r="E1495" i="3"/>
  <c r="J311" i="7" s="1"/>
  <c r="D1495" i="3"/>
  <c r="H1495" i="3"/>
  <c r="S724" i="3"/>
  <c r="P724" i="3"/>
  <c r="O724" i="3"/>
  <c r="N724" i="3"/>
  <c r="L724" i="3"/>
  <c r="M724" i="3"/>
  <c r="K724" i="3"/>
  <c r="J724" i="3"/>
  <c r="J362" i="7"/>
  <c r="S1533" i="3"/>
  <c r="P1533" i="3"/>
  <c r="O1533" i="3"/>
  <c r="N1533" i="3"/>
  <c r="M1533" i="3"/>
  <c r="L1533" i="3"/>
  <c r="K1533" i="3"/>
  <c r="J1533" i="3"/>
  <c r="D1533" i="3"/>
  <c r="I109" i="7" s="1"/>
  <c r="H1533" i="3"/>
  <c r="S906" i="3"/>
  <c r="P906" i="3"/>
  <c r="M906" i="3"/>
  <c r="O906" i="3"/>
  <c r="N906" i="3"/>
  <c r="L906" i="3"/>
  <c r="K906" i="3"/>
  <c r="J906" i="3"/>
  <c r="D906" i="3"/>
  <c r="E906" i="3"/>
  <c r="J482" i="7" s="1"/>
  <c r="H906" i="3"/>
  <c r="S820" i="3"/>
  <c r="P820" i="3"/>
  <c r="N820" i="3"/>
  <c r="O820" i="3"/>
  <c r="M820" i="3"/>
  <c r="L820" i="3"/>
  <c r="K820" i="3"/>
  <c r="J820" i="3"/>
  <c r="J175" i="7"/>
  <c r="S594" i="3"/>
  <c r="P594" i="3"/>
  <c r="O594" i="3"/>
  <c r="N594" i="3"/>
  <c r="M594" i="3"/>
  <c r="L594" i="3"/>
  <c r="K594" i="3"/>
  <c r="J594" i="3"/>
  <c r="E594" i="3"/>
  <c r="D594" i="3"/>
  <c r="H594" i="3"/>
  <c r="S1535" i="3"/>
  <c r="O1535" i="3"/>
  <c r="P1535" i="3"/>
  <c r="N1535" i="3"/>
  <c r="M1535" i="3"/>
  <c r="L1535" i="3"/>
  <c r="K1535" i="3"/>
  <c r="E1535" i="3"/>
  <c r="J162" i="7" s="1"/>
  <c r="J1535" i="3"/>
  <c r="D1535" i="3"/>
  <c r="H1535" i="3"/>
  <c r="S1084" i="3"/>
  <c r="P1084" i="3"/>
  <c r="O1084" i="3"/>
  <c r="N1084" i="3"/>
  <c r="M1084" i="3"/>
  <c r="L1084" i="3"/>
  <c r="K1084" i="3"/>
  <c r="J1084" i="3"/>
  <c r="D1084" i="3"/>
  <c r="E1084" i="3"/>
  <c r="J447" i="7" s="1"/>
  <c r="H1084" i="3"/>
  <c r="I847" i="3"/>
  <c r="I740" i="3"/>
  <c r="I487" i="3"/>
  <c r="I383" i="3"/>
  <c r="I189" i="3"/>
  <c r="I1411" i="3"/>
  <c r="I1351" i="3"/>
  <c r="I960" i="3"/>
  <c r="I491" i="3"/>
  <c r="I471" i="3"/>
  <c r="I1462" i="3"/>
  <c r="I573" i="3"/>
  <c r="I1417" i="3"/>
  <c r="I915" i="3"/>
  <c r="H1469" i="3"/>
  <c r="H1141" i="3"/>
  <c r="S1446" i="3"/>
  <c r="O1446" i="3"/>
  <c r="P1446" i="3"/>
  <c r="N1446" i="3"/>
  <c r="M1446" i="3"/>
  <c r="L1446" i="3"/>
  <c r="K1446" i="3"/>
  <c r="J1446" i="3"/>
  <c r="E1446" i="3"/>
  <c r="J209" i="7" s="1"/>
  <c r="D1446" i="3"/>
  <c r="H1446" i="3"/>
  <c r="S1224" i="3"/>
  <c r="P1224" i="3"/>
  <c r="O1224" i="3"/>
  <c r="N1224" i="3"/>
  <c r="M1224" i="3"/>
  <c r="L1224" i="3"/>
  <c r="K1224" i="3"/>
  <c r="J1224" i="3"/>
  <c r="E1224" i="3"/>
  <c r="J28" i="7" s="1"/>
  <c r="D1224" i="3"/>
  <c r="I28" i="7" s="1"/>
  <c r="I1224" i="3"/>
  <c r="H1224" i="3"/>
  <c r="S1358" i="3"/>
  <c r="P1358" i="3"/>
  <c r="O1358" i="3"/>
  <c r="N1358" i="3"/>
  <c r="M1358" i="3"/>
  <c r="L1358" i="3"/>
  <c r="K1358" i="3"/>
  <c r="J1358" i="3"/>
  <c r="D1358" i="3"/>
  <c r="E1358" i="3"/>
  <c r="J176" i="7" s="1"/>
  <c r="I1358" i="3"/>
  <c r="S1274" i="3"/>
  <c r="P1274" i="3"/>
  <c r="O1274" i="3"/>
  <c r="N1274" i="3"/>
  <c r="M1274" i="3"/>
  <c r="L1274" i="3"/>
  <c r="K1274" i="3"/>
  <c r="J1274" i="3"/>
  <c r="D1274" i="3"/>
  <c r="I56" i="7" s="1"/>
  <c r="E1274" i="3"/>
  <c r="J56" i="7" s="1"/>
  <c r="I1274" i="3"/>
  <c r="H1274" i="3"/>
  <c r="S907" i="3"/>
  <c r="P907" i="3"/>
  <c r="O907" i="3"/>
  <c r="N907" i="3"/>
  <c r="M907" i="3"/>
  <c r="L907" i="3"/>
  <c r="K907" i="3"/>
  <c r="J907" i="3"/>
  <c r="J174" i="7"/>
  <c r="I907" i="3"/>
  <c r="S198" i="3"/>
  <c r="P198" i="3"/>
  <c r="O198" i="3"/>
  <c r="N198" i="3"/>
  <c r="M198" i="3"/>
  <c r="L198" i="3"/>
  <c r="K198" i="3"/>
  <c r="J198" i="3"/>
  <c r="I120" i="7"/>
  <c r="J120" i="7"/>
  <c r="I198" i="3"/>
  <c r="S133" i="3"/>
  <c r="P133" i="3"/>
  <c r="O133" i="3"/>
  <c r="N133" i="3"/>
  <c r="M133" i="3"/>
  <c r="L133" i="3"/>
  <c r="K133" i="3"/>
  <c r="J133" i="3"/>
  <c r="I73" i="7"/>
  <c r="J73" i="7"/>
  <c r="I133" i="3"/>
  <c r="S116" i="3"/>
  <c r="P116" i="3"/>
  <c r="O116" i="3"/>
  <c r="N116" i="3"/>
  <c r="M116" i="3"/>
  <c r="L116" i="3"/>
  <c r="K116" i="3"/>
  <c r="J116" i="3"/>
  <c r="J61" i="7"/>
  <c r="I61" i="7"/>
  <c r="I116" i="3"/>
  <c r="S316" i="3"/>
  <c r="P316" i="3"/>
  <c r="O316" i="3"/>
  <c r="N316" i="3"/>
  <c r="M316" i="3"/>
  <c r="L316" i="3"/>
  <c r="K316" i="3"/>
  <c r="J316" i="3"/>
  <c r="J29" i="7"/>
  <c r="I29" i="7"/>
  <c r="S149" i="3"/>
  <c r="P149" i="3"/>
  <c r="O149" i="3"/>
  <c r="N149" i="3"/>
  <c r="M149" i="3"/>
  <c r="L149" i="3"/>
  <c r="K149" i="3"/>
  <c r="J149" i="3"/>
  <c r="I90" i="7"/>
  <c r="J90" i="7"/>
  <c r="I149" i="3"/>
  <c r="S733" i="3"/>
  <c r="P733" i="3"/>
  <c r="O733" i="3"/>
  <c r="N733" i="3"/>
  <c r="M733" i="3"/>
  <c r="L733" i="3"/>
  <c r="J733" i="3"/>
  <c r="K733" i="3"/>
  <c r="J181" i="7"/>
  <c r="I733" i="3"/>
  <c r="S983" i="3"/>
  <c r="P983" i="3"/>
  <c r="O983" i="3"/>
  <c r="N983" i="3"/>
  <c r="M983" i="3"/>
  <c r="L983" i="3"/>
  <c r="K983" i="3"/>
  <c r="J983" i="3"/>
  <c r="E983" i="3"/>
  <c r="J398" i="7" s="1"/>
  <c r="D983" i="3"/>
  <c r="H983" i="3"/>
  <c r="S961" i="3"/>
  <c r="P961" i="3"/>
  <c r="M961" i="3"/>
  <c r="O961" i="3"/>
  <c r="N961" i="3"/>
  <c r="L961" i="3"/>
  <c r="K961" i="3"/>
  <c r="J961" i="3"/>
  <c r="E961" i="3"/>
  <c r="J597" i="7" s="1"/>
  <c r="D961" i="3"/>
  <c r="H961" i="3"/>
  <c r="S493" i="3"/>
  <c r="P493" i="3"/>
  <c r="O493" i="3"/>
  <c r="N493" i="3"/>
  <c r="M493" i="3"/>
  <c r="L493" i="3"/>
  <c r="K493" i="3"/>
  <c r="J493" i="3"/>
  <c r="E493" i="3"/>
  <c r="J212" i="7" s="1"/>
  <c r="D493" i="3"/>
  <c r="H493" i="3"/>
  <c r="S466" i="3"/>
  <c r="P466" i="3"/>
  <c r="O466" i="3"/>
  <c r="N466" i="3"/>
  <c r="M466" i="3"/>
  <c r="L466" i="3"/>
  <c r="K466" i="3"/>
  <c r="J466" i="3"/>
  <c r="J211" i="7"/>
  <c r="S569" i="3"/>
  <c r="P569" i="3"/>
  <c r="O569" i="3"/>
  <c r="N569" i="3"/>
  <c r="M569" i="3"/>
  <c r="L569" i="3"/>
  <c r="J569" i="3"/>
  <c r="K569" i="3"/>
  <c r="E569" i="3"/>
  <c r="J493" i="7" s="1"/>
  <c r="D569" i="3"/>
  <c r="H569" i="3"/>
  <c r="P423" i="3"/>
  <c r="S423" i="3"/>
  <c r="N423" i="3"/>
  <c r="O423" i="3"/>
  <c r="L423" i="3"/>
  <c r="M423" i="3"/>
  <c r="J423" i="3"/>
  <c r="K423" i="3"/>
  <c r="J189" i="7"/>
  <c r="S791" i="3"/>
  <c r="P791" i="3"/>
  <c r="O791" i="3"/>
  <c r="N791" i="3"/>
  <c r="M791" i="3"/>
  <c r="L791" i="3"/>
  <c r="K791" i="3"/>
  <c r="J791" i="3"/>
  <c r="S1499" i="3"/>
  <c r="P1499" i="3"/>
  <c r="O1499" i="3"/>
  <c r="N1499" i="3"/>
  <c r="M1499" i="3"/>
  <c r="L1499" i="3"/>
  <c r="K1499" i="3"/>
  <c r="J1499" i="3"/>
  <c r="E1499" i="3"/>
  <c r="J195" i="7" s="1"/>
  <c r="S1319" i="3"/>
  <c r="P1319" i="3"/>
  <c r="O1319" i="3"/>
  <c r="N1319" i="3"/>
  <c r="M1319" i="3"/>
  <c r="L1319" i="3"/>
  <c r="K1319" i="3"/>
  <c r="J1319" i="3"/>
  <c r="E1319" i="3"/>
  <c r="J553" i="7" s="1"/>
  <c r="D1319" i="3"/>
  <c r="S1442" i="3"/>
  <c r="P1442" i="3"/>
  <c r="O1442" i="3"/>
  <c r="N1442" i="3"/>
  <c r="M1442" i="3"/>
  <c r="L1442" i="3"/>
  <c r="K1442" i="3"/>
  <c r="J1442" i="3"/>
  <c r="E1442" i="3"/>
  <c r="D1442" i="3"/>
  <c r="H1442" i="3"/>
  <c r="S1287" i="3"/>
  <c r="P1287" i="3"/>
  <c r="O1287" i="3"/>
  <c r="N1287" i="3"/>
  <c r="M1287" i="3"/>
  <c r="L1287" i="3"/>
  <c r="K1287" i="3"/>
  <c r="J1287" i="3"/>
  <c r="E1287" i="3"/>
  <c r="J226" i="7" s="1"/>
  <c r="D1287" i="3"/>
  <c r="H1287" i="3"/>
  <c r="S1493" i="3"/>
  <c r="P1493" i="3"/>
  <c r="O1493" i="3"/>
  <c r="N1493" i="3"/>
  <c r="M1493" i="3"/>
  <c r="L1493" i="3"/>
  <c r="K1493" i="3"/>
  <c r="J1493" i="3"/>
  <c r="E1493" i="3"/>
  <c r="J247" i="7" s="1"/>
  <c r="D1493" i="3"/>
  <c r="H1493" i="3"/>
  <c r="S1526" i="3"/>
  <c r="P1526" i="3"/>
  <c r="O1526" i="3"/>
  <c r="N1526" i="3"/>
  <c r="M1526" i="3"/>
  <c r="L1526" i="3"/>
  <c r="K1526" i="3"/>
  <c r="J1526" i="3"/>
  <c r="D1526" i="3"/>
  <c r="E1526" i="3"/>
  <c r="J351" i="7" s="1"/>
  <c r="H1526" i="3"/>
  <c r="I704" i="3"/>
  <c r="I403" i="3"/>
  <c r="I1499" i="3"/>
  <c r="I539" i="3"/>
  <c r="I1369" i="3"/>
  <c r="I1319" i="3"/>
  <c r="I1416" i="3"/>
  <c r="I724" i="3"/>
  <c r="I414" i="3"/>
  <c r="I1449" i="3"/>
  <c r="I458" i="3"/>
  <c r="I505" i="3"/>
  <c r="I711" i="3"/>
  <c r="I1225" i="3"/>
  <c r="H539" i="3"/>
  <c r="H1416" i="3"/>
  <c r="S1424" i="3"/>
  <c r="P1424" i="3"/>
  <c r="O1424" i="3"/>
  <c r="N1424" i="3"/>
  <c r="L1424" i="3"/>
  <c r="K1424" i="3"/>
  <c r="M1424" i="3"/>
  <c r="E1424" i="3"/>
  <c r="J465" i="7" s="1"/>
  <c r="J1424" i="3"/>
  <c r="D1424" i="3"/>
  <c r="H1424" i="3"/>
  <c r="S1289" i="3"/>
  <c r="P1289" i="3"/>
  <c r="O1289" i="3"/>
  <c r="N1289" i="3"/>
  <c r="M1289" i="3"/>
  <c r="L1289" i="3"/>
  <c r="K1289" i="3"/>
  <c r="J1289" i="3"/>
  <c r="E1289" i="3"/>
  <c r="J127" i="7" s="1"/>
  <c r="H1289" i="3"/>
  <c r="D1289" i="3"/>
  <c r="I127" i="7" s="1"/>
  <c r="S1385" i="3"/>
  <c r="P1385" i="3"/>
  <c r="O1385" i="3"/>
  <c r="N1385" i="3"/>
  <c r="L1385" i="3"/>
  <c r="M1385" i="3"/>
  <c r="J1385" i="3"/>
  <c r="K1385" i="3"/>
  <c r="D1385" i="3"/>
  <c r="I8" i="7" s="1"/>
  <c r="E1385" i="3"/>
  <c r="J8" i="7" s="1"/>
  <c r="I1385" i="3"/>
  <c r="H1385" i="3"/>
  <c r="S838" i="3"/>
  <c r="P838" i="3"/>
  <c r="O838" i="3"/>
  <c r="N838" i="3"/>
  <c r="M838" i="3"/>
  <c r="L838" i="3"/>
  <c r="K838" i="3"/>
  <c r="J838" i="3"/>
  <c r="E838" i="3"/>
  <c r="D838" i="3"/>
  <c r="H838" i="3"/>
  <c r="S336" i="3"/>
  <c r="P336" i="3"/>
  <c r="O336" i="3"/>
  <c r="N336" i="3"/>
  <c r="M336" i="3"/>
  <c r="L336" i="3"/>
  <c r="K336" i="3"/>
  <c r="J336" i="3"/>
  <c r="J45" i="7"/>
  <c r="I45" i="7"/>
  <c r="S1032" i="3"/>
  <c r="P1032" i="3"/>
  <c r="O1032" i="3"/>
  <c r="N1032" i="3"/>
  <c r="M1032" i="3"/>
  <c r="L1032" i="3"/>
  <c r="K1032" i="3"/>
  <c r="J1032" i="3"/>
  <c r="E1032" i="3"/>
  <c r="J541" i="7" s="1"/>
  <c r="D1032" i="3"/>
  <c r="I541" i="7" s="1"/>
  <c r="H1032" i="3"/>
  <c r="S119" i="3"/>
  <c r="P119" i="3"/>
  <c r="O119" i="3"/>
  <c r="N119" i="3"/>
  <c r="M119" i="3"/>
  <c r="L119" i="3"/>
  <c r="K119" i="3"/>
  <c r="J119" i="3"/>
  <c r="I87" i="7"/>
  <c r="J87" i="7"/>
  <c r="S56" i="3"/>
  <c r="P56" i="3"/>
  <c r="O56" i="3"/>
  <c r="N56" i="3"/>
  <c r="M56" i="3"/>
  <c r="L56" i="3"/>
  <c r="K56" i="3"/>
  <c r="J56" i="3"/>
  <c r="J374" i="7"/>
  <c r="I374" i="7"/>
  <c r="S1127" i="3"/>
  <c r="P1127" i="3"/>
  <c r="O1127" i="3"/>
  <c r="N1127" i="3"/>
  <c r="M1127" i="3"/>
  <c r="L1127" i="3"/>
  <c r="K1127" i="3"/>
  <c r="J1127" i="3"/>
  <c r="E1127" i="3"/>
  <c r="J434" i="7" s="1"/>
  <c r="D1127" i="3"/>
  <c r="H1127" i="3"/>
  <c r="S1363" i="3"/>
  <c r="P1363" i="3"/>
  <c r="O1363" i="3"/>
  <c r="N1363" i="3"/>
  <c r="M1363" i="3"/>
  <c r="L1363" i="3"/>
  <c r="K1363" i="3"/>
  <c r="E1363" i="3"/>
  <c r="J286" i="7" s="1"/>
  <c r="J1363" i="3"/>
  <c r="D1363" i="3"/>
  <c r="H1363" i="3"/>
  <c r="S1414" i="3"/>
  <c r="P1414" i="3"/>
  <c r="O1414" i="3"/>
  <c r="N1414" i="3"/>
  <c r="L1414" i="3"/>
  <c r="M1414" i="3"/>
  <c r="K1414" i="3"/>
  <c r="J1414" i="3"/>
  <c r="D1414" i="3"/>
  <c r="I88" i="7" s="1"/>
  <c r="E1414" i="3"/>
  <c r="J88" i="7" s="1"/>
  <c r="I1414" i="3"/>
  <c r="S1226" i="3"/>
  <c r="P1226" i="3"/>
  <c r="O1226" i="3"/>
  <c r="N1226" i="3"/>
  <c r="M1226" i="3"/>
  <c r="L1226" i="3"/>
  <c r="K1226" i="3"/>
  <c r="J1226" i="3"/>
  <c r="E1226" i="3"/>
  <c r="J13" i="7" s="1"/>
  <c r="D1226" i="3"/>
  <c r="I13" i="7" s="1"/>
  <c r="H1226" i="3"/>
  <c r="S802" i="3"/>
  <c r="P802" i="3"/>
  <c r="O802" i="3"/>
  <c r="N802" i="3"/>
  <c r="M802" i="3"/>
  <c r="K802" i="3"/>
  <c r="J802" i="3"/>
  <c r="L802" i="3"/>
  <c r="J65" i="7"/>
  <c r="I65" i="7"/>
  <c r="I802" i="3"/>
  <c r="S1217" i="3"/>
  <c r="P1217" i="3"/>
  <c r="O1217" i="3"/>
  <c r="N1217" i="3"/>
  <c r="M1217" i="3"/>
  <c r="L1217" i="3"/>
  <c r="J1217" i="3"/>
  <c r="K1217" i="3"/>
  <c r="D1217" i="3"/>
  <c r="I38" i="7" s="1"/>
  <c r="E1217" i="3"/>
  <c r="J38" i="7" s="1"/>
  <c r="I1217" i="3"/>
  <c r="H1217" i="3"/>
  <c r="I906" i="3"/>
  <c r="I675" i="3"/>
  <c r="I961" i="3"/>
  <c r="I1526" i="3"/>
  <c r="I1339" i="3"/>
  <c r="I1032" i="3"/>
  <c r="I1084" i="3"/>
  <c r="I64" i="3"/>
  <c r="I583" i="3"/>
  <c r="I1533" i="3"/>
  <c r="H1414" i="3"/>
  <c r="D1499" i="3"/>
  <c r="E1533" i="3"/>
  <c r="J109" i="7" s="1"/>
  <c r="F553" i="3"/>
  <c r="K131" i="7" s="1"/>
  <c r="F1072" i="3"/>
  <c r="F1002" i="3"/>
  <c r="K413" i="7" s="1"/>
  <c r="F540" i="3"/>
  <c r="K224" i="7" s="1"/>
  <c r="F1397" i="3"/>
  <c r="F605" i="3"/>
  <c r="F873" i="3"/>
  <c r="F842" i="3"/>
  <c r="F910" i="3"/>
  <c r="F822" i="3"/>
  <c r="F654" i="3"/>
  <c r="K469" i="7"/>
  <c r="F1324" i="3"/>
  <c r="F1503" i="3"/>
  <c r="K371" i="7" s="1"/>
  <c r="F1387" i="3"/>
  <c r="F1253" i="3"/>
  <c r="F1207" i="3"/>
  <c r="K243" i="7"/>
  <c r="K68" i="7"/>
  <c r="F1511" i="3"/>
  <c r="K291" i="7" s="1"/>
  <c r="F1243" i="3"/>
  <c r="K278" i="7" s="1"/>
  <c r="F1321" i="3"/>
  <c r="K81" i="7" s="1"/>
  <c r="K25" i="7"/>
  <c r="K107" i="7"/>
  <c r="K70" i="7"/>
  <c r="K181" i="7"/>
  <c r="F983" i="3"/>
  <c r="K398" i="7" s="1"/>
  <c r="F961" i="3"/>
  <c r="K597" i="7" s="1"/>
  <c r="F493" i="3"/>
  <c r="K212" i="7" s="1"/>
  <c r="K211" i="7"/>
  <c r="F569" i="3"/>
  <c r="K493" i="7" s="1"/>
  <c r="K189" i="7"/>
  <c r="F1499" i="3"/>
  <c r="K195" i="7" s="1"/>
  <c r="F1319" i="3"/>
  <c r="K553" i="7" s="1"/>
  <c r="F1442" i="3"/>
  <c r="F1287" i="3"/>
  <c r="K226" i="7" s="1"/>
  <c r="F1493" i="3"/>
  <c r="K247" i="7" s="1"/>
  <c r="F1526" i="3"/>
  <c r="K351" i="7" s="1"/>
  <c r="K69" i="7"/>
  <c r="F951" i="3"/>
  <c r="F1063" i="3"/>
  <c r="F1134" i="3"/>
  <c r="F1100" i="3"/>
  <c r="F1158" i="3"/>
  <c r="F1145" i="3"/>
  <c r="F800" i="3"/>
  <c r="F887" i="3"/>
  <c r="F607" i="3"/>
  <c r="K331" i="7" s="1"/>
  <c r="K598" i="7"/>
  <c r="K578" i="7"/>
  <c r="F1384" i="3"/>
  <c r="F1153" i="3"/>
  <c r="F1116" i="3"/>
  <c r="K260" i="7" s="1"/>
  <c r="F1520" i="3"/>
  <c r="F1455" i="3"/>
  <c r="K401" i="7" s="1"/>
  <c r="F1322" i="3"/>
  <c r="K498" i="7" s="1"/>
  <c r="F449" i="3"/>
  <c r="K312" i="7"/>
  <c r="K201" i="7"/>
  <c r="F535" i="3"/>
  <c r="K183" i="7" s="1"/>
  <c r="K168" i="7"/>
  <c r="F1452" i="3"/>
  <c r="K144" i="7" s="1"/>
  <c r="F1376" i="3"/>
  <c r="K151" i="7" s="1"/>
  <c r="K58" i="7"/>
  <c r="K152" i="7"/>
  <c r="K117" i="7"/>
  <c r="K17" i="7"/>
  <c r="F1451" i="3"/>
  <c r="K348" i="7" s="1"/>
  <c r="F565" i="3"/>
  <c r="F658" i="3"/>
  <c r="K435" i="7"/>
  <c r="F1361" i="3"/>
  <c r="F1268" i="3"/>
  <c r="K323" i="7" s="1"/>
  <c r="F1454" i="3"/>
  <c r="K386" i="7" s="1"/>
  <c r="F1445" i="3"/>
  <c r="K204" i="7" s="1"/>
  <c r="F1396" i="3"/>
  <c r="K177" i="7" s="1"/>
  <c r="F1113" i="3"/>
  <c r="F1219" i="3"/>
  <c r="K118" i="7" s="1"/>
  <c r="F1440" i="3"/>
  <c r="K147" i="7" s="1"/>
  <c r="F1090" i="3"/>
  <c r="F1075" i="3"/>
  <c r="F1524" i="3"/>
  <c r="K62" i="7" s="1"/>
  <c r="F962" i="3"/>
  <c r="F1083" i="3"/>
  <c r="F1434" i="3"/>
  <c r="F1407" i="3"/>
  <c r="F515" i="3"/>
  <c r="K96" i="7"/>
  <c r="F1039" i="3"/>
  <c r="F1496" i="3"/>
  <c r="K241" i="7" s="1"/>
  <c r="F1186" i="3"/>
  <c r="F776" i="3"/>
  <c r="K450" i="7" s="1"/>
  <c r="K143" i="7"/>
  <c r="F318" i="3"/>
  <c r="K244" i="7" s="1"/>
  <c r="F1004" i="3"/>
  <c r="F426" i="3"/>
  <c r="K507" i="7" s="1"/>
  <c r="F682" i="3"/>
  <c r="K370" i="7"/>
  <c r="F593" i="3"/>
  <c r="K123" i="7" s="1"/>
  <c r="F1365" i="3"/>
  <c r="K321" i="7" s="1"/>
  <c r="F1512" i="3"/>
  <c r="K523" i="7" s="1"/>
  <c r="K268" i="7"/>
  <c r="F1388" i="3"/>
  <c r="F1375" i="3"/>
  <c r="F737" i="3"/>
  <c r="F1008" i="3"/>
  <c r="F1135" i="3"/>
  <c r="F770" i="3"/>
  <c r="F1042" i="3"/>
  <c r="F1051" i="3"/>
  <c r="F691" i="3"/>
  <c r="F1018" i="3"/>
  <c r="F1183" i="3"/>
  <c r="F1131" i="3"/>
  <c r="F1101" i="3"/>
  <c r="K494" i="7" s="1"/>
  <c r="F1082" i="3"/>
  <c r="F1060" i="3"/>
  <c r="F860" i="3"/>
  <c r="F999" i="3"/>
  <c r="F984" i="3"/>
  <c r="F971" i="3"/>
  <c r="F955" i="3"/>
  <c r="F544" i="3"/>
  <c r="F924" i="3"/>
  <c r="F909" i="3"/>
  <c r="F904" i="3"/>
  <c r="F886" i="3"/>
  <c r="F874" i="3"/>
  <c r="F578" i="3"/>
  <c r="F1438" i="3"/>
  <c r="F522" i="3"/>
  <c r="K521" i="7" s="1"/>
  <c r="F723" i="3"/>
  <c r="F680" i="3"/>
  <c r="F1362" i="3"/>
  <c r="F1174" i="3"/>
  <c r="F1106" i="3"/>
  <c r="F693" i="3"/>
  <c r="K508" i="7"/>
  <c r="K464" i="7"/>
  <c r="F1405" i="3"/>
  <c r="F1333" i="3"/>
  <c r="K582" i="7" s="1"/>
  <c r="F1418" i="3"/>
  <c r="F1269" i="3"/>
  <c r="K558" i="7" s="1"/>
  <c r="F1079" i="3"/>
  <c r="K303" i="7"/>
  <c r="K588" i="7"/>
  <c r="F1304" i="3"/>
  <c r="K517" i="7" s="1"/>
  <c r="F125" i="3"/>
  <c r="K124" i="7" s="1"/>
  <c r="K529" i="7"/>
  <c r="F1542" i="3"/>
  <c r="F1519" i="3"/>
  <c r="K173" i="7" s="1"/>
  <c r="F1484" i="3"/>
  <c r="F1447" i="3"/>
  <c r="K502" i="7" s="1"/>
  <c r="F1386" i="3"/>
  <c r="K279" i="7" s="1"/>
  <c r="F1320" i="3"/>
  <c r="F1252" i="3"/>
  <c r="K337" i="7" s="1"/>
  <c r="F201" i="3"/>
  <c r="K436" i="7" s="1"/>
  <c r="K290" i="7"/>
  <c r="K309" i="7"/>
  <c r="K412" i="7"/>
  <c r="K298" i="7"/>
  <c r="F1177" i="3"/>
  <c r="K275" i="7" s="1"/>
  <c r="K389" i="7"/>
  <c r="K293" i="7"/>
  <c r="F1370" i="3"/>
  <c r="K197" i="7" s="1"/>
  <c r="F1485" i="3"/>
  <c r="K518" i="7" s="1"/>
  <c r="K297" i="7"/>
  <c r="F1507" i="3"/>
  <c r="K248" i="7" s="1"/>
  <c r="F1450" i="3"/>
  <c r="K159" i="7" s="1"/>
  <c r="F1417" i="3"/>
  <c r="K60" i="7" s="1"/>
  <c r="F1373" i="3"/>
  <c r="K280" i="7" s="1"/>
  <c r="F1312" i="3"/>
  <c r="K89" i="7" s="1"/>
  <c r="K217" i="7"/>
  <c r="K178" i="7"/>
  <c r="K93" i="7"/>
  <c r="K53" i="7"/>
  <c r="F1194" i="3"/>
  <c r="K57" i="7" s="1"/>
  <c r="F1187" i="3"/>
  <c r="K15" i="7" s="1"/>
  <c r="F1424" i="3"/>
  <c r="K465" i="7" s="1"/>
  <c r="F1289" i="3"/>
  <c r="K127" i="7" s="1"/>
  <c r="F1385" i="3"/>
  <c r="K8" i="7" s="1"/>
  <c r="F838" i="3"/>
  <c r="K45" i="7"/>
  <c r="F1032" i="3"/>
  <c r="K541" i="7" s="1"/>
  <c r="K87" i="7"/>
  <c r="K374" i="7"/>
  <c r="F1127" i="3"/>
  <c r="K434" i="7" s="1"/>
  <c r="F1363" i="3"/>
  <c r="K286" i="7" s="1"/>
  <c r="F1414" i="3"/>
  <c r="K88" i="7" s="1"/>
  <c r="F1226" i="3"/>
  <c r="K13" i="7" s="1"/>
  <c r="K65" i="7"/>
  <c r="F1217" i="3"/>
  <c r="K38" i="7" s="1"/>
  <c r="F1475" i="3"/>
  <c r="K250" i="7" s="1"/>
  <c r="F1119" i="3"/>
  <c r="K149" i="7" s="1"/>
  <c r="K472" i="7"/>
  <c r="K276" i="7"/>
  <c r="F787" i="3"/>
  <c r="F1011" i="3"/>
  <c r="F444" i="3"/>
  <c r="K600" i="7" s="1"/>
  <c r="F653" i="3"/>
  <c r="F1290" i="3"/>
  <c r="K199" i="7" s="1"/>
  <c r="F991" i="3"/>
  <c r="K251" i="7" s="1"/>
  <c r="K294" i="7"/>
  <c r="F1009" i="3"/>
  <c r="F1093" i="3"/>
  <c r="F1052" i="3"/>
  <c r="K566" i="7" s="1"/>
  <c r="F756" i="3"/>
  <c r="F857" i="3"/>
  <c r="F819" i="3"/>
  <c r="F1285" i="3"/>
  <c r="K519" i="7"/>
  <c r="K596" i="7"/>
  <c r="F582" i="3"/>
  <c r="F1541" i="3"/>
  <c r="F1328" i="3"/>
  <c r="F1470" i="3"/>
  <c r="F1389" i="3"/>
  <c r="F327" i="3"/>
  <c r="K513" i="7" s="1"/>
  <c r="F357" i="3"/>
  <c r="K490" i="7"/>
  <c r="F1294" i="3"/>
  <c r="F1003" i="3"/>
  <c r="K339" i="7" s="1"/>
  <c r="F1073" i="3"/>
  <c r="F1518" i="3"/>
  <c r="K454" i="7" s="1"/>
  <c r="F1482" i="3"/>
  <c r="F1241" i="3"/>
  <c r="F1367" i="3"/>
  <c r="F1318" i="3"/>
  <c r="F1247" i="3"/>
  <c r="K488" i="7" s="1"/>
  <c r="F1117" i="3"/>
  <c r="K328" i="7" s="1"/>
  <c r="K556" i="7"/>
  <c r="F1532" i="3"/>
  <c r="K261" i="7" s="1"/>
  <c r="F1391" i="3"/>
  <c r="K501" i="7" s="1"/>
  <c r="K357" i="7"/>
  <c r="F1523" i="3"/>
  <c r="K307" i="7" s="1"/>
  <c r="F1366" i="3"/>
  <c r="K418" i="7" s="1"/>
  <c r="K325" i="7"/>
  <c r="K308" i="7"/>
  <c r="F1502" i="3"/>
  <c r="K366" i="7" s="1"/>
  <c r="F1446" i="3"/>
  <c r="K209" i="7" s="1"/>
  <c r="F1224" i="3"/>
  <c r="K28" i="7" s="1"/>
  <c r="F1358" i="3"/>
  <c r="K176" i="7" s="1"/>
  <c r="F1274" i="3"/>
  <c r="K56" i="7" s="1"/>
  <c r="K174" i="7"/>
  <c r="K120" i="7"/>
  <c r="K73" i="7"/>
  <c r="K61" i="7"/>
  <c r="K29" i="7"/>
  <c r="K90" i="7"/>
  <c r="F1462" i="3"/>
  <c r="K471" i="7" s="1"/>
  <c r="F1316" i="3"/>
  <c r="K285" i="7" s="1"/>
  <c r="F374" i="3"/>
  <c r="K132" i="7" s="1"/>
  <c r="F1351" i="3"/>
  <c r="K156" i="7" s="1"/>
  <c r="F504" i="3"/>
  <c r="K503" i="7" s="1"/>
  <c r="F217" i="3"/>
  <c r="K194" i="7" s="1"/>
  <c r="K33" i="7"/>
  <c r="F675" i="3"/>
  <c r="F1225" i="3"/>
  <c r="K10" i="7" s="1"/>
  <c r="F1449" i="3"/>
  <c r="K378" i="7"/>
  <c r="F1498" i="3"/>
  <c r="K104" i="7" s="1"/>
  <c r="F796" i="3"/>
  <c r="K287" i="7" s="1"/>
  <c r="F1297" i="3"/>
  <c r="F1154" i="3"/>
  <c r="K75" i="7" s="1"/>
  <c r="F1309" i="3"/>
  <c r="K341" i="7" s="1"/>
  <c r="F1030" i="3"/>
  <c r="F1087" i="3"/>
  <c r="F1298" i="3"/>
  <c r="F443" i="3"/>
  <c r="K455" i="7" s="1"/>
  <c r="F1227" i="3"/>
  <c r="K119" i="7" s="1"/>
  <c r="K369" i="7"/>
  <c r="K306" i="7"/>
  <c r="F1360" i="3"/>
  <c r="K98" i="7" s="1"/>
  <c r="F1242" i="3"/>
  <c r="K545" i="7" s="1"/>
  <c r="K570" i="7"/>
  <c r="F1078" i="3"/>
  <c r="F1015" i="3"/>
  <c r="F919" i="3"/>
  <c r="F662" i="3"/>
  <c r="F1465" i="3"/>
  <c r="K235" i="7"/>
  <c r="F942" i="3"/>
  <c r="K340" i="7"/>
  <c r="F783" i="3"/>
  <c r="K480" i="7" s="1"/>
  <c r="F660" i="3"/>
  <c r="F1400" i="3"/>
  <c r="F492" i="3"/>
  <c r="F1383" i="3"/>
  <c r="F1234" i="3"/>
  <c r="K46" i="7" s="1"/>
  <c r="F1038" i="3"/>
  <c r="K522" i="7"/>
  <c r="K452" i="7"/>
  <c r="K604" i="7"/>
  <c r="F439" i="3"/>
  <c r="K406" i="7" s="1"/>
  <c r="K499" i="7"/>
  <c r="F1540" i="3"/>
  <c r="K249" i="7" s="1"/>
  <c r="F1515" i="3"/>
  <c r="F1468" i="3"/>
  <c r="F1441" i="3"/>
  <c r="F1364" i="3"/>
  <c r="F1317" i="3"/>
  <c r="F1238" i="3"/>
  <c r="F325" i="3"/>
  <c r="K427" i="7" s="1"/>
  <c r="K283" i="7"/>
  <c r="F1443" i="3"/>
  <c r="F1159" i="3"/>
  <c r="K486" i="7" s="1"/>
  <c r="K253" i="7"/>
  <c r="F1505" i="3"/>
  <c r="K145" i="7" s="1"/>
  <c r="F1337" i="3"/>
  <c r="K246" i="7" s="1"/>
  <c r="K157" i="7"/>
  <c r="K516" i="7"/>
  <c r="F1491" i="3"/>
  <c r="K116" i="7" s="1"/>
  <c r="F1439" i="3"/>
  <c r="K158" i="7" s="1"/>
  <c r="F1409" i="3"/>
  <c r="K130" i="7" s="1"/>
  <c r="F1355" i="3"/>
  <c r="K134" i="7" s="1"/>
  <c r="F1271" i="3"/>
  <c r="K227" i="7" s="1"/>
  <c r="K166" i="7"/>
  <c r="K64" i="7"/>
  <c r="K146" i="7"/>
  <c r="F1201" i="3"/>
  <c r="K48" i="7" s="1"/>
  <c r="K139" i="7"/>
  <c r="K36" i="7"/>
  <c r="K67" i="7"/>
  <c r="F1411" i="3"/>
  <c r="K281" i="7" s="1"/>
  <c r="F704" i="3"/>
  <c r="K191" i="7" s="1"/>
  <c r="K140" i="7"/>
  <c r="K101" i="7"/>
  <c r="K414" i="7"/>
  <c r="K105" i="7"/>
  <c r="K206" i="7"/>
  <c r="K186" i="7"/>
  <c r="K395" i="7"/>
  <c r="F1141" i="3"/>
  <c r="F1489" i="3"/>
  <c r="K254" i="7" s="1"/>
  <c r="F960" i="3"/>
  <c r="K263" i="7" s="1"/>
  <c r="K505" i="7"/>
  <c r="F510" i="3"/>
  <c r="F869" i="3"/>
  <c r="F1372" i="3"/>
  <c r="F672" i="3"/>
  <c r="F789" i="3"/>
  <c r="F1205" i="3"/>
  <c r="K428" i="7" s="1"/>
  <c r="F1109" i="3"/>
  <c r="F953" i="3"/>
  <c r="F533" i="3"/>
  <c r="K532" i="7" s="1"/>
  <c r="F725" i="3"/>
  <c r="F1415" i="3"/>
  <c r="F1486" i="3"/>
  <c r="F1129" i="3"/>
  <c r="F1074" i="3"/>
  <c r="K563" i="7" s="1"/>
  <c r="F1034" i="3"/>
  <c r="F1199" i="3"/>
  <c r="K7" i="7" s="1"/>
  <c r="K533" i="7"/>
  <c r="F1114" i="3"/>
  <c r="F1399" i="3"/>
  <c r="F1148" i="3"/>
  <c r="F943" i="3"/>
  <c r="F781" i="3"/>
  <c r="F872" i="3"/>
  <c r="F220" i="3"/>
  <c r="F1080" i="3"/>
  <c r="K345" i="7"/>
  <c r="F1265" i="3"/>
  <c r="F989" i="3"/>
  <c r="K456" i="7" s="1"/>
  <c r="F1175" i="3"/>
  <c r="K296" i="7"/>
  <c r="F1453" i="3"/>
  <c r="K59" i="7" s="1"/>
  <c r="K164" i="7"/>
  <c r="F747" i="3"/>
  <c r="K344" i="7" s="1"/>
  <c r="F1107" i="3"/>
  <c r="F1058" i="3"/>
  <c r="F1140" i="3"/>
  <c r="F1012" i="3"/>
  <c r="F784" i="3"/>
  <c r="F895" i="3"/>
  <c r="F816" i="3"/>
  <c r="F745" i="3"/>
  <c r="F651" i="3"/>
  <c r="F795" i="3"/>
  <c r="K484" i="7" s="1"/>
  <c r="F1273" i="3"/>
  <c r="F1306" i="3"/>
  <c r="F369" i="3"/>
  <c r="K108" i="7" s="1"/>
  <c r="F1102" i="3"/>
  <c r="K549" i="7" s="1"/>
  <c r="F1522" i="3"/>
  <c r="K115" i="7" s="1"/>
  <c r="F921" i="3"/>
  <c r="F1401" i="3"/>
  <c r="K240" i="7"/>
  <c r="F827" i="3"/>
  <c r="K257" i="7"/>
  <c r="F1053" i="3"/>
  <c r="K481" i="7"/>
  <c r="F1191" i="3"/>
  <c r="K264" i="7"/>
  <c r="F1064" i="3"/>
  <c r="AE1064" i="3" s="1"/>
  <c r="F1488" i="3"/>
  <c r="F1118" i="3"/>
  <c r="F1155" i="3"/>
  <c r="AE1155" i="3" s="1"/>
  <c r="F788" i="3"/>
  <c r="F1070" i="3"/>
  <c r="F894" i="3"/>
  <c r="F1382" i="3"/>
  <c r="K214" i="7" s="1"/>
  <c r="F1203" i="3"/>
  <c r="F1176" i="3"/>
  <c r="F1059" i="3"/>
  <c r="F1509" i="3"/>
  <c r="K137" i="7" s="1"/>
  <c r="K404" i="7"/>
  <c r="F1300" i="3"/>
  <c r="K489" i="7" s="1"/>
  <c r="K327" i="7"/>
  <c r="F1151" i="3"/>
  <c r="F610" i="3"/>
  <c r="K322" i="7"/>
  <c r="F973" i="3"/>
  <c r="F450" i="3"/>
  <c r="K150" i="7" s="1"/>
  <c r="F495" i="3"/>
  <c r="F1474" i="3"/>
  <c r="K111" i="7" s="1"/>
  <c r="F852" i="3"/>
  <c r="F1157" i="3"/>
  <c r="K573" i="7" s="1"/>
  <c r="F1261" i="3"/>
  <c r="F1332" i="3"/>
  <c r="K320" i="7" s="1"/>
  <c r="F1394" i="3"/>
  <c r="F1214" i="3"/>
  <c r="K314" i="7"/>
  <c r="F1310" i="3"/>
  <c r="K302" i="7" s="1"/>
  <c r="F527" i="3"/>
  <c r="K474" i="7" s="1"/>
  <c r="F859" i="3"/>
  <c r="F1235" i="3"/>
  <c r="F708" i="3"/>
  <c r="F1136" i="3"/>
  <c r="F875" i="3"/>
  <c r="F774" i="3"/>
  <c r="F295" i="3"/>
  <c r="K185" i="7" s="1"/>
  <c r="K381" i="7"/>
  <c r="K347" i="7"/>
  <c r="F1288" i="3"/>
  <c r="F1139" i="3"/>
  <c r="F1124" i="3"/>
  <c r="F1092" i="3"/>
  <c r="F1068" i="3"/>
  <c r="F899" i="3"/>
  <c r="F853" i="3"/>
  <c r="F830" i="3"/>
  <c r="F812" i="3"/>
  <c r="F957" i="3"/>
  <c r="F948" i="3"/>
  <c r="F754" i="3"/>
  <c r="F914" i="3"/>
  <c r="F1249" i="3"/>
  <c r="F673" i="3"/>
  <c r="F881" i="3"/>
  <c r="F851" i="3"/>
  <c r="F835" i="3"/>
  <c r="F813" i="3"/>
  <c r="F782" i="3"/>
  <c r="F762" i="3"/>
  <c r="F744" i="3"/>
  <c r="K431" i="7" s="1"/>
  <c r="F713" i="3"/>
  <c r="K361" i="7" s="1"/>
  <c r="F671" i="3"/>
  <c r="F1296" i="3"/>
  <c r="F650" i="3"/>
  <c r="K468" i="7"/>
  <c r="K577" i="7"/>
  <c r="F768" i="3"/>
  <c r="K506" i="7" s="1"/>
  <c r="K438" i="7"/>
  <c r="F1022" i="3"/>
  <c r="F1350" i="3"/>
  <c r="F1171" i="3"/>
  <c r="F1463" i="3"/>
  <c r="F609" i="3"/>
  <c r="F1543" i="3"/>
  <c r="F1380" i="3"/>
  <c r="K590" i="7" s="1"/>
  <c r="F1216" i="3"/>
  <c r="K363" i="7" s="1"/>
  <c r="F1010" i="3"/>
  <c r="F1245" i="3"/>
  <c r="F1517" i="3"/>
  <c r="F511" i="3"/>
  <c r="K530" i="7" s="1"/>
  <c r="F1534" i="3"/>
  <c r="F1514" i="3"/>
  <c r="F1466" i="3"/>
  <c r="F1432" i="3"/>
  <c r="F1357" i="3"/>
  <c r="K548" i="7" s="1"/>
  <c r="F1239" i="3"/>
  <c r="F1232" i="3"/>
  <c r="K466" i="7" s="1"/>
  <c r="F1081" i="3"/>
  <c r="K353" i="7" s="1"/>
  <c r="K399" i="7"/>
  <c r="K305" i="7"/>
  <c r="K262" i="7"/>
  <c r="F1403" i="3"/>
  <c r="F1126" i="3"/>
  <c r="K388" i="7"/>
  <c r="F1479" i="3"/>
  <c r="K259" i="7" s="1"/>
  <c r="F1280" i="3"/>
  <c r="K125" i="7" s="1"/>
  <c r="K239" i="7"/>
  <c r="F1537" i="3"/>
  <c r="K292" i="7" s="1"/>
  <c r="F1490" i="3"/>
  <c r="K161" i="7" s="1"/>
  <c r="F1436" i="3"/>
  <c r="K122" i="7" s="1"/>
  <c r="F1406" i="3"/>
  <c r="K128" i="7" s="1"/>
  <c r="F1354" i="3"/>
  <c r="K245" i="7" s="1"/>
  <c r="F1255" i="3"/>
  <c r="K97" i="7" s="1"/>
  <c r="K77" i="7"/>
  <c r="F1212" i="3"/>
  <c r="K52" i="7" s="1"/>
  <c r="K82" i="7"/>
  <c r="F1202" i="3"/>
  <c r="K63" i="7"/>
  <c r="F1188" i="3"/>
  <c r="K9" i="7" s="1"/>
  <c r="K444" i="7"/>
  <c r="K255" i="7"/>
  <c r="F1323" i="3"/>
  <c r="K80" i="7" s="1"/>
  <c r="F458" i="3"/>
  <c r="K228" i="7" s="1"/>
  <c r="F383" i="3"/>
  <c r="K540" i="7" s="1"/>
  <c r="K229" i="7"/>
  <c r="F1353" i="3"/>
  <c r="K223" i="7" s="1"/>
  <c r="K72" i="7"/>
  <c r="K205" i="7"/>
  <c r="F1095" i="3"/>
  <c r="F1142" i="3"/>
  <c r="K392" i="7" s="1"/>
  <c r="F1410" i="3"/>
  <c r="K142" i="7" s="1"/>
  <c r="F1334" i="3"/>
  <c r="K169" i="7" s="1"/>
  <c r="F1103" i="3"/>
  <c r="K443" i="7"/>
  <c r="F1501" i="3"/>
  <c r="K400" i="7" s="1"/>
  <c r="K415" i="7"/>
  <c r="F395" i="3"/>
  <c r="K215" i="7" s="1"/>
  <c r="F985" i="3"/>
  <c r="F898" i="3"/>
  <c r="K512" i="7" s="1"/>
  <c r="F775" i="3"/>
  <c r="K153" i="7"/>
  <c r="F1173" i="3"/>
  <c r="F1056" i="3"/>
  <c r="K284" i="7" s="1"/>
  <c r="F1244" i="3"/>
  <c r="K95" i="7" s="1"/>
  <c r="F1478" i="3"/>
  <c r="F1147" i="3"/>
  <c r="K584" i="7"/>
  <c r="F1005" i="3"/>
  <c r="F966" i="3"/>
  <c r="F885" i="3"/>
  <c r="F818" i="3"/>
  <c r="K390" i="7" s="1"/>
  <c r="F1349" i="3"/>
  <c r="K180" i="7" s="1"/>
  <c r="K196" i="7"/>
  <c r="F417" i="3"/>
  <c r="F1248" i="3"/>
  <c r="F1014" i="3"/>
  <c r="F1525" i="3"/>
  <c r="F1169" i="3"/>
  <c r="F1209" i="3"/>
  <c r="K44" i="7" s="1"/>
  <c r="F595" i="3"/>
  <c r="K402" i="7" s="1"/>
  <c r="F1395" i="3"/>
  <c r="F1094" i="3"/>
  <c r="F1457" i="3"/>
  <c r="K365" i="7" s="1"/>
  <c r="K136" i="7"/>
  <c r="F939" i="3"/>
  <c r="F814" i="3"/>
  <c r="F721" i="3"/>
  <c r="F714" i="3"/>
  <c r="F1327" i="3"/>
  <c r="K531" i="7" s="1"/>
  <c r="F1459" i="3"/>
  <c r="K78" i="7" s="1"/>
  <c r="F1115" i="3"/>
  <c r="F1381" i="3"/>
  <c r="K31" i="7" s="1"/>
  <c r="F1374" i="3"/>
  <c r="K23" i="7" s="1"/>
  <c r="F1307" i="3"/>
  <c r="F1111" i="3"/>
  <c r="F1483" i="3"/>
  <c r="K537" i="7"/>
  <c r="F1133" i="3"/>
  <c r="K102" i="7"/>
  <c r="K332" i="7"/>
  <c r="F1536" i="3"/>
  <c r="K43" i="7" s="1"/>
  <c r="F1213" i="3"/>
  <c r="K71" i="7" s="1"/>
  <c r="F726" i="3"/>
  <c r="F301" i="3"/>
  <c r="K310" i="7" s="1"/>
  <c r="F1539" i="3"/>
  <c r="AE1539" i="3" s="1"/>
  <c r="K324" i="7"/>
  <c r="F967" i="3"/>
  <c r="K346" i="7" s="1"/>
  <c r="F552" i="3"/>
  <c r="F1138" i="3"/>
  <c r="K495" i="7"/>
  <c r="K99" i="7"/>
  <c r="F905" i="3"/>
  <c r="K270" i="7"/>
  <c r="F1494" i="3"/>
  <c r="K403" i="7" s="1"/>
  <c r="K231" i="7"/>
  <c r="K524" i="7"/>
  <c r="K360" i="7"/>
  <c r="AE223" i="3"/>
  <c r="F1237" i="3"/>
  <c r="K192" i="7"/>
  <c r="F584" i="3"/>
  <c r="K236" i="7" s="1"/>
  <c r="K385" i="7"/>
  <c r="F1341" i="3"/>
  <c r="K535" i="7" s="1"/>
  <c r="F1461" i="3"/>
  <c r="K318" i="7" s="1"/>
  <c r="F920" i="3"/>
  <c r="K492" i="7"/>
  <c r="F1251" i="3"/>
  <c r="F1160" i="3"/>
  <c r="F1045" i="3"/>
  <c r="F1170" i="3"/>
  <c r="F1378" i="3"/>
  <c r="K562" i="7" s="1"/>
  <c r="F1137" i="3"/>
  <c r="F1040" i="3"/>
  <c r="F981" i="3"/>
  <c r="F934" i="3"/>
  <c r="F603" i="3"/>
  <c r="F1006" i="3"/>
  <c r="AE1006" i="3" s="1"/>
  <c r="F990" i="3"/>
  <c r="F978" i="3"/>
  <c r="F956" i="3"/>
  <c r="AE956" i="3" s="1"/>
  <c r="F941" i="3"/>
  <c r="F930" i="3"/>
  <c r="F705" i="3"/>
  <c r="F903" i="3"/>
  <c r="F670" i="3"/>
  <c r="F879" i="3"/>
  <c r="F866" i="3"/>
  <c r="F850" i="3"/>
  <c r="F834" i="3"/>
  <c r="F807" i="3"/>
  <c r="K581" i="7" s="1"/>
  <c r="F780" i="3"/>
  <c r="K599" i="7" s="1"/>
  <c r="F759" i="3"/>
  <c r="F739" i="3"/>
  <c r="K394" i="7" s="1"/>
  <c r="F710" i="3"/>
  <c r="F669" i="3"/>
  <c r="F659" i="3"/>
  <c r="K458" i="7"/>
  <c r="F764" i="3"/>
  <c r="K528" i="7" s="1"/>
  <c r="K391" i="7"/>
  <c r="K483" i="7"/>
  <c r="F1492" i="3"/>
  <c r="K554" i="7"/>
  <c r="F1110" i="3"/>
  <c r="K555" i="7"/>
  <c r="F1448" i="3"/>
  <c r="F1028" i="3"/>
  <c r="K411" i="7" s="1"/>
  <c r="K496" i="7"/>
  <c r="K232" i="7"/>
  <c r="F1368" i="3"/>
  <c r="F498" i="3"/>
  <c r="F958" i="3"/>
  <c r="K601" i="7"/>
  <c r="F1423" i="3"/>
  <c r="K479" i="7" s="1"/>
  <c r="F551" i="3"/>
  <c r="K487" i="7" s="1"/>
  <c r="AE808" i="3"/>
  <c r="F1531" i="3"/>
  <c r="F1510" i="3"/>
  <c r="F344" i="3"/>
  <c r="K511" i="7" s="1"/>
  <c r="F1420" i="3"/>
  <c r="K546" i="7" s="1"/>
  <c r="F1338" i="3"/>
  <c r="K446" i="7" s="1"/>
  <c r="F1311" i="3"/>
  <c r="F1206" i="3"/>
  <c r="F1036" i="3"/>
  <c r="K313" i="7" s="1"/>
  <c r="K273" i="7"/>
  <c r="K448" i="7"/>
  <c r="F537" i="3"/>
  <c r="K238" i="7" s="1"/>
  <c r="K359" i="7"/>
  <c r="F1467" i="3"/>
  <c r="K547" i="7" s="1"/>
  <c r="F608" i="3"/>
  <c r="K299" i="7" s="1"/>
  <c r="K207" i="7"/>
  <c r="F1530" i="3"/>
  <c r="K155" i="7" s="1"/>
  <c r="F1473" i="3"/>
  <c r="K106" i="7" s="1"/>
  <c r="F1433" i="3"/>
  <c r="K265" i="7" s="1"/>
  <c r="F1223" i="3"/>
  <c r="K51" i="7" s="1"/>
  <c r="F1331" i="3"/>
  <c r="K92" i="7" s="1"/>
  <c r="F1222" i="3"/>
  <c r="K76" i="7" s="1"/>
  <c r="K182" i="7"/>
  <c r="K86" i="7"/>
  <c r="K100" i="7"/>
  <c r="F1200" i="3"/>
  <c r="K41" i="7" s="1"/>
  <c r="F1193" i="3"/>
  <c r="K47" i="7" s="1"/>
  <c r="K84" i="7"/>
  <c r="F1369" i="3"/>
  <c r="K358" i="7" s="1"/>
  <c r="F1228" i="3"/>
  <c r="K20" i="7" s="1"/>
  <c r="K30" i="7"/>
  <c r="K167" i="7"/>
  <c r="K267" i="7"/>
  <c r="F880" i="3"/>
  <c r="F1021" i="3"/>
  <c r="K26" i="7"/>
  <c r="F740" i="3"/>
  <c r="F1054" i="3"/>
  <c r="K423" i="7" s="1"/>
  <c r="F427" i="3"/>
  <c r="K445" i="7" s="1"/>
  <c r="F1210" i="3"/>
  <c r="K66" i="7" s="1"/>
  <c r="F1057" i="3"/>
  <c r="F1221" i="3"/>
  <c r="K22" i="7" s="1"/>
  <c r="F665" i="3"/>
  <c r="F1013" i="3"/>
  <c r="F1071" i="3"/>
  <c r="K440" i="7" s="1"/>
  <c r="K349" i="7"/>
  <c r="F1178" i="3"/>
  <c r="F1062" i="3"/>
  <c r="F925" i="3"/>
  <c r="F1428" i="3"/>
  <c r="F1421" i="3"/>
  <c r="F757" i="3"/>
  <c r="K424" i="7" s="1"/>
  <c r="F843" i="3"/>
  <c r="K330" i="7" s="1"/>
  <c r="F975" i="3"/>
  <c r="F1172" i="3"/>
  <c r="K49" i="7" s="1"/>
  <c r="K316" i="7"/>
  <c r="K470" i="7"/>
  <c r="K35" i="7"/>
  <c r="K396" i="7"/>
  <c r="F1422" i="3"/>
  <c r="F1130" i="3"/>
  <c r="F998" i="3"/>
  <c r="F695" i="3"/>
  <c r="F767" i="3"/>
  <c r="F718" i="3"/>
  <c r="K222" i="7"/>
  <c r="F1412" i="3"/>
  <c r="F926" i="3"/>
  <c r="F1125" i="3"/>
  <c r="F1291" i="3"/>
  <c r="K422" i="7" s="1"/>
  <c r="F772" i="3"/>
  <c r="K288" i="7" s="1"/>
  <c r="K94" i="7"/>
  <c r="F1236" i="3"/>
  <c r="F797" i="3"/>
  <c r="F1066" i="3"/>
  <c r="K187" i="7" s="1"/>
  <c r="F703" i="3"/>
  <c r="K589" i="7"/>
  <c r="F1000" i="3"/>
  <c r="K587" i="7" s="1"/>
  <c r="F833" i="3"/>
  <c r="F932" i="3"/>
  <c r="F884" i="3"/>
  <c r="F1347" i="3"/>
  <c r="F848" i="3"/>
  <c r="F1282" i="3"/>
  <c r="K334" i="7" s="1"/>
  <c r="F1487" i="3"/>
  <c r="K83" i="7" s="1"/>
  <c r="K509" i="7"/>
  <c r="F1335" i="3"/>
  <c r="K114" i="7" s="1"/>
  <c r="K304" i="7"/>
  <c r="K336" i="7"/>
  <c r="K242" i="7"/>
  <c r="F1192" i="3"/>
  <c r="K272" i="7"/>
  <c r="F1211" i="3"/>
  <c r="K42" i="7" s="1"/>
  <c r="F1308" i="3"/>
  <c r="F1430" i="3"/>
  <c r="F1513" i="3"/>
  <c r="F1402" i="3"/>
  <c r="F970" i="3"/>
  <c r="F1472" i="3"/>
  <c r="F580" i="3"/>
  <c r="F1065" i="3"/>
  <c r="F1165" i="3"/>
  <c r="F979" i="3"/>
  <c r="K451" i="7" s="1"/>
  <c r="F1112" i="3"/>
  <c r="K315" i="7" s="1"/>
  <c r="F692" i="3"/>
  <c r="F438" i="3"/>
  <c r="K437" i="7" s="1"/>
  <c r="K221" i="7"/>
  <c r="F1061" i="3"/>
  <c r="K453" i="7" s="1"/>
  <c r="F972" i="3"/>
  <c r="K74" i="7" s="1"/>
  <c r="F1143" i="3"/>
  <c r="F1166" i="3"/>
  <c r="F1292" i="3"/>
  <c r="F1096" i="3"/>
  <c r="K375" i="7"/>
  <c r="F1233" i="3"/>
  <c r="K171" i="7" s="1"/>
  <c r="F750" i="3"/>
  <c r="K441" i="7" s="1"/>
  <c r="F545" i="3"/>
  <c r="K567" i="7" s="1"/>
  <c r="F1348" i="3"/>
  <c r="K218" i="7" s="1"/>
  <c r="F777" i="3"/>
  <c r="F1277" i="3"/>
  <c r="K376" i="7" s="1"/>
  <c r="AE647" i="3"/>
  <c r="K234" i="7"/>
  <c r="F1023" i="3"/>
  <c r="K269" i="7" s="1"/>
  <c r="F1026" i="3"/>
  <c r="K18" i="7"/>
  <c r="F1104" i="3"/>
  <c r="F1031" i="3"/>
  <c r="F1122" i="3"/>
  <c r="F548" i="3"/>
  <c r="F1231" i="3"/>
  <c r="K387" i="7" s="1"/>
  <c r="F1521" i="3"/>
  <c r="K355" i="7" s="1"/>
  <c r="F1481" i="3"/>
  <c r="K515" i="7" s="1"/>
  <c r="F1097" i="3"/>
  <c r="F1035" i="3"/>
  <c r="F968" i="3"/>
  <c r="F936" i="3"/>
  <c r="F1029" i="3"/>
  <c r="F1007" i="3"/>
  <c r="F988" i="3"/>
  <c r="F974" i="3"/>
  <c r="F785" i="3"/>
  <c r="F944" i="3"/>
  <c r="K410" i="7" s="1"/>
  <c r="F929" i="3"/>
  <c r="F912" i="3"/>
  <c r="F901" i="3"/>
  <c r="F892" i="3"/>
  <c r="F878" i="3"/>
  <c r="F863" i="3"/>
  <c r="F849" i="3"/>
  <c r="F828" i="3"/>
  <c r="F806" i="3"/>
  <c r="F755" i="3"/>
  <c r="F736" i="3"/>
  <c r="F702" i="3"/>
  <c r="F668" i="3"/>
  <c r="F410" i="3"/>
  <c r="K569" i="7" s="1"/>
  <c r="K557" i="7"/>
  <c r="F353" i="3"/>
  <c r="K352" i="7" s="1"/>
  <c r="K467" i="7"/>
  <c r="K478" i="7"/>
  <c r="F1480" i="3"/>
  <c r="F581" i="3"/>
  <c r="F586" i="3"/>
  <c r="K421" i="7" s="1"/>
  <c r="F1435" i="3"/>
  <c r="K301" i="7"/>
  <c r="F1356" i="3"/>
  <c r="K367" i="7" s="1"/>
  <c r="F1179" i="3"/>
  <c r="K350" i="7" s="1"/>
  <c r="F1371" i="3"/>
  <c r="K379" i="7" s="1"/>
  <c r="K520" i="7"/>
  <c r="K271" i="7"/>
  <c r="F1408" i="3"/>
  <c r="K408" i="7" s="1"/>
  <c r="F1190" i="3"/>
  <c r="F1528" i="3"/>
  <c r="F1508" i="3"/>
  <c r="F1460" i="3"/>
  <c r="K574" i="7" s="1"/>
  <c r="F1413" i="3"/>
  <c r="K514" i="7" s="1"/>
  <c r="F1336" i="3"/>
  <c r="F1279" i="3"/>
  <c r="F355" i="3"/>
  <c r="K354" i="7" s="1"/>
  <c r="K154" i="7"/>
  <c r="K326" i="7"/>
  <c r="F1262" i="3"/>
  <c r="F373" i="3"/>
  <c r="K477" i="7" s="1"/>
  <c r="K461" i="7"/>
  <c r="F1464" i="3"/>
  <c r="K213" i="7" s="1"/>
  <c r="F1025" i="3"/>
  <c r="K188" i="7" s="1"/>
  <c r="F1230" i="3"/>
  <c r="K121" i="7" s="1"/>
  <c r="F1529" i="3"/>
  <c r="K163" i="7" s="1"/>
  <c r="F1471" i="3"/>
  <c r="K138" i="7" s="1"/>
  <c r="F1426" i="3"/>
  <c r="K338" i="7" s="1"/>
  <c r="F1390" i="3"/>
  <c r="K103" i="7" s="1"/>
  <c r="F1330" i="3"/>
  <c r="K184" i="7" s="1"/>
  <c r="F577" i="3"/>
  <c r="K148" i="7" s="1"/>
  <c r="K165" i="7"/>
  <c r="K40" i="7"/>
  <c r="F1208" i="3"/>
  <c r="K39" i="7" s="1"/>
  <c r="F1196" i="3"/>
  <c r="K5" i="7" s="1"/>
  <c r="K34" i="7"/>
  <c r="F1184" i="3"/>
  <c r="K14" i="7" s="1"/>
  <c r="K277" i="7"/>
  <c r="F606" i="3"/>
  <c r="K110" i="7" s="1"/>
  <c r="F1266" i="3"/>
  <c r="K256" i="7" s="1"/>
  <c r="K172" i="7"/>
  <c r="F1339" i="3"/>
  <c r="K433" i="7" s="1"/>
  <c r="K202" i="7"/>
  <c r="K439" i="7"/>
  <c r="K133" i="7"/>
  <c r="F847" i="3"/>
  <c r="F1163" i="3"/>
  <c r="K91" i="7" s="1"/>
  <c r="F539" i="3"/>
  <c r="K300" i="7" s="1"/>
  <c r="F1121" i="3"/>
  <c r="F1469" i="3"/>
  <c r="K79" i="7" s="1"/>
  <c r="K141" i="7"/>
  <c r="F1303" i="3"/>
  <c r="F1215" i="3"/>
  <c r="K16" i="7" s="1"/>
  <c r="F1001" i="3"/>
  <c r="F1500" i="3"/>
  <c r="F1220" i="3"/>
  <c r="K473" i="7" s="1"/>
  <c r="F1016" i="3"/>
  <c r="F935" i="3"/>
  <c r="F862" i="3"/>
  <c r="F706" i="3"/>
  <c r="K460" i="7" s="1"/>
  <c r="K571" i="7"/>
  <c r="F1302" i="3"/>
  <c r="K27" i="7"/>
  <c r="F1431" i="3"/>
  <c r="F1246" i="3"/>
  <c r="F1538" i="3"/>
  <c r="F1506" i="3"/>
  <c r="K50" i="7" s="1"/>
  <c r="F997" i="3"/>
  <c r="F738" i="3"/>
  <c r="F1146" i="3"/>
  <c r="F982" i="3"/>
  <c r="F902" i="3"/>
  <c r="F1144" i="3"/>
  <c r="F731" i="3"/>
  <c r="F365" i="3"/>
  <c r="K463" i="7" s="1"/>
  <c r="F803" i="3"/>
  <c r="F253" i="3"/>
  <c r="F976" i="3"/>
  <c r="F418" i="3"/>
  <c r="K417" i="7" s="1"/>
  <c r="F748" i="3"/>
  <c r="F1024" i="3"/>
  <c r="F1088" i="3"/>
  <c r="F1048" i="3"/>
  <c r="F1047" i="3"/>
  <c r="F959" i="3"/>
  <c r="F681" i="3"/>
  <c r="F678" i="3"/>
  <c r="F1123" i="3"/>
  <c r="F1195" i="3"/>
  <c r="K21" i="7" s="1"/>
  <c r="K24" i="7"/>
  <c r="F1091" i="3"/>
  <c r="K377" i="7" s="1"/>
  <c r="F1283" i="3"/>
  <c r="K274" i="7"/>
  <c r="F1476" i="3"/>
  <c r="K237" i="7" s="1"/>
  <c r="F384" i="3"/>
  <c r="K112" i="7" s="1"/>
  <c r="F420" i="3"/>
  <c r="K419" i="7" s="1"/>
  <c r="K485" i="7"/>
  <c r="F1437" i="3"/>
  <c r="F1419" i="3"/>
  <c r="K384" i="7"/>
  <c r="F1167" i="3"/>
  <c r="K210" i="7" s="1"/>
  <c r="F1108" i="3"/>
  <c r="F1392" i="3"/>
  <c r="K113" i="7" s="1"/>
  <c r="F917" i="3"/>
  <c r="K561" i="7" s="1"/>
  <c r="K510" i="7"/>
  <c r="F1161" i="3"/>
  <c r="F779" i="3"/>
  <c r="F743" i="3"/>
  <c r="F1444" i="3"/>
  <c r="F1497" i="3"/>
  <c r="K393" i="7" s="1"/>
  <c r="F1162" i="3"/>
  <c r="K220" i="7" s="1"/>
  <c r="K335" i="7"/>
  <c r="F798" i="3"/>
  <c r="F431" i="3"/>
  <c r="K295" i="7" s="1"/>
  <c r="F477" i="3"/>
  <c r="K405" i="7" s="1"/>
  <c r="K258" i="7"/>
  <c r="F1189" i="3"/>
  <c r="K11" i="7" s="1"/>
  <c r="F1313" i="3"/>
  <c r="K595" i="7"/>
  <c r="F465" i="3"/>
  <c r="K560" i="7" s="1"/>
  <c r="F1182" i="3"/>
  <c r="K500" i="7" s="1"/>
  <c r="F821" i="3"/>
  <c r="F964" i="3"/>
  <c r="K504" i="7" s="1"/>
  <c r="F1089" i="3"/>
  <c r="F1250" i="3"/>
  <c r="K126" i="7" s="1"/>
  <c r="F1267" i="3"/>
  <c r="F1132" i="3"/>
  <c r="F483" i="3"/>
  <c r="K475" i="7" s="1"/>
  <c r="F1218" i="3"/>
  <c r="K55" i="7" s="1"/>
  <c r="F749" i="3"/>
  <c r="F290" i="3"/>
  <c r="K289" i="7" s="1"/>
  <c r="F1043" i="3"/>
  <c r="F1359" i="3"/>
  <c r="K565" i="7" s="1"/>
  <c r="F1150" i="3"/>
  <c r="F698" i="3"/>
  <c r="K602" i="7" s="1"/>
  <c r="F996" i="3"/>
  <c r="K266" i="7"/>
  <c r="F1152" i="3"/>
  <c r="F1033" i="3"/>
  <c r="F965" i="3"/>
  <c r="F931" i="3"/>
  <c r="F871" i="3"/>
  <c r="F560" i="3"/>
  <c r="F987" i="3"/>
  <c r="K586" i="7" s="1"/>
  <c r="F801" i="3"/>
  <c r="F954" i="3"/>
  <c r="F773" i="3"/>
  <c r="F742" i="3"/>
  <c r="F911" i="3"/>
  <c r="F676" i="3"/>
  <c r="F891" i="3"/>
  <c r="F877" i="3"/>
  <c r="F846" i="3"/>
  <c r="F826" i="3"/>
  <c r="F794" i="3"/>
  <c r="F604" i="3"/>
  <c r="K603" i="7" s="1"/>
  <c r="F752" i="3"/>
  <c r="K572" i="7" s="1"/>
  <c r="F732" i="3"/>
  <c r="K429" i="7" s="1"/>
  <c r="F694" i="3"/>
  <c r="F667" i="3"/>
  <c r="F576" i="3"/>
  <c r="F592" i="3"/>
  <c r="F1429" i="3"/>
  <c r="K457" i="7" s="1"/>
  <c r="F479" i="3"/>
  <c r="K542" i="7"/>
  <c r="F1427" i="3"/>
  <c r="K559" i="7"/>
  <c r="F1477" i="3"/>
  <c r="K525" i="7" s="1"/>
  <c r="F1342" i="3"/>
  <c r="F1156" i="3"/>
  <c r="K462" i="7" s="1"/>
  <c r="K380" i="7"/>
  <c r="F1377" i="3"/>
  <c r="K282" i="7" s="1"/>
  <c r="F1181" i="3"/>
  <c r="K420" i="7" s="1"/>
  <c r="K442" i="7"/>
  <c r="F1527" i="3"/>
  <c r="K333" i="7" s="1"/>
  <c r="F1504" i="3"/>
  <c r="K397" i="7" s="1"/>
  <c r="F1458" i="3"/>
  <c r="F1404" i="3"/>
  <c r="F1325" i="3"/>
  <c r="K430" i="7" s="1"/>
  <c r="F1278" i="3"/>
  <c r="K432" i="7" s="1"/>
  <c r="F1168" i="3"/>
  <c r="K527" i="7" s="1"/>
  <c r="K329" i="7"/>
  <c r="K193" i="7"/>
  <c r="K203" i="7"/>
  <c r="F1240" i="3"/>
  <c r="K319" i="7"/>
  <c r="K459" i="7"/>
  <c r="F1393" i="3"/>
  <c r="K170" i="7" s="1"/>
  <c r="F993" i="3"/>
  <c r="K342" i="7" s="1"/>
  <c r="F1516" i="3"/>
  <c r="K208" i="7" s="1"/>
  <c r="F1456" i="3"/>
  <c r="K135" i="7" s="1"/>
  <c r="F1425" i="3"/>
  <c r="F1379" i="3"/>
  <c r="K190" i="7" s="1"/>
  <c r="F1326" i="3"/>
  <c r="K129" i="7" s="1"/>
  <c r="F1149" i="3"/>
  <c r="K160" i="7" s="1"/>
  <c r="K179" i="7"/>
  <c r="K230" i="7"/>
  <c r="F1204" i="3"/>
  <c r="K54" i="7" s="1"/>
  <c r="F1198" i="3"/>
  <c r="K12" i="7" s="1"/>
  <c r="K19" i="7"/>
  <c r="F1185" i="3"/>
  <c r="K37" i="7"/>
  <c r="F1019" i="3"/>
  <c r="K233" i="7" s="1"/>
  <c r="K225" i="7"/>
  <c r="F1416" i="3"/>
  <c r="K85" i="7" s="1"/>
  <c r="F1098" i="3"/>
  <c r="K317" i="7"/>
  <c r="F1495" i="3"/>
  <c r="K311" i="7" s="1"/>
  <c r="K362" i="7"/>
  <c r="F1533" i="3"/>
  <c r="K109" i="7" s="1"/>
  <c r="F906" i="3"/>
  <c r="K482" i="7" s="1"/>
  <c r="K175" i="7"/>
  <c r="F594" i="3"/>
  <c r="F1535" i="3"/>
  <c r="K162" i="7" s="1"/>
  <c r="F1084" i="3"/>
  <c r="K447" i="7" s="1"/>
  <c r="BB186" i="1"/>
  <c r="AZ186" i="1" s="1"/>
  <c r="BB773" i="1"/>
  <c r="AZ773" i="1" s="1"/>
  <c r="BB428" i="1"/>
  <c r="AZ428" i="1" s="1"/>
  <c r="BB707" i="1"/>
  <c r="AZ707" i="1" s="1"/>
  <c r="Q771" i="3" s="1"/>
  <c r="BB769" i="1"/>
  <c r="AZ769" i="1" s="1"/>
  <c r="BB399" i="1"/>
  <c r="AZ399" i="1" s="1"/>
  <c r="BB600" i="1"/>
  <c r="AZ600" i="1" s="1"/>
  <c r="Q310" i="3" s="1"/>
  <c r="BB454" i="1"/>
  <c r="AZ454" i="1" s="1"/>
  <c r="BB658" i="1"/>
  <c r="AZ658" i="1" s="1"/>
  <c r="BB147" i="1"/>
  <c r="AZ147" i="1" s="1"/>
  <c r="Q943" i="3" s="1"/>
  <c r="BB486" i="1"/>
  <c r="AZ486" i="1" s="1"/>
  <c r="Q1295" i="3" s="1"/>
  <c r="BB233" i="1"/>
  <c r="AZ233" i="1" s="1"/>
  <c r="BB361" i="1"/>
  <c r="AZ361" i="1" s="1"/>
  <c r="BB669" i="1"/>
  <c r="AZ669" i="1" s="1"/>
  <c r="BB348" i="1"/>
  <c r="AZ348" i="1" s="1"/>
  <c r="Q853" i="3" s="1"/>
  <c r="BB701" i="1"/>
  <c r="AZ701" i="1" s="1"/>
  <c r="BB288" i="1"/>
  <c r="AZ288" i="1" s="1"/>
  <c r="BB537" i="1"/>
  <c r="AZ537" i="1" s="1"/>
  <c r="Q194" i="3" s="1"/>
  <c r="BB453" i="1"/>
  <c r="AZ453" i="1" s="1"/>
  <c r="BB749" i="1"/>
  <c r="AZ749" i="1" s="1"/>
  <c r="Q986" i="3" s="1"/>
  <c r="BB387" i="1"/>
  <c r="AZ387" i="1" s="1"/>
  <c r="BB763" i="1"/>
  <c r="AZ763" i="1" s="1"/>
  <c r="BB422" i="1"/>
  <c r="AZ422" i="1" s="1"/>
  <c r="BB405" i="1"/>
  <c r="AZ405" i="1" s="1"/>
  <c r="BB431" i="1"/>
  <c r="AZ431" i="1" s="1"/>
  <c r="BB446" i="1"/>
  <c r="AZ446" i="1" s="1"/>
  <c r="BB488" i="1"/>
  <c r="AZ488" i="1" s="1"/>
  <c r="Q1301" i="3" s="1"/>
  <c r="BB702" i="1"/>
  <c r="AZ702" i="1" s="1"/>
  <c r="Q497" i="3" s="1"/>
  <c r="BB324" i="1"/>
  <c r="AZ324" i="1" s="1"/>
  <c r="BB221" i="1"/>
  <c r="AZ221" i="1" s="1"/>
  <c r="BB77" i="1"/>
  <c r="AZ77" i="1" s="1"/>
  <c r="BB202" i="1"/>
  <c r="AZ202" i="1" s="1"/>
  <c r="BB652" i="1"/>
  <c r="AZ652" i="1" s="1"/>
  <c r="BB265" i="1"/>
  <c r="AZ265" i="1" s="1"/>
  <c r="BB456" i="1"/>
  <c r="AZ456" i="1" s="1"/>
  <c r="BB200" i="1"/>
  <c r="AZ200" i="1" s="1"/>
  <c r="Q800" i="3" s="1"/>
  <c r="BB127" i="1"/>
  <c r="AZ127" i="1" s="1"/>
  <c r="BB275" i="1"/>
  <c r="AZ275" i="1" s="1"/>
  <c r="BB400" i="1"/>
  <c r="BB736" i="1"/>
  <c r="AZ736" i="1" s="1"/>
  <c r="Q927" i="3" s="1"/>
  <c r="BB489" i="1"/>
  <c r="AZ489" i="1" s="1"/>
  <c r="BB397" i="1"/>
  <c r="AZ397" i="1" s="1"/>
  <c r="BB390" i="1"/>
  <c r="AZ390" i="1" s="1"/>
  <c r="BB712" i="1"/>
  <c r="AZ712" i="1" s="1"/>
  <c r="Q805" i="3" s="1"/>
  <c r="BB471" i="1"/>
  <c r="AZ471" i="1" s="1"/>
  <c r="BB156" i="1"/>
  <c r="AZ156" i="1" s="1"/>
  <c r="BB310" i="1"/>
  <c r="AZ310" i="1" s="1"/>
  <c r="BB738" i="1"/>
  <c r="AZ738" i="1" s="1"/>
  <c r="Q938" i="3" s="1"/>
  <c r="BB494" i="1"/>
  <c r="AZ494" i="1" s="1"/>
  <c r="BB780" i="1"/>
  <c r="AZ780" i="1" s="1"/>
  <c r="BB323" i="1"/>
  <c r="AZ323" i="1" s="1"/>
  <c r="BB538" i="1"/>
  <c r="AZ538" i="1" s="1"/>
  <c r="Q103" i="3" s="1"/>
  <c r="BB264" i="1"/>
  <c r="AZ264" i="1" s="1"/>
  <c r="AZ400" i="1"/>
  <c r="BB107" i="1"/>
  <c r="AZ107" i="1" s="1"/>
  <c r="BB498" i="1"/>
  <c r="AZ498" i="1" s="1"/>
  <c r="BB76" i="1"/>
  <c r="AZ76" i="1" s="1"/>
  <c r="BB386" i="1"/>
  <c r="AZ386" i="1" s="1"/>
  <c r="BB139" i="1"/>
  <c r="AZ139" i="1" s="1"/>
  <c r="BB175" i="1"/>
  <c r="AZ175" i="1" s="1"/>
  <c r="BB282" i="1"/>
  <c r="AZ282" i="1" s="1"/>
  <c r="Q812" i="3" s="1"/>
  <c r="BB676" i="1"/>
  <c r="AZ676" i="1" s="1"/>
  <c r="Q520" i="3" s="1"/>
  <c r="BB487" i="1"/>
  <c r="AZ487" i="1" s="1"/>
  <c r="Q1299" i="3" s="1"/>
  <c r="BB129" i="1"/>
  <c r="AZ129" i="1" s="1"/>
  <c r="BB485" i="1"/>
  <c r="AZ485" i="1" s="1"/>
  <c r="BB56" i="1"/>
  <c r="AZ56" i="1" s="1"/>
  <c r="BB730" i="1"/>
  <c r="AZ730" i="1" s="1"/>
  <c r="BB213" i="1"/>
  <c r="AZ213" i="1" s="1"/>
  <c r="BB699" i="1"/>
  <c r="AZ699" i="1" s="1"/>
  <c r="BB776" i="1"/>
  <c r="AZ776" i="1" s="1"/>
  <c r="BB407" i="1"/>
  <c r="AZ407" i="1" s="1"/>
  <c r="BB740" i="1"/>
  <c r="AZ740" i="1" s="1"/>
  <c r="BB675" i="1"/>
  <c r="AZ675" i="1" s="1"/>
  <c r="Q677" i="3" s="1"/>
  <c r="BB672" i="1"/>
  <c r="AZ672" i="1" s="1"/>
  <c r="Q661" i="3" s="1"/>
  <c r="BB351" i="1"/>
  <c r="AZ351" i="1" s="1"/>
  <c r="BB466" i="1"/>
  <c r="AZ466" i="1" s="1"/>
  <c r="BB694" i="1"/>
  <c r="AZ694" i="1" s="1"/>
  <c r="Q727" i="3" s="1"/>
  <c r="BB360" i="1"/>
  <c r="AZ360" i="1" s="1"/>
  <c r="BB445" i="1"/>
  <c r="AZ445" i="1" s="1"/>
  <c r="BB620" i="1"/>
  <c r="AZ620" i="1" s="1"/>
  <c r="BB468" i="1"/>
  <c r="AZ468" i="1" s="1"/>
  <c r="BB493" i="1"/>
  <c r="AZ493" i="1" s="1"/>
  <c r="BB350" i="1"/>
  <c r="AZ350" i="1" s="1"/>
  <c r="BB141" i="1"/>
  <c r="AZ141" i="1" s="1"/>
  <c r="BB198" i="1"/>
  <c r="AZ198" i="1" s="1"/>
  <c r="BB463" i="1"/>
  <c r="AZ463" i="1" s="1"/>
  <c r="BB444" i="1"/>
  <c r="AZ444" i="1" s="1"/>
  <c r="BB668" i="1"/>
  <c r="AZ668" i="1" s="1"/>
  <c r="BB677" i="1"/>
  <c r="AZ677" i="1" s="1"/>
  <c r="BB134" i="1"/>
  <c r="AZ134" i="1" s="1"/>
  <c r="BB771" i="1"/>
  <c r="AZ771" i="1" s="1"/>
  <c r="Q1099" i="3" s="1"/>
  <c r="BB118" i="1"/>
  <c r="AZ118" i="1" s="1"/>
  <c r="BB424" i="1"/>
  <c r="AZ424" i="1" s="1"/>
  <c r="BB279" i="1"/>
  <c r="AZ279" i="1" s="1"/>
  <c r="BB296" i="1"/>
  <c r="AZ296" i="1" s="1"/>
  <c r="BB345" i="1"/>
  <c r="AZ345" i="1" s="1"/>
  <c r="BB634" i="1"/>
  <c r="AZ634" i="1" s="1"/>
  <c r="BB690" i="1"/>
  <c r="AZ690" i="1" s="1"/>
  <c r="BB194" i="1"/>
  <c r="AZ194" i="1" s="1"/>
  <c r="BB629" i="1"/>
  <c r="AZ629" i="1" s="1"/>
  <c r="Q457" i="3" s="1"/>
  <c r="BB778" i="1"/>
  <c r="AZ778" i="1" s="1"/>
  <c r="BB467" i="1"/>
  <c r="AZ467" i="1" s="1"/>
  <c r="BB449" i="1"/>
  <c r="AZ449" i="1" s="1"/>
  <c r="BB142" i="1"/>
  <c r="AZ142" i="1" s="1"/>
  <c r="AU526" i="1"/>
  <c r="AV526" i="1"/>
  <c r="AW526" i="1"/>
  <c r="AX526" i="1"/>
  <c r="AY526" i="1"/>
  <c r="BF526" i="1"/>
  <c r="AU533" i="1"/>
  <c r="AV533" i="1"/>
  <c r="AW533" i="1"/>
  <c r="AX533" i="1"/>
  <c r="AY533" i="1"/>
  <c r="BF533" i="1"/>
  <c r="AU603" i="1"/>
  <c r="AV603" i="1"/>
  <c r="AW603" i="1"/>
  <c r="AX603" i="1"/>
  <c r="AY603" i="1"/>
  <c r="BF603" i="1"/>
  <c r="AU544" i="1"/>
  <c r="AV544" i="1"/>
  <c r="AW544" i="1"/>
  <c r="AX544" i="1"/>
  <c r="AY544" i="1"/>
  <c r="BF544" i="1"/>
  <c r="AU41" i="1"/>
  <c r="AV41" i="1"/>
  <c r="AW41" i="1"/>
  <c r="AX41" i="1"/>
  <c r="AY41" i="1"/>
  <c r="BF41" i="1"/>
  <c r="AU511" i="1"/>
  <c r="AV511" i="1"/>
  <c r="AW511" i="1"/>
  <c r="AX511" i="1"/>
  <c r="AY511" i="1"/>
  <c r="BF511" i="1"/>
  <c r="AU64" i="1"/>
  <c r="AV64" i="1"/>
  <c r="AW64" i="1"/>
  <c r="AX64" i="1"/>
  <c r="AY64" i="1"/>
  <c r="BF64" i="1"/>
  <c r="AU7" i="1"/>
  <c r="AV7" i="1"/>
  <c r="AW7" i="1"/>
  <c r="AX7" i="1"/>
  <c r="AY7" i="1"/>
  <c r="BF7" i="1"/>
  <c r="AU565" i="1"/>
  <c r="AV565" i="1"/>
  <c r="AW565" i="1"/>
  <c r="AX565" i="1"/>
  <c r="AY565" i="1"/>
  <c r="BF565" i="1"/>
  <c r="AU90" i="1"/>
  <c r="AV90" i="1"/>
  <c r="AW90" i="1"/>
  <c r="AX90" i="1"/>
  <c r="AY90" i="1"/>
  <c r="BF90" i="1"/>
  <c r="AU63" i="1"/>
  <c r="AV63" i="1"/>
  <c r="AW63" i="1"/>
  <c r="AX63" i="1"/>
  <c r="AY63" i="1"/>
  <c r="BF63" i="1"/>
  <c r="AU590" i="1"/>
  <c r="AV590" i="1"/>
  <c r="AW590" i="1"/>
  <c r="AX590" i="1"/>
  <c r="AY590" i="1"/>
  <c r="BF590" i="1"/>
  <c r="AU68" i="1"/>
  <c r="AV68" i="1"/>
  <c r="AW68" i="1"/>
  <c r="AX68" i="1"/>
  <c r="AY68" i="1"/>
  <c r="BF68" i="1"/>
  <c r="AU519" i="1"/>
  <c r="AV519" i="1"/>
  <c r="AW519" i="1"/>
  <c r="AX519" i="1"/>
  <c r="AY519" i="1"/>
  <c r="BF519" i="1"/>
  <c r="AU29" i="1"/>
  <c r="AV29" i="1"/>
  <c r="AW29" i="1"/>
  <c r="AX29" i="1"/>
  <c r="AY29" i="1"/>
  <c r="BF29" i="1"/>
  <c r="AU543" i="1"/>
  <c r="AV543" i="1"/>
  <c r="AW543" i="1"/>
  <c r="AX543" i="1"/>
  <c r="AY543" i="1"/>
  <c r="BF543" i="1"/>
  <c r="AU35" i="1"/>
  <c r="AV35" i="1"/>
  <c r="AW35" i="1"/>
  <c r="AX35" i="1"/>
  <c r="AY35" i="1"/>
  <c r="BF35" i="1"/>
  <c r="AU520" i="1"/>
  <c r="AV520" i="1"/>
  <c r="AW520" i="1"/>
  <c r="AX520" i="1"/>
  <c r="AY520" i="1"/>
  <c r="BF520" i="1"/>
  <c r="AU169" i="1"/>
  <c r="AV169" i="1"/>
  <c r="AW169" i="1"/>
  <c r="AX169" i="1"/>
  <c r="AY169" i="1"/>
  <c r="BF169" i="1"/>
  <c r="AU19" i="1"/>
  <c r="AV19" i="1"/>
  <c r="AW19" i="1"/>
  <c r="AX19" i="1"/>
  <c r="AY19" i="1"/>
  <c r="BF19" i="1"/>
  <c r="AU507" i="1"/>
  <c r="AV507" i="1"/>
  <c r="AW507" i="1"/>
  <c r="AX507" i="1"/>
  <c r="AY507" i="1"/>
  <c r="BF507" i="1"/>
  <c r="AU514" i="1"/>
  <c r="AV514" i="1"/>
  <c r="AW514" i="1"/>
  <c r="AX514" i="1"/>
  <c r="AY514" i="1"/>
  <c r="BF514" i="1"/>
  <c r="AU552" i="1"/>
  <c r="AV552" i="1"/>
  <c r="AW552" i="1"/>
  <c r="AX552" i="1"/>
  <c r="AY552" i="1"/>
  <c r="BF552" i="1"/>
  <c r="AU692" i="1"/>
  <c r="AV692" i="1"/>
  <c r="AW692" i="1"/>
  <c r="AX692" i="1"/>
  <c r="AY692" i="1"/>
  <c r="BF692" i="1"/>
  <c r="AU39" i="1"/>
  <c r="AV39" i="1"/>
  <c r="AW39" i="1"/>
  <c r="AX39" i="1"/>
  <c r="AY39" i="1"/>
  <c r="BF39" i="1"/>
  <c r="AU8" i="1"/>
  <c r="AV8" i="1"/>
  <c r="AW8" i="1"/>
  <c r="AX8" i="1"/>
  <c r="AY8" i="1"/>
  <c r="BF8" i="1"/>
  <c r="AU61" i="1"/>
  <c r="AV61" i="1"/>
  <c r="AW61" i="1"/>
  <c r="AX61" i="1"/>
  <c r="AY61" i="1"/>
  <c r="BF61" i="1"/>
  <c r="AU546" i="1"/>
  <c r="AV546" i="1"/>
  <c r="AW546" i="1"/>
  <c r="AX546" i="1"/>
  <c r="AY546" i="1"/>
  <c r="BF546" i="1"/>
  <c r="AU67" i="1"/>
  <c r="AV67" i="1"/>
  <c r="AW67" i="1"/>
  <c r="AX67" i="1"/>
  <c r="AY67" i="1"/>
  <c r="BF67" i="1"/>
  <c r="AU674" i="1"/>
  <c r="AV674" i="1"/>
  <c r="AW674" i="1"/>
  <c r="AX674" i="1"/>
  <c r="AY674" i="1"/>
  <c r="BF674" i="1"/>
  <c r="AU570" i="1"/>
  <c r="AV570" i="1"/>
  <c r="AW570" i="1"/>
  <c r="AX570" i="1"/>
  <c r="AY570" i="1"/>
  <c r="BF570" i="1"/>
  <c r="AU593" i="1"/>
  <c r="AV593" i="1"/>
  <c r="AW593" i="1"/>
  <c r="AX593" i="1"/>
  <c r="AY593" i="1"/>
  <c r="BF593" i="1"/>
  <c r="AU598" i="1"/>
  <c r="AV598" i="1"/>
  <c r="AW598" i="1"/>
  <c r="AX598" i="1"/>
  <c r="AY598" i="1"/>
  <c r="BF598" i="1"/>
  <c r="AU231" i="1"/>
  <c r="AV231" i="1"/>
  <c r="AW231" i="1"/>
  <c r="AX231" i="1"/>
  <c r="AY231" i="1"/>
  <c r="BF231" i="1"/>
  <c r="AU502" i="1"/>
  <c r="AV502" i="1"/>
  <c r="AW502" i="1"/>
  <c r="AX502" i="1"/>
  <c r="AY502" i="1"/>
  <c r="BF502" i="1"/>
  <c r="AU34" i="1"/>
  <c r="AV34" i="1"/>
  <c r="AW34" i="1"/>
  <c r="AX34" i="1"/>
  <c r="AY34" i="1"/>
  <c r="BF34" i="1"/>
  <c r="AU557" i="1"/>
  <c r="AV557" i="1"/>
  <c r="AW557" i="1"/>
  <c r="AX557" i="1"/>
  <c r="AY557" i="1"/>
  <c r="BF557" i="1"/>
  <c r="AU60" i="1"/>
  <c r="AV60" i="1"/>
  <c r="AW60" i="1"/>
  <c r="AX60" i="1"/>
  <c r="AY60" i="1"/>
  <c r="BF60" i="1"/>
  <c r="AU503" i="1"/>
  <c r="AV503" i="1"/>
  <c r="AW503" i="1"/>
  <c r="AX503" i="1"/>
  <c r="AY503" i="1"/>
  <c r="BF503" i="1"/>
  <c r="AU709" i="1"/>
  <c r="AV709" i="1"/>
  <c r="AW709" i="1"/>
  <c r="AX709" i="1"/>
  <c r="AY709" i="1"/>
  <c r="BF709" i="1"/>
  <c r="AU32" i="1"/>
  <c r="AV32" i="1"/>
  <c r="AW32" i="1"/>
  <c r="AX32" i="1"/>
  <c r="AY32" i="1"/>
  <c r="BF32" i="1"/>
  <c r="AU89" i="1"/>
  <c r="AV89" i="1"/>
  <c r="AW89" i="1"/>
  <c r="AX89" i="1"/>
  <c r="AY89" i="1"/>
  <c r="BF89" i="1"/>
  <c r="AU594" i="1"/>
  <c r="AV594" i="1"/>
  <c r="AW594" i="1"/>
  <c r="AX594" i="1"/>
  <c r="AY594" i="1"/>
  <c r="BF594" i="1"/>
  <c r="AU644" i="1"/>
  <c r="AV644" i="1"/>
  <c r="AW644" i="1"/>
  <c r="AX644" i="1"/>
  <c r="AY644" i="1"/>
  <c r="BF644" i="1"/>
  <c r="AU584" i="1"/>
  <c r="AV584" i="1"/>
  <c r="AW584" i="1"/>
  <c r="AX584" i="1"/>
  <c r="AY584" i="1"/>
  <c r="BF584" i="1"/>
  <c r="AU577" i="1"/>
  <c r="AV577" i="1"/>
  <c r="AW577" i="1"/>
  <c r="AX577" i="1"/>
  <c r="AY577" i="1"/>
  <c r="BF577" i="1"/>
  <c r="AU434" i="1"/>
  <c r="AV434" i="1"/>
  <c r="AW434" i="1"/>
  <c r="AX434" i="1"/>
  <c r="AY434" i="1"/>
  <c r="BF434" i="1"/>
  <c r="AU111" i="1"/>
  <c r="AV111" i="1"/>
  <c r="AW111" i="1"/>
  <c r="AX111" i="1"/>
  <c r="AY111" i="1"/>
  <c r="BF111" i="1"/>
  <c r="AU626" i="1"/>
  <c r="AV626" i="1"/>
  <c r="AW626" i="1"/>
  <c r="AX626" i="1"/>
  <c r="AY626" i="1"/>
  <c r="BF626" i="1"/>
  <c r="AU82" i="1"/>
  <c r="AV82" i="1"/>
  <c r="AW82" i="1"/>
  <c r="AX82" i="1"/>
  <c r="AY82" i="1"/>
  <c r="BF82" i="1"/>
  <c r="AU363" i="1"/>
  <c r="AV363" i="1"/>
  <c r="AW363" i="1"/>
  <c r="AX363" i="1"/>
  <c r="AY363" i="1"/>
  <c r="BF363" i="1"/>
  <c r="AU133" i="1"/>
  <c r="AV133" i="1"/>
  <c r="AW133" i="1"/>
  <c r="AX133" i="1"/>
  <c r="AY133" i="1"/>
  <c r="BF133" i="1"/>
  <c r="AU612" i="1"/>
  <c r="AV612" i="1"/>
  <c r="AW612" i="1"/>
  <c r="AX612" i="1"/>
  <c r="AY612" i="1"/>
  <c r="BF612" i="1"/>
  <c r="AU75" i="1"/>
  <c r="AV75" i="1"/>
  <c r="AW75" i="1"/>
  <c r="AX75" i="1"/>
  <c r="AY75" i="1"/>
  <c r="BF75" i="1"/>
  <c r="AU576" i="1"/>
  <c r="AV576" i="1"/>
  <c r="AW576" i="1"/>
  <c r="AX576" i="1"/>
  <c r="AY576" i="1"/>
  <c r="BF576" i="1"/>
  <c r="AU547" i="1"/>
  <c r="AV547" i="1"/>
  <c r="AW547" i="1"/>
  <c r="AX547" i="1"/>
  <c r="AY547" i="1"/>
  <c r="BF547" i="1"/>
  <c r="AU102" i="1"/>
  <c r="AV102" i="1"/>
  <c r="AW102" i="1"/>
  <c r="AX102" i="1"/>
  <c r="AY102" i="1"/>
  <c r="BF102" i="1"/>
  <c r="AU283" i="1"/>
  <c r="AV283" i="1"/>
  <c r="AW283" i="1"/>
  <c r="AX283" i="1"/>
  <c r="AY283" i="1"/>
  <c r="BF283" i="1"/>
  <c r="AU276" i="1"/>
  <c r="AV276" i="1"/>
  <c r="AW276" i="1"/>
  <c r="AX276" i="1"/>
  <c r="AY276" i="1"/>
  <c r="BF276" i="1"/>
  <c r="AU754" i="1"/>
  <c r="AV754" i="1"/>
  <c r="AW754" i="1"/>
  <c r="AX754" i="1"/>
  <c r="AY754" i="1"/>
  <c r="BF754" i="1"/>
  <c r="AU406" i="1"/>
  <c r="AV406" i="1"/>
  <c r="AW406" i="1"/>
  <c r="AX406" i="1"/>
  <c r="AY406" i="1"/>
  <c r="BF406" i="1"/>
  <c r="AU49" i="1"/>
  <c r="AV49" i="1"/>
  <c r="AW49" i="1"/>
  <c r="AX49" i="1"/>
  <c r="AY49" i="1"/>
  <c r="BF49" i="1"/>
  <c r="AU602" i="1"/>
  <c r="AV602" i="1"/>
  <c r="AW602" i="1"/>
  <c r="AX602" i="1"/>
  <c r="AY602" i="1"/>
  <c r="BF602" i="1"/>
  <c r="AU114" i="1"/>
  <c r="AV114" i="1"/>
  <c r="AW114" i="1"/>
  <c r="AX114" i="1"/>
  <c r="AY114" i="1"/>
  <c r="BF114" i="1"/>
  <c r="AU146" i="1"/>
  <c r="AV146" i="1"/>
  <c r="AW146" i="1"/>
  <c r="AX146" i="1"/>
  <c r="AY146" i="1"/>
  <c r="BF146" i="1"/>
  <c r="AU611" i="1"/>
  <c r="AV611" i="1"/>
  <c r="AW611" i="1"/>
  <c r="AX611" i="1"/>
  <c r="AY611" i="1"/>
  <c r="BF611" i="1"/>
  <c r="AU51" i="1"/>
  <c r="AV51" i="1"/>
  <c r="AW51" i="1"/>
  <c r="AX51" i="1"/>
  <c r="AY51" i="1"/>
  <c r="BF51" i="1"/>
  <c r="AU96" i="1"/>
  <c r="AV96" i="1"/>
  <c r="AW96" i="1"/>
  <c r="AX96" i="1"/>
  <c r="AY96" i="1"/>
  <c r="BF96" i="1"/>
  <c r="AU30" i="1"/>
  <c r="AV30" i="1"/>
  <c r="AW30" i="1"/>
  <c r="AX30" i="1"/>
  <c r="AY30" i="1"/>
  <c r="BF30" i="1"/>
  <c r="AU475" i="1"/>
  <c r="AV475" i="1"/>
  <c r="AW475" i="1"/>
  <c r="AX475" i="1"/>
  <c r="AY475" i="1"/>
  <c r="BF475" i="1"/>
  <c r="AU209" i="1"/>
  <c r="AV209" i="1"/>
  <c r="AW209" i="1"/>
  <c r="AX209" i="1"/>
  <c r="AY209" i="1"/>
  <c r="BF209" i="1"/>
  <c r="AU52" i="1"/>
  <c r="AV52" i="1"/>
  <c r="AW52" i="1"/>
  <c r="AX52" i="1"/>
  <c r="AY52" i="1"/>
  <c r="BF52" i="1"/>
  <c r="AU572" i="1"/>
  <c r="AV572" i="1"/>
  <c r="AW572" i="1"/>
  <c r="AX572" i="1"/>
  <c r="AY572" i="1"/>
  <c r="BF572" i="1"/>
  <c r="AU62" i="1"/>
  <c r="AV62" i="1"/>
  <c r="AW62" i="1"/>
  <c r="AX62" i="1"/>
  <c r="AY62" i="1"/>
  <c r="BF62" i="1"/>
  <c r="AU561" i="1"/>
  <c r="AV561" i="1"/>
  <c r="AW561" i="1"/>
  <c r="AX561" i="1"/>
  <c r="AY561" i="1"/>
  <c r="BF561" i="1"/>
  <c r="AU628" i="1"/>
  <c r="AV628" i="1"/>
  <c r="AW628" i="1"/>
  <c r="AX628" i="1"/>
  <c r="AY628" i="1"/>
  <c r="BF628" i="1"/>
  <c r="AU33" i="1"/>
  <c r="AV33" i="1"/>
  <c r="AW33" i="1"/>
  <c r="AX33" i="1"/>
  <c r="AY33" i="1"/>
  <c r="BF33" i="1"/>
  <c r="AU121" i="1"/>
  <c r="AV121" i="1"/>
  <c r="AW121" i="1"/>
  <c r="AX121" i="1"/>
  <c r="AY121" i="1"/>
  <c r="BF121" i="1"/>
  <c r="AU536" i="1"/>
  <c r="AV536" i="1"/>
  <c r="AW536" i="1"/>
  <c r="AX536" i="1"/>
  <c r="AY536" i="1"/>
  <c r="BF536" i="1"/>
  <c r="AU330" i="1"/>
  <c r="AV330" i="1"/>
  <c r="AW330" i="1"/>
  <c r="AX330" i="1"/>
  <c r="AY330" i="1"/>
  <c r="BF330" i="1"/>
  <c r="AU662" i="1"/>
  <c r="AV662" i="1"/>
  <c r="AW662" i="1"/>
  <c r="AX662" i="1"/>
  <c r="AY662" i="1"/>
  <c r="BF662" i="1"/>
  <c r="AU73" i="1"/>
  <c r="AV73" i="1"/>
  <c r="AW73" i="1"/>
  <c r="AX73" i="1"/>
  <c r="AY73" i="1"/>
  <c r="BF73" i="1"/>
  <c r="AU627" i="1"/>
  <c r="AV627" i="1"/>
  <c r="AW627" i="1"/>
  <c r="AX627" i="1"/>
  <c r="AY627" i="1"/>
  <c r="BF627" i="1"/>
  <c r="AU750" i="1"/>
  <c r="AV750" i="1"/>
  <c r="AW750" i="1"/>
  <c r="AX750" i="1"/>
  <c r="AY750" i="1"/>
  <c r="BF750" i="1"/>
  <c r="AU334" i="1"/>
  <c r="AV334" i="1"/>
  <c r="AW334" i="1"/>
  <c r="AX334" i="1"/>
  <c r="AY334" i="1"/>
  <c r="BF334" i="1"/>
  <c r="AU478" i="1"/>
  <c r="AV478" i="1"/>
  <c r="AW478" i="1"/>
  <c r="AX478" i="1"/>
  <c r="AY478" i="1"/>
  <c r="BF478" i="1"/>
  <c r="AU252" i="1"/>
  <c r="AV252" i="1"/>
  <c r="AW252" i="1"/>
  <c r="AX252" i="1"/>
  <c r="AY252" i="1"/>
  <c r="BF252" i="1"/>
  <c r="AU568" i="1"/>
  <c r="AV568" i="1"/>
  <c r="AW568" i="1"/>
  <c r="AX568" i="1"/>
  <c r="AY568" i="1"/>
  <c r="BF568" i="1"/>
  <c r="AU601" i="1"/>
  <c r="AV601" i="1"/>
  <c r="AW601" i="1"/>
  <c r="AX601" i="1"/>
  <c r="AY601" i="1"/>
  <c r="BF601" i="1"/>
  <c r="AU249" i="1"/>
  <c r="AV249" i="1"/>
  <c r="AW249" i="1"/>
  <c r="AX249" i="1"/>
  <c r="AY249" i="1"/>
  <c r="BF249" i="1"/>
  <c r="AU31" i="1"/>
  <c r="AV31" i="1"/>
  <c r="AW31" i="1"/>
  <c r="AX31" i="1"/>
  <c r="AY31" i="1"/>
  <c r="BF31" i="1"/>
  <c r="AU711" i="1"/>
  <c r="AV711" i="1"/>
  <c r="AW711" i="1"/>
  <c r="AX711" i="1"/>
  <c r="AY711" i="1"/>
  <c r="BF711" i="1"/>
  <c r="AU253" i="1"/>
  <c r="AV253" i="1"/>
  <c r="AW253" i="1"/>
  <c r="AX253" i="1"/>
  <c r="AY253" i="1"/>
  <c r="BF253" i="1"/>
  <c r="AU715" i="1"/>
  <c r="AV715" i="1"/>
  <c r="AW715" i="1"/>
  <c r="AX715" i="1"/>
  <c r="AY715" i="1"/>
  <c r="BF715" i="1"/>
  <c r="AU166" i="1"/>
  <c r="AV166" i="1"/>
  <c r="AW166" i="1"/>
  <c r="AX166" i="1"/>
  <c r="AY166" i="1"/>
  <c r="BF166" i="1"/>
  <c r="AU382" i="1"/>
  <c r="AV382" i="1"/>
  <c r="AW382" i="1"/>
  <c r="AX382" i="1"/>
  <c r="AY382" i="1"/>
  <c r="BF382" i="1"/>
  <c r="AU645" i="1"/>
  <c r="AV645" i="1"/>
  <c r="AW645" i="1"/>
  <c r="AX645" i="1"/>
  <c r="AY645" i="1"/>
  <c r="BF645" i="1"/>
  <c r="AU258" i="1"/>
  <c r="AV258" i="1"/>
  <c r="AW258" i="1"/>
  <c r="AX258" i="1"/>
  <c r="AY258" i="1"/>
  <c r="BF258" i="1"/>
  <c r="AU294" i="1"/>
  <c r="AV294" i="1"/>
  <c r="AW294" i="1"/>
  <c r="AX294" i="1"/>
  <c r="AY294" i="1"/>
  <c r="BF294" i="1"/>
  <c r="AU83" i="1"/>
  <c r="AV83" i="1"/>
  <c r="AW83" i="1"/>
  <c r="AX83" i="1"/>
  <c r="AY83" i="1"/>
  <c r="BF83" i="1"/>
  <c r="AU298" i="1"/>
  <c r="AV298" i="1"/>
  <c r="AW298" i="1"/>
  <c r="AX298" i="1"/>
  <c r="AY298" i="1"/>
  <c r="BF298" i="1"/>
  <c r="AU367" i="1"/>
  <c r="AV367" i="1"/>
  <c r="AW367" i="1"/>
  <c r="AX367" i="1"/>
  <c r="AY367" i="1"/>
  <c r="BF367" i="1"/>
  <c r="AU340" i="1"/>
  <c r="AV340" i="1"/>
  <c r="AW340" i="1"/>
  <c r="AX340" i="1"/>
  <c r="AY340" i="1"/>
  <c r="BF340" i="1"/>
  <c r="AU167" i="1"/>
  <c r="AV167" i="1"/>
  <c r="AW167" i="1"/>
  <c r="AX167" i="1"/>
  <c r="AY167" i="1"/>
  <c r="BF167" i="1"/>
  <c r="AU93" i="1"/>
  <c r="AV93" i="1"/>
  <c r="AW93" i="1"/>
  <c r="AX93" i="1"/>
  <c r="AY93" i="1"/>
  <c r="BF93" i="1"/>
  <c r="AU461" i="1"/>
  <c r="AV461" i="1"/>
  <c r="AW461" i="1"/>
  <c r="AX461" i="1"/>
  <c r="AY461" i="1"/>
  <c r="BF461" i="1"/>
  <c r="AU585" i="1"/>
  <c r="AV585" i="1"/>
  <c r="AW585" i="1"/>
  <c r="AX585" i="1"/>
  <c r="AY585" i="1"/>
  <c r="BF585" i="1"/>
  <c r="AU69" i="1"/>
  <c r="AV69" i="1"/>
  <c r="AW69" i="1"/>
  <c r="AX69" i="1"/>
  <c r="AY69" i="1"/>
  <c r="BF69" i="1"/>
  <c r="AU256" i="1"/>
  <c r="AV256" i="1"/>
  <c r="AW256" i="1"/>
  <c r="AX256" i="1"/>
  <c r="AY256" i="1"/>
  <c r="BF256" i="1"/>
  <c r="AU312" i="1"/>
  <c r="AV312" i="1"/>
  <c r="AW312" i="1"/>
  <c r="AX312" i="1"/>
  <c r="AY312" i="1"/>
  <c r="BF312" i="1"/>
  <c r="AU58" i="1"/>
  <c r="AV58" i="1"/>
  <c r="AW58" i="1"/>
  <c r="AX58" i="1"/>
  <c r="AY58" i="1"/>
  <c r="BF58" i="1"/>
  <c r="AU376" i="1"/>
  <c r="AV376" i="1"/>
  <c r="AW376" i="1"/>
  <c r="AX376" i="1"/>
  <c r="AY376" i="1"/>
  <c r="BF376" i="1"/>
  <c r="AU671" i="1"/>
  <c r="AV671" i="1"/>
  <c r="AW671" i="1"/>
  <c r="AX671" i="1"/>
  <c r="AY671" i="1"/>
  <c r="BF671" i="1"/>
  <c r="AU761" i="1"/>
  <c r="AV761" i="1"/>
  <c r="AW761" i="1"/>
  <c r="AX761" i="1"/>
  <c r="AY761" i="1"/>
  <c r="BF761" i="1"/>
  <c r="AU313" i="1"/>
  <c r="AV313" i="1"/>
  <c r="AW313" i="1"/>
  <c r="AX313" i="1"/>
  <c r="AY313" i="1"/>
  <c r="BF313" i="1"/>
  <c r="AU79" i="1"/>
  <c r="AV79" i="1"/>
  <c r="AW79" i="1"/>
  <c r="AX79" i="1"/>
  <c r="AY79" i="1"/>
  <c r="BF79" i="1"/>
  <c r="AU315" i="1"/>
  <c r="AV315" i="1"/>
  <c r="AW315" i="1"/>
  <c r="AX315" i="1"/>
  <c r="AY315" i="1"/>
  <c r="BF315" i="1"/>
  <c r="AU716" i="1"/>
  <c r="AV716" i="1"/>
  <c r="AW716" i="1"/>
  <c r="AX716" i="1"/>
  <c r="AY716" i="1"/>
  <c r="BF716" i="1"/>
  <c r="AU105" i="1"/>
  <c r="AV105" i="1"/>
  <c r="AW105" i="1"/>
  <c r="AX105" i="1"/>
  <c r="AY105" i="1"/>
  <c r="BF105" i="1"/>
  <c r="AU152" i="1"/>
  <c r="AV152" i="1"/>
  <c r="AW152" i="1"/>
  <c r="AX152" i="1"/>
  <c r="AY152" i="1"/>
  <c r="BF152" i="1"/>
  <c r="AU314" i="1"/>
  <c r="AV314" i="1"/>
  <c r="AW314" i="1"/>
  <c r="AX314" i="1"/>
  <c r="AY314" i="1"/>
  <c r="BF314" i="1"/>
  <c r="AU320" i="1"/>
  <c r="AV320" i="1"/>
  <c r="AW320" i="1"/>
  <c r="AX320" i="1"/>
  <c r="AY320" i="1"/>
  <c r="BF320" i="1"/>
  <c r="AU43" i="1"/>
  <c r="AV43" i="1"/>
  <c r="AW43" i="1"/>
  <c r="AX43" i="1"/>
  <c r="AY43" i="1"/>
  <c r="BF43" i="1"/>
  <c r="AU180" i="1"/>
  <c r="AV180" i="1"/>
  <c r="AW180" i="1"/>
  <c r="AX180" i="1"/>
  <c r="AY180" i="1"/>
  <c r="BF180" i="1"/>
  <c r="AU452" i="1"/>
  <c r="AV452" i="1"/>
  <c r="AW452" i="1"/>
  <c r="AX452" i="1"/>
  <c r="AY452" i="1"/>
  <c r="BF452" i="1"/>
  <c r="AU497" i="1"/>
  <c r="AV497" i="1"/>
  <c r="AW497" i="1"/>
  <c r="AX497" i="1"/>
  <c r="AY497" i="1"/>
  <c r="BF497" i="1"/>
  <c r="AU378" i="1"/>
  <c r="AV378" i="1"/>
  <c r="AW378" i="1"/>
  <c r="AX378" i="1"/>
  <c r="AY378" i="1"/>
  <c r="BF378" i="1"/>
  <c r="AU450" i="1"/>
  <c r="AV450" i="1"/>
  <c r="AW450" i="1"/>
  <c r="AX450" i="1"/>
  <c r="AY450" i="1"/>
  <c r="BF450" i="1"/>
  <c r="AU653" i="1"/>
  <c r="AV653" i="1"/>
  <c r="AW653" i="1"/>
  <c r="AX653" i="1"/>
  <c r="AY653" i="1"/>
  <c r="BF653" i="1"/>
  <c r="AU691" i="1"/>
  <c r="AV691" i="1"/>
  <c r="AW691" i="1"/>
  <c r="AX691" i="1"/>
  <c r="AY691" i="1"/>
  <c r="BF691" i="1"/>
  <c r="AU108" i="1"/>
  <c r="AV108" i="1"/>
  <c r="AW108" i="1"/>
  <c r="AX108" i="1"/>
  <c r="AY108" i="1"/>
  <c r="BF108" i="1"/>
  <c r="AU425" i="1"/>
  <c r="AV425" i="1"/>
  <c r="AW425" i="1"/>
  <c r="AX425" i="1"/>
  <c r="AY425" i="1"/>
  <c r="BF425" i="1"/>
  <c r="AU670" i="1"/>
  <c r="AV670" i="1"/>
  <c r="AW670" i="1"/>
  <c r="AX670" i="1"/>
  <c r="AY670" i="1"/>
  <c r="BF670" i="1"/>
  <c r="AU244" i="1"/>
  <c r="AV244" i="1"/>
  <c r="AW244" i="1"/>
  <c r="AX244" i="1"/>
  <c r="AY244" i="1"/>
  <c r="BF244" i="1"/>
  <c r="AU153" i="1"/>
  <c r="AV153" i="1"/>
  <c r="AW153" i="1"/>
  <c r="AX153" i="1"/>
  <c r="AY153" i="1"/>
  <c r="BF153" i="1"/>
  <c r="AU170" i="1"/>
  <c r="AV170" i="1"/>
  <c r="AW170" i="1"/>
  <c r="AX170" i="1"/>
  <c r="AY170" i="1"/>
  <c r="BF170" i="1"/>
  <c r="AU97" i="1"/>
  <c r="AV97" i="1"/>
  <c r="AW97" i="1"/>
  <c r="AX97" i="1"/>
  <c r="AY97" i="1"/>
  <c r="BF97" i="1"/>
  <c r="AU492" i="1"/>
  <c r="AV492" i="1"/>
  <c r="AW492" i="1"/>
  <c r="AX492" i="1"/>
  <c r="AY492" i="1"/>
  <c r="BF492" i="1"/>
  <c r="AU267" i="1"/>
  <c r="AV267" i="1"/>
  <c r="AW267" i="1"/>
  <c r="AX267" i="1"/>
  <c r="AY267" i="1"/>
  <c r="BF267" i="1"/>
  <c r="AU98" i="1"/>
  <c r="AV98" i="1"/>
  <c r="AW98" i="1"/>
  <c r="AX98" i="1"/>
  <c r="AY98" i="1"/>
  <c r="BF98" i="1"/>
  <c r="AU308" i="1"/>
  <c r="AV308" i="1"/>
  <c r="AW308" i="1"/>
  <c r="AX308" i="1"/>
  <c r="AY308" i="1"/>
  <c r="BF308" i="1"/>
  <c r="AU168" i="1"/>
  <c r="AV168" i="1"/>
  <c r="AW168" i="1"/>
  <c r="AX168" i="1"/>
  <c r="AY168" i="1"/>
  <c r="BF168" i="1"/>
  <c r="AU762" i="1"/>
  <c r="AV762" i="1"/>
  <c r="AW762" i="1"/>
  <c r="AX762" i="1"/>
  <c r="AY762" i="1"/>
  <c r="BF762" i="1"/>
  <c r="AU567" i="1"/>
  <c r="AV567" i="1"/>
  <c r="AW567" i="1"/>
  <c r="AX567" i="1"/>
  <c r="AY567" i="1"/>
  <c r="BF567" i="1"/>
  <c r="AU174" i="1"/>
  <c r="AV174" i="1"/>
  <c r="AW174" i="1"/>
  <c r="AX174" i="1"/>
  <c r="AY174" i="1"/>
  <c r="BF174" i="1"/>
  <c r="AU525" i="1"/>
  <c r="AV525" i="1"/>
  <c r="AW525" i="1"/>
  <c r="AX525" i="1"/>
  <c r="AY525" i="1"/>
  <c r="BF525" i="1"/>
  <c r="AU115" i="1"/>
  <c r="AV115" i="1"/>
  <c r="AW115" i="1"/>
  <c r="AX115" i="1"/>
  <c r="AY115" i="1"/>
  <c r="BF115" i="1"/>
  <c r="AU442" i="1"/>
  <c r="AV442" i="1"/>
  <c r="AW442" i="1"/>
  <c r="AX442" i="1"/>
  <c r="AY442" i="1"/>
  <c r="BF442" i="1"/>
  <c r="AU21" i="1"/>
  <c r="AV21" i="1"/>
  <c r="AW21" i="1"/>
  <c r="AX21" i="1"/>
  <c r="AY21" i="1"/>
  <c r="BF21" i="1"/>
  <c r="AU220" i="1"/>
  <c r="AV220" i="1"/>
  <c r="AW220" i="1"/>
  <c r="AX220" i="1"/>
  <c r="AY220" i="1"/>
  <c r="BF220" i="1"/>
  <c r="AU46" i="1"/>
  <c r="AV46" i="1"/>
  <c r="AW46" i="1"/>
  <c r="AX46" i="1"/>
  <c r="AY46" i="1"/>
  <c r="BF46" i="1"/>
  <c r="AU195" i="1"/>
  <c r="AV195" i="1"/>
  <c r="AW195" i="1"/>
  <c r="AX195" i="1"/>
  <c r="AY195" i="1"/>
  <c r="BF195" i="1"/>
  <c r="AU591" i="1"/>
  <c r="AV591" i="1"/>
  <c r="AW591" i="1"/>
  <c r="AX591" i="1"/>
  <c r="AY591" i="1"/>
  <c r="BF591" i="1"/>
  <c r="AU117" i="1"/>
  <c r="AV117" i="1"/>
  <c r="AW117" i="1"/>
  <c r="AX117" i="1"/>
  <c r="AY117" i="1"/>
  <c r="BF117" i="1"/>
  <c r="AU126" i="1"/>
  <c r="AV126" i="1"/>
  <c r="AW126" i="1"/>
  <c r="AX126" i="1"/>
  <c r="AY126" i="1"/>
  <c r="BF126" i="1"/>
  <c r="AU589" i="1"/>
  <c r="AV589" i="1"/>
  <c r="AW589" i="1"/>
  <c r="AX589" i="1"/>
  <c r="AY589" i="1"/>
  <c r="BF589" i="1"/>
  <c r="AU143" i="1"/>
  <c r="AV143" i="1"/>
  <c r="AW143" i="1"/>
  <c r="AX143" i="1"/>
  <c r="AY143" i="1"/>
  <c r="BF143" i="1"/>
  <c r="AU214" i="1"/>
  <c r="AV214" i="1"/>
  <c r="AW214" i="1"/>
  <c r="AX214" i="1"/>
  <c r="AY214" i="1"/>
  <c r="BF214" i="1"/>
  <c r="AU373" i="1"/>
  <c r="AV373" i="1"/>
  <c r="AW373" i="1"/>
  <c r="AX373" i="1"/>
  <c r="AY373" i="1"/>
  <c r="BF373" i="1"/>
  <c r="AU149" i="1"/>
  <c r="AV149" i="1"/>
  <c r="AW149" i="1"/>
  <c r="AX149" i="1"/>
  <c r="AY149" i="1"/>
  <c r="BF149" i="1"/>
  <c r="AU327" i="1"/>
  <c r="AV327" i="1"/>
  <c r="AW327" i="1"/>
  <c r="AX327" i="1"/>
  <c r="AY327" i="1"/>
  <c r="BF327" i="1"/>
  <c r="AU71" i="1"/>
  <c r="AV71" i="1"/>
  <c r="AW71" i="1"/>
  <c r="AX71" i="1"/>
  <c r="AY71" i="1"/>
  <c r="BF71" i="1"/>
  <c r="AU277" i="1"/>
  <c r="AV277" i="1"/>
  <c r="AW277" i="1"/>
  <c r="AX277" i="1"/>
  <c r="AY277" i="1"/>
  <c r="BF277" i="1"/>
  <c r="AU534" i="1"/>
  <c r="AV534" i="1"/>
  <c r="AW534" i="1"/>
  <c r="AX534" i="1"/>
  <c r="AY534" i="1"/>
  <c r="BF534" i="1"/>
  <c r="AU215" i="1"/>
  <c r="AV215" i="1"/>
  <c r="AW215" i="1"/>
  <c r="AX215" i="1"/>
  <c r="AY215" i="1"/>
  <c r="BF215" i="1"/>
  <c r="AU15" i="1"/>
  <c r="AV15" i="1"/>
  <c r="AW15" i="1"/>
  <c r="AX15" i="1"/>
  <c r="AY15" i="1"/>
  <c r="BF15" i="1"/>
  <c r="AU106" i="1"/>
  <c r="AV106" i="1"/>
  <c r="AW106" i="1"/>
  <c r="AX106" i="1"/>
  <c r="AY106" i="1"/>
  <c r="BF106" i="1"/>
  <c r="AU728" i="1"/>
  <c r="AV728" i="1"/>
  <c r="AW728" i="1"/>
  <c r="AX728" i="1"/>
  <c r="AY728" i="1"/>
  <c r="BF728" i="1"/>
  <c r="AU103" i="1"/>
  <c r="AV103" i="1"/>
  <c r="AW103" i="1"/>
  <c r="AX103" i="1"/>
  <c r="AY103" i="1"/>
  <c r="BF103" i="1"/>
  <c r="AU392" i="1"/>
  <c r="AV392" i="1"/>
  <c r="AW392" i="1"/>
  <c r="AX392" i="1"/>
  <c r="AY392" i="1"/>
  <c r="BF392" i="1"/>
  <c r="AU227" i="1"/>
  <c r="AV227" i="1"/>
  <c r="AW227" i="1"/>
  <c r="AX227" i="1"/>
  <c r="AY227" i="1"/>
  <c r="BF227" i="1"/>
  <c r="AU352" i="1"/>
  <c r="AV352" i="1"/>
  <c r="AW352" i="1"/>
  <c r="AX352" i="1"/>
  <c r="AY352" i="1"/>
  <c r="BF352" i="1"/>
  <c r="AU621" i="1"/>
  <c r="AV621" i="1"/>
  <c r="AW621" i="1"/>
  <c r="AX621" i="1"/>
  <c r="AY621" i="1"/>
  <c r="BF621" i="1"/>
  <c r="AU566" i="1"/>
  <c r="AV566" i="1"/>
  <c r="AW566" i="1"/>
  <c r="AX566" i="1"/>
  <c r="AY566" i="1"/>
  <c r="BF566" i="1"/>
  <c r="AU678" i="1"/>
  <c r="AV678" i="1"/>
  <c r="AW678" i="1"/>
  <c r="AX678" i="1"/>
  <c r="AY678" i="1"/>
  <c r="BF678" i="1"/>
  <c r="AU530" i="1"/>
  <c r="AV530" i="1"/>
  <c r="AW530" i="1"/>
  <c r="AX530" i="1"/>
  <c r="AY530" i="1"/>
  <c r="BF530" i="1"/>
  <c r="AU91" i="1"/>
  <c r="AV91" i="1"/>
  <c r="AW91" i="1"/>
  <c r="AX91" i="1"/>
  <c r="AY91" i="1"/>
  <c r="BF91" i="1"/>
  <c r="AU266" i="1"/>
  <c r="AV266" i="1"/>
  <c r="AW266" i="1"/>
  <c r="AX266" i="1"/>
  <c r="AY266" i="1"/>
  <c r="BF266" i="1"/>
  <c r="AU455" i="1"/>
  <c r="AV455" i="1"/>
  <c r="AW455" i="1"/>
  <c r="AX455" i="1"/>
  <c r="AY455" i="1"/>
  <c r="BF455" i="1"/>
  <c r="AU781" i="1"/>
  <c r="AV781" i="1"/>
  <c r="AW781" i="1"/>
  <c r="AX781" i="1"/>
  <c r="AY781" i="1"/>
  <c r="BF781" i="1"/>
  <c r="AU704" i="1"/>
  <c r="AV704" i="1"/>
  <c r="AW704" i="1"/>
  <c r="AX704" i="1"/>
  <c r="AY704" i="1"/>
  <c r="BF704" i="1"/>
  <c r="AU610" i="1"/>
  <c r="AV610" i="1"/>
  <c r="AW610" i="1"/>
  <c r="AX610" i="1"/>
  <c r="AY610" i="1"/>
  <c r="BF610" i="1"/>
  <c r="AU429" i="1"/>
  <c r="AV429" i="1"/>
  <c r="AW429" i="1"/>
  <c r="AX429" i="1"/>
  <c r="AY429" i="1"/>
  <c r="BF429" i="1"/>
  <c r="AU440" i="1"/>
  <c r="AV440" i="1"/>
  <c r="AW440" i="1"/>
  <c r="AX440" i="1"/>
  <c r="AY440" i="1"/>
  <c r="BF440" i="1"/>
  <c r="AU681" i="1"/>
  <c r="AV681" i="1"/>
  <c r="AW681" i="1"/>
  <c r="AX681" i="1"/>
  <c r="AY681" i="1"/>
  <c r="BF681" i="1"/>
  <c r="AU613" i="1"/>
  <c r="AV613" i="1"/>
  <c r="AW613" i="1"/>
  <c r="AX613" i="1"/>
  <c r="AY613" i="1"/>
  <c r="BF613" i="1"/>
  <c r="AU569" i="1"/>
  <c r="AV569" i="1"/>
  <c r="AW569" i="1"/>
  <c r="AX569" i="1"/>
  <c r="AY569" i="1"/>
  <c r="BF569" i="1"/>
  <c r="AU239" i="1"/>
  <c r="AV239" i="1"/>
  <c r="AW239" i="1"/>
  <c r="AX239" i="1"/>
  <c r="AY239" i="1"/>
  <c r="BF239" i="1"/>
  <c r="AU316" i="1"/>
  <c r="AV316" i="1"/>
  <c r="AW316" i="1"/>
  <c r="AX316" i="1"/>
  <c r="AY316" i="1"/>
  <c r="BF316" i="1"/>
  <c r="AU476" i="1"/>
  <c r="AV476" i="1"/>
  <c r="AW476" i="1"/>
  <c r="AX476" i="1"/>
  <c r="AY476" i="1"/>
  <c r="BF476" i="1"/>
  <c r="AU578" i="1"/>
  <c r="AV578" i="1"/>
  <c r="AW578" i="1"/>
  <c r="AX578" i="1"/>
  <c r="AY578" i="1"/>
  <c r="BF578" i="1"/>
  <c r="AU535" i="1"/>
  <c r="AV535" i="1"/>
  <c r="AW535" i="1"/>
  <c r="AX535" i="1"/>
  <c r="AY535" i="1"/>
  <c r="BF535" i="1"/>
  <c r="AU756" i="1"/>
  <c r="AV756" i="1"/>
  <c r="AW756" i="1"/>
  <c r="AX756" i="1"/>
  <c r="AY756" i="1"/>
  <c r="BF756" i="1"/>
  <c r="AU401" i="1"/>
  <c r="AV401" i="1"/>
  <c r="AW401" i="1"/>
  <c r="AX401" i="1"/>
  <c r="AY401" i="1"/>
  <c r="BF401" i="1"/>
  <c r="AU414" i="1"/>
  <c r="AV414" i="1"/>
  <c r="AW414" i="1"/>
  <c r="AX414" i="1"/>
  <c r="AY414" i="1"/>
  <c r="BF414" i="1"/>
  <c r="AU582" i="1"/>
  <c r="AV582" i="1"/>
  <c r="AW582" i="1"/>
  <c r="AX582" i="1"/>
  <c r="AY582" i="1"/>
  <c r="BF582" i="1"/>
  <c r="AU47" i="1"/>
  <c r="AV47" i="1"/>
  <c r="AW47" i="1"/>
  <c r="AX47" i="1"/>
  <c r="AY47" i="1"/>
  <c r="BF47" i="1"/>
  <c r="AU606" i="1"/>
  <c r="AV606" i="1"/>
  <c r="AW606" i="1"/>
  <c r="AX606" i="1"/>
  <c r="AY606" i="1"/>
  <c r="BF606" i="1"/>
  <c r="AU199" i="1"/>
  <c r="AV199" i="1"/>
  <c r="AW199" i="1"/>
  <c r="AX199" i="1"/>
  <c r="AY199" i="1"/>
  <c r="BF199" i="1"/>
  <c r="AU228" i="1"/>
  <c r="AV228" i="1"/>
  <c r="AW228" i="1"/>
  <c r="AX228" i="1"/>
  <c r="AY228" i="1"/>
  <c r="BF228" i="1"/>
  <c r="AU325" i="1"/>
  <c r="AV325" i="1"/>
  <c r="AW325" i="1"/>
  <c r="AX325" i="1"/>
  <c r="AY325" i="1"/>
  <c r="BF325" i="1"/>
  <c r="AU55" i="1"/>
  <c r="AV55" i="1"/>
  <c r="AW55" i="1"/>
  <c r="AX55" i="1"/>
  <c r="AY55" i="1"/>
  <c r="BF55" i="1"/>
  <c r="AU217" i="1"/>
  <c r="AV217" i="1"/>
  <c r="AW217" i="1"/>
  <c r="AX217" i="1"/>
  <c r="AY217" i="1"/>
  <c r="BF217" i="1"/>
  <c r="AU583" i="1"/>
  <c r="AV583" i="1"/>
  <c r="AW583" i="1"/>
  <c r="AX583" i="1"/>
  <c r="AY583" i="1"/>
  <c r="BF583" i="1"/>
  <c r="AU443" i="1"/>
  <c r="AV443" i="1"/>
  <c r="AW443" i="1"/>
  <c r="AX443" i="1"/>
  <c r="AY443" i="1"/>
  <c r="BF443" i="1"/>
  <c r="AU640" i="1"/>
  <c r="AV640" i="1"/>
  <c r="AW640" i="1"/>
  <c r="AX640" i="1"/>
  <c r="AY640" i="1"/>
  <c r="BF640" i="1"/>
  <c r="AU271" i="1"/>
  <c r="AV271" i="1"/>
  <c r="AW271" i="1"/>
  <c r="AX271" i="1"/>
  <c r="AY271" i="1"/>
  <c r="BF271" i="1"/>
  <c r="AU304" i="1"/>
  <c r="AV304" i="1"/>
  <c r="AW304" i="1"/>
  <c r="AX304" i="1"/>
  <c r="AY304" i="1"/>
  <c r="BF304" i="1"/>
  <c r="AU527" i="1"/>
  <c r="AV527" i="1"/>
  <c r="AW527" i="1"/>
  <c r="AX527" i="1"/>
  <c r="AY527" i="1"/>
  <c r="BF527" i="1"/>
  <c r="AU438" i="1"/>
  <c r="AV438" i="1"/>
  <c r="AW438" i="1"/>
  <c r="AX438" i="1"/>
  <c r="AY438" i="1"/>
  <c r="BF438" i="1"/>
  <c r="AU101" i="1"/>
  <c r="AV101" i="1"/>
  <c r="AW101" i="1"/>
  <c r="AX101" i="1"/>
  <c r="AY101" i="1"/>
  <c r="BF101" i="1"/>
  <c r="AU775" i="1"/>
  <c r="AV775" i="1"/>
  <c r="AW775" i="1"/>
  <c r="AX775" i="1"/>
  <c r="AY775" i="1"/>
  <c r="BF775" i="1"/>
  <c r="AU130" i="1"/>
  <c r="AV130" i="1"/>
  <c r="AW130" i="1"/>
  <c r="AX130" i="1"/>
  <c r="AY130" i="1"/>
  <c r="BF130" i="1"/>
  <c r="AU303" i="1"/>
  <c r="AV303" i="1"/>
  <c r="AW303" i="1"/>
  <c r="AX303" i="1"/>
  <c r="AY303" i="1"/>
  <c r="BF303" i="1"/>
  <c r="AU731" i="1"/>
  <c r="AV731" i="1"/>
  <c r="AW731" i="1"/>
  <c r="AX731" i="1"/>
  <c r="AY731" i="1"/>
  <c r="BF731" i="1"/>
  <c r="AU368" i="1"/>
  <c r="AV368" i="1"/>
  <c r="AW368" i="1"/>
  <c r="AX368" i="1"/>
  <c r="AY368" i="1"/>
  <c r="BF368" i="1"/>
  <c r="AU403" i="1"/>
  <c r="AV403" i="1"/>
  <c r="AW403" i="1"/>
  <c r="AX403" i="1"/>
  <c r="AY403" i="1"/>
  <c r="BF403" i="1"/>
  <c r="AU529" i="1"/>
  <c r="AV529" i="1"/>
  <c r="AW529" i="1"/>
  <c r="AX529" i="1"/>
  <c r="AY529" i="1"/>
  <c r="BF529" i="1"/>
  <c r="AU22" i="1"/>
  <c r="AV22" i="1"/>
  <c r="AW22" i="1"/>
  <c r="AX22" i="1"/>
  <c r="AY22" i="1"/>
  <c r="BF22" i="1"/>
  <c r="AU457" i="1"/>
  <c r="AV457" i="1"/>
  <c r="AW457" i="1"/>
  <c r="AX457" i="1"/>
  <c r="AY457" i="1"/>
  <c r="BF457" i="1"/>
  <c r="AU622" i="1"/>
  <c r="AV622" i="1"/>
  <c r="AW622" i="1"/>
  <c r="AX622" i="1"/>
  <c r="AY622" i="1"/>
  <c r="BF622" i="1"/>
  <c r="AU616" i="1"/>
  <c r="AV616" i="1"/>
  <c r="AW616" i="1"/>
  <c r="AX616" i="1"/>
  <c r="AY616" i="1"/>
  <c r="BF616" i="1"/>
  <c r="AU201" i="1"/>
  <c r="AV201" i="1"/>
  <c r="AW201" i="1"/>
  <c r="AX201" i="1"/>
  <c r="AY201" i="1"/>
  <c r="BF201" i="1"/>
  <c r="AU94" i="1"/>
  <c r="AV94" i="1"/>
  <c r="AW94" i="1"/>
  <c r="AX94" i="1"/>
  <c r="AY94" i="1"/>
  <c r="BF94" i="1"/>
  <c r="AU317" i="1"/>
  <c r="AV317" i="1"/>
  <c r="AW317" i="1"/>
  <c r="AX317" i="1"/>
  <c r="AY317" i="1"/>
  <c r="BF317" i="1"/>
  <c r="AU278" i="1"/>
  <c r="AV278" i="1"/>
  <c r="AW278" i="1"/>
  <c r="AX278" i="1"/>
  <c r="AY278" i="1"/>
  <c r="BF278" i="1"/>
  <c r="AU27" i="1"/>
  <c r="AV27" i="1"/>
  <c r="AW27" i="1"/>
  <c r="AX27" i="1"/>
  <c r="AY27" i="1"/>
  <c r="BF27" i="1"/>
  <c r="AU135" i="1"/>
  <c r="AV135" i="1"/>
  <c r="AW135" i="1"/>
  <c r="AX135" i="1"/>
  <c r="AY135" i="1"/>
  <c r="BF135" i="1"/>
  <c r="AU477" i="1"/>
  <c r="AV477" i="1"/>
  <c r="AW477" i="1"/>
  <c r="AX477" i="1"/>
  <c r="AY477" i="1"/>
  <c r="BF477" i="1"/>
  <c r="AU393" i="1"/>
  <c r="AV393" i="1"/>
  <c r="AW393" i="1"/>
  <c r="AX393" i="1"/>
  <c r="AY393" i="1"/>
  <c r="BF393" i="1"/>
  <c r="AU575" i="1"/>
  <c r="AV575" i="1"/>
  <c r="AW575" i="1"/>
  <c r="AX575" i="1"/>
  <c r="AY575" i="1"/>
  <c r="BF575" i="1"/>
  <c r="AU615" i="1"/>
  <c r="AV615" i="1"/>
  <c r="AW615" i="1"/>
  <c r="AX615" i="1"/>
  <c r="AY615" i="1"/>
  <c r="BF615" i="1"/>
  <c r="AU649" i="1"/>
  <c r="AV649" i="1"/>
  <c r="AW649" i="1"/>
  <c r="AX649" i="1"/>
  <c r="AY649" i="1"/>
  <c r="BF649" i="1"/>
  <c r="AU435" i="1"/>
  <c r="AV435" i="1"/>
  <c r="AW435" i="1"/>
  <c r="AX435" i="1"/>
  <c r="AY435" i="1"/>
  <c r="BF435" i="1"/>
  <c r="AU251" i="1"/>
  <c r="AV251" i="1"/>
  <c r="AW251" i="1"/>
  <c r="AX251" i="1"/>
  <c r="AY251" i="1"/>
  <c r="BF251" i="1"/>
  <c r="AU284" i="1"/>
  <c r="AV284" i="1"/>
  <c r="AW284" i="1"/>
  <c r="AX284" i="1"/>
  <c r="AY284" i="1"/>
  <c r="BF284" i="1"/>
  <c r="AU372" i="1"/>
  <c r="AV372" i="1"/>
  <c r="AW372" i="1"/>
  <c r="AX372" i="1"/>
  <c r="AY372" i="1"/>
  <c r="BF372" i="1"/>
  <c r="AU255" i="1"/>
  <c r="AV255" i="1"/>
  <c r="AW255" i="1"/>
  <c r="AX255" i="1"/>
  <c r="AY255" i="1"/>
  <c r="BF255" i="1"/>
  <c r="AU286" i="1"/>
  <c r="AV286" i="1"/>
  <c r="AW286" i="1"/>
  <c r="AX286" i="1"/>
  <c r="AY286" i="1"/>
  <c r="BF286" i="1"/>
  <c r="AU408" i="1"/>
  <c r="AV408" i="1"/>
  <c r="AW408" i="1"/>
  <c r="AX408" i="1"/>
  <c r="AY408" i="1"/>
  <c r="BF408" i="1"/>
  <c r="AU274" i="1"/>
  <c r="AV274" i="1"/>
  <c r="AW274" i="1"/>
  <c r="AX274" i="1"/>
  <c r="AY274" i="1"/>
  <c r="BF274" i="1"/>
  <c r="AU338" i="1"/>
  <c r="AV338" i="1"/>
  <c r="AW338" i="1"/>
  <c r="AX338" i="1"/>
  <c r="AY338" i="1"/>
  <c r="BF338" i="1"/>
  <c r="AU558" i="1"/>
  <c r="AV558" i="1"/>
  <c r="AW558" i="1"/>
  <c r="AX558" i="1"/>
  <c r="AY558" i="1"/>
  <c r="BF558" i="1"/>
  <c r="AU581" i="1"/>
  <c r="AV581" i="1"/>
  <c r="AW581" i="1"/>
  <c r="AX581" i="1"/>
  <c r="AY581" i="1"/>
  <c r="BF581" i="1"/>
  <c r="AU289" i="1"/>
  <c r="AV289" i="1"/>
  <c r="AW289" i="1"/>
  <c r="AX289" i="1"/>
  <c r="AY289" i="1"/>
  <c r="BF289" i="1"/>
  <c r="AU758" i="1"/>
  <c r="AV758" i="1"/>
  <c r="AW758" i="1"/>
  <c r="AX758" i="1"/>
  <c r="AY758" i="1"/>
  <c r="BF758" i="1"/>
  <c r="AU247" i="1"/>
  <c r="AV247" i="1"/>
  <c r="AW247" i="1"/>
  <c r="AX247" i="1"/>
  <c r="AY247" i="1"/>
  <c r="BF247" i="1"/>
  <c r="AU624" i="1"/>
  <c r="AV624" i="1"/>
  <c r="AW624" i="1"/>
  <c r="AX624" i="1"/>
  <c r="AY624" i="1"/>
  <c r="BF624" i="1"/>
  <c r="AU772" i="1"/>
  <c r="AV772" i="1"/>
  <c r="AW772" i="1"/>
  <c r="AX772" i="1"/>
  <c r="AY772" i="1"/>
  <c r="BF772" i="1"/>
  <c r="AU144" i="1"/>
  <c r="AV144" i="1"/>
  <c r="AW144" i="1"/>
  <c r="AX144" i="1"/>
  <c r="AY144" i="1"/>
  <c r="BF144" i="1"/>
  <c r="AU74" i="1"/>
  <c r="AV74" i="1"/>
  <c r="AW74" i="1"/>
  <c r="AX74" i="1"/>
  <c r="AY74" i="1"/>
  <c r="BF74" i="1"/>
  <c r="AU335" i="1"/>
  <c r="AV335" i="1"/>
  <c r="AW335" i="1"/>
  <c r="AX335" i="1"/>
  <c r="AY335" i="1"/>
  <c r="BF335" i="1"/>
  <c r="AU273" i="1"/>
  <c r="AV273" i="1"/>
  <c r="AW273" i="1"/>
  <c r="AX273" i="1"/>
  <c r="AY273" i="1"/>
  <c r="BF273" i="1"/>
  <c r="AU564" i="1"/>
  <c r="AV564" i="1"/>
  <c r="AW564" i="1"/>
  <c r="AX564" i="1"/>
  <c r="AY564" i="1"/>
  <c r="BF564" i="1"/>
  <c r="AU647" i="1"/>
  <c r="AV647" i="1"/>
  <c r="AW647" i="1"/>
  <c r="AX647" i="1"/>
  <c r="AY647" i="1"/>
  <c r="BF647" i="1"/>
  <c r="AU339" i="1"/>
  <c r="AV339" i="1"/>
  <c r="AW339" i="1"/>
  <c r="AX339" i="1"/>
  <c r="AY339" i="1"/>
  <c r="BF339" i="1"/>
  <c r="AU42" i="1"/>
  <c r="AV42" i="1"/>
  <c r="AW42" i="1"/>
  <c r="AX42" i="1"/>
  <c r="AY42" i="1"/>
  <c r="BF42" i="1"/>
  <c r="AU725" i="1"/>
  <c r="AV725" i="1"/>
  <c r="AW725" i="1"/>
  <c r="AX725" i="1"/>
  <c r="AY725" i="1"/>
  <c r="BF725" i="1"/>
  <c r="AU608" i="1"/>
  <c r="AV608" i="1"/>
  <c r="AW608" i="1"/>
  <c r="AX608" i="1"/>
  <c r="AY608" i="1"/>
  <c r="BF608" i="1"/>
  <c r="AU183" i="1"/>
  <c r="AV183" i="1"/>
  <c r="AW183" i="1"/>
  <c r="AX183" i="1"/>
  <c r="AY183" i="1"/>
  <c r="BF183" i="1"/>
  <c r="AU161" i="1"/>
  <c r="AV161" i="1"/>
  <c r="AW161" i="1"/>
  <c r="AX161" i="1"/>
  <c r="AY161" i="1"/>
  <c r="BF161" i="1"/>
  <c r="AU597" i="1"/>
  <c r="AV597" i="1"/>
  <c r="AW597" i="1"/>
  <c r="AX597" i="1"/>
  <c r="AY597" i="1"/>
  <c r="BF597" i="1"/>
  <c r="AU24" i="1"/>
  <c r="AV24" i="1"/>
  <c r="AW24" i="1"/>
  <c r="AX24" i="1"/>
  <c r="AY24" i="1"/>
  <c r="BF24" i="1"/>
  <c r="AU140" i="1"/>
  <c r="AV140" i="1"/>
  <c r="AW140" i="1"/>
  <c r="AX140" i="1"/>
  <c r="AY140" i="1"/>
  <c r="BF140" i="1"/>
  <c r="AU415" i="1"/>
  <c r="AV415" i="1"/>
  <c r="AW415" i="1"/>
  <c r="AX415" i="1"/>
  <c r="AY415" i="1"/>
  <c r="BF415" i="1"/>
  <c r="AU548" i="1"/>
  <c r="AV548" i="1"/>
  <c r="AW548" i="1"/>
  <c r="AX548" i="1"/>
  <c r="AY548" i="1"/>
  <c r="BF548" i="1"/>
  <c r="AU119" i="1"/>
  <c r="AV119" i="1"/>
  <c r="AW119" i="1"/>
  <c r="AX119" i="1"/>
  <c r="AY119" i="1"/>
  <c r="BF119" i="1"/>
  <c r="AU686" i="1"/>
  <c r="AV686" i="1"/>
  <c r="AW686" i="1"/>
  <c r="AX686" i="1"/>
  <c r="AY686" i="1"/>
  <c r="BF686" i="1"/>
  <c r="AU654" i="1"/>
  <c r="AV654" i="1"/>
  <c r="AW654" i="1"/>
  <c r="AX654" i="1"/>
  <c r="AY654" i="1"/>
  <c r="BF654" i="1"/>
  <c r="AU706" i="1"/>
  <c r="AV706" i="1"/>
  <c r="AW706" i="1"/>
  <c r="AX706" i="1"/>
  <c r="AY706" i="1"/>
  <c r="BF706" i="1"/>
  <c r="AU532" i="1"/>
  <c r="AV532" i="1"/>
  <c r="AW532" i="1"/>
  <c r="AX532" i="1"/>
  <c r="AY532" i="1"/>
  <c r="BF532" i="1"/>
  <c r="AU516" i="1"/>
  <c r="AV516" i="1"/>
  <c r="AW516" i="1"/>
  <c r="AX516" i="1"/>
  <c r="AY516" i="1"/>
  <c r="BF516" i="1"/>
  <c r="AU660" i="1"/>
  <c r="AV660" i="1"/>
  <c r="AW660" i="1"/>
  <c r="AX660" i="1"/>
  <c r="AY660" i="1"/>
  <c r="BF660" i="1"/>
  <c r="AU580" i="1"/>
  <c r="AV580" i="1"/>
  <c r="AW580" i="1"/>
  <c r="AX580" i="1"/>
  <c r="AY580" i="1"/>
  <c r="BF580" i="1"/>
  <c r="AU717" i="1"/>
  <c r="AV717" i="1"/>
  <c r="AW717" i="1"/>
  <c r="AX717" i="1"/>
  <c r="AY717" i="1"/>
  <c r="BF717" i="1"/>
  <c r="AU57" i="1"/>
  <c r="AV57" i="1"/>
  <c r="AW57" i="1"/>
  <c r="AX57" i="1"/>
  <c r="AY57" i="1"/>
  <c r="BF57" i="1"/>
  <c r="AU291" i="1"/>
  <c r="AV291" i="1"/>
  <c r="AW291" i="1"/>
  <c r="AX291" i="1"/>
  <c r="AY291" i="1"/>
  <c r="BF291" i="1"/>
  <c r="AU305" i="1"/>
  <c r="AV305" i="1"/>
  <c r="AW305" i="1"/>
  <c r="AX305" i="1"/>
  <c r="AY305" i="1"/>
  <c r="BF305" i="1"/>
  <c r="AU631" i="1"/>
  <c r="AV631" i="1"/>
  <c r="AW631" i="1"/>
  <c r="AX631" i="1"/>
  <c r="AY631" i="1"/>
  <c r="BF631" i="1"/>
  <c r="AU596" i="1"/>
  <c r="AV596" i="1"/>
  <c r="AW596" i="1"/>
  <c r="AX596" i="1"/>
  <c r="AY596" i="1"/>
  <c r="BF596" i="1"/>
  <c r="AU110" i="1"/>
  <c r="AV110" i="1"/>
  <c r="AW110" i="1"/>
  <c r="AX110" i="1"/>
  <c r="AY110" i="1"/>
  <c r="BF110" i="1"/>
  <c r="AU269" i="1"/>
  <c r="AV269" i="1"/>
  <c r="AW269" i="1"/>
  <c r="AX269" i="1"/>
  <c r="AY269" i="1"/>
  <c r="BF269" i="1"/>
  <c r="AU607" i="1"/>
  <c r="AV607" i="1"/>
  <c r="AW607" i="1"/>
  <c r="AX607" i="1"/>
  <c r="AY607" i="1"/>
  <c r="BF607" i="1"/>
  <c r="AU389" i="1"/>
  <c r="AV389" i="1"/>
  <c r="AW389" i="1"/>
  <c r="AX389" i="1"/>
  <c r="AY389" i="1"/>
  <c r="BF389" i="1"/>
  <c r="AU260" i="1"/>
  <c r="AV260" i="1"/>
  <c r="AW260" i="1"/>
  <c r="AX260" i="1"/>
  <c r="AY260" i="1"/>
  <c r="BF260" i="1"/>
  <c r="AU16" i="1"/>
  <c r="AV16" i="1"/>
  <c r="AW16" i="1"/>
  <c r="AX16" i="1"/>
  <c r="AY16" i="1"/>
  <c r="BF16" i="1"/>
  <c r="AU137" i="1"/>
  <c r="AV137" i="1"/>
  <c r="AW137" i="1"/>
  <c r="AX137" i="1"/>
  <c r="AY137" i="1"/>
  <c r="BF137" i="1"/>
  <c r="AU636" i="1"/>
  <c r="AV636" i="1"/>
  <c r="AW636" i="1"/>
  <c r="AX636" i="1"/>
  <c r="AY636" i="1"/>
  <c r="BF636" i="1"/>
  <c r="AU11" i="1"/>
  <c r="AV11" i="1"/>
  <c r="AW11" i="1"/>
  <c r="AX11" i="1"/>
  <c r="AY11" i="1"/>
  <c r="BF11" i="1"/>
  <c r="AU696" i="1"/>
  <c r="AV696" i="1"/>
  <c r="AW696" i="1"/>
  <c r="AX696" i="1"/>
  <c r="AY696" i="1"/>
  <c r="BF696" i="1"/>
  <c r="AU679" i="1"/>
  <c r="AV679" i="1"/>
  <c r="AW679" i="1"/>
  <c r="AX679" i="1"/>
  <c r="AY679" i="1"/>
  <c r="BF679" i="1"/>
  <c r="AU99" i="1"/>
  <c r="AV99" i="1"/>
  <c r="AW99" i="1"/>
  <c r="AX99" i="1"/>
  <c r="AY99" i="1"/>
  <c r="BF99" i="1"/>
  <c r="AU80" i="1"/>
  <c r="AV80" i="1"/>
  <c r="AW80" i="1"/>
  <c r="AX80" i="1"/>
  <c r="AY80" i="1"/>
  <c r="BF80" i="1"/>
  <c r="AU509" i="1"/>
  <c r="AV509" i="1"/>
  <c r="AW509" i="1"/>
  <c r="AX509" i="1"/>
  <c r="AY509" i="1"/>
  <c r="BF509" i="1"/>
  <c r="AU235" i="1"/>
  <c r="AV235" i="1"/>
  <c r="AW235" i="1"/>
  <c r="AX235" i="1"/>
  <c r="AY235" i="1"/>
  <c r="BF235" i="1"/>
  <c r="AU439" i="1"/>
  <c r="AV439" i="1"/>
  <c r="AW439" i="1"/>
  <c r="AX439" i="1"/>
  <c r="AY439" i="1"/>
  <c r="BF439" i="1"/>
  <c r="AU159" i="1"/>
  <c r="AV159" i="1"/>
  <c r="AW159" i="1"/>
  <c r="AX159" i="1"/>
  <c r="AY159" i="1"/>
  <c r="BF159" i="1"/>
  <c r="AU349" i="1"/>
  <c r="AV349" i="1"/>
  <c r="AW349" i="1"/>
  <c r="AX349" i="1"/>
  <c r="AY349" i="1"/>
  <c r="BF349" i="1"/>
  <c r="AU272" i="1"/>
  <c r="AV272" i="1"/>
  <c r="AW272" i="1"/>
  <c r="AX272" i="1"/>
  <c r="AY272" i="1"/>
  <c r="BF272" i="1"/>
  <c r="AU751" i="1"/>
  <c r="AV751" i="1"/>
  <c r="AW751" i="1"/>
  <c r="AX751" i="1"/>
  <c r="AY751" i="1"/>
  <c r="BF751" i="1"/>
  <c r="AU246" i="1"/>
  <c r="AV246" i="1"/>
  <c r="AW246" i="1"/>
  <c r="AX246" i="1"/>
  <c r="AY246" i="1"/>
  <c r="BF246" i="1"/>
  <c r="AU458" i="1"/>
  <c r="AV458" i="1"/>
  <c r="AW458" i="1"/>
  <c r="AX458" i="1"/>
  <c r="AY458" i="1"/>
  <c r="BF458" i="1"/>
  <c r="AU483" i="1"/>
  <c r="AV483" i="1"/>
  <c r="AW483" i="1"/>
  <c r="AX483" i="1"/>
  <c r="AY483" i="1"/>
  <c r="BF483" i="1"/>
  <c r="AU208" i="1"/>
  <c r="AV208" i="1"/>
  <c r="AW208" i="1"/>
  <c r="AX208" i="1"/>
  <c r="AY208" i="1"/>
  <c r="BF208" i="1"/>
  <c r="AU656" i="1"/>
  <c r="AV656" i="1"/>
  <c r="AW656" i="1"/>
  <c r="AX656" i="1"/>
  <c r="AY656" i="1"/>
  <c r="BF656" i="1"/>
  <c r="AU748" i="1"/>
  <c r="AV748" i="1"/>
  <c r="AW748" i="1"/>
  <c r="AX748" i="1"/>
  <c r="AY748" i="1"/>
  <c r="BF748" i="1"/>
  <c r="AU729" i="1"/>
  <c r="AV729" i="1"/>
  <c r="AW729" i="1"/>
  <c r="AX729" i="1"/>
  <c r="AY729" i="1"/>
  <c r="BF729" i="1"/>
  <c r="AU595" i="1"/>
  <c r="AV595" i="1"/>
  <c r="AW595" i="1"/>
  <c r="AX595" i="1"/>
  <c r="AY595" i="1"/>
  <c r="BF595" i="1"/>
  <c r="AU432" i="1"/>
  <c r="AV432" i="1"/>
  <c r="AW432" i="1"/>
  <c r="AX432" i="1"/>
  <c r="AY432" i="1"/>
  <c r="BF432" i="1"/>
  <c r="AU599" i="1"/>
  <c r="AV599" i="1"/>
  <c r="AW599" i="1"/>
  <c r="AX599" i="1"/>
  <c r="AY599" i="1"/>
  <c r="BF599" i="1"/>
  <c r="AU158" i="1"/>
  <c r="AV158" i="1"/>
  <c r="AW158" i="1"/>
  <c r="AX158" i="1"/>
  <c r="AY158" i="1"/>
  <c r="BF158" i="1"/>
  <c r="AU464" i="1"/>
  <c r="AV464" i="1"/>
  <c r="AW464" i="1"/>
  <c r="AX464" i="1"/>
  <c r="AY464" i="1"/>
  <c r="BF464" i="1"/>
  <c r="AU205" i="1"/>
  <c r="AV205" i="1"/>
  <c r="AW205" i="1"/>
  <c r="AX205" i="1"/>
  <c r="AY205" i="1"/>
  <c r="BF205" i="1"/>
  <c r="AU155" i="1"/>
  <c r="AV155" i="1"/>
  <c r="AW155" i="1"/>
  <c r="AX155" i="1"/>
  <c r="AY155" i="1"/>
  <c r="BF155" i="1"/>
  <c r="AU48" i="1"/>
  <c r="AV48" i="1"/>
  <c r="AW48" i="1"/>
  <c r="AX48" i="1"/>
  <c r="AY48" i="1"/>
  <c r="BF48" i="1"/>
  <c r="AU353" i="1"/>
  <c r="AV353" i="1"/>
  <c r="AW353" i="1"/>
  <c r="AX353" i="1"/>
  <c r="AY353" i="1"/>
  <c r="BF353" i="1"/>
  <c r="AU112" i="1"/>
  <c r="AV112" i="1"/>
  <c r="AW112" i="1"/>
  <c r="AX112" i="1"/>
  <c r="AY112" i="1"/>
  <c r="BF112" i="1"/>
  <c r="AU555" i="1"/>
  <c r="AV555" i="1"/>
  <c r="AW555" i="1"/>
  <c r="AX555" i="1"/>
  <c r="AY555" i="1"/>
  <c r="BF555" i="1"/>
  <c r="AU633" i="1"/>
  <c r="AV633" i="1"/>
  <c r="AW633" i="1"/>
  <c r="AX633" i="1"/>
  <c r="AY633" i="1"/>
  <c r="BF633" i="1"/>
  <c r="AU333" i="1"/>
  <c r="AV333" i="1"/>
  <c r="AW333" i="1"/>
  <c r="AX333" i="1"/>
  <c r="AY333" i="1"/>
  <c r="BF333" i="1"/>
  <c r="AU395" i="1"/>
  <c r="AV395" i="1"/>
  <c r="AW395" i="1"/>
  <c r="AX395" i="1"/>
  <c r="AY395" i="1"/>
  <c r="BF395" i="1"/>
  <c r="AU210" i="1"/>
  <c r="AV210" i="1"/>
  <c r="AW210" i="1"/>
  <c r="AX210" i="1"/>
  <c r="AY210" i="1"/>
  <c r="BF210" i="1"/>
  <c r="AU248" i="1"/>
  <c r="AV248" i="1"/>
  <c r="AW248" i="1"/>
  <c r="AX248" i="1"/>
  <c r="AY248" i="1"/>
  <c r="BF248" i="1"/>
  <c r="AU241" i="1"/>
  <c r="AV241" i="1"/>
  <c r="AW241" i="1"/>
  <c r="AX241" i="1"/>
  <c r="AY241" i="1"/>
  <c r="BF241" i="1"/>
  <c r="AU755" i="1"/>
  <c r="AV755" i="1"/>
  <c r="AW755" i="1"/>
  <c r="AX755" i="1"/>
  <c r="AY755" i="1"/>
  <c r="BF755" i="1"/>
  <c r="AU752" i="1"/>
  <c r="AV752" i="1"/>
  <c r="AW752" i="1"/>
  <c r="AX752" i="1"/>
  <c r="AY752" i="1"/>
  <c r="BF752" i="1"/>
  <c r="AU212" i="1"/>
  <c r="AV212" i="1"/>
  <c r="AW212" i="1"/>
  <c r="AX212" i="1"/>
  <c r="AY212" i="1"/>
  <c r="BF212" i="1"/>
  <c r="AU375" i="1"/>
  <c r="AV375" i="1"/>
  <c r="AW375" i="1"/>
  <c r="AX375" i="1"/>
  <c r="AY375" i="1"/>
  <c r="BF375" i="1"/>
  <c r="AU225" i="1"/>
  <c r="AV225" i="1"/>
  <c r="AW225" i="1"/>
  <c r="AX225" i="1"/>
  <c r="AY225" i="1"/>
  <c r="BF225" i="1"/>
  <c r="AU416" i="1"/>
  <c r="AV416" i="1"/>
  <c r="AW416" i="1"/>
  <c r="AX416" i="1"/>
  <c r="AY416" i="1"/>
  <c r="BF416" i="1"/>
  <c r="AU724" i="1"/>
  <c r="AV724" i="1"/>
  <c r="AW724" i="1"/>
  <c r="AX724" i="1"/>
  <c r="AY724" i="1"/>
  <c r="BF724" i="1"/>
  <c r="AU642" i="1"/>
  <c r="AV642" i="1"/>
  <c r="AW642" i="1"/>
  <c r="AX642" i="1"/>
  <c r="AY642" i="1"/>
  <c r="BF642" i="1"/>
  <c r="AU188" i="1"/>
  <c r="AV188" i="1"/>
  <c r="AW188" i="1"/>
  <c r="AX188" i="1"/>
  <c r="AY188" i="1"/>
  <c r="BF188" i="1"/>
  <c r="AU331" i="1"/>
  <c r="AV331" i="1"/>
  <c r="AW331" i="1"/>
  <c r="AX331" i="1"/>
  <c r="AY331" i="1"/>
  <c r="BF331" i="1"/>
  <c r="AU234" i="1"/>
  <c r="AV234" i="1"/>
  <c r="AW234" i="1"/>
  <c r="AX234" i="1"/>
  <c r="AY234" i="1"/>
  <c r="BF234" i="1"/>
  <c r="AU586" i="1"/>
  <c r="AV586" i="1"/>
  <c r="AW586" i="1"/>
  <c r="AX586" i="1"/>
  <c r="AY586" i="1"/>
  <c r="BF586" i="1"/>
  <c r="AU683" i="1"/>
  <c r="AV683" i="1"/>
  <c r="AW683" i="1"/>
  <c r="AX683" i="1"/>
  <c r="AY683" i="1"/>
  <c r="BF683" i="1"/>
  <c r="AU232" i="1"/>
  <c r="AV232" i="1"/>
  <c r="AW232" i="1"/>
  <c r="AX232" i="1"/>
  <c r="AY232" i="1"/>
  <c r="BF232" i="1"/>
  <c r="AU290" i="1"/>
  <c r="AV290" i="1"/>
  <c r="AW290" i="1"/>
  <c r="AX290" i="1"/>
  <c r="AY290" i="1"/>
  <c r="BF290" i="1"/>
  <c r="AU732" i="1"/>
  <c r="AV732" i="1"/>
  <c r="AW732" i="1"/>
  <c r="AX732" i="1"/>
  <c r="AY732" i="1"/>
  <c r="BF732" i="1"/>
  <c r="AU12" i="1"/>
  <c r="AV12" i="1"/>
  <c r="AW12" i="1"/>
  <c r="AX12" i="1"/>
  <c r="AY12" i="1"/>
  <c r="BF12" i="1"/>
  <c r="AU365" i="1"/>
  <c r="AV365" i="1"/>
  <c r="AW365" i="1"/>
  <c r="AX365" i="1"/>
  <c r="AY365" i="1"/>
  <c r="BF365" i="1"/>
  <c r="AU164" i="1"/>
  <c r="AV164" i="1"/>
  <c r="AW164" i="1"/>
  <c r="AX164" i="1"/>
  <c r="AY164" i="1"/>
  <c r="BF164" i="1"/>
  <c r="AU44" i="1"/>
  <c r="AV44" i="1"/>
  <c r="AW44" i="1"/>
  <c r="AX44" i="1"/>
  <c r="AY44" i="1"/>
  <c r="BF44" i="1"/>
  <c r="AU204" i="1"/>
  <c r="AV204" i="1"/>
  <c r="AW204" i="1"/>
  <c r="AX204" i="1"/>
  <c r="AY204" i="1"/>
  <c r="BF204" i="1"/>
  <c r="AU588" i="1"/>
  <c r="AV588" i="1"/>
  <c r="AW588" i="1"/>
  <c r="AX588" i="1"/>
  <c r="AY588" i="1"/>
  <c r="BF588" i="1"/>
  <c r="AU109" i="1"/>
  <c r="AV109" i="1"/>
  <c r="AW109" i="1"/>
  <c r="AX109" i="1"/>
  <c r="AY109" i="1"/>
  <c r="BF109" i="1"/>
  <c r="AU125" i="1"/>
  <c r="AV125" i="1"/>
  <c r="AW125" i="1"/>
  <c r="AX125" i="1"/>
  <c r="AY125" i="1"/>
  <c r="BF125" i="1"/>
  <c r="AU641" i="1"/>
  <c r="AV641" i="1"/>
  <c r="AW641" i="1"/>
  <c r="AX641" i="1"/>
  <c r="AY641" i="1"/>
  <c r="BF641" i="1"/>
  <c r="AU472" i="1"/>
  <c r="AV472" i="1"/>
  <c r="AW472" i="1"/>
  <c r="AX472" i="1"/>
  <c r="AY472" i="1"/>
  <c r="BF472" i="1"/>
  <c r="AU307" i="1"/>
  <c r="AV307" i="1"/>
  <c r="AW307" i="1"/>
  <c r="AX307" i="1"/>
  <c r="AY307" i="1"/>
  <c r="BF307" i="1"/>
  <c r="AU191" i="1"/>
  <c r="AV191" i="1"/>
  <c r="AW191" i="1"/>
  <c r="AX191" i="1"/>
  <c r="AY191" i="1"/>
  <c r="BF191" i="1"/>
  <c r="AU145" i="1"/>
  <c r="AV145" i="1"/>
  <c r="AW145" i="1"/>
  <c r="AX145" i="1"/>
  <c r="AY145" i="1"/>
  <c r="BF145" i="1"/>
  <c r="AU116" i="1"/>
  <c r="AV116" i="1"/>
  <c r="AW116" i="1"/>
  <c r="AX116" i="1"/>
  <c r="AY116" i="1"/>
  <c r="BF116" i="1"/>
  <c r="AU714" i="1"/>
  <c r="AV714" i="1"/>
  <c r="AW714" i="1"/>
  <c r="AX714" i="1"/>
  <c r="AY714" i="1"/>
  <c r="BF714" i="1"/>
  <c r="AU185" i="1"/>
  <c r="AV185" i="1"/>
  <c r="AW185" i="1"/>
  <c r="AX185" i="1"/>
  <c r="AY185" i="1"/>
  <c r="BF185" i="1"/>
  <c r="AU768" i="1"/>
  <c r="AV768" i="1"/>
  <c r="AW768" i="1"/>
  <c r="AX768" i="1"/>
  <c r="AY768" i="1"/>
  <c r="BF768" i="1"/>
  <c r="AU411" i="1"/>
  <c r="AV411" i="1"/>
  <c r="AW411" i="1"/>
  <c r="AX411" i="1"/>
  <c r="AY411" i="1"/>
  <c r="BF411" i="1"/>
  <c r="AU379" i="1"/>
  <c r="AV379" i="1"/>
  <c r="AW379" i="1"/>
  <c r="AX379" i="1"/>
  <c r="AY379" i="1"/>
  <c r="BF379" i="1"/>
  <c r="AU605" i="1"/>
  <c r="AV605" i="1"/>
  <c r="AW605" i="1"/>
  <c r="AX605" i="1"/>
  <c r="AY605" i="1"/>
  <c r="BF605" i="1"/>
  <c r="AU321" i="1"/>
  <c r="AV321" i="1"/>
  <c r="AW321" i="1"/>
  <c r="AX321" i="1"/>
  <c r="AY321" i="1"/>
  <c r="BF321" i="1"/>
  <c r="AU767" i="1"/>
  <c r="AV767" i="1"/>
  <c r="AW767" i="1"/>
  <c r="AX767" i="1"/>
  <c r="AY767" i="1"/>
  <c r="BF767" i="1"/>
  <c r="AU38" i="1"/>
  <c r="AV38" i="1"/>
  <c r="AW38" i="1"/>
  <c r="AX38" i="1"/>
  <c r="AY38" i="1"/>
  <c r="BF38" i="1"/>
  <c r="AU20" i="1"/>
  <c r="AV20" i="1"/>
  <c r="AW20" i="1"/>
  <c r="AX20" i="1"/>
  <c r="AY20" i="1"/>
  <c r="BF20" i="1"/>
  <c r="AU484" i="1"/>
  <c r="AV484" i="1"/>
  <c r="AW484" i="1"/>
  <c r="AX484" i="1"/>
  <c r="AY484" i="1"/>
  <c r="BF484" i="1"/>
  <c r="AU59" i="1"/>
  <c r="AV59" i="1"/>
  <c r="AW59" i="1"/>
  <c r="AX59" i="1"/>
  <c r="AY59" i="1"/>
  <c r="BF59" i="1"/>
  <c r="AU723" i="1"/>
  <c r="AV723" i="1"/>
  <c r="AW723" i="1"/>
  <c r="AX723" i="1"/>
  <c r="AY723" i="1"/>
  <c r="BF723" i="1"/>
  <c r="AU549" i="1"/>
  <c r="AV549" i="1"/>
  <c r="AW549" i="1"/>
  <c r="AX549" i="1"/>
  <c r="AY549" i="1"/>
  <c r="BF549" i="1"/>
  <c r="AU177" i="1"/>
  <c r="AV177" i="1"/>
  <c r="AW177" i="1"/>
  <c r="AX177" i="1"/>
  <c r="AY177" i="1"/>
  <c r="BF177" i="1"/>
  <c r="AU337" i="1"/>
  <c r="AV337" i="1"/>
  <c r="AW337" i="1"/>
  <c r="AX337" i="1"/>
  <c r="AY337" i="1"/>
  <c r="BF337" i="1"/>
  <c r="AU398" i="1"/>
  <c r="AV398" i="1"/>
  <c r="AW398" i="1"/>
  <c r="AX398" i="1"/>
  <c r="AY398" i="1"/>
  <c r="BF398" i="1"/>
  <c r="AU436" i="1"/>
  <c r="AV436" i="1"/>
  <c r="AW436" i="1"/>
  <c r="AX436" i="1"/>
  <c r="AY436" i="1"/>
  <c r="BF436" i="1"/>
  <c r="AU512" i="1"/>
  <c r="AV512" i="1"/>
  <c r="AW512" i="1"/>
  <c r="AX512" i="1"/>
  <c r="AY512" i="1"/>
  <c r="BF512" i="1"/>
  <c r="AU657" i="1"/>
  <c r="AV657" i="1"/>
  <c r="AW657" i="1"/>
  <c r="AX657" i="1"/>
  <c r="AY657" i="1"/>
  <c r="BF657" i="1"/>
  <c r="AU78" i="1"/>
  <c r="AV78" i="1"/>
  <c r="AW78" i="1"/>
  <c r="AX78" i="1"/>
  <c r="AY78" i="1"/>
  <c r="BF78" i="1"/>
  <c r="AU332" i="1"/>
  <c r="AV332" i="1"/>
  <c r="AW332" i="1"/>
  <c r="AX332" i="1"/>
  <c r="AY332" i="1"/>
  <c r="BF332" i="1"/>
  <c r="AU229" i="1"/>
  <c r="AV229" i="1"/>
  <c r="AW229" i="1"/>
  <c r="AX229" i="1"/>
  <c r="AY229" i="1"/>
  <c r="BF229" i="1"/>
  <c r="AU423" i="1"/>
  <c r="AV423" i="1"/>
  <c r="AW423" i="1"/>
  <c r="AX423" i="1"/>
  <c r="AY423" i="1"/>
  <c r="BF423" i="1"/>
  <c r="AU18" i="1"/>
  <c r="AV18" i="1"/>
  <c r="AW18" i="1"/>
  <c r="AX18" i="1"/>
  <c r="AY18" i="1"/>
  <c r="BF18" i="1"/>
  <c r="AU473" i="1"/>
  <c r="AV473" i="1"/>
  <c r="AW473" i="1"/>
  <c r="AX473" i="1"/>
  <c r="AY473" i="1"/>
  <c r="BF473" i="1"/>
  <c r="AU703" i="1"/>
  <c r="AV703" i="1"/>
  <c r="AW703" i="1"/>
  <c r="AX703" i="1"/>
  <c r="AY703" i="1"/>
  <c r="BF703" i="1"/>
  <c r="AU120" i="1"/>
  <c r="AV120" i="1"/>
  <c r="AW120" i="1"/>
  <c r="AX120" i="1"/>
  <c r="AY120" i="1"/>
  <c r="BF120" i="1"/>
  <c r="AU684" i="1"/>
  <c r="AV684" i="1"/>
  <c r="AW684" i="1"/>
  <c r="AX684" i="1"/>
  <c r="AY684" i="1"/>
  <c r="BF684" i="1"/>
  <c r="AU539" i="1"/>
  <c r="AV539" i="1"/>
  <c r="AW539" i="1"/>
  <c r="AX539" i="1"/>
  <c r="AY539" i="1"/>
  <c r="BF539" i="1"/>
  <c r="AU482" i="1"/>
  <c r="AV482" i="1"/>
  <c r="AW482" i="1"/>
  <c r="AX482" i="1"/>
  <c r="AY482" i="1"/>
  <c r="BF482" i="1"/>
  <c r="AU54" i="1"/>
  <c r="AV54" i="1"/>
  <c r="AW54" i="1"/>
  <c r="AX54" i="1"/>
  <c r="AY54" i="1"/>
  <c r="BF54" i="1"/>
  <c r="AU718" i="1"/>
  <c r="AV718" i="1"/>
  <c r="AW718" i="1"/>
  <c r="AX718" i="1"/>
  <c r="AY718" i="1"/>
  <c r="BF718" i="1"/>
  <c r="AU184" i="1"/>
  <c r="AV184" i="1"/>
  <c r="AW184" i="1"/>
  <c r="AX184" i="1"/>
  <c r="AY184" i="1"/>
  <c r="BF184" i="1"/>
  <c r="AU650" i="1"/>
  <c r="AV650" i="1"/>
  <c r="AW650" i="1"/>
  <c r="AX650" i="1"/>
  <c r="AY650" i="1"/>
  <c r="BF650" i="1"/>
  <c r="AU651" i="1"/>
  <c r="AV651" i="1"/>
  <c r="AW651" i="1"/>
  <c r="AX651" i="1"/>
  <c r="AY651" i="1"/>
  <c r="BF651" i="1"/>
  <c r="AU176" i="1"/>
  <c r="AV176" i="1"/>
  <c r="AW176" i="1"/>
  <c r="AX176" i="1"/>
  <c r="AY176" i="1"/>
  <c r="BF176" i="1"/>
  <c r="AU451" i="1"/>
  <c r="AV451" i="1"/>
  <c r="AW451" i="1"/>
  <c r="AX451" i="1"/>
  <c r="AY451" i="1"/>
  <c r="BF451" i="1"/>
  <c r="AU358" i="1"/>
  <c r="AV358" i="1"/>
  <c r="AW358" i="1"/>
  <c r="AX358" i="1"/>
  <c r="AY358" i="1"/>
  <c r="BF358" i="1"/>
  <c r="AU138" i="1"/>
  <c r="AV138" i="1"/>
  <c r="AW138" i="1"/>
  <c r="AX138" i="1"/>
  <c r="AY138" i="1"/>
  <c r="BF138" i="1"/>
  <c r="AU355" i="1"/>
  <c r="AV355" i="1"/>
  <c r="AW355" i="1"/>
  <c r="AX355" i="1"/>
  <c r="AY355" i="1"/>
  <c r="BF355" i="1"/>
  <c r="AU92" i="1"/>
  <c r="AV92" i="1"/>
  <c r="AW92" i="1"/>
  <c r="AX92" i="1"/>
  <c r="AY92" i="1"/>
  <c r="BF92" i="1"/>
  <c r="AU128" i="1"/>
  <c r="AV128" i="1"/>
  <c r="AW128" i="1"/>
  <c r="AX128" i="1"/>
  <c r="AY128" i="1"/>
  <c r="BF128" i="1"/>
  <c r="AU573" i="1"/>
  <c r="AV573" i="1"/>
  <c r="AW573" i="1"/>
  <c r="AX573" i="1"/>
  <c r="AY573" i="1"/>
  <c r="BF573" i="1"/>
  <c r="AU545" i="1"/>
  <c r="AV545" i="1"/>
  <c r="AW545" i="1"/>
  <c r="AX545" i="1"/>
  <c r="AY545" i="1"/>
  <c r="BF545" i="1"/>
  <c r="AU753" i="1"/>
  <c r="AV753" i="1"/>
  <c r="AW753" i="1"/>
  <c r="AX753" i="1"/>
  <c r="AY753" i="1"/>
  <c r="BF753" i="1"/>
  <c r="AU412" i="1"/>
  <c r="AV412" i="1"/>
  <c r="AW412" i="1"/>
  <c r="AX412" i="1"/>
  <c r="AY412" i="1"/>
  <c r="BF412" i="1"/>
  <c r="AU104" i="1"/>
  <c r="AV104" i="1"/>
  <c r="AW104" i="1"/>
  <c r="AX104" i="1"/>
  <c r="AY104" i="1"/>
  <c r="BF104" i="1"/>
  <c r="AU469" i="1"/>
  <c r="AV469" i="1"/>
  <c r="AW469" i="1"/>
  <c r="AX469" i="1"/>
  <c r="AY469" i="1"/>
  <c r="BF469" i="1"/>
  <c r="AU236" i="1"/>
  <c r="AV236" i="1"/>
  <c r="AW236" i="1"/>
  <c r="AX236" i="1"/>
  <c r="AY236" i="1"/>
  <c r="BF236" i="1"/>
  <c r="AU192" i="1"/>
  <c r="AV192" i="1"/>
  <c r="AW192" i="1"/>
  <c r="AX192" i="1"/>
  <c r="AY192" i="1"/>
  <c r="BF192" i="1"/>
  <c r="AU223" i="1"/>
  <c r="AV223" i="1"/>
  <c r="AW223" i="1"/>
  <c r="AX223" i="1"/>
  <c r="AY223" i="1"/>
  <c r="BF223" i="1"/>
  <c r="AU427" i="1"/>
  <c r="AV427" i="1"/>
  <c r="AW427" i="1"/>
  <c r="AX427" i="1"/>
  <c r="AY427" i="1"/>
  <c r="BF427" i="1"/>
  <c r="AU388" i="1"/>
  <c r="AV388" i="1"/>
  <c r="AW388" i="1"/>
  <c r="AX388" i="1"/>
  <c r="AY388" i="1"/>
  <c r="BF388" i="1"/>
  <c r="AU384" i="1"/>
  <c r="AV384" i="1"/>
  <c r="AW384" i="1"/>
  <c r="AX384" i="1"/>
  <c r="AY384" i="1"/>
  <c r="BF384" i="1"/>
  <c r="AU124" i="1"/>
  <c r="AV124" i="1"/>
  <c r="AW124" i="1"/>
  <c r="AX124" i="1"/>
  <c r="AY124" i="1"/>
  <c r="BF124" i="1"/>
  <c r="AU132" i="1"/>
  <c r="AV132" i="1"/>
  <c r="AW132" i="1"/>
  <c r="AX132" i="1"/>
  <c r="AY132" i="1"/>
  <c r="BF132" i="1"/>
  <c r="AU625" i="1"/>
  <c r="AV625" i="1"/>
  <c r="AW625" i="1"/>
  <c r="AX625" i="1"/>
  <c r="AY625" i="1"/>
  <c r="BF625" i="1"/>
  <c r="AU779" i="1"/>
  <c r="AV779" i="1"/>
  <c r="AW779" i="1"/>
  <c r="AX779" i="1"/>
  <c r="AY779" i="1"/>
  <c r="BF779" i="1"/>
  <c r="AU540" i="1"/>
  <c r="AV540" i="1"/>
  <c r="AW540" i="1"/>
  <c r="AX540" i="1"/>
  <c r="AY540" i="1"/>
  <c r="BF540" i="1"/>
  <c r="AU719" i="1"/>
  <c r="AV719" i="1"/>
  <c r="AW719" i="1"/>
  <c r="AX719" i="1"/>
  <c r="AY719" i="1"/>
  <c r="BF719" i="1"/>
  <c r="AU619" i="1"/>
  <c r="AV619" i="1"/>
  <c r="AW619" i="1"/>
  <c r="AX619" i="1"/>
  <c r="AY619" i="1"/>
  <c r="BF619" i="1"/>
  <c r="AU481" i="1"/>
  <c r="AV481" i="1"/>
  <c r="AW481" i="1"/>
  <c r="AX481" i="1"/>
  <c r="AY481" i="1"/>
  <c r="BF481" i="1"/>
  <c r="AU371" i="1"/>
  <c r="AV371" i="1"/>
  <c r="AW371" i="1"/>
  <c r="AX371" i="1"/>
  <c r="AY371" i="1"/>
  <c r="BF371" i="1"/>
  <c r="AU250" i="1"/>
  <c r="AV250" i="1"/>
  <c r="AW250" i="1"/>
  <c r="AX250" i="1"/>
  <c r="AY250" i="1"/>
  <c r="BF250" i="1"/>
  <c r="AU508" i="1"/>
  <c r="AV508" i="1"/>
  <c r="AW508" i="1"/>
  <c r="AX508" i="1"/>
  <c r="AY508" i="1"/>
  <c r="BF508" i="1"/>
  <c r="AU491" i="1"/>
  <c r="AV491" i="1"/>
  <c r="AW491" i="1"/>
  <c r="AX491" i="1"/>
  <c r="AY491" i="1"/>
  <c r="BF491" i="1"/>
  <c r="AU522" i="1"/>
  <c r="AV522" i="1"/>
  <c r="AW522" i="1"/>
  <c r="AX522" i="1"/>
  <c r="AY522" i="1"/>
  <c r="BF522" i="1"/>
  <c r="AU341" i="1"/>
  <c r="AV341" i="1"/>
  <c r="AW341" i="1"/>
  <c r="AX341" i="1"/>
  <c r="AY341" i="1"/>
  <c r="BF341" i="1"/>
  <c r="AU480" i="1"/>
  <c r="AV480" i="1"/>
  <c r="AW480" i="1"/>
  <c r="AX480" i="1"/>
  <c r="AY480" i="1"/>
  <c r="BF480" i="1"/>
  <c r="AU563" i="1"/>
  <c r="AV563" i="1"/>
  <c r="AW563" i="1"/>
  <c r="AX563" i="1"/>
  <c r="AY563" i="1"/>
  <c r="BF563" i="1"/>
  <c r="AU638" i="1"/>
  <c r="AV638" i="1"/>
  <c r="AW638" i="1"/>
  <c r="AX638" i="1"/>
  <c r="AY638" i="1"/>
  <c r="BF638" i="1"/>
  <c r="AU226" i="1"/>
  <c r="AV226" i="1"/>
  <c r="AW226" i="1"/>
  <c r="AX226" i="1"/>
  <c r="AY226" i="1"/>
  <c r="BF226" i="1"/>
  <c r="AU193" i="1"/>
  <c r="AV193" i="1"/>
  <c r="AW193" i="1"/>
  <c r="AX193" i="1"/>
  <c r="AY193" i="1"/>
  <c r="BF193" i="1"/>
  <c r="AU224" i="1"/>
  <c r="AV224" i="1"/>
  <c r="AW224" i="1"/>
  <c r="AX224" i="1"/>
  <c r="AY224" i="1"/>
  <c r="BF224" i="1"/>
  <c r="AU550" i="1"/>
  <c r="AV550" i="1"/>
  <c r="AW550" i="1"/>
  <c r="AX550" i="1"/>
  <c r="AY550" i="1"/>
  <c r="BF550" i="1"/>
  <c r="AU187" i="1"/>
  <c r="AV187" i="1"/>
  <c r="AW187" i="1"/>
  <c r="AX187" i="1"/>
  <c r="AY187" i="1"/>
  <c r="BF187" i="1"/>
  <c r="AU592" i="1"/>
  <c r="AV592" i="1"/>
  <c r="AW592" i="1"/>
  <c r="AX592" i="1"/>
  <c r="AY592" i="1"/>
  <c r="BF592" i="1"/>
  <c r="AU237" i="1"/>
  <c r="AV237" i="1"/>
  <c r="AW237" i="1"/>
  <c r="AX237" i="1"/>
  <c r="AY237" i="1"/>
  <c r="BF237" i="1"/>
  <c r="AU571" i="1"/>
  <c r="AV571" i="1"/>
  <c r="AW571" i="1"/>
  <c r="AX571" i="1"/>
  <c r="AY571" i="1"/>
  <c r="BF571" i="1"/>
  <c r="AU287" i="1"/>
  <c r="AV287" i="1"/>
  <c r="AW287" i="1"/>
  <c r="AX287" i="1"/>
  <c r="AY287" i="1"/>
  <c r="BF287" i="1"/>
  <c r="AU685" i="1"/>
  <c r="AV685" i="1"/>
  <c r="AW685" i="1"/>
  <c r="AX685" i="1"/>
  <c r="AY685" i="1"/>
  <c r="BF685" i="1"/>
  <c r="AU542" i="1"/>
  <c r="AV542" i="1"/>
  <c r="AW542" i="1"/>
  <c r="AX542" i="1"/>
  <c r="AY542" i="1"/>
  <c r="BF542" i="1"/>
  <c r="AU366" i="1"/>
  <c r="AV366" i="1"/>
  <c r="AW366" i="1"/>
  <c r="AX366" i="1"/>
  <c r="AY366" i="1"/>
  <c r="BF366" i="1"/>
  <c r="AU745" i="1"/>
  <c r="AV745" i="1"/>
  <c r="AW745" i="1"/>
  <c r="AX745" i="1"/>
  <c r="AY745" i="1"/>
  <c r="BF745" i="1"/>
  <c r="AU759" i="1"/>
  <c r="AV759" i="1"/>
  <c r="AW759" i="1"/>
  <c r="AX759" i="1"/>
  <c r="AY759" i="1"/>
  <c r="BF759" i="1"/>
  <c r="AU299" i="1"/>
  <c r="AV299" i="1"/>
  <c r="AW299" i="1"/>
  <c r="AX299" i="1"/>
  <c r="AY299" i="1"/>
  <c r="BF299" i="1"/>
  <c r="AU262" i="1"/>
  <c r="AV262" i="1"/>
  <c r="AW262" i="1"/>
  <c r="AX262" i="1"/>
  <c r="AY262" i="1"/>
  <c r="BF262" i="1"/>
  <c r="AU618" i="1"/>
  <c r="AV618" i="1"/>
  <c r="AW618" i="1"/>
  <c r="AX618" i="1"/>
  <c r="AY618" i="1"/>
  <c r="BF618" i="1"/>
  <c r="AU295" i="1"/>
  <c r="AV295" i="1"/>
  <c r="AW295" i="1"/>
  <c r="AX295" i="1"/>
  <c r="AY295" i="1"/>
  <c r="BF295" i="1"/>
  <c r="AU541" i="1"/>
  <c r="AV541" i="1"/>
  <c r="AW541" i="1"/>
  <c r="AX541" i="1"/>
  <c r="AY541" i="1"/>
  <c r="BF541" i="1"/>
  <c r="AU697" i="1"/>
  <c r="AV697" i="1"/>
  <c r="AW697" i="1"/>
  <c r="AX697" i="1"/>
  <c r="AY697" i="1"/>
  <c r="BF697" i="1"/>
  <c r="AU553" i="1"/>
  <c r="AV553" i="1"/>
  <c r="AW553" i="1"/>
  <c r="AX553" i="1"/>
  <c r="AY553" i="1"/>
  <c r="BF553" i="1"/>
  <c r="AU362" i="1"/>
  <c r="AV362" i="1"/>
  <c r="AW362" i="1"/>
  <c r="AX362" i="1"/>
  <c r="AY362" i="1"/>
  <c r="BF362" i="1"/>
  <c r="AU328" i="1"/>
  <c r="AV328" i="1"/>
  <c r="AW328" i="1"/>
  <c r="AX328" i="1"/>
  <c r="AY328" i="1"/>
  <c r="BF328" i="1"/>
  <c r="AU643" i="1"/>
  <c r="AV643" i="1"/>
  <c r="AW643" i="1"/>
  <c r="AX643" i="1"/>
  <c r="AY643" i="1"/>
  <c r="BF643" i="1"/>
  <c r="AU655" i="1"/>
  <c r="AV655" i="1"/>
  <c r="AW655" i="1"/>
  <c r="AX655" i="1"/>
  <c r="AY655" i="1"/>
  <c r="BF655" i="1"/>
  <c r="AU688" i="1"/>
  <c r="AV688" i="1"/>
  <c r="AW688" i="1"/>
  <c r="AX688" i="1"/>
  <c r="AY688" i="1"/>
  <c r="BF688" i="1"/>
  <c r="AU551" i="1"/>
  <c r="AV551" i="1"/>
  <c r="AW551" i="1"/>
  <c r="AX551" i="1"/>
  <c r="AY551" i="1"/>
  <c r="BF551" i="1"/>
  <c r="AU222" i="1"/>
  <c r="AV222" i="1"/>
  <c r="AW222" i="1"/>
  <c r="AX222" i="1"/>
  <c r="AY222" i="1"/>
  <c r="BF222" i="1"/>
  <c r="AU86" i="1"/>
  <c r="AV86" i="1"/>
  <c r="AW86" i="1"/>
  <c r="AX86" i="1"/>
  <c r="AY86" i="1"/>
  <c r="BF86" i="1"/>
  <c r="AU28" i="1"/>
  <c r="AV28" i="1"/>
  <c r="AW28" i="1"/>
  <c r="AX28" i="1"/>
  <c r="AY28" i="1"/>
  <c r="BF28" i="1"/>
  <c r="AU285" i="1"/>
  <c r="AV285" i="1"/>
  <c r="AW285" i="1"/>
  <c r="AX285" i="1"/>
  <c r="AY285" i="1"/>
  <c r="BF285" i="1"/>
  <c r="AU322" i="1"/>
  <c r="AV322" i="1"/>
  <c r="AW322" i="1"/>
  <c r="AX322" i="1"/>
  <c r="AY322" i="1"/>
  <c r="BF322" i="1"/>
  <c r="AU263" i="1"/>
  <c r="AV263" i="1"/>
  <c r="AW263" i="1"/>
  <c r="AX263" i="1"/>
  <c r="AY263" i="1"/>
  <c r="BF263" i="1"/>
  <c r="AU113" i="1"/>
  <c r="AV113" i="1"/>
  <c r="AW113" i="1"/>
  <c r="AX113" i="1"/>
  <c r="AY113" i="1"/>
  <c r="BF113" i="1"/>
  <c r="AU66" i="1"/>
  <c r="AV66" i="1"/>
  <c r="AW66" i="1"/>
  <c r="AX66" i="1"/>
  <c r="AY66" i="1"/>
  <c r="BF66" i="1"/>
  <c r="AU219" i="1"/>
  <c r="AV219" i="1"/>
  <c r="AW219" i="1"/>
  <c r="AX219" i="1"/>
  <c r="AY219" i="1"/>
  <c r="BF219" i="1"/>
  <c r="AU639" i="1"/>
  <c r="AV639" i="1"/>
  <c r="AW639" i="1"/>
  <c r="AX639" i="1"/>
  <c r="AY639" i="1"/>
  <c r="BF639" i="1"/>
  <c r="AU663" i="1"/>
  <c r="AV663" i="1"/>
  <c r="AW663" i="1"/>
  <c r="AX663" i="1"/>
  <c r="AY663" i="1"/>
  <c r="BF663" i="1"/>
  <c r="AU157" i="1"/>
  <c r="AV157" i="1"/>
  <c r="AW157" i="1"/>
  <c r="AX157" i="1"/>
  <c r="AY157" i="1"/>
  <c r="BF157" i="1"/>
  <c r="AU13" i="1"/>
  <c r="AV13" i="1"/>
  <c r="AW13" i="1"/>
  <c r="AX13" i="1"/>
  <c r="AY13" i="1"/>
  <c r="BF13" i="1"/>
  <c r="AU37" i="1"/>
  <c r="AV37" i="1"/>
  <c r="AW37" i="1"/>
  <c r="AX37" i="1"/>
  <c r="AY37" i="1"/>
  <c r="BF37" i="1"/>
  <c r="AU556" i="1"/>
  <c r="AV556" i="1"/>
  <c r="AW556" i="1"/>
  <c r="AX556" i="1"/>
  <c r="AY556" i="1"/>
  <c r="BF556" i="1"/>
  <c r="AU777" i="1"/>
  <c r="AV777" i="1"/>
  <c r="AW777" i="1"/>
  <c r="AX777" i="1"/>
  <c r="AY777" i="1"/>
  <c r="BF777" i="1"/>
  <c r="AU216" i="1"/>
  <c r="AV216" i="1"/>
  <c r="AW216" i="1"/>
  <c r="AX216" i="1"/>
  <c r="AY216" i="1"/>
  <c r="BF216" i="1"/>
  <c r="AU689" i="1"/>
  <c r="AV689" i="1"/>
  <c r="AW689" i="1"/>
  <c r="AX689" i="1"/>
  <c r="AY689" i="1"/>
  <c r="BF689" i="1"/>
  <c r="AU53" i="1"/>
  <c r="AV53" i="1"/>
  <c r="AW53" i="1"/>
  <c r="AX53" i="1"/>
  <c r="AY53" i="1"/>
  <c r="BF53" i="1"/>
  <c r="AU635" i="1"/>
  <c r="AV635" i="1"/>
  <c r="AW635" i="1"/>
  <c r="AX635" i="1"/>
  <c r="AY635" i="1"/>
  <c r="BF635" i="1"/>
  <c r="AU727" i="1"/>
  <c r="AV727" i="1"/>
  <c r="AW727" i="1"/>
  <c r="AX727" i="1"/>
  <c r="AY727" i="1"/>
  <c r="BF727" i="1"/>
  <c r="AU243" i="1"/>
  <c r="AV243" i="1"/>
  <c r="AW243" i="1"/>
  <c r="AX243" i="1"/>
  <c r="AY243" i="1"/>
  <c r="BF243" i="1"/>
  <c r="AU720" i="1"/>
  <c r="AV720" i="1"/>
  <c r="AW720" i="1"/>
  <c r="AX720" i="1"/>
  <c r="AY720" i="1"/>
  <c r="BF720" i="1"/>
  <c r="AU65" i="1"/>
  <c r="AV65" i="1"/>
  <c r="AW65" i="1"/>
  <c r="AX65" i="1"/>
  <c r="AY65" i="1"/>
  <c r="BF65" i="1"/>
  <c r="AU84" i="1"/>
  <c r="AV84" i="1"/>
  <c r="AW84" i="1"/>
  <c r="AX84" i="1"/>
  <c r="AY84" i="1"/>
  <c r="BF84" i="1"/>
  <c r="AU523" i="1"/>
  <c r="AV523" i="1"/>
  <c r="AW523" i="1"/>
  <c r="AX523" i="1"/>
  <c r="AY523" i="1"/>
  <c r="BF523" i="1"/>
  <c r="AU579" i="1"/>
  <c r="AV579" i="1"/>
  <c r="AW579" i="1"/>
  <c r="AX579" i="1"/>
  <c r="AY579" i="1"/>
  <c r="BF579" i="1"/>
  <c r="AU302" i="1"/>
  <c r="AV302" i="1"/>
  <c r="AW302" i="1"/>
  <c r="AX302" i="1"/>
  <c r="AY302" i="1"/>
  <c r="BF302" i="1"/>
  <c r="AU182" i="1"/>
  <c r="AV182" i="1"/>
  <c r="AW182" i="1"/>
  <c r="AX182" i="1"/>
  <c r="AY182" i="1"/>
  <c r="BF182" i="1"/>
  <c r="AU433" i="1"/>
  <c r="AV433" i="1"/>
  <c r="AW433" i="1"/>
  <c r="AX433" i="1"/>
  <c r="AY433" i="1"/>
  <c r="BF433" i="1"/>
  <c r="AU617" i="1"/>
  <c r="AV617" i="1"/>
  <c r="AW617" i="1"/>
  <c r="AX617" i="1"/>
  <c r="AY617" i="1"/>
  <c r="BF617" i="1"/>
  <c r="AU179" i="1"/>
  <c r="AV179" i="1"/>
  <c r="AW179" i="1"/>
  <c r="AX179" i="1"/>
  <c r="AY179" i="1"/>
  <c r="BF179" i="1"/>
  <c r="AU574" i="1"/>
  <c r="AV574" i="1"/>
  <c r="AW574" i="1"/>
  <c r="AX574" i="1"/>
  <c r="AY574" i="1"/>
  <c r="BF574" i="1"/>
  <c r="AU148" i="1"/>
  <c r="AV148" i="1"/>
  <c r="AW148" i="1"/>
  <c r="AX148" i="1"/>
  <c r="AY148" i="1"/>
  <c r="BF148" i="1"/>
  <c r="AU172" i="1"/>
  <c r="AV172" i="1"/>
  <c r="AW172" i="1"/>
  <c r="AX172" i="1"/>
  <c r="AY172" i="1"/>
  <c r="BF172" i="1"/>
  <c r="AU100" i="1"/>
  <c r="AV100" i="1"/>
  <c r="AW100" i="1"/>
  <c r="AX100" i="1"/>
  <c r="AY100" i="1"/>
  <c r="BF100" i="1"/>
  <c r="AU734" i="1"/>
  <c r="AV734" i="1"/>
  <c r="AW734" i="1"/>
  <c r="AX734" i="1"/>
  <c r="AY734" i="1"/>
  <c r="BF734" i="1"/>
  <c r="AU270" i="1"/>
  <c r="AV270" i="1"/>
  <c r="AW270" i="1"/>
  <c r="AX270" i="1"/>
  <c r="AY270" i="1"/>
  <c r="BF270" i="1"/>
  <c r="AU85" i="1"/>
  <c r="AV85" i="1"/>
  <c r="AW85" i="1"/>
  <c r="AX85" i="1"/>
  <c r="AY85" i="1"/>
  <c r="BF85" i="1"/>
  <c r="AU742" i="1"/>
  <c r="AV742" i="1"/>
  <c r="AW742" i="1"/>
  <c r="AX742" i="1"/>
  <c r="AY742" i="1"/>
  <c r="BF742" i="1"/>
  <c r="AU72" i="1"/>
  <c r="AV72" i="1"/>
  <c r="AW72" i="1"/>
  <c r="AX72" i="1"/>
  <c r="AY72" i="1"/>
  <c r="BF72" i="1"/>
  <c r="AU370" i="1"/>
  <c r="AV370" i="1"/>
  <c r="AW370" i="1"/>
  <c r="AX370" i="1"/>
  <c r="AY370" i="1"/>
  <c r="BF370" i="1"/>
  <c r="AU630" i="1"/>
  <c r="AV630" i="1"/>
  <c r="AW630" i="1"/>
  <c r="AX630" i="1"/>
  <c r="AY630" i="1"/>
  <c r="BF630" i="1"/>
  <c r="AU306" i="1"/>
  <c r="AV306" i="1"/>
  <c r="AW306" i="1"/>
  <c r="AX306" i="1"/>
  <c r="AY306" i="1"/>
  <c r="BF306" i="1"/>
  <c r="AU240" i="1"/>
  <c r="AV240" i="1"/>
  <c r="AW240" i="1"/>
  <c r="AX240" i="1"/>
  <c r="AY240" i="1"/>
  <c r="BF240" i="1"/>
  <c r="AU587" i="1"/>
  <c r="AV587" i="1"/>
  <c r="AW587" i="1"/>
  <c r="AX587" i="1"/>
  <c r="AY587" i="1"/>
  <c r="BF587" i="1"/>
  <c r="AU36" i="1"/>
  <c r="AV36" i="1"/>
  <c r="AW36" i="1"/>
  <c r="AX36" i="1"/>
  <c r="AY36" i="1"/>
  <c r="BF36" i="1"/>
  <c r="AU470" i="1"/>
  <c r="AV470" i="1"/>
  <c r="AW470" i="1"/>
  <c r="AX470" i="1"/>
  <c r="AY470" i="1"/>
  <c r="BF470" i="1"/>
  <c r="AU123" i="1"/>
  <c r="AV123" i="1"/>
  <c r="AW123" i="1"/>
  <c r="AX123" i="1"/>
  <c r="AY123" i="1"/>
  <c r="BF123" i="1"/>
  <c r="AU173" i="1"/>
  <c r="AV173" i="1"/>
  <c r="AW173" i="1"/>
  <c r="AX173" i="1"/>
  <c r="AY173" i="1"/>
  <c r="BF173" i="1"/>
  <c r="AU614" i="1"/>
  <c r="AV614" i="1"/>
  <c r="AW614" i="1"/>
  <c r="AX614" i="1"/>
  <c r="AY614" i="1"/>
  <c r="BF614" i="1"/>
  <c r="AU604" i="1"/>
  <c r="AV604" i="1"/>
  <c r="AW604" i="1"/>
  <c r="AX604" i="1"/>
  <c r="AY604" i="1"/>
  <c r="BF604" i="1"/>
  <c r="AU87" i="1"/>
  <c r="AV87" i="1"/>
  <c r="AW87" i="1"/>
  <c r="AX87" i="1"/>
  <c r="AY87" i="1"/>
  <c r="BF87" i="1"/>
  <c r="AU562" i="1"/>
  <c r="AV562" i="1"/>
  <c r="AW562" i="1"/>
  <c r="AX562" i="1"/>
  <c r="AY562" i="1"/>
  <c r="BF562" i="1"/>
  <c r="AU661" i="1"/>
  <c r="AV661" i="1"/>
  <c r="AW661" i="1"/>
  <c r="AX661" i="1"/>
  <c r="AY661" i="1"/>
  <c r="BF661" i="1"/>
  <c r="AU680" i="1"/>
  <c r="AV680" i="1"/>
  <c r="AW680" i="1"/>
  <c r="AX680" i="1"/>
  <c r="AY680" i="1"/>
  <c r="BF680" i="1"/>
  <c r="AU95" i="1"/>
  <c r="AV95" i="1"/>
  <c r="AW95" i="1"/>
  <c r="AX95" i="1"/>
  <c r="AY95" i="1"/>
  <c r="BF95" i="1"/>
  <c r="AU136" i="1"/>
  <c r="AV136" i="1"/>
  <c r="AW136" i="1"/>
  <c r="AX136" i="1"/>
  <c r="AY136" i="1"/>
  <c r="BF136" i="1"/>
  <c r="AU326" i="1"/>
  <c r="AV326" i="1"/>
  <c r="AW326" i="1"/>
  <c r="AX326" i="1"/>
  <c r="AY326" i="1"/>
  <c r="BF326" i="1"/>
  <c r="AU623" i="1"/>
  <c r="AV623" i="1"/>
  <c r="AW623" i="1"/>
  <c r="AX623" i="1"/>
  <c r="AY623" i="1"/>
  <c r="BF623" i="1"/>
  <c r="AU682" i="1"/>
  <c r="AV682" i="1"/>
  <c r="AW682" i="1"/>
  <c r="AX682" i="1"/>
  <c r="AY682" i="1"/>
  <c r="BF682" i="1"/>
  <c r="AU766" i="1"/>
  <c r="AV766" i="1"/>
  <c r="AW766" i="1"/>
  <c r="AX766" i="1"/>
  <c r="AY766" i="1"/>
  <c r="BF766" i="1"/>
  <c r="AU14" i="1"/>
  <c r="AV14" i="1"/>
  <c r="AW14" i="1"/>
  <c r="AX14" i="1"/>
  <c r="AY14" i="1"/>
  <c r="BF14" i="1"/>
  <c r="AU554" i="1"/>
  <c r="AV554" i="1"/>
  <c r="AW554" i="1"/>
  <c r="AX554" i="1"/>
  <c r="AY554" i="1"/>
  <c r="BF554" i="1"/>
  <c r="AU421" i="1"/>
  <c r="AV421" i="1"/>
  <c r="AW421" i="1"/>
  <c r="AX421" i="1"/>
  <c r="AY421" i="1"/>
  <c r="BF421" i="1"/>
  <c r="AU319" i="1"/>
  <c r="AV319" i="1"/>
  <c r="AW319" i="1"/>
  <c r="AX319" i="1"/>
  <c r="AY319" i="1"/>
  <c r="BF319" i="1"/>
  <c r="AU154" i="1"/>
  <c r="AV154" i="1"/>
  <c r="AW154" i="1"/>
  <c r="AX154" i="1"/>
  <c r="AY154" i="1"/>
  <c r="BF154" i="1"/>
  <c r="AU770" i="1"/>
  <c r="AV770" i="1"/>
  <c r="AW770" i="1"/>
  <c r="AX770" i="1"/>
  <c r="AY770" i="1"/>
  <c r="BF770" i="1"/>
  <c r="AU517" i="1"/>
  <c r="AV517" i="1"/>
  <c r="AW517" i="1"/>
  <c r="AX517" i="1"/>
  <c r="AY517" i="1"/>
  <c r="BF517" i="1"/>
  <c r="AU648" i="1"/>
  <c r="AV648" i="1"/>
  <c r="AW648" i="1"/>
  <c r="AX648" i="1"/>
  <c r="AY648" i="1"/>
  <c r="BF648" i="1"/>
  <c r="AU344" i="1"/>
  <c r="AV344" i="1"/>
  <c r="AW344" i="1"/>
  <c r="AX344" i="1"/>
  <c r="AY344" i="1"/>
  <c r="BF344" i="1"/>
  <c r="AU374" i="1"/>
  <c r="AV374" i="1"/>
  <c r="AW374" i="1"/>
  <c r="AX374" i="1"/>
  <c r="AY374" i="1"/>
  <c r="BF374" i="1"/>
  <c r="AU165" i="1"/>
  <c r="AV165" i="1"/>
  <c r="AW165" i="1"/>
  <c r="AX165" i="1"/>
  <c r="AY165" i="1"/>
  <c r="BF165" i="1"/>
  <c r="AU261" i="1"/>
  <c r="AV261" i="1"/>
  <c r="AW261" i="1"/>
  <c r="AX261" i="1"/>
  <c r="AY261" i="1"/>
  <c r="BF261" i="1"/>
  <c r="AU342" i="1"/>
  <c r="AV342" i="1"/>
  <c r="AW342" i="1"/>
  <c r="AX342" i="1"/>
  <c r="AY342" i="1"/>
  <c r="BF342" i="1"/>
  <c r="AU521" i="1"/>
  <c r="AV521" i="1"/>
  <c r="AW521" i="1"/>
  <c r="AX521" i="1"/>
  <c r="AY521" i="1"/>
  <c r="BF521" i="1"/>
  <c r="AU417" i="1"/>
  <c r="AV417" i="1"/>
  <c r="AW417" i="1"/>
  <c r="AX417" i="1"/>
  <c r="AY417" i="1"/>
  <c r="BF417" i="1"/>
  <c r="AU268" i="1"/>
  <c r="AV268" i="1"/>
  <c r="AW268" i="1"/>
  <c r="AX268" i="1"/>
  <c r="AY268" i="1"/>
  <c r="BF268" i="1"/>
  <c r="AU665" i="1"/>
  <c r="AV665" i="1"/>
  <c r="AW665" i="1"/>
  <c r="AX665" i="1"/>
  <c r="AY665" i="1"/>
  <c r="BF665" i="1"/>
  <c r="AU609" i="1"/>
  <c r="AV609" i="1"/>
  <c r="AW609" i="1"/>
  <c r="AX609" i="1"/>
  <c r="AY609" i="1"/>
  <c r="BF609" i="1"/>
  <c r="AU203" i="1"/>
  <c r="AV203" i="1"/>
  <c r="AW203" i="1"/>
  <c r="AX203" i="1"/>
  <c r="AY203" i="1"/>
  <c r="BF203" i="1"/>
  <c r="AU559" i="1"/>
  <c r="AV559" i="1"/>
  <c r="AW559" i="1"/>
  <c r="AX559" i="1"/>
  <c r="AY559" i="1"/>
  <c r="BF559" i="1"/>
  <c r="AU760" i="1"/>
  <c r="AV760" i="1"/>
  <c r="AW760" i="1"/>
  <c r="AX760" i="1"/>
  <c r="AY760" i="1"/>
  <c r="BF760" i="1"/>
  <c r="AU81" i="1"/>
  <c r="AV81" i="1"/>
  <c r="AW81" i="1"/>
  <c r="AX81" i="1"/>
  <c r="AY81" i="1"/>
  <c r="BF81" i="1"/>
  <c r="AU504" i="1"/>
  <c r="AV504" i="1"/>
  <c r="AW504" i="1"/>
  <c r="AX504" i="1"/>
  <c r="AY504" i="1"/>
  <c r="BF504" i="1"/>
  <c r="AU40" i="1"/>
  <c r="AV40" i="1"/>
  <c r="AW40" i="1"/>
  <c r="AX40" i="1"/>
  <c r="AY40" i="1"/>
  <c r="BF40" i="1"/>
  <c r="AU506" i="1"/>
  <c r="AV506" i="1"/>
  <c r="AW506" i="1"/>
  <c r="AX506" i="1"/>
  <c r="AY506" i="1"/>
  <c r="BF506" i="1"/>
  <c r="AU513" i="1"/>
  <c r="AV513" i="1"/>
  <c r="AW513" i="1"/>
  <c r="AX513" i="1"/>
  <c r="AY513" i="1"/>
  <c r="BF513" i="1"/>
  <c r="AU510" i="1"/>
  <c r="AV510" i="1"/>
  <c r="AW510" i="1"/>
  <c r="AX510" i="1"/>
  <c r="AY510" i="1"/>
  <c r="BF510" i="1"/>
  <c r="AU531" i="1"/>
  <c r="AV531" i="1"/>
  <c r="AW531" i="1"/>
  <c r="AX531" i="1"/>
  <c r="AY531" i="1"/>
  <c r="BF531" i="1"/>
  <c r="AU515" i="1"/>
  <c r="AV515" i="1"/>
  <c r="AW515" i="1"/>
  <c r="AX515" i="1"/>
  <c r="AY515" i="1"/>
  <c r="BF515" i="1"/>
  <c r="AU505" i="1"/>
  <c r="AV505" i="1"/>
  <c r="AW505" i="1"/>
  <c r="AX505" i="1"/>
  <c r="AY505" i="1"/>
  <c r="BF505" i="1"/>
  <c r="AU524" i="1"/>
  <c r="AV524" i="1"/>
  <c r="AW524" i="1"/>
  <c r="AX524" i="1"/>
  <c r="AY524" i="1"/>
  <c r="BF524" i="1"/>
  <c r="AU500" i="1"/>
  <c r="AV500" i="1"/>
  <c r="AW500" i="1"/>
  <c r="AX500" i="1"/>
  <c r="AY500" i="1"/>
  <c r="BF500" i="1"/>
  <c r="AU5" i="1"/>
  <c r="AV5" i="1"/>
  <c r="AW5" i="1"/>
  <c r="AX5" i="1"/>
  <c r="AY5" i="1"/>
  <c r="BF5" i="1"/>
  <c r="AU501" i="1"/>
  <c r="AV501" i="1"/>
  <c r="AW501" i="1"/>
  <c r="AX501" i="1"/>
  <c r="AY501" i="1"/>
  <c r="BF501" i="1"/>
  <c r="AU26" i="1"/>
  <c r="AV26" i="1"/>
  <c r="AW26" i="1"/>
  <c r="AX26" i="1"/>
  <c r="AY26" i="1"/>
  <c r="BF26" i="1"/>
  <c r="AU518" i="1"/>
  <c r="AV518" i="1"/>
  <c r="AW518" i="1"/>
  <c r="AX518" i="1"/>
  <c r="AY518" i="1"/>
  <c r="BF518" i="1"/>
  <c r="AU6" i="1"/>
  <c r="AV6" i="1"/>
  <c r="AW6" i="1"/>
  <c r="AX6" i="1"/>
  <c r="AY6" i="1"/>
  <c r="BF6" i="1"/>
  <c r="AU9" i="1"/>
  <c r="AV9" i="1"/>
  <c r="AW9" i="1"/>
  <c r="AX9" i="1"/>
  <c r="AY9" i="1"/>
  <c r="BF9" i="1"/>
  <c r="AU245" i="1"/>
  <c r="AV245" i="1"/>
  <c r="AW245" i="1"/>
  <c r="AX245" i="1"/>
  <c r="AY245" i="1"/>
  <c r="BF245" i="1"/>
  <c r="AU23" i="1"/>
  <c r="AV23" i="1"/>
  <c r="AW23" i="1"/>
  <c r="AX23" i="1"/>
  <c r="AY23" i="1"/>
  <c r="BF23" i="1"/>
  <c r="AU17" i="1"/>
  <c r="AV17" i="1"/>
  <c r="AW17" i="1"/>
  <c r="AX17" i="1"/>
  <c r="AY17" i="1"/>
  <c r="BF17" i="1"/>
  <c r="AU528" i="1"/>
  <c r="AV528" i="1"/>
  <c r="AW528" i="1"/>
  <c r="AX528" i="1"/>
  <c r="AY528" i="1"/>
  <c r="BF528" i="1"/>
  <c r="AW567" i="2"/>
  <c r="AW531" i="2"/>
  <c r="AW656" i="2"/>
  <c r="AW372" i="2"/>
  <c r="AW307" i="2"/>
  <c r="AW752" i="2"/>
  <c r="AW702" i="2"/>
  <c r="AW336" i="2"/>
  <c r="AW519" i="2"/>
  <c r="AW289" i="2"/>
  <c r="AW140" i="2"/>
  <c r="AW348" i="2"/>
  <c r="AW311" i="2"/>
  <c r="AW551" i="2"/>
  <c r="AW376" i="2"/>
  <c r="AW344" i="2"/>
  <c r="AW308" i="2"/>
  <c r="AW443" i="2"/>
  <c r="AW621" i="2"/>
  <c r="AW238" i="2"/>
  <c r="AW135" i="2"/>
  <c r="AW170" i="2"/>
  <c r="AW185" i="2"/>
  <c r="AW28" i="2"/>
  <c r="AW12" i="2"/>
  <c r="AW255" i="2"/>
  <c r="AW115" i="2"/>
  <c r="AW290" i="2"/>
  <c r="AE457" i="3" l="1"/>
  <c r="K552" i="7"/>
  <c r="K550" i="7"/>
  <c r="J356" i="7"/>
  <c r="J536" i="7"/>
  <c r="AD112" i="3"/>
  <c r="AE194" i="3"/>
  <c r="AE67" i="3"/>
  <c r="AE99" i="3"/>
  <c r="AE275" i="3"/>
  <c r="AD349" i="3"/>
  <c r="AE240" i="3"/>
  <c r="AD404" i="3"/>
  <c r="K526" i="7"/>
  <c r="J409" i="7"/>
  <c r="AD568" i="3"/>
  <c r="AD332" i="3"/>
  <c r="AD224" i="3"/>
  <c r="AD396" i="3"/>
  <c r="AD275" i="3"/>
  <c r="K575" i="7"/>
  <c r="K425" i="7"/>
  <c r="J443" i="7"/>
  <c r="J602" i="7"/>
  <c r="I497" i="7"/>
  <c r="K607" i="7"/>
  <c r="J425" i="7"/>
  <c r="AE530" i="3"/>
  <c r="AD42" i="3"/>
  <c r="K426" i="7"/>
  <c r="K606" i="7"/>
  <c r="J416" i="7"/>
  <c r="AE587" i="3"/>
  <c r="AE281" i="3"/>
  <c r="AE317" i="3"/>
  <c r="AD305" i="3"/>
  <c r="AD500" i="3"/>
  <c r="AE259" i="3"/>
  <c r="J198" i="7"/>
  <c r="J609" i="7"/>
  <c r="J449" i="7"/>
  <c r="J476" i="7"/>
  <c r="I547" i="7"/>
  <c r="J544" i="7"/>
  <c r="AE11" i="3"/>
  <c r="AD138" i="3"/>
  <c r="K198" i="7"/>
  <c r="K609" i="7"/>
  <c r="K592" i="7"/>
  <c r="K568" i="7"/>
  <c r="K594" i="7"/>
  <c r="J568" i="7"/>
  <c r="J373" i="7"/>
  <c r="J442" i="7"/>
  <c r="J457" i="7"/>
  <c r="I326" i="7"/>
  <c r="J547" i="7"/>
  <c r="J550" i="7"/>
  <c r="J492" i="7"/>
  <c r="J605" i="7"/>
  <c r="AD636" i="3"/>
  <c r="K219" i="7"/>
  <c r="K534" i="7"/>
  <c r="K382" i="7"/>
  <c r="K216" i="7"/>
  <c r="K538" i="7"/>
  <c r="K343" i="7"/>
  <c r="K356" i="7"/>
  <c r="K373" i="7"/>
  <c r="K252" i="7"/>
  <c r="K416" i="7"/>
  <c r="K593" i="7"/>
  <c r="I494" i="7"/>
  <c r="J594" i="7"/>
  <c r="I364" i="7"/>
  <c r="J326" i="7"/>
  <c r="I491" i="7"/>
  <c r="J538" i="7"/>
  <c r="K580" i="7"/>
  <c r="K583" i="7"/>
  <c r="K543" i="7"/>
  <c r="K368" i="7"/>
  <c r="J294" i="7"/>
  <c r="I593" i="7"/>
  <c r="I592" i="7"/>
  <c r="J526" i="7"/>
  <c r="J494" i="7"/>
  <c r="I594" i="7"/>
  <c r="J510" i="7"/>
  <c r="J368" i="7"/>
  <c r="J364" i="7"/>
  <c r="I200" i="7"/>
  <c r="J491" i="7"/>
  <c r="J382" i="7"/>
  <c r="AD102" i="3"/>
  <c r="AE45" i="3"/>
  <c r="AD248" i="3"/>
  <c r="AE89" i="3"/>
  <c r="K591" i="7"/>
  <c r="K497" i="7"/>
  <c r="K536" i="7"/>
  <c r="K476" i="7"/>
  <c r="K372" i="7"/>
  <c r="K449" i="7"/>
  <c r="I356" i="7"/>
  <c r="J593" i="7"/>
  <c r="I416" i="7"/>
  <c r="I443" i="7"/>
  <c r="J200" i="7"/>
  <c r="I430" i="7"/>
  <c r="I579" i="7"/>
  <c r="J581" i="7"/>
  <c r="I575" i="7"/>
  <c r="J324" i="7"/>
  <c r="J430" i="7"/>
  <c r="J216" i="7"/>
  <c r="K200" i="7"/>
  <c r="K579" i="7"/>
  <c r="K407" i="7"/>
  <c r="K608" i="7"/>
  <c r="K383" i="7"/>
  <c r="K551" i="7"/>
  <c r="J407" i="7"/>
  <c r="J608" i="7"/>
  <c r="J383" i="7"/>
  <c r="J579" i="7"/>
  <c r="I591" i="7"/>
  <c r="I219" i="7"/>
  <c r="I514" i="7"/>
  <c r="I426" i="7"/>
  <c r="J575" i="7"/>
  <c r="K364" i="7"/>
  <c r="K491" i="7"/>
  <c r="K409" i="7"/>
  <c r="K544" i="7"/>
  <c r="K605" i="7"/>
  <c r="K585" i="7"/>
  <c r="K539" i="7"/>
  <c r="K564" i="7"/>
  <c r="K576" i="7"/>
  <c r="J252" i="7"/>
  <c r="J464" i="7"/>
  <c r="I449" i="7"/>
  <c r="J591" i="7"/>
  <c r="J219" i="7"/>
  <c r="J514" i="7"/>
  <c r="J552" i="7"/>
  <c r="J426" i="7"/>
  <c r="I544" i="7"/>
  <c r="J394" i="7"/>
  <c r="BH603" i="1"/>
  <c r="F3" i="3"/>
  <c r="G3" i="3"/>
  <c r="AD117" i="3"/>
  <c r="AD457" i="3"/>
  <c r="AE349" i="3"/>
  <c r="AD67" i="3"/>
  <c r="AD259" i="3"/>
  <c r="Q1146" i="3"/>
  <c r="Q1040" i="3"/>
  <c r="Q1345" i="3"/>
  <c r="Q754" i="3"/>
  <c r="Q637" i="3"/>
  <c r="Q940" i="3"/>
  <c r="Q1137" i="3"/>
  <c r="Q1352" i="3"/>
  <c r="Q746" i="3"/>
  <c r="Q390" i="3"/>
  <c r="Q1305" i="3"/>
  <c r="Q319" i="3"/>
  <c r="Q345" i="3"/>
  <c r="Q936" i="3"/>
  <c r="Q1229" i="3"/>
  <c r="Q1139" i="3"/>
  <c r="Q1180" i="3"/>
  <c r="Q735" i="3"/>
  <c r="Q1085" i="3"/>
  <c r="Q1055" i="3"/>
  <c r="Q543" i="3"/>
  <c r="Q683" i="3"/>
  <c r="Q1340" i="3"/>
  <c r="Q1005" i="3"/>
  <c r="Q888" i="3"/>
  <c r="Q814" i="3"/>
  <c r="Q801" i="3"/>
  <c r="Q1293" i="3"/>
  <c r="Q657" i="3"/>
  <c r="Q695" i="3"/>
  <c r="Q719" i="3"/>
  <c r="Q469" i="3"/>
  <c r="Q784" i="3"/>
  <c r="Q1276" i="3"/>
  <c r="Q981" i="3"/>
  <c r="Q1120" i="3"/>
  <c r="AE284" i="3"/>
  <c r="AE228" i="3"/>
  <c r="AE20" i="3"/>
  <c r="AE596" i="3"/>
  <c r="AE268" i="3"/>
  <c r="AE516" i="3"/>
  <c r="BH613" i="1"/>
  <c r="AE52" i="3"/>
  <c r="BH648" i="1"/>
  <c r="AE148" i="3"/>
  <c r="BH624" i="1"/>
  <c r="AE68" i="3"/>
  <c r="AE500" i="3"/>
  <c r="AE196" i="3"/>
  <c r="AE332" i="3"/>
  <c r="AE276" i="3"/>
  <c r="BH618" i="1"/>
  <c r="AE396" i="3"/>
  <c r="AE588" i="3"/>
  <c r="BH592" i="1"/>
  <c r="AD591" i="3"/>
  <c r="AD478" i="3"/>
  <c r="AD824" i="3"/>
  <c r="AD1272" i="3"/>
  <c r="AD177" i="3"/>
  <c r="AD753" i="3"/>
  <c r="AD148" i="3"/>
  <c r="AD1077" i="3"/>
  <c r="AD1314" i="3"/>
  <c r="AD587" i="3"/>
  <c r="AD96" i="3"/>
  <c r="AD300" i="3"/>
  <c r="AD771" i="3"/>
  <c r="AD1099" i="3"/>
  <c r="AD567" i="3"/>
  <c r="AD893" i="3"/>
  <c r="AD222" i="3"/>
  <c r="AD616" i="3"/>
  <c r="AD720" i="3"/>
  <c r="AD1020" i="3"/>
  <c r="AD1257" i="3"/>
  <c r="AD216" i="3"/>
  <c r="AD175" i="3"/>
  <c r="AD1281" i="3"/>
  <c r="AD455" i="3"/>
  <c r="AD541" i="3"/>
  <c r="AD735" i="3"/>
  <c r="AD1055" i="3"/>
  <c r="AD1398" i="3"/>
  <c r="AD323" i="3"/>
  <c r="AD641" i="3"/>
  <c r="AD845" i="3"/>
  <c r="BH438" i="1"/>
  <c r="AD22" i="3"/>
  <c r="AD108" i="3"/>
  <c r="AD380" i="3"/>
  <c r="AD697" i="3"/>
  <c r="AD977" i="3"/>
  <c r="AD51" i="3"/>
  <c r="AD572" i="3"/>
  <c r="AD156" i="3"/>
  <c r="AD499" i="3"/>
  <c r="AD677" i="3"/>
  <c r="AD937" i="3"/>
  <c r="AE791" i="3"/>
  <c r="AE1098" i="3"/>
  <c r="AE880" i="3"/>
  <c r="AE1141" i="3"/>
  <c r="AE289" i="3"/>
  <c r="AE851" i="3"/>
  <c r="AE957" i="3"/>
  <c r="AE830" i="3"/>
  <c r="AE1139" i="3"/>
  <c r="AE1394" i="3"/>
  <c r="AE490" i="3"/>
  <c r="AE740" i="3"/>
  <c r="AE1449" i="3"/>
  <c r="AE973" i="3"/>
  <c r="AE403" i="3"/>
  <c r="AE508" i="3"/>
  <c r="AE1403" i="3"/>
  <c r="AE1239" i="3"/>
  <c r="AE1432" i="3"/>
  <c r="AE1514" i="3"/>
  <c r="AE95" i="3"/>
  <c r="AE445" i="3"/>
  <c r="AE1517" i="3"/>
  <c r="AE1245" i="3"/>
  <c r="AE1010" i="3"/>
  <c r="AE40" i="3"/>
  <c r="AE1543" i="3"/>
  <c r="AE1463" i="3"/>
  <c r="AE525" i="3"/>
  <c r="AE1350" i="3"/>
  <c r="AE243" i="3"/>
  <c r="AE179" i="3"/>
  <c r="AE1296" i="3"/>
  <c r="AE762" i="3"/>
  <c r="AE813" i="3"/>
  <c r="AE881" i="3"/>
  <c r="AE1249" i="3"/>
  <c r="AE754" i="3"/>
  <c r="AE899" i="3"/>
  <c r="AE1092" i="3"/>
  <c r="AE54" i="3"/>
  <c r="AE774" i="3"/>
  <c r="AE1136" i="3"/>
  <c r="AE1261" i="3"/>
  <c r="AE852" i="3"/>
  <c r="AE495" i="3"/>
  <c r="AE1151" i="3"/>
  <c r="AE1176" i="3"/>
  <c r="AE1070" i="3"/>
  <c r="AE1118" i="3"/>
  <c r="AE827" i="3"/>
  <c r="AE1235" i="3"/>
  <c r="AE140" i="3"/>
  <c r="AE841" i="3"/>
  <c r="AE1248" i="3"/>
  <c r="AE1367" i="3"/>
  <c r="AE919" i="3"/>
  <c r="AE1078" i="3"/>
  <c r="AE1538" i="3"/>
  <c r="AE60" i="3"/>
  <c r="AE1303" i="3"/>
  <c r="AE580" i="3"/>
  <c r="AE487" i="3"/>
  <c r="AE838" i="3"/>
  <c r="AE1442" i="3"/>
  <c r="AE847" i="3"/>
  <c r="AE675" i="3"/>
  <c r="AE1466" i="3"/>
  <c r="AE1534" i="3"/>
  <c r="AE367" i="3"/>
  <c r="AE154" i="3"/>
  <c r="AE729" i="3"/>
  <c r="AE100" i="3"/>
  <c r="AE292" i="3"/>
  <c r="AE30" i="3"/>
  <c r="AE1171" i="3"/>
  <c r="AE1022" i="3"/>
  <c r="AE250" i="3"/>
  <c r="AE650" i="3"/>
  <c r="AE671" i="3"/>
  <c r="AE782" i="3"/>
  <c r="AE835" i="3"/>
  <c r="AE637" i="3"/>
  <c r="AE673" i="3"/>
  <c r="AE914" i="3"/>
  <c r="AE948" i="3"/>
  <c r="AE812" i="3"/>
  <c r="AE853" i="3"/>
  <c r="AE1068" i="3"/>
  <c r="AE708" i="3"/>
  <c r="AE859" i="3"/>
  <c r="AE1214" i="3"/>
  <c r="AE1059" i="3"/>
  <c r="AE1203" i="3"/>
  <c r="AE894" i="3"/>
  <c r="AE788" i="3"/>
  <c r="AE1488" i="3"/>
  <c r="AE1191" i="3"/>
  <c r="AE1443" i="3"/>
  <c r="AE1317" i="3"/>
  <c r="AE1441" i="3"/>
  <c r="AE1515" i="3"/>
  <c r="AE171" i="3"/>
  <c r="AE1383" i="3"/>
  <c r="AE368" i="3"/>
  <c r="AE492" i="3"/>
  <c r="AE488" i="3"/>
  <c r="AE496" i="3"/>
  <c r="AE218" i="3"/>
  <c r="AE376" i="3"/>
  <c r="AE660" i="3"/>
  <c r="AE714" i="3"/>
  <c r="AE145" i="3"/>
  <c r="AE1121" i="3"/>
  <c r="AE1095" i="3"/>
  <c r="AE1288" i="3"/>
  <c r="AE875" i="3"/>
  <c r="AE1401" i="3"/>
  <c r="AE594" i="3"/>
  <c r="AE338" i="3"/>
  <c r="AE1021" i="3"/>
  <c r="AE504" i="3"/>
  <c r="AE1412" i="3"/>
  <c r="AE230" i="3"/>
  <c r="AE1238" i="3"/>
  <c r="AE1468" i="3"/>
  <c r="AE162" i="3"/>
  <c r="AE575" i="3"/>
  <c r="AE241" i="3"/>
  <c r="AE1306" i="3"/>
  <c r="AE260" i="3"/>
  <c r="AE1273" i="3"/>
  <c r="AE31" i="3"/>
  <c r="AE159" i="3"/>
  <c r="AE210" i="3"/>
  <c r="AE651" i="3"/>
  <c r="AE678" i="3"/>
  <c r="AE745" i="3"/>
  <c r="AE14" i="3"/>
  <c r="AE474" i="3"/>
  <c r="AE895" i="3"/>
  <c r="AE721" i="3"/>
  <c r="AE784" i="3"/>
  <c r="AE814" i="3"/>
  <c r="AE1012" i="3"/>
  <c r="AE939" i="3"/>
  <c r="AE1048" i="3"/>
  <c r="AE1088" i="3"/>
  <c r="AE1107" i="3"/>
  <c r="AE1094" i="3"/>
  <c r="AE1395" i="3"/>
  <c r="AE253" i="3"/>
  <c r="AE1014" i="3"/>
  <c r="AE1265" i="3"/>
  <c r="AE417" i="3"/>
  <c r="AE440" i="3"/>
  <c r="AE731" i="3"/>
  <c r="AE1444" i="3"/>
  <c r="AE233" i="3"/>
  <c r="AE876" i="3"/>
  <c r="AE1482" i="3"/>
  <c r="AE1073" i="3"/>
  <c r="AE421" i="3"/>
  <c r="AE1294" i="3"/>
  <c r="AE570" i="3"/>
  <c r="AE1470" i="3"/>
  <c r="AE629" i="3"/>
  <c r="AE1328" i="3"/>
  <c r="AE582" i="3"/>
  <c r="AE550" i="3"/>
  <c r="AE195" i="3"/>
  <c r="AE819" i="3"/>
  <c r="AE472" i="3"/>
  <c r="AE1144" i="3"/>
  <c r="AE359" i="3"/>
  <c r="AE220" i="3"/>
  <c r="AE193" i="3"/>
  <c r="AE429" i="3"/>
  <c r="AE872" i="3"/>
  <c r="AE902" i="3"/>
  <c r="AE781" i="3"/>
  <c r="AE982" i="3"/>
  <c r="AE1015" i="3"/>
  <c r="AE943" i="3"/>
  <c r="AE1130" i="3"/>
  <c r="AE1148" i="3"/>
  <c r="AE1422" i="3"/>
  <c r="AE997" i="3"/>
  <c r="AE766" i="3"/>
  <c r="AE1114" i="3"/>
  <c r="AE518" i="3"/>
  <c r="AE61" i="3"/>
  <c r="AE1034" i="3"/>
  <c r="AE519" i="3"/>
  <c r="AE321" i="3"/>
  <c r="AE870" i="3"/>
  <c r="AE1001" i="3"/>
  <c r="AE685" i="3"/>
  <c r="AE1419" i="3"/>
  <c r="AE723" i="3"/>
  <c r="AE1362" i="3"/>
  <c r="AE1438" i="3"/>
  <c r="AE578" i="3"/>
  <c r="AE18" i="3"/>
  <c r="AE1113" i="3"/>
  <c r="AE1145" i="3"/>
  <c r="AE1430" i="3"/>
  <c r="AE408" i="3"/>
  <c r="AE48" i="3"/>
  <c r="AE667" i="3"/>
  <c r="AE407" i="3"/>
  <c r="AE1124" i="3"/>
  <c r="AE277" i="3"/>
  <c r="AE1347" i="3"/>
  <c r="AE816" i="3"/>
  <c r="AE619" i="3"/>
  <c r="AE884" i="3"/>
  <c r="AE681" i="3"/>
  <c r="AE932" i="3"/>
  <c r="AE959" i="3"/>
  <c r="AE833" i="3"/>
  <c r="AE1047" i="3"/>
  <c r="AE1140" i="3"/>
  <c r="AE1058" i="3"/>
  <c r="AE392" i="3"/>
  <c r="AE1024" i="3"/>
  <c r="AE797" i="3"/>
  <c r="AE16" i="3"/>
  <c r="AE418" i="3"/>
  <c r="AE1169" i="3"/>
  <c r="AE1175" i="3"/>
  <c r="AE1125" i="3"/>
  <c r="AE803" i="3"/>
  <c r="AE926" i="3"/>
  <c r="AE942" i="3"/>
  <c r="AE718" i="3"/>
  <c r="AE1080" i="3"/>
  <c r="AE1161" i="3"/>
  <c r="AE1123" i="3"/>
  <c r="AE1402" i="3"/>
  <c r="AE144" i="3"/>
  <c r="AE62" i="3"/>
  <c r="AE357" i="3"/>
  <c r="AE1389" i="3"/>
  <c r="AE792" i="3"/>
  <c r="AE1541" i="3"/>
  <c r="AE109" i="3"/>
  <c r="AE1285" i="3"/>
  <c r="AE413" i="3"/>
  <c r="AE247" i="3"/>
  <c r="AE715" i="3"/>
  <c r="AE662" i="3"/>
  <c r="AE767" i="3"/>
  <c r="AE857" i="3"/>
  <c r="AE885" i="3"/>
  <c r="AE695" i="3"/>
  <c r="AE756" i="3"/>
  <c r="AE966" i="3"/>
  <c r="AE998" i="3"/>
  <c r="AE1005" i="3"/>
  <c r="AE1146" i="3"/>
  <c r="AE1093" i="3"/>
  <c r="AE738" i="3"/>
  <c r="AE1009" i="3"/>
  <c r="AE1147" i="3"/>
  <c r="AE883" i="3"/>
  <c r="AE1246" i="3"/>
  <c r="AE1173" i="3"/>
  <c r="AE975" i="3"/>
  <c r="AE1431" i="3"/>
  <c r="AE1129" i="3"/>
  <c r="AE207" i="3"/>
  <c r="AE672" i="3"/>
  <c r="AE532" i="3"/>
  <c r="AE1072" i="3"/>
  <c r="AE354" i="3"/>
  <c r="AE1089" i="3"/>
  <c r="AE1313" i="3"/>
  <c r="AE1484" i="3"/>
  <c r="AE453" i="3"/>
  <c r="AE330" i="3"/>
  <c r="AE267" i="3"/>
  <c r="AE286" i="3"/>
  <c r="AE331" i="3"/>
  <c r="AE372" i="3"/>
  <c r="AE674" i="3"/>
  <c r="AE256" i="3"/>
  <c r="AE1106" i="3"/>
  <c r="AE601" i="3"/>
  <c r="AE1174" i="3"/>
  <c r="AE522" i="3"/>
  <c r="AE165" i="3"/>
  <c r="AE314" i="3"/>
  <c r="AE904" i="3"/>
  <c r="AE924" i="3"/>
  <c r="AE239" i="3"/>
  <c r="AE1421" i="3"/>
  <c r="AE1415" i="3"/>
  <c r="AE63" i="3"/>
  <c r="AE703" i="3"/>
  <c r="AE748" i="3"/>
  <c r="AE1236" i="3"/>
  <c r="AE1318" i="3"/>
  <c r="AE55" i="3"/>
  <c r="AE402" i="3"/>
  <c r="AE1478" i="3"/>
  <c r="AE653" i="3"/>
  <c r="AE393" i="3"/>
  <c r="AE69" i="3"/>
  <c r="AE646" i="3"/>
  <c r="AE1308" i="3"/>
  <c r="AE874" i="3"/>
  <c r="AE634" i="3"/>
  <c r="AE1437" i="3"/>
  <c r="AE680" i="3"/>
  <c r="AE1292" i="3"/>
  <c r="AE692" i="3"/>
  <c r="AE1065" i="3"/>
  <c r="AE15" i="3"/>
  <c r="AE39" i="3"/>
  <c r="AE850" i="3"/>
  <c r="AE990" i="3"/>
  <c r="AE1137" i="3"/>
  <c r="AE1170" i="3"/>
  <c r="AE1160" i="3"/>
  <c r="AE618" i="3"/>
  <c r="AE947" i="3"/>
  <c r="AE507" i="3"/>
  <c r="AE955" i="3"/>
  <c r="AE984" i="3"/>
  <c r="AE860" i="3"/>
  <c r="AE1082" i="3"/>
  <c r="AE1131" i="3"/>
  <c r="AE129" i="3"/>
  <c r="AE717" i="3"/>
  <c r="AE1051" i="3"/>
  <c r="AE597" i="3"/>
  <c r="AE1135" i="3"/>
  <c r="AE737" i="3"/>
  <c r="AE1388" i="3"/>
  <c r="AE626" i="3"/>
  <c r="AE682" i="3"/>
  <c r="AE1004" i="3"/>
  <c r="AE1434" i="3"/>
  <c r="AE264" i="3"/>
  <c r="AE962" i="3"/>
  <c r="AE1090" i="3"/>
  <c r="AE361" i="3"/>
  <c r="AE1361" i="3"/>
  <c r="AE565" i="3"/>
  <c r="AE787" i="3"/>
  <c r="AE1397" i="3"/>
  <c r="AE1297" i="3"/>
  <c r="AE665" i="3"/>
  <c r="AE1103" i="3"/>
  <c r="AE510" i="3"/>
  <c r="AE743" i="3"/>
  <c r="AE1108" i="3"/>
  <c r="AE420" i="3"/>
  <c r="AE889" i="3"/>
  <c r="AE449" i="3"/>
  <c r="AE28" i="3"/>
  <c r="AE864" i="3"/>
  <c r="AE385" i="3"/>
  <c r="AE1298" i="3"/>
  <c r="AE226" i="3"/>
  <c r="AE1428" i="3"/>
  <c r="AE725" i="3"/>
  <c r="AE775" i="3"/>
  <c r="AE822" i="3"/>
  <c r="AE862" i="3"/>
  <c r="AE887" i="3"/>
  <c r="AE605" i="3"/>
  <c r="AE1013" i="3"/>
  <c r="AE951" i="3"/>
  <c r="AE389" i="3"/>
  <c r="AE1472" i="3"/>
  <c r="AE36" i="3"/>
  <c r="AE817" i="3"/>
  <c r="AE168" i="3"/>
  <c r="AE648" i="3"/>
  <c r="AE1427" i="3"/>
  <c r="AE592" i="3"/>
  <c r="AE206" i="3"/>
  <c r="AE252" i="3"/>
  <c r="AE742" i="3"/>
  <c r="AE215" i="3"/>
  <c r="AE342" i="3"/>
  <c r="AE366" i="3"/>
  <c r="AE1508" i="3"/>
  <c r="AE561" i="3"/>
  <c r="AE581" i="3"/>
  <c r="AE625" i="3"/>
  <c r="AE1029" i="3"/>
  <c r="AE968" i="3"/>
  <c r="AE778" i="3"/>
  <c r="AE261" i="3"/>
  <c r="AE759" i="3"/>
  <c r="AE1153" i="3"/>
  <c r="AE1192" i="3"/>
  <c r="AE360" i="3"/>
  <c r="AE694" i="3"/>
  <c r="AE928" i="3"/>
  <c r="AE905" i="3"/>
  <c r="AE141" i="3"/>
  <c r="AE72" i="3"/>
  <c r="AE59" i="3"/>
  <c r="AE978" i="3"/>
  <c r="AE1237" i="3"/>
  <c r="AE182" i="3"/>
  <c r="AE1320" i="3"/>
  <c r="AE125" i="3"/>
  <c r="AE1418" i="3"/>
  <c r="AE181" i="3"/>
  <c r="AE521" i="3"/>
  <c r="AE689" i="3"/>
  <c r="AE693" i="3"/>
  <c r="AE274" i="3"/>
  <c r="AE631" i="3"/>
  <c r="AE430" i="3"/>
  <c r="AE544" i="3"/>
  <c r="AE971" i="3"/>
  <c r="AE999" i="3"/>
  <c r="AE1060" i="3"/>
  <c r="AE1183" i="3"/>
  <c r="AE1018" i="3"/>
  <c r="AE691" i="3"/>
  <c r="AE1042" i="3"/>
  <c r="AE770" i="3"/>
  <c r="AE1008" i="3"/>
  <c r="AE1375" i="3"/>
  <c r="AE1407" i="3"/>
  <c r="AE153" i="3"/>
  <c r="AE1083" i="3"/>
  <c r="AE542" i="3"/>
  <c r="AE1075" i="3"/>
  <c r="AE335" i="3"/>
  <c r="AE1500" i="3"/>
  <c r="AE789" i="3"/>
  <c r="AE1100" i="3"/>
  <c r="AE1063" i="3"/>
  <c r="AE869" i="3"/>
  <c r="AE232" i="3"/>
  <c r="AE517" i="3"/>
  <c r="AE908" i="3"/>
  <c r="AE1253" i="3"/>
  <c r="AE1387" i="3"/>
  <c r="AE12" i="3"/>
  <c r="AE304" i="3"/>
  <c r="AE1324" i="3"/>
  <c r="AE309" i="3"/>
  <c r="AE297" i="3"/>
  <c r="AE1302" i="3"/>
  <c r="AE1486" i="3"/>
  <c r="AE308" i="3"/>
  <c r="AE1384" i="3"/>
  <c r="AE132" i="3"/>
  <c r="AE110" i="3"/>
  <c r="AE400" i="3"/>
  <c r="AE152" i="3"/>
  <c r="AE654" i="3"/>
  <c r="AE599" i="3"/>
  <c r="AE84" i="3"/>
  <c r="AE388" i="3"/>
  <c r="AE533" i="3"/>
  <c r="AE1016" i="3"/>
  <c r="AE1087" i="3"/>
  <c r="AE299" i="3"/>
  <c r="AE123" i="3"/>
  <c r="AE409" i="3"/>
  <c r="AE891" i="3"/>
  <c r="AE911" i="3"/>
  <c r="AE773" i="3"/>
  <c r="AE560" i="3"/>
  <c r="AE931" i="3"/>
  <c r="AE798" i="3"/>
  <c r="AE779" i="3"/>
  <c r="AE630" i="3"/>
  <c r="AE1165" i="3"/>
  <c r="AE1528" i="3"/>
  <c r="AE43" i="3"/>
  <c r="AE613" i="3"/>
  <c r="AE736" i="3"/>
  <c r="AE828" i="3"/>
  <c r="AE1104" i="3"/>
  <c r="AE329" i="3"/>
  <c r="AE1110" i="3"/>
  <c r="AE1111" i="3"/>
  <c r="AE435" i="3"/>
  <c r="AE1115" i="3"/>
  <c r="AE290" i="3"/>
  <c r="AE1035" i="3"/>
  <c r="AE836" i="3"/>
  <c r="AE135" i="3"/>
  <c r="AE1143" i="3"/>
  <c r="AE1311" i="3"/>
  <c r="AE1510" i="3"/>
  <c r="AE378" i="3"/>
  <c r="AE1448" i="3"/>
  <c r="AE24" i="3"/>
  <c r="AE139" i="3"/>
  <c r="AE627" i="3"/>
  <c r="AE659" i="3"/>
  <c r="AE710" i="3"/>
  <c r="AE879" i="3"/>
  <c r="AE903" i="3"/>
  <c r="AE930" i="3"/>
  <c r="AE603" i="3"/>
  <c r="AE981" i="3"/>
  <c r="AE552" i="3"/>
  <c r="AE44" i="3"/>
  <c r="AE726" i="3"/>
  <c r="AE848" i="3"/>
  <c r="AE921" i="3"/>
  <c r="AE910" i="3"/>
  <c r="AE935" i="3"/>
  <c r="AE800" i="3"/>
  <c r="AE842" i="3"/>
  <c r="AE1062" i="3"/>
  <c r="AE1109" i="3"/>
  <c r="AE873" i="3"/>
  <c r="AE1057" i="3"/>
  <c r="AE1283" i="3"/>
  <c r="AE1240" i="3"/>
  <c r="AE1404" i="3"/>
  <c r="AE1342" i="3"/>
  <c r="AE479" i="3"/>
  <c r="AE623" i="3"/>
  <c r="AE576" i="3"/>
  <c r="AE794" i="3"/>
  <c r="AE846" i="3"/>
  <c r="AE877" i="3"/>
  <c r="AE676" i="3"/>
  <c r="AE954" i="3"/>
  <c r="AE871" i="3"/>
  <c r="AE965" i="3"/>
  <c r="AE1152" i="3"/>
  <c r="AE996" i="3"/>
  <c r="AE1150" i="3"/>
  <c r="AE749" i="3"/>
  <c r="AE821" i="3"/>
  <c r="AE970" i="3"/>
  <c r="AE1279" i="3"/>
  <c r="AE81" i="3"/>
  <c r="AE1435" i="3"/>
  <c r="AE363" i="3"/>
  <c r="AE755" i="3"/>
  <c r="AE806" i="3"/>
  <c r="AE849" i="3"/>
  <c r="AE878" i="3"/>
  <c r="AE901" i="3"/>
  <c r="AE929" i="3"/>
  <c r="AE785" i="3"/>
  <c r="AE988" i="3"/>
  <c r="AE548" i="3"/>
  <c r="AE1031" i="3"/>
  <c r="AE1307" i="3"/>
  <c r="AE1097" i="3"/>
  <c r="AE1033" i="3"/>
  <c r="AE1096" i="3"/>
  <c r="AE1166" i="3"/>
  <c r="AE438" i="3"/>
  <c r="AE66" i="3"/>
  <c r="AE1513" i="3"/>
  <c r="AE1531" i="3"/>
  <c r="AE558" i="3"/>
  <c r="AE498" i="3"/>
  <c r="AE386" i="3"/>
  <c r="AE236" i="3"/>
  <c r="AE669" i="3"/>
  <c r="AE834" i="3"/>
  <c r="AE866" i="3"/>
  <c r="AE670" i="3"/>
  <c r="AE705" i="3"/>
  <c r="AE941" i="3"/>
  <c r="AE934" i="3"/>
  <c r="AE1040" i="3"/>
  <c r="AE1045" i="3"/>
  <c r="AE1251" i="3"/>
  <c r="AE916" i="3"/>
  <c r="AE161" i="3"/>
  <c r="AE1138" i="3"/>
  <c r="AE1133" i="3"/>
  <c r="AE1483" i="3"/>
  <c r="AE1053" i="3"/>
  <c r="AE925" i="3"/>
  <c r="AE953" i="3"/>
  <c r="AE985" i="3"/>
  <c r="AE1011" i="3"/>
  <c r="AE1178" i="3"/>
  <c r="AE1158" i="3"/>
  <c r="AE463" i="3"/>
  <c r="AE1458" i="3"/>
  <c r="AE923" i="3"/>
  <c r="AE211" i="3"/>
  <c r="AE604" i="3"/>
  <c r="AE801" i="3"/>
  <c r="AE107" i="3"/>
  <c r="AE1132" i="3"/>
  <c r="AE1336" i="3"/>
  <c r="AE1190" i="3"/>
  <c r="AE21" i="3"/>
  <c r="AE602" i="3"/>
  <c r="AE94" i="3"/>
  <c r="AE90" i="3"/>
  <c r="AE1480" i="3"/>
  <c r="AE353" i="3"/>
  <c r="AE546" i="3"/>
  <c r="AE668" i="3"/>
  <c r="AE47" i="3"/>
  <c r="AE863" i="3"/>
  <c r="AE892" i="3"/>
  <c r="AE912" i="3"/>
  <c r="AE974" i="3"/>
  <c r="AE1007" i="3"/>
  <c r="AE936" i="3"/>
  <c r="AE1122" i="3"/>
  <c r="AE777" i="3"/>
  <c r="AE381" i="3"/>
  <c r="AE1039" i="3"/>
  <c r="AE405" i="3"/>
  <c r="AE1526" i="3"/>
  <c r="I351" i="7"/>
  <c r="I255" i="7"/>
  <c r="AE468" i="3"/>
  <c r="I202" i="7"/>
  <c r="AE758" i="3"/>
  <c r="I343" i="7"/>
  <c r="AE1126" i="3"/>
  <c r="I185" i="7"/>
  <c r="AE295" i="3"/>
  <c r="I427" i="7"/>
  <c r="AE325" i="3"/>
  <c r="I499" i="7"/>
  <c r="AE950" i="3"/>
  <c r="I465" i="7"/>
  <c r="AE1424" i="3"/>
  <c r="I247" i="7"/>
  <c r="AE1493" i="3"/>
  <c r="I553" i="7"/>
  <c r="AE1319" i="3"/>
  <c r="I212" i="7"/>
  <c r="AE493" i="3"/>
  <c r="I482" i="7"/>
  <c r="AE906" i="3"/>
  <c r="I285" i="7"/>
  <c r="AE1316" i="3"/>
  <c r="I407" i="7"/>
  <c r="AE609" i="3"/>
  <c r="I327" i="7"/>
  <c r="AE446" i="3"/>
  <c r="I404" i="7"/>
  <c r="AE19" i="3"/>
  <c r="I166" i="7"/>
  <c r="AE858" i="3"/>
  <c r="I246" i="7"/>
  <c r="AE1337" i="3"/>
  <c r="I253" i="7"/>
  <c r="AE271" i="3"/>
  <c r="AE614" i="3"/>
  <c r="AE458" i="3"/>
  <c r="AE56" i="3"/>
  <c r="AE1369" i="3"/>
  <c r="I162" i="7"/>
  <c r="AE1535" i="3"/>
  <c r="I277" i="7"/>
  <c r="AE505" i="3"/>
  <c r="I209" i="7"/>
  <c r="AE1446" i="3"/>
  <c r="I248" i="7"/>
  <c r="AE1507" i="3"/>
  <c r="I423" i="7"/>
  <c r="AE1054" i="3"/>
  <c r="I378" i="7"/>
  <c r="AE350" i="3"/>
  <c r="I239" i="7"/>
  <c r="AE214" i="3"/>
  <c r="I399" i="7"/>
  <c r="AE861" i="3"/>
  <c r="I548" i="7"/>
  <c r="AE1357" i="3"/>
  <c r="I530" i="7"/>
  <c r="AE511" i="3"/>
  <c r="I577" i="7"/>
  <c r="AE509" i="3"/>
  <c r="I302" i="7"/>
  <c r="AE1310" i="3"/>
  <c r="I320" i="7"/>
  <c r="AE1332" i="3"/>
  <c r="I516" i="7"/>
  <c r="AE93" i="3"/>
  <c r="I283" i="7"/>
  <c r="AE684" i="3"/>
  <c r="I604" i="7"/>
  <c r="AE26" i="3"/>
  <c r="I372" i="7"/>
  <c r="AE1038" i="3"/>
  <c r="I585" i="7"/>
  <c r="AE351" i="3"/>
  <c r="I568" i="7"/>
  <c r="AE1400" i="3"/>
  <c r="I434" i="7"/>
  <c r="AE1127" i="3"/>
  <c r="I174" i="7"/>
  <c r="AE907" i="3"/>
  <c r="I176" i="7"/>
  <c r="AE1358" i="3"/>
  <c r="I317" i="7"/>
  <c r="AE127" i="3"/>
  <c r="I225" i="7"/>
  <c r="AE130" i="3"/>
  <c r="I300" i="7"/>
  <c r="AE539" i="3"/>
  <c r="I256" i="7"/>
  <c r="AE1266" i="3"/>
  <c r="I167" i="7"/>
  <c r="AE491" i="3"/>
  <c r="I540" i="7"/>
  <c r="AE383" i="3"/>
  <c r="I186" i="7"/>
  <c r="AE414" i="3"/>
  <c r="AE395" i="3"/>
  <c r="AE1518" i="3"/>
  <c r="AE1081" i="3"/>
  <c r="I286" i="7"/>
  <c r="AE1363" i="3"/>
  <c r="I311" i="7"/>
  <c r="AE1495" i="3"/>
  <c r="I229" i="7"/>
  <c r="AE76" i="3"/>
  <c r="I395" i="7"/>
  <c r="AE415" i="3"/>
  <c r="I189" i="7"/>
  <c r="AE423" i="3"/>
  <c r="I267" i="7"/>
  <c r="AE471" i="3"/>
  <c r="I493" i="7"/>
  <c r="AE569" i="3"/>
  <c r="I191" i="7"/>
  <c r="AE704" i="3"/>
  <c r="I296" i="7"/>
  <c r="AE255" i="3"/>
  <c r="AE209" i="3"/>
  <c r="I398" i="7"/>
  <c r="AE983" i="3"/>
  <c r="I195" i="7"/>
  <c r="AE1499" i="3"/>
  <c r="I226" i="7"/>
  <c r="AE1287" i="3"/>
  <c r="I597" i="7"/>
  <c r="AE961" i="3"/>
  <c r="I181" i="7"/>
  <c r="AE733" i="3"/>
  <c r="I178" i="7"/>
  <c r="AE741" i="3"/>
  <c r="I297" i="7"/>
  <c r="AE183" i="3"/>
  <c r="I433" i="7"/>
  <c r="AE1339" i="3"/>
  <c r="I223" i="7"/>
  <c r="AE1353" i="3"/>
  <c r="I444" i="7"/>
  <c r="AE249" i="3"/>
  <c r="I206" i="7"/>
  <c r="AE282" i="3"/>
  <c r="I414" i="7"/>
  <c r="AE270" i="3"/>
  <c r="I471" i="7"/>
  <c r="AE1462" i="3"/>
  <c r="I388" i="7"/>
  <c r="AE358" i="3"/>
  <c r="I305" i="7"/>
  <c r="AE666" i="3"/>
  <c r="I590" i="7"/>
  <c r="AE1380" i="3"/>
  <c r="I438" i="7"/>
  <c r="AE425" i="3"/>
  <c r="I468" i="7"/>
  <c r="AE611" i="3"/>
  <c r="I361" i="7"/>
  <c r="AE713" i="3"/>
  <c r="I474" i="7"/>
  <c r="AE527" i="3"/>
  <c r="I314" i="7"/>
  <c r="AE837" i="3"/>
  <c r="I198" i="7"/>
  <c r="AE610" i="3"/>
  <c r="I489" i="7"/>
  <c r="AE1300" i="3"/>
  <c r="I486" i="7"/>
  <c r="AE1159" i="3"/>
  <c r="I383" i="7"/>
  <c r="AE868" i="3"/>
  <c r="I252" i="7"/>
  <c r="AE1364" i="3"/>
  <c r="I249" i="7"/>
  <c r="AE1540" i="3"/>
  <c r="I406" i="7"/>
  <c r="AE439" i="3"/>
  <c r="I452" i="7"/>
  <c r="AE326" i="3"/>
  <c r="I480" i="7"/>
  <c r="AE783" i="3"/>
  <c r="I365" i="7"/>
  <c r="AE1457" i="3"/>
  <c r="I344" i="7"/>
  <c r="AE747" i="3"/>
  <c r="I402" i="7"/>
  <c r="AE595" i="3"/>
  <c r="AE793" i="3"/>
  <c r="AE1489" i="3"/>
  <c r="AE776" i="3"/>
  <c r="I194" i="7"/>
  <c r="AE217" i="3"/>
  <c r="I161" i="7"/>
  <c r="AE1490" i="3"/>
  <c r="I259" i="7"/>
  <c r="AE1479" i="3"/>
  <c r="I466" i="7"/>
  <c r="AE1232" i="3"/>
  <c r="I431" i="7"/>
  <c r="AE744" i="3"/>
  <c r="I381" i="7"/>
  <c r="AE37" i="3"/>
  <c r="I322" i="7"/>
  <c r="AE655" i="3"/>
  <c r="I447" i="7"/>
  <c r="AE1084" i="3"/>
  <c r="I175" i="7"/>
  <c r="AE820" i="3"/>
  <c r="I362" i="7"/>
  <c r="AE724" i="3"/>
  <c r="I233" i="7"/>
  <c r="AE1019" i="3"/>
  <c r="I439" i="7"/>
  <c r="AE189" i="3"/>
  <c r="I245" i="7"/>
  <c r="AE1354" i="3"/>
  <c r="I214" i="7"/>
  <c r="AE1382" i="3"/>
  <c r="I227" i="7"/>
  <c r="AE1271" i="3"/>
  <c r="I484" i="7"/>
  <c r="AE795" i="3"/>
  <c r="I164" i="7"/>
  <c r="AE890" i="3"/>
  <c r="I534" i="7"/>
  <c r="AE976" i="3"/>
  <c r="AE1537" i="3"/>
  <c r="AE1461" i="3"/>
  <c r="AE1278" i="3"/>
  <c r="AE537" i="3"/>
  <c r="AE105" i="3"/>
  <c r="AE1134" i="3"/>
  <c r="I262" i="7"/>
  <c r="AE379" i="3"/>
  <c r="I363" i="7"/>
  <c r="AE1216" i="3"/>
  <c r="I506" i="7"/>
  <c r="AE768" i="3"/>
  <c r="I573" i="7"/>
  <c r="AE1157" i="3"/>
  <c r="I211" i="7"/>
  <c r="AE466" i="3"/>
  <c r="I217" i="7"/>
  <c r="AE915" i="3"/>
  <c r="I280" i="7"/>
  <c r="AE1373" i="3"/>
  <c r="I172" i="7"/>
  <c r="AE624" i="3"/>
  <c r="I445" i="7"/>
  <c r="AE427" i="3"/>
  <c r="I392" i="7"/>
  <c r="AE1142" i="3"/>
  <c r="I205" i="7"/>
  <c r="AE257" i="3"/>
  <c r="I263" i="7"/>
  <c r="AE960" i="3"/>
  <c r="I281" i="7"/>
  <c r="AE1411" i="3"/>
  <c r="I347" i="7"/>
  <c r="AE946" i="3"/>
  <c r="AE1393" i="3"/>
  <c r="AE1032" i="3"/>
  <c r="AE501" i="3"/>
  <c r="AE811" i="3"/>
  <c r="AE111" i="3"/>
  <c r="I221" i="7"/>
  <c r="AE246" i="3"/>
  <c r="I242" i="7"/>
  <c r="AE467" i="3"/>
  <c r="I313" i="7"/>
  <c r="AE1036" i="3"/>
  <c r="I546" i="7"/>
  <c r="AE1420" i="3"/>
  <c r="I479" i="7"/>
  <c r="AE1423" i="3"/>
  <c r="I536" i="7"/>
  <c r="AE1368" i="3"/>
  <c r="I496" i="7"/>
  <c r="AE174" i="3"/>
  <c r="I419" i="7"/>
  <c r="AE269" i="3"/>
  <c r="I391" i="7"/>
  <c r="AE307" i="3"/>
  <c r="I581" i="7"/>
  <c r="AE807" i="3"/>
  <c r="I492" i="7"/>
  <c r="AE557" i="3"/>
  <c r="I385" i="7"/>
  <c r="AE412" i="3"/>
  <c r="I236" i="7"/>
  <c r="AE584" i="3"/>
  <c r="I524" i="7"/>
  <c r="AE49" i="3"/>
  <c r="I270" i="7"/>
  <c r="AE272" i="3"/>
  <c r="I495" i="7"/>
  <c r="AE104" i="3"/>
  <c r="I324" i="7"/>
  <c r="AE555" i="3"/>
  <c r="I537" i="7"/>
  <c r="AE482" i="3"/>
  <c r="I334" i="7"/>
  <c r="AE1282" i="3"/>
  <c r="I481" i="7"/>
  <c r="AE238" i="3"/>
  <c r="I257" i="7"/>
  <c r="AE922" i="3"/>
  <c r="AE160" i="3"/>
  <c r="AE97" i="3"/>
  <c r="AE642" i="3"/>
  <c r="AE1405" i="3"/>
  <c r="I589" i="7"/>
  <c r="AE77" i="3"/>
  <c r="I222" i="7"/>
  <c r="AE303" i="3"/>
  <c r="I328" i="7"/>
  <c r="AE1117" i="3"/>
  <c r="I566" i="7"/>
  <c r="AE1052" i="3"/>
  <c r="I424" i="7"/>
  <c r="AE757" i="3"/>
  <c r="I472" i="7"/>
  <c r="AE554" i="3"/>
  <c r="AE431" i="3"/>
  <c r="I295" i="7"/>
  <c r="I558" i="7"/>
  <c r="AE1269" i="3"/>
  <c r="I582" i="7"/>
  <c r="AE1333" i="3"/>
  <c r="I464" i="7"/>
  <c r="AE29" i="3"/>
  <c r="I415" i="7"/>
  <c r="AE645" i="3"/>
  <c r="I335" i="7"/>
  <c r="AE464" i="3"/>
  <c r="I260" i="7"/>
  <c r="AE1116" i="3"/>
  <c r="I437" i="7"/>
  <c r="AE151" i="3"/>
  <c r="I476" i="7"/>
  <c r="AE635" i="3"/>
  <c r="I413" i="7"/>
  <c r="AE1002" i="3"/>
  <c r="I179" i="7"/>
  <c r="AE765" i="3"/>
  <c r="I208" i="7"/>
  <c r="AE1516" i="3"/>
  <c r="I442" i="7"/>
  <c r="AE186" i="3"/>
  <c r="I282" i="7"/>
  <c r="AE1377" i="3"/>
  <c r="I409" i="7"/>
  <c r="AE265" i="3"/>
  <c r="I271" i="7"/>
  <c r="AE244" i="3"/>
  <c r="I467" i="7"/>
  <c r="AE266" i="3"/>
  <c r="I557" i="7"/>
  <c r="AE213" i="3"/>
  <c r="I552" i="7"/>
  <c r="AE702" i="3"/>
  <c r="I355" i="7"/>
  <c r="AE1521" i="3"/>
  <c r="I441" i="7"/>
  <c r="AE750" i="3"/>
  <c r="I538" i="7"/>
  <c r="AE958" i="3"/>
  <c r="I554" i="7"/>
  <c r="AE564" i="3"/>
  <c r="AE663" i="3"/>
  <c r="I605" i="7"/>
  <c r="AE1233" i="3"/>
  <c r="AE1267" i="3"/>
  <c r="AE1378" i="3"/>
  <c r="AE1481" i="3"/>
  <c r="AE334" i="3"/>
  <c r="AE1205" i="3"/>
  <c r="AE612" i="3"/>
  <c r="AE1399" i="3"/>
  <c r="AE283" i="3"/>
  <c r="AE1242" i="3"/>
  <c r="AE1542" i="3"/>
  <c r="AE540" i="3"/>
  <c r="AE80" i="3"/>
  <c r="AE547" i="3"/>
  <c r="AE608" i="3"/>
  <c r="AE810" i="3"/>
  <c r="AE1156" i="3"/>
  <c r="AE150" i="3"/>
  <c r="AE444" i="3"/>
  <c r="AE362" i="3"/>
  <c r="AE989" i="3"/>
  <c r="AE1386" i="3"/>
  <c r="AE551" i="3"/>
  <c r="AE1502" i="3"/>
  <c r="AE1177" i="3"/>
  <c r="AE1168" i="3"/>
  <c r="AE1371" i="3"/>
  <c r="I596" i="7"/>
  <c r="AE315" i="3"/>
  <c r="I523" i="7"/>
  <c r="AE1512" i="3"/>
  <c r="AE964" i="3"/>
  <c r="AE1379" i="3"/>
  <c r="AE1370" i="3"/>
  <c r="AE523" i="3"/>
  <c r="AE1091" i="3"/>
  <c r="AE1359" i="3"/>
  <c r="AE1396" i="3"/>
  <c r="AE706" i="3"/>
  <c r="AE979" i="3"/>
  <c r="AE764" i="3"/>
  <c r="AE480" i="3"/>
  <c r="AE1277" i="3"/>
  <c r="AE1348" i="3"/>
  <c r="AE188" i="3"/>
  <c r="AE1206" i="3"/>
  <c r="AE327" i="3"/>
  <c r="AE301" i="3"/>
  <c r="AE92" i="3"/>
  <c r="AE1408" i="3"/>
  <c r="AE658" i="3"/>
  <c r="AE1023" i="3"/>
  <c r="AE1525" i="3"/>
  <c r="AE1252" i="3"/>
  <c r="AE1520" i="3"/>
  <c r="AE356" i="3"/>
  <c r="AE477" i="3"/>
  <c r="AE1167" i="3"/>
  <c r="AE83" i="3"/>
  <c r="AE1309" i="3"/>
  <c r="AE1413" i="3"/>
  <c r="AE1504" i="3"/>
  <c r="AE85" i="3"/>
  <c r="AE1334" i="3"/>
  <c r="AE311" i="3"/>
  <c r="AE1532" i="3"/>
  <c r="AE355" i="3"/>
  <c r="AE1338" i="3"/>
  <c r="AE1455" i="3"/>
  <c r="AE1527" i="3"/>
  <c r="AE443" i="3"/>
  <c r="AE1003" i="3"/>
  <c r="AE17" i="3"/>
  <c r="AE839" i="3"/>
  <c r="AE1304" i="3"/>
  <c r="AE1467" i="3"/>
  <c r="AE142" i="3"/>
  <c r="AE1445" i="3"/>
  <c r="AE1454" i="3"/>
  <c r="AE823" i="3"/>
  <c r="AE348" i="3"/>
  <c r="AE1079" i="3"/>
  <c r="AE1074" i="3"/>
  <c r="I533" i="7"/>
  <c r="AE322" i="3"/>
  <c r="I453" i="7"/>
  <c r="AE1061" i="3"/>
  <c r="I511" i="7"/>
  <c r="AE344" i="3"/>
  <c r="I232" i="7"/>
  <c r="AE88" i="3"/>
  <c r="I411" i="7"/>
  <c r="AE1028" i="3"/>
  <c r="I550" i="7"/>
  <c r="AE1492" i="3"/>
  <c r="I483" i="7"/>
  <c r="AE204" i="3"/>
  <c r="I458" i="7"/>
  <c r="AE287" i="3"/>
  <c r="I394" i="7"/>
  <c r="AE739" i="3"/>
  <c r="I599" i="7"/>
  <c r="AE780" i="3"/>
  <c r="I231" i="7"/>
  <c r="AE454" i="3"/>
  <c r="I403" i="7"/>
  <c r="AE1494" i="3"/>
  <c r="I264" i="7"/>
  <c r="AE628" i="3"/>
  <c r="I549" i="7"/>
  <c r="AE1102" i="3"/>
  <c r="AE1426" i="3"/>
  <c r="AE600" i="3"/>
  <c r="AE1262" i="3"/>
  <c r="AE484" i="3"/>
  <c r="AE1066" i="3"/>
  <c r="AE1327" i="3"/>
  <c r="AE1241" i="3"/>
  <c r="AE1519" i="3"/>
  <c r="AE571" i="3"/>
  <c r="AE1485" i="3"/>
  <c r="AE1025" i="3"/>
  <c r="AE452" i="3"/>
  <c r="AE426" i="3"/>
  <c r="AE38" i="3"/>
  <c r="AE633" i="3"/>
  <c r="AE205" i="3"/>
  <c r="AE818" i="3"/>
  <c r="AE643" i="3"/>
  <c r="AE1511" i="3"/>
  <c r="AE1112" i="3"/>
  <c r="AE167" i="3"/>
  <c r="AE5" i="3"/>
  <c r="AE399" i="3"/>
  <c r="AE113" i="3"/>
  <c r="AE1268" i="3"/>
  <c r="AE1071" i="3"/>
  <c r="AE1182" i="3"/>
  <c r="AE917" i="3"/>
  <c r="AE987" i="3"/>
  <c r="AE967" i="3"/>
  <c r="AE993" i="3"/>
  <c r="AE732" i="3"/>
  <c r="I288" i="7"/>
  <c r="AE772" i="3"/>
  <c r="I488" i="7"/>
  <c r="AE1247" i="3"/>
  <c r="I570" i="7"/>
  <c r="AE598" i="3"/>
  <c r="I303" i="7"/>
  <c r="AE288" i="3"/>
  <c r="I508" i="7"/>
  <c r="AE58" i="3"/>
  <c r="I526" i="7"/>
  <c r="AE886" i="3"/>
  <c r="I543" i="7"/>
  <c r="AE909" i="3"/>
  <c r="I352" i="7"/>
  <c r="AE760" i="3"/>
  <c r="I348" i="7"/>
  <c r="AE1451" i="3"/>
  <c r="I560" i="7"/>
  <c r="AE465" i="3"/>
  <c r="I393" i="7"/>
  <c r="AE1497" i="3"/>
  <c r="I304" i="7"/>
  <c r="AE82" i="3"/>
  <c r="I243" i="7"/>
  <c r="AE328" i="3"/>
  <c r="I512" i="7"/>
  <c r="AE898" i="3"/>
  <c r="I349" i="7"/>
  <c r="AE489" i="3"/>
  <c r="I400" i="7"/>
  <c r="AE1501" i="3"/>
  <c r="I373" i="7"/>
  <c r="AE1372" i="3"/>
  <c r="I505" i="7"/>
  <c r="AE235" i="3"/>
  <c r="I319" i="7"/>
  <c r="AE528" i="3"/>
  <c r="I203" i="7"/>
  <c r="AE115" i="3"/>
  <c r="I420" i="7"/>
  <c r="AE1181" i="3"/>
  <c r="I380" i="7"/>
  <c r="AE640" i="3"/>
  <c r="I525" i="7"/>
  <c r="AE1477" i="3"/>
  <c r="I457" i="7"/>
  <c r="AE1429" i="3"/>
  <c r="I521" i="7"/>
  <c r="AE296" i="3"/>
  <c r="I213" i="7"/>
  <c r="AE1464" i="3"/>
  <c r="I382" i="7"/>
  <c r="AE258" i="3"/>
  <c r="I520" i="7"/>
  <c r="AE436" i="3"/>
  <c r="I350" i="7"/>
  <c r="AE1179" i="3"/>
  <c r="I421" i="7"/>
  <c r="AE586" i="3"/>
  <c r="I410" i="7"/>
  <c r="AE944" i="3"/>
  <c r="I387" i="7"/>
  <c r="AE1231" i="3"/>
  <c r="AE1349" i="3"/>
  <c r="AE201" i="3"/>
  <c r="AE1322" i="3"/>
  <c r="AE1149" i="3"/>
  <c r="AE1433" i="3"/>
  <c r="AE535" i="3"/>
  <c r="AE462" i="3"/>
  <c r="AE1026" i="3"/>
  <c r="AE73" i="3"/>
  <c r="AE918" i="3"/>
  <c r="AE1365" i="3"/>
  <c r="AE365" i="3"/>
  <c r="AE169" i="3"/>
  <c r="AE124" i="3"/>
  <c r="AE27" i="3"/>
  <c r="AE1356" i="3"/>
  <c r="AE71" i="3"/>
  <c r="AE826" i="3"/>
  <c r="AE1529" i="3"/>
  <c r="AE75" i="3"/>
  <c r="AE991" i="3"/>
  <c r="AE137" i="3"/>
  <c r="AE687" i="3"/>
  <c r="AE920" i="3"/>
  <c r="AE1290" i="3"/>
  <c r="AE234" i="3"/>
  <c r="AE172" i="3"/>
  <c r="I235" i="7"/>
  <c r="AE131" i="3"/>
  <c r="I268" i="7"/>
  <c r="AE701" i="3"/>
  <c r="I368" i="7"/>
  <c r="AE1207" i="3"/>
  <c r="I359" i="7"/>
  <c r="AE324" i="3"/>
  <c r="I448" i="7"/>
  <c r="AE481" i="3"/>
  <c r="AE397" i="3"/>
  <c r="AE346" i="3"/>
  <c r="AE432" i="3"/>
  <c r="AE164" i="3"/>
  <c r="AE341" i="3"/>
  <c r="AE1220" i="3"/>
  <c r="AE278" i="3"/>
  <c r="AE1475" i="3"/>
  <c r="AE545" i="3"/>
  <c r="AE1503" i="3"/>
  <c r="AE607" i="3"/>
  <c r="AE524" i="3"/>
  <c r="AE410" i="3"/>
  <c r="AE391" i="3"/>
  <c r="AE1476" i="3"/>
  <c r="AE70" i="3"/>
  <c r="AE679" i="3"/>
  <c r="AE1330" i="3"/>
  <c r="AE1162" i="3"/>
  <c r="AE796" i="3"/>
  <c r="AE1391" i="3"/>
  <c r="AE815" i="3"/>
  <c r="AE1447" i="3"/>
  <c r="AE1101" i="3"/>
  <c r="I422" i="7"/>
  <c r="AE1291" i="3"/>
  <c r="AE291" i="3"/>
  <c r="AE1460" i="3"/>
  <c r="AE373" i="3"/>
  <c r="AE531" i="3"/>
  <c r="AE343" i="3"/>
  <c r="AE1496" i="3"/>
  <c r="AE318" i="3"/>
  <c r="AE1030" i="3"/>
  <c r="AE1000" i="3"/>
  <c r="AE146" i="3"/>
  <c r="AE698" i="3"/>
  <c r="AE173" i="3"/>
  <c r="AE483" i="3"/>
  <c r="AE515" i="3"/>
  <c r="AE1523" i="3"/>
  <c r="AE157" i="3"/>
  <c r="AE1341" i="3"/>
  <c r="AE843" i="3"/>
  <c r="AE1425" i="3"/>
  <c r="AE1366" i="3"/>
  <c r="AE686" i="3"/>
  <c r="AE1325" i="3"/>
  <c r="AE1056" i="3"/>
  <c r="AE752" i="3"/>
  <c r="AE433" i="3"/>
  <c r="AE1465" i="3"/>
  <c r="AE190" i="3"/>
  <c r="AE422" i="3"/>
  <c r="AE1043" i="3"/>
  <c r="AE1243" i="3"/>
  <c r="AE1202" i="3"/>
  <c r="AE316" i="3"/>
  <c r="AE1223" i="3"/>
  <c r="AE294" i="3"/>
  <c r="AE1230" i="3"/>
  <c r="AE64" i="3"/>
  <c r="AE219" i="3"/>
  <c r="AE1250" i="3"/>
  <c r="AE1414" i="3"/>
  <c r="AE119" i="3"/>
  <c r="AE802" i="3"/>
  <c r="AE1450" i="3"/>
  <c r="AE384" i="3"/>
  <c r="AE364" i="3"/>
  <c r="AE1453" i="3"/>
  <c r="AE553" i="3"/>
  <c r="K32" i="7"/>
  <c r="AE1200" i="3"/>
  <c r="AE225" i="3"/>
  <c r="AE1209" i="3"/>
  <c r="AE1217" i="3"/>
  <c r="AE583" i="3"/>
  <c r="AE411" i="3"/>
  <c r="AE227" i="3"/>
  <c r="AE23" i="3"/>
  <c r="AE1351" i="3"/>
  <c r="AE419" i="3"/>
  <c r="AE577" i="3"/>
  <c r="AE1439" i="3"/>
  <c r="AE231" i="3"/>
  <c r="AE147" i="3"/>
  <c r="AE1474" i="3"/>
  <c r="AE559" i="3"/>
  <c r="AE1210" i="3"/>
  <c r="AE1487" i="3"/>
  <c r="AE1498" i="3"/>
  <c r="AE622" i="3"/>
  <c r="AE1227" i="3"/>
  <c r="AE394" i="3"/>
  <c r="AE369" i="3"/>
  <c r="AE424" i="3"/>
  <c r="AE198" i="3"/>
  <c r="AE1410" i="3"/>
  <c r="AE1274" i="3"/>
  <c r="AE1509" i="3"/>
  <c r="AE1222" i="3"/>
  <c r="AE1224" i="3"/>
  <c r="AE163" i="3"/>
  <c r="AE949" i="3"/>
  <c r="AE35" i="3"/>
  <c r="AE1469" i="3"/>
  <c r="AE1416" i="3"/>
  <c r="AE1289" i="3"/>
  <c r="AE1255" i="3"/>
  <c r="AE1172" i="3"/>
  <c r="AE1326" i="3"/>
  <c r="AE374" i="3"/>
  <c r="AE1201" i="3"/>
  <c r="AE1452" i="3"/>
  <c r="AE1163" i="3"/>
  <c r="AE428" i="3"/>
  <c r="AE1312" i="3"/>
  <c r="AE1533" i="3"/>
  <c r="AE1234" i="3"/>
  <c r="AE1440" i="3"/>
  <c r="AE573" i="3"/>
  <c r="AE1119" i="3"/>
  <c r="AE242" i="3"/>
  <c r="AE1491" i="3"/>
  <c r="AE459" i="3"/>
  <c r="AE1213" i="3"/>
  <c r="I32" i="7"/>
  <c r="AE1417" i="3"/>
  <c r="AE763" i="3"/>
  <c r="AE180" i="3"/>
  <c r="AE1280" i="3"/>
  <c r="AE1193" i="3"/>
  <c r="AE854" i="3"/>
  <c r="AE1355" i="3"/>
  <c r="AE632" i="3"/>
  <c r="AE416" i="3"/>
  <c r="AE1471" i="3"/>
  <c r="AE406" i="3"/>
  <c r="AE1204" i="3"/>
  <c r="AE1323" i="3"/>
  <c r="AE711" i="3"/>
  <c r="AE1376" i="3"/>
  <c r="AE1522" i="3"/>
  <c r="AE122" i="3"/>
  <c r="AE336" i="3"/>
  <c r="AE279" i="3"/>
  <c r="AE1335" i="3"/>
  <c r="AE450" i="3"/>
  <c r="AE149" i="3"/>
  <c r="AE829" i="3"/>
  <c r="AE1456" i="3"/>
  <c r="AE313" i="3"/>
  <c r="AE1409" i="3"/>
  <c r="AE1505" i="3"/>
  <c r="AE13" i="3"/>
  <c r="AE1321" i="3"/>
  <c r="AE1211" i="3"/>
  <c r="AE1390" i="3"/>
  <c r="AE1536" i="3"/>
  <c r="AE1154" i="3"/>
  <c r="AE166" i="3"/>
  <c r="AE1331" i="3"/>
  <c r="AE262" i="3"/>
  <c r="J32" i="7"/>
  <c r="AE1506" i="3"/>
  <c r="AE475" i="3"/>
  <c r="AE184" i="3"/>
  <c r="AE1219" i="3"/>
  <c r="AE538" i="3"/>
  <c r="AE1436" i="3"/>
  <c r="AE1244" i="3"/>
  <c r="AE333" i="3"/>
  <c r="AE972" i="3"/>
  <c r="AE1360" i="3"/>
  <c r="AE620" i="3"/>
  <c r="AE32" i="3"/>
  <c r="AE606" i="3"/>
  <c r="AE116" i="3"/>
  <c r="AE1381" i="3"/>
  <c r="AE1473" i="3"/>
  <c r="AE398" i="3"/>
  <c r="AE1524" i="3"/>
  <c r="AE208" i="3"/>
  <c r="AE1212" i="3"/>
  <c r="AE1459" i="3"/>
  <c r="AE1208" i="3"/>
  <c r="AE1530" i="3"/>
  <c r="AE1392" i="3"/>
  <c r="AE1194" i="3"/>
  <c r="AE1218" i="3"/>
  <c r="AE593" i="3"/>
  <c r="AE133" i="3"/>
  <c r="AE1406" i="3"/>
  <c r="AE87" i="3"/>
  <c r="AE1374" i="3"/>
  <c r="AE1186" i="3"/>
  <c r="AE1215" i="3"/>
  <c r="K4" i="7"/>
  <c r="K6" i="7"/>
  <c r="AE1198" i="3"/>
  <c r="AE1199" i="3"/>
  <c r="AE1225" i="3"/>
  <c r="AE237" i="3"/>
  <c r="AE34" i="3"/>
  <c r="I4" i="7"/>
  <c r="I6" i="7"/>
  <c r="AE41" i="3"/>
  <c r="AE1221" i="3"/>
  <c r="AE1184" i="3"/>
  <c r="AE1226" i="3"/>
  <c r="AE1385" i="3"/>
  <c r="AE1196" i="3"/>
  <c r="AE1228" i="3"/>
  <c r="J4" i="7"/>
  <c r="J6" i="7"/>
  <c r="AE1189" i="3"/>
  <c r="AE1187" i="3"/>
  <c r="AE1188" i="3"/>
  <c r="AE1185" i="3"/>
  <c r="AE1195" i="3"/>
  <c r="AD403" i="3"/>
  <c r="AD282" i="3"/>
  <c r="AD802" i="3"/>
  <c r="AD1266" i="3"/>
  <c r="AD294" i="3"/>
  <c r="AD166" i="3"/>
  <c r="AD1121" i="3"/>
  <c r="AD130" i="3"/>
  <c r="AD491" i="3"/>
  <c r="AD64" i="3"/>
  <c r="AD1084" i="3"/>
  <c r="AD1416" i="3"/>
  <c r="AD740" i="3"/>
  <c r="AD127" i="3"/>
  <c r="AD76" i="3"/>
  <c r="AD539" i="3"/>
  <c r="AD1469" i="3"/>
  <c r="AD1495" i="3"/>
  <c r="AD620" i="3"/>
  <c r="AD624" i="3"/>
  <c r="AD289" i="3"/>
  <c r="AD336" i="3"/>
  <c r="AD1142" i="3"/>
  <c r="AD257" i="3"/>
  <c r="BB484" i="1"/>
  <c r="AZ484" i="1" s="1"/>
  <c r="BB768" i="1"/>
  <c r="AZ768" i="1" s="1"/>
  <c r="Q1077" i="3" s="1"/>
  <c r="BB44" i="1"/>
  <c r="AZ44" i="1" s="1"/>
  <c r="BB621" i="1"/>
  <c r="AZ621" i="1" s="1"/>
  <c r="Q251" i="3" s="1"/>
  <c r="BB716" i="1"/>
  <c r="AZ716" i="1" s="1"/>
  <c r="Q825" i="3" s="1"/>
  <c r="BB367" i="1"/>
  <c r="AZ367" i="1" s="1"/>
  <c r="Q1060" i="3" s="1"/>
  <c r="BB574" i="1"/>
  <c r="AZ574" i="1" s="1"/>
  <c r="Q434" i="3" s="1"/>
  <c r="BB521" i="1"/>
  <c r="AZ521" i="1" s="1"/>
  <c r="Q78" i="3" s="1"/>
  <c r="BB517" i="1"/>
  <c r="AZ517" i="1" s="1"/>
  <c r="Q112" i="3" s="1"/>
  <c r="BB433" i="1"/>
  <c r="AZ433" i="1" s="1"/>
  <c r="BB720" i="1"/>
  <c r="AZ720" i="1" s="1"/>
  <c r="BB86" i="1"/>
  <c r="AZ86" i="1" s="1"/>
  <c r="BB362" i="1"/>
  <c r="AZ362" i="1" s="1"/>
  <c r="BB759" i="1"/>
  <c r="AZ759" i="1" s="1"/>
  <c r="Q1044" i="3" s="1"/>
  <c r="BB638" i="1"/>
  <c r="AZ638" i="1" s="1"/>
  <c r="Q506" i="3" s="1"/>
  <c r="BB250" i="1"/>
  <c r="AZ250" i="1" s="1"/>
  <c r="Q604" i="3" s="1"/>
  <c r="BB192" i="1"/>
  <c r="AZ192" i="1" s="1"/>
  <c r="BB651" i="1"/>
  <c r="AZ651" i="1" s="1"/>
  <c r="Q478" i="3" s="1"/>
  <c r="BB46" i="1"/>
  <c r="AZ46" i="1" s="1"/>
  <c r="BB762" i="1"/>
  <c r="AZ762" i="1" s="1"/>
  <c r="BB153" i="1"/>
  <c r="AZ153" i="1" s="1"/>
  <c r="BB533" i="1"/>
  <c r="AZ533" i="1" s="1"/>
  <c r="Q79" i="3" s="1"/>
  <c r="BB595" i="1"/>
  <c r="AZ595" i="1" s="1"/>
  <c r="Q323" i="3" s="1"/>
  <c r="BB567" i="1"/>
  <c r="AZ567" i="1" s="1"/>
  <c r="Q339" i="3" s="1"/>
  <c r="BB93" i="1"/>
  <c r="AZ93" i="1" s="1"/>
  <c r="BB268" i="1"/>
  <c r="AZ268" i="1" s="1"/>
  <c r="BB14" i="1"/>
  <c r="AZ14" i="1" s="1"/>
  <c r="BB339" i="1"/>
  <c r="AZ339" i="1" s="1"/>
  <c r="BB31" i="1"/>
  <c r="AZ31" i="1" s="1"/>
  <c r="BB96" i="1"/>
  <c r="AZ96" i="1" s="1"/>
  <c r="BB133" i="1"/>
  <c r="AZ133" i="1" s="1"/>
  <c r="BB584" i="1"/>
  <c r="AZ584" i="1" s="1"/>
  <c r="Q192" i="3" s="1"/>
  <c r="BB158" i="1"/>
  <c r="AZ158" i="1" s="1"/>
  <c r="BB483" i="1"/>
  <c r="AZ483" i="1" s="1"/>
  <c r="BB217" i="1"/>
  <c r="AZ217" i="1" s="1"/>
  <c r="BB17" i="1"/>
  <c r="AZ17" i="1" s="1"/>
  <c r="BB103" i="1"/>
  <c r="AZ103" i="1" s="1"/>
  <c r="BB117" i="1"/>
  <c r="AZ117" i="1" s="1"/>
  <c r="BB691" i="1"/>
  <c r="AZ691" i="1" s="1"/>
  <c r="BB249" i="1"/>
  <c r="AZ249" i="1" s="1"/>
  <c r="BB546" i="1"/>
  <c r="AZ546" i="1" s="1"/>
  <c r="Q377" i="3" s="1"/>
  <c r="BB19" i="1"/>
  <c r="AZ19" i="1" s="1"/>
  <c r="Q193" i="3" s="1"/>
  <c r="BB41" i="1"/>
  <c r="AZ41" i="1" s="1"/>
  <c r="BB392" i="1"/>
  <c r="AZ392" i="1" s="1"/>
  <c r="Q1068" i="3" s="1"/>
  <c r="BB727" i="1"/>
  <c r="AZ727" i="1" s="1"/>
  <c r="Q867" i="3" s="1"/>
  <c r="BB66" i="1"/>
  <c r="AZ66" i="1" s="1"/>
  <c r="BB551" i="1"/>
  <c r="AZ551" i="1" s="1"/>
  <c r="Q317" i="3" s="1"/>
  <c r="BB550" i="1"/>
  <c r="AZ550" i="1" s="1"/>
  <c r="Q512" i="3" s="1"/>
  <c r="BB563" i="1"/>
  <c r="AZ563" i="1" s="1"/>
  <c r="Q222" i="3" s="1"/>
  <c r="BB92" i="1"/>
  <c r="AZ92" i="1" s="1"/>
  <c r="BB473" i="1"/>
  <c r="AZ473" i="1" s="1"/>
  <c r="BB208" i="1"/>
  <c r="AZ208" i="1" s="1"/>
  <c r="BB239" i="1"/>
  <c r="AZ239" i="1" s="1"/>
  <c r="BB781" i="1"/>
  <c r="AZ781" i="1" s="1"/>
  <c r="BB612" i="1"/>
  <c r="AZ612" i="1" s="1"/>
  <c r="Q347" i="3" s="1"/>
  <c r="BB120" i="1"/>
  <c r="AZ120" i="1" s="1"/>
  <c r="BB378" i="1"/>
  <c r="AZ378" i="1" s="1"/>
  <c r="BB35" i="1"/>
  <c r="AZ35" i="1" s="1"/>
  <c r="BB272" i="1"/>
  <c r="AZ272" i="1" s="1"/>
  <c r="BB568" i="1"/>
  <c r="AZ568" i="1" s="1"/>
  <c r="Q221" i="3" s="1"/>
  <c r="BB662" i="1"/>
  <c r="AZ662" i="1" s="1"/>
  <c r="Q352" i="3" s="1"/>
  <c r="BB82" i="1"/>
  <c r="AZ82" i="1" s="1"/>
  <c r="BB89" i="1"/>
  <c r="AZ89" i="1" s="1"/>
  <c r="Q619" i="3" s="1"/>
  <c r="BB81" i="1"/>
  <c r="AZ81" i="1" s="1"/>
  <c r="BB144" i="1"/>
  <c r="AZ144" i="1" s="1"/>
  <c r="BB100" i="1"/>
  <c r="AZ100" i="1" s="1"/>
  <c r="BB11" i="1"/>
  <c r="AZ11" i="1" s="1"/>
  <c r="Q47" i="3" s="1"/>
  <c r="BB110" i="1"/>
  <c r="AZ110" i="1" s="1"/>
  <c r="Q680" i="3" s="1"/>
  <c r="BB74" i="1"/>
  <c r="AZ74" i="1" s="1"/>
  <c r="BB135" i="1"/>
  <c r="AZ135" i="1" s="1"/>
  <c r="Q681" i="3" s="1"/>
  <c r="BB622" i="1"/>
  <c r="AZ622" i="1" s="1"/>
  <c r="Q121" i="3" s="1"/>
  <c r="BB130" i="1"/>
  <c r="AZ130" i="1" s="1"/>
  <c r="Q673" i="3" s="1"/>
  <c r="BB476" i="1"/>
  <c r="AZ476" i="1" s="1"/>
  <c r="BB578" i="1"/>
  <c r="AZ578" i="1" s="1"/>
  <c r="Q485" i="3" s="1"/>
  <c r="BB559" i="1"/>
  <c r="AZ559" i="1" s="1"/>
  <c r="Q212" i="3" s="1"/>
  <c r="BB623" i="1"/>
  <c r="AZ623" i="1" s="1"/>
  <c r="Q615" i="3" s="1"/>
  <c r="BB188" i="1"/>
  <c r="AZ188" i="1" s="1"/>
  <c r="Q773" i="3" s="1"/>
  <c r="BB755" i="1"/>
  <c r="AZ755" i="1" s="1"/>
  <c r="Q1020" i="3" s="1"/>
  <c r="BB201" i="1"/>
  <c r="AZ201" i="1" s="1"/>
  <c r="Q603" i="3" s="1"/>
  <c r="BB304" i="1"/>
  <c r="AZ304" i="1" s="1"/>
  <c r="Q965" i="3" s="1"/>
  <c r="BB681" i="1"/>
  <c r="AZ681" i="1" s="1"/>
  <c r="Q690" i="3" s="1"/>
  <c r="BB91" i="1"/>
  <c r="AZ91" i="1" s="1"/>
  <c r="BB53" i="1"/>
  <c r="AZ53" i="1" s="1"/>
  <c r="BB618" i="1"/>
  <c r="AZ618" i="1" s="1"/>
  <c r="Q228" i="3" s="1"/>
  <c r="BB287" i="1"/>
  <c r="AZ287" i="1" s="1"/>
  <c r="BB522" i="1"/>
  <c r="AZ522" i="1" s="1"/>
  <c r="Q91" i="3" s="1"/>
  <c r="BB229" i="1"/>
  <c r="AZ229" i="1" s="1"/>
  <c r="Q560" i="3" s="1"/>
  <c r="BB116" i="1"/>
  <c r="AZ116" i="1" s="1"/>
  <c r="BB94" i="1"/>
  <c r="AZ94" i="1" s="1"/>
  <c r="BB79" i="1"/>
  <c r="AZ79" i="1" s="1"/>
  <c r="BB529" i="1"/>
  <c r="AZ529" i="1" s="1"/>
  <c r="Q86" i="3" s="1"/>
  <c r="BB308" i="1"/>
  <c r="AZ308" i="1" s="1"/>
  <c r="BB670" i="1"/>
  <c r="AZ670" i="1" s="1"/>
  <c r="BB731" i="1"/>
  <c r="AZ731" i="1" s="1"/>
  <c r="BB52" i="1"/>
  <c r="AZ52" i="1" s="1"/>
  <c r="BB421" i="1"/>
  <c r="AZ421" i="1" s="1"/>
  <c r="BB136" i="1"/>
  <c r="AZ136" i="1" s="1"/>
  <c r="Q710" i="3" s="1"/>
  <c r="BB240" i="1"/>
  <c r="AZ240" i="1" s="1"/>
  <c r="BB556" i="1"/>
  <c r="AZ556" i="1" s="1"/>
  <c r="Q46" i="3" s="1"/>
  <c r="BB745" i="1"/>
  <c r="AZ745" i="1" s="1"/>
  <c r="BB625" i="1"/>
  <c r="AZ625" i="1" s="1"/>
  <c r="Q245" i="3" s="1"/>
  <c r="BB236" i="1"/>
  <c r="AZ236" i="1" s="1"/>
  <c r="BB128" i="1"/>
  <c r="AZ128" i="1" s="1"/>
  <c r="BB59" i="1"/>
  <c r="AZ59" i="1" s="1"/>
  <c r="BB225" i="1"/>
  <c r="AZ225" i="1" s="1"/>
  <c r="BB395" i="1"/>
  <c r="AZ395" i="1" s="1"/>
  <c r="Q822" i="3" s="1"/>
  <c r="BB636" i="1"/>
  <c r="AZ636" i="1" s="1"/>
  <c r="Q118" i="3" s="1"/>
  <c r="BB649" i="1"/>
  <c r="AZ649" i="1" s="1"/>
  <c r="BB527" i="1"/>
  <c r="AZ527" i="1" s="1"/>
  <c r="Q126" i="3" s="1"/>
  <c r="BB613" i="1"/>
  <c r="AZ613" i="1" s="1"/>
  <c r="Q268" i="3" s="1"/>
  <c r="BB71" i="1"/>
  <c r="AZ71" i="1" s="1"/>
  <c r="Q314" i="3" s="1"/>
  <c r="BB126" i="1"/>
  <c r="AZ126" i="1" s="1"/>
  <c r="BB115" i="1"/>
  <c r="AZ115" i="1" s="1"/>
  <c r="BB267" i="1"/>
  <c r="AZ267" i="1" s="1"/>
  <c r="Q899" i="3" s="1"/>
  <c r="BB461" i="1"/>
  <c r="AZ461" i="1" s="1"/>
  <c r="BB283" i="1"/>
  <c r="AZ283" i="1" s="1"/>
  <c r="Q759" i="3" s="1"/>
  <c r="BB594" i="1"/>
  <c r="AZ594" i="1" s="1"/>
  <c r="Q240" i="3" s="1"/>
  <c r="Q662" i="3"/>
  <c r="BB425" i="1"/>
  <c r="AZ425" i="1" s="1"/>
  <c r="BB313" i="1"/>
  <c r="AZ313" i="1" s="1"/>
  <c r="BB83" i="1"/>
  <c r="AZ83" i="1" s="1"/>
  <c r="BB253" i="1"/>
  <c r="AZ253" i="1" s="1"/>
  <c r="BB750" i="1"/>
  <c r="AZ750" i="1" s="1"/>
  <c r="BB179" i="1"/>
  <c r="AZ179" i="1" s="1"/>
  <c r="Q756" i="3" s="1"/>
  <c r="BB84" i="1"/>
  <c r="AZ84" i="1" s="1"/>
  <c r="BB65" i="1"/>
  <c r="AZ65" i="1" s="1"/>
  <c r="BB689" i="1"/>
  <c r="AZ689" i="1" s="1"/>
  <c r="Q716" i="3" s="1"/>
  <c r="BB639" i="1"/>
  <c r="AZ639" i="1" s="1"/>
  <c r="BB643" i="1"/>
  <c r="AZ643" i="1" s="1"/>
  <c r="Q300" i="3" s="1"/>
  <c r="BB262" i="1"/>
  <c r="AZ262" i="1" s="1"/>
  <c r="BB571" i="1"/>
  <c r="AZ571" i="1" s="1"/>
  <c r="Q455" i="3" s="1"/>
  <c r="BB491" i="1"/>
  <c r="AZ491" i="1" s="1"/>
  <c r="Q1314" i="3" s="1"/>
  <c r="BB284" i="1"/>
  <c r="AZ284" i="1" s="1"/>
  <c r="BB775" i="1"/>
  <c r="AZ775" i="1" s="1"/>
  <c r="BB316" i="1"/>
  <c r="AZ316" i="1" s="1"/>
  <c r="BB220" i="1"/>
  <c r="AZ220" i="1" s="1"/>
  <c r="Q782" i="3" s="1"/>
  <c r="BB168" i="1"/>
  <c r="AZ168" i="1" s="1"/>
  <c r="BB497" i="1"/>
  <c r="AZ497" i="1" s="1"/>
  <c r="Q1344" i="3" s="1"/>
  <c r="BB315" i="1"/>
  <c r="AZ315" i="1" s="1"/>
  <c r="BB256" i="1"/>
  <c r="AZ256" i="1" s="1"/>
  <c r="BB33" i="1"/>
  <c r="AZ33" i="1" s="1"/>
  <c r="BB674" i="1"/>
  <c r="AZ674" i="1" s="1"/>
  <c r="Q664" i="3" s="1"/>
  <c r="BB123" i="1"/>
  <c r="AZ123" i="1" s="1"/>
  <c r="BB370" i="1"/>
  <c r="AZ370" i="1" s="1"/>
  <c r="BB148" i="1"/>
  <c r="AZ148" i="1" s="1"/>
  <c r="BB157" i="1"/>
  <c r="AZ157" i="1" s="1"/>
  <c r="Q159" i="3" s="1"/>
  <c r="BB263" i="1"/>
  <c r="AZ263" i="1" s="1"/>
  <c r="BB423" i="1"/>
  <c r="AZ423" i="1" s="1"/>
  <c r="BB112" i="1"/>
  <c r="AZ112" i="1" s="1"/>
  <c r="BB246" i="1"/>
  <c r="AZ246" i="1" s="1"/>
  <c r="BB99" i="1"/>
  <c r="AZ99" i="1" s="1"/>
  <c r="BB260" i="1"/>
  <c r="AZ260" i="1" s="1"/>
  <c r="BB291" i="1"/>
  <c r="AZ291" i="1" s="1"/>
  <c r="Q939" i="3" s="1"/>
  <c r="BB597" i="1"/>
  <c r="AZ597" i="1" s="1"/>
  <c r="Q456" i="3" s="1"/>
  <c r="BB543" i="1"/>
  <c r="AZ543" i="1" s="1"/>
  <c r="Q305" i="3" s="1"/>
  <c r="BB7" i="1"/>
  <c r="AZ7" i="1" s="1"/>
  <c r="BB184" i="1"/>
  <c r="AZ184" i="1" s="1"/>
  <c r="BB734" i="1"/>
  <c r="AZ734" i="1" s="1"/>
  <c r="Q900" i="3" s="1"/>
  <c r="BB389" i="1"/>
  <c r="AZ389" i="1" s="1"/>
  <c r="Q1047" i="3" s="1"/>
  <c r="BB273" i="1"/>
  <c r="AZ273" i="1" s="1"/>
  <c r="BB320" i="1"/>
  <c r="AZ320" i="1" s="1"/>
  <c r="BB231" i="1"/>
  <c r="AZ231" i="1" s="1"/>
  <c r="BB609" i="1"/>
  <c r="AZ609" i="1" s="1"/>
  <c r="Q503" i="3" s="1"/>
  <c r="BB770" i="1"/>
  <c r="AZ770" i="1" s="1"/>
  <c r="BB587" i="1"/>
  <c r="AZ587" i="1" s="1"/>
  <c r="Q591" i="3" s="1"/>
  <c r="BB85" i="1"/>
  <c r="AZ85" i="1" s="1"/>
  <c r="BB176" i="1"/>
  <c r="AZ176" i="1" s="1"/>
  <c r="BB684" i="1"/>
  <c r="AZ684" i="1" s="1"/>
  <c r="BB78" i="1"/>
  <c r="AZ78" i="1" s="1"/>
  <c r="BB379" i="1"/>
  <c r="AZ379" i="1" s="1"/>
  <c r="Q1052" i="3" s="1"/>
  <c r="BB307" i="1"/>
  <c r="AZ307" i="1" s="1"/>
  <c r="Q956" i="3" s="1"/>
  <c r="BB588" i="1"/>
  <c r="AZ588" i="1" s="1"/>
  <c r="Q136" i="3" s="1"/>
  <c r="BB205" i="1"/>
  <c r="AZ205" i="1" s="1"/>
  <c r="Q671" i="3" s="1"/>
  <c r="BB564" i="1"/>
  <c r="AZ564" i="1" s="1"/>
  <c r="Q476" i="3" s="1"/>
  <c r="BB289" i="1"/>
  <c r="AZ289" i="1" s="1"/>
  <c r="Q934" i="3" s="1"/>
  <c r="BB438" i="1"/>
  <c r="AZ438" i="1" s="1"/>
  <c r="BB756" i="1"/>
  <c r="AZ756" i="1" s="1"/>
  <c r="BB455" i="1"/>
  <c r="AZ455" i="1" s="1"/>
  <c r="BB442" i="1"/>
  <c r="AZ442" i="1" s="1"/>
  <c r="BB561" i="1"/>
  <c r="AZ561" i="1" s="1"/>
  <c r="Q203" i="3" s="1"/>
  <c r="BB51" i="1"/>
  <c r="AZ51" i="1" s="1"/>
  <c r="BB502" i="1"/>
  <c r="AZ502" i="1" s="1"/>
  <c r="BB8" i="1"/>
  <c r="AZ8" i="1" s="1"/>
  <c r="BB169" i="1"/>
  <c r="AZ169" i="1" s="1"/>
  <c r="BB590" i="1"/>
  <c r="AZ590" i="1" s="1"/>
  <c r="Q275" i="3" s="1"/>
  <c r="BB544" i="1"/>
  <c r="AZ544" i="1" s="1"/>
  <c r="Q280" i="3" s="1"/>
  <c r="BB6" i="1"/>
  <c r="AZ6" i="1" s="1"/>
  <c r="BB505" i="1"/>
  <c r="AZ505" i="1" s="1"/>
  <c r="Q134" i="3" s="1"/>
  <c r="BB504" i="1"/>
  <c r="AZ504" i="1" s="1"/>
  <c r="Q7" i="3" s="1"/>
  <c r="BB451" i="1"/>
  <c r="AZ451" i="1" s="1"/>
  <c r="BB145" i="1"/>
  <c r="AZ145" i="1" s="1"/>
  <c r="Q984" i="3" s="1"/>
  <c r="BB191" i="1"/>
  <c r="AZ191" i="1" s="1"/>
  <c r="BB109" i="1"/>
  <c r="AZ109" i="1" s="1"/>
  <c r="Q732" i="3" s="1"/>
  <c r="BB596" i="1"/>
  <c r="AZ596" i="1" s="1"/>
  <c r="Q566" i="3" s="1"/>
  <c r="BB415" i="1"/>
  <c r="AZ415" i="1" s="1"/>
  <c r="BB247" i="1"/>
  <c r="AZ247" i="1" s="1"/>
  <c r="BB286" i="1"/>
  <c r="AZ286" i="1" s="1"/>
  <c r="Q931" i="3" s="1"/>
  <c r="BB534" i="1"/>
  <c r="AZ534" i="1" s="1"/>
  <c r="Q302" i="3" s="1"/>
  <c r="BB406" i="1"/>
  <c r="AZ406" i="1" s="1"/>
  <c r="Q1140" i="3" s="1"/>
  <c r="BB68" i="1"/>
  <c r="AZ68" i="1" s="1"/>
  <c r="BB358" i="1"/>
  <c r="AZ358" i="1" s="1"/>
  <c r="BB566" i="1"/>
  <c r="AZ566" i="1" s="1"/>
  <c r="Q382" i="3" s="1"/>
  <c r="BB166" i="1"/>
  <c r="AZ166" i="1" s="1"/>
  <c r="BB478" i="1"/>
  <c r="AZ478" i="1" s="1"/>
  <c r="BB121" i="1"/>
  <c r="AZ121" i="1" s="1"/>
  <c r="Q1106" i="3" s="1"/>
  <c r="BB475" i="1"/>
  <c r="AZ475" i="1" s="1"/>
  <c r="BB49" i="1"/>
  <c r="AZ49" i="1" s="1"/>
  <c r="BB434" i="1"/>
  <c r="AZ434" i="1" s="1"/>
  <c r="BB503" i="1"/>
  <c r="AZ503" i="1" s="1"/>
  <c r="BB514" i="1"/>
  <c r="AZ514" i="1" s="1"/>
  <c r="Q50" i="3" s="1"/>
  <c r="BB506" i="1"/>
  <c r="AZ506" i="1" s="1"/>
  <c r="Q53" i="3" s="1"/>
  <c r="BB23" i="1"/>
  <c r="AZ23" i="1" s="1"/>
  <c r="BB500" i="1"/>
  <c r="AZ500" i="1" s="1"/>
  <c r="BB680" i="1"/>
  <c r="AZ680" i="1" s="1"/>
  <c r="BB172" i="1"/>
  <c r="AZ172" i="1" s="1"/>
  <c r="BB355" i="1"/>
  <c r="AZ355" i="1" s="1"/>
  <c r="Q706" i="3" s="1"/>
  <c r="BB641" i="1"/>
  <c r="AZ641" i="1" s="1"/>
  <c r="BB365" i="1"/>
  <c r="AZ365" i="1" s="1"/>
  <c r="BB752" i="1"/>
  <c r="AZ752" i="1" s="1"/>
  <c r="Q995" i="3" s="1"/>
  <c r="BB555" i="1"/>
  <c r="AZ555" i="1" s="1"/>
  <c r="Q108" i="3" s="1"/>
  <c r="BB772" i="1"/>
  <c r="AZ772" i="1" s="1"/>
  <c r="Q1105" i="3" s="1"/>
  <c r="BB274" i="1"/>
  <c r="AZ274" i="1" s="1"/>
  <c r="BB606" i="1"/>
  <c r="AZ606" i="1" s="1"/>
  <c r="Q529" i="3" s="1"/>
  <c r="BB429" i="1"/>
  <c r="AZ429" i="1" s="1"/>
  <c r="BB195" i="1"/>
  <c r="AZ195" i="1" s="1"/>
  <c r="Q781" i="3" s="1"/>
  <c r="BB105" i="1"/>
  <c r="AZ105" i="1" s="1"/>
  <c r="BB209" i="1"/>
  <c r="AZ209" i="1" s="1"/>
  <c r="Q1145" i="3" s="1"/>
  <c r="BB111" i="1"/>
  <c r="AZ111" i="1" s="1"/>
  <c r="BB709" i="1"/>
  <c r="AZ709" i="1" s="1"/>
  <c r="Q786" i="3" s="1"/>
  <c r="BB593" i="1"/>
  <c r="AZ593" i="1" s="1"/>
  <c r="Q197" i="3" s="1"/>
  <c r="BB717" i="1"/>
  <c r="AZ717" i="1" s="1"/>
  <c r="Q473" i="3" s="1"/>
  <c r="BB119" i="1"/>
  <c r="AZ119" i="1" s="1"/>
  <c r="BB183" i="1"/>
  <c r="AZ183" i="1" s="1"/>
  <c r="BB403" i="1"/>
  <c r="AZ403" i="1" s="1"/>
  <c r="BB530" i="1"/>
  <c r="AZ530" i="1" s="1"/>
  <c r="Q138" i="3" s="1"/>
  <c r="BB591" i="1"/>
  <c r="AZ591" i="1" s="1"/>
  <c r="Q340" i="3" s="1"/>
  <c r="BB174" i="1"/>
  <c r="AZ174" i="1" s="1"/>
  <c r="BB314" i="1"/>
  <c r="AZ314" i="1" s="1"/>
  <c r="BB376" i="1"/>
  <c r="AZ376" i="1" s="1"/>
  <c r="BB330" i="1"/>
  <c r="AZ330" i="1" s="1"/>
  <c r="BB114" i="1"/>
  <c r="AZ114" i="1" s="1"/>
  <c r="BB565" i="1"/>
  <c r="AZ565" i="1" s="1"/>
  <c r="Q451" i="3" s="1"/>
  <c r="BB526" i="1"/>
  <c r="AZ526" i="1" s="1"/>
  <c r="Q20" i="3" s="1"/>
  <c r="BB683" i="1"/>
  <c r="AZ683" i="1" s="1"/>
  <c r="Q697" i="3" s="1"/>
  <c r="BB80" i="1"/>
  <c r="AZ80" i="1" s="1"/>
  <c r="BB516" i="1"/>
  <c r="AZ516" i="1" s="1"/>
  <c r="Q74" i="3" s="1"/>
  <c r="BB443" i="1"/>
  <c r="AZ443" i="1" s="1"/>
  <c r="Q767" i="3" s="1"/>
  <c r="BB518" i="1"/>
  <c r="AZ518" i="1" s="1"/>
  <c r="BB515" i="1"/>
  <c r="AZ515" i="1" s="1"/>
  <c r="Q51" i="3" s="1"/>
  <c r="BB374" i="1"/>
  <c r="AZ374" i="1" s="1"/>
  <c r="BB72" i="1"/>
  <c r="AZ72" i="1" s="1"/>
  <c r="BB617" i="1"/>
  <c r="AZ617" i="1" s="1"/>
  <c r="Q441" i="3" s="1"/>
  <c r="BB37" i="1"/>
  <c r="AZ37" i="1" s="1"/>
  <c r="BB13" i="1"/>
  <c r="AZ13" i="1" s="1"/>
  <c r="BB223" i="1"/>
  <c r="AZ223" i="1" s="1"/>
  <c r="Q833" i="3" s="1"/>
  <c r="BB718" i="1"/>
  <c r="AZ718" i="1" s="1"/>
  <c r="Q831" i="3" s="1"/>
  <c r="BB398" i="1"/>
  <c r="AZ398" i="1" s="1"/>
  <c r="BB321" i="1"/>
  <c r="AZ321" i="1" s="1"/>
  <c r="Q1249" i="3" s="1"/>
  <c r="BB605" i="1"/>
  <c r="AZ605" i="1" s="1"/>
  <c r="Q486" i="3" s="1"/>
  <c r="BB232" i="1"/>
  <c r="AZ232" i="1" s="1"/>
  <c r="Q910" i="3" s="1"/>
  <c r="BB210" i="1"/>
  <c r="AZ210" i="1" s="1"/>
  <c r="BB656" i="1"/>
  <c r="AZ656" i="1" s="1"/>
  <c r="BB235" i="1"/>
  <c r="AZ235" i="1" s="1"/>
  <c r="BB660" i="1"/>
  <c r="AZ660" i="1" s="1"/>
  <c r="BB608" i="1"/>
  <c r="AZ608" i="1" s="1"/>
  <c r="Q263" i="3" s="1"/>
  <c r="BB372" i="1"/>
  <c r="AZ372" i="1" s="1"/>
  <c r="BB457" i="1"/>
  <c r="AZ457" i="1" s="1"/>
  <c r="BB640" i="1"/>
  <c r="AZ640" i="1" s="1"/>
  <c r="Q177" i="3" s="1"/>
  <c r="BB535" i="1"/>
  <c r="AZ535" i="1" s="1"/>
  <c r="Q191" i="3" s="1"/>
  <c r="BB589" i="1"/>
  <c r="AZ589" i="1" s="1"/>
  <c r="Q298" i="3" s="1"/>
  <c r="BB98" i="1"/>
  <c r="AZ98" i="1" s="1"/>
  <c r="Q430" i="3" s="1"/>
  <c r="BB167" i="1"/>
  <c r="AZ167" i="1" s="1"/>
  <c r="BB645" i="1"/>
  <c r="AZ645" i="1" s="1"/>
  <c r="Q636" i="3" s="1"/>
  <c r="BB252" i="1"/>
  <c r="AZ252" i="1" s="1"/>
  <c r="Q623" i="3" s="1"/>
  <c r="BB30" i="1"/>
  <c r="AZ30" i="1" s="1"/>
  <c r="BB552" i="1"/>
  <c r="AZ552" i="1" s="1"/>
  <c r="Q196" i="3" s="1"/>
  <c r="BB520" i="1"/>
  <c r="AZ520" i="1" s="1"/>
  <c r="Q106" i="3" s="1"/>
  <c r="BB261" i="1"/>
  <c r="AZ261" i="1" s="1"/>
  <c r="BB173" i="1"/>
  <c r="AZ173" i="1" s="1"/>
  <c r="Q410" i="3" s="1"/>
  <c r="BB777" i="1"/>
  <c r="AZ777" i="1" s="1"/>
  <c r="BB697" i="1"/>
  <c r="AZ697" i="1" s="1"/>
  <c r="BB366" i="1"/>
  <c r="AZ366" i="1" s="1"/>
  <c r="BB540" i="1"/>
  <c r="AZ540" i="1" s="1"/>
  <c r="Q332" i="3" s="1"/>
  <c r="BB753" i="1"/>
  <c r="AZ753" i="1" s="1"/>
  <c r="BB650" i="1"/>
  <c r="AZ650" i="1" s="1"/>
  <c r="BB512" i="1"/>
  <c r="AZ512" i="1" s="1"/>
  <c r="Q102" i="3" s="1"/>
  <c r="BB125" i="1"/>
  <c r="AZ125" i="1" s="1"/>
  <c r="Q607" i="3" s="1"/>
  <c r="BB732" i="1"/>
  <c r="AZ732" i="1" s="1"/>
  <c r="Q896" i="3" s="1"/>
  <c r="BB48" i="1"/>
  <c r="AZ48" i="1" s="1"/>
  <c r="Q578" i="3" s="1"/>
  <c r="BB748" i="1"/>
  <c r="AZ748" i="1" s="1"/>
  <c r="Q980" i="3" s="1"/>
  <c r="BB57" i="1"/>
  <c r="AZ57" i="1" s="1"/>
  <c r="BB686" i="1"/>
  <c r="AZ686" i="1" s="1"/>
  <c r="BB408" i="1"/>
  <c r="AZ408" i="1" s="1"/>
  <c r="Q775" i="3" s="1"/>
  <c r="BB393" i="1"/>
  <c r="AZ393" i="1" s="1"/>
  <c r="BB101" i="1"/>
  <c r="AZ101" i="1" s="1"/>
  <c r="BB325" i="1"/>
  <c r="AZ325" i="1" s="1"/>
  <c r="BB228" i="1"/>
  <c r="AZ228" i="1" s="1"/>
  <c r="Q924" i="3" s="1"/>
  <c r="BB440" i="1"/>
  <c r="AZ440" i="1" s="1"/>
  <c r="BB106" i="1"/>
  <c r="AZ106" i="1" s="1"/>
  <c r="BB214" i="1"/>
  <c r="AZ214" i="1" s="1"/>
  <c r="Q24" i="3" s="1"/>
  <c r="BB585" i="1"/>
  <c r="AZ585" i="1" s="1"/>
  <c r="Q120" i="3" s="1"/>
  <c r="BB258" i="1"/>
  <c r="AZ258" i="1" s="1"/>
  <c r="Q925" i="3" s="1"/>
  <c r="BB601" i="1"/>
  <c r="AZ601" i="1" s="1"/>
  <c r="Q387" i="3" s="1"/>
  <c r="BB75" i="1"/>
  <c r="AZ75" i="1" s="1"/>
  <c r="BB577" i="1"/>
  <c r="AZ577" i="1" s="1"/>
  <c r="Q306" i="3" s="1"/>
  <c r="BB60" i="1"/>
  <c r="AZ60" i="1" s="1"/>
  <c r="BB61" i="1"/>
  <c r="AZ61" i="1" s="1"/>
  <c r="BB90" i="1"/>
  <c r="AZ90" i="1" s="1"/>
  <c r="BB614" i="1"/>
  <c r="AZ614" i="1" s="1"/>
  <c r="Q447" i="3" s="1"/>
  <c r="BB679" i="1"/>
  <c r="AZ679" i="1" s="1"/>
  <c r="Q461" i="3" s="1"/>
  <c r="BB338" i="1"/>
  <c r="AZ338" i="1" s="1"/>
  <c r="BB401" i="1"/>
  <c r="AZ401" i="1" s="1"/>
  <c r="BB69" i="1"/>
  <c r="AZ69" i="1" s="1"/>
  <c r="BB528" i="1"/>
  <c r="AZ528" i="1" s="1"/>
  <c r="Q143" i="3" s="1"/>
  <c r="BB5" i="1"/>
  <c r="AZ5" i="1" s="1"/>
  <c r="BB87" i="1"/>
  <c r="AZ87" i="1" s="1"/>
  <c r="BB302" i="1"/>
  <c r="AZ302" i="1" s="1"/>
  <c r="BB28" i="1"/>
  <c r="AZ28" i="1" s="1"/>
  <c r="BB592" i="1"/>
  <c r="AZ592" i="1" s="1"/>
  <c r="Q396" i="3" s="1"/>
  <c r="BB132" i="1"/>
  <c r="AZ132" i="1" s="1"/>
  <c r="Q676" i="3" s="1"/>
  <c r="BB469" i="1"/>
  <c r="AZ469" i="1" s="1"/>
  <c r="BB332" i="1"/>
  <c r="AZ332" i="1" s="1"/>
  <c r="BB435" i="1"/>
  <c r="AZ435" i="1" s="1"/>
  <c r="BB278" i="1"/>
  <c r="AZ278" i="1" s="1"/>
  <c r="Q828" i="3" s="1"/>
  <c r="BB317" i="1"/>
  <c r="AZ317" i="1" s="1"/>
  <c r="BB414" i="1"/>
  <c r="AZ414" i="1" s="1"/>
  <c r="BB569" i="1"/>
  <c r="AZ569" i="1" s="1"/>
  <c r="Q158" i="3" s="1"/>
  <c r="BB266" i="1"/>
  <c r="AZ266" i="1" s="1"/>
  <c r="BB227" i="1"/>
  <c r="AZ227" i="1" s="1"/>
  <c r="BB327" i="1"/>
  <c r="AZ327" i="1" s="1"/>
  <c r="BB21" i="1"/>
  <c r="AZ21" i="1" s="1"/>
  <c r="Q1212" i="3" s="1"/>
  <c r="BB312" i="1"/>
  <c r="AZ312" i="1" s="1"/>
  <c r="BB715" i="1"/>
  <c r="AZ715" i="1" s="1"/>
  <c r="Q824" i="3" s="1"/>
  <c r="BB628" i="1"/>
  <c r="AZ628" i="1" s="1"/>
  <c r="Q98" i="3" s="1"/>
  <c r="BB102" i="1"/>
  <c r="AZ102" i="1" s="1"/>
  <c r="Q407" i="3" s="1"/>
  <c r="BB570" i="1"/>
  <c r="AZ570" i="1" s="1"/>
  <c r="Q229" i="3" s="1"/>
  <c r="BB9" i="1"/>
  <c r="AZ9" i="1" s="1"/>
  <c r="BB665" i="1"/>
  <c r="AZ665" i="1" s="1"/>
  <c r="Q649" i="3" s="1"/>
  <c r="BB630" i="1"/>
  <c r="AZ630" i="1" s="1"/>
  <c r="BB285" i="1"/>
  <c r="AZ285" i="1" s="1"/>
  <c r="BB481" i="1"/>
  <c r="AZ481" i="1" s="1"/>
  <c r="BB599" i="1"/>
  <c r="AZ599" i="1" s="1"/>
  <c r="Q337" i="3" s="1"/>
  <c r="BB97" i="1"/>
  <c r="AZ97" i="1" s="1"/>
  <c r="BB245" i="1"/>
  <c r="AZ245" i="1" s="1"/>
  <c r="BB203" i="1"/>
  <c r="AZ203" i="1" s="1"/>
  <c r="BB154" i="1"/>
  <c r="AZ154" i="1" s="1"/>
  <c r="BB319" i="1"/>
  <c r="AZ319" i="1" s="1"/>
  <c r="BB306" i="1"/>
  <c r="AZ306" i="1" s="1"/>
  <c r="Q968" i="3" s="1"/>
  <c r="BB322" i="1"/>
  <c r="AZ322" i="1" s="1"/>
  <c r="BB581" i="1"/>
  <c r="AZ581" i="1" s="1"/>
  <c r="Q224" i="3" s="1"/>
  <c r="BB531" i="1"/>
  <c r="AZ531" i="1" s="1"/>
  <c r="Q96" i="3" s="1"/>
  <c r="BB342" i="1"/>
  <c r="AZ342" i="1" s="1"/>
  <c r="BB165" i="1"/>
  <c r="AZ165" i="1" s="1"/>
  <c r="Q885" i="3" s="1"/>
  <c r="BB513" i="1"/>
  <c r="AZ513" i="1" s="1"/>
  <c r="Q65" i="3" s="1"/>
  <c r="BB344" i="1"/>
  <c r="AZ344" i="1" s="1"/>
  <c r="Q1035" i="3" s="1"/>
  <c r="BB682" i="1"/>
  <c r="AZ682" i="1" s="1"/>
  <c r="Q696" i="3" s="1"/>
  <c r="BB326" i="1"/>
  <c r="AZ326" i="1" s="1"/>
  <c r="Q957" i="3" s="1"/>
  <c r="BB95" i="1"/>
  <c r="AZ95" i="1" s="1"/>
  <c r="BB470" i="1"/>
  <c r="AZ470" i="1" s="1"/>
  <c r="BB36" i="1"/>
  <c r="AZ36" i="1" s="1"/>
  <c r="BB579" i="1"/>
  <c r="AZ579" i="1" s="1"/>
  <c r="Q572" i="3" s="1"/>
  <c r="BB193" i="1"/>
  <c r="AZ193" i="1" s="1"/>
  <c r="BB761" i="1"/>
  <c r="AZ761" i="1" s="1"/>
  <c r="Q1049" i="3" s="1"/>
  <c r="BB501" i="1"/>
  <c r="AZ501" i="1" s="1"/>
  <c r="BB604" i="1"/>
  <c r="AZ604" i="1" s="1"/>
  <c r="Q460" i="3" s="1"/>
  <c r="BB627" i="1"/>
  <c r="AZ627" i="1" s="1"/>
  <c r="Q616" i="3" s="1"/>
  <c r="BB331" i="1"/>
  <c r="AZ331" i="1" s="1"/>
  <c r="BB248" i="1"/>
  <c r="AZ248" i="1" s="1"/>
  <c r="Q547" i="3" s="1"/>
  <c r="BB751" i="1"/>
  <c r="AZ751" i="1" s="1"/>
  <c r="BB624" i="1"/>
  <c r="AZ624" i="1" s="1"/>
  <c r="Q284" i="3" s="1"/>
  <c r="BB216" i="1"/>
  <c r="AZ216" i="1" s="1"/>
  <c r="BB219" i="1"/>
  <c r="AZ219" i="1" s="1"/>
  <c r="BB113" i="1"/>
  <c r="AZ113" i="1" s="1"/>
  <c r="BB655" i="1"/>
  <c r="AZ655" i="1" s="1"/>
  <c r="BB187" i="1"/>
  <c r="AZ187" i="1" s="1"/>
  <c r="Q472" i="3" s="1"/>
  <c r="BB341" i="1"/>
  <c r="AZ341" i="1" s="1"/>
  <c r="BB104" i="1"/>
  <c r="AZ104" i="1" s="1"/>
  <c r="BB482" i="1"/>
  <c r="AZ482" i="1" s="1"/>
  <c r="Q1275" i="3" s="1"/>
  <c r="BB723" i="1"/>
  <c r="AZ723" i="1" s="1"/>
  <c r="BB714" i="1"/>
  <c r="AZ714" i="1" s="1"/>
  <c r="Q809" i="3" s="1"/>
  <c r="BB204" i="1"/>
  <c r="AZ204" i="1" s="1"/>
  <c r="BB234" i="1"/>
  <c r="AZ234" i="1" s="1"/>
  <c r="Q296" i="3" s="1"/>
  <c r="BB155" i="1"/>
  <c r="AZ155" i="1" s="1"/>
  <c r="Q721" i="3" s="1"/>
  <c r="BB458" i="1"/>
  <c r="AZ458" i="1" s="1"/>
  <c r="BB696" i="1"/>
  <c r="AZ696" i="1" s="1"/>
  <c r="Q728" i="3" s="1"/>
  <c r="BB137" i="1"/>
  <c r="AZ137" i="1" s="1"/>
  <c r="BB706" i="1"/>
  <c r="AZ706" i="1" s="1"/>
  <c r="Q761" i="3" s="1"/>
  <c r="BB42" i="1"/>
  <c r="AZ42" i="1" s="1"/>
  <c r="BB335" i="1"/>
  <c r="AZ335" i="1" s="1"/>
  <c r="BB368" i="1"/>
  <c r="AZ368" i="1" s="1"/>
  <c r="BB303" i="1"/>
  <c r="AZ303" i="1" s="1"/>
  <c r="BB610" i="1"/>
  <c r="AZ610" i="1" s="1"/>
  <c r="Q349" i="3" s="1"/>
  <c r="BB704" i="1"/>
  <c r="AZ704" i="1" s="1"/>
  <c r="Q753" i="3" s="1"/>
  <c r="BB215" i="1"/>
  <c r="AZ215" i="1" s="1"/>
  <c r="Q892" i="3" s="1"/>
  <c r="BB525" i="1"/>
  <c r="AZ525" i="1" s="1"/>
  <c r="Q42" i="3" s="1"/>
  <c r="BB108" i="1"/>
  <c r="AZ108" i="1" s="1"/>
  <c r="Q474" i="3" s="1"/>
  <c r="BB711" i="1"/>
  <c r="AZ711" i="1" s="1"/>
  <c r="BB62" i="1"/>
  <c r="AZ62" i="1" s="1"/>
  <c r="BB576" i="1"/>
  <c r="AZ576" i="1" s="1"/>
  <c r="Q371" i="3" s="1"/>
  <c r="BB34" i="1"/>
  <c r="AZ34" i="1" s="1"/>
  <c r="BB511" i="1"/>
  <c r="AZ511" i="1" s="1"/>
  <c r="Q155" i="3" s="1"/>
  <c r="BB243" i="1"/>
  <c r="AZ243" i="1" s="1"/>
  <c r="BB635" i="1"/>
  <c r="AZ635" i="1" s="1"/>
  <c r="BB663" i="1"/>
  <c r="AZ663" i="1" s="1"/>
  <c r="Q568" i="3" s="1"/>
  <c r="BB222" i="1"/>
  <c r="AZ222" i="1" s="1"/>
  <c r="Q654" i="3" s="1"/>
  <c r="BB295" i="1"/>
  <c r="AZ295" i="1" s="1"/>
  <c r="Q978" i="3" s="1"/>
  <c r="BB719" i="1"/>
  <c r="AZ719" i="1" s="1"/>
  <c r="BB177" i="1"/>
  <c r="AZ177" i="1" s="1"/>
  <c r="Q904" i="3" s="1"/>
  <c r="BB411" i="1"/>
  <c r="AZ411" i="1" s="1"/>
  <c r="BB212" i="1"/>
  <c r="AZ212" i="1" s="1"/>
  <c r="BB729" i="1"/>
  <c r="AZ729" i="1" s="1"/>
  <c r="Q882" i="3" s="1"/>
  <c r="BB580" i="1"/>
  <c r="AZ580" i="1" s="1"/>
  <c r="Q248" i="3" s="1"/>
  <c r="BB24" i="1"/>
  <c r="AZ24" i="1" s="1"/>
  <c r="BB616" i="1"/>
  <c r="AZ616" i="1" s="1"/>
  <c r="Q114" i="3" s="1"/>
  <c r="BB55" i="1"/>
  <c r="AZ55" i="1" s="1"/>
  <c r="BB728" i="1"/>
  <c r="AZ728" i="1" s="1"/>
  <c r="BB382" i="1"/>
  <c r="AZ382" i="1" s="1"/>
  <c r="Q944" i="3" s="1"/>
  <c r="BB536" i="1"/>
  <c r="AZ536" i="1" s="1"/>
  <c r="Q185" i="3" s="1"/>
  <c r="BB276" i="1"/>
  <c r="AZ276" i="1" s="1"/>
  <c r="BB644" i="1"/>
  <c r="AZ644" i="1" s="1"/>
  <c r="Q375" i="3" s="1"/>
  <c r="BB519" i="1"/>
  <c r="AZ519" i="1" s="1"/>
  <c r="Q45" i="3" s="1"/>
  <c r="BB58" i="1"/>
  <c r="AZ58" i="1" s="1"/>
  <c r="BB182" i="1"/>
  <c r="AZ182" i="1" s="1"/>
  <c r="Q660" i="3" s="1"/>
  <c r="BB523" i="1"/>
  <c r="AZ523" i="1" s="1"/>
  <c r="Q156" i="3" s="1"/>
  <c r="BB553" i="1"/>
  <c r="AZ553" i="1" s="1"/>
  <c r="Q33" i="3" s="1"/>
  <c r="BB685" i="1"/>
  <c r="AZ685" i="1" s="1"/>
  <c r="Q700" i="3" s="1"/>
  <c r="BB371" i="1"/>
  <c r="AZ371" i="1" s="1"/>
  <c r="BB384" i="1"/>
  <c r="AZ384" i="1" s="1"/>
  <c r="BB388" i="1"/>
  <c r="AZ388" i="1" s="1"/>
  <c r="Q929" i="3" s="1"/>
  <c r="BB573" i="1"/>
  <c r="AZ573" i="1" s="1"/>
  <c r="Q273" i="3" s="1"/>
  <c r="BB436" i="1"/>
  <c r="AZ436" i="1" s="1"/>
  <c r="Q872" i="3" s="1"/>
  <c r="BB416" i="1"/>
  <c r="AZ416" i="1" s="1"/>
  <c r="BB633" i="1"/>
  <c r="AZ633" i="1" s="1"/>
  <c r="BB305" i="1"/>
  <c r="AZ305" i="1" s="1"/>
  <c r="BB548" i="1"/>
  <c r="AZ548" i="1" s="1"/>
  <c r="Q99" i="3" s="1"/>
  <c r="BB558" i="1"/>
  <c r="AZ558" i="1" s="1"/>
  <c r="Q117" i="3" s="1"/>
  <c r="BB27" i="1"/>
  <c r="AZ27" i="1" s="1"/>
  <c r="BB583" i="1"/>
  <c r="AZ583" i="1" s="1"/>
  <c r="Q202" i="3" s="1"/>
  <c r="BB582" i="1"/>
  <c r="AZ582" i="1" s="1"/>
  <c r="Q293" i="3" s="1"/>
  <c r="BB373" i="1"/>
  <c r="AZ373" i="1" s="1"/>
  <c r="Q71" i="3" s="1"/>
  <c r="BB143" i="1"/>
  <c r="AZ143" i="1" s="1"/>
  <c r="BB180" i="1"/>
  <c r="AZ180" i="1" s="1"/>
  <c r="BB43" i="1"/>
  <c r="AZ43" i="1" s="1"/>
  <c r="BB671" i="1"/>
  <c r="AZ671" i="1" s="1"/>
  <c r="Q588" i="3" s="1"/>
  <c r="BB294" i="1"/>
  <c r="AZ294" i="1" s="1"/>
  <c r="Q862" i="3" s="1"/>
  <c r="BB73" i="1"/>
  <c r="AZ73" i="1" s="1"/>
  <c r="Q388" i="3" s="1"/>
  <c r="BB602" i="1"/>
  <c r="AZ602" i="1" s="1"/>
  <c r="BB703" i="1"/>
  <c r="AZ703" i="1" s="1"/>
  <c r="Q751" i="3" s="1"/>
  <c r="BB657" i="1"/>
  <c r="AZ657" i="1" s="1"/>
  <c r="BB767" i="1"/>
  <c r="AZ767" i="1" s="1"/>
  <c r="Q1076" i="3" s="1"/>
  <c r="BB472" i="1"/>
  <c r="AZ472" i="1" s="1"/>
  <c r="Q725" i="3" s="1"/>
  <c r="BB12" i="1"/>
  <c r="AZ12" i="1" s="1"/>
  <c r="BB724" i="1"/>
  <c r="AZ724" i="1" s="1"/>
  <c r="BB159" i="1"/>
  <c r="AZ159" i="1" s="1"/>
  <c r="BB758" i="1"/>
  <c r="AZ758" i="1" s="1"/>
  <c r="BB575" i="1"/>
  <c r="AZ575" i="1" s="1"/>
  <c r="Q199" i="3" s="1"/>
  <c r="BB271" i="1"/>
  <c r="AZ271" i="1" s="1"/>
  <c r="BB678" i="1"/>
  <c r="AZ678" i="1" s="1"/>
  <c r="BB492" i="1"/>
  <c r="AZ492" i="1" s="1"/>
  <c r="Q1329" i="3" s="1"/>
  <c r="BB340" i="1"/>
  <c r="AZ340" i="1" s="1"/>
  <c r="Q971" i="3" s="1"/>
  <c r="BB298" i="1"/>
  <c r="AZ298" i="1" s="1"/>
  <c r="BB334" i="1"/>
  <c r="AZ334" i="1" s="1"/>
  <c r="Q955" i="3" s="1"/>
  <c r="BB611" i="1"/>
  <c r="AZ611" i="1" s="1"/>
  <c r="Q499" i="3" s="1"/>
  <c r="BB363" i="1"/>
  <c r="AZ363" i="1" s="1"/>
  <c r="BB626" i="1"/>
  <c r="AZ626" i="1" s="1"/>
  <c r="Q285" i="3" s="1"/>
  <c r="BB692" i="1"/>
  <c r="AZ692" i="1" s="1"/>
  <c r="BB549" i="1"/>
  <c r="AZ549" i="1" s="1"/>
  <c r="Q200" i="3" s="1"/>
  <c r="BB18" i="1"/>
  <c r="AZ18" i="1" s="1"/>
  <c r="BB337" i="1"/>
  <c r="AZ337" i="1" s="1"/>
  <c r="Q902" i="3" s="1"/>
  <c r="BB54" i="1"/>
  <c r="AZ54" i="1" s="1"/>
  <c r="BB760" i="1"/>
  <c r="AZ760" i="1" s="1"/>
  <c r="BB417" i="1"/>
  <c r="AZ417" i="1" s="1"/>
  <c r="BB766" i="1"/>
  <c r="AZ766" i="1" s="1"/>
  <c r="Q585" i="3" s="1"/>
  <c r="BB742" i="1"/>
  <c r="AZ742" i="1" s="1"/>
  <c r="Q514" i="3" s="1"/>
  <c r="BB648" i="1"/>
  <c r="AZ648" i="1" s="1"/>
  <c r="BB554" i="1"/>
  <c r="AZ554" i="1" s="1"/>
  <c r="Q401" i="3" s="1"/>
  <c r="BB661" i="1"/>
  <c r="AZ661" i="1" s="1"/>
  <c r="BB562" i="1"/>
  <c r="AZ562" i="1" s="1"/>
  <c r="Q254" i="3" s="1"/>
  <c r="BB270" i="1"/>
  <c r="AZ270" i="1" s="1"/>
  <c r="BB412" i="1"/>
  <c r="AZ412" i="1" s="1"/>
  <c r="Q850" i="3" s="1"/>
  <c r="BB545" i="1"/>
  <c r="AZ545" i="1" s="1"/>
  <c r="Q52" i="3" s="1"/>
  <c r="BB138" i="1"/>
  <c r="AZ138" i="1" s="1"/>
  <c r="BB427" i="1"/>
  <c r="AZ427" i="1" s="1"/>
  <c r="BB185" i="1"/>
  <c r="AZ185" i="1" s="1"/>
  <c r="BB688" i="1"/>
  <c r="AZ688" i="1" s="1"/>
  <c r="BB328" i="1"/>
  <c r="AZ328" i="1" s="1"/>
  <c r="Q887" i="3" s="1"/>
  <c r="BB541" i="1"/>
  <c r="AZ541" i="1" s="1"/>
  <c r="Q187" i="3" s="1"/>
  <c r="BB299" i="1"/>
  <c r="AZ299" i="1" s="1"/>
  <c r="BB542" i="1"/>
  <c r="AZ542" i="1" s="1"/>
  <c r="Q101" i="3" s="1"/>
  <c r="BB237" i="1"/>
  <c r="AZ237" i="1" s="1"/>
  <c r="BB224" i="1"/>
  <c r="AZ224" i="1" s="1"/>
  <c r="BB226" i="1"/>
  <c r="AZ226" i="1" s="1"/>
  <c r="Q1087" i="3" s="1"/>
  <c r="BB480" i="1"/>
  <c r="AZ480" i="1" s="1"/>
  <c r="BB508" i="1"/>
  <c r="AZ508" i="1" s="1"/>
  <c r="Q68" i="3" s="1"/>
  <c r="BB619" i="1"/>
  <c r="AZ619" i="1" s="1"/>
  <c r="Q380" i="3" s="1"/>
  <c r="BB779" i="1"/>
  <c r="AZ779" i="1" s="1"/>
  <c r="Q1272" i="3" s="1"/>
  <c r="BB124" i="1"/>
  <c r="AZ124" i="1" s="1"/>
  <c r="BB539" i="1"/>
  <c r="AZ539" i="1" s="1"/>
  <c r="Q216" i="3" s="1"/>
  <c r="BB509" i="1"/>
  <c r="AZ509" i="1" s="1"/>
  <c r="Q128" i="3" s="1"/>
  <c r="BB38" i="1"/>
  <c r="AZ38" i="1" s="1"/>
  <c r="BB349" i="1"/>
  <c r="AZ349" i="1" s="1"/>
  <c r="Q1131" i="3" s="1"/>
  <c r="BB439" i="1"/>
  <c r="AZ439" i="1" s="1"/>
  <c r="Q891" i="3" s="1"/>
  <c r="BB164" i="1"/>
  <c r="AZ164" i="1" s="1"/>
  <c r="BB290" i="1"/>
  <c r="AZ290" i="1" s="1"/>
  <c r="BB586" i="1"/>
  <c r="AZ586" i="1" s="1"/>
  <c r="Q89" i="3" s="1"/>
  <c r="BB642" i="1"/>
  <c r="AZ642" i="1" s="1"/>
  <c r="Q442" i="3" s="1"/>
  <c r="BB375" i="1"/>
  <c r="AZ375" i="1" s="1"/>
  <c r="BB241" i="1"/>
  <c r="AZ241" i="1" s="1"/>
  <c r="Q860" i="3" s="1"/>
  <c r="BB333" i="1"/>
  <c r="AZ333" i="1" s="1"/>
  <c r="Q898" i="3" s="1"/>
  <c r="BB353" i="1"/>
  <c r="AZ353" i="1" s="1"/>
  <c r="BB464" i="1"/>
  <c r="AZ464" i="1" s="1"/>
  <c r="BB432" i="1"/>
  <c r="AZ432" i="1" s="1"/>
  <c r="BB477" i="1"/>
  <c r="AZ477" i="1" s="1"/>
  <c r="BB20" i="1"/>
  <c r="AZ20" i="1" s="1"/>
  <c r="BB615" i="1"/>
  <c r="AZ615" i="1" s="1"/>
  <c r="Q500" i="3" s="1"/>
  <c r="BB251" i="1"/>
  <c r="AZ251" i="1" s="1"/>
  <c r="BB255" i="1"/>
  <c r="AZ255" i="1" s="1"/>
  <c r="BB199" i="1"/>
  <c r="AZ199" i="1" s="1"/>
  <c r="Q713" i="3" s="1"/>
  <c r="BB532" i="1"/>
  <c r="AZ532" i="1" s="1"/>
  <c r="Q67" i="3" s="1"/>
  <c r="BB654" i="1"/>
  <c r="AZ654" i="1" s="1"/>
  <c r="BB140" i="1"/>
  <c r="AZ140" i="1" s="1"/>
  <c r="BB161" i="1"/>
  <c r="AZ161" i="1" s="1"/>
  <c r="BB16" i="1"/>
  <c r="AZ16" i="1" s="1"/>
  <c r="BB607" i="1"/>
  <c r="AZ607" i="1" s="1"/>
  <c r="Q178" i="3" s="1"/>
  <c r="BB647" i="1"/>
  <c r="AZ647" i="1" s="1"/>
  <c r="BB15" i="1"/>
  <c r="AZ15" i="1" s="1"/>
  <c r="BB269" i="1"/>
  <c r="AZ269" i="1" s="1"/>
  <c r="BB631" i="1"/>
  <c r="AZ631" i="1" s="1"/>
  <c r="Q276" i="3" s="1"/>
  <c r="BB352" i="1"/>
  <c r="AZ352" i="1" s="1"/>
  <c r="BB725" i="1"/>
  <c r="AZ725" i="1" s="1"/>
  <c r="Q856" i="3" s="1"/>
  <c r="BB22" i="1"/>
  <c r="AZ22" i="1" s="1"/>
  <c r="Q1223" i="3" s="1"/>
  <c r="BB47" i="1"/>
  <c r="AZ47" i="1" s="1"/>
  <c r="BB277" i="1"/>
  <c r="AZ277" i="1" s="1"/>
  <c r="BB244" i="1"/>
  <c r="AZ244" i="1" s="1"/>
  <c r="Q755" i="3" s="1"/>
  <c r="BB170" i="1"/>
  <c r="AZ170" i="1" s="1"/>
  <c r="BB754" i="1"/>
  <c r="AZ754" i="1" s="1"/>
  <c r="Q562" i="3" s="1"/>
  <c r="BB149" i="1"/>
  <c r="AZ149" i="1" s="1"/>
  <c r="BB450" i="1"/>
  <c r="AZ450" i="1" s="1"/>
  <c r="BB152" i="1"/>
  <c r="AZ152" i="1" s="1"/>
  <c r="BB452" i="1"/>
  <c r="AZ452" i="1" s="1"/>
  <c r="BB653" i="1"/>
  <c r="AZ653" i="1" s="1"/>
  <c r="Q259" i="3" s="1"/>
  <c r="BB547" i="1"/>
  <c r="AZ547" i="1" s="1"/>
  <c r="Q175" i="3" s="1"/>
  <c r="BB572" i="1"/>
  <c r="AZ572" i="1" s="1"/>
  <c r="Q281" i="3" s="1"/>
  <c r="BB146" i="1"/>
  <c r="AZ146" i="1" s="1"/>
  <c r="BB29" i="1"/>
  <c r="AZ29" i="1" s="1"/>
  <c r="BB32" i="1"/>
  <c r="AZ32" i="1" s="1"/>
  <c r="BB63" i="1"/>
  <c r="AZ63" i="1" s="1"/>
  <c r="BB557" i="1"/>
  <c r="AZ557" i="1" s="1"/>
  <c r="Q312" i="3" s="1"/>
  <c r="BB64" i="1"/>
  <c r="AZ64" i="1" s="1"/>
  <c r="Q1193" i="3" s="1"/>
  <c r="BB598" i="1"/>
  <c r="AZ598" i="1" s="1"/>
  <c r="Q516" i="3" s="1"/>
  <c r="BB603" i="1"/>
  <c r="AZ603" i="1" s="1"/>
  <c r="Q148" i="3" s="1"/>
  <c r="BB67" i="1"/>
  <c r="AZ67" i="1" s="1"/>
  <c r="Q1224" i="3" s="1"/>
  <c r="BB39" i="1"/>
  <c r="AZ39" i="1" s="1"/>
  <c r="Q1230" i="3" s="1"/>
  <c r="BB507" i="1"/>
  <c r="AZ507" i="1" s="1"/>
  <c r="Q22" i="3" s="1"/>
  <c r="BB26" i="1"/>
  <c r="AZ26" i="1" s="1"/>
  <c r="BB524" i="1"/>
  <c r="AZ524" i="1" s="1"/>
  <c r="Q170" i="3" s="1"/>
  <c r="BB510" i="1"/>
  <c r="AZ510" i="1" s="1"/>
  <c r="Q9" i="3" s="1"/>
  <c r="BB40" i="1"/>
  <c r="AZ40" i="1" s="1"/>
  <c r="AV1" i="2"/>
  <c r="Q884" i="3" l="1"/>
  <c r="Q857" i="3"/>
  <c r="Q985" i="3"/>
  <c r="Q1109" i="3"/>
  <c r="Q678" i="3"/>
  <c r="Q1029" i="3"/>
  <c r="Q932" i="3"/>
  <c r="Q210" i="3"/>
  <c r="Q353" i="3"/>
  <c r="Q834" i="3"/>
  <c r="Q1092" i="3"/>
  <c r="Q780" i="3"/>
  <c r="Q930" i="3"/>
  <c r="Q768" i="3"/>
  <c r="Q879" i="3"/>
  <c r="Q941" i="3"/>
  <c r="Q846" i="3"/>
  <c r="Q1187" i="3"/>
  <c r="Q999" i="3"/>
  <c r="Q1200" i="3"/>
  <c r="Q152" i="3"/>
  <c r="Q806" i="3"/>
  <c r="Q307" i="3"/>
  <c r="Q982" i="3"/>
  <c r="Q878" i="3"/>
  <c r="Q1124" i="3"/>
  <c r="Q912" i="3"/>
  <c r="Q400" i="3"/>
  <c r="Q413" i="3"/>
  <c r="Q659" i="3"/>
  <c r="Q1101" i="3"/>
  <c r="Q1259" i="3"/>
  <c r="Q954" i="3"/>
  <c r="Q994" i="3"/>
  <c r="Q987" i="3"/>
  <c r="Q574" i="3"/>
  <c r="Q723" i="3"/>
  <c r="Q1027" i="3"/>
  <c r="Q204" i="3"/>
  <c r="Q909" i="3"/>
  <c r="Q1258" i="3"/>
  <c r="Q816" i="3"/>
  <c r="Q625" i="3"/>
  <c r="Q1062" i="3"/>
  <c r="Q1284" i="3"/>
  <c r="Q830" i="3"/>
  <c r="Q544" i="3"/>
  <c r="Q667" i="3"/>
  <c r="Q513" i="3"/>
  <c r="Q1016" i="3"/>
  <c r="Q549" i="3"/>
  <c r="Q1198" i="3"/>
  <c r="Q11" i="3"/>
  <c r="Q794" i="3"/>
  <c r="Q236" i="3"/>
  <c r="Q639" i="3"/>
  <c r="Q376" i="3"/>
  <c r="Q935" i="3"/>
  <c r="Q587" i="3"/>
  <c r="Q877" i="3"/>
  <c r="Q1033" i="3"/>
  <c r="Q195" i="3"/>
  <c r="Q635" i="3"/>
  <c r="Q998" i="3"/>
  <c r="Q1197" i="3"/>
  <c r="Q1239" i="3"/>
  <c r="Q404" i="3"/>
  <c r="Q1208" i="3"/>
  <c r="Q25" i="3"/>
  <c r="Q863" i="3"/>
  <c r="Q948" i="3"/>
  <c r="Q914" i="3"/>
  <c r="Q58" i="3"/>
  <c r="Q1241" i="3"/>
  <c r="Q699" i="3"/>
  <c r="Q250" i="3"/>
  <c r="Q176" i="3"/>
  <c r="Q807" i="3"/>
  <c r="Q881" i="3"/>
  <c r="Q842" i="3"/>
  <c r="Q742" i="3"/>
  <c r="Q705" i="3"/>
  <c r="Q886" i="3"/>
  <c r="Q502" i="3"/>
  <c r="Q990" i="3"/>
  <c r="Q526" i="3"/>
  <c r="Q988" i="3"/>
  <c r="Q720" i="3"/>
  <c r="Q14" i="3"/>
  <c r="Q818" i="3"/>
  <c r="Q1046" i="3"/>
  <c r="Q110" i="3"/>
  <c r="Q509" i="3"/>
  <c r="Q536" i="3"/>
  <c r="Q714" i="3"/>
  <c r="Q1082" i="3"/>
  <c r="Q534" i="3"/>
  <c r="Q631" i="3"/>
  <c r="Q1006" i="3"/>
  <c r="Q688" i="3"/>
  <c r="Q736" i="3"/>
  <c r="Q1257" i="3"/>
  <c r="Q1201" i="3"/>
  <c r="Q10" i="3"/>
  <c r="Q835" i="3"/>
  <c r="Q1007" i="3"/>
  <c r="Q1164" i="3"/>
  <c r="Q895" i="3"/>
  <c r="Q893" i="3"/>
  <c r="Q745" i="3"/>
  <c r="Q1286" i="3"/>
  <c r="Q1012" i="3"/>
  <c r="Q627" i="3"/>
  <c r="Q530" i="3"/>
  <c r="Q611" i="3"/>
  <c r="Q1264" i="3"/>
  <c r="Q866" i="3"/>
  <c r="Q712" i="3"/>
  <c r="Q783" i="3"/>
  <c r="Q644" i="3"/>
  <c r="Q63" i="3"/>
  <c r="Q855" i="3"/>
  <c r="Q702" i="3"/>
  <c r="Q799" i="3"/>
  <c r="Q613" i="3"/>
  <c r="Q903" i="3"/>
  <c r="Q266" i="3"/>
  <c r="Q849" i="3"/>
  <c r="Q1270" i="3"/>
  <c r="Q247" i="3"/>
  <c r="Q256" i="3"/>
  <c r="Q638" i="3"/>
  <c r="Q1184" i="3"/>
  <c r="Q6" i="3"/>
  <c r="Q5" i="3"/>
  <c r="Q213" i="3"/>
  <c r="Q656" i="3"/>
  <c r="Q31" i="3"/>
  <c r="Q959" i="3"/>
  <c r="Q84" i="3"/>
  <c r="Q1048" i="3"/>
  <c r="Q911" i="3"/>
  <c r="Q832" i="3"/>
  <c r="Q874" i="3"/>
  <c r="Q670" i="3"/>
  <c r="Q1245" i="3"/>
  <c r="Q739" i="3"/>
  <c r="Q1204" i="3"/>
  <c r="Q744" i="3"/>
  <c r="Q1185" i="3"/>
  <c r="Q8" i="3"/>
  <c r="Q650" i="3"/>
  <c r="Q139" i="3"/>
  <c r="Q707" i="3"/>
  <c r="Q601" i="3"/>
  <c r="Q1017" i="3"/>
  <c r="Q1130" i="3"/>
  <c r="Q1260" i="3"/>
  <c r="Q218" i="3"/>
  <c r="Q694" i="3"/>
  <c r="Q1086" i="3"/>
  <c r="Q1196" i="3"/>
  <c r="Q764" i="3"/>
  <c r="Q953" i="3"/>
  <c r="Q437" i="3"/>
  <c r="Q243" i="3"/>
  <c r="Q963" i="3"/>
  <c r="Q496" i="3"/>
  <c r="Q669" i="3"/>
  <c r="Q901" i="3"/>
  <c r="Q1050" i="3"/>
  <c r="Q785" i="3"/>
  <c r="Q871" i="3"/>
  <c r="Q651" i="3"/>
  <c r="Q1041" i="3"/>
  <c r="Q43" i="3"/>
  <c r="Q541" i="3"/>
  <c r="Q966" i="3"/>
  <c r="Q617" i="3"/>
  <c r="Q668" i="3"/>
  <c r="Q992" i="3"/>
  <c r="Q1015" i="3"/>
  <c r="Q1254" i="3"/>
  <c r="Q1152" i="3"/>
  <c r="Q425" i="3"/>
  <c r="Q840" i="3"/>
  <c r="Q795" i="3"/>
  <c r="Q206" i="3"/>
  <c r="Q29" i="3"/>
  <c r="Q596" i="3"/>
  <c r="Q762" i="3"/>
  <c r="Q845" i="3"/>
  <c r="Q693" i="3"/>
  <c r="Q819" i="3"/>
  <c r="Q722" i="3"/>
  <c r="Q752" i="3"/>
  <c r="Q579" i="3"/>
  <c r="Q546" i="3"/>
  <c r="Q211" i="3"/>
  <c r="Q826" i="3"/>
  <c r="Q919" i="3"/>
  <c r="Q813" i="3"/>
  <c r="Q1194" i="3"/>
  <c r="Q851" i="3"/>
  <c r="Q974" i="3"/>
  <c r="Q1281" i="3"/>
  <c r="Q1183" i="3"/>
  <c r="Q1000" i="3"/>
  <c r="Q1097" i="3"/>
  <c r="Q533" i="3"/>
  <c r="Q165" i="3"/>
  <c r="AD838" i="3"/>
  <c r="AD1019" i="3"/>
  <c r="AD1095" i="3"/>
  <c r="AD1369" i="3"/>
  <c r="AD1363" i="3"/>
  <c r="AD1225" i="3"/>
  <c r="AD1339" i="3"/>
  <c r="AD1385" i="3"/>
  <c r="AD415" i="3"/>
  <c r="AD675" i="3"/>
  <c r="AD504" i="3"/>
  <c r="AD960" i="3"/>
  <c r="AD487" i="3"/>
  <c r="AD468" i="3"/>
  <c r="AD1210" i="3"/>
  <c r="AD350" i="3"/>
  <c r="AD1323" i="3"/>
  <c r="AD1054" i="3"/>
  <c r="AD820" i="3"/>
  <c r="AD270" i="3"/>
  <c r="AD338" i="3"/>
  <c r="AD724" i="3"/>
  <c r="AD383" i="3"/>
  <c r="AD1217" i="3"/>
  <c r="AD249" i="3"/>
  <c r="AD1535" i="3"/>
  <c r="AD1228" i="3"/>
  <c r="AD1316" i="3"/>
  <c r="AD1449" i="3"/>
  <c r="AD829" i="3"/>
  <c r="AD1098" i="3"/>
  <c r="AD458" i="3"/>
  <c r="AD1226" i="3"/>
  <c r="AD880" i="3"/>
  <c r="AD1533" i="3"/>
  <c r="AD1289" i="3"/>
  <c r="AD414" i="3"/>
  <c r="AD559" i="3"/>
  <c r="AD1353" i="3"/>
  <c r="AD573" i="3"/>
  <c r="AD1424" i="3"/>
  <c r="AD56" i="3"/>
  <c r="AD594" i="3"/>
  <c r="AD1489" i="3"/>
  <c r="AD1127" i="3"/>
  <c r="AD1032" i="3"/>
  <c r="AD1141" i="3"/>
  <c r="AD471" i="3"/>
  <c r="AD704" i="3"/>
  <c r="AD1021" i="3"/>
  <c r="AD374" i="3"/>
  <c r="AD1462" i="3"/>
  <c r="AD583" i="3"/>
  <c r="AD427" i="3"/>
  <c r="AD538" i="3"/>
  <c r="AD1351" i="3"/>
  <c r="AD1414" i="3"/>
  <c r="AD508" i="3"/>
  <c r="AD906" i="3"/>
  <c r="AD1411" i="3"/>
  <c r="AD119" i="3"/>
  <c r="AD217" i="3"/>
  <c r="AD145" i="3"/>
  <c r="AD505" i="3"/>
  <c r="AD189" i="3"/>
  <c r="AD606" i="3"/>
  <c r="AD1163" i="3"/>
  <c r="AD758" i="3"/>
  <c r="AD847" i="3"/>
  <c r="AD711" i="3"/>
  <c r="AD466" i="3"/>
  <c r="AD791" i="3"/>
  <c r="AD493" i="3"/>
  <c r="AD569" i="3"/>
  <c r="AD1499" i="3"/>
  <c r="AD983" i="3"/>
  <c r="AD733" i="3"/>
  <c r="AD1526" i="3"/>
  <c r="AD1287" i="3"/>
  <c r="AD961" i="3"/>
  <c r="AD1442" i="3"/>
  <c r="AD423" i="3"/>
  <c r="AD1493" i="3"/>
  <c r="AD1319" i="3"/>
  <c r="AD1459" i="3"/>
  <c r="AD1125" i="3"/>
  <c r="AD813" i="3"/>
  <c r="AD420" i="3"/>
  <c r="AD1401" i="3"/>
  <c r="AD1192" i="3"/>
  <c r="AD1245" i="3"/>
  <c r="AD368" i="3"/>
  <c r="AD816" i="3"/>
  <c r="AX70" i="1"/>
  <c r="AX25" i="1"/>
  <c r="AX10" i="1"/>
  <c r="AS626" i="2"/>
  <c r="AD69" i="3" l="1"/>
  <c r="AD1475" i="3"/>
  <c r="AD929" i="3"/>
  <c r="AD1382" i="3"/>
  <c r="AD1543" i="3"/>
  <c r="AD1486" i="3"/>
  <c r="AD223" i="3"/>
  <c r="AD1191" i="3"/>
  <c r="AD1075" i="3"/>
  <c r="AD61" i="3"/>
  <c r="AD866" i="3"/>
  <c r="AD408" i="3"/>
  <c r="AD592" i="3"/>
  <c r="AD474" i="3"/>
  <c r="AD1487" i="3"/>
  <c r="AD1033" i="3"/>
  <c r="AD167" i="3"/>
  <c r="AD1129" i="3"/>
  <c r="AD23" i="3"/>
  <c r="AD238" i="3"/>
  <c r="AD648" i="3"/>
  <c r="AD1195" i="3"/>
  <c r="AD1453" i="3"/>
  <c r="AD182" i="3"/>
  <c r="AD565" i="3"/>
  <c r="AD894" i="3"/>
  <c r="AD113" i="3"/>
  <c r="AD1042" i="3"/>
  <c r="AU3" i="2"/>
  <c r="AW414" i="2" l="1"/>
  <c r="AW494" i="2"/>
  <c r="AW218" i="2"/>
  <c r="AW9" i="2"/>
  <c r="AW522" i="2"/>
  <c r="AW626" i="2"/>
  <c r="AW276" i="2"/>
  <c r="AW117" i="2"/>
  <c r="AW444" i="2"/>
  <c r="AD575" i="3" l="1"/>
  <c r="AD1300" i="3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258" i="3" l="1"/>
  <c r="AY70" i="1"/>
  <c r="AW70" i="1"/>
  <c r="AU70" i="1"/>
  <c r="AY10" i="1"/>
  <c r="AW10" i="1"/>
  <c r="AU10" i="1"/>
  <c r="AY25" i="1"/>
  <c r="AW25" i="1"/>
  <c r="AU25" i="1"/>
  <c r="BB70" i="1" l="1"/>
  <c r="BB10" i="1"/>
  <c r="BB25" i="1"/>
  <c r="AD439" i="3" l="1"/>
  <c r="AD1541" i="3"/>
  <c r="AD190" i="3"/>
  <c r="AD1294" i="3"/>
  <c r="AD602" i="3"/>
  <c r="AD360" i="3"/>
  <c r="AD1139" i="3"/>
  <c r="AD1248" i="3"/>
  <c r="AD1028" i="3"/>
  <c r="AD770" i="3"/>
  <c r="AD908" i="3"/>
  <c r="AD1519" i="3"/>
  <c r="AD1337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507" i="2" l="1"/>
  <c r="AW403" i="2"/>
  <c r="AW577" i="2"/>
  <c r="AW112" i="2"/>
  <c r="H29" i="10"/>
  <c r="AW240" i="2" l="1"/>
  <c r="AW295" i="2"/>
  <c r="AW677" i="2"/>
  <c r="AW655" i="2"/>
  <c r="AW467" i="2"/>
  <c r="AW593" i="2"/>
  <c r="AW40" i="2"/>
  <c r="AW474" i="2"/>
  <c r="AW345" i="2"/>
  <c r="AW652" i="2"/>
  <c r="AW14" i="2"/>
  <c r="AW503" i="2"/>
  <c r="AW299" i="2"/>
  <c r="AW310" i="2"/>
  <c r="AW390" i="2"/>
  <c r="AW16" i="2"/>
  <c r="AW728" i="2"/>
  <c r="AW98" i="2"/>
  <c r="AW254" i="2"/>
  <c r="AW87" i="2"/>
  <c r="AW173" i="2"/>
  <c r="AW281" i="2"/>
  <c r="AW164" i="2"/>
  <c r="AW10" i="2"/>
  <c r="AW454" i="2"/>
  <c r="AW475" i="2"/>
  <c r="AW436" i="2"/>
  <c r="AW703" i="2"/>
  <c r="AW176" i="2"/>
  <c r="AW607" i="2"/>
  <c r="AW706" i="2"/>
  <c r="AW25" i="2"/>
  <c r="AW651" i="2"/>
  <c r="AW303" i="2"/>
  <c r="AW374" i="2"/>
  <c r="AW476" i="2"/>
  <c r="AW488" i="2"/>
  <c r="AW477" i="2"/>
  <c r="AW31" i="2"/>
  <c r="AW46" i="2"/>
  <c r="AW461" i="2"/>
  <c r="AW34" i="2"/>
  <c r="AW553" i="2"/>
  <c r="AW296" i="2"/>
  <c r="AW571" i="2"/>
  <c r="AW202" i="2"/>
  <c r="AW245" i="2"/>
  <c r="AW523" i="2"/>
  <c r="AW709" i="2"/>
  <c r="AW105" i="2"/>
  <c r="AW147" i="2"/>
  <c r="AW56" i="2"/>
  <c r="AW563" i="2"/>
  <c r="AW246" i="2"/>
  <c r="AW175" i="2"/>
  <c r="AW482" i="2"/>
  <c r="AW55" i="2"/>
  <c r="AW265" i="2"/>
  <c r="AW605" i="2"/>
  <c r="AW123" i="2"/>
  <c r="AW479" i="2"/>
  <c r="AW44" i="2"/>
  <c r="AW17" i="2"/>
  <c r="AW425" i="2"/>
  <c r="AW183" i="2"/>
  <c r="AW602" i="2"/>
  <c r="AW90" i="2"/>
  <c r="AW156" i="2"/>
  <c r="AW163" i="2"/>
  <c r="AW93" i="2"/>
  <c r="AW565" i="2"/>
  <c r="AW204" i="2"/>
  <c r="AW197" i="2"/>
  <c r="AW458" i="2"/>
  <c r="AW396" i="2"/>
  <c r="AW214" i="2"/>
  <c r="AW91" i="2"/>
  <c r="AW410" i="2"/>
  <c r="AW300" i="2"/>
  <c r="AW661" i="2"/>
  <c r="AW188" i="2"/>
  <c r="AW152" i="2"/>
  <c r="AW633" i="2"/>
  <c r="AW468" i="2"/>
  <c r="AW20" i="2"/>
  <c r="AW562" i="2"/>
  <c r="AW50" i="2"/>
  <c r="AW536" i="2"/>
  <c r="AW136" i="2"/>
  <c r="AW323" i="2"/>
  <c r="AW527" i="2"/>
  <c r="AW48" i="2"/>
  <c r="AW66" i="2"/>
  <c r="AW478" i="2"/>
  <c r="AW630" i="2"/>
  <c r="AW719" i="2"/>
  <c r="AW234" i="2"/>
  <c r="AW84" i="2"/>
  <c r="AW285" i="2"/>
  <c r="AW301" i="2"/>
  <c r="AW685" i="2"/>
  <c r="AW492" i="2"/>
  <c r="AW338" i="2"/>
  <c r="AW39" i="2"/>
  <c r="AW192" i="2"/>
  <c r="AW716" i="2"/>
  <c r="AW209" i="2"/>
  <c r="AW222" i="2"/>
  <c r="AW389" i="2"/>
  <c r="AW119" i="2"/>
  <c r="AW168" i="2"/>
  <c r="AW131" i="2"/>
  <c r="AW313" i="2"/>
  <c r="AW194" i="2"/>
  <c r="AW463" i="2"/>
  <c r="AW666" i="2"/>
  <c r="AW242" i="2"/>
  <c r="AW357" i="2"/>
  <c r="AW223" i="2"/>
  <c r="AW236" i="2"/>
  <c r="AW237" i="2"/>
  <c r="AW19" i="2"/>
  <c r="AW315" i="2"/>
  <c r="AW735" i="2"/>
  <c r="AW687" i="2"/>
  <c r="AW753" i="2"/>
  <c r="AW258" i="2"/>
  <c r="AW127" i="2"/>
  <c r="AW101" i="2"/>
  <c r="AW724" i="2"/>
  <c r="AW756" i="2"/>
  <c r="AW292" i="2"/>
  <c r="AW695" i="2"/>
  <c r="AW312" i="2"/>
  <c r="AW469" i="2"/>
  <c r="AW487" i="2"/>
  <c r="AW184" i="2"/>
  <c r="AW62" i="2"/>
  <c r="AW286" i="2"/>
  <c r="AW586" i="2"/>
  <c r="AW221" i="2"/>
  <c r="AW406" i="2"/>
  <c r="AW179" i="2"/>
  <c r="AW37" i="2"/>
  <c r="AW601" i="2"/>
  <c r="AW85" i="2"/>
  <c r="AW472" i="2"/>
  <c r="AW42" i="2"/>
  <c r="AW71" i="2"/>
  <c r="AW268" i="2"/>
  <c r="AW144" i="2"/>
  <c r="AW462" i="2"/>
  <c r="AW36" i="2"/>
  <c r="AW121" i="2"/>
  <c r="AW273" i="2"/>
  <c r="AW113" i="2"/>
  <c r="AW5" i="2"/>
  <c r="AW251" i="2"/>
  <c r="AW99" i="2"/>
  <c r="AW638" i="2"/>
  <c r="AW516" i="2"/>
  <c r="AW480" i="2"/>
  <c r="AW617" i="2"/>
  <c r="AW326" i="2"/>
  <c r="AW445" i="2"/>
  <c r="AW590" i="2"/>
  <c r="AW640" i="2"/>
  <c r="AW524" i="2"/>
  <c r="AW555" i="2"/>
  <c r="AW217" i="2"/>
  <c r="AW623" i="2"/>
  <c r="AW352" i="2"/>
  <c r="AW294" i="2"/>
  <c r="AW262" i="2"/>
  <c r="AW70" i="2"/>
  <c r="AW657" i="2"/>
  <c r="AW226" i="2"/>
  <c r="AW714" i="2"/>
  <c r="AW631" i="2"/>
  <c r="AW74" i="2"/>
  <c r="AW511" i="2"/>
  <c r="AW498" i="2"/>
  <c r="AW335" i="2"/>
  <c r="AW373" i="2"/>
  <c r="AW346" i="2"/>
  <c r="AW126" i="2"/>
  <c r="AW491" i="2"/>
  <c r="AW371" i="2"/>
  <c r="AW198" i="2"/>
  <c r="AW32" i="2"/>
  <c r="AW600" i="2"/>
  <c r="AW267" i="2"/>
  <c r="AW107" i="2"/>
  <c r="AW525" i="2"/>
  <c r="AW526" i="2"/>
  <c r="AW324" i="2"/>
  <c r="AW391" i="2"/>
  <c r="AW402" i="2"/>
  <c r="AW167" i="2"/>
  <c r="AW573" i="2"/>
  <c r="AW196" i="2"/>
  <c r="AW282" i="2"/>
  <c r="AW634" i="2"/>
  <c r="AW583" i="2"/>
  <c r="AW420" i="2"/>
  <c r="AW259" i="2"/>
  <c r="AW233" i="2"/>
  <c r="AW78" i="2"/>
  <c r="AW257" i="2"/>
  <c r="AW114" i="2"/>
  <c r="AW83" i="2"/>
  <c r="AW125" i="2"/>
  <c r="AW674" i="2"/>
  <c r="AW178" i="2"/>
  <c r="AW739" i="2"/>
  <c r="AW732" i="2"/>
  <c r="AW64" i="2"/>
  <c r="AW738" i="2"/>
  <c r="AW65" i="2"/>
  <c r="AW501" i="2"/>
  <c r="AW47" i="2"/>
  <c r="AW690" i="2"/>
  <c r="AW88" i="2"/>
  <c r="AW513" i="2"/>
  <c r="AW7" i="2"/>
  <c r="AW248" i="2"/>
  <c r="AW662" i="2"/>
  <c r="AW231" i="2"/>
  <c r="AW518" i="2"/>
  <c r="AW172" i="2"/>
  <c r="AW277" i="2"/>
  <c r="AW455" i="2"/>
  <c r="AW80" i="2"/>
  <c r="AW76" i="2"/>
  <c r="AW604" i="2"/>
  <c r="AW521" i="2"/>
  <c r="AW244" i="2"/>
  <c r="AW558" i="2"/>
  <c r="AW432" i="2"/>
  <c r="AW51" i="2"/>
  <c r="AW363" i="2"/>
  <c r="AW235" i="2"/>
  <c r="AW182" i="2"/>
  <c r="AW457" i="2"/>
  <c r="AW63" i="2"/>
  <c r="AW190" i="2"/>
  <c r="AW108" i="2"/>
  <c r="AW256" i="2"/>
  <c r="AW53" i="2"/>
  <c r="AW148" i="2"/>
  <c r="AW22" i="2"/>
  <c r="AW647" i="2"/>
  <c r="AW365" i="2"/>
  <c r="AW49" i="2"/>
  <c r="AW544" i="2"/>
  <c r="AW95" i="2"/>
  <c r="AW383" i="2"/>
  <c r="AW341" i="2"/>
  <c r="AW8" i="2"/>
  <c r="AW381" i="2"/>
  <c r="AW490" i="2"/>
  <c r="AW69" i="2"/>
  <c r="AW118" i="2"/>
  <c r="AW291" i="2"/>
  <c r="AW545" i="2"/>
  <c r="AW205" i="2"/>
  <c r="AW288" i="2"/>
  <c r="AW575" i="2"/>
  <c r="AW309" i="2"/>
  <c r="AW339" i="2"/>
  <c r="AW171" i="2"/>
  <c r="AW263" i="2"/>
  <c r="AW155" i="2"/>
  <c r="AW369" i="2"/>
  <c r="AW413" i="2"/>
  <c r="AW13" i="2"/>
  <c r="AW111" i="2"/>
  <c r="AW186" i="2"/>
  <c r="AW97" i="2"/>
  <c r="AW561" i="2"/>
  <c r="AW75" i="2"/>
  <c r="AW356" i="2"/>
  <c r="AW588" i="2"/>
  <c r="AW639" i="2"/>
  <c r="AW342" i="2"/>
  <c r="AW305" i="2"/>
  <c r="AW177" i="2"/>
  <c r="AW200" i="2"/>
  <c r="AW82" i="2"/>
  <c r="AW471" i="2"/>
  <c r="AW68" i="2"/>
  <c r="AW495" i="2"/>
  <c r="AW392" i="2"/>
  <c r="AW441" i="2"/>
  <c r="AW442" i="2"/>
  <c r="AW145" i="2"/>
  <c r="AW215" i="2"/>
  <c r="AW193" i="2"/>
  <c r="AW81" i="2"/>
  <c r="AW456" i="2"/>
  <c r="AW584" i="2"/>
  <c r="AW496" i="2"/>
  <c r="AW266" i="2"/>
  <c r="AW59" i="2"/>
  <c r="AW206" i="2"/>
  <c r="AW734" i="2"/>
  <c r="AW327" i="2"/>
  <c r="AW247" i="2"/>
  <c r="AW149" i="2"/>
  <c r="AW79" i="2"/>
  <c r="AW547" i="2"/>
  <c r="AW540" i="2"/>
  <c r="AW566" i="2"/>
  <c r="AW609" i="2"/>
  <c r="AW6" i="2"/>
  <c r="AW712" i="2"/>
  <c r="AW272" i="2"/>
  <c r="AW142" i="2"/>
  <c r="AW26" i="2"/>
  <c r="AW154" i="2"/>
  <c r="AW407" i="2"/>
  <c r="AW23" i="2"/>
  <c r="AW203" i="2"/>
  <c r="AW211" i="2"/>
  <c r="AW283" i="2"/>
  <c r="AW717" i="2"/>
  <c r="AW435" i="2"/>
  <c r="AW430" i="2"/>
  <c r="AW464" i="2"/>
  <c r="AW421" i="2"/>
  <c r="AW533" i="2"/>
  <c r="AW433" i="2"/>
  <c r="AW133" i="2"/>
  <c r="AW615" i="2"/>
  <c r="AW278" i="2"/>
  <c r="AW322" i="2"/>
  <c r="AW304" i="2"/>
  <c r="AW230" i="2"/>
  <c r="AW556" i="2"/>
  <c r="AW318" i="2"/>
  <c r="AW424" i="2"/>
  <c r="AW120" i="2"/>
  <c r="AW330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AO3" i="2"/>
  <c r="P3" i="2"/>
  <c r="O3" i="2"/>
  <c r="N3" i="2"/>
  <c r="M3" i="2"/>
  <c r="L3" i="2"/>
  <c r="M3" i="1"/>
  <c r="L3" i="1"/>
  <c r="AM714" i="2" l="1"/>
  <c r="AM700" i="2"/>
  <c r="AM647" i="2"/>
  <c r="AM623" i="2"/>
  <c r="AM712" i="2"/>
  <c r="AM656" i="2"/>
  <c r="AM633" i="2"/>
  <c r="AM617" i="2"/>
  <c r="AM562" i="2"/>
  <c r="AM522" i="2"/>
  <c r="AM501" i="2"/>
  <c r="AM455" i="2"/>
  <c r="AM441" i="2"/>
  <c r="AM417" i="2"/>
  <c r="AM400" i="2"/>
  <c r="AM389" i="2"/>
  <c r="AM352" i="2"/>
  <c r="AM279" i="2"/>
  <c r="AM399" i="2"/>
  <c r="AM238" i="2"/>
  <c r="AM199" i="2"/>
  <c r="AM194" i="2"/>
  <c r="AM190" i="2"/>
  <c r="AM86" i="2"/>
  <c r="AM167" i="2"/>
  <c r="AM163" i="2"/>
  <c r="AM149" i="2"/>
  <c r="AM123" i="2"/>
  <c r="AM82" i="2"/>
  <c r="AM337" i="2"/>
  <c r="AM319" i="2"/>
  <c r="AM165" i="2"/>
  <c r="AM219" i="2"/>
  <c r="AM48" i="2"/>
  <c r="AM640" i="2"/>
  <c r="AM519" i="2"/>
  <c r="AM477" i="2"/>
  <c r="AM445" i="2"/>
  <c r="AM392" i="2"/>
  <c r="AM324" i="2"/>
  <c r="AM296" i="2"/>
  <c r="AM289" i="2"/>
  <c r="AM278" i="2"/>
  <c r="AM260" i="2"/>
  <c r="AM252" i="2"/>
  <c r="AM552" i="2"/>
  <c r="AM408" i="2"/>
  <c r="AM349" i="2"/>
  <c r="AM548" i="2"/>
  <c r="AM667" i="2"/>
  <c r="AM646" i="2"/>
  <c r="AM692" i="2"/>
  <c r="AM576" i="2"/>
  <c r="AM166" i="2"/>
  <c r="AM201" i="2"/>
  <c r="AM653" i="2"/>
  <c r="AM663" i="2"/>
  <c r="AM168" i="2"/>
  <c r="AM142" i="2"/>
  <c r="AM131" i="2"/>
  <c r="AM117" i="2"/>
  <c r="AM98" i="2"/>
  <c r="AM81" i="2"/>
  <c r="AM159" i="2"/>
  <c r="AM160" i="2"/>
  <c r="AM69" i="2"/>
  <c r="AM66" i="2"/>
  <c r="AM212" i="2"/>
  <c r="AM320" i="2"/>
  <c r="AM250" i="2"/>
  <c r="AM415" i="2"/>
  <c r="AM92" i="2"/>
  <c r="AM39" i="2"/>
  <c r="AM25" i="2"/>
  <c r="AM13" i="2"/>
  <c r="AM639" i="2"/>
  <c r="AM601" i="2"/>
  <c r="AM593" i="2"/>
  <c r="AN633" i="2"/>
  <c r="AN551" i="2"/>
  <c r="AM513" i="2"/>
  <c r="AN417" i="2"/>
  <c r="AN307" i="2"/>
  <c r="AM248" i="2"/>
  <c r="AN194" i="2"/>
  <c r="AN164" i="2"/>
  <c r="AM161" i="2"/>
  <c r="AN337" i="2"/>
  <c r="AN54" i="2"/>
  <c r="AM42" i="2"/>
  <c r="AN640" i="2"/>
  <c r="AN430" i="2"/>
  <c r="AM336" i="2"/>
  <c r="AN278" i="2"/>
  <c r="AN225" i="2"/>
  <c r="AM764" i="2"/>
  <c r="AN646" i="2"/>
  <c r="AN204" i="2"/>
  <c r="AM30" i="2"/>
  <c r="AN142" i="2"/>
  <c r="AN97" i="2"/>
  <c r="AM71" i="2"/>
  <c r="AN66" i="2"/>
  <c r="AN33" i="2"/>
  <c r="AM110" i="2"/>
  <c r="AN13" i="2"/>
  <c r="AN575" i="2"/>
  <c r="AN561" i="2"/>
  <c r="AN525" i="2"/>
  <c r="AN510" i="2"/>
  <c r="AN491" i="2"/>
  <c r="AN468" i="2"/>
  <c r="AN435" i="2"/>
  <c r="AN432" i="2"/>
  <c r="AN379" i="2"/>
  <c r="AN339" i="2"/>
  <c r="AN316" i="2"/>
  <c r="AN292" i="2"/>
  <c r="AN288" i="2"/>
  <c r="AN277" i="2"/>
  <c r="AN270" i="2"/>
  <c r="AN265" i="2"/>
  <c r="AN242" i="2"/>
  <c r="AN226" i="2"/>
  <c r="AN214" i="2"/>
  <c r="AN450" i="2"/>
  <c r="AN582" i="2"/>
  <c r="AN397" i="2"/>
  <c r="AN209" i="2"/>
  <c r="AN189" i="2"/>
  <c r="AN636" i="2"/>
  <c r="AN179" i="2"/>
  <c r="AN150" i="2"/>
  <c r="AN111" i="2"/>
  <c r="AN91" i="2"/>
  <c r="AN80" i="2"/>
  <c r="AN76" i="2"/>
  <c r="AN72" i="2"/>
  <c r="AN401" i="2"/>
  <c r="AN368" i="2"/>
  <c r="AN128" i="2"/>
  <c r="AN138" i="2"/>
  <c r="AN384" i="2"/>
  <c r="AN94" i="2"/>
  <c r="AN124" i="2"/>
  <c r="AN328" i="2"/>
  <c r="AN61" i="2"/>
  <c r="AN35" i="2"/>
  <c r="AN26" i="2"/>
  <c r="AN18" i="2"/>
  <c r="AN6" i="2"/>
  <c r="AN544" i="2"/>
  <c r="AN496" i="2"/>
  <c r="AN484" i="2"/>
  <c r="AN451" i="2"/>
  <c r="AN347" i="2"/>
  <c r="AN312" i="2"/>
  <c r="AN299" i="2"/>
  <c r="AN262" i="2"/>
  <c r="AN489" i="2"/>
  <c r="AN714" i="2"/>
  <c r="AN565" i="2"/>
  <c r="AM551" i="2"/>
  <c r="AN441" i="2"/>
  <c r="AN363" i="2"/>
  <c r="AM307" i="2"/>
  <c r="AN199" i="2"/>
  <c r="AN176" i="2"/>
  <c r="AM164" i="2"/>
  <c r="AN82" i="2"/>
  <c r="AN535" i="2"/>
  <c r="AM54" i="2"/>
  <c r="AN446" i="2"/>
  <c r="AM430" i="2"/>
  <c r="AN289" i="2"/>
  <c r="AN234" i="2"/>
  <c r="AM225" i="2"/>
  <c r="AN667" i="2"/>
  <c r="AN228" i="2"/>
  <c r="AM204" i="2"/>
  <c r="AN168" i="2"/>
  <c r="AN115" i="2"/>
  <c r="AM97" i="2"/>
  <c r="AN69" i="2"/>
  <c r="AN460" i="2"/>
  <c r="AM33" i="2"/>
  <c r="AN25" i="2"/>
  <c r="AN600" i="2"/>
  <c r="AM575" i="2"/>
  <c r="AM561" i="2"/>
  <c r="AM525" i="2"/>
  <c r="AM510" i="2"/>
  <c r="AM491" i="2"/>
  <c r="AM468" i="2"/>
  <c r="AM435" i="2"/>
  <c r="AM432" i="2"/>
  <c r="AM379" i="2"/>
  <c r="AM339" i="2"/>
  <c r="AM316" i="2"/>
  <c r="AM292" i="2"/>
  <c r="AM288" i="2"/>
  <c r="AM277" i="2"/>
  <c r="AM270" i="2"/>
  <c r="AM265" i="2"/>
  <c r="AM242" i="2"/>
  <c r="AM226" i="2"/>
  <c r="AM214" i="2"/>
  <c r="AM450" i="2"/>
  <c r="AM582" i="2"/>
  <c r="AM397" i="2"/>
  <c r="AM209" i="2"/>
  <c r="AM189" i="2"/>
  <c r="AM636" i="2"/>
  <c r="AM179" i="2"/>
  <c r="AM150" i="2"/>
  <c r="AM111" i="2"/>
  <c r="AM91" i="2"/>
  <c r="AM80" i="2"/>
  <c r="AM76" i="2"/>
  <c r="AM72" i="2"/>
  <c r="AM401" i="2"/>
  <c r="AM368" i="2"/>
  <c r="AM128" i="2"/>
  <c r="AM138" i="2"/>
  <c r="AM384" i="2"/>
  <c r="AM94" i="2"/>
  <c r="AN656" i="2"/>
  <c r="AM565" i="2"/>
  <c r="AN455" i="2"/>
  <c r="AN390" i="2"/>
  <c r="AM363" i="2"/>
  <c r="AN238" i="2"/>
  <c r="AN512" i="2"/>
  <c r="AM176" i="2"/>
  <c r="AN123" i="2"/>
  <c r="AN229" i="2"/>
  <c r="AM535" i="2"/>
  <c r="AN478" i="2"/>
  <c r="AM446" i="2"/>
  <c r="AN296" i="2"/>
  <c r="AN257" i="2"/>
  <c r="AM234" i="2"/>
  <c r="AN548" i="2"/>
  <c r="AN682" i="2"/>
  <c r="AM228" i="2"/>
  <c r="AN663" i="2"/>
  <c r="AN126" i="2"/>
  <c r="AM115" i="2"/>
  <c r="AN160" i="2"/>
  <c r="AN57" i="2"/>
  <c r="AM460" i="2"/>
  <c r="AN39" i="2"/>
  <c r="AN607" i="2"/>
  <c r="AM600" i="2"/>
  <c r="AN623" i="2"/>
  <c r="AN501" i="2"/>
  <c r="AN411" i="2"/>
  <c r="AM390" i="2"/>
  <c r="AN399" i="2"/>
  <c r="AN193" i="2"/>
  <c r="AM512" i="2"/>
  <c r="AN149" i="2"/>
  <c r="AN625" i="2"/>
  <c r="AM229" i="2"/>
  <c r="AQ229" i="2" s="1"/>
  <c r="Q488" i="3" s="1"/>
  <c r="AN602" i="2"/>
  <c r="AM478" i="2"/>
  <c r="AN324" i="2"/>
  <c r="AN273" i="2"/>
  <c r="AM257" i="2"/>
  <c r="AN349" i="2"/>
  <c r="AN645" i="2"/>
  <c r="AM682" i="2"/>
  <c r="AN653" i="2"/>
  <c r="AN136" i="2"/>
  <c r="AM126" i="2"/>
  <c r="AN159" i="2"/>
  <c r="AN377" i="2"/>
  <c r="AM57" i="2"/>
  <c r="AN92" i="2"/>
  <c r="AN8" i="2"/>
  <c r="AM607" i="2"/>
  <c r="AN712" i="2"/>
  <c r="AN522" i="2"/>
  <c r="AN421" i="2"/>
  <c r="AM411" i="2"/>
  <c r="AN279" i="2"/>
  <c r="AN196" i="2"/>
  <c r="AM193" i="2"/>
  <c r="AN163" i="2"/>
  <c r="AN74" i="2"/>
  <c r="AM625" i="2"/>
  <c r="AN48" i="2"/>
  <c r="AM602" i="2"/>
  <c r="AN392" i="2"/>
  <c r="AN281" i="2"/>
  <c r="AM273" i="2"/>
  <c r="AN408" i="2"/>
  <c r="AN500" i="2"/>
  <c r="AM645" i="2"/>
  <c r="AN201" i="2"/>
  <c r="AN154" i="2"/>
  <c r="AM136" i="2"/>
  <c r="AN81" i="2"/>
  <c r="AN68" i="2"/>
  <c r="AM377" i="2"/>
  <c r="AN415" i="2"/>
  <c r="AQ415" i="2" s="1"/>
  <c r="AN14" i="2"/>
  <c r="AM8" i="2"/>
  <c r="AN573" i="2"/>
  <c r="AN532" i="2"/>
  <c r="AN521" i="2"/>
  <c r="AN498" i="2"/>
  <c r="AN486" i="2"/>
  <c r="AN461" i="2"/>
  <c r="AN433" i="2"/>
  <c r="AN406" i="2"/>
  <c r="AN374" i="2"/>
  <c r="AN334" i="2"/>
  <c r="AN304" i="2"/>
  <c r="AN291" i="2"/>
  <c r="AN282" i="2"/>
  <c r="AN274" i="2"/>
  <c r="AN266" i="2"/>
  <c r="AN251" i="2"/>
  <c r="AN673" i="2"/>
  <c r="AN647" i="2"/>
  <c r="AN562" i="2"/>
  <c r="AN442" i="2"/>
  <c r="AM421" i="2"/>
  <c r="AN352" i="2"/>
  <c r="AN205" i="2"/>
  <c r="AM196" i="2"/>
  <c r="AN167" i="2"/>
  <c r="AN101" i="2"/>
  <c r="AM74" i="2"/>
  <c r="AN219" i="2"/>
  <c r="AN445" i="2"/>
  <c r="AN294" i="2"/>
  <c r="AM281" i="2"/>
  <c r="AN552" i="2"/>
  <c r="AN293" i="2"/>
  <c r="AM500" i="2"/>
  <c r="AN166" i="2"/>
  <c r="AN122" i="2"/>
  <c r="AM154" i="2"/>
  <c r="AN98" i="2"/>
  <c r="AN70" i="2"/>
  <c r="AM68" i="2"/>
  <c r="AN250" i="2"/>
  <c r="AQ250" i="2" s="1"/>
  <c r="AN38" i="2"/>
  <c r="AM14" i="2"/>
  <c r="AN593" i="2"/>
  <c r="AM573" i="2"/>
  <c r="AM532" i="2"/>
  <c r="AM521" i="2"/>
  <c r="AM498" i="2"/>
  <c r="AM486" i="2"/>
  <c r="AM461" i="2"/>
  <c r="AM433" i="2"/>
  <c r="AM406" i="2"/>
  <c r="AM374" i="2"/>
  <c r="AM334" i="2"/>
  <c r="AM304" i="2"/>
  <c r="AM291" i="2"/>
  <c r="AM282" i="2"/>
  <c r="AM274" i="2"/>
  <c r="AM266" i="2"/>
  <c r="AM251" i="2"/>
  <c r="AM673" i="2"/>
  <c r="AM598" i="2"/>
  <c r="AM570" i="2"/>
  <c r="AM129" i="2"/>
  <c r="AM619" i="2"/>
  <c r="AM211" i="2"/>
  <c r="AM197" i="2"/>
  <c r="AM697" i="2"/>
  <c r="AM180" i="2"/>
  <c r="AM178" i="2"/>
  <c r="AM125" i="2"/>
  <c r="AM95" i="2"/>
  <c r="AM83" i="2"/>
  <c r="AM79" i="2"/>
  <c r="AM100" i="2"/>
  <c r="AM153" i="2"/>
  <c r="AM423" i="2"/>
  <c r="AM448" i="2"/>
  <c r="AM243" i="2"/>
  <c r="AM137" i="2"/>
  <c r="AM29" i="2"/>
  <c r="AM187" i="2"/>
  <c r="AM350" i="2"/>
  <c r="AM733" i="2"/>
  <c r="AM44" i="2"/>
  <c r="AM32" i="2"/>
  <c r="AM24" i="2"/>
  <c r="AM10" i="2"/>
  <c r="AM626" i="2"/>
  <c r="AM527" i="2"/>
  <c r="AM488" i="2"/>
  <c r="AM463" i="2"/>
  <c r="AM394" i="2"/>
  <c r="AM345" i="2"/>
  <c r="AM300" i="2"/>
  <c r="AM272" i="2"/>
  <c r="AM255" i="2"/>
  <c r="AN617" i="2"/>
  <c r="AN471" i="2"/>
  <c r="AM442" i="2"/>
  <c r="AN389" i="2"/>
  <c r="AN241" i="2"/>
  <c r="AM205" i="2"/>
  <c r="AN86" i="2"/>
  <c r="AN147" i="2"/>
  <c r="AM101" i="2"/>
  <c r="AN165" i="2"/>
  <c r="AN477" i="2"/>
  <c r="AN309" i="2"/>
  <c r="AM294" i="2"/>
  <c r="AN252" i="2"/>
  <c r="AN221" i="2"/>
  <c r="AM293" i="2"/>
  <c r="AN576" i="2"/>
  <c r="AN528" i="2"/>
  <c r="AM122" i="2"/>
  <c r="AQ122" i="2" s="1"/>
  <c r="AN117" i="2"/>
  <c r="AN387" i="2"/>
  <c r="AM70" i="2"/>
  <c r="AN320" i="2"/>
  <c r="AN46" i="2"/>
  <c r="AM38" i="2"/>
  <c r="AN601" i="2"/>
  <c r="AN161" i="2"/>
  <c r="AN692" i="2"/>
  <c r="AN697" i="2"/>
  <c r="AN153" i="2"/>
  <c r="AN44" i="2"/>
  <c r="AN626" i="2"/>
  <c r="AN394" i="2"/>
  <c r="AN190" i="2"/>
  <c r="AN336" i="2"/>
  <c r="AM221" i="2"/>
  <c r="AN639" i="2"/>
  <c r="AN619" i="2"/>
  <c r="AN83" i="2"/>
  <c r="AN29" i="2"/>
  <c r="AM124" i="2"/>
  <c r="AM26" i="2"/>
  <c r="AM496" i="2"/>
  <c r="AM312" i="2"/>
  <c r="AN513" i="2"/>
  <c r="AM241" i="2"/>
  <c r="AN519" i="2"/>
  <c r="AN71" i="2"/>
  <c r="AM46" i="2"/>
  <c r="AN598" i="2"/>
  <c r="AN178" i="2"/>
  <c r="AN448" i="2"/>
  <c r="AN733" i="2"/>
  <c r="AN10" i="2"/>
  <c r="AN42" i="2"/>
  <c r="AN131" i="2"/>
  <c r="AN197" i="2"/>
  <c r="AN100" i="2"/>
  <c r="AM35" i="2"/>
  <c r="AM544" i="2"/>
  <c r="AM347" i="2"/>
  <c r="AM489" i="2"/>
  <c r="AM224" i="2"/>
  <c r="AM217" i="2"/>
  <c r="AM203" i="2"/>
  <c r="AM641" i="2"/>
  <c r="AM186" i="2"/>
  <c r="AM148" i="2"/>
  <c r="AM118" i="2"/>
  <c r="AM105" i="2"/>
  <c r="AM85" i="2"/>
  <c r="AM84" i="2"/>
  <c r="AM449" i="2"/>
  <c r="AM271" i="2"/>
  <c r="AM367" i="2"/>
  <c r="AM53" i="2"/>
  <c r="AM50" i="2"/>
  <c r="AM36" i="2"/>
  <c r="AM16" i="2"/>
  <c r="AM756" i="2"/>
  <c r="AM752" i="2"/>
  <c r="AM739" i="2"/>
  <c r="AM735" i="2"/>
  <c r="AM732" i="2"/>
  <c r="AM724" i="2"/>
  <c r="AM720" i="2"/>
  <c r="AM717" i="2"/>
  <c r="AM709" i="2"/>
  <c r="AM702" i="2"/>
  <c r="AM690" i="2"/>
  <c r="AM685" i="2"/>
  <c r="AM679" i="2"/>
  <c r="AM676" i="2"/>
  <c r="AM666" i="2"/>
  <c r="AM661" i="2"/>
  <c r="AM651" i="2"/>
  <c r="AM638" i="2"/>
  <c r="AM618" i="2"/>
  <c r="AM604" i="2"/>
  <c r="AM583" i="2"/>
  <c r="AM571" i="2"/>
  <c r="AM566" i="2"/>
  <c r="AM558" i="2"/>
  <c r="AM547" i="2"/>
  <c r="AM540" i="2"/>
  <c r="AM537" i="2"/>
  <c r="AM533" i="2"/>
  <c r="AM524" i="2"/>
  <c r="AM516" i="2"/>
  <c r="AM508" i="2"/>
  <c r="AM505" i="2"/>
  <c r="AM495" i="2"/>
  <c r="AM483" i="2"/>
  <c r="AM479" i="2"/>
  <c r="AM469" i="2"/>
  <c r="AM457" i="2"/>
  <c r="AM444" i="2"/>
  <c r="AM426" i="2"/>
  <c r="AM419" i="2"/>
  <c r="AM407" i="2"/>
  <c r="AM396" i="2"/>
  <c r="AM383" i="2"/>
  <c r="AM372" i="2"/>
  <c r="AM369" i="2"/>
  <c r="AM342" i="2"/>
  <c r="AM335" i="2"/>
  <c r="AM327" i="2"/>
  <c r="AM322" i="2"/>
  <c r="AM313" i="2"/>
  <c r="AM305" i="2"/>
  <c r="AM290" i="2"/>
  <c r="AM283" i="2"/>
  <c r="AM258" i="2"/>
  <c r="AM763" i="2"/>
  <c r="AM761" i="2"/>
  <c r="AM237" i="2"/>
  <c r="AM730" i="2"/>
  <c r="AM223" i="2"/>
  <c r="AN319" i="2"/>
  <c r="AQ319" i="2" s="1"/>
  <c r="AN764" i="2"/>
  <c r="AM528" i="2"/>
  <c r="AN129" i="2"/>
  <c r="AN95" i="2"/>
  <c r="AN137" i="2"/>
  <c r="AN350" i="2"/>
  <c r="AN24" i="2"/>
  <c r="AN488" i="2"/>
  <c r="AN300" i="2"/>
  <c r="AN700" i="2"/>
  <c r="AN248" i="2"/>
  <c r="AM147" i="2"/>
  <c r="AN260" i="2"/>
  <c r="AN110" i="2"/>
  <c r="AQ110" i="2" s="1"/>
  <c r="AN180" i="2"/>
  <c r="AN423" i="2"/>
  <c r="AQ423" i="2" s="1"/>
  <c r="AM61" i="2"/>
  <c r="AM6" i="2"/>
  <c r="AM451" i="2"/>
  <c r="AM262" i="2"/>
  <c r="AN400" i="2"/>
  <c r="AM309" i="2"/>
  <c r="AN212" i="2"/>
  <c r="AN211" i="2"/>
  <c r="AN79" i="2"/>
  <c r="AN187" i="2"/>
  <c r="AN32" i="2"/>
  <c r="AN527" i="2"/>
  <c r="AN345" i="2"/>
  <c r="AN737" i="2"/>
  <c r="AN218" i="2"/>
  <c r="AN404" i="2"/>
  <c r="AN202" i="2"/>
  <c r="AN354" i="2"/>
  <c r="AN185" i="2"/>
  <c r="AN127" i="2"/>
  <c r="AN112" i="2"/>
  <c r="AN93" i="2"/>
  <c r="AN595" i="2"/>
  <c r="AN78" i="2"/>
  <c r="AN370" i="2"/>
  <c r="AN418" i="2"/>
  <c r="AN56" i="2"/>
  <c r="AN52" i="2"/>
  <c r="AN41" i="2"/>
  <c r="AN31" i="2"/>
  <c r="AN7" i="2"/>
  <c r="AN753" i="2"/>
  <c r="AN746" i="2"/>
  <c r="AN738" i="2"/>
  <c r="AN734" i="2"/>
  <c r="AN728" i="2"/>
  <c r="AN723" i="2"/>
  <c r="AN719" i="2"/>
  <c r="AN716" i="2"/>
  <c r="AN706" i="2"/>
  <c r="AN695" i="2"/>
  <c r="AN686" i="2"/>
  <c r="AN683" i="2"/>
  <c r="AN677" i="2"/>
  <c r="AN674" i="2"/>
  <c r="AN664" i="2"/>
  <c r="AN657" i="2"/>
  <c r="AN642" i="2"/>
  <c r="AN631" i="2"/>
  <c r="AN605" i="2"/>
  <c r="AN586" i="2"/>
  <c r="AN579" i="2"/>
  <c r="AN567" i="2"/>
  <c r="AN560" i="2"/>
  <c r="AN555" i="2"/>
  <c r="AN545" i="2"/>
  <c r="AN538" i="2"/>
  <c r="AN536" i="2"/>
  <c r="AN531" i="2"/>
  <c r="AN518" i="2"/>
  <c r="AN509" i="2"/>
  <c r="AN506" i="2"/>
  <c r="AN497" i="2"/>
  <c r="AN490" i="2"/>
  <c r="AN480" i="2"/>
  <c r="AN475" i="2"/>
  <c r="AN467" i="2"/>
  <c r="AN454" i="2"/>
  <c r="AN427" i="2"/>
  <c r="AN424" i="2"/>
  <c r="AN409" i="2"/>
  <c r="AN402" i="2"/>
  <c r="AN391" i="2"/>
  <c r="AN381" i="2"/>
  <c r="AN371" i="2"/>
  <c r="AN356" i="2"/>
  <c r="AN338" i="2"/>
  <c r="AN332" i="2"/>
  <c r="AN325" i="2"/>
  <c r="AN318" i="2"/>
  <c r="AN310" i="2"/>
  <c r="AN295" i="2"/>
  <c r="AN286" i="2"/>
  <c r="AN280" i="2"/>
  <c r="AN245" i="2"/>
  <c r="AN766" i="2"/>
  <c r="AN239" i="2"/>
  <c r="AN235" i="2"/>
  <c r="AN181" i="2"/>
  <c r="AN589" i="2"/>
  <c r="AM387" i="2"/>
  <c r="AM328" i="2"/>
  <c r="AN203" i="2"/>
  <c r="AN118" i="2"/>
  <c r="AN449" i="2"/>
  <c r="AN50" i="2"/>
  <c r="AN752" i="2"/>
  <c r="AN724" i="2"/>
  <c r="AN702" i="2"/>
  <c r="AN676" i="2"/>
  <c r="AN638" i="2"/>
  <c r="AM18" i="2"/>
  <c r="AM737" i="2"/>
  <c r="AM354" i="2"/>
  <c r="AM93" i="2"/>
  <c r="AM418" i="2"/>
  <c r="AM31" i="2"/>
  <c r="AM738" i="2"/>
  <c r="AM719" i="2"/>
  <c r="AM686" i="2"/>
  <c r="AM664" i="2"/>
  <c r="AM605" i="2"/>
  <c r="AM560" i="2"/>
  <c r="AM536" i="2"/>
  <c r="AM506" i="2"/>
  <c r="AM475" i="2"/>
  <c r="AM424" i="2"/>
  <c r="AM381" i="2"/>
  <c r="AM332" i="2"/>
  <c r="AM295" i="2"/>
  <c r="AM766" i="2"/>
  <c r="AM589" i="2"/>
  <c r="AM704" i="2"/>
  <c r="AM222" i="2"/>
  <c r="AM606" i="2"/>
  <c r="AM749" i="2"/>
  <c r="AM264" i="2"/>
  <c r="AM200" i="2"/>
  <c r="AM701" i="2"/>
  <c r="AM351" i="2"/>
  <c r="AM169" i="2"/>
  <c r="AM145" i="2"/>
  <c r="AM135" i="2"/>
  <c r="AM87" i="2"/>
  <c r="AM539" i="2"/>
  <c r="AM103" i="2"/>
  <c r="AM650" i="2"/>
  <c r="AM622" i="2"/>
  <c r="AM481" i="2"/>
  <c r="AM380" i="2"/>
  <c r="AM542" i="2"/>
  <c r="AM405" i="2"/>
  <c r="AM220" i="2"/>
  <c r="AM629" i="2"/>
  <c r="AM559" i="2"/>
  <c r="AM703" i="2"/>
  <c r="AM662" i="2"/>
  <c r="AM621" i="2"/>
  <c r="AM577" i="2"/>
  <c r="AM556" i="2"/>
  <c r="AM494" i="2"/>
  <c r="AM482" i="2"/>
  <c r="AM470" i="2"/>
  <c r="AM458" i="2"/>
  <c r="AM436" i="2"/>
  <c r="AM420" i="2"/>
  <c r="AM403" i="2"/>
  <c r="AM365" i="2"/>
  <c r="AM344" i="2"/>
  <c r="AM330" i="2"/>
  <c r="AM301" i="2"/>
  <c r="AM263" i="2"/>
  <c r="AM256" i="2"/>
  <c r="AM247" i="2"/>
  <c r="AM244" i="2"/>
  <c r="AM233" i="2"/>
  <c r="AM680" i="2"/>
  <c r="AM754" i="2"/>
  <c r="AM287" i="2"/>
  <c r="AM366" i="2"/>
  <c r="AM206" i="2"/>
  <c r="AM183" i="2"/>
  <c r="AM170" i="2"/>
  <c r="AM155" i="2"/>
  <c r="AM109" i="2"/>
  <c r="AM90" i="2"/>
  <c r="AM434" i="2"/>
  <c r="AM89" i="2"/>
  <c r="AM116" i="2"/>
  <c r="AM329" i="2"/>
  <c r="AM59" i="2"/>
  <c r="AM302" i="2"/>
  <c r="AM12" i="2"/>
  <c r="AM687" i="2"/>
  <c r="AM630" i="2"/>
  <c r="AM615" i="2"/>
  <c r="AM484" i="2"/>
  <c r="AN217" i="2"/>
  <c r="AN148" i="2"/>
  <c r="AN84" i="2"/>
  <c r="AN53" i="2"/>
  <c r="AN756" i="2"/>
  <c r="AN732" i="2"/>
  <c r="AN709" i="2"/>
  <c r="AN679" i="2"/>
  <c r="AN651" i="2"/>
  <c r="AN583" i="2"/>
  <c r="AN30" i="2"/>
  <c r="AN570" i="2"/>
  <c r="AM202" i="2"/>
  <c r="AM112" i="2"/>
  <c r="AM370" i="2"/>
  <c r="AM41" i="2"/>
  <c r="AM746" i="2"/>
  <c r="AM723" i="2"/>
  <c r="AM695" i="2"/>
  <c r="AM674" i="2"/>
  <c r="AM631" i="2"/>
  <c r="AM567" i="2"/>
  <c r="AM538" i="2"/>
  <c r="AM509" i="2"/>
  <c r="AM480" i="2"/>
  <c r="AM427" i="2"/>
  <c r="AM391" i="2"/>
  <c r="AM338" i="2"/>
  <c r="AM310" i="2"/>
  <c r="AM245" i="2"/>
  <c r="AM181" i="2"/>
  <c r="AN125" i="2"/>
  <c r="AM299" i="2"/>
  <c r="AN255" i="2"/>
  <c r="AN224" i="2"/>
  <c r="AN186" i="2"/>
  <c r="AN85" i="2"/>
  <c r="AN367" i="2"/>
  <c r="AN16" i="2"/>
  <c r="AN735" i="2"/>
  <c r="AN717" i="2"/>
  <c r="AN685" i="2"/>
  <c r="AN661" i="2"/>
  <c r="AN604" i="2"/>
  <c r="AN558" i="2"/>
  <c r="AN533" i="2"/>
  <c r="AN505" i="2"/>
  <c r="AN469" i="2"/>
  <c r="AN419" i="2"/>
  <c r="AN372" i="2"/>
  <c r="AN327" i="2"/>
  <c r="AN290" i="2"/>
  <c r="AM471" i="2"/>
  <c r="AN243" i="2"/>
  <c r="AN463" i="2"/>
  <c r="AM404" i="2"/>
  <c r="AM127" i="2"/>
  <c r="AM78" i="2"/>
  <c r="AM52" i="2"/>
  <c r="AM753" i="2"/>
  <c r="AM728" i="2"/>
  <c r="AM706" i="2"/>
  <c r="AM677" i="2"/>
  <c r="AM642" i="2"/>
  <c r="AM579" i="2"/>
  <c r="AM545" i="2"/>
  <c r="AM518" i="2"/>
  <c r="AM490" i="2"/>
  <c r="AM454" i="2"/>
  <c r="AM402" i="2"/>
  <c r="AM356" i="2"/>
  <c r="AM318" i="2"/>
  <c r="AM280" i="2"/>
  <c r="AM235" i="2"/>
  <c r="AM740" i="2"/>
  <c r="AM748" i="2"/>
  <c r="AM216" i="2"/>
  <c r="AM688" i="2"/>
  <c r="AM378" i="2"/>
  <c r="AM207" i="2"/>
  <c r="AM765" i="2"/>
  <c r="AM715" i="2"/>
  <c r="AM172" i="2"/>
  <c r="AM146" i="2"/>
  <c r="AM139" i="2"/>
  <c r="AM120" i="2"/>
  <c r="AM77" i="2"/>
  <c r="AM398" i="2"/>
  <c r="AM613" i="2"/>
  <c r="AM578" i="2"/>
  <c r="AM696" i="2"/>
  <c r="AM440" i="2"/>
  <c r="AM596" i="2"/>
  <c r="AM660" i="2"/>
  <c r="AM130" i="2"/>
  <c r="AM581" i="2"/>
  <c r="AM174" i="2"/>
  <c r="AM227" i="2"/>
  <c r="AM670" i="2"/>
  <c r="AM634" i="2"/>
  <c r="AM588" i="2"/>
  <c r="AM574" i="2"/>
  <c r="AM511" i="2"/>
  <c r="AM492" i="2"/>
  <c r="AN641" i="2"/>
  <c r="AQ641" i="2" s="1"/>
  <c r="Q1423" i="3" s="1"/>
  <c r="AN105" i="2"/>
  <c r="AN271" i="2"/>
  <c r="AN36" i="2"/>
  <c r="AN739" i="2"/>
  <c r="AN720" i="2"/>
  <c r="AN690" i="2"/>
  <c r="AN666" i="2"/>
  <c r="AN618" i="2"/>
  <c r="AN566" i="2"/>
  <c r="AN537" i="2"/>
  <c r="AN508" i="2"/>
  <c r="AN479" i="2"/>
  <c r="AN426" i="2"/>
  <c r="AN383" i="2"/>
  <c r="AN335" i="2"/>
  <c r="AN305" i="2"/>
  <c r="AN763" i="2"/>
  <c r="AN223" i="2"/>
  <c r="AM218" i="2"/>
  <c r="AM657" i="2"/>
  <c r="AN571" i="2"/>
  <c r="AN322" i="2"/>
  <c r="AM286" i="2"/>
  <c r="AN258" i="2"/>
  <c r="AN704" i="2"/>
  <c r="AN264" i="2"/>
  <c r="AN169" i="2"/>
  <c r="AN539" i="2"/>
  <c r="AQ539" i="2" s="1"/>
  <c r="AN481" i="2"/>
  <c r="AN220" i="2"/>
  <c r="AN662" i="2"/>
  <c r="AN494" i="2"/>
  <c r="AN464" i="2"/>
  <c r="AM447" i="2"/>
  <c r="AN365" i="2"/>
  <c r="AN276" i="2"/>
  <c r="AM261" i="2"/>
  <c r="AM185" i="2"/>
  <c r="AM586" i="2"/>
  <c r="AN524" i="2"/>
  <c r="AM497" i="2"/>
  <c r="AN483" i="2"/>
  <c r="AN761" i="2"/>
  <c r="AN216" i="2"/>
  <c r="AN765" i="2"/>
  <c r="AN139" i="2"/>
  <c r="AN613" i="2"/>
  <c r="AN596" i="2"/>
  <c r="AN174" i="2"/>
  <c r="AN588" i="2"/>
  <c r="AN472" i="2"/>
  <c r="AM464" i="2"/>
  <c r="AN403" i="2"/>
  <c r="AN303" i="2"/>
  <c r="AM276" i="2"/>
  <c r="AN244" i="2"/>
  <c r="AN616" i="2"/>
  <c r="AM215" i="2"/>
  <c r="AN170" i="2"/>
  <c r="AN132" i="2"/>
  <c r="AM208" i="2"/>
  <c r="AN59" i="2"/>
  <c r="AN655" i="2"/>
  <c r="AM620" i="2"/>
  <c r="AM595" i="2"/>
  <c r="AN407" i="2"/>
  <c r="AM371" i="2"/>
  <c r="AN342" i="2"/>
  <c r="AN749" i="2"/>
  <c r="AQ749" i="2" s="1"/>
  <c r="Q1528" i="3" s="1"/>
  <c r="AN351" i="2"/>
  <c r="AN87" i="2"/>
  <c r="AN622" i="2"/>
  <c r="AQ622" i="2" s="1"/>
  <c r="Q1404" i="3" s="1"/>
  <c r="AN405" i="2"/>
  <c r="AN703" i="2"/>
  <c r="AN556" i="2"/>
  <c r="AM472" i="2"/>
  <c r="AN420" i="2"/>
  <c r="AN341" i="2"/>
  <c r="AM303" i="2"/>
  <c r="AN247" i="2"/>
  <c r="AN272" i="2"/>
  <c r="AM56" i="2"/>
  <c r="AM555" i="2"/>
  <c r="AN540" i="2"/>
  <c r="AN283" i="2"/>
  <c r="AN748" i="2"/>
  <c r="AN207" i="2"/>
  <c r="AN146" i="2"/>
  <c r="AN398" i="2"/>
  <c r="AN440" i="2"/>
  <c r="AN581" i="2"/>
  <c r="AN634" i="2"/>
  <c r="AN492" i="2"/>
  <c r="AN436" i="2"/>
  <c r="AN362" i="2"/>
  <c r="AM341" i="2"/>
  <c r="AN256" i="2"/>
  <c r="AN231" i="2"/>
  <c r="AM585" i="2"/>
  <c r="AN206" i="2"/>
  <c r="AN133" i="2"/>
  <c r="AM108" i="2"/>
  <c r="AN116" i="2"/>
  <c r="AN361" i="2"/>
  <c r="AM708" i="2"/>
  <c r="AN609" i="2"/>
  <c r="AN563" i="2"/>
  <c r="AN515" i="2"/>
  <c r="AN503" i="2"/>
  <c r="AN474" i="2"/>
  <c r="AN443" i="2"/>
  <c r="AN373" i="2"/>
  <c r="AN359" i="2"/>
  <c r="AN357" i="2"/>
  <c r="AN326" i="2"/>
  <c r="AN311" i="2"/>
  <c r="AN269" i="2"/>
  <c r="AN236" i="2"/>
  <c r="AN591" i="2"/>
  <c r="AN637" i="2"/>
  <c r="AN718" i="2"/>
  <c r="AN564" i="2"/>
  <c r="AN649" i="2"/>
  <c r="AN648" i="2"/>
  <c r="AN725" i="2"/>
  <c r="AN188" i="2"/>
  <c r="AN743" i="2"/>
  <c r="AN175" i="2"/>
  <c r="AN152" i="2"/>
  <c r="AN140" i="2"/>
  <c r="AN114" i="2"/>
  <c r="AN102" i="2"/>
  <c r="AN75" i="2"/>
  <c r="AN321" i="2"/>
  <c r="AN557" i="2"/>
  <c r="AN64" i="2"/>
  <c r="AN437" i="2"/>
  <c r="AN438" i="2"/>
  <c r="AN151" i="2"/>
  <c r="AN314" i="2"/>
  <c r="AN5" i="2"/>
  <c r="AN590" i="2"/>
  <c r="AN554" i="2"/>
  <c r="AN523" i="2"/>
  <c r="AN487" i="2"/>
  <c r="AN462" i="2"/>
  <c r="AN410" i="2"/>
  <c r="AN348" i="2"/>
  <c r="AN315" i="2"/>
  <c r="AN268" i="2"/>
  <c r="AN253" i="2"/>
  <c r="AN672" i="2"/>
  <c r="AN762" i="2"/>
  <c r="AN751" i="2"/>
  <c r="AN721" i="2"/>
  <c r="AN726" i="2"/>
  <c r="AN760" i="2"/>
  <c r="AN736" i="2"/>
  <c r="AM7" i="2"/>
  <c r="AN495" i="2"/>
  <c r="AM467" i="2"/>
  <c r="AN444" i="2"/>
  <c r="AM239" i="2"/>
  <c r="AN730" i="2"/>
  <c r="AN606" i="2"/>
  <c r="AN701" i="2"/>
  <c r="AN135" i="2"/>
  <c r="AN650" i="2"/>
  <c r="AN542" i="2"/>
  <c r="AN559" i="2"/>
  <c r="AN577" i="2"/>
  <c r="AN458" i="2"/>
  <c r="AN376" i="2"/>
  <c r="AM362" i="2"/>
  <c r="AN263" i="2"/>
  <c r="AN240" i="2"/>
  <c r="AM231" i="2"/>
  <c r="AN366" i="2"/>
  <c r="AN156" i="2"/>
  <c r="AM133" i="2"/>
  <c r="AN89" i="2"/>
  <c r="AN587" i="2"/>
  <c r="AM361" i="2"/>
  <c r="AN615" i="2"/>
  <c r="AM609" i="2"/>
  <c r="AM563" i="2"/>
  <c r="AM515" i="2"/>
  <c r="AM503" i="2"/>
  <c r="AM474" i="2"/>
  <c r="AM443" i="2"/>
  <c r="AM373" i="2"/>
  <c r="AM359" i="2"/>
  <c r="AM357" i="2"/>
  <c r="AM326" i="2"/>
  <c r="AM311" i="2"/>
  <c r="AM269" i="2"/>
  <c r="AM236" i="2"/>
  <c r="AM591" i="2"/>
  <c r="AM637" i="2"/>
  <c r="AM718" i="2"/>
  <c r="AM564" i="2"/>
  <c r="AM649" i="2"/>
  <c r="AM648" i="2"/>
  <c r="AM725" i="2"/>
  <c r="AM188" i="2"/>
  <c r="AM743" i="2"/>
  <c r="AM175" i="2"/>
  <c r="AM152" i="2"/>
  <c r="AM140" i="2"/>
  <c r="AM114" i="2"/>
  <c r="AM102" i="2"/>
  <c r="AM75" i="2"/>
  <c r="AM321" i="2"/>
  <c r="AM557" i="2"/>
  <c r="AM64" i="2"/>
  <c r="AM437" i="2"/>
  <c r="AM438" i="2"/>
  <c r="AM151" i="2"/>
  <c r="AM314" i="2"/>
  <c r="AM5" i="2"/>
  <c r="AM590" i="2"/>
  <c r="AM554" i="2"/>
  <c r="AM523" i="2"/>
  <c r="AM487" i="2"/>
  <c r="AM462" i="2"/>
  <c r="AM410" i="2"/>
  <c r="AM348" i="2"/>
  <c r="AM315" i="2"/>
  <c r="AM268" i="2"/>
  <c r="AM253" i="2"/>
  <c r="AM672" i="2"/>
  <c r="AM762" i="2"/>
  <c r="AM751" i="2"/>
  <c r="AM721" i="2"/>
  <c r="AM726" i="2"/>
  <c r="AM760" i="2"/>
  <c r="AQ760" i="2" s="1"/>
  <c r="AM736" i="2"/>
  <c r="AQ736" i="2" s="1"/>
  <c r="Q1516" i="3" s="1"/>
  <c r="AM671" i="2"/>
  <c r="AM275" i="2"/>
  <c r="AM731" i="2"/>
  <c r="AM21" i="2"/>
  <c r="AM742" i="2"/>
  <c r="AM627" i="2"/>
  <c r="AM734" i="2"/>
  <c r="AN369" i="2"/>
  <c r="AM325" i="2"/>
  <c r="AN313" i="2"/>
  <c r="AN740" i="2"/>
  <c r="AQ740" i="2" s="1"/>
  <c r="Q1520" i="3" s="1"/>
  <c r="AN378" i="2"/>
  <c r="AN172" i="2"/>
  <c r="AN77" i="2"/>
  <c r="AN696" i="2"/>
  <c r="AQ696" i="2" s="1"/>
  <c r="AN130" i="2"/>
  <c r="AN670" i="2"/>
  <c r="AN511" i="2"/>
  <c r="AN470" i="2"/>
  <c r="AN413" i="2"/>
  <c r="AM376" i="2"/>
  <c r="AN301" i="2"/>
  <c r="AN246" i="2"/>
  <c r="AM240" i="2"/>
  <c r="AN287" i="2"/>
  <c r="AN173" i="2"/>
  <c r="AM156" i="2"/>
  <c r="AN434" i="2"/>
  <c r="AN191" i="2"/>
  <c r="AM587" i="2"/>
  <c r="AN630" i="2"/>
  <c r="AM716" i="2"/>
  <c r="AN547" i="2"/>
  <c r="AM531" i="2"/>
  <c r="AN516" i="2"/>
  <c r="AN222" i="2"/>
  <c r="AN200" i="2"/>
  <c r="AN145" i="2"/>
  <c r="AN103" i="2"/>
  <c r="AN380" i="2"/>
  <c r="AN629" i="2"/>
  <c r="AN621" i="2"/>
  <c r="AN482" i="2"/>
  <c r="AN425" i="2"/>
  <c r="AM413" i="2"/>
  <c r="AN330" i="2"/>
  <c r="AN254" i="2"/>
  <c r="AM246" i="2"/>
  <c r="AN754" i="2"/>
  <c r="AN104" i="2"/>
  <c r="AM173" i="2"/>
  <c r="AN90" i="2"/>
  <c r="AN65" i="2"/>
  <c r="AM191" i="2"/>
  <c r="AN687" i="2"/>
  <c r="AN396" i="2"/>
  <c r="AN120" i="2"/>
  <c r="AN620" i="2"/>
  <c r="AM507" i="2"/>
  <c r="AM364" i="2"/>
  <c r="AM285" i="2"/>
  <c r="AM668" i="2"/>
  <c r="AM382" i="2"/>
  <c r="AM162" i="2"/>
  <c r="AM96" i="2"/>
  <c r="AM375" i="2"/>
  <c r="AM20" i="2"/>
  <c r="AM517" i="2"/>
  <c r="AM346" i="2"/>
  <c r="AM758" i="2"/>
  <c r="AM750" i="2"/>
  <c r="AN106" i="2"/>
  <c r="AM675" i="2"/>
  <c r="AM409" i="2"/>
  <c r="AN578" i="2"/>
  <c r="AQ578" i="2" s="1"/>
  <c r="Q1364" i="3" s="1"/>
  <c r="AN447" i="2"/>
  <c r="AM254" i="2"/>
  <c r="AN680" i="2"/>
  <c r="AM616" i="2"/>
  <c r="AQ616" i="2" s="1"/>
  <c r="AM104" i="2"/>
  <c r="AN553" i="2"/>
  <c r="AN429" i="2"/>
  <c r="AN323" i="2"/>
  <c r="AN699" i="2"/>
  <c r="AN213" i="2"/>
  <c r="AN184" i="2"/>
  <c r="AN107" i="2"/>
  <c r="AN514" i="2"/>
  <c r="AN63" i="2"/>
  <c r="AN526" i="2"/>
  <c r="AN388" i="2"/>
  <c r="AN628" i="2"/>
  <c r="AN610" i="2"/>
  <c r="AN530" i="2"/>
  <c r="AM106" i="2"/>
  <c r="AQ106" i="2" s="1"/>
  <c r="AN643" i="2"/>
  <c r="AN549" i="2"/>
  <c r="AN599" i="2"/>
  <c r="AN759" i="2"/>
  <c r="AN711" i="2"/>
  <c r="AN659" i="2"/>
  <c r="AN693" i="2"/>
  <c r="AN691" i="2"/>
  <c r="AN727" i="2"/>
  <c r="AN729" i="2"/>
  <c r="AN678" i="2"/>
  <c r="AN198" i="2"/>
  <c r="AN195" i="2"/>
  <c r="AN534" i="2"/>
  <c r="AN459" i="2"/>
  <c r="AN745" i="2"/>
  <c r="AN569" i="2"/>
  <c r="AN741" i="2"/>
  <c r="AN597" i="2"/>
  <c r="AN543" i="2"/>
  <c r="AN144" i="2"/>
  <c r="AN119" i="2"/>
  <c r="AN99" i="2"/>
  <c r="AN297" i="2"/>
  <c r="AN11" i="2"/>
  <c r="AN412" i="2"/>
  <c r="AN466" i="2"/>
  <c r="AN541" i="2"/>
  <c r="AN67" i="2"/>
  <c r="AN45" i="2"/>
  <c r="AN333" i="2"/>
  <c r="AN331" i="2"/>
  <c r="AN428" i="2"/>
  <c r="AN431" i="2"/>
  <c r="AN385" i="2"/>
  <c r="AN422" i="2"/>
  <c r="AN360" i="2"/>
  <c r="AN43" i="2"/>
  <c r="AN58" i="2"/>
  <c r="AN355" i="2"/>
  <c r="AN62" i="2"/>
  <c r="AN592" i="2"/>
  <c r="AN395" i="2"/>
  <c r="AN614" i="2"/>
  <c r="AN705" i="2"/>
  <c r="AN473" i="2"/>
  <c r="AN529" i="2"/>
  <c r="AN452" i="2"/>
  <c r="AN49" i="2"/>
  <c r="AN40" i="2"/>
  <c r="AN34" i="2"/>
  <c r="AN23" i="2"/>
  <c r="AN19" i="2"/>
  <c r="AN9" i="2"/>
  <c r="AN457" i="2"/>
  <c r="AN660" i="2"/>
  <c r="AQ660" i="2" s="1"/>
  <c r="Q1441" i="3" s="1"/>
  <c r="AN109" i="2"/>
  <c r="AM132" i="2"/>
  <c r="AM65" i="2"/>
  <c r="AM553" i="2"/>
  <c r="AM429" i="2"/>
  <c r="AM323" i="2"/>
  <c r="AM699" i="2"/>
  <c r="AM213" i="2"/>
  <c r="AM184" i="2"/>
  <c r="AM107" i="2"/>
  <c r="AM514" i="2"/>
  <c r="AM63" i="2"/>
  <c r="AM526" i="2"/>
  <c r="AM388" i="2"/>
  <c r="AM628" i="2"/>
  <c r="AM610" i="2"/>
  <c r="AQ610" i="2" s="1"/>
  <c r="AN635" i="2"/>
  <c r="AM530" i="2"/>
  <c r="AN627" i="2"/>
  <c r="AQ627" i="2" s="1"/>
  <c r="Q1409" i="3" s="1"/>
  <c r="AM643" i="2"/>
  <c r="AM549" i="2"/>
  <c r="AM599" i="2"/>
  <c r="AM759" i="2"/>
  <c r="AM711" i="2"/>
  <c r="AQ711" i="2" s="1"/>
  <c r="Q1491" i="3" s="1"/>
  <c r="AM659" i="2"/>
  <c r="AQ659" i="2" s="1"/>
  <c r="AM693" i="2"/>
  <c r="AM691" i="2"/>
  <c r="AM727" i="2"/>
  <c r="AM729" i="2"/>
  <c r="AM678" i="2"/>
  <c r="AM198" i="2"/>
  <c r="AM195" i="2"/>
  <c r="AM534" i="2"/>
  <c r="AM459" i="2"/>
  <c r="AM745" i="2"/>
  <c r="AM569" i="2"/>
  <c r="AM741" i="2"/>
  <c r="AM597" i="2"/>
  <c r="AM543" i="2"/>
  <c r="AM144" i="2"/>
  <c r="AM119" i="2"/>
  <c r="AM99" i="2"/>
  <c r="AM297" i="2"/>
  <c r="AM11" i="2"/>
  <c r="AM412" i="2"/>
  <c r="AM466" i="2"/>
  <c r="AM541" i="2"/>
  <c r="AM67" i="2"/>
  <c r="AM45" i="2"/>
  <c r="AM333" i="2"/>
  <c r="AM331" i="2"/>
  <c r="AM428" i="2"/>
  <c r="AM431" i="2"/>
  <c r="AM385" i="2"/>
  <c r="AM422" i="2"/>
  <c r="AM360" i="2"/>
  <c r="AQ360" i="2" s="1"/>
  <c r="AM43" i="2"/>
  <c r="AQ43" i="2" s="1"/>
  <c r="AM58" i="2"/>
  <c r="AM355" i="2"/>
  <c r="AM62" i="2"/>
  <c r="AM592" i="2"/>
  <c r="AM395" i="2"/>
  <c r="AM614" i="2"/>
  <c r="AM705" i="2"/>
  <c r="AQ705" i="2" s="1"/>
  <c r="Q1485" i="3" s="1"/>
  <c r="AM473" i="2"/>
  <c r="AQ473" i="2" s="1"/>
  <c r="Q1243" i="3" s="1"/>
  <c r="AM529" i="2"/>
  <c r="AM452" i="2"/>
  <c r="AM49" i="2"/>
  <c r="AM40" i="2"/>
  <c r="AM34" i="2"/>
  <c r="AM23" i="2"/>
  <c r="AM19" i="2"/>
  <c r="AM9" i="2"/>
  <c r="AN227" i="2"/>
  <c r="AN210" i="2"/>
  <c r="AQ210" i="2" s="1"/>
  <c r="AN12" i="2"/>
  <c r="AM655" i="2"/>
  <c r="AN584" i="2"/>
  <c r="AN456" i="2"/>
  <c r="AN340" i="2"/>
  <c r="AN681" i="2"/>
  <c r="AN611" i="2"/>
  <c r="AN684" i="2"/>
  <c r="AQ684" i="2" s="1"/>
  <c r="Q1464" i="3" s="1"/>
  <c r="AN121" i="2"/>
  <c r="AN493" i="2"/>
  <c r="AN73" i="2"/>
  <c r="AN568" i="2"/>
  <c r="AN414" i="2"/>
  <c r="AN267" i="2"/>
  <c r="AN747" i="2"/>
  <c r="AN689" i="2"/>
  <c r="AM635" i="2"/>
  <c r="AN742" i="2"/>
  <c r="AN574" i="2"/>
  <c r="AN261" i="2"/>
  <c r="AN233" i="2"/>
  <c r="AN585" i="2"/>
  <c r="AQ585" i="2" s="1"/>
  <c r="AM210" i="2"/>
  <c r="AN183" i="2"/>
  <c r="AN465" i="2"/>
  <c r="AM584" i="2"/>
  <c r="AM456" i="2"/>
  <c r="AM340" i="2"/>
  <c r="AM681" i="2"/>
  <c r="AM611" i="2"/>
  <c r="AQ611" i="2" s="1"/>
  <c r="Q1393" i="3" s="1"/>
  <c r="AM684" i="2"/>
  <c r="AM121" i="2"/>
  <c r="AM493" i="2"/>
  <c r="AM73" i="2"/>
  <c r="AM568" i="2"/>
  <c r="AM414" i="2"/>
  <c r="AM267" i="2"/>
  <c r="AM747" i="2"/>
  <c r="AQ747" i="2" s="1"/>
  <c r="AM689" i="2"/>
  <c r="AN21" i="2"/>
  <c r="AQ21" i="2" s="1"/>
  <c r="AN237" i="2"/>
  <c r="AN344" i="2"/>
  <c r="AN155" i="2"/>
  <c r="AN108" i="2"/>
  <c r="AM465" i="2"/>
  <c r="AN329" i="2"/>
  <c r="AQ329" i="2" s="1"/>
  <c r="AN612" i="2"/>
  <c r="AN476" i="2"/>
  <c r="AN358" i="2"/>
  <c r="AN259" i="2"/>
  <c r="AN343" i="2"/>
  <c r="AN192" i="2"/>
  <c r="AN141" i="2"/>
  <c r="AN580" i="2"/>
  <c r="AN386" i="2"/>
  <c r="AN652" i="2"/>
  <c r="AN485" i="2"/>
  <c r="AN308" i="2"/>
  <c r="AN230" i="2"/>
  <c r="AN755" i="2"/>
  <c r="AN731" i="2"/>
  <c r="AN608" i="2"/>
  <c r="AN710" i="2"/>
  <c r="AN520" i="2"/>
  <c r="AN603" i="2"/>
  <c r="AN654" i="2"/>
  <c r="AN694" i="2"/>
  <c r="AN632" i="2"/>
  <c r="AN757" i="2"/>
  <c r="AN624" i="2"/>
  <c r="AN658" i="2"/>
  <c r="AN713" i="2"/>
  <c r="AN249" i="2"/>
  <c r="AN546" i="2"/>
  <c r="AN707" i="2"/>
  <c r="AN644" i="2"/>
  <c r="AN698" i="2"/>
  <c r="AN722" i="2"/>
  <c r="AN182" i="2"/>
  <c r="AN499" i="2"/>
  <c r="AN177" i="2"/>
  <c r="AN171" i="2"/>
  <c r="AN134" i="2"/>
  <c r="AN113" i="2"/>
  <c r="AN88" i="2"/>
  <c r="AN665" i="2"/>
  <c r="AN744" i="2"/>
  <c r="AN669" i="2"/>
  <c r="AN27" i="2"/>
  <c r="AN298" i="2"/>
  <c r="AN158" i="2"/>
  <c r="AN317" i="2"/>
  <c r="AN550" i="2"/>
  <c r="AN594" i="2"/>
  <c r="AN306" i="2"/>
  <c r="AN572" i="2"/>
  <c r="AN453" i="2"/>
  <c r="AN504" i="2"/>
  <c r="AN353" i="2"/>
  <c r="AN157" i="2"/>
  <c r="AN60" i="2"/>
  <c r="AN15" i="2"/>
  <c r="AN143" i="2"/>
  <c r="AN232" i="2"/>
  <c r="AN284" i="2"/>
  <c r="AN416" i="2"/>
  <c r="AN439" i="2"/>
  <c r="AN393" i="2"/>
  <c r="AN55" i="2"/>
  <c r="AN51" i="2"/>
  <c r="AN47" i="2"/>
  <c r="AN37" i="2"/>
  <c r="AN28" i="2"/>
  <c r="AN22" i="2"/>
  <c r="AN17" i="2"/>
  <c r="AN688" i="2"/>
  <c r="AM425" i="2"/>
  <c r="AN215" i="2"/>
  <c r="AN302" i="2"/>
  <c r="AN708" i="2"/>
  <c r="AM612" i="2"/>
  <c r="AM476" i="2"/>
  <c r="AM358" i="2"/>
  <c r="AM259" i="2"/>
  <c r="AM343" i="2"/>
  <c r="AQ343" i="2" s="1"/>
  <c r="AM192" i="2"/>
  <c r="AM141" i="2"/>
  <c r="AM580" i="2"/>
  <c r="AM386" i="2"/>
  <c r="AM652" i="2"/>
  <c r="AM485" i="2"/>
  <c r="AM308" i="2"/>
  <c r="AM230" i="2"/>
  <c r="AM755" i="2"/>
  <c r="AQ755" i="2" s="1"/>
  <c r="AN275" i="2"/>
  <c r="AN502" i="2"/>
  <c r="AM608" i="2"/>
  <c r="AM710" i="2"/>
  <c r="AQ710" i="2" s="1"/>
  <c r="Q1490" i="3" s="1"/>
  <c r="AM520" i="2"/>
  <c r="AM603" i="2"/>
  <c r="AM654" i="2"/>
  <c r="AQ654" i="2" s="1"/>
  <c r="Q1436" i="3" s="1"/>
  <c r="AM694" i="2"/>
  <c r="AQ694" i="2" s="1"/>
  <c r="AM632" i="2"/>
  <c r="AM757" i="2"/>
  <c r="AM624" i="2"/>
  <c r="AM658" i="2"/>
  <c r="AQ658" i="2" s="1"/>
  <c r="Q1439" i="3" s="1"/>
  <c r="AM713" i="2"/>
  <c r="AM249" i="2"/>
  <c r="AM546" i="2"/>
  <c r="AQ546" i="2" s="1"/>
  <c r="Q1326" i="3" s="1"/>
  <c r="AM707" i="2"/>
  <c r="AQ707" i="2" s="1"/>
  <c r="AM644" i="2"/>
  <c r="AM698" i="2"/>
  <c r="AM722" i="2"/>
  <c r="AM182" i="2"/>
  <c r="AM499" i="2"/>
  <c r="AM177" i="2"/>
  <c r="AM171" i="2"/>
  <c r="AM134" i="2"/>
  <c r="AM113" i="2"/>
  <c r="AM88" i="2"/>
  <c r="AM665" i="2"/>
  <c r="AM744" i="2"/>
  <c r="AM669" i="2"/>
  <c r="AM27" i="2"/>
  <c r="AM298" i="2"/>
  <c r="AM158" i="2"/>
  <c r="AQ158" i="2" s="1"/>
  <c r="AM317" i="2"/>
  <c r="AM550" i="2"/>
  <c r="AM594" i="2"/>
  <c r="AM306" i="2"/>
  <c r="AM572" i="2"/>
  <c r="AM453" i="2"/>
  <c r="AM504" i="2"/>
  <c r="AQ504" i="2" s="1"/>
  <c r="AM353" i="2"/>
  <c r="AQ353" i="2" s="1"/>
  <c r="AM157" i="2"/>
  <c r="AM60" i="2"/>
  <c r="AM15" i="2"/>
  <c r="AM143" i="2"/>
  <c r="AQ143" i="2" s="1"/>
  <c r="AM232" i="2"/>
  <c r="AM284" i="2"/>
  <c r="AM416" i="2"/>
  <c r="AM439" i="2"/>
  <c r="AQ439" i="2" s="1"/>
  <c r="AM393" i="2"/>
  <c r="AM55" i="2"/>
  <c r="AM51" i="2"/>
  <c r="AM47" i="2"/>
  <c r="AM37" i="2"/>
  <c r="AM28" i="2"/>
  <c r="AM22" i="2"/>
  <c r="AM17" i="2"/>
  <c r="AN671" i="2"/>
  <c r="AQ671" i="2" s="1"/>
  <c r="Q1452" i="3" s="1"/>
  <c r="AN675" i="2"/>
  <c r="AQ675" i="2" s="1"/>
  <c r="Q1456" i="3" s="1"/>
  <c r="AM502" i="2"/>
  <c r="AM683" i="2"/>
  <c r="AN715" i="2"/>
  <c r="AN208" i="2"/>
  <c r="AN507" i="2"/>
  <c r="AN364" i="2"/>
  <c r="AN285" i="2"/>
  <c r="AN668" i="2"/>
  <c r="AQ668" i="2" s="1"/>
  <c r="AN382" i="2"/>
  <c r="AN162" i="2"/>
  <c r="AN96" i="2"/>
  <c r="AN375" i="2"/>
  <c r="AN20" i="2"/>
  <c r="AN517" i="2"/>
  <c r="AN346" i="2"/>
  <c r="AN758" i="2"/>
  <c r="AQ758" i="2" s="1"/>
  <c r="AN750" i="2"/>
  <c r="AQ564" i="2"/>
  <c r="AQ559" i="2"/>
  <c r="AQ440" i="2"/>
  <c r="Q1168" i="3" s="1"/>
  <c r="AQ754" i="2"/>
  <c r="Q1532" i="3" s="1"/>
  <c r="AQ595" i="2"/>
  <c r="Q1377" i="3" s="1"/>
  <c r="AQ530" i="2"/>
  <c r="AQ401" i="2"/>
  <c r="Q1079" i="3" s="1"/>
  <c r="AQ743" i="2"/>
  <c r="Q1523" i="3" s="1"/>
  <c r="AQ692" i="2"/>
  <c r="AQ592" i="2"/>
  <c r="AQ741" i="2"/>
  <c r="AQ637" i="2"/>
  <c r="AQ408" i="2"/>
  <c r="AQ663" i="2"/>
  <c r="AQ748" i="2"/>
  <c r="Q1527" i="3" s="1"/>
  <c r="AQ763" i="2"/>
  <c r="Q1540" i="3" s="1"/>
  <c r="AQ412" i="2"/>
  <c r="AQ737" i="2"/>
  <c r="Q1517" i="3" s="1"/>
  <c r="AQ448" i="2"/>
  <c r="Q1179" i="3" s="1"/>
  <c r="AQ375" i="2"/>
  <c r="AQ333" i="2"/>
  <c r="Q915" i="3" s="1"/>
  <c r="AQ744" i="2"/>
  <c r="AQ650" i="2"/>
  <c r="Q1432" i="3" s="1"/>
  <c r="AQ667" i="2"/>
  <c r="Q1448" i="3" s="1"/>
  <c r="AQ153" i="2"/>
  <c r="AQ450" i="2"/>
  <c r="Q498" i="3" s="1"/>
  <c r="AQ387" i="2"/>
  <c r="AQ766" i="2"/>
  <c r="Q1543" i="3" s="1"/>
  <c r="AQ418" i="2"/>
  <c r="Q1116" i="3" s="1"/>
  <c r="AQ306" i="2"/>
  <c r="Q823" i="3" s="1"/>
  <c r="AQ321" i="2"/>
  <c r="AQ549" i="2"/>
  <c r="Q1330" i="3" s="1"/>
  <c r="AQ459" i="2"/>
  <c r="Q577" i="3" s="1"/>
  <c r="AQ699" i="2"/>
  <c r="Q1479" i="3" s="1"/>
  <c r="AQ689" i="2"/>
  <c r="AQ733" i="2"/>
  <c r="AQ751" i="2"/>
  <c r="Q1530" i="3" s="1"/>
  <c r="AQ159" i="2"/>
  <c r="Q629" i="3" s="1"/>
  <c r="AQ701" i="2"/>
  <c r="AQ715" i="2"/>
  <c r="AQ625" i="2"/>
  <c r="AQ704" i="2"/>
  <c r="Q1484" i="3" s="1"/>
  <c r="AQ557" i="2"/>
  <c r="Q1337" i="3" s="1"/>
  <c r="AQ405" i="2"/>
  <c r="AQ764" i="2"/>
  <c r="Q1541" i="3" s="1"/>
  <c r="AQ649" i="2"/>
  <c r="AQ271" i="2"/>
  <c r="AQ137" i="2"/>
  <c r="Q378" i="3" s="1"/>
  <c r="AQ398" i="2"/>
  <c r="Q1073" i="3" s="1"/>
  <c r="AQ761" i="2"/>
  <c r="AQ591" i="2"/>
  <c r="Q535" i="3" s="1"/>
  <c r="AQ499" i="2"/>
  <c r="Q1271" i="3" s="1"/>
  <c r="AQ212" i="2"/>
  <c r="AQ653" i="2"/>
  <c r="Q1435" i="3" s="1"/>
  <c r="AQ597" i="2"/>
  <c r="Q1379" i="3" s="1"/>
  <c r="AQ713" i="2"/>
  <c r="AQ632" i="2"/>
  <c r="AQ438" i="2"/>
  <c r="AQ697" i="2"/>
  <c r="Q1477" i="3" s="1"/>
  <c r="AQ589" i="2"/>
  <c r="AQ337" i="2"/>
  <c r="Q923" i="3" s="1"/>
  <c r="AQ350" i="2"/>
  <c r="Q958" i="3" s="1"/>
  <c r="AQ370" i="2"/>
  <c r="AQ481" i="2"/>
  <c r="Q1253" i="3" s="1"/>
  <c r="AQ678" i="2"/>
  <c r="AQ680" i="2"/>
  <c r="AQ645" i="2"/>
  <c r="Q1427" i="3" s="1"/>
  <c r="AQ628" i="2"/>
  <c r="AQ742" i="2"/>
  <c r="AQ548" i="2"/>
  <c r="Q1328" i="3" s="1"/>
  <c r="AQ552" i="2"/>
  <c r="Q1333" i="3" s="1"/>
  <c r="AQ636" i="2"/>
  <c r="Q1418" i="3" s="1"/>
  <c r="AQ434" i="2"/>
  <c r="AQ431" i="2"/>
  <c r="Q1149" i="3" s="1"/>
  <c r="AQ377" i="2"/>
  <c r="Q1028" i="3" s="1"/>
  <c r="AQ520" i="2"/>
  <c r="AQ466" i="2"/>
  <c r="Q1222" i="3" s="1"/>
  <c r="AQ669" i="2"/>
  <c r="Q1450" i="3" s="1"/>
  <c r="AQ721" i="2"/>
  <c r="AQ138" i="2"/>
  <c r="AQ514" i="2"/>
  <c r="AQ535" i="2"/>
  <c r="AQ317" i="2"/>
  <c r="Q858" i="3" s="1"/>
  <c r="AQ682" i="2"/>
  <c r="Q1463" i="3" s="1"/>
  <c r="AQ534" i="2"/>
  <c r="Q1312" i="3" s="1"/>
  <c r="AQ528" i="2"/>
  <c r="Q1306" i="3" s="1"/>
  <c r="AQ581" i="2"/>
  <c r="Q1367" i="3" s="1"/>
  <c r="AQ529" i="2"/>
  <c r="AQ393" i="2"/>
  <c r="AQ729" i="2"/>
  <c r="AQ693" i="2"/>
  <c r="Q1473" i="3" s="1"/>
  <c r="AQ587" i="2"/>
  <c r="AQ157" i="2"/>
  <c r="AQ30" i="2"/>
  <c r="AQ397" i="2"/>
  <c r="AQ351" i="2"/>
  <c r="AQ219" i="2"/>
  <c r="AQ89" i="2"/>
  <c r="AQ275" i="2"/>
  <c r="AQ191" i="2"/>
  <c r="Q1214" i="3" s="1"/>
  <c r="AQ224" i="2"/>
  <c r="AQ366" i="2"/>
  <c r="AQ228" i="2"/>
  <c r="AQ92" i="2"/>
  <c r="AQ150" i="2"/>
  <c r="Q1308" i="3" s="1"/>
  <c r="AQ187" i="2"/>
  <c r="AQ94" i="2"/>
  <c r="AQ129" i="2"/>
  <c r="Q942" i="3" s="1"/>
  <c r="AQ166" i="2"/>
  <c r="AQ512" i="2"/>
  <c r="AQ130" i="2"/>
  <c r="Q1307" i="3" s="1"/>
  <c r="AQ160" i="2"/>
  <c r="AQ124" i="2"/>
  <c r="AQ128" i="2"/>
  <c r="AQ73" i="2"/>
  <c r="AQ208" i="2"/>
  <c r="AQ58" i="2"/>
  <c r="AQ378" i="2"/>
  <c r="AQ489" i="2"/>
  <c r="AQ45" i="2"/>
  <c r="AQ100" i="2"/>
  <c r="AQ264" i="2"/>
  <c r="AQ249" i="2"/>
  <c r="AQ302" i="2"/>
  <c r="AQ61" i="2"/>
  <c r="AQ220" i="2"/>
  <c r="AQ33" i="2"/>
  <c r="AQ116" i="2"/>
  <c r="AQ104" i="2"/>
  <c r="AQ287" i="2"/>
  <c r="AQ380" i="2"/>
  <c r="AQ151" i="2"/>
  <c r="AQ181" i="2"/>
  <c r="AQ227" i="2"/>
  <c r="AQ399" i="2"/>
  <c r="AD843" i="3"/>
  <c r="AD376" i="3"/>
  <c r="AD836" i="3"/>
  <c r="T5" i="8"/>
  <c r="T7" i="8"/>
  <c r="T10" i="8"/>
  <c r="T16" i="8"/>
  <c r="T17" i="8"/>
  <c r="T18" i="8"/>
  <c r="T19" i="8"/>
  <c r="T12" i="8"/>
  <c r="Q19" i="8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Q1419" i="3" l="1"/>
  <c r="Q183" i="3"/>
  <c r="Q398" i="3"/>
  <c r="AQ355" i="2"/>
  <c r="Q967" i="3" s="1"/>
  <c r="AQ331" i="2"/>
  <c r="Q907" i="3" s="1"/>
  <c r="Q87" i="3"/>
  <c r="AQ726" i="2"/>
  <c r="AQ314" i="2"/>
  <c r="Q841" i="3" s="1"/>
  <c r="AQ648" i="2"/>
  <c r="Q1430" i="3" s="1"/>
  <c r="AQ132" i="2"/>
  <c r="AQ629" i="2"/>
  <c r="AQ354" i="2"/>
  <c r="Q492" i="3" s="1"/>
  <c r="Q385" i="3"/>
  <c r="Q111" i="3"/>
  <c r="Q1449" i="3"/>
  <c r="Q528" i="3"/>
  <c r="Q188" i="3"/>
  <c r="Q244" i="3"/>
  <c r="Q416" i="3"/>
  <c r="Q230" i="3"/>
  <c r="Q270" i="3"/>
  <c r="Q309" i="3"/>
  <c r="Q151" i="3"/>
  <c r="Q311" i="3"/>
  <c r="Q226" i="3"/>
  <c r="Q331" i="3"/>
  <c r="Q1059" i="3"/>
  <c r="Q402" i="3"/>
  <c r="Q220" i="3"/>
  <c r="Q241" i="3"/>
  <c r="Q439" i="3"/>
  <c r="Q351" i="3"/>
  <c r="Q1111" i="3"/>
  <c r="Q366" i="3"/>
  <c r="Q1277" i="3"/>
  <c r="Q269" i="3"/>
  <c r="Q357" i="3"/>
  <c r="AQ550" i="2"/>
  <c r="Q1331" i="3" s="1"/>
  <c r="Q628" i="3"/>
  <c r="Q13" i="3"/>
  <c r="Q1538" i="3"/>
  <c r="Q271" i="3"/>
  <c r="Q1297" i="3"/>
  <c r="Q147" i="3"/>
  <c r="Q479" i="3"/>
  <c r="Q1431" i="3"/>
  <c r="Q48" i="3"/>
  <c r="Q433" i="3"/>
  <c r="Q1167" i="3"/>
  <c r="Q358" i="3"/>
  <c r="Q287" i="3"/>
  <c r="Q304" i="3"/>
  <c r="Q394" i="3"/>
  <c r="AQ384" i="2"/>
  <c r="Q1038" i="3" s="1"/>
  <c r="AQ582" i="2"/>
  <c r="Q1368" i="3" s="1"/>
  <c r="AQ644" i="2"/>
  <c r="Q1426" i="3" s="1"/>
  <c r="AQ598" i="2"/>
  <c r="Q1380" i="3" s="1"/>
  <c r="AQ502" i="2"/>
  <c r="Q1274" i="3" s="1"/>
  <c r="AQ15" i="2"/>
  <c r="AQ594" i="2"/>
  <c r="Q1376" i="3" s="1"/>
  <c r="AQ665" i="2"/>
  <c r="Q1446" i="3" s="1"/>
  <c r="AQ722" i="2"/>
  <c r="Q1502" i="3" s="1"/>
  <c r="AQ624" i="2"/>
  <c r="Q1406" i="3" s="1"/>
  <c r="AQ608" i="2"/>
  <c r="Q1390" i="3" s="1"/>
  <c r="AQ386" i="2"/>
  <c r="AQ284" i="2"/>
  <c r="Q765" i="3" s="1"/>
  <c r="AQ453" i="2"/>
  <c r="Q1192" i="3" s="1"/>
  <c r="AQ27" i="2"/>
  <c r="AQ603" i="2"/>
  <c r="AQ493" i="2"/>
  <c r="AQ635" i="2"/>
  <c r="Q1417" i="3" s="1"/>
  <c r="AQ428" i="2"/>
  <c r="Q1141" i="3" s="1"/>
  <c r="AQ11" i="2"/>
  <c r="AQ569" i="2"/>
  <c r="Q1355" i="3" s="1"/>
  <c r="AQ727" i="2"/>
  <c r="Q1507" i="3" s="1"/>
  <c r="AQ643" i="2"/>
  <c r="Q1425" i="3" s="1"/>
  <c r="AQ762" i="2"/>
  <c r="Q1539" i="3" s="1"/>
  <c r="AQ437" i="2"/>
  <c r="AQ718" i="2"/>
  <c r="AQ395" i="2"/>
  <c r="Q1064" i="3" s="1"/>
  <c r="AQ385" i="2"/>
  <c r="Q1039" i="3" s="1"/>
  <c r="AQ599" i="2"/>
  <c r="AQ460" i="2"/>
  <c r="AQ57" i="2"/>
  <c r="AQ349" i="2"/>
  <c r="AQ86" i="2"/>
  <c r="AQ673" i="2"/>
  <c r="AQ614" i="2"/>
  <c r="AQ422" i="2"/>
  <c r="AQ541" i="2"/>
  <c r="Q1321" i="3" s="1"/>
  <c r="AQ543" i="2"/>
  <c r="AQ759" i="2"/>
  <c r="Q1537" i="3" s="1"/>
  <c r="AQ570" i="2"/>
  <c r="Q1356" i="3" s="1"/>
  <c r="AQ646" i="2"/>
  <c r="Q1428" i="3" s="1"/>
  <c r="AQ60" i="2"/>
  <c r="AQ698" i="2"/>
  <c r="AQ452" i="2"/>
  <c r="Q1191" i="3" s="1"/>
  <c r="AQ297" i="2"/>
  <c r="Q793" i="3" s="1"/>
  <c r="AQ745" i="2"/>
  <c r="AQ691" i="2"/>
  <c r="Q1471" i="3" s="1"/>
  <c r="AQ103" i="2"/>
  <c r="AQ404" i="2"/>
  <c r="AQ367" i="2"/>
  <c r="Q1003" i="3" s="1"/>
  <c r="AQ750" i="2"/>
  <c r="Q1529" i="3" s="1"/>
  <c r="AQ382" i="2"/>
  <c r="AQ465" i="2"/>
  <c r="AQ731" i="2"/>
  <c r="Q1511" i="3" s="1"/>
  <c r="AQ672" i="2"/>
  <c r="AQ361" i="2"/>
  <c r="AQ596" i="2"/>
  <c r="AQ174" i="2"/>
  <c r="Q393" i="3" s="1"/>
  <c r="AQ613" i="2"/>
  <c r="AQ765" i="2"/>
  <c r="Q1542" i="3" s="1"/>
  <c r="AQ757" i="2"/>
  <c r="AQ619" i="2"/>
  <c r="AQ681" i="2"/>
  <c r="Q1462" i="3" s="1"/>
  <c r="AQ725" i="2"/>
  <c r="Q1505" i="3" s="1"/>
  <c r="AQ243" i="2"/>
  <c r="Q558" i="3" s="1"/>
  <c r="AQ542" i="2"/>
  <c r="Q1322" i="3" s="1"/>
  <c r="AQ606" i="2"/>
  <c r="AQ730" i="2"/>
  <c r="Q1510" i="3" s="1"/>
  <c r="AQ449" i="2"/>
  <c r="Q1181" i="3" s="1"/>
  <c r="AQ29" i="2"/>
  <c r="AQ293" i="2"/>
  <c r="AQ500" i="2"/>
  <c r="Q609" i="3" s="1"/>
  <c r="AQ368" i="2"/>
  <c r="Q1010" i="3" s="1"/>
  <c r="AQ328" i="2"/>
  <c r="AQ320" i="2"/>
  <c r="Q864" i="3" s="1"/>
  <c r="AQ576" i="2"/>
  <c r="Q1362" i="3" s="1"/>
  <c r="AQ165" i="2"/>
  <c r="Q634" i="3" s="1"/>
  <c r="AQ580" i="2"/>
  <c r="Q1366" i="3" s="1"/>
  <c r="AQ232" i="2"/>
  <c r="Q397" i="3" s="1"/>
  <c r="AQ572" i="2"/>
  <c r="Q1358" i="3" s="1"/>
  <c r="AQ688" i="2"/>
  <c r="Q1468" i="3" s="1"/>
  <c r="AQ416" i="2"/>
  <c r="Q1115" i="3" s="1"/>
  <c r="AQ298" i="2"/>
  <c r="AQ28" i="2"/>
  <c r="AQ113" i="2"/>
  <c r="AQ454" i="2"/>
  <c r="AQ6" i="2"/>
  <c r="AQ525" i="2"/>
  <c r="AQ48" i="2"/>
  <c r="AQ256" i="2"/>
  <c r="AQ753" i="2"/>
  <c r="AQ716" i="2"/>
  <c r="Q495" i="3" s="1"/>
  <c r="AQ84" i="2"/>
  <c r="AQ638" i="2"/>
  <c r="AQ615" i="2"/>
  <c r="Q1071" i="3" s="1"/>
  <c r="AQ584" i="2"/>
  <c r="AQ435" i="2"/>
  <c r="AQ205" i="2"/>
  <c r="AQ145" i="2"/>
  <c r="AQ299" i="2"/>
  <c r="AQ93" i="2"/>
  <c r="AQ50" i="2"/>
  <c r="AQ479" i="2"/>
  <c r="Q1349" i="3" s="1"/>
  <c r="AQ634" i="2"/>
  <c r="Q1472" i="3" s="1"/>
  <c r="AQ661" i="2"/>
  <c r="Q1051" i="3" s="1"/>
  <c r="AQ211" i="2"/>
  <c r="Q184" i="3" s="1"/>
  <c r="AQ80" i="2"/>
  <c r="AQ356" i="2"/>
  <c r="Q796" i="3" s="1"/>
  <c r="AQ301" i="2"/>
  <c r="AQ563" i="2"/>
  <c r="Q1078" i="3" s="1"/>
  <c r="AQ196" i="2"/>
  <c r="AQ547" i="2"/>
  <c r="Q1074" i="3" s="1"/>
  <c r="AQ406" i="2"/>
  <c r="AQ90" i="2"/>
  <c r="Q594" i="3" s="1"/>
  <c r="AQ687" i="2"/>
  <c r="AQ421" i="2"/>
  <c r="Q1251" i="3" s="1"/>
  <c r="AQ183" i="2"/>
  <c r="AQ369" i="2"/>
  <c r="Q232" i="3" s="1"/>
  <c r="AQ46" i="2"/>
  <c r="AQ623" i="2"/>
  <c r="AQ342" i="2"/>
  <c r="Q614" i="3" s="1"/>
  <c r="AQ68" i="2"/>
  <c r="Q802" i="3" s="1"/>
  <c r="AQ724" i="2"/>
  <c r="AQ657" i="2"/>
  <c r="Q1339" i="3" s="1"/>
  <c r="AQ444" i="2"/>
  <c r="AQ308" i="2"/>
  <c r="Q1138" i="3" s="1"/>
  <c r="AQ108" i="2"/>
  <c r="AQ177" i="2"/>
  <c r="AQ176" i="2"/>
  <c r="AQ462" i="2"/>
  <c r="AQ414" i="2"/>
  <c r="Q906" i="3" s="1"/>
  <c r="AQ491" i="2"/>
  <c r="AQ42" i="2"/>
  <c r="AQ516" i="2"/>
  <c r="Q1063" i="3" s="1"/>
  <c r="AQ571" i="2"/>
  <c r="AQ352" i="2"/>
  <c r="Q658" i="3" s="1"/>
  <c r="AQ194" i="2"/>
  <c r="Q1103" i="3" s="1"/>
  <c r="AQ242" i="2"/>
  <c r="AQ526" i="2"/>
  <c r="AQ396" i="2"/>
  <c r="AQ20" i="2"/>
  <c r="AQ182" i="2"/>
  <c r="Q1089" i="3" s="1"/>
  <c r="AQ666" i="2"/>
  <c r="AQ64" i="2"/>
  <c r="AQ527" i="2"/>
  <c r="AQ140" i="2"/>
  <c r="Q645" i="3" s="1"/>
  <c r="AQ567" i="2"/>
  <c r="Q182" i="3" s="1"/>
  <c r="AQ135" i="2"/>
  <c r="AQ209" i="2"/>
  <c r="AQ756" i="2"/>
  <c r="AQ230" i="2"/>
  <c r="AQ215" i="2"/>
  <c r="Q743" i="3" s="1"/>
  <c r="AQ63" i="2"/>
  <c r="AQ148" i="2"/>
  <c r="Q1524" i="3" s="1"/>
  <c r="AQ259" i="2"/>
  <c r="AQ81" i="2"/>
  <c r="Q1122" i="3" s="1"/>
  <c r="AQ605" i="2"/>
  <c r="AQ544" i="2"/>
  <c r="AQ588" i="2"/>
  <c r="Q605" i="3" s="1"/>
  <c r="Q1493" i="3"/>
  <c r="AQ346" i="2"/>
  <c r="AQ127" i="2"/>
  <c r="AQ66" i="2"/>
  <c r="Q1233" i="3" s="1"/>
  <c r="AQ522" i="2"/>
  <c r="AQ290" i="2"/>
  <c r="AQ565" i="2"/>
  <c r="AQ365" i="2"/>
  <c r="AQ154" i="2"/>
  <c r="AQ175" i="2"/>
  <c r="AQ204" i="2"/>
  <c r="Q1533" i="3" s="1"/>
  <c r="AQ410" i="2"/>
  <c r="Q417" i="3" s="1"/>
  <c r="AQ292" i="2"/>
  <c r="AQ95" i="2"/>
  <c r="AQ19" i="2"/>
  <c r="AQ712" i="2"/>
  <c r="AQ16" i="2"/>
  <c r="AQ593" i="2"/>
  <c r="Q1148" i="3" s="1"/>
  <c r="AQ213" i="2"/>
  <c r="AQ372" i="2"/>
  <c r="Q788" i="3" s="1"/>
  <c r="AQ98" i="2"/>
  <c r="AQ222" i="2"/>
  <c r="AQ192" i="2"/>
  <c r="AQ59" i="2"/>
  <c r="Q69" i="3" s="1"/>
  <c r="Q1195" i="3"/>
  <c r="AQ501" i="2"/>
  <c r="AQ436" i="2"/>
  <c r="AQ111" i="2"/>
  <c r="Q1411" i="3" s="1"/>
  <c r="AQ330" i="2"/>
  <c r="Q1114" i="3" s="1"/>
  <c r="AQ363" i="2"/>
  <c r="Q548" i="3" s="1"/>
  <c r="AQ244" i="2"/>
  <c r="AQ556" i="2"/>
  <c r="AQ99" i="2"/>
  <c r="AQ494" i="2"/>
  <c r="Q691" i="3" s="1"/>
  <c r="AQ752" i="2"/>
  <c r="Q1133" i="3" s="1"/>
  <c r="Q1221" i="3"/>
  <c r="AQ296" i="2"/>
  <c r="AQ558" i="2"/>
  <c r="AQ655" i="2"/>
  <c r="AQ13" i="2"/>
  <c r="AQ147" i="2"/>
  <c r="AQ206" i="2"/>
  <c r="AQ480" i="2"/>
  <c r="AQ443" i="2"/>
  <c r="Q1075" i="3" s="1"/>
  <c r="AQ305" i="2"/>
  <c r="Q1125" i="3" s="1"/>
  <c r="AQ240" i="2"/>
  <c r="AQ247" i="2"/>
  <c r="Q1226" i="3"/>
  <c r="AQ288" i="2"/>
  <c r="AQ65" i="2"/>
  <c r="AQ304" i="2"/>
  <c r="AQ383" i="2"/>
  <c r="AQ433" i="2"/>
  <c r="AQ492" i="2"/>
  <c r="AQ47" i="2"/>
  <c r="AQ695" i="2"/>
  <c r="Q917" i="3" s="1"/>
  <c r="AQ255" i="2"/>
  <c r="AQ307" i="2"/>
  <c r="Q356" i="3" s="1"/>
  <c r="AQ376" i="2"/>
  <c r="Q1127" i="3" s="1"/>
  <c r="AQ652" i="2"/>
  <c r="AQ236" i="2"/>
  <c r="Q428" i="3" s="1"/>
  <c r="AQ56" i="2"/>
  <c r="Q1215" i="3" s="1"/>
  <c r="AQ97" i="2"/>
  <c r="AQ341" i="2"/>
  <c r="AQ91" i="2"/>
  <c r="AQ101" i="2"/>
  <c r="AQ442" i="2"/>
  <c r="Q1521" i="3"/>
  <c r="AQ312" i="2"/>
  <c r="AQ70" i="2"/>
  <c r="AQ420" i="2"/>
  <c r="Q135" i="3" s="1"/>
  <c r="AQ717" i="2"/>
  <c r="Q161" i="3" s="1"/>
  <c r="AQ178" i="2"/>
  <c r="AQ117" i="2"/>
  <c r="AQ12" i="2"/>
  <c r="Q237" i="3" s="1"/>
  <c r="AQ251" i="2"/>
  <c r="Q875" i="3" s="1"/>
  <c r="AQ118" i="2"/>
  <c r="AQ23" i="2"/>
  <c r="AQ5" i="2"/>
  <c r="Q35" i="3" s="1"/>
  <c r="AQ702" i="2"/>
  <c r="AQ168" i="2"/>
  <c r="AQ119" i="2"/>
  <c r="AQ53" i="2"/>
  <c r="AQ507" i="2"/>
  <c r="AQ373" i="2"/>
  <c r="AQ221" i="2"/>
  <c r="Q1151" i="3" s="1"/>
  <c r="AQ413" i="2"/>
  <c r="Q16" i="3" s="1"/>
  <c r="AQ142" i="2"/>
  <c r="AQ524" i="2"/>
  <c r="Q708" i="3" s="1"/>
  <c r="AQ36" i="2"/>
  <c r="AQ639" i="2"/>
  <c r="AQ511" i="2"/>
  <c r="Q1178" i="3" s="1"/>
  <c r="AQ51" i="2"/>
  <c r="AQ553" i="2"/>
  <c r="Q718" i="3" s="1"/>
  <c r="AQ202" i="2"/>
  <c r="Q85" i="3" s="1"/>
  <c r="AQ555" i="2"/>
  <c r="AQ463" i="2"/>
  <c r="AQ266" i="2"/>
  <c r="AQ457" i="2"/>
  <c r="AQ562" i="2"/>
  <c r="AQ286" i="2"/>
  <c r="AQ149" i="2"/>
  <c r="Q1509" i="3"/>
  <c r="AQ471" i="2"/>
  <c r="AQ22" i="2"/>
  <c r="AQ455" i="2"/>
  <c r="Q1034" i="3" s="1"/>
  <c r="AQ193" i="2"/>
  <c r="AQ469" i="2"/>
  <c r="AQ324" i="2"/>
  <c r="AQ88" i="2"/>
  <c r="AQ662" i="2"/>
  <c r="AQ327" i="2"/>
  <c r="AQ461" i="2"/>
  <c r="AQ126" i="2"/>
  <c r="AQ267" i="2"/>
  <c r="Q532" i="3" s="1"/>
  <c r="AQ602" i="2"/>
  <c r="AQ651" i="2"/>
  <c r="AQ577" i="2"/>
  <c r="Q107" i="3" s="1"/>
  <c r="AQ235" i="2"/>
  <c r="AQ79" i="2"/>
  <c r="Q1396" i="3" s="1"/>
  <c r="AQ257" i="2"/>
  <c r="Q354" i="3" s="1"/>
  <c r="AQ322" i="2"/>
  <c r="AQ114" i="2"/>
  <c r="AQ218" i="2"/>
  <c r="Q1495" i="3" s="1"/>
  <c r="AQ9" i="2"/>
  <c r="AQ289" i="2"/>
  <c r="Q1160" i="3" s="1"/>
  <c r="AQ621" i="2"/>
  <c r="AQ344" i="2"/>
  <c r="Q1123" i="3" s="1"/>
  <c r="AQ674" i="2"/>
  <c r="AQ285" i="2"/>
  <c r="Q1513" i="3" s="1"/>
  <c r="AQ371" i="2"/>
  <c r="Q843" i="3" s="1"/>
  <c r="AQ734" i="2"/>
  <c r="AQ573" i="2"/>
  <c r="Q518" i="3" s="1"/>
  <c r="AQ123" i="2"/>
  <c r="AQ600" i="2"/>
  <c r="Q405" i="3" s="1"/>
  <c r="AQ217" i="2"/>
  <c r="AQ78" i="2"/>
  <c r="AQ521" i="2"/>
  <c r="AQ8" i="2"/>
  <c r="AQ62" i="2"/>
  <c r="AQ234" i="2"/>
  <c r="Q711" i="3" s="1"/>
  <c r="AQ231" i="2"/>
  <c r="AQ246" i="2"/>
  <c r="AQ233" i="2"/>
  <c r="Q1522" i="3" s="1"/>
  <c r="AQ441" i="2"/>
  <c r="Q510" i="3" s="1"/>
  <c r="AQ432" i="2"/>
  <c r="AQ120" i="2"/>
  <c r="AQ26" i="2"/>
  <c r="AQ714" i="2"/>
  <c r="Q238" i="3" s="1"/>
  <c r="AQ295" i="2"/>
  <c r="Q848" i="3" s="1"/>
  <c r="AQ323" i="2"/>
  <c r="Q749" i="3" s="1"/>
  <c r="AQ477" i="2"/>
  <c r="AQ310" i="2"/>
  <c r="AQ348" i="2"/>
  <c r="Q489" i="3" s="1"/>
  <c r="AQ171" i="2"/>
  <c r="Q1242" i="3" s="1"/>
  <c r="AQ533" i="2"/>
  <c r="AQ273" i="2"/>
  <c r="AQ281" i="2"/>
  <c r="Q921" i="3" s="1"/>
  <c r="AQ403" i="2"/>
  <c r="Q894" i="3" s="1"/>
  <c r="AQ262" i="2"/>
  <c r="AQ34" i="2"/>
  <c r="AQ495" i="2"/>
  <c r="Q1001" i="3" s="1"/>
  <c r="AQ133" i="2"/>
  <c r="AQ203" i="2"/>
  <c r="AQ112" i="2"/>
  <c r="AQ190" i="2"/>
  <c r="AQ392" i="2"/>
  <c r="Q491" i="3" s="1"/>
  <c r="AQ728" i="2"/>
  <c r="AQ335" i="2"/>
  <c r="AQ278" i="2"/>
  <c r="Q1363" i="3" s="1"/>
  <c r="AQ685" i="2"/>
  <c r="AQ498" i="2"/>
  <c r="AQ184" i="2"/>
  <c r="AQ518" i="2"/>
  <c r="AQ735" i="2"/>
  <c r="AQ545" i="2"/>
  <c r="AQ523" i="2"/>
  <c r="Q1237" i="3" s="1"/>
  <c r="AQ283" i="2"/>
  <c r="AQ315" i="2"/>
  <c r="AQ74" i="2"/>
  <c r="AQ144" i="2"/>
  <c r="AQ496" i="2"/>
  <c r="Q1175" i="3" s="1"/>
  <c r="AQ87" i="2"/>
  <c r="AQ703" i="2"/>
  <c r="Q1481" i="3" s="1"/>
  <c r="AQ690" i="2"/>
  <c r="AQ167" i="2"/>
  <c r="AQ186" i="2"/>
  <c r="Q803" i="3" s="1"/>
  <c r="AQ357" i="2"/>
  <c r="Q482" i="3" s="1"/>
  <c r="AQ107" i="2"/>
  <c r="Q1084" i="3" s="1"/>
  <c r="AQ631" i="2"/>
  <c r="AQ311" i="2"/>
  <c r="Q1061" i="3" s="1"/>
  <c r="AQ170" i="2"/>
  <c r="Q1199" i="3" s="1"/>
  <c r="AQ303" i="2"/>
  <c r="AQ69" i="2"/>
  <c r="AQ656" i="2"/>
  <c r="AQ115" i="2"/>
  <c r="AQ185" i="2"/>
  <c r="AQ503" i="2"/>
  <c r="AQ55" i="2"/>
  <c r="AQ31" i="2"/>
  <c r="AQ237" i="2"/>
  <c r="Q612" i="3" s="1"/>
  <c r="AQ197" i="2"/>
  <c r="AQ732" i="2"/>
  <c r="Q770" i="3" s="1"/>
  <c r="AQ172" i="2"/>
  <c r="Q1163" i="3" s="1"/>
  <c r="AQ156" i="2"/>
  <c r="AQ630" i="2"/>
  <c r="AQ82" i="2"/>
  <c r="AQ456" i="2"/>
  <c r="Q37" i="3" s="1"/>
  <c r="AQ719" i="2"/>
  <c r="Q983" i="3" s="1"/>
  <c r="AQ214" i="2"/>
  <c r="AQ268" i="2"/>
  <c r="AQ345" i="2"/>
  <c r="Q1042" i="3" s="1"/>
  <c r="AQ277" i="2"/>
  <c r="Q852" i="3" s="1"/>
  <c r="AQ739" i="2"/>
  <c r="AQ706" i="2"/>
  <c r="AQ478" i="2"/>
  <c r="Q350" i="3" s="1"/>
  <c r="AQ200" i="2"/>
  <c r="AQ339" i="2"/>
  <c r="AQ561" i="2"/>
  <c r="AQ37" i="2"/>
  <c r="AQ265" i="2"/>
  <c r="AQ709" i="2"/>
  <c r="Q130" i="3" s="1"/>
  <c r="AQ258" i="2"/>
  <c r="AQ487" i="2"/>
  <c r="Q836" i="3" s="1"/>
  <c r="AQ633" i="2"/>
  <c r="AQ374" i="2"/>
  <c r="AQ223" i="2"/>
  <c r="AQ40" i="2"/>
  <c r="AQ402" i="2"/>
  <c r="AQ407" i="2"/>
  <c r="Q142" i="3" s="1"/>
  <c r="AQ238" i="2"/>
  <c r="Q1026" i="3" s="1"/>
  <c r="AQ519" i="2"/>
  <c r="AQ472" i="2"/>
  <c r="Q427" i="3" s="1"/>
  <c r="AQ254" i="2"/>
  <c r="AQ155" i="2"/>
  <c r="Q295" i="3" s="1"/>
  <c r="AQ248" i="2"/>
  <c r="Q584" i="3"/>
  <c r="AQ294" i="2"/>
  <c r="AQ263" i="2"/>
  <c r="Q1072" i="3" s="1"/>
  <c r="AQ131" i="2"/>
  <c r="AQ32" i="2"/>
  <c r="AQ198" i="2"/>
  <c r="Q758" i="3" s="1"/>
  <c r="AQ44" i="2"/>
  <c r="Q1476" i="3" s="1"/>
  <c r="AQ282" i="2"/>
  <c r="Q61" i="3" s="1"/>
  <c r="AQ179" i="2"/>
  <c r="AQ49" i="2"/>
  <c r="AQ125" i="2"/>
  <c r="AQ272" i="2"/>
  <c r="AQ291" i="2"/>
  <c r="AQ467" i="2"/>
  <c r="AQ152" i="2"/>
  <c r="Q504" i="3" s="1"/>
  <c r="AQ7" i="2"/>
  <c r="AQ458" i="2"/>
  <c r="AQ536" i="2"/>
  <c r="Q1248" i="3" s="1"/>
  <c r="AQ25" i="2"/>
  <c r="AQ336" i="2"/>
  <c r="Q1009" i="3" s="1"/>
  <c r="AQ338" i="2"/>
  <c r="AQ424" i="2"/>
  <c r="AQ513" i="2"/>
  <c r="Q392" i="3" s="1"/>
  <c r="AQ640" i="2"/>
  <c r="Q82" i="3" s="1"/>
  <c r="AQ425" i="2"/>
  <c r="AQ575" i="2"/>
  <c r="Q1098" i="3" s="1"/>
  <c r="AQ39" i="2"/>
  <c r="AQ318" i="2"/>
  <c r="AQ17" i="2"/>
  <c r="AQ566" i="2"/>
  <c r="Q545" i="3" s="1"/>
  <c r="AQ309" i="2"/>
  <c r="AQ604" i="2"/>
  <c r="AQ188" i="2"/>
  <c r="AQ490" i="2"/>
  <c r="AQ476" i="2"/>
  <c r="AQ617" i="2"/>
  <c r="AQ601" i="2"/>
  <c r="AQ389" i="2"/>
  <c r="Q342" i="3" s="1"/>
  <c r="AQ647" i="2"/>
  <c r="AQ76" i="2"/>
  <c r="AQ430" i="2"/>
  <c r="AQ390" i="2"/>
  <c r="AQ245" i="2"/>
  <c r="AQ381" i="2"/>
  <c r="AQ475" i="2"/>
  <c r="AQ488" i="2"/>
  <c r="AQ83" i="2"/>
  <c r="AQ105" i="2"/>
  <c r="AQ586" i="2"/>
  <c r="AQ607" i="2"/>
  <c r="AQ173" i="2"/>
  <c r="AQ164" i="2"/>
  <c r="AQ300" i="2"/>
  <c r="Q1220" i="3" s="1"/>
  <c r="AQ136" i="2"/>
  <c r="AQ468" i="2"/>
  <c r="AQ10" i="2"/>
  <c r="AQ474" i="2"/>
  <c r="Q632" i="3" s="1"/>
  <c r="AQ276" i="2"/>
  <c r="Q487" i="3" s="1"/>
  <c r="AQ531" i="2"/>
  <c r="AQ583" i="2"/>
  <c r="Q1176" i="3" s="1"/>
  <c r="AQ163" i="2"/>
  <c r="AQ482" i="2"/>
  <c r="Q131" i="3" s="1"/>
  <c r="AQ226" i="2"/>
  <c r="AQ590" i="2"/>
  <c r="AQ445" i="2"/>
  <c r="AQ313" i="2"/>
  <c r="AQ85" i="2"/>
  <c r="Q1498" i="3" s="1"/>
  <c r="AQ677" i="2"/>
  <c r="AQ391" i="2"/>
  <c r="AQ540" i="2"/>
  <c r="AQ14" i="2"/>
  <c r="AQ464" i="2"/>
  <c r="Q698" i="3" s="1"/>
  <c r="AQ71" i="2"/>
  <c r="AQ609" i="2"/>
  <c r="AQ75" i="2"/>
  <c r="AQ738" i="2"/>
  <c r="AQ121" i="2"/>
  <c r="Q583" i="3" s="1"/>
  <c r="AQ326" i="2"/>
  <c r="Q750" i="3" s="1"/>
  <c r="AQ626" i="2"/>
  <c r="AQ551" i="2"/>
  <c r="Q847" i="3" s="1"/>
  <c r="D11" i="8"/>
  <c r="Z11" i="8" s="1"/>
  <c r="D6" i="8"/>
  <c r="Z6" i="8" s="1"/>
  <c r="AD998" i="3"/>
  <c r="AD1000" i="3"/>
  <c r="AD1403" i="3"/>
  <c r="AD1536" i="3"/>
  <c r="D8" i="8"/>
  <c r="Y8" i="8" s="1"/>
  <c r="AD80" i="3"/>
  <c r="Q9" i="8"/>
  <c r="AD532" i="3"/>
  <c r="AD1065" i="3"/>
  <c r="AD1512" i="3"/>
  <c r="AD1507" i="3"/>
  <c r="AD1436" i="3"/>
  <c r="AD1457" i="3"/>
  <c r="AD1051" i="3"/>
  <c r="AD161" i="3"/>
  <c r="AD797" i="3"/>
  <c r="AD658" i="3"/>
  <c r="AD580" i="3"/>
  <c r="AD972" i="3"/>
  <c r="AD798" i="3"/>
  <c r="AD609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673" i="3"/>
  <c r="AD966" i="3"/>
  <c r="AD1111" i="3"/>
  <c r="AD1349" i="3"/>
  <c r="AD1438" i="3"/>
  <c r="AD1107" i="3"/>
  <c r="AD775" i="3"/>
  <c r="AD767" i="3"/>
  <c r="AD898" i="3"/>
  <c r="AD253" i="3"/>
  <c r="AD1239" i="3"/>
  <c r="AD778" i="3"/>
  <c r="AD483" i="3"/>
  <c r="AD351" i="3"/>
  <c r="AD1268" i="3"/>
  <c r="AD1267" i="3"/>
  <c r="AD950" i="3"/>
  <c r="AD527" i="3"/>
  <c r="AD1062" i="3"/>
  <c r="AD1169" i="3"/>
  <c r="AD116" i="3"/>
  <c r="AD671" i="3"/>
  <c r="AD1394" i="3"/>
  <c r="AD887" i="3"/>
  <c r="AD1096" i="3"/>
  <c r="AD1304" i="3"/>
  <c r="AD582" i="3"/>
  <c r="AD611" i="3"/>
  <c r="AD1525" i="3"/>
  <c r="AD1342" i="3"/>
  <c r="AD978" i="3"/>
  <c r="AD1473" i="3"/>
  <c r="AD850" i="3"/>
  <c r="AD570" i="3"/>
  <c r="AD1160" i="3"/>
  <c r="AD1089" i="3"/>
  <c r="AD613" i="3"/>
  <c r="AD920" i="3"/>
  <c r="AD1426" i="3"/>
  <c r="AD32" i="3"/>
  <c r="AD1431" i="3"/>
  <c r="AD732" i="3"/>
  <c r="AD498" i="3"/>
  <c r="AD718" i="3"/>
  <c r="AD242" i="3"/>
  <c r="AD1395" i="3"/>
  <c r="AD405" i="3"/>
  <c r="AD1215" i="3"/>
  <c r="AD1435" i="3"/>
  <c r="AD889" i="3"/>
  <c r="AD85" i="3"/>
  <c r="AD957" i="3"/>
  <c r="AD905" i="3"/>
  <c r="AD971" i="3"/>
  <c r="AD215" i="3"/>
  <c r="AD1399" i="3"/>
  <c r="AD544" i="3"/>
  <c r="AD261" i="3"/>
  <c r="AD546" i="3"/>
  <c r="AD48" i="3"/>
  <c r="AD1381" i="3"/>
  <c r="AD1151" i="3"/>
  <c r="AD459" i="3"/>
  <c r="AD1153" i="3"/>
  <c r="AD860" i="3"/>
  <c r="AD1279" i="3"/>
  <c r="AD650" i="3"/>
  <c r="AD1498" i="3"/>
  <c r="AD754" i="3"/>
  <c r="AD679" i="3"/>
  <c r="AD907" i="3"/>
  <c r="AD1311" i="3"/>
  <c r="AD1221" i="3"/>
  <c r="AD822" i="3"/>
  <c r="AD715" i="3"/>
  <c r="AD552" i="3"/>
  <c r="AD44" i="3"/>
  <c r="AD1132" i="3"/>
  <c r="AD1542" i="3"/>
  <c r="AD1355" i="3"/>
  <c r="AD1068" i="3"/>
  <c r="AD848" i="3"/>
  <c r="AD1496" i="3"/>
  <c r="AD1280" i="3"/>
  <c r="AD1288" i="3"/>
  <c r="AD484" i="3"/>
  <c r="AD356" i="3"/>
  <c r="AD391" i="3"/>
  <c r="AD537" i="3"/>
  <c r="AD955" i="3"/>
  <c r="AD630" i="3"/>
  <c r="AD110" i="3"/>
  <c r="AD935" i="3"/>
  <c r="AD973" i="3"/>
  <c r="AD942" i="3"/>
  <c r="AD990" i="3"/>
  <c r="AD325" i="3"/>
  <c r="AD1057" i="3"/>
  <c r="AD296" i="3"/>
  <c r="AD1406" i="3"/>
  <c r="AD1112" i="3"/>
  <c r="AD1167" i="3"/>
  <c r="AD1521" i="3"/>
  <c r="AD179" i="3"/>
  <c r="AD964" i="3"/>
  <c r="AD362" i="3"/>
  <c r="AD1368" i="3"/>
  <c r="AD1200" i="3"/>
  <c r="AD1485" i="3"/>
  <c r="AD577" i="3"/>
  <c r="AD386" i="3"/>
  <c r="AD1330" i="3"/>
  <c r="AD1484" i="3"/>
  <c r="AD911" i="3"/>
  <c r="AD1233" i="3"/>
  <c r="AD255" i="3"/>
  <c r="AD878" i="3"/>
  <c r="AD619" i="3"/>
  <c r="AD411" i="3"/>
  <c r="AD303" i="3"/>
  <c r="AD1150" i="3"/>
  <c r="AD1189" i="3"/>
  <c r="AD1372" i="3"/>
  <c r="AD959" i="3"/>
  <c r="AD877" i="3"/>
  <c r="AD944" i="3"/>
  <c r="AD663" i="3"/>
  <c r="AD509" i="3"/>
  <c r="AD792" i="3"/>
  <c r="AD726" i="3"/>
  <c r="AD1122" i="3"/>
  <c r="AD1123" i="3"/>
  <c r="AD463" i="3"/>
  <c r="AD547" i="3"/>
  <c r="AD150" i="3"/>
  <c r="AD165" i="3"/>
  <c r="AD924" i="3"/>
  <c r="AD752" i="3"/>
  <c r="AD693" i="3"/>
  <c r="AD1194" i="3"/>
  <c r="AD1326" i="3"/>
  <c r="AD1162" i="3"/>
  <c r="AD612" i="3"/>
  <c r="AD1513" i="3"/>
  <c r="AD181" i="3"/>
  <c r="AD1018" i="3"/>
  <c r="AD672" i="3"/>
  <c r="AD1115" i="3"/>
  <c r="AD1492" i="3"/>
  <c r="AD234" i="3"/>
  <c r="AD1011" i="3"/>
  <c r="AD853" i="3"/>
  <c r="AD467" i="3"/>
  <c r="AD262" i="3"/>
  <c r="AD157" i="3"/>
  <c r="AD632" i="3"/>
  <c r="AD88" i="3"/>
  <c r="AD796" i="3"/>
  <c r="AD635" i="3"/>
  <c r="AD1058" i="3"/>
  <c r="AD991" i="3"/>
  <c r="AD637" i="3"/>
  <c r="AD97" i="3"/>
  <c r="AD988" i="3"/>
  <c r="AD1271" i="3"/>
  <c r="AD66" i="3"/>
  <c r="AD394" i="3"/>
  <c r="AD1166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Q970" i="3" l="1"/>
  <c r="Q1378" i="3"/>
  <c r="Q1266" i="3"/>
  <c r="Q1353" i="3"/>
  <c r="Q1162" i="3"/>
  <c r="Q72" i="3"/>
  <c r="Q1465" i="3"/>
  <c r="Q1150" i="3"/>
  <c r="Q1518" i="3"/>
  <c r="Q462" i="3"/>
  <c r="Q1458" i="3"/>
  <c r="Q960" i="3"/>
  <c r="Q132" i="3"/>
  <c r="Q1036" i="3"/>
  <c r="Q1231" i="3"/>
  <c r="Q1400" i="3"/>
  <c r="Q444" i="3"/>
  <c r="Q861" i="3"/>
  <c r="Q1392" i="3"/>
  <c r="Q265" i="3"/>
  <c r="Q1118" i="3"/>
  <c r="Q386" i="3"/>
  <c r="Q1053" i="3"/>
  <c r="Q1296" i="3"/>
  <c r="Q23" i="3"/>
  <c r="Q81" i="3"/>
  <c r="Q873" i="3"/>
  <c r="Q1470" i="3"/>
  <c r="Q1014" i="3"/>
  <c r="Q918" i="3"/>
  <c r="Q255" i="3"/>
  <c r="Q242" i="3"/>
  <c r="Q169" i="3"/>
  <c r="Q647" i="3"/>
  <c r="Q1455" i="3"/>
  <c r="Q1065" i="3"/>
  <c r="Q1216" i="3"/>
  <c r="Q1228" i="3"/>
  <c r="Q34" i="3"/>
  <c r="Q215" i="3"/>
  <c r="Q551" i="3"/>
  <c r="Q779" i="3"/>
  <c r="Q308" i="3"/>
  <c r="Q163" i="3"/>
  <c r="Q160" i="3"/>
  <c r="Q173" i="3"/>
  <c r="Q64" i="3"/>
  <c r="Q186" i="3"/>
  <c r="Q672" i="3"/>
  <c r="Q570" i="3"/>
  <c r="Q83" i="3"/>
  <c r="Q599" i="3"/>
  <c r="Q219" i="3"/>
  <c r="Q1453" i="3"/>
  <c r="Q36" i="3"/>
  <c r="Q395" i="3"/>
  <c r="Q140" i="3"/>
  <c r="Q322" i="3"/>
  <c r="Q362" i="3"/>
  <c r="Q1004" i="3"/>
  <c r="Q198" i="3"/>
  <c r="Q1155" i="3"/>
  <c r="Q1405" i="3"/>
  <c r="Q1013" i="3"/>
  <c r="Q1370" i="3"/>
  <c r="Q1166" i="3"/>
  <c r="Q1302" i="3"/>
  <c r="Q1525" i="3"/>
  <c r="Q115" i="3"/>
  <c r="Q389" i="3"/>
  <c r="Q1113" i="3"/>
  <c r="Q1316" i="3"/>
  <c r="Q18" i="3"/>
  <c r="Q1219" i="3"/>
  <c r="Q501" i="3"/>
  <c r="Q172" i="3"/>
  <c r="Q283" i="3"/>
  <c r="Q920" i="3"/>
  <c r="Q608" i="3"/>
  <c r="Q1172" i="3"/>
  <c r="Q252" i="3"/>
  <c r="Q100" i="3"/>
  <c r="Q1246" i="3"/>
  <c r="Q360" i="3"/>
  <c r="Q947" i="3"/>
  <c r="Q523" i="3"/>
  <c r="Q1388" i="3"/>
  <c r="Q1486" i="3"/>
  <c r="Q1210" i="3"/>
  <c r="Q90" i="3"/>
  <c r="Q1461" i="3"/>
  <c r="Q262" i="3"/>
  <c r="Q1325" i="3"/>
  <c r="Q1182" i="3"/>
  <c r="Q1508" i="3"/>
  <c r="Q653" i="3"/>
  <c r="Q576" i="3"/>
  <c r="Q426" i="3"/>
  <c r="Q453" i="3"/>
  <c r="Q1066" i="3"/>
  <c r="Q381" i="3"/>
  <c r="Q253" i="3"/>
  <c r="Q522" i="3"/>
  <c r="Q1090" i="3"/>
  <c r="Q1336" i="3"/>
  <c r="Q1129" i="3"/>
  <c r="Q1482" i="3"/>
  <c r="Q467" i="3"/>
  <c r="Q1375" i="3"/>
  <c r="Q537" i="3"/>
  <c r="Q1057" i="3"/>
  <c r="Q1492" i="3"/>
  <c r="Q1287" i="3"/>
  <c r="Q104" i="3"/>
  <c r="Q1447" i="3"/>
  <c r="Q926" i="3"/>
  <c r="Q1357" i="3"/>
  <c r="Q418" i="3"/>
  <c r="Q1225" i="3"/>
  <c r="Q168" i="3"/>
  <c r="Q630" i="3"/>
  <c r="Q525" i="3"/>
  <c r="Q1323" i="3"/>
  <c r="Q26" i="3"/>
  <c r="Q964" i="3"/>
  <c r="Q179" i="3"/>
  <c r="Q1437" i="3"/>
  <c r="Q1391" i="3"/>
  <c r="Q774" i="3"/>
  <c r="Q1389" i="3"/>
  <c r="Q839" i="3"/>
  <c r="Q208" i="3"/>
  <c r="Q1134" i="3"/>
  <c r="Q409" i="3"/>
  <c r="Q1173" i="3"/>
  <c r="Q1519" i="3"/>
  <c r="Q701" i="3"/>
  <c r="Q406" i="3"/>
  <c r="Q157" i="3"/>
  <c r="Q419" i="3"/>
  <c r="Q1515" i="3"/>
  <c r="Q1250" i="3"/>
  <c r="Q542" i="3"/>
  <c r="Q1403" i="3"/>
  <c r="Q1267" i="3"/>
  <c r="Q684" i="3"/>
  <c r="Q1443" i="3"/>
  <c r="Q1499" i="3"/>
  <c r="Q274" i="3"/>
  <c r="Q1422" i="3"/>
  <c r="Q116" i="3"/>
  <c r="Q1483" i="3"/>
  <c r="Q962" i="3"/>
  <c r="Q346" i="3"/>
  <c r="Q798" i="3"/>
  <c r="Q642" i="3"/>
  <c r="Q369" i="3"/>
  <c r="Q446" i="3"/>
  <c r="Q1350" i="3"/>
  <c r="Q44" i="3"/>
  <c r="Q1324" i="3"/>
  <c r="Q301" i="3"/>
  <c r="Q1534" i="3"/>
  <c r="Q171" i="3"/>
  <c r="Q1170" i="3"/>
  <c r="Q1420" i="3"/>
  <c r="Q624" i="3"/>
  <c r="Q837" i="3"/>
  <c r="Q123" i="3"/>
  <c r="Q679" i="3"/>
  <c r="Q122" i="3"/>
  <c r="Q435" i="3"/>
  <c r="Q1121" i="3"/>
  <c r="Q1487" i="3"/>
  <c r="Q40" i="3"/>
  <c r="Q772" i="3"/>
  <c r="Q1174" i="3"/>
  <c r="Q1157" i="3"/>
  <c r="Q1371" i="3"/>
  <c r="Q682" i="3"/>
  <c r="Q1144" i="3"/>
  <c r="Q338" i="3"/>
  <c r="Q475" i="3"/>
  <c r="Q1094" i="3"/>
  <c r="Q1126" i="3"/>
  <c r="Q1207" i="3"/>
  <c r="Q62" i="3"/>
  <c r="Q1100" i="3"/>
  <c r="Q1081" i="3"/>
  <c r="Q113" i="3"/>
  <c r="Q729" i="3"/>
  <c r="Q1351" i="3"/>
  <c r="Q593" i="3"/>
  <c r="Q162" i="3"/>
  <c r="Q1112" i="3"/>
  <c r="Q1413" i="3"/>
  <c r="Q1136" i="3"/>
  <c r="Q1294" i="3"/>
  <c r="Q363" i="3"/>
  <c r="Q1227" i="3"/>
  <c r="Q341" i="3"/>
  <c r="Q1416" i="3"/>
  <c r="Q260" i="3"/>
  <c r="Q1332" i="3"/>
  <c r="Q137" i="3"/>
  <c r="Q225" i="3"/>
  <c r="Q1489" i="3"/>
  <c r="Q174" i="3"/>
  <c r="Q1070" i="3"/>
  <c r="Q1262" i="3"/>
  <c r="Q1135" i="3"/>
  <c r="Q686" i="3"/>
  <c r="Q1434" i="3"/>
  <c r="Q1338" i="3"/>
  <c r="Q458" i="3"/>
  <c r="Q481" i="3"/>
  <c r="Q415" i="3"/>
  <c r="Q330" i="3"/>
  <c r="Q450" i="3"/>
  <c r="Q432" i="3"/>
  <c r="Q1401" i="3"/>
  <c r="Q1387" i="3"/>
  <c r="Q1494" i="3"/>
  <c r="Q760" i="3"/>
  <c r="Q141" i="3"/>
  <c r="Q738" i="3"/>
  <c r="Q355" i="3"/>
  <c r="Q468" i="3"/>
  <c r="Q324" i="3"/>
  <c r="Q464" i="3"/>
  <c r="Q626" i="3"/>
  <c r="Q299" i="3"/>
  <c r="Q820" i="3"/>
  <c r="Q334" i="3"/>
  <c r="Q1093" i="3"/>
  <c r="Q399" i="3"/>
  <c r="Q527" i="3"/>
  <c r="Q1031" i="3"/>
  <c r="Q1373" i="3"/>
  <c r="Q1536" i="3"/>
  <c r="Q55" i="3"/>
  <c r="Q336" i="3"/>
  <c r="Q190" i="3"/>
  <c r="Q234" i="3"/>
  <c r="Q422" i="3"/>
  <c r="Q646" i="3"/>
  <c r="Q1386" i="3"/>
  <c r="Q166" i="3"/>
  <c r="Q12" i="3"/>
  <c r="Q1236" i="3"/>
  <c r="Q689" i="3"/>
  <c r="Q1348" i="3"/>
  <c r="Q316" i="3"/>
  <c r="Q246" i="3"/>
  <c r="Q333" i="3"/>
  <c r="Q1469" i="3"/>
  <c r="Q181" i="3"/>
  <c r="Q622" i="3"/>
  <c r="Q1021" i="3"/>
  <c r="Q214" i="3"/>
  <c r="Q859" i="3"/>
  <c r="Q368" i="3"/>
  <c r="Q1019" i="3"/>
  <c r="Q41" i="3"/>
  <c r="Q961" i="3"/>
  <c r="Q408" i="3"/>
  <c r="Q1369" i="3"/>
  <c r="Q1535" i="3"/>
  <c r="Q313" i="3"/>
  <c r="Q829" i="3"/>
  <c r="Q373" i="3"/>
  <c r="Q1359" i="3"/>
  <c r="Q329" i="3"/>
  <c r="Q207" i="3"/>
  <c r="Q445" i="3"/>
  <c r="Q1058" i="3"/>
  <c r="Q1153" i="3"/>
  <c r="Q75" i="3"/>
  <c r="Q792" i="3"/>
  <c r="Q1474" i="3"/>
  <c r="Q277" i="3"/>
  <c r="Q289" i="3"/>
  <c r="Q297" i="3"/>
  <c r="Q374" i="3"/>
  <c r="Q581" i="3"/>
  <c r="Q1189" i="3"/>
  <c r="Q59" i="3"/>
  <c r="Q838" i="3"/>
  <c r="Q592" i="3"/>
  <c r="Q420" i="3"/>
  <c r="Q808" i="3"/>
  <c r="Q257" i="3"/>
  <c r="Q32" i="3"/>
  <c r="Q493" i="3"/>
  <c r="Q1408" i="3"/>
  <c r="Q1088" i="3"/>
  <c r="Q88" i="3"/>
  <c r="Q797" i="3"/>
  <c r="Q674" i="3"/>
  <c r="Q1091" i="3"/>
  <c r="Q1234" i="3"/>
  <c r="Q1054" i="3"/>
  <c r="Q326" i="3"/>
  <c r="Q1372" i="3"/>
  <c r="Q1429" i="3"/>
  <c r="Q1399" i="3"/>
  <c r="Q521" i="3"/>
  <c r="Q1440" i="3"/>
  <c r="Q666" i="3"/>
  <c r="Q1395" i="3"/>
  <c r="Q1342" i="3"/>
  <c r="Q1008" i="3"/>
  <c r="Q741" i="3"/>
  <c r="Q1107" i="3"/>
  <c r="Q1438" i="3"/>
  <c r="Q655" i="3"/>
  <c r="Q359" i="3"/>
  <c r="Q490" i="3"/>
  <c r="Q1269" i="3"/>
  <c r="Q1475" i="3"/>
  <c r="Q421" i="3"/>
  <c r="Q1083" i="3"/>
  <c r="Q1311" i="3"/>
  <c r="Q1209" i="3"/>
  <c r="Q28" i="3"/>
  <c r="Q889" i="3"/>
  <c r="Q133" i="3"/>
  <c r="Q223" i="3"/>
  <c r="Q1514" i="3"/>
  <c r="Q905" i="3"/>
  <c r="Q1384" i="3"/>
  <c r="Q264" i="3"/>
  <c r="Q1238" i="3"/>
  <c r="Q454" i="3"/>
  <c r="Q1347" i="3"/>
  <c r="Q540" i="3"/>
  <c r="Q1280" i="3"/>
  <c r="Q1512" i="3"/>
  <c r="Q1433" i="3"/>
  <c r="Q559" i="3"/>
  <c r="Q60" i="3"/>
  <c r="Q595" i="3"/>
  <c r="Q996" i="3"/>
  <c r="Q1504" i="3"/>
  <c r="Q1467" i="3"/>
  <c r="Q1211" i="3"/>
  <c r="Q154" i="3"/>
  <c r="Q73" i="3"/>
  <c r="Q1288" i="3"/>
  <c r="Q1531" i="3"/>
  <c r="Q571" i="3"/>
  <c r="Q507" i="3"/>
  <c r="Q1397" i="3"/>
  <c r="Q438" i="3"/>
  <c r="Q483" i="3"/>
  <c r="Q1320" i="3"/>
  <c r="Q1497" i="3"/>
  <c r="Q292" i="3"/>
  <c r="Q1158" i="3"/>
  <c r="Q582" i="3"/>
  <c r="Q201" i="3"/>
  <c r="Q127" i="3"/>
  <c r="Q1232" i="3"/>
  <c r="Q477" i="3"/>
  <c r="Q1261" i="3"/>
  <c r="Q1022" i="3"/>
  <c r="Q414" i="3"/>
  <c r="Q315" i="3"/>
  <c r="Q1319" i="3"/>
  <c r="Q550" i="3"/>
  <c r="Q811" i="3"/>
  <c r="Q436" i="3"/>
  <c r="Q665" i="3"/>
  <c r="Q150" i="3"/>
  <c r="Q692" i="3"/>
  <c r="Q854" i="3"/>
  <c r="Q1442" i="3"/>
  <c r="Q348" i="3"/>
  <c r="Q119" i="3"/>
  <c r="Q291" i="3"/>
  <c r="Q1506" i="3"/>
  <c r="Q21" i="3"/>
  <c r="Q1154" i="3"/>
  <c r="Q92" i="3"/>
  <c r="Q231" i="3"/>
  <c r="Q39" i="3"/>
  <c r="Q1045" i="3"/>
  <c r="Q1206" i="3"/>
  <c r="Q1421" i="3"/>
  <c r="Q1218" i="3"/>
  <c r="Q144" i="3"/>
  <c r="Q1011" i="3"/>
  <c r="Q1171" i="3"/>
  <c r="Q1102" i="3"/>
  <c r="Q817" i="3"/>
  <c r="Q869" i="3"/>
  <c r="Q1252" i="3"/>
  <c r="Q1159" i="3"/>
  <c r="Q1119" i="3"/>
  <c r="Q703" i="3"/>
  <c r="Q367" i="3"/>
  <c r="Q1056" i="3"/>
  <c r="Q687" i="3"/>
  <c r="Q991" i="3"/>
  <c r="Q766" i="3"/>
  <c r="Q180" i="3"/>
  <c r="Q870" i="3"/>
  <c r="Q19" i="3"/>
  <c r="Q883" i="3"/>
  <c r="Q372" i="3"/>
  <c r="Q633" i="3"/>
  <c r="Q1247" i="3"/>
  <c r="Q1165" i="3"/>
  <c r="Q1383" i="3"/>
  <c r="Q1265" i="3"/>
  <c r="Q149" i="3"/>
  <c r="Q282" i="3"/>
  <c r="Q928" i="3"/>
  <c r="Q1382" i="3"/>
  <c r="Q267" i="3"/>
  <c r="Q573" i="3"/>
  <c r="Q109" i="3"/>
  <c r="Q1444" i="3"/>
  <c r="Q1415" i="3"/>
  <c r="Q553" i="3"/>
  <c r="Q517" i="3"/>
  <c r="Q757" i="3"/>
  <c r="Q815" i="3"/>
  <c r="Q1213" i="3"/>
  <c r="Q763" i="3"/>
  <c r="Q580" i="3"/>
  <c r="Q1313" i="3"/>
  <c r="Q1298" i="3"/>
  <c r="Q868" i="3"/>
  <c r="Q1161" i="3"/>
  <c r="Q602" i="3"/>
  <c r="Q1080" i="3"/>
  <c r="Q564" i="3"/>
  <c r="Q1186" i="3"/>
  <c r="Q15" i="3"/>
  <c r="Q1374" i="3"/>
  <c r="Q279" i="3"/>
  <c r="Q620" i="3"/>
  <c r="Q146" i="3"/>
  <c r="Q1235" i="3"/>
  <c r="Q30" i="3"/>
  <c r="Q1205" i="3"/>
  <c r="Q1244" i="3"/>
  <c r="Q1273" i="3"/>
  <c r="Q412" i="3"/>
  <c r="Q810" i="3"/>
  <c r="Q227" i="3"/>
  <c r="Q1454" i="3"/>
  <c r="Q93" i="3"/>
  <c r="Q1143" i="3"/>
  <c r="Q1304" i="3"/>
  <c r="Q778" i="3"/>
  <c r="Q663" i="3"/>
  <c r="Q49" i="3"/>
  <c r="Q1156" i="3"/>
  <c r="Q538" i="3"/>
  <c r="Q27" i="3"/>
  <c r="Q976" i="3"/>
  <c r="Q125" i="3"/>
  <c r="Q1478" i="3"/>
  <c r="Q17" i="3"/>
  <c r="Q1303" i="3"/>
  <c r="Q555" i="3"/>
  <c r="Q1412" i="3"/>
  <c r="Q733" i="3"/>
  <c r="AD402" i="3"/>
  <c r="AD923" i="3"/>
  <c r="AD1324" i="3"/>
  <c r="Y11" i="8"/>
  <c r="X11" i="8"/>
  <c r="AA11" i="8"/>
  <c r="Y6" i="8"/>
  <c r="AA6" i="8"/>
  <c r="X6" i="8"/>
  <c r="AW280" i="2"/>
  <c r="AQ280" i="2"/>
  <c r="AW446" i="2"/>
  <c r="AQ446" i="2"/>
  <c r="Q748" i="3" s="1"/>
  <c r="AW340" i="2"/>
  <c r="AQ340" i="2"/>
  <c r="AW201" i="2"/>
  <c r="AQ201" i="2"/>
  <c r="AW515" i="2"/>
  <c r="AQ515" i="2"/>
  <c r="Q704" i="3" s="1"/>
  <c r="AW568" i="2"/>
  <c r="AQ568" i="2"/>
  <c r="AW676" i="2"/>
  <c r="AQ676" i="2"/>
  <c r="Q552" i="3" s="1"/>
  <c r="AW447" i="2"/>
  <c r="AQ447" i="2"/>
  <c r="AW241" i="2"/>
  <c r="AQ241" i="2"/>
  <c r="Q1217" i="3" s="1"/>
  <c r="AW379" i="2"/>
  <c r="AQ379" i="2"/>
  <c r="Q261" i="3" s="1"/>
  <c r="Q1414" i="3"/>
  <c r="AW532" i="2"/>
  <c r="AQ532" i="2"/>
  <c r="Q80" i="3" s="1"/>
  <c r="AW510" i="2"/>
  <c r="AQ510" i="2"/>
  <c r="AW213" i="2"/>
  <c r="AW642" i="2"/>
  <c r="AQ642" i="2"/>
  <c r="Q565" i="3" s="1"/>
  <c r="AW451" i="2"/>
  <c r="AQ451" i="2"/>
  <c r="AW483" i="2"/>
  <c r="AQ483" i="2"/>
  <c r="Q1108" i="3" s="1"/>
  <c r="AW139" i="2"/>
  <c r="AQ139" i="2"/>
  <c r="AW620" i="2"/>
  <c r="AQ620" i="2"/>
  <c r="AW618" i="2"/>
  <c r="AQ618" i="2"/>
  <c r="Q880" i="3" s="1"/>
  <c r="AW109" i="2"/>
  <c r="AQ109" i="2"/>
  <c r="AW332" i="2"/>
  <c r="AQ332" i="2"/>
  <c r="AW364" i="2"/>
  <c r="AQ364" i="2"/>
  <c r="AW72" i="2"/>
  <c r="AQ72" i="2"/>
  <c r="Q890" i="3" s="1"/>
  <c r="AW388" i="2"/>
  <c r="AQ388" i="2"/>
  <c r="AW54" i="2"/>
  <c r="AQ54" i="2"/>
  <c r="AW505" i="2"/>
  <c r="AQ505" i="2"/>
  <c r="AW141" i="2"/>
  <c r="AQ141" i="2"/>
  <c r="Q949" i="3" s="1"/>
  <c r="AW427" i="2"/>
  <c r="AQ427" i="2"/>
  <c r="Q724" i="3" s="1"/>
  <c r="AW400" i="2"/>
  <c r="AQ400" i="2"/>
  <c r="AW146" i="2"/>
  <c r="AQ146" i="2"/>
  <c r="AW746" i="2"/>
  <c r="AQ746" i="2"/>
  <c r="Q440" i="3" s="1"/>
  <c r="AW239" i="2"/>
  <c r="AQ239" i="2"/>
  <c r="Q1496" i="3" s="1"/>
  <c r="AW52" i="2"/>
  <c r="AQ52" i="2"/>
  <c r="AW470" i="2"/>
  <c r="AQ470" i="2"/>
  <c r="AW683" i="2"/>
  <c r="AQ683" i="2"/>
  <c r="AW517" i="2"/>
  <c r="AQ517" i="2"/>
  <c r="AW347" i="2"/>
  <c r="AQ347" i="2"/>
  <c r="AW334" i="2"/>
  <c r="AQ334" i="2"/>
  <c r="AW538" i="2"/>
  <c r="AQ538" i="2"/>
  <c r="AW508" i="2"/>
  <c r="AQ508" i="2"/>
  <c r="Q554" i="3" s="1"/>
  <c r="AW708" i="2"/>
  <c r="AQ708" i="2"/>
  <c r="AW261" i="2"/>
  <c r="AQ261" i="2"/>
  <c r="Q1043" i="3" s="1"/>
  <c r="AW664" i="2"/>
  <c r="AQ664" i="2"/>
  <c r="Q465" i="3" s="1"/>
  <c r="AW670" i="2"/>
  <c r="AQ670" i="2"/>
  <c r="Q787" i="3" s="1"/>
  <c r="AW409" i="2"/>
  <c r="AQ409" i="2"/>
  <c r="AW274" i="2"/>
  <c r="AQ274" i="2"/>
  <c r="Q77" i="3" s="1"/>
  <c r="AW485" i="2"/>
  <c r="AQ485" i="2"/>
  <c r="AW225" i="2"/>
  <c r="AQ225" i="2"/>
  <c r="AW358" i="2"/>
  <c r="AQ358" i="2"/>
  <c r="Q821" i="3" s="1"/>
  <c r="AW253" i="2"/>
  <c r="AQ253" i="2"/>
  <c r="Q1300" i="3"/>
  <c r="AW554" i="2"/>
  <c r="AQ554" i="2"/>
  <c r="Q922" i="3" s="1"/>
  <c r="AW560" i="2"/>
  <c r="AQ560" i="2"/>
  <c r="Q557" i="3" s="1"/>
  <c r="AW67" i="2"/>
  <c r="AQ67" i="2"/>
  <c r="Q1501" i="3" s="1"/>
  <c r="AW486" i="2"/>
  <c r="AQ486" i="2"/>
  <c r="AW96" i="2"/>
  <c r="AQ96" i="2"/>
  <c r="Q1018" i="3" s="1"/>
  <c r="AW419" i="2"/>
  <c r="AQ419" i="2"/>
  <c r="AW679" i="2"/>
  <c r="AQ679" i="2"/>
  <c r="AW38" i="2"/>
  <c r="AQ38" i="2"/>
  <c r="AW700" i="2"/>
  <c r="AQ700" i="2"/>
  <c r="AW189" i="2"/>
  <c r="AQ189" i="2"/>
  <c r="AW161" i="2"/>
  <c r="AQ161" i="2"/>
  <c r="Q164" i="3" s="1"/>
  <c r="AW162" i="2"/>
  <c r="AQ162" i="2"/>
  <c r="AW612" i="2"/>
  <c r="AQ612" i="2"/>
  <c r="AW18" i="2"/>
  <c r="AQ18" i="2"/>
  <c r="AW574" i="2"/>
  <c r="AQ574" i="2"/>
  <c r="Q145" i="3" s="1"/>
  <c r="AW195" i="2"/>
  <c r="AQ195" i="2"/>
  <c r="AW41" i="2"/>
  <c r="AQ41" i="2"/>
  <c r="AW316" i="2"/>
  <c r="AQ316" i="2"/>
  <c r="Q1309" i="3" s="1"/>
  <c r="AW720" i="2"/>
  <c r="AQ720" i="2"/>
  <c r="Q1024" i="3" s="1"/>
  <c r="AW429" i="2"/>
  <c r="AQ429" i="2"/>
  <c r="Q1291" i="3" s="1"/>
  <c r="AW325" i="2"/>
  <c r="AQ325" i="2"/>
  <c r="AW686" i="2"/>
  <c r="AQ686" i="2"/>
  <c r="AW260" i="2"/>
  <c r="AQ260" i="2"/>
  <c r="AW497" i="2"/>
  <c r="AQ497" i="2"/>
  <c r="Q466" i="3" s="1"/>
  <c r="AW484" i="2"/>
  <c r="AQ484" i="2"/>
  <c r="AW579" i="2"/>
  <c r="AQ579" i="2"/>
  <c r="Q233" i="3" s="1"/>
  <c r="AW506" i="2"/>
  <c r="AQ506" i="2"/>
  <c r="AW269" i="2"/>
  <c r="AQ269" i="2"/>
  <c r="AW426" i="2"/>
  <c r="AQ426" i="2"/>
  <c r="AW169" i="2"/>
  <c r="AQ169" i="2"/>
  <c r="Q1385" i="3" s="1"/>
  <c r="AW216" i="2"/>
  <c r="AQ216" i="2"/>
  <c r="AW394" i="2"/>
  <c r="AQ394" i="2"/>
  <c r="Q97" i="3" s="1"/>
  <c r="AW359" i="2"/>
  <c r="AQ359" i="2"/>
  <c r="AW35" i="2"/>
  <c r="AQ35" i="2"/>
  <c r="AW279" i="2"/>
  <c r="AQ279" i="2"/>
  <c r="Q129" i="3" s="1"/>
  <c r="AW24" i="2"/>
  <c r="AQ24" i="2"/>
  <c r="Q972" i="3" s="1"/>
  <c r="AW102" i="2"/>
  <c r="AQ102" i="2"/>
  <c r="Q1032" i="3" s="1"/>
  <c r="AW199" i="2"/>
  <c r="AQ199" i="2"/>
  <c r="Q411" i="3" s="1"/>
  <c r="AW77" i="2"/>
  <c r="AQ77" i="2"/>
  <c r="AW362" i="2"/>
  <c r="AQ362" i="2"/>
  <c r="Q789" i="3" s="1"/>
  <c r="AW270" i="2"/>
  <c r="AQ270" i="2"/>
  <c r="AW417" i="2"/>
  <c r="AQ417" i="2"/>
  <c r="Q361" i="3" s="1"/>
  <c r="AW207" i="2"/>
  <c r="AQ207" i="2"/>
  <c r="AW723" i="2"/>
  <c r="AQ723" i="2"/>
  <c r="AW537" i="2"/>
  <c r="AQ537" i="2"/>
  <c r="AW180" i="2"/>
  <c r="AQ180" i="2"/>
  <c r="AW134" i="2"/>
  <c r="AQ134" i="2"/>
  <c r="AW411" i="2"/>
  <c r="AQ411" i="2"/>
  <c r="AW509" i="2"/>
  <c r="AQ509" i="2"/>
  <c r="Q235" i="3" s="1"/>
  <c r="AW252" i="2"/>
  <c r="AQ252" i="2"/>
  <c r="Q1132" i="3" s="1"/>
  <c r="AD828" i="3"/>
  <c r="AD1247" i="3"/>
  <c r="AD879" i="3"/>
  <c r="AD60" i="3"/>
  <c r="BF70" i="1"/>
  <c r="AV70" i="1"/>
  <c r="AZ70" i="1" s="1"/>
  <c r="BF25" i="1"/>
  <c r="AV25" i="1"/>
  <c r="AZ25" i="1" s="1"/>
  <c r="Q1202" i="3" s="1"/>
  <c r="BF10" i="1"/>
  <c r="AV10" i="1"/>
  <c r="AZ10" i="1" s="1"/>
  <c r="Q38" i="3" s="1"/>
  <c r="AD685" i="3"/>
  <c r="AD41" i="3"/>
  <c r="AD429" i="3"/>
  <c r="AD1040" i="3"/>
  <c r="AD1405" i="3"/>
  <c r="AD1497" i="3"/>
  <c r="AD1093" i="3"/>
  <c r="AD1490" i="3"/>
  <c r="AD1390" i="3"/>
  <c r="AD605" i="3"/>
  <c r="AD206" i="3"/>
  <c r="AD357" i="3"/>
  <c r="AD1283" i="3"/>
  <c r="AD518" i="3"/>
  <c r="AD453" i="3"/>
  <c r="AD1014" i="3"/>
  <c r="AD388" i="3"/>
  <c r="AD551" i="3"/>
  <c r="AD1206" i="3"/>
  <c r="X8" i="8"/>
  <c r="AD1088" i="3"/>
  <c r="AD13" i="3"/>
  <c r="AD477" i="3"/>
  <c r="AD870" i="3"/>
  <c r="Z8" i="8"/>
  <c r="AA8" i="8"/>
  <c r="AD1420" i="3"/>
  <c r="AD1445" i="3"/>
  <c r="AD645" i="3"/>
  <c r="AD132" i="3"/>
  <c r="AD810" i="3"/>
  <c r="AD1184" i="3"/>
  <c r="R15" i="8"/>
  <c r="R10" i="8"/>
  <c r="Y9" i="8"/>
  <c r="AD1202" i="3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Q1290" i="3" l="1"/>
  <c r="Q443" i="3"/>
  <c r="Q1025" i="3"/>
  <c r="Q429" i="3"/>
  <c r="Q1334" i="3"/>
  <c r="Q249" i="3"/>
  <c r="Q569" i="3"/>
  <c r="Q776" i="3"/>
  <c r="Q1240" i="3"/>
  <c r="Q726" i="3"/>
  <c r="Q278" i="3"/>
  <c r="Q239" i="3"/>
  <c r="Q1278" i="3"/>
  <c r="Q747" i="3"/>
  <c r="Q993" i="3"/>
  <c r="Q1104" i="3"/>
  <c r="Q1402" i="3"/>
  <c r="Q1023" i="3"/>
  <c r="Q1354" i="3"/>
  <c r="Q1457" i="3"/>
  <c r="Q524" i="3"/>
  <c r="Q606" i="3"/>
  <c r="Q364" i="3"/>
  <c r="Q56" i="3"/>
  <c r="Q452" i="3"/>
  <c r="Q272" i="3"/>
  <c r="Q343" i="3"/>
  <c r="Q539" i="3"/>
  <c r="Q1279" i="3"/>
  <c r="Q827" i="3"/>
  <c r="Q715" i="3"/>
  <c r="Q737" i="3"/>
  <c r="Q1460" i="3"/>
  <c r="Q1451" i="3"/>
  <c r="Q1500" i="3"/>
  <c r="Q685" i="3"/>
  <c r="Q1445" i="3"/>
  <c r="Q290" i="3"/>
  <c r="Q325" i="3"/>
  <c r="Q519" i="3"/>
  <c r="Q1488" i="3"/>
  <c r="Q1147" i="3"/>
  <c r="Q950" i="3"/>
  <c r="Q294" i="3"/>
  <c r="Q94" i="3"/>
  <c r="Q153" i="3"/>
  <c r="Q586" i="3"/>
  <c r="Q1381" i="3"/>
  <c r="Q124" i="3"/>
  <c r="Q1327" i="3"/>
  <c r="Q908" i="3"/>
  <c r="Q1142" i="3"/>
  <c r="Q379" i="3"/>
  <c r="Q717" i="3"/>
  <c r="Q463" i="3"/>
  <c r="Q1310" i="3"/>
  <c r="Q423" i="3"/>
  <c r="Q1282" i="3"/>
  <c r="Q431" i="3"/>
  <c r="Q1410" i="3"/>
  <c r="Q288" i="3"/>
  <c r="Q383" i="3"/>
  <c r="Q1466" i="3"/>
  <c r="Q424" i="3"/>
  <c r="Q167" i="3"/>
  <c r="Q1095" i="3"/>
  <c r="Q640" i="3"/>
  <c r="Q731" i="3"/>
  <c r="Q1117" i="3"/>
  <c r="Q217" i="3"/>
  <c r="Q1285" i="3"/>
  <c r="Q205" i="3"/>
  <c r="Q54" i="3"/>
  <c r="Q1526" i="3"/>
  <c r="Q508" i="3"/>
  <c r="Q318" i="3"/>
  <c r="Q76" i="3"/>
  <c r="Q484" i="3"/>
  <c r="Q1283" i="3"/>
  <c r="Q946" i="3"/>
  <c r="Q258" i="3"/>
  <c r="Q303" i="3"/>
  <c r="Q561" i="3"/>
  <c r="Q403" i="3"/>
  <c r="Q1292" i="3"/>
  <c r="Q1169" i="3"/>
  <c r="Q515" i="3"/>
  <c r="Q777" i="3"/>
  <c r="Q328" i="3"/>
  <c r="Q459" i="3"/>
  <c r="Q1177" i="3"/>
  <c r="Q66" i="3"/>
  <c r="Q648" i="3"/>
  <c r="Q1424" i="3"/>
  <c r="Q973" i="3"/>
  <c r="Q321" i="3"/>
  <c r="Q189" i="3"/>
  <c r="Q1365" i="3"/>
  <c r="Q1030" i="3"/>
  <c r="Q979" i="3"/>
  <c r="Q1317" i="3"/>
  <c r="Q335" i="3"/>
  <c r="Q575" i="3"/>
  <c r="Q675" i="3"/>
  <c r="Q975" i="3"/>
  <c r="Q105" i="3"/>
  <c r="Q449" i="3"/>
  <c r="Q1002" i="3"/>
  <c r="Q511" i="3"/>
  <c r="Q618" i="3"/>
  <c r="Q876" i="3"/>
  <c r="Q1459" i="3"/>
  <c r="Q95" i="3"/>
  <c r="Q740" i="3"/>
  <c r="Q1394" i="3"/>
  <c r="Q70" i="3"/>
  <c r="Q1480" i="3"/>
  <c r="Q598" i="3"/>
  <c r="Q1341" i="3"/>
  <c r="Q600" i="3"/>
  <c r="Q610" i="3"/>
  <c r="Q384" i="3"/>
  <c r="Q916" i="3"/>
  <c r="Q951" i="3"/>
  <c r="Q1255" i="3"/>
  <c r="Q1096" i="3"/>
  <c r="Q1318" i="3"/>
  <c r="Q1361" i="3"/>
  <c r="Q344" i="3"/>
  <c r="Q1407" i="3"/>
  <c r="Q1190" i="3"/>
  <c r="Q791" i="3"/>
  <c r="Q505" i="3"/>
  <c r="Q1268" i="3"/>
  <c r="Q989" i="3"/>
  <c r="Q1203" i="3"/>
  <c r="Q1110" i="3"/>
  <c r="Q531" i="3"/>
  <c r="Q1503" i="3"/>
  <c r="Q997" i="3"/>
  <c r="Q597" i="3"/>
  <c r="Q480" i="3"/>
  <c r="Q643" i="3"/>
  <c r="Q1289" i="3"/>
  <c r="Q391" i="3"/>
  <c r="Q365" i="3"/>
  <c r="Q286" i="3"/>
  <c r="Q471" i="3"/>
  <c r="Q327" i="3"/>
  <c r="Q1335" i="3"/>
  <c r="Q209" i="3"/>
  <c r="Q1360" i="3"/>
  <c r="Q1188" i="3"/>
  <c r="BA459" i="1"/>
  <c r="BA230" i="1"/>
  <c r="BA122" i="1"/>
  <c r="BA437" i="1"/>
  <c r="BA708" i="1"/>
  <c r="R769" i="3" s="1"/>
  <c r="BA765" i="1"/>
  <c r="R1069" i="3" s="1"/>
  <c r="BA50" i="1"/>
  <c r="BA369" i="1"/>
  <c r="BA293" i="1"/>
  <c r="BA693" i="1"/>
  <c r="R589" i="3" s="1"/>
  <c r="BA418" i="1"/>
  <c r="BA410" i="1"/>
  <c r="BA211" i="1"/>
  <c r="BA747" i="1"/>
  <c r="R977" i="3" s="1"/>
  <c r="BA336" i="1"/>
  <c r="BA695" i="1"/>
  <c r="R320" i="3" s="1"/>
  <c r="BA311" i="1"/>
  <c r="BA280" i="1"/>
  <c r="BA404" i="1"/>
  <c r="BA354" i="1"/>
  <c r="BA741" i="1"/>
  <c r="R945" i="3" s="1"/>
  <c r="BA495" i="1"/>
  <c r="R1343" i="3" s="1"/>
  <c r="BA710" i="1"/>
  <c r="R790" i="3" s="1"/>
  <c r="BA189" i="1"/>
  <c r="BA733" i="1"/>
  <c r="R897" i="3" s="1"/>
  <c r="BA687" i="1"/>
  <c r="R709" i="3" s="1"/>
  <c r="BA746" i="1"/>
  <c r="R969" i="3" s="1"/>
  <c r="BA218" i="1"/>
  <c r="BA490" i="1"/>
  <c r="R1315" i="3" s="1"/>
  <c r="BA391" i="1"/>
  <c r="BA737" i="1"/>
  <c r="R933" i="3" s="1"/>
  <c r="BA465" i="1"/>
  <c r="BA385" i="1"/>
  <c r="BA499" i="1"/>
  <c r="R1398" i="3" s="1"/>
  <c r="BA739" i="1"/>
  <c r="R937" i="3" s="1"/>
  <c r="BA377" i="1"/>
  <c r="BA347" i="1"/>
  <c r="BA181" i="1"/>
  <c r="BA346" i="1"/>
  <c r="BA774" i="1"/>
  <c r="R1128" i="3" s="1"/>
  <c r="BA705" i="1"/>
  <c r="R370" i="3" s="1"/>
  <c r="BA560" i="1"/>
  <c r="R57" i="3" s="1"/>
  <c r="BA163" i="1"/>
  <c r="BA257" i="1"/>
  <c r="BA713" i="1"/>
  <c r="R804" i="3" s="1"/>
  <c r="BA131" i="1"/>
  <c r="BA88" i="1"/>
  <c r="BA646" i="1"/>
  <c r="R470" i="3" s="1"/>
  <c r="BA254" i="1"/>
  <c r="BA673" i="1"/>
  <c r="R563" i="3" s="1"/>
  <c r="BA632" i="1"/>
  <c r="R621" i="3" s="1"/>
  <c r="BA474" i="1"/>
  <c r="R1256" i="3" s="1"/>
  <c r="BA206" i="1"/>
  <c r="BA413" i="1"/>
  <c r="BA364" i="1"/>
  <c r="BA664" i="1"/>
  <c r="R448" i="3" s="1"/>
  <c r="BA357" i="1"/>
  <c r="BA698" i="1"/>
  <c r="R730" i="3" s="1"/>
  <c r="BA297" i="1"/>
  <c r="BA394" i="1"/>
  <c r="BA329" i="1"/>
  <c r="BA171" i="1"/>
  <c r="BA45" i="1"/>
  <c r="BA281" i="1"/>
  <c r="BA441" i="1"/>
  <c r="BA479" i="1"/>
  <c r="R1263" i="3" s="1"/>
  <c r="BA721" i="1"/>
  <c r="R844" i="3" s="1"/>
  <c r="BA460" i="1"/>
  <c r="BA190" i="1"/>
  <c r="BA426" i="1"/>
  <c r="BA726" i="1"/>
  <c r="R865" i="3" s="1"/>
  <c r="BA300" i="1"/>
  <c r="BA447" i="1"/>
  <c r="BA744" i="1"/>
  <c r="R590" i="3" s="1"/>
  <c r="BA292" i="1"/>
  <c r="BA448" i="1"/>
  <c r="BA757" i="1"/>
  <c r="R1037" i="3" s="1"/>
  <c r="BA318" i="1"/>
  <c r="BA383" i="1"/>
  <c r="BA238" i="1"/>
  <c r="BA150" i="1"/>
  <c r="BA309" i="1"/>
  <c r="BA381" i="1"/>
  <c r="BA420" i="1"/>
  <c r="BA151" i="1"/>
  <c r="BA659" i="1"/>
  <c r="R641" i="3" s="1"/>
  <c r="BA538" i="1"/>
  <c r="R103" i="3" s="1"/>
  <c r="BA259" i="1"/>
  <c r="BA196" i="1"/>
  <c r="BA419" i="1"/>
  <c r="BA637" i="1"/>
  <c r="R494" i="3" s="1"/>
  <c r="BA242" i="1"/>
  <c r="BA343" i="1"/>
  <c r="BA207" i="1"/>
  <c r="BA722" i="1"/>
  <c r="R556" i="3" s="1"/>
  <c r="BA396" i="1"/>
  <c r="BA197" i="1"/>
  <c r="BA700" i="1"/>
  <c r="R734" i="3" s="1"/>
  <c r="BA430" i="1"/>
  <c r="BA160" i="1"/>
  <c r="BA735" i="1"/>
  <c r="R913" i="3" s="1"/>
  <c r="BA359" i="1"/>
  <c r="BA666" i="1"/>
  <c r="R652" i="3" s="1"/>
  <c r="BA743" i="1"/>
  <c r="R952" i="3" s="1"/>
  <c r="BA462" i="1"/>
  <c r="BA162" i="1"/>
  <c r="BA409" i="1"/>
  <c r="BA301" i="1"/>
  <c r="BA402" i="1"/>
  <c r="BA356" i="1"/>
  <c r="BA496" i="1"/>
  <c r="R1346" i="3" s="1"/>
  <c r="BA764" i="1"/>
  <c r="R1067" i="3" s="1"/>
  <c r="BA380" i="1"/>
  <c r="BA178" i="1"/>
  <c r="BA667" i="1"/>
  <c r="R567" i="3" s="1"/>
  <c r="AR745" i="2"/>
  <c r="AR585" i="2"/>
  <c r="AR530" i="2"/>
  <c r="AR581" i="2"/>
  <c r="AR329" i="2"/>
  <c r="AR697" i="2"/>
  <c r="AR405" i="2"/>
  <c r="AR737" i="2"/>
  <c r="AR646" i="2"/>
  <c r="AR317" i="2"/>
  <c r="AR548" i="2"/>
  <c r="AR747" i="2"/>
  <c r="AR760" i="2"/>
  <c r="AR750" i="2"/>
  <c r="AR682" i="2"/>
  <c r="AR377" i="2"/>
  <c r="AR580" i="2"/>
  <c r="AR758" i="2"/>
  <c r="AR744" i="2"/>
  <c r="AR610" i="2"/>
  <c r="AR534" i="2"/>
  <c r="AR552" i="2"/>
  <c r="AR654" i="2"/>
  <c r="AR572" i="2"/>
  <c r="AR671" i="2"/>
  <c r="AR401" i="2"/>
  <c r="AR684" i="2"/>
  <c r="AR636" i="2"/>
  <c r="AR619" i="2"/>
  <c r="AR764" i="2"/>
  <c r="AR672" i="2"/>
  <c r="AR727" i="2"/>
  <c r="AR681" i="2"/>
  <c r="AR765" i="2"/>
  <c r="AR337" i="2"/>
  <c r="AR649" i="2"/>
  <c r="AR733" i="2"/>
  <c r="AR375" i="2"/>
  <c r="AR743" i="2"/>
  <c r="AR528" i="2"/>
  <c r="AR434" i="2"/>
  <c r="AR350" i="2"/>
  <c r="AR328" i="2"/>
  <c r="AR452" i="2"/>
  <c r="AR757" i="2"/>
  <c r="AR569" i="2"/>
  <c r="AR331" i="2"/>
  <c r="AR622" i="2"/>
  <c r="AR370" i="2"/>
  <c r="AR271" i="2"/>
  <c r="AR729" i="2"/>
  <c r="AR520" i="2"/>
  <c r="AR693" i="2"/>
  <c r="AR542" i="2"/>
  <c r="AR367" i="2"/>
  <c r="AR137" i="2"/>
  <c r="AR635" i="2"/>
  <c r="AR658" i="2"/>
  <c r="AR675" i="2"/>
  <c r="AR431" i="2"/>
  <c r="AR481" i="2"/>
  <c r="AR398" i="2"/>
  <c r="AR751" i="2"/>
  <c r="AR333" i="2"/>
  <c r="AR529" i="2"/>
  <c r="AR504" i="2"/>
  <c r="AR360" i="2"/>
  <c r="AR293" i="2"/>
  <c r="AR550" i="2"/>
  <c r="AR539" i="2"/>
  <c r="AR696" i="2"/>
  <c r="AR393" i="2"/>
  <c r="AR449" i="2"/>
  <c r="AR361" i="2"/>
  <c r="AR761" i="2"/>
  <c r="AR232" i="2"/>
  <c r="AR650" i="2"/>
  <c r="AR762" i="2"/>
  <c r="AR437" i="2"/>
  <c r="AR616" i="2"/>
  <c r="AR722" i="2"/>
  <c r="AR368" i="2"/>
  <c r="AR229" i="2"/>
  <c r="AR667" i="2"/>
  <c r="AR158" i="2"/>
  <c r="AR691" i="2"/>
  <c r="AR543" i="2"/>
  <c r="AR629" i="2"/>
  <c r="AR591" i="2"/>
  <c r="AR546" i="2"/>
  <c r="AR710" i="2"/>
  <c r="AR692" i="2"/>
  <c r="AR465" i="2"/>
  <c r="AR386" i="2"/>
  <c r="AR598" i="2"/>
  <c r="AR159" i="2"/>
  <c r="AR592" i="2"/>
  <c r="AR439" i="2"/>
  <c r="AR314" i="2"/>
  <c r="AR673" i="2"/>
  <c r="AR453" i="2"/>
  <c r="AR701" i="2"/>
  <c r="AR688" i="2"/>
  <c r="AR416" i="2"/>
  <c r="AR645" i="2"/>
  <c r="AR395" i="2"/>
  <c r="AR704" i="2"/>
  <c r="AR387" i="2"/>
  <c r="AR153" i="2"/>
  <c r="AR594" i="2"/>
  <c r="AR353" i="2"/>
  <c r="AR643" i="2"/>
  <c r="AR499" i="2"/>
  <c r="AR715" i="2"/>
  <c r="AR450" i="2"/>
  <c r="AR741" i="2"/>
  <c r="AR587" i="2"/>
  <c r="AR721" i="2"/>
  <c r="AR284" i="2"/>
  <c r="AR212" i="2"/>
  <c r="AR624" i="2"/>
  <c r="AR306" i="2"/>
  <c r="AR707" i="2"/>
  <c r="AR466" i="2"/>
  <c r="AR678" i="2"/>
  <c r="AR740" i="2"/>
  <c r="AR625" i="2"/>
  <c r="AR460" i="2"/>
  <c r="AR243" i="2"/>
  <c r="AR423" i="2"/>
  <c r="AR669" i="2"/>
  <c r="AR665" i="2"/>
  <c r="AR644" i="2"/>
  <c r="AR725" i="2"/>
  <c r="AR596" i="2"/>
  <c r="AR763" i="2"/>
  <c r="AR613" i="2"/>
  <c r="AR653" i="2"/>
  <c r="AR578" i="2"/>
  <c r="AR766" i="2"/>
  <c r="AR637" i="2"/>
  <c r="AR614" i="2"/>
  <c r="AR659" i="2"/>
  <c r="AR632" i="2"/>
  <c r="AR711" i="2"/>
  <c r="AR576" i="2"/>
  <c r="AR408" i="2"/>
  <c r="AR754" i="2"/>
  <c r="AR680" i="2"/>
  <c r="AR597" i="2"/>
  <c r="AR500" i="2"/>
  <c r="AR422" i="2"/>
  <c r="AR663" i="2"/>
  <c r="AR668" i="2"/>
  <c r="AR428" i="2"/>
  <c r="AR385" i="2"/>
  <c r="AR713" i="2"/>
  <c r="AR448" i="2"/>
  <c r="AR559" i="2"/>
  <c r="AR138" i="2"/>
  <c r="AR628" i="2"/>
  <c r="AR726" i="2"/>
  <c r="AR493" i="2"/>
  <c r="AR541" i="2"/>
  <c r="AR297" i="2"/>
  <c r="AR418" i="2"/>
  <c r="AR298" i="2"/>
  <c r="AR143" i="2"/>
  <c r="AR535" i="2"/>
  <c r="AR660" i="2"/>
  <c r="AR736" i="2"/>
  <c r="AR570" i="2"/>
  <c r="AR689" i="2"/>
  <c r="AR748" i="2"/>
  <c r="AR606" i="2"/>
  <c r="AR627" i="2"/>
  <c r="AR694" i="2"/>
  <c r="AR320" i="2"/>
  <c r="AR321" i="2"/>
  <c r="AR749" i="2"/>
  <c r="AR564" i="2"/>
  <c r="AR354" i="2"/>
  <c r="AR611" i="2"/>
  <c r="AR473" i="2"/>
  <c r="AR641" i="2"/>
  <c r="AR514" i="2"/>
  <c r="AR165" i="2"/>
  <c r="AR759" i="2"/>
  <c r="AR731" i="2"/>
  <c r="AR557" i="2"/>
  <c r="AR549" i="2"/>
  <c r="AR412" i="2"/>
  <c r="AR440" i="2"/>
  <c r="AR648" i="2"/>
  <c r="AR698" i="2"/>
  <c r="AR589" i="2"/>
  <c r="AR459" i="2"/>
  <c r="AR384" i="2"/>
  <c r="AR502" i="2"/>
  <c r="AR250" i="2"/>
  <c r="AR608" i="2"/>
  <c r="AR438" i="2"/>
  <c r="AR415" i="2"/>
  <c r="AR603" i="2"/>
  <c r="AR718" i="2"/>
  <c r="AR355" i="2"/>
  <c r="AR742" i="2"/>
  <c r="AR705" i="2"/>
  <c r="AR699" i="2"/>
  <c r="AR599" i="2"/>
  <c r="AR595" i="2"/>
  <c r="AR730" i="2"/>
  <c r="AR582" i="2"/>
  <c r="AR755" i="2"/>
  <c r="AR191" i="2"/>
  <c r="AR404" i="2"/>
  <c r="AR86" i="2"/>
  <c r="AR157" i="2"/>
  <c r="AR57" i="2"/>
  <c r="AR150" i="2"/>
  <c r="AR208" i="2"/>
  <c r="AR60" i="2"/>
  <c r="AR382" i="2"/>
  <c r="AR92" i="2"/>
  <c r="AR129" i="2"/>
  <c r="AR343" i="2"/>
  <c r="AR43" i="2"/>
  <c r="AR30" i="2"/>
  <c r="AR397" i="2"/>
  <c r="AR187" i="2"/>
  <c r="AR45" i="2"/>
  <c r="AR228" i="2"/>
  <c r="AR287" i="2"/>
  <c r="AR128" i="2"/>
  <c r="AR378" i="2"/>
  <c r="AR103" i="2"/>
  <c r="AR512" i="2"/>
  <c r="AR399" i="2"/>
  <c r="AR124" i="2"/>
  <c r="AR181" i="2"/>
  <c r="AR58" i="2"/>
  <c r="AR29" i="2"/>
  <c r="AR21" i="2"/>
  <c r="AR15" i="2"/>
  <c r="AR132" i="2"/>
  <c r="AR61" i="2"/>
  <c r="AR116" i="2"/>
  <c r="AR151" i="2"/>
  <c r="AR73" i="2"/>
  <c r="AR130" i="2"/>
  <c r="AR33" i="2"/>
  <c r="AR249" i="2"/>
  <c r="AR210" i="2"/>
  <c r="AR380" i="2"/>
  <c r="AR122" i="2"/>
  <c r="AR219" i="2"/>
  <c r="AR366" i="2"/>
  <c r="AR302" i="2"/>
  <c r="AR166" i="2"/>
  <c r="AR104" i="2"/>
  <c r="AR106" i="2"/>
  <c r="AR94" i="2"/>
  <c r="AR174" i="2"/>
  <c r="AR351" i="2"/>
  <c r="AR264" i="2"/>
  <c r="AR27" i="2"/>
  <c r="AR160" i="2"/>
  <c r="AR224" i="2"/>
  <c r="AR227" i="2"/>
  <c r="AR489" i="2"/>
  <c r="AR275" i="2"/>
  <c r="AR100" i="2"/>
  <c r="AR349" i="2"/>
  <c r="AR89" i="2"/>
  <c r="AR110" i="2"/>
  <c r="AR319" i="2"/>
  <c r="AR11" i="2"/>
  <c r="AR220" i="2"/>
  <c r="R1243" i="3"/>
  <c r="BA456" i="1"/>
  <c r="BA652" i="1"/>
  <c r="R319" i="3" s="1"/>
  <c r="BA702" i="1"/>
  <c r="R497" i="3" s="1"/>
  <c r="BA265" i="1"/>
  <c r="BA485" i="1"/>
  <c r="R1293" i="3" s="1"/>
  <c r="BA264" i="1"/>
  <c r="BA390" i="1"/>
  <c r="BA397" i="1"/>
  <c r="BA233" i="1"/>
  <c r="BA360" i="1"/>
  <c r="BA694" i="1"/>
  <c r="R727" i="3" s="1"/>
  <c r="BA489" i="1"/>
  <c r="R1305" i="3" s="1"/>
  <c r="BA736" i="1"/>
  <c r="R927" i="3" s="1"/>
  <c r="BA400" i="1"/>
  <c r="BA275" i="1"/>
  <c r="BA323" i="1"/>
  <c r="BA707" i="1"/>
  <c r="R771" i="3" s="1"/>
  <c r="BA186" i="1"/>
  <c r="BA487" i="1"/>
  <c r="R1299" i="3" s="1"/>
  <c r="BA221" i="1"/>
  <c r="BA712" i="1"/>
  <c r="R805" i="3" s="1"/>
  <c r="BA488" i="1"/>
  <c r="R1301" i="3" s="1"/>
  <c r="BA454" i="1"/>
  <c r="BA399" i="1"/>
  <c r="BA780" i="1"/>
  <c r="R1276" i="3" s="1"/>
  <c r="BA773" i="1"/>
  <c r="R1120" i="3" s="1"/>
  <c r="BA324" i="1"/>
  <c r="BA658" i="1"/>
  <c r="R345" i="3" s="1"/>
  <c r="BA600" i="1"/>
  <c r="R310" i="3" s="1"/>
  <c r="BA769" i="1"/>
  <c r="R1085" i="3" s="1"/>
  <c r="BA428" i="1"/>
  <c r="BA730" i="1"/>
  <c r="R888" i="3" s="1"/>
  <c r="BA471" i="1"/>
  <c r="BA202" i="1"/>
  <c r="BA147" i="1"/>
  <c r="BA56" i="1"/>
  <c r="BA77" i="1"/>
  <c r="BA200" i="1"/>
  <c r="BA282" i="1"/>
  <c r="BA288" i="1"/>
  <c r="BA213" i="1"/>
  <c r="BA672" i="1"/>
  <c r="R661" i="3" s="1"/>
  <c r="BA127" i="1"/>
  <c r="BA156" i="1"/>
  <c r="BA537" i="1"/>
  <c r="R194" i="3" s="1"/>
  <c r="BA738" i="1"/>
  <c r="R938" i="3" s="1"/>
  <c r="BA494" i="1"/>
  <c r="R1345" i="3" s="1"/>
  <c r="BA486" i="1"/>
  <c r="R1295" i="3" s="1"/>
  <c r="BA107" i="1"/>
  <c r="BA676" i="1"/>
  <c r="R520" i="3" s="1"/>
  <c r="BA453" i="1"/>
  <c r="BA699" i="1"/>
  <c r="R735" i="3" s="1"/>
  <c r="BA351" i="1"/>
  <c r="BA498" i="1"/>
  <c r="R1352" i="3" s="1"/>
  <c r="BA669" i="1"/>
  <c r="R657" i="3" s="1"/>
  <c r="BA749" i="1"/>
  <c r="R986" i="3" s="1"/>
  <c r="BA776" i="1"/>
  <c r="R1180" i="3" s="1"/>
  <c r="BA76" i="1"/>
  <c r="BA310" i="1"/>
  <c r="BA387" i="1"/>
  <c r="BA407" i="1"/>
  <c r="BA466" i="1"/>
  <c r="BA446" i="1"/>
  <c r="BA386" i="1"/>
  <c r="BA129" i="1"/>
  <c r="BA763" i="1"/>
  <c r="R1055" i="3" s="1"/>
  <c r="BA361" i="1"/>
  <c r="BA139" i="1"/>
  <c r="BA348" i="1"/>
  <c r="BA422" i="1"/>
  <c r="BA740" i="1"/>
  <c r="R940" i="3" s="1"/>
  <c r="BA431" i="1"/>
  <c r="BA175" i="1"/>
  <c r="BA701" i="1"/>
  <c r="R746" i="3" s="1"/>
  <c r="BA405" i="1"/>
  <c r="BA675" i="1"/>
  <c r="R677" i="3" s="1"/>
  <c r="BA449" i="1"/>
  <c r="BA468" i="1"/>
  <c r="BA629" i="1"/>
  <c r="R457" i="3" s="1"/>
  <c r="BA690" i="1"/>
  <c r="R719" i="3" s="1"/>
  <c r="BA279" i="1"/>
  <c r="BA620" i="1"/>
  <c r="R390" i="3" s="1"/>
  <c r="BA345" i="1"/>
  <c r="BA134" i="1"/>
  <c r="BA350" i="1"/>
  <c r="BA194" i="1"/>
  <c r="BA118" i="1"/>
  <c r="BA424" i="1"/>
  <c r="BA445" i="1"/>
  <c r="BA296" i="1"/>
  <c r="BA668" i="1"/>
  <c r="R469" i="3" s="1"/>
  <c r="BA142" i="1"/>
  <c r="BA444" i="1"/>
  <c r="BA771" i="1"/>
  <c r="R1099" i="3" s="1"/>
  <c r="BA634" i="1"/>
  <c r="R543" i="3" s="1"/>
  <c r="BA141" i="1"/>
  <c r="BA463" i="1"/>
  <c r="BA677" i="1"/>
  <c r="R683" i="3" s="1"/>
  <c r="BA467" i="1"/>
  <c r="BA198" i="1"/>
  <c r="BA493" i="1"/>
  <c r="R1340" i="3" s="1"/>
  <c r="BA778" i="1"/>
  <c r="R1229" i="3" s="1"/>
  <c r="AD29" i="3"/>
  <c r="AD250" i="3"/>
  <c r="AD729" i="3"/>
  <c r="AD344" i="3"/>
  <c r="AD689" i="3"/>
  <c r="AD209" i="3"/>
  <c r="AD1472" i="3"/>
  <c r="AD1308" i="3"/>
  <c r="AD701" i="3"/>
  <c r="AD233" i="3"/>
  <c r="AD1092" i="3"/>
  <c r="AD985" i="3"/>
  <c r="AD1203" i="3"/>
  <c r="AD976" i="3"/>
  <c r="AD1515" i="3"/>
  <c r="AD1081" i="3"/>
  <c r="AD1154" i="3"/>
  <c r="AD1079" i="3"/>
  <c r="AD1387" i="3"/>
  <c r="AD818" i="3"/>
  <c r="AD426" i="3"/>
  <c r="AD1356" i="3"/>
  <c r="AD266" i="3"/>
  <c r="AD1145" i="3"/>
  <c r="AD93" i="3"/>
  <c r="AD481" i="3"/>
  <c r="AD226" i="3"/>
  <c r="AD346" i="3"/>
  <c r="AD1377" i="3"/>
  <c r="AD168" i="3"/>
  <c r="AD721" i="3"/>
  <c r="AD105" i="3"/>
  <c r="AD1454" i="3"/>
  <c r="AD984" i="3"/>
  <c r="AD1413" i="3"/>
  <c r="AD413" i="3"/>
  <c r="AD393" i="3"/>
  <c r="AD19" i="3"/>
  <c r="AD269" i="3"/>
  <c r="AD1354" i="3"/>
  <c r="AD479" i="3"/>
  <c r="AD681" i="3"/>
  <c r="AD702" i="3"/>
  <c r="AD625" i="3"/>
  <c r="AD1423" i="3"/>
  <c r="AD1255" i="3"/>
  <c r="AD435" i="3"/>
  <c r="AD1126" i="3"/>
  <c r="AD1198" i="3"/>
  <c r="AD571" i="3"/>
  <c r="AD1213" i="3"/>
  <c r="AD465" i="3"/>
  <c r="AD1005" i="3"/>
  <c r="AD30" i="3"/>
  <c r="AD63" i="3"/>
  <c r="AD925" i="3"/>
  <c r="AD1532" i="3"/>
  <c r="AD291" i="3"/>
  <c r="AD859" i="3"/>
  <c r="AD1528" i="3"/>
  <c r="AD833" i="3"/>
  <c r="AD54" i="3"/>
  <c r="AD1119" i="3"/>
  <c r="AD107" i="3"/>
  <c r="AD627" i="3"/>
  <c r="AD1500" i="3"/>
  <c r="AD438" i="3"/>
  <c r="AD295" i="3"/>
  <c r="AD686" i="3"/>
  <c r="BA170" i="1"/>
  <c r="BA547" i="1"/>
  <c r="R175" i="3" s="1"/>
  <c r="BA450" i="1"/>
  <c r="BA725" i="1"/>
  <c r="R856" i="3" s="1"/>
  <c r="BA277" i="1"/>
  <c r="BA337" i="1"/>
  <c r="BA251" i="1"/>
  <c r="BA314" i="1"/>
  <c r="BA349" i="1"/>
  <c r="BA61" i="1"/>
  <c r="BA475" i="1"/>
  <c r="R1257" i="3" s="1"/>
  <c r="BA21" i="1"/>
  <c r="BA548" i="1"/>
  <c r="R99" i="3" s="1"/>
  <c r="BA595" i="1"/>
  <c r="R323" i="3" s="1"/>
  <c r="BA665" i="1"/>
  <c r="R649" i="3" s="1"/>
  <c r="BA651" i="1"/>
  <c r="R478" i="3" s="1"/>
  <c r="BA604" i="1"/>
  <c r="R460" i="3" s="1"/>
  <c r="BA622" i="1"/>
  <c r="R121" i="3" s="1"/>
  <c r="BA546" i="1"/>
  <c r="R377" i="3" s="1"/>
  <c r="BA62" i="1"/>
  <c r="BA195" i="1"/>
  <c r="BA335" i="1"/>
  <c r="BA272" i="1"/>
  <c r="BA727" i="1"/>
  <c r="R867" i="3" s="1"/>
  <c r="BA379" i="1"/>
  <c r="BA179" i="1"/>
  <c r="BA586" i="1"/>
  <c r="R89" i="3" s="1"/>
  <c r="BA452" i="1"/>
  <c r="BA429" i="1"/>
  <c r="BA215" i="1"/>
  <c r="BA408" i="1"/>
  <c r="BA125" i="1"/>
  <c r="BA512" i="1"/>
  <c r="R102" i="3" s="1"/>
  <c r="BA563" i="1"/>
  <c r="R222" i="3" s="1"/>
  <c r="BA187" i="1"/>
  <c r="BA575" i="1"/>
  <c r="R199" i="3" s="1"/>
  <c r="BA8" i="1"/>
  <c r="BA73" i="1"/>
  <c r="BA670" i="1"/>
  <c r="R656" i="3" s="1"/>
  <c r="BA119" i="1"/>
  <c r="BA458" i="1"/>
  <c r="BA412" i="1"/>
  <c r="BA120" i="1"/>
  <c r="BA605" i="1"/>
  <c r="R486" i="3" s="1"/>
  <c r="BA569" i="1"/>
  <c r="R158" i="3" s="1"/>
  <c r="BA589" i="1"/>
  <c r="R298" i="3" s="1"/>
  <c r="BA110" i="1"/>
  <c r="BA248" i="1"/>
  <c r="BA480" i="1"/>
  <c r="R1264" i="3" s="1"/>
  <c r="BA54" i="1"/>
  <c r="BA685" i="1"/>
  <c r="R700" i="3" s="1"/>
  <c r="BA517" i="1"/>
  <c r="R112" i="3" s="1"/>
  <c r="BA41" i="1"/>
  <c r="BA628" i="1"/>
  <c r="R98" i="3" s="1"/>
  <c r="BA106" i="1"/>
  <c r="BA339" i="1"/>
  <c r="BA234" i="1"/>
  <c r="BA37" i="1"/>
  <c r="BA18" i="1"/>
  <c r="BA203" i="1"/>
  <c r="BA590" i="1"/>
  <c r="R275" i="3" s="1"/>
  <c r="BA543" i="1"/>
  <c r="R305" i="3" s="1"/>
  <c r="BA152" i="1"/>
  <c r="BA681" i="1"/>
  <c r="R690" i="3" s="1"/>
  <c r="BA606" i="1"/>
  <c r="R529" i="3" s="1"/>
  <c r="BA235" i="1"/>
  <c r="BA173" i="1"/>
  <c r="BA504" i="1"/>
  <c r="R7" i="3" s="1"/>
  <c r="BA6" i="1"/>
  <c r="BA501" i="1"/>
  <c r="R8" i="3" s="1"/>
  <c r="BA224" i="1"/>
  <c r="BA112" i="1"/>
  <c r="BA671" i="1"/>
  <c r="R588" i="3" s="1"/>
  <c r="BA217" i="1"/>
  <c r="BA123" i="1"/>
  <c r="BA723" i="1"/>
  <c r="R845" i="3" s="1"/>
  <c r="BA638" i="1"/>
  <c r="R506" i="3" s="1"/>
  <c r="BA214" i="1"/>
  <c r="BA12" i="1"/>
  <c r="BA502" i="1"/>
  <c r="R10" i="3" s="1"/>
  <c r="BA631" i="1"/>
  <c r="R276" i="3" s="1"/>
  <c r="BA20" i="1"/>
  <c r="BA241" i="1"/>
  <c r="BA654" i="1"/>
  <c r="R639" i="3" s="1"/>
  <c r="BA47" i="1"/>
  <c r="BA572" i="1"/>
  <c r="R281" i="3" s="1"/>
  <c r="BA353" i="1"/>
  <c r="BA442" i="1"/>
  <c r="BA185" i="1"/>
  <c r="BA593" i="1"/>
  <c r="R197" i="3" s="1"/>
  <c r="BA82" i="1"/>
  <c r="BA581" i="1"/>
  <c r="R224" i="3" s="1"/>
  <c r="BA555" i="1"/>
  <c r="R108" i="3" s="1"/>
  <c r="BA132" i="1"/>
  <c r="BA682" i="1"/>
  <c r="R696" i="3" s="1"/>
  <c r="BA304" i="1"/>
  <c r="BA111" i="1"/>
  <c r="BA96" i="1"/>
  <c r="BA567" i="1"/>
  <c r="R339" i="3" s="1"/>
  <c r="BA529" i="1"/>
  <c r="R86" i="3" s="1"/>
  <c r="BA599" i="1"/>
  <c r="R337" i="3" s="1"/>
  <c r="BA550" i="1"/>
  <c r="R512" i="3" s="1"/>
  <c r="BA176" i="1"/>
  <c r="BA256" i="1"/>
  <c r="BA66" i="1"/>
  <c r="BA33" i="1"/>
  <c r="BA79" i="1"/>
  <c r="BA582" i="1"/>
  <c r="R293" i="3" s="1"/>
  <c r="BA74" i="1"/>
  <c r="BA223" i="1"/>
  <c r="BA643" i="1"/>
  <c r="R300" i="3" s="1"/>
  <c r="BA680" i="1"/>
  <c r="R688" i="3" s="1"/>
  <c r="BA338" i="1"/>
  <c r="BA519" i="1"/>
  <c r="R45" i="3" s="1"/>
  <c r="BA31" i="1"/>
  <c r="BA266" i="1"/>
  <c r="BA393" i="1"/>
  <c r="BA246" i="1"/>
  <c r="BA579" i="1"/>
  <c r="R572" i="3" s="1"/>
  <c r="BA302" i="1"/>
  <c r="BA603" i="1"/>
  <c r="R148" i="3" s="1"/>
  <c r="BA438" i="1"/>
  <c r="BA334" i="1"/>
  <c r="BA316" i="1"/>
  <c r="BA247" i="1"/>
  <c r="BA331" i="1"/>
  <c r="BA542" i="1"/>
  <c r="R101" i="3" s="1"/>
  <c r="BA306" i="1"/>
  <c r="BA261" i="1"/>
  <c r="BA503" i="1"/>
  <c r="R11" i="3" s="1"/>
  <c r="BA89" i="1"/>
  <c r="BA476" i="1"/>
  <c r="R1258" i="3" s="1"/>
  <c r="BA94" i="1"/>
  <c r="BA204" i="1"/>
  <c r="BA639" i="1"/>
  <c r="R176" i="3" s="1"/>
  <c r="BA100" i="1"/>
  <c r="BA49" i="1"/>
  <c r="BA133" i="1"/>
  <c r="BA258" i="1"/>
  <c r="BA98" i="1"/>
  <c r="BA135" i="1"/>
  <c r="BA767" i="1"/>
  <c r="R1076" i="3" s="1"/>
  <c r="BA641" i="1"/>
  <c r="R549" i="3" s="1"/>
  <c r="BA86" i="1"/>
  <c r="BA540" i="1"/>
  <c r="R332" i="3" s="1"/>
  <c r="BA5" i="1"/>
  <c r="BA9" i="1"/>
  <c r="BA570" i="1"/>
  <c r="R229" i="3" s="1"/>
  <c r="BA411" i="1"/>
  <c r="BA461" i="1"/>
  <c r="BA362" i="1"/>
  <c r="BA166" i="1"/>
  <c r="BA16" i="1"/>
  <c r="BA439" i="1"/>
  <c r="BA299" i="1"/>
  <c r="BA375" i="1"/>
  <c r="BA352" i="1"/>
  <c r="BA464" i="1"/>
  <c r="BA290" i="1"/>
  <c r="BA227" i="1"/>
  <c r="BA472" i="1"/>
  <c r="BA565" i="1"/>
  <c r="R451" i="3" s="1"/>
  <c r="BA43" i="1"/>
  <c r="BA220" i="1"/>
  <c r="BA368" i="1"/>
  <c r="BA225" i="1"/>
  <c r="BA342" i="1"/>
  <c r="BA243" i="1"/>
  <c r="BA729" i="1"/>
  <c r="R882" i="3" s="1"/>
  <c r="BA768" i="1"/>
  <c r="R1077" i="3" s="1"/>
  <c r="BA90" i="1"/>
  <c r="BA180" i="1"/>
  <c r="BA103" i="1"/>
  <c r="BA686" i="1"/>
  <c r="R707" i="3" s="1"/>
  <c r="BA633" i="1"/>
  <c r="R502" i="3" s="1"/>
  <c r="BA177" i="1"/>
  <c r="BA250" i="1"/>
  <c r="BA610" i="1"/>
  <c r="R349" i="3" s="1"/>
  <c r="BA470" i="1"/>
  <c r="BA30" i="1"/>
  <c r="BA373" i="1"/>
  <c r="BA183" i="1"/>
  <c r="BA11" i="1"/>
  <c r="BA508" i="1"/>
  <c r="R68" i="3" s="1"/>
  <c r="BA436" i="1"/>
  <c r="BA421" i="1"/>
  <c r="BA653" i="1"/>
  <c r="R259" i="3" s="1"/>
  <c r="BA212" i="1"/>
  <c r="BA533" i="1"/>
  <c r="R79" i="3" s="1"/>
  <c r="BA750" i="1"/>
  <c r="R992" i="3" s="1"/>
  <c r="BA126" i="1"/>
  <c r="BA696" i="1"/>
  <c r="R728" i="3" s="1"/>
  <c r="BA158" i="1"/>
  <c r="BA263" i="1"/>
  <c r="BA262" i="1"/>
  <c r="BA60" i="1"/>
  <c r="BA291" i="1"/>
  <c r="BA146" i="1"/>
  <c r="BA440" i="1"/>
  <c r="BA269" i="1"/>
  <c r="BA44" i="1"/>
  <c r="BA688" i="1"/>
  <c r="R712" i="3" s="1"/>
  <c r="BA332" i="1"/>
  <c r="BA165" i="1"/>
  <c r="BA32" i="1"/>
  <c r="BA231" i="1"/>
  <c r="BA278" i="1"/>
  <c r="BA260" i="1"/>
  <c r="BA137" i="1"/>
  <c r="BA777" i="1"/>
  <c r="R1197" i="3" s="1"/>
  <c r="BA703" i="1"/>
  <c r="R751" i="3" s="1"/>
  <c r="BA182" i="1"/>
  <c r="BA520" i="1"/>
  <c r="R106" i="3" s="1"/>
  <c r="BA105" i="1"/>
  <c r="BA576" i="1"/>
  <c r="R371" i="3" s="1"/>
  <c r="BA392" i="1"/>
  <c r="BA42" i="1"/>
  <c r="BA130" i="1"/>
  <c r="BA663" i="1"/>
  <c r="R568" i="3" s="1"/>
  <c r="BA28" i="1"/>
  <c r="BA374" i="1"/>
  <c r="BA95" i="1"/>
  <c r="BA17" i="1"/>
  <c r="BA39" i="1"/>
  <c r="BA326" i="1"/>
  <c r="BA715" i="1"/>
  <c r="R824" i="3" s="1"/>
  <c r="BA558" i="1"/>
  <c r="R117" i="3" s="1"/>
  <c r="BA536" i="1"/>
  <c r="R185" i="3" s="1"/>
  <c r="BA621" i="1"/>
  <c r="R251" i="3" s="1"/>
  <c r="BA521" i="1"/>
  <c r="R78" i="3" s="1"/>
  <c r="BA85" i="1"/>
  <c r="BA734" i="1"/>
  <c r="R900" i="3" s="1"/>
  <c r="BA554" i="1"/>
  <c r="R401" i="3" s="1"/>
  <c r="BA138" i="1"/>
  <c r="BA541" i="1"/>
  <c r="R187" i="3" s="1"/>
  <c r="BA607" i="1"/>
  <c r="R178" i="3" s="1"/>
  <c r="BA779" i="1"/>
  <c r="R1272" i="3" s="1"/>
  <c r="BA509" i="1"/>
  <c r="R128" i="3" s="1"/>
  <c r="BA289" i="1"/>
  <c r="BA341" i="1"/>
  <c r="BA544" i="1"/>
  <c r="R280" i="3" s="1"/>
  <c r="BA478" i="1"/>
  <c r="R1260" i="3" s="1"/>
  <c r="BA91" i="1"/>
  <c r="BA305" i="1"/>
  <c r="BA232" i="1"/>
  <c r="BA59" i="1"/>
  <c r="BA172" i="1"/>
  <c r="BA574" i="1"/>
  <c r="R434" i="3" s="1"/>
  <c r="BA68" i="1"/>
  <c r="BA294" i="1"/>
  <c r="BA267" i="1"/>
  <c r="BA273" i="1"/>
  <c r="BA416" i="1"/>
  <c r="BA571" i="1"/>
  <c r="R455" i="3" s="1"/>
  <c r="BA522" i="1"/>
  <c r="R91" i="3" s="1"/>
  <c r="BA168" i="1"/>
  <c r="BA75" i="1"/>
  <c r="BA577" i="1"/>
  <c r="R306" i="3" s="1"/>
  <c r="BA115" i="1"/>
  <c r="BA317" i="1"/>
  <c r="BA751" i="1"/>
  <c r="R994" i="3" s="1"/>
  <c r="BA237" i="1"/>
  <c r="BA491" i="1"/>
  <c r="R1314" i="3" s="1"/>
  <c r="BA319" i="1"/>
  <c r="BA312" i="1"/>
  <c r="BA333" i="1"/>
  <c r="BA283" i="1"/>
  <c r="BA406" i="1"/>
  <c r="BA455" i="1"/>
  <c r="BA580" i="1"/>
  <c r="R248" i="3" s="1"/>
  <c r="BA210" i="1"/>
  <c r="BA759" i="1"/>
  <c r="R1044" i="3" s="1"/>
  <c r="BA526" i="1"/>
  <c r="R20" i="3" s="1"/>
  <c r="BA649" i="1"/>
  <c r="R437" i="3" s="1"/>
  <c r="BA149" i="1"/>
  <c r="BA527" i="1"/>
  <c r="R126" i="3" s="1"/>
  <c r="BA255" i="1"/>
  <c r="BA477" i="1"/>
  <c r="R1259" i="3" s="1"/>
  <c r="BA370" i="1"/>
  <c r="BA295" i="1"/>
  <c r="BA344" i="1"/>
  <c r="BA611" i="1"/>
  <c r="R499" i="3" s="1"/>
  <c r="BA169" i="1"/>
  <c r="BA728" i="1"/>
  <c r="R587" i="3" s="1"/>
  <c r="BA414" i="1"/>
  <c r="BA679" i="1"/>
  <c r="R461" i="3" s="1"/>
  <c r="BA660" i="1"/>
  <c r="R404" i="3" s="1"/>
  <c r="BA236" i="1"/>
  <c r="BA564" i="1"/>
  <c r="R476" i="3" s="1"/>
  <c r="BA630" i="1"/>
  <c r="R617" i="3" s="1"/>
  <c r="BA69" i="1"/>
  <c r="BA71" i="1"/>
  <c r="BA378" i="1"/>
  <c r="BA525" i="1"/>
  <c r="R42" i="3" s="1"/>
  <c r="BA457" i="1"/>
  <c r="BA748" i="1"/>
  <c r="R980" i="3" s="1"/>
  <c r="BA99" i="1"/>
  <c r="BA596" i="1"/>
  <c r="R566" i="3" s="1"/>
  <c r="BA753" i="1"/>
  <c r="R1017" i="3" s="1"/>
  <c r="BA40" i="1"/>
  <c r="BA81" i="1"/>
  <c r="BA510" i="1"/>
  <c r="R9" i="3" s="1"/>
  <c r="BA161" i="1"/>
  <c r="BA216" i="1"/>
  <c r="BA561" i="1"/>
  <c r="R203" i="3" s="1"/>
  <c r="BA144" i="1"/>
  <c r="BA597" i="1"/>
  <c r="R456" i="3" s="1"/>
  <c r="BA557" i="1"/>
  <c r="R312" i="3" s="1"/>
  <c r="BA766" i="1"/>
  <c r="R585" i="3" s="1"/>
  <c r="BA648" i="1"/>
  <c r="R596" i="3" s="1"/>
  <c r="BA545" i="1"/>
  <c r="R52" i="3" s="1"/>
  <c r="BA642" i="1"/>
  <c r="R442" i="3" s="1"/>
  <c r="BA64" i="1"/>
  <c r="BA619" i="1"/>
  <c r="R380" i="3" s="1"/>
  <c r="BA644" i="1"/>
  <c r="R375" i="3" s="1"/>
  <c r="BA52" i="1"/>
  <c r="BA298" i="1"/>
  <c r="BA435" i="1"/>
  <c r="BA145" i="1"/>
  <c r="BA684" i="1"/>
  <c r="R699" i="3" s="1"/>
  <c r="BA65" i="1"/>
  <c r="BA602" i="1"/>
  <c r="R526" i="3" s="1"/>
  <c r="BA104" i="1"/>
  <c r="BA745" i="1"/>
  <c r="R963" i="3" s="1"/>
  <c r="BA363" i="1"/>
  <c r="BA781" i="1"/>
  <c r="R1286" i="3" s="1"/>
  <c r="BA616" i="1"/>
  <c r="R114" i="3" s="1"/>
  <c r="BA732" i="1"/>
  <c r="R896" i="3" s="1"/>
  <c r="BA398" i="1"/>
  <c r="BA87" i="1"/>
  <c r="BA775" i="1"/>
  <c r="R1164" i="3" s="1"/>
  <c r="BA63" i="1"/>
  <c r="BA425" i="1"/>
  <c r="BA530" i="1"/>
  <c r="R138" i="3" s="1"/>
  <c r="BA706" i="1"/>
  <c r="R761" i="3" s="1"/>
  <c r="BA328" i="1"/>
  <c r="BA423" i="1"/>
  <c r="BA14" i="1"/>
  <c r="BA271" i="1"/>
  <c r="BA38" i="1"/>
  <c r="BA34" i="1"/>
  <c r="BA552" i="1"/>
  <c r="R196" i="3" s="1"/>
  <c r="BA566" i="1"/>
  <c r="R382" i="3" s="1"/>
  <c r="BA717" i="1"/>
  <c r="R473" i="3" s="1"/>
  <c r="BA188" i="1"/>
  <c r="BA657" i="1"/>
  <c r="R513" i="3" s="1"/>
  <c r="BA367" i="1"/>
  <c r="BA286" i="1"/>
  <c r="BA153" i="1"/>
  <c r="BA640" i="1"/>
  <c r="R177" i="3" s="1"/>
  <c r="BA758" i="1"/>
  <c r="R1041" i="3" s="1"/>
  <c r="BA714" i="1"/>
  <c r="R809" i="3" s="1"/>
  <c r="BA159" i="1"/>
  <c r="BA482" i="1"/>
  <c r="R1275" i="3" s="1"/>
  <c r="BA609" i="1"/>
  <c r="R503" i="3" s="1"/>
  <c r="BA584" i="1"/>
  <c r="R192" i="3" s="1"/>
  <c r="BA252" i="1"/>
  <c r="BA492" i="1"/>
  <c r="R1329" i="3" s="1"/>
  <c r="BA403" i="1"/>
  <c r="BA307" i="1"/>
  <c r="BA128" i="1"/>
  <c r="BA389" i="1"/>
  <c r="BA697" i="1"/>
  <c r="R574" i="3" s="1"/>
  <c r="BA388" i="1"/>
  <c r="BA382" i="1"/>
  <c r="BA511" i="1"/>
  <c r="R155" i="3" s="1"/>
  <c r="BA330" i="1"/>
  <c r="BA691" i="1"/>
  <c r="R720" i="3" s="1"/>
  <c r="BA325" i="1"/>
  <c r="BA48" i="1"/>
  <c r="BA384" i="1"/>
  <c r="BA650" i="1"/>
  <c r="R638" i="3" s="1"/>
  <c r="BA433" i="1"/>
  <c r="BA23" i="1"/>
  <c r="BA500" i="1"/>
  <c r="R6" i="3" s="1"/>
  <c r="BA524" i="1"/>
  <c r="R170" i="3" s="1"/>
  <c r="BA22" i="1"/>
  <c r="BA192" i="1"/>
  <c r="BA53" i="1"/>
  <c r="BA140" i="1"/>
  <c r="BA615" i="1"/>
  <c r="R500" i="3" s="1"/>
  <c r="BA244" i="1"/>
  <c r="BA760" i="1"/>
  <c r="R1046" i="3" s="1"/>
  <c r="BA226" i="1"/>
  <c r="BA754" i="1"/>
  <c r="R562" i="3" s="1"/>
  <c r="BA427" i="1"/>
  <c r="BA516" i="1"/>
  <c r="R74" i="3" s="1"/>
  <c r="BA191" i="1"/>
  <c r="BA626" i="1"/>
  <c r="R285" i="3" s="1"/>
  <c r="BA58" i="1"/>
  <c r="BA327" i="1"/>
  <c r="BA535" i="1"/>
  <c r="R191" i="3" s="1"/>
  <c r="BA484" i="1"/>
  <c r="R1284" i="3" s="1"/>
  <c r="BA219" i="1"/>
  <c r="BA614" i="1"/>
  <c r="R447" i="3" s="1"/>
  <c r="BA51" i="1"/>
  <c r="BA157" i="1"/>
  <c r="BA625" i="1"/>
  <c r="R245" i="3" s="1"/>
  <c r="BA601" i="1"/>
  <c r="R387" i="3" s="1"/>
  <c r="BA704" i="1"/>
  <c r="R753" i="3" s="1"/>
  <c r="BA613" i="1"/>
  <c r="R268" i="3" s="1"/>
  <c r="BA372" i="1"/>
  <c r="BA116" i="1"/>
  <c r="BA719" i="1"/>
  <c r="R832" i="3" s="1"/>
  <c r="BA322" i="1"/>
  <c r="BA578" i="1"/>
  <c r="R485" i="3" s="1"/>
  <c r="BA7" i="1"/>
  <c r="BA121" i="1"/>
  <c r="BA143" i="1"/>
  <c r="BA532" i="1"/>
  <c r="R67" i="3" s="1"/>
  <c r="BA395" i="1"/>
  <c r="BA689" i="1"/>
  <c r="R716" i="3" s="1"/>
  <c r="BA523" i="1"/>
  <c r="R156" i="3" s="1"/>
  <c r="BA209" i="1"/>
  <c r="BA371" i="1"/>
  <c r="BA674" i="1"/>
  <c r="R664" i="3" s="1"/>
  <c r="BA756" i="1"/>
  <c r="R1027" i="3" s="1"/>
  <c r="BA284" i="1"/>
  <c r="BA365" i="1"/>
  <c r="BA720" i="1"/>
  <c r="R840" i="3" s="1"/>
  <c r="BA154" i="1"/>
  <c r="BA320" i="1"/>
  <c r="BA57" i="1"/>
  <c r="BA308" i="1"/>
  <c r="BA731" i="1"/>
  <c r="R893" i="3" s="1"/>
  <c r="BA656" i="1"/>
  <c r="R534" i="3" s="1"/>
  <c r="BA321" i="1"/>
  <c r="BA551" i="1"/>
  <c r="R317" i="3" s="1"/>
  <c r="BA148" i="1"/>
  <c r="BA29" i="1"/>
  <c r="BA612" i="1"/>
  <c r="R347" i="3" s="1"/>
  <c r="BA117" i="1"/>
  <c r="BA647" i="1"/>
  <c r="R530" i="3" s="1"/>
  <c r="BA208" i="1"/>
  <c r="BA222" i="1"/>
  <c r="BA355" i="1"/>
  <c r="BA136" i="1"/>
  <c r="BA36" i="1"/>
  <c r="BA568" i="1"/>
  <c r="R221" i="3" s="1"/>
  <c r="BA709" i="1"/>
  <c r="R786" i="3" s="1"/>
  <c r="BA102" i="1"/>
  <c r="BA678" i="1"/>
  <c r="R579" i="3" s="1"/>
  <c r="BA101" i="1"/>
  <c r="BA752" i="1"/>
  <c r="R995" i="3" s="1"/>
  <c r="BA451" i="1"/>
  <c r="BA358" i="1"/>
  <c r="BA518" i="1"/>
  <c r="R25" i="3" s="1"/>
  <c r="BA515" i="1"/>
  <c r="R51" i="3" s="1"/>
  <c r="BA505" i="1"/>
  <c r="R134" i="3" s="1"/>
  <c r="BA661" i="1"/>
  <c r="R644" i="3" s="1"/>
  <c r="BA618" i="1"/>
  <c r="R228" i="3" s="1"/>
  <c r="BA239" i="1"/>
  <c r="BA716" i="1"/>
  <c r="R825" i="3" s="1"/>
  <c r="BA539" i="1"/>
  <c r="R216" i="3" s="1"/>
  <c r="BA164" i="1"/>
  <c r="BA67" i="1"/>
  <c r="BA662" i="1"/>
  <c r="R352" i="3" s="1"/>
  <c r="BA432" i="1"/>
  <c r="BA15" i="1"/>
  <c r="BA562" i="1"/>
  <c r="R254" i="3" s="1"/>
  <c r="BA624" i="1"/>
  <c r="R284" i="3" s="1"/>
  <c r="BA270" i="1"/>
  <c r="BA627" i="1"/>
  <c r="R616" i="3" s="1"/>
  <c r="BA249" i="1"/>
  <c r="BA772" i="1"/>
  <c r="R1105" i="3" s="1"/>
  <c r="BA109" i="1"/>
  <c r="BA469" i="1"/>
  <c r="BA481" i="1"/>
  <c r="R1270" i="3" s="1"/>
  <c r="BA553" i="1"/>
  <c r="R33" i="3" s="1"/>
  <c r="BA167" i="1"/>
  <c r="BA285" i="1"/>
  <c r="BA587" i="1"/>
  <c r="R591" i="3" s="1"/>
  <c r="BA276" i="1"/>
  <c r="BA497" i="1"/>
  <c r="R1344" i="3" s="1"/>
  <c r="BA585" i="1"/>
  <c r="R120" i="3" s="1"/>
  <c r="BA583" i="1"/>
  <c r="R202" i="3" s="1"/>
  <c r="BA229" i="1"/>
  <c r="BA13" i="1"/>
  <c r="BA770" i="1"/>
  <c r="R1086" i="3" s="1"/>
  <c r="BA415" i="1"/>
  <c r="BA711" i="1"/>
  <c r="R799" i="3" s="1"/>
  <c r="BA93" i="1"/>
  <c r="BA724" i="1"/>
  <c r="R855" i="3" s="1"/>
  <c r="BA573" i="1"/>
  <c r="R273" i="3" s="1"/>
  <c r="BA592" i="1"/>
  <c r="R396" i="3" s="1"/>
  <c r="BA268" i="1"/>
  <c r="BA24" i="1"/>
  <c r="BA434" i="1"/>
  <c r="BA35" i="1"/>
  <c r="BA376" i="1"/>
  <c r="BA228" i="1"/>
  <c r="BA443" i="1"/>
  <c r="BA78" i="1"/>
  <c r="BA97" i="1"/>
  <c r="BA762" i="1"/>
  <c r="R1050" i="3" s="1"/>
  <c r="BA274" i="1"/>
  <c r="BA483" i="1"/>
  <c r="R1281" i="3" s="1"/>
  <c r="BA92" i="1"/>
  <c r="BA655" i="1"/>
  <c r="R536" i="3" s="1"/>
  <c r="BA549" i="1"/>
  <c r="R200" i="3" s="1"/>
  <c r="BA287" i="1"/>
  <c r="BA108" i="1"/>
  <c r="BA83" i="1"/>
  <c r="BA174" i="1"/>
  <c r="BA401" i="1"/>
  <c r="BA155" i="1"/>
  <c r="BA113" i="1"/>
  <c r="BA559" i="1"/>
  <c r="R212" i="3" s="1"/>
  <c r="BA417" i="1"/>
  <c r="BA507" i="1"/>
  <c r="R22" i="3" s="1"/>
  <c r="BA114" i="1"/>
  <c r="BA594" i="1"/>
  <c r="R240" i="3" s="1"/>
  <c r="BA340" i="1"/>
  <c r="BA303" i="1"/>
  <c r="BA608" i="1"/>
  <c r="R263" i="3" s="1"/>
  <c r="BA683" i="1"/>
  <c r="R697" i="3" s="1"/>
  <c r="BA636" i="1"/>
  <c r="R118" i="3" s="1"/>
  <c r="BA623" i="1"/>
  <c r="R615" i="3" s="1"/>
  <c r="BA240" i="1"/>
  <c r="BA513" i="1"/>
  <c r="R65" i="3" s="1"/>
  <c r="BA245" i="1"/>
  <c r="BA26" i="1"/>
  <c r="BA742" i="1"/>
  <c r="R514" i="3" s="1"/>
  <c r="BA315" i="1"/>
  <c r="BA199" i="1"/>
  <c r="BA55" i="1"/>
  <c r="BA366" i="1"/>
  <c r="BA556" i="1"/>
  <c r="R46" i="3" s="1"/>
  <c r="BA473" i="1"/>
  <c r="R1254" i="3" s="1"/>
  <c r="BA27" i="1"/>
  <c r="BA617" i="1"/>
  <c r="R441" i="3" s="1"/>
  <c r="BA84" i="1"/>
  <c r="BA184" i="1"/>
  <c r="BA588" i="1"/>
  <c r="R136" i="3" s="1"/>
  <c r="BA534" i="1"/>
  <c r="R302" i="3" s="1"/>
  <c r="BA193" i="1"/>
  <c r="BA635" i="1"/>
  <c r="R541" i="3" s="1"/>
  <c r="BA598" i="1"/>
  <c r="R516" i="3" s="1"/>
  <c r="BA692" i="1"/>
  <c r="R722" i="3" s="1"/>
  <c r="BA514" i="1"/>
  <c r="R50" i="3" s="1"/>
  <c r="BA718" i="1"/>
  <c r="R831" i="3" s="1"/>
  <c r="BA761" i="1"/>
  <c r="R1049" i="3" s="1"/>
  <c r="BA253" i="1"/>
  <c r="BA591" i="1"/>
  <c r="R340" i="3" s="1"/>
  <c r="BA72" i="1"/>
  <c r="BA201" i="1"/>
  <c r="BA80" i="1"/>
  <c r="BA313" i="1"/>
  <c r="BA19" i="1"/>
  <c r="BA506" i="1"/>
  <c r="R53" i="3" s="1"/>
  <c r="BA755" i="1"/>
  <c r="R1020" i="3" s="1"/>
  <c r="BA528" i="1"/>
  <c r="R143" i="3" s="1"/>
  <c r="BA205" i="1"/>
  <c r="BA46" i="1"/>
  <c r="BA645" i="1"/>
  <c r="R636" i="3" s="1"/>
  <c r="BA531" i="1"/>
  <c r="R96" i="3" s="1"/>
  <c r="BA124" i="1"/>
  <c r="AD517" i="3"/>
  <c r="AD1244" i="3"/>
  <c r="AD489" i="3"/>
  <c r="AD1168" i="3"/>
  <c r="AD1419" i="3"/>
  <c r="AD428" i="3"/>
  <c r="AD1009" i="3"/>
  <c r="AD292" i="3"/>
  <c r="AD1511" i="3"/>
  <c r="AD1250" i="3"/>
  <c r="AD430" i="3"/>
  <c r="AD490" i="3"/>
  <c r="AD640" i="3"/>
  <c r="AD1063" i="3"/>
  <c r="AD1458" i="3"/>
  <c r="AD789" i="3"/>
  <c r="AD600" i="3"/>
  <c r="AD73" i="3"/>
  <c r="AD39" i="3"/>
  <c r="AD59" i="3"/>
  <c r="AD522" i="3"/>
  <c r="AD1510" i="3"/>
  <c r="AD1443" i="3"/>
  <c r="AD58" i="3"/>
  <c r="AD750" i="3"/>
  <c r="AD1108" i="3"/>
  <c r="AD851" i="3"/>
  <c r="AD1404" i="3"/>
  <c r="AD1338" i="3"/>
  <c r="AD987" i="3"/>
  <c r="AD1477" i="3"/>
  <c r="AD1400" i="3"/>
  <c r="AD1138" i="3"/>
  <c r="AD1494" i="3"/>
  <c r="AD406" i="3"/>
  <c r="AD17" i="3"/>
  <c r="AD1249" i="3"/>
  <c r="AD523" i="3"/>
  <c r="AD392" i="3"/>
  <c r="AD815" i="3"/>
  <c r="AD787" i="3"/>
  <c r="AD794" i="3"/>
  <c r="AD301" i="3"/>
  <c r="AD1178" i="3"/>
  <c r="AD1015" i="3"/>
  <c r="AD1456" i="3"/>
  <c r="AD343" i="3"/>
  <c r="AD1306" i="3"/>
  <c r="AD355" i="3"/>
  <c r="AD554" i="3"/>
  <c r="AD768" i="3"/>
  <c r="AD372" i="3"/>
  <c r="AD862" i="3"/>
  <c r="AD407" i="3"/>
  <c r="AD854" i="3"/>
  <c r="AD1001" i="3"/>
  <c r="AD678" i="3"/>
  <c r="AD1031" i="3"/>
  <c r="AD682" i="3"/>
  <c r="AD21" i="3"/>
  <c r="AD207" i="3"/>
  <c r="AD1290" i="3"/>
  <c r="AD1064" i="3"/>
  <c r="AD1078" i="3"/>
  <c r="AD1296" i="3"/>
  <c r="AD1471" i="3"/>
  <c r="AD731" i="3"/>
  <c r="AD695" i="3"/>
  <c r="AD564" i="3"/>
  <c r="AD433" i="3"/>
  <c r="AD1061" i="3"/>
  <c r="AD1358" i="3"/>
  <c r="AD581" i="3"/>
  <c r="AD43" i="3"/>
  <c r="AD1176" i="3"/>
  <c r="AD1466" i="3"/>
  <c r="AD1232" i="3"/>
  <c r="AD214" i="3"/>
  <c r="AD141" i="3"/>
  <c r="AD723" i="3"/>
  <c r="AD739" i="3"/>
  <c r="AD1013" i="3"/>
  <c r="AD1113" i="3"/>
  <c r="AD550" i="3"/>
  <c r="AD230" i="3"/>
  <c r="AD299" i="3"/>
  <c r="AD354" i="3"/>
  <c r="AD482" i="3"/>
  <c r="AD837" i="3"/>
  <c r="AD781" i="3"/>
  <c r="AD772" i="3"/>
  <c r="AD125" i="3"/>
  <c r="AD400" i="3"/>
  <c r="AD806" i="3"/>
  <c r="AD817" i="3"/>
  <c r="AD421" i="3"/>
  <c r="AD1451" i="3"/>
  <c r="AD124" i="3"/>
  <c r="AD744" i="3"/>
  <c r="AD315" i="3"/>
  <c r="AD1383" i="3"/>
  <c r="AD342" i="3"/>
  <c r="AD1080" i="3"/>
  <c r="AD598" i="3"/>
  <c r="AD160" i="3"/>
  <c r="AD1379" i="3"/>
  <c r="AD738" i="3"/>
  <c r="AD171" i="3"/>
  <c r="AD842" i="3"/>
  <c r="AD1274" i="3"/>
  <c r="AD1441" i="3"/>
  <c r="AD1365" i="3"/>
  <c r="AD243" i="3"/>
  <c r="AD1252" i="3"/>
  <c r="AD706" i="3"/>
  <c r="AD1222" i="3"/>
  <c r="AD834" i="3"/>
  <c r="AD1039" i="3"/>
  <c r="AD773" i="3"/>
  <c r="AD782" i="3"/>
  <c r="AD92" i="3"/>
  <c r="AD90" i="3"/>
  <c r="AD1185" i="3"/>
  <c r="AD996" i="3"/>
  <c r="AD1242" i="3"/>
  <c r="AD1237" i="3"/>
  <c r="AD670" i="3"/>
  <c r="AD510" i="3"/>
  <c r="AD256" i="3"/>
  <c r="AD691" i="3"/>
  <c r="AD1170" i="3"/>
  <c r="AD899" i="3"/>
  <c r="AD783" i="3"/>
  <c r="AD1360" i="3"/>
  <c r="AD452" i="3"/>
  <c r="AD239" i="3"/>
  <c r="AD321" i="3"/>
  <c r="AD204" i="3"/>
  <c r="AD849" i="3"/>
  <c r="AD133" i="3"/>
  <c r="AD1335" i="3"/>
  <c r="AD1509" i="3"/>
  <c r="AD1101" i="3"/>
  <c r="AD548" i="3"/>
  <c r="AD676" i="3"/>
  <c r="AD962" i="3"/>
  <c r="AD1470" i="3"/>
  <c r="AD755" i="3"/>
  <c r="AD895" i="3"/>
  <c r="AD225" i="3"/>
  <c r="AD1474" i="3"/>
  <c r="AD1238" i="3"/>
  <c r="AD967" i="3"/>
  <c r="AD1282" i="3"/>
  <c r="AD1503" i="3"/>
  <c r="AD297" i="3"/>
  <c r="AD431" i="3"/>
  <c r="AD655" i="3"/>
  <c r="AD830" i="3"/>
  <c r="AD890" i="3"/>
  <c r="AD659" i="3"/>
  <c r="AD1008" i="3"/>
  <c r="AD1505" i="3"/>
  <c r="AD1131" i="3"/>
  <c r="AD1148" i="3"/>
  <c r="AD153" i="3"/>
  <c r="AD1488" i="3"/>
  <c r="AD26" i="3"/>
  <c r="AD15" i="3"/>
  <c r="AD525" i="3"/>
  <c r="AD968" i="3"/>
  <c r="AD668" i="3"/>
  <c r="AD1158" i="3"/>
  <c r="AD852" i="3"/>
  <c r="AD1183" i="3"/>
  <c r="AD1273" i="3"/>
  <c r="AD542" i="3"/>
  <c r="AD304" i="3"/>
  <c r="AD174" i="3"/>
  <c r="AD607" i="3"/>
  <c r="AD846" i="3"/>
  <c r="AD327" i="3"/>
  <c r="AD389" i="3"/>
  <c r="AD1478" i="3"/>
  <c r="AD956" i="3"/>
  <c r="AD807" i="3"/>
  <c r="AD82" i="3"/>
  <c r="AD626" i="3"/>
  <c r="AD1087" i="3"/>
  <c r="AD1376" i="3"/>
  <c r="AD1261" i="3"/>
  <c r="AD982" i="3"/>
  <c r="AD311" i="3"/>
  <c r="AD1193" i="3"/>
  <c r="AD703" i="3"/>
  <c r="AD480" i="3"/>
  <c r="AD1393" i="3"/>
  <c r="AD1205" i="3"/>
  <c r="AD705" i="3"/>
  <c r="AD1375" i="3"/>
  <c r="AD1320" i="3"/>
  <c r="AD283" i="3"/>
  <c r="AD545" i="3"/>
  <c r="AD129" i="3"/>
  <c r="AD83" i="3"/>
  <c r="AD1109" i="3"/>
  <c r="AD288" i="3"/>
  <c r="AD680" i="3"/>
  <c r="AD454" i="3"/>
  <c r="AD95" i="3"/>
  <c r="AD812" i="3"/>
  <c r="AD748" i="3"/>
  <c r="AD909" i="3"/>
  <c r="AD1155" i="3"/>
  <c r="AD1534" i="3"/>
  <c r="AD1310" i="3"/>
  <c r="AD341" i="3"/>
  <c r="AD1082" i="3"/>
  <c r="AD271" i="3"/>
  <c r="AD367" i="3"/>
  <c r="AD1029" i="3"/>
  <c r="AD432" i="3"/>
  <c r="AD863" i="3"/>
  <c r="AD759" i="3"/>
  <c r="AD1303" i="3"/>
  <c r="AD169" i="3"/>
  <c r="AD914" i="3"/>
  <c r="AD922" i="3"/>
  <c r="AD1143" i="3"/>
  <c r="AD416" i="3"/>
  <c r="AD1407" i="3"/>
  <c r="AD1448" i="3"/>
  <c r="AD800" i="3"/>
  <c r="AD1010" i="3"/>
  <c r="AD365" i="3"/>
  <c r="AD662" i="3"/>
  <c r="AD1350" i="3"/>
  <c r="AD1218" i="3"/>
  <c r="AD329" i="3"/>
  <c r="AD100" i="3"/>
  <c r="AD316" i="3"/>
  <c r="AD1201" i="3"/>
  <c r="AD919" i="3"/>
  <c r="AD501" i="3"/>
  <c r="AD1348" i="3"/>
  <c r="AD49" i="3"/>
  <c r="AD1177" i="3"/>
  <c r="AD307" i="3"/>
  <c r="AD1235" i="3"/>
  <c r="AD608" i="3"/>
  <c r="AD1234" i="3"/>
  <c r="AD521" i="3"/>
  <c r="AD149" i="3"/>
  <c r="C8" i="10" s="1"/>
  <c r="AD1384" i="3"/>
  <c r="AD1140" i="3"/>
  <c r="AD24" i="3"/>
  <c r="AD28" i="3"/>
  <c r="AD1117" i="3"/>
  <c r="AD164" i="3"/>
  <c r="AD1321" i="3"/>
  <c r="AD904" i="3"/>
  <c r="AD827" i="3"/>
  <c r="AD533" i="3"/>
  <c r="AD578" i="3"/>
  <c r="AD1212" i="3"/>
  <c r="AD586" i="3"/>
  <c r="AD162" i="3"/>
  <c r="AD1432" i="3"/>
  <c r="AD717" i="3"/>
  <c r="AD901" i="3"/>
  <c r="AD742" i="3"/>
  <c r="AD1216" i="3"/>
  <c r="AD826" i="3"/>
  <c r="AD205" i="3"/>
  <c r="AD1243" i="3"/>
  <c r="AD154" i="3"/>
  <c r="AD70" i="3"/>
  <c r="AD1277" i="3"/>
  <c r="AD1240" i="3"/>
  <c r="AD412" i="3"/>
  <c r="AD159" i="3"/>
  <c r="AD94" i="3"/>
  <c r="AD1440" i="3"/>
  <c r="AD1034" i="3"/>
  <c r="AD941" i="3"/>
  <c r="AD916" i="3"/>
  <c r="AD1328" i="3"/>
  <c r="AD186" i="3"/>
  <c r="AD472" i="3"/>
  <c r="AD1412" i="3"/>
  <c r="AD475" i="3"/>
  <c r="AD16" i="3"/>
  <c r="AD939" i="3"/>
  <c r="AD1024" i="3"/>
  <c r="AD953" i="3"/>
  <c r="AD1159" i="3"/>
  <c r="AD684" i="3"/>
  <c r="AD314" i="3"/>
  <c r="AD1106" i="3"/>
  <c r="AD766" i="3"/>
  <c r="AD210" i="3"/>
  <c r="AD84" i="3"/>
  <c r="AD561" i="3"/>
  <c r="AD903" i="3"/>
  <c r="AD631" i="3"/>
  <c r="AD784" i="3"/>
  <c r="AD1035" i="3"/>
  <c r="AD1531" i="3"/>
  <c r="AD1455" i="3"/>
  <c r="AD1417" i="3"/>
  <c r="AD146" i="3"/>
  <c r="AD1102" i="3"/>
  <c r="AD1104" i="3"/>
  <c r="AD1341" i="3"/>
  <c r="AD335" i="3"/>
  <c r="AD801" i="3"/>
  <c r="AD1325" i="3"/>
  <c r="AD555" i="3"/>
  <c r="AD322" i="3"/>
  <c r="AD1137" i="3"/>
  <c r="AD593" i="3"/>
  <c r="AD1172" i="3"/>
  <c r="AD1366" i="3"/>
  <c r="AD173" i="3"/>
  <c r="AD1467" i="3"/>
  <c r="AD1144" i="3"/>
  <c r="AD760" i="3"/>
  <c r="AD1501" i="3"/>
  <c r="AD1491" i="3"/>
  <c r="AD1157" i="3"/>
  <c r="AD87" i="3"/>
  <c r="AD163" i="3"/>
  <c r="AD1317" i="3"/>
  <c r="AD359" i="3"/>
  <c r="AD1530" i="3"/>
  <c r="AD27" i="3"/>
  <c r="AD553" i="3"/>
  <c r="AD841" i="3"/>
  <c r="AD1481" i="3"/>
  <c r="AD921" i="3"/>
  <c r="AD104" i="3"/>
  <c r="AD1251" i="3"/>
  <c r="AD857" i="3"/>
  <c r="AD876" i="3"/>
  <c r="AD1016" i="3"/>
  <c r="AD218" i="3"/>
  <c r="AD883" i="3"/>
  <c r="AD756" i="3"/>
  <c r="AD330" i="3"/>
  <c r="AD651" i="3"/>
  <c r="AD1480" i="3"/>
  <c r="AD1036" i="3"/>
  <c r="AD795" i="3"/>
  <c r="AD135" i="3"/>
  <c r="AD864" i="3"/>
  <c r="AD910" i="3"/>
  <c r="AD811" i="3"/>
  <c r="AD410" i="3"/>
  <c r="AD446" i="3"/>
  <c r="AD328" i="3"/>
  <c r="AD1331" i="3"/>
  <c r="AD999" i="3"/>
  <c r="AD757" i="3"/>
  <c r="AD1367" i="3"/>
  <c r="AD1174" i="3"/>
  <c r="AD1482" i="3"/>
  <c r="AD363" i="3"/>
  <c r="AD1504" i="3"/>
  <c r="AD1022" i="3"/>
  <c r="AD1188" i="3"/>
  <c r="AD286" i="3"/>
  <c r="AD326" i="3"/>
  <c r="AD1110" i="3"/>
  <c r="AD1539" i="3"/>
  <c r="AD1333" i="3"/>
  <c r="AD1214" i="3"/>
  <c r="AD140" i="3"/>
  <c r="AD1265" i="3"/>
  <c r="AD947" i="3"/>
  <c r="AD1025" i="3"/>
  <c r="AD201" i="3"/>
  <c r="AD1052" i="3"/>
  <c r="AD1004" i="3"/>
  <c r="AD1199" i="3"/>
  <c r="AD109" i="3"/>
  <c r="AD1134" i="3"/>
  <c r="AD358" i="3"/>
  <c r="AD1461" i="3"/>
  <c r="AD40" i="3"/>
  <c r="AD1220" i="3"/>
  <c r="AD12" i="3"/>
  <c r="AD142" i="3"/>
  <c r="AD646" i="3"/>
  <c r="AD1149" i="3"/>
  <c r="AD643" i="3"/>
  <c r="AD193" i="3"/>
  <c r="AD241" i="3"/>
  <c r="AD736" i="3"/>
  <c r="AD1476" i="3"/>
  <c r="AD1006" i="3"/>
  <c r="AD1262" i="3"/>
  <c r="AD965" i="3"/>
  <c r="AD1230" i="3"/>
  <c r="AD1002" i="3"/>
  <c r="AD932" i="3"/>
  <c r="AD1359" i="3"/>
  <c r="AD762" i="3"/>
  <c r="AD1464" i="3"/>
  <c r="AD1207" i="3"/>
  <c r="AD1537" i="3"/>
  <c r="AD1130" i="3"/>
  <c r="AD1208" i="3"/>
  <c r="AD1307" i="3"/>
  <c r="AD131" i="3"/>
  <c r="AD902" i="3"/>
  <c r="AD1209" i="3"/>
  <c r="AD445" i="3"/>
  <c r="AD1048" i="3"/>
  <c r="AD1045" i="3"/>
  <c r="AD1133" i="3"/>
  <c r="AD708" i="3"/>
  <c r="AD1083" i="3"/>
  <c r="AD373" i="3"/>
  <c r="AD1147" i="3"/>
  <c r="AD1007" i="3"/>
  <c r="AD858" i="3"/>
  <c r="AD765" i="3"/>
  <c r="AD211" i="3"/>
  <c r="AD1059" i="3"/>
  <c r="AD975" i="3"/>
  <c r="AD137" i="3"/>
  <c r="AD692" i="3"/>
  <c r="AD183" i="3"/>
  <c r="AD1023" i="3"/>
  <c r="AD614" i="3"/>
  <c r="AD628" i="3"/>
  <c r="AD444" i="3"/>
  <c r="AD1298" i="3"/>
  <c r="AD1241" i="3"/>
  <c r="AD1437" i="3"/>
  <c r="AD634" i="3"/>
  <c r="AD669" i="3"/>
  <c r="AD71" i="3"/>
  <c r="AD55" i="3"/>
  <c r="AD861" i="3"/>
  <c r="AD604" i="3"/>
  <c r="AD823" i="3"/>
  <c r="AD1116" i="3"/>
  <c r="AD1430" i="3"/>
  <c r="AD666" i="3"/>
  <c r="AD1410" i="3"/>
  <c r="AD694" i="3"/>
  <c r="AD1347" i="3"/>
  <c r="AD874" i="3"/>
  <c r="AD1161" i="3"/>
  <c r="AD1540" i="3"/>
  <c r="AD777" i="3"/>
  <c r="AD1362" i="3"/>
  <c r="AD653" i="3"/>
  <c r="AD1514" i="3"/>
  <c r="AD1479" i="3"/>
  <c r="AD507" i="3"/>
  <c r="AD115" i="3"/>
  <c r="AD1118" i="3"/>
  <c r="AD737" i="3"/>
  <c r="AD839" i="3"/>
  <c r="AD931" i="3"/>
  <c r="AD208" i="3"/>
  <c r="AD1409" i="3"/>
  <c r="AD918" i="3"/>
  <c r="AD774" i="3"/>
  <c r="AD881" i="3"/>
  <c r="AD440" i="3"/>
  <c r="AD1124" i="3"/>
  <c r="AD1190" i="3"/>
  <c r="AD1292" i="3"/>
  <c r="AD1373" i="3"/>
  <c r="AD1060" i="3"/>
  <c r="AD1422" i="3"/>
  <c r="AD381" i="3"/>
  <c r="AD1056" i="3"/>
  <c r="AD278" i="3"/>
  <c r="AD81" i="3"/>
  <c r="AD793" i="3"/>
  <c r="AD1433" i="3"/>
  <c r="AD1309" i="3"/>
  <c r="AD1439" i="3"/>
  <c r="AD871" i="3"/>
  <c r="AD511" i="3"/>
  <c r="AD488" i="3"/>
  <c r="AD1391" i="3"/>
  <c r="AD277" i="3"/>
  <c r="AD747" i="3"/>
  <c r="AD1427" i="3"/>
  <c r="AD36" i="3"/>
  <c r="AD958" i="3"/>
  <c r="AD892" i="3"/>
  <c r="AD399" i="3"/>
  <c r="AD642" i="3"/>
  <c r="AD1380" i="3"/>
  <c r="AD1517" i="3"/>
  <c r="AD417" i="3"/>
  <c r="AD1502" i="3"/>
  <c r="AD745" i="3"/>
  <c r="AD1038" i="3"/>
  <c r="AD948" i="3"/>
  <c r="AD425" i="3"/>
  <c r="AD1114" i="3"/>
  <c r="AD47" i="3"/>
  <c r="AD557" i="3"/>
  <c r="AD195" i="3"/>
  <c r="AD219" i="3"/>
  <c r="AD364" i="3"/>
  <c r="AD1026" i="3"/>
  <c r="AD62" i="3"/>
  <c r="AD290" i="3"/>
  <c r="AD1278" i="3"/>
  <c r="AD334" i="3"/>
  <c r="AD144" i="3"/>
  <c r="AD385" i="3"/>
  <c r="AD1374" i="3"/>
  <c r="AD1425" i="3"/>
  <c r="AD361" i="3"/>
  <c r="AD1211" i="3"/>
  <c r="AD1219" i="3"/>
  <c r="AD252" i="3"/>
  <c r="AD949" i="3"/>
  <c r="AD1389" i="3"/>
  <c r="AD1529" i="3"/>
  <c r="AD379" i="3"/>
  <c r="AD1070" i="3"/>
  <c r="AD72" i="3"/>
  <c r="AD776" i="3"/>
  <c r="AD1483" i="3"/>
  <c r="AD1053" i="3"/>
  <c r="AD584" i="3"/>
  <c r="AD979" i="3"/>
  <c r="AD560" i="3"/>
  <c r="AD1388" i="3"/>
  <c r="AD1322" i="3"/>
  <c r="AD868" i="3"/>
  <c r="AD528" i="3"/>
  <c r="AD397" i="3"/>
  <c r="AD946" i="3"/>
  <c r="AD1386" i="3"/>
  <c r="AD14" i="3"/>
  <c r="AD654" i="3"/>
  <c r="AD1094" i="3"/>
  <c r="AD1361" i="3"/>
  <c r="AD309" i="3"/>
  <c r="AD246" i="3"/>
  <c r="AD1223" i="3"/>
  <c r="AD1415" i="3"/>
  <c r="AD267" i="3"/>
  <c r="AD930" i="3"/>
  <c r="AD272" i="3"/>
  <c r="AD535" i="3"/>
  <c r="AD524" i="3"/>
  <c r="AD1030" i="3"/>
  <c r="AD667" i="3"/>
  <c r="AD970" i="3"/>
  <c r="AD808" i="3"/>
  <c r="AD519" i="3"/>
  <c r="AD398" i="3"/>
  <c r="AD324" i="3"/>
  <c r="AD540" i="3"/>
  <c r="AD1444" i="3"/>
  <c r="AD674" i="3"/>
  <c r="AD821" i="3"/>
  <c r="AD803" i="3"/>
  <c r="AD247" i="3"/>
  <c r="AD1468" i="3"/>
  <c r="AD1428" i="3"/>
  <c r="AD764" i="3"/>
  <c r="AD235" i="3"/>
  <c r="AD279" i="3"/>
  <c r="AD75" i="3"/>
  <c r="AD869" i="3"/>
  <c r="AD424" i="3"/>
  <c r="AD287" i="3"/>
  <c r="AD936" i="3"/>
  <c r="AD198" i="3"/>
  <c r="AD1171" i="3"/>
  <c r="AD873" i="3"/>
  <c r="AD926" i="3"/>
  <c r="AD418" i="3"/>
  <c r="AD353" i="3"/>
  <c r="AD1520" i="3"/>
  <c r="AD274" i="3"/>
  <c r="AD623" i="3"/>
  <c r="AD725" i="3"/>
  <c r="AD152" i="3"/>
  <c r="AD1204" i="3"/>
  <c r="AD788" i="3"/>
  <c r="AD1179" i="3"/>
  <c r="AD599" i="3"/>
  <c r="AD265" i="3"/>
  <c r="AD1103" i="3"/>
  <c r="AD1523" i="3"/>
  <c r="AD443" i="3"/>
  <c r="AD576" i="3"/>
  <c r="AD1285" i="3"/>
  <c r="AD384" i="3"/>
  <c r="AD1371" i="3"/>
  <c r="AD1187" i="3"/>
  <c r="AD997" i="3"/>
  <c r="AD1269" i="3"/>
  <c r="AD422" i="3"/>
  <c r="AD780" i="3"/>
  <c r="AD1397" i="3"/>
  <c r="AD1182" i="3"/>
  <c r="AD1253" i="3"/>
  <c r="AD993" i="3"/>
  <c r="AD886" i="3"/>
  <c r="AD1097" i="3"/>
  <c r="AD515" i="3"/>
  <c r="AD835" i="3"/>
  <c r="AD331" i="3"/>
  <c r="AD597" i="3"/>
  <c r="AD308" i="3"/>
  <c r="AD464" i="3"/>
  <c r="AD660" i="3"/>
  <c r="AD749" i="3"/>
  <c r="AD1460" i="3"/>
  <c r="AD237" i="3"/>
  <c r="AD1297" i="3"/>
  <c r="AD1173" i="3"/>
  <c r="AD779" i="3"/>
  <c r="AD1518" i="3"/>
  <c r="AD188" i="3"/>
  <c r="AD318" i="3"/>
  <c r="AD1538" i="3"/>
  <c r="AD1043" i="3"/>
  <c r="AD713" i="3"/>
  <c r="AD1336" i="3"/>
  <c r="AD244" i="3"/>
  <c r="AD891" i="3"/>
  <c r="AD618" i="3"/>
  <c r="AD366" i="3"/>
  <c r="AD1318" i="3"/>
  <c r="AD665" i="3"/>
  <c r="AD1421" i="3"/>
  <c r="AD531" i="3"/>
  <c r="AD819" i="3"/>
  <c r="AD147" i="3"/>
  <c r="AD1396" i="3"/>
  <c r="AD595" i="3"/>
  <c r="AD1506" i="3"/>
  <c r="AD462" i="3"/>
  <c r="AD1402" i="3"/>
  <c r="AD5" i="3"/>
  <c r="AD184" i="3"/>
  <c r="AD629" i="3"/>
  <c r="AD1072" i="3"/>
  <c r="AD38" i="3"/>
  <c r="AD111" i="3"/>
  <c r="AD875" i="3"/>
  <c r="AD348" i="3"/>
  <c r="AD1447" i="3"/>
  <c r="AD1370" i="3"/>
  <c r="AD710" i="3"/>
  <c r="AD1357" i="3"/>
  <c r="AD1334" i="3"/>
  <c r="AD1071" i="3"/>
  <c r="AD1524" i="3"/>
  <c r="AD1146" i="3"/>
  <c r="AD496" i="3"/>
  <c r="AD123" i="3"/>
  <c r="AD1392" i="3"/>
  <c r="AD495" i="3"/>
  <c r="AD633" i="3"/>
  <c r="AD647" i="3"/>
  <c r="AD1066" i="3"/>
  <c r="AD1073" i="3"/>
  <c r="AD172" i="3"/>
  <c r="AD1450" i="3"/>
  <c r="AD1378" i="3"/>
  <c r="AD934" i="3"/>
  <c r="AD687" i="3"/>
  <c r="AD1291" i="3"/>
  <c r="AD974" i="3"/>
  <c r="AD34" i="3"/>
  <c r="AD151" i="3"/>
  <c r="AD1135" i="3"/>
  <c r="AD1196" i="3"/>
  <c r="AD1527" i="3"/>
  <c r="AD1516" i="3"/>
  <c r="AD313" i="3"/>
  <c r="AD1186" i="3"/>
  <c r="AD1312" i="3"/>
  <c r="AD872" i="3"/>
  <c r="AD1364" i="3"/>
  <c r="AD18" i="3"/>
  <c r="AD610" i="3"/>
  <c r="AD1224" i="3"/>
  <c r="AD1313" i="3"/>
  <c r="AD231" i="3"/>
  <c r="AD1429" i="3"/>
  <c r="AD436" i="3"/>
  <c r="AD1302" i="3"/>
  <c r="AD1165" i="3"/>
  <c r="AD1012" i="3"/>
  <c r="AD264" i="3"/>
  <c r="AD1181" i="3"/>
  <c r="AD1100" i="3"/>
  <c r="AD1231" i="3"/>
  <c r="AD915" i="3"/>
  <c r="AD884" i="3"/>
  <c r="AD917" i="3"/>
  <c r="AD714" i="3"/>
  <c r="AD35" i="3"/>
  <c r="AD1446" i="3"/>
  <c r="AD1003" i="3"/>
  <c r="AD449" i="3"/>
  <c r="AD1175" i="3"/>
  <c r="AD409" i="3"/>
  <c r="AD1408" i="3"/>
  <c r="AD928" i="3"/>
  <c r="AD1074" i="3"/>
  <c r="AD139" i="3"/>
  <c r="AD951" i="3"/>
  <c r="AD558" i="3"/>
  <c r="AD1463" i="3"/>
  <c r="AD450" i="3"/>
  <c r="AD785" i="3"/>
  <c r="AD227" i="3"/>
  <c r="AD1227" i="3"/>
  <c r="AD943" i="3"/>
  <c r="AD981" i="3"/>
  <c r="AD369" i="3"/>
  <c r="AD378" i="3"/>
  <c r="AD1152" i="3"/>
  <c r="AD419" i="3"/>
  <c r="AD213" i="3"/>
  <c r="AD1465" i="3"/>
  <c r="AD1246" i="3"/>
  <c r="AD220" i="3"/>
  <c r="AD122" i="3"/>
  <c r="AD814" i="3"/>
  <c r="AD1332" i="3"/>
  <c r="AD236" i="3"/>
  <c r="AD1136" i="3"/>
  <c r="AD698" i="3"/>
  <c r="AD1327" i="3"/>
  <c r="AD763" i="3"/>
  <c r="AD1434" i="3"/>
  <c r="AD77" i="3"/>
  <c r="AD601" i="3"/>
  <c r="AD1522" i="3"/>
  <c r="AD180" i="3"/>
  <c r="AD1091" i="3"/>
  <c r="AD622" i="3"/>
  <c r="AD232" i="3"/>
  <c r="AD1508" i="3"/>
  <c r="AD260" i="3"/>
  <c r="AD1418" i="3"/>
  <c r="AD1047" i="3"/>
  <c r="AD31" i="3"/>
  <c r="AD954" i="3"/>
  <c r="AD492" i="3"/>
  <c r="AD1452" i="3"/>
  <c r="AD37" i="3"/>
  <c r="AD395" i="3"/>
  <c r="AD912" i="3"/>
  <c r="AD1236" i="3"/>
  <c r="AD885" i="3"/>
  <c r="AD743" i="3"/>
  <c r="AD1090" i="3"/>
  <c r="AD1156" i="3"/>
  <c r="AD603" i="3"/>
  <c r="AD333" i="3"/>
  <c r="AD989" i="3"/>
  <c r="AD741" i="3"/>
  <c r="R5" i="8"/>
  <c r="W5" i="8" s="1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13" i="10" l="1"/>
  <c r="F25" i="10"/>
  <c r="F12" i="10"/>
  <c r="C12" i="10"/>
  <c r="F6" i="10"/>
  <c r="F5" i="10"/>
  <c r="F11" i="10"/>
  <c r="F28" i="10"/>
  <c r="F14" i="10"/>
  <c r="F22" i="10"/>
  <c r="C15" i="10"/>
  <c r="D25" i="10"/>
  <c r="C4" i="10"/>
  <c r="C16" i="10"/>
  <c r="C26" i="10"/>
  <c r="C28" i="10"/>
  <c r="C20" i="10"/>
  <c r="C13" i="10"/>
  <c r="C25" i="10"/>
  <c r="C9" i="10"/>
  <c r="D23" i="10"/>
  <c r="D11" i="10"/>
  <c r="C27" i="10"/>
  <c r="C6" i="10"/>
  <c r="C5" i="10"/>
  <c r="C11" i="10"/>
  <c r="C19" i="10"/>
  <c r="C24" i="10"/>
  <c r="C21" i="10"/>
  <c r="C14" i="10"/>
  <c r="C10" i="10"/>
  <c r="C7" i="10"/>
  <c r="C23" i="10"/>
  <c r="C17" i="10"/>
  <c r="C3" i="10"/>
  <c r="C18" i="10"/>
  <c r="C22" i="10"/>
  <c r="R1423" i="3"/>
  <c r="R935" i="3"/>
  <c r="R394" i="3"/>
  <c r="R694" i="3"/>
  <c r="R818" i="3"/>
  <c r="R416" i="3"/>
  <c r="R351" i="3"/>
  <c r="R398" i="3"/>
  <c r="R713" i="3"/>
  <c r="R307" i="3"/>
  <c r="R678" i="3"/>
  <c r="R183" i="3"/>
  <c r="R1274" i="3"/>
  <c r="R241" i="3"/>
  <c r="R1145" i="3"/>
  <c r="R999" i="3"/>
  <c r="R755" i="3"/>
  <c r="R1417" i="3"/>
  <c r="R1222" i="3"/>
  <c r="R1358" i="3"/>
  <c r="R745" i="3"/>
  <c r="R984" i="3"/>
  <c r="R1510" i="3"/>
  <c r="R1239" i="3"/>
  <c r="R932" i="3"/>
  <c r="R1427" i="3"/>
  <c r="R982" i="3"/>
  <c r="R1068" i="3"/>
  <c r="R879" i="3"/>
  <c r="R87" i="3"/>
  <c r="R904" i="3"/>
  <c r="R1448" i="3"/>
  <c r="R884" i="3"/>
  <c r="R846" i="3"/>
  <c r="R1484" i="3"/>
  <c r="R1505" i="3"/>
  <c r="R1152" i="3"/>
  <c r="R912" i="3"/>
  <c r="R1253" i="3"/>
  <c r="R850" i="3"/>
  <c r="R764" i="3"/>
  <c r="R433" i="3"/>
  <c r="R860" i="3"/>
  <c r="R1040" i="3"/>
  <c r="R544" i="3"/>
  <c r="R871" i="3"/>
  <c r="R781" i="3"/>
  <c r="R965" i="3"/>
  <c r="R1005" i="3"/>
  <c r="R1000" i="3"/>
  <c r="R823" i="3"/>
  <c r="R1012" i="3"/>
  <c r="R243" i="3"/>
  <c r="R1109" i="3"/>
  <c r="R17" i="3"/>
  <c r="R1208" i="3"/>
  <c r="R819" i="3"/>
  <c r="R577" i="3"/>
  <c r="R767" i="3"/>
  <c r="R498" i="3"/>
  <c r="R710" i="3"/>
  <c r="R204" i="3"/>
  <c r="R1306" i="3"/>
  <c r="R1446" i="3"/>
  <c r="R266" i="3"/>
  <c r="R159" i="3"/>
  <c r="R1183" i="3"/>
  <c r="R944" i="3"/>
  <c r="R623" i="3"/>
  <c r="R31" i="3"/>
  <c r="R1491" i="3"/>
  <c r="R123" i="3"/>
  <c r="R29" i="3"/>
  <c r="R765" i="3"/>
  <c r="R1406" i="3"/>
  <c r="R1101" i="3"/>
  <c r="R309" i="3"/>
  <c r="R1432" i="3"/>
  <c r="R1523" i="3"/>
  <c r="R1542" i="3"/>
  <c r="R1355" i="3"/>
  <c r="R828" i="3"/>
  <c r="R857" i="3"/>
  <c r="R807" i="3"/>
  <c r="R886" i="3"/>
  <c r="R195" i="3"/>
  <c r="R959" i="3"/>
  <c r="R1016" i="3"/>
  <c r="R851" i="3"/>
  <c r="R650" i="3"/>
  <c r="R1356" i="3"/>
  <c r="R1006" i="3"/>
  <c r="R923" i="3"/>
  <c r="R439" i="3"/>
  <c r="R1520" i="3"/>
  <c r="R296" i="3"/>
  <c r="R611" i="3"/>
  <c r="R1435" i="3"/>
  <c r="R1326" i="3"/>
  <c r="R1052" i="3"/>
  <c r="R1010" i="3"/>
  <c r="R1131" i="3"/>
  <c r="R1035" i="3"/>
  <c r="R853" i="3"/>
  <c r="R1146" i="3"/>
  <c r="R314" i="3"/>
  <c r="R430" i="3"/>
  <c r="R812" i="3"/>
  <c r="R814" i="3"/>
  <c r="R48" i="3"/>
  <c r="R578" i="3"/>
  <c r="R220" i="3"/>
  <c r="R151" i="3"/>
  <c r="R915" i="3"/>
  <c r="R1060" i="3"/>
  <c r="R1479" i="3"/>
  <c r="R603" i="3"/>
  <c r="R1366" i="3"/>
  <c r="R111" i="3"/>
  <c r="R903" i="3"/>
  <c r="R509" i="3"/>
  <c r="R924" i="3"/>
  <c r="R63" i="3"/>
  <c r="R849" i="3"/>
  <c r="R1376" i="3"/>
  <c r="R488" i="3"/>
  <c r="R706" i="3"/>
  <c r="R425" i="3"/>
  <c r="R911" i="3"/>
  <c r="R5" i="3"/>
  <c r="R914" i="3"/>
  <c r="R256" i="3"/>
  <c r="R929" i="3"/>
  <c r="R1328" i="3"/>
  <c r="R147" i="3"/>
  <c r="R385" i="3"/>
  <c r="R1468" i="3"/>
  <c r="R625" i="3"/>
  <c r="R714" i="3"/>
  <c r="R413" i="3"/>
  <c r="R954" i="3"/>
  <c r="R517" i="3"/>
  <c r="R668" i="3"/>
  <c r="R930" i="3"/>
  <c r="R139" i="3"/>
  <c r="R958" i="3"/>
  <c r="R629" i="3"/>
  <c r="R1368" i="3"/>
  <c r="R250" i="3"/>
  <c r="R1201" i="3"/>
  <c r="R1028" i="3"/>
  <c r="R669" i="3"/>
  <c r="R547" i="3"/>
  <c r="R863" i="3"/>
  <c r="R607" i="3"/>
  <c r="R353" i="3"/>
  <c r="R785" i="3"/>
  <c r="R407" i="3"/>
  <c r="R842" i="3"/>
  <c r="R533" i="3"/>
  <c r="R1137" i="3"/>
  <c r="R800" i="3"/>
  <c r="R673" i="3"/>
  <c r="R84" i="3"/>
  <c r="R1249" i="3"/>
  <c r="R1528" i="3"/>
  <c r="R71" i="3"/>
  <c r="R941" i="3"/>
  <c r="R1379" i="3"/>
  <c r="R680" i="3"/>
  <c r="R671" i="3"/>
  <c r="R1527" i="3"/>
  <c r="R654" i="3"/>
  <c r="R1418" i="3"/>
  <c r="R1007" i="3"/>
  <c r="R613" i="3"/>
  <c r="R366" i="3"/>
  <c r="R206" i="3"/>
  <c r="R213" i="3"/>
  <c r="R739" i="3"/>
  <c r="R721" i="3"/>
  <c r="R968" i="3"/>
  <c r="R1537" i="3"/>
  <c r="R1015" i="3"/>
  <c r="R971" i="3"/>
  <c r="R974" i="3"/>
  <c r="R1456" i="3"/>
  <c r="R732" i="3"/>
  <c r="R783" i="3"/>
  <c r="R752" i="3"/>
  <c r="R1082" i="3"/>
  <c r="R1116" i="3"/>
  <c r="R793" i="3"/>
  <c r="R211" i="3"/>
  <c r="R744" i="3"/>
  <c r="R1047" i="3"/>
  <c r="R667" i="3"/>
  <c r="R32" i="3"/>
  <c r="R834" i="3"/>
  <c r="R1364" i="3"/>
  <c r="R358" i="3"/>
  <c r="R601" i="3"/>
  <c r="R1393" i="3"/>
  <c r="R58" i="3"/>
  <c r="R1029" i="3"/>
  <c r="R813" i="3"/>
  <c r="R535" i="3"/>
  <c r="R1450" i="3"/>
  <c r="R1271" i="3"/>
  <c r="R660" i="3"/>
  <c r="R885" i="3"/>
  <c r="R1464" i="3"/>
  <c r="R782" i="3"/>
  <c r="R1079" i="3"/>
  <c r="R1452" i="3"/>
  <c r="R218" i="3"/>
  <c r="R1333" i="3"/>
  <c r="R1003" i="3"/>
  <c r="R24" i="3"/>
  <c r="R1185" i="3"/>
  <c r="R1426" i="3"/>
  <c r="R152" i="3"/>
  <c r="R188" i="3"/>
  <c r="R902" i="3"/>
  <c r="R754" i="3"/>
  <c r="R931" i="3"/>
  <c r="R474" i="3"/>
  <c r="R773" i="3"/>
  <c r="R193" i="3"/>
  <c r="R402" i="3"/>
  <c r="R756" i="3"/>
  <c r="R833" i="3"/>
  <c r="R165" i="3"/>
  <c r="R1149" i="3"/>
  <c r="R826" i="3"/>
  <c r="R1471" i="3"/>
  <c r="R1502" i="3"/>
  <c r="R835" i="3"/>
  <c r="R1322" i="3"/>
  <c r="R1380" i="3"/>
  <c r="R1097" i="3"/>
  <c r="R287" i="3"/>
  <c r="R378" i="3"/>
  <c r="R919" i="3"/>
  <c r="R1439" i="3"/>
  <c r="R180" i="3"/>
  <c r="R271" i="3"/>
  <c r="R631" i="3"/>
  <c r="R702" i="3"/>
  <c r="R1038" i="3"/>
  <c r="R528" i="3"/>
  <c r="R1331" i="3"/>
  <c r="R627" i="3"/>
  <c r="R895" i="3"/>
  <c r="R723" i="3"/>
  <c r="R1062" i="3"/>
  <c r="R1441" i="3"/>
  <c r="R1223" i="3"/>
  <c r="R874" i="3"/>
  <c r="R1367" i="3"/>
  <c r="R1092" i="3"/>
  <c r="R990" i="3"/>
  <c r="R816" i="3"/>
  <c r="R1377" i="3"/>
  <c r="R966" i="3"/>
  <c r="R953" i="3"/>
  <c r="R898" i="3"/>
  <c r="R862" i="3"/>
  <c r="R1130" i="3"/>
  <c r="R693" i="3"/>
  <c r="R304" i="3"/>
  <c r="R376" i="3"/>
  <c r="R122" i="3"/>
  <c r="R909" i="3"/>
  <c r="R1541" i="3"/>
  <c r="R635" i="3"/>
  <c r="R1507" i="3"/>
  <c r="R115" i="3"/>
  <c r="R1330" i="3"/>
  <c r="R1187" i="3"/>
  <c r="R948" i="3"/>
  <c r="R676" i="3"/>
  <c r="R1073" i="3"/>
  <c r="R681" i="3"/>
  <c r="R619" i="3"/>
  <c r="R230" i="3"/>
  <c r="R492" i="3"/>
  <c r="R934" i="3"/>
  <c r="R943" i="3"/>
  <c r="R939" i="3"/>
  <c r="R1362" i="3"/>
  <c r="R822" i="3"/>
  <c r="R987" i="3"/>
  <c r="R247" i="3"/>
  <c r="R110" i="3"/>
  <c r="R775" i="3"/>
  <c r="R179" i="3"/>
  <c r="R801" i="3"/>
  <c r="R1404" i="3"/>
  <c r="R985" i="3"/>
  <c r="R659" i="3"/>
  <c r="R780" i="3"/>
  <c r="R1490" i="3"/>
  <c r="R901" i="3"/>
  <c r="R331" i="3"/>
  <c r="R1224" i="3"/>
  <c r="R496" i="3"/>
  <c r="R1179" i="3"/>
  <c r="R1106" i="3"/>
  <c r="R1517" i="3"/>
  <c r="R1409" i="3"/>
  <c r="R1087" i="3"/>
  <c r="R988" i="3"/>
  <c r="R956" i="3"/>
  <c r="R887" i="3"/>
  <c r="R1463" i="3"/>
  <c r="R1516" i="3"/>
  <c r="R1193" i="3"/>
  <c r="R1321" i="3"/>
  <c r="R1540" i="3"/>
  <c r="R1473" i="3"/>
  <c r="R957" i="3"/>
  <c r="R998" i="3"/>
  <c r="R866" i="3"/>
  <c r="R881" i="3"/>
  <c r="R1425" i="3"/>
  <c r="R891" i="3"/>
  <c r="R925" i="3"/>
  <c r="R955" i="3"/>
  <c r="R1194" i="3"/>
  <c r="R1532" i="3"/>
  <c r="R236" i="3"/>
  <c r="R762" i="3"/>
  <c r="R1245" i="3"/>
  <c r="R1212" i="3"/>
  <c r="R1181" i="3"/>
  <c r="R695" i="3"/>
  <c r="R1140" i="3"/>
  <c r="R388" i="3"/>
  <c r="R1048" i="3"/>
  <c r="R981" i="3"/>
  <c r="R1543" i="3"/>
  <c r="R560" i="3"/>
  <c r="R43" i="3"/>
  <c r="R400" i="3"/>
  <c r="R546" i="3"/>
  <c r="R1184" i="3"/>
  <c r="R651" i="3"/>
  <c r="R1241" i="3"/>
  <c r="R1477" i="3"/>
  <c r="R1124" i="3"/>
  <c r="R978" i="3"/>
  <c r="R357" i="3"/>
  <c r="R609" i="3"/>
  <c r="R768" i="3"/>
  <c r="R877" i="3"/>
  <c r="R634" i="3"/>
  <c r="R1230" i="3"/>
  <c r="R795" i="3"/>
  <c r="R872" i="3"/>
  <c r="R604" i="3"/>
  <c r="R725" i="3"/>
  <c r="R13" i="3"/>
  <c r="R1198" i="3"/>
  <c r="R1390" i="3"/>
  <c r="R1312" i="3"/>
  <c r="R479" i="3"/>
  <c r="R558" i="3"/>
  <c r="R410" i="3"/>
  <c r="R1204" i="3"/>
  <c r="R472" i="3"/>
  <c r="R907" i="3"/>
  <c r="R736" i="3"/>
  <c r="R936" i="3"/>
  <c r="R637" i="3"/>
  <c r="R14" i="3"/>
  <c r="R1139" i="3"/>
  <c r="R899" i="3"/>
  <c r="R784" i="3"/>
  <c r="R830" i="3"/>
  <c r="R1462" i="3"/>
  <c r="R1064" i="3"/>
  <c r="R393" i="3"/>
  <c r="R270" i="3"/>
  <c r="R1214" i="3"/>
  <c r="R976" i="3"/>
  <c r="R1111" i="3"/>
  <c r="R397" i="3"/>
  <c r="R1539" i="3"/>
  <c r="R1297" i="3"/>
  <c r="R1059" i="3"/>
  <c r="R1115" i="3"/>
  <c r="R1538" i="3"/>
  <c r="R1121" i="3"/>
  <c r="R841" i="3"/>
  <c r="R1167" i="3"/>
  <c r="R1412" i="3"/>
  <c r="R1192" i="3"/>
  <c r="R1525" i="3"/>
  <c r="R1431" i="3"/>
  <c r="R1308" i="3"/>
  <c r="R628" i="3"/>
  <c r="R1430" i="3"/>
  <c r="R964" i="3"/>
  <c r="H7" i="11"/>
  <c r="R967" i="3"/>
  <c r="R1307" i="3"/>
  <c r="R1039" i="3"/>
  <c r="R1419" i="3"/>
  <c r="R1277" i="3"/>
  <c r="R1141" i="3"/>
  <c r="R1191" i="3"/>
  <c r="R1449" i="3"/>
  <c r="R942" i="3"/>
  <c r="R1478" i="3"/>
  <c r="R858" i="3"/>
  <c r="R662" i="3"/>
  <c r="R226" i="3"/>
  <c r="R47" i="3"/>
  <c r="R878" i="3"/>
  <c r="R1530" i="3"/>
  <c r="R806" i="3"/>
  <c r="R910" i="3"/>
  <c r="R1337" i="3"/>
  <c r="R794" i="3"/>
  <c r="R1436" i="3"/>
  <c r="R125" i="3"/>
  <c r="R1511" i="3"/>
  <c r="R1485" i="3"/>
  <c r="I7" i="11"/>
  <c r="R1168" i="3"/>
  <c r="R759" i="3"/>
  <c r="R210" i="3"/>
  <c r="R892" i="3"/>
  <c r="R1428" i="3"/>
  <c r="R269" i="3"/>
  <c r="I5" i="11"/>
  <c r="I6" i="11"/>
  <c r="R1200" i="3"/>
  <c r="R742" i="3"/>
  <c r="R670" i="3"/>
  <c r="I4" i="11"/>
  <c r="R1033" i="3"/>
  <c r="R864" i="3"/>
  <c r="R1196" i="3"/>
  <c r="R244" i="3"/>
  <c r="R1529" i="3"/>
  <c r="H4" i="11"/>
  <c r="H6" i="11"/>
  <c r="H5" i="11"/>
  <c r="R311" i="3"/>
  <c r="R705" i="3"/>
  <c r="AR621" i="2"/>
  <c r="R1403" i="3" s="1"/>
  <c r="AR344" i="2"/>
  <c r="AR372" i="2"/>
  <c r="AR656" i="2"/>
  <c r="R1438" i="3" s="1"/>
  <c r="AR308" i="2"/>
  <c r="AR551" i="2"/>
  <c r="AR289" i="2"/>
  <c r="AR140" i="2"/>
  <c r="AR519" i="2"/>
  <c r="R1296" i="3" s="1"/>
  <c r="AR348" i="2"/>
  <c r="R527" i="3" s="1"/>
  <c r="AR311" i="2"/>
  <c r="R837" i="3" s="1"/>
  <c r="AR531" i="2"/>
  <c r="AR307" i="2"/>
  <c r="AR336" i="2"/>
  <c r="AR238" i="2"/>
  <c r="AR443" i="2"/>
  <c r="AR567" i="2"/>
  <c r="AR376" i="2"/>
  <c r="AR702" i="2"/>
  <c r="R1482" i="3" s="1"/>
  <c r="AR752" i="2"/>
  <c r="AR255" i="2"/>
  <c r="R186" i="3" s="1"/>
  <c r="AR185" i="2"/>
  <c r="R162" i="3" s="1"/>
  <c r="AR290" i="2"/>
  <c r="R432" i="3" s="1"/>
  <c r="AR170" i="2"/>
  <c r="AR115" i="2"/>
  <c r="R181" i="3" s="1"/>
  <c r="AR12" i="2"/>
  <c r="AR28" i="2"/>
  <c r="AR135" i="2"/>
  <c r="R59" i="3" s="1"/>
  <c r="AR706" i="2"/>
  <c r="R1486" i="3" s="1"/>
  <c r="AR126" i="2"/>
  <c r="R602" i="3" s="1"/>
  <c r="BA70" i="1"/>
  <c r="R429" i="3" s="1"/>
  <c r="BA25" i="1"/>
  <c r="AR498" i="2"/>
  <c r="R1269" i="3" s="1"/>
  <c r="AR472" i="2"/>
  <c r="AR51" i="2"/>
  <c r="R313" i="3" s="1"/>
  <c r="AR739" i="2"/>
  <c r="R1519" i="3" s="1"/>
  <c r="AR394" i="2"/>
  <c r="AR352" i="2"/>
  <c r="AR74" i="2"/>
  <c r="R359" i="3" s="1"/>
  <c r="AR260" i="2"/>
  <c r="R715" i="3" s="1"/>
  <c r="AR261" i="2"/>
  <c r="AR558" i="2"/>
  <c r="R1338" i="3" s="1"/>
  <c r="AR497" i="2"/>
  <c r="AR156" i="2"/>
  <c r="AR488" i="2"/>
  <c r="R582" i="3" s="1"/>
  <c r="AR719" i="2"/>
  <c r="AR630" i="2"/>
  <c r="AR547" i="2"/>
  <c r="AR184" i="2"/>
  <c r="R214" i="3" s="1"/>
  <c r="AR358" i="2"/>
  <c r="R973" i="3" s="1"/>
  <c r="AR241" i="2"/>
  <c r="AR254" i="2"/>
  <c r="AR756" i="2"/>
  <c r="R1534" i="3" s="1"/>
  <c r="AR48" i="2"/>
  <c r="R27" i="3" s="1"/>
  <c r="AR193" i="2"/>
  <c r="R39" i="3" s="1"/>
  <c r="AR252" i="2"/>
  <c r="AR728" i="2"/>
  <c r="R1508" i="3" s="1"/>
  <c r="AR402" i="2"/>
  <c r="R1081" i="3" s="1"/>
  <c r="AR145" i="2"/>
  <c r="R73" i="3" s="1"/>
  <c r="AR69" i="2"/>
  <c r="R150" i="3" s="1"/>
  <c r="AR677" i="2"/>
  <c r="R1458" i="3" s="1"/>
  <c r="AR545" i="2"/>
  <c r="R1325" i="3" s="1"/>
  <c r="AR305" i="2"/>
  <c r="AR479" i="2"/>
  <c r="AR144" i="2"/>
  <c r="R622" i="3" s="1"/>
  <c r="AR330" i="2"/>
  <c r="AR486" i="2"/>
  <c r="R327" i="3" s="1"/>
  <c r="AR96" i="2"/>
  <c r="AR196" i="2"/>
  <c r="R525" i="3" s="1"/>
  <c r="AR411" i="2"/>
  <c r="R1110" i="3" s="1"/>
  <c r="AR268" i="2"/>
  <c r="R741" i="3" s="1"/>
  <c r="AR686" i="2"/>
  <c r="R1466" i="3" s="1"/>
  <c r="AR451" i="2"/>
  <c r="R1190" i="3" s="1"/>
  <c r="AR458" i="2"/>
  <c r="R1207" i="3" s="1"/>
  <c r="AR631" i="2"/>
  <c r="R1413" i="3" s="1"/>
  <c r="AR25" i="2"/>
  <c r="R100" i="3" s="1"/>
  <c r="AR256" i="2"/>
  <c r="AR35" i="2"/>
  <c r="R258" i="3" s="1"/>
  <c r="AR52" i="2"/>
  <c r="R94" i="3" s="1"/>
  <c r="AR14" i="2"/>
  <c r="R88" i="3" s="1"/>
  <c r="AR478" i="2"/>
  <c r="AR602" i="2"/>
  <c r="R1384" i="3" s="1"/>
  <c r="AR37" i="2"/>
  <c r="R333" i="3" s="1"/>
  <c r="AR523" i="2"/>
  <c r="R438" i="3" s="1"/>
  <c r="AR413" i="2"/>
  <c r="AR120" i="2"/>
  <c r="R291" i="3" s="1"/>
  <c r="AR513" i="2"/>
  <c r="AR119" i="2"/>
  <c r="R279" i="3" s="1"/>
  <c r="AR474" i="2"/>
  <c r="AR568" i="2"/>
  <c r="R1354" i="3" s="1"/>
  <c r="AR427" i="2"/>
  <c r="AR485" i="2"/>
  <c r="R1255" i="3" s="1"/>
  <c r="AR441" i="2"/>
  <c r="AR484" i="2"/>
  <c r="R511" i="3" s="1"/>
  <c r="AR98" i="2"/>
  <c r="R277" i="3" s="1"/>
  <c r="AR517" i="2"/>
  <c r="R1292" i="3" s="1"/>
  <c r="AR392" i="2"/>
  <c r="AR209" i="2"/>
  <c r="AR537" i="2"/>
  <c r="R1317" i="3" s="1"/>
  <c r="AR639" i="2"/>
  <c r="R1421" i="3" s="1"/>
  <c r="AR201" i="2"/>
  <c r="R648" i="3" s="1"/>
  <c r="AR561" i="2"/>
  <c r="R1342" i="3" s="1"/>
  <c r="AR515" i="2"/>
  <c r="AR109" i="2"/>
  <c r="R328" i="3" s="1"/>
  <c r="AR477" i="2"/>
  <c r="R576" i="3" s="1"/>
  <c r="AR362" i="2"/>
  <c r="AR338" i="2"/>
  <c r="R928" i="3" s="1"/>
  <c r="AR662" i="2"/>
  <c r="R1443" i="3" s="1"/>
  <c r="AR436" i="2"/>
  <c r="R1159" i="3" s="1"/>
  <c r="AR482" i="2"/>
  <c r="AR369" i="2"/>
  <c r="AR620" i="2"/>
  <c r="R1402" i="3" s="1"/>
  <c r="AR233" i="2"/>
  <c r="AR505" i="2"/>
  <c r="R1278" i="3" s="1"/>
  <c r="AR511" i="2"/>
  <c r="AR501" i="2"/>
  <c r="R1273" i="3" s="1"/>
  <c r="AR248" i="2"/>
  <c r="R689" i="3" s="1"/>
  <c r="AR240" i="2"/>
  <c r="R686" i="3" s="1"/>
  <c r="AR467" i="2"/>
  <c r="R1232" i="3" s="1"/>
  <c r="AR363" i="2"/>
  <c r="AR690" i="2"/>
  <c r="R1470" i="3" s="1"/>
  <c r="AR322" i="2"/>
  <c r="R868" i="3" s="1"/>
  <c r="AR724" i="2"/>
  <c r="R1504" i="3" s="1"/>
  <c r="AR71" i="2"/>
  <c r="R40" i="3" s="1"/>
  <c r="AR154" i="2"/>
  <c r="R140" i="3" s="1"/>
  <c r="AR200" i="2"/>
  <c r="AR269" i="2"/>
  <c r="R597" i="3" s="1"/>
  <c r="AR685" i="2"/>
  <c r="AR294" i="2"/>
  <c r="R409" i="3" s="1"/>
  <c r="AR296" i="2"/>
  <c r="R792" i="3" s="1"/>
  <c r="AR95" i="2"/>
  <c r="R330" i="3" s="1"/>
  <c r="AR24" i="2"/>
  <c r="AR281" i="2"/>
  <c r="AR198" i="2"/>
  <c r="R555" i="3" s="1"/>
  <c r="AR259" i="2"/>
  <c r="AR480" i="2"/>
  <c r="R1252" i="3" s="1"/>
  <c r="AR113" i="2"/>
  <c r="R399" i="3" s="1"/>
  <c r="AR753" i="2"/>
  <c r="R1531" i="3" s="1"/>
  <c r="AR429" i="2"/>
  <c r="AR167" i="2"/>
  <c r="AR633" i="2"/>
  <c r="R1415" i="3" s="1"/>
  <c r="AR600" i="2"/>
  <c r="AR266" i="2"/>
  <c r="R564" i="3" s="1"/>
  <c r="AR554" i="2"/>
  <c r="AR99" i="2"/>
  <c r="R219" i="3" s="1"/>
  <c r="AR17" i="2"/>
  <c r="R149" i="3" s="1"/>
  <c r="AR295" i="2"/>
  <c r="AR470" i="2"/>
  <c r="R1240" i="3" s="1"/>
  <c r="AR265" i="2"/>
  <c r="R729" i="3" s="1"/>
  <c r="AR93" i="2"/>
  <c r="R299" i="3" s="1"/>
  <c r="AR244" i="2"/>
  <c r="R346" i="3" s="1"/>
  <c r="AR381" i="2"/>
  <c r="R1036" i="3" s="1"/>
  <c r="AR324" i="2"/>
  <c r="R408" i="3" s="1"/>
  <c r="AR19" i="2"/>
  <c r="AR217" i="2"/>
  <c r="R453" i="3" s="1"/>
  <c r="AR90" i="2"/>
  <c r="AR273" i="2"/>
  <c r="R368" i="3" s="1"/>
  <c r="AR538" i="2"/>
  <c r="R1318" i="3" s="1"/>
  <c r="AR176" i="2"/>
  <c r="AR112" i="2"/>
  <c r="AR532" i="2"/>
  <c r="AR55" i="2"/>
  <c r="R262" i="3" s="1"/>
  <c r="AR40" i="2"/>
  <c r="R316" i="3" s="1"/>
  <c r="AR186" i="2"/>
  <c r="AR563" i="2"/>
  <c r="AR56" i="2"/>
  <c r="AR80" i="2"/>
  <c r="R154" i="3" s="1"/>
  <c r="AR475" i="2"/>
  <c r="R1247" i="3" s="1"/>
  <c r="AR454" i="2"/>
  <c r="AR586" i="2"/>
  <c r="R1371" i="3" s="1"/>
  <c r="AR664" i="2"/>
  <c r="AR468" i="2"/>
  <c r="R1234" i="3" s="1"/>
  <c r="AR540" i="2"/>
  <c r="R1320" i="3" s="1"/>
  <c r="AR661" i="2"/>
  <c r="AR175" i="2"/>
  <c r="AR623" i="2"/>
  <c r="R1405" i="3" s="1"/>
  <c r="AR26" i="2"/>
  <c r="R28" i="3" s="1"/>
  <c r="AR299" i="2"/>
  <c r="R808" i="3" s="1"/>
  <c r="AR10" i="2"/>
  <c r="R55" i="3" s="1"/>
  <c r="AR588" i="2"/>
  <c r="AR49" i="2"/>
  <c r="R208" i="3" s="1"/>
  <c r="AR225" i="2"/>
  <c r="R561" i="3" s="1"/>
  <c r="AR309" i="2"/>
  <c r="R521" i="3" s="1"/>
  <c r="AR638" i="2"/>
  <c r="R1420" i="3" s="1"/>
  <c r="AR612" i="2"/>
  <c r="R1394" i="3" s="1"/>
  <c r="AR223" i="2"/>
  <c r="R666" i="3" s="1"/>
  <c r="AR231" i="2"/>
  <c r="R341" i="3" s="1"/>
  <c r="AR242" i="2"/>
  <c r="R687" i="3" s="1"/>
  <c r="AR647" i="2"/>
  <c r="R1429" i="3" s="1"/>
  <c r="AR476" i="2"/>
  <c r="R608" i="3" s="1"/>
  <c r="AR246" i="2"/>
  <c r="AR77" i="2"/>
  <c r="R452" i="3" s="1"/>
  <c r="AR566" i="2"/>
  <c r="AR371" i="2"/>
  <c r="AR102" i="2"/>
  <c r="AR22" i="2"/>
  <c r="R34" i="3" s="1"/>
  <c r="AR291" i="2"/>
  <c r="R267" i="3" s="1"/>
  <c r="AR199" i="2"/>
  <c r="AR676" i="2"/>
  <c r="AR318" i="2"/>
  <c r="R861" i="3" s="1"/>
  <c r="AR123" i="2"/>
  <c r="R260" i="3" s="1"/>
  <c r="AR326" i="2"/>
  <c r="R435" i="3" s="1"/>
  <c r="AR403" i="2"/>
  <c r="AR286" i="2"/>
  <c r="AR435" i="2"/>
  <c r="R1156" i="3" s="1"/>
  <c r="AR593" i="2"/>
  <c r="AR31" i="2"/>
  <c r="R81" i="3" s="1"/>
  <c r="AR257" i="2"/>
  <c r="AR282" i="2"/>
  <c r="AR340" i="2"/>
  <c r="R505" i="3" s="1"/>
  <c r="AR234" i="2"/>
  <c r="AR62" i="2"/>
  <c r="R133" i="3" s="1"/>
  <c r="AR716" i="2"/>
  <c r="AR615" i="2"/>
  <c r="R1397" i="3" s="1"/>
  <c r="AR179" i="2"/>
  <c r="R62" i="3" s="1"/>
  <c r="AR63" i="2"/>
  <c r="R93" i="3" s="1"/>
  <c r="AR44" i="2"/>
  <c r="AR50" i="2"/>
  <c r="R171" i="3" s="1"/>
  <c r="AR590" i="2"/>
  <c r="R1373" i="3" s="1"/>
  <c r="AR20" i="2"/>
  <c r="AR555" i="2"/>
  <c r="R1336" i="3" s="1"/>
  <c r="AR723" i="2"/>
  <c r="R1503" i="3" s="1"/>
  <c r="AR421" i="2"/>
  <c r="AR560" i="2"/>
  <c r="AR536" i="2"/>
  <c r="AR601" i="2"/>
  <c r="R1383" i="3" s="1"/>
  <c r="AR149" i="2"/>
  <c r="AR285" i="2"/>
  <c r="R766" i="3" s="1"/>
  <c r="AR456" i="2"/>
  <c r="AR84" i="2"/>
  <c r="R334" i="3" s="1"/>
  <c r="AR133" i="2"/>
  <c r="R348" i="3" s="1"/>
  <c r="AR732" i="2"/>
  <c r="AR670" i="2"/>
  <c r="AR67" i="2"/>
  <c r="AR276" i="2"/>
  <c r="R507" i="3" s="1"/>
  <c r="AR117" i="2"/>
  <c r="R146" i="3" s="1"/>
  <c r="AR47" i="2"/>
  <c r="R116" i="3" s="1"/>
  <c r="AR64" i="2"/>
  <c r="R362" i="3" s="1"/>
  <c r="AR216" i="2"/>
  <c r="R343" i="3" s="1"/>
  <c r="AR258" i="2"/>
  <c r="R523" i="3" s="1"/>
  <c r="AR262" i="2"/>
  <c r="AR283" i="2"/>
  <c r="R763" i="3" s="1"/>
  <c r="AR279" i="2"/>
  <c r="AR420" i="2"/>
  <c r="AR194" i="2"/>
  <c r="AR556" i="2"/>
  <c r="R537" i="3" s="1"/>
  <c r="AR222" i="2"/>
  <c r="R481" i="3" s="1"/>
  <c r="AR82" i="2"/>
  <c r="R90" i="3" s="1"/>
  <c r="AR205" i="2"/>
  <c r="AR91" i="2"/>
  <c r="R173" i="3" s="1"/>
  <c r="AR214" i="2"/>
  <c r="R550" i="3" s="1"/>
  <c r="AR6" i="2"/>
  <c r="R26" i="3" s="1"/>
  <c r="AR417" i="2"/>
  <c r="AR245" i="2"/>
  <c r="R283" i="3" s="1"/>
  <c r="AR390" i="2"/>
  <c r="AR746" i="2"/>
  <c r="AR146" i="2"/>
  <c r="R278" i="3" s="1"/>
  <c r="AR734" i="2"/>
  <c r="R1514" i="3" s="1"/>
  <c r="AR562" i="2"/>
  <c r="R1347" i="3" s="1"/>
  <c r="AR533" i="2"/>
  <c r="R1311" i="3" s="1"/>
  <c r="AR211" i="2"/>
  <c r="AR695" i="2"/>
  <c r="AR172" i="2"/>
  <c r="AR571" i="2"/>
  <c r="R1357" i="3" s="1"/>
  <c r="AR79" i="2"/>
  <c r="AR407" i="2"/>
  <c r="AR383" i="2"/>
  <c r="AR97" i="2"/>
  <c r="R274" i="3" s="1"/>
  <c r="AR197" i="2"/>
  <c r="R436" i="3" s="1"/>
  <c r="AR342" i="2"/>
  <c r="AR81" i="2"/>
  <c r="AR323" i="2"/>
  <c r="R870" i="3" s="1"/>
  <c r="AR288" i="2"/>
  <c r="R570" i="3" s="1"/>
  <c r="AR107" i="2"/>
  <c r="AR464" i="2"/>
  <c r="AR346" i="2"/>
  <c r="R227" i="3" s="1"/>
  <c r="AR131" i="2"/>
  <c r="R386" i="3" s="1"/>
  <c r="AR163" i="2"/>
  <c r="R372" i="3" s="1"/>
  <c r="AR426" i="2"/>
  <c r="R449" i="3" s="1"/>
  <c r="AR270" i="2"/>
  <c r="R575" i="3" s="1"/>
  <c r="AR717" i="2"/>
  <c r="AR430" i="2"/>
  <c r="R1144" i="3" s="1"/>
  <c r="AR709" i="2"/>
  <c r="AR83" i="2"/>
  <c r="R326" i="3" s="1"/>
  <c r="AR39" i="2"/>
  <c r="R252" i="3" s="1"/>
  <c r="AR503" i="2"/>
  <c r="AR142" i="2"/>
  <c r="AR334" i="2"/>
  <c r="AR134" i="2"/>
  <c r="R364" i="3" s="1"/>
  <c r="AR605" i="2"/>
  <c r="R1387" i="3" s="1"/>
  <c r="AR617" i="2"/>
  <c r="R1400" i="3" s="1"/>
  <c r="AR303" i="2"/>
  <c r="R815" i="3" s="1"/>
  <c r="AR313" i="2"/>
  <c r="AR105" i="2"/>
  <c r="R190" i="3" s="1"/>
  <c r="AR674" i="2"/>
  <c r="R1455" i="3" s="1"/>
  <c r="AR108" i="2"/>
  <c r="AR389" i="2"/>
  <c r="AR237" i="2"/>
  <c r="AR7" i="2"/>
  <c r="R12" i="3" s="1"/>
  <c r="AR34" i="2"/>
  <c r="R242" i="3" s="1"/>
  <c r="AR316" i="2"/>
  <c r="AR66" i="2"/>
  <c r="AR247" i="2"/>
  <c r="AR46" i="2"/>
  <c r="R168" i="3" s="1"/>
  <c r="AR609" i="2"/>
  <c r="R1391" i="3" s="1"/>
  <c r="AR425" i="2"/>
  <c r="R1126" i="3" s="1"/>
  <c r="AR626" i="2"/>
  <c r="R1408" i="3" s="1"/>
  <c r="AR335" i="2"/>
  <c r="R918" i="3" s="1"/>
  <c r="AR155" i="2"/>
  <c r="AR332" i="2"/>
  <c r="R908" i="3" s="1"/>
  <c r="AR203" i="2"/>
  <c r="R421" i="3" s="1"/>
  <c r="AR553" i="2"/>
  <c r="AR272" i="2"/>
  <c r="R265" i="3" s="1"/>
  <c r="AR507" i="2"/>
  <c r="R1280" i="3" s="1"/>
  <c r="AR495" i="2"/>
  <c r="AR347" i="2"/>
  <c r="R950" i="3" s="1"/>
  <c r="AR463" i="2"/>
  <c r="R551" i="3" s="1"/>
  <c r="AR253" i="2"/>
  <c r="R249" i="3" s="1"/>
  <c r="AR42" i="2"/>
  <c r="R141" i="3" s="1"/>
  <c r="AR161" i="2"/>
  <c r="AR356" i="2"/>
  <c r="AR190" i="2"/>
  <c r="R363" i="3" s="1"/>
  <c r="AR447" i="2"/>
  <c r="R1177" i="3" s="1"/>
  <c r="AR652" i="2"/>
  <c r="R1433" i="3" s="1"/>
  <c r="AR406" i="2"/>
  <c r="AR516" i="2"/>
  <c r="AR527" i="2"/>
  <c r="R1304" i="3" s="1"/>
  <c r="AR171" i="2"/>
  <c r="R257" i="3" s="1"/>
  <c r="AR574" i="2"/>
  <c r="AR508" i="2"/>
  <c r="AR168" i="2"/>
  <c r="R308" i="3" s="1"/>
  <c r="AR141" i="2"/>
  <c r="AR509" i="2"/>
  <c r="AR573" i="2"/>
  <c r="AR469" i="2"/>
  <c r="R1238" i="3" s="1"/>
  <c r="AR76" i="2"/>
  <c r="R422" i="3" s="1"/>
  <c r="AR189" i="2"/>
  <c r="R640" i="3" s="1"/>
  <c r="AR714" i="2"/>
  <c r="AR651" i="2"/>
  <c r="AR87" i="2"/>
  <c r="R157" i="3" s="1"/>
  <c r="AR365" i="2"/>
  <c r="AR164" i="2"/>
  <c r="R132" i="3" s="1"/>
  <c r="AR41" i="2"/>
  <c r="R95" i="3" s="1"/>
  <c r="AR192" i="2"/>
  <c r="R642" i="3" s="1"/>
  <c r="AR304" i="2"/>
  <c r="R817" i="3" s="1"/>
  <c r="AR735" i="2"/>
  <c r="R1515" i="3" s="1"/>
  <c r="AR583" i="2"/>
  <c r="AR604" i="2"/>
  <c r="R1386" i="3" s="1"/>
  <c r="AR114" i="2"/>
  <c r="R92" i="3" s="1"/>
  <c r="AR359" i="2"/>
  <c r="R975" i="3" s="1"/>
  <c r="AR419" i="2"/>
  <c r="R1117" i="3" s="1"/>
  <c r="AR391" i="2"/>
  <c r="AR111" i="2"/>
  <c r="AR461" i="2"/>
  <c r="R1216" i="3" s="1"/>
  <c r="AR36" i="2"/>
  <c r="R15" i="3" s="1"/>
  <c r="AR712" i="2"/>
  <c r="R1492" i="3" s="1"/>
  <c r="AR88" i="2"/>
  <c r="AR462" i="2"/>
  <c r="AR213" i="2"/>
  <c r="R389" i="3" s="1"/>
  <c r="AR738" i="2"/>
  <c r="R1518" i="3" s="1"/>
  <c r="AR139" i="2"/>
  <c r="R379" i="3" s="1"/>
  <c r="AR357" i="2"/>
  <c r="AR720" i="2"/>
  <c r="AR178" i="2"/>
  <c r="R160" i="3" s="1"/>
  <c r="AR409" i="2"/>
  <c r="R325" i="3" s="1"/>
  <c r="AR341" i="2"/>
  <c r="AR364" i="2"/>
  <c r="R993" i="3" s="1"/>
  <c r="AR204" i="2"/>
  <c r="AR526" i="2"/>
  <c r="R1303" i="3" s="1"/>
  <c r="AR274" i="2"/>
  <c r="AR525" i="2"/>
  <c r="R1302" i="3" s="1"/>
  <c r="AR442" i="2"/>
  <c r="R1171" i="3" s="1"/>
  <c r="AR373" i="2"/>
  <c r="R373" i="3" s="1"/>
  <c r="AR339" i="2"/>
  <c r="R315" i="3" s="1"/>
  <c r="AR301" i="2"/>
  <c r="AR16" i="2"/>
  <c r="R36" i="3" s="1"/>
  <c r="AR162" i="2"/>
  <c r="R391" i="3" s="1"/>
  <c r="AR445" i="2"/>
  <c r="R1174" i="3" s="1"/>
  <c r="AR8" i="2"/>
  <c r="R21" i="3" s="1"/>
  <c r="AR202" i="2"/>
  <c r="AR277" i="2"/>
  <c r="AR221" i="2"/>
  <c r="AR703" i="2"/>
  <c r="AR118" i="2"/>
  <c r="R329" i="3" s="1"/>
  <c r="AR577" i="2"/>
  <c r="AR182" i="2"/>
  <c r="R571" i="3" s="1"/>
  <c r="AR483" i="2"/>
  <c r="AR18" i="2"/>
  <c r="R167" i="3" s="1"/>
  <c r="AR424" i="2"/>
  <c r="R201" i="3" s="1"/>
  <c r="AR327" i="2"/>
  <c r="R381" i="3" s="1"/>
  <c r="AR101" i="2"/>
  <c r="R30" i="3" s="1"/>
  <c r="AR491" i="2"/>
  <c r="R592" i="3" s="1"/>
  <c r="AR687" i="2"/>
  <c r="R1467" i="3" s="1"/>
  <c r="AR292" i="2"/>
  <c r="R297" i="3" s="1"/>
  <c r="AR379" i="2"/>
  <c r="AR32" i="2"/>
  <c r="R109" i="3" s="1"/>
  <c r="AR700" i="2"/>
  <c r="R1480" i="3" s="1"/>
  <c r="AR230" i="2"/>
  <c r="R679" i="3" s="1"/>
  <c r="AR267" i="2"/>
  <c r="R733" i="3" s="1"/>
  <c r="AR152" i="2"/>
  <c r="AR177" i="2"/>
  <c r="R198" i="3" s="1"/>
  <c r="AR180" i="2"/>
  <c r="R288" i="3" s="1"/>
  <c r="AR708" i="2"/>
  <c r="R1488" i="3" s="1"/>
  <c r="AR396" i="2"/>
  <c r="AR59" i="2"/>
  <c r="AR345" i="2"/>
  <c r="AR65" i="2"/>
  <c r="AR251" i="2"/>
  <c r="AR280" i="2"/>
  <c r="R463" i="3" s="1"/>
  <c r="AR388" i="2"/>
  <c r="R515" i="3" s="1"/>
  <c r="AR679" i="2"/>
  <c r="R1460" i="3" s="1"/>
  <c r="AR263" i="2"/>
  <c r="AR169" i="2"/>
  <c r="AR239" i="2"/>
  <c r="AR640" i="2"/>
  <c r="AR432" i="2"/>
  <c r="AR634" i="2"/>
  <c r="AR188" i="2"/>
  <c r="R475" i="3" s="1"/>
  <c r="AR183" i="2"/>
  <c r="R324" i="3" s="1"/>
  <c r="AR23" i="2"/>
  <c r="R225" i="3" s="1"/>
  <c r="AR575" i="2"/>
  <c r="AR584" i="2"/>
  <c r="R1370" i="3" s="1"/>
  <c r="AR226" i="2"/>
  <c r="R674" i="3" s="1"/>
  <c r="AR173" i="2"/>
  <c r="R501" i="3" s="1"/>
  <c r="AR300" i="2"/>
  <c r="AR148" i="2"/>
  <c r="AR524" i="2"/>
  <c r="AR312" i="2"/>
  <c r="R445" i="3" s="1"/>
  <c r="AR666" i="2"/>
  <c r="R1447" i="3" s="1"/>
  <c r="AR206" i="2"/>
  <c r="AR544" i="2"/>
  <c r="R1324" i="3" s="1"/>
  <c r="AR68" i="2"/>
  <c r="AR236" i="2"/>
  <c r="AR121" i="2"/>
  <c r="AR521" i="2"/>
  <c r="R1298" i="3" s="1"/>
  <c r="AR400" i="2"/>
  <c r="R586" i="3" s="1"/>
  <c r="AR510" i="2"/>
  <c r="R1285" i="3" s="1"/>
  <c r="AR496" i="2"/>
  <c r="AR471" i="2"/>
  <c r="R522" i="3" s="1"/>
  <c r="AR85" i="2"/>
  <c r="AR565" i="2"/>
  <c r="R1350" i="3" s="1"/>
  <c r="AR315" i="2"/>
  <c r="R854" i="3" s="1"/>
  <c r="AR136" i="2"/>
  <c r="R292" i="3" s="1"/>
  <c r="AR506" i="2"/>
  <c r="R1279" i="3" s="1"/>
  <c r="AR207" i="2"/>
  <c r="AR410" i="2"/>
  <c r="R417" i="3" s="1"/>
  <c r="AR492" i="2"/>
  <c r="R1262" i="3" s="1"/>
  <c r="AR642" i="2"/>
  <c r="AR487" i="2"/>
  <c r="AR127" i="2"/>
  <c r="R367" i="3" s="1"/>
  <c r="AR218" i="2"/>
  <c r="AR618" i="2"/>
  <c r="AR78" i="2"/>
  <c r="R169" i="3" s="1"/>
  <c r="AR518" i="2"/>
  <c r="R1294" i="3" s="1"/>
  <c r="AR72" i="2"/>
  <c r="AR490" i="2"/>
  <c r="AR54" i="2"/>
  <c r="R124" i="3" s="1"/>
  <c r="AR446" i="2"/>
  <c r="AR374" i="2"/>
  <c r="R1022" i="3" s="1"/>
  <c r="AR457" i="2"/>
  <c r="R1206" i="3" s="1"/>
  <c r="AR657" i="2"/>
  <c r="AR683" i="2"/>
  <c r="R344" i="3" s="1"/>
  <c r="AR195" i="2"/>
  <c r="R643" i="3" s="1"/>
  <c r="AR414" i="2"/>
  <c r="R1113" i="3" s="1"/>
  <c r="AR522" i="2"/>
  <c r="R581" i="3" s="1"/>
  <c r="AR13" i="2"/>
  <c r="AR5" i="2"/>
  <c r="R19" i="3" s="1"/>
  <c r="AR455" i="2"/>
  <c r="AR38" i="2"/>
  <c r="R286" i="3" s="1"/>
  <c r="AR75" i="2"/>
  <c r="R18" i="3" s="1"/>
  <c r="AR444" i="2"/>
  <c r="R355" i="3" s="1"/>
  <c r="AR494" i="2"/>
  <c r="AR9" i="2"/>
  <c r="R41" i="3" s="1"/>
  <c r="BA10" i="1"/>
  <c r="AR433" i="2"/>
  <c r="R1153" i="3" s="1"/>
  <c r="AR310" i="2"/>
  <c r="AR655" i="2"/>
  <c r="R1437" i="3" s="1"/>
  <c r="AR607" i="2"/>
  <c r="R1389" i="3" s="1"/>
  <c r="AR278" i="2"/>
  <c r="AR579" i="2"/>
  <c r="AR125" i="2"/>
  <c r="R360" i="3" s="1"/>
  <c r="AR70" i="2"/>
  <c r="R174" i="3" s="1"/>
  <c r="AR235" i="2"/>
  <c r="R684" i="3" s="1"/>
  <c r="AR53" i="2"/>
  <c r="R144" i="3" s="1"/>
  <c r="AR147" i="2"/>
  <c r="R599" i="3" s="1"/>
  <c r="AR215" i="2"/>
  <c r="AR325" i="2"/>
  <c r="R876" i="3" s="1"/>
  <c r="G25" i="10"/>
  <c r="G11" i="10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BC513" i="1" l="1"/>
  <c r="T65" i="3" s="1"/>
  <c r="BC116" i="1"/>
  <c r="T654" i="3" s="1"/>
  <c r="BC503" i="1"/>
  <c r="T11" i="3" s="1"/>
  <c r="BC534" i="1"/>
  <c r="T302" i="3" s="1"/>
  <c r="BC122" i="1"/>
  <c r="T662" i="3" s="1"/>
  <c r="BC187" i="1"/>
  <c r="T772" i="3" s="1"/>
  <c r="BC144" i="1"/>
  <c r="T605" i="3" s="1"/>
  <c r="BC158" i="1"/>
  <c r="T726" i="3" s="1"/>
  <c r="BC96" i="1"/>
  <c r="T611" i="3" s="1"/>
  <c r="BC262" i="1"/>
  <c r="T894" i="3" s="1"/>
  <c r="BC202" i="1"/>
  <c r="T798" i="3" s="1"/>
  <c r="BC723" i="1"/>
  <c r="T845" i="3" s="1"/>
  <c r="BC535" i="1"/>
  <c r="T191" i="3" s="1"/>
  <c r="BC98" i="1"/>
  <c r="T430" i="3" s="1"/>
  <c r="BC322" i="1"/>
  <c r="T1000" i="3" s="1"/>
  <c r="BC472" i="1"/>
  <c r="T1251" i="3" s="1"/>
  <c r="BC344" i="1"/>
  <c r="T1035" i="3" s="1"/>
  <c r="BC336" i="1"/>
  <c r="T1023" i="3" s="1"/>
  <c r="BC173" i="1"/>
  <c r="T749" i="3" s="1"/>
  <c r="BC364" i="1"/>
  <c r="T1074" i="3" s="1"/>
  <c r="BC249" i="1"/>
  <c r="T874" i="3" s="1"/>
  <c r="BC383" i="1"/>
  <c r="T1103" i="3" s="1"/>
  <c r="BC769" i="1"/>
  <c r="T1085" i="3" s="1"/>
  <c r="BC757" i="1"/>
  <c r="T1037" i="3" s="1"/>
  <c r="BC652" i="1"/>
  <c r="T319" i="3" s="1"/>
  <c r="BC605" i="1"/>
  <c r="T486" i="3" s="1"/>
  <c r="BC557" i="1"/>
  <c r="T312" i="3" s="1"/>
  <c r="BC91" i="1"/>
  <c r="T547" i="3" s="1"/>
  <c r="BC142" i="1"/>
  <c r="T698" i="3" s="1"/>
  <c r="BC171" i="1"/>
  <c r="T747" i="3" s="1"/>
  <c r="BC586" i="1"/>
  <c r="T89" i="3" s="1"/>
  <c r="BC18" i="1"/>
  <c r="T58" i="3" s="1"/>
  <c r="BC82" i="1"/>
  <c r="T490" i="3" s="1"/>
  <c r="BC438" i="1"/>
  <c r="T1196" i="3" s="1"/>
  <c r="BC16" i="1"/>
  <c r="T37" i="3" s="1"/>
  <c r="BC436" i="1"/>
  <c r="T1195" i="3" s="1"/>
  <c r="BC42" i="1"/>
  <c r="T425" i="3" s="1"/>
  <c r="BC346" i="1"/>
  <c r="T1043" i="3" s="1"/>
  <c r="BC735" i="1"/>
  <c r="T913" i="3" s="1"/>
  <c r="BC773" i="1"/>
  <c r="T1120" i="3" s="1"/>
  <c r="BC634" i="1"/>
  <c r="T543" i="3" s="1"/>
  <c r="BC575" i="1"/>
  <c r="T199" i="3" s="1"/>
  <c r="BC504" i="1"/>
  <c r="T7" i="3" s="1"/>
  <c r="BC526" i="1"/>
  <c r="T20" i="3" s="1"/>
  <c r="BC717" i="1"/>
  <c r="T473" i="3" s="1"/>
  <c r="BC67" i="1"/>
  <c r="T218" i="3" s="1"/>
  <c r="BC366" i="1"/>
  <c r="T1078" i="3" s="1"/>
  <c r="BC106" i="1"/>
  <c r="T546" i="3" s="1"/>
  <c r="BC664" i="1"/>
  <c r="T448" i="3" s="1"/>
  <c r="BC638" i="1"/>
  <c r="T506" i="3" s="1"/>
  <c r="BC478" i="1"/>
  <c r="T1260" i="3" s="1"/>
  <c r="BC537" i="1"/>
  <c r="T194" i="3" s="1"/>
  <c r="BC411" i="1"/>
  <c r="T1147" i="3" s="1"/>
  <c r="BC221" i="1"/>
  <c r="T828" i="3" s="1"/>
  <c r="BC30" i="1"/>
  <c r="T204" i="3" s="1"/>
  <c r="BC670" i="1"/>
  <c r="T656" i="3" s="1"/>
  <c r="BC579" i="1"/>
  <c r="T572" i="3" s="1"/>
  <c r="BC455" i="1"/>
  <c r="T1224" i="3" s="1"/>
  <c r="R1188" i="3"/>
  <c r="BC10" i="1"/>
  <c r="T38" i="3" s="1"/>
  <c r="BC287" i="1"/>
  <c r="T932" i="3" s="1"/>
  <c r="BC167" i="1"/>
  <c r="T743" i="3" s="1"/>
  <c r="BC36" i="1"/>
  <c r="T195" i="3" s="1"/>
  <c r="BC578" i="1"/>
  <c r="T485" i="3" s="1"/>
  <c r="BC23" i="1"/>
  <c r="T234" i="3" s="1"/>
  <c r="BC552" i="1"/>
  <c r="T196" i="3" s="1"/>
  <c r="BC545" i="1"/>
  <c r="T52" i="3" s="1"/>
  <c r="BC370" i="1"/>
  <c r="T1087" i="3" s="1"/>
  <c r="BC260" i="1"/>
  <c r="T891" i="3" s="1"/>
  <c r="BC66" i="1"/>
  <c r="T139" i="3" s="1"/>
  <c r="BC217" i="1"/>
  <c r="T821" i="3" s="1"/>
  <c r="BC412" i="1"/>
  <c r="T1151" i="3" s="1"/>
  <c r="BC490" i="1"/>
  <c r="T1315" i="3" s="1"/>
  <c r="BC108" i="1"/>
  <c r="T474" i="3" s="1"/>
  <c r="BC601" i="1"/>
  <c r="T387" i="3" s="1"/>
  <c r="BC84" i="1"/>
  <c r="T210" i="3" s="1"/>
  <c r="BC549" i="1"/>
  <c r="T200" i="3" s="1"/>
  <c r="BC553" i="1"/>
  <c r="T33" i="3" s="1"/>
  <c r="BC510" i="1"/>
  <c r="T9" i="3" s="1"/>
  <c r="BC580" i="1"/>
  <c r="T248" i="3" s="1"/>
  <c r="BC509" i="1"/>
  <c r="T128" i="3" s="1"/>
  <c r="BC278" i="1"/>
  <c r="T919" i="3" s="1"/>
  <c r="BC633" i="1"/>
  <c r="T502" i="3" s="1"/>
  <c r="BC641" i="1"/>
  <c r="T549" i="3" s="1"/>
  <c r="BC680" i="1"/>
  <c r="T688" i="3" s="1"/>
  <c r="BC631" i="1"/>
  <c r="T276" i="3" s="1"/>
  <c r="BC480" i="1"/>
  <c r="T1264" i="3" s="1"/>
  <c r="BC604" i="1"/>
  <c r="T460" i="3" s="1"/>
  <c r="BC350" i="1"/>
  <c r="T1052" i="3" s="1"/>
  <c r="BC669" i="1"/>
  <c r="T657" i="3" s="1"/>
  <c r="BC454" i="1"/>
  <c r="T1225" i="3" s="1"/>
  <c r="BC637" i="1"/>
  <c r="T494" i="3" s="1"/>
  <c r="BC218" i="1"/>
  <c r="T822" i="3" s="1"/>
  <c r="BC46" i="1"/>
  <c r="T413" i="3" s="1"/>
  <c r="BC742" i="1"/>
  <c r="T514" i="3" s="1"/>
  <c r="BC228" i="1"/>
  <c r="T842" i="3" s="1"/>
  <c r="BC562" i="1"/>
  <c r="T254" i="3" s="1"/>
  <c r="BC551" i="1"/>
  <c r="T317" i="3" s="1"/>
  <c r="BC51" i="1"/>
  <c r="T353" i="3" s="1"/>
  <c r="BC388" i="1"/>
  <c r="T1109" i="3" s="1"/>
  <c r="BC63" i="1"/>
  <c r="T182" i="3" s="1"/>
  <c r="BC95" i="1"/>
  <c r="T627" i="3" s="1"/>
  <c r="BC197" i="1"/>
  <c r="T783" i="3" s="1"/>
  <c r="BC739" i="1"/>
  <c r="T937" i="3" s="1"/>
  <c r="BC384" i="1"/>
  <c r="T1102" i="3" s="1"/>
  <c r="BC12" i="1"/>
  <c r="T80" i="3" s="1"/>
  <c r="BC743" i="1"/>
  <c r="T952" i="3" s="1"/>
  <c r="BC673" i="1"/>
  <c r="T563" i="3" s="1"/>
  <c r="BC483" i="1"/>
  <c r="T1281" i="3" s="1"/>
  <c r="BC109" i="1"/>
  <c r="T645" i="3" s="1"/>
  <c r="BC208" i="1"/>
  <c r="T803" i="3" s="1"/>
  <c r="BC372" i="1"/>
  <c r="T1090" i="3" s="1"/>
  <c r="BC48" i="1"/>
  <c r="T578" i="3" s="1"/>
  <c r="BC14" i="1"/>
  <c r="T24" i="3" s="1"/>
  <c r="BC597" i="1"/>
  <c r="T456" i="3" s="1"/>
  <c r="BC149" i="1"/>
  <c r="T708" i="3" s="1"/>
  <c r="BC74" i="1"/>
  <c r="T487" i="3" s="1"/>
  <c r="BC214" i="1"/>
  <c r="T813" i="3" s="1"/>
  <c r="BC589" i="1"/>
  <c r="T298" i="3" s="1"/>
  <c r="BC701" i="1"/>
  <c r="T746" i="3" s="1"/>
  <c r="BC265" i="1"/>
  <c r="T904" i="3" s="1"/>
  <c r="BC357" i="1"/>
  <c r="T1063" i="3" s="1"/>
  <c r="BC755" i="1"/>
  <c r="T1020" i="3" s="1"/>
  <c r="BC711" i="1"/>
  <c r="T799" i="3" s="1"/>
  <c r="BC505" i="1"/>
  <c r="T134" i="3" s="1"/>
  <c r="BC756" i="1"/>
  <c r="T1027" i="3" s="1"/>
  <c r="BC754" i="1"/>
  <c r="T562" i="3" s="1"/>
  <c r="BC159" i="1"/>
  <c r="T731" i="3" s="1"/>
  <c r="BC602" i="1"/>
  <c r="T526" i="3" s="1"/>
  <c r="BC630" i="1"/>
  <c r="T617" i="3" s="1"/>
  <c r="BC577" i="1"/>
  <c r="T306" i="3" s="1"/>
  <c r="BC715" i="1"/>
  <c r="T824" i="3" s="1"/>
  <c r="BC316" i="1"/>
  <c r="T988" i="3" s="1"/>
  <c r="BC581" i="1"/>
  <c r="T224" i="3" s="1"/>
  <c r="BC590" i="1"/>
  <c r="T275" i="3" s="1"/>
  <c r="BC429" i="1"/>
  <c r="T1184" i="3" s="1"/>
  <c r="BC141" i="1"/>
  <c r="T695" i="3" s="1"/>
  <c r="BC763" i="1"/>
  <c r="T1055" i="3" s="1"/>
  <c r="BC147" i="1"/>
  <c r="T704" i="3" s="1"/>
  <c r="BC356" i="1"/>
  <c r="T1062" i="3" s="1"/>
  <c r="BC646" i="1"/>
  <c r="T470" i="3" s="1"/>
  <c r="BC303" i="1"/>
  <c r="T962" i="3" s="1"/>
  <c r="BC728" i="1"/>
  <c r="T587" i="3" s="1"/>
  <c r="BC507" i="1"/>
  <c r="T22" i="3" s="1"/>
  <c r="BC760" i="1"/>
  <c r="T1046" i="3" s="1"/>
  <c r="BC184" i="1"/>
  <c r="T767" i="3" s="1"/>
  <c r="BC210" i="1"/>
  <c r="T807" i="3" s="1"/>
  <c r="BC289" i="1"/>
  <c r="T934" i="3" s="1"/>
  <c r="BC243" i="1"/>
  <c r="T863" i="3" s="1"/>
  <c r="BC49" i="1"/>
  <c r="T693" i="3" s="1"/>
  <c r="BC563" i="1"/>
  <c r="T222" i="3" s="1"/>
  <c r="BC547" i="1"/>
  <c r="T175" i="3" s="1"/>
  <c r="BC468" i="1"/>
  <c r="T1246" i="3" s="1"/>
  <c r="BC486" i="1"/>
  <c r="T1295" i="3" s="1"/>
  <c r="BC323" i="1"/>
  <c r="T1005" i="3" s="1"/>
  <c r="BC420" i="1"/>
  <c r="T1166" i="3" s="1"/>
  <c r="BC741" i="1"/>
  <c r="T945" i="3" s="1"/>
  <c r="BC101" i="1"/>
  <c r="T633" i="3" s="1"/>
  <c r="BC536" i="1"/>
  <c r="T185" i="3" s="1"/>
  <c r="BC148" i="1"/>
  <c r="T705" i="3" s="1"/>
  <c r="BC157" i="1"/>
  <c r="T725" i="3" s="1"/>
  <c r="BC382" i="1"/>
  <c r="T1100" i="3" s="1"/>
  <c r="BC425" i="1"/>
  <c r="T1176" i="3" s="1"/>
  <c r="BC381" i="1"/>
  <c r="T1101" i="3" s="1"/>
  <c r="BC354" i="1"/>
  <c r="T1060" i="3" s="1"/>
  <c r="BC516" i="1"/>
  <c r="T74" i="3" s="1"/>
  <c r="BC103" i="1"/>
  <c r="T145" i="3" s="1"/>
  <c r="BC268" i="1"/>
  <c r="T901" i="3" s="1"/>
  <c r="BC378" i="1"/>
  <c r="T1096" i="3" s="1"/>
  <c r="BC751" i="1"/>
  <c r="T994" i="3" s="1"/>
  <c r="BC183" i="1"/>
  <c r="T544" i="3" s="1"/>
  <c r="BC461" i="1"/>
  <c r="T1231" i="3" s="1"/>
  <c r="BC643" i="1"/>
  <c r="T300" i="3" s="1"/>
  <c r="BC502" i="1"/>
  <c r="T10" i="3" s="1"/>
  <c r="BC248" i="1"/>
  <c r="T873" i="3" s="1"/>
  <c r="BC651" i="1"/>
  <c r="T478" i="3" s="1"/>
  <c r="BC134" i="1"/>
  <c r="T680" i="3" s="1"/>
  <c r="BC498" i="1"/>
  <c r="T1352" i="3" s="1"/>
  <c r="BC488" i="1"/>
  <c r="T1301" i="3" s="1"/>
  <c r="BC419" i="1"/>
  <c r="T1165" i="3" s="1"/>
  <c r="BC746" i="1"/>
  <c r="T969" i="3" s="1"/>
  <c r="BC396" i="1"/>
  <c r="T1131" i="3" s="1"/>
  <c r="BC560" i="1"/>
  <c r="T57" i="3" s="1"/>
  <c r="BC205" i="1"/>
  <c r="T797" i="3" s="1"/>
  <c r="BC775" i="1"/>
  <c r="T1164" i="3" s="1"/>
  <c r="BC204" i="1"/>
  <c r="T796" i="3" s="1"/>
  <c r="BC251" i="1"/>
  <c r="T877" i="3" s="1"/>
  <c r="BC712" i="1"/>
  <c r="T805" i="3" s="1"/>
  <c r="BC473" i="1"/>
  <c r="T1254" i="3" s="1"/>
  <c r="BC283" i="1"/>
  <c r="T926" i="3" s="1"/>
  <c r="BC541" i="1"/>
  <c r="T187" i="3" s="1"/>
  <c r="BC165" i="1"/>
  <c r="T740" i="3" s="1"/>
  <c r="BC180" i="1"/>
  <c r="T757" i="3" s="1"/>
  <c r="BC135" i="1"/>
  <c r="T681" i="3" s="1"/>
  <c r="BC337" i="1"/>
  <c r="T1024" i="3" s="1"/>
  <c r="BC56" i="1"/>
  <c r="T819" i="3" s="1"/>
  <c r="BC496" i="1"/>
  <c r="T1346" i="3" s="1"/>
  <c r="BC254" i="1"/>
  <c r="T880" i="3" s="1"/>
  <c r="BC26" i="1"/>
  <c r="T44" i="3" s="1"/>
  <c r="BC40" i="1"/>
  <c r="T266" i="3" s="1"/>
  <c r="BC246" i="1"/>
  <c r="T871" i="3" s="1"/>
  <c r="BC677" i="1"/>
  <c r="T683" i="3" s="1"/>
  <c r="BC594" i="1"/>
  <c r="T240" i="3" s="1"/>
  <c r="BC653" i="1"/>
  <c r="T259" i="3" s="1"/>
  <c r="BC299" i="1"/>
  <c r="T954" i="3" s="1"/>
  <c r="BC78" i="1"/>
  <c r="T613" i="3" s="1"/>
  <c r="BC270" i="1"/>
  <c r="T905" i="3" s="1"/>
  <c r="BC29" i="1"/>
  <c r="T82" i="3" s="1"/>
  <c r="BC625" i="1"/>
  <c r="T245" i="3" s="1"/>
  <c r="BC511" i="1"/>
  <c r="T155" i="3" s="1"/>
  <c r="BC530" i="1"/>
  <c r="T138" i="3" s="1"/>
  <c r="BC161" i="1"/>
  <c r="T736" i="3" s="1"/>
  <c r="BC269" i="1"/>
  <c r="T903" i="3" s="1"/>
  <c r="BC261" i="1"/>
  <c r="T892" i="3" s="1"/>
  <c r="BC111" i="1"/>
  <c r="T647" i="3" s="1"/>
  <c r="BC235" i="1"/>
  <c r="T849" i="3" s="1"/>
  <c r="BC448" i="1"/>
  <c r="T1210" i="3" s="1"/>
  <c r="BC747" i="1"/>
  <c r="T977" i="3" s="1"/>
  <c r="BC285" i="1"/>
  <c r="T930" i="3" s="1"/>
  <c r="BC645" i="1"/>
  <c r="T636" i="3" s="1"/>
  <c r="BC315" i="1"/>
  <c r="T987" i="3" s="1"/>
  <c r="BC443" i="1"/>
  <c r="T1204" i="3" s="1"/>
  <c r="BC624" i="1"/>
  <c r="T284" i="3" s="1"/>
  <c r="BC525" i="1"/>
  <c r="T42" i="3" s="1"/>
  <c r="BC237" i="1"/>
  <c r="T851" i="3" s="1"/>
  <c r="BC521" i="1"/>
  <c r="T78" i="3" s="1"/>
  <c r="BC440" i="1"/>
  <c r="T1200" i="3" s="1"/>
  <c r="BC342" i="1"/>
  <c r="T1034" i="3" s="1"/>
  <c r="BC100" i="1"/>
  <c r="T632" i="3" s="1"/>
  <c r="BC256" i="1"/>
  <c r="T884" i="3" s="1"/>
  <c r="BC671" i="1"/>
  <c r="T588" i="3" s="1"/>
  <c r="BC458" i="1"/>
  <c r="T1227" i="3" s="1"/>
  <c r="BC349" i="1"/>
  <c r="T1048" i="3" s="1"/>
  <c r="BC449" i="1"/>
  <c r="T1214" i="3" s="1"/>
  <c r="BC494" i="1"/>
  <c r="T1345" i="3" s="1"/>
  <c r="BC275" i="1"/>
  <c r="T917" i="3" s="1"/>
  <c r="BC292" i="1"/>
  <c r="BC211" i="1"/>
  <c r="T812" i="3" s="1"/>
  <c r="BC201" i="1"/>
  <c r="T788" i="3" s="1"/>
  <c r="BC608" i="1"/>
  <c r="T263" i="3" s="1"/>
  <c r="BC724" i="1"/>
  <c r="T855" i="3" s="1"/>
  <c r="BC239" i="1"/>
  <c r="T857" i="3" s="1"/>
  <c r="BC720" i="1"/>
  <c r="T840" i="3" s="1"/>
  <c r="BC191" i="1"/>
  <c r="T776" i="3" s="1"/>
  <c r="BC584" i="1"/>
  <c r="T192" i="3" s="1"/>
  <c r="BC363" i="1"/>
  <c r="T1072" i="3" s="1"/>
  <c r="BC416" i="1"/>
  <c r="T1158" i="3" s="1"/>
  <c r="BC105" i="1"/>
  <c r="T519" i="3" s="1"/>
  <c r="BC309" i="1"/>
  <c r="T978" i="3" s="1"/>
  <c r="BC404" i="1"/>
  <c r="T1139" i="3" s="1"/>
  <c r="BC520" i="1"/>
  <c r="T106" i="3" s="1"/>
  <c r="BC110" i="1"/>
  <c r="T646" i="3" s="1"/>
  <c r="BC196" i="1"/>
  <c r="T782" i="3" s="1"/>
  <c r="BC499" i="1"/>
  <c r="T1398" i="3" s="1"/>
  <c r="BC35" i="1"/>
  <c r="T159" i="3" s="1"/>
  <c r="BC432" i="1"/>
  <c r="T1187" i="3" s="1"/>
  <c r="BC656" i="1"/>
  <c r="T534" i="3" s="1"/>
  <c r="BC219" i="1"/>
  <c r="T826" i="3" s="1"/>
  <c r="BC389" i="1"/>
  <c r="T1118" i="3" s="1"/>
  <c r="BC87" i="1"/>
  <c r="T472" i="3" s="1"/>
  <c r="BC753" i="1"/>
  <c r="T1017" i="3" s="1"/>
  <c r="BC599" i="1"/>
  <c r="T337" i="3" s="1"/>
  <c r="BC501" i="1"/>
  <c r="T8" i="3" s="1"/>
  <c r="BC73" i="1"/>
  <c r="T388" i="3" s="1"/>
  <c r="BC463" i="1"/>
  <c r="T1236" i="3" s="1"/>
  <c r="BC666" i="1"/>
  <c r="T652" i="3" s="1"/>
  <c r="BC705" i="1"/>
  <c r="T370" i="3" s="1"/>
  <c r="BC253" i="1"/>
  <c r="T879" i="3" s="1"/>
  <c r="BC276" i="1"/>
  <c r="T912" i="3" s="1"/>
  <c r="BC102" i="1"/>
  <c r="T407" i="3" s="1"/>
  <c r="BC143" i="1"/>
  <c r="T694" i="3" s="1"/>
  <c r="BC22" i="1"/>
  <c r="T84" i="3" s="1"/>
  <c r="BC188" i="1"/>
  <c r="T773" i="3" s="1"/>
  <c r="BC619" i="1"/>
  <c r="T380" i="3" s="1"/>
  <c r="BC611" i="1"/>
  <c r="T499" i="3" s="1"/>
  <c r="BC294" i="1"/>
  <c r="T941" i="3" s="1"/>
  <c r="BC663" i="1"/>
  <c r="T568" i="3" s="1"/>
  <c r="BC266" i="1"/>
  <c r="T898" i="3" s="1"/>
  <c r="BC47" i="1"/>
  <c r="T653" i="3" s="1"/>
  <c r="BC41" i="1"/>
  <c r="T307" i="3" s="1"/>
  <c r="BC195" i="1"/>
  <c r="T781" i="3" s="1"/>
  <c r="BC424" i="1"/>
  <c r="T1178" i="3" s="1"/>
  <c r="BC76" i="1"/>
  <c r="T354" i="3" s="1"/>
  <c r="BC324" i="1"/>
  <c r="T1007" i="3" s="1"/>
  <c r="BC207" i="1"/>
  <c r="T801" i="3" s="1"/>
  <c r="BC15" i="1"/>
  <c r="T243" i="3" s="1"/>
  <c r="BC305" i="1"/>
  <c r="T966" i="3" s="1"/>
  <c r="BC770" i="1"/>
  <c r="T1086" i="3" s="1"/>
  <c r="BC531" i="1"/>
  <c r="T96" i="3" s="1"/>
  <c r="BC199" i="1"/>
  <c r="T785" i="3" s="1"/>
  <c r="BC491" i="1"/>
  <c r="T1314" i="3" s="1"/>
  <c r="BC85" i="1"/>
  <c r="T342" i="3" s="1"/>
  <c r="BC696" i="1"/>
  <c r="T728" i="3" s="1"/>
  <c r="BC227" i="1"/>
  <c r="T495" i="3" s="1"/>
  <c r="BC179" i="1"/>
  <c r="T756" i="3" s="1"/>
  <c r="BC493" i="1"/>
  <c r="T1340" i="3" s="1"/>
  <c r="BC422" i="1"/>
  <c r="T1173" i="3" s="1"/>
  <c r="BC288" i="1"/>
  <c r="T936" i="3" s="1"/>
  <c r="BC397" i="1"/>
  <c r="T1134" i="3" s="1"/>
  <c r="BC460" i="1"/>
  <c r="T1233" i="3" s="1"/>
  <c r="BC50" i="1"/>
  <c r="T706" i="3" s="1"/>
  <c r="BC53" i="1"/>
  <c r="T768" i="3" s="1"/>
  <c r="BC352" i="1"/>
  <c r="T1051" i="3" s="1"/>
  <c r="BC716" i="1"/>
  <c r="T825" i="3" s="1"/>
  <c r="BC154" i="1"/>
  <c r="T718" i="3" s="1"/>
  <c r="BC626" i="1"/>
  <c r="T285" i="3" s="1"/>
  <c r="BC252" i="1"/>
  <c r="T878" i="3" s="1"/>
  <c r="BC721" i="1"/>
  <c r="T844" i="3" s="1"/>
  <c r="BC765" i="1"/>
  <c r="T1069" i="3" s="1"/>
  <c r="BC367" i="1"/>
  <c r="T1080" i="3" s="1"/>
  <c r="BC19" i="1"/>
  <c r="T193" i="3" s="1"/>
  <c r="BC627" i="1"/>
  <c r="T616" i="3" s="1"/>
  <c r="BC414" i="1"/>
  <c r="T1152" i="3" s="1"/>
  <c r="BC232" i="1"/>
  <c r="T847" i="3" s="1"/>
  <c r="BC686" i="1"/>
  <c r="T707" i="3" s="1"/>
  <c r="BC176" i="1"/>
  <c r="T607" i="3" s="1"/>
  <c r="BC112" i="1"/>
  <c r="T236" i="3" s="1"/>
  <c r="BC119" i="1"/>
  <c r="T658" i="3" s="1"/>
  <c r="BC314" i="1"/>
  <c r="T985" i="3" s="1"/>
  <c r="BC675" i="1"/>
  <c r="T677" i="3" s="1"/>
  <c r="BC738" i="1"/>
  <c r="T938" i="3" s="1"/>
  <c r="BC400" i="1"/>
  <c r="T1136" i="3" s="1"/>
  <c r="BC744" i="1"/>
  <c r="T590" i="3" s="1"/>
  <c r="BC410" i="1"/>
  <c r="T1150" i="3" s="1"/>
  <c r="BC150" i="1"/>
  <c r="T710" i="3" s="1"/>
  <c r="BC687" i="1"/>
  <c r="T709" i="3" s="1"/>
  <c r="BC92" i="1"/>
  <c r="T623" i="3" s="1"/>
  <c r="BC406" i="1"/>
  <c r="T1140" i="3" s="1"/>
  <c r="BC550" i="1"/>
  <c r="T512" i="3" s="1"/>
  <c r="BC345" i="1"/>
  <c r="T1040" i="3" s="1"/>
  <c r="BC528" i="1"/>
  <c r="T143" i="3" s="1"/>
  <c r="BC245" i="1"/>
  <c r="T869" i="3" s="1"/>
  <c r="BC115" i="1"/>
  <c r="T533" i="3" s="1"/>
  <c r="BC558" i="1"/>
  <c r="T117" i="3" s="1"/>
  <c r="BC60" i="1"/>
  <c r="T152" i="3" s="1"/>
  <c r="BC220" i="1"/>
  <c r="T827" i="3" s="1"/>
  <c r="BC94" i="1"/>
  <c r="T625" i="3" s="1"/>
  <c r="BC215" i="1"/>
  <c r="T816" i="3" s="1"/>
  <c r="BC310" i="1"/>
  <c r="T981" i="3" s="1"/>
  <c r="BC658" i="1"/>
  <c r="T345" i="3" s="1"/>
  <c r="BC722" i="1"/>
  <c r="T556" i="3" s="1"/>
  <c r="BC385" i="1"/>
  <c r="T1104" i="3" s="1"/>
  <c r="BC585" i="1"/>
  <c r="T120" i="3" s="1"/>
  <c r="BC273" i="1"/>
  <c r="T910" i="3" s="1"/>
  <c r="BC132" i="1"/>
  <c r="T676" i="3" s="1"/>
  <c r="BC405" i="1"/>
  <c r="T1145" i="3" s="1"/>
  <c r="BC174" i="1"/>
  <c r="T750" i="3" s="1"/>
  <c r="BC703" i="1"/>
  <c r="T751" i="3" s="1"/>
  <c r="BC470" i="1"/>
  <c r="T1248" i="3" s="1"/>
  <c r="BC9" i="1"/>
  <c r="T110" i="3" s="1"/>
  <c r="BC538" i="1"/>
  <c r="T103" i="3" s="1"/>
  <c r="BC189" i="1"/>
  <c r="T775" i="3" s="1"/>
  <c r="BC469" i="1"/>
  <c r="T1245" i="3" s="1"/>
  <c r="BC317" i="1"/>
  <c r="T990" i="3" s="1"/>
  <c r="BC353" i="1"/>
  <c r="T1057" i="3" s="1"/>
  <c r="BC361" i="1"/>
  <c r="T1071" i="3" s="1"/>
  <c r="BC761" i="1"/>
  <c r="T1049" i="3" s="1"/>
  <c r="BC114" i="1"/>
  <c r="T651" i="3" s="1"/>
  <c r="BC415" i="1"/>
  <c r="T1157" i="3" s="1"/>
  <c r="BC515" i="1"/>
  <c r="T51" i="3" s="1"/>
  <c r="BC674" i="1"/>
  <c r="T664" i="3" s="1"/>
  <c r="BC226" i="1"/>
  <c r="T838" i="3" s="1"/>
  <c r="BC714" i="1"/>
  <c r="T809" i="3" s="1"/>
  <c r="BC65" i="1"/>
  <c r="T213" i="3" s="1"/>
  <c r="BC564" i="1"/>
  <c r="T476" i="3" s="1"/>
  <c r="BC75" i="1"/>
  <c r="T405" i="3" s="1"/>
  <c r="BC636" i="1"/>
  <c r="T118" i="3" s="1"/>
  <c r="BC592" i="1"/>
  <c r="T396" i="3" s="1"/>
  <c r="BC539" i="1"/>
  <c r="T216" i="3" s="1"/>
  <c r="BC320" i="1"/>
  <c r="T998" i="3" s="1"/>
  <c r="BC58" i="1"/>
  <c r="T1013" i="3" s="1"/>
  <c r="BC492" i="1"/>
  <c r="T1329" i="3" s="1"/>
  <c r="BC781" i="1"/>
  <c r="T1286" i="3" s="1"/>
  <c r="BC457" i="1"/>
  <c r="T1226" i="3" s="1"/>
  <c r="BC603" i="1"/>
  <c r="T148" i="3" s="1"/>
  <c r="BC593" i="1"/>
  <c r="T197" i="3" s="1"/>
  <c r="BC37" i="1"/>
  <c r="T256" i="3" s="1"/>
  <c r="BC667" i="1"/>
  <c r="T567" i="3" s="1"/>
  <c r="BC329" i="1"/>
  <c r="T1011" i="3" s="1"/>
  <c r="BC518" i="1"/>
  <c r="T25" i="3" s="1"/>
  <c r="BC80" i="1"/>
  <c r="T614" i="3" s="1"/>
  <c r="BC683" i="1"/>
  <c r="T697" i="3" s="1"/>
  <c r="BC573" i="1"/>
  <c r="T273" i="3" s="1"/>
  <c r="BC435" i="1"/>
  <c r="T1194" i="3" s="1"/>
  <c r="BC679" i="1"/>
  <c r="T461" i="3" s="1"/>
  <c r="BC571" i="1"/>
  <c r="T455" i="3" s="1"/>
  <c r="BC17" i="1"/>
  <c r="T63" i="3" s="1"/>
  <c r="BC126" i="1"/>
  <c r="T669" i="3" s="1"/>
  <c r="BC290" i="1"/>
  <c r="T935" i="3" s="1"/>
  <c r="BC306" i="1"/>
  <c r="T968" i="3" s="1"/>
  <c r="BC304" i="1"/>
  <c r="T965" i="3" s="1"/>
  <c r="BC606" i="1"/>
  <c r="T529" i="3" s="1"/>
  <c r="BC512" i="1"/>
  <c r="T102" i="3" s="1"/>
  <c r="BC170" i="1"/>
  <c r="T504" i="3" s="1"/>
  <c r="BC348" i="1"/>
  <c r="T1047" i="3" s="1"/>
  <c r="BC282" i="1"/>
  <c r="T925" i="3" s="1"/>
  <c r="BC390" i="1"/>
  <c r="T1123" i="3" s="1"/>
  <c r="BC394" i="1"/>
  <c r="T1130" i="3" s="1"/>
  <c r="BC598" i="1"/>
  <c r="T516" i="3" s="1"/>
  <c r="BC113" i="1"/>
  <c r="T650" i="3" s="1"/>
  <c r="BC583" i="1"/>
  <c r="T202" i="3" s="1"/>
  <c r="BC752" i="1"/>
  <c r="T995" i="3" s="1"/>
  <c r="BC689" i="1"/>
  <c r="T716" i="3" s="1"/>
  <c r="BC140" i="1"/>
  <c r="T692" i="3" s="1"/>
  <c r="BC286" i="1"/>
  <c r="T931" i="3" s="1"/>
  <c r="BC298" i="1"/>
  <c r="T951" i="3" s="1"/>
  <c r="BC231" i="1"/>
  <c r="T846" i="3" s="1"/>
  <c r="BC639" i="1"/>
  <c r="T176" i="3" s="1"/>
  <c r="BC479" i="1"/>
  <c r="T1263" i="3" s="1"/>
  <c r="BC708" i="1"/>
  <c r="T769" i="3" s="1"/>
  <c r="BC373" i="1"/>
  <c r="T1092" i="3" s="1"/>
  <c r="BC665" i="1"/>
  <c r="T649" i="3" s="1"/>
  <c r="BC447" i="1"/>
  <c r="T1209" i="3" s="1"/>
  <c r="BC93" i="1"/>
  <c r="T480" i="3" s="1"/>
  <c r="BC661" i="1"/>
  <c r="T644" i="3" s="1"/>
  <c r="BC284" i="1"/>
  <c r="T929" i="3" s="1"/>
  <c r="BC427" i="1"/>
  <c r="T1183" i="3" s="1"/>
  <c r="BC482" i="1"/>
  <c r="T1275" i="3" s="1"/>
  <c r="BC104" i="1"/>
  <c r="T635" i="3" s="1"/>
  <c r="BC69" i="1"/>
  <c r="T247" i="3" s="1"/>
  <c r="BC555" i="1"/>
  <c r="T108" i="3" s="1"/>
  <c r="BC543" i="1"/>
  <c r="T305" i="3" s="1"/>
  <c r="BC445" i="1"/>
  <c r="T1211" i="3" s="1"/>
  <c r="BC614" i="1"/>
  <c r="T447" i="3" s="1"/>
  <c r="BC368" i="1"/>
  <c r="T1082" i="3" s="1"/>
  <c r="BC164" i="1"/>
  <c r="T739" i="3" s="1"/>
  <c r="BC313" i="1"/>
  <c r="T984" i="3" s="1"/>
  <c r="BC522" i="1"/>
  <c r="T91" i="3" s="1"/>
  <c r="BC508" i="1"/>
  <c r="T68" i="3" s="1"/>
  <c r="BC166" i="1"/>
  <c r="T742" i="3" s="1"/>
  <c r="BC622" i="1"/>
  <c r="T121" i="3" s="1"/>
  <c r="BC444" i="1"/>
  <c r="T1208" i="3" s="1"/>
  <c r="BC446" i="1"/>
  <c r="T1212" i="3" s="1"/>
  <c r="BC730" i="1"/>
  <c r="T888" i="3" s="1"/>
  <c r="BC409" i="1"/>
  <c r="T1148" i="3" s="1"/>
  <c r="BC206" i="1"/>
  <c r="T800" i="3" s="1"/>
  <c r="BC72" i="1"/>
  <c r="T135" i="3" s="1"/>
  <c r="BC745" i="1"/>
  <c r="T963" i="3" s="1"/>
  <c r="BC124" i="1"/>
  <c r="T667" i="3" s="1"/>
  <c r="BC451" i="1"/>
  <c r="T1218" i="3" s="1"/>
  <c r="BC523" i="1"/>
  <c r="T156" i="3" s="1"/>
  <c r="BC615" i="1"/>
  <c r="T500" i="3" s="1"/>
  <c r="BC153" i="1"/>
  <c r="T483" i="3" s="1"/>
  <c r="BC198" i="1"/>
  <c r="T787" i="3" s="1"/>
  <c r="BC178" i="1"/>
  <c r="T755" i="3" s="1"/>
  <c r="BC474" i="1"/>
  <c r="T1256" i="3" s="1"/>
  <c r="BC155" i="1"/>
  <c r="T721" i="3" s="1"/>
  <c r="BC71" i="1"/>
  <c r="T314" i="3" s="1"/>
  <c r="BC588" i="1"/>
  <c r="T136" i="3" s="1"/>
  <c r="BC568" i="1"/>
  <c r="T221" i="3" s="1"/>
  <c r="BC255" i="1"/>
  <c r="T881" i="3" s="1"/>
  <c r="BC779" i="1"/>
  <c r="T1272" i="3" s="1"/>
  <c r="BC146" i="1"/>
  <c r="T703" i="3" s="1"/>
  <c r="BC225" i="1"/>
  <c r="T835" i="3" s="1"/>
  <c r="BC542" i="1"/>
  <c r="T101" i="3" s="1"/>
  <c r="BC682" i="1"/>
  <c r="T696" i="3" s="1"/>
  <c r="BC681" i="1"/>
  <c r="T690" i="3" s="1"/>
  <c r="BC125" i="1"/>
  <c r="T668" i="3" s="1"/>
  <c r="BC467" i="1"/>
  <c r="T1242" i="3" s="1"/>
  <c r="BC139" i="1"/>
  <c r="T691" i="3" s="1"/>
  <c r="BC200" i="1"/>
  <c r="T789" i="3" s="1"/>
  <c r="BC264" i="1"/>
  <c r="T902" i="3" s="1"/>
  <c r="BC297" i="1"/>
  <c r="T953" i="3" s="1"/>
  <c r="BC222" i="1"/>
  <c r="T830" i="3" s="1"/>
  <c r="BC374" i="1"/>
  <c r="T444" i="3" s="1"/>
  <c r="BC224" i="1"/>
  <c r="T834" i="3" s="1"/>
  <c r="BC387" i="1"/>
  <c r="T1108" i="3" s="1"/>
  <c r="BC591" i="1"/>
  <c r="T340" i="3" s="1"/>
  <c r="BC340" i="1"/>
  <c r="T1031" i="3" s="1"/>
  <c r="BC267" i="1"/>
  <c r="T899" i="3" s="1"/>
  <c r="BC28" i="1"/>
  <c r="T361" i="3" s="1"/>
  <c r="BC212" i="1"/>
  <c r="T540" i="3" s="1"/>
  <c r="BC375" i="1"/>
  <c r="T1093" i="3" s="1"/>
  <c r="BC247" i="1"/>
  <c r="T872" i="3" s="1"/>
  <c r="BC335" i="1"/>
  <c r="T1018" i="3" s="1"/>
  <c r="BC699" i="1"/>
  <c r="T735" i="3" s="1"/>
  <c r="BC238" i="1"/>
  <c r="T853" i="3" s="1"/>
  <c r="BC280" i="1"/>
  <c r="T920" i="3" s="1"/>
  <c r="BC365" i="1"/>
  <c r="T1075" i="3" s="1"/>
  <c r="BC32" i="1"/>
  <c r="T250" i="3" s="1"/>
  <c r="BC152" i="1"/>
  <c r="T714" i="3" s="1"/>
  <c r="BC556" i="1"/>
  <c r="T46" i="3" s="1"/>
  <c r="BC274" i="1"/>
  <c r="T911" i="3" s="1"/>
  <c r="BC332" i="1"/>
  <c r="T1014" i="3" s="1"/>
  <c r="BC90" i="1"/>
  <c r="T601" i="3" s="1"/>
  <c r="BC417" i="1"/>
  <c r="T1160" i="3" s="1"/>
  <c r="BC13" i="1"/>
  <c r="T71" i="3" s="1"/>
  <c r="BC358" i="1"/>
  <c r="T1061" i="3" s="1"/>
  <c r="BC209" i="1"/>
  <c r="T806" i="3" s="1"/>
  <c r="BC244" i="1"/>
  <c r="T866" i="3" s="1"/>
  <c r="BC640" i="1"/>
  <c r="T177" i="3" s="1"/>
  <c r="BC145" i="1"/>
  <c r="T702" i="3" s="1"/>
  <c r="BC660" i="1"/>
  <c r="T404" i="3" s="1"/>
  <c r="BC392" i="1"/>
  <c r="T1124" i="3" s="1"/>
  <c r="BC338" i="1"/>
  <c r="T545" i="3" s="1"/>
  <c r="BC20" i="1"/>
  <c r="T211" i="3" s="1"/>
  <c r="BC54" i="1"/>
  <c r="T777" i="3" s="1"/>
  <c r="BC430" i="1"/>
  <c r="T1186" i="3" s="1"/>
  <c r="BC713" i="1"/>
  <c r="T804" i="3" s="1"/>
  <c r="BC55" i="1"/>
  <c r="T795" i="3" s="1"/>
  <c r="BC57" i="1"/>
  <c r="T1001" i="3" s="1"/>
  <c r="BC692" i="1"/>
  <c r="T722" i="3" s="1"/>
  <c r="BC559" i="1"/>
  <c r="T212" i="3" s="1"/>
  <c r="BC229" i="1"/>
  <c r="T560" i="3" s="1"/>
  <c r="BC648" i="1"/>
  <c r="T596" i="3" s="1"/>
  <c r="BC477" i="1"/>
  <c r="T1259" i="3" s="1"/>
  <c r="BC59" i="1"/>
  <c r="T1106" i="3" s="1"/>
  <c r="BC576" i="1"/>
  <c r="T371" i="3" s="1"/>
  <c r="BC11" i="1"/>
  <c r="T47" i="3" s="1"/>
  <c r="BC362" i="1"/>
  <c r="T1068" i="3" s="1"/>
  <c r="BC302" i="1"/>
  <c r="T959" i="3" s="1"/>
  <c r="BC185" i="1"/>
  <c r="T770" i="3" s="1"/>
  <c r="BC234" i="1"/>
  <c r="T848" i="3" s="1"/>
  <c r="BC379" i="1"/>
  <c r="T1097" i="3" s="1"/>
  <c r="BC466" i="1"/>
  <c r="T1241" i="3" s="1"/>
  <c r="BC428" i="1"/>
  <c r="T1185" i="3" s="1"/>
  <c r="BC162" i="1"/>
  <c r="T737" i="3" s="1"/>
  <c r="BC257" i="1"/>
  <c r="T885" i="3" s="1"/>
  <c r="BC7" i="1"/>
  <c r="T16" i="3" s="1"/>
  <c r="BC617" i="1"/>
  <c r="T441" i="3" s="1"/>
  <c r="BC655" i="1"/>
  <c r="T536" i="3" s="1"/>
  <c r="BC481" i="1"/>
  <c r="T1270" i="3" s="1"/>
  <c r="BC355" i="1"/>
  <c r="T1058" i="3" s="1"/>
  <c r="BC719" i="1"/>
  <c r="T832" i="3" s="1"/>
  <c r="BC650" i="1"/>
  <c r="T638" i="3" s="1"/>
  <c r="BC38" i="1"/>
  <c r="T400" i="3" s="1"/>
  <c r="BC766" i="1"/>
  <c r="T585" i="3" s="1"/>
  <c r="BC621" i="1"/>
  <c r="T251" i="3" s="1"/>
  <c r="BC380" i="1"/>
  <c r="T1098" i="3" s="1"/>
  <c r="BC632" i="1"/>
  <c r="T621" i="3" s="1"/>
  <c r="BC321" i="1"/>
  <c r="T999" i="3" s="1"/>
  <c r="BC331" i="1"/>
  <c r="T1012" i="3" s="1"/>
  <c r="BC77" i="1"/>
  <c r="T296" i="3" s="1"/>
  <c r="BC418" i="1"/>
  <c r="T1161" i="3" s="1"/>
  <c r="BC401" i="1"/>
  <c r="T1133" i="3" s="1"/>
  <c r="BC497" i="1"/>
  <c r="T1344" i="3" s="1"/>
  <c r="BC678" i="1"/>
  <c r="T579" i="3" s="1"/>
  <c r="BC532" i="1"/>
  <c r="T67" i="3" s="1"/>
  <c r="BC192" i="1"/>
  <c r="T779" i="3" s="1"/>
  <c r="BC657" i="1"/>
  <c r="T513" i="3" s="1"/>
  <c r="BC644" i="1"/>
  <c r="T375" i="3" s="1"/>
  <c r="BC169" i="1"/>
  <c r="T745" i="3" s="1"/>
  <c r="BC393" i="1"/>
  <c r="T1127" i="3" s="1"/>
  <c r="BC572" i="1"/>
  <c r="T281" i="3" s="1"/>
  <c r="BC628" i="1"/>
  <c r="T98" i="3" s="1"/>
  <c r="BC620" i="1"/>
  <c r="T390" i="3" s="1"/>
  <c r="BC489" i="1"/>
  <c r="T1305" i="3" s="1"/>
  <c r="BC300" i="1"/>
  <c r="T956" i="3" s="1"/>
  <c r="BC693" i="1"/>
  <c r="T589" i="3" s="1"/>
  <c r="BC736" i="1"/>
  <c r="T927" i="3" s="1"/>
  <c r="BC434" i="1"/>
  <c r="T1193" i="3" s="1"/>
  <c r="BC662" i="1"/>
  <c r="T352" i="3" s="1"/>
  <c r="BC731" i="1"/>
  <c r="T893" i="3" s="1"/>
  <c r="BC484" i="1"/>
  <c r="T1284" i="3" s="1"/>
  <c r="BC128" i="1"/>
  <c r="T670" i="3" s="1"/>
  <c r="BC398" i="1"/>
  <c r="T1132" i="3" s="1"/>
  <c r="BC596" i="1"/>
  <c r="T566" i="3" s="1"/>
  <c r="BC333" i="1"/>
  <c r="T1015" i="3" s="1"/>
  <c r="BC138" i="1"/>
  <c r="T552" i="3" s="1"/>
  <c r="BC476" i="1"/>
  <c r="T1258" i="3" s="1"/>
  <c r="BC529" i="1"/>
  <c r="T86" i="3" s="1"/>
  <c r="BC6" i="1"/>
  <c r="T5" i="3" s="1"/>
  <c r="BC8" i="1"/>
  <c r="T29" i="3" s="1"/>
  <c r="BC277" i="1"/>
  <c r="T914" i="3" s="1"/>
  <c r="BC175" i="1"/>
  <c r="T754" i="3" s="1"/>
  <c r="BC127" i="1"/>
  <c r="T671" i="3" s="1"/>
  <c r="BC281" i="1"/>
  <c r="T924" i="3" s="1"/>
  <c r="BC544" i="1"/>
  <c r="T280" i="3" s="1"/>
  <c r="BC271" i="1"/>
  <c r="T906" i="3" s="1"/>
  <c r="BC718" i="1"/>
  <c r="T831" i="3" s="1"/>
  <c r="BC612" i="1"/>
  <c r="T347" i="3" s="1"/>
  <c r="BC514" i="1"/>
  <c r="T50" i="3" s="1"/>
  <c r="BC172" i="1"/>
  <c r="T748" i="3" s="1"/>
  <c r="BC177" i="1"/>
  <c r="T752" i="3" s="1"/>
  <c r="BC86" i="1"/>
  <c r="T233" i="3" s="1"/>
  <c r="BC61" i="1"/>
  <c r="T49" i="3" s="1"/>
  <c r="BC194" i="1"/>
  <c r="T784" i="3" s="1"/>
  <c r="BC749" i="1"/>
  <c r="T986" i="3" s="1"/>
  <c r="BC399" i="1"/>
  <c r="T1135" i="3" s="1"/>
  <c r="BC347" i="1"/>
  <c r="T1045" i="3" s="1"/>
  <c r="BC376" i="1"/>
  <c r="T1094" i="3" s="1"/>
  <c r="BC369" i="1"/>
  <c r="T1083" i="3" s="1"/>
  <c r="BC190" i="1"/>
  <c r="T604" i="3" s="1"/>
  <c r="BC233" i="1"/>
  <c r="T852" i="3" s="1"/>
  <c r="BC213" i="1"/>
  <c r="T814" i="3" s="1"/>
  <c r="BC740" i="1"/>
  <c r="T940" i="3" s="1"/>
  <c r="BC778" i="1"/>
  <c r="T1229" i="3" s="1"/>
  <c r="BC39" i="1"/>
  <c r="T206" i="3" s="1"/>
  <c r="BC168" i="1"/>
  <c r="T744" i="3" s="1"/>
  <c r="BC236" i="1"/>
  <c r="T850" i="3" s="1"/>
  <c r="BC684" i="1"/>
  <c r="T699" i="3" s="1"/>
  <c r="BC758" i="1"/>
  <c r="T1041" i="3" s="1"/>
  <c r="BC327" i="1"/>
  <c r="T1006" i="3" s="1"/>
  <c r="BC635" i="1"/>
  <c r="T541" i="3" s="1"/>
  <c r="BC88" i="1"/>
  <c r="T618" i="3" s="1"/>
  <c r="BC402" i="1"/>
  <c r="T1137" i="3" s="1"/>
  <c r="BC129" i="1"/>
  <c r="T672" i="3" s="1"/>
  <c r="BC725" i="1"/>
  <c r="T856" i="3" s="1"/>
  <c r="BC79" i="1"/>
  <c r="T215" i="3" s="1"/>
  <c r="BC258" i="1"/>
  <c r="T886" i="3" s="1"/>
  <c r="BC768" i="1"/>
  <c r="T1077" i="3" s="1"/>
  <c r="BC688" i="1"/>
  <c r="T712" i="3" s="1"/>
  <c r="BC554" i="1"/>
  <c r="T401" i="3" s="1"/>
  <c r="BC64" i="1"/>
  <c r="T14" i="3" s="1"/>
  <c r="BC308" i="1"/>
  <c r="T974" i="3" s="1"/>
  <c r="BC762" i="1"/>
  <c r="T1050" i="3" s="1"/>
  <c r="BC351" i="1"/>
  <c r="T1053" i="3" s="1"/>
  <c r="BC27" i="1"/>
  <c r="T43" i="3" s="1"/>
  <c r="BC726" i="1"/>
  <c r="T865" i="3" s="1"/>
  <c r="BC279" i="1"/>
  <c r="T921" i="3" s="1"/>
  <c r="BC613" i="1"/>
  <c r="T268" i="3" s="1"/>
  <c r="BC698" i="1"/>
  <c r="T730" i="3" s="1"/>
  <c r="BC727" i="1"/>
  <c r="T867" i="3" s="1"/>
  <c r="BC750" i="1"/>
  <c r="T992" i="3" s="1"/>
  <c r="BC623" i="1"/>
  <c r="T615" i="3" s="1"/>
  <c r="R1202" i="3"/>
  <c r="BC25" i="1"/>
  <c r="T70" i="3" s="1"/>
  <c r="BC495" i="1"/>
  <c r="T1343" i="3" s="1"/>
  <c r="BC151" i="1"/>
  <c r="T713" i="3" s="1"/>
  <c r="BC707" i="1"/>
  <c r="T771" i="3" s="1"/>
  <c r="BC107" i="1"/>
  <c r="T637" i="3" s="1"/>
  <c r="BC629" i="1"/>
  <c r="T457" i="3" s="1"/>
  <c r="BC450" i="1"/>
  <c r="T1215" i="3" s="1"/>
  <c r="BC734" i="1"/>
  <c r="T900" i="3" s="1"/>
  <c r="BC319" i="1"/>
  <c r="T997" i="3" s="1"/>
  <c r="BC748" i="1"/>
  <c r="T980" i="3" s="1"/>
  <c r="BC616" i="1"/>
  <c r="T114" i="3" s="1"/>
  <c r="BC403" i="1"/>
  <c r="T1138" i="3" s="1"/>
  <c r="BC371" i="1"/>
  <c r="T1089" i="3" s="1"/>
  <c r="BC459" i="1"/>
  <c r="T1230" i="3" s="1"/>
  <c r="BC45" i="1"/>
  <c r="T630" i="3" s="1"/>
  <c r="BC431" i="1"/>
  <c r="T1188" i="3" s="1"/>
  <c r="BC21" i="1"/>
  <c r="T165" i="3" s="1"/>
  <c r="BC31" i="1"/>
  <c r="T77" i="3" s="1"/>
  <c r="BC5" i="1"/>
  <c r="T31" i="3" s="1"/>
  <c r="BC610" i="1"/>
  <c r="T349" i="3" s="1"/>
  <c r="BC777" i="1"/>
  <c r="T1197" i="3" s="1"/>
  <c r="BC68" i="1"/>
  <c r="T129" i="3" s="1"/>
  <c r="BC307" i="1"/>
  <c r="T971" i="3" s="1"/>
  <c r="BC117" i="1"/>
  <c r="T410" i="3" s="1"/>
  <c r="BC83" i="1"/>
  <c r="T509" i="3" s="1"/>
  <c r="BC223" i="1"/>
  <c r="T833" i="3" s="1"/>
  <c r="BC230" i="1"/>
  <c r="T843" i="3" s="1"/>
  <c r="BC359" i="1"/>
  <c r="T1065" i="3" s="1"/>
  <c r="BC569" i="1"/>
  <c r="T158" i="3" s="1"/>
  <c r="BC772" i="1"/>
  <c r="T1105" i="3" s="1"/>
  <c r="BC272" i="1"/>
  <c r="T909" i="3" s="1"/>
  <c r="BC733" i="1"/>
  <c r="T897" i="3" s="1"/>
  <c r="BC156" i="1"/>
  <c r="T723" i="3" s="1"/>
  <c r="BC595" i="1"/>
  <c r="T323" i="3" s="1"/>
  <c r="BC570" i="1"/>
  <c r="T229" i="3" s="1"/>
  <c r="BC600" i="1"/>
  <c r="T310" i="3" s="1"/>
  <c r="BC764" i="1"/>
  <c r="T1067" i="3" s="1"/>
  <c r="BC442" i="1"/>
  <c r="T1201" i="3" s="1"/>
  <c r="BC618" i="1"/>
  <c r="T228" i="3" s="1"/>
  <c r="BC433" i="1"/>
  <c r="T1189" i="3" s="1"/>
  <c r="R1025" i="3"/>
  <c r="BC70" i="1"/>
  <c r="T429" i="3" s="1"/>
  <c r="BC391" i="1"/>
  <c r="T1122" i="3" s="1"/>
  <c r="BC242" i="1"/>
  <c r="T862" i="3" s="1"/>
  <c r="BC120" i="1"/>
  <c r="T659" i="3" s="1"/>
  <c r="BC123" i="1"/>
  <c r="T665" i="3" s="1"/>
  <c r="BC33" i="1"/>
  <c r="T153" i="3" s="1"/>
  <c r="BC133" i="1"/>
  <c r="T678" i="3" s="1"/>
  <c r="BC729" i="1"/>
  <c r="T882" i="3" s="1"/>
  <c r="BC44" i="1"/>
  <c r="T626" i="3" s="1"/>
  <c r="BC293" i="1"/>
  <c r="T944" i="3" s="1"/>
  <c r="BC426" i="1"/>
  <c r="T1182" i="3" s="1"/>
  <c r="BC360" i="1"/>
  <c r="T1070" i="3" s="1"/>
  <c r="BC672" i="1"/>
  <c r="T661" i="3" s="1"/>
  <c r="BC517" i="1"/>
  <c r="T112" i="3" s="1"/>
  <c r="BC654" i="1"/>
  <c r="T639" i="3" s="1"/>
  <c r="BC732" i="1"/>
  <c r="T896" i="3" s="1"/>
  <c r="BC704" i="1"/>
  <c r="T753" i="3" s="1"/>
  <c r="BC587" i="1"/>
  <c r="T591" i="3" s="1"/>
  <c r="BC296" i="1"/>
  <c r="T955" i="3" s="1"/>
  <c r="BC697" i="1"/>
  <c r="T574" i="3" s="1"/>
  <c r="BC702" i="1"/>
  <c r="T497" i="3" s="1"/>
  <c r="BC453" i="1"/>
  <c r="T1223" i="3" s="1"/>
  <c r="BC325" i="1"/>
  <c r="T1002" i="3" s="1"/>
  <c r="BC441" i="1"/>
  <c r="T1202" i="3" s="1"/>
  <c r="BC668" i="1"/>
  <c r="T469" i="3" s="1"/>
  <c r="BC464" i="1"/>
  <c r="T1237" i="3" s="1"/>
  <c r="BC181" i="1"/>
  <c r="T759" i="3" s="1"/>
  <c r="BC160" i="1"/>
  <c r="T732" i="3" s="1"/>
  <c r="BC780" i="1"/>
  <c r="T1276" i="3" s="1"/>
  <c r="BC776" i="1"/>
  <c r="T1180" i="3" s="1"/>
  <c r="BC118" i="1"/>
  <c r="T565" i="3" s="1"/>
  <c r="BC475" i="1"/>
  <c r="T1257" i="3" s="1"/>
  <c r="BC341" i="1"/>
  <c r="T1033" i="3" s="1"/>
  <c r="BC759" i="1"/>
  <c r="T1044" i="3" s="1"/>
  <c r="BC216" i="1"/>
  <c r="T818" i="3" s="1"/>
  <c r="BC706" i="1"/>
  <c r="T761" i="3" s="1"/>
  <c r="BC330" i="1"/>
  <c r="T1009" i="3" s="1"/>
  <c r="BC97" i="1"/>
  <c r="T376" i="3" s="1"/>
  <c r="BC695" i="1"/>
  <c r="T320" i="3" s="1"/>
  <c r="BC318" i="1"/>
  <c r="T996" i="3" s="1"/>
  <c r="BC690" i="1"/>
  <c r="T719" i="3" s="1"/>
  <c r="BC62" i="1"/>
  <c r="T66" i="3" s="1"/>
  <c r="BC334" i="1"/>
  <c r="T1016" i="3" s="1"/>
  <c r="BC439" i="1"/>
  <c r="T1199" i="3" s="1"/>
  <c r="BC421" i="1"/>
  <c r="T1170" i="3" s="1"/>
  <c r="BC130" i="1"/>
  <c r="T673" i="3" s="1"/>
  <c r="BC99" i="1"/>
  <c r="T631" i="3" s="1"/>
  <c r="BC691" i="1"/>
  <c r="T720" i="3" s="1"/>
  <c r="BC709" i="1"/>
  <c r="T786" i="3" s="1"/>
  <c r="BC506" i="1"/>
  <c r="T53" i="3" s="1"/>
  <c r="BC767" i="1"/>
  <c r="T1076" i="3" s="1"/>
  <c r="BC311" i="1"/>
  <c r="T979" i="3" s="1"/>
  <c r="BC582" i="1"/>
  <c r="T293" i="3" s="1"/>
  <c r="BC43" i="1"/>
  <c r="T496" i="3" s="1"/>
  <c r="BC649" i="1"/>
  <c r="T437" i="3" s="1"/>
  <c r="BC609" i="1"/>
  <c r="T503" i="3" s="1"/>
  <c r="BC259" i="1"/>
  <c r="T887" i="3" s="1"/>
  <c r="BC182" i="1"/>
  <c r="T762" i="3" s="1"/>
  <c r="BC533" i="1"/>
  <c r="T79" i="3" s="1"/>
  <c r="BC163" i="1"/>
  <c r="T738" i="3" s="1"/>
  <c r="BC81" i="1"/>
  <c r="T261" i="3" s="1"/>
  <c r="BC136" i="1"/>
  <c r="T682" i="3" s="1"/>
  <c r="BC527" i="1"/>
  <c r="T126" i="3" s="1"/>
  <c r="BC131" i="1"/>
  <c r="T675" i="3" s="1"/>
  <c r="BC301" i="1"/>
  <c r="T957" i="3" s="1"/>
  <c r="BC685" i="1"/>
  <c r="T700" i="3" s="1"/>
  <c r="BC241" i="1"/>
  <c r="T860" i="3" s="1"/>
  <c r="BC519" i="1"/>
  <c r="T45" i="3" s="1"/>
  <c r="BC540" i="1"/>
  <c r="T332" i="3" s="1"/>
  <c r="BC250" i="1"/>
  <c r="T875" i="3" s="1"/>
  <c r="BC137" i="1"/>
  <c r="T548" i="3" s="1"/>
  <c r="BC52" i="1"/>
  <c r="T764" i="3" s="1"/>
  <c r="BC710" i="1"/>
  <c r="T790" i="3" s="1"/>
  <c r="BC659" i="1"/>
  <c r="T641" i="3" s="1"/>
  <c r="BC186" i="1"/>
  <c r="T774" i="3" s="1"/>
  <c r="BC676" i="1"/>
  <c r="T520" i="3" s="1"/>
  <c r="BC452" i="1"/>
  <c r="T1221" i="3" s="1"/>
  <c r="BC203" i="1"/>
  <c r="T794" i="3" s="1"/>
  <c r="BC312" i="1"/>
  <c r="T982" i="3" s="1"/>
  <c r="BC328" i="1"/>
  <c r="T1008" i="3" s="1"/>
  <c r="BC121" i="1"/>
  <c r="T660" i="3" s="1"/>
  <c r="BC240" i="1"/>
  <c r="T859" i="3" s="1"/>
  <c r="BC408" i="1"/>
  <c r="T1143" i="3" s="1"/>
  <c r="BC395" i="1"/>
  <c r="T1129" i="3" s="1"/>
  <c r="BC465" i="1"/>
  <c r="T1239" i="3" s="1"/>
  <c r="BC694" i="1"/>
  <c r="T727" i="3" s="1"/>
  <c r="BC548" i="1"/>
  <c r="T99" i="3" s="1"/>
  <c r="BC647" i="1"/>
  <c r="T530" i="3" s="1"/>
  <c r="BC193" i="1"/>
  <c r="T780" i="3" s="1"/>
  <c r="BC462" i="1"/>
  <c r="T1235" i="3" s="1"/>
  <c r="BC339" i="1"/>
  <c r="T1029" i="3" s="1"/>
  <c r="BC607" i="1"/>
  <c r="T178" i="3" s="1"/>
  <c r="BC377" i="1"/>
  <c r="T1095" i="3" s="1"/>
  <c r="BC34" i="1"/>
  <c r="T264" i="3" s="1"/>
  <c r="BC413" i="1"/>
  <c r="T1155" i="3" s="1"/>
  <c r="BC456" i="1"/>
  <c r="T1228" i="3" s="1"/>
  <c r="BC471" i="1"/>
  <c r="T1249" i="3" s="1"/>
  <c r="BC386" i="1"/>
  <c r="T1107" i="3" s="1"/>
  <c r="BC771" i="1"/>
  <c r="T1099" i="3" s="1"/>
  <c r="BC546" i="1"/>
  <c r="T377" i="3" s="1"/>
  <c r="BC574" i="1"/>
  <c r="T434" i="3" s="1"/>
  <c r="BC295" i="1"/>
  <c r="T948" i="3" s="1"/>
  <c r="BC642" i="1"/>
  <c r="T442" i="3" s="1"/>
  <c r="BC566" i="1"/>
  <c r="T382" i="3" s="1"/>
  <c r="BC500" i="1"/>
  <c r="T6" i="3" s="1"/>
  <c r="BC737" i="1"/>
  <c r="T933" i="3" s="1"/>
  <c r="BC343" i="1"/>
  <c r="T603" i="3" s="1"/>
  <c r="BC567" i="1"/>
  <c r="T339" i="3" s="1"/>
  <c r="BC89" i="1"/>
  <c r="T619" i="3" s="1"/>
  <c r="BC565" i="1"/>
  <c r="T451" i="3" s="1"/>
  <c r="BC263" i="1"/>
  <c r="T895" i="3" s="1"/>
  <c r="BC326" i="1"/>
  <c r="T1004" i="3" s="1"/>
  <c r="BC561" i="1"/>
  <c r="T203" i="3" s="1"/>
  <c r="BC524" i="1"/>
  <c r="T170" i="3" s="1"/>
  <c r="BC24" i="1"/>
  <c r="T223" i="3" s="1"/>
  <c r="BC485" i="1"/>
  <c r="T1293" i="3" s="1"/>
  <c r="BC291" i="1"/>
  <c r="T939" i="3" s="1"/>
  <c r="BC774" i="1"/>
  <c r="T1128" i="3" s="1"/>
  <c r="BC487" i="1"/>
  <c r="T1299" i="3" s="1"/>
  <c r="BC423" i="1"/>
  <c r="T1175" i="3" s="1"/>
  <c r="BC437" i="1"/>
  <c r="T1198" i="3" s="1"/>
  <c r="BC407" i="1"/>
  <c r="T1146" i="3" s="1"/>
  <c r="BC700" i="1"/>
  <c r="T734" i="3" s="1"/>
  <c r="AT675" i="2"/>
  <c r="T1456" i="3" s="1"/>
  <c r="R738" i="3"/>
  <c r="AT444" i="2"/>
  <c r="T355" i="3" s="1"/>
  <c r="R82" i="3"/>
  <c r="AT640" i="2"/>
  <c r="T1422" i="3" s="1"/>
  <c r="R1119" i="3"/>
  <c r="AT213" i="2"/>
  <c r="T389" i="3" s="1"/>
  <c r="R1475" i="3"/>
  <c r="AT203" i="2"/>
  <c r="T421" i="3" s="1"/>
  <c r="R1163" i="3"/>
  <c r="AT172" i="2"/>
  <c r="T97" i="3" s="1"/>
  <c r="R1282" i="3"/>
  <c r="AT179" i="2"/>
  <c r="T62" i="3" s="1"/>
  <c r="R1399" i="3"/>
  <c r="AT309" i="2"/>
  <c r="T521" i="3" s="1"/>
  <c r="R962" i="3"/>
  <c r="AT244" i="2"/>
  <c r="T346" i="3" s="1"/>
  <c r="R392" i="3"/>
  <c r="AT513" i="2"/>
  <c r="T1288" i="3" s="1"/>
  <c r="R1378" i="3"/>
  <c r="AT630" i="2"/>
  <c r="T1412" i="3" s="1"/>
  <c r="R83" i="3"/>
  <c r="AT147" i="2"/>
  <c r="T599" i="3" s="1"/>
  <c r="R1483" i="3"/>
  <c r="AT655" i="2"/>
  <c r="T1437" i="3" s="1"/>
  <c r="R365" i="3"/>
  <c r="AT38" i="2"/>
  <c r="T286" i="3" s="1"/>
  <c r="AT452" i="2"/>
  <c r="T1191" i="3" s="1"/>
  <c r="R480" i="3"/>
  <c r="AT195" i="2"/>
  <c r="T643" i="3" s="1"/>
  <c r="R1205" i="3"/>
  <c r="AT65" i="2"/>
  <c r="T255" i="3" s="1"/>
  <c r="AT42" i="2"/>
  <c r="T141" i="3" s="1"/>
  <c r="R1335" i="3"/>
  <c r="AT390" i="2"/>
  <c r="T217" i="3" s="1"/>
  <c r="R552" i="3"/>
  <c r="AT676" i="2"/>
  <c r="T1457" i="3" s="1"/>
  <c r="R127" i="3"/>
  <c r="AT467" i="2"/>
  <c r="T1232" i="3" s="1"/>
  <c r="R1125" i="3"/>
  <c r="AT305" i="2"/>
  <c r="T820" i="3" s="1"/>
  <c r="R1218" i="3"/>
  <c r="AT53" i="2"/>
  <c r="T144" i="3" s="1"/>
  <c r="R916" i="3"/>
  <c r="AT310" i="2"/>
  <c r="T836" i="3" s="1"/>
  <c r="AT688" i="2"/>
  <c r="T1468" i="3" s="1"/>
  <c r="AT58" i="2"/>
  <c r="T147" i="3" s="1"/>
  <c r="R618" i="3"/>
  <c r="AT325" i="2"/>
  <c r="T876" i="3" s="1"/>
  <c r="R44" i="3"/>
  <c r="AT544" i="2"/>
  <c r="T1324" i="3" s="1"/>
  <c r="R464" i="3"/>
  <c r="AT301" i="2"/>
  <c r="T811" i="3" s="1"/>
  <c r="R1143" i="3"/>
  <c r="AT527" i="2"/>
  <c r="T1304" i="3" s="1"/>
  <c r="R1122" i="3"/>
  <c r="AT81" i="2"/>
  <c r="T482" i="3" s="1"/>
  <c r="R23" i="3"/>
  <c r="AT31" i="2"/>
  <c r="T81" i="3" s="1"/>
  <c r="R778" i="3"/>
  <c r="AT176" i="2"/>
  <c r="T403" i="3" s="1"/>
  <c r="R1058" i="3"/>
  <c r="AT433" i="2"/>
  <c r="T1153" i="3" s="1"/>
  <c r="R1261" i="3"/>
  <c r="AT374" i="2"/>
  <c r="T1022" i="3" s="1"/>
  <c r="AT138" i="2"/>
  <c r="T532" i="3" s="1"/>
  <c r="AT585" i="2"/>
  <c r="T593" i="3" s="1"/>
  <c r="R1363" i="3"/>
  <c r="AT278" i="2"/>
  <c r="T350" i="3" s="1"/>
  <c r="R797" i="3"/>
  <c r="AT226" i="2"/>
  <c r="T674" i="3" s="1"/>
  <c r="R747" i="3"/>
  <c r="AT364" i="2"/>
  <c r="T993" i="3" s="1"/>
  <c r="R1353" i="3"/>
  <c r="AT247" i="2"/>
  <c r="T554" i="3" s="1"/>
  <c r="R458" i="3"/>
  <c r="AT222" i="2"/>
  <c r="T481" i="3" s="1"/>
  <c r="R1246" i="3"/>
  <c r="AT125" i="2"/>
  <c r="T360" i="3" s="1"/>
  <c r="R374" i="3"/>
  <c r="AT522" i="2"/>
  <c r="T581" i="3" s="1"/>
  <c r="R1381" i="3"/>
  <c r="AT54" i="2"/>
  <c r="T124" i="3" s="1"/>
  <c r="R836" i="3"/>
  <c r="AT487" i="2"/>
  <c r="T369" i="3" s="1"/>
  <c r="R1070" i="3"/>
  <c r="AT492" i="2"/>
  <c r="T1262" i="3" s="1"/>
  <c r="R532" i="3"/>
  <c r="AT267" i="2"/>
  <c r="T733" i="3" s="1"/>
  <c r="R731" i="3"/>
  <c r="AT419" i="2"/>
  <c r="T1117" i="3" s="1"/>
  <c r="R647" i="3"/>
  <c r="AT674" i="2"/>
  <c r="T1455" i="3" s="1"/>
  <c r="R272" i="3"/>
  <c r="AT216" i="2"/>
  <c r="T343" i="3" s="1"/>
  <c r="R1250" i="3"/>
  <c r="AT246" i="2"/>
  <c r="T471" i="3" s="1"/>
  <c r="R1267" i="3"/>
  <c r="AT235" i="2"/>
  <c r="T684" i="3" s="1"/>
  <c r="R35" i="3"/>
  <c r="AT5" i="2"/>
  <c r="T19" i="3" s="1"/>
  <c r="R1495" i="3"/>
  <c r="AT218" i="2"/>
  <c r="T663" i="3" s="1"/>
  <c r="R1019" i="3"/>
  <c r="AT9" i="2"/>
  <c r="T41" i="3" s="1"/>
  <c r="AT337" i="2"/>
  <c r="T923" i="3" s="1"/>
  <c r="AT122" i="2"/>
  <c r="T111" i="3" s="1"/>
  <c r="AT382" i="2"/>
  <c r="T458" i="3" s="1"/>
  <c r="AT564" i="2"/>
  <c r="T1349" i="3" s="1"/>
  <c r="AT386" i="2"/>
  <c r="T584" i="3" s="1"/>
  <c r="AT765" i="2"/>
  <c r="T1542" i="3" s="1"/>
  <c r="AT749" i="2"/>
  <c r="T1528" i="3" s="1"/>
  <c r="AT306" i="2"/>
  <c r="T823" i="3" s="1"/>
  <c r="AT751" i="2"/>
  <c r="T1530" i="3" s="1"/>
  <c r="AT760" i="2"/>
  <c r="T1538" i="3" s="1"/>
  <c r="AT629" i="2"/>
  <c r="T1411" i="3" s="1"/>
  <c r="AT210" i="2"/>
  <c r="T271" i="3" s="1"/>
  <c r="AT208" i="2"/>
  <c r="T358" i="3" s="1"/>
  <c r="AT541" i="2"/>
  <c r="T1321" i="3" s="1"/>
  <c r="AT499" i="2"/>
  <c r="T1271" i="3" s="1"/>
  <c r="AT398" i="2"/>
  <c r="T1073" i="3" s="1"/>
  <c r="AT747" i="2"/>
  <c r="AT104" i="2"/>
  <c r="T230" i="3" s="1"/>
  <c r="AT30" i="2"/>
  <c r="T48" i="3" s="1"/>
  <c r="AT320" i="2"/>
  <c r="T864" i="3" s="1"/>
  <c r="AT212" i="2"/>
  <c r="T655" i="3" s="1"/>
  <c r="AT481" i="2"/>
  <c r="T1253" i="3" s="1"/>
  <c r="AT581" i="2"/>
  <c r="T1367" i="3" s="1"/>
  <c r="AT740" i="2"/>
  <c r="T1520" i="3" s="1"/>
  <c r="AT360" i="2"/>
  <c r="T976" i="3" s="1"/>
  <c r="AT317" i="2"/>
  <c r="T858" i="3" s="1"/>
  <c r="AT595" i="2"/>
  <c r="T1377" i="3" s="1"/>
  <c r="AT663" i="2"/>
  <c r="T1444" i="3" s="1"/>
  <c r="AT416" i="2"/>
  <c r="T1115" i="3" s="1"/>
  <c r="AT520" i="2"/>
  <c r="T1297" i="3" s="1"/>
  <c r="AT422" i="2"/>
  <c r="T1121" i="3" s="1"/>
  <c r="AT159" i="2"/>
  <c r="T629" i="3" s="1"/>
  <c r="AT649" i="2"/>
  <c r="T1431" i="3" s="1"/>
  <c r="AT92" i="2"/>
  <c r="T351" i="3" s="1"/>
  <c r="AT748" i="2"/>
  <c r="T1527" i="3" s="1"/>
  <c r="AT423" i="2"/>
  <c r="T1125" i="3" s="1"/>
  <c r="AT543" i="2"/>
  <c r="T1323" i="3" s="1"/>
  <c r="AT684" i="2"/>
  <c r="T1464" i="3" s="1"/>
  <c r="AT404" i="2"/>
  <c r="T125" i="3" s="1"/>
  <c r="AT380" i="2"/>
  <c r="T1032" i="3" s="1"/>
  <c r="AT60" i="2"/>
  <c r="T180" i="3" s="1"/>
  <c r="AT689" i="2"/>
  <c r="T1469" i="3" s="1"/>
  <c r="AT715" i="2"/>
  <c r="T1495" i="3" s="1"/>
  <c r="AT137" i="2"/>
  <c r="T378" i="3" s="1"/>
  <c r="AT697" i="2"/>
  <c r="T1477" i="3" s="1"/>
  <c r="AT755" i="2"/>
  <c r="T1533" i="3" s="1"/>
  <c r="AT385" i="2"/>
  <c r="T1039" i="3" s="1"/>
  <c r="AT704" i="2"/>
  <c r="T1484" i="3" s="1"/>
  <c r="AT367" i="2"/>
  <c r="T1003" i="3" s="1"/>
  <c r="AT329" i="2"/>
  <c r="T889" i="3" s="1"/>
  <c r="AT328" i="2"/>
  <c r="T883" i="3" s="1"/>
  <c r="AT736" i="2"/>
  <c r="T1516" i="3" s="1"/>
  <c r="AT643" i="2"/>
  <c r="T1425" i="3" s="1"/>
  <c r="AT542" i="2"/>
  <c r="T1322" i="3" s="1"/>
  <c r="AT33" i="2"/>
  <c r="T241" i="3" s="1"/>
  <c r="AT57" i="2"/>
  <c r="T179" i="3" s="1"/>
  <c r="AT284" i="2"/>
  <c r="T765" i="3" s="1"/>
  <c r="AT431" i="2"/>
  <c r="T1149" i="3" s="1"/>
  <c r="AT530" i="2"/>
  <c r="T1308" i="3" s="1"/>
  <c r="AT89" i="2"/>
  <c r="T311" i="3" s="1"/>
  <c r="AT29" i="2"/>
  <c r="T123" i="3" s="1"/>
  <c r="AT603" i="2"/>
  <c r="T1385" i="3" s="1"/>
  <c r="AT576" i="2"/>
  <c r="T1362" i="3" s="1"/>
  <c r="AT757" i="2"/>
  <c r="T1535" i="3" s="1"/>
  <c r="AT228" i="2"/>
  <c r="T269" i="3" s="1"/>
  <c r="AT264" i="2"/>
  <c r="T188" i="3" s="1"/>
  <c r="AT287" i="2"/>
  <c r="T528" i="3" s="1"/>
  <c r="AT711" i="2"/>
  <c r="T1491" i="3" s="1"/>
  <c r="AT591" i="2"/>
  <c r="T535" i="3" s="1"/>
  <c r="AT619" i="2"/>
  <c r="T1401" i="3" s="1"/>
  <c r="AT354" i="2"/>
  <c r="T492" i="3" s="1"/>
  <c r="AT116" i="2"/>
  <c r="T83" i="3" s="1"/>
  <c r="AT191" i="2"/>
  <c r="T406" i="3" s="1"/>
  <c r="AT418" i="2"/>
  <c r="T1116" i="3" s="1"/>
  <c r="AT437" i="2"/>
  <c r="T1162" i="3" s="1"/>
  <c r="AT744" i="2"/>
  <c r="T1524" i="3" s="1"/>
  <c r="AT298" i="2"/>
  <c r="T802" i="3" s="1"/>
  <c r="AT297" i="2"/>
  <c r="T793" i="3" s="1"/>
  <c r="AT387" i="2"/>
  <c r="T1042" i="3" s="1"/>
  <c r="AT370" i="2"/>
  <c r="T1019" i="3" s="1"/>
  <c r="AT11" i="2"/>
  <c r="T32" i="3" s="1"/>
  <c r="AT132" i="2"/>
  <c r="T468" i="3" s="1"/>
  <c r="AT742" i="2"/>
  <c r="T1522" i="3" s="1"/>
  <c r="AT314" i="2"/>
  <c r="T841" i="3" s="1"/>
  <c r="AT622" i="2"/>
  <c r="T1404" i="3" s="1"/>
  <c r="AT610" i="2"/>
  <c r="T1392" i="3" s="1"/>
  <c r="AT249" i="2"/>
  <c r="T270" i="3" s="1"/>
  <c r="AT150" i="2"/>
  <c r="T161" i="3" s="1"/>
  <c r="AT493" i="2"/>
  <c r="T1265" i="3" s="1"/>
  <c r="AT395" i="2"/>
  <c r="T1064" i="3" s="1"/>
  <c r="AT331" i="2"/>
  <c r="T907" i="3" s="1"/>
  <c r="AT100" i="2"/>
  <c r="T232" i="3" s="1"/>
  <c r="AT730" i="2"/>
  <c r="T1510" i="3" s="1"/>
  <c r="AT660" i="2"/>
  <c r="T1441" i="3" s="1"/>
  <c r="AT353" i="2"/>
  <c r="T964" i="3" s="1"/>
  <c r="AT693" i="2"/>
  <c r="T1473" i="3" s="1"/>
  <c r="AT459" i="2"/>
  <c r="T577" i="3" s="1"/>
  <c r="AT578" i="2"/>
  <c r="T1364" i="3" s="1"/>
  <c r="AT733" i="2"/>
  <c r="T1513" i="3" s="1"/>
  <c r="AT606" i="2"/>
  <c r="T1388" i="3" s="1"/>
  <c r="AT653" i="2"/>
  <c r="T1435" i="3" s="1"/>
  <c r="AT722" i="2"/>
  <c r="T1502" i="3" s="1"/>
  <c r="AT534" i="2"/>
  <c r="T1312" i="3" s="1"/>
  <c r="AT500" i="2"/>
  <c r="T609" i="3" s="1"/>
  <c r="AT448" i="2"/>
  <c r="T1179" i="3" s="1"/>
  <c r="AT696" i="2"/>
  <c r="T1476" i="3" s="1"/>
  <c r="AT669" i="2"/>
  <c r="T1450" i="3" s="1"/>
  <c r="AT220" i="2"/>
  <c r="T366" i="3" s="1"/>
  <c r="AT61" i="2"/>
  <c r="T239" i="3" s="1"/>
  <c r="AT713" i="2"/>
  <c r="T1493" i="3" s="1"/>
  <c r="AT673" i="2"/>
  <c r="T1454" i="3" s="1"/>
  <c r="AT434" i="2"/>
  <c r="T1154" i="3" s="1"/>
  <c r="AT219" i="2"/>
  <c r="T402" i="3" s="1"/>
  <c r="AT250" i="2"/>
  <c r="T518" i="3" s="1"/>
  <c r="AT528" i="2"/>
  <c r="T1306" i="3" s="1"/>
  <c r="AT151" i="2"/>
  <c r="T433" i="3" s="1"/>
  <c r="AT582" i="2"/>
  <c r="T1368" i="3" s="1"/>
  <c r="AT428" i="2"/>
  <c r="T1141" i="3" s="1"/>
  <c r="AT439" i="2"/>
  <c r="T1167" i="3" s="1"/>
  <c r="AT743" i="2"/>
  <c r="T1523" i="3" s="1"/>
  <c r="AT21" i="2"/>
  <c r="T13" i="3" s="1"/>
  <c r="AT718" i="2"/>
  <c r="T1498" i="3" s="1"/>
  <c r="AT726" i="2"/>
  <c r="T1506" i="3" s="1"/>
  <c r="AT645" i="2"/>
  <c r="T1427" i="3" s="1"/>
  <c r="AT569" i="2"/>
  <c r="T1355" i="3" s="1"/>
  <c r="AT181" i="2"/>
  <c r="T113" i="3" s="1"/>
  <c r="AT27" i="2"/>
  <c r="T166" i="3" s="1"/>
  <c r="AT128" i="2"/>
  <c r="T244" i="3" s="1"/>
  <c r="AT557" i="2"/>
  <c r="T1337" i="3" s="1"/>
  <c r="AT644" i="2"/>
  <c r="T1426" i="3" s="1"/>
  <c r="AT546" i="2"/>
  <c r="T1326" i="3" s="1"/>
  <c r="AT764" i="2"/>
  <c r="T1541" i="3" s="1"/>
  <c r="AT701" i="2"/>
  <c r="T1481" i="3" s="1"/>
  <c r="AT366" i="2"/>
  <c r="T290" i="3" s="1"/>
  <c r="AT129" i="2"/>
  <c r="T127" i="3" s="1"/>
  <c r="AT665" i="2"/>
  <c r="T1446" i="3" s="1"/>
  <c r="AT449" i="2"/>
  <c r="T1181" i="3" s="1"/>
  <c r="AT750" i="2"/>
  <c r="T1529" i="3" s="1"/>
  <c r="AT741" i="2"/>
  <c r="T1521" i="3" s="1"/>
  <c r="AT275" i="2"/>
  <c r="T416" i="3" s="1"/>
  <c r="AT124" i="2"/>
  <c r="T309" i="3" s="1"/>
  <c r="AT597" i="2"/>
  <c r="T1379" i="3" s="1"/>
  <c r="AT450" i="2"/>
  <c r="T498" i="3" s="1"/>
  <c r="AT333" i="2"/>
  <c r="T915" i="3" s="1"/>
  <c r="AT616" i="2"/>
  <c r="T1399" i="3" s="1"/>
  <c r="AT705" i="2"/>
  <c r="T1485" i="3" s="1"/>
  <c r="AT680" i="2"/>
  <c r="T1461" i="3" s="1"/>
  <c r="AT465" i="2"/>
  <c r="T1220" i="3" s="1"/>
  <c r="AT681" i="2"/>
  <c r="T1462" i="3" s="1"/>
  <c r="AT699" i="2"/>
  <c r="T1479" i="3" s="1"/>
  <c r="AT227" i="2"/>
  <c r="T172" i="3" s="1"/>
  <c r="AT512" i="2"/>
  <c r="T479" i="3" s="1"/>
  <c r="AT440" i="2"/>
  <c r="T1168" i="3" s="1"/>
  <c r="AT614" i="2"/>
  <c r="T1396" i="3" s="1"/>
  <c r="AT731" i="2"/>
  <c r="T1511" i="3" s="1"/>
  <c r="AT319" i="2"/>
  <c r="T385" i="3" s="1"/>
  <c r="AT15" i="2"/>
  <c r="T122" i="3" s="1"/>
  <c r="AT355" i="2"/>
  <c r="T967" i="3" s="1"/>
  <c r="AT754" i="2"/>
  <c r="T1532" i="3" s="1"/>
  <c r="AT692" i="2"/>
  <c r="T1472" i="3" s="1"/>
  <c r="AT727" i="2"/>
  <c r="T1507" i="3" s="1"/>
  <c r="AT384" i="2"/>
  <c r="T1038" i="3" s="1"/>
  <c r="AT668" i="2"/>
  <c r="T1449" i="3" s="1"/>
  <c r="AT592" i="2"/>
  <c r="T1374" i="3" s="1"/>
  <c r="AT375" i="2"/>
  <c r="T1025" i="3" s="1"/>
  <c r="AT589" i="2"/>
  <c r="T1372" i="3" s="1"/>
  <c r="AT473" i="2"/>
  <c r="T1243" i="3" s="1"/>
  <c r="AT678" i="2"/>
  <c r="T1459" i="3" s="1"/>
  <c r="AT368" i="2"/>
  <c r="T1010" i="3" s="1"/>
  <c r="AT552" i="2"/>
  <c r="T1333" i="3" s="1"/>
  <c r="AT611" i="2"/>
  <c r="T1393" i="3" s="1"/>
  <c r="AT466" i="2"/>
  <c r="T1222" i="3" s="1"/>
  <c r="AT529" i="2"/>
  <c r="T1307" i="3" s="1"/>
  <c r="AT737" i="2"/>
  <c r="T1517" i="3" s="1"/>
  <c r="AT393" i="2"/>
  <c r="T1059" i="3" s="1"/>
  <c r="AT438" i="2"/>
  <c r="T1163" i="3" s="1"/>
  <c r="AT635" i="2"/>
  <c r="T1417" i="3" s="1"/>
  <c r="AT405" i="2"/>
  <c r="T1088" i="3" s="1"/>
  <c r="AT489" i="2"/>
  <c r="T439" i="3" s="1"/>
  <c r="AT399" i="2"/>
  <c r="T220" i="3" s="1"/>
  <c r="AT608" i="2"/>
  <c r="T1390" i="3" s="1"/>
  <c r="AT659" i="2"/>
  <c r="T1440" i="3" s="1"/>
  <c r="AT691" i="2"/>
  <c r="T1471" i="3" s="1"/>
  <c r="AT401" i="2"/>
  <c r="T1079" i="3" s="1"/>
  <c r="AT559" i="2"/>
  <c r="T1339" i="3" s="1"/>
  <c r="AT514" i="2"/>
  <c r="T1289" i="3" s="1"/>
  <c r="AT763" i="2"/>
  <c r="T1540" i="3" s="1"/>
  <c r="AT158" i="2"/>
  <c r="T628" i="3" s="1"/>
  <c r="AT632" i="2"/>
  <c r="T1414" i="3" s="1"/>
  <c r="AT502" i="2"/>
  <c r="T1274" i="3" s="1"/>
  <c r="AT637" i="2"/>
  <c r="T1419" i="3" s="1"/>
  <c r="AT667" i="2"/>
  <c r="T1448" i="3" s="1"/>
  <c r="AT572" i="2"/>
  <c r="T1358" i="3" s="1"/>
  <c r="AT707" i="2"/>
  <c r="T1487" i="3" s="1"/>
  <c r="AT378" i="2"/>
  <c r="T493" i="3" s="1"/>
  <c r="AT549" i="2"/>
  <c r="T1330" i="3" s="1"/>
  <c r="AT408" i="2"/>
  <c r="T510" i="3" s="1"/>
  <c r="AT710" i="2"/>
  <c r="T1490" i="3" s="1"/>
  <c r="AT672" i="2"/>
  <c r="T1453" i="3" s="1"/>
  <c r="AT153" i="2"/>
  <c r="T557" i="3" s="1"/>
  <c r="AT302" i="2"/>
  <c r="T428" i="3" s="1"/>
  <c r="AT343" i="2"/>
  <c r="T398" i="3" s="1"/>
  <c r="AT694" i="2"/>
  <c r="T1474" i="3" s="1"/>
  <c r="AT721" i="2"/>
  <c r="T1501" i="3" s="1"/>
  <c r="AT361" i="2"/>
  <c r="T983" i="3" s="1"/>
  <c r="AT682" i="2"/>
  <c r="T1463" i="3" s="1"/>
  <c r="AT110" i="2"/>
  <c r="T226" i="3" s="1"/>
  <c r="AT73" i="2"/>
  <c r="T183" i="3" s="1"/>
  <c r="AT86" i="2"/>
  <c r="T17" i="3" s="1"/>
  <c r="AT627" i="2"/>
  <c r="T1409" i="3" s="1"/>
  <c r="AT587" i="2"/>
  <c r="T594" i="3" s="1"/>
  <c r="AT658" i="2"/>
  <c r="T1439" i="3" s="1"/>
  <c r="AT745" i="2"/>
  <c r="T1525" i="3" s="1"/>
  <c r="AT174" i="2"/>
  <c r="T235" i="3" s="1"/>
  <c r="AT45" i="2"/>
  <c r="T237" i="3" s="1"/>
  <c r="AT698" i="2"/>
  <c r="T1478" i="3" s="1"/>
  <c r="AT271" i="2"/>
  <c r="T356" i="3" s="1"/>
  <c r="AT648" i="2"/>
  <c r="T1430" i="3" s="1"/>
  <c r="AT613" i="2"/>
  <c r="T1395" i="3" s="1"/>
  <c r="AT762" i="2"/>
  <c r="T1539" i="3" s="1"/>
  <c r="AT106" i="2"/>
  <c r="T87" i="3" s="1"/>
  <c r="AT397" i="2"/>
  <c r="T357" i="3" s="1"/>
  <c r="AT321" i="2"/>
  <c r="T393" i="3" s="1"/>
  <c r="AT460" i="2"/>
  <c r="T1213" i="3" s="1"/>
  <c r="AT650" i="2"/>
  <c r="T1432" i="3" s="1"/>
  <c r="AT671" i="2"/>
  <c r="T1452" i="3" s="1"/>
  <c r="AT598" i="2"/>
  <c r="T1380" i="3" s="1"/>
  <c r="AT224" i="2"/>
  <c r="T304" i="3" s="1"/>
  <c r="AT103" i="2"/>
  <c r="T115" i="3" s="1"/>
  <c r="AT412" i="2"/>
  <c r="T1111" i="3" s="1"/>
  <c r="AT596" i="2"/>
  <c r="T1378" i="3" s="1"/>
  <c r="AT232" i="2"/>
  <c r="T397" i="3" s="1"/>
  <c r="AT580" i="2"/>
  <c r="T1366" i="3" s="1"/>
  <c r="AT766" i="2"/>
  <c r="T1543" i="3" s="1"/>
  <c r="AT229" i="2"/>
  <c r="T488" i="3" s="1"/>
  <c r="AT654" i="2"/>
  <c r="T1436" i="3" s="1"/>
  <c r="AT535" i="2"/>
  <c r="T1313" i="3" s="1"/>
  <c r="AT504" i="2"/>
  <c r="T1277" i="3" s="1"/>
  <c r="AT646" i="2"/>
  <c r="T1428" i="3" s="1"/>
  <c r="AT599" i="2"/>
  <c r="T1381" i="3" s="1"/>
  <c r="AT143" i="2"/>
  <c r="T620" i="3" s="1"/>
  <c r="AT594" i="2"/>
  <c r="T1376" i="3" s="1"/>
  <c r="AT729" i="2"/>
  <c r="T1509" i="3" s="1"/>
  <c r="AT759" i="2"/>
  <c r="T1537" i="3" s="1"/>
  <c r="AT453" i="2"/>
  <c r="T1192" i="3" s="1"/>
  <c r="AT350" i="2"/>
  <c r="T958" i="3" s="1"/>
  <c r="AT351" i="2"/>
  <c r="T960" i="3" s="1"/>
  <c r="AT636" i="2"/>
  <c r="T1418" i="3" s="1"/>
  <c r="AT94" i="2"/>
  <c r="T130" i="3" s="1"/>
  <c r="AT187" i="2"/>
  <c r="T151" i="3" s="1"/>
  <c r="AT165" i="2"/>
  <c r="T634" i="3" s="1"/>
  <c r="AT243" i="2"/>
  <c r="T558" i="3" s="1"/>
  <c r="AT539" i="2"/>
  <c r="T1319" i="3" s="1"/>
  <c r="AT570" i="2"/>
  <c r="T1356" i="3" s="1"/>
  <c r="AT624" i="2"/>
  <c r="T1406" i="3" s="1"/>
  <c r="AT550" i="2"/>
  <c r="T1331" i="3" s="1"/>
  <c r="AT758" i="2"/>
  <c r="T1536" i="3" s="1"/>
  <c r="AT641" i="2"/>
  <c r="T1423" i="3" s="1"/>
  <c r="AT625" i="2"/>
  <c r="T1407" i="3" s="1"/>
  <c r="AT293" i="2"/>
  <c r="T489" i="3" s="1"/>
  <c r="AT548" i="2"/>
  <c r="T1328" i="3" s="1"/>
  <c r="AT160" i="2"/>
  <c r="T331" i="3" s="1"/>
  <c r="AT43" i="2"/>
  <c r="T394" i="3" s="1"/>
  <c r="AT725" i="2"/>
  <c r="T1505" i="3" s="1"/>
  <c r="AT761" i="2"/>
  <c r="T365" i="3" s="1"/>
  <c r="AT377" i="2"/>
  <c r="T1028" i="3" s="1"/>
  <c r="AT166" i="2"/>
  <c r="T287" i="3" s="1"/>
  <c r="AT130" i="2"/>
  <c r="T142" i="3" s="1"/>
  <c r="AT157" i="2"/>
  <c r="T411" i="3" s="1"/>
  <c r="AT628" i="2"/>
  <c r="T1410" i="3" s="1"/>
  <c r="R233" i="3"/>
  <c r="AT579" i="2"/>
  <c r="T1365" i="3" s="1"/>
  <c r="R691" i="3"/>
  <c r="AT494" i="2"/>
  <c r="T1266" i="3" s="1"/>
  <c r="R906" i="3"/>
  <c r="AT414" i="2"/>
  <c r="T1113" i="3" s="1"/>
  <c r="R839" i="3"/>
  <c r="AT490" i="2"/>
  <c r="T1261" i="3" s="1"/>
  <c r="AT415" i="2"/>
  <c r="T1114" i="3" s="1"/>
  <c r="R890" i="3"/>
  <c r="AT72" i="2"/>
  <c r="T189" i="3" s="1"/>
  <c r="R1235" i="3"/>
  <c r="AT101" i="2"/>
  <c r="T30" i="3" s="1"/>
  <c r="R1459" i="3"/>
  <c r="AT41" i="2"/>
  <c r="T95" i="3" s="1"/>
  <c r="R105" i="3"/>
  <c r="AT426" i="2"/>
  <c r="T449" i="3" s="1"/>
  <c r="R1442" i="3"/>
  <c r="AT133" i="2"/>
  <c r="T348" i="3" s="1"/>
  <c r="R1211" i="3"/>
  <c r="AT80" i="2"/>
  <c r="T154" i="3" s="1"/>
  <c r="R1500" i="3"/>
  <c r="AT259" i="2"/>
  <c r="T711" i="3" s="1"/>
  <c r="R997" i="3"/>
  <c r="AT269" i="2"/>
  <c r="T597" i="3" s="1"/>
  <c r="R1474" i="3"/>
  <c r="AT98" i="2"/>
  <c r="T277" i="3" s="1"/>
  <c r="R1008" i="3"/>
  <c r="AT268" i="2"/>
  <c r="T741" i="3" s="1"/>
  <c r="R231" i="3"/>
  <c r="AT193" i="2"/>
  <c r="T39" i="3" s="1"/>
  <c r="R1127" i="3"/>
  <c r="AT376" i="2"/>
  <c r="T1026" i="3" s="1"/>
  <c r="R489" i="3"/>
  <c r="AT348" i="2"/>
  <c r="T527" i="3" s="1"/>
  <c r="AT349" i="2"/>
  <c r="T301" i="3" s="1"/>
  <c r="R253" i="3"/>
  <c r="AT471" i="2"/>
  <c r="T522" i="3" s="1"/>
  <c r="R1481" i="3"/>
  <c r="AT703" i="2"/>
  <c r="T1483" i="3" s="1"/>
  <c r="R264" i="3"/>
  <c r="AT469" i="2"/>
  <c r="T1238" i="3" s="1"/>
  <c r="R1365" i="3"/>
  <c r="AT142" i="2"/>
  <c r="T75" i="3" s="1"/>
  <c r="R1251" i="3"/>
  <c r="AT421" i="2"/>
  <c r="T383" i="3" s="1"/>
  <c r="R412" i="3"/>
  <c r="AT175" i="2"/>
  <c r="T573" i="3" s="1"/>
  <c r="R1080" i="3"/>
  <c r="AT266" i="2"/>
  <c r="T564" i="3" s="1"/>
  <c r="R232" i="3"/>
  <c r="AT369" i="2"/>
  <c r="T253" i="3" s="1"/>
  <c r="R704" i="3"/>
  <c r="AT515" i="2"/>
  <c r="T1290" i="3" s="1"/>
  <c r="R294" i="3"/>
  <c r="AT52" i="2"/>
  <c r="T94" i="3" s="1"/>
  <c r="R655" i="3"/>
  <c r="AT74" i="2"/>
  <c r="T359" i="3" s="1"/>
  <c r="AT12" i="2"/>
  <c r="T23" i="3" s="1"/>
  <c r="R1123" i="3"/>
  <c r="AT344" i="2"/>
  <c r="T491" i="3" s="1"/>
  <c r="R743" i="3"/>
  <c r="AT215" i="2"/>
  <c r="T531" i="3" s="1"/>
  <c r="R774" i="3"/>
  <c r="AT607" i="2"/>
  <c r="T1389" i="3" s="1"/>
  <c r="R1316" i="3"/>
  <c r="AT75" i="2"/>
  <c r="T18" i="3" s="1"/>
  <c r="R1361" i="3"/>
  <c r="AT683" i="2"/>
  <c r="T344" i="3" s="1"/>
  <c r="R1136" i="3"/>
  <c r="AT518" i="2"/>
  <c r="T1294" i="3" s="1"/>
  <c r="R60" i="3"/>
  <c r="AT410" i="2"/>
  <c r="T417" i="3" s="1"/>
  <c r="R1175" i="3"/>
  <c r="AT496" i="2"/>
  <c r="T580" i="3" s="1"/>
  <c r="R1244" i="3"/>
  <c r="AT206" i="2"/>
  <c r="T289" i="3" s="1"/>
  <c r="R1013" i="3"/>
  <c r="AT584" i="2"/>
  <c r="T1370" i="3" s="1"/>
  <c r="R1496" i="3"/>
  <c r="AT239" i="2"/>
  <c r="T685" i="3" s="1"/>
  <c r="R1042" i="3"/>
  <c r="AT345" i="2"/>
  <c r="T949" i="3" s="1"/>
  <c r="R484" i="3"/>
  <c r="AT230" i="2"/>
  <c r="T679" i="3" s="1"/>
  <c r="R1066" i="3"/>
  <c r="AT327" i="2"/>
  <c r="T381" i="3" s="1"/>
  <c r="R1151" i="3"/>
  <c r="AT221" i="2"/>
  <c r="T559" i="3" s="1"/>
  <c r="R414" i="3"/>
  <c r="AT339" i="2"/>
  <c r="T315" i="3" s="1"/>
  <c r="R970" i="3"/>
  <c r="AT341" i="2"/>
  <c r="T946" i="3" s="1"/>
  <c r="R1424" i="3"/>
  <c r="AT462" i="2"/>
  <c r="T1217" i="3" s="1"/>
  <c r="R675" i="3"/>
  <c r="AT359" i="2"/>
  <c r="T975" i="3" s="1"/>
  <c r="R960" i="3"/>
  <c r="AT164" i="2"/>
  <c r="T132" i="3" s="1"/>
  <c r="R518" i="3"/>
  <c r="AT573" i="2"/>
  <c r="T1359" i="3" s="1"/>
  <c r="R1063" i="3"/>
  <c r="AT516" i="2"/>
  <c r="T1291" i="3" s="1"/>
  <c r="R1334" i="3"/>
  <c r="AT253" i="2"/>
  <c r="T249" i="3" s="1"/>
  <c r="R1327" i="3"/>
  <c r="AT332" i="2"/>
  <c r="T908" i="3" s="1"/>
  <c r="R1233" i="3"/>
  <c r="AT66" i="2"/>
  <c r="T392" i="3" s="1"/>
  <c r="R336" i="3"/>
  <c r="AT105" i="2"/>
  <c r="T190" i="3" s="1"/>
  <c r="R701" i="3"/>
  <c r="AT503" i="2"/>
  <c r="T553" i="3" s="1"/>
  <c r="R883" i="3"/>
  <c r="AT163" i="2"/>
  <c r="T372" i="3" s="1"/>
  <c r="R614" i="3"/>
  <c r="AT342" i="2"/>
  <c r="T947" i="3" s="1"/>
  <c r="R917" i="3"/>
  <c r="AT695" i="2"/>
  <c r="T1475" i="3" s="1"/>
  <c r="R172" i="3"/>
  <c r="AT245" i="2"/>
  <c r="T283" i="3" s="1"/>
  <c r="R1375" i="3"/>
  <c r="AT556" i="2"/>
  <c r="T537" i="3" s="1"/>
  <c r="R322" i="3"/>
  <c r="AT64" i="2"/>
  <c r="T362" i="3" s="1"/>
  <c r="R820" i="3"/>
  <c r="AT84" i="2"/>
  <c r="T334" i="3" s="1"/>
  <c r="R531" i="3"/>
  <c r="AT723" i="2"/>
  <c r="T1503" i="3" s="1"/>
  <c r="R1071" i="3"/>
  <c r="AT615" i="2"/>
  <c r="T1397" i="3" s="1"/>
  <c r="R1148" i="3"/>
  <c r="AT593" i="2"/>
  <c r="T1375" i="3" s="1"/>
  <c r="R411" i="3"/>
  <c r="AT199" i="2"/>
  <c r="T105" i="3" s="1"/>
  <c r="R920" i="3"/>
  <c r="AT476" i="2"/>
  <c r="T608" i="3" s="1"/>
  <c r="R303" i="3"/>
  <c r="AT225" i="2"/>
  <c r="T561" i="3" s="1"/>
  <c r="R1051" i="3"/>
  <c r="AT661" i="2"/>
  <c r="T1442" i="3" s="1"/>
  <c r="R1215" i="3"/>
  <c r="AT56" i="2"/>
  <c r="T272" i="3" s="1"/>
  <c r="R1096" i="3"/>
  <c r="AT538" i="2"/>
  <c r="T1318" i="3" s="1"/>
  <c r="R626" i="3"/>
  <c r="AT93" i="2"/>
  <c r="T299" i="3" s="1"/>
  <c r="R405" i="3"/>
  <c r="AT600" i="2"/>
  <c r="T1382" i="3" s="1"/>
  <c r="R758" i="3"/>
  <c r="AT198" i="2"/>
  <c r="T555" i="3" s="1"/>
  <c r="R553" i="3"/>
  <c r="AT200" i="2"/>
  <c r="T517" i="3" s="1"/>
  <c r="R1135" i="3"/>
  <c r="AT240" i="2"/>
  <c r="T686" i="3" s="1"/>
  <c r="R131" i="3"/>
  <c r="AT482" i="2"/>
  <c r="T606" i="3" s="1"/>
  <c r="R1395" i="3"/>
  <c r="AT561" i="2"/>
  <c r="T1342" i="3" s="1"/>
  <c r="R1002" i="3"/>
  <c r="AT484" i="2"/>
  <c r="T511" i="3" s="1"/>
  <c r="R119" i="3"/>
  <c r="AT120" i="2"/>
  <c r="T291" i="3" s="1"/>
  <c r="R946" i="3"/>
  <c r="AT35" i="2"/>
  <c r="T258" i="3" s="1"/>
  <c r="R1203" i="3"/>
  <c r="AT411" i="2"/>
  <c r="T1110" i="3" s="1"/>
  <c r="R1283" i="3"/>
  <c r="AT545" i="2"/>
  <c r="T1325" i="3" s="1"/>
  <c r="R538" i="3"/>
  <c r="AT48" i="2"/>
  <c r="T27" i="3" s="1"/>
  <c r="R983" i="3"/>
  <c r="AT719" i="2"/>
  <c r="T1499" i="3" s="1"/>
  <c r="R658" i="3"/>
  <c r="AT352" i="2"/>
  <c r="T961" i="3" s="1"/>
  <c r="R1469" i="3"/>
  <c r="AT115" i="2"/>
  <c r="T181" i="3" s="1"/>
  <c r="R182" i="3"/>
  <c r="AT567" i="2"/>
  <c r="T1353" i="3" s="1"/>
  <c r="R1053" i="3"/>
  <c r="AT519" i="2"/>
  <c r="T1296" i="3" s="1"/>
  <c r="R542" i="3"/>
  <c r="AT621" i="2"/>
  <c r="T1403" i="3" s="1"/>
  <c r="R1339" i="3"/>
  <c r="AT657" i="2"/>
  <c r="T539" i="3" s="1"/>
  <c r="R1030" i="3"/>
  <c r="AT78" i="2"/>
  <c r="T169" i="3" s="1"/>
  <c r="R1290" i="3"/>
  <c r="AT207" i="2"/>
  <c r="T484" i="3" s="1"/>
  <c r="R217" i="3"/>
  <c r="AT510" i="2"/>
  <c r="T1285" i="3" s="1"/>
  <c r="R104" i="3"/>
  <c r="AT666" i="2"/>
  <c r="T1447" i="3" s="1"/>
  <c r="R1098" i="3"/>
  <c r="AT575" i="2"/>
  <c r="T1361" i="3" s="1"/>
  <c r="R1385" i="3"/>
  <c r="AT169" i="2"/>
  <c r="T56" i="3" s="1"/>
  <c r="R69" i="3"/>
  <c r="AT59" i="2"/>
  <c r="T246" i="3" s="1"/>
  <c r="R70" i="3"/>
  <c r="AT700" i="2"/>
  <c r="T1480" i="3" s="1"/>
  <c r="R318" i="3"/>
  <c r="AT424" i="2"/>
  <c r="T201" i="3" s="1"/>
  <c r="R852" i="3"/>
  <c r="AT277" i="2"/>
  <c r="T322" i="3" s="1"/>
  <c r="R829" i="3"/>
  <c r="AT373" i="2"/>
  <c r="T373" i="3" s="1"/>
  <c r="R290" i="3"/>
  <c r="AT409" i="2"/>
  <c r="T325" i="3" s="1"/>
  <c r="R1332" i="3"/>
  <c r="AT88" i="2"/>
  <c r="T538" i="3" s="1"/>
  <c r="R1154" i="3"/>
  <c r="AT114" i="2"/>
  <c r="T92" i="3" s="1"/>
  <c r="R1287" i="3"/>
  <c r="AT365" i="2"/>
  <c r="T395" i="3" s="1"/>
  <c r="R235" i="3"/>
  <c r="AT509" i="2"/>
  <c r="T1283" i="3" s="1"/>
  <c r="R663" i="3"/>
  <c r="AT406" i="2"/>
  <c r="T465" i="3" s="1"/>
  <c r="R215" i="3"/>
  <c r="AT463" i="2"/>
  <c r="T551" i="3" s="1"/>
  <c r="R295" i="3"/>
  <c r="AT155" i="2"/>
  <c r="T467" i="3" s="1"/>
  <c r="R1309" i="3"/>
  <c r="AT316" i="2"/>
  <c r="T508" i="3" s="1"/>
  <c r="R431" i="3"/>
  <c r="AT313" i="2"/>
  <c r="T839" i="3" s="1"/>
  <c r="R1172" i="3"/>
  <c r="AT39" i="2"/>
  <c r="T252" i="3" s="1"/>
  <c r="R1118" i="3"/>
  <c r="AT131" i="2"/>
  <c r="T386" i="3" s="1"/>
  <c r="R811" i="3"/>
  <c r="AT197" i="2"/>
  <c r="T436" i="3" s="1"/>
  <c r="R184" i="3"/>
  <c r="AT211" i="2"/>
  <c r="T61" i="3" s="1"/>
  <c r="R361" i="3"/>
  <c r="AT417" i="2"/>
  <c r="T569" i="3" s="1"/>
  <c r="R1103" i="3"/>
  <c r="AT194" i="2"/>
  <c r="T419" i="3" s="1"/>
  <c r="AT47" i="2"/>
  <c r="T116" i="3" s="1"/>
  <c r="R37" i="3"/>
  <c r="AT456" i="2"/>
  <c r="T1205" i="3" s="1"/>
  <c r="R1090" i="3"/>
  <c r="AT555" i="2"/>
  <c r="T1336" i="3" s="1"/>
  <c r="R495" i="3"/>
  <c r="AT716" i="2"/>
  <c r="T1496" i="3" s="1"/>
  <c r="R49" i="3"/>
  <c r="AT435" i="2"/>
  <c r="T1156" i="3" s="1"/>
  <c r="R1382" i="3"/>
  <c r="AT291" i="2"/>
  <c r="T267" i="3" s="1"/>
  <c r="R1372" i="3"/>
  <c r="AT647" i="2"/>
  <c r="T1429" i="3" s="1"/>
  <c r="R384" i="3"/>
  <c r="AT49" i="2"/>
  <c r="T208" i="3" s="1"/>
  <c r="R483" i="3"/>
  <c r="AT540" i="2"/>
  <c r="T1320" i="3" s="1"/>
  <c r="R1078" i="3"/>
  <c r="AT563" i="2"/>
  <c r="T1348" i="3" s="1"/>
  <c r="R859" i="3"/>
  <c r="AT273" i="2"/>
  <c r="T368" i="3" s="1"/>
  <c r="R113" i="3"/>
  <c r="AT265" i="2"/>
  <c r="T729" i="3" s="1"/>
  <c r="R1444" i="3"/>
  <c r="AT633" i="2"/>
  <c r="T1415" i="3" s="1"/>
  <c r="R921" i="3"/>
  <c r="AT281" i="2"/>
  <c r="T758" i="3" s="1"/>
  <c r="R395" i="3"/>
  <c r="AT154" i="2"/>
  <c r="T140" i="3" s="1"/>
  <c r="R1236" i="3"/>
  <c r="AT248" i="2"/>
  <c r="T689" i="3" s="1"/>
  <c r="R508" i="3"/>
  <c r="AT436" i="2"/>
  <c r="T1159" i="3" s="1"/>
  <c r="R66" i="3"/>
  <c r="AT201" i="2"/>
  <c r="T648" i="3" s="1"/>
  <c r="R510" i="3"/>
  <c r="AT441" i="2"/>
  <c r="T1169" i="3" s="1"/>
  <c r="R16" i="3"/>
  <c r="AT413" i="2"/>
  <c r="T1112" i="3" s="1"/>
  <c r="R991" i="3"/>
  <c r="AT256" i="2"/>
  <c r="T612" i="3" s="1"/>
  <c r="R630" i="3"/>
  <c r="AT196" i="2"/>
  <c r="T525" i="3" s="1"/>
  <c r="R462" i="3"/>
  <c r="AT677" i="2"/>
  <c r="T1458" i="3" s="1"/>
  <c r="R301" i="3"/>
  <c r="AT756" i="2"/>
  <c r="T1534" i="3" s="1"/>
  <c r="R1158" i="3"/>
  <c r="AT488" i="2"/>
  <c r="T582" i="3" s="1"/>
  <c r="R97" i="3"/>
  <c r="AT394" i="2"/>
  <c r="T318" i="3" s="1"/>
  <c r="R1199" i="3"/>
  <c r="AT170" i="2"/>
  <c r="T64" i="3" s="1"/>
  <c r="R1075" i="3"/>
  <c r="AT443" i="2"/>
  <c r="T1172" i="3" s="1"/>
  <c r="R645" i="3"/>
  <c r="AT140" i="2"/>
  <c r="T336" i="3" s="1"/>
  <c r="R1034" i="3"/>
  <c r="AT455" i="2"/>
  <c r="T1203" i="3" s="1"/>
  <c r="R1045" i="3"/>
  <c r="AT457" i="2"/>
  <c r="T1206" i="3" s="1"/>
  <c r="R880" i="3"/>
  <c r="AT618" i="2"/>
  <c r="T431" i="3" s="1"/>
  <c r="R539" i="3"/>
  <c r="AT506" i="2"/>
  <c r="T1279" i="3" s="1"/>
  <c r="R153" i="3"/>
  <c r="AT400" i="2"/>
  <c r="T586" i="3" s="1"/>
  <c r="R207" i="3"/>
  <c r="AT312" i="2"/>
  <c r="T445" i="3" s="1"/>
  <c r="R137" i="3"/>
  <c r="AT23" i="2"/>
  <c r="T225" i="3" s="1"/>
  <c r="R1072" i="3"/>
  <c r="AT263" i="2"/>
  <c r="T724" i="3" s="1"/>
  <c r="R685" i="3"/>
  <c r="AT396" i="2"/>
  <c r="T1066" i="3" s="1"/>
  <c r="R573" i="3"/>
  <c r="AT32" i="2"/>
  <c r="T109" i="3" s="1"/>
  <c r="R424" i="3"/>
  <c r="AT18" i="2"/>
  <c r="T167" i="3" s="1"/>
  <c r="R85" i="3"/>
  <c r="AT202" i="2"/>
  <c r="T72" i="3" s="1"/>
  <c r="R1011" i="3"/>
  <c r="AT442" i="2"/>
  <c r="T1171" i="3" s="1"/>
  <c r="R163" i="3"/>
  <c r="AT178" i="2"/>
  <c r="T160" i="3" s="1"/>
  <c r="R1057" i="3"/>
  <c r="AT712" i="2"/>
  <c r="T1492" i="3" s="1"/>
  <c r="R646" i="3"/>
  <c r="AT604" i="2"/>
  <c r="T1386" i="3" s="1"/>
  <c r="R406" i="3"/>
  <c r="AT87" i="2"/>
  <c r="T157" i="3" s="1"/>
  <c r="R949" i="3"/>
  <c r="AT141" i="2"/>
  <c r="T600" i="3" s="1"/>
  <c r="R1512" i="3"/>
  <c r="AT652" i="2"/>
  <c r="T1433" i="3" s="1"/>
  <c r="R1147" i="3"/>
  <c r="AT347" i="2"/>
  <c r="T950" i="3" s="1"/>
  <c r="R1014" i="3"/>
  <c r="AT335" i="2"/>
  <c r="T918" i="3" s="1"/>
  <c r="R255" i="3"/>
  <c r="AT34" i="2"/>
  <c r="T242" i="3" s="1"/>
  <c r="R757" i="3"/>
  <c r="AT303" i="2"/>
  <c r="T815" i="3" s="1"/>
  <c r="R1054" i="3"/>
  <c r="AT83" i="2"/>
  <c r="T326" i="3" s="1"/>
  <c r="R810" i="3"/>
  <c r="AT346" i="2"/>
  <c r="T227" i="3" s="1"/>
  <c r="R1499" i="3"/>
  <c r="AT97" i="2"/>
  <c r="T274" i="3" s="1"/>
  <c r="R1083" i="3"/>
  <c r="AT533" i="2"/>
  <c r="T1311" i="3" s="1"/>
  <c r="R1323" i="3"/>
  <c r="AT6" i="2"/>
  <c r="T26" i="3" s="1"/>
  <c r="R135" i="3"/>
  <c r="AT420" i="2"/>
  <c r="T1119" i="3" s="1"/>
  <c r="R620" i="3"/>
  <c r="AT117" i="2"/>
  <c r="T146" i="3" s="1"/>
  <c r="R1513" i="3"/>
  <c r="AT285" i="2"/>
  <c r="T766" i="3" s="1"/>
  <c r="R760" i="3"/>
  <c r="AT20" i="2"/>
  <c r="T119" i="3" s="1"/>
  <c r="R889" i="3"/>
  <c r="AT62" i="2"/>
  <c r="T133" i="3" s="1"/>
  <c r="R1369" i="3"/>
  <c r="AT286" i="2"/>
  <c r="T454" i="3" s="1"/>
  <c r="R1228" i="3"/>
  <c r="AT22" i="2"/>
  <c r="T34" i="3" s="1"/>
  <c r="R1056" i="3"/>
  <c r="AT242" i="2"/>
  <c r="T687" i="3" s="1"/>
  <c r="R605" i="3"/>
  <c r="AT588" i="2"/>
  <c r="T427" i="3" s="1"/>
  <c r="R1091" i="3"/>
  <c r="AT468" i="2"/>
  <c r="T1234" i="3" s="1"/>
  <c r="R803" i="3"/>
  <c r="AT186" i="2"/>
  <c r="T412" i="3" s="1"/>
  <c r="R594" i="3"/>
  <c r="AT90" i="2"/>
  <c r="T69" i="3" s="1"/>
  <c r="R776" i="3"/>
  <c r="AT470" i="2"/>
  <c r="T1240" i="3" s="1"/>
  <c r="R1465" i="3"/>
  <c r="AT167" i="2"/>
  <c r="T446" i="3" s="1"/>
  <c r="R972" i="3"/>
  <c r="AT24" i="2"/>
  <c r="T76" i="3" s="1"/>
  <c r="R1487" i="3"/>
  <c r="AT71" i="2"/>
  <c r="T40" i="3" s="1"/>
  <c r="R205" i="3"/>
  <c r="AT501" i="2"/>
  <c r="T1273" i="3" s="1"/>
  <c r="R610" i="3"/>
  <c r="AT662" i="2"/>
  <c r="T1443" i="3" s="1"/>
  <c r="R1341" i="3"/>
  <c r="AT639" i="2"/>
  <c r="T1421" i="3" s="1"/>
  <c r="R951" i="3"/>
  <c r="AT485" i="2"/>
  <c r="T1255" i="3" s="1"/>
  <c r="R1237" i="3"/>
  <c r="AT523" i="2"/>
  <c r="T438" i="3" s="1"/>
  <c r="R1360" i="3"/>
  <c r="AT25" i="2"/>
  <c r="T100" i="3" s="1"/>
  <c r="R1018" i="3"/>
  <c r="AT96" i="2"/>
  <c r="T423" i="3" s="1"/>
  <c r="R665" i="3"/>
  <c r="AT69" i="2"/>
  <c r="T150" i="3" s="1"/>
  <c r="R477" i="3"/>
  <c r="AT254" i="2"/>
  <c r="T701" i="3" s="1"/>
  <c r="R1351" i="3"/>
  <c r="AT156" i="2"/>
  <c r="T462" i="3" s="1"/>
  <c r="R1173" i="3"/>
  <c r="AT739" i="2"/>
  <c r="T1519" i="3" s="1"/>
  <c r="R450" i="3"/>
  <c r="AT290" i="2"/>
  <c r="T432" i="3" s="1"/>
  <c r="R1026" i="3"/>
  <c r="AT238" i="2"/>
  <c r="T464" i="3" s="1"/>
  <c r="R1160" i="3"/>
  <c r="AT289" i="2"/>
  <c r="T778" i="3" s="1"/>
  <c r="R1313" i="3"/>
  <c r="AT521" i="2"/>
  <c r="T1298" i="3" s="1"/>
  <c r="R468" i="3"/>
  <c r="AT183" i="2"/>
  <c r="T324" i="3" s="1"/>
  <c r="R519" i="3"/>
  <c r="AT708" i="2"/>
  <c r="T1488" i="3" s="1"/>
  <c r="R1108" i="3"/>
  <c r="AT483" i="2"/>
  <c r="T610" i="3" s="1"/>
  <c r="R1506" i="3"/>
  <c r="AT8" i="2"/>
  <c r="T21" i="3" s="1"/>
  <c r="R1166" i="3"/>
  <c r="AT525" i="2"/>
  <c r="T1302" i="3" s="1"/>
  <c r="R1024" i="3"/>
  <c r="AT720" i="2"/>
  <c r="T1500" i="3" s="1"/>
  <c r="R1186" i="3"/>
  <c r="AT36" i="2"/>
  <c r="T15" i="3" s="1"/>
  <c r="R1176" i="3"/>
  <c r="AT583" i="2"/>
  <c r="T1369" i="3" s="1"/>
  <c r="R38" i="3"/>
  <c r="AT651" i="2"/>
  <c r="T1434" i="3" s="1"/>
  <c r="R779" i="3"/>
  <c r="AT168" i="2"/>
  <c r="T308" i="3" s="1"/>
  <c r="R459" i="3"/>
  <c r="AT447" i="2"/>
  <c r="T1177" i="3" s="1"/>
  <c r="R1001" i="3"/>
  <c r="AT495" i="2"/>
  <c r="T1267" i="3" s="1"/>
  <c r="R493" i="3"/>
  <c r="AT626" i="2"/>
  <c r="T1408" i="3" s="1"/>
  <c r="R166" i="3"/>
  <c r="AT7" i="2"/>
  <c r="T12" i="3" s="1"/>
  <c r="R1231" i="3"/>
  <c r="AT617" i="2"/>
  <c r="T1400" i="3" s="1"/>
  <c r="R130" i="3"/>
  <c r="AT709" i="2"/>
  <c r="T1489" i="3" s="1"/>
  <c r="R698" i="3"/>
  <c r="AT464" i="2"/>
  <c r="T1219" i="3" s="1"/>
  <c r="R559" i="3"/>
  <c r="AT383" i="2"/>
  <c r="T295" i="3" s="1"/>
  <c r="R454" i="3"/>
  <c r="AT562" i="2"/>
  <c r="T1347" i="3" s="1"/>
  <c r="R1319" i="3"/>
  <c r="AT214" i="2"/>
  <c r="T550" i="3" s="1"/>
  <c r="R129" i="3"/>
  <c r="AT279" i="2"/>
  <c r="T524" i="3" s="1"/>
  <c r="R487" i="3"/>
  <c r="AT276" i="2"/>
  <c r="T507" i="3" s="1"/>
  <c r="R72" i="3"/>
  <c r="AT149" i="2"/>
  <c r="T303" i="3" s="1"/>
  <c r="R1031" i="3"/>
  <c r="AT590" i="2"/>
  <c r="T1373" i="3" s="1"/>
  <c r="R711" i="3"/>
  <c r="AT234" i="2"/>
  <c r="T335" i="3" s="1"/>
  <c r="R894" i="3"/>
  <c r="AT403" i="2"/>
  <c r="T1084" i="3" s="1"/>
  <c r="R1032" i="3"/>
  <c r="AT102" i="2"/>
  <c r="T209" i="3" s="1"/>
  <c r="R1227" i="3"/>
  <c r="AT231" i="2"/>
  <c r="T341" i="3" s="1"/>
  <c r="R1536" i="3"/>
  <c r="AT10" i="2"/>
  <c r="T55" i="3" s="1"/>
  <c r="R465" i="3"/>
  <c r="AT664" i="2"/>
  <c r="T1445" i="3" s="1"/>
  <c r="R1348" i="3"/>
  <c r="AT40" i="2"/>
  <c r="T316" i="3" s="1"/>
  <c r="R426" i="3"/>
  <c r="AT217" i="2"/>
  <c r="T453" i="3" s="1"/>
  <c r="R848" i="3"/>
  <c r="AT295" i="2"/>
  <c r="T791" i="3" s="1"/>
  <c r="R1291" i="3"/>
  <c r="AT429" i="2"/>
  <c r="T1142" i="3" s="1"/>
  <c r="R415" i="3"/>
  <c r="AT95" i="2"/>
  <c r="T330" i="3" s="1"/>
  <c r="R996" i="3"/>
  <c r="AT724" i="2"/>
  <c r="T1504" i="3" s="1"/>
  <c r="R1178" i="3"/>
  <c r="AT511" i="2"/>
  <c r="T1287" i="3" s="1"/>
  <c r="R282" i="3"/>
  <c r="AT338" i="2"/>
  <c r="T928" i="3" s="1"/>
  <c r="R979" i="3"/>
  <c r="AT537" i="2"/>
  <c r="T1317" i="3" s="1"/>
  <c r="R724" i="3"/>
  <c r="AT427" i="2"/>
  <c r="T384" i="3" s="1"/>
  <c r="R246" i="3"/>
  <c r="AT37" i="2"/>
  <c r="T333" i="3" s="1"/>
  <c r="R1112" i="3"/>
  <c r="AT631" i="2"/>
  <c r="T1413" i="3" s="1"/>
  <c r="R471" i="3"/>
  <c r="AT486" i="2"/>
  <c r="T327" i="3" s="1"/>
  <c r="R1451" i="3"/>
  <c r="AT145" i="2"/>
  <c r="T73" i="3" s="1"/>
  <c r="R1217" i="3"/>
  <c r="AT241" i="2"/>
  <c r="T54" i="3" s="1"/>
  <c r="R466" i="3"/>
  <c r="AT497" i="2"/>
  <c r="T1268" i="3" s="1"/>
  <c r="R1535" i="3"/>
  <c r="AT51" i="2"/>
  <c r="T313" i="3" s="1"/>
  <c r="R1161" i="3"/>
  <c r="AT126" i="2"/>
  <c r="T602" i="3" s="1"/>
  <c r="R593" i="3"/>
  <c r="AT185" i="2"/>
  <c r="T162" i="3" s="1"/>
  <c r="R1009" i="3"/>
  <c r="AT336" i="2"/>
  <c r="T922" i="3" s="1"/>
  <c r="R847" i="3"/>
  <c r="AT551" i="2"/>
  <c r="T1332" i="3" s="1"/>
  <c r="R1497" i="3"/>
  <c r="AT136" i="2"/>
  <c r="T292" i="3" s="1"/>
  <c r="R708" i="3"/>
  <c r="AT524" i="2"/>
  <c r="T1300" i="3" s="1"/>
  <c r="R737" i="3"/>
  <c r="AT679" i="2"/>
  <c r="T1460" i="3" s="1"/>
  <c r="R261" i="3"/>
  <c r="AT379" i="2"/>
  <c r="T1030" i="3" s="1"/>
  <c r="R1489" i="3"/>
  <c r="AT70" i="2"/>
  <c r="T174" i="3" s="1"/>
  <c r="R467" i="3"/>
  <c r="AT13" i="2"/>
  <c r="T60" i="3" s="1"/>
  <c r="R748" i="3"/>
  <c r="AT446" i="2"/>
  <c r="T443" i="3" s="1"/>
  <c r="R703" i="3"/>
  <c r="AT127" i="2"/>
  <c r="T367" i="3" s="1"/>
  <c r="R692" i="3"/>
  <c r="AT315" i="2"/>
  <c r="T854" i="3" s="1"/>
  <c r="R583" i="3"/>
  <c r="AT121" i="2"/>
  <c r="T163" i="3" s="1"/>
  <c r="R1524" i="3"/>
  <c r="AT148" i="2"/>
  <c r="T85" i="3" s="1"/>
  <c r="R338" i="3"/>
  <c r="AT188" i="2"/>
  <c r="T475" i="3" s="1"/>
  <c r="R1169" i="3"/>
  <c r="AT388" i="2"/>
  <c r="T515" i="3" s="1"/>
  <c r="R1410" i="3"/>
  <c r="AT180" i="2"/>
  <c r="T288" i="3" s="1"/>
  <c r="R289" i="3"/>
  <c r="AT292" i="2"/>
  <c r="T297" i="3" s="1"/>
  <c r="R1089" i="3"/>
  <c r="AT182" i="2"/>
  <c r="T571" i="3" s="1"/>
  <c r="R772" i="3"/>
  <c r="AT445" i="2"/>
  <c r="T1174" i="3" s="1"/>
  <c r="R77" i="3"/>
  <c r="AT274" i="2"/>
  <c r="T321" i="3" s="1"/>
  <c r="R482" i="3"/>
  <c r="AT357" i="2"/>
  <c r="T972" i="3" s="1"/>
  <c r="R1065" i="3"/>
  <c r="AT461" i="2"/>
  <c r="T1216" i="3" s="1"/>
  <c r="R419" i="3"/>
  <c r="AT735" i="2"/>
  <c r="T1515" i="3" s="1"/>
  <c r="R238" i="3"/>
  <c r="AT714" i="2"/>
  <c r="T1494" i="3" s="1"/>
  <c r="R554" i="3"/>
  <c r="AT508" i="2"/>
  <c r="T1282" i="3" s="1"/>
  <c r="R600" i="3"/>
  <c r="AT190" i="2"/>
  <c r="T363" i="3" s="1"/>
  <c r="R540" i="3"/>
  <c r="AT507" i="2"/>
  <c r="T1280" i="3" s="1"/>
  <c r="R1094" i="3"/>
  <c r="AT425" i="2"/>
  <c r="T1126" i="3" s="1"/>
  <c r="R612" i="3"/>
  <c r="AT237" i="2"/>
  <c r="T424" i="3" s="1"/>
  <c r="R1401" i="3"/>
  <c r="AT605" i="2"/>
  <c r="T1387" i="3" s="1"/>
  <c r="R682" i="3"/>
  <c r="AT430" i="2"/>
  <c r="T1144" i="3" s="1"/>
  <c r="R1084" i="3"/>
  <c r="AT107" i="2"/>
  <c r="T231" i="3" s="1"/>
  <c r="R142" i="3"/>
  <c r="AT407" i="2"/>
  <c r="T1091" i="3" s="1"/>
  <c r="R223" i="3"/>
  <c r="AT734" i="2"/>
  <c r="T1514" i="3" s="1"/>
  <c r="R989" i="3"/>
  <c r="AT91" i="2"/>
  <c r="T173" i="3" s="1"/>
  <c r="R1213" i="3"/>
  <c r="AT283" i="2"/>
  <c r="T763" i="3" s="1"/>
  <c r="R1501" i="3"/>
  <c r="AT67" i="2"/>
  <c r="T294" i="3" s="1"/>
  <c r="R1165" i="3"/>
  <c r="AT601" i="2"/>
  <c r="T1383" i="3" s="1"/>
  <c r="R76" i="3"/>
  <c r="AT50" i="2"/>
  <c r="T171" i="3" s="1"/>
  <c r="R791" i="3"/>
  <c r="AT340" i="2"/>
  <c r="T505" i="3" s="1"/>
  <c r="R750" i="3"/>
  <c r="AT326" i="2"/>
  <c r="T435" i="3" s="1"/>
  <c r="R843" i="3"/>
  <c r="AT371" i="2"/>
  <c r="T1021" i="3" s="1"/>
  <c r="R1440" i="3"/>
  <c r="AT223" i="2"/>
  <c r="T666" i="3" s="1"/>
  <c r="R420" i="3"/>
  <c r="AT299" i="2"/>
  <c r="T808" i="3" s="1"/>
  <c r="R1157" i="3"/>
  <c r="AT586" i="2"/>
  <c r="T1371" i="3" s="1"/>
  <c r="R1461" i="3"/>
  <c r="AT55" i="2"/>
  <c r="T262" i="3" s="1"/>
  <c r="R369" i="3"/>
  <c r="AT19" i="2"/>
  <c r="T35" i="3" s="1"/>
  <c r="R1265" i="3"/>
  <c r="AT17" i="2"/>
  <c r="T149" i="3" s="1"/>
  <c r="R1288" i="3"/>
  <c r="AT753" i="2"/>
  <c r="T1531" i="3" s="1"/>
  <c r="R75" i="3"/>
  <c r="AT296" i="2"/>
  <c r="T792" i="3" s="1"/>
  <c r="R54" i="3"/>
  <c r="AT322" i="2"/>
  <c r="T868" i="3" s="1"/>
  <c r="R239" i="3"/>
  <c r="AT505" i="2"/>
  <c r="T1278" i="3" s="1"/>
  <c r="R789" i="3"/>
  <c r="AT362" i="2"/>
  <c r="T989" i="3" s="1"/>
  <c r="R1494" i="3"/>
  <c r="AT209" i="2"/>
  <c r="T415" i="3" s="1"/>
  <c r="R1023" i="3"/>
  <c r="AT568" i="2"/>
  <c r="T1354" i="3" s="1"/>
  <c r="R905" i="3"/>
  <c r="AT602" i="2"/>
  <c r="T1384" i="3" s="1"/>
  <c r="R321" i="3"/>
  <c r="AT458" i="2"/>
  <c r="T1207" i="3" s="1"/>
  <c r="R1114" i="3"/>
  <c r="AT330" i="2"/>
  <c r="T890" i="3" s="1"/>
  <c r="R1100" i="3"/>
  <c r="AT402" i="2"/>
  <c r="T1081" i="3" s="1"/>
  <c r="R821" i="3"/>
  <c r="AT358" i="2"/>
  <c r="T973" i="3" s="1"/>
  <c r="R1434" i="3"/>
  <c r="AT558" i="2"/>
  <c r="T1338" i="3" s="1"/>
  <c r="R427" i="3"/>
  <c r="AT472" i="2"/>
  <c r="T477" i="3" s="1"/>
  <c r="R1388" i="3"/>
  <c r="AT706" i="2"/>
  <c r="T1486" i="3" s="1"/>
  <c r="R64" i="3"/>
  <c r="AT255" i="2"/>
  <c r="T186" i="3" s="1"/>
  <c r="R356" i="3"/>
  <c r="AT307" i="2"/>
  <c r="T107" i="3" s="1"/>
  <c r="R1138" i="3"/>
  <c r="AT308" i="2"/>
  <c r="T829" i="3" s="1"/>
  <c r="R446" i="3"/>
  <c r="AT565" i="2"/>
  <c r="T1350" i="3" s="1"/>
  <c r="R428" i="3"/>
  <c r="AT236" i="2"/>
  <c r="T583" i="3" s="1"/>
  <c r="R1220" i="3"/>
  <c r="AT300" i="2"/>
  <c r="T810" i="3" s="1"/>
  <c r="R1472" i="3"/>
  <c r="AT634" i="2"/>
  <c r="T1416" i="3" s="1"/>
  <c r="R717" i="3"/>
  <c r="AT280" i="2"/>
  <c r="T463" i="3" s="1"/>
  <c r="R1004" i="3"/>
  <c r="AT177" i="2"/>
  <c r="T198" i="3" s="1"/>
  <c r="R443" i="3"/>
  <c r="AT687" i="2"/>
  <c r="T1467" i="3" s="1"/>
  <c r="R107" i="3"/>
  <c r="AT577" i="2"/>
  <c r="T1363" i="3" s="1"/>
  <c r="R1289" i="3"/>
  <c r="AT162" i="2"/>
  <c r="T391" i="3" s="1"/>
  <c r="R595" i="3"/>
  <c r="AT526" i="2"/>
  <c r="T1303" i="3" s="1"/>
  <c r="R1142" i="3"/>
  <c r="AT139" i="2"/>
  <c r="T379" i="3" s="1"/>
  <c r="R1411" i="3"/>
  <c r="AT111" i="2"/>
  <c r="T542" i="3" s="1"/>
  <c r="R1102" i="3"/>
  <c r="AT304" i="2"/>
  <c r="T817" i="3" s="1"/>
  <c r="R1095" i="3"/>
  <c r="AT189" i="2"/>
  <c r="T640" i="3" s="1"/>
  <c r="R145" i="3"/>
  <c r="AT574" i="2"/>
  <c r="T1360" i="3" s="1"/>
  <c r="R796" i="3"/>
  <c r="AT356" i="2"/>
  <c r="T970" i="3" s="1"/>
  <c r="R1392" i="3"/>
  <c r="AT272" i="2"/>
  <c r="T265" i="3" s="1"/>
  <c r="R189" i="3"/>
  <c r="AT609" i="2"/>
  <c r="T1391" i="3" s="1"/>
  <c r="R342" i="3"/>
  <c r="AT389" i="2"/>
  <c r="T426" i="3" s="1"/>
  <c r="R606" i="3"/>
  <c r="AT134" i="2"/>
  <c r="T364" i="3" s="1"/>
  <c r="R161" i="3"/>
  <c r="AT717" i="2"/>
  <c r="T1497" i="3" s="1"/>
  <c r="R672" i="3"/>
  <c r="AT288" i="2"/>
  <c r="T570" i="3" s="1"/>
  <c r="R1396" i="3"/>
  <c r="AT79" i="2"/>
  <c r="T338" i="3" s="1"/>
  <c r="R726" i="3"/>
  <c r="AT146" i="2"/>
  <c r="T278" i="3" s="1"/>
  <c r="R1526" i="3"/>
  <c r="AT205" i="2"/>
  <c r="T238" i="3" s="1"/>
  <c r="R209" i="3"/>
  <c r="AT262" i="2"/>
  <c r="T164" i="3" s="1"/>
  <c r="R787" i="3"/>
  <c r="AT670" i="2"/>
  <c r="T1451" i="3" s="1"/>
  <c r="R1248" i="3"/>
  <c r="AT536" i="2"/>
  <c r="T1316" i="3" s="1"/>
  <c r="R1476" i="3"/>
  <c r="AT44" i="2"/>
  <c r="T207" i="3" s="1"/>
  <c r="R61" i="3"/>
  <c r="AT282" i="2"/>
  <c r="T760" i="3" s="1"/>
  <c r="R1416" i="3"/>
  <c r="AT123" i="2"/>
  <c r="T260" i="3" s="1"/>
  <c r="R545" i="3"/>
  <c r="AT566" i="2"/>
  <c r="T1351" i="3" s="1"/>
  <c r="R740" i="3"/>
  <c r="AT612" i="2"/>
  <c r="T1394" i="3" s="1"/>
  <c r="R1209" i="3"/>
  <c r="AT26" i="2"/>
  <c r="T28" i="3" s="1"/>
  <c r="R624" i="3"/>
  <c r="AT454" i="2"/>
  <c r="T420" i="3" s="1"/>
  <c r="R80" i="3"/>
  <c r="AT532" i="2"/>
  <c r="T1310" i="3" s="1"/>
  <c r="R961" i="3"/>
  <c r="AT324" i="2"/>
  <c r="T408" i="3" s="1"/>
  <c r="R1268" i="3"/>
  <c r="AT99" i="2"/>
  <c r="T219" i="3" s="1"/>
  <c r="R1093" i="3"/>
  <c r="AT113" i="2"/>
  <c r="T399" i="3" s="1"/>
  <c r="R1134" i="3"/>
  <c r="AT294" i="2"/>
  <c r="T409" i="3" s="1"/>
  <c r="R873" i="3"/>
  <c r="AT690" i="2"/>
  <c r="T1470" i="3" s="1"/>
  <c r="R1522" i="3"/>
  <c r="AT233" i="2"/>
  <c r="T414" i="3" s="1"/>
  <c r="R653" i="3"/>
  <c r="AT477" i="2"/>
  <c r="T576" i="3" s="1"/>
  <c r="R491" i="3"/>
  <c r="AT392" i="2"/>
  <c r="T1056" i="3" s="1"/>
  <c r="R632" i="3"/>
  <c r="AT474" i="2"/>
  <c r="T1244" i="3" s="1"/>
  <c r="R350" i="3"/>
  <c r="AT478" i="2"/>
  <c r="T1250" i="3" s="1"/>
  <c r="R1407" i="3"/>
  <c r="AT451" i="2"/>
  <c r="T1190" i="3" s="1"/>
  <c r="R1457" i="3"/>
  <c r="AT144" i="2"/>
  <c r="T622" i="3" s="1"/>
  <c r="R1182" i="3"/>
  <c r="AT728" i="2"/>
  <c r="T1508" i="3" s="1"/>
  <c r="R1021" i="3"/>
  <c r="AT184" i="2"/>
  <c r="T214" i="3" s="1"/>
  <c r="R1043" i="3"/>
  <c r="AT261" i="2"/>
  <c r="T717" i="3" s="1"/>
  <c r="R490" i="3"/>
  <c r="AT498" i="2"/>
  <c r="T1269" i="3" s="1"/>
  <c r="R1189" i="3"/>
  <c r="AT135" i="2"/>
  <c r="T59" i="3" s="1"/>
  <c r="R1133" i="3"/>
  <c r="AT752" i="2"/>
  <c r="T374" i="3" s="1"/>
  <c r="R524" i="3"/>
  <c r="AT531" i="2"/>
  <c r="T1309" i="3" s="1"/>
  <c r="R1107" i="3"/>
  <c r="AT656" i="2"/>
  <c r="T1438" i="3" s="1"/>
  <c r="R565" i="3"/>
  <c r="AT642" i="2"/>
  <c r="T1424" i="3" s="1"/>
  <c r="R1498" i="3"/>
  <c r="AT85" i="2"/>
  <c r="T137" i="3" s="1"/>
  <c r="R802" i="3"/>
  <c r="AT68" i="2"/>
  <c r="T104" i="3" s="1"/>
  <c r="R1219" i="3"/>
  <c r="AT173" i="2"/>
  <c r="T501" i="3" s="1"/>
  <c r="R580" i="3"/>
  <c r="AT432" i="2"/>
  <c r="T418" i="3" s="1"/>
  <c r="R875" i="3"/>
  <c r="AT251" i="2"/>
  <c r="T466" i="3" s="1"/>
  <c r="R504" i="3"/>
  <c r="AT152" i="2"/>
  <c r="T624" i="3" s="1"/>
  <c r="R838" i="3"/>
  <c r="AT491" i="2"/>
  <c r="T592" i="3" s="1"/>
  <c r="R1359" i="3"/>
  <c r="AT118" i="2"/>
  <c r="T329" i="3" s="1"/>
  <c r="R1453" i="3"/>
  <c r="AT16" i="2"/>
  <c r="T36" i="3" s="1"/>
  <c r="R1533" i="3"/>
  <c r="AT204" i="2"/>
  <c r="T131" i="3" s="1"/>
  <c r="R1150" i="3"/>
  <c r="AT738" i="2"/>
  <c r="T1518" i="3" s="1"/>
  <c r="R598" i="3"/>
  <c r="AT391" i="2"/>
  <c r="T1054" i="3" s="1"/>
  <c r="R798" i="3"/>
  <c r="AT192" i="2"/>
  <c r="T642" i="3" s="1"/>
  <c r="R234" i="3"/>
  <c r="AT76" i="2"/>
  <c r="T422" i="3" s="1"/>
  <c r="R1242" i="3"/>
  <c r="AT171" i="2"/>
  <c r="T257" i="3" s="1"/>
  <c r="R164" i="3"/>
  <c r="AT161" i="2"/>
  <c r="T205" i="3" s="1"/>
  <c r="R718" i="3"/>
  <c r="AT553" i="2"/>
  <c r="T1334" i="3" s="1"/>
  <c r="R1225" i="3"/>
  <c r="AT46" i="2"/>
  <c r="T168" i="3" s="1"/>
  <c r="R418" i="3"/>
  <c r="AT108" i="2"/>
  <c r="T459" i="3" s="1"/>
  <c r="R569" i="3"/>
  <c r="AT334" i="2"/>
  <c r="T916" i="3" s="1"/>
  <c r="R335" i="3"/>
  <c r="AT270" i="2"/>
  <c r="T575" i="3" s="1"/>
  <c r="R749" i="3"/>
  <c r="AT323" i="2"/>
  <c r="T870" i="3" s="1"/>
  <c r="R926" i="3"/>
  <c r="AT571" i="2"/>
  <c r="T1357" i="3" s="1"/>
  <c r="R440" i="3"/>
  <c r="AT746" i="2"/>
  <c r="T1526" i="3" s="1"/>
  <c r="R1210" i="3"/>
  <c r="AT82" i="2"/>
  <c r="T90" i="3" s="1"/>
  <c r="R947" i="3"/>
  <c r="AT258" i="2"/>
  <c r="T523" i="3" s="1"/>
  <c r="R770" i="3"/>
  <c r="AT732" i="2"/>
  <c r="T1512" i="3" s="1"/>
  <c r="R557" i="3"/>
  <c r="AT560" i="2"/>
  <c r="T1341" i="3" s="1"/>
  <c r="R1454" i="3"/>
  <c r="AT63" i="2"/>
  <c r="T93" i="3" s="1"/>
  <c r="R354" i="3"/>
  <c r="AT257" i="2"/>
  <c r="T440" i="3" s="1"/>
  <c r="R444" i="3"/>
  <c r="AT318" i="2"/>
  <c r="T861" i="3" s="1"/>
  <c r="R56" i="3"/>
  <c r="AT77" i="2"/>
  <c r="T452" i="3" s="1"/>
  <c r="R1170" i="3"/>
  <c r="AT638" i="2"/>
  <c r="T1420" i="3" s="1"/>
  <c r="R1155" i="3"/>
  <c r="AT623" i="2"/>
  <c r="T1405" i="3" s="1"/>
  <c r="R633" i="3"/>
  <c r="AT475" i="2"/>
  <c r="T1247" i="3" s="1"/>
  <c r="R1162" i="3"/>
  <c r="AT112" i="2"/>
  <c r="T282" i="3" s="1"/>
  <c r="R1445" i="3"/>
  <c r="AT381" i="2"/>
  <c r="T1036" i="3" s="1"/>
  <c r="R922" i="3"/>
  <c r="AT554" i="2"/>
  <c r="T1335" i="3" s="1"/>
  <c r="R869" i="3"/>
  <c r="AT480" i="2"/>
  <c r="T1252" i="3" s="1"/>
  <c r="R1310" i="3"/>
  <c r="AT685" i="2"/>
  <c r="T1465" i="3" s="1"/>
  <c r="R548" i="3"/>
  <c r="AT363" i="2"/>
  <c r="T991" i="3" s="1"/>
  <c r="R1104" i="3"/>
  <c r="AT620" i="2"/>
  <c r="T1402" i="3" s="1"/>
  <c r="R777" i="3"/>
  <c r="AT109" i="2"/>
  <c r="T328" i="3" s="1"/>
  <c r="R403" i="3"/>
  <c r="AT517" i="2"/>
  <c r="T1292" i="3" s="1"/>
  <c r="R1374" i="3"/>
  <c r="AT119" i="2"/>
  <c r="T279" i="3" s="1"/>
  <c r="R1088" i="3"/>
  <c r="AT14" i="2"/>
  <c r="T88" i="3" s="1"/>
  <c r="R383" i="3"/>
  <c r="AT686" i="2"/>
  <c r="T1466" i="3" s="1"/>
  <c r="R1349" i="3"/>
  <c r="AT479" i="2"/>
  <c r="T450" i="3" s="1"/>
  <c r="R1132" i="3"/>
  <c r="AT252" i="2"/>
  <c r="T598" i="3" s="1"/>
  <c r="R1074" i="3"/>
  <c r="AT547" i="2"/>
  <c r="T1327" i="3" s="1"/>
  <c r="R827" i="3"/>
  <c r="AT260" i="2"/>
  <c r="T715" i="3" s="1"/>
  <c r="R1221" i="3"/>
  <c r="AT28" i="2"/>
  <c r="T184" i="3" s="1"/>
  <c r="R1129" i="3"/>
  <c r="AT702" i="2"/>
  <c r="T1482" i="3" s="1"/>
  <c r="R1061" i="3"/>
  <c r="AT311" i="2"/>
  <c r="T837" i="3" s="1"/>
  <c r="R788" i="3"/>
  <c r="AT372" i="2"/>
  <c r="T595" i="3" s="1"/>
  <c r="R1509" i="3"/>
  <c r="R1414" i="3"/>
  <c r="R1195" i="3"/>
  <c r="R1300" i="3"/>
  <c r="R584" i="3"/>
  <c r="R1226" i="3"/>
  <c r="R1521" i="3"/>
  <c r="R1266" i="3"/>
  <c r="R1493" i="3"/>
  <c r="J7" i="11"/>
  <c r="K7" i="11"/>
  <c r="R423" i="3"/>
  <c r="R1422" i="3"/>
  <c r="R237" i="3"/>
  <c r="K5" i="11"/>
  <c r="J5" i="11"/>
  <c r="K6" i="11"/>
  <c r="J6" i="11"/>
  <c r="K4" i="11"/>
  <c r="J4" i="11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X474" i="3" l="1"/>
  <c r="W474" i="3" s="1"/>
  <c r="AC474" i="3" s="1"/>
  <c r="X851" i="3"/>
  <c r="W851" i="3" s="1"/>
  <c r="AC851" i="3" s="1"/>
  <c r="T943" i="3"/>
  <c r="T942" i="3"/>
  <c r="X788" i="3"/>
  <c r="W788" i="3" s="1"/>
  <c r="AC788" i="3" s="1"/>
  <c r="X985" i="3"/>
  <c r="W985" i="3" s="1"/>
  <c r="AC985" i="3" s="1"/>
  <c r="X1231" i="3"/>
  <c r="W1231" i="3" s="1"/>
  <c r="AC1231" i="3" s="1"/>
  <c r="X826" i="3"/>
  <c r="W826" i="3" s="1"/>
  <c r="AC826" i="3" s="1"/>
  <c r="X875" i="3"/>
  <c r="W875" i="3" s="1"/>
  <c r="AC875" i="3" s="1"/>
  <c r="X939" i="3"/>
  <c r="W939" i="3" s="1"/>
  <c r="AC939" i="3" s="1"/>
  <c r="X1223" i="3"/>
  <c r="W1223" i="3" s="1"/>
  <c r="AC1223" i="3" s="1"/>
  <c r="X1139" i="3"/>
  <c r="W1139" i="3" s="1"/>
  <c r="AC1139" i="3" s="1"/>
  <c r="X979" i="3"/>
  <c r="W979" i="3" s="1"/>
  <c r="AC979" i="3" s="1"/>
  <c r="X1186" i="3"/>
  <c r="W1186" i="3" s="1"/>
  <c r="AC1186" i="3" s="1"/>
  <c r="X1351" i="3"/>
  <c r="W1351" i="3" s="1"/>
  <c r="AC1351" i="3" s="1"/>
  <c r="X691" i="3"/>
  <c r="W691" i="3" s="1"/>
  <c r="AC691" i="3" s="1"/>
  <c r="X43" i="3"/>
  <c r="W43" i="3" s="1"/>
  <c r="AC43" i="3" s="1"/>
  <c r="X1150" i="3"/>
  <c r="W1150" i="3" s="1"/>
  <c r="AC1150" i="3" s="1"/>
  <c r="X1048" i="3"/>
  <c r="W1048" i="3" s="1"/>
  <c r="AC1048" i="3" s="1"/>
  <c r="X931" i="3"/>
  <c r="W931" i="3" s="1"/>
  <c r="AC931" i="3" s="1"/>
  <c r="X1107" i="3"/>
  <c r="W1107" i="3" s="1"/>
  <c r="AC1107" i="3" s="1"/>
  <c r="X421" i="3"/>
  <c r="W421" i="3" s="1"/>
  <c r="AC421" i="3" s="1"/>
  <c r="X838" i="3"/>
  <c r="W838" i="3" s="1"/>
  <c r="AC838" i="3" s="1"/>
  <c r="X1160" i="3"/>
  <c r="W1160" i="3" s="1"/>
  <c r="AC1160" i="3" s="1"/>
  <c r="X1212" i="3"/>
  <c r="W1212" i="3" s="1"/>
  <c r="AC1212" i="3" s="1"/>
  <c r="X1123" i="3"/>
  <c r="W1123" i="3" s="1"/>
  <c r="AC1123" i="3" s="1"/>
  <c r="X44" i="3"/>
  <c r="W44" i="3" s="1"/>
  <c r="AC44" i="3" s="1"/>
  <c r="X464" i="3"/>
  <c r="W464" i="3" s="1"/>
  <c r="AC464" i="3" s="1"/>
  <c r="X1078" i="3"/>
  <c r="W1078" i="3" s="1"/>
  <c r="AC1078" i="3" s="1"/>
  <c r="X725" i="3"/>
  <c r="W725" i="3" s="1"/>
  <c r="AC725" i="3" s="1"/>
  <c r="X710" i="3"/>
  <c r="W710" i="3" s="1"/>
  <c r="AC710" i="3" s="1"/>
  <c r="X193" i="3"/>
  <c r="W193" i="3" s="1"/>
  <c r="AC193" i="3" s="1"/>
  <c r="X5" i="3"/>
  <c r="W5" i="3" s="1"/>
  <c r="AC5" i="3" s="1"/>
  <c r="X1196" i="3"/>
  <c r="W1196" i="3" s="1"/>
  <c r="AC1196" i="3" s="1"/>
  <c r="X1493" i="3"/>
  <c r="W1493" i="3" s="1"/>
  <c r="AC1493" i="3" s="1"/>
  <c r="X1102" i="3"/>
  <c r="W1102" i="3" s="1"/>
  <c r="AC1102" i="3" s="1"/>
  <c r="X932" i="3"/>
  <c r="W932" i="3" s="1"/>
  <c r="AC932" i="3" s="1"/>
  <c r="X760" i="3"/>
  <c r="W760" i="3" s="1"/>
  <c r="AC760" i="3" s="1"/>
  <c r="X576" i="3"/>
  <c r="W576" i="3" s="1"/>
  <c r="AC576" i="3" s="1"/>
  <c r="X204" i="3"/>
  <c r="W204" i="3" s="1"/>
  <c r="AC204" i="3" s="1"/>
  <c r="X1095" i="3"/>
  <c r="W1095" i="3" s="1"/>
  <c r="AC1095" i="3" s="1"/>
  <c r="X1147" i="3"/>
  <c r="W1147" i="3" s="1"/>
  <c r="AC1147" i="3" s="1"/>
  <c r="X1439" i="3"/>
  <c r="W1439" i="3" s="1"/>
  <c r="AC1439" i="3" s="1"/>
  <c r="X1060" i="3"/>
  <c r="W1060" i="3" s="1"/>
  <c r="AC1060" i="3" s="1"/>
  <c r="X818" i="3"/>
  <c r="W818" i="3" s="1"/>
  <c r="AC818" i="3" s="1"/>
  <c r="X1194" i="3"/>
  <c r="W1194" i="3" s="1"/>
  <c r="AC1194" i="3" s="1"/>
  <c r="X1072" i="3"/>
  <c r="W1072" i="3" s="1"/>
  <c r="AC1072" i="3" s="1"/>
  <c r="X1221" i="3"/>
  <c r="W1221" i="3" s="1"/>
  <c r="AC1221" i="3" s="1"/>
  <c r="X1131" i="3"/>
  <c r="W1131" i="3" s="1"/>
  <c r="AC1131" i="3" s="1"/>
  <c r="X82" i="3"/>
  <c r="W82" i="3" s="1"/>
  <c r="AC82" i="3" s="1"/>
  <c r="X49" i="3"/>
  <c r="W49" i="3" s="1"/>
  <c r="AC49" i="3" s="1"/>
  <c r="X400" i="3"/>
  <c r="W400" i="3" s="1"/>
  <c r="AC400" i="3" s="1"/>
  <c r="X948" i="3"/>
  <c r="W948" i="3" s="1"/>
  <c r="AC948" i="3" s="1"/>
  <c r="X604" i="3"/>
  <c r="W604" i="3" s="1"/>
  <c r="AC604" i="3" s="1"/>
  <c r="X800" i="3"/>
  <c r="W800" i="3" s="1"/>
  <c r="AC800" i="3" s="1"/>
  <c r="X759" i="3"/>
  <c r="W759" i="3" s="1"/>
  <c r="AC759" i="3" s="1"/>
  <c r="X1245" i="3"/>
  <c r="W1245" i="3" s="1"/>
  <c r="AC1245" i="3" s="1"/>
  <c r="X676" i="3"/>
  <c r="W676" i="3" s="1"/>
  <c r="AC676" i="3" s="1"/>
  <c r="X934" i="3"/>
  <c r="W934" i="3" s="1"/>
  <c r="AC934" i="3" s="1"/>
  <c r="X670" i="3"/>
  <c r="W670" i="3" s="1"/>
  <c r="AC670" i="3" s="1"/>
  <c r="X1006" i="3"/>
  <c r="W1006" i="3" s="1"/>
  <c r="AC1006" i="3" s="1"/>
  <c r="X982" i="3"/>
  <c r="W982" i="3" s="1"/>
  <c r="AC982" i="3" s="1"/>
  <c r="X890" i="3"/>
  <c r="W890" i="3" s="1"/>
  <c r="AC890" i="3" s="1"/>
  <c r="X480" i="3"/>
  <c r="W480" i="3" s="1"/>
  <c r="AC480" i="3" s="1"/>
  <c r="X47" i="3"/>
  <c r="W47" i="3" s="1"/>
  <c r="AC47" i="3" s="1"/>
  <c r="X881" i="3"/>
  <c r="W881" i="3" s="1"/>
  <c r="AC881" i="3" s="1"/>
  <c r="X752" i="3"/>
  <c r="W752" i="3" s="1"/>
  <c r="AC752" i="3" s="1"/>
  <c r="X1224" i="3"/>
  <c r="W1224" i="3" s="1"/>
  <c r="AC1224" i="3" s="1"/>
  <c r="X807" i="3"/>
  <c r="W807" i="3" s="1"/>
  <c r="AC807" i="3" s="1"/>
  <c r="X250" i="3"/>
  <c r="W250" i="3" s="1"/>
  <c r="AC250" i="3" s="1"/>
  <c r="X816" i="3"/>
  <c r="W816" i="3" s="1"/>
  <c r="AC816" i="3" s="1"/>
  <c r="X835" i="3"/>
  <c r="W835" i="3" s="1"/>
  <c r="AC835" i="3" s="1"/>
  <c r="X1012" i="3"/>
  <c r="W1012" i="3" s="1"/>
  <c r="AC1012" i="3" s="1"/>
  <c r="X1082" i="3"/>
  <c r="W1082" i="3" s="1"/>
  <c r="AC1082" i="3" s="1"/>
  <c r="X1146" i="3"/>
  <c r="W1146" i="3" s="1"/>
  <c r="AC1146" i="3" s="1"/>
  <c r="X1068" i="3"/>
  <c r="W1068" i="3" s="1"/>
  <c r="AC1068" i="3" s="1"/>
  <c r="X1132" i="3"/>
  <c r="W1132" i="3" s="1"/>
  <c r="AC1132" i="3" s="1"/>
  <c r="X673" i="3"/>
  <c r="W673" i="3" s="1"/>
  <c r="AC673" i="3" s="1"/>
  <c r="X899" i="3"/>
  <c r="W899" i="3" s="1"/>
  <c r="AC899" i="3" s="1"/>
  <c r="X152" i="3"/>
  <c r="W152" i="3" s="1"/>
  <c r="AC152" i="3" s="1"/>
  <c r="X247" i="3"/>
  <c r="W247" i="3" s="1"/>
  <c r="AC247" i="3" s="1"/>
  <c r="X731" i="3"/>
  <c r="W731" i="3" s="1"/>
  <c r="AC731" i="3" s="1"/>
  <c r="X159" i="3"/>
  <c r="W159" i="3" s="1"/>
  <c r="AC159" i="3" s="1"/>
  <c r="X183" i="3"/>
  <c r="W183" i="3" s="1"/>
  <c r="AC183" i="3" s="1"/>
  <c r="X833" i="3"/>
  <c r="W833" i="3" s="1"/>
  <c r="AC833" i="3" s="1"/>
  <c r="X1187" i="3"/>
  <c r="W1187" i="3" s="1"/>
  <c r="AC1187" i="3" s="1"/>
  <c r="X914" i="3"/>
  <c r="W914" i="3" s="1"/>
  <c r="AC914" i="3" s="1"/>
  <c r="X533" i="3"/>
  <c r="W533" i="3" s="1"/>
  <c r="AC533" i="3" s="1"/>
  <c r="X842" i="3"/>
  <c r="W842" i="3" s="1"/>
  <c r="AC842" i="3" s="1"/>
  <c r="X1218" i="3"/>
  <c r="W1218" i="3" s="1"/>
  <c r="AC1218" i="3" s="1"/>
  <c r="X848" i="3"/>
  <c r="W848" i="3" s="1"/>
  <c r="AC848" i="3" s="1"/>
  <c r="X430" i="3"/>
  <c r="W430" i="3" s="1"/>
  <c r="AC430" i="3" s="1"/>
  <c r="X944" i="3"/>
  <c r="W944" i="3" s="1"/>
  <c r="AC944" i="3" s="1"/>
  <c r="X1035" i="3"/>
  <c r="W1035" i="3" s="1"/>
  <c r="AC1035" i="3" s="1"/>
  <c r="X552" i="3"/>
  <c r="W552" i="3" s="1"/>
  <c r="AC552" i="3" s="1"/>
  <c r="X210" i="3"/>
  <c r="W210" i="3" s="1"/>
  <c r="AC210" i="3" s="1"/>
  <c r="X930" i="3"/>
  <c r="W930" i="3" s="1"/>
  <c r="AC930" i="3" s="1"/>
  <c r="X902" i="3"/>
  <c r="W902" i="3" s="1"/>
  <c r="AC902" i="3" s="1"/>
  <c r="X1184" i="3"/>
  <c r="W1184" i="3" s="1"/>
  <c r="AC1184" i="3" s="1"/>
  <c r="X662" i="3"/>
  <c r="W662" i="3" s="1"/>
  <c r="AC662" i="3" s="1"/>
  <c r="X211" i="3"/>
  <c r="W211" i="3" s="1"/>
  <c r="AC211" i="3" s="1"/>
  <c r="X713" i="3"/>
  <c r="W713" i="3" s="1"/>
  <c r="AC713" i="3" s="1"/>
  <c r="X129" i="3"/>
  <c r="W129" i="3" s="1"/>
  <c r="AC129" i="3" s="1"/>
  <c r="X1158" i="3"/>
  <c r="W1158" i="3" s="1"/>
  <c r="AC1158" i="3" s="1"/>
  <c r="X812" i="3"/>
  <c r="W812" i="3" s="1"/>
  <c r="AC812" i="3" s="1"/>
  <c r="X1542" i="3"/>
  <c r="W1542" i="3" s="1"/>
  <c r="AC1542" i="3" s="1"/>
  <c r="X407" i="3"/>
  <c r="W407" i="3" s="1"/>
  <c r="AC407" i="3" s="1"/>
  <c r="X509" i="3"/>
  <c r="W509" i="3" s="1"/>
  <c r="AC509" i="3" s="1"/>
  <c r="X834" i="3"/>
  <c r="W834" i="3" s="1"/>
  <c r="AC834" i="3" s="1"/>
  <c r="X1200" i="3"/>
  <c r="W1200" i="3" s="1"/>
  <c r="AC1200" i="3" s="1"/>
  <c r="X846" i="3"/>
  <c r="W846" i="3" s="1"/>
  <c r="AC846" i="3" s="1"/>
  <c r="X680" i="3"/>
  <c r="W680" i="3" s="1"/>
  <c r="AC680" i="3" s="1"/>
  <c r="X878" i="3"/>
  <c r="W878" i="3" s="1"/>
  <c r="AC878" i="3" s="1"/>
  <c r="X1152" i="3"/>
  <c r="W1152" i="3" s="1"/>
  <c r="AC1152" i="3" s="1"/>
  <c r="X708" i="3"/>
  <c r="W708" i="3" s="1"/>
  <c r="AC708" i="3" s="1"/>
  <c r="X1195" i="3"/>
  <c r="W1195" i="3" s="1"/>
  <c r="AC1195" i="3" s="1"/>
  <c r="X405" i="3"/>
  <c r="W405" i="3" s="1"/>
  <c r="AC405" i="3" s="1"/>
  <c r="X672" i="3"/>
  <c r="W672" i="3" s="1"/>
  <c r="AC672" i="3" s="1"/>
  <c r="X510" i="3"/>
  <c r="W510" i="3" s="1"/>
  <c r="AC510" i="3" s="1"/>
  <c r="X1051" i="3"/>
  <c r="W1051" i="3" s="1"/>
  <c r="AC1051" i="3" s="1"/>
  <c r="X929" i="3"/>
  <c r="W929" i="3" s="1"/>
  <c r="AC929" i="3" s="1"/>
  <c r="X659" i="3"/>
  <c r="W659" i="3" s="1"/>
  <c r="AC659" i="3" s="1"/>
  <c r="X775" i="3"/>
  <c r="W775" i="3" s="1"/>
  <c r="AC775" i="3" s="1"/>
  <c r="X693" i="3"/>
  <c r="W693" i="3" s="1"/>
  <c r="AC693" i="3" s="1"/>
  <c r="X768" i="3"/>
  <c r="W768" i="3" s="1"/>
  <c r="AC768" i="3" s="1"/>
  <c r="X1137" i="3"/>
  <c r="W1137" i="3" s="1"/>
  <c r="AC1137" i="3" s="1"/>
  <c r="X755" i="3"/>
  <c r="W755" i="3" s="1"/>
  <c r="AC755" i="3" s="1"/>
  <c r="X999" i="3"/>
  <c r="W999" i="3" s="1"/>
  <c r="AC999" i="3" s="1"/>
  <c r="X1359" i="3"/>
  <c r="W1359" i="3" s="1"/>
  <c r="AC1359" i="3" s="1"/>
  <c r="X565" i="3"/>
  <c r="W565" i="3" s="1"/>
  <c r="AC565" i="3" s="1"/>
  <c r="X1189" i="3"/>
  <c r="W1189" i="3" s="1"/>
  <c r="AC1189" i="3" s="1"/>
  <c r="X1182" i="3"/>
  <c r="W1182" i="3" s="1"/>
  <c r="AC1182" i="3" s="1"/>
  <c r="X632" i="3"/>
  <c r="W632" i="3" s="1"/>
  <c r="AC632" i="3" s="1"/>
  <c r="X873" i="3"/>
  <c r="W873" i="3" s="1"/>
  <c r="AC873" i="3" s="1"/>
  <c r="X740" i="3"/>
  <c r="W740" i="3" s="1"/>
  <c r="AC740" i="3" s="1"/>
  <c r="X1100" i="3"/>
  <c r="W1100" i="3" s="1"/>
  <c r="AC1100" i="3" s="1"/>
  <c r="X1023" i="3"/>
  <c r="W1023" i="3" s="1"/>
  <c r="AC1023" i="3" s="1"/>
  <c r="X1084" i="3"/>
  <c r="W1084" i="3" s="1"/>
  <c r="AC1084" i="3" s="1"/>
  <c r="X682" i="3"/>
  <c r="W682" i="3" s="1"/>
  <c r="AC682" i="3" s="1"/>
  <c r="X540" i="3"/>
  <c r="W540" i="3" s="1"/>
  <c r="AC540" i="3" s="1"/>
  <c r="X772" i="3"/>
  <c r="W772" i="3" s="1"/>
  <c r="AC772" i="3" s="1"/>
  <c r="X692" i="3"/>
  <c r="W692" i="3" s="1"/>
  <c r="AC692" i="3" s="1"/>
  <c r="X25" i="3"/>
  <c r="W25" i="3" s="1"/>
  <c r="AC25" i="3" s="1"/>
  <c r="X764" i="3"/>
  <c r="W764" i="3" s="1"/>
  <c r="AC764" i="3" s="1"/>
  <c r="X665" i="3"/>
  <c r="W665" i="3" s="1"/>
  <c r="AC665" i="3" s="1"/>
  <c r="X796" i="3"/>
  <c r="W796" i="3" s="1"/>
  <c r="AC796" i="3" s="1"/>
  <c r="X860" i="3"/>
  <c r="W860" i="3" s="1"/>
  <c r="AC860" i="3" s="1"/>
  <c r="X1094" i="3"/>
  <c r="W1094" i="3" s="1"/>
  <c r="AC1094" i="3" s="1"/>
  <c r="X307" i="3"/>
  <c r="W307" i="3" s="1"/>
  <c r="AC307" i="3" s="1"/>
  <c r="X859" i="3"/>
  <c r="W859" i="3" s="1"/>
  <c r="AC859" i="3" s="1"/>
  <c r="X738" i="3"/>
  <c r="W738" i="3" s="1"/>
  <c r="AC738" i="3" s="1"/>
  <c r="X361" i="3"/>
  <c r="W361" i="3" s="1"/>
  <c r="AC361" i="3" s="1"/>
  <c r="X472" i="3"/>
  <c r="W472" i="3" s="1"/>
  <c r="AC472" i="3" s="1"/>
  <c r="X230" i="3"/>
  <c r="W230" i="3" s="1"/>
  <c r="AC230" i="3" s="1"/>
  <c r="X924" i="3"/>
  <c r="W924" i="3" s="1"/>
  <c r="AC924" i="3" s="1"/>
  <c r="X110" i="3"/>
  <c r="W110" i="3" s="1"/>
  <c r="AC110" i="3" s="1"/>
  <c r="X29" i="3"/>
  <c r="W29" i="3" s="1"/>
  <c r="AC29" i="3" s="1"/>
  <c r="X681" i="3"/>
  <c r="W681" i="3" s="1"/>
  <c r="AC681" i="3" s="1"/>
  <c r="X169" i="3"/>
  <c r="W169" i="3" s="1"/>
  <c r="AC169" i="3" s="1"/>
  <c r="X544" i="3"/>
  <c r="W544" i="3" s="1"/>
  <c r="AC544" i="3" s="1"/>
  <c r="X895" i="3"/>
  <c r="W895" i="3" s="1"/>
  <c r="AC895" i="3" s="1"/>
  <c r="X954" i="3"/>
  <c r="W954" i="3" s="1"/>
  <c r="AC954" i="3" s="1"/>
  <c r="X1241" i="3"/>
  <c r="W1241" i="3" s="1"/>
  <c r="AC1241" i="3" s="1"/>
  <c r="X631" i="3"/>
  <c r="W631" i="3" s="1"/>
  <c r="AC631" i="3" s="1"/>
  <c r="X1201" i="3"/>
  <c r="W1201" i="3" s="1"/>
  <c r="AC1201" i="3" s="1"/>
  <c r="X654" i="3"/>
  <c r="W654" i="3" s="1"/>
  <c r="AC654" i="3" s="1"/>
  <c r="X14" i="3"/>
  <c r="W14" i="3" s="1"/>
  <c r="AC14" i="3" s="1"/>
  <c r="X84" i="3"/>
  <c r="W84" i="3" s="1"/>
  <c r="AC84" i="3" s="1"/>
  <c r="X637" i="3"/>
  <c r="W637" i="3" s="1"/>
  <c r="AC637" i="3" s="1"/>
  <c r="X601" i="3"/>
  <c r="W601" i="3" s="1"/>
  <c r="AC601" i="3" s="1"/>
  <c r="X261" i="3"/>
  <c r="W261" i="3" s="1"/>
  <c r="AC261" i="3" s="1"/>
  <c r="X1188" i="3"/>
  <c r="W1188" i="3" s="1"/>
  <c r="AC1188" i="3" s="1"/>
  <c r="X1214" i="3"/>
  <c r="W1214" i="3" s="1"/>
  <c r="AC1214" i="3" s="1"/>
  <c r="X1521" i="3"/>
  <c r="W1521" i="3" s="1"/>
  <c r="AC1521" i="3" s="1"/>
  <c r="X777" i="3"/>
  <c r="W777" i="3" s="1"/>
  <c r="AC777" i="3" s="1"/>
  <c r="X633" i="3"/>
  <c r="W633" i="3" s="1"/>
  <c r="AC633" i="3" s="1"/>
  <c r="X770" i="3"/>
  <c r="W770" i="3" s="1"/>
  <c r="AC770" i="3" s="1"/>
  <c r="X926" i="3"/>
  <c r="W926" i="3" s="1"/>
  <c r="AC926" i="3" s="1"/>
  <c r="X490" i="3"/>
  <c r="W490" i="3" s="1"/>
  <c r="AC490" i="3" s="1"/>
  <c r="X1134" i="3"/>
  <c r="W1134" i="3" s="1"/>
  <c r="AC1134" i="3" s="1"/>
  <c r="X80" i="3"/>
  <c r="W80" i="3" s="1"/>
  <c r="AC80" i="3" s="1"/>
  <c r="X545" i="3"/>
  <c r="W545" i="3" s="1"/>
  <c r="AC545" i="3" s="1"/>
  <c r="X1248" i="3"/>
  <c r="W1248" i="3" s="1"/>
  <c r="AC1248" i="3" s="1"/>
  <c r="X726" i="3"/>
  <c r="W726" i="3" s="1"/>
  <c r="AC726" i="3" s="1"/>
  <c r="X1138" i="3"/>
  <c r="W1138" i="3" s="1"/>
  <c r="AC1138" i="3" s="1"/>
  <c r="X843" i="3"/>
  <c r="W843" i="3" s="1"/>
  <c r="AC843" i="3" s="1"/>
  <c r="X1165" i="3"/>
  <c r="W1165" i="3" s="1"/>
  <c r="AC1165" i="3" s="1"/>
  <c r="X1089" i="3"/>
  <c r="W1089" i="3" s="1"/>
  <c r="AC1089" i="3" s="1"/>
  <c r="X847" i="3"/>
  <c r="W847" i="3" s="1"/>
  <c r="AC847" i="3" s="1"/>
  <c r="X1108" i="3"/>
  <c r="W1108" i="3" s="1"/>
  <c r="AC1108" i="3" s="1"/>
  <c r="X645" i="3"/>
  <c r="W645" i="3" s="1"/>
  <c r="AC645" i="3" s="1"/>
  <c r="X827" i="3"/>
  <c r="W827" i="3" s="1"/>
  <c r="AC827" i="3" s="1"/>
  <c r="X869" i="3"/>
  <c r="W869" i="3" s="1"/>
  <c r="AC869" i="3" s="1"/>
  <c r="X444" i="3"/>
  <c r="W444" i="3" s="1"/>
  <c r="AC444" i="3" s="1"/>
  <c r="X1242" i="3"/>
  <c r="W1242" i="3" s="1"/>
  <c r="AC1242" i="3" s="1"/>
  <c r="X886" i="3"/>
  <c r="W886" i="3" s="1"/>
  <c r="AC886" i="3" s="1"/>
  <c r="X1178" i="3"/>
  <c r="W1178" i="3" s="1"/>
  <c r="AC1178" i="3" s="1"/>
  <c r="X1235" i="3"/>
  <c r="W1235" i="3" s="1"/>
  <c r="AC1235" i="3" s="1"/>
  <c r="X195" i="3"/>
  <c r="W195" i="3" s="1"/>
  <c r="AC195" i="3" s="1"/>
  <c r="X871" i="3"/>
  <c r="W871" i="3" s="1"/>
  <c r="AC871" i="3" s="1"/>
  <c r="X483" i="3"/>
  <c r="W483" i="3" s="1"/>
  <c r="AC483" i="3" s="1"/>
  <c r="X1016" i="3"/>
  <c r="W1016" i="3" s="1"/>
  <c r="AC1016" i="3" s="1"/>
  <c r="X1065" i="3"/>
  <c r="W1065" i="3" s="1"/>
  <c r="AC1065" i="3" s="1"/>
  <c r="X1211" i="3"/>
  <c r="W1211" i="3" s="1"/>
  <c r="AC1211" i="3" s="1"/>
  <c r="X1124" i="3"/>
  <c r="W1124" i="3" s="1"/>
  <c r="AC1124" i="3" s="1"/>
  <c r="X754" i="3"/>
  <c r="W754" i="3" s="1"/>
  <c r="AC754" i="3" s="1"/>
  <c r="X1087" i="3"/>
  <c r="W1087" i="3" s="1"/>
  <c r="AC1087" i="3" s="1"/>
  <c r="X785" i="3"/>
  <c r="W785" i="3" s="1"/>
  <c r="AC785" i="3" s="1"/>
  <c r="X1145" i="3"/>
  <c r="W1145" i="3" s="1"/>
  <c r="AC1145" i="3" s="1"/>
  <c r="X723" i="3"/>
  <c r="W723" i="3" s="1"/>
  <c r="AC723" i="3" s="1"/>
  <c r="X822" i="3"/>
  <c r="W822" i="3" s="1"/>
  <c r="AC822" i="3" s="1"/>
  <c r="X1204" i="3"/>
  <c r="W1204" i="3" s="1"/>
  <c r="AC1204" i="3" s="1"/>
  <c r="X24" i="3"/>
  <c r="W24" i="3" s="1"/>
  <c r="AC24" i="3" s="1"/>
  <c r="X857" i="3"/>
  <c r="W857" i="3" s="1"/>
  <c r="AC857" i="3" s="1"/>
  <c r="X560" i="3"/>
  <c r="W560" i="3" s="1"/>
  <c r="AC560" i="3" s="1"/>
  <c r="X660" i="3"/>
  <c r="W660" i="3" s="1"/>
  <c r="AC660" i="3" s="1"/>
  <c r="X957" i="3"/>
  <c r="W957" i="3" s="1"/>
  <c r="AC957" i="3" s="1"/>
  <c r="X911" i="3"/>
  <c r="W911" i="3" s="1"/>
  <c r="AC911" i="3" s="1"/>
  <c r="X496" i="3"/>
  <c r="W496" i="3" s="1"/>
  <c r="AC496" i="3" s="1"/>
  <c r="X714" i="3"/>
  <c r="W714" i="3" s="1"/>
  <c r="AC714" i="3" s="1"/>
  <c r="X981" i="3"/>
  <c r="W981" i="3" s="1"/>
  <c r="AC981" i="3" s="1"/>
  <c r="X206" i="3"/>
  <c r="W206" i="3" s="1"/>
  <c r="AC206" i="3" s="1"/>
  <c r="X1246" i="3"/>
  <c r="W1246" i="3" s="1"/>
  <c r="AC1246" i="3" s="1"/>
  <c r="X853" i="3"/>
  <c r="W853" i="3" s="1"/>
  <c r="AC853" i="3" s="1"/>
  <c r="X1074" i="3"/>
  <c r="W1074" i="3" s="1"/>
  <c r="AC1074" i="3" s="1"/>
  <c r="X1104" i="3"/>
  <c r="W1104" i="3" s="1"/>
  <c r="AC1104" i="3" s="1"/>
  <c r="X354" i="3"/>
  <c r="W354" i="3" s="1"/>
  <c r="AC354" i="3" s="1"/>
  <c r="X749" i="3"/>
  <c r="W749" i="3" s="1"/>
  <c r="AC749" i="3" s="1"/>
  <c r="X1225" i="3"/>
  <c r="W1225" i="3" s="1"/>
  <c r="AC1225" i="3" s="1"/>
  <c r="X234" i="3"/>
  <c r="W234" i="3" s="1"/>
  <c r="AC234" i="3" s="1"/>
  <c r="X504" i="3"/>
  <c r="W504" i="3" s="1"/>
  <c r="AC504" i="3" s="1"/>
  <c r="X667" i="3"/>
  <c r="W667" i="3" s="1"/>
  <c r="AC667" i="3" s="1"/>
  <c r="X971" i="3"/>
  <c r="W971" i="3" s="1"/>
  <c r="AC971" i="3" s="1"/>
  <c r="X721" i="3"/>
  <c r="W721" i="3" s="1"/>
  <c r="AC721" i="3" s="1"/>
  <c r="X627" i="3"/>
  <c r="W627" i="3" s="1"/>
  <c r="AC627" i="3" s="1"/>
  <c r="X388" i="3"/>
  <c r="W388" i="3" s="1"/>
  <c r="AC388" i="3" s="1"/>
  <c r="X904" i="3"/>
  <c r="W904" i="3" s="1"/>
  <c r="AC904" i="3" s="1"/>
  <c r="X265" i="3"/>
  <c r="W265" i="3" s="1"/>
  <c r="AC265" i="3" s="1"/>
  <c r="X744" i="3"/>
  <c r="W744" i="3" s="1"/>
  <c r="AC744" i="3" s="1"/>
  <c r="X887" i="3"/>
  <c r="W887" i="3" s="1"/>
  <c r="AC887" i="3" s="1"/>
  <c r="X936" i="3"/>
  <c r="W936" i="3" s="1"/>
  <c r="AC936" i="3" s="1"/>
  <c r="X806" i="3"/>
  <c r="W806" i="3" s="1"/>
  <c r="AC806" i="3" s="1"/>
  <c r="X1109" i="3"/>
  <c r="W1109" i="3" s="1"/>
  <c r="AC1109" i="3" s="1"/>
  <c r="X702" i="3"/>
  <c r="W702" i="3" s="1"/>
  <c r="AC702" i="3" s="1"/>
  <c r="X762" i="3"/>
  <c r="W762" i="3" s="1"/>
  <c r="AC762" i="3" s="1"/>
  <c r="X1183" i="3"/>
  <c r="W1183" i="3" s="1"/>
  <c r="AC1183" i="3" s="1"/>
  <c r="X910" i="3"/>
  <c r="W910" i="3" s="1"/>
  <c r="AC910" i="3" s="1"/>
  <c r="X813" i="3"/>
  <c r="W813" i="3" s="1"/>
  <c r="AC813" i="3" s="1"/>
  <c r="X671" i="3"/>
  <c r="W671" i="3" s="1"/>
  <c r="AC671" i="3" s="1"/>
  <c r="X1238" i="3"/>
  <c r="W1238" i="3" s="1"/>
  <c r="AC1238" i="3" s="1"/>
  <c r="X1193" i="3"/>
  <c r="W1193" i="3" s="1"/>
  <c r="AC1193" i="3" s="1"/>
  <c r="X651" i="3"/>
  <c r="W651" i="3" s="1"/>
  <c r="AC651" i="3" s="1"/>
  <c r="X623" i="3"/>
  <c r="W623" i="3" s="1"/>
  <c r="AC623" i="3" s="1"/>
  <c r="X884" i="3"/>
  <c r="W884" i="3" s="1"/>
  <c r="AC884" i="3" s="1"/>
  <c r="X1215" i="3"/>
  <c r="W1215" i="3" s="1"/>
  <c r="AC1215" i="3" s="1"/>
  <c r="X965" i="3"/>
  <c r="W965" i="3" s="1"/>
  <c r="AC965" i="3" s="1"/>
  <c r="X698" i="3"/>
  <c r="W698" i="3" s="1"/>
  <c r="AC698" i="3" s="1"/>
  <c r="X892" i="3"/>
  <c r="W892" i="3" s="1"/>
  <c r="AC892" i="3" s="1"/>
  <c r="X413" i="3"/>
  <c r="W413" i="3" s="1"/>
  <c r="AC413" i="3" s="1"/>
  <c r="X732" i="3"/>
  <c r="W732" i="3" s="1"/>
  <c r="AC732" i="3" s="1"/>
  <c r="X1130" i="3"/>
  <c r="W1130" i="3" s="1"/>
  <c r="AC1130" i="3" s="1"/>
  <c r="X1208" i="3"/>
  <c r="W1208" i="3" s="1"/>
  <c r="AC1208" i="3" s="1"/>
  <c r="X1040" i="3"/>
  <c r="W1040" i="3" s="1"/>
  <c r="AC1040" i="3" s="1"/>
  <c r="X794" i="3"/>
  <c r="W794" i="3" s="1"/>
  <c r="AC794" i="3" s="1"/>
  <c r="X885" i="3"/>
  <c r="W885" i="3" s="1"/>
  <c r="AC885" i="3" s="1"/>
  <c r="X236" i="3"/>
  <c r="W236" i="3" s="1"/>
  <c r="AC236" i="3" s="1"/>
  <c r="X850" i="3"/>
  <c r="W850" i="3" s="1"/>
  <c r="AC850" i="3" s="1"/>
  <c r="X429" i="3"/>
  <c r="W429" i="3" s="1"/>
  <c r="AC429" i="3" s="1"/>
  <c r="X801" i="3"/>
  <c r="W801" i="3" s="1"/>
  <c r="AC801" i="3" s="1"/>
  <c r="X966" i="3"/>
  <c r="W966" i="3" s="1"/>
  <c r="AC966" i="3" s="1"/>
  <c r="X1234" i="3"/>
  <c r="W1234" i="3" s="1"/>
  <c r="AC1234" i="3" s="1"/>
  <c r="X903" i="3"/>
  <c r="W903" i="3" s="1"/>
  <c r="AC903" i="3" s="1"/>
  <c r="X669" i="3"/>
  <c r="W669" i="3" s="1"/>
  <c r="AC669" i="3" s="1"/>
  <c r="X756" i="3"/>
  <c r="W756" i="3" s="1"/>
  <c r="AC756" i="3" s="1"/>
  <c r="X780" i="3"/>
  <c r="W780" i="3" s="1"/>
  <c r="AC780" i="3" s="1"/>
  <c r="X974" i="3"/>
  <c r="W974" i="3" s="1"/>
  <c r="AC974" i="3" s="1"/>
  <c r="X955" i="3"/>
  <c r="W955" i="3" s="1"/>
  <c r="AC955" i="3" s="1"/>
  <c r="X1230" i="3"/>
  <c r="W1230" i="3" s="1"/>
  <c r="AC1230" i="3" s="1"/>
  <c r="X646" i="3"/>
  <c r="W646" i="3" s="1"/>
  <c r="AC646" i="3" s="1"/>
  <c r="X736" i="3"/>
  <c r="W736" i="3" s="1"/>
  <c r="AC736" i="3" s="1"/>
  <c r="X1090" i="3"/>
  <c r="W1090" i="3" s="1"/>
  <c r="AC1090" i="3" s="1"/>
  <c r="X71" i="3"/>
  <c r="W71" i="3" s="1"/>
  <c r="AC71" i="3" s="1"/>
  <c r="X943" i="3"/>
  <c r="W943" i="3" s="1"/>
  <c r="AC943" i="3" s="1"/>
  <c r="X987" i="3"/>
  <c r="W987" i="3" s="1"/>
  <c r="AC987" i="3" s="1"/>
  <c r="X773" i="3"/>
  <c r="W773" i="3" s="1"/>
  <c r="AC773" i="3" s="1"/>
  <c r="X891" i="3"/>
  <c r="W891" i="3" s="1"/>
  <c r="AC891" i="3" s="1"/>
  <c r="X1198" i="3"/>
  <c r="W1198" i="3" s="1"/>
  <c r="AC1198" i="3" s="1"/>
  <c r="X767" i="3"/>
  <c r="W767" i="3" s="1"/>
  <c r="AC767" i="3" s="1"/>
  <c r="X1447" i="3"/>
  <c r="W1447" i="3" s="1"/>
  <c r="AC1447" i="3" s="1"/>
  <c r="X874" i="3"/>
  <c r="W874" i="3" s="1"/>
  <c r="AC874" i="3" s="1"/>
  <c r="X872" i="3"/>
  <c r="W872" i="3" s="1"/>
  <c r="AC872" i="3" s="1"/>
  <c r="X919" i="3"/>
  <c r="W919" i="3" s="1"/>
  <c r="AC919" i="3" s="1"/>
  <c r="X935" i="3"/>
  <c r="W935" i="3" s="1"/>
  <c r="AC935" i="3" s="1"/>
  <c r="X1185" i="3"/>
  <c r="W1185" i="3" s="1"/>
  <c r="AC1185" i="3" s="1"/>
  <c r="X866" i="3"/>
  <c r="W866" i="3" s="1"/>
  <c r="AC866" i="3" s="1"/>
  <c r="X1239" i="3"/>
  <c r="W1239" i="3" s="1"/>
  <c r="AC1239" i="3" s="1"/>
  <c r="X706" i="3"/>
  <c r="W706" i="3" s="1"/>
  <c r="AC706" i="3" s="1"/>
  <c r="X968" i="3"/>
  <c r="W968" i="3" s="1"/>
  <c r="AC968" i="3" s="1"/>
  <c r="X619" i="3"/>
  <c r="W619" i="3" s="1"/>
  <c r="AC619" i="3" s="1"/>
  <c r="X547" i="3"/>
  <c r="W547" i="3" s="1"/>
  <c r="AC547" i="3" s="1"/>
  <c r="X953" i="3"/>
  <c r="W953" i="3" s="1"/>
  <c r="AC953" i="3" s="1"/>
  <c r="X694" i="3"/>
  <c r="W694" i="3" s="1"/>
  <c r="AC694" i="3" s="1"/>
  <c r="X879" i="3"/>
  <c r="W879" i="3" s="1"/>
  <c r="AC879" i="3" s="1"/>
  <c r="X1008" i="3"/>
  <c r="W1008" i="3" s="1"/>
  <c r="AC1008" i="3" s="1"/>
  <c r="X765" i="3"/>
  <c r="W765" i="3" s="1"/>
  <c r="AC765" i="3" s="1"/>
  <c r="X1148" i="3"/>
  <c r="W1148" i="3" s="1"/>
  <c r="AC1148" i="3" s="1"/>
  <c r="X296" i="3"/>
  <c r="W296" i="3" s="1"/>
  <c r="AC296" i="3" s="1"/>
  <c r="X1043" i="3"/>
  <c r="W1043" i="3" s="1"/>
  <c r="AC1043" i="3" s="1"/>
  <c r="X653" i="3"/>
  <c r="W653" i="3" s="1"/>
  <c r="AC653" i="3" s="1"/>
  <c r="X1093" i="3"/>
  <c r="W1093" i="3" s="1"/>
  <c r="AC1093" i="3" s="1"/>
  <c r="X787" i="3"/>
  <c r="W787" i="3" s="1"/>
  <c r="AC787" i="3" s="1"/>
  <c r="X342" i="3"/>
  <c r="W342" i="3" s="1"/>
  <c r="AC342" i="3" s="1"/>
  <c r="X145" i="3"/>
  <c r="W145" i="3" s="1"/>
  <c r="AC145" i="3" s="1"/>
  <c r="X789" i="3"/>
  <c r="W789" i="3" s="1"/>
  <c r="AC789" i="3" s="1"/>
  <c r="X1157" i="3"/>
  <c r="W1157" i="3" s="1"/>
  <c r="AC1157" i="3" s="1"/>
  <c r="X750" i="3"/>
  <c r="W750" i="3" s="1"/>
  <c r="AC750" i="3" s="1"/>
  <c r="X1045" i="3"/>
  <c r="W1045" i="3" s="1"/>
  <c r="AC1045" i="3" s="1"/>
  <c r="X1061" i="3"/>
  <c r="W1061" i="3" s="1"/>
  <c r="AC1061" i="3" s="1"/>
  <c r="X1155" i="3"/>
  <c r="W1155" i="3" s="1"/>
  <c r="AC1155" i="3" s="1"/>
  <c r="X314" i="3"/>
  <c r="W314" i="3" s="1"/>
  <c r="AC314" i="3" s="1"/>
  <c r="X711" i="3"/>
  <c r="W711" i="3" s="1"/>
  <c r="AC711" i="3" s="1"/>
  <c r="X797" i="3"/>
  <c r="W797" i="3" s="1"/>
  <c r="AC797" i="3" s="1"/>
  <c r="X959" i="3"/>
  <c r="W959" i="3" s="1"/>
  <c r="AC959" i="3" s="1"/>
  <c r="X1103" i="3"/>
  <c r="W1103" i="3" s="1"/>
  <c r="AC1103" i="3" s="1"/>
  <c r="X814" i="3"/>
  <c r="W814" i="3" s="1"/>
  <c r="AC814" i="3" s="1"/>
  <c r="X1000" i="3"/>
  <c r="W1000" i="3" s="1"/>
  <c r="AC1000" i="3" s="1"/>
  <c r="X215" i="3"/>
  <c r="W215" i="3" s="1"/>
  <c r="AC215" i="3" s="1"/>
  <c r="X1307" i="3"/>
  <c r="W1307" i="3" s="1"/>
  <c r="AC1307" i="3" s="1"/>
  <c r="X1007" i="3"/>
  <c r="W1007" i="3" s="1"/>
  <c r="AC1007" i="3" s="1"/>
  <c r="X376" i="3"/>
  <c r="W376" i="3" s="1"/>
  <c r="AC376" i="3" s="1"/>
  <c r="X256" i="3"/>
  <c r="W256" i="3" s="1"/>
  <c r="AC256" i="3" s="1"/>
  <c r="X877" i="3"/>
  <c r="W877" i="3" s="1"/>
  <c r="AC877" i="3" s="1"/>
  <c r="X1029" i="3"/>
  <c r="W1029" i="3" s="1"/>
  <c r="AC1029" i="3" s="1"/>
  <c r="X668" i="3"/>
  <c r="W668" i="3" s="1"/>
  <c r="AC668" i="3" s="1"/>
  <c r="X1033" i="3"/>
  <c r="W1033" i="3" s="1"/>
  <c r="AC1033" i="3" s="1"/>
  <c r="X213" i="3"/>
  <c r="W213" i="3" s="1"/>
  <c r="AC213" i="3" s="1"/>
  <c r="X1005" i="3"/>
  <c r="W1005" i="3" s="1"/>
  <c r="AC1005" i="3" s="1"/>
  <c r="X1106" i="3"/>
  <c r="W1106" i="3" s="1"/>
  <c r="AC1106" i="3" s="1"/>
  <c r="X841" i="3"/>
  <c r="W841" i="3" s="1"/>
  <c r="AC841" i="3" s="1"/>
  <c r="X862" i="3"/>
  <c r="W862" i="3" s="1"/>
  <c r="AC862" i="3" s="1"/>
  <c r="X266" i="3"/>
  <c r="W266" i="3" s="1"/>
  <c r="AC266" i="3" s="1"/>
  <c r="X909" i="3"/>
  <c r="W909" i="3" s="1"/>
  <c r="AC909" i="3" s="1"/>
  <c r="X31" i="3"/>
  <c r="W31" i="3" s="1"/>
  <c r="AC31" i="3" s="1"/>
  <c r="X901" i="3"/>
  <c r="W901" i="3" s="1"/>
  <c r="AC901" i="3" s="1"/>
  <c r="X243" i="3"/>
  <c r="W243" i="3" s="1"/>
  <c r="AC243" i="3" s="1"/>
  <c r="X705" i="3"/>
  <c r="W705" i="3" s="1"/>
  <c r="AC705" i="3" s="1"/>
  <c r="X1143" i="3"/>
  <c r="W1143" i="3" s="1"/>
  <c r="AC1143" i="3" s="1"/>
  <c r="X1092" i="3"/>
  <c r="W1092" i="3" s="1"/>
  <c r="AC1092" i="3" s="1"/>
  <c r="X1058" i="3"/>
  <c r="W1058" i="3" s="1"/>
  <c r="AC1058" i="3" s="1"/>
  <c r="X1129" i="3"/>
  <c r="W1129" i="3" s="1"/>
  <c r="AC1129" i="3" s="1"/>
  <c r="X1170" i="3"/>
  <c r="W1170" i="3" s="1"/>
  <c r="AC1170" i="3" s="1"/>
  <c r="X1210" i="3"/>
  <c r="W1210" i="3" s="1"/>
  <c r="AC1210" i="3" s="1"/>
  <c r="X718" i="3"/>
  <c r="W718" i="3" s="1"/>
  <c r="AC718" i="3" s="1"/>
  <c r="X798" i="3"/>
  <c r="W798" i="3" s="1"/>
  <c r="AC798" i="3" s="1"/>
  <c r="X1133" i="3"/>
  <c r="W1133" i="3" s="1"/>
  <c r="AC1133" i="3" s="1"/>
  <c r="X1209" i="3"/>
  <c r="W1209" i="3" s="1"/>
  <c r="AC1209" i="3" s="1"/>
  <c r="X1004" i="3"/>
  <c r="W1004" i="3" s="1"/>
  <c r="AC1004" i="3" s="1"/>
  <c r="X821" i="3"/>
  <c r="W821" i="3" s="1"/>
  <c r="AC821" i="3" s="1"/>
  <c r="X863" i="3"/>
  <c r="W863" i="3" s="1"/>
  <c r="AC863" i="3" s="1"/>
  <c r="X614" i="3"/>
  <c r="W614" i="3" s="1"/>
  <c r="AC614" i="3" s="1"/>
  <c r="X548" i="3"/>
  <c r="W548" i="3" s="1"/>
  <c r="AC548" i="3" s="1"/>
  <c r="X1053" i="3"/>
  <c r="W1053" i="3" s="1"/>
  <c r="AC1053" i="3" s="1"/>
  <c r="X223" i="3"/>
  <c r="W223" i="3" s="1"/>
  <c r="AC223" i="3" s="1"/>
  <c r="X83" i="3"/>
  <c r="W83" i="3" s="1"/>
  <c r="AC83" i="3" s="1"/>
  <c r="X951" i="3"/>
  <c r="W951" i="3" s="1"/>
  <c r="AC951" i="3" s="1"/>
  <c r="X1070" i="3"/>
  <c r="W1070" i="3" s="1"/>
  <c r="AC1070" i="3" s="1"/>
  <c r="X658" i="3"/>
  <c r="W658" i="3" s="1"/>
  <c r="AC658" i="3" s="1"/>
  <c r="X1472" i="3"/>
  <c r="W1472" i="3" s="1"/>
  <c r="AC1472" i="3" s="1"/>
  <c r="X611" i="3"/>
  <c r="W611" i="3" s="1"/>
  <c r="AC611" i="3" s="1"/>
  <c r="X781" i="3"/>
  <c r="W781" i="3" s="1"/>
  <c r="AC781" i="3" s="1"/>
  <c r="X742" i="3"/>
  <c r="W742" i="3" s="1"/>
  <c r="AC742" i="3" s="1"/>
  <c r="X139" i="3"/>
  <c r="W139" i="3" s="1"/>
  <c r="AC139" i="3" s="1"/>
  <c r="X218" i="3"/>
  <c r="W218" i="3" s="1"/>
  <c r="AC218" i="3" s="1"/>
  <c r="X819" i="3"/>
  <c r="W819" i="3" s="1"/>
  <c r="AC819" i="3" s="1"/>
  <c r="X925" i="3"/>
  <c r="W925" i="3" s="1"/>
  <c r="AC925" i="3" s="1"/>
  <c r="X783" i="3"/>
  <c r="W783" i="3" s="1"/>
  <c r="AC783" i="3" s="1"/>
  <c r="X650" i="3"/>
  <c r="W650" i="3" s="1"/>
  <c r="AC650" i="3" s="1"/>
  <c r="X998" i="3"/>
  <c r="W998" i="3" s="1"/>
  <c r="AC998" i="3" s="1"/>
  <c r="X353" i="3"/>
  <c r="W353" i="3" s="1"/>
  <c r="AC353" i="3" s="1"/>
  <c r="X410" i="3"/>
  <c r="W410" i="3" s="1"/>
  <c r="AC410" i="3" s="1"/>
  <c r="X635" i="3"/>
  <c r="W635" i="3" s="1"/>
  <c r="AC635" i="3" s="1"/>
  <c r="X1249" i="3"/>
  <c r="W1249" i="3" s="1"/>
  <c r="AC1249" i="3" s="1"/>
  <c r="X58" i="3"/>
  <c r="W58" i="3" s="1"/>
  <c r="AC58" i="3" s="1"/>
  <c r="X984" i="3"/>
  <c r="W984" i="3" s="1"/>
  <c r="AC984" i="3" s="1"/>
  <c r="X1097" i="3"/>
  <c r="W1097" i="3" s="1"/>
  <c r="AC1097" i="3" s="1"/>
  <c r="X260" i="3"/>
  <c r="W260" i="3" s="1"/>
  <c r="AC260" i="3" s="1"/>
  <c r="X165" i="3"/>
  <c r="W165" i="3" s="1"/>
  <c r="AC165" i="3" s="1"/>
  <c r="X425" i="3"/>
  <c r="W425" i="3" s="1"/>
  <c r="AC425" i="3" s="1"/>
  <c r="X1233" i="3"/>
  <c r="W1233" i="3" s="1"/>
  <c r="AC1233" i="3" s="1"/>
  <c r="X546" i="3"/>
  <c r="W546" i="3" s="1"/>
  <c r="AC546" i="3" s="1"/>
  <c r="X912" i="3"/>
  <c r="W912" i="3" s="1"/>
  <c r="AC912" i="3" s="1"/>
  <c r="X956" i="3"/>
  <c r="W956" i="3" s="1"/>
  <c r="AC956" i="3" s="1"/>
  <c r="X941" i="3"/>
  <c r="W941" i="3" s="1"/>
  <c r="AC941" i="3" s="1"/>
  <c r="X603" i="3"/>
  <c r="W603" i="3" s="1"/>
  <c r="AC603" i="3" s="1"/>
  <c r="X978" i="3"/>
  <c r="W978" i="3" s="1"/>
  <c r="AC978" i="3" s="1"/>
  <c r="X1062" i="3"/>
  <c r="W1062" i="3" s="1"/>
  <c r="AC1062" i="3" s="1"/>
  <c r="X613" i="3"/>
  <c r="W613" i="3" s="1"/>
  <c r="AC613" i="3" s="1"/>
  <c r="X1052" i="3"/>
  <c r="W1052" i="3" s="1"/>
  <c r="AC1052" i="3" s="1"/>
  <c r="X828" i="3"/>
  <c r="W828" i="3" s="1"/>
  <c r="AC828" i="3" s="1"/>
  <c r="X70" i="3"/>
  <c r="W70" i="3" s="1"/>
  <c r="AC70" i="3" s="1"/>
  <c r="X1002" i="3"/>
  <c r="W1002" i="3" s="1"/>
  <c r="AC1002" i="3" s="1"/>
  <c r="X1096" i="3"/>
  <c r="W1096" i="3" s="1"/>
  <c r="AC1096" i="3" s="1"/>
  <c r="X920" i="3"/>
  <c r="W920" i="3" s="1"/>
  <c r="AC920" i="3" s="1"/>
  <c r="X675" i="3"/>
  <c r="W675" i="3" s="1"/>
  <c r="AC675" i="3" s="1"/>
  <c r="X1151" i="3"/>
  <c r="W1151" i="3" s="1"/>
  <c r="AC1151" i="3" s="1"/>
  <c r="X774" i="3"/>
  <c r="W774" i="3" s="1"/>
  <c r="AC774" i="3" s="1"/>
  <c r="X1127" i="3"/>
  <c r="W1127" i="3" s="1"/>
  <c r="AC1127" i="3" s="1"/>
  <c r="X997" i="3"/>
  <c r="W997" i="3" s="1"/>
  <c r="AC997" i="3" s="1"/>
  <c r="X1055" i="3"/>
  <c r="W1055" i="3" s="1"/>
  <c r="X735" i="3"/>
  <c r="W735" i="3" s="1"/>
  <c r="X541" i="3"/>
  <c r="W541" i="3" s="1"/>
  <c r="AC541" i="3" s="1"/>
  <c r="X323" i="3"/>
  <c r="W323" i="3" s="1"/>
  <c r="AC323" i="3" s="1"/>
  <c r="X1076" i="3"/>
  <c r="W1076" i="3" s="1"/>
  <c r="X952" i="3"/>
  <c r="W952" i="3" s="1"/>
  <c r="X588" i="3"/>
  <c r="W588" i="3" s="1"/>
  <c r="AC588" i="3" s="1"/>
  <c r="X657" i="3"/>
  <c r="W657" i="3" s="1"/>
  <c r="X456" i="3"/>
  <c r="W456" i="3" s="1"/>
  <c r="AC456" i="3" s="1"/>
  <c r="X1120" i="3"/>
  <c r="W1120" i="3" s="1"/>
  <c r="X1105" i="3"/>
  <c r="W1105" i="3" s="1"/>
  <c r="X769" i="3"/>
  <c r="W769" i="3" s="1"/>
  <c r="X375" i="3"/>
  <c r="W375" i="3" s="1"/>
  <c r="AC375" i="3" s="1"/>
  <c r="X248" i="3"/>
  <c r="W248" i="3" s="1"/>
  <c r="AC248" i="3" s="1"/>
  <c r="X74" i="3"/>
  <c r="W74" i="3" s="1"/>
  <c r="AC74" i="3" s="1"/>
  <c r="X156" i="3"/>
  <c r="W156" i="3" s="1"/>
  <c r="AC156" i="3" s="1"/>
  <c r="X1050" i="3"/>
  <c r="W1050" i="3" s="1"/>
  <c r="X730" i="3"/>
  <c r="W730" i="3" s="1"/>
  <c r="X543" i="3"/>
  <c r="W543" i="3" s="1"/>
  <c r="AC543" i="3" s="1"/>
  <c r="X229" i="3"/>
  <c r="W229" i="3" s="1"/>
  <c r="AC229" i="3" s="1"/>
  <c r="X53" i="3"/>
  <c r="W53" i="3" s="1"/>
  <c r="AC53" i="3" s="1"/>
  <c r="X1017" i="3"/>
  <c r="W1017" i="3" s="1"/>
  <c r="X716" i="3"/>
  <c r="W716" i="3" s="1"/>
  <c r="X245" i="3"/>
  <c r="W245" i="3" s="1"/>
  <c r="AC245" i="3" s="1"/>
  <c r="X203" i="3"/>
  <c r="W203" i="3" s="1"/>
  <c r="AC203" i="3" s="1"/>
  <c r="X1344" i="3"/>
  <c r="W1344" i="3" s="1"/>
  <c r="X590" i="3"/>
  <c r="W590" i="3" s="1"/>
  <c r="AC590" i="3" s="1"/>
  <c r="X688" i="3"/>
  <c r="W688" i="3" s="1"/>
  <c r="X114" i="3"/>
  <c r="W114" i="3" s="1"/>
  <c r="AC114" i="3" s="1"/>
  <c r="X196" i="3"/>
  <c r="W196" i="3" s="1"/>
  <c r="AC196" i="3" s="1"/>
  <c r="X1301" i="3"/>
  <c r="W1301" i="3" s="1"/>
  <c r="X500" i="3"/>
  <c r="W500" i="3" s="1"/>
  <c r="AC500" i="3" s="1"/>
  <c r="X317" i="3"/>
  <c r="W317" i="3" s="1"/>
  <c r="AC317" i="3" s="1"/>
  <c r="X1299" i="3"/>
  <c r="W1299" i="3" s="1"/>
  <c r="X865" i="3"/>
  <c r="W865" i="3" s="1"/>
  <c r="X352" i="3"/>
  <c r="W352" i="3" s="1"/>
  <c r="AC352" i="3" s="1"/>
  <c r="X516" i="3"/>
  <c r="W516" i="3" s="1"/>
  <c r="AC516" i="3" s="1"/>
  <c r="X302" i="3"/>
  <c r="W302" i="3" s="1"/>
  <c r="AC302" i="3" s="1"/>
  <c r="X905" i="3"/>
  <c r="W905" i="3" s="1"/>
  <c r="AC905" i="3" s="1"/>
  <c r="X77" i="3"/>
  <c r="W77" i="3" s="1"/>
  <c r="AC77" i="3" s="1"/>
  <c r="X38" i="3"/>
  <c r="W38" i="3" s="1"/>
  <c r="AC38" i="3" s="1"/>
  <c r="X1166" i="3"/>
  <c r="W1166" i="3" s="1"/>
  <c r="AC1166" i="3" s="1"/>
  <c r="X937" i="3"/>
  <c r="W937" i="3" s="1"/>
  <c r="X677" i="3"/>
  <c r="W677" i="3" s="1"/>
  <c r="X499" i="3"/>
  <c r="W499" i="3" s="1"/>
  <c r="AC499" i="3" s="1"/>
  <c r="X1229" i="3"/>
  <c r="W1229" i="3" s="1"/>
  <c r="X856" i="3"/>
  <c r="W856" i="3" s="1"/>
  <c r="X746" i="3"/>
  <c r="W746" i="3" s="1"/>
  <c r="X268" i="3"/>
  <c r="W268" i="3" s="1"/>
  <c r="AC268" i="3" s="1"/>
  <c r="X486" i="3"/>
  <c r="W486" i="3" s="1"/>
  <c r="AC486" i="3" s="1"/>
  <c r="X79" i="3"/>
  <c r="W79" i="3" s="1"/>
  <c r="AC79" i="3" s="1"/>
  <c r="X994" i="3"/>
  <c r="W994" i="3" s="1"/>
  <c r="X1067" i="3"/>
  <c r="W1067" i="3" s="1"/>
  <c r="X734" i="3"/>
  <c r="W734" i="3" s="1"/>
  <c r="X118" i="3"/>
  <c r="W118" i="3" s="1"/>
  <c r="AC118" i="3" s="1"/>
  <c r="X281" i="3"/>
  <c r="W281" i="3" s="1"/>
  <c r="AC281" i="3" s="1"/>
  <c r="X68" i="3"/>
  <c r="W68" i="3" s="1"/>
  <c r="AC68" i="3" s="1"/>
  <c r="X51" i="3"/>
  <c r="W51" i="3" s="1"/>
  <c r="AC51" i="3" s="1"/>
  <c r="X562" i="3"/>
  <c r="W562" i="3" s="1"/>
  <c r="AC562" i="3" s="1"/>
  <c r="X719" i="3"/>
  <c r="W719" i="3" s="1"/>
  <c r="X285" i="3"/>
  <c r="W285" i="3" s="1"/>
  <c r="AC285" i="3" s="1"/>
  <c r="X254" i="3"/>
  <c r="W254" i="3" s="1"/>
  <c r="AC254" i="3" s="1"/>
  <c r="X1352" i="3"/>
  <c r="W1352" i="3" s="1"/>
  <c r="X963" i="3"/>
  <c r="W963" i="3" s="1"/>
  <c r="X690" i="3"/>
  <c r="W690" i="3" s="1"/>
  <c r="X441" i="3"/>
  <c r="W441" i="3" s="1"/>
  <c r="AC441" i="3" s="1"/>
  <c r="X33" i="3"/>
  <c r="W33" i="3" s="1"/>
  <c r="AC33" i="3" s="1"/>
  <c r="X1305" i="3"/>
  <c r="W1305" i="3" s="1"/>
  <c r="X927" i="3"/>
  <c r="W927" i="3" s="1"/>
  <c r="X661" i="3"/>
  <c r="W661" i="3" s="1"/>
  <c r="X263" i="3"/>
  <c r="W263" i="3" s="1"/>
  <c r="AC263" i="3" s="1"/>
  <c r="X280" i="3"/>
  <c r="W280" i="3" s="1"/>
  <c r="AC280" i="3" s="1"/>
  <c r="X1264" i="3"/>
  <c r="W1264" i="3" s="1"/>
  <c r="X178" i="3"/>
  <c r="W178" i="3" s="1"/>
  <c r="AC178" i="3" s="1"/>
  <c r="X305" i="3"/>
  <c r="W305" i="3" s="1"/>
  <c r="AC305" i="3" s="1"/>
  <c r="X1263" i="3"/>
  <c r="W1263" i="3" s="1"/>
  <c r="X831" i="3"/>
  <c r="W831" i="3" s="1"/>
  <c r="X639" i="3"/>
  <c r="W639" i="3" s="1"/>
  <c r="X275" i="3"/>
  <c r="W275" i="3" s="1"/>
  <c r="AC275" i="3" s="1"/>
  <c r="X20" i="3"/>
  <c r="W20" i="3" s="1"/>
  <c r="AC20" i="3" s="1"/>
  <c r="X1118" i="3"/>
  <c r="W1118" i="3" s="1"/>
  <c r="AC1118" i="3" s="1"/>
  <c r="X917" i="3"/>
  <c r="W917" i="3" s="1"/>
  <c r="AC917" i="3" s="1"/>
  <c r="X1063" i="3"/>
  <c r="W1063" i="3" s="1"/>
  <c r="AC1063" i="3" s="1"/>
  <c r="X1013" i="3"/>
  <c r="W1013" i="3" s="1"/>
  <c r="AC1013" i="3" s="1"/>
  <c r="X1136" i="3"/>
  <c r="W1136" i="3" s="1"/>
  <c r="AC1136" i="3" s="1"/>
  <c r="X743" i="3"/>
  <c r="W743" i="3" s="1"/>
  <c r="AC743" i="3" s="1"/>
  <c r="X478" i="3"/>
  <c r="W478" i="3" s="1"/>
  <c r="AC478" i="3" s="1"/>
  <c r="X1272" i="3"/>
  <c r="W1272" i="3" s="1"/>
  <c r="X175" i="3"/>
  <c r="W175" i="3" s="1"/>
  <c r="AC175" i="3" s="1"/>
  <c r="X986" i="3"/>
  <c r="W986" i="3" s="1"/>
  <c r="X751" i="3"/>
  <c r="W751" i="3" s="1"/>
  <c r="X683" i="3"/>
  <c r="W683" i="3" s="1"/>
  <c r="X200" i="3"/>
  <c r="W200" i="3" s="1"/>
  <c r="AC200" i="3" s="1"/>
  <c r="X187" i="3"/>
  <c r="W187" i="3" s="1"/>
  <c r="AC187" i="3" s="1"/>
  <c r="X1164" i="3"/>
  <c r="W1164" i="3" s="1"/>
  <c r="X786" i="3"/>
  <c r="W786" i="3" s="1"/>
  <c r="X1027" i="3"/>
  <c r="W1027" i="3" s="1"/>
  <c r="X722" i="3"/>
  <c r="W722" i="3" s="1"/>
  <c r="X98" i="3"/>
  <c r="W98" i="3" s="1"/>
  <c r="AC98" i="3" s="1"/>
  <c r="X476" i="3"/>
  <c r="W476" i="3" s="1"/>
  <c r="AC476" i="3" s="1"/>
  <c r="X6" i="3"/>
  <c r="W6" i="3" s="1"/>
  <c r="AC6" i="3" s="1"/>
  <c r="X22" i="3"/>
  <c r="W22" i="3" s="1"/>
  <c r="AC22" i="3" s="1"/>
  <c r="X969" i="3"/>
  <c r="W969" i="3" s="1"/>
  <c r="X696" i="3"/>
  <c r="W696" i="3" s="1"/>
  <c r="X228" i="3"/>
  <c r="W228" i="3" s="1"/>
  <c r="AC228" i="3" s="1"/>
  <c r="X401" i="3"/>
  <c r="W401" i="3" s="1"/>
  <c r="AC401" i="3" s="1"/>
  <c r="X1315" i="3"/>
  <c r="W1315" i="3" s="1"/>
  <c r="X933" i="3"/>
  <c r="W933" i="3" s="1"/>
  <c r="X563" i="3"/>
  <c r="W563" i="3" s="1"/>
  <c r="AC563" i="3" s="1"/>
  <c r="X503" i="3"/>
  <c r="W503" i="3" s="1"/>
  <c r="AC503" i="3" s="1"/>
  <c r="X52" i="3"/>
  <c r="W52" i="3" s="1"/>
  <c r="AC52" i="3" s="1"/>
  <c r="X1270" i="3"/>
  <c r="W1270" i="3" s="1"/>
  <c r="X587" i="3"/>
  <c r="W587" i="3" s="1"/>
  <c r="AC587" i="3" s="1"/>
  <c r="X448" i="3"/>
  <c r="W448" i="3" s="1"/>
  <c r="AC448" i="3" s="1"/>
  <c r="X310" i="3"/>
  <c r="W310" i="3" s="1"/>
  <c r="AC310" i="3" s="1"/>
  <c r="X185" i="3"/>
  <c r="W185" i="3" s="1"/>
  <c r="AC185" i="3" s="1"/>
  <c r="X568" i="3"/>
  <c r="W568" i="3" s="1"/>
  <c r="AC568" i="3" s="1"/>
  <c r="X337" i="3"/>
  <c r="W337" i="3" s="1"/>
  <c r="AC337" i="3" s="1"/>
  <c r="X191" i="3"/>
  <c r="W191" i="3" s="1"/>
  <c r="AC191" i="3" s="1"/>
  <c r="X1128" i="3"/>
  <c r="W1128" i="3" s="1"/>
  <c r="X790" i="3"/>
  <c r="W790" i="3" s="1"/>
  <c r="X470" i="3"/>
  <c r="W470" i="3" s="1"/>
  <c r="AC470" i="3" s="1"/>
  <c r="X293" i="3"/>
  <c r="W293" i="3" s="1"/>
  <c r="AC293" i="3" s="1"/>
  <c r="X1161" i="3"/>
  <c r="W1161" i="3" s="1"/>
  <c r="AC1161" i="3" s="1"/>
  <c r="X996" i="3"/>
  <c r="W996" i="3" s="1"/>
  <c r="AC996" i="3" s="1"/>
  <c r="X1227" i="3"/>
  <c r="W1227" i="3" s="1"/>
  <c r="AC1227" i="3" s="1"/>
  <c r="X1031" i="3"/>
  <c r="W1031" i="3" s="1"/>
  <c r="AC1031" i="3" s="1"/>
  <c r="X1001" i="3"/>
  <c r="W1001" i="3" s="1"/>
  <c r="AC1001" i="3" s="1"/>
  <c r="X1176" i="3"/>
  <c r="W1176" i="3" s="1"/>
  <c r="AC1176" i="3" s="1"/>
  <c r="X1173" i="3"/>
  <c r="W1173" i="3" s="1"/>
  <c r="AC1173" i="3" s="1"/>
  <c r="X1018" i="3"/>
  <c r="W1018" i="3" s="1"/>
  <c r="AC1018" i="3" s="1"/>
  <c r="X972" i="3"/>
  <c r="W972" i="3" s="1"/>
  <c r="AC972" i="3" s="1"/>
  <c r="X803" i="3"/>
  <c r="W803" i="3" s="1"/>
  <c r="AC803" i="3" s="1"/>
  <c r="X1228" i="3"/>
  <c r="W1228" i="3" s="1"/>
  <c r="AC1228" i="3" s="1"/>
  <c r="X1083" i="3"/>
  <c r="W1083" i="3" s="1"/>
  <c r="AC1083" i="3" s="1"/>
  <c r="X757" i="3"/>
  <c r="W757" i="3" s="1"/>
  <c r="AC757" i="3" s="1"/>
  <c r="X1512" i="3"/>
  <c r="W1512" i="3" s="1"/>
  <c r="AC1512" i="3" s="1"/>
  <c r="X1057" i="3"/>
  <c r="W1057" i="3" s="1"/>
  <c r="AC1057" i="3" s="1"/>
  <c r="X880" i="3"/>
  <c r="W880" i="3" s="1"/>
  <c r="AC880" i="3" s="1"/>
  <c r="X1075" i="3"/>
  <c r="W1075" i="3" s="1"/>
  <c r="AC1075" i="3" s="1"/>
  <c r="X16" i="3"/>
  <c r="W16" i="3" s="1"/>
  <c r="AC16" i="3" s="1"/>
  <c r="X1236" i="3"/>
  <c r="W1236" i="3" s="1"/>
  <c r="AC1236" i="3" s="1"/>
  <c r="X495" i="3"/>
  <c r="W495" i="3" s="1"/>
  <c r="AC495" i="3" s="1"/>
  <c r="X704" i="3"/>
  <c r="W704" i="3" s="1"/>
  <c r="AC704" i="3" s="1"/>
  <c r="X1251" i="3"/>
  <c r="W1251" i="3" s="1"/>
  <c r="AC1251" i="3" s="1"/>
  <c r="X906" i="3"/>
  <c r="W906" i="3" s="1"/>
  <c r="AC906" i="3" s="1"/>
  <c r="X1462" i="3"/>
  <c r="W1462" i="3" s="1"/>
  <c r="AC1462" i="3" s="1"/>
  <c r="X647" i="3"/>
  <c r="W647" i="3" s="1"/>
  <c r="AC647" i="3" s="1"/>
  <c r="X836" i="3"/>
  <c r="W836" i="3" s="1"/>
  <c r="AC836" i="3" s="1"/>
  <c r="X1363" i="3"/>
  <c r="W1363" i="3" s="1"/>
  <c r="AC1363" i="3" s="1"/>
  <c r="X778" i="3"/>
  <c r="W778" i="3" s="1"/>
  <c r="AC778" i="3" s="1"/>
  <c r="X1282" i="3"/>
  <c r="W1282" i="3" s="1"/>
  <c r="AC1282" i="3" s="1"/>
  <c r="X1202" i="3"/>
  <c r="W1202" i="3" s="1"/>
  <c r="AC1202" i="3" s="1"/>
  <c r="X771" i="3"/>
  <c r="W771" i="3" s="1"/>
  <c r="X591" i="3"/>
  <c r="W591" i="3" s="1"/>
  <c r="AC591" i="3" s="1"/>
  <c r="X720" i="3"/>
  <c r="W720" i="3" s="1"/>
  <c r="X380" i="3"/>
  <c r="W380" i="3" s="1"/>
  <c r="AC380" i="3" s="1"/>
  <c r="X867" i="3"/>
  <c r="W867" i="3" s="1"/>
  <c r="X461" i="3"/>
  <c r="W461" i="3" s="1"/>
  <c r="AC461" i="3" s="1"/>
  <c r="X251" i="3"/>
  <c r="W251" i="3" s="1"/>
  <c r="AC251" i="3" s="1"/>
  <c r="X1293" i="3"/>
  <c r="W1293" i="3" s="1"/>
  <c r="X1259" i="3"/>
  <c r="W1259" i="3" s="1"/>
  <c r="X897" i="3"/>
  <c r="W897" i="3" s="1"/>
  <c r="X709" i="3"/>
  <c r="W709" i="3" s="1"/>
  <c r="X980" i="3"/>
  <c r="W980" i="3" s="1"/>
  <c r="X699" i="3"/>
  <c r="W699" i="3" s="1"/>
  <c r="X390" i="3"/>
  <c r="W390" i="3" s="1"/>
  <c r="AC390" i="3" s="1"/>
  <c r="X46" i="3"/>
  <c r="W46" i="3" s="1"/>
  <c r="AC46" i="3" s="1"/>
  <c r="X1329" i="3"/>
  <c r="W1329" i="3" s="1"/>
  <c r="X1398" i="3"/>
  <c r="W1398" i="3" s="1"/>
  <c r="X938" i="3"/>
  <c r="W938" i="3" s="1"/>
  <c r="X664" i="3"/>
  <c r="W664" i="3" s="1"/>
  <c r="X349" i="3"/>
  <c r="W349" i="3" s="1"/>
  <c r="AC349" i="3" s="1"/>
  <c r="X377" i="3"/>
  <c r="W377" i="3" s="1"/>
  <c r="AC377" i="3" s="1"/>
  <c r="X1275" i="3"/>
  <c r="W1275" i="3" s="1"/>
  <c r="X882" i="3"/>
  <c r="W882" i="3" s="1"/>
  <c r="X649" i="3"/>
  <c r="W649" i="3" s="1"/>
  <c r="X387" i="3"/>
  <c r="W387" i="3" s="1"/>
  <c r="AC387" i="3" s="1"/>
  <c r="X194" i="3"/>
  <c r="W194" i="3" s="1"/>
  <c r="AC194" i="3" s="1"/>
  <c r="X1254" i="3"/>
  <c r="W1254" i="3" s="1"/>
  <c r="X840" i="3"/>
  <c r="W840" i="3" s="1"/>
  <c r="X534" i="3"/>
  <c r="W534" i="3" s="1"/>
  <c r="AC534" i="3" s="1"/>
  <c r="X396" i="3"/>
  <c r="W396" i="3" s="1"/>
  <c r="AC396" i="3" s="1"/>
  <c r="X143" i="3"/>
  <c r="W143" i="3" s="1"/>
  <c r="AC143" i="3" s="1"/>
  <c r="X536" i="3"/>
  <c r="W536" i="3" s="1"/>
  <c r="AC536" i="3" s="1"/>
  <c r="X340" i="3"/>
  <c r="W340" i="3" s="1"/>
  <c r="AC340" i="3" s="1"/>
  <c r="X126" i="3"/>
  <c r="W126" i="3" s="1"/>
  <c r="AC126" i="3" s="1"/>
  <c r="X585" i="3"/>
  <c r="W585" i="3" s="1"/>
  <c r="AC585" i="3" s="1"/>
  <c r="X497" i="3"/>
  <c r="W497" i="3" s="1"/>
  <c r="AC497" i="3" s="1"/>
  <c r="X506" i="3"/>
  <c r="W506" i="3" s="1"/>
  <c r="AC506" i="3" s="1"/>
  <c r="X434" i="3"/>
  <c r="W434" i="3" s="1"/>
  <c r="AC434" i="3" s="1"/>
  <c r="X9" i="3"/>
  <c r="W9" i="3" s="1"/>
  <c r="AC9" i="3" s="1"/>
  <c r="X849" i="3"/>
  <c r="W849" i="3" s="1"/>
  <c r="AC849" i="3" s="1"/>
  <c r="X678" i="3"/>
  <c r="W678" i="3" s="1"/>
  <c r="AC678" i="3" s="1"/>
  <c r="X990" i="3"/>
  <c r="W990" i="3" s="1"/>
  <c r="AC990" i="3" s="1"/>
  <c r="X607" i="3"/>
  <c r="W607" i="3" s="1"/>
  <c r="AC607" i="3" s="1"/>
  <c r="X745" i="3"/>
  <c r="W745" i="3" s="1"/>
  <c r="AC745" i="3" s="1"/>
  <c r="X988" i="3"/>
  <c r="W988" i="3" s="1"/>
  <c r="AC988" i="3" s="1"/>
  <c r="X1047" i="3"/>
  <c r="W1047" i="3" s="1"/>
  <c r="AC1047" i="3" s="1"/>
  <c r="X625" i="3"/>
  <c r="W625" i="3" s="1"/>
  <c r="AC625" i="3" s="1"/>
  <c r="X795" i="3"/>
  <c r="W795" i="3" s="1"/>
  <c r="AC795" i="3" s="1"/>
  <c r="X153" i="3"/>
  <c r="W153" i="3" s="1"/>
  <c r="AC153" i="3" s="1"/>
  <c r="X852" i="3"/>
  <c r="W852" i="3" s="1"/>
  <c r="AC852" i="3" s="1"/>
  <c r="X1199" i="3"/>
  <c r="W1199" i="3" s="1"/>
  <c r="AC1199" i="3" s="1"/>
  <c r="X572" i="3"/>
  <c r="W572" i="3" s="1"/>
  <c r="AC572" i="3" s="1"/>
  <c r="X567" i="3"/>
  <c r="W567" i="3" s="1"/>
  <c r="AC567" i="3" s="1"/>
  <c r="X697" i="3"/>
  <c r="W697" i="3" s="1"/>
  <c r="X824" i="3"/>
  <c r="W824" i="3" s="1"/>
  <c r="X700" i="3"/>
  <c r="W700" i="3" s="1"/>
  <c r="X457" i="3"/>
  <c r="W457" i="3" s="1"/>
  <c r="AC457" i="3" s="1"/>
  <c r="X312" i="3"/>
  <c r="W312" i="3" s="1"/>
  <c r="AC312" i="3" s="1"/>
  <c r="X1286" i="3"/>
  <c r="W1286" i="3" s="1"/>
  <c r="X1037" i="3"/>
  <c r="W1037" i="3" s="1"/>
  <c r="X799" i="3"/>
  <c r="W799" i="3" s="1"/>
  <c r="X636" i="3"/>
  <c r="W636" i="3" s="1"/>
  <c r="X940" i="3"/>
  <c r="W940" i="3" s="1"/>
  <c r="X520" i="3"/>
  <c r="W520" i="3" s="1"/>
  <c r="AC520" i="3" s="1"/>
  <c r="X347" i="3"/>
  <c r="W347" i="3" s="1"/>
  <c r="AC347" i="3" s="1"/>
  <c r="X99" i="3"/>
  <c r="W99" i="3" s="1"/>
  <c r="AC99" i="3" s="1"/>
  <c r="X1284" i="3"/>
  <c r="W1284" i="3" s="1"/>
  <c r="X1314" i="3"/>
  <c r="W1314" i="3" s="1"/>
  <c r="X888" i="3"/>
  <c r="W888" i="3" s="1"/>
  <c r="X652" i="3"/>
  <c r="W652" i="3" s="1"/>
  <c r="X526" i="3"/>
  <c r="W526" i="3" s="1"/>
  <c r="AC526" i="3" s="1"/>
  <c r="X103" i="3"/>
  <c r="W103" i="3" s="1"/>
  <c r="AC103" i="3" s="1"/>
  <c r="X1256" i="3"/>
  <c r="W1256" i="3" s="1"/>
  <c r="X844" i="3"/>
  <c r="W844" i="3" s="1"/>
  <c r="X513" i="3"/>
  <c r="W513" i="3" s="1"/>
  <c r="AC513" i="3" s="1"/>
  <c r="X197" i="3"/>
  <c r="W197" i="3" s="1"/>
  <c r="AC197" i="3" s="1"/>
  <c r="X86" i="3"/>
  <c r="W86" i="3" s="1"/>
  <c r="AC86" i="3" s="1"/>
  <c r="X1180" i="3"/>
  <c r="W1180" i="3" s="1"/>
  <c r="X805" i="3"/>
  <c r="W805" i="3" s="1"/>
  <c r="X596" i="3"/>
  <c r="W596" i="3" s="1"/>
  <c r="AC596" i="3" s="1"/>
  <c r="X192" i="3"/>
  <c r="W192" i="3" s="1"/>
  <c r="AC192" i="3" s="1"/>
  <c r="X106" i="3"/>
  <c r="W106" i="3" s="1"/>
  <c r="AC106" i="3" s="1"/>
  <c r="X530" i="3"/>
  <c r="W530" i="3" s="1"/>
  <c r="AC530" i="3" s="1"/>
  <c r="X202" i="3"/>
  <c r="W202" i="3" s="1"/>
  <c r="AC202" i="3" s="1"/>
  <c r="X45" i="3"/>
  <c r="W45" i="3" s="1"/>
  <c r="AC45" i="3" s="1"/>
  <c r="X1041" i="3"/>
  <c r="W1041" i="3" s="1"/>
  <c r="X727" i="3"/>
  <c r="W727" i="3" s="1"/>
  <c r="X617" i="3"/>
  <c r="W617" i="3" s="1"/>
  <c r="X382" i="3"/>
  <c r="W382" i="3" s="1"/>
  <c r="AC382" i="3" s="1"/>
  <c r="X10" i="3"/>
  <c r="W10" i="3" s="1"/>
  <c r="AC10" i="3" s="1"/>
  <c r="X703" i="3"/>
  <c r="W703" i="3" s="1"/>
  <c r="AC703" i="3" s="1"/>
  <c r="X108" i="3"/>
  <c r="W108" i="3" s="1"/>
  <c r="AC108" i="3" s="1"/>
  <c r="X977" i="3"/>
  <c r="W977" i="3" s="1"/>
  <c r="X148" i="3"/>
  <c r="W148" i="3" s="1"/>
  <c r="AC148" i="3" s="1"/>
  <c r="X616" i="3"/>
  <c r="W616" i="3" s="1"/>
  <c r="X494" i="3"/>
  <c r="W494" i="3" s="1"/>
  <c r="AC494" i="3" s="1"/>
  <c r="X451" i="3"/>
  <c r="W451" i="3" s="1"/>
  <c r="AC451" i="3" s="1"/>
  <c r="X1340" i="3"/>
  <c r="W1340" i="3" s="1"/>
  <c r="X1044" i="3"/>
  <c r="W1044" i="3" s="1"/>
  <c r="X913" i="3"/>
  <c r="W913" i="3" s="1"/>
  <c r="X259" i="3"/>
  <c r="W259" i="3" s="1"/>
  <c r="AC259" i="3" s="1"/>
  <c r="X224" i="3"/>
  <c r="W224" i="3" s="1"/>
  <c r="AC224" i="3" s="1"/>
  <c r="X896" i="3"/>
  <c r="W896" i="3" s="1"/>
  <c r="X469" i="3"/>
  <c r="W469" i="3" s="1"/>
  <c r="AC469" i="3" s="1"/>
  <c r="X460" i="3"/>
  <c r="W460" i="3" s="1"/>
  <c r="AC460" i="3" s="1"/>
  <c r="X332" i="3"/>
  <c r="W332" i="3" s="1"/>
  <c r="AC332" i="3" s="1"/>
  <c r="X1258" i="3"/>
  <c r="W1258" i="3" s="1"/>
  <c r="X1281" i="3"/>
  <c r="W1281" i="3" s="1"/>
  <c r="X556" i="3"/>
  <c r="W556" i="3" s="1"/>
  <c r="AC556" i="3" s="1"/>
  <c r="X345" i="3"/>
  <c r="W345" i="3" s="1"/>
  <c r="AC345" i="3" s="1"/>
  <c r="X240" i="3"/>
  <c r="W240" i="3" s="1"/>
  <c r="AC240" i="3" s="1"/>
  <c r="X138" i="3"/>
  <c r="W138" i="3" s="1"/>
  <c r="AC138" i="3" s="1"/>
  <c r="X1197" i="3"/>
  <c r="W1197" i="3" s="1"/>
  <c r="X804" i="3"/>
  <c r="W804" i="3" s="1"/>
  <c r="X437" i="3"/>
  <c r="W437" i="3" s="1"/>
  <c r="AC437" i="3" s="1"/>
  <c r="X120" i="3"/>
  <c r="W120" i="3" s="1"/>
  <c r="AC120" i="3" s="1"/>
  <c r="X78" i="3"/>
  <c r="W78" i="3" s="1"/>
  <c r="AC78" i="3" s="1"/>
  <c r="X1077" i="3"/>
  <c r="W1077" i="3" s="1"/>
  <c r="X753" i="3"/>
  <c r="W753" i="3" s="1"/>
  <c r="X177" i="3"/>
  <c r="W177" i="3" s="1"/>
  <c r="AC177" i="3" s="1"/>
  <c r="X371" i="3"/>
  <c r="W371" i="3" s="1"/>
  <c r="AC371" i="3" s="1"/>
  <c r="X102" i="3"/>
  <c r="W102" i="3" s="1"/>
  <c r="AC102" i="3" s="1"/>
  <c r="X176" i="3"/>
  <c r="W176" i="3" s="1"/>
  <c r="AC176" i="3" s="1"/>
  <c r="X199" i="3"/>
  <c r="W199" i="3" s="1"/>
  <c r="AC199" i="3" s="1"/>
  <c r="X155" i="3"/>
  <c r="W155" i="3" s="1"/>
  <c r="AC155" i="3" s="1"/>
  <c r="X992" i="3"/>
  <c r="W992" i="3" s="1"/>
  <c r="X707" i="3"/>
  <c r="W707" i="3" s="1"/>
  <c r="X121" i="3"/>
  <c r="W121" i="3" s="1"/>
  <c r="AC121" i="3" s="1"/>
  <c r="X117" i="3"/>
  <c r="W117" i="3" s="1"/>
  <c r="AC117" i="3" s="1"/>
  <c r="X1345" i="3"/>
  <c r="W1345" i="3" s="1"/>
  <c r="X1101" i="3"/>
  <c r="W1101" i="3" s="1"/>
  <c r="AC1101" i="3" s="1"/>
  <c r="X695" i="3"/>
  <c r="W695" i="3" s="1"/>
  <c r="AC695" i="3" s="1"/>
  <c r="X782" i="3"/>
  <c r="W782" i="3" s="1"/>
  <c r="AC782" i="3" s="1"/>
  <c r="X1015" i="3"/>
  <c r="W1015" i="3" s="1"/>
  <c r="AC1015" i="3" s="1"/>
  <c r="X830" i="3"/>
  <c r="W830" i="3" s="1"/>
  <c r="AC830" i="3" s="1"/>
  <c r="X898" i="3"/>
  <c r="W898" i="3" s="1"/>
  <c r="AC898" i="3" s="1"/>
  <c r="X739" i="3"/>
  <c r="W739" i="3" s="1"/>
  <c r="AC739" i="3" s="1"/>
  <c r="X63" i="3"/>
  <c r="W63" i="3" s="1"/>
  <c r="AC63" i="3" s="1"/>
  <c r="X578" i="3"/>
  <c r="W578" i="3" s="1"/>
  <c r="AC578" i="3" s="1"/>
  <c r="X784" i="3"/>
  <c r="W784" i="3" s="1"/>
  <c r="AC784" i="3" s="1"/>
  <c r="X1140" i="3"/>
  <c r="W1140" i="3" s="1"/>
  <c r="AC1140" i="3" s="1"/>
  <c r="X1226" i="3"/>
  <c r="W1226" i="3" s="1"/>
  <c r="AC1226" i="3" s="1"/>
  <c r="X1098" i="3"/>
  <c r="W1098" i="3" s="1"/>
  <c r="AC1098" i="3" s="1"/>
  <c r="X182" i="3"/>
  <c r="W182" i="3" s="1"/>
  <c r="AC182" i="3" s="1"/>
  <c r="X1135" i="3"/>
  <c r="W1135" i="3" s="1"/>
  <c r="AC1135" i="3" s="1"/>
  <c r="X626" i="3"/>
  <c r="W626" i="3" s="1"/>
  <c r="AC626" i="3" s="1"/>
  <c r="X1071" i="3"/>
  <c r="W1071" i="3" s="1"/>
  <c r="AC1071" i="3" s="1"/>
  <c r="X1175" i="3"/>
  <c r="W1175" i="3" s="1"/>
  <c r="AC1175" i="3" s="1"/>
  <c r="X455" i="3"/>
  <c r="W455" i="3" s="1"/>
  <c r="AC455" i="3" s="1"/>
  <c r="X300" i="3"/>
  <c r="W300" i="3" s="1"/>
  <c r="AC300" i="3" s="1"/>
  <c r="X1099" i="3"/>
  <c r="W1099" i="3" s="1"/>
  <c r="X893" i="3"/>
  <c r="W893" i="3" s="1"/>
  <c r="X273" i="3"/>
  <c r="W273" i="3" s="1"/>
  <c r="AC273" i="3" s="1"/>
  <c r="X8" i="3"/>
  <c r="W8" i="3" s="1"/>
  <c r="AC8" i="3" s="1"/>
  <c r="X945" i="3"/>
  <c r="W945" i="3" s="1"/>
  <c r="X473" i="3"/>
  <c r="W473" i="3" s="1"/>
  <c r="AC473" i="3" s="1"/>
  <c r="X589" i="3"/>
  <c r="W589" i="3" s="1"/>
  <c r="AC589" i="3" s="1"/>
  <c r="X298" i="3"/>
  <c r="W298" i="3" s="1"/>
  <c r="AC298" i="3" s="1"/>
  <c r="X112" i="3"/>
  <c r="W112" i="3" s="1"/>
  <c r="AC112" i="3" s="1"/>
  <c r="X855" i="3"/>
  <c r="W855" i="3" s="1"/>
  <c r="X404" i="3"/>
  <c r="W404" i="3" s="1"/>
  <c r="AC404" i="3" s="1"/>
  <c r="X566" i="3"/>
  <c r="W566" i="3" s="1"/>
  <c r="AC566" i="3" s="1"/>
  <c r="X67" i="3"/>
  <c r="W67" i="3" s="1"/>
  <c r="AC67" i="3" s="1"/>
  <c r="X216" i="3"/>
  <c r="W216" i="3" s="1"/>
  <c r="AC216" i="3" s="1"/>
  <c r="X1257" i="3"/>
  <c r="W1257" i="3" s="1"/>
  <c r="X809" i="3"/>
  <c r="W809" i="3" s="1"/>
  <c r="X638" i="3"/>
  <c r="W638" i="3" s="1"/>
  <c r="X89" i="3"/>
  <c r="W89" i="3" s="1"/>
  <c r="AC89" i="3" s="1"/>
  <c r="X91" i="3"/>
  <c r="W91" i="3" s="1"/>
  <c r="AC91" i="3" s="1"/>
  <c r="X1085" i="3"/>
  <c r="W1085" i="3" s="1"/>
  <c r="X370" i="3"/>
  <c r="W370" i="3" s="1"/>
  <c r="AC370" i="3" s="1"/>
  <c r="X549" i="3"/>
  <c r="W549" i="3" s="1"/>
  <c r="AC549" i="3" s="1"/>
  <c r="X306" i="3"/>
  <c r="W306" i="3" s="1"/>
  <c r="AC306" i="3" s="1"/>
  <c r="X65" i="3"/>
  <c r="W65" i="3" s="1"/>
  <c r="AC65" i="3" s="1"/>
  <c r="X1046" i="3"/>
  <c r="W1046" i="3" s="1"/>
  <c r="X728" i="3"/>
  <c r="W728" i="3" s="1"/>
  <c r="X621" i="3"/>
  <c r="W621" i="3" s="1"/>
  <c r="X221" i="3"/>
  <c r="W221" i="3" s="1"/>
  <c r="AC221" i="3" s="1"/>
  <c r="X7" i="3"/>
  <c r="W7" i="3" s="1"/>
  <c r="AC7" i="3" s="1"/>
  <c r="X276" i="3"/>
  <c r="W276" i="3" s="1"/>
  <c r="AC276" i="3" s="1"/>
  <c r="X339" i="3"/>
  <c r="W339" i="3" s="1"/>
  <c r="AC339" i="3" s="1"/>
  <c r="X11" i="3"/>
  <c r="W11" i="3" s="1"/>
  <c r="AC11" i="3" s="1"/>
  <c r="X514" i="3"/>
  <c r="W514" i="3" s="1"/>
  <c r="AC514" i="3" s="1"/>
  <c r="X579" i="3"/>
  <c r="W579" i="3" s="1"/>
  <c r="AC579" i="3" s="1"/>
  <c r="X447" i="3"/>
  <c r="W447" i="3" s="1"/>
  <c r="AC447" i="3" s="1"/>
  <c r="X512" i="3"/>
  <c r="W512" i="3" s="1"/>
  <c r="AC512" i="3" s="1"/>
  <c r="X1295" i="3"/>
  <c r="W1295" i="3" s="1"/>
  <c r="X748" i="3"/>
  <c r="W748" i="3" s="1"/>
  <c r="AC748" i="3" s="1"/>
  <c r="X737" i="3"/>
  <c r="W737" i="3" s="1"/>
  <c r="AC737" i="3" s="1"/>
  <c r="X1009" i="3"/>
  <c r="W1009" i="3" s="1"/>
  <c r="AC1009" i="3" s="1"/>
  <c r="X894" i="3"/>
  <c r="W894" i="3" s="1"/>
  <c r="AC894" i="3" s="1"/>
  <c r="X487" i="3"/>
  <c r="W487" i="3" s="1"/>
  <c r="AC487" i="3" s="1"/>
  <c r="X779" i="3"/>
  <c r="W779" i="3" s="1"/>
  <c r="AC779" i="3" s="1"/>
  <c r="X1024" i="3"/>
  <c r="W1024" i="3" s="1"/>
  <c r="AC1024" i="3" s="1"/>
  <c r="X519" i="3"/>
  <c r="W519" i="3" s="1"/>
  <c r="AC519" i="3" s="1"/>
  <c r="X1237" i="3"/>
  <c r="W1237" i="3" s="1"/>
  <c r="AC1237" i="3" s="1"/>
  <c r="X776" i="3"/>
  <c r="W776" i="3" s="1"/>
  <c r="AC776" i="3" s="1"/>
  <c r="X605" i="3"/>
  <c r="W605" i="3" s="1"/>
  <c r="AC605" i="3" s="1"/>
  <c r="X135" i="3"/>
  <c r="W135" i="3" s="1"/>
  <c r="AC135" i="3" s="1"/>
  <c r="X1014" i="3"/>
  <c r="W1014" i="3" s="1"/>
  <c r="AC1014" i="3" s="1"/>
  <c r="X1011" i="3"/>
  <c r="W1011" i="3" s="1"/>
  <c r="AC1011" i="3" s="1"/>
  <c r="X1034" i="3"/>
  <c r="W1034" i="3" s="1"/>
  <c r="AC1034" i="3" s="1"/>
  <c r="X630" i="3"/>
  <c r="W630" i="3" s="1"/>
  <c r="AC630" i="3" s="1"/>
  <c r="X66" i="3"/>
  <c r="W66" i="3" s="1"/>
  <c r="AC66" i="3" s="1"/>
  <c r="X921" i="3"/>
  <c r="W921" i="3" s="1"/>
  <c r="AC921" i="3" s="1"/>
  <c r="X37" i="3"/>
  <c r="W37" i="3" s="1"/>
  <c r="AC37" i="3" s="1"/>
  <c r="X1080" i="3"/>
  <c r="W1080" i="3" s="1"/>
  <c r="AC1080" i="3" s="1"/>
  <c r="X264" i="3"/>
  <c r="W264" i="3" s="1"/>
  <c r="AC264" i="3" s="1"/>
  <c r="X233" i="3"/>
  <c r="W233" i="3" s="1"/>
  <c r="AC233" i="3" s="1"/>
  <c r="X747" i="3"/>
  <c r="W747" i="3" s="1"/>
  <c r="AC747" i="3" s="1"/>
  <c r="X1122" i="3"/>
  <c r="W1122" i="3" s="1"/>
  <c r="AC1122" i="3" s="1"/>
  <c r="X618" i="3"/>
  <c r="W618" i="3" s="1"/>
  <c r="AC618" i="3" s="1"/>
  <c r="X962" i="3"/>
  <c r="W962" i="3" s="1"/>
  <c r="AC962" i="3" s="1"/>
  <c r="X1020" i="3"/>
  <c r="W1020" i="3" s="1"/>
  <c r="X845" i="3"/>
  <c r="W845" i="3" s="1"/>
  <c r="X641" i="3"/>
  <c r="W641" i="3" s="1"/>
  <c r="X222" i="3"/>
  <c r="W222" i="3" s="1"/>
  <c r="AC222" i="3" s="1"/>
  <c r="X128" i="3"/>
  <c r="W128" i="3" s="1"/>
  <c r="AC128" i="3" s="1"/>
  <c r="X1069" i="3"/>
  <c r="W1069" i="3" s="1"/>
  <c r="X832" i="3"/>
  <c r="W832" i="3" s="1"/>
  <c r="X320" i="3"/>
  <c r="W320" i="3" s="1"/>
  <c r="AC320" i="3" s="1"/>
  <c r="X644" i="3"/>
  <c r="W644" i="3" s="1"/>
  <c r="X42" i="3"/>
  <c r="W42" i="3" s="1"/>
  <c r="AC42" i="3" s="1"/>
  <c r="X1276" i="3"/>
  <c r="W1276" i="3" s="1"/>
  <c r="X825" i="3"/>
  <c r="W825" i="3" s="1"/>
  <c r="X319" i="3"/>
  <c r="W319" i="3" s="1"/>
  <c r="AC319" i="3" s="1"/>
  <c r="X136" i="3"/>
  <c r="W136" i="3" s="1"/>
  <c r="AC136" i="3" s="1"/>
  <c r="X170" i="3"/>
  <c r="W170" i="3" s="1"/>
  <c r="AC170" i="3" s="1"/>
  <c r="X96" i="3"/>
  <c r="W96" i="3" s="1"/>
  <c r="AC96" i="3" s="1"/>
  <c r="X1086" i="3"/>
  <c r="W1086" i="3" s="1"/>
  <c r="X761" i="3"/>
  <c r="W761" i="3" s="1"/>
  <c r="X442" i="3"/>
  <c r="W442" i="3" s="1"/>
  <c r="AC442" i="3" s="1"/>
  <c r="X485" i="3"/>
  <c r="W485" i="3" s="1"/>
  <c r="AC485" i="3" s="1"/>
  <c r="X50" i="3"/>
  <c r="W50" i="3" s="1"/>
  <c r="AC50" i="3" s="1"/>
  <c r="X1049" i="3"/>
  <c r="W1049" i="3" s="1"/>
  <c r="X574" i="3"/>
  <c r="W574" i="3" s="1"/>
  <c r="AC574" i="3" s="1"/>
  <c r="X502" i="3"/>
  <c r="W502" i="3" s="1"/>
  <c r="AC502" i="3" s="1"/>
  <c r="X158" i="3"/>
  <c r="W158" i="3" s="1"/>
  <c r="AC158" i="3" s="1"/>
  <c r="X134" i="3"/>
  <c r="W134" i="3" s="1"/>
  <c r="AC134" i="3" s="1"/>
  <c r="X995" i="3"/>
  <c r="W995" i="3" s="1"/>
  <c r="X712" i="3"/>
  <c r="W712" i="3" s="1"/>
  <c r="X284" i="3"/>
  <c r="W284" i="3" s="1"/>
  <c r="AC284" i="3" s="1"/>
  <c r="X57" i="3"/>
  <c r="W57" i="3" s="1"/>
  <c r="AC57" i="3" s="1"/>
  <c r="X1346" i="3"/>
  <c r="W1346" i="3" s="1"/>
  <c r="X615" i="3"/>
  <c r="W615" i="3" s="1"/>
  <c r="X212" i="3"/>
  <c r="W212" i="3" s="1"/>
  <c r="AC212" i="3" s="1"/>
  <c r="X1343" i="3"/>
  <c r="W1343" i="3" s="1"/>
  <c r="X900" i="3"/>
  <c r="W900" i="3" s="1"/>
  <c r="X656" i="3"/>
  <c r="W656" i="3" s="1"/>
  <c r="X529" i="3"/>
  <c r="W529" i="3" s="1"/>
  <c r="AC529" i="3" s="1"/>
  <c r="X101" i="3"/>
  <c r="W101" i="3" s="1"/>
  <c r="AC101" i="3" s="1"/>
  <c r="X1260" i="3"/>
  <c r="W1260" i="3" s="1"/>
  <c r="X72" i="3"/>
  <c r="W72" i="3" s="1"/>
  <c r="AC72" i="3" s="1"/>
  <c r="X1481" i="3"/>
  <c r="W1481" i="3" s="1"/>
  <c r="AC1481" i="3" s="1"/>
  <c r="X1543" i="3"/>
  <c r="W1543" i="3" s="1"/>
  <c r="AC1543" i="3" s="1"/>
  <c r="X1503" i="3"/>
  <c r="W1503" i="3" s="1"/>
  <c r="AC1503" i="3" s="1"/>
  <c r="X610" i="3"/>
  <c r="W610" i="3" s="1"/>
  <c r="AC610" i="3" s="1"/>
  <c r="X620" i="3"/>
  <c r="W620" i="3" s="1"/>
  <c r="AC620" i="3" s="1"/>
  <c r="X1316" i="3"/>
  <c r="W1316" i="3" s="1"/>
  <c r="AC1316" i="3" s="1"/>
  <c r="X508" i="3"/>
  <c r="W508" i="3" s="1"/>
  <c r="AC508" i="3" s="1"/>
  <c r="X839" i="3"/>
  <c r="W839" i="3" s="1"/>
  <c r="AC839" i="3" s="1"/>
  <c r="X322" i="3"/>
  <c r="W322" i="3" s="1"/>
  <c r="AC322" i="3" s="1"/>
  <c r="X551" i="3"/>
  <c r="W551" i="3" s="1"/>
  <c r="AC551" i="3" s="1"/>
  <c r="X1464" i="3"/>
  <c r="W1464" i="3" s="1"/>
  <c r="AC1464" i="3" s="1"/>
  <c r="X1423" i="3"/>
  <c r="W1423" i="3" s="1"/>
  <c r="AC1423" i="3" s="1"/>
  <c r="X858" i="3"/>
  <c r="W858" i="3" s="1"/>
  <c r="AC858" i="3" s="1"/>
  <c r="X564" i="3"/>
  <c r="W564" i="3" s="1"/>
  <c r="AC564" i="3" s="1"/>
  <c r="X1350" i="3"/>
  <c r="W1350" i="3" s="1"/>
  <c r="AC1350" i="3" s="1"/>
  <c r="X150" i="3"/>
  <c r="W150" i="3" s="1"/>
  <c r="AC150" i="3" s="1"/>
  <c r="X62" i="3"/>
  <c r="W62" i="3" s="1"/>
  <c r="AC62" i="3" s="1"/>
  <c r="X173" i="3"/>
  <c r="W173" i="3" s="1"/>
  <c r="AC173" i="3" s="1"/>
  <c r="X327" i="3"/>
  <c r="W327" i="3" s="1"/>
  <c r="AC327" i="3" s="1"/>
  <c r="X1491" i="3"/>
  <c r="W1491" i="3" s="1"/>
  <c r="AC1491" i="3" s="1"/>
  <c r="X271" i="3"/>
  <c r="W271" i="3" s="1"/>
  <c r="AC271" i="3" s="1"/>
  <c r="X1190" i="3"/>
  <c r="W1190" i="3" s="1"/>
  <c r="AC1190" i="3" s="1"/>
  <c r="X1154" i="3"/>
  <c r="W1154" i="3" s="1"/>
  <c r="AC1154" i="3" s="1"/>
  <c r="X1252" i="3"/>
  <c r="W1252" i="3" s="1"/>
  <c r="AC1252" i="3" s="1"/>
  <c r="X395" i="3"/>
  <c r="W395" i="3" s="1"/>
  <c r="AC395" i="3" s="1"/>
  <c r="X1273" i="3"/>
  <c r="W1273" i="3" s="1"/>
  <c r="AC1273" i="3" s="1"/>
  <c r="X1025" i="3"/>
  <c r="W1025" i="3" s="1"/>
  <c r="AC1025" i="3" s="1"/>
  <c r="X976" i="3"/>
  <c r="W976" i="3" s="1"/>
  <c r="AC976" i="3" s="1"/>
  <c r="X358" i="3"/>
  <c r="W358" i="3" s="1"/>
  <c r="AC358" i="3" s="1"/>
  <c r="X1516" i="3"/>
  <c r="W1516" i="3" s="1"/>
  <c r="AC1516" i="3" s="1"/>
  <c r="X1022" i="3"/>
  <c r="W1022" i="3" s="1"/>
  <c r="AC1022" i="3" s="1"/>
  <c r="X334" i="3"/>
  <c r="W334" i="3" s="1"/>
  <c r="AC334" i="3" s="1"/>
  <c r="X385" i="3"/>
  <c r="W385" i="3" s="1"/>
  <c r="AC385" i="3" s="1"/>
  <c r="X1330" i="3"/>
  <c r="W1330" i="3" s="1"/>
  <c r="AC1330" i="3" s="1"/>
  <c r="X908" i="3"/>
  <c r="W908" i="3" s="1"/>
  <c r="AC908" i="3" s="1"/>
  <c r="X1511" i="3"/>
  <c r="W1511" i="3" s="1"/>
  <c r="AC1511" i="3" s="1"/>
  <c r="X1376" i="3"/>
  <c r="W1376" i="3" s="1"/>
  <c r="AC1376" i="3" s="1"/>
  <c r="X1402" i="3"/>
  <c r="W1402" i="3" s="1"/>
  <c r="AC1402" i="3" s="1"/>
  <c r="X1529" i="3"/>
  <c r="W1529" i="3" s="1"/>
  <c r="AC1529" i="3" s="1"/>
  <c r="X1153" i="3"/>
  <c r="W1153" i="3" s="1"/>
  <c r="AC1153" i="3" s="1"/>
  <c r="X1492" i="3"/>
  <c r="W1492" i="3" s="1"/>
  <c r="AC1492" i="3" s="1"/>
  <c r="X1321" i="3"/>
  <c r="W1321" i="3" s="1"/>
  <c r="AC1321" i="3" s="1"/>
  <c r="X493" i="3"/>
  <c r="W493" i="3" s="1"/>
  <c r="AC493" i="3" s="1"/>
  <c r="X946" i="3"/>
  <c r="W946" i="3" s="1"/>
  <c r="AC946" i="3" s="1"/>
  <c r="X34" i="3"/>
  <c r="W34" i="3" s="1"/>
  <c r="AC34" i="3" s="1"/>
  <c r="X392" i="3"/>
  <c r="W392" i="3" s="1"/>
  <c r="AC392" i="3" s="1"/>
  <c r="X272" i="3"/>
  <c r="W272" i="3" s="1"/>
  <c r="AC272" i="3" s="1"/>
  <c r="X90" i="3"/>
  <c r="W90" i="3" s="1"/>
  <c r="AC90" i="3" s="1"/>
  <c r="X1466" i="3"/>
  <c r="W1466" i="3" s="1"/>
  <c r="AC1466" i="3" s="1"/>
  <c r="X21" i="3"/>
  <c r="W21" i="3" s="1"/>
  <c r="AC21" i="3" s="1"/>
  <c r="X1274" i="3"/>
  <c r="W1274" i="3" s="1"/>
  <c r="AC1274" i="3" s="1"/>
  <c r="X1419" i="3"/>
  <c r="W1419" i="3" s="1"/>
  <c r="AC1419" i="3" s="1"/>
  <c r="X360" i="3"/>
  <c r="W360" i="3" s="1"/>
  <c r="AC360" i="3" s="1"/>
  <c r="X555" i="3"/>
  <c r="W555" i="3" s="1"/>
  <c r="AC555" i="3" s="1"/>
  <c r="X328" i="3"/>
  <c r="W328" i="3" s="1"/>
  <c r="AC328" i="3" s="1"/>
  <c r="X1391" i="3"/>
  <c r="W1391" i="3" s="1"/>
  <c r="AC1391" i="3" s="1"/>
  <c r="X318" i="3"/>
  <c r="W318" i="3" s="1"/>
  <c r="AC318" i="3" s="1"/>
  <c r="X76" i="3"/>
  <c r="W76" i="3" s="1"/>
  <c r="AC76" i="3" s="1"/>
  <c r="X471" i="3"/>
  <c r="W471" i="3" s="1"/>
  <c r="AC471" i="3" s="1"/>
  <c r="X558" i="3"/>
  <c r="W558" i="3" s="1"/>
  <c r="AC558" i="3" s="1"/>
  <c r="X1191" i="3"/>
  <c r="W1191" i="3" s="1"/>
  <c r="AC1191" i="3" s="1"/>
  <c r="X226" i="3"/>
  <c r="W226" i="3" s="1"/>
  <c r="AC226" i="3" s="1"/>
  <c r="X1384" i="3"/>
  <c r="W1384" i="3" s="1"/>
  <c r="AC1384" i="3" s="1"/>
  <c r="X40" i="3"/>
  <c r="W40" i="3" s="1"/>
  <c r="AC40" i="3" s="1"/>
  <c r="X1159" i="3"/>
  <c r="W1159" i="3" s="1"/>
  <c r="AC1159" i="3" s="1"/>
  <c r="X1342" i="3"/>
  <c r="W1342" i="3" s="1"/>
  <c r="AC1342" i="3" s="1"/>
  <c r="X970" i="3"/>
  <c r="W970" i="3" s="1"/>
  <c r="AC970" i="3" s="1"/>
  <c r="X1459" i="3"/>
  <c r="W1459" i="3" s="1"/>
  <c r="AC1459" i="3" s="1"/>
  <c r="X1487" i="3"/>
  <c r="W1487" i="3" s="1"/>
  <c r="AC1487" i="3" s="1"/>
  <c r="X124" i="3"/>
  <c r="W124" i="3" s="1"/>
  <c r="AC124" i="3" s="1"/>
  <c r="X532" i="3"/>
  <c r="W532" i="3" s="1"/>
  <c r="AC532" i="3" s="1"/>
  <c r="X489" i="3"/>
  <c r="W489" i="3" s="1"/>
  <c r="AC489" i="3" s="1"/>
  <c r="X100" i="3"/>
  <c r="W100" i="3" s="1"/>
  <c r="AC100" i="3" s="1"/>
  <c r="X1499" i="3"/>
  <c r="W1499" i="3" s="1"/>
  <c r="AC1499" i="3" s="1"/>
  <c r="X81" i="3"/>
  <c r="W81" i="3" s="1"/>
  <c r="AC81" i="3" s="1"/>
  <c r="X1480" i="3"/>
  <c r="W1480" i="3" s="1"/>
  <c r="AC1480" i="3" s="1"/>
  <c r="X238" i="3"/>
  <c r="W238" i="3" s="1"/>
  <c r="AC238" i="3" s="1"/>
  <c r="X255" i="3"/>
  <c r="W255" i="3" s="1"/>
  <c r="AC255" i="3" s="1"/>
  <c r="X48" i="3"/>
  <c r="W48" i="3" s="1"/>
  <c r="AC48" i="3" s="1"/>
  <c r="X295" i="3"/>
  <c r="W295" i="3" s="1"/>
  <c r="AC295" i="3" s="1"/>
  <c r="X198" i="3"/>
  <c r="W198" i="3" s="1"/>
  <c r="AC198" i="3" s="1"/>
  <c r="X527" i="3"/>
  <c r="W527" i="3" s="1"/>
  <c r="AC527" i="3" s="1"/>
  <c r="X1362" i="3"/>
  <c r="W1362" i="3" s="1"/>
  <c r="AC1362" i="3" s="1"/>
  <c r="X438" i="3"/>
  <c r="W438" i="3" s="1"/>
  <c r="AC438" i="3" s="1"/>
  <c r="X1303" i="3"/>
  <c r="W1303" i="3" s="1"/>
  <c r="AC1303" i="3" s="1"/>
  <c r="X1304" i="3"/>
  <c r="W1304" i="3" s="1"/>
  <c r="AC1304" i="3" s="1"/>
  <c r="X602" i="3"/>
  <c r="W602" i="3" s="1"/>
  <c r="AC602" i="3" s="1"/>
  <c r="X1495" i="3"/>
  <c r="W1495" i="3" s="1"/>
  <c r="AC1495" i="3" s="1"/>
  <c r="X450" i="3"/>
  <c r="W450" i="3" s="1"/>
  <c r="AC450" i="3" s="1"/>
  <c r="X417" i="3"/>
  <c r="W417" i="3" s="1"/>
  <c r="AC417" i="3" s="1"/>
  <c r="X415" i="3"/>
  <c r="W415" i="3" s="1"/>
  <c r="AC415" i="3" s="1"/>
  <c r="X189" i="3"/>
  <c r="W189" i="3" s="1"/>
  <c r="AC189" i="3" s="1"/>
  <c r="X462" i="3"/>
  <c r="W462" i="3" s="1"/>
  <c r="AC462" i="3" s="1"/>
  <c r="X1056" i="3"/>
  <c r="W1056" i="3" s="1"/>
  <c r="AC1056" i="3" s="1"/>
  <c r="X1219" i="3"/>
  <c r="W1219" i="3" s="1"/>
  <c r="AC1219" i="3" s="1"/>
  <c r="X595" i="3"/>
  <c r="W595" i="3" s="1"/>
  <c r="AC595" i="3" s="1"/>
  <c r="X1532" i="3"/>
  <c r="W1532" i="3" s="1"/>
  <c r="AC1532" i="3" s="1"/>
  <c r="X1296" i="3"/>
  <c r="W1296" i="3" s="1"/>
  <c r="AC1296" i="3" s="1"/>
  <c r="X1383" i="3"/>
  <c r="W1383" i="3" s="1"/>
  <c r="AC1383" i="3" s="1"/>
  <c r="X741" i="3"/>
  <c r="W741" i="3" s="1"/>
  <c r="AC741" i="3" s="1"/>
  <c r="X1390" i="3"/>
  <c r="W1390" i="3" s="1"/>
  <c r="AC1390" i="3" s="1"/>
  <c r="X179" i="3"/>
  <c r="W179" i="3" s="1"/>
  <c r="AC179" i="3" s="1"/>
  <c r="X1059" i="3"/>
  <c r="W1059" i="3" s="1"/>
  <c r="AC1059" i="3" s="1"/>
  <c r="X304" i="3"/>
  <c r="W304" i="3" s="1"/>
  <c r="AC304" i="3" s="1"/>
  <c r="X1279" i="3"/>
  <c r="W1279" i="3" s="1"/>
  <c r="AC1279" i="3" s="1"/>
  <c r="X125" i="3"/>
  <c r="W125" i="3" s="1"/>
  <c r="AC125" i="3" s="1"/>
  <c r="X391" i="3"/>
  <c r="W391" i="3" s="1"/>
  <c r="AC391" i="3" s="1"/>
  <c r="X1515" i="3"/>
  <c r="W1515" i="3" s="1"/>
  <c r="AC1515" i="3" s="1"/>
  <c r="X918" i="3"/>
  <c r="W918" i="3" s="1"/>
  <c r="AC918" i="3" s="1"/>
  <c r="X958" i="3"/>
  <c r="W958" i="3" s="1"/>
  <c r="AC958" i="3" s="1"/>
  <c r="X468" i="3"/>
  <c r="W468" i="3" s="1"/>
  <c r="AC468" i="3" s="1"/>
  <c r="X1401" i="3"/>
  <c r="W1401" i="3" s="1"/>
  <c r="AC1401" i="3" s="1"/>
  <c r="X286" i="3"/>
  <c r="W286" i="3" s="1"/>
  <c r="AC286" i="3" s="1"/>
  <c r="X600" i="3"/>
  <c r="W600" i="3" s="1"/>
  <c r="AC600" i="3" s="1"/>
  <c r="X1498" i="3"/>
  <c r="W1498" i="3" s="1"/>
  <c r="AC1498" i="3" s="1"/>
  <c r="X815" i="3"/>
  <c r="W815" i="3" s="1"/>
  <c r="AC815" i="3" s="1"/>
  <c r="X1336" i="3"/>
  <c r="W1336" i="3" s="1"/>
  <c r="AC1336" i="3" s="1"/>
  <c r="X330" i="3"/>
  <c r="W330" i="3" s="1"/>
  <c r="AC330" i="3" s="1"/>
  <c r="X1456" i="3"/>
  <c r="W1456" i="3" s="1"/>
  <c r="AC1456" i="3" s="1"/>
  <c r="X397" i="3"/>
  <c r="W397" i="3" s="1"/>
  <c r="AC397" i="3" s="1"/>
  <c r="X594" i="3"/>
  <c r="W594" i="3" s="1"/>
  <c r="AC594" i="3" s="1"/>
  <c r="X131" i="3"/>
  <c r="W131" i="3" s="1"/>
  <c r="AC131" i="3" s="1"/>
  <c r="X127" i="3"/>
  <c r="W127" i="3" s="1"/>
  <c r="AC127" i="3" s="1"/>
  <c r="X367" i="3"/>
  <c r="W367" i="3" s="1"/>
  <c r="AC367" i="3" s="1"/>
  <c r="X1377" i="3"/>
  <c r="W1377" i="3" s="1"/>
  <c r="AC1377" i="3" s="1"/>
  <c r="X1302" i="3"/>
  <c r="W1302" i="3" s="1"/>
  <c r="AC1302" i="3" s="1"/>
  <c r="X107" i="3"/>
  <c r="W107" i="3" s="1"/>
  <c r="AC107" i="3" s="1"/>
  <c r="X609" i="3"/>
  <c r="W609" i="3" s="1"/>
  <c r="AC609" i="3" s="1"/>
  <c r="X949" i="3"/>
  <c r="W949" i="3" s="1"/>
  <c r="AC949" i="3" s="1"/>
  <c r="X1354" i="3"/>
  <c r="W1354" i="3" s="1"/>
  <c r="AC1354" i="3" s="1"/>
  <c r="X1168" i="3"/>
  <c r="W1168" i="3" s="1"/>
  <c r="AC1168" i="3" s="1"/>
  <c r="X287" i="3"/>
  <c r="W287" i="3" s="1"/>
  <c r="AC287" i="3" s="1"/>
  <c r="X793" i="3"/>
  <c r="W793" i="3" s="1"/>
  <c r="AC793" i="3" s="1"/>
  <c r="X1536" i="3"/>
  <c r="W1536" i="3" s="1"/>
  <c r="AC1536" i="3" s="1"/>
  <c r="X1119" i="3"/>
  <c r="W1119" i="3" s="1"/>
  <c r="AC1119" i="3" s="1"/>
  <c r="X365" i="3"/>
  <c r="W365" i="3" s="1"/>
  <c r="AC365" i="3" s="1"/>
  <c r="X439" i="3"/>
  <c r="W439" i="3" s="1"/>
  <c r="AC439" i="3" s="1"/>
  <c r="X1360" i="3"/>
  <c r="W1360" i="3" s="1"/>
  <c r="AC1360" i="3" s="1"/>
  <c r="X1369" i="3"/>
  <c r="W1369" i="3" s="1"/>
  <c r="AC1369" i="3" s="1"/>
  <c r="X983" i="3"/>
  <c r="W983" i="3" s="1"/>
  <c r="AC983" i="3" s="1"/>
  <c r="X1488" i="3"/>
  <c r="W1488" i="3" s="1"/>
  <c r="AC1488" i="3" s="1"/>
  <c r="X412" i="3"/>
  <c r="W412" i="3" s="1"/>
  <c r="AC412" i="3" s="1"/>
  <c r="X146" i="3"/>
  <c r="W146" i="3" s="1"/>
  <c r="AC146" i="3" s="1"/>
  <c r="X1490" i="3"/>
  <c r="W1490" i="3" s="1"/>
  <c r="AC1490" i="3" s="1"/>
  <c r="X1531" i="3"/>
  <c r="W1531" i="3" s="1"/>
  <c r="AC1531" i="3" s="1"/>
  <c r="X1413" i="3"/>
  <c r="W1413" i="3" s="1"/>
  <c r="AC1413" i="3" s="1"/>
  <c r="X1028" i="3"/>
  <c r="W1028" i="3" s="1"/>
  <c r="AC1028" i="3" s="1"/>
  <c r="X571" i="3"/>
  <c r="W571" i="3" s="1"/>
  <c r="AC571" i="3" s="1"/>
  <c r="X792" i="3"/>
  <c r="W792" i="3" s="1"/>
  <c r="AC792" i="3" s="1"/>
  <c r="X115" i="3"/>
  <c r="W115" i="3" s="1"/>
  <c r="AC115" i="3" s="1"/>
  <c r="X19" i="3"/>
  <c r="W19" i="3" s="1"/>
  <c r="AC19" i="3" s="1"/>
  <c r="X1081" i="3"/>
  <c r="W1081" i="3" s="1"/>
  <c r="AC1081" i="3" s="1"/>
  <c r="X17" i="3"/>
  <c r="W17" i="3" s="1"/>
  <c r="AC17" i="3" s="1"/>
  <c r="X1385" i="3"/>
  <c r="W1385" i="3" s="1"/>
  <c r="AC1385" i="3" s="1"/>
  <c r="X1510" i="3"/>
  <c r="W1510" i="3" s="1"/>
  <c r="AC1510" i="3" s="1"/>
  <c r="X1213" i="3"/>
  <c r="W1213" i="3" s="1"/>
  <c r="AC1213" i="3" s="1"/>
  <c r="X1030" i="3"/>
  <c r="W1030" i="3" s="1"/>
  <c r="AC1030" i="3" s="1"/>
  <c r="X1509" i="3"/>
  <c r="W1509" i="3" s="1"/>
  <c r="AC1509" i="3" s="1"/>
  <c r="X1349" i="3"/>
  <c r="W1349" i="3" s="1"/>
  <c r="AC1349" i="3" s="1"/>
  <c r="X403" i="3"/>
  <c r="W403" i="3" s="1"/>
  <c r="AC403" i="3" s="1"/>
  <c r="X1310" i="3"/>
  <c r="W1310" i="3" s="1"/>
  <c r="AC1310" i="3" s="1"/>
  <c r="X1162" i="3"/>
  <c r="W1162" i="3" s="1"/>
  <c r="AC1162" i="3" s="1"/>
  <c r="X56" i="3"/>
  <c r="W56" i="3" s="1"/>
  <c r="AC56" i="3" s="1"/>
  <c r="X557" i="3"/>
  <c r="W557" i="3" s="1"/>
  <c r="AC557" i="3" s="1"/>
  <c r="X440" i="3"/>
  <c r="W440" i="3" s="1"/>
  <c r="AC440" i="3" s="1"/>
  <c r="X569" i="3"/>
  <c r="W569" i="3" s="1"/>
  <c r="AC569" i="3" s="1"/>
  <c r="X164" i="3"/>
  <c r="W164" i="3" s="1"/>
  <c r="AC164" i="3" s="1"/>
  <c r="X598" i="3"/>
  <c r="W598" i="3" s="1"/>
  <c r="AC598" i="3" s="1"/>
  <c r="X580" i="3"/>
  <c r="W580" i="3" s="1"/>
  <c r="AC580" i="3" s="1"/>
  <c r="X961" i="3"/>
  <c r="W961" i="3" s="1"/>
  <c r="AC961" i="3" s="1"/>
  <c r="X1476" i="3"/>
  <c r="W1476" i="3" s="1"/>
  <c r="AC1476" i="3" s="1"/>
  <c r="X1526" i="3"/>
  <c r="W1526" i="3" s="1"/>
  <c r="AC1526" i="3" s="1"/>
  <c r="X161" i="3"/>
  <c r="W161" i="3" s="1"/>
  <c r="AC161" i="3" s="1"/>
  <c r="X1392" i="3"/>
  <c r="W1392" i="3" s="1"/>
  <c r="AC1392" i="3" s="1"/>
  <c r="X1289" i="3"/>
  <c r="W1289" i="3" s="1"/>
  <c r="AC1289" i="3" s="1"/>
  <c r="X717" i="3"/>
  <c r="W717" i="3" s="1"/>
  <c r="AC717" i="3" s="1"/>
  <c r="X446" i="3"/>
  <c r="W446" i="3" s="1"/>
  <c r="AC446" i="3" s="1"/>
  <c r="X1388" i="3"/>
  <c r="W1388" i="3" s="1"/>
  <c r="AC1388" i="3" s="1"/>
  <c r="X54" i="3"/>
  <c r="W54" i="3" s="1"/>
  <c r="AC54" i="3" s="1"/>
  <c r="X369" i="3"/>
  <c r="W369" i="3" s="1"/>
  <c r="AC369" i="3" s="1"/>
  <c r="X1440" i="3"/>
  <c r="W1440" i="3" s="1"/>
  <c r="AC1440" i="3" s="1"/>
  <c r="X989" i="3"/>
  <c r="W989" i="3" s="1"/>
  <c r="AC989" i="3" s="1"/>
  <c r="X419" i="3"/>
  <c r="W419" i="3" s="1"/>
  <c r="AC419" i="3" s="1"/>
  <c r="X1169" i="3"/>
  <c r="W1169" i="3" s="1"/>
  <c r="AC1169" i="3" s="1"/>
  <c r="X1489" i="3"/>
  <c r="W1489" i="3" s="1"/>
  <c r="AC1489" i="3" s="1"/>
  <c r="X1497" i="3"/>
  <c r="W1497" i="3" s="1"/>
  <c r="AC1497" i="3" s="1"/>
  <c r="X1451" i="3"/>
  <c r="W1451" i="3" s="1"/>
  <c r="AC1451" i="3" s="1"/>
  <c r="X724" i="3"/>
  <c r="W724" i="3" s="1"/>
  <c r="AC724" i="3" s="1"/>
  <c r="X426" i="3"/>
  <c r="W426" i="3" s="1"/>
  <c r="AC426" i="3" s="1"/>
  <c r="X1319" i="3"/>
  <c r="W1319" i="3" s="1"/>
  <c r="AC1319" i="3" s="1"/>
  <c r="X130" i="3"/>
  <c r="W130" i="3" s="1"/>
  <c r="AC130" i="3" s="1"/>
  <c r="X1506" i="3"/>
  <c r="W1506" i="3" s="1"/>
  <c r="AC1506" i="3" s="1"/>
  <c r="X1313" i="3"/>
  <c r="W1313" i="3" s="1"/>
  <c r="AC1313" i="3" s="1"/>
  <c r="X1341" i="3"/>
  <c r="W1341" i="3" s="1"/>
  <c r="AC1341" i="3" s="1"/>
  <c r="X1513" i="3"/>
  <c r="W1513" i="3" s="1"/>
  <c r="AC1513" i="3" s="1"/>
  <c r="X137" i="3"/>
  <c r="W137" i="3" s="1"/>
  <c r="AC137" i="3" s="1"/>
  <c r="X301" i="3"/>
  <c r="W301" i="3" s="1"/>
  <c r="AC301" i="3" s="1"/>
  <c r="X113" i="3"/>
  <c r="W113" i="3" s="1"/>
  <c r="AC113" i="3" s="1"/>
  <c r="X384" i="3"/>
  <c r="W384" i="3" s="1"/>
  <c r="AC384" i="3" s="1"/>
  <c r="X253" i="3"/>
  <c r="W253" i="3" s="1"/>
  <c r="AC253" i="3" s="1"/>
  <c r="X1312" i="3"/>
  <c r="W1312" i="3" s="1"/>
  <c r="AC1312" i="3" s="1"/>
  <c r="X246" i="3"/>
  <c r="W246" i="3" s="1"/>
  <c r="AC246" i="3" s="1"/>
  <c r="X1032" i="3"/>
  <c r="W1032" i="3" s="1"/>
  <c r="AC1032" i="3" s="1"/>
  <c r="X363" i="3"/>
  <c r="W363" i="3" s="1"/>
  <c r="AC363" i="3" s="1"/>
  <c r="X1539" i="3"/>
  <c r="W1539" i="3" s="1"/>
  <c r="AC1539" i="3" s="1"/>
  <c r="X666" i="3"/>
  <c r="W666" i="3" s="1"/>
  <c r="AC666" i="3" s="1"/>
  <c r="X991" i="3"/>
  <c r="W991" i="3" s="1"/>
  <c r="AC991" i="3" s="1"/>
  <c r="X1372" i="3"/>
  <c r="W1372" i="3" s="1"/>
  <c r="AC1372" i="3" s="1"/>
  <c r="X459" i="3"/>
  <c r="W459" i="3" s="1"/>
  <c r="AC459" i="3" s="1"/>
  <c r="X87" i="3"/>
  <c r="W87" i="3" s="1"/>
  <c r="AC87" i="3" s="1"/>
  <c r="X311" i="3"/>
  <c r="W311" i="3" s="1"/>
  <c r="AC311" i="3" s="1"/>
  <c r="X1054" i="3"/>
  <c r="W1054" i="3" s="1"/>
  <c r="AC1054" i="3" s="1"/>
  <c r="X1381" i="3"/>
  <c r="W1381" i="3" s="1"/>
  <c r="AC1381" i="3" s="1"/>
  <c r="X64" i="3"/>
  <c r="W64" i="3" s="1"/>
  <c r="AC64" i="3" s="1"/>
  <c r="X232" i="3"/>
  <c r="W232" i="3" s="1"/>
  <c r="AC232" i="3" s="1"/>
  <c r="X23" i="3"/>
  <c r="W23" i="3" s="1"/>
  <c r="AC23" i="3" s="1"/>
  <c r="X381" i="3"/>
  <c r="W381" i="3" s="1"/>
  <c r="AC381" i="3" s="1"/>
  <c r="X1449" i="3"/>
  <c r="W1449" i="3" s="1"/>
  <c r="AC1449" i="3" s="1"/>
  <c r="X1415" i="3"/>
  <c r="W1415" i="3" s="1"/>
  <c r="AC1415" i="3" s="1"/>
  <c r="X1525" i="3"/>
  <c r="W1525" i="3" s="1"/>
  <c r="AC1525" i="3" s="1"/>
  <c r="X640" i="3"/>
  <c r="W640" i="3" s="1"/>
  <c r="AC640" i="3" s="1"/>
  <c r="X1502" i="3"/>
  <c r="W1502" i="3" s="1"/>
  <c r="AC1502" i="3" s="1"/>
  <c r="X1467" i="3"/>
  <c r="W1467" i="3" s="1"/>
  <c r="AC1467" i="3" s="1"/>
  <c r="X1156" i="3"/>
  <c r="W1156" i="3" s="1"/>
  <c r="AC1156" i="3" s="1"/>
  <c r="X379" i="3"/>
  <c r="W379" i="3" s="1"/>
  <c r="AC379" i="3" s="1"/>
  <c r="X1412" i="3"/>
  <c r="W1412" i="3" s="1"/>
  <c r="AC1412" i="3" s="1"/>
  <c r="X1418" i="3"/>
  <c r="W1418" i="3" s="1"/>
  <c r="AC1418" i="3" s="1"/>
  <c r="X269" i="3"/>
  <c r="W269" i="3" s="1"/>
  <c r="AC269" i="3" s="1"/>
  <c r="X1277" i="3"/>
  <c r="W1277" i="3" s="1"/>
  <c r="AC1277" i="3" s="1"/>
  <c r="X1370" i="3"/>
  <c r="W1370" i="3" s="1"/>
  <c r="AC1370" i="3" s="1"/>
  <c r="X1430" i="3"/>
  <c r="W1430" i="3" s="1"/>
  <c r="AC1430" i="3" s="1"/>
  <c r="X30" i="3"/>
  <c r="W30" i="3" s="1"/>
  <c r="AC30" i="3" s="1"/>
  <c r="X225" i="3"/>
  <c r="W225" i="3" s="1"/>
  <c r="AC225" i="3" s="1"/>
  <c r="X1538" i="3"/>
  <c r="W1538" i="3" s="1"/>
  <c r="AC1538" i="3" s="1"/>
  <c r="X1504" i="3"/>
  <c r="W1504" i="3" s="1"/>
  <c r="AC1504" i="3" s="1"/>
  <c r="X1206" i="3"/>
  <c r="W1206" i="3" s="1"/>
  <c r="AC1206" i="3" s="1"/>
  <c r="X967" i="3"/>
  <c r="W967" i="3" s="1"/>
  <c r="AC967" i="3" s="1"/>
  <c r="X1508" i="3"/>
  <c r="W1508" i="3" s="1"/>
  <c r="AC1508" i="3" s="1"/>
  <c r="X507" i="3"/>
  <c r="W507" i="3" s="1"/>
  <c r="AC507" i="3" s="1"/>
  <c r="X249" i="3"/>
  <c r="W249" i="3" s="1"/>
  <c r="AC249" i="3" s="1"/>
  <c r="X111" i="3"/>
  <c r="W111" i="3" s="1"/>
  <c r="AC111" i="3" s="1"/>
  <c r="X27" i="3"/>
  <c r="W27" i="3" s="1"/>
  <c r="AC27" i="3" s="1"/>
  <c r="X1073" i="3"/>
  <c r="W1073" i="3" s="1"/>
  <c r="AC1073" i="3" s="1"/>
  <c r="X32" i="3"/>
  <c r="W32" i="3" s="1"/>
  <c r="AC32" i="3" s="1"/>
  <c r="X1117" i="3"/>
  <c r="W1117" i="3" s="1"/>
  <c r="AC1117" i="3" s="1"/>
  <c r="X368" i="3"/>
  <c r="W368" i="3" s="1"/>
  <c r="AC368" i="3" s="1"/>
  <c r="X577" i="3"/>
  <c r="W577" i="3" s="1"/>
  <c r="AC577" i="3" s="1"/>
  <c r="X1408" i="3"/>
  <c r="W1408" i="3" s="1"/>
  <c r="AC1408" i="3" s="1"/>
  <c r="X1541" i="3"/>
  <c r="W1541" i="3" s="1"/>
  <c r="AC1541" i="3" s="1"/>
  <c r="X109" i="3"/>
  <c r="W109" i="3" s="1"/>
  <c r="AC109" i="3" s="1"/>
  <c r="X277" i="3"/>
  <c r="W277" i="3" s="1"/>
  <c r="AC277" i="3" s="1"/>
  <c r="X278" i="3"/>
  <c r="W278" i="3" s="1"/>
  <c r="AC278" i="3" s="1"/>
  <c r="X1368" i="3"/>
  <c r="W1368" i="3" s="1"/>
  <c r="AC1368" i="3" s="1"/>
  <c r="X140" i="3"/>
  <c r="W140" i="3" s="1"/>
  <c r="AC140" i="3" s="1"/>
  <c r="X190" i="3"/>
  <c r="W190" i="3" s="1"/>
  <c r="AC190" i="3" s="1"/>
  <c r="X479" i="3"/>
  <c r="W479" i="3" s="1"/>
  <c r="AC479" i="3" s="1"/>
  <c r="X1294" i="3"/>
  <c r="W1294" i="3" s="1"/>
  <c r="AC1294" i="3" s="1"/>
  <c r="X346" i="3"/>
  <c r="W346" i="3" s="1"/>
  <c r="AC346" i="3" s="1"/>
  <c r="X1333" i="3"/>
  <c r="W1333" i="3" s="1"/>
  <c r="AC1333" i="3" s="1"/>
  <c r="X1400" i="3"/>
  <c r="W1400" i="3" s="1"/>
  <c r="AC1400" i="3" s="1"/>
  <c r="X907" i="3"/>
  <c r="W907" i="3" s="1"/>
  <c r="AC907" i="3" s="1"/>
  <c r="X837" i="3"/>
  <c r="W837" i="3" s="1"/>
  <c r="AC837" i="3" s="1"/>
  <c r="X144" i="3"/>
  <c r="W144" i="3" s="1"/>
  <c r="AC144" i="3" s="1"/>
  <c r="X1426" i="3"/>
  <c r="W1426" i="3" s="1"/>
  <c r="AC1426" i="3" s="1"/>
  <c r="X1192" i="3"/>
  <c r="W1192" i="3" s="1"/>
  <c r="AC1192" i="3" s="1"/>
  <c r="X915" i="3"/>
  <c r="W915" i="3" s="1"/>
  <c r="AC915" i="3" s="1"/>
  <c r="X1337" i="3"/>
  <c r="W1337" i="3" s="1"/>
  <c r="AC1337" i="3" s="1"/>
  <c r="X180" i="3"/>
  <c r="W180" i="3" s="1"/>
  <c r="AC180" i="3" s="1"/>
  <c r="X1397" i="3"/>
  <c r="W1397" i="3" s="1"/>
  <c r="AC1397" i="3" s="1"/>
  <c r="X163" i="3"/>
  <c r="W163" i="3" s="1"/>
  <c r="AC163" i="3" s="1"/>
  <c r="X399" i="3"/>
  <c r="W399" i="3" s="1"/>
  <c r="AC399" i="3" s="1"/>
  <c r="X1365" i="3"/>
  <c r="W1365" i="3" s="1"/>
  <c r="AC1365" i="3" s="1"/>
  <c r="X35" i="3"/>
  <c r="W35" i="3" s="1"/>
  <c r="AC35" i="3" s="1"/>
  <c r="X59" i="3"/>
  <c r="W59" i="3" s="1"/>
  <c r="AC59" i="3" s="1"/>
  <c r="X1266" i="3"/>
  <c r="W1266" i="3" s="1"/>
  <c r="AC1266" i="3" s="1"/>
  <c r="X1473" i="3"/>
  <c r="W1473" i="3" s="1"/>
  <c r="AC1473" i="3" s="1"/>
  <c r="X1338" i="3"/>
  <c r="W1338" i="3" s="1"/>
  <c r="AC1338" i="3" s="1"/>
  <c r="X575" i="3"/>
  <c r="W575" i="3" s="1"/>
  <c r="AC575" i="3" s="1"/>
  <c r="X326" i="3"/>
  <c r="W326" i="3" s="1"/>
  <c r="AC326" i="3" s="1"/>
  <c r="X28" i="3"/>
  <c r="W28" i="3" s="1"/>
  <c r="AC28" i="3" s="1"/>
  <c r="X351" i="3"/>
  <c r="W351" i="3" s="1"/>
  <c r="AC351" i="3" s="1"/>
  <c r="X279" i="3"/>
  <c r="W279" i="3" s="1"/>
  <c r="AC279" i="3" s="1"/>
  <c r="X449" i="3"/>
  <c r="W449" i="3" s="1"/>
  <c r="AC449" i="3" s="1"/>
  <c r="X201" i="3"/>
  <c r="W201" i="3" s="1"/>
  <c r="AC201" i="3" s="1"/>
  <c r="X1468" i="3"/>
  <c r="W1468" i="3" s="1"/>
  <c r="AC1468" i="3" s="1"/>
  <c r="X1537" i="3"/>
  <c r="W1537" i="3" s="1"/>
  <c r="AC1537" i="3" s="1"/>
  <c r="X94" i="3"/>
  <c r="W94" i="3" s="1"/>
  <c r="AC94" i="3" s="1"/>
  <c r="X1428" i="3"/>
  <c r="W1428" i="3" s="1"/>
  <c r="AC1428" i="3" s="1"/>
  <c r="X1322" i="3"/>
  <c r="W1322" i="3" s="1"/>
  <c r="AC1322" i="3" s="1"/>
  <c r="X1311" i="3"/>
  <c r="W1311" i="3" s="1"/>
  <c r="AC1311" i="3" s="1"/>
  <c r="X1520" i="3"/>
  <c r="W1520" i="3" s="1"/>
  <c r="AC1520" i="3" s="1"/>
  <c r="X522" i="3"/>
  <c r="W522" i="3" s="1"/>
  <c r="AC522" i="3" s="1"/>
  <c r="X241" i="3"/>
  <c r="W241" i="3" s="1"/>
  <c r="AC241" i="3" s="1"/>
  <c r="X1216" i="3"/>
  <c r="W1216" i="3" s="1"/>
  <c r="AC1216" i="3" s="1"/>
  <c r="X315" i="3"/>
  <c r="W315" i="3" s="1"/>
  <c r="AC315" i="3" s="1"/>
  <c r="X366" i="3"/>
  <c r="W366" i="3" s="1"/>
  <c r="AC366" i="3" s="1"/>
  <c r="X409" i="3"/>
  <c r="W409" i="3" s="1"/>
  <c r="AC409" i="3" s="1"/>
  <c r="X488" i="3"/>
  <c r="W488" i="3" s="1"/>
  <c r="AC488" i="3" s="1"/>
  <c r="X1253" i="3"/>
  <c r="W1253" i="3" s="1"/>
  <c r="AC1253" i="3" s="1"/>
  <c r="X505" i="3"/>
  <c r="W505" i="3" s="1"/>
  <c r="AC505" i="3" s="1"/>
  <c r="X1387" i="3"/>
  <c r="W1387" i="3" s="1"/>
  <c r="AC1387" i="3" s="1"/>
  <c r="X1325" i="3"/>
  <c r="W1325" i="3" s="1"/>
  <c r="AC1325" i="3" s="1"/>
  <c r="X597" i="3"/>
  <c r="W597" i="3" s="1"/>
  <c r="AC597" i="3" s="1"/>
  <c r="X1479" i="3"/>
  <c r="W1479" i="3" s="1"/>
  <c r="AC1479" i="3" s="1"/>
  <c r="X15" i="3"/>
  <c r="W15" i="3" s="1"/>
  <c r="AC15" i="3" s="1"/>
  <c r="X689" i="3"/>
  <c r="W689" i="3" s="1"/>
  <c r="AC689" i="3" s="1"/>
  <c r="X141" i="3"/>
  <c r="W141" i="3" s="1"/>
  <c r="AC141" i="3" s="1"/>
  <c r="X1121" i="3"/>
  <c r="W1121" i="3" s="1"/>
  <c r="AC1121" i="3" s="1"/>
  <c r="X1528" i="3"/>
  <c r="W1528" i="3" s="1"/>
  <c r="AC1528" i="3" s="1"/>
  <c r="X517" i="3"/>
  <c r="W517" i="3" s="1"/>
  <c r="AC517" i="3" s="1"/>
  <c r="X242" i="3"/>
  <c r="W242" i="3" s="1"/>
  <c r="AC242" i="3" s="1"/>
  <c r="X854" i="3"/>
  <c r="W854" i="3" s="1"/>
  <c r="AC854" i="3" s="1"/>
  <c r="X928" i="3"/>
  <c r="W928" i="3" s="1"/>
  <c r="AC928" i="3" s="1"/>
  <c r="X1373" i="3"/>
  <c r="W1373" i="3" s="1"/>
  <c r="AC1373" i="3" s="1"/>
  <c r="X766" i="3"/>
  <c r="W766" i="3" s="1"/>
  <c r="AC766" i="3" s="1"/>
  <c r="X1328" i="3"/>
  <c r="W1328" i="3" s="1"/>
  <c r="AC1328" i="3" s="1"/>
  <c r="X1446" i="3"/>
  <c r="W1446" i="3" s="1"/>
  <c r="AC1446" i="3" s="1"/>
  <c r="X1427" i="3"/>
  <c r="W1427" i="3" s="1"/>
  <c r="AC1427" i="3" s="1"/>
  <c r="X1386" i="3"/>
  <c r="W1386" i="3" s="1"/>
  <c r="AC1386" i="3" s="1"/>
  <c r="X1318" i="3"/>
  <c r="W1318" i="3" s="1"/>
  <c r="AC1318" i="3" s="1"/>
  <c r="X26" i="3"/>
  <c r="W26" i="3" s="1"/>
  <c r="AC26" i="3" s="1"/>
  <c r="X1485" i="3"/>
  <c r="W1485" i="3" s="1"/>
  <c r="AC1485" i="3" s="1"/>
  <c r="X151" i="3"/>
  <c r="W151" i="3" s="1"/>
  <c r="AC151" i="3" s="1"/>
  <c r="X408" i="3"/>
  <c r="W408" i="3" s="1"/>
  <c r="AC408" i="3" s="1"/>
  <c r="X309" i="3"/>
  <c r="W309" i="3" s="1"/>
  <c r="AC309" i="3" s="1"/>
  <c r="X593" i="3"/>
  <c r="W593" i="3" s="1"/>
  <c r="AC593" i="3" s="1"/>
  <c r="X85" i="3"/>
  <c r="W85" i="3" s="1"/>
  <c r="AC85" i="3" s="1"/>
  <c r="X1181" i="3"/>
  <c r="W1181" i="3" s="1"/>
  <c r="AC1181" i="3" s="1"/>
  <c r="X1232" i="3"/>
  <c r="W1232" i="3" s="1"/>
  <c r="AC1232" i="3" s="1"/>
  <c r="X916" i="3"/>
  <c r="W916" i="3" s="1"/>
  <c r="AC916" i="3" s="1"/>
  <c r="X383" i="3"/>
  <c r="W383" i="3" s="1"/>
  <c r="AC383" i="3" s="1"/>
  <c r="X418" i="3"/>
  <c r="W418" i="3" s="1"/>
  <c r="AC418" i="3" s="1"/>
  <c r="X1457" i="3"/>
  <c r="W1457" i="3" s="1"/>
  <c r="AC1457" i="3" s="1"/>
  <c r="X491" i="3"/>
  <c r="W491" i="3" s="1"/>
  <c r="AC491" i="3" s="1"/>
  <c r="X427" i="3"/>
  <c r="W427" i="3" s="1"/>
  <c r="AC427" i="3" s="1"/>
  <c r="X1114" i="3"/>
  <c r="W1114" i="3" s="1"/>
  <c r="AC1114" i="3" s="1"/>
  <c r="X1494" i="3"/>
  <c r="W1494" i="3" s="1"/>
  <c r="AC1494" i="3" s="1"/>
  <c r="X75" i="3"/>
  <c r="W75" i="3" s="1"/>
  <c r="AC75" i="3" s="1"/>
  <c r="X1461" i="3"/>
  <c r="W1461" i="3" s="1"/>
  <c r="AC1461" i="3" s="1"/>
  <c r="X1500" i="3"/>
  <c r="W1500" i="3" s="1"/>
  <c r="AC1500" i="3" s="1"/>
  <c r="X1406" i="3"/>
  <c r="W1406" i="3" s="1"/>
  <c r="AC1406" i="3" s="1"/>
  <c r="X608" i="3"/>
  <c r="W608" i="3" s="1"/>
  <c r="AC608" i="3" s="1"/>
  <c r="X550" i="3"/>
  <c r="W550" i="3" s="1"/>
  <c r="AC550" i="3" s="1"/>
  <c r="X122" i="3"/>
  <c r="W122" i="3" s="1"/>
  <c r="AC122" i="3" s="1"/>
  <c r="X964" i="3"/>
  <c r="W964" i="3" s="1"/>
  <c r="AC964" i="3" s="1"/>
  <c r="X1367" i="3"/>
  <c r="W1367" i="3" s="1"/>
  <c r="AC1367" i="3" s="1"/>
  <c r="X1389" i="3"/>
  <c r="W1389" i="3" s="1"/>
  <c r="AC1389" i="3" s="1"/>
  <c r="X1380" i="3"/>
  <c r="W1380" i="3" s="1"/>
  <c r="AC1380" i="3" s="1"/>
  <c r="X1297" i="3"/>
  <c r="W1297" i="3" s="1"/>
  <c r="AC1297" i="3" s="1"/>
  <c r="X1298" i="3"/>
  <c r="W1298" i="3" s="1"/>
  <c r="AC1298" i="3" s="1"/>
  <c r="X227" i="3"/>
  <c r="W227" i="3" s="1"/>
  <c r="AC227" i="3" s="1"/>
  <c r="X1477" i="3"/>
  <c r="W1477" i="3" s="1"/>
  <c r="AC1477" i="3" s="1"/>
  <c r="X498" i="3"/>
  <c r="W498" i="3" s="1"/>
  <c r="AC498" i="3" s="1"/>
  <c r="X1247" i="3"/>
  <c r="W1247" i="3" s="1"/>
  <c r="AC1247" i="3" s="1"/>
  <c r="X1324" i="3"/>
  <c r="W1324" i="3" s="1"/>
  <c r="AC1324" i="3" s="1"/>
  <c r="X316" i="3"/>
  <c r="W316" i="3" s="1"/>
  <c r="AC316" i="3" s="1"/>
  <c r="X599" i="3"/>
  <c r="W599" i="3" s="1"/>
  <c r="AC599" i="3" s="1"/>
  <c r="X525" i="3"/>
  <c r="W525" i="3" s="1"/>
  <c r="AC525" i="3" s="1"/>
  <c r="X55" i="3"/>
  <c r="W55" i="3" s="1"/>
  <c r="AC55" i="3" s="1"/>
  <c r="X1429" i="3"/>
  <c r="W1429" i="3" s="1"/>
  <c r="AC1429" i="3" s="1"/>
  <c r="X1432" i="3"/>
  <c r="W1432" i="3" s="1"/>
  <c r="AC1432" i="3" s="1"/>
  <c r="X1285" i="3"/>
  <c r="W1285" i="3" s="1"/>
  <c r="AC1285" i="3" s="1"/>
  <c r="X297" i="3"/>
  <c r="W297" i="3" s="1"/>
  <c r="AC297" i="3" s="1"/>
  <c r="X1471" i="3"/>
  <c r="W1471" i="3" s="1"/>
  <c r="AC1471" i="3" s="1"/>
  <c r="X133" i="3"/>
  <c r="W133" i="3" s="1"/>
  <c r="AC133" i="3" s="1"/>
  <c r="X258" i="3"/>
  <c r="W258" i="3" s="1"/>
  <c r="AC258" i="3" s="1"/>
  <c r="X1179" i="3"/>
  <c r="W1179" i="3" s="1"/>
  <c r="AC1179" i="3" s="1"/>
  <c r="X1443" i="3"/>
  <c r="W1443" i="3" s="1"/>
  <c r="AC1443" i="3" s="1"/>
  <c r="X373" i="3"/>
  <c r="W373" i="3" s="1"/>
  <c r="AC373" i="3" s="1"/>
  <c r="X95" i="3"/>
  <c r="W95" i="3" s="1"/>
  <c r="AC95" i="3" s="1"/>
  <c r="X325" i="3"/>
  <c r="W325" i="3" s="1"/>
  <c r="AC325" i="3" s="1"/>
  <c r="X393" i="3"/>
  <c r="W393" i="3" s="1"/>
  <c r="AC393" i="3" s="1"/>
  <c r="X422" i="3"/>
  <c r="W422" i="3" s="1"/>
  <c r="AC422" i="3" s="1"/>
  <c r="X1519" i="3"/>
  <c r="W1519" i="3" s="1"/>
  <c r="AC1519" i="3" s="1"/>
  <c r="X1113" i="3"/>
  <c r="W1113" i="3" s="1"/>
  <c r="AC1113" i="3" s="1"/>
  <c r="X1441" i="3"/>
  <c r="W1441" i="3" s="1"/>
  <c r="AC1441" i="3" s="1"/>
  <c r="X1450" i="3"/>
  <c r="W1450" i="3" s="1"/>
  <c r="AC1450" i="3" s="1"/>
  <c r="X1110" i="3"/>
  <c r="W1110" i="3" s="1"/>
  <c r="AC1110" i="3" s="1"/>
  <c r="X344" i="3"/>
  <c r="W344" i="3" s="1"/>
  <c r="AC344" i="3" s="1"/>
  <c r="X39" i="3"/>
  <c r="W39" i="3" s="1"/>
  <c r="AC39" i="3" s="1"/>
  <c r="X13" i="3"/>
  <c r="W13" i="3" s="1"/>
  <c r="AC13" i="3" s="1"/>
  <c r="X729" i="3"/>
  <c r="W729" i="3" s="1"/>
  <c r="AC729" i="3" s="1"/>
  <c r="X643" i="3"/>
  <c r="W643" i="3" s="1"/>
  <c r="AC643" i="3" s="1"/>
  <c r="X1177" i="3"/>
  <c r="W1177" i="3" s="1"/>
  <c r="AC1177" i="3" s="1"/>
  <c r="X823" i="3"/>
  <c r="W823" i="3" s="1"/>
  <c r="AC823" i="3" s="1"/>
  <c r="X1356" i="3"/>
  <c r="W1356" i="3" s="1"/>
  <c r="AC1356" i="3" s="1"/>
  <c r="X458" i="3"/>
  <c r="W458" i="3" s="1"/>
  <c r="AC458" i="3" s="1"/>
  <c r="X424" i="3"/>
  <c r="W424" i="3" s="1"/>
  <c r="AC424" i="3" s="1"/>
  <c r="X299" i="3"/>
  <c r="W299" i="3" s="1"/>
  <c r="AC299" i="3" s="1"/>
  <c r="X1353" i="3"/>
  <c r="W1353" i="3" s="1"/>
  <c r="AC1353" i="3" s="1"/>
  <c r="X1267" i="3"/>
  <c r="W1267" i="3" s="1"/>
  <c r="AC1267" i="3" s="1"/>
  <c r="X237" i="3"/>
  <c r="W237" i="3" s="1"/>
  <c r="AC237" i="3" s="1"/>
  <c r="X184" i="3"/>
  <c r="W184" i="3" s="1"/>
  <c r="AC184" i="3" s="1"/>
  <c r="X431" i="3"/>
  <c r="W431" i="3" s="1"/>
  <c r="AC431" i="3" s="1"/>
  <c r="X663" i="3"/>
  <c r="W663" i="3" s="1"/>
  <c r="AC663" i="3" s="1"/>
  <c r="X1332" i="3"/>
  <c r="W1332" i="3" s="1"/>
  <c r="AC1332" i="3" s="1"/>
  <c r="X538" i="3"/>
  <c r="W538" i="3" s="1"/>
  <c r="AC538" i="3" s="1"/>
  <c r="X119" i="3"/>
  <c r="W119" i="3" s="1"/>
  <c r="AC119" i="3" s="1"/>
  <c r="X303" i="3"/>
  <c r="W303" i="3" s="1"/>
  <c r="AC303" i="3" s="1"/>
  <c r="X1375" i="3"/>
  <c r="W1375" i="3" s="1"/>
  <c r="AC1375" i="3" s="1"/>
  <c r="X883" i="3"/>
  <c r="W883" i="3" s="1"/>
  <c r="AC883" i="3" s="1"/>
  <c r="X1327" i="3"/>
  <c r="W1327" i="3" s="1"/>
  <c r="AC1327" i="3" s="1"/>
  <c r="X960" i="3"/>
  <c r="W960" i="3" s="1"/>
  <c r="AC960" i="3" s="1"/>
  <c r="X414" i="3"/>
  <c r="W414" i="3" s="1"/>
  <c r="AC414" i="3" s="1"/>
  <c r="X1042" i="3"/>
  <c r="W1042" i="3" s="1"/>
  <c r="AC1042" i="3" s="1"/>
  <c r="X1474" i="3"/>
  <c r="W1474" i="3" s="1"/>
  <c r="AC1474" i="3" s="1"/>
  <c r="X1442" i="3"/>
  <c r="W1442" i="3" s="1"/>
  <c r="AC1442" i="3" s="1"/>
  <c r="X1458" i="3"/>
  <c r="W1458" i="3" s="1"/>
  <c r="AC1458" i="3" s="1"/>
  <c r="X1460" i="3"/>
  <c r="W1460" i="3" s="1"/>
  <c r="AC1460" i="3" s="1"/>
  <c r="X1371" i="3"/>
  <c r="W1371" i="3" s="1"/>
  <c r="AC1371" i="3" s="1"/>
  <c r="X686" i="3"/>
  <c r="W686" i="3" s="1"/>
  <c r="AC686" i="3" s="1"/>
  <c r="X582" i="3"/>
  <c r="W582" i="3" s="1"/>
  <c r="AC582" i="3" s="1"/>
  <c r="X1393" i="3"/>
  <c r="W1393" i="3" s="1"/>
  <c r="AC1393" i="3" s="1"/>
  <c r="X1326" i="3"/>
  <c r="W1326" i="3" s="1"/>
  <c r="AC1326" i="3" s="1"/>
  <c r="X1064" i="3"/>
  <c r="W1064" i="3" s="1"/>
  <c r="AC1064" i="3" s="1"/>
  <c r="X244" i="3"/>
  <c r="W244" i="3" s="1"/>
  <c r="AC244" i="3" s="1"/>
  <c r="X475" i="3"/>
  <c r="W475" i="3" s="1"/>
  <c r="AC475" i="3" s="1"/>
  <c r="X535" i="3"/>
  <c r="W535" i="3" s="1"/>
  <c r="AC535" i="3" s="1"/>
  <c r="X715" i="3"/>
  <c r="W715" i="3" s="1"/>
  <c r="AC715" i="3" s="1"/>
  <c r="X763" i="3"/>
  <c r="W763" i="3" s="1"/>
  <c r="AC763" i="3" s="1"/>
  <c r="X453" i="3"/>
  <c r="W453" i="3" s="1"/>
  <c r="AC453" i="3" s="1"/>
  <c r="X1435" i="3"/>
  <c r="W1435" i="3" s="1"/>
  <c r="AC1435" i="3" s="1"/>
  <c r="X1335" i="3"/>
  <c r="W1335" i="3" s="1"/>
  <c r="AC1335" i="3" s="1"/>
  <c r="X573" i="3"/>
  <c r="W573" i="3" s="1"/>
  <c r="AC573" i="3" s="1"/>
  <c r="X267" i="3"/>
  <c r="W267" i="3" s="1"/>
  <c r="AC267" i="3" s="1"/>
  <c r="X1514" i="3"/>
  <c r="W1514" i="3" s="1"/>
  <c r="AC1514" i="3" s="1"/>
  <c r="X1535" i="3"/>
  <c r="W1535" i="3" s="1"/>
  <c r="AC1535" i="3" s="1"/>
  <c r="X1066" i="3"/>
  <c r="W1066" i="3" s="1"/>
  <c r="AC1066" i="3" s="1"/>
  <c r="X993" i="3"/>
  <c r="W993" i="3" s="1"/>
  <c r="AC993" i="3" s="1"/>
  <c r="X1422" i="3"/>
  <c r="W1422" i="3" s="1"/>
  <c r="AC1422" i="3" s="1"/>
  <c r="X584" i="3"/>
  <c r="W584" i="3" s="1"/>
  <c r="AC584" i="3" s="1"/>
  <c r="X1088" i="3"/>
  <c r="W1088" i="3" s="1"/>
  <c r="AC1088" i="3" s="1"/>
  <c r="X922" i="3"/>
  <c r="W922" i="3" s="1"/>
  <c r="AC922" i="3" s="1"/>
  <c r="X947" i="3"/>
  <c r="W947" i="3" s="1"/>
  <c r="AC947" i="3" s="1"/>
  <c r="X1533" i="3"/>
  <c r="W1533" i="3" s="1"/>
  <c r="AC1533" i="3" s="1"/>
  <c r="X802" i="3"/>
  <c r="W802" i="3" s="1"/>
  <c r="AC802" i="3" s="1"/>
  <c r="X524" i="3"/>
  <c r="W524" i="3" s="1"/>
  <c r="AC524" i="3" s="1"/>
  <c r="X1407" i="3"/>
  <c r="W1407" i="3" s="1"/>
  <c r="AC1407" i="3" s="1"/>
  <c r="X624" i="3"/>
  <c r="W624" i="3" s="1"/>
  <c r="AC624" i="3" s="1"/>
  <c r="X1416" i="3"/>
  <c r="W1416" i="3" s="1"/>
  <c r="AC1416" i="3" s="1"/>
  <c r="X1396" i="3"/>
  <c r="W1396" i="3" s="1"/>
  <c r="AC1396" i="3" s="1"/>
  <c r="X1142" i="3"/>
  <c r="W1142" i="3" s="1"/>
  <c r="AC1142" i="3" s="1"/>
  <c r="X443" i="3"/>
  <c r="W443" i="3" s="1"/>
  <c r="AC443" i="3" s="1"/>
  <c r="X1220" i="3"/>
  <c r="W1220" i="3" s="1"/>
  <c r="AC1220" i="3" s="1"/>
  <c r="X356" i="3"/>
  <c r="W356" i="3" s="1"/>
  <c r="AC356" i="3" s="1"/>
  <c r="X1434" i="3"/>
  <c r="W1434" i="3" s="1"/>
  <c r="AC1434" i="3" s="1"/>
  <c r="X321" i="3"/>
  <c r="W321" i="3" s="1"/>
  <c r="AC321" i="3" s="1"/>
  <c r="X1288" i="3"/>
  <c r="W1288" i="3" s="1"/>
  <c r="AC1288" i="3" s="1"/>
  <c r="X1501" i="3"/>
  <c r="W1501" i="3" s="1"/>
  <c r="AC1501" i="3" s="1"/>
  <c r="X142" i="3"/>
  <c r="W142" i="3" s="1"/>
  <c r="AC142" i="3" s="1"/>
  <c r="X612" i="3"/>
  <c r="W612" i="3" s="1"/>
  <c r="AC612" i="3" s="1"/>
  <c r="X554" i="3"/>
  <c r="W554" i="3" s="1"/>
  <c r="AC554" i="3" s="1"/>
  <c r="X482" i="3"/>
  <c r="W482" i="3" s="1"/>
  <c r="AC482" i="3" s="1"/>
  <c r="X289" i="3"/>
  <c r="W289" i="3" s="1"/>
  <c r="AC289" i="3" s="1"/>
  <c r="X1524" i="3"/>
  <c r="W1524" i="3" s="1"/>
  <c r="AC1524" i="3" s="1"/>
  <c r="X466" i="3"/>
  <c r="W466" i="3" s="1"/>
  <c r="AC466" i="3" s="1"/>
  <c r="X1112" i="3"/>
  <c r="W1112" i="3" s="1"/>
  <c r="AC1112" i="3" s="1"/>
  <c r="X282" i="3"/>
  <c r="W282" i="3" s="1"/>
  <c r="AC282" i="3" s="1"/>
  <c r="X465" i="3"/>
  <c r="W465" i="3" s="1"/>
  <c r="AC465" i="3" s="1"/>
  <c r="X559" i="3"/>
  <c r="W559" i="3" s="1"/>
  <c r="AC559" i="3" s="1"/>
  <c r="X166" i="3"/>
  <c r="W166" i="3" s="1"/>
  <c r="AC166" i="3" s="1"/>
  <c r="X1026" i="3"/>
  <c r="W1026" i="3" s="1"/>
  <c r="AC1026" i="3" s="1"/>
  <c r="X477" i="3"/>
  <c r="W477" i="3" s="1"/>
  <c r="AC477" i="3" s="1"/>
  <c r="X205" i="3"/>
  <c r="W205" i="3" s="1"/>
  <c r="AC205" i="3" s="1"/>
  <c r="X889" i="3"/>
  <c r="W889" i="3" s="1"/>
  <c r="AC889" i="3" s="1"/>
  <c r="X810" i="3"/>
  <c r="W810" i="3" s="1"/>
  <c r="AC810" i="3" s="1"/>
  <c r="X406" i="3"/>
  <c r="W406" i="3" s="1"/>
  <c r="AC406" i="3" s="1"/>
  <c r="X685" i="3"/>
  <c r="W685" i="3" s="1"/>
  <c r="AC685" i="3" s="1"/>
  <c r="X97" i="3"/>
  <c r="W97" i="3" s="1"/>
  <c r="AC97" i="3" s="1"/>
  <c r="X1382" i="3"/>
  <c r="W1382" i="3" s="1"/>
  <c r="AC1382" i="3" s="1"/>
  <c r="X655" i="3"/>
  <c r="W655" i="3" s="1"/>
  <c r="AC655" i="3" s="1"/>
  <c r="X1019" i="3"/>
  <c r="W1019" i="3" s="1"/>
  <c r="AC1019" i="3" s="1"/>
  <c r="X1250" i="3"/>
  <c r="W1250" i="3" s="1"/>
  <c r="AC1250" i="3" s="1"/>
  <c r="X374" i="3"/>
  <c r="W374" i="3" s="1"/>
  <c r="AC374" i="3" s="1"/>
  <c r="X1261" i="3"/>
  <c r="W1261" i="3" s="1"/>
  <c r="AC1261" i="3" s="1"/>
  <c r="X1125" i="3"/>
  <c r="W1125" i="3" s="1"/>
  <c r="AC1125" i="3" s="1"/>
  <c r="X1483" i="3"/>
  <c r="W1483" i="3" s="1"/>
  <c r="AC1483" i="3" s="1"/>
  <c r="X1475" i="3"/>
  <c r="W1475" i="3" s="1"/>
  <c r="AC1475" i="3" s="1"/>
  <c r="X1404" i="3"/>
  <c r="W1404" i="3" s="1"/>
  <c r="AC1404" i="3" s="1"/>
  <c r="X331" i="3"/>
  <c r="W331" i="3" s="1"/>
  <c r="AC331" i="3" s="1"/>
  <c r="X1079" i="3"/>
  <c r="W1079" i="3" s="1"/>
  <c r="AC1079" i="3" s="1"/>
  <c r="X1527" i="3"/>
  <c r="W1527" i="3" s="1"/>
  <c r="AC1527" i="3" s="1"/>
  <c r="X333" i="3"/>
  <c r="W333" i="3" s="1"/>
  <c r="AC333" i="3" s="1"/>
  <c r="X357" i="3"/>
  <c r="W357" i="3" s="1"/>
  <c r="AC357" i="3" s="1"/>
  <c r="X1331" i="3"/>
  <c r="W1331" i="3" s="1"/>
  <c r="AC1331" i="3" s="1"/>
  <c r="X432" i="3"/>
  <c r="W432" i="3" s="1"/>
  <c r="AC432" i="3" s="1"/>
  <c r="X1437" i="3"/>
  <c r="W1437" i="3" s="1"/>
  <c r="AC1437" i="3" s="1"/>
  <c r="X1291" i="3"/>
  <c r="W1291" i="3" s="1"/>
  <c r="AC1291" i="3" s="1"/>
  <c r="X1425" i="3"/>
  <c r="W1425" i="3" s="1"/>
  <c r="AC1425" i="3" s="1"/>
  <c r="X1465" i="3"/>
  <c r="W1465" i="3" s="1"/>
  <c r="AC1465" i="3" s="1"/>
  <c r="X454" i="3"/>
  <c r="W454" i="3" s="1"/>
  <c r="AC454" i="3" s="1"/>
  <c r="X1411" i="3"/>
  <c r="W1411" i="3" s="1"/>
  <c r="AC1411" i="3" s="1"/>
  <c r="X733" i="3"/>
  <c r="W733" i="3" s="1"/>
  <c r="AC733" i="3" s="1"/>
  <c r="X1444" i="3"/>
  <c r="W1444" i="3" s="1"/>
  <c r="AC1444" i="3" s="1"/>
  <c r="X1323" i="3"/>
  <c r="W1323" i="3" s="1"/>
  <c r="AC1323" i="3" s="1"/>
  <c r="X1039" i="3"/>
  <c r="W1039" i="3" s="1"/>
  <c r="AC1039" i="3" s="1"/>
  <c r="X1378" i="3"/>
  <c r="W1378" i="3" s="1"/>
  <c r="AC1378" i="3" s="1"/>
  <c r="X820" i="3"/>
  <c r="W820" i="3" s="1"/>
  <c r="AC820" i="3" s="1"/>
  <c r="X634" i="3"/>
  <c r="W634" i="3" s="1"/>
  <c r="AC634" i="3" s="1"/>
  <c r="X1172" i="3"/>
  <c r="W1172" i="3" s="1"/>
  <c r="AC1172" i="3" s="1"/>
  <c r="X1306" i="3"/>
  <c r="W1306" i="3" s="1"/>
  <c r="AC1306" i="3" s="1"/>
  <c r="X1421" i="3"/>
  <c r="W1421" i="3" s="1"/>
  <c r="AC1421" i="3" s="1"/>
  <c r="X1320" i="3"/>
  <c r="W1320" i="3" s="1"/>
  <c r="AC1320" i="3" s="1"/>
  <c r="X88" i="3"/>
  <c r="W88" i="3" s="1"/>
  <c r="AC88" i="3" s="1"/>
  <c r="X1438" i="3"/>
  <c r="W1438" i="3" s="1"/>
  <c r="AC1438" i="3" s="1"/>
  <c r="X219" i="3"/>
  <c r="W219" i="3" s="1"/>
  <c r="AC219" i="3" s="1"/>
  <c r="X1530" i="3"/>
  <c r="W1530" i="3" s="1"/>
  <c r="AC1530" i="3" s="1"/>
  <c r="X341" i="3"/>
  <c r="W341" i="3" s="1"/>
  <c r="AC341" i="3" s="1"/>
  <c r="X1038" i="3"/>
  <c r="W1038" i="3" s="1"/>
  <c r="AC1038" i="3" s="1"/>
  <c r="X1364" i="3"/>
  <c r="W1364" i="3" s="1"/>
  <c r="AC1364" i="3" s="1"/>
  <c r="X1405" i="3"/>
  <c r="W1405" i="3" s="1"/>
  <c r="AC1405" i="3" s="1"/>
  <c r="X372" i="3"/>
  <c r="W372" i="3" s="1"/>
  <c r="AC372" i="3" s="1"/>
  <c r="X1484" i="3"/>
  <c r="W1484" i="3" s="1"/>
  <c r="AC1484" i="3" s="1"/>
  <c r="X1470" i="3"/>
  <c r="W1470" i="3" s="1"/>
  <c r="AC1470" i="3" s="1"/>
  <c r="X1278" i="3"/>
  <c r="W1278" i="3" s="1"/>
  <c r="AC1278" i="3" s="1"/>
  <c r="X436" i="3"/>
  <c r="W436" i="3" s="1"/>
  <c r="AC436" i="3" s="1"/>
  <c r="X1507" i="3"/>
  <c r="W1507" i="3" s="1"/>
  <c r="AC1507" i="3" s="1"/>
  <c r="X402" i="3"/>
  <c r="W402" i="3" s="1"/>
  <c r="AC402" i="3" s="1"/>
  <c r="X1436" i="3"/>
  <c r="W1436" i="3" s="1"/>
  <c r="AC1436" i="3" s="1"/>
  <c r="X171" i="3"/>
  <c r="W171" i="3" s="1"/>
  <c r="AC171" i="3" s="1"/>
  <c r="X1523" i="3"/>
  <c r="W1523" i="3" s="1"/>
  <c r="AC1523" i="3" s="1"/>
  <c r="X262" i="3"/>
  <c r="W262" i="3" s="1"/>
  <c r="AC262" i="3" s="1"/>
  <c r="X1433" i="3"/>
  <c r="W1433" i="3" s="1"/>
  <c r="AC1433" i="3" s="1"/>
  <c r="X116" i="3"/>
  <c r="W116" i="3" s="1"/>
  <c r="AC116" i="3" s="1"/>
  <c r="X1036" i="3"/>
  <c r="W1036" i="3" s="1"/>
  <c r="AC1036" i="3" s="1"/>
  <c r="X876" i="3"/>
  <c r="W876" i="3" s="1"/>
  <c r="AC876" i="3" s="1"/>
  <c r="X1420" i="3"/>
  <c r="W1420" i="3" s="1"/>
  <c r="AC1420" i="3" s="1"/>
  <c r="X864" i="3"/>
  <c r="W864" i="3" s="1"/>
  <c r="AC864" i="3" s="1"/>
  <c r="X868" i="3"/>
  <c r="W868" i="3" s="1"/>
  <c r="AC868" i="3" s="1"/>
  <c r="X1534" i="3"/>
  <c r="W1534" i="3" s="1"/>
  <c r="AC1534" i="3" s="1"/>
  <c r="X1003" i="3"/>
  <c r="W1003" i="3" s="1"/>
  <c r="AC1003" i="3" s="1"/>
  <c r="X687" i="3"/>
  <c r="W687" i="3" s="1"/>
  <c r="AC687" i="3" s="1"/>
  <c r="X18" i="3"/>
  <c r="W18" i="3" s="1"/>
  <c r="AC18" i="3" s="1"/>
  <c r="X1271" i="3"/>
  <c r="W1271" i="3" s="1"/>
  <c r="AC1271" i="3" s="1"/>
  <c r="X501" i="3"/>
  <c r="W501" i="3" s="1"/>
  <c r="AC501" i="3" s="1"/>
  <c r="X257" i="3"/>
  <c r="W257" i="3" s="1"/>
  <c r="AC257" i="3" s="1"/>
  <c r="X1455" i="3"/>
  <c r="W1455" i="3" s="1"/>
  <c r="AC1455" i="3" s="1"/>
  <c r="X433" i="3"/>
  <c r="W433" i="3" s="1"/>
  <c r="AC433" i="3" s="1"/>
  <c r="X1478" i="3"/>
  <c r="W1478" i="3" s="1"/>
  <c r="AC1478" i="3" s="1"/>
  <c r="X162" i="3"/>
  <c r="W162" i="3" s="1"/>
  <c r="AC162" i="3" s="1"/>
  <c r="X1171" i="3"/>
  <c r="W1171" i="3" s="1"/>
  <c r="AC1171" i="3" s="1"/>
  <c r="X181" i="3"/>
  <c r="W181" i="3" s="1"/>
  <c r="AC181" i="3" s="1"/>
  <c r="X1308" i="3"/>
  <c r="W1308" i="3" s="1"/>
  <c r="AC1308" i="3" s="1"/>
  <c r="X292" i="3"/>
  <c r="W292" i="3" s="1"/>
  <c r="AC292" i="3" s="1"/>
  <c r="X208" i="3"/>
  <c r="W208" i="3" s="1"/>
  <c r="AC208" i="3" s="1"/>
  <c r="X168" i="3"/>
  <c r="W168" i="3" s="1"/>
  <c r="AC168" i="3" s="1"/>
  <c r="X923" i="3"/>
  <c r="W923" i="3" s="1"/>
  <c r="AC923" i="3" s="1"/>
  <c r="X1486" i="3"/>
  <c r="W1486" i="3" s="1"/>
  <c r="AC1486" i="3" s="1"/>
  <c r="X1126" i="3"/>
  <c r="W1126" i="3" s="1"/>
  <c r="AC1126" i="3" s="1"/>
  <c r="X622" i="3"/>
  <c r="W622" i="3" s="1"/>
  <c r="AC622" i="3" s="1"/>
  <c r="X492" i="3"/>
  <c r="W492" i="3" s="1"/>
  <c r="AC492" i="3" s="1"/>
  <c r="X528" i="3"/>
  <c r="W528" i="3" s="1"/>
  <c r="AC528" i="3" s="1"/>
  <c r="X1144" i="3"/>
  <c r="W1144" i="3" s="1"/>
  <c r="AC1144" i="3" s="1"/>
  <c r="X1347" i="3"/>
  <c r="W1347" i="3" s="1"/>
  <c r="AC1347" i="3" s="1"/>
  <c r="X1163" i="3"/>
  <c r="W1163" i="3" s="1"/>
  <c r="AC1163" i="3" s="1"/>
  <c r="X220" i="3"/>
  <c r="W220" i="3" s="1"/>
  <c r="AC220" i="3" s="1"/>
  <c r="X518" i="3"/>
  <c r="W518" i="3" s="1"/>
  <c r="AC518" i="3" s="1"/>
  <c r="X1010" i="3"/>
  <c r="W1010" i="3" s="1"/>
  <c r="AC1010" i="3" s="1"/>
  <c r="X1217" i="3"/>
  <c r="W1217" i="3" s="1"/>
  <c r="AC1217" i="3" s="1"/>
  <c r="X484" i="3"/>
  <c r="W484" i="3" s="1"/>
  <c r="AC484" i="3" s="1"/>
  <c r="X423" i="3"/>
  <c r="W423" i="3" s="1"/>
  <c r="AC423" i="3" s="1"/>
  <c r="X1300" i="3"/>
  <c r="W1300" i="3" s="1"/>
  <c r="AC1300" i="3" s="1"/>
  <c r="X811" i="3"/>
  <c r="W811" i="3" s="1"/>
  <c r="AC811" i="3" s="1"/>
  <c r="X1309" i="3"/>
  <c r="W1309" i="3" s="1"/>
  <c r="AC1309" i="3" s="1"/>
  <c r="X235" i="3"/>
  <c r="W235" i="3" s="1"/>
  <c r="AC235" i="3" s="1"/>
  <c r="X290" i="3"/>
  <c r="W290" i="3" s="1"/>
  <c r="AC290" i="3" s="1"/>
  <c r="X104" i="3"/>
  <c r="W104" i="3" s="1"/>
  <c r="AC104" i="3" s="1"/>
  <c r="X1339" i="3"/>
  <c r="W1339" i="3" s="1"/>
  <c r="AC1339" i="3" s="1"/>
  <c r="X1469" i="3"/>
  <c r="W1469" i="3" s="1"/>
  <c r="AC1469" i="3" s="1"/>
  <c r="X1283" i="3"/>
  <c r="W1283" i="3" s="1"/>
  <c r="AC1283" i="3" s="1"/>
  <c r="X553" i="3"/>
  <c r="W553" i="3" s="1"/>
  <c r="AC553" i="3" s="1"/>
  <c r="X531" i="3"/>
  <c r="W531" i="3" s="1"/>
  <c r="AC531" i="3" s="1"/>
  <c r="X172" i="3"/>
  <c r="W172" i="3" s="1"/>
  <c r="AC172" i="3" s="1"/>
  <c r="X701" i="3"/>
  <c r="W701" i="3" s="1"/>
  <c r="AC701" i="3" s="1"/>
  <c r="X1334" i="3"/>
  <c r="W1334" i="3" s="1"/>
  <c r="AC1334" i="3" s="1"/>
  <c r="X1496" i="3"/>
  <c r="W1496" i="3" s="1"/>
  <c r="AC1496" i="3" s="1"/>
  <c r="X60" i="3"/>
  <c r="W60" i="3" s="1"/>
  <c r="AC60" i="3" s="1"/>
  <c r="X105" i="3"/>
  <c r="W105" i="3" s="1"/>
  <c r="AC105" i="3" s="1"/>
  <c r="X1292" i="3"/>
  <c r="W1292" i="3" s="1"/>
  <c r="AC1292" i="3" s="1"/>
  <c r="X679" i="3"/>
  <c r="W679" i="3" s="1"/>
  <c r="AC679" i="3" s="1"/>
  <c r="X1482" i="3"/>
  <c r="W1482" i="3" s="1"/>
  <c r="AC1482" i="3" s="1"/>
  <c r="X364" i="3"/>
  <c r="W364" i="3" s="1"/>
  <c r="AC364" i="3" s="1"/>
  <c r="X132" i="3"/>
  <c r="W132" i="3" s="1"/>
  <c r="AC132" i="3" s="1"/>
  <c r="X252" i="3"/>
  <c r="W252" i="3" s="1"/>
  <c r="AC252" i="3" s="1"/>
  <c r="X481" i="3"/>
  <c r="W481" i="3" s="1"/>
  <c r="AC481" i="3" s="1"/>
  <c r="X1463" i="3"/>
  <c r="W1463" i="3" s="1"/>
  <c r="AC1463" i="3" s="1"/>
  <c r="X348" i="3"/>
  <c r="W348" i="3" s="1"/>
  <c r="AC348" i="3" s="1"/>
  <c r="X1167" i="3"/>
  <c r="W1167" i="3" s="1"/>
  <c r="AC1167" i="3" s="1"/>
  <c r="X123" i="3"/>
  <c r="W123" i="3" s="1"/>
  <c r="AC123" i="3" s="1"/>
  <c r="X1448" i="3"/>
  <c r="W1448" i="3" s="1"/>
  <c r="AC1448" i="3" s="1"/>
  <c r="X394" i="3"/>
  <c r="W394" i="3" s="1"/>
  <c r="AC394" i="3" s="1"/>
  <c r="X684" i="3"/>
  <c r="W684" i="3" s="1"/>
  <c r="AC684" i="3" s="1"/>
  <c r="X188" i="3"/>
  <c r="W188" i="3" s="1"/>
  <c r="AC188" i="3" s="1"/>
  <c r="X515" i="3"/>
  <c r="W515" i="3" s="1"/>
  <c r="AC515" i="3" s="1"/>
  <c r="X1280" i="3"/>
  <c r="W1280" i="3" s="1"/>
  <c r="AC1280" i="3" s="1"/>
  <c r="X157" i="3"/>
  <c r="W157" i="3" s="1"/>
  <c r="AC157" i="3" s="1"/>
  <c r="X167" i="3"/>
  <c r="W167" i="3" s="1"/>
  <c r="AC167" i="3" s="1"/>
  <c r="X511" i="3"/>
  <c r="W511" i="3" s="1"/>
  <c r="AC511" i="3" s="1"/>
  <c r="X73" i="3"/>
  <c r="W73" i="3" s="1"/>
  <c r="AC73" i="3" s="1"/>
  <c r="X1452" i="3"/>
  <c r="W1452" i="3" s="1"/>
  <c r="AC1452" i="3" s="1"/>
  <c r="X521" i="3"/>
  <c r="W521" i="3" s="1"/>
  <c r="AC521" i="3" s="1"/>
  <c r="X147" i="3"/>
  <c r="W147" i="3" s="1"/>
  <c r="AC147" i="3" s="1"/>
  <c r="X1149" i="3"/>
  <c r="W1149" i="3" s="1"/>
  <c r="AC1149" i="3" s="1"/>
  <c r="X1240" i="3"/>
  <c r="W1240" i="3" s="1"/>
  <c r="AC1240" i="3" s="1"/>
  <c r="X1355" i="3"/>
  <c r="W1355" i="3" s="1"/>
  <c r="AC1355" i="3" s="1"/>
  <c r="X1174" i="3"/>
  <c r="W1174" i="3" s="1"/>
  <c r="AC1174" i="3" s="1"/>
  <c r="X463" i="3"/>
  <c r="W463" i="3" s="1"/>
  <c r="AC463" i="3" s="1"/>
  <c r="X93" i="3"/>
  <c r="W93" i="3" s="1"/>
  <c r="AC93" i="3" s="1"/>
  <c r="X41" i="3"/>
  <c r="W41" i="3" s="1"/>
  <c r="AC41" i="3" s="1"/>
  <c r="X359" i="3"/>
  <c r="W359" i="3" s="1"/>
  <c r="AC359" i="3" s="1"/>
  <c r="X1116" i="3"/>
  <c r="W1116" i="3" s="1"/>
  <c r="AC1116" i="3" s="1"/>
  <c r="X817" i="3"/>
  <c r="W817" i="3" s="1"/>
  <c r="AC817" i="3" s="1"/>
  <c r="X186" i="3"/>
  <c r="W186" i="3" s="1"/>
  <c r="AC186" i="3" s="1"/>
  <c r="X561" i="3"/>
  <c r="W561" i="3" s="1"/>
  <c r="AC561" i="3" s="1"/>
  <c r="X581" i="3"/>
  <c r="W581" i="3" s="1"/>
  <c r="AC581" i="3" s="1"/>
  <c r="X149" i="3"/>
  <c r="W149" i="3" s="1"/>
  <c r="AC149" i="3" s="1"/>
  <c r="X942" i="3"/>
  <c r="W942" i="3" s="1"/>
  <c r="AC942" i="3" s="1"/>
  <c r="X1207" i="3"/>
  <c r="W1207" i="3" s="1"/>
  <c r="AC1207" i="3" s="1"/>
  <c r="X1403" i="3"/>
  <c r="W1403" i="3" s="1"/>
  <c r="AC1403" i="3" s="1"/>
  <c r="X329" i="3"/>
  <c r="W329" i="3" s="1"/>
  <c r="AC329" i="3" s="1"/>
  <c r="X1431" i="3"/>
  <c r="W1431" i="3" s="1"/>
  <c r="AC1431" i="3" s="1"/>
  <c r="X808" i="3"/>
  <c r="W808" i="3" s="1"/>
  <c r="AC808" i="3" s="1"/>
  <c r="X570" i="3"/>
  <c r="W570" i="3" s="1"/>
  <c r="AC570" i="3" s="1"/>
  <c r="X207" i="3"/>
  <c r="W207" i="3" s="1"/>
  <c r="AC207" i="3" s="1"/>
  <c r="X1358" i="3"/>
  <c r="W1358" i="3" s="1"/>
  <c r="AC1358" i="3" s="1"/>
  <c r="X973" i="3"/>
  <c r="W973" i="3" s="1"/>
  <c r="AC973" i="3" s="1"/>
  <c r="X288" i="3"/>
  <c r="W288" i="3" s="1"/>
  <c r="AC288" i="3" s="1"/>
  <c r="X1244" i="3"/>
  <c r="W1244" i="3" s="1"/>
  <c r="AC1244" i="3" s="1"/>
  <c r="X1374" i="3"/>
  <c r="W1374" i="3" s="1"/>
  <c r="AC1374" i="3" s="1"/>
  <c r="X1445" i="3"/>
  <c r="W1445" i="3" s="1"/>
  <c r="AC1445" i="3" s="1"/>
  <c r="X1454" i="3"/>
  <c r="W1454" i="3" s="1"/>
  <c r="AC1454" i="3" s="1"/>
  <c r="X335" i="3"/>
  <c r="W335" i="3" s="1"/>
  <c r="AC335" i="3" s="1"/>
  <c r="X1021" i="3"/>
  <c r="W1021" i="3" s="1"/>
  <c r="AC1021" i="3" s="1"/>
  <c r="X350" i="3"/>
  <c r="W350" i="3" s="1"/>
  <c r="AC350" i="3" s="1"/>
  <c r="X1522" i="3"/>
  <c r="W1522" i="3" s="1"/>
  <c r="AC1522" i="3" s="1"/>
  <c r="X1268" i="3"/>
  <c r="W1268" i="3" s="1"/>
  <c r="AC1268" i="3" s="1"/>
  <c r="X61" i="3"/>
  <c r="W61" i="3" s="1"/>
  <c r="AC61" i="3" s="1"/>
  <c r="X209" i="3"/>
  <c r="W209" i="3" s="1"/>
  <c r="AC209" i="3" s="1"/>
  <c r="X239" i="3"/>
  <c r="W239" i="3" s="1"/>
  <c r="AC239" i="3" s="1"/>
  <c r="X1265" i="3"/>
  <c r="W1265" i="3" s="1"/>
  <c r="AC1265" i="3" s="1"/>
  <c r="X420" i="3"/>
  <c r="W420" i="3" s="1"/>
  <c r="AC420" i="3" s="1"/>
  <c r="X791" i="3"/>
  <c r="W791" i="3" s="1"/>
  <c r="AC791" i="3" s="1"/>
  <c r="X1410" i="3"/>
  <c r="W1410" i="3" s="1"/>
  <c r="AC1410" i="3" s="1"/>
  <c r="X583" i="3"/>
  <c r="W583" i="3" s="1"/>
  <c r="AC583" i="3" s="1"/>
  <c r="X467" i="3"/>
  <c r="W467" i="3" s="1"/>
  <c r="AC467" i="3" s="1"/>
  <c r="X539" i="3"/>
  <c r="W539" i="3" s="1"/>
  <c r="AC539" i="3" s="1"/>
  <c r="X274" i="3"/>
  <c r="W274" i="3" s="1"/>
  <c r="AC274" i="3" s="1"/>
  <c r="X154" i="3"/>
  <c r="W154" i="3" s="1"/>
  <c r="AC154" i="3" s="1"/>
  <c r="X1348" i="3"/>
  <c r="W1348" i="3" s="1"/>
  <c r="AC1348" i="3" s="1"/>
  <c r="X606" i="3"/>
  <c r="W606" i="3" s="1"/>
  <c r="AC606" i="3" s="1"/>
  <c r="X1205" i="3"/>
  <c r="W1205" i="3" s="1"/>
  <c r="AC1205" i="3" s="1"/>
  <c r="X324" i="3"/>
  <c r="W324" i="3" s="1"/>
  <c r="AC324" i="3" s="1"/>
  <c r="X950" i="3"/>
  <c r="W950" i="3" s="1"/>
  <c r="AC950" i="3" s="1"/>
  <c r="X1091" i="3"/>
  <c r="W1091" i="3" s="1"/>
  <c r="AC1091" i="3" s="1"/>
  <c r="X1453" i="3"/>
  <c r="W1453" i="3" s="1"/>
  <c r="AC1453" i="3" s="1"/>
  <c r="X1361" i="3"/>
  <c r="W1361" i="3" s="1"/>
  <c r="AC1361" i="3" s="1"/>
  <c r="X428" i="3"/>
  <c r="W428" i="3" s="1"/>
  <c r="AC428" i="3" s="1"/>
  <c r="X1395" i="3"/>
  <c r="W1395" i="3" s="1"/>
  <c r="AC1395" i="3" s="1"/>
  <c r="X338" i="3"/>
  <c r="W338" i="3" s="1"/>
  <c r="AC338" i="3" s="1"/>
  <c r="X160" i="3"/>
  <c r="W160" i="3" s="1"/>
  <c r="AC160" i="3" s="1"/>
  <c r="X270" i="3"/>
  <c r="W270" i="3" s="1"/>
  <c r="AC270" i="3" s="1"/>
  <c r="X294" i="3"/>
  <c r="W294" i="3" s="1"/>
  <c r="AC294" i="3" s="1"/>
  <c r="X1399" i="3"/>
  <c r="W1399" i="3" s="1"/>
  <c r="AC1399" i="3" s="1"/>
  <c r="X1243" i="3"/>
  <c r="W1243" i="3" s="1"/>
  <c r="AC1243" i="3" s="1"/>
  <c r="X214" i="3"/>
  <c r="W214" i="3" s="1"/>
  <c r="AC214" i="3" s="1"/>
  <c r="X12" i="3"/>
  <c r="W12" i="3" s="1"/>
  <c r="AC12" i="3" s="1"/>
  <c r="X975" i="3"/>
  <c r="W975" i="3" s="1"/>
  <c r="AC975" i="3" s="1"/>
  <c r="X537" i="3"/>
  <c r="W537" i="3" s="1"/>
  <c r="AC537" i="3" s="1"/>
  <c r="X283" i="3"/>
  <c r="W283" i="3" s="1"/>
  <c r="AC283" i="3" s="1"/>
  <c r="X1379" i="3"/>
  <c r="W1379" i="3" s="1"/>
  <c r="AC1379" i="3" s="1"/>
  <c r="X674" i="3"/>
  <c r="W674" i="3" s="1"/>
  <c r="AC674" i="3" s="1"/>
  <c r="X642" i="3"/>
  <c r="W642" i="3" s="1"/>
  <c r="AC642" i="3" s="1"/>
  <c r="X343" i="3"/>
  <c r="W343" i="3" s="1"/>
  <c r="AC343" i="3" s="1"/>
  <c r="X1317" i="3"/>
  <c r="W1317" i="3" s="1"/>
  <c r="AC1317" i="3" s="1"/>
  <c r="X362" i="3"/>
  <c r="W362" i="3" s="1"/>
  <c r="AC362" i="3" s="1"/>
  <c r="X452" i="3"/>
  <c r="W452" i="3" s="1"/>
  <c r="AC452" i="3" s="1"/>
  <c r="X416" i="3"/>
  <c r="W416" i="3" s="1"/>
  <c r="AC416" i="3" s="1"/>
  <c r="X291" i="3"/>
  <c r="W291" i="3" s="1"/>
  <c r="AC291" i="3" s="1"/>
  <c r="X386" i="3"/>
  <c r="W386" i="3" s="1"/>
  <c r="AC386" i="3" s="1"/>
  <c r="X1141" i="3"/>
  <c r="W1141" i="3" s="1"/>
  <c r="AC1141" i="3" s="1"/>
  <c r="X1409" i="3"/>
  <c r="W1409" i="3" s="1"/>
  <c r="AC1409" i="3" s="1"/>
  <c r="X586" i="3"/>
  <c r="W586" i="3" s="1"/>
  <c r="AC586" i="3" s="1"/>
  <c r="X1357" i="3"/>
  <c r="W1357" i="3" s="1"/>
  <c r="AC1357" i="3" s="1"/>
  <c r="X445" i="3"/>
  <c r="W445" i="3" s="1"/>
  <c r="AC445" i="3" s="1"/>
  <c r="X389" i="3"/>
  <c r="W389" i="3" s="1"/>
  <c r="AC389" i="3" s="1"/>
  <c r="X1517" i="3"/>
  <c r="W1517" i="3" s="1"/>
  <c r="AC1517" i="3" s="1"/>
  <c r="X592" i="3"/>
  <c r="W592" i="3" s="1"/>
  <c r="AC592" i="3" s="1"/>
  <c r="X378" i="3"/>
  <c r="W378" i="3" s="1"/>
  <c r="AC378" i="3" s="1"/>
  <c r="X435" i="3"/>
  <c r="W435" i="3" s="1"/>
  <c r="AC435" i="3" s="1"/>
  <c r="X1222" i="3"/>
  <c r="W1222" i="3" s="1"/>
  <c r="AC1222" i="3" s="1"/>
  <c r="X36" i="3"/>
  <c r="W36" i="3" s="1"/>
  <c r="AC36" i="3" s="1"/>
  <c r="X628" i="3"/>
  <c r="W628" i="3" s="1"/>
  <c r="AC628" i="3" s="1"/>
  <c r="X308" i="3"/>
  <c r="W308" i="3" s="1"/>
  <c r="AC308" i="3" s="1"/>
  <c r="X1115" i="3"/>
  <c r="W1115" i="3" s="1"/>
  <c r="AC1115" i="3" s="1"/>
  <c r="X1366" i="3"/>
  <c r="W1366" i="3" s="1"/>
  <c r="AC1366" i="3" s="1"/>
  <c r="X861" i="3"/>
  <c r="W861" i="3" s="1"/>
  <c r="AC861" i="3" s="1"/>
  <c r="X174" i="3"/>
  <c r="W174" i="3" s="1"/>
  <c r="AC174" i="3" s="1"/>
  <c r="X1262" i="3"/>
  <c r="W1262" i="3" s="1"/>
  <c r="AC1262" i="3" s="1"/>
  <c r="X355" i="3"/>
  <c r="W355" i="3" s="1"/>
  <c r="AC355" i="3" s="1"/>
  <c r="X1540" i="3"/>
  <c r="W1540" i="3" s="1"/>
  <c r="AC1540" i="3" s="1"/>
  <c r="X1518" i="3"/>
  <c r="W1518" i="3" s="1"/>
  <c r="AC1518" i="3" s="1"/>
  <c r="X648" i="3"/>
  <c r="W648" i="3" s="1"/>
  <c r="AC648" i="3" s="1"/>
  <c r="X629" i="3"/>
  <c r="W629" i="3" s="1"/>
  <c r="AC629" i="3" s="1"/>
  <c r="X1255" i="3"/>
  <c r="W1255" i="3" s="1"/>
  <c r="AC1255" i="3" s="1"/>
  <c r="X313" i="3"/>
  <c r="W313" i="3" s="1"/>
  <c r="AC313" i="3" s="1"/>
  <c r="X92" i="3"/>
  <c r="W92" i="3" s="1"/>
  <c r="AC92" i="3" s="1"/>
  <c r="X523" i="3"/>
  <c r="W523" i="3" s="1"/>
  <c r="AC523" i="3" s="1"/>
  <c r="X1269" i="3"/>
  <c r="W1269" i="3" s="1"/>
  <c r="AC1269" i="3" s="1"/>
  <c r="X398" i="3"/>
  <c r="W398" i="3" s="1"/>
  <c r="AC398" i="3" s="1"/>
  <c r="X1417" i="3"/>
  <c r="W1417" i="3" s="1"/>
  <c r="AC1417" i="3" s="1"/>
  <c r="X870" i="3"/>
  <c r="W870" i="3" s="1"/>
  <c r="AC870" i="3" s="1"/>
  <c r="X1505" i="3"/>
  <c r="W1505" i="3" s="1"/>
  <c r="AC1505" i="3" s="1"/>
  <c r="X1394" i="3"/>
  <c r="W1394" i="3" s="1"/>
  <c r="AC1394" i="3" s="1"/>
  <c r="X1111" i="3"/>
  <c r="W1111" i="3" s="1"/>
  <c r="AC1111" i="3" s="1"/>
  <c r="X1290" i="3"/>
  <c r="W1290" i="3" s="1"/>
  <c r="AC1290" i="3" s="1"/>
  <c r="X1414" i="3"/>
  <c r="W1414" i="3" s="1"/>
  <c r="AC1414" i="3" s="1"/>
  <c r="X1287" i="3"/>
  <c r="W1287" i="3" s="1"/>
  <c r="AC1287" i="3" s="1"/>
  <c r="X829" i="3"/>
  <c r="W829" i="3" s="1"/>
  <c r="AC829" i="3" s="1"/>
  <c r="X69" i="3"/>
  <c r="W69" i="3" s="1"/>
  <c r="AC69" i="3" s="1"/>
  <c r="X217" i="3"/>
  <c r="W217" i="3" s="1"/>
  <c r="AC217" i="3" s="1"/>
  <c r="X542" i="3"/>
  <c r="W542" i="3" s="1"/>
  <c r="AC542" i="3" s="1"/>
  <c r="X1203" i="3"/>
  <c r="W1203" i="3" s="1"/>
  <c r="AC1203" i="3" s="1"/>
  <c r="X758" i="3"/>
  <c r="W758" i="3" s="1"/>
  <c r="AC758" i="3" s="1"/>
  <c r="X411" i="3"/>
  <c r="W411" i="3" s="1"/>
  <c r="AC411" i="3" s="1"/>
  <c r="X336" i="3"/>
  <c r="W336" i="3" s="1"/>
  <c r="AC336" i="3" s="1"/>
  <c r="X1424" i="3"/>
  <c r="W1424" i="3" s="1"/>
  <c r="AC1424" i="3" s="1"/>
  <c r="X231" i="3"/>
  <c r="W231" i="3" s="1"/>
  <c r="AC231" i="3" s="1"/>
  <c r="L7" i="11"/>
  <c r="M7" i="11"/>
  <c r="L5" i="11"/>
  <c r="M5" i="11"/>
  <c r="M4" i="11"/>
  <c r="L4" i="11"/>
  <c r="L6" i="11"/>
  <c r="M6" i="11"/>
  <c r="I13" i="10"/>
  <c r="I20" i="10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N7" i="11" l="1"/>
  <c r="N4" i="11"/>
  <c r="N6" i="11"/>
  <c r="N5" i="11"/>
</calcChain>
</file>

<file path=xl/sharedStrings.xml><?xml version="1.0" encoding="utf-8"?>
<sst xmlns="http://schemas.openxmlformats.org/spreadsheetml/2006/main" count="38502" uniqueCount="2219">
  <si>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</si>
  <si>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</si>
  <si>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</si>
  <si>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</si>
  <si>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</si>
  <si>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</si>
  <si>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</si>
  <si>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</si>
  <si>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</si>
  <si>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</si>
  <si>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</si>
  <si>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</si>
  <si>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</si>
  <si>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</si>
  <si>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</si>
  <si>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</si>
  <si>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</si>
  <si>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</si>
  <si>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</si>
  <si>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</si>
  <si>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</si>
  <si>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</si>
  <si>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</si>
  <si>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</si>
  <si>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</si>
  <si>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</si>
  <si>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</si>
  <si>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</si>
  <si>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</si>
  <si>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</si>
  <si>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</si>
  <si>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</si>
  <si>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</si>
  <si>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</si>
  <si>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</si>
  <si>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</si>
  <si>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</si>
  <si>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</si>
  <si>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</si>
  <si>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</si>
  <si>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</si>
  <si>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</si>
  <si>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</si>
  <si>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</si>
  <si>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</si>
  <si>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</si>
  <si>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</si>
  <si>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</si>
  <si>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</si>
  <si>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</si>
  <si>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</si>
  <si>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</si>
  <si>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</si>
  <si>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</si>
  <si>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</si>
  <si>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</si>
  <si>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</si>
  <si>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</si>
  <si>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</si>
  <si>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</si>
  <si>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</si>
  <si>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</si>
  <si>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</si>
  <si>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</si>
  <si>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</si>
  <si>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</si>
  <si>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</si>
  <si>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</si>
  <si>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</si>
  <si>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</si>
  <si>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</si>
  <si>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</si>
  <si>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</si>
  <si>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</si>
  <si>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</si>
  <si>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</si>
  <si>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</si>
  <si>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</si>
  <si>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</si>
  <si>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</si>
  <si>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</si>
  <si>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</si>
  <si>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</si>
  <si>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</si>
  <si>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</si>
  <si>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</si>
  <si>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</si>
  <si>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</si>
  <si>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</si>
  <si>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</si>
  <si>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</si>
  <si>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</si>
  <si>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</si>
  <si>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</si>
  <si>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</si>
  <si>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</si>
  <si>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</si>
  <si>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</si>
  <si>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</si>
  <si>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</si>
  <si>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</si>
  <si>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</si>
  <si>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</si>
  <si>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</si>
  <si>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</si>
  <si>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</si>
  <si>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</si>
  <si>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</si>
  <si>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</si>
  <si>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</si>
  <si>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</si>
  <si>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</si>
  <si>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</si>
  <si>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</si>
  <si>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</si>
  <si>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</si>
  <si>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</si>
  <si>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</si>
  <si>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</si>
  <si>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</si>
  <si>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</si>
  <si>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</si>
  <si>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</si>
  <si>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</si>
  <si>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</si>
  <si>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</si>
  <si>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</si>
  <si>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Jon</t>
  </si>
  <si>
    <t>Juan</t>
  </si>
  <si>
    <t>Jeff</t>
  </si>
  <si>
    <t>Michael</t>
  </si>
  <si>
    <t>Davis</t>
  </si>
  <si>
    <t>Mark</t>
  </si>
  <si>
    <t>Brown</t>
  </si>
  <si>
    <t>Ralph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</si>
  <si>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</si>
  <si>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</si>
  <si>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</si>
  <si>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</si>
  <si>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</si>
  <si>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</si>
  <si>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</si>
  <si>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</si>
  <si>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</si>
  <si>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</si>
  <si>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</si>
  <si>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</si>
  <si>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</si>
  <si>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</si>
  <si>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</si>
  <si>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</si>
  <si>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</si>
  <si>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</si>
  <si>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</si>
  <si>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</si>
  <si>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</si>
  <si>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</si>
  <si>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</si>
  <si>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</si>
  <si>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</si>
  <si>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</si>
  <si>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</si>
  <si>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</si>
  <si>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</si>
  <si>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</si>
  <si>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</si>
  <si>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</si>
  <si>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</si>
  <si>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</si>
  <si>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</si>
  <si>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</si>
  <si>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</si>
  <si>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</si>
  <si>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</si>
  <si>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</si>
  <si>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</si>
  <si>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</si>
  <si>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</si>
  <si>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</si>
  <si>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</si>
  <si>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</si>
  <si>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</si>
  <si>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</si>
  <si>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</si>
  <si>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</si>
  <si>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Lou</t>
  </si>
  <si>
    <t>Lee</t>
  </si>
  <si>
    <t>Eric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</si>
  <si>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</si>
  <si>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</si>
  <si>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</si>
  <si>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</si>
  <si>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</si>
  <si>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</si>
  <si>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</si>
  <si>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</si>
  <si>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</si>
  <si>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</si>
  <si>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</si>
  <si>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</si>
  <si>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</si>
  <si>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</si>
  <si>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</si>
  <si>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</si>
  <si>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</si>
  <si>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</si>
  <si>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</si>
  <si>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</si>
  <si>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</si>
  <si>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</si>
  <si>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</si>
  <si>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Jordan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</si>
  <si>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</si>
  <si>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</si>
  <si>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</si>
  <si>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</si>
  <si>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</si>
  <si>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</si>
  <si>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</si>
  <si>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</si>
  <si>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</si>
  <si>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</si>
  <si>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</si>
  <si>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</si>
  <si>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</si>
  <si>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</si>
  <si>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</si>
  <si>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</si>
  <si>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</si>
  <si>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</si>
  <si>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</si>
  <si>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</si>
  <si>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</si>
  <si>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</si>
  <si>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</si>
  <si>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</si>
  <si>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</si>
  <si>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</si>
  <si>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</si>
  <si>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</si>
  <si>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</si>
  <si>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</si>
  <si>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</si>
  <si>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</si>
  <si>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</si>
  <si>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</si>
  <si>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</si>
  <si>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</si>
  <si>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</si>
  <si>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</si>
  <si>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</si>
  <si>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</si>
  <si>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</si>
  <si>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</si>
  <si>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</si>
  <si>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</si>
  <si>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</si>
  <si>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</si>
  <si>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</si>
  <si>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</si>
  <si>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</si>
  <si>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</si>
  <si>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</si>
  <si>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</si>
  <si>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</si>
  <si>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</si>
  <si>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</si>
  <si>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</si>
  <si>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</si>
  <si>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</si>
  <si>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</si>
  <si>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</si>
  <si>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</si>
  <si>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</si>
  <si>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</si>
  <si>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</si>
  <si>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</si>
  <si>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</si>
  <si>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</si>
  <si>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</si>
  <si>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</si>
  <si>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</si>
  <si>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</si>
  <si>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</si>
  <si>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</si>
  <si>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</si>
  <si>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</si>
  <si>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</si>
  <si>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</si>
  <si>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</si>
  <si>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</si>
  <si>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</si>
  <si>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Robert</t>
  </si>
  <si>
    <t>Will</t>
  </si>
  <si>
    <t>Morgan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</si>
  <si>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</si>
  <si>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</si>
  <si>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</si>
  <si>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</si>
  <si>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</si>
  <si>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</si>
  <si>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</si>
  <si>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</si>
  <si>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</si>
  <si>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</si>
  <si>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</si>
  <si>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</si>
  <si>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</si>
  <si>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</si>
  <si>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</si>
  <si>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</si>
  <si>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</si>
  <si>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</si>
  <si>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</si>
  <si>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</si>
  <si>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</si>
  <si>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</si>
  <si>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Bradley</t>
  </si>
  <si>
    <t>Gerald</t>
  </si>
  <si>
    <t>Parker</t>
  </si>
  <si>
    <t>Johnston</t>
  </si>
  <si>
    <t>Danny</t>
  </si>
  <si>
    <t>Esteban</t>
  </si>
  <si>
    <t>Gary</t>
  </si>
  <si>
    <t>Allen</t>
  </si>
  <si>
    <t>Ray</t>
  </si>
  <si>
    <t>Orlando</t>
  </si>
  <si>
    <t>Delgado</t>
  </si>
  <si>
    <t>Josh</t>
  </si>
  <si>
    <t>Cole</t>
  </si>
  <si>
    <t>Alan</t>
  </si>
  <si>
    <t>Taylor</t>
  </si>
  <si>
    <t>Bobby</t>
  </si>
  <si>
    <t>Bruce</t>
  </si>
  <si>
    <t>Kyle</t>
  </si>
  <si>
    <t>Sean</t>
  </si>
  <si>
    <t>Ben</t>
  </si>
  <si>
    <t>Ken</t>
  </si>
  <si>
    <t>Berry</t>
  </si>
  <si>
    <t>Kent</t>
  </si>
  <si>
    <t>Howard</t>
  </si>
  <si>
    <t>Patrick</t>
  </si>
  <si>
    <t>Armando</t>
  </si>
  <si>
    <t>Alex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</si>
  <si>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</si>
  <si>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</si>
  <si>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</si>
  <si>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</si>
  <si>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</si>
  <si>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</si>
  <si>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</si>
  <si>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</si>
  <si>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</si>
  <si>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Jacob</t>
  </si>
  <si>
    <t>Tommy</t>
  </si>
  <si>
    <t>Derek</t>
  </si>
  <si>
    <t>bZscore</t>
  </si>
  <si>
    <t>pZscore</t>
  </si>
  <si>
    <t>cmbList</t>
  </si>
  <si>
    <t>zRnk</t>
  </si>
  <si>
    <t>Kato</t>
  </si>
  <si>
    <t>Kichida</t>
  </si>
  <si>
    <t>Justin</t>
  </si>
  <si>
    <t>Adams</t>
  </si>
  <si>
    <t>Doug</t>
  </si>
  <si>
    <t>Millard</t>
  </si>
  <si>
    <t>Tom</t>
  </si>
  <si>
    <t>Travis</t>
  </si>
  <si>
    <t>Curtis</t>
  </si>
  <si>
    <t>Hughes</t>
  </si>
  <si>
    <t>Phil</t>
  </si>
  <si>
    <t>Todd</t>
  </si>
  <si>
    <t>Sato</t>
  </si>
  <si>
    <t>Luke</t>
  </si>
  <si>
    <t>Brad</t>
  </si>
  <si>
    <t>Charles</t>
  </si>
  <si>
    <t>Bernard</t>
  </si>
  <si>
    <t>Alonso</t>
  </si>
  <si>
    <t>Guerra</t>
  </si>
  <si>
    <t>Ohayashi</t>
  </si>
  <si>
    <t>Ed</t>
  </si>
  <si>
    <t>Abe</t>
  </si>
  <si>
    <t>Suzuki</t>
  </si>
  <si>
    <t>Foster</t>
  </si>
  <si>
    <t>Owen</t>
  </si>
  <si>
    <t>Takahashi</t>
  </si>
  <si>
    <t>Kokawa</t>
  </si>
  <si>
    <t>Powell</t>
  </si>
  <si>
    <t>Arthur</t>
  </si>
  <si>
    <t>Terry</t>
  </si>
  <si>
    <t>Vicente</t>
  </si>
  <si>
    <t>Andrew</t>
  </si>
  <si>
    <t>Cook</t>
  </si>
  <si>
    <t>Tanaka</t>
  </si>
  <si>
    <t>Murray</t>
  </si>
  <si>
    <t>Jeremy</t>
  </si>
  <si>
    <t>Christian</t>
  </si>
  <si>
    <t>Inoue</t>
  </si>
  <si>
    <t>Walt</t>
  </si>
  <si>
    <t>Carl</t>
  </si>
  <si>
    <t>Lloyd</t>
  </si>
  <si>
    <t>Stanley</t>
  </si>
  <si>
    <t>Reid</t>
  </si>
  <si>
    <t>Hashimoto</t>
  </si>
  <si>
    <t>Peter</t>
  </si>
  <si>
    <t>King</t>
  </si>
  <si>
    <t>First</t>
  </si>
  <si>
    <t>Last</t>
  </si>
  <si>
    <t>$2.8m</t>
  </si>
  <si>
    <t>Payne</t>
  </si>
  <si>
    <t>$2.6m</t>
  </si>
  <si>
    <t>Ogai</t>
  </si>
  <si>
    <t>$2.4m</t>
  </si>
  <si>
    <t>$1.1m</t>
  </si>
  <si>
    <t>$1.9m</t>
  </si>
  <si>
    <t>RP</t>
  </si>
  <si>
    <t>$1.7m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</si>
  <si>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</si>
  <si>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</si>
  <si>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</si>
  <si>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</si>
  <si>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</si>
  <si>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</si>
  <si>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</si>
  <si>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</si>
  <si>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Frank</t>
  </si>
  <si>
    <t>Albert</t>
  </si>
  <si>
    <t>Troy</t>
  </si>
  <si>
    <t>Brooks</t>
  </si>
  <si>
    <t>Bryant</t>
  </si>
  <si>
    <t>Johnny</t>
  </si>
  <si>
    <t>Adam</t>
  </si>
  <si>
    <t>Ferguson</t>
  </si>
  <si>
    <t>Galindo</t>
  </si>
  <si>
    <t>Ernest</t>
  </si>
  <si>
    <t>Pablo</t>
  </si>
  <si>
    <t>Neal</t>
  </si>
  <si>
    <t>Hicks</t>
  </si>
  <si>
    <t>Nate</t>
  </si>
  <si>
    <t>Ronald</t>
  </si>
  <si>
    <t>Marvin</t>
  </si>
  <si>
    <t>Morris</t>
  </si>
  <si>
    <t>Pete</t>
  </si>
  <si>
    <t>Edgardo</t>
  </si>
  <si>
    <t>Steven</t>
  </si>
  <si>
    <t>Eddie</t>
  </si>
  <si>
    <t>Romero</t>
  </si>
  <si>
    <t>Joey</t>
  </si>
  <si>
    <t>Vargas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</si>
  <si>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</si>
  <si>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</si>
  <si>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</si>
  <si>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</si>
  <si>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</si>
  <si>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</si>
  <si>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</si>
  <si>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</si>
  <si>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</si>
  <si>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</si>
  <si>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</si>
  <si>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</si>
  <si>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</si>
  <si>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</si>
  <si>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</si>
  <si>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</si>
  <si>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</si>
  <si>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</si>
  <si>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</si>
  <si>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</si>
  <si>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</si>
  <si>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</si>
  <si>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</si>
  <si>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</si>
  <si>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</si>
  <si>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</si>
  <si>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</si>
  <si>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</si>
  <si>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</si>
  <si>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</si>
  <si>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</si>
  <si>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</si>
  <si>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</si>
  <si>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</si>
  <si>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</si>
  <si>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</si>
  <si>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</si>
  <si>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</si>
  <si>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</si>
  <si>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</si>
  <si>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</si>
  <si>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</si>
  <si>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</si>
  <si>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</si>
  <si>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</si>
  <si>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</si>
  <si>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</si>
  <si>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</si>
  <si>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</si>
  <si>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</si>
  <si>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</si>
  <si>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</si>
  <si>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</si>
  <si>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</si>
  <si>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</si>
  <si>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</si>
  <si>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</si>
  <si>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</si>
  <si>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</si>
  <si>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</si>
  <si>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</si>
  <si>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</si>
  <si>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</si>
  <si>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</si>
  <si>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</si>
  <si>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</si>
  <si>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</si>
  <si>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</si>
  <si>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</si>
  <si>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</si>
  <si>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</si>
  <si>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Fujimoto</t>
  </si>
  <si>
    <t>McKinley</t>
  </si>
  <si>
    <t>Nakamura</t>
  </si>
  <si>
    <t>Kennedy</t>
  </si>
  <si>
    <t>Sam</t>
  </si>
  <si>
    <t>Artie</t>
  </si>
  <si>
    <t>Konosuke</t>
  </si>
  <si>
    <t>Mal</t>
  </si>
  <si>
    <t>Max</t>
  </si>
  <si>
    <t>Dean</t>
  </si>
  <si>
    <t>Kieran</t>
  </si>
  <si>
    <t>Simpson</t>
  </si>
  <si>
    <t>Ira</t>
  </si>
  <si>
    <t>Crawford</t>
  </si>
  <si>
    <t>Guerrero</t>
  </si>
  <si>
    <t>Victor</t>
  </si>
  <si>
    <t>Barry</t>
  </si>
  <si>
    <t>Eduardo</t>
  </si>
  <si>
    <t>Roku</t>
  </si>
  <si>
    <t>Matthews</t>
  </si>
  <si>
    <t>Shaw</t>
  </si>
  <si>
    <t>STF P</t>
  </si>
  <si>
    <t>Charleston Statesmen</t>
  </si>
  <si>
    <t>Manchester Maulers</t>
  </si>
  <si>
    <t>$180k</t>
  </si>
  <si>
    <t>Alberto</t>
  </si>
  <si>
    <t>$250k</t>
  </si>
  <si>
    <t>Yoshiaga</t>
  </si>
  <si>
    <t>$100k</t>
  </si>
  <si>
    <t>Mitsuhide</t>
  </si>
  <si>
    <t>Yamaguchi</t>
  </si>
  <si>
    <t>$220k</t>
  </si>
  <si>
    <t>Melvin</t>
  </si>
  <si>
    <t>$200k</t>
  </si>
  <si>
    <t>$190k</t>
  </si>
  <si>
    <t>Claudio</t>
  </si>
  <si>
    <t>$90k</t>
  </si>
  <si>
    <t>Yamasaki</t>
  </si>
  <si>
    <t>$270k</t>
  </si>
  <si>
    <t>Cliff</t>
  </si>
  <si>
    <t>$750k</t>
  </si>
  <si>
    <t>$340k</t>
  </si>
  <si>
    <t>Keller</t>
  </si>
  <si>
    <t>$110k</t>
  </si>
  <si>
    <t>Nakano</t>
  </si>
  <si>
    <t>$1.3m</t>
  </si>
  <si>
    <t>Seki</t>
  </si>
  <si>
    <t>Ian</t>
  </si>
  <si>
    <t>Oshima</t>
  </si>
  <si>
    <t>Edward</t>
  </si>
  <si>
    <t>Robertson</t>
  </si>
  <si>
    <t>Yamauchi</t>
  </si>
  <si>
    <t>Paco</t>
  </si>
  <si>
    <t>$130k</t>
  </si>
  <si>
    <t>Stuart</t>
  </si>
  <si>
    <t>Carr</t>
  </si>
  <si>
    <t>$120k</t>
  </si>
  <si>
    <t>Daniels</t>
  </si>
  <si>
    <t>$550k</t>
  </si>
  <si>
    <t>Zak</t>
  </si>
  <si>
    <t>Denis</t>
  </si>
  <si>
    <t>Ingram</t>
  </si>
  <si>
    <t>Nathan</t>
  </si>
  <si>
    <t>Nobukazu</t>
  </si>
  <si>
    <t>Jay</t>
  </si>
  <si>
    <t>Lucas</t>
  </si>
  <si>
    <t>Mori</t>
  </si>
  <si>
    <t>Ogawa</t>
  </si>
  <si>
    <t>Liam</t>
  </si>
  <si>
    <t>Riley</t>
  </si>
  <si>
    <t>Rogers</t>
  </si>
  <si>
    <t>Sanu</t>
  </si>
  <si>
    <t>$280k</t>
  </si>
  <si>
    <t>Sosa</t>
  </si>
  <si>
    <t>Shigochiyo</t>
  </si>
  <si>
    <t>Welch</t>
  </si>
  <si>
    <t>Yamane</t>
  </si>
  <si>
    <t>Shojiro</t>
  </si>
  <si>
    <t>Soto</t>
  </si>
  <si>
    <t>$240k</t>
  </si>
  <si>
    <t>$320k</t>
  </si>
  <si>
    <t>$330k</t>
  </si>
  <si>
    <t>Garrett</t>
  </si>
  <si>
    <t>Matsuoka</t>
  </si>
  <si>
    <t>Okamoto</t>
  </si>
  <si>
    <t>Yoshida</t>
  </si>
  <si>
    <t>$500k</t>
  </si>
  <si>
    <t>Gibson</t>
  </si>
  <si>
    <t>Goto</t>
  </si>
  <si>
    <t>Green</t>
  </si>
  <si>
    <t>Reece</t>
  </si>
  <si>
    <t>Shepherd</t>
  </si>
  <si>
    <t>Kamimura</t>
  </si>
  <si>
    <t>Declan</t>
  </si>
  <si>
    <t>$290k</t>
  </si>
  <si>
    <t>Duane</t>
  </si>
  <si>
    <t>Marty</t>
  </si>
  <si>
    <t>Lyons</t>
  </si>
  <si>
    <t>Maeda</t>
  </si>
  <si>
    <t>Rice</t>
  </si>
  <si>
    <t>Shigemasa</t>
  </si>
  <si>
    <t>LEA</t>
  </si>
  <si>
    <t>By Rnd</t>
  </si>
  <si>
    <t>b/pRnk</t>
  </si>
  <si>
    <t>How</t>
  </si>
  <si>
    <t>Yuma Arroyos</t>
  </si>
  <si>
    <t>Niihama-shi Ghosts</t>
  </si>
  <si>
    <t>Madison Malts</t>
  </si>
  <si>
    <t>Tempe Knights</t>
  </si>
  <si>
    <t>Florida Farstriders</t>
  </si>
  <si>
    <t>C ABI</t>
  </si>
  <si>
    <t>SctAcc</t>
  </si>
  <si>
    <t>3.0 Stars</t>
  </si>
  <si>
    <t>2.5 Stars</t>
  </si>
  <si>
    <t>2.0 Stars</t>
  </si>
  <si>
    <t>Average</t>
  </si>
  <si>
    <t>Tokutomi</t>
  </si>
  <si>
    <t>Nori</t>
  </si>
  <si>
    <t>1.5 Stars</t>
  </si>
  <si>
    <t>1.0 Stars</t>
  </si>
  <si>
    <t>Fuller</t>
  </si>
  <si>
    <t>César</t>
  </si>
  <si>
    <t>García</t>
  </si>
  <si>
    <t>$20k</t>
  </si>
  <si>
    <t>$65k</t>
  </si>
  <si>
    <t>Robby</t>
  </si>
  <si>
    <t>Stephen</t>
  </si>
  <si>
    <t>0.5 Stars</t>
  </si>
  <si>
    <t>Gonzáles</t>
  </si>
  <si>
    <t>$34k</t>
  </si>
  <si>
    <t>José</t>
  </si>
  <si>
    <t>Guzmán</t>
  </si>
  <si>
    <t>Hernández</t>
  </si>
  <si>
    <t>Kobayashi</t>
  </si>
  <si>
    <t>$75k</t>
  </si>
  <si>
    <t>Lorenzo</t>
  </si>
  <si>
    <t>$85k</t>
  </si>
  <si>
    <t>$95k</t>
  </si>
  <si>
    <t>Ernesto</t>
  </si>
  <si>
    <t>$70k</t>
  </si>
  <si>
    <t>Pacheco</t>
  </si>
  <si>
    <t>Pérez</t>
  </si>
  <si>
    <t>Rodríguez</t>
  </si>
  <si>
    <t>$80k</t>
  </si>
  <si>
    <t>Kawanari</t>
  </si>
  <si>
    <t>Sasaki</t>
  </si>
  <si>
    <t>$850k</t>
  </si>
  <si>
    <t>$40k</t>
  </si>
  <si>
    <t>Yamamoto</t>
  </si>
  <si>
    <t>Michihiro</t>
  </si>
  <si>
    <t>$38k</t>
  </si>
  <si>
    <t>Atkins</t>
  </si>
  <si>
    <t>Bailey</t>
  </si>
  <si>
    <t>$370k</t>
  </si>
  <si>
    <t>Bell</t>
  </si>
  <si>
    <t>Raúl</t>
  </si>
  <si>
    <t>Mo</t>
  </si>
  <si>
    <t>Ross</t>
  </si>
  <si>
    <t>Flynn</t>
  </si>
  <si>
    <t>Díaz</t>
  </si>
  <si>
    <t>$60k</t>
  </si>
  <si>
    <t>Ramón</t>
  </si>
  <si>
    <t>Hikaru</t>
  </si>
  <si>
    <t>$400k</t>
  </si>
  <si>
    <t>Domingo</t>
  </si>
  <si>
    <t>Víctor</t>
  </si>
  <si>
    <t>Gato</t>
  </si>
  <si>
    <t>Gómez</t>
  </si>
  <si>
    <t>Graham</t>
  </si>
  <si>
    <t>António</t>
  </si>
  <si>
    <t>Hill</t>
  </si>
  <si>
    <t>Jeffrey</t>
  </si>
  <si>
    <t>Nobuhisa</t>
  </si>
  <si>
    <t>Ine</t>
  </si>
  <si>
    <t>Kim</t>
  </si>
  <si>
    <t>Kojima</t>
  </si>
  <si>
    <t>López</t>
  </si>
  <si>
    <t>Márquez</t>
  </si>
  <si>
    <t>Jesús</t>
  </si>
  <si>
    <t>Martínez</t>
  </si>
  <si>
    <t>Martín</t>
  </si>
  <si>
    <t>$140k</t>
  </si>
  <si>
    <t>Willie</t>
  </si>
  <si>
    <t>Miranda</t>
  </si>
  <si>
    <t>Jun'ichi</t>
  </si>
  <si>
    <t>Naofumi</t>
  </si>
  <si>
    <t>Ortíz</t>
  </si>
  <si>
    <t>Júlio</t>
  </si>
  <si>
    <t>Brant</t>
  </si>
  <si>
    <t>$36k</t>
  </si>
  <si>
    <t>Ted</t>
  </si>
  <si>
    <t>Patton</t>
  </si>
  <si>
    <t>Iván</t>
  </si>
  <si>
    <t>Peña</t>
  </si>
  <si>
    <t>Arturo</t>
  </si>
  <si>
    <t>Irwin</t>
  </si>
  <si>
    <t>Enrique</t>
  </si>
  <si>
    <t>Ramírez</t>
  </si>
  <si>
    <t>Richardson</t>
  </si>
  <si>
    <t>Russell</t>
  </si>
  <si>
    <t>Sánchez</t>
  </si>
  <si>
    <t>Alfonso</t>
  </si>
  <si>
    <t>Karl</t>
  </si>
  <si>
    <t>Sims</t>
  </si>
  <si>
    <t>Sumio</t>
  </si>
  <si>
    <t>Vásquez</t>
  </si>
  <si>
    <t>Vázquez</t>
  </si>
  <si>
    <t>$390k</t>
  </si>
  <si>
    <t>Drew</t>
  </si>
  <si>
    <t>Daryl</t>
  </si>
  <si>
    <t>Burgess</t>
  </si>
  <si>
    <t>Valentín</t>
  </si>
  <si>
    <t>Elton</t>
  </si>
  <si>
    <t>González</t>
  </si>
  <si>
    <t>Gutiérrez</t>
  </si>
  <si>
    <t>Cris</t>
  </si>
  <si>
    <t>Ito</t>
  </si>
  <si>
    <t>Ángel</t>
  </si>
  <si>
    <t>Jiménez</t>
  </si>
  <si>
    <t>Kanno</t>
  </si>
  <si>
    <t>Kimura</t>
  </si>
  <si>
    <t>Tomás</t>
  </si>
  <si>
    <t>Shimizu</t>
  </si>
  <si>
    <t>Trujillo</t>
  </si>
  <si>
    <t>3.5 Stars</t>
  </si>
  <si>
    <t>Campbell</t>
  </si>
  <si>
    <t>Álex</t>
  </si>
  <si>
    <t>Carson</t>
  </si>
  <si>
    <t>$3.8m</t>
  </si>
  <si>
    <t>Héctor</t>
  </si>
  <si>
    <t>Rich</t>
  </si>
  <si>
    <t>Yamada</t>
  </si>
  <si>
    <t>Árias</t>
  </si>
  <si>
    <t>Baldwin</t>
  </si>
  <si>
    <t>Sun</t>
  </si>
  <si>
    <t>Bonilla</t>
  </si>
  <si>
    <t>Al</t>
  </si>
  <si>
    <t>Walter</t>
  </si>
  <si>
    <t>Shawn</t>
  </si>
  <si>
    <t>Chikafuji</t>
  </si>
  <si>
    <t>Cruz</t>
  </si>
  <si>
    <t>Estrada</t>
  </si>
  <si>
    <t>Toshitsugu</t>
  </si>
  <si>
    <t>Goodwin</t>
  </si>
  <si>
    <t>Santiago</t>
  </si>
  <si>
    <t>Holmes</t>
  </si>
  <si>
    <t>Hurtado</t>
  </si>
  <si>
    <t>Bert</t>
  </si>
  <si>
    <t>Juárez</t>
  </si>
  <si>
    <t>Kelley</t>
  </si>
  <si>
    <t>Kikuchi</t>
  </si>
  <si>
    <t>Thom</t>
  </si>
  <si>
    <t>Long</t>
  </si>
  <si>
    <t>Kane</t>
  </si>
  <si>
    <t>Morán</t>
  </si>
  <si>
    <t>Shuncho</t>
  </si>
  <si>
    <t>Nakagawa</t>
  </si>
  <si>
    <t>Yosuke</t>
  </si>
  <si>
    <t>Yorikane</t>
  </si>
  <si>
    <t>Ramsey</t>
  </si>
  <si>
    <t>Kenneth</t>
  </si>
  <si>
    <t>Sakei</t>
  </si>
  <si>
    <t>Nobuatsu</t>
  </si>
  <si>
    <t>Donny</t>
  </si>
  <si>
    <t>Schmidt</t>
  </si>
  <si>
    <t>Charlie</t>
  </si>
  <si>
    <t>Strong</t>
  </si>
  <si>
    <t>Takeuchi</t>
  </si>
  <si>
    <t>Christopher</t>
  </si>
  <si>
    <t>Valdés</t>
  </si>
  <si>
    <t>Watanabe</t>
  </si>
  <si>
    <t>Late</t>
  </si>
  <si>
    <t>Young</t>
  </si>
  <si>
    <t>Favor</t>
  </si>
  <si>
    <t>$650k</t>
  </si>
  <si>
    <t>León</t>
  </si>
  <si>
    <t>Toshinobu</t>
  </si>
  <si>
    <t>Barnes</t>
  </si>
  <si>
    <t>Mendel</t>
  </si>
  <si>
    <t>Oniji</t>
  </si>
  <si>
    <t>Kichikawa</t>
  </si>
  <si>
    <t>Yoichibei</t>
  </si>
  <si>
    <t>Navarro</t>
  </si>
  <si>
    <t>Nii</t>
  </si>
  <si>
    <t>Álvarez</t>
  </si>
  <si>
    <t>Carlton</t>
  </si>
  <si>
    <t>Sieb</t>
  </si>
  <si>
    <t>Bain</t>
  </si>
  <si>
    <t>Ballard</t>
  </si>
  <si>
    <t>Darrell</t>
  </si>
  <si>
    <t>Bermúdez</t>
  </si>
  <si>
    <t>Collins</t>
  </si>
  <si>
    <t>Daisen</t>
  </si>
  <si>
    <t>Alfredo</t>
  </si>
  <si>
    <t>Fukuda</t>
  </si>
  <si>
    <t>Ernie</t>
  </si>
  <si>
    <t>Sergio</t>
  </si>
  <si>
    <t>Lynn</t>
  </si>
  <si>
    <t>Greene</t>
  </si>
  <si>
    <t>Adrián</t>
  </si>
  <si>
    <t>Iemitsu</t>
  </si>
  <si>
    <t>Hayagawa</t>
  </si>
  <si>
    <t>Joshua</t>
  </si>
  <si>
    <t>Yoshitsune</t>
  </si>
  <si>
    <t>Arnie</t>
  </si>
  <si>
    <t>Murakami</t>
  </si>
  <si>
    <t>Marihito</t>
  </si>
  <si>
    <t>Nagai</t>
  </si>
  <si>
    <t>Nishimura</t>
  </si>
  <si>
    <t>Kenny</t>
  </si>
  <si>
    <t>Oglethorpe</t>
  </si>
  <si>
    <t>Don</t>
  </si>
  <si>
    <t>Padilla</t>
  </si>
  <si>
    <t>Felipe</t>
  </si>
  <si>
    <t>Gustavo</t>
  </si>
  <si>
    <t>Randín</t>
  </si>
  <si>
    <t>Sano</t>
  </si>
  <si>
    <t>Masahiko</t>
  </si>
  <si>
    <t>Zach</t>
  </si>
  <si>
    <t>Wilcox</t>
  </si>
  <si>
    <t>Shigekazu</t>
  </si>
  <si>
    <t>Kohei</t>
  </si>
  <si>
    <t>Yang</t>
  </si>
  <si>
    <t>Hideaki</t>
  </si>
  <si>
    <t>Arai</t>
  </si>
  <si>
    <t>Beasley</t>
  </si>
  <si>
    <t>Rhys</t>
  </si>
  <si>
    <t>Bisset</t>
  </si>
  <si>
    <t>Burt</t>
  </si>
  <si>
    <t>Borlase</t>
  </si>
  <si>
    <t>Chávez</t>
  </si>
  <si>
    <t>Clay</t>
  </si>
  <si>
    <t>Coffey</t>
  </si>
  <si>
    <t>Copeland</t>
  </si>
  <si>
    <t>River</t>
  </si>
  <si>
    <t>Edwards</t>
  </si>
  <si>
    <t>Escobar</t>
  </si>
  <si>
    <t>Espinoza</t>
  </si>
  <si>
    <t>Galló</t>
  </si>
  <si>
    <t>Katsuhiko</t>
  </si>
  <si>
    <t>Hara</t>
  </si>
  <si>
    <t>Hartley</t>
  </si>
  <si>
    <t>Cam</t>
  </si>
  <si>
    <t>Marco</t>
  </si>
  <si>
    <t>Kenzaburo</t>
  </si>
  <si>
    <t>Shingen</t>
  </si>
  <si>
    <t>Tadamichi</t>
  </si>
  <si>
    <t>Kojuro</t>
  </si>
  <si>
    <t>Bas</t>
  </si>
  <si>
    <t>Jonathan</t>
  </si>
  <si>
    <t>Langman</t>
  </si>
  <si>
    <t>Wei-liang</t>
  </si>
  <si>
    <t>Li</t>
  </si>
  <si>
    <t>MacDonald</t>
  </si>
  <si>
    <t>Matthew</t>
  </si>
  <si>
    <t>Madison</t>
  </si>
  <si>
    <t>Marsh</t>
  </si>
  <si>
    <t>Marshall</t>
  </si>
  <si>
    <t>$170k</t>
  </si>
  <si>
    <t>Marte</t>
  </si>
  <si>
    <t>Mason</t>
  </si>
  <si>
    <t>Kuniaki</t>
  </si>
  <si>
    <t>Mathews</t>
  </si>
  <si>
    <t>Koryusai</t>
  </si>
  <si>
    <t>Eugene</t>
  </si>
  <si>
    <t>Maxwell</t>
  </si>
  <si>
    <t>Whit</t>
  </si>
  <si>
    <t>McCormick</t>
  </si>
  <si>
    <t>Miyazaki</t>
  </si>
  <si>
    <t>Morín</t>
  </si>
  <si>
    <t>Yatsuhiro</t>
  </si>
  <si>
    <t>Yasuhiro</t>
  </si>
  <si>
    <t>Tamotsu</t>
  </si>
  <si>
    <t>Masaharu</t>
  </si>
  <si>
    <t>Tanyu</t>
  </si>
  <si>
    <t>Nakai</t>
  </si>
  <si>
    <t>Narita</t>
  </si>
  <si>
    <t>Matsuyo</t>
  </si>
  <si>
    <t>Norris</t>
  </si>
  <si>
    <t>Okazaki</t>
  </si>
  <si>
    <t>Tadasu</t>
  </si>
  <si>
    <t>Perkins</t>
  </si>
  <si>
    <t>Petty</t>
  </si>
  <si>
    <t>Rojas</t>
  </si>
  <si>
    <t>Rosário</t>
  </si>
  <si>
    <t>Shimei</t>
  </si>
  <si>
    <t>Naoaki</t>
  </si>
  <si>
    <t>Sakamoto</t>
  </si>
  <si>
    <t>Motoyuki</t>
  </si>
  <si>
    <t>Schaefer</t>
  </si>
  <si>
    <t>Schut</t>
  </si>
  <si>
    <t>Harry</t>
  </si>
  <si>
    <t>Kelvin</t>
  </si>
  <si>
    <t>Sherman</t>
  </si>
  <si>
    <t>Tatsukichi</t>
  </si>
  <si>
    <t>Somers</t>
  </si>
  <si>
    <t>Robbie</t>
  </si>
  <si>
    <t>Summers</t>
  </si>
  <si>
    <t>Shunen</t>
  </si>
  <si>
    <t>Tada</t>
  </si>
  <si>
    <t>Taniguchi</t>
  </si>
  <si>
    <t>$350k</t>
  </si>
  <si>
    <t>Torrez</t>
  </si>
  <si>
    <t>Drees</t>
  </si>
  <si>
    <t>van de Broek</t>
  </si>
  <si>
    <t>Cristo</t>
  </si>
  <si>
    <t>Velázquez</t>
  </si>
  <si>
    <t>Vélez</t>
  </si>
  <si>
    <t>Vera</t>
  </si>
  <si>
    <t>$21k</t>
  </si>
  <si>
    <t>Seinosuke</t>
  </si>
  <si>
    <t>Harumi</t>
  </si>
  <si>
    <t>Baker</t>
  </si>
  <si>
    <t>Bolton</t>
  </si>
  <si>
    <t>Noah</t>
  </si>
  <si>
    <t>Carey</t>
  </si>
  <si>
    <t>Robin</t>
  </si>
  <si>
    <t>Colón</t>
  </si>
  <si>
    <t>Dunn</t>
  </si>
  <si>
    <t>Fraser</t>
  </si>
  <si>
    <t>Dupont</t>
  </si>
  <si>
    <t>Feliciano</t>
  </si>
  <si>
    <t>Fox</t>
  </si>
  <si>
    <t>Gunner</t>
  </si>
  <si>
    <t>Gregg</t>
  </si>
  <si>
    <t>Julián</t>
  </si>
  <si>
    <t>Herrera</t>
  </si>
  <si>
    <t>Hilliard</t>
  </si>
  <si>
    <t>Howe</t>
  </si>
  <si>
    <t>Hutchinson</t>
  </si>
  <si>
    <t>Rikyu</t>
  </si>
  <si>
    <t>Tatsuya</t>
  </si>
  <si>
    <t>Kondo</t>
  </si>
  <si>
    <t>Lavoie</t>
  </si>
  <si>
    <t>Ryutaro</t>
  </si>
  <si>
    <t>Maturin</t>
  </si>
  <si>
    <t>McCauley</t>
  </si>
  <si>
    <t>McDonald</t>
  </si>
  <si>
    <t>Takamasa</t>
  </si>
  <si>
    <t>Miyashita</t>
  </si>
  <si>
    <t>Akira</t>
  </si>
  <si>
    <t>Mizuno</t>
  </si>
  <si>
    <t>Molina</t>
  </si>
  <si>
    <t>Quinn</t>
  </si>
  <si>
    <t>Nichols</t>
  </si>
  <si>
    <t>Masamichi</t>
  </si>
  <si>
    <t>Ojima</t>
  </si>
  <si>
    <t>Olson</t>
  </si>
  <si>
    <t>Reynolds</t>
  </si>
  <si>
    <t>Saito</t>
  </si>
  <si>
    <t>Solís</t>
  </si>
  <si>
    <t>Stobart</t>
  </si>
  <si>
    <t>Kiyohira</t>
  </si>
  <si>
    <t>Tilden</t>
  </si>
  <si>
    <t>Hayden</t>
  </si>
  <si>
    <t>Atsushi</t>
  </si>
  <si>
    <t>Ueno</t>
  </si>
  <si>
    <t>Vega</t>
  </si>
  <si>
    <t>Venegas</t>
  </si>
  <si>
    <t>Jerrel</t>
  </si>
  <si>
    <t>Waasdorp</t>
  </si>
  <si>
    <t>Warren</t>
  </si>
  <si>
    <t>Webb</t>
  </si>
  <si>
    <t>Doyle</t>
  </si>
  <si>
    <t>Wright</t>
  </si>
  <si>
    <t>Yamashita</t>
  </si>
  <si>
    <t>Yoshimatsu</t>
  </si>
  <si>
    <t>Yoshikawa</t>
  </si>
  <si>
    <t>Marc</t>
  </si>
  <si>
    <t>Zuijdam</t>
  </si>
  <si>
    <t>Daisuke</t>
  </si>
  <si>
    <t>Pot2</t>
  </si>
  <si>
    <t>Run3</t>
  </si>
  <si>
    <t>Pos4</t>
  </si>
  <si>
    <t>Velo3</t>
  </si>
  <si>
    <t>Berridge</t>
  </si>
  <si>
    <t>Austin</t>
  </si>
  <si>
    <t>Murphy</t>
  </si>
  <si>
    <t>Okabe</t>
  </si>
  <si>
    <t>Gonzalo</t>
  </si>
  <si>
    <t>Clemons</t>
  </si>
  <si>
    <t>Kirk</t>
  </si>
  <si>
    <t>Emerson</t>
  </si>
  <si>
    <t>Maynard</t>
  </si>
  <si>
    <t>Montaño</t>
  </si>
  <si>
    <t>O'Halloran</t>
  </si>
  <si>
    <t>Ring</t>
  </si>
  <si>
    <t>Ichiro</t>
  </si>
  <si>
    <t>Mauro</t>
  </si>
  <si>
    <t>Velásquez</t>
  </si>
  <si>
    <t>Horton</t>
  </si>
  <si>
    <t>Jackson</t>
  </si>
  <si>
    <t>Kenneil</t>
  </si>
  <si>
    <t>Sumitomo</t>
  </si>
  <si>
    <t>Kono</t>
  </si>
  <si>
    <t>Linttell</t>
  </si>
  <si>
    <t>Anastasio</t>
  </si>
  <si>
    <t>Cameron</t>
  </si>
  <si>
    <t>MacRae</t>
  </si>
  <si>
    <t>Michizane</t>
  </si>
  <si>
    <t>Matsuo</t>
  </si>
  <si>
    <t>McConnell</t>
  </si>
  <si>
    <t>Curt</t>
  </si>
  <si>
    <t>Moreno</t>
  </si>
  <si>
    <t>Toshimichi</t>
  </si>
  <si>
    <t>Kuniyuki</t>
  </si>
  <si>
    <t>Murata</t>
  </si>
  <si>
    <t>Pierson</t>
  </si>
  <si>
    <t>Sotan</t>
  </si>
  <si>
    <t>Tanabe</t>
  </si>
  <si>
    <t>Félix</t>
  </si>
  <si>
    <t>Yoshii</t>
  </si>
  <si>
    <t>Isei</t>
  </si>
  <si>
    <t>Aguilar</t>
  </si>
  <si>
    <t>Logan</t>
  </si>
  <si>
    <t>Ewan</t>
  </si>
  <si>
    <t>Backhouse</t>
  </si>
  <si>
    <t>Barrera</t>
  </si>
  <si>
    <t>Bould</t>
  </si>
  <si>
    <t>Petro</t>
  </si>
  <si>
    <t>Casey</t>
  </si>
  <si>
    <t>Cervantes</t>
  </si>
  <si>
    <t>Clarke</t>
  </si>
  <si>
    <t>Finlay</t>
  </si>
  <si>
    <t>Deleón</t>
  </si>
  <si>
    <t>Manolito</t>
  </si>
  <si>
    <t>Pancho</t>
  </si>
  <si>
    <t>Dong</t>
  </si>
  <si>
    <t>Hall</t>
  </si>
  <si>
    <t>Donald</t>
  </si>
  <si>
    <t>Hamilton</t>
  </si>
  <si>
    <t>Hart</t>
  </si>
  <si>
    <t>Ryu</t>
  </si>
  <si>
    <t>Shinsui</t>
  </si>
  <si>
    <t>Gunnar</t>
  </si>
  <si>
    <t>Kenshin</t>
  </si>
  <si>
    <t>Kitahachi</t>
  </si>
  <si>
    <t>Kawakami</t>
  </si>
  <si>
    <t>J.R.</t>
  </si>
  <si>
    <t>Kemp</t>
  </si>
  <si>
    <t>Shintaro</t>
  </si>
  <si>
    <t>Kingo</t>
  </si>
  <si>
    <t>Kitamura</t>
  </si>
  <si>
    <t>Tokuma</t>
  </si>
  <si>
    <t>Knowles</t>
  </si>
  <si>
    <t>Komatsu</t>
  </si>
  <si>
    <t>Kouki</t>
  </si>
  <si>
    <t>Kramer</t>
  </si>
  <si>
    <t>Lawson</t>
  </si>
  <si>
    <t>MacKinney</t>
  </si>
  <si>
    <t>Madrid</t>
  </si>
  <si>
    <t>McIntosh</t>
  </si>
  <si>
    <t>Devin</t>
  </si>
  <si>
    <t>Meyers</t>
  </si>
  <si>
    <t>Millar</t>
  </si>
  <si>
    <t>Aidan</t>
  </si>
  <si>
    <t>Moffat</t>
  </si>
  <si>
    <t>Clarence</t>
  </si>
  <si>
    <t>Toshiki</t>
  </si>
  <si>
    <t>Motsuzuki</t>
  </si>
  <si>
    <t>Yodo</t>
  </si>
  <si>
    <t>Nakayama</t>
  </si>
  <si>
    <t>Naysmith</t>
  </si>
  <si>
    <t>Noguchi</t>
  </si>
  <si>
    <t>Norman</t>
  </si>
  <si>
    <t>Núñez</t>
  </si>
  <si>
    <t>O'Connor</t>
  </si>
  <si>
    <t>Pendle</t>
  </si>
  <si>
    <t>Ferdi</t>
  </si>
  <si>
    <t>Pouwelse</t>
  </si>
  <si>
    <t>Puntiel</t>
  </si>
  <si>
    <t>Randolph</t>
  </si>
  <si>
    <t>Wayne</t>
  </si>
  <si>
    <t>Junior</t>
  </si>
  <si>
    <t>Masanori</t>
  </si>
  <si>
    <t>Santegoeds</t>
  </si>
  <si>
    <t>Ferdinand</t>
  </si>
  <si>
    <t>Shiraishi</t>
  </si>
  <si>
    <t>Ebbe</t>
  </si>
  <si>
    <t>Steijnis</t>
  </si>
  <si>
    <t>Stroo</t>
  </si>
  <si>
    <t>Mito</t>
  </si>
  <si>
    <t>Seika</t>
  </si>
  <si>
    <t>Tamura</t>
  </si>
  <si>
    <t>Tyler</t>
  </si>
  <si>
    <t>Tomlinson</t>
  </si>
  <si>
    <t>van de Vlugt</t>
  </si>
  <si>
    <t>Tyson</t>
  </si>
  <si>
    <t>Washington</t>
  </si>
  <si>
    <t>Watt</t>
  </si>
  <si>
    <t>Yeandle</t>
  </si>
  <si>
    <t>Ryuichi</t>
  </si>
  <si>
    <t>Yokoyama</t>
  </si>
  <si>
    <t>Phillip</t>
  </si>
  <si>
    <t>Abrams</t>
  </si>
  <si>
    <t>Masayuki</t>
  </si>
  <si>
    <t>Sidney</t>
  </si>
  <si>
    <t>Barrios</t>
  </si>
  <si>
    <t>Leonard</t>
  </si>
  <si>
    <t>Blennerhassett</t>
  </si>
  <si>
    <t>Coleman</t>
  </si>
  <si>
    <t>Cox</t>
  </si>
  <si>
    <t>Geoff</t>
  </si>
  <si>
    <t>Davey</t>
  </si>
  <si>
    <t>Hori</t>
  </si>
  <si>
    <t>Jamieson</t>
  </si>
  <si>
    <t>Kamihara</t>
  </si>
  <si>
    <t>Law</t>
  </si>
  <si>
    <t>MacRuer</t>
  </si>
  <si>
    <t>Haranobu</t>
  </si>
  <si>
    <t>Kyoichi</t>
  </si>
  <si>
    <t>Noda</t>
  </si>
  <si>
    <t>Pew</t>
  </si>
  <si>
    <t>Clive</t>
  </si>
  <si>
    <t>Randy</t>
  </si>
  <si>
    <t>Yukio</t>
  </si>
  <si>
    <t>Takuro</t>
  </si>
  <si>
    <t>Nakamaro</t>
  </si>
  <si>
    <t>Tomsett</t>
  </si>
  <si>
    <t>Trent</t>
  </si>
  <si>
    <t>Trevino</t>
  </si>
  <si>
    <t>Reinaart</t>
  </si>
  <si>
    <t>Wuilink</t>
  </si>
  <si>
    <t>Wynn</t>
  </si>
  <si>
    <t>Zimmerman</t>
  </si>
  <si>
    <t>Pim</t>
  </si>
  <si>
    <t>Kos</t>
  </si>
  <si>
    <t>Liñares</t>
  </si>
  <si>
    <t>Rusty</t>
  </si>
  <si>
    <t>Kunisada</t>
  </si>
  <si>
    <t>Tabito</t>
  </si>
  <si>
    <t>Tenno</t>
  </si>
  <si>
    <t>CON P2</t>
  </si>
  <si>
    <t>Round</t>
  </si>
  <si>
    <t>OVR</t>
  </si>
  <si>
    <t>Supplemental</t>
  </si>
  <si>
    <t>Hayes</t>
  </si>
  <si>
    <t>Kyung-bae</t>
  </si>
  <si>
    <t>Kang</t>
  </si>
  <si>
    <t>$420k</t>
  </si>
  <si>
    <t>Osmond</t>
  </si>
  <si>
    <t>$33k</t>
  </si>
  <si>
    <t>Rio</t>
  </si>
  <si>
    <t>Broom</t>
  </si>
  <si>
    <t>Geun-pyo</t>
  </si>
  <si>
    <t>Ch'ae</t>
  </si>
  <si>
    <t>Andre</t>
  </si>
  <si>
    <t>Cooper</t>
  </si>
  <si>
    <t>Brenden</t>
  </si>
  <si>
    <t>Cumberbatch</t>
  </si>
  <si>
    <t>Jun</t>
  </si>
  <si>
    <t>Darrah</t>
  </si>
  <si>
    <t>Eikelenboom</t>
  </si>
  <si>
    <t>Fields</t>
  </si>
  <si>
    <t>$440k</t>
  </si>
  <si>
    <t>Sen</t>
  </si>
  <si>
    <t>$55k</t>
  </si>
  <si>
    <t>$430k</t>
  </si>
  <si>
    <t>Micah</t>
  </si>
  <si>
    <t>Howell</t>
  </si>
  <si>
    <t>Dae-su</t>
  </si>
  <si>
    <t>Hwa</t>
  </si>
  <si>
    <t>Ji-chor</t>
  </si>
  <si>
    <t>Hwang</t>
  </si>
  <si>
    <t>Katsuhito</t>
  </si>
  <si>
    <t>Min-chor</t>
  </si>
  <si>
    <t>Pol</t>
  </si>
  <si>
    <t>$800k</t>
  </si>
  <si>
    <t>Wifredo</t>
  </si>
  <si>
    <t>Lam</t>
  </si>
  <si>
    <t>$210k</t>
  </si>
  <si>
    <t>Danilo</t>
  </si>
  <si>
    <t>Loreto</t>
  </si>
  <si>
    <t>Alfred</t>
  </si>
  <si>
    <t>McCutcheon</t>
  </si>
  <si>
    <t>Newsome</t>
  </si>
  <si>
    <t>Polanco</t>
  </si>
  <si>
    <t>$23k</t>
  </si>
  <si>
    <t>Rulluda</t>
  </si>
  <si>
    <t>Sáenz</t>
  </si>
  <si>
    <t>Sawyer</t>
  </si>
  <si>
    <t>Kung</t>
  </si>
  <si>
    <t>Tsai</t>
  </si>
  <si>
    <t>Li-ben</t>
  </si>
  <si>
    <t>Wa</t>
  </si>
  <si>
    <t>Hsin</t>
  </si>
  <si>
    <t>Wang</t>
  </si>
  <si>
    <t>Woodard</t>
  </si>
  <si>
    <t>Yashiki</t>
  </si>
  <si>
    <t>Acheson</t>
  </si>
  <si>
    <t>Addison</t>
  </si>
  <si>
    <t>Adkins</t>
  </si>
  <si>
    <t>Cory</t>
  </si>
  <si>
    <t>Alford</t>
  </si>
  <si>
    <t>Amador</t>
  </si>
  <si>
    <t>Purwanto</t>
  </si>
  <si>
    <t>Ananas</t>
  </si>
  <si>
    <t>Aragón</t>
  </si>
  <si>
    <t>Yoshitoki</t>
  </si>
  <si>
    <t>Araki</t>
  </si>
  <si>
    <t>Ayala</t>
  </si>
  <si>
    <t>Ambrose</t>
  </si>
  <si>
    <t>Barrett</t>
  </si>
  <si>
    <t>Birss</t>
  </si>
  <si>
    <t>Black</t>
  </si>
  <si>
    <t>Bolden</t>
  </si>
  <si>
    <t>Bonnell</t>
  </si>
  <si>
    <t>Borges</t>
  </si>
  <si>
    <t>Bott</t>
  </si>
  <si>
    <t>Brigatti</t>
  </si>
  <si>
    <t>Dylan</t>
  </si>
  <si>
    <t>$27k</t>
  </si>
  <si>
    <t>Burton</t>
  </si>
  <si>
    <t>Caballero</t>
  </si>
  <si>
    <t>Roy</t>
  </si>
  <si>
    <t>Cahill</t>
  </si>
  <si>
    <t>$42k</t>
  </si>
  <si>
    <t>Yue-jiu</t>
  </si>
  <si>
    <t>Cheung</t>
  </si>
  <si>
    <t>Cortés</t>
  </si>
  <si>
    <t>Cottam</t>
  </si>
  <si>
    <t>Craigie</t>
  </si>
  <si>
    <t>Crouch</t>
  </si>
  <si>
    <t>Dethridge</t>
  </si>
  <si>
    <t>Jaime</t>
  </si>
  <si>
    <t>Drake</t>
  </si>
  <si>
    <t>Enríquez</t>
  </si>
  <si>
    <t>Ernst</t>
  </si>
  <si>
    <t>Eveson</t>
  </si>
  <si>
    <t>Wildemar</t>
  </si>
  <si>
    <t>Fantone</t>
  </si>
  <si>
    <t>Sven</t>
  </si>
  <si>
    <t>Fraters</t>
  </si>
  <si>
    <t>Frearson</t>
  </si>
  <si>
    <t>Frías</t>
  </si>
  <si>
    <t>Kuniyoshi</t>
  </si>
  <si>
    <t>Graves</t>
  </si>
  <si>
    <t>Guevara</t>
  </si>
  <si>
    <t>Hagger</t>
  </si>
  <si>
    <t>Harper</t>
  </si>
  <si>
    <t>Heidelberg</t>
  </si>
  <si>
    <t>Evan</t>
  </si>
  <si>
    <t>Hemminga</t>
  </si>
  <si>
    <t>Fletcher</t>
  </si>
  <si>
    <t>Henderson</t>
  </si>
  <si>
    <t>Leonardo</t>
  </si>
  <si>
    <t>Higgins</t>
  </si>
  <si>
    <t>$22k</t>
  </si>
  <si>
    <t>Ashwin</t>
  </si>
  <si>
    <t>Hoeks</t>
  </si>
  <si>
    <t>Alden</t>
  </si>
  <si>
    <t>Moos</t>
  </si>
  <si>
    <t>Ippel</t>
  </si>
  <si>
    <t>Hideki</t>
  </si>
  <si>
    <t>Harvey</t>
  </si>
  <si>
    <t>Georg</t>
  </si>
  <si>
    <t>Kallenberger</t>
  </si>
  <si>
    <t>Oda</t>
  </si>
  <si>
    <t>Kataoka</t>
  </si>
  <si>
    <t>Slamet</t>
  </si>
  <si>
    <t>Kawilarang</t>
  </si>
  <si>
    <t>$45k</t>
  </si>
  <si>
    <t>Ryozo</t>
  </si>
  <si>
    <t>Kouyama</t>
  </si>
  <si>
    <t>Falley</t>
  </si>
  <si>
    <t>L'ami</t>
  </si>
  <si>
    <t>Limeburner</t>
  </si>
  <si>
    <t>Finn</t>
  </si>
  <si>
    <t>Lochore</t>
  </si>
  <si>
    <t>MacGillivray</t>
  </si>
  <si>
    <t>Herb</t>
  </si>
  <si>
    <t>MacGruder</t>
  </si>
  <si>
    <t>MacHendrie</t>
  </si>
  <si>
    <t>MacKnight</t>
  </si>
  <si>
    <t>Dirk</t>
  </si>
  <si>
    <t>Madore</t>
  </si>
  <si>
    <t>Maez</t>
  </si>
  <si>
    <t>Mitch</t>
  </si>
  <si>
    <t>Marriott</t>
  </si>
  <si>
    <t>Matheson</t>
  </si>
  <si>
    <t>McKillilea</t>
  </si>
  <si>
    <t>Bud</t>
  </si>
  <si>
    <t>Meyer</t>
  </si>
  <si>
    <t>Myers</t>
  </si>
  <si>
    <t>Nae</t>
  </si>
  <si>
    <t>Tokimune</t>
  </si>
  <si>
    <t>Nakada</t>
  </si>
  <si>
    <t>Kazuma</t>
  </si>
  <si>
    <t>Narihari</t>
  </si>
  <si>
    <t>Noriega</t>
  </si>
  <si>
    <t>Norrish</t>
  </si>
  <si>
    <t>O'Quane</t>
  </si>
  <si>
    <t>Ochoa</t>
  </si>
  <si>
    <t>Anzai</t>
  </si>
  <si>
    <t>Tsutomu</t>
  </si>
  <si>
    <t>Seiichi</t>
  </si>
  <si>
    <t>Onodera</t>
  </si>
  <si>
    <t>Ouwerkerk</t>
  </si>
  <si>
    <t>$380k</t>
  </si>
  <si>
    <t>Kwang-sub</t>
  </si>
  <si>
    <t>Pak</t>
  </si>
  <si>
    <t>Pardy</t>
  </si>
  <si>
    <t>Parkinson</t>
  </si>
  <si>
    <t>Patterson</t>
  </si>
  <si>
    <t>Wilber</t>
  </si>
  <si>
    <t>Pinazo</t>
  </si>
  <si>
    <t>Pope</t>
  </si>
  <si>
    <t>Colin</t>
  </si>
  <si>
    <t>Popham</t>
  </si>
  <si>
    <t>Randall</t>
  </si>
  <si>
    <t>Glen</t>
  </si>
  <si>
    <t>Glenn</t>
  </si>
  <si>
    <t>$700k</t>
  </si>
  <si>
    <t>Sandoval</t>
  </si>
  <si>
    <t>Seguillo</t>
  </si>
  <si>
    <t>Xun</t>
  </si>
  <si>
    <t>Shih</t>
  </si>
  <si>
    <t>Frazer</t>
  </si>
  <si>
    <t>Singer</t>
  </si>
  <si>
    <t>Slater</t>
  </si>
  <si>
    <t>Snelleman</t>
  </si>
  <si>
    <t>Snyder</t>
  </si>
  <si>
    <t>Sproule</t>
  </si>
  <si>
    <t>Magnus</t>
  </si>
  <si>
    <t>Bujana</t>
  </si>
  <si>
    <t>Sukarno</t>
  </si>
  <si>
    <t>Takejiro</t>
  </si>
  <si>
    <t>Talbot</t>
  </si>
  <si>
    <t>Corbin</t>
  </si>
  <si>
    <t>Fionn</t>
  </si>
  <si>
    <t>Thorncroft</t>
  </si>
  <si>
    <t>Tolmie</t>
  </si>
  <si>
    <t>Yong-u</t>
  </si>
  <si>
    <t>Ton</t>
  </si>
  <si>
    <t>Seung-woo</t>
  </si>
  <si>
    <t>U</t>
  </si>
  <si>
    <t>van Hal</t>
  </si>
  <si>
    <t>Odmar</t>
  </si>
  <si>
    <t>Veldhoven</t>
  </si>
  <si>
    <t>Gijsbert</t>
  </si>
  <si>
    <t>Verboven</t>
  </si>
  <si>
    <t>Vidro</t>
  </si>
  <si>
    <t>Villages</t>
  </si>
  <si>
    <t>Andy</t>
  </si>
  <si>
    <t>Walker</t>
  </si>
  <si>
    <t>Wanlace</t>
  </si>
  <si>
    <t>Weaver</t>
  </si>
  <si>
    <t>Lane</t>
  </si>
  <si>
    <t>Woodroffe</t>
  </si>
  <si>
    <t>$29k</t>
  </si>
  <si>
    <t>Conner</t>
  </si>
  <si>
    <t>Quentin</t>
  </si>
  <si>
    <t>Yaag</t>
  </si>
  <si>
    <t>Soetsu</t>
  </si>
  <si>
    <t>Keishi</t>
  </si>
  <si>
    <t>Hwui-ning</t>
  </si>
  <si>
    <t>Yei</t>
  </si>
  <si>
    <t>Dong-hee</t>
  </si>
  <si>
    <t>Yi</t>
  </si>
  <si>
    <t>Jin</t>
  </si>
  <si>
    <t>Yeong-min</t>
  </si>
  <si>
    <t>Yu</t>
  </si>
  <si>
    <t>Hong-bo</t>
  </si>
  <si>
    <t>Zhang</t>
  </si>
  <si>
    <t>Kwang-chih</t>
  </si>
  <si>
    <t>Zhu</t>
  </si>
  <si>
    <t>Ruanait</t>
  </si>
  <si>
    <t>Aitken</t>
  </si>
  <si>
    <t>Alcock</t>
  </si>
  <si>
    <t>Aldridge</t>
  </si>
  <si>
    <t>Amesbury</t>
  </si>
  <si>
    <t>Sloan</t>
  </si>
  <si>
    <t>$37k</t>
  </si>
  <si>
    <t>Baartwijk</t>
  </si>
  <si>
    <t>Badger</t>
  </si>
  <si>
    <t>Barthorpe</t>
  </si>
  <si>
    <t>Baxter</t>
  </si>
  <si>
    <t>Beales</t>
  </si>
  <si>
    <t>MacKenzie</t>
  </si>
  <si>
    <t>Begley</t>
  </si>
  <si>
    <t>Benítez</t>
  </si>
  <si>
    <t>Boggs</t>
  </si>
  <si>
    <t>Booker</t>
  </si>
  <si>
    <t>Boone</t>
  </si>
  <si>
    <t>Britton</t>
  </si>
  <si>
    <t>Burch</t>
  </si>
  <si>
    <t>Burlingame</t>
  </si>
  <si>
    <t>Butler</t>
  </si>
  <si>
    <t>Byrne</t>
  </si>
  <si>
    <t>Canseco</t>
  </si>
  <si>
    <t>Cardenas</t>
  </si>
  <si>
    <t>Yeong-chan</t>
  </si>
  <si>
    <t>Ch'on</t>
  </si>
  <si>
    <t>Kaong</t>
  </si>
  <si>
    <t>Chaim</t>
  </si>
  <si>
    <t>Chae-heui</t>
  </si>
  <si>
    <t>Chang</t>
  </si>
  <si>
    <t>Chapman</t>
  </si>
  <si>
    <t>Ju-yi</t>
  </si>
  <si>
    <t>Chen</t>
  </si>
  <si>
    <t>Shinsaku</t>
  </si>
  <si>
    <t>Gwang-oo</t>
  </si>
  <si>
    <t>Chon</t>
  </si>
  <si>
    <t>Cochran</t>
  </si>
  <si>
    <t>Cordero</t>
  </si>
  <si>
    <t>Rodney</t>
  </si>
  <si>
    <t>Andrés</t>
  </si>
  <si>
    <t>Octávio</t>
  </si>
  <si>
    <t>Bang</t>
  </si>
  <si>
    <t>Kevin</t>
  </si>
  <si>
    <t>Ducklow</t>
  </si>
  <si>
    <t>Duff</t>
  </si>
  <si>
    <t>Ealba</t>
  </si>
  <si>
    <t>Gabriel</t>
  </si>
  <si>
    <t>Everhart</t>
  </si>
  <si>
    <t>Fajardo</t>
  </si>
  <si>
    <t>Fernández</t>
  </si>
  <si>
    <t>Ferniza</t>
  </si>
  <si>
    <t>Ferrer</t>
  </si>
  <si>
    <t>Iestyn</t>
  </si>
  <si>
    <t>Firkins</t>
  </si>
  <si>
    <t>Fowler</t>
  </si>
  <si>
    <t>Freake</t>
  </si>
  <si>
    <t>Fuentes</t>
  </si>
  <si>
    <t>Toshiharu</t>
  </si>
  <si>
    <t>Gardner</t>
  </si>
  <si>
    <t>Gates</t>
  </si>
  <si>
    <t>Ronnie</t>
  </si>
  <si>
    <t>Gaylord</t>
  </si>
  <si>
    <t>Gaynon</t>
  </si>
  <si>
    <t>Zhong-shan</t>
  </si>
  <si>
    <t>Geng</t>
  </si>
  <si>
    <t>Godfrey</t>
  </si>
  <si>
    <t>Juan Luis</t>
  </si>
  <si>
    <t>Francis</t>
  </si>
  <si>
    <t>Goodier</t>
  </si>
  <si>
    <t>Junnosuke</t>
  </si>
  <si>
    <t>Gowdy</t>
  </si>
  <si>
    <t>Orrin</t>
  </si>
  <si>
    <t>Grant</t>
  </si>
  <si>
    <t>Slot</t>
  </si>
  <si>
    <t>Guardado</t>
  </si>
  <si>
    <t>Guesne</t>
  </si>
  <si>
    <t>Ik-jun</t>
  </si>
  <si>
    <t>Ha</t>
  </si>
  <si>
    <t>Hardy</t>
  </si>
  <si>
    <t>Derrek</t>
  </si>
  <si>
    <t>Kazuhiro</t>
  </si>
  <si>
    <t>Okakura</t>
  </si>
  <si>
    <t>Hester</t>
  </si>
  <si>
    <t>Hickson</t>
  </si>
  <si>
    <t>Holden</t>
  </si>
  <si>
    <t>Keon-chae</t>
  </si>
  <si>
    <t>Hong</t>
  </si>
  <si>
    <t>Hotham</t>
  </si>
  <si>
    <t>Humby</t>
  </si>
  <si>
    <t>Hurlson</t>
  </si>
  <si>
    <t>Hutchesson</t>
  </si>
  <si>
    <t>Ikeda</t>
  </si>
  <si>
    <t>Yuki</t>
  </si>
  <si>
    <t>Ishihara</t>
  </si>
  <si>
    <t>Matsusuke</t>
  </si>
  <si>
    <t>Ishikawa</t>
  </si>
  <si>
    <t>Jelbert</t>
  </si>
  <si>
    <t>Johnstone</t>
  </si>
  <si>
    <t>Katayama</t>
  </si>
  <si>
    <t>Vernon</t>
  </si>
  <si>
    <t>Kendall</t>
  </si>
  <si>
    <t>Key</t>
  </si>
  <si>
    <t>Noriaki</t>
  </si>
  <si>
    <t>Chang-jun</t>
  </si>
  <si>
    <t>Sang-hoon</t>
  </si>
  <si>
    <t>Kyushichi</t>
  </si>
  <si>
    <t>Sukenobu</t>
  </si>
  <si>
    <t>Natsu</t>
  </si>
  <si>
    <t>Lara</t>
  </si>
  <si>
    <t>Isaac</t>
  </si>
  <si>
    <t>Laslett</t>
  </si>
  <si>
    <t>Lleras</t>
  </si>
  <si>
    <t>Joaquín</t>
  </si>
  <si>
    <t>Lorimer</t>
  </si>
  <si>
    <t>Lowry</t>
  </si>
  <si>
    <t>Lucero</t>
  </si>
  <si>
    <t>Maccley</t>
  </si>
  <si>
    <t>MacFarlane</t>
  </si>
  <si>
    <t>MacIndeor</t>
  </si>
  <si>
    <t>MacLay</t>
  </si>
  <si>
    <t>Zong-ming</t>
  </si>
  <si>
    <t>Mao</t>
  </si>
  <si>
    <t>Markham</t>
  </si>
  <si>
    <t>Elliot</t>
  </si>
  <si>
    <t>Marks</t>
  </si>
  <si>
    <t>Akke</t>
  </si>
  <si>
    <t>Markus</t>
  </si>
  <si>
    <t>Matsuda</t>
  </si>
  <si>
    <t>Mccabe</t>
  </si>
  <si>
    <t>McCann</t>
  </si>
  <si>
    <t>Mcclung</t>
  </si>
  <si>
    <t>Virgil</t>
  </si>
  <si>
    <t>McCray</t>
  </si>
  <si>
    <t>McElyea</t>
  </si>
  <si>
    <t>McKelvey</t>
  </si>
  <si>
    <t>Jered</t>
  </si>
  <si>
    <t>McLeod</t>
  </si>
  <si>
    <t>McNish</t>
  </si>
  <si>
    <t>McNutt</t>
  </si>
  <si>
    <t>Miles</t>
  </si>
  <si>
    <t>Kiyoshi</t>
  </si>
  <si>
    <t>Rick</t>
  </si>
  <si>
    <t>Mossop</t>
  </si>
  <si>
    <t>Muñíz</t>
  </si>
  <si>
    <t>Narvaez</t>
  </si>
  <si>
    <t>Newcomer</t>
  </si>
  <si>
    <t>Nicholas</t>
  </si>
  <si>
    <t>O'Brian</t>
  </si>
  <si>
    <t>O'brien</t>
  </si>
  <si>
    <t>O'Slattery</t>
  </si>
  <si>
    <t>Hideyori</t>
  </si>
  <si>
    <t>Naonobu</t>
  </si>
  <si>
    <t>Ono</t>
  </si>
  <si>
    <t>Yunosuke</t>
  </si>
  <si>
    <t>Ken'ichi</t>
  </si>
  <si>
    <t>Jong-beom</t>
  </si>
  <si>
    <t>Kyung-chul</t>
  </si>
  <si>
    <t>Park</t>
  </si>
  <si>
    <t>Parke</t>
  </si>
  <si>
    <t>Parrish</t>
  </si>
  <si>
    <t>Vern</t>
  </si>
  <si>
    <t>Pearson</t>
  </si>
  <si>
    <t>Penton</t>
  </si>
  <si>
    <t>Flint</t>
  </si>
  <si>
    <t>Perry</t>
  </si>
  <si>
    <t>Lyle</t>
  </si>
  <si>
    <t>Polen</t>
  </si>
  <si>
    <t>Dane</t>
  </si>
  <si>
    <t>Porcell</t>
  </si>
  <si>
    <t>Porter</t>
  </si>
  <si>
    <t>Price</t>
  </si>
  <si>
    <t>Pritchard</t>
  </si>
  <si>
    <t>Pryor</t>
  </si>
  <si>
    <t>Arif</t>
  </si>
  <si>
    <t>Rais</t>
  </si>
  <si>
    <t>Ransley</t>
  </si>
  <si>
    <t>Reagh</t>
  </si>
  <si>
    <t>Rentería</t>
  </si>
  <si>
    <t>Rigney</t>
  </si>
  <si>
    <t>Rigsby</t>
  </si>
  <si>
    <t>Fu-chi</t>
  </si>
  <si>
    <t>Rong</t>
  </si>
  <si>
    <t>Ruíz</t>
  </si>
  <si>
    <t>Juichi</t>
  </si>
  <si>
    <t>Sakai</t>
  </si>
  <si>
    <t>Sakata</t>
  </si>
  <si>
    <t>Allan</t>
  </si>
  <si>
    <t>Samuels</t>
  </si>
  <si>
    <t>Kantaro</t>
  </si>
  <si>
    <t>Yoshiyuki</t>
  </si>
  <si>
    <t>Schroeder</t>
  </si>
  <si>
    <t>Denzel</t>
  </si>
  <si>
    <t>Scrivener</t>
  </si>
  <si>
    <t>Wu-han</t>
  </si>
  <si>
    <t>Serna</t>
  </si>
  <si>
    <t>Hsiao-lou</t>
  </si>
  <si>
    <t>Seto</t>
  </si>
  <si>
    <t>Nakazo</t>
  </si>
  <si>
    <t>Shiotani</t>
  </si>
  <si>
    <t>Denny</t>
  </si>
  <si>
    <t>Shirley</t>
  </si>
  <si>
    <t>Sidgwick</t>
  </si>
  <si>
    <t>Silva</t>
  </si>
  <si>
    <t>Simmons</t>
  </si>
  <si>
    <t>Sandy</t>
  </si>
  <si>
    <t>$41k</t>
  </si>
  <si>
    <t>Snel</t>
  </si>
  <si>
    <t>Steele</t>
  </si>
  <si>
    <t>Brennan</t>
  </si>
  <si>
    <t>Sterling</t>
  </si>
  <si>
    <t>Norm</t>
  </si>
  <si>
    <t>Stickells</t>
  </si>
  <si>
    <t>Takiji</t>
  </si>
  <si>
    <t>Susui</t>
  </si>
  <si>
    <t>Sutton</t>
  </si>
  <si>
    <t>Hideyoshi</t>
  </si>
  <si>
    <t>Shinobu</t>
  </si>
  <si>
    <t>Taguchi</t>
  </si>
  <si>
    <t>Tak</t>
  </si>
  <si>
    <t>Mitsuharu</t>
  </si>
  <si>
    <t>Takaki</t>
  </si>
  <si>
    <t>Thatcher</t>
  </si>
  <si>
    <t>Thornton</t>
  </si>
  <si>
    <t>Tovar</t>
  </si>
  <si>
    <t>Xander</t>
  </si>
  <si>
    <t>Toxopeus</t>
  </si>
  <si>
    <t>Trejo</t>
  </si>
  <si>
    <t>Wei-hong</t>
  </si>
  <si>
    <t>Tse</t>
  </si>
  <si>
    <t>Tufts</t>
  </si>
  <si>
    <t>Cy</t>
  </si>
  <si>
    <t>Turner</t>
  </si>
  <si>
    <t>Reuben</t>
  </si>
  <si>
    <t>Ubbens</t>
  </si>
  <si>
    <t>Vaden</t>
  </si>
  <si>
    <t>Jeroen</t>
  </si>
  <si>
    <t>van Heijbeeck</t>
  </si>
  <si>
    <t>Jacky</t>
  </si>
  <si>
    <t>van Straaten</t>
  </si>
  <si>
    <t>Voigt</t>
  </si>
  <si>
    <t>Katsumi</t>
  </si>
  <si>
    <t>Wada</t>
  </si>
  <si>
    <t>Waddell</t>
  </si>
  <si>
    <t>Dallas</t>
  </si>
  <si>
    <t>Wade</t>
  </si>
  <si>
    <t>Watson</t>
  </si>
  <si>
    <t>Watts</t>
  </si>
  <si>
    <t>Myles</t>
  </si>
  <si>
    <t>Weber</t>
  </si>
  <si>
    <t>Weegerink</t>
  </si>
  <si>
    <t>West</t>
  </si>
  <si>
    <t>Wesley</t>
  </si>
  <si>
    <t>Whitford</t>
  </si>
  <si>
    <t>Guus</t>
  </si>
  <si>
    <t>Wichers</t>
  </si>
  <si>
    <t>Darren</t>
  </si>
  <si>
    <t>Wolfe</t>
  </si>
  <si>
    <t>Woolfrey</t>
  </si>
  <si>
    <t>Motonobu</t>
  </si>
  <si>
    <t>Yosai</t>
  </si>
  <si>
    <t>Younts</t>
  </si>
  <si>
    <t>Zavala</t>
  </si>
  <si>
    <t>Zhou</t>
  </si>
  <si>
    <t>Adriani</t>
  </si>
  <si>
    <t>Akhurst</t>
  </si>
  <si>
    <t>Alirezam</t>
  </si>
  <si>
    <t>Craig</t>
  </si>
  <si>
    <t>Bannatyne</t>
  </si>
  <si>
    <t>Otis</t>
  </si>
  <si>
    <t>Bloom</t>
  </si>
  <si>
    <t>Burns</t>
  </si>
  <si>
    <t>Byard</t>
  </si>
  <si>
    <t>Davies</t>
  </si>
  <si>
    <t>Norberto</t>
  </si>
  <si>
    <t>De Jesús</t>
  </si>
  <si>
    <t>De La Cruz</t>
  </si>
  <si>
    <t>Pi-ao</t>
  </si>
  <si>
    <t>Ding</t>
  </si>
  <si>
    <t>Willard</t>
  </si>
  <si>
    <t>Dani</t>
  </si>
  <si>
    <t>Hansen</t>
  </si>
  <si>
    <t>Izo</t>
  </si>
  <si>
    <t>Lang</t>
  </si>
  <si>
    <t>Ah-cy</t>
  </si>
  <si>
    <t>Lei</t>
  </si>
  <si>
    <t>Milsom</t>
  </si>
  <si>
    <t>Montáñez</t>
  </si>
  <si>
    <t>Morrison</t>
  </si>
  <si>
    <t>Nesbitt</t>
  </si>
  <si>
    <t>Tonito</t>
  </si>
  <si>
    <t>Ocaya</t>
  </si>
  <si>
    <t>Yao-qing</t>
  </si>
  <si>
    <t>Pang</t>
  </si>
  <si>
    <t>Parent</t>
  </si>
  <si>
    <t>Ubbe</t>
  </si>
  <si>
    <t>Remeeus</t>
  </si>
  <si>
    <t>Rodgers</t>
  </si>
  <si>
    <t>Rosas</t>
  </si>
  <si>
    <t>Shannon</t>
  </si>
  <si>
    <t>Shields</t>
  </si>
  <si>
    <t>St. John</t>
  </si>
  <si>
    <t>Asmo</t>
  </si>
  <si>
    <t>Subadio</t>
  </si>
  <si>
    <t>Rintaro</t>
  </si>
  <si>
    <t>Tate</t>
  </si>
  <si>
    <t>Finley</t>
  </si>
  <si>
    <t>Harlan</t>
  </si>
  <si>
    <t>Wallace</t>
  </si>
  <si>
    <t>Wilkins</t>
  </si>
  <si>
    <t>Neil</t>
  </si>
  <si>
    <t>Yoshimura</t>
  </si>
  <si>
    <t>Gavin</t>
  </si>
  <si>
    <t>Albrecht</t>
  </si>
  <si>
    <t>Alicea</t>
  </si>
  <si>
    <t>Barajas</t>
  </si>
  <si>
    <t>Benetiz</t>
  </si>
  <si>
    <t>Bowman</t>
  </si>
  <si>
    <t>Briggs</t>
  </si>
  <si>
    <t>Cain</t>
  </si>
  <si>
    <t>Carlson</t>
  </si>
  <si>
    <t>Cherry</t>
  </si>
  <si>
    <t>Dashwood</t>
  </si>
  <si>
    <t>Dobson</t>
  </si>
  <si>
    <t>Harland</t>
  </si>
  <si>
    <t>Krisna</t>
  </si>
  <si>
    <t>Karsumaatmaja</t>
  </si>
  <si>
    <t>Meiji</t>
  </si>
  <si>
    <t>Hun-hyeon</t>
  </si>
  <si>
    <t>Ju-chan</t>
  </si>
  <si>
    <t>Kimitada</t>
  </si>
  <si>
    <t>Kishita</t>
  </si>
  <si>
    <t>Toyozo</t>
  </si>
  <si>
    <t>Kurz</t>
  </si>
  <si>
    <t>Lake</t>
  </si>
  <si>
    <t>Limón</t>
  </si>
  <si>
    <t>Yu-zhang</t>
  </si>
  <si>
    <t>Liu</t>
  </si>
  <si>
    <t>Loh</t>
  </si>
  <si>
    <t>Longoria</t>
  </si>
  <si>
    <t>Lowe</t>
  </si>
  <si>
    <t>En-lai</t>
  </si>
  <si>
    <t>Luo</t>
  </si>
  <si>
    <t>Marson</t>
  </si>
  <si>
    <t>Nobuharu</t>
  </si>
  <si>
    <t>Matsui</t>
  </si>
  <si>
    <t>Mitchell</t>
  </si>
  <si>
    <t>Yoshi</t>
  </si>
  <si>
    <t>Mizutani</t>
  </si>
  <si>
    <t>Mota</t>
  </si>
  <si>
    <t>Callum</t>
  </si>
  <si>
    <t>Mott</t>
  </si>
  <si>
    <t>Abizar</t>
  </si>
  <si>
    <t>Muljana</t>
  </si>
  <si>
    <t>Mathew</t>
  </si>
  <si>
    <t>Nelson</t>
  </si>
  <si>
    <t>Ke-yue</t>
  </si>
  <si>
    <t>Ngui</t>
  </si>
  <si>
    <t>Kata</t>
  </si>
  <si>
    <t>Nomura</t>
  </si>
  <si>
    <t>Nestor</t>
  </si>
  <si>
    <t>Nuñez</t>
  </si>
  <si>
    <t>O'Quinn</t>
  </si>
  <si>
    <t>Raymond</t>
  </si>
  <si>
    <t>Romrero</t>
  </si>
  <si>
    <t>Winston</t>
  </si>
  <si>
    <t>Shunsen</t>
  </si>
  <si>
    <t>Sakakibara</t>
  </si>
  <si>
    <t>Takeru</t>
  </si>
  <si>
    <t>Sturge</t>
  </si>
  <si>
    <t>Trickle</t>
  </si>
  <si>
    <t>Hsin-pei</t>
  </si>
  <si>
    <t>Shalom</t>
  </si>
  <si>
    <t>Wierenga</t>
  </si>
  <si>
    <t>De-wei</t>
  </si>
  <si>
    <t>Wu</t>
  </si>
  <si>
    <t>Hong-yeol</t>
  </si>
  <si>
    <t>Lu</t>
  </si>
  <si>
    <t>Yin-zhen</t>
  </si>
  <si>
    <t>Decheng</t>
  </si>
  <si>
    <t>Zhi</t>
  </si>
  <si>
    <t>Dan-zu</t>
  </si>
  <si>
    <t>Xiao-wei</t>
  </si>
  <si>
    <t>Zi</t>
  </si>
  <si>
    <t>Devlyn</t>
  </si>
  <si>
    <t>Hale</t>
  </si>
  <si>
    <t>4.0 Stars</t>
  </si>
  <si>
    <t>Ding-bong</t>
  </si>
  <si>
    <t>Karel</t>
  </si>
  <si>
    <t>Rietkerk</t>
  </si>
  <si>
    <t>$3.4m</t>
  </si>
  <si>
    <t>Samuel</t>
  </si>
  <si>
    <t>Alderson</t>
  </si>
  <si>
    <t>Cuypers</t>
  </si>
  <si>
    <t>Duke</t>
  </si>
  <si>
    <t>Fujihara</t>
  </si>
  <si>
    <t>Karst</t>
  </si>
  <si>
    <t>Koninck</t>
  </si>
  <si>
    <t>Neelen</t>
  </si>
  <si>
    <t>Reyna</t>
  </si>
  <si>
    <t>Bastiaan</t>
  </si>
  <si>
    <t>Walraven</t>
  </si>
  <si>
    <t>Jake</t>
  </si>
  <si>
    <t>Comyn</t>
  </si>
  <si>
    <t>Mannus</t>
  </si>
  <si>
    <t>Dubbeldam</t>
  </si>
  <si>
    <t>Fitzgerald</t>
  </si>
  <si>
    <t>Geake</t>
  </si>
  <si>
    <t>Diego</t>
  </si>
  <si>
    <t>Hasegawa</t>
  </si>
  <si>
    <t>Tetsuzan</t>
  </si>
  <si>
    <t>Toshikuni</t>
  </si>
  <si>
    <t>Sozui</t>
  </si>
  <si>
    <t>$950k</t>
  </si>
  <si>
    <t>Cecil</t>
  </si>
  <si>
    <t>Langley</t>
  </si>
  <si>
    <t>MacEwan</t>
  </si>
  <si>
    <t>McKee</t>
  </si>
  <si>
    <t>Munemitsu</t>
  </si>
  <si>
    <t>Román</t>
  </si>
  <si>
    <t>Sánz</t>
  </si>
  <si>
    <t>Brock</t>
  </si>
  <si>
    <t>Southey</t>
  </si>
  <si>
    <t>Bartolo</t>
  </si>
  <si>
    <t>Tuttle</t>
  </si>
  <si>
    <t>Wagenmakers</t>
  </si>
  <si>
    <t>Abley</t>
  </si>
  <si>
    <t>Auchmulty</t>
  </si>
  <si>
    <t>Coxall</t>
  </si>
  <si>
    <t>Crago</t>
  </si>
  <si>
    <t>Gerrie</t>
  </si>
  <si>
    <t>de Jong</t>
  </si>
  <si>
    <t>Roelof</t>
  </si>
  <si>
    <t>Drenth</t>
  </si>
  <si>
    <t>Duncan</t>
  </si>
  <si>
    <t>Fierro</t>
  </si>
  <si>
    <t>Gilbert</t>
  </si>
  <si>
    <t>Gusmán</t>
  </si>
  <si>
    <t>Ichikawa</t>
  </si>
  <si>
    <t>Chester</t>
  </si>
  <si>
    <t>Keen</t>
  </si>
  <si>
    <t>Kerr</t>
  </si>
  <si>
    <t>Knapp</t>
  </si>
  <si>
    <t>Huibert</t>
  </si>
  <si>
    <t>Kodde</t>
  </si>
  <si>
    <t>Nishino</t>
  </si>
  <si>
    <t>Timothy</t>
  </si>
  <si>
    <t>Oyama</t>
  </si>
  <si>
    <t>Paisley</t>
  </si>
  <si>
    <t>Peden</t>
  </si>
  <si>
    <t>Hugh</t>
  </si>
  <si>
    <t>Quiñones</t>
  </si>
  <si>
    <t>$310k</t>
  </si>
  <si>
    <t>Waterhouse</t>
  </si>
  <si>
    <t>Spencer</t>
  </si>
  <si>
    <t>Homer</t>
  </si>
  <si>
    <t>Blanca</t>
  </si>
  <si>
    <t>Arnold</t>
  </si>
  <si>
    <t>Carmody</t>
  </si>
  <si>
    <t>Casillas</t>
  </si>
  <si>
    <t>$24k</t>
  </si>
  <si>
    <t>Cowan</t>
  </si>
  <si>
    <t>Delwyn</t>
  </si>
  <si>
    <t>Crowe</t>
  </si>
  <si>
    <t>Davidson</t>
  </si>
  <si>
    <t>Donogan</t>
  </si>
  <si>
    <t>Eldridge</t>
  </si>
  <si>
    <t>Escobedo</t>
  </si>
  <si>
    <t>Harada</t>
  </si>
  <si>
    <t>Hickman</t>
  </si>
  <si>
    <t>Hurley</t>
  </si>
  <si>
    <t>Iwane</t>
  </si>
  <si>
    <t>Kaneko</t>
  </si>
  <si>
    <t>Mitsuo</t>
  </si>
  <si>
    <t>Knight</t>
  </si>
  <si>
    <t>Sadao</t>
  </si>
  <si>
    <t>Kodo</t>
  </si>
  <si>
    <t>Kouno</t>
  </si>
  <si>
    <t>Lagunas</t>
  </si>
  <si>
    <t>$25k</t>
  </si>
  <si>
    <t>Linwood</t>
  </si>
  <si>
    <t>$49k</t>
  </si>
  <si>
    <t>MacCosh</t>
  </si>
  <si>
    <t>MacElfrish</t>
  </si>
  <si>
    <t>$26k</t>
  </si>
  <si>
    <t>MacKinley</t>
  </si>
  <si>
    <t>McVurie</t>
  </si>
  <si>
    <t>Medina</t>
  </si>
  <si>
    <t>Mews</t>
  </si>
  <si>
    <t>Yukinaga</t>
  </si>
  <si>
    <t>Jerome</t>
  </si>
  <si>
    <t>Montero</t>
  </si>
  <si>
    <t>Masujiro</t>
  </si>
  <si>
    <t>Opie</t>
  </si>
  <si>
    <t>Razan</t>
  </si>
  <si>
    <t>Sheffield</t>
  </si>
  <si>
    <t>Katsuyuki</t>
  </si>
  <si>
    <t>Sugano</t>
  </si>
  <si>
    <t>Swanson</t>
  </si>
  <si>
    <t>Noriyori</t>
  </si>
  <si>
    <t>Tashima</t>
  </si>
  <si>
    <t>Tilghman</t>
  </si>
  <si>
    <t>Ciaran</t>
  </si>
  <si>
    <t>Willey</t>
  </si>
  <si>
    <t>Kosami</t>
  </si>
  <si>
    <t>Eldon</t>
  </si>
  <si>
    <t>Blake</t>
  </si>
  <si>
    <t>Raph</t>
  </si>
  <si>
    <t>Ebalan</t>
  </si>
  <si>
    <t>Fluck</t>
  </si>
  <si>
    <t>Hoshino</t>
  </si>
  <si>
    <t>Lauder</t>
  </si>
  <si>
    <t>Ludovico</t>
  </si>
  <si>
    <t>Lugo</t>
  </si>
  <si>
    <t>MacWatters</t>
  </si>
  <si>
    <t>Mejía</t>
  </si>
  <si>
    <t>Montés</t>
  </si>
  <si>
    <t>Mooney</t>
  </si>
  <si>
    <t>Brendan</t>
  </si>
  <si>
    <t>Mullet</t>
  </si>
  <si>
    <t>Sotatsu</t>
  </si>
  <si>
    <t>Paige</t>
  </si>
  <si>
    <t>Yujiro</t>
  </si>
  <si>
    <t>Vagas</t>
  </si>
  <si>
    <t>Mick</t>
  </si>
  <si>
    <t>Abbott</t>
  </si>
  <si>
    <t>Tokimasa</t>
  </si>
  <si>
    <t>Willem</t>
  </si>
  <si>
    <t>Acret</t>
  </si>
  <si>
    <t>Aguayoleal</t>
  </si>
  <si>
    <t>Tome</t>
  </si>
  <si>
    <t>Alegrete</t>
  </si>
  <si>
    <t>Arabello</t>
  </si>
  <si>
    <t>Arcilla</t>
  </si>
  <si>
    <t>Edgar</t>
  </si>
  <si>
    <t>Auchnie</t>
  </si>
  <si>
    <t>Bambase</t>
  </si>
  <si>
    <t>Bass</t>
  </si>
  <si>
    <t>Malibok</t>
  </si>
  <si>
    <t>Belgica</t>
  </si>
  <si>
    <t>Bence</t>
  </si>
  <si>
    <t>Berard</t>
  </si>
  <si>
    <t>Bergeron</t>
  </si>
  <si>
    <t>Bignal</t>
  </si>
  <si>
    <t>Wally</t>
  </si>
  <si>
    <t>Blythe</t>
  </si>
  <si>
    <t>Borman</t>
  </si>
  <si>
    <t>Boucher</t>
  </si>
  <si>
    <t>Boyle</t>
  </si>
  <si>
    <t>Braden</t>
  </si>
  <si>
    <t>Gerard</t>
  </si>
  <si>
    <t>Brayley</t>
  </si>
  <si>
    <t>Brenton</t>
  </si>
  <si>
    <t>Vic</t>
  </si>
  <si>
    <t>Bristcoe</t>
  </si>
  <si>
    <t>A.R.</t>
  </si>
  <si>
    <t>Kip</t>
  </si>
  <si>
    <t>Bulcock</t>
  </si>
  <si>
    <t>Kurt</t>
  </si>
  <si>
    <t>Carracheo</t>
  </si>
  <si>
    <t>Rory</t>
  </si>
  <si>
    <t>Cashmore</t>
  </si>
  <si>
    <t>Archie</t>
  </si>
  <si>
    <t>Chambers</t>
  </si>
  <si>
    <t>Tae-kon</t>
  </si>
  <si>
    <t>Pu-la</t>
  </si>
  <si>
    <t>Masanobu</t>
  </si>
  <si>
    <t>Yuan</t>
  </si>
  <si>
    <t>Chin</t>
  </si>
  <si>
    <t>Il-young</t>
  </si>
  <si>
    <t>Chong</t>
  </si>
  <si>
    <t>Zee-loo</t>
  </si>
  <si>
    <t>Chuko</t>
  </si>
  <si>
    <t>Kick</t>
  </si>
  <si>
    <t>Colijn</t>
  </si>
  <si>
    <t>Contreras</t>
  </si>
  <si>
    <t>Colm</t>
  </si>
  <si>
    <t>Costa</t>
  </si>
  <si>
    <t>Costello</t>
  </si>
  <si>
    <t>Jasper</t>
  </si>
  <si>
    <t>Coster</t>
  </si>
  <si>
    <t>Sandro</t>
  </si>
  <si>
    <t>Cuevas</t>
  </si>
  <si>
    <t>Rhett</t>
  </si>
  <si>
    <t>Dempsey</t>
  </si>
  <si>
    <t>Dickey</t>
  </si>
  <si>
    <t>Hai-feng</t>
  </si>
  <si>
    <t>Doel</t>
  </si>
  <si>
    <t>Raleigh</t>
  </si>
  <si>
    <t>Dunbar</t>
  </si>
  <si>
    <t>Dundee</t>
  </si>
  <si>
    <t>Dye</t>
  </si>
  <si>
    <t>Edlich</t>
  </si>
  <si>
    <t>Excell</t>
  </si>
  <si>
    <t>Fairthorne</t>
  </si>
  <si>
    <t>Farquhar</t>
  </si>
  <si>
    <t>Faulkner</t>
  </si>
  <si>
    <t>Finch</t>
  </si>
  <si>
    <t>Fisher</t>
  </si>
  <si>
    <t>Connor</t>
  </si>
  <si>
    <t>Bruno</t>
  </si>
  <si>
    <t>Floyd</t>
  </si>
  <si>
    <t>Woody</t>
  </si>
  <si>
    <t>Follett</t>
  </si>
  <si>
    <t>Ivan</t>
  </si>
  <si>
    <t>Foreman</t>
  </si>
  <si>
    <t>Gámez</t>
  </si>
  <si>
    <t>Geoghegan</t>
  </si>
  <si>
    <t>Jarrod</t>
  </si>
  <si>
    <t>Germán</t>
  </si>
  <si>
    <t>Goode</t>
  </si>
  <si>
    <t>Guevarra</t>
  </si>
  <si>
    <t>Guillén</t>
  </si>
  <si>
    <t>Sang-min</t>
  </si>
  <si>
    <t>Yoshiki</t>
  </si>
  <si>
    <t>Hagi</t>
  </si>
  <si>
    <t>Bjorn</t>
  </si>
  <si>
    <t>Hak</t>
  </si>
  <si>
    <t>Monty</t>
  </si>
  <si>
    <t>Hanson</t>
  </si>
  <si>
    <t>Gus</t>
  </si>
  <si>
    <t>Hebert</t>
  </si>
  <si>
    <t>Helwig</t>
  </si>
  <si>
    <t>Hendrix</t>
  </si>
  <si>
    <t>Gareth</t>
  </si>
  <si>
    <t>Hoadley</t>
  </si>
  <si>
    <t>Kirby</t>
  </si>
  <si>
    <t>Hunter</t>
  </si>
  <si>
    <t>Hyde</t>
  </si>
  <si>
    <t>Ryuzaburo</t>
  </si>
  <si>
    <t>Ishida</t>
  </si>
  <si>
    <t>Terao</t>
  </si>
  <si>
    <t>Jacks</t>
  </si>
  <si>
    <t>Dominic</t>
  </si>
  <si>
    <t>Jacobs</t>
  </si>
  <si>
    <t>Nigel</t>
  </si>
  <si>
    <t>Jacoby</t>
  </si>
  <si>
    <t>Gene</t>
  </si>
  <si>
    <t>Jevons</t>
  </si>
  <si>
    <t>Jewell</t>
  </si>
  <si>
    <t>Kamida</t>
  </si>
  <si>
    <t>Naoki</t>
  </si>
  <si>
    <t>Eko</t>
  </si>
  <si>
    <t>Kartini</t>
  </si>
  <si>
    <t>Basuki</t>
  </si>
  <si>
    <t>Kathirithamby</t>
  </si>
  <si>
    <t>Euan</t>
  </si>
  <si>
    <t>Teruo</t>
  </si>
  <si>
    <t>Kazuyoshi</t>
  </si>
  <si>
    <t>Yong-hyun</t>
  </si>
  <si>
    <t>Kitahara</t>
  </si>
  <si>
    <t>Kitchener</t>
  </si>
  <si>
    <t>Akihiko</t>
  </si>
  <si>
    <t>Akihito</t>
  </si>
  <si>
    <t>Yoshihisa</t>
  </si>
  <si>
    <t>Tokaji</t>
  </si>
  <si>
    <t>Akihisa</t>
  </si>
  <si>
    <t>Kokura</t>
  </si>
  <si>
    <t>Kealaalohi</t>
  </si>
  <si>
    <t>Konanae</t>
  </si>
  <si>
    <t>Hisamitsu</t>
  </si>
  <si>
    <t>Kubo</t>
  </si>
  <si>
    <t>Kui</t>
  </si>
  <si>
    <t>Chun-hwan</t>
  </si>
  <si>
    <t>Kwak</t>
  </si>
  <si>
    <t>Kuan-yew</t>
  </si>
  <si>
    <t>Wu-jiang</t>
  </si>
  <si>
    <t>Lan</t>
  </si>
  <si>
    <t>Geoffrey</t>
  </si>
  <si>
    <t>Laurendeau</t>
  </si>
  <si>
    <t>Lawman</t>
  </si>
  <si>
    <t>Lenny</t>
  </si>
  <si>
    <t>Lodder</t>
  </si>
  <si>
    <t>Luján</t>
  </si>
  <si>
    <t>Lynch</t>
  </si>
  <si>
    <t>Jin-guo</t>
  </si>
  <si>
    <t>Ma</t>
  </si>
  <si>
    <t>MacCombie</t>
  </si>
  <si>
    <t>MacCrum</t>
  </si>
  <si>
    <t>MacGowing</t>
  </si>
  <si>
    <t>Malone</t>
  </si>
  <si>
    <t>Machon</t>
  </si>
  <si>
    <t>MacKerras</t>
  </si>
  <si>
    <t>MacNamara</t>
  </si>
  <si>
    <t>Dwayne</t>
  </si>
  <si>
    <t>Maddy</t>
  </si>
  <si>
    <t>Mah</t>
  </si>
  <si>
    <t>Hiang-ta</t>
  </si>
  <si>
    <t>Mai</t>
  </si>
  <si>
    <t>Maldonado</t>
  </si>
  <si>
    <t>Ysmael</t>
  </si>
  <si>
    <t>Maligmat</t>
  </si>
  <si>
    <t>Marero</t>
  </si>
  <si>
    <t>McKinney</t>
  </si>
  <si>
    <t>Ze-min</t>
  </si>
  <si>
    <t>Mei</t>
  </si>
  <si>
    <t>Hsuang-tsung</t>
  </si>
  <si>
    <t>Men</t>
  </si>
  <si>
    <t>Tsuginori</t>
  </si>
  <si>
    <t>Meshizuka</t>
  </si>
  <si>
    <t>Enos</t>
  </si>
  <si>
    <t>Michell</t>
  </si>
  <si>
    <t>Minett</t>
  </si>
  <si>
    <t>Werner</t>
  </si>
  <si>
    <t>Tierney</t>
  </si>
  <si>
    <t>Moberley</t>
  </si>
  <si>
    <t>Damien</t>
  </si>
  <si>
    <t>Moggs</t>
  </si>
  <si>
    <t>Étienne</t>
  </si>
  <si>
    <t>Monette</t>
  </si>
  <si>
    <t>Monroe</t>
  </si>
  <si>
    <t>Bennett</t>
  </si>
  <si>
    <t>Tobei</t>
  </si>
  <si>
    <t>Min</t>
  </si>
  <si>
    <t>Moy</t>
  </si>
  <si>
    <t>Alec</t>
  </si>
  <si>
    <t>Tetsuhiko</t>
  </si>
  <si>
    <t>Negrete</t>
  </si>
  <si>
    <t>Nieves</t>
  </si>
  <si>
    <t>Nishikawa</t>
  </si>
  <si>
    <t>Nleto</t>
  </si>
  <si>
    <t>O'Neill</t>
  </si>
  <si>
    <t>O'Rorke</t>
  </si>
  <si>
    <t>Tadamasa</t>
  </si>
  <si>
    <t>Shusaku</t>
  </si>
  <si>
    <t>Oliveira</t>
  </si>
  <si>
    <t>Takeji</t>
  </si>
  <si>
    <t>Hyung-ki</t>
  </si>
  <si>
    <t>Min-yul</t>
  </si>
  <si>
    <t>Myung-hwan</t>
  </si>
  <si>
    <t>Tiarnán</t>
  </si>
  <si>
    <t>Pemberton</t>
  </si>
  <si>
    <t>Petch</t>
  </si>
  <si>
    <t>Sherwood</t>
  </si>
  <si>
    <t>Aodh</t>
  </si>
  <si>
    <t>Pickworth</t>
  </si>
  <si>
    <t>Pilgrim</t>
  </si>
  <si>
    <t>Podilla</t>
  </si>
  <si>
    <t>Gesang</t>
  </si>
  <si>
    <t>Prawiranega</t>
  </si>
  <si>
    <t>Proctor</t>
  </si>
  <si>
    <t>Prouse</t>
  </si>
  <si>
    <t>Lian-wei</t>
  </si>
  <si>
    <t>Qian</t>
  </si>
  <si>
    <t>Kei-thing</t>
  </si>
  <si>
    <t>Quan</t>
  </si>
  <si>
    <t>Quintero</t>
  </si>
  <si>
    <t>Rackham</t>
  </si>
  <si>
    <t>Julius</t>
  </si>
  <si>
    <t>Bernie</t>
  </si>
  <si>
    <t>Richards</t>
  </si>
  <si>
    <t>Jiro</t>
  </si>
  <si>
    <t>Rin</t>
  </si>
  <si>
    <t>Rincón</t>
  </si>
  <si>
    <t>Eugenio</t>
  </si>
  <si>
    <t>Gerjan</t>
  </si>
  <si>
    <t>Roest</t>
  </si>
  <si>
    <t>Bogdan</t>
  </si>
  <si>
    <t>Roodenburg</t>
  </si>
  <si>
    <t>Tomas</t>
  </si>
  <si>
    <t>Ruijghaver</t>
  </si>
  <si>
    <t>Jotaro</t>
  </si>
  <si>
    <t>Juan Carlos</t>
  </si>
  <si>
    <t>Mamoru</t>
  </si>
  <si>
    <t>Paddy</t>
  </si>
  <si>
    <t>Sexton</t>
  </si>
  <si>
    <t>Ki-hyuk</t>
  </si>
  <si>
    <t>Sim</t>
  </si>
  <si>
    <t>Woo-jong</t>
  </si>
  <si>
    <t>Sin</t>
  </si>
  <si>
    <t>Zane</t>
  </si>
  <si>
    <t>Remke</t>
  </si>
  <si>
    <t>Steenis</t>
  </si>
  <si>
    <t>Stephenson</t>
  </si>
  <si>
    <t>Stockley</t>
  </si>
  <si>
    <t>Su-Tu</t>
  </si>
  <si>
    <t>Yasunobu</t>
  </si>
  <si>
    <t>Sweetman</t>
  </si>
  <si>
    <t>Sebastian</t>
  </si>
  <si>
    <t>Sae-wan</t>
  </si>
  <si>
    <t>T'ak</t>
  </si>
  <si>
    <t>Naozane</t>
  </si>
  <si>
    <t>Takeda</t>
  </si>
  <si>
    <t>Masami</t>
  </si>
  <si>
    <t>Templeman</t>
  </si>
  <si>
    <t>Hao-hing</t>
  </si>
  <si>
    <t>Thien</t>
  </si>
  <si>
    <t>Jeremiah</t>
  </si>
  <si>
    <t>Tinker</t>
  </si>
  <si>
    <t>Tregear</t>
  </si>
  <si>
    <t>Zhong</t>
  </si>
  <si>
    <t>Tsou</t>
  </si>
  <si>
    <t>Tsung</t>
  </si>
  <si>
    <t>Tucker</t>
  </si>
  <si>
    <t>Turton</t>
  </si>
  <si>
    <t>Urtado</t>
  </si>
  <si>
    <t>Odwin</t>
  </si>
  <si>
    <t>van de Laak</t>
  </si>
  <si>
    <t>Roald</t>
  </si>
  <si>
    <t>van Ginderen</t>
  </si>
  <si>
    <t>Vazquer</t>
  </si>
  <si>
    <t>Veeck</t>
  </si>
  <si>
    <t>Wagner</t>
  </si>
  <si>
    <t>Walcott</t>
  </si>
  <si>
    <t>Mink</t>
  </si>
  <si>
    <t>Walik</t>
  </si>
  <si>
    <t>Aubrey</t>
  </si>
  <si>
    <t>Whitwell</t>
  </si>
  <si>
    <t>Wills</t>
  </si>
  <si>
    <t>Shane</t>
  </si>
  <si>
    <t>Won</t>
  </si>
  <si>
    <t>Yi-mou</t>
  </si>
  <si>
    <t>Woods</t>
  </si>
  <si>
    <t>Woodward</t>
  </si>
  <si>
    <t>Brody</t>
  </si>
  <si>
    <t>Wurfel</t>
  </si>
  <si>
    <t>Cheng-en</t>
  </si>
  <si>
    <t>Xiao</t>
  </si>
  <si>
    <t>Yi-da</t>
  </si>
  <si>
    <t>Xú</t>
  </si>
  <si>
    <t>Yabsley</t>
  </si>
  <si>
    <t>Shuji</t>
  </si>
  <si>
    <t>Kunimatsu</t>
  </si>
  <si>
    <t>Yong-hoon</t>
  </si>
  <si>
    <t>Sang-kuk</t>
  </si>
  <si>
    <t>Seung-kew</t>
  </si>
  <si>
    <t>Takaaki</t>
  </si>
  <si>
    <t>Dae-je</t>
  </si>
  <si>
    <t>Yun</t>
  </si>
  <si>
    <t>Duk-yoon</t>
  </si>
  <si>
    <t>Zapata</t>
  </si>
  <si>
    <t>Guo-quiang</t>
  </si>
  <si>
    <t>Wan-fu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</si>
</sst>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0" borderId="0" xfId="0" applyFill="1" applyBorder="1"/>
    <xf numFmtId="0" fontId="2" fillId="3" borderId="0" xfId="0" applyFont="1" applyFill="1"/>
    <xf numFmtId="0" fontId="0" fillId="3" borderId="0" xfId="0" applyFill="1"/>
    <xf numFmtId="0" fontId="2" fillId="0" borderId="0" xfId="0" applyFont="1" applyFill="1"/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2" fillId="0" borderId="1" xfId="0" applyFont="1" applyFill="1" applyBorder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165" fontId="0" fillId="0" borderId="7" xfId="1" applyNumberFormat="1" applyFont="1" applyFill="1" applyBorder="1" applyAlignment="1">
      <alignment wrapText="1"/>
    </xf>
    <xf numFmtId="164" fontId="0" fillId="0" borderId="0" xfId="0" applyNumberFormat="1" applyFill="1"/>
    <xf numFmtId="0" fontId="0" fillId="0" borderId="0" xfId="0" applyFill="1"/>
    <xf numFmtId="0" fontId="0" fillId="0" borderId="1" xfId="0" applyFill="1" applyBorder="1"/>
    <xf numFmtId="164" fontId="0" fillId="0" borderId="1" xfId="0" applyNumberFormat="1" applyFill="1" applyBorder="1"/>
    <xf numFmtId="9" fontId="0" fillId="0" borderId="1" xfId="0" applyNumberFormat="1" applyFill="1" applyBorder="1" applyAlignment="1">
      <alignment wrapText="1"/>
    </xf>
    <xf numFmtId="0" fontId="0" fillId="0" borderId="0" xfId="0" applyFill="1" applyAlignment="1">
      <alignment horizontal="center"/>
    </xf>
    <xf numFmtId="0" fontId="0" fillId="2" borderId="0" xfId="0" applyFill="1" applyBorder="1"/>
    <xf numFmtId="0" fontId="0" fillId="2" borderId="1" xfId="0" applyFill="1" applyBorder="1"/>
    <xf numFmtId="164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165" fontId="0" fillId="2" borderId="0" xfId="1" applyNumberFormat="1" applyFont="1" applyFill="1" applyBorder="1"/>
    <xf numFmtId="0" fontId="0" fillId="2" borderId="0" xfId="0" applyNumberFormat="1" applyFill="1" applyBorder="1"/>
    <xf numFmtId="1" fontId="0" fillId="2" borderId="0" xfId="0" applyNumberFormat="1" applyFill="1" applyBorder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2" borderId="0" xfId="0" applyFill="1" applyBorder="1" applyAlignment="1">
      <alignment horizontal="right"/>
    </xf>
    <xf numFmtId="0" fontId="0" fillId="0" borderId="0" xfId="0" applyNumberFormat="1" applyFill="1"/>
    <xf numFmtId="0" fontId="0" fillId="0" borderId="0" xfId="0" applyFill="1" applyBorder="1" applyAlignment="1"/>
    <xf numFmtId="0" fontId="0" fillId="0" borderId="0" xfId="0" applyFill="1" applyAlignment="1"/>
    <xf numFmtId="0" fontId="0" fillId="0" borderId="1" xfId="0" applyFill="1" applyBorder="1" applyAlignment="1"/>
    <xf numFmtId="0" fontId="0" fillId="2" borderId="0" xfId="0" applyFill="1"/>
    <xf numFmtId="0" fontId="0" fillId="2" borderId="0" xfId="0" applyNumberFormat="1" applyFill="1"/>
    <xf numFmtId="164" fontId="0" fillId="2" borderId="1" xfId="0" applyNumberFormat="1" applyFill="1" applyBorder="1"/>
    <xf numFmtId="164" fontId="0" fillId="2" borderId="0" xfId="0" applyNumberFormat="1" applyFill="1"/>
    <xf numFmtId="1" fontId="0" fillId="2" borderId="0" xfId="0" applyNumberFormat="1" applyFill="1"/>
    <xf numFmtId="0" fontId="0" fillId="2" borderId="1" xfId="0" applyNumberFormat="1" applyFill="1" applyBorder="1"/>
    <xf numFmtId="164" fontId="0" fillId="2" borderId="7" xfId="1" applyNumberFormat="1" applyFont="1" applyFill="1" applyBorder="1"/>
    <xf numFmtId="0" fontId="0" fillId="2" borderId="4" xfId="0" applyNumberFormat="1" applyFill="1" applyBorder="1"/>
    <xf numFmtId="0" fontId="0" fillId="2" borderId="0" xfId="0" applyNumberFormat="1" applyFill="1" applyAlignment="1">
      <alignment horizontal="right"/>
    </xf>
    <xf numFmtId="165" fontId="0" fillId="2" borderId="0" xfId="1" applyNumberFormat="1" applyFont="1" applyFill="1"/>
    <xf numFmtId="164" fontId="0" fillId="2" borderId="4" xfId="1" applyNumberFormat="1" applyFont="1" applyFill="1" applyBorder="1"/>
    <xf numFmtId="165" fontId="0" fillId="2" borderId="7" xfId="1" applyNumberFormat="1" applyFont="1" applyFill="1" applyBorder="1"/>
  </cellXfs>
  <cellStyles count="2">
    <cellStyle name="Currency" xfId="1" builtinId="4"/>
    <cellStyle name="Normal" xfId="0" builtinId="0"/>
  </cellStyles>
  <dxfs count="208"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font>
        <strike/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7" totalsRowShown="0" headerRowDxfId="207" dataDxfId="206">
  <autoFilter ref="A3:T7" xr:uid="{4EA1C7C9-BA76-4D58-96CA-8890C11236E4}"/>
  <sortState xmlns:xlrd2="http://schemas.microsoft.com/office/spreadsheetml/2017/richdata2" ref="A4:T7">
    <sortCondition descending="1" ref="J4:J7"/>
  </sortState>
  <tableColumns count="20">
    <tableColumn id="1" xr3:uid="{12EB054C-84B3-4B5A-B116-B087AC26CF4C}" name="CompID" dataDxfId="205"/>
    <tableColumn id="2" xr3:uid="{9AEDCBF2-9D71-49F3-95AF-D498474FA0FD}" name="POS" dataDxfId="204">
      <calculatedColumnFormula>VLOOKUP($A4,Bat!$A$4:$BB$1335,B$1,FALSE)</calculatedColumnFormula>
    </tableColumn>
    <tableColumn id="3" xr3:uid="{6D582374-983C-4225-A1E6-09B66FB972C9}" name="First" dataDxfId="203">
      <calculatedColumnFormula>VLOOKUP($A4,Bat!$A$4:$BB$1335,C$1,FALSE)</calculatedColumnFormula>
    </tableColumn>
    <tableColumn id="4" xr3:uid="{0E084B9A-8629-4D95-B871-7A0BF837CC70}" name="Last" dataDxfId="202">
      <calculatedColumnFormula>VLOOKUP($A4,Bat!$A$4:$BB$1335,D$1,FALSE)</calculatedColumnFormula>
    </tableColumn>
    <tableColumn id="5" xr3:uid="{5BBE56A0-134F-4D68-B7F2-976A09EF09EE}" name="Age" dataDxfId="201">
      <calculatedColumnFormula>VLOOKUP($A4,Bat!$A$4:$BB$1335,E$1,FALSE)</calculatedColumnFormula>
    </tableColumn>
    <tableColumn id="6" xr3:uid="{6A712A72-304B-4436-896B-03F58ADCD2CC}" name="B" dataDxfId="200">
      <calculatedColumnFormula>VLOOKUP($A4,Bat!$A$4:$BB$1335,F$1,FALSE)</calculatedColumnFormula>
    </tableColumn>
    <tableColumn id="7" xr3:uid="{159F50A7-A4E7-43C6-AF82-1FA4FB882689}" name="T" dataDxfId="199">
      <calculatedColumnFormula>VLOOKUP($A4,Bat!$A$4:$BB$1335,G$1,FALSE)</calculatedColumnFormula>
    </tableColumn>
    <tableColumn id="8" xr3:uid="{7CD5AB06-A23D-4011-B33B-D11B7F2FD6DD}" name="bZscore" dataDxfId="198">
      <calculatedColumnFormula>VLOOKUP($A4,Bat!$A$4:$BB$1735,H$1,FALSE)</calculatedColumnFormula>
    </tableColumn>
    <tableColumn id="9" xr3:uid="{28D374C5-DF4D-4B17-988D-D4E5F8F1EA26}" name="pZscore" dataDxfId="197">
      <calculatedColumnFormula>VLOOKUP($A4,Pit!$A$4:$BL$1674,I$1,FALSE)</calculatedColumnFormula>
    </tableColumn>
    <tableColumn id="10" xr3:uid="{7D3C03AE-0532-4793-B452-8C176FD181E0}" name="Diff" dataDxfId="196">
      <calculatedColumnFormula>I4-H4</calculatedColumnFormula>
    </tableColumn>
    <tableColumn id="11" xr3:uid="{40841915-CF44-40F0-A051-E66FA74D94C3}" name="Which" dataDxfId="195">
      <calculatedColumnFormula>IF(H4&gt;I4,"B","P")</calculatedColumnFormula>
    </tableColumn>
    <tableColumn id="12" xr3:uid="{36B34C32-DB95-49DD-8A84-0E221F6FFAE9}" name="P Action" dataDxfId="194">
      <calculatedColumnFormula>IF(AND(OR(B4="SP",B4="RP",B4="CL"),K4="P"),"Keep","Delete")</calculatedColumnFormula>
    </tableColumn>
    <tableColumn id="13" xr3:uid="{D81ED318-94ED-4866-AD5B-1EB32A48DFE2}" name="B Action" dataDxfId="193">
      <calculatedColumnFormula>IF(AND(AND($B4&lt;&gt;"SP",$B4&lt;&gt;"RP",$B4&lt;&gt;"CL"),$K4="B"),"Keep","Delete")</calculatedColumnFormula>
    </tableColumn>
    <tableColumn id="14" xr3:uid="{196B24E1-CDF1-434C-AE77-9BCF17C82461}" name="Fin Action" dataDxfId="192">
      <calculatedColumnFormula>IF(OR(L4="Delete",M4="Delete"),"Delete","Keep")</calculatedColumnFormula>
    </tableColumn>
    <tableColumn id="15" xr3:uid="{D2593BE0-9CEC-4F6D-802B-F63DE4723DD5}" name="CON P" dataDxfId="191">
      <calculatedColumnFormula>VLOOKUP($A4,Bat!$A$4:$U$1738,O$2,FALSE)</calculatedColumnFormula>
    </tableColumn>
    <tableColumn id="16" xr3:uid="{457A72E6-7A32-4CFF-A5E3-7A51CCA2151E}" name="POW P" dataDxfId="190">
      <calculatedColumnFormula>VLOOKUP($A4,Bat!$A$4:$U$1738,P$2,FALSE)</calculatedColumnFormula>
    </tableColumn>
    <tableColumn id="17" xr3:uid="{2EEBF342-35A4-4919-8F3E-0BA27F679315}" name="EYE P" dataDxfId="189">
      <calculatedColumnFormula>VLOOKUP($A4,Bat!$A$4:$U$1738,Q$2,FALSE)</calculatedColumnFormula>
    </tableColumn>
    <tableColumn id="18" xr3:uid="{A44041B8-F00A-423C-A675-04ED1E3C91C4}" name="STF P" dataDxfId="188">
      <calculatedColumnFormula>VLOOKUP($A4,Pit!$A$4:$U$1674,R$2,FALSE)</calculatedColumnFormula>
    </tableColumn>
    <tableColumn id="19" xr3:uid="{86E96F23-99DF-4BD0-B071-E47BA4849461}" name="MOV P" dataDxfId="187">
      <calculatedColumnFormula>VLOOKUP($A4,Pit!$A$4:$U$1674,S$2,FALSE)</calculatedColumnFormula>
    </tableColumn>
    <tableColumn id="20" xr3:uid="{E262AE44-50D5-455B-B247-330C7A345577}" name="CON P2" dataDxfId="186">
      <calculatedColumnFormula>VLOOKUP($A4,Pit!$A$4:$U$1674,T$2,FALSE)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766" totalsRowShown="0" headerRowDxfId="185" dataDxfId="184">
  <autoFilter ref="A4:BB766" xr:uid="{6E10E4D6-77B9-4C56-83F3-7AEF284E5BA9}"/>
  <sortState xmlns:xlrd2="http://schemas.microsoft.com/office/spreadsheetml/2017/richdata2" ref="A5:BB766">
    <sortCondition descending="1" ref="AR5:AR766"/>
    <sortCondition ref="D5:D766"/>
    <sortCondition ref="C5:C766"/>
  </sortState>
  <tableColumns count="54">
    <tableColumn id="1" xr3:uid="{34C1723A-FE63-4D0C-8F68-A6A04834500B}" name="PID" dataDxfId="183"/>
    <tableColumn id="2" xr3:uid="{01290886-73BE-4450-9D0E-C5F532E965A2}" name="POS" dataDxfId="182"/>
    <tableColumn id="3" xr3:uid="{6860296F-316F-40AE-8455-75B73FA05B93}" name="First" dataDxfId="181"/>
    <tableColumn id="4" xr3:uid="{E5A68DCB-6A30-447F-B3B6-B5954485E0B6}" name="Last" dataDxfId="180"/>
    <tableColumn id="5" xr3:uid="{8EA98B8E-B289-48DF-BC61-09740EF1A69F}" name="Age" dataDxfId="179"/>
    <tableColumn id="6" xr3:uid="{87C2346B-6F7F-4BFA-B601-680F6AE0B51E}" name="B" dataDxfId="178"/>
    <tableColumn id="7" xr3:uid="{44B37C89-D9D7-4D0D-BB1F-72DD6E1885DB}" name="T" dataDxfId="177"/>
    <tableColumn id="8" xr3:uid="{8702DDBC-F483-4BF2-96C4-687CB57F779D}" name="POT" dataDxfId="176"/>
    <tableColumn id="9" xr3:uid="{7FE18182-72A7-43D0-9C73-56DC1599E827}" name="LEA" dataDxfId="175"/>
    <tableColumn id="10" xr3:uid="{BC37AFC8-001D-4A47-8D5D-42E95FC7E425}" name="WE" dataDxfId="174"/>
    <tableColumn id="11" xr3:uid="{902EAD12-CCDA-449D-8F8D-B440D4204B2D}" name="INT" dataDxfId="173"/>
    <tableColumn id="12" xr3:uid="{28089B1D-DC4F-40B7-982C-6EEAFE413D67}" name="CON" dataDxfId="172"/>
    <tableColumn id="13" xr3:uid="{70968ED5-8E1D-4783-9F66-EE80665CEC4B}" name="GAP" dataDxfId="171"/>
    <tableColumn id="14" xr3:uid="{F4CF265A-CCD9-4019-8AC6-17ADEB83793C}" name="POW" dataDxfId="170"/>
    <tableColumn id="15" xr3:uid="{EE9A73B3-1899-4127-A0F0-771654D2A7EA}" name="EYE" dataDxfId="169"/>
    <tableColumn id="16" xr3:uid="{2E651957-39D9-4C6F-9763-2EDF4F150586}" name="K's" dataDxfId="168"/>
    <tableColumn id="17" xr3:uid="{EC5C941E-964B-4A2A-8B08-FF672385242E}" name="CON P" dataDxfId="167"/>
    <tableColumn id="18" xr3:uid="{73C81C26-DC43-4296-83C9-AAA367CE324A}" name="GAP P" dataDxfId="166"/>
    <tableColumn id="19" xr3:uid="{3AF65BA4-743A-47EB-B230-14670AE012E8}" name="POW P" dataDxfId="165"/>
    <tableColumn id="20" xr3:uid="{F7311ECE-92C4-4F9B-9FB4-01F01940A813}" name="EYE P" dataDxfId="164"/>
    <tableColumn id="21" xr3:uid="{5E1FC383-E39C-4D66-8F19-560D8710BD74}" name="K P" dataDxfId="163"/>
    <tableColumn id="22" xr3:uid="{3EEED542-37A2-4C9D-98A0-C10FDC948316}" name="IF ARM" dataDxfId="162"/>
    <tableColumn id="23" xr3:uid="{F13B4CDE-54AD-47C5-B7F5-17CDB736F5AA}" name="OF ARM" dataDxfId="161"/>
    <tableColumn id="24" xr3:uid="{20341A32-B712-4C1D-9F68-4BF794DC4BB5}" name="C ARM" dataDxfId="160"/>
    <tableColumn id="25" xr3:uid="{B028E06E-8690-4639-960E-AD8FC571BEB7}" name="C ABI" dataDxfId="159"/>
    <tableColumn id="26" xr3:uid="{B6938DE3-A509-46E7-A71B-74FD64EDEC48}" name="C" dataDxfId="158"/>
    <tableColumn id="27" xr3:uid="{2BD7BF3F-1167-4599-8FBD-C71379798A32}" name="1B" dataDxfId="157"/>
    <tableColumn id="28" xr3:uid="{02A7624B-74CC-4896-8A5A-2896D7FCE94B}" name="2B" dataDxfId="156"/>
    <tableColumn id="29" xr3:uid="{A477EF05-7E95-450A-AF65-A74D3C78F189}" name="3B" dataDxfId="155"/>
    <tableColumn id="30" xr3:uid="{567CBF49-5FC8-4D85-BFD9-905807082CEC}" name="SS" dataDxfId="154"/>
    <tableColumn id="31" xr3:uid="{2C4663E9-D00C-43B1-A5D8-18661C77C5E1}" name="LF" dataDxfId="153"/>
    <tableColumn id="32" xr3:uid="{C6A46F9E-B77D-4DE9-9D94-2218C1F55E37}" name="CF" dataDxfId="152"/>
    <tableColumn id="33" xr3:uid="{C270C277-9F62-480F-A885-A2145B61AA54}" name="RF" dataDxfId="151"/>
    <tableColumn id="34" xr3:uid="{96ADCE23-D702-4C47-A1A5-5F8988070BFF}" name="SPE" dataDxfId="150"/>
    <tableColumn id="35" xr3:uid="{CF38F94C-4F06-4665-9CF2-7D4128FE8F7A}" name="STE" dataDxfId="149"/>
    <tableColumn id="36" xr3:uid="{9A9EA428-CE7E-45BC-B8CC-E1ED857D80BF}" name="RUN" dataDxfId="148"/>
    <tableColumn id="37" xr3:uid="{0C9BD6A3-A1B7-456E-B747-8FD24380FD4F}" name="DEM" dataDxfId="147" dataCellStyle="Currency"/>
    <tableColumn id="38" xr3:uid="{D14485F7-3A0A-4FB5-9178-B11B242982CD}" name="SctAcc" dataDxfId="146" dataCellStyle="Currency"/>
    <tableColumn id="39" xr3:uid="{2A35436D-CC1A-4CC4-8386-63DE4413ED79}" name="Rat" dataDxfId="145">
      <calculatedColumnFormula>($L$3*(L5-$Q$1)/$Q$2+$M$3*(M5-$R$1)/$R$2+$N$3*(N5-$S$1)/$S$2+$O$3*(O5-$T$1)/$T$2+$P$3*(P5-$U$1)/$U$2)/(SUM($L$3:$P$3))</calculatedColumnFormula>
    </tableColumn>
    <tableColumn id="40" xr3:uid="{8A3ADBD0-889F-4F8C-B1FC-0191272BAFC7}" name="Pot2" dataDxfId="144">
      <calculatedColumnFormula>($L$3*(Q5-$Q$1)/$Q$2+$M$3*(R5-$R$1)/$R$2+$N$3*(S5-$S$1)/$S$2+$O$3*(T5-$T$1)/$T$2+$P$3*(U5-$U$1)/$U$2)/(SUM($L$3:$P$3))</calculatedColumnFormula>
    </tableColumn>
    <tableColumn id="41" xr3:uid="{2DD827F1-D2D5-46B5-8F05-25807EBFDB75}" name="Run3" dataDxfId="143">
      <calculatedColumnFormula>IF(AVERAGE(AH5:AI5)&gt;9,1,0)+IF(AVERAGE(AH5:AI5)&gt;7,1,0)+IF(AH5&gt;7,1,0)+IF(AI5&gt;7,1,0)+IF(AJ5&gt;8,1,0)+IF(AJ5&gt;6,1,0)</calculatedColumnFormula>
    </tableColumn>
    <tableColumn id="42" xr3:uid="{EC96C43C-76F2-458C-8258-6F2D7D9B2CDB}" name="Def" dataDxfId="142">
      <calculatedColumnFormula>MIN(2,IF(OR(Z5="-",X5&lt;5),0,1+IF(Y5&gt;7,0.35,IF(Y5&gt;5,0.1,0))+IF(Z5&gt;7,1+IF(X5&gt;7,0.25,0),IF(Z5&gt;4,0.5+IF(X5&gt;7,0.25,0),0+IF(X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calculatedColumnFormula>
    </tableColumn>
    <tableColumn id="43" xr3:uid="{C9B3CAC4-8D68-4DD9-912C-F981BB5CBDD8}" name="Tot" dataDxfId="141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40">
      <calculatedColumnFormula>STANDARDIZE(AQ5,AVERAGE($AQ$5:$AQ$534),STDEVP($AQ$5:$AQ$534))</calculatedColumnFormula>
    </tableColumn>
    <tableColumn id="45" xr3:uid="{301CE5B4-A6B7-4C3B-98B4-33366F5C4CFE}" name="Pos4" dataDxfId="139">
      <calculatedColumnFormula>IF(AND(Z5&lt;&gt;"-",Y5&gt;1),"C",IF(AB5=MAX(AB5:AD5),"2B",IF(AD5=MAX(AB5:AD5),"SS",IF(OR(AC5=MAX(AA5:AD5),AND(AC5&lt;&gt;"-",AC5&gt;4,V5&gt;5)),"3B",IF(AF5=MAX(AE5:AG5),"CF",IF(AND(AG5=MAX(AE5,AG5),AND(W5&gt;5,AG5&lt;&gt;"-")),"RF",IF(AE5&lt;&gt;"-","LF",IF(AA5&lt;&gt;"-","1B","DH"))))))))</calculatedColumnFormula>
    </tableColumn>
    <tableColumn id="46" xr3:uid="{A2580E5A-074D-4F1C-ACE3-1301CD0C0EC4}" name="Rnk" dataDxfId="138">
      <calculatedColumnFormula>RANK(Batters[[#This Row],[zScore]],Batters[[#All],[zScore]])</calculatedColumnFormula>
    </tableColumn>
    <tableColumn id="47" xr3:uid="{57D3111F-ABCF-4F92-AE32-1522DB6716EB}" name="List" dataDxfId="137"/>
    <tableColumn id="48" xr3:uid="{95B0E2A3-41F0-4B12-92BD-907EF5C9C019}" name="By Rnd" dataDxfId="136"/>
    <tableColumn id="49" xr3:uid="{9663741D-1AEF-4631-A168-A34FD2D4C107}" name="ML" dataDxfId="135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34"/>
    <tableColumn id="51" xr3:uid="{8AD0E0CD-C527-484E-B630-ED8D7F4FB1AF}" name="Ovr" dataDxfId="133">
      <calculatedColumnFormula>INDEX(Table5[[#All],[Ovr]],MATCH(Batters[[#This Row],[PID]],Table5[[#All],[PID]],0))</calculatedColumnFormula>
    </tableColumn>
    <tableColumn id="52" xr3:uid="{1BCF3C4F-E0EA-430B-AC9B-02EA5766D66C}" name="Rnd" dataDxfId="132">
      <calculatedColumnFormula>INDEX(Table5[[#All],[Rnd]],MATCH(Batters[[#This Row],[PID]],Table5[[#All],[PID]],0))</calculatedColumnFormula>
    </tableColumn>
    <tableColumn id="53" xr3:uid="{9D381772-A330-433C-8C33-C119FBB07285}" name="Pick" dataDxfId="131">
      <calculatedColumnFormula>INDEX(Table5[[#All],[Pick]],MATCH(Batters[[#This Row],[PID]],Table5[[#All],[PID]],0))</calculatedColumnFormula>
    </tableColumn>
    <tableColumn id="54" xr3:uid="{AE496F72-E48F-40FE-9F80-1CCEDE271828}" name="Team" dataDxfId="130">
      <calculatedColumnFormula>INDEX(Table5[[#All],[Team]],MATCH(Batters[[#This Row],[PID]],Table5[[#All],[PID]],0))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Table3" displayName="Table3" ref="A4:BL781" totalsRowShown="0" headerRowDxfId="129" dataDxfId="128">
  <autoFilter ref="A4:BL781" xr:uid="{00000000-0009-0000-0000-000002000000}"/>
  <sortState xmlns:xlrd2="http://schemas.microsoft.com/office/spreadsheetml/2017/richdata2" ref="A5:BL781">
    <sortCondition ref="B5:B781"/>
    <sortCondition descending="1" ref="BA5:BA781"/>
    <sortCondition ref="D5:D781"/>
    <sortCondition ref="C5:C781"/>
  </sortState>
  <tableColumns count="64">
    <tableColumn id="1" xr3:uid="{3EBAC93A-021A-4118-BDD0-7B39B1A96C78}" name="PID" dataDxfId="127"/>
    <tableColumn id="2" xr3:uid="{9E04062D-0C47-49FC-A62E-84F4CECFD332}" name="POS" dataDxfId="126"/>
    <tableColumn id="3" xr3:uid="{7FDB7B72-E058-47E3-BDFC-9CEBA10BBC8D}" name="First" dataDxfId="125"/>
    <tableColumn id="4" xr3:uid="{12BF96A3-AB34-4A32-BDC0-04BCE27D274A}" name="Last" dataDxfId="124"/>
    <tableColumn id="5" xr3:uid="{C41EFA43-9A5E-44BD-91AE-E0958D996D54}" name="Age" dataDxfId="123"/>
    <tableColumn id="6" xr3:uid="{445CD872-D1E5-4C63-946D-66C484388FA8}" name="B" dataDxfId="122"/>
    <tableColumn id="7" xr3:uid="{8733D8EF-20F6-4697-B590-4EC08019893E}" name="T" dataDxfId="121"/>
    <tableColumn id="8" xr3:uid="{7813C36E-2197-4646-A7C1-094860CD8CD1}" name="POT" dataDxfId="120"/>
    <tableColumn id="9" xr3:uid="{51D8A365-7C43-46D9-8B95-CB1EEBBC90E9}" name="LEA" dataDxfId="119"/>
    <tableColumn id="10" xr3:uid="{9257F9F7-DA10-40D2-BB86-C83E67458631}" name="WE" dataDxfId="118"/>
    <tableColumn id="11" xr3:uid="{F9E3703E-4164-49E2-89BB-DA266B8D570C}" name="INT" dataDxfId="117"/>
    <tableColumn id="12" xr3:uid="{E0858803-5729-48C9-8AF6-C573AA5000CB}" name="STU" dataDxfId="116"/>
    <tableColumn id="13" xr3:uid="{0A652B3D-F301-440D-9FA7-0C404B6C2AD6}" name="MOV" dataDxfId="115"/>
    <tableColumn id="14" xr3:uid="{30A6F40B-1052-4BB8-A3B0-E258F054ABDA}" name="CON" dataDxfId="114"/>
    <tableColumn id="15" xr3:uid="{987CC134-1FF1-441C-A3BF-74749373D5BE}" name="STU P" dataDxfId="113"/>
    <tableColumn id="16" xr3:uid="{D9452955-421A-42F8-8DFA-D71D5867D253}" name="MOV P" dataDxfId="112"/>
    <tableColumn id="17" xr3:uid="{6F4B86B9-8420-4585-999F-AA260B115CCD}" name="CON P" dataDxfId="111"/>
    <tableColumn id="18" xr3:uid="{CC105674-F42D-4D04-9E8A-F020C4F2DA7E}" name="FB" dataDxfId="110"/>
    <tableColumn id="19" xr3:uid="{508369D3-0D08-45DD-9E4C-FD28E12EFA79}" name="FBP" dataDxfId="109"/>
    <tableColumn id="20" xr3:uid="{EF813240-216E-4BC6-920A-8DCA0F42DCF1}" name="CH" dataDxfId="108"/>
    <tableColumn id="21" xr3:uid="{7D8DFBE5-4C56-4C4B-B645-A688513868AF}" name="CHP" dataDxfId="107"/>
    <tableColumn id="22" xr3:uid="{0E683A60-FBF0-42CE-B89B-C7D72EFA033D}" name="CB" dataDxfId="106"/>
    <tableColumn id="23" xr3:uid="{7100BC5B-9AA1-4541-B614-1B48CF971656}" name="CBP" dataDxfId="105"/>
    <tableColumn id="24" xr3:uid="{44093CF6-6FAB-4ED3-8429-DD0EA5CBC2D1}" name="SL" dataDxfId="104"/>
    <tableColumn id="25" xr3:uid="{73E1A25E-0A2F-4AE6-B59D-63735B75C6DC}" name="SLP" dataDxfId="103"/>
    <tableColumn id="26" xr3:uid="{2C8AC28A-B80D-47D1-841A-6AFF8D6BBE55}" name="SI" dataDxfId="102"/>
    <tableColumn id="27" xr3:uid="{92EA9609-1D37-4CB9-91C2-811E22756542}" name="SIP" dataDxfId="101"/>
    <tableColumn id="28" xr3:uid="{C0C480E3-2BC5-469F-866C-C74B060C54F1}" name="SP" dataDxfId="100"/>
    <tableColumn id="29" xr3:uid="{87903931-F9C8-4E89-BE28-A964BFA0C876}" name="SPP" dataDxfId="99"/>
    <tableColumn id="30" xr3:uid="{11DCF1F8-06D4-4C73-8B67-F0C4C1EA3C31}" name="CT" dataDxfId="98"/>
    <tableColumn id="31" xr3:uid="{42C19905-1E2C-4396-AEC1-886D6D8FEF57}" name="CTP" dataDxfId="97"/>
    <tableColumn id="32" xr3:uid="{03859838-D1B1-4A28-99DF-18BCA7829AE2}" name="FO" dataDxfId="96"/>
    <tableColumn id="33" xr3:uid="{4C98D9C5-2F5A-4B04-A92A-70A7F3179380}" name="FOP" dataDxfId="95"/>
    <tableColumn id="34" xr3:uid="{186A96A4-617C-4952-9582-FE867AB31DEF}" name="CC" dataDxfId="94"/>
    <tableColumn id="35" xr3:uid="{862346A1-9642-4CAA-A3A6-528B03FAA1AF}" name="CCP" dataDxfId="93"/>
    <tableColumn id="36" xr3:uid="{D8A8ED3C-9056-481D-8FB0-78A750B3DC9D}" name="SC" dataDxfId="92"/>
    <tableColumn id="37" xr3:uid="{5B16F8E1-1F66-4197-A0B8-6E38B237205F}" name="SCP" dataDxfId="91"/>
    <tableColumn id="38" xr3:uid="{8FC875F0-76A7-495E-AAFE-5009020EAACC}" name="KC" dataDxfId="90"/>
    <tableColumn id="39" xr3:uid="{B7DCED46-BFF1-41AA-8BF4-5788635BCA99}" name="KCP" dataDxfId="89"/>
    <tableColumn id="40" xr3:uid="{376BB9B1-0B92-46DF-AC3B-FD6E4D2CE24B}" name="KN" dataDxfId="88"/>
    <tableColumn id="41" xr3:uid="{0BB42594-DDA4-4154-A4C6-D4631AE0792E}" name="KNP" dataDxfId="87"/>
    <tableColumn id="42" xr3:uid="{66FCB19F-89FB-4E8A-B44C-57AE5F58B46E}" name="VELO" dataDxfId="86"/>
    <tableColumn id="43" xr3:uid="{DEC5906F-3D64-47DD-959F-4437F534338C}" name="STM" dataDxfId="85"/>
    <tableColumn id="44" xr3:uid="{A065E53F-D44C-40CF-AE27-D69DCF18E97C}" name="G/F" dataDxfId="84"/>
    <tableColumn id="45" xr3:uid="{BA9FD003-D429-4DCD-90C3-BAADDC7697F9}" name="DEM" dataDxfId="83" dataCellStyle="Currency"/>
    <tableColumn id="46" xr3:uid="{08C9A5E3-1496-449E-8615-8267713C0D7A}" name="SctAcc" dataDxfId="82" dataCellStyle="Currency"/>
    <tableColumn id="47" xr3:uid="{E78E046B-2659-4933-95E1-4760025D7F13}" name="Rat" dataDxfId="81">
      <calculatedColumnFormula>($O$3*(L5-$O$1)/$O$2+$P$3*(M5-$P$1)/$P$2+$Q$3*(N5-$P$1)/$Q$2)/SUM($O$3:$Q$3)</calculatedColumnFormula>
    </tableColumn>
    <tableColumn id="48" xr3:uid="{D7500921-C12B-449D-8D0D-70BF220CE712}" name="Pot2" dataDxfId="80">
      <calculatedColumnFormula>($O$3*(O5-$O$1)/$O$2+$P$3*(P5-$P$1)/$P$2+$Q$3*(Q5-$Q$1)/$Q$2)/SUM($O$3:$Q$3)</calculatedColumnFormula>
    </tableColumn>
    <tableColumn id="49" xr3:uid="{FA1A589E-0EF8-4C3C-A974-BA59A75553FF}" name="Pitch" dataDxfId="79">
      <calculatedColumnFormula>COUNT(R5:AO5)/2</calculatedColumnFormula>
    </tableColumn>
    <tableColumn id="50" xr3:uid="{7DFF69C5-D4E6-4C88-91A7-5135ECC43866}" name="Qpitch" dataDxfId="78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77">
      <calculatedColumnFormula>VLOOKUP(AP5,COND!$A$10:$B$32,2,FALSE)</calculatedColumnFormula>
    </tableColumn>
    <tableColumn id="52" xr3:uid="{58CF891F-DAD8-465D-B8A5-B142D01901BB}" name="Tot" dataDxfId="76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75">
      <calculatedColumnFormula>STANDARDIZE(AZ5,AVERAGE($AZ$5:$AZ$794),STDEVP($AZ$5:$AZ$794))</calculatedColumnFormula>
    </tableColumn>
    <tableColumn id="54" xr3:uid="{6E3900D0-321A-4E4E-9BD5-E4B781910309}" name="Role" dataDxfId="74">
      <calculatedColumnFormula>IF(OR(AND(AQ5&gt;7,AX5&gt;1),AND(AQ5&gt;4,AW5&gt;2)),"SP","RP")</calculatedColumnFormula>
    </tableColumn>
    <tableColumn id="55" xr3:uid="{FB20ED2F-93A0-4311-8035-BD3124FC2B00}" name="Rnk" dataDxfId="73">
      <calculatedColumnFormula>RANK(Table3[[#This Row],[zScore]],Table3[zScore])</calculatedColumnFormula>
    </tableColumn>
    <tableColumn id="56" xr3:uid="{147AFE1A-8141-4FA5-AFF8-04C3DEB02089}" name="List" dataDxfId="72"/>
    <tableColumn id="57" xr3:uid="{DCB910D5-1117-4A48-BAF1-FE75CA0A5FF3}" name="By Rnd" dataDxfId="71"/>
    <tableColumn id="58" xr3:uid="{78945249-770F-4AE0-8D63-68202BE21799}" name="ML" dataDxfId="70">
      <calculatedColumnFormula>IF(AVERAGE($O5:$Q5)&gt;=6,"Likely",IF(AVERAGE($O5:$Q5)&gt;=4,"Possible","Unlikely"))</calculatedColumnFormula>
    </tableColumn>
    <tableColumn id="59" xr3:uid="{3E81896E-000A-4DD9-BE96-57468433AAEF}" name="Signed For" dataDxfId="69"/>
    <tableColumn id="60" xr3:uid="{B801B4EB-93F2-45E3-A9A9-9E169AA59397}" name="Ovr" dataDxfId="68">
      <calculatedColumnFormula>INDEX(Table5[[#All],[Ovr]],MATCH(Table3[[#This Row],[PID]],Table5[[#All],[PID]],0))</calculatedColumnFormula>
    </tableColumn>
    <tableColumn id="61" xr3:uid="{BA075BA9-493B-4C71-8943-ED46BA37ECCC}" name="Rnd" dataDxfId="67">
      <calculatedColumnFormula>INDEX(Table5[[#All],[Rnd]],MATCH(Table3[[#This Row],[PID]],Table5[[#All],[PID]],0))</calculatedColumnFormula>
    </tableColumn>
    <tableColumn id="62" xr3:uid="{C88E9868-35A9-48D2-A9FA-DADC95DD3885}" name="Pick" dataDxfId="66">
      <calculatedColumnFormula>INDEX(Table5[[#All],[Pick]],MATCH(Table3[[#This Row],[PID]],Table5[[#All],[PID]],0))</calculatedColumnFormula>
    </tableColumn>
    <tableColumn id="63" xr3:uid="{7A13EBCD-3667-40F7-A9CE-F6FB95AAF4FF}" name="Team" dataDxfId="65">
      <calculatedColumnFormula>INDEX(Table5[[#All],[Team]],MATCH(Table3[[#This Row],[PID]],Table5[[#All],[PID]],0))</calculatedColumnFormula>
    </tableColumn>
    <tableColumn id="64" xr3:uid="{CB2A10C7-5C32-4142-B539-F60181F20142}" name="zScoreBat" dataDxfId="64">
      <calculatedColumnFormula>IF(OR(Table3[[#This Row],[POS]]="SP",Table3[[#This Row],[POS]]="RP",Table3[[#This Row],[POS]]="CL"),"P",INDEX(Batters[[#All],[zScore]],MATCH(Table3[[#This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Table5" displayName="Table5" ref="A4:AE1543" totalsRowShown="0" headerRowDxfId="63" dataDxfId="62" tableBorderDxfId="61">
  <autoFilter ref="A4:AE1543" xr:uid="{F7350831-336B-4A9F-8EAA-531B63ACE1E3}"/>
  <sortState xmlns:xlrd2="http://schemas.microsoft.com/office/spreadsheetml/2017/richdata2" ref="A5:AE1543">
    <sortCondition ref="Y5:Y1543"/>
    <sortCondition descending="1" ref="R5:R1543"/>
    <sortCondition ref="T5:T1543"/>
  </sortState>
  <tableColumns count="31">
    <tableColumn id="1" xr3:uid="{3A66DF1C-C783-4981-B7B1-E0D4156D8F02}" name="PID" dataDxfId="60"/>
    <tableColumn id="2" xr3:uid="{E430EC05-F0CA-41F3-8FF4-7BE4F07D3105}" name="Dup" dataDxfId="59">
      <calculatedColumnFormula>COUNTIF(Table5[PID],A5)</calculatedColumnFormula>
    </tableColumn>
    <tableColumn id="3" xr3:uid="{87658EB9-C59F-4623-BA2C-69B99745E185}" name="Type" dataDxfId="58">
      <calculatedColumnFormula>IF(COUNTIF(Table3[[#All],[PID]],A5)&gt;0,"P","B")</calculatedColumnFormula>
    </tableColumn>
    <tableColumn id="5" xr3:uid="{607F5728-4C22-4275-ABB7-FF25B99FEFB1}" name="Pos" dataDxfId="57">
      <calculatedColumnFormula>IF($C5="B",INDEX(Batters[[#All],[POS]],MATCH(Table5[[#This Row],[PID]],Batters[[#All],[PID]],0)),INDEX(Table3[[#All],[POS]],MATCH(Table5[[#This Row],[PID]],Table3[[#All],[PID]],0)))</calculatedColumnFormula>
    </tableColumn>
    <tableColumn id="6" xr3:uid="{4C8B41F9-8FBA-4AAA-B787-430318EE6FED}" name="First" dataDxfId="56">
      <calculatedColumnFormula>IF($C5="B",INDEX(Batters[[#All],[First]],MATCH(Table5[[#This Row],[PID]],Batters[[#All],[PID]],0)),INDEX(Table3[[#All],[First]],MATCH(Table5[[#This Row],[PID]],Table3[[#All],[PID]],0)))</calculatedColumnFormula>
    </tableColumn>
    <tableColumn id="7" xr3:uid="{BD21AB38-61B5-4357-892E-62957EBB8975}" name="Last" dataDxfId="55">
      <calculatedColumnFormula>IF($C5="B",INDEX(Batters[[#All],[Last]],MATCH(A5,Batters[[#All],[PID]],0)),INDEX(Table3[[#All],[Last]],MATCH(A5,Table3[[#All],[PID]],0)))</calculatedColumnFormula>
    </tableColumn>
    <tableColumn id="8" xr3:uid="{CC75A194-8E72-4220-8234-D768E50FF91A}" name="Age" dataDxfId="54">
      <calculatedColumnFormula>IF($C5="B",INDEX(Batters[[#All],[Age]],MATCH(Table5[[#This Row],[PID]],Batters[[#All],[PID]],0)),INDEX(Table3[[#All],[Age]],MATCH(Table5[[#This Row],[PID]],Table3[[#All],[PID]],0)))</calculatedColumnFormula>
    </tableColumn>
    <tableColumn id="9" xr3:uid="{41D20499-35D6-4742-B0B6-8DDF98E34BD5}" name="B" dataDxfId="53">
      <calculatedColumnFormula>IF($C5="B",INDEX(Batters[[#All],[B]],MATCH(Table5[[#This Row],[PID]],Batters[[#All],[PID]],0)),INDEX(Table3[[#All],[B]],MATCH(Table5[[#This Row],[PID]],Table3[[#All],[PID]],0)))</calculatedColumnFormula>
    </tableColumn>
    <tableColumn id="10" xr3:uid="{326E3315-99B1-4F7B-A7E2-ACE31381EBF4}" name="T" dataDxfId="52">
      <calculatedColumnFormula>IF($C5="B",INDEX(Batters[[#All],[T]],MATCH(Table5[[#This Row],[PID]],Batters[[#All],[PID]],0)),INDEX(Table3[[#All],[T]],MATCH(Table5[[#This Row],[PID]],Table3[[#All],[PID]],0)))</calculatedColumnFormula>
    </tableColumn>
    <tableColumn id="11" xr3:uid="{EA58EFB1-9637-4BDE-B661-26174877E052}" name="WE" dataDxfId="51">
      <calculatedColumnFormula>IF($C5="B",INDEX(Batters[[#All],[WE]],MATCH(Table5[[#This Row],[PID]],Batters[[#All],[PID]],0)),INDEX(Table3[[#All],[WE]],MATCH(Table5[[#This Row],[PID]],Table3[[#All],[PID]],0)))</calculatedColumnFormula>
    </tableColumn>
    <tableColumn id="12" xr3:uid="{837BF742-1A06-4F04-ADAE-6114EC9EE9F5}" name="INT" dataDxfId="50">
      <calculatedColumnFormula>IF($C5="B",INDEX(Batters[[#All],[INT]],MATCH(Table5[[#This Row],[PID]],Batters[[#All],[PID]],0)),INDEX(Table3[[#All],[INT]],MATCH(Table5[[#This Row],[PID]],Table3[[#All],[PID]],0)))</calculatedColumnFormula>
    </tableColumn>
    <tableColumn id="13" xr3:uid="{57A20AEE-F10A-4570-913C-E1C62EFA4615}" name="Stf" dataDxfId="49">
      <calculatedColumnFormula>IF($C5="B",INDEX(Batters[[#All],[CON P]],MATCH(Table5[[#This Row],[PID]],Batters[[#All],[PID]],0)),INDEX(Table3[[#All],[STU P]],MATCH(Table5[[#This Row],[PID]],Table3[[#All],[PID]],0)))</calculatedColumnFormula>
    </tableColumn>
    <tableColumn id="14" xr3:uid="{C72D12AA-FDD2-4EDD-B077-E0B71CD7F230}" name="Mov" dataDxfId="48">
      <calculatedColumnFormula>IF($C5="B",INDEX(Batters[[#All],[GAP P]],MATCH(Table5[[#This Row],[PID]],Batters[[#All],[PID]],0)),INDEX(Table3[[#All],[MOV P]],MATCH(Table5[[#This Row],[PID]],Table3[[#All],[PID]],0)))</calculatedColumnFormula>
    </tableColumn>
    <tableColumn id="15" xr3:uid="{020F782F-69E5-4142-A433-292BE4BB2A9D}" name="Con" dataDxfId="47">
      <calculatedColumnFormula>IF($C5="B",INDEX(Batters[[#All],[POW P]],MATCH(Table5[[#This Row],[PID]],Batters[[#All],[PID]],0)),INDEX(Table3[[#All],[CON P]],MATCH(Table5[[#This Row],[PID]],Table3[[#All],[PID]],0)))</calculatedColumnFormula>
    </tableColumn>
    <tableColumn id="16" xr3:uid="{5BA5A35D-0E7F-4F38-A1EF-28CAA214FE0F}" name="Velo" dataDxfId="46">
      <calculatedColumnFormula>IF($C5="B",INDEX(Batters[[#All],[EYE P]],MATCH(Table5[[#This Row],[PID]],Batters[[#All],[PID]],0)),INDEX(Table3[[#All],[VELO]],MATCH(Table5[[#This Row],[PID]],Table3[[#All],[PID]],0)))</calculatedColumnFormula>
    </tableColumn>
    <tableColumn id="17" xr3:uid="{53205276-8DEA-47C0-9463-3A197770A2FD}" name="Sta" dataDxfId="45">
      <calculatedColumnFormula>IF($C5="B",INDEX(Batters[[#All],[K P]],MATCH(Table5[[#This Row],[PID]],Batters[[#All],[PID]],0)),INDEX(Table3[[#All],[STM]],MATCH(Table5[[#This Row],[PID]],Table3[[#All],[PID]],0)))</calculatedColumnFormula>
    </tableColumn>
    <tableColumn id="18" xr3:uid="{8CEE5B32-B5FD-428F-A0A2-8E128B8227F7}" name="Tot" dataDxfId="44">
      <calculatedColumnFormula>IF($C5="B",INDEX(Batters[[#All],[Tot]],MATCH(Table5[[#This Row],[PID]],Batters[[#All],[PID]],0)),INDEX(Table3[[#All],[Tot]],MATCH(Table5[[#This Row],[PID]],Table3[[#All],[PID]],0)))</calculatedColumnFormula>
    </tableColumn>
    <tableColumn id="19" xr3:uid="{5939CB3D-FB3C-40F3-AF86-570345DC0E44}" name="zScore" dataDxfId="43">
      <calculatedColumnFormula>IF($C5="B",INDEX(Batters[[#All],[zScore]],MATCH(Table5[[#This Row],[PID]],Batters[[#All],[PID]],0)),INDEX(Table3[[#All],[zScore]],MATCH(Table5[[#This Row],[PID]],Table3[[#All],[PID]],0)))</calculatedColumnFormula>
    </tableColumn>
    <tableColumn id="20" xr3:uid="{20D24F2A-F8D0-4F36-92CB-054F4518F836}" name="Demand" dataDxfId="42" dataCellStyle="Currency">
      <calculatedColumnFormula>IF($C5="B",INDEX(Batters[[#All],[DEM]],MATCH(Table5[[#This Row],[PID]],Batters[[#All],[PID]],0)),INDEX(Table3[[#All],[DEM]],MATCH(Table5[[#This Row],[PID]],Table3[[#All],[PID]],0)))</calculatedColumnFormula>
    </tableColumn>
    <tableColumn id="21" xr3:uid="{F538A570-2CE2-4212-BEE1-848ECF29C0AE}" name="posRnk" dataDxfId="41">
      <calculatedColumnFormula>IF($C5="B",INDEX(Batters[[#All],[Rnk]],MATCH(Table5[[#This Row],[PID]],Batters[[#All],[PID]],0)),INDEX(Table3[[#All],[Rnk]],MATCH(Table5[[#This Row],[PID]],Table3[[#All],[PID]],0)))</calculatedColumnFormula>
    </tableColumn>
    <tableColumn id="22" xr3:uid="{58C2110B-77F6-49E3-9D32-49DCE4675E8F}" name="b/pRnk" dataDxfId="40">
      <calculatedColumnFormula>IF($C5="B",VLOOKUP($A5,Bat!$A$4:$BA$1621,47,FALSE),VLOOKUP($A5,Pit!$A$4:$BF$557,56,FALSE))</calculatedColumnFormula>
    </tableColumn>
    <tableColumn id="23" xr3:uid="{13E5FBFB-B07A-4251-B175-665B5E5E9349}" name="By Rnd" dataDxfId="39">
      <calculatedColumnFormula>IF($C5="B",VLOOKUP($A5,Bat!$A$4:$BA$1621,48,FALSE),VLOOKUP($A5,Pit!$A$4:$BF$1557,57,FALSE))</calculatedColumnFormula>
    </tableColumn>
    <tableColumn id="24" xr3:uid="{DD82F422-4CE8-41A6-8712-233EDB5A227D}" name="cmbList" dataDxfId="38">
      <calculatedColumnFormula>Table5[[#This Row],[posRnk]]+Table5[[#This Row],[zRnk]]+IF($W$3&lt;&gt;Table5[[#This Row],[Type]],50,0)</calculatedColumnFormula>
    </tableColumn>
    <tableColumn id="25" xr3:uid="{2B1B0E47-F81D-47D4-90C3-5512BA102E94}" name="zRnk" dataDxfId="37">
      <calculatedColumnFormula>RANK(Table5[[#This Row],[zScore]],Table5[[#All],[zScore]])</calculatedColumnFormula>
    </tableColumn>
    <tableColumn id="26" xr3:uid="{4DADC21C-F0A9-488E-8F5F-2FAC103C1C91}" name="Ovr" dataDxfId="36">
      <calculatedColumnFormula>IFERROR(INDEX(DraftResults[[#All],[OVR]],MATCH(Table5[[#This Row],[PID]],DraftResults[[#All],[Player ID]],0)),"")</calculatedColumnFormula>
    </tableColumn>
    <tableColumn id="27" xr3:uid="{BD8A4CB0-82DF-4CD1-B00E-E43085D8B458}" name="Rnd" dataDxfId="35">
      <calculatedColumnFormula>IFERROR(IF((INDEX(DraftResults[[#All],[Supplemental]],MATCH(Table5[[#This Row],[PID]],DraftResults[[#All],[Player ID]],0)))=1,"S","")&amp;INDEX(DraftResults[[#All],[Round]],MATCH(Table5[[#This Row],[PID]],DraftResults[[#All],[Player ID]],0)),"")</calculatedColumnFormula>
    </tableColumn>
    <tableColumn id="28" xr3:uid="{AAB1395B-1E4F-4CC7-9DEA-B0F1A0786BF3}" name="Pick" dataDxfId="34">
      <calculatedColumnFormula>IFERROR(INDEX(DraftResults[[#All],[Pick in Round]],MATCH(Table5[[#This Row],[PID]],DraftResults[[#All],[Player ID]],0)),"")</calculatedColumnFormula>
    </tableColumn>
    <tableColumn id="29" xr3:uid="{78C914D4-5152-4158-ACC3-2D59762F91EB}" name="Team" dataDxfId="33">
      <calculatedColumnFormula>IFERROR(INDEX(DraftResults[[#All],[Team Name]],MATCH(Table5[[#This Row],[PID]],DraftResults[[#All],[Player ID]],0)),"")</calculatedColumnFormula>
    </tableColumn>
    <tableColumn id="30" xr3:uid="{31DF6215-5BE5-4C72-BAB7-33B5357E1E91}" name="Draft Diff" dataDxfId="32">
      <calculatedColumnFormula>IF(Table5[[#This Row],[Ovr]]="","",IF(Table5[[#This Row],[cmbList]]="","",Table5[[#This Row],[cmbList]]-Table5[[#This Row],[Ovr]]))</calculatedColumnFormula>
    </tableColumn>
    <tableColumn id="31" xr3:uid="{86D31730-54FA-4106-B8F8-23148C66D515}" name="Bonus" dataDxfId="31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30">
      <calculatedColumnFormula>IF(Table5[[#This Row],[Ovr]]&lt;&gt;"",Table5[[#This Row],[Rnd]]&amp;"."&amp;Table5[[#This Row],[Pick]]&amp;" ("&amp;Table5[[#This Row],[Ovr]]&amp;") - "&amp;Table5[[#This Row],[Pos]]&amp;" "&amp;Table5[[#This Row],[First]]&amp;" "&amp;Table5[[#This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11" totalsRowShown="0">
  <autoFilter ref="A3:K611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29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28">
      <calculatedColumnFormula>IF(DraftResults[[#This Row],[Player ID]]=0,"",INDEX(Table5[[#All],[Pos]],MATCH(DraftResults[[#This Row],[Player ID]],Table5[[#All],[PID]],0)))</calculatedColumnFormula>
    </tableColumn>
    <tableColumn id="14" xr3:uid="{4940ACD4-1A14-4FFE-8F39-63B6ABFDD96A}" name="First" dataDxfId="27">
      <calculatedColumnFormula>IF(DraftResults[[#This Row],[Player ID]]=0,"",INDEX(Table5[[#All],[First]],MATCH(DraftResults[[#This Row],[Player ID]],Table5[[#All],[PID]],0)))</calculatedColumnFormula>
    </tableColumn>
    <tableColumn id="15" xr3:uid="{A4DD8098-482D-49FA-8DC3-43E427F27093}" name="Last" dataDxfId="26">
      <calculatedColumnFormula>IF(DraftResults[[#This Row],[Player ID]]=0,"",INDEX(Table5[[#All],[Last]],MATCH(DraftResults[[#This Row],[Player ID]],Table5[[#All],[PID]],0)))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25" totalsRowDxfId="24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23"/>
    <tableColumn id="2" xr3:uid="{00000000-0010-0000-0000-000002000000}" name="Drafted Players" totalsRowFunction="sum" totalsRowDxfId="22"/>
    <tableColumn id="3" xr3:uid="{00000000-0010-0000-0000-000003000000}" name="Bonus Eligible" totalsRowFunction="sum" dataDxfId="21" totalsRowDxfId="20">
      <calculatedColumnFormula>SUMPRODUCT(('Draft List'!$AB$5:$AB$1543=$A3)*('Draft List'!$Z$5:$Z$1543&lt;6))+SUMPRODUCT(('Draft List'!$AB$5:$AB$1543=$A3)*('Draft List'!$Z$5:$Z$1543="S1"))+SUMPRODUCT(('Draft List'!$AB$5:$AB$1543=$A3)*('Draft List'!$Z$5:$Z$1543&lt;&gt;"S1")*('Draft List'!$Z$5:$Z$1543&gt;5)*('Draft List'!$AD$5:$AD$1543&gt;0)*('Draft List'!$AD$5:$AD$1543&lt;100000000))</calculatedColumnFormula>
    </tableColumn>
    <tableColumn id="4" xr3:uid="{00000000-0010-0000-0000-000004000000}" name="Signed" totalsRowFunction="sum" totalsRowDxfId="19">
      <calculatedColumnFormula>SUMPRODUCT(('Draft List'!$AB$5:$AB$1543=$A3)*('Draft List'!$AD$5:$AD$1543&gt;0)*('Draft List'!$AD$5:$AD$1543&lt;1000000000))</calculatedColumnFormula>
    </tableColumn>
    <tableColumn id="5" xr3:uid="{00000000-0010-0000-0000-000005000000}" name="Unsigned" totalsRowFunction="sum" totalsRowDxfId="18"/>
    <tableColumn id="6" xr3:uid="{00000000-0010-0000-0000-000006000000}" name="Tot Bonus" totalsRowFunction="sum" dataDxfId="17" totalsRowDxfId="16" dataCellStyle="Currency"/>
    <tableColumn id="7" xr3:uid="{00000000-0010-0000-0000-000007000000}" name="Avg Bonus" totalsRowFunction="custom" dataDxfId="15" totalsRowDxfId="14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13" totalsRowDxfId="12">
      <calculatedColumnFormula>LEN(Table1[[#This Row],[Team]])</calculatedColumnFormula>
    </tableColumn>
    <tableColumn id="9" xr3:uid="{00000000-0010-0000-0000-000009000000}" name="Text" dataDxfId="11" totalsRowDxfId="1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"/>
  <sheetViews>
    <sheetView workbookViewId="0">
      <pane ySplit="3" topLeftCell="A4" activePane="bottomLeft" state="frozen"/>
      <selection pane="bottomLeft" activeCell="O3" sqref="O3"/>
    </sheetView>
  </sheetViews>
  <sheetFormatPr defaultRowHeight="15" x14ac:dyDescent="0.25"/>
  <cols>
    <col min="1" max="1" width="11.7109375" customWidth="1"/>
    <col min="2" max="2" width="6.7109375" customWidth="1"/>
    <col min="3" max="3" width="8.85546875" bestFit="1" customWidth="1"/>
    <col min="4" max="4" width="9.7109375" bestFit="1" customWidth="1"/>
    <col min="5" max="5" width="6.5703125" customWidth="1"/>
    <col min="6" max="7" width="5.5703125" bestFit="1" customWidth="1"/>
    <col min="8" max="8" width="12.7109375" bestFit="1" customWidth="1"/>
    <col min="9" max="9" width="10" customWidth="1"/>
    <col min="10" max="10" width="7.85546875" customWidth="1"/>
    <col min="12" max="13" width="10.42578125" customWidth="1"/>
    <col min="14" max="14" width="15" customWidth="1"/>
    <col min="16" max="16" width="9.28515625" customWidth="1"/>
    <col min="19" max="19" width="9.28515625" customWidth="1"/>
    <col min="20" max="20" width="9.7109375" customWidth="1"/>
  </cols>
  <sheetData>
    <row r="1" spans="1:2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25">
      <c r="A2" t="s">
        <v>300</v>
      </c>
      <c r="O2">
        <v>17</v>
      </c>
      <c r="P2">
        <v>19</v>
      </c>
      <c r="Q2">
        <v>20</v>
      </c>
      <c r="R2">
        <v>15</v>
      </c>
      <c r="S2">
        <v>16</v>
      </c>
      <c r="T2">
        <v>17</v>
      </c>
    </row>
    <row r="3" spans="1:20" x14ac:dyDescent="0.25">
      <c r="A3" s="34" t="s">
        <v>214</v>
      </c>
      <c r="B3" s="35" t="s">
        <v>0</v>
      </c>
      <c r="C3" s="35" t="s">
        <v>406</v>
      </c>
      <c r="D3" s="35" t="s">
        <v>407</v>
      </c>
      <c r="E3" s="35" t="s">
        <v>2</v>
      </c>
      <c r="F3" s="35" t="s">
        <v>3</v>
      </c>
      <c r="G3" s="35" t="s">
        <v>4</v>
      </c>
      <c r="H3" s="35" t="s">
        <v>356</v>
      </c>
      <c r="I3" s="35" t="s">
        <v>357</v>
      </c>
      <c r="J3" s="35" t="s">
        <v>453</v>
      </c>
      <c r="K3" s="35" t="s">
        <v>449</v>
      </c>
      <c r="L3" s="35" t="s">
        <v>450</v>
      </c>
      <c r="M3" s="35" t="s">
        <v>451</v>
      </c>
      <c r="N3" s="35" t="s">
        <v>452</v>
      </c>
      <c r="O3" s="35" t="s">
        <v>13</v>
      </c>
      <c r="P3" s="35" t="s">
        <v>80</v>
      </c>
      <c r="Q3" s="35" t="s">
        <v>81</v>
      </c>
      <c r="R3" s="35" t="s">
        <v>541</v>
      </c>
      <c r="S3" s="35" t="s">
        <v>12</v>
      </c>
      <c r="T3" s="35" t="s">
        <v>1152</v>
      </c>
    </row>
    <row r="4" spans="1:20" x14ac:dyDescent="0.25">
      <c r="A4" s="45">
        <v>13695</v>
      </c>
      <c r="B4" s="45" t="str">
        <f>VLOOKUP($A4,Bat!$A$4:$BB$1335,B$1,FALSE)</f>
        <v>1B</v>
      </c>
      <c r="C4" s="45" t="str">
        <f>VLOOKUP($A4,Bat!$A$4:$BB$1335,C$1,FALSE)</f>
        <v>Manuel</v>
      </c>
      <c r="D4" s="45" t="str">
        <f>VLOOKUP($A4,Bat!$A$4:$BB$1335,D$1,FALSE)</f>
        <v>Pacheco</v>
      </c>
      <c r="E4" s="45">
        <f>VLOOKUP($A4,Bat!$A$4:$BB$1335,E$1,FALSE)</f>
        <v>18</v>
      </c>
      <c r="F4" s="45" t="str">
        <f>VLOOKUP($A4,Bat!$A$4:$BB$1335,F$1,FALSE)</f>
        <v>R</v>
      </c>
      <c r="G4" s="45" t="str">
        <f>VLOOKUP($A4,Bat!$A$4:$BB$1335,G$1,FALSE)</f>
        <v>R</v>
      </c>
      <c r="H4" s="44">
        <f>VLOOKUP($A4,Bat!$A$4:$BB$1735,H$1,FALSE)</f>
        <v>-2.5850292714865684</v>
      </c>
      <c r="I4" s="44" t="e">
        <f>VLOOKUP($A4,Pit!$A$4:$BL$1674,I$1,FALSE)</f>
        <v>#N/A</v>
      </c>
      <c r="J4" s="44" t="e">
        <f>I4-H4</f>
        <v>#N/A</v>
      </c>
      <c r="K4" s="49" t="e">
        <f>IF(H4&gt;I4,"B","P")</f>
        <v>#N/A</v>
      </c>
      <c r="L4" s="45" t="e">
        <f>IF(AND(OR(B4="SP",B4="RP",B4="CL"),K4="P"),"Keep","Delete")</f>
        <v>#N/A</v>
      </c>
      <c r="M4" s="45" t="e">
        <f>IF(AND(AND($B4&lt;&gt;"SP",$B4&lt;&gt;"RP",$B4&lt;&gt;"CL"),$K4="B"),"Keep","Delete")</f>
        <v>#N/A</v>
      </c>
      <c r="N4" s="45" t="e">
        <f>IF(OR(L4="Delete",M4="Delete"),"Delete","Keep")</f>
        <v>#N/A</v>
      </c>
      <c r="O4" s="45">
        <f>VLOOKUP($A4,Bat!$A$4:$U$1738,O$2,FALSE)</f>
        <v>2</v>
      </c>
      <c r="P4" s="45">
        <f>VLOOKUP($A4,Bat!$A$4:$U$1738,P$2,FALSE)</f>
        <v>2</v>
      </c>
      <c r="Q4" s="45">
        <f>VLOOKUP($A4,Bat!$A$4:$U$1738,Q$2,FALSE)</f>
        <v>2</v>
      </c>
      <c r="R4" s="45" t="e">
        <f>VLOOKUP($A4,Pit!$A$4:$U$1674,R$2,FALSE)</f>
        <v>#N/A</v>
      </c>
      <c r="S4" s="45" t="e">
        <f>VLOOKUP($A4,Pit!$A$4:$U$1674,S$2,FALSE)</f>
        <v>#N/A</v>
      </c>
      <c r="T4" s="45" t="e">
        <f>VLOOKUP($A4,Pit!$A$4:$U$1674,T$2,FALSE)</f>
        <v>#N/A</v>
      </c>
    </row>
    <row r="5" spans="1:20" x14ac:dyDescent="0.25">
      <c r="A5" s="45">
        <v>18429</v>
      </c>
      <c r="B5" s="45" t="str">
        <f>VLOOKUP($A5,Bat!$A$4:$BB$1335,B$1,FALSE)</f>
        <v>1B</v>
      </c>
      <c r="C5" s="45" t="str">
        <f>VLOOKUP($A5,Bat!$A$4:$BB$1335,C$1,FALSE)</f>
        <v>Toyozo</v>
      </c>
      <c r="D5" s="45" t="str">
        <f>VLOOKUP($A5,Bat!$A$4:$BB$1335,D$1,FALSE)</f>
        <v>Kobayashi</v>
      </c>
      <c r="E5" s="45">
        <f>VLOOKUP($A5,Bat!$A$4:$BB$1335,E$1,FALSE)</f>
        <v>18</v>
      </c>
      <c r="F5" s="45" t="str">
        <f>VLOOKUP($A5,Bat!$A$4:$BB$1335,F$1,FALSE)</f>
        <v>L</v>
      </c>
      <c r="G5" s="45" t="str">
        <f>VLOOKUP($A5,Bat!$A$4:$BB$1335,G$1,FALSE)</f>
        <v>R</v>
      </c>
      <c r="H5" s="44">
        <f>VLOOKUP($A5,Bat!$A$4:$BB$1735,H$1,FALSE)</f>
        <v>-1.1299796944309892</v>
      </c>
      <c r="I5" s="44" t="e">
        <f>VLOOKUP($A5,Pit!$A$4:$BL$1674,I$1,FALSE)</f>
        <v>#N/A</v>
      </c>
      <c r="J5" s="44" t="e">
        <f>I5-H5</f>
        <v>#N/A</v>
      </c>
      <c r="K5" s="49" t="e">
        <f>IF(H5&gt;I5,"B","P")</f>
        <v>#N/A</v>
      </c>
      <c r="L5" s="45" t="e">
        <f>IF(AND(OR(B5="SP",B5="RP",B5="CL"),K5="P"),"Keep","Delete")</f>
        <v>#N/A</v>
      </c>
      <c r="M5" s="45" t="e">
        <f>IF(AND(AND($B5&lt;&gt;"SP",$B5&lt;&gt;"RP",$B5&lt;&gt;"CL"),$K5="B"),"Keep","Delete")</f>
        <v>#N/A</v>
      </c>
      <c r="N5" s="45" t="e">
        <f>IF(OR(L5="Delete",M5="Delete"),"Delete","Keep")</f>
        <v>#N/A</v>
      </c>
      <c r="O5" s="45">
        <f>VLOOKUP($A5,Bat!$A$4:$U$1738,O$2,FALSE)</f>
        <v>3</v>
      </c>
      <c r="P5" s="45">
        <f>VLOOKUP($A5,Bat!$A$4:$U$1738,P$2,FALSE)</f>
        <v>2</v>
      </c>
      <c r="Q5" s="45">
        <f>VLOOKUP($A5,Bat!$A$4:$U$1738,Q$2,FALSE)</f>
        <v>4</v>
      </c>
      <c r="R5" s="45" t="e">
        <f>VLOOKUP($A5,Pit!$A$4:$U$1674,R$2,FALSE)</f>
        <v>#N/A</v>
      </c>
      <c r="S5" s="45" t="e">
        <f>VLOOKUP($A5,Pit!$A$4:$U$1674,S$2,FALSE)</f>
        <v>#N/A</v>
      </c>
      <c r="T5" s="45" t="e">
        <f>VLOOKUP($A5,Pit!$A$4:$U$1674,T$2,FALSE)</f>
        <v>#N/A</v>
      </c>
    </row>
    <row r="6" spans="1:20" x14ac:dyDescent="0.25">
      <c r="A6" s="45">
        <v>13519</v>
      </c>
      <c r="B6" s="45" t="str">
        <f>VLOOKUP($A6,Bat!$A$4:$BB$1335,B$1,FALSE)</f>
        <v>1B</v>
      </c>
      <c r="C6" s="45" t="str">
        <f>VLOOKUP($A6,Bat!$A$4:$BB$1335,C$1,FALSE)</f>
        <v>Miguel</v>
      </c>
      <c r="D6" s="45" t="str">
        <f>VLOOKUP($A6,Bat!$A$4:$BB$1335,D$1,FALSE)</f>
        <v>López</v>
      </c>
      <c r="E6" s="45">
        <f>VLOOKUP($A6,Bat!$A$4:$BB$1335,E$1,FALSE)</f>
        <v>18</v>
      </c>
      <c r="F6" s="45" t="str">
        <f>VLOOKUP($A6,Bat!$A$4:$BB$1335,F$1,FALSE)</f>
        <v>R</v>
      </c>
      <c r="G6" s="45" t="str">
        <f>VLOOKUP($A6,Bat!$A$4:$BB$1335,G$1,FALSE)</f>
        <v>R</v>
      </c>
      <c r="H6" s="44">
        <f>VLOOKUP($A6,Bat!$A$4:$BB$1735,H$1,FALSE)</f>
        <v>-0.97154856969500591</v>
      </c>
      <c r="I6" s="44" t="e">
        <f>VLOOKUP($A6,Pit!$A$4:$BL$1674,I$1,FALSE)</f>
        <v>#N/A</v>
      </c>
      <c r="J6" s="44" t="e">
        <f>I6-H6</f>
        <v>#N/A</v>
      </c>
      <c r="K6" s="49" t="e">
        <f>IF(H6&gt;I6,"B","P")</f>
        <v>#N/A</v>
      </c>
      <c r="L6" s="45" t="e">
        <f>IF(AND(OR(B6="SP",B6="RP",B6="CL"),K6="P"),"Keep","Delete")</f>
        <v>#N/A</v>
      </c>
      <c r="M6" s="45" t="e">
        <f>IF(AND(AND($B6&lt;&gt;"SP",$B6&lt;&gt;"RP",$B6&lt;&gt;"CL"),$K6="B"),"Keep","Delete")</f>
        <v>#N/A</v>
      </c>
      <c r="N6" s="45" t="e">
        <f>IF(OR(L6="Delete",M6="Delete"),"Delete","Keep")</f>
        <v>#N/A</v>
      </c>
      <c r="O6" s="45">
        <f>VLOOKUP($A6,Bat!$A$4:$U$1738,O$2,FALSE)</f>
        <v>4</v>
      </c>
      <c r="P6" s="45">
        <f>VLOOKUP($A6,Bat!$A$4:$U$1738,P$2,FALSE)</f>
        <v>2</v>
      </c>
      <c r="Q6" s="45">
        <f>VLOOKUP($A6,Bat!$A$4:$U$1738,Q$2,FALSE)</f>
        <v>1</v>
      </c>
      <c r="R6" s="45" t="e">
        <f>VLOOKUP($A6,Pit!$A$4:$U$1674,R$2,FALSE)</f>
        <v>#N/A</v>
      </c>
      <c r="S6" s="45" t="e">
        <f>VLOOKUP($A6,Pit!$A$4:$U$1674,S$2,FALSE)</f>
        <v>#N/A</v>
      </c>
      <c r="T6" s="45" t="e">
        <f>VLOOKUP($A6,Pit!$A$4:$U$1674,T$2,FALSE)</f>
        <v>#N/A</v>
      </c>
    </row>
    <row r="7" spans="1:20" x14ac:dyDescent="0.25">
      <c r="A7" s="45">
        <v>20305</v>
      </c>
      <c r="B7" s="45" t="e">
        <f>VLOOKUP($A7,Bat!$A$4:$BB$1335,B$1,FALSE)</f>
        <v>#N/A</v>
      </c>
      <c r="C7" s="45" t="e">
        <f>VLOOKUP($A7,Bat!$A$4:$BB$1335,C$1,FALSE)</f>
        <v>#N/A</v>
      </c>
      <c r="D7" s="45" t="e">
        <f>VLOOKUP($A7,Bat!$A$4:$BB$1335,D$1,FALSE)</f>
        <v>#N/A</v>
      </c>
      <c r="E7" s="45" t="e">
        <f>VLOOKUP($A7,Bat!$A$4:$BB$1335,E$1,FALSE)</f>
        <v>#N/A</v>
      </c>
      <c r="F7" s="45" t="e">
        <f>VLOOKUP($A7,Bat!$A$4:$BB$1335,F$1,FALSE)</f>
        <v>#N/A</v>
      </c>
      <c r="G7" s="45" t="e">
        <f>VLOOKUP($A7,Bat!$A$4:$BB$1335,G$1,FALSE)</f>
        <v>#N/A</v>
      </c>
      <c r="H7" s="44" t="e">
        <f>VLOOKUP($A7,Bat!$A$4:$BB$1735,H$1,FALSE)</f>
        <v>#N/A</v>
      </c>
      <c r="I7" s="44">
        <f>VLOOKUP($A7,Pit!$A$4:$BL$1674,I$1,FALSE)</f>
        <v>-0.27055980802197388</v>
      </c>
      <c r="J7" s="44" t="e">
        <f>I7-H7</f>
        <v>#N/A</v>
      </c>
      <c r="K7" s="49" t="e">
        <f>IF(H7&gt;I7,"B","P")</f>
        <v>#N/A</v>
      </c>
      <c r="L7" s="45" t="e">
        <f>IF(AND(OR(B7="SP",B7="RP",B7="CL"),K7="P"),"Keep","Delete")</f>
        <v>#N/A</v>
      </c>
      <c r="M7" s="45" t="e">
        <f>IF(AND(AND($B7&lt;&gt;"SP",$B7&lt;&gt;"RP",$B7&lt;&gt;"CL"),$K7="B"),"Keep","Delete")</f>
        <v>#N/A</v>
      </c>
      <c r="N7" s="45" t="e">
        <f>IF(OR(L7="Delete",M7="Delete"),"Delete","Keep")</f>
        <v>#N/A</v>
      </c>
      <c r="O7" s="64" t="e">
        <f>VLOOKUP($A7,Bat!$A$4:$U$1738,O$2,FALSE)</f>
        <v>#N/A</v>
      </c>
      <c r="P7" s="64" t="e">
        <f>VLOOKUP($A7,Bat!$A$4:$U$1738,P$2,FALSE)</f>
        <v>#N/A</v>
      </c>
      <c r="Q7" s="64" t="e">
        <f>VLOOKUP($A7,Bat!$A$4:$U$1738,Q$2,FALSE)</f>
        <v>#N/A</v>
      </c>
      <c r="R7" s="64">
        <f>VLOOKUP($A7,Pit!$A$4:$U$1674,R$2,FALSE)</f>
        <v>4</v>
      </c>
      <c r="S7" s="64">
        <f>VLOOKUP($A7,Pit!$A$4:$U$1674,S$2,FALSE)</f>
        <v>2</v>
      </c>
      <c r="T7" s="64">
        <f>VLOOKUP($A7,Pit!$A$4:$U$1674,T$2,FALSE)</f>
        <v>3</v>
      </c>
    </row>
  </sheetData>
  <conditionalFormatting sqref="J4:J7">
    <cfRule type="colorScale" priority="19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766"/>
  <sheetViews>
    <sheetView workbookViewId="0">
      <pane xSplit="7" ySplit="4" topLeftCell="H5" activePane="bottomRight" state="frozenSplit"/>
      <selection pane="topRight" activeCell="H1" sqref="H1"/>
      <selection pane="bottomLeft" activeCell="A3" sqref="A3"/>
      <selection pane="bottomRight" activeCell="A4" sqref="A4:BB766"/>
    </sheetView>
  </sheetViews>
  <sheetFormatPr defaultRowHeight="15" x14ac:dyDescent="0.25"/>
  <cols>
    <col min="1" max="1" width="6.140625" customWidth="1"/>
    <col min="2" max="2" width="6.7109375" customWidth="1"/>
    <col min="3" max="3" width="12.42578125" bestFit="1" customWidth="1"/>
    <col min="4" max="4" width="14.42578125" bestFit="1" customWidth="1"/>
    <col min="5" max="5" width="6.5703125" customWidth="1"/>
    <col min="6" max="7" width="5.42578125" customWidth="1"/>
    <col min="8" max="8" width="6.7109375" style="3" customWidth="1"/>
    <col min="9" max="9" width="6.28515625" style="7" customWidth="1"/>
    <col min="10" max="10" width="6.140625" customWidth="1"/>
    <col min="11" max="11" width="6.140625" style="3" customWidth="1"/>
    <col min="12" max="14" width="5.42578125" hidden="1" customWidth="1"/>
    <col min="15" max="15" width="4.140625" hidden="1" customWidth="1"/>
    <col min="16" max="16" width="3.5703125" style="3" hidden="1" customWidth="1"/>
    <col min="17" max="17" width="8.7109375" customWidth="1"/>
    <col min="18" max="18" width="8.5703125" customWidth="1"/>
    <col min="19" max="19" width="9.28515625" customWidth="1"/>
    <col min="20" max="20" width="7.85546875" customWidth="1"/>
    <col min="21" max="21" width="5.85546875" style="3" customWidth="1"/>
    <col min="22" max="22" width="9.42578125" customWidth="1"/>
    <col min="23" max="23" width="10.28515625" customWidth="1"/>
    <col min="24" max="24" width="9" customWidth="1"/>
    <col min="25" max="25" width="7.7109375" style="3" customWidth="1"/>
    <col min="26" max="26" width="4.42578125" bestFit="1" customWidth="1"/>
    <col min="27" max="29" width="5.42578125" bestFit="1" customWidth="1"/>
    <col min="30" max="30" width="5.28515625" bestFit="1" customWidth="1"/>
    <col min="31" max="31" width="5.140625" bestFit="1" customWidth="1"/>
    <col min="32" max="32" width="5.42578125" bestFit="1" customWidth="1"/>
    <col min="33" max="33" width="5.42578125" style="3" bestFit="1" customWidth="1"/>
    <col min="34" max="34" width="6.28515625" customWidth="1"/>
    <col min="35" max="35" width="6.140625" customWidth="1"/>
    <col min="36" max="36" width="7.140625" style="3" customWidth="1"/>
    <col min="37" max="37" width="7.42578125" style="17" bestFit="1" customWidth="1"/>
    <col min="38" max="38" width="8.85546875" style="17" customWidth="1"/>
    <col min="39" max="41" width="9.140625" customWidth="1"/>
    <col min="42" max="42" width="9.140625" style="3" customWidth="1"/>
    <col min="44" max="44" width="9.140625" style="3"/>
    <col min="45" max="45" width="7.28515625" customWidth="1"/>
    <col min="46" max="46" width="6.5703125" bestFit="1" customWidth="1"/>
    <col min="47" max="47" width="6.28515625" bestFit="1" customWidth="1"/>
    <col min="48" max="48" width="9.28515625" bestFit="1" customWidth="1"/>
    <col min="50" max="50" width="12.42578125" customWidth="1"/>
    <col min="52" max="52" width="6.7109375" bestFit="1" customWidth="1"/>
    <col min="53" max="53" width="6.85546875" bestFit="1" customWidth="1"/>
  </cols>
  <sheetData>
    <row r="1" spans="1:54" x14ac:dyDescent="0.25">
      <c r="A1" s="32" t="s">
        <v>791</v>
      </c>
      <c r="B1" s="33">
        <f>'Draft List'!$B$2</f>
        <v>0</v>
      </c>
      <c r="P1" s="25" t="s">
        <v>304</v>
      </c>
      <c r="Q1" s="26">
        <v>4.728698379508625</v>
      </c>
      <c r="R1" s="26">
        <v>5.8180867746994247</v>
      </c>
      <c r="S1" s="26">
        <v>3.6194458964976475</v>
      </c>
      <c r="T1" s="26">
        <v>4.2420282279142709</v>
      </c>
      <c r="U1" s="27">
        <v>4.1787767903815993</v>
      </c>
      <c r="AV1">
        <f t="shared" ref="AV1" si="0">IF(AT1=9999,9999,MAX(30,(2-MIN(1.75,AP1))*(IF(I1="Low",10,IF(I1="Normal",3,0))+IF(J1="Low",15,IF(J1="Normal",5,0))+IF(K1="Low",15,IF(K1="Normal",5,0))+IF(E1&gt;19,50,0)+IF(AO1=0,20,IF(AO1&lt;3,10,IF(AO1&lt;5,5,0))))))</f>
        <v>30</v>
      </c>
    </row>
    <row r="2" spans="1:54" x14ac:dyDescent="0.25">
      <c r="A2" s="32" t="s">
        <v>792</v>
      </c>
      <c r="B2" s="33">
        <f>'Draft List'!$B$3</f>
        <v>0.2</v>
      </c>
      <c r="P2" s="25" t="s">
        <v>303</v>
      </c>
      <c r="Q2" s="26">
        <v>1.5197247217792171</v>
      </c>
      <c r="R2" s="26">
        <v>1.9200831732936996</v>
      </c>
      <c r="S2" s="26">
        <v>2.1245775832603435</v>
      </c>
      <c r="T2" s="26">
        <v>1.748562389191409</v>
      </c>
      <c r="U2" s="27">
        <v>1.9599836693593933</v>
      </c>
    </row>
    <row r="3" spans="1:54" x14ac:dyDescent="0.25">
      <c r="I3" s="7">
        <v>15</v>
      </c>
      <c r="J3">
        <f>IF('Draft List'!$B$2=1,50,15)</f>
        <v>15</v>
      </c>
      <c r="K3" s="3">
        <f>IF('Draft List'!$B$2=1,50,15)</f>
        <v>15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8">
        <f>U3</f>
        <v>4</v>
      </c>
      <c r="Q3">
        <v>25</v>
      </c>
      <c r="R3">
        <v>5</v>
      </c>
      <c r="S3">
        <v>9</v>
      </c>
      <c r="T3">
        <v>8</v>
      </c>
      <c r="U3" s="3">
        <v>4</v>
      </c>
      <c r="AM3">
        <v>0.1</v>
      </c>
      <c r="AN3">
        <v>12</v>
      </c>
      <c r="AO3">
        <f>1/6</f>
        <v>0.16666666666666666</v>
      </c>
      <c r="AP3" s="3">
        <v>1</v>
      </c>
      <c r="AU3">
        <f>MAX(AU5:AU274)+1</f>
        <v>1</v>
      </c>
      <c r="AY3">
        <v>23</v>
      </c>
      <c r="AZ3">
        <v>24</v>
      </c>
      <c r="BA3">
        <v>25</v>
      </c>
      <c r="BB3">
        <v>26</v>
      </c>
    </row>
    <row r="4" spans="1:54" s="1" customFormat="1" ht="30" x14ac:dyDescent="0.25">
      <c r="A4" s="34" t="s">
        <v>213</v>
      </c>
      <c r="B4" s="35" t="s">
        <v>0</v>
      </c>
      <c r="C4" s="35" t="s">
        <v>406</v>
      </c>
      <c r="D4" s="35" t="s">
        <v>407</v>
      </c>
      <c r="E4" s="35" t="s">
        <v>2</v>
      </c>
      <c r="F4" s="35" t="s">
        <v>3</v>
      </c>
      <c r="G4" s="35" t="s">
        <v>4</v>
      </c>
      <c r="H4" s="36" t="s">
        <v>5</v>
      </c>
      <c r="I4" s="37" t="s">
        <v>621</v>
      </c>
      <c r="J4" s="35" t="s">
        <v>6</v>
      </c>
      <c r="K4" s="36" t="s">
        <v>7</v>
      </c>
      <c r="L4" s="35" t="s">
        <v>10</v>
      </c>
      <c r="M4" s="35" t="s">
        <v>75</v>
      </c>
      <c r="N4" s="35" t="s">
        <v>76</v>
      </c>
      <c r="O4" s="35" t="s">
        <v>77</v>
      </c>
      <c r="P4" s="36" t="s">
        <v>78</v>
      </c>
      <c r="Q4" s="35" t="s">
        <v>13</v>
      </c>
      <c r="R4" s="35" t="s">
        <v>79</v>
      </c>
      <c r="S4" s="35" t="s">
        <v>80</v>
      </c>
      <c r="T4" s="35" t="s">
        <v>81</v>
      </c>
      <c r="U4" s="36" t="s">
        <v>82</v>
      </c>
      <c r="V4" s="35" t="s">
        <v>83</v>
      </c>
      <c r="W4" s="35" t="s">
        <v>84</v>
      </c>
      <c r="X4" s="36" t="s">
        <v>85</v>
      </c>
      <c r="Y4" s="36" t="s">
        <v>630</v>
      </c>
      <c r="Z4" s="35" t="s">
        <v>86</v>
      </c>
      <c r="AA4" s="35" t="s">
        <v>87</v>
      </c>
      <c r="AB4" s="35" t="s">
        <v>71</v>
      </c>
      <c r="AC4" s="35" t="s">
        <v>69</v>
      </c>
      <c r="AD4" s="35" t="s">
        <v>72</v>
      </c>
      <c r="AE4" s="35" t="s">
        <v>50</v>
      </c>
      <c r="AF4" s="35" t="s">
        <v>74</v>
      </c>
      <c r="AG4" s="36" t="s">
        <v>66</v>
      </c>
      <c r="AH4" s="35" t="s">
        <v>88</v>
      </c>
      <c r="AI4" s="35" t="s">
        <v>89</v>
      </c>
      <c r="AJ4" s="36" t="s">
        <v>90</v>
      </c>
      <c r="AK4" s="38" t="s">
        <v>41</v>
      </c>
      <c r="AL4" s="38" t="s">
        <v>631</v>
      </c>
      <c r="AM4" s="34" t="s">
        <v>91</v>
      </c>
      <c r="AN4" s="34" t="s">
        <v>991</v>
      </c>
      <c r="AO4" s="34" t="s">
        <v>992</v>
      </c>
      <c r="AP4" s="39" t="s">
        <v>121</v>
      </c>
      <c r="AQ4" s="34" t="s">
        <v>95</v>
      </c>
      <c r="AR4" s="39" t="s">
        <v>96</v>
      </c>
      <c r="AS4" s="34" t="s">
        <v>993</v>
      </c>
      <c r="AT4" s="34" t="s">
        <v>98</v>
      </c>
      <c r="AU4" s="34" t="s">
        <v>99</v>
      </c>
      <c r="AV4" s="34" t="s">
        <v>622</v>
      </c>
      <c r="AW4" s="34" t="s">
        <v>101</v>
      </c>
      <c r="AX4" s="34" t="s">
        <v>102</v>
      </c>
      <c r="AY4" s="34" t="s">
        <v>230</v>
      </c>
      <c r="AZ4" s="34" t="s">
        <v>231</v>
      </c>
      <c r="BA4" s="34" t="s">
        <v>232</v>
      </c>
      <c r="BB4" s="34" t="s">
        <v>233</v>
      </c>
    </row>
    <row r="5" spans="1:54" ht="15" customHeight="1" x14ac:dyDescent="0.25">
      <c r="A5" s="40">
        <v>20641</v>
      </c>
      <c r="B5" s="40" t="s">
        <v>71</v>
      </c>
      <c r="C5" s="40" t="s">
        <v>1157</v>
      </c>
      <c r="D5" s="40" t="s">
        <v>1158</v>
      </c>
      <c r="E5" s="40">
        <v>17</v>
      </c>
      <c r="F5" s="40" t="s">
        <v>42</v>
      </c>
      <c r="G5" s="40" t="s">
        <v>42</v>
      </c>
      <c r="H5" s="41" t="s">
        <v>632</v>
      </c>
      <c r="I5" s="65" t="s">
        <v>43</v>
      </c>
      <c r="J5" s="66" t="s">
        <v>43</v>
      </c>
      <c r="K5" s="67" t="s">
        <v>44</v>
      </c>
      <c r="L5" s="40">
        <v>1</v>
      </c>
      <c r="M5" s="40">
        <v>3</v>
      </c>
      <c r="N5" s="40">
        <v>4</v>
      </c>
      <c r="O5" s="40">
        <v>3</v>
      </c>
      <c r="P5" s="41">
        <v>2</v>
      </c>
      <c r="Q5" s="40">
        <v>6</v>
      </c>
      <c r="R5" s="40">
        <v>6</v>
      </c>
      <c r="S5" s="40">
        <v>7</v>
      </c>
      <c r="T5" s="40">
        <v>6</v>
      </c>
      <c r="U5" s="41">
        <v>5</v>
      </c>
      <c r="V5" s="40">
        <v>3</v>
      </c>
      <c r="W5" s="40">
        <v>2</v>
      </c>
      <c r="X5" s="40">
        <v>1</v>
      </c>
      <c r="Y5" s="41">
        <v>1</v>
      </c>
      <c r="Z5" s="40" t="s">
        <v>45</v>
      </c>
      <c r="AA5" s="40" t="s">
        <v>45</v>
      </c>
      <c r="AB5" s="40">
        <v>2</v>
      </c>
      <c r="AC5" s="40" t="s">
        <v>45</v>
      </c>
      <c r="AD5" s="40" t="s">
        <v>45</v>
      </c>
      <c r="AE5" s="40" t="s">
        <v>45</v>
      </c>
      <c r="AF5" s="40" t="s">
        <v>45</v>
      </c>
      <c r="AG5" s="41" t="s">
        <v>45</v>
      </c>
      <c r="AH5" s="40">
        <v>4</v>
      </c>
      <c r="AI5" s="40">
        <v>1</v>
      </c>
      <c r="AJ5" s="41">
        <v>1</v>
      </c>
      <c r="AK5" s="43" t="s">
        <v>1159</v>
      </c>
      <c r="AL5" s="43" t="s">
        <v>635</v>
      </c>
      <c r="AM5" s="44">
        <f t="shared" ref="AM5:AM68" si="1">($L$3*(L5-$Q$1)/$Q$2+$M$3*(M5-$R$1)/$R$2+$N$3*(N5-$S$1)/$S$2+$O$3*(O5-$T$1)/$T$2+$P$3*(P5-$U$1)/$U$2)/(SUM($L$3:$P$3))</f>
        <v>-1.5136036686822145</v>
      </c>
      <c r="AN5" s="44">
        <f t="shared" ref="AN5:AN68" si="2">($L$3*(Q5-$Q$1)/$Q$2+$M$3*(R5-$R$1)/$R$2+$N$3*(S5-$S$1)/$S$2+$O$3*(T5-$T$1)/$T$2+$P$3*(U5-$U$1)/$U$2)/(SUM($L$3:$P$3))</f>
        <v>0.89071730273896721</v>
      </c>
      <c r="AO5" s="45">
        <f t="shared" ref="AO5:AO68" si="3">IF(AVERAGE(AH5:AI5)&gt;9,1,0)+IF(AVERAGE(AH5:AI5)&gt;7,1,0)+IF(AH5&gt;7,1,0)+IF(AI5&gt;7,1,0)+IF(AJ5&gt;8,1,0)+IF(AJ5&gt;6,1,0)</f>
        <v>0</v>
      </c>
      <c r="AP5" s="46">
        <f t="shared" ref="AP5:AP68" si="4">MIN(2,IF(OR(Z5="-",X5&lt;5),0,1+IF(Y5&gt;7,0.35,IF(Y5&gt;5,0.1,0))+IF(Z5&gt;7,1+IF(X5&gt;7,0.25,0),IF(Z5&gt;4,0.5+IF(X5&gt;7,0.25,0),0+IF(X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0</v>
      </c>
      <c r="AQ5" s="44">
        <f>($AM$3*AM5+$AN$3*AN5+$AO$3*AO5+$AP$3*AP5)+$I$3*VLOOKUP(I5,COND!$A$2:$E$7,4,FALSE)+$J$3*VLOOKUP(J5,COND!$A$2:$C$7,2,FALSE)+$K$3*VLOOKUP(K5,COND!$A$2:$C$7,3,FALSE)+IF(AND($B$2&gt;0,$E5&lt;20),$B$2*25,0)</f>
        <v>60.237247265999386</v>
      </c>
      <c r="AR5" s="47">
        <f t="shared" ref="AR5:AR68" si="5">STANDARDIZE(AQ5,AVERAGE($AQ$5:$AQ$534),STDEVP($AQ$5:$AQ$534))</f>
        <v>3.5706555443616588</v>
      </c>
      <c r="AS5" s="45" t="str">
        <f t="shared" ref="AS5:AS68" si="6">IF(AND(Z5&lt;&gt;"-",Y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2B</v>
      </c>
      <c r="AT5" s="45">
        <f>RANK(Batters[[#This Row],[zScore]],Batters[[#All],[zScore]])</f>
        <v>1</v>
      </c>
      <c r="AU5" s="45"/>
      <c r="AV5" s="45"/>
      <c r="AW5" s="45" t="str">
        <f t="shared" ref="AW5:AW68" si="7">IF(AND($Q5&gt;=6,AVERAGE($S5:$T5)&gt;=6),"Likely",IF(OR($Q5&gt;6,AND($Q5=6,AVERAGE($S5:$T5)&gt;=3),AND($Q5&gt;=5,AVERAGE($S5:$T5)&gt;=5),AVERAGE($Q5,$S5:$T5)&gt;5),"Possible","Unlikely"))</f>
        <v>Likely</v>
      </c>
      <c r="AX5" s="45"/>
      <c r="AY5" s="45">
        <f>INDEX(Table5[[#All],[Ovr]],MATCH(Batters[[#This Row],[PID]],Table5[[#All],[PID]],0))</f>
        <v>15</v>
      </c>
      <c r="AZ5" s="45" t="str">
        <f>INDEX(Table5[[#All],[Rnd]],MATCH(Batters[[#This Row],[PID]],Table5[[#All],[PID]],0))</f>
        <v>1</v>
      </c>
      <c r="BA5" s="45">
        <f>INDEX(Table5[[#All],[Pick]],MATCH(Batters[[#This Row],[PID]],Table5[[#All],[PID]],0))</f>
        <v>15</v>
      </c>
      <c r="BB5" s="45" t="str">
        <f>INDEX(Table5[[#All],[Team]],MATCH(Batters[[#This Row],[PID]],Table5[[#All],[PID]],0))</f>
        <v>Yuma Arroyos</v>
      </c>
    </row>
    <row r="6" spans="1:54" ht="15" customHeight="1" x14ac:dyDescent="0.25">
      <c r="A6" s="40">
        <v>17912</v>
      </c>
      <c r="B6" s="40" t="s">
        <v>50</v>
      </c>
      <c r="C6" s="40" t="s">
        <v>1184</v>
      </c>
      <c r="D6" s="40" t="s">
        <v>360</v>
      </c>
      <c r="E6" s="40">
        <v>18</v>
      </c>
      <c r="F6" s="40" t="s">
        <v>53</v>
      </c>
      <c r="G6" s="40" t="s">
        <v>53</v>
      </c>
      <c r="H6" s="41" t="s">
        <v>633</v>
      </c>
      <c r="I6" s="65" t="s">
        <v>43</v>
      </c>
      <c r="J6" s="66" t="s">
        <v>43</v>
      </c>
      <c r="K6" s="67" t="s">
        <v>43</v>
      </c>
      <c r="L6" s="40">
        <v>2</v>
      </c>
      <c r="M6" s="40">
        <v>4</v>
      </c>
      <c r="N6" s="40">
        <v>4</v>
      </c>
      <c r="O6" s="40">
        <v>3</v>
      </c>
      <c r="P6" s="41">
        <v>3</v>
      </c>
      <c r="Q6" s="40">
        <v>6</v>
      </c>
      <c r="R6" s="40">
        <v>8</v>
      </c>
      <c r="S6" s="40">
        <v>7</v>
      </c>
      <c r="T6" s="40">
        <v>4</v>
      </c>
      <c r="U6" s="41">
        <v>5</v>
      </c>
      <c r="V6" s="40">
        <v>5</v>
      </c>
      <c r="W6" s="40">
        <v>8</v>
      </c>
      <c r="X6" s="40">
        <v>1</v>
      </c>
      <c r="Y6" s="41">
        <v>1</v>
      </c>
      <c r="Z6" s="40" t="s">
        <v>45</v>
      </c>
      <c r="AA6" s="40" t="s">
        <v>45</v>
      </c>
      <c r="AB6" s="40" t="s">
        <v>45</v>
      </c>
      <c r="AC6" s="40" t="s">
        <v>45</v>
      </c>
      <c r="AD6" s="40" t="s">
        <v>45</v>
      </c>
      <c r="AE6" s="40">
        <v>2</v>
      </c>
      <c r="AF6" s="40" t="s">
        <v>45</v>
      </c>
      <c r="AG6" s="41" t="s">
        <v>45</v>
      </c>
      <c r="AH6" s="40">
        <v>4</v>
      </c>
      <c r="AI6" s="40">
        <v>6</v>
      </c>
      <c r="AJ6" s="41">
        <v>5</v>
      </c>
      <c r="AK6" s="43" t="s">
        <v>794</v>
      </c>
      <c r="AL6" s="43" t="s">
        <v>47</v>
      </c>
      <c r="AM6" s="44">
        <f t="shared" si="1"/>
        <v>-1.0999716130437533</v>
      </c>
      <c r="AN6" s="44">
        <f t="shared" si="2"/>
        <v>0.81341796195721205</v>
      </c>
      <c r="AO6" s="45">
        <f t="shared" si="3"/>
        <v>0</v>
      </c>
      <c r="AP6" s="46">
        <f t="shared" si="4"/>
        <v>0</v>
      </c>
      <c r="AQ6" s="44">
        <f>($AM$3*AM6+$AN$3*AN6+$AO$3*AO6+$AP$3*AP6)+$I$3*VLOOKUP(I6,COND!$A$2:$E$7,4,FALSE)+$J$3*VLOOKUP(J6,COND!$A$2:$C$7,2,FALSE)+$K$3*VLOOKUP(K6,COND!$A$2:$C$7,3,FALSE)+IF(AND($B$2&gt;0,$E6&lt;20),$B$2*25,0)</f>
        <v>59.651018382182173</v>
      </c>
      <c r="AR6" s="47">
        <f t="shared" si="5"/>
        <v>3.4406846382798806</v>
      </c>
      <c r="AS6" s="45" t="str">
        <f t="shared" si="6"/>
        <v>LF</v>
      </c>
      <c r="AT6" s="45">
        <f>RANK(Batters[[#This Row],[zScore]],Batters[[#All],[zScore]])</f>
        <v>2</v>
      </c>
      <c r="AU6" s="45"/>
      <c r="AV6" s="45"/>
      <c r="AW6" s="45" t="str">
        <f t="shared" si="7"/>
        <v>Possible</v>
      </c>
      <c r="AX6" s="45"/>
      <c r="AY6" s="45">
        <f>INDEX(Table5[[#All],[Ovr]],MATCH(Batters[[#This Row],[PID]],Table5[[#All],[PID]],0))</f>
        <v>22</v>
      </c>
      <c r="AZ6" s="45" t="str">
        <f>INDEX(Table5[[#All],[Rnd]],MATCH(Batters[[#This Row],[PID]],Table5[[#All],[PID]],0))</f>
        <v>1</v>
      </c>
      <c r="BA6" s="45">
        <f>INDEX(Table5[[#All],[Pick]],MATCH(Batters[[#This Row],[PID]],Table5[[#All],[PID]],0))</f>
        <v>22</v>
      </c>
      <c r="BB6" s="45" t="str">
        <f>INDEX(Table5[[#All],[Team]],MATCH(Batters[[#This Row],[PID]],Table5[[#All],[PID]],0))</f>
        <v>Toyama Wind Dancers</v>
      </c>
    </row>
    <row r="7" spans="1:54" ht="15" customHeight="1" x14ac:dyDescent="0.25">
      <c r="A7" s="40">
        <v>18420</v>
      </c>
      <c r="B7" s="40" t="s">
        <v>74</v>
      </c>
      <c r="C7" s="40" t="s">
        <v>579</v>
      </c>
      <c r="D7" s="40" t="s">
        <v>1160</v>
      </c>
      <c r="E7" s="40">
        <v>18</v>
      </c>
      <c r="F7" s="40" t="s">
        <v>53</v>
      </c>
      <c r="G7" s="40" t="s">
        <v>53</v>
      </c>
      <c r="H7" s="41" t="s">
        <v>632</v>
      </c>
      <c r="I7" s="65" t="s">
        <v>43</v>
      </c>
      <c r="J7" s="66" t="s">
        <v>47</v>
      </c>
      <c r="K7" s="67" t="s">
        <v>43</v>
      </c>
      <c r="L7" s="40">
        <v>2</v>
      </c>
      <c r="M7" s="40">
        <v>4</v>
      </c>
      <c r="N7" s="40">
        <v>3</v>
      </c>
      <c r="O7" s="40">
        <v>2</v>
      </c>
      <c r="P7" s="41">
        <v>2</v>
      </c>
      <c r="Q7" s="40">
        <v>6</v>
      </c>
      <c r="R7" s="40">
        <v>6</v>
      </c>
      <c r="S7" s="40">
        <v>6</v>
      </c>
      <c r="T7" s="40">
        <v>4</v>
      </c>
      <c r="U7" s="41">
        <v>5</v>
      </c>
      <c r="V7" s="40">
        <v>2</v>
      </c>
      <c r="W7" s="40">
        <v>5</v>
      </c>
      <c r="X7" s="40">
        <v>1</v>
      </c>
      <c r="Y7" s="41">
        <v>1</v>
      </c>
      <c r="Z7" s="40" t="s">
        <v>45</v>
      </c>
      <c r="AA7" s="40" t="s">
        <v>45</v>
      </c>
      <c r="AB7" s="40" t="s">
        <v>45</v>
      </c>
      <c r="AC7" s="40" t="s">
        <v>45</v>
      </c>
      <c r="AD7" s="40" t="s">
        <v>45</v>
      </c>
      <c r="AE7" s="40" t="s">
        <v>45</v>
      </c>
      <c r="AF7" s="40">
        <v>6</v>
      </c>
      <c r="AG7" s="41" t="s">
        <v>45</v>
      </c>
      <c r="AH7" s="40">
        <v>10</v>
      </c>
      <c r="AI7" s="40">
        <v>7</v>
      </c>
      <c r="AJ7" s="41">
        <v>9</v>
      </c>
      <c r="AK7" s="43" t="s">
        <v>414</v>
      </c>
      <c r="AL7" s="43" t="s">
        <v>47</v>
      </c>
      <c r="AM7" s="44">
        <f t="shared" si="1"/>
        <v>-1.3127589968943192</v>
      </c>
      <c r="AN7" s="44">
        <f t="shared" si="2"/>
        <v>0.62823670869590353</v>
      </c>
      <c r="AO7" s="45">
        <f t="shared" si="3"/>
        <v>4</v>
      </c>
      <c r="AP7" s="46">
        <f t="shared" si="4"/>
        <v>0.75</v>
      </c>
      <c r="AQ7" s="44">
        <f>($AM$3*AM7+$AN$3*AN7+$AO$3*AO7+$AP$3*AP7)+$I$3*VLOOKUP(I7,COND!$A$2:$E$7,4,FALSE)+$J$3*VLOOKUP(J7,COND!$A$2:$C$7,2,FALSE)+$K$3*VLOOKUP(K7,COND!$A$2:$C$7,3,FALSE)+IF(AND($B$2&gt;0,$E7&lt;20),$B$2*25,0)</f>
        <v>59.124231271328078</v>
      </c>
      <c r="AR7" s="47">
        <f t="shared" si="5"/>
        <v>3.3238923750531217</v>
      </c>
      <c r="AS7" s="45" t="str">
        <f t="shared" si="6"/>
        <v>CF</v>
      </c>
      <c r="AT7" s="45">
        <f>RANK(Batters[[#This Row],[zScore]],Batters[[#All],[zScore]])</f>
        <v>3</v>
      </c>
      <c r="AU7" s="45"/>
      <c r="AV7" s="45"/>
      <c r="AW7" s="45" t="str">
        <f t="shared" si="7"/>
        <v>Possible</v>
      </c>
      <c r="AX7" s="45"/>
      <c r="AY7" s="45">
        <f>INDEX(Table5[[#All],[Ovr]],MATCH(Batters[[#This Row],[PID]],Table5[[#All],[PID]],0))</f>
        <v>8</v>
      </c>
      <c r="AZ7" s="45" t="str">
        <f>INDEX(Table5[[#All],[Rnd]],MATCH(Batters[[#This Row],[PID]],Table5[[#All],[PID]],0))</f>
        <v>1</v>
      </c>
      <c r="BA7" s="45">
        <f>INDEX(Table5[[#All],[Pick]],MATCH(Batters[[#This Row],[PID]],Table5[[#All],[PID]],0))</f>
        <v>8</v>
      </c>
      <c r="BB7" s="45" t="str">
        <f>INDEX(Table5[[#All],[Team]],MATCH(Batters[[#This Row],[PID]],Table5[[#All],[PID]],0))</f>
        <v>London Underground</v>
      </c>
    </row>
    <row r="8" spans="1:54" ht="15" customHeight="1" x14ac:dyDescent="0.25">
      <c r="A8" s="40">
        <v>18108</v>
      </c>
      <c r="B8" s="40" t="s">
        <v>66</v>
      </c>
      <c r="C8" s="40" t="s">
        <v>333</v>
      </c>
      <c r="D8" s="40" t="s">
        <v>1068</v>
      </c>
      <c r="E8" s="40">
        <v>21</v>
      </c>
      <c r="F8" s="40" t="s">
        <v>53</v>
      </c>
      <c r="G8" s="40" t="s">
        <v>53</v>
      </c>
      <c r="H8" s="41" t="s">
        <v>633</v>
      </c>
      <c r="I8" s="65" t="s">
        <v>43</v>
      </c>
      <c r="J8" s="66" t="s">
        <v>47</v>
      </c>
      <c r="K8" s="67" t="s">
        <v>43</v>
      </c>
      <c r="L8" s="40">
        <v>4</v>
      </c>
      <c r="M8" s="40">
        <v>5</v>
      </c>
      <c r="N8" s="40">
        <v>5</v>
      </c>
      <c r="O8" s="40">
        <v>3</v>
      </c>
      <c r="P8" s="41">
        <v>4</v>
      </c>
      <c r="Q8" s="40">
        <v>7</v>
      </c>
      <c r="R8" s="40">
        <v>7</v>
      </c>
      <c r="S8" s="40">
        <v>7</v>
      </c>
      <c r="T8" s="40">
        <v>4</v>
      </c>
      <c r="U8" s="41">
        <v>6</v>
      </c>
      <c r="V8" s="40">
        <v>6</v>
      </c>
      <c r="W8" s="40">
        <v>7</v>
      </c>
      <c r="X8" s="40">
        <v>1</v>
      </c>
      <c r="Y8" s="41">
        <v>1</v>
      </c>
      <c r="Z8" s="40" t="s">
        <v>45</v>
      </c>
      <c r="AA8" s="40" t="s">
        <v>45</v>
      </c>
      <c r="AB8" s="40" t="s">
        <v>45</v>
      </c>
      <c r="AC8" s="40" t="s">
        <v>45</v>
      </c>
      <c r="AD8" s="40" t="s">
        <v>45</v>
      </c>
      <c r="AE8" s="40">
        <v>2</v>
      </c>
      <c r="AF8" s="40" t="s">
        <v>45</v>
      </c>
      <c r="AG8" s="41">
        <v>4</v>
      </c>
      <c r="AH8" s="40">
        <v>4</v>
      </c>
      <c r="AI8" s="40">
        <v>2</v>
      </c>
      <c r="AJ8" s="41">
        <v>3</v>
      </c>
      <c r="AK8" s="43" t="s">
        <v>1190</v>
      </c>
      <c r="AL8" s="43" t="s">
        <v>635</v>
      </c>
      <c r="AM8" s="44">
        <f t="shared" si="1"/>
        <v>-0.28072222717871542</v>
      </c>
      <c r="AN8" s="44">
        <f t="shared" si="2"/>
        <v>1.1249302583582668</v>
      </c>
      <c r="AO8" s="45">
        <f t="shared" si="3"/>
        <v>0</v>
      </c>
      <c r="AP8" s="46">
        <f t="shared" si="4"/>
        <v>0</v>
      </c>
      <c r="AQ8" s="44">
        <f>($AM$3*AM8+$AN$3*AN8+$AO$3*AO8+$AP$3*AP8)+$I$3*VLOOKUP(I8,COND!$A$2:$E$7,4,FALSE)+$J$3*VLOOKUP(J8,COND!$A$2:$C$7,2,FALSE)+$K$3*VLOOKUP(K8,COND!$A$2:$C$7,3,FALSE)+IF(AND($B$2&gt;0,$E8&lt;20),$B$2*25,0)</f>
        <v>58.771090877581329</v>
      </c>
      <c r="AR8" s="47">
        <f t="shared" si="5"/>
        <v>3.2455987627519378</v>
      </c>
      <c r="AS8" s="45" t="str">
        <f t="shared" si="6"/>
        <v>RF</v>
      </c>
      <c r="AT8" s="45">
        <f>RANK(Batters[[#This Row],[zScore]],Batters[[#All],[zScore]])</f>
        <v>4</v>
      </c>
      <c r="AU8" s="45"/>
      <c r="AV8" s="45"/>
      <c r="AW8" s="45" t="str">
        <f t="shared" si="7"/>
        <v>Possible</v>
      </c>
      <c r="AX8" s="45"/>
      <c r="AY8" s="45">
        <f>INDEX(Table5[[#All],[Ovr]],MATCH(Batters[[#This Row],[PID]],Table5[[#All],[PID]],0))</f>
        <v>17</v>
      </c>
      <c r="AZ8" s="45" t="str">
        <f>INDEX(Table5[[#All],[Rnd]],MATCH(Batters[[#This Row],[PID]],Table5[[#All],[PID]],0))</f>
        <v>1</v>
      </c>
      <c r="BA8" s="45">
        <f>INDEX(Table5[[#All],[Pick]],MATCH(Batters[[#This Row],[PID]],Table5[[#All],[PID]],0))</f>
        <v>17</v>
      </c>
      <c r="BB8" s="45" t="str">
        <f>INDEX(Table5[[#All],[Team]],MATCH(Batters[[#This Row],[PID]],Table5[[#All],[PID]],0))</f>
        <v>West Virginia Alleghenies</v>
      </c>
    </row>
    <row r="9" spans="1:54" ht="15" customHeight="1" x14ac:dyDescent="0.25">
      <c r="A9" s="40">
        <v>18256</v>
      </c>
      <c r="B9" s="40" t="s">
        <v>87</v>
      </c>
      <c r="C9" s="40" t="s">
        <v>1348</v>
      </c>
      <c r="D9" s="40" t="s">
        <v>331</v>
      </c>
      <c r="E9" s="40">
        <v>18</v>
      </c>
      <c r="F9" s="40" t="s">
        <v>53</v>
      </c>
      <c r="G9" s="40" t="s">
        <v>53</v>
      </c>
      <c r="H9" s="41" t="s">
        <v>634</v>
      </c>
      <c r="I9" s="65" t="s">
        <v>43</v>
      </c>
      <c r="J9" s="66" t="s">
        <v>43</v>
      </c>
      <c r="K9" s="67" t="s">
        <v>43</v>
      </c>
      <c r="L9" s="40">
        <v>1</v>
      </c>
      <c r="M9" s="40">
        <v>3</v>
      </c>
      <c r="N9" s="40">
        <v>2</v>
      </c>
      <c r="O9" s="40">
        <v>2</v>
      </c>
      <c r="P9" s="41">
        <v>2</v>
      </c>
      <c r="Q9" s="40">
        <v>6</v>
      </c>
      <c r="R9" s="40">
        <v>7</v>
      </c>
      <c r="S9" s="40">
        <v>4</v>
      </c>
      <c r="T9" s="40">
        <v>4</v>
      </c>
      <c r="U9" s="41">
        <v>7</v>
      </c>
      <c r="V9" s="40">
        <v>2</v>
      </c>
      <c r="W9" s="40">
        <v>2</v>
      </c>
      <c r="X9" s="40">
        <v>1</v>
      </c>
      <c r="Y9" s="41">
        <v>1</v>
      </c>
      <c r="Z9" s="40" t="s">
        <v>45</v>
      </c>
      <c r="AA9" s="40">
        <v>3</v>
      </c>
      <c r="AB9" s="40" t="s">
        <v>45</v>
      </c>
      <c r="AC9" s="40" t="s">
        <v>45</v>
      </c>
      <c r="AD9" s="40" t="s">
        <v>45</v>
      </c>
      <c r="AE9" s="40" t="s">
        <v>45</v>
      </c>
      <c r="AF9" s="40" t="s">
        <v>45</v>
      </c>
      <c r="AG9" s="41" t="s">
        <v>45</v>
      </c>
      <c r="AH9" s="40">
        <v>3</v>
      </c>
      <c r="AI9" s="40">
        <v>2</v>
      </c>
      <c r="AJ9" s="41">
        <v>1</v>
      </c>
      <c r="AK9" s="43" t="s">
        <v>554</v>
      </c>
      <c r="AL9" s="43" t="s">
        <v>47</v>
      </c>
      <c r="AM9" s="44">
        <f t="shared" si="1"/>
        <v>-1.7694362067395988</v>
      </c>
      <c r="AN9" s="44">
        <f t="shared" si="2"/>
        <v>0.59320627990097086</v>
      </c>
      <c r="AO9" s="45">
        <f t="shared" si="3"/>
        <v>0</v>
      </c>
      <c r="AP9" s="46">
        <f t="shared" si="4"/>
        <v>0</v>
      </c>
      <c r="AQ9" s="44">
        <f>($AM$3*AM9+$AN$3*AN9+$AO$3*AO9+$AP$3*AP9)+$I$3*VLOOKUP(I9,COND!$A$2:$E$7,4,FALSE)+$J$3*VLOOKUP(J9,COND!$A$2:$C$7,2,FALSE)+$K$3*VLOOKUP(K9,COND!$A$2:$C$7,3,FALSE)+IF(AND($B$2&gt;0,$E9&lt;20),$B$2*25,0)</f>
        <v>56.941531738137691</v>
      </c>
      <c r="AR9" s="47">
        <f t="shared" si="5"/>
        <v>2.8399731348652177</v>
      </c>
      <c r="AS9" s="45" t="str">
        <f t="shared" si="6"/>
        <v>1B</v>
      </c>
      <c r="AT9" s="45">
        <f>RANK(Batters[[#This Row],[zScore]],Batters[[#All],[zScore]])</f>
        <v>5</v>
      </c>
      <c r="AU9" s="45"/>
      <c r="AV9" s="45"/>
      <c r="AW9" s="45" t="str">
        <f t="shared" si="7"/>
        <v>Possible</v>
      </c>
      <c r="AX9" s="45"/>
      <c r="AY9" s="45">
        <f>INDEX(Table5[[#All],[Ovr]],MATCH(Batters[[#This Row],[PID]],Table5[[#All],[PID]],0))</f>
        <v>37</v>
      </c>
      <c r="AZ9" s="45" t="str">
        <f>INDEX(Table5[[#All],[Rnd]],MATCH(Batters[[#This Row],[PID]],Table5[[#All],[PID]],0))</f>
        <v>2</v>
      </c>
      <c r="BA9" s="45">
        <f>INDEX(Table5[[#All],[Pick]],MATCH(Batters[[#This Row],[PID]],Table5[[#All],[PID]],0))</f>
        <v>2</v>
      </c>
      <c r="BB9" s="45" t="str">
        <f>INDEX(Table5[[#All],[Team]],MATCH(Batters[[#This Row],[PID]],Table5[[#All],[PID]],0))</f>
        <v>Bakersfield Bears</v>
      </c>
    </row>
    <row r="10" spans="1:54" ht="15" customHeight="1" x14ac:dyDescent="0.25">
      <c r="A10" s="40">
        <v>20969</v>
      </c>
      <c r="B10" s="40" t="s">
        <v>50</v>
      </c>
      <c r="C10" s="40" t="s">
        <v>183</v>
      </c>
      <c r="D10" s="40" t="s">
        <v>1195</v>
      </c>
      <c r="E10" s="40">
        <v>18</v>
      </c>
      <c r="F10" s="40" t="s">
        <v>42</v>
      </c>
      <c r="G10" s="40" t="s">
        <v>42</v>
      </c>
      <c r="H10" s="41" t="s">
        <v>633</v>
      </c>
      <c r="I10" s="65" t="s">
        <v>43</v>
      </c>
      <c r="J10" s="66" t="s">
        <v>47</v>
      </c>
      <c r="K10" s="67" t="s">
        <v>43</v>
      </c>
      <c r="L10" s="40">
        <v>1</v>
      </c>
      <c r="M10" s="40">
        <v>2</v>
      </c>
      <c r="N10" s="40">
        <v>3</v>
      </c>
      <c r="O10" s="40">
        <v>2</v>
      </c>
      <c r="P10" s="41">
        <v>2</v>
      </c>
      <c r="Q10" s="40">
        <v>5</v>
      </c>
      <c r="R10" s="40">
        <v>6</v>
      </c>
      <c r="S10" s="40">
        <v>8</v>
      </c>
      <c r="T10" s="40">
        <v>5</v>
      </c>
      <c r="U10" s="41">
        <v>5</v>
      </c>
      <c r="V10" s="40">
        <v>5</v>
      </c>
      <c r="W10" s="40">
        <v>7</v>
      </c>
      <c r="X10" s="40">
        <v>1</v>
      </c>
      <c r="Y10" s="41">
        <v>1</v>
      </c>
      <c r="Z10" s="40" t="s">
        <v>45</v>
      </c>
      <c r="AA10" s="40" t="s">
        <v>45</v>
      </c>
      <c r="AB10" s="40" t="s">
        <v>45</v>
      </c>
      <c r="AC10" s="40" t="s">
        <v>45</v>
      </c>
      <c r="AD10" s="40" t="s">
        <v>45</v>
      </c>
      <c r="AE10" s="40">
        <v>1</v>
      </c>
      <c r="AF10" s="40" t="s">
        <v>45</v>
      </c>
      <c r="AG10" s="41">
        <v>2</v>
      </c>
      <c r="AH10" s="40">
        <v>6</v>
      </c>
      <c r="AI10" s="40">
        <v>5</v>
      </c>
      <c r="AJ10" s="41">
        <v>4</v>
      </c>
      <c r="AK10" s="43" t="s">
        <v>578</v>
      </c>
      <c r="AL10" s="43" t="s">
        <v>635</v>
      </c>
      <c r="AM10" s="44">
        <f t="shared" si="1"/>
        <v>-1.7374345923344008</v>
      </c>
      <c r="AN10" s="44">
        <f t="shared" si="2"/>
        <v>0.56151341055061288</v>
      </c>
      <c r="AO10" s="45">
        <f t="shared" si="3"/>
        <v>0</v>
      </c>
      <c r="AP10" s="46">
        <f t="shared" si="4"/>
        <v>0</v>
      </c>
      <c r="AQ10" s="44">
        <f>($AM$3*AM10+$AN$3*AN10+$AO$3*AO10+$AP$3*AP10)+$I$3*VLOOKUP(I10,COND!$A$2:$E$7,4,FALSE)+$J$3*VLOOKUP(J10,COND!$A$2:$C$7,2,FALSE)+$K$3*VLOOKUP(K10,COND!$A$2:$C$7,3,FALSE)+IF(AND($B$2&gt;0,$E10&lt;20),$B$2*25,0)</f>
        <v>56.864417467373912</v>
      </c>
      <c r="AR10" s="47">
        <f t="shared" si="5"/>
        <v>2.8228763797927927</v>
      </c>
      <c r="AS10" s="45" t="str">
        <f t="shared" si="6"/>
        <v>RF</v>
      </c>
      <c r="AT10" s="45">
        <f>RANK(Batters[[#This Row],[zScore]],Batters[[#All],[zScore]])</f>
        <v>6</v>
      </c>
      <c r="AU10" s="45"/>
      <c r="AV10" s="45"/>
      <c r="AW10" s="45" t="str">
        <f t="shared" si="7"/>
        <v>Possible</v>
      </c>
      <c r="AX10" s="45"/>
      <c r="AY10" s="45">
        <f>INDEX(Table5[[#All],[Ovr]],MATCH(Batters[[#This Row],[PID]],Table5[[#All],[PID]],0))</f>
        <v>51</v>
      </c>
      <c r="AZ10" s="45" t="str">
        <f>INDEX(Table5[[#All],[Rnd]],MATCH(Batters[[#This Row],[PID]],Table5[[#All],[PID]],0))</f>
        <v>2</v>
      </c>
      <c r="BA10" s="45">
        <f>INDEX(Table5[[#All],[Pick]],MATCH(Batters[[#This Row],[PID]],Table5[[#All],[PID]],0))</f>
        <v>16</v>
      </c>
      <c r="BB10" s="45" t="str">
        <f>INDEX(Table5[[#All],[Team]],MATCH(Batters[[#This Row],[PID]],Table5[[#All],[PID]],0))</f>
        <v>West Virginia Alleghenies</v>
      </c>
    </row>
    <row r="11" spans="1:54" ht="15" customHeight="1" x14ac:dyDescent="0.25">
      <c r="A11" s="40">
        <v>18387</v>
      </c>
      <c r="B11" s="40" t="s">
        <v>87</v>
      </c>
      <c r="C11" s="40" t="s">
        <v>905</v>
      </c>
      <c r="D11" s="40" t="s">
        <v>1208</v>
      </c>
      <c r="E11" s="40">
        <v>18</v>
      </c>
      <c r="F11" s="40" t="s">
        <v>53</v>
      </c>
      <c r="G11" s="40" t="s">
        <v>42</v>
      </c>
      <c r="H11" s="41" t="s">
        <v>633</v>
      </c>
      <c r="I11" s="65" t="s">
        <v>43</v>
      </c>
      <c r="J11" s="66" t="s">
        <v>43</v>
      </c>
      <c r="K11" s="67" t="s">
        <v>44</v>
      </c>
      <c r="L11" s="40">
        <v>2</v>
      </c>
      <c r="M11" s="40">
        <v>2</v>
      </c>
      <c r="N11" s="40">
        <v>4</v>
      </c>
      <c r="O11" s="40">
        <v>2</v>
      </c>
      <c r="P11" s="41">
        <v>3</v>
      </c>
      <c r="Q11" s="40">
        <v>5</v>
      </c>
      <c r="R11" s="40">
        <v>6</v>
      </c>
      <c r="S11" s="40">
        <v>8</v>
      </c>
      <c r="T11" s="40">
        <v>5</v>
      </c>
      <c r="U11" s="41">
        <v>6</v>
      </c>
      <c r="V11" s="40">
        <v>2</v>
      </c>
      <c r="W11" s="40">
        <v>2</v>
      </c>
      <c r="X11" s="40">
        <v>1</v>
      </c>
      <c r="Y11" s="41">
        <v>1</v>
      </c>
      <c r="Z11" s="40" t="s">
        <v>45</v>
      </c>
      <c r="AA11" s="40">
        <v>2</v>
      </c>
      <c r="AB11" s="40" t="s">
        <v>45</v>
      </c>
      <c r="AC11" s="40" t="s">
        <v>45</v>
      </c>
      <c r="AD11" s="40" t="s">
        <v>45</v>
      </c>
      <c r="AE11" s="40" t="s">
        <v>45</v>
      </c>
      <c r="AF11" s="40" t="s">
        <v>45</v>
      </c>
      <c r="AG11" s="41" t="s">
        <v>45</v>
      </c>
      <c r="AH11" s="40">
        <v>1</v>
      </c>
      <c r="AI11" s="40">
        <v>2</v>
      </c>
      <c r="AJ11" s="41">
        <v>1</v>
      </c>
      <c r="AK11" s="43" t="s">
        <v>412</v>
      </c>
      <c r="AL11" s="43" t="s">
        <v>47</v>
      </c>
      <c r="AM11" s="44">
        <f t="shared" si="1"/>
        <v>-1.2918009222907414</v>
      </c>
      <c r="AN11" s="44">
        <f t="shared" si="2"/>
        <v>0.60152975036769629</v>
      </c>
      <c r="AO11" s="45">
        <f t="shared" si="3"/>
        <v>0</v>
      </c>
      <c r="AP11" s="46">
        <f t="shared" si="4"/>
        <v>0</v>
      </c>
      <c r="AQ11" s="44">
        <f>($AM$3*AM11+$AN$3*AN11+$AO$3*AO11+$AP$3*AP11)+$I$3*VLOOKUP(I11,COND!$A$2:$E$7,4,FALSE)+$J$3*VLOOKUP(J11,COND!$A$2:$C$7,2,FALSE)+$K$3*VLOOKUP(K11,COND!$A$2:$C$7,3,FALSE)+IF(AND($B$2&gt;0,$E11&lt;20),$B$2*25,0)</f>
        <v>56.789176912183279</v>
      </c>
      <c r="AR11" s="47">
        <f t="shared" si="5"/>
        <v>2.8061950401280762</v>
      </c>
      <c r="AS11" s="45" t="str">
        <f t="shared" si="6"/>
        <v>1B</v>
      </c>
      <c r="AT11" s="45">
        <f>RANK(Batters[[#This Row],[zScore]],Batters[[#All],[zScore]])</f>
        <v>7</v>
      </c>
      <c r="AU11" s="45"/>
      <c r="AV11" s="45"/>
      <c r="AW11" s="45" t="str">
        <f t="shared" si="7"/>
        <v>Possible</v>
      </c>
      <c r="AX11" s="45"/>
      <c r="AY11" s="45">
        <f>INDEX(Table5[[#All],[Ovr]],MATCH(Batters[[#This Row],[PID]],Table5[[#All],[PID]],0))</f>
        <v>28</v>
      </c>
      <c r="AZ11" s="45" t="str">
        <f>INDEX(Table5[[#All],[Rnd]],MATCH(Batters[[#This Row],[PID]],Table5[[#All],[PID]],0))</f>
        <v>S1</v>
      </c>
      <c r="BA11" s="45">
        <f>INDEX(Table5[[#All],[Pick]],MATCH(Batters[[#This Row],[PID]],Table5[[#All],[PID]],0))</f>
        <v>1</v>
      </c>
      <c r="BB11" s="45" t="str">
        <f>INDEX(Table5[[#All],[Team]],MATCH(Batters[[#This Row],[PID]],Table5[[#All],[PID]],0))</f>
        <v>Bakersfield Bears</v>
      </c>
    </row>
    <row r="12" spans="1:54" ht="15" customHeight="1" x14ac:dyDescent="0.25">
      <c r="A12" s="40">
        <v>18445</v>
      </c>
      <c r="B12" s="40" t="s">
        <v>69</v>
      </c>
      <c r="C12" s="40" t="s">
        <v>431</v>
      </c>
      <c r="D12" s="40" t="s">
        <v>1172</v>
      </c>
      <c r="E12" s="40">
        <v>18</v>
      </c>
      <c r="F12" s="40" t="s">
        <v>42</v>
      </c>
      <c r="G12" s="40" t="s">
        <v>42</v>
      </c>
      <c r="H12" s="41" t="s">
        <v>633</v>
      </c>
      <c r="I12" s="65" t="s">
        <v>43</v>
      </c>
      <c r="J12" s="66" t="s">
        <v>43</v>
      </c>
      <c r="K12" s="67" t="s">
        <v>43</v>
      </c>
      <c r="L12" s="40">
        <v>1</v>
      </c>
      <c r="M12" s="40">
        <v>2</v>
      </c>
      <c r="N12" s="40">
        <v>3</v>
      </c>
      <c r="O12" s="40">
        <v>3</v>
      </c>
      <c r="P12" s="41">
        <v>1</v>
      </c>
      <c r="Q12" s="40">
        <v>5</v>
      </c>
      <c r="R12" s="40">
        <v>5</v>
      </c>
      <c r="S12" s="40">
        <v>8</v>
      </c>
      <c r="T12" s="40">
        <v>6</v>
      </c>
      <c r="U12" s="41">
        <v>4</v>
      </c>
      <c r="V12" s="40">
        <v>9</v>
      </c>
      <c r="W12" s="40">
        <v>8</v>
      </c>
      <c r="X12" s="40">
        <v>1</v>
      </c>
      <c r="Y12" s="41">
        <v>1</v>
      </c>
      <c r="Z12" s="40" t="s">
        <v>45</v>
      </c>
      <c r="AA12" s="40" t="s">
        <v>45</v>
      </c>
      <c r="AB12" s="40" t="s">
        <v>45</v>
      </c>
      <c r="AC12" s="40">
        <v>2</v>
      </c>
      <c r="AD12" s="40" t="s">
        <v>45</v>
      </c>
      <c r="AE12" s="40" t="s">
        <v>45</v>
      </c>
      <c r="AF12" s="40" t="s">
        <v>45</v>
      </c>
      <c r="AG12" s="41" t="s">
        <v>45</v>
      </c>
      <c r="AH12" s="40">
        <v>1</v>
      </c>
      <c r="AI12" s="40">
        <v>1</v>
      </c>
      <c r="AJ12" s="41">
        <v>1</v>
      </c>
      <c r="AK12" s="43" t="s">
        <v>560</v>
      </c>
      <c r="AL12" s="43" t="s">
        <v>635</v>
      </c>
      <c r="AM12" s="44">
        <f t="shared" si="1"/>
        <v>-1.6877413821419032</v>
      </c>
      <c r="AN12" s="44">
        <f t="shared" si="2"/>
        <v>0.56014674112440688</v>
      </c>
      <c r="AO12" s="45">
        <f t="shared" si="3"/>
        <v>0</v>
      </c>
      <c r="AP12" s="46">
        <f t="shared" si="4"/>
        <v>0</v>
      </c>
      <c r="AQ12" s="44">
        <f>($AM$3*AM12+$AN$3*AN12+$AO$3*AO12+$AP$3*AP12)+$I$3*VLOOKUP(I12,COND!$A$2:$E$7,4,FALSE)+$J$3*VLOOKUP(J12,COND!$A$2:$C$7,2,FALSE)+$K$3*VLOOKUP(K12,COND!$A$2:$C$7,3,FALSE)+IF(AND($B$2&gt;0,$E12&lt;20),$B$2*25,0)</f>
        <v>56.552986755278695</v>
      </c>
      <c r="AR12" s="47">
        <f t="shared" si="5"/>
        <v>2.7538300858450357</v>
      </c>
      <c r="AS12" s="45" t="str">
        <f t="shared" si="6"/>
        <v>3B</v>
      </c>
      <c r="AT12" s="45">
        <f>RANK(Batters[[#This Row],[zScore]],Batters[[#All],[zScore]])</f>
        <v>8</v>
      </c>
      <c r="AU12" s="45"/>
      <c r="AV12" s="45"/>
      <c r="AW12" s="45" t="str">
        <f t="shared" si="7"/>
        <v>Possible</v>
      </c>
      <c r="AX12" s="45"/>
      <c r="AY12" s="45">
        <f>INDEX(Table5[[#All],[Ovr]],MATCH(Batters[[#This Row],[PID]],Table5[[#All],[PID]],0))</f>
        <v>19</v>
      </c>
      <c r="AZ12" s="45" t="str">
        <f>INDEX(Table5[[#All],[Rnd]],MATCH(Batters[[#This Row],[PID]],Table5[[#All],[PID]],0))</f>
        <v>1</v>
      </c>
      <c r="BA12" s="45">
        <f>INDEX(Table5[[#All],[Pick]],MATCH(Batters[[#This Row],[PID]],Table5[[#All],[PID]],0))</f>
        <v>19</v>
      </c>
      <c r="BB12" s="45" t="str">
        <f>INDEX(Table5[[#All],[Team]],MATCH(Batters[[#This Row],[PID]],Table5[[#All],[PID]],0))</f>
        <v>Florida Farstriders</v>
      </c>
    </row>
    <row r="13" spans="1:54" ht="15" customHeight="1" x14ac:dyDescent="0.25">
      <c r="A13" s="40">
        <v>18395</v>
      </c>
      <c r="B13" s="40" t="s">
        <v>66</v>
      </c>
      <c r="C13" s="40" t="s">
        <v>613</v>
      </c>
      <c r="D13" s="40" t="s">
        <v>1365</v>
      </c>
      <c r="E13" s="40">
        <v>18</v>
      </c>
      <c r="F13" s="40" t="s">
        <v>53</v>
      </c>
      <c r="G13" s="40" t="s">
        <v>53</v>
      </c>
      <c r="H13" s="41" t="s">
        <v>634</v>
      </c>
      <c r="I13" s="65" t="s">
        <v>43</v>
      </c>
      <c r="J13" s="66" t="s">
        <v>43</v>
      </c>
      <c r="K13" s="67" t="s">
        <v>47</v>
      </c>
      <c r="L13" s="40">
        <v>2</v>
      </c>
      <c r="M13" s="40">
        <v>3</v>
      </c>
      <c r="N13" s="40">
        <v>3</v>
      </c>
      <c r="O13" s="40">
        <v>2</v>
      </c>
      <c r="P13" s="41">
        <v>3</v>
      </c>
      <c r="Q13" s="40">
        <v>5</v>
      </c>
      <c r="R13" s="40">
        <v>6</v>
      </c>
      <c r="S13" s="40">
        <v>6</v>
      </c>
      <c r="T13" s="40">
        <v>5</v>
      </c>
      <c r="U13" s="41">
        <v>6</v>
      </c>
      <c r="V13" s="40">
        <v>5</v>
      </c>
      <c r="W13" s="40">
        <v>7</v>
      </c>
      <c r="X13" s="40">
        <v>1</v>
      </c>
      <c r="Y13" s="41">
        <v>1</v>
      </c>
      <c r="Z13" s="40" t="s">
        <v>45</v>
      </c>
      <c r="AA13" s="40" t="s">
        <v>45</v>
      </c>
      <c r="AB13" s="40" t="s">
        <v>45</v>
      </c>
      <c r="AC13" s="40" t="s">
        <v>45</v>
      </c>
      <c r="AD13" s="40" t="s">
        <v>45</v>
      </c>
      <c r="AE13" s="40" t="s">
        <v>45</v>
      </c>
      <c r="AF13" s="40" t="s">
        <v>45</v>
      </c>
      <c r="AG13" s="41" t="s">
        <v>45</v>
      </c>
      <c r="AH13" s="40">
        <v>1</v>
      </c>
      <c r="AI13" s="40">
        <v>1</v>
      </c>
      <c r="AJ13" s="41">
        <v>2</v>
      </c>
      <c r="AK13" s="43" t="s">
        <v>654</v>
      </c>
      <c r="AL13" s="43" t="s">
        <v>47</v>
      </c>
      <c r="AM13" s="44">
        <f t="shared" si="1"/>
        <v>-1.3238025366959394</v>
      </c>
      <c r="AN13" s="44">
        <f t="shared" si="2"/>
        <v>0.43540676231989323</v>
      </c>
      <c r="AO13" s="45">
        <f t="shared" si="3"/>
        <v>0</v>
      </c>
      <c r="AP13" s="46">
        <f t="shared" si="4"/>
        <v>0</v>
      </c>
      <c r="AQ13" s="44">
        <f>($AM$3*AM13+$AN$3*AN13+$AO$3*AO13+$AP$3*AP13)+$I$3*VLOOKUP(I13,COND!$A$2:$E$7,4,FALSE)+$J$3*VLOOKUP(J13,COND!$A$2:$C$7,2,FALSE)+$K$3*VLOOKUP(K13,COND!$A$2:$C$7,3,FALSE)+IF(AND($B$2&gt;0,$E13&lt;20),$B$2*25,0)</f>
        <v>55.392500894169117</v>
      </c>
      <c r="AR13" s="47">
        <f t="shared" si="5"/>
        <v>2.4965425262806162</v>
      </c>
      <c r="AS13" s="45" t="str">
        <f t="shared" si="6"/>
        <v>DH</v>
      </c>
      <c r="AT13" s="45">
        <f>RANK(Batters[[#This Row],[zScore]],Batters[[#All],[zScore]])</f>
        <v>9</v>
      </c>
      <c r="AU13" s="45"/>
      <c r="AV13" s="45"/>
      <c r="AW13" s="45" t="str">
        <f t="shared" si="7"/>
        <v>Possible</v>
      </c>
      <c r="AX13" s="45"/>
      <c r="AY13" s="45">
        <f>INDEX(Table5[[#All],[Ovr]],MATCH(Batters[[#This Row],[PID]],Table5[[#All],[PID]],0))</f>
        <v>56</v>
      </c>
      <c r="AZ13" s="45" t="str">
        <f>INDEX(Table5[[#All],[Rnd]],MATCH(Batters[[#This Row],[PID]],Table5[[#All],[PID]],0))</f>
        <v>2</v>
      </c>
      <c r="BA13" s="45">
        <f>INDEX(Table5[[#All],[Pick]],MATCH(Batters[[#This Row],[PID]],Table5[[#All],[PID]],0))</f>
        <v>21</v>
      </c>
      <c r="BB13" s="45" t="str">
        <f>INDEX(Table5[[#All],[Team]],MATCH(Batters[[#This Row],[PID]],Table5[[#All],[PID]],0))</f>
        <v>Amsterdam Lions</v>
      </c>
    </row>
    <row r="14" spans="1:54" ht="15" customHeight="1" x14ac:dyDescent="0.25">
      <c r="A14" s="40">
        <v>20399</v>
      </c>
      <c r="B14" s="40" t="s">
        <v>66</v>
      </c>
      <c r="C14" s="40" t="s">
        <v>366</v>
      </c>
      <c r="D14" s="40" t="s">
        <v>1311</v>
      </c>
      <c r="E14" s="40">
        <v>18</v>
      </c>
      <c r="F14" s="40" t="s">
        <v>42</v>
      </c>
      <c r="G14" s="40" t="s">
        <v>42</v>
      </c>
      <c r="H14" s="41" t="s">
        <v>634</v>
      </c>
      <c r="I14" s="65" t="s">
        <v>43</v>
      </c>
      <c r="J14" s="66" t="s">
        <v>43</v>
      </c>
      <c r="K14" s="67" t="s">
        <v>43</v>
      </c>
      <c r="L14" s="40">
        <v>2</v>
      </c>
      <c r="M14" s="40">
        <v>3</v>
      </c>
      <c r="N14" s="40">
        <v>3</v>
      </c>
      <c r="O14" s="40">
        <v>1</v>
      </c>
      <c r="P14" s="41">
        <v>7</v>
      </c>
      <c r="Q14" s="40">
        <v>6</v>
      </c>
      <c r="R14" s="40">
        <v>7</v>
      </c>
      <c r="S14" s="40">
        <v>4</v>
      </c>
      <c r="T14" s="40">
        <v>2</v>
      </c>
      <c r="U14" s="41">
        <v>8</v>
      </c>
      <c r="V14" s="40">
        <v>5</v>
      </c>
      <c r="W14" s="40">
        <v>7</v>
      </c>
      <c r="X14" s="40">
        <v>1</v>
      </c>
      <c r="Y14" s="41">
        <v>1</v>
      </c>
      <c r="Z14" s="40" t="s">
        <v>45</v>
      </c>
      <c r="AA14" s="40">
        <v>1</v>
      </c>
      <c r="AB14" s="40" t="s">
        <v>45</v>
      </c>
      <c r="AC14" s="40" t="s">
        <v>45</v>
      </c>
      <c r="AD14" s="40" t="s">
        <v>45</v>
      </c>
      <c r="AE14" s="40" t="s">
        <v>45</v>
      </c>
      <c r="AF14" s="40" t="s">
        <v>45</v>
      </c>
      <c r="AG14" s="41">
        <v>2</v>
      </c>
      <c r="AH14" s="40">
        <v>3</v>
      </c>
      <c r="AI14" s="40">
        <v>4</v>
      </c>
      <c r="AJ14" s="41">
        <v>2</v>
      </c>
      <c r="AK14" s="43" t="s">
        <v>654</v>
      </c>
      <c r="AL14" s="43" t="s">
        <v>47</v>
      </c>
      <c r="AM14" s="44">
        <f t="shared" si="1"/>
        <v>-1.2534467274371865</v>
      </c>
      <c r="AN14" s="44">
        <f t="shared" si="2"/>
        <v>0.45380351969889221</v>
      </c>
      <c r="AO14" s="45">
        <f t="shared" si="3"/>
        <v>0</v>
      </c>
      <c r="AP14" s="46">
        <f t="shared" si="4"/>
        <v>0</v>
      </c>
      <c r="AQ14" s="44">
        <f>($AM$3*AM14+$AN$3*AN14+$AO$3*AO14+$AP$3*AP14)+$I$3*VLOOKUP(I14,COND!$A$2:$E$7,4,FALSE)+$J$3*VLOOKUP(J14,COND!$A$2:$C$7,2,FALSE)+$K$3*VLOOKUP(K14,COND!$A$2:$C$7,3,FALSE)+IF(AND($B$2&gt;0,$E14&lt;20),$B$2*25,0)</f>
        <v>55.320297563642988</v>
      </c>
      <c r="AR14" s="47">
        <f t="shared" si="5"/>
        <v>2.4805345598537536</v>
      </c>
      <c r="AS14" s="45" t="str">
        <f t="shared" si="6"/>
        <v>RF</v>
      </c>
      <c r="AT14" s="45">
        <f>RANK(Batters[[#This Row],[zScore]],Batters[[#All],[zScore]])</f>
        <v>10</v>
      </c>
      <c r="AU14" s="45"/>
      <c r="AV14" s="45"/>
      <c r="AW14" s="45" t="str">
        <f t="shared" si="7"/>
        <v>Possible</v>
      </c>
      <c r="AX14" s="45"/>
      <c r="AY14" s="45">
        <f>INDEX(Table5[[#All],[Ovr]],MATCH(Batters[[#This Row],[PID]],Table5[[#All],[PID]],0))</f>
        <v>84</v>
      </c>
      <c r="AZ14" s="45" t="str">
        <f>INDEX(Table5[[#All],[Rnd]],MATCH(Batters[[#This Row],[PID]],Table5[[#All],[PID]],0))</f>
        <v>3</v>
      </c>
      <c r="BA14" s="45">
        <f>INDEX(Table5[[#All],[Pick]],MATCH(Batters[[#This Row],[PID]],Table5[[#All],[PID]],0))</f>
        <v>16</v>
      </c>
      <c r="BB14" s="45" t="str">
        <f>INDEX(Table5[[#All],[Team]],MATCH(Batters[[#This Row],[PID]],Table5[[#All],[PID]],0))</f>
        <v>London Underground</v>
      </c>
    </row>
    <row r="15" spans="1:54" ht="15" customHeight="1" x14ac:dyDescent="0.25">
      <c r="A15" s="40">
        <v>21090</v>
      </c>
      <c r="B15" s="40" t="s">
        <v>87</v>
      </c>
      <c r="C15" s="40" t="s">
        <v>1212</v>
      </c>
      <c r="D15" s="40" t="s">
        <v>1213</v>
      </c>
      <c r="E15" s="40">
        <v>18</v>
      </c>
      <c r="F15" s="40" t="s">
        <v>53</v>
      </c>
      <c r="G15" s="40" t="s">
        <v>42</v>
      </c>
      <c r="H15" s="41" t="s">
        <v>634</v>
      </c>
      <c r="I15" s="65" t="s">
        <v>43</v>
      </c>
      <c r="J15" s="66" t="s">
        <v>43</v>
      </c>
      <c r="K15" s="67" t="s">
        <v>43</v>
      </c>
      <c r="L15" s="40">
        <v>1</v>
      </c>
      <c r="M15" s="40">
        <v>2</v>
      </c>
      <c r="N15" s="40">
        <v>2</v>
      </c>
      <c r="O15" s="40">
        <v>2</v>
      </c>
      <c r="P15" s="41">
        <v>3</v>
      </c>
      <c r="Q15" s="40">
        <v>6</v>
      </c>
      <c r="R15" s="40">
        <v>5</v>
      </c>
      <c r="S15" s="40">
        <v>4</v>
      </c>
      <c r="T15" s="40">
        <v>4</v>
      </c>
      <c r="U15" s="41">
        <v>6</v>
      </c>
      <c r="V15" s="40">
        <v>2</v>
      </c>
      <c r="W15" s="40">
        <v>3</v>
      </c>
      <c r="X15" s="40">
        <v>1</v>
      </c>
      <c r="Y15" s="41">
        <v>1</v>
      </c>
      <c r="Z15" s="40" t="s">
        <v>45</v>
      </c>
      <c r="AA15" s="40">
        <v>2</v>
      </c>
      <c r="AB15" s="40" t="s">
        <v>45</v>
      </c>
      <c r="AC15" s="40" t="s">
        <v>45</v>
      </c>
      <c r="AD15" s="40" t="s">
        <v>45</v>
      </c>
      <c r="AE15" s="40" t="s">
        <v>45</v>
      </c>
      <c r="AF15" s="40" t="s">
        <v>45</v>
      </c>
      <c r="AG15" s="41" t="s">
        <v>45</v>
      </c>
      <c r="AH15" s="40">
        <v>3</v>
      </c>
      <c r="AI15" s="40">
        <v>1</v>
      </c>
      <c r="AJ15" s="41">
        <v>2</v>
      </c>
      <c r="AK15" s="43" t="s">
        <v>654</v>
      </c>
      <c r="AL15" s="43" t="s">
        <v>47</v>
      </c>
      <c r="AM15" s="44">
        <f t="shared" si="1"/>
        <v>-1.780479746541219</v>
      </c>
      <c r="AN15" s="44">
        <f t="shared" si="2"/>
        <v>0.45107018084648043</v>
      </c>
      <c r="AO15" s="45">
        <f t="shared" si="3"/>
        <v>0</v>
      </c>
      <c r="AP15" s="46">
        <f t="shared" si="4"/>
        <v>0</v>
      </c>
      <c r="AQ15" s="44">
        <f>($AM$3*AM15+$AN$3*AN15+$AO$3*AO15+$AP$3*AP15)+$I$3*VLOOKUP(I15,COND!$A$2:$E$7,4,FALSE)+$J$3*VLOOKUP(J15,COND!$A$2:$C$7,2,FALSE)+$K$3*VLOOKUP(K15,COND!$A$2:$C$7,3,FALSE)+IF(AND($B$2&gt;0,$E15&lt;20),$B$2*25,0)</f>
        <v>55.234794195503639</v>
      </c>
      <c r="AR15" s="47">
        <f t="shared" si="5"/>
        <v>2.4615778851881291</v>
      </c>
      <c r="AS15" s="45" t="str">
        <f t="shared" si="6"/>
        <v>1B</v>
      </c>
      <c r="AT15" s="45">
        <f>RANK(Batters[[#This Row],[zScore]],Batters[[#All],[zScore]])</f>
        <v>11</v>
      </c>
      <c r="AU15" s="45"/>
      <c r="AV15" s="45"/>
      <c r="AW15" s="45" t="str">
        <f t="shared" si="7"/>
        <v>Possible</v>
      </c>
      <c r="AX15" s="45"/>
      <c r="AY15" s="45">
        <f>INDEX(Table5[[#All],[Ovr]],MATCH(Batters[[#This Row],[PID]],Table5[[#All],[PID]],0))</f>
        <v>118</v>
      </c>
      <c r="AZ15" s="45" t="str">
        <f>INDEX(Table5[[#All],[Rnd]],MATCH(Batters[[#This Row],[PID]],Table5[[#All],[PID]],0))</f>
        <v>4</v>
      </c>
      <c r="BA15" s="45">
        <f>INDEX(Table5[[#All],[Pick]],MATCH(Batters[[#This Row],[PID]],Table5[[#All],[PID]],0))</f>
        <v>18</v>
      </c>
      <c r="BB15" s="45" t="str">
        <f>INDEX(Table5[[#All],[Team]],MATCH(Batters[[#This Row],[PID]],Table5[[#All],[PID]],0))</f>
        <v>Amsterdam Lions</v>
      </c>
    </row>
    <row r="16" spans="1:54" ht="15" customHeight="1" x14ac:dyDescent="0.25">
      <c r="A16" s="40">
        <v>18306</v>
      </c>
      <c r="B16" s="40" t="s">
        <v>74</v>
      </c>
      <c r="C16" s="40" t="s">
        <v>1178</v>
      </c>
      <c r="D16" s="40" t="s">
        <v>690</v>
      </c>
      <c r="E16" s="40">
        <v>21</v>
      </c>
      <c r="F16" s="40" t="s">
        <v>42</v>
      </c>
      <c r="G16" s="40" t="s">
        <v>42</v>
      </c>
      <c r="H16" s="41" t="s">
        <v>633</v>
      </c>
      <c r="I16" s="65" t="s">
        <v>43</v>
      </c>
      <c r="J16" s="66" t="s">
        <v>47</v>
      </c>
      <c r="K16" s="67" t="s">
        <v>43</v>
      </c>
      <c r="L16" s="40">
        <v>4</v>
      </c>
      <c r="M16" s="40">
        <v>4</v>
      </c>
      <c r="N16" s="40">
        <v>2</v>
      </c>
      <c r="O16" s="40">
        <v>1</v>
      </c>
      <c r="P16" s="41">
        <v>5</v>
      </c>
      <c r="Q16" s="40">
        <v>7</v>
      </c>
      <c r="R16" s="40">
        <v>6</v>
      </c>
      <c r="S16" s="40">
        <v>3</v>
      </c>
      <c r="T16" s="40">
        <v>2</v>
      </c>
      <c r="U16" s="41">
        <v>8</v>
      </c>
      <c r="V16" s="40">
        <v>5</v>
      </c>
      <c r="W16" s="40">
        <v>7</v>
      </c>
      <c r="X16" s="40">
        <v>1</v>
      </c>
      <c r="Y16" s="41">
        <v>1</v>
      </c>
      <c r="Z16" s="40" t="s">
        <v>45</v>
      </c>
      <c r="AA16" s="40" t="s">
        <v>45</v>
      </c>
      <c r="AB16" s="40" t="s">
        <v>45</v>
      </c>
      <c r="AC16" s="40" t="s">
        <v>45</v>
      </c>
      <c r="AD16" s="40" t="s">
        <v>45</v>
      </c>
      <c r="AE16" s="40" t="s">
        <v>45</v>
      </c>
      <c r="AF16" s="40">
        <v>7</v>
      </c>
      <c r="AG16" s="41" t="s">
        <v>45</v>
      </c>
      <c r="AH16" s="40">
        <v>9</v>
      </c>
      <c r="AI16" s="40">
        <v>10</v>
      </c>
      <c r="AJ16" s="41">
        <v>9</v>
      </c>
      <c r="AK16" s="43" t="s">
        <v>644</v>
      </c>
      <c r="AL16" s="43" t="s">
        <v>635</v>
      </c>
      <c r="AM16" s="44">
        <f t="shared" si="1"/>
        <v>-0.72036934907120209</v>
      </c>
      <c r="AN16" s="44">
        <f t="shared" si="2"/>
        <v>0.64223798225896189</v>
      </c>
      <c r="AO16" s="45">
        <f t="shared" si="3"/>
        <v>6</v>
      </c>
      <c r="AP16" s="46">
        <f t="shared" si="4"/>
        <v>0.75</v>
      </c>
      <c r="AQ16" s="44">
        <f>($AM$3*AM16+$AN$3*AN16+$AO$3*AO16+$AP$3*AP16)+$I$3*VLOOKUP(I16,COND!$A$2:$E$7,4,FALSE)+$J$3*VLOOKUP(J16,COND!$A$2:$C$7,2,FALSE)+$K$3*VLOOKUP(K16,COND!$A$2:$C$7,3,FALSE)+IF(AND($B$2&gt;0,$E16&lt;20),$B$2*25,0)</f>
        <v>54.684818852200422</v>
      </c>
      <c r="AR16" s="47">
        <f t="shared" si="5"/>
        <v>2.3396446340894954</v>
      </c>
      <c r="AS16" s="45" t="str">
        <f t="shared" si="6"/>
        <v>CF</v>
      </c>
      <c r="AT16" s="45">
        <f>RANK(Batters[[#This Row],[zScore]],Batters[[#All],[zScore]])</f>
        <v>12</v>
      </c>
      <c r="AU16" s="45"/>
      <c r="AV16" s="45"/>
      <c r="AW16" s="45" t="str">
        <f t="shared" si="7"/>
        <v>Possible</v>
      </c>
      <c r="AX16" s="45"/>
      <c r="AY16" s="45">
        <f>INDEX(Table5[[#All],[Ovr]],MATCH(Batters[[#This Row],[PID]],Table5[[#All],[PID]],0))</f>
        <v>32</v>
      </c>
      <c r="AZ16" s="45" t="str">
        <f>INDEX(Table5[[#All],[Rnd]],MATCH(Batters[[#This Row],[PID]],Table5[[#All],[PID]],0))</f>
        <v>S1</v>
      </c>
      <c r="BA16" s="45">
        <f>INDEX(Table5[[#All],[Pick]],MATCH(Batters[[#This Row],[PID]],Table5[[#All],[PID]],0))</f>
        <v>5</v>
      </c>
      <c r="BB16" s="45" t="str">
        <f>INDEX(Table5[[#All],[Team]],MATCH(Batters[[#This Row],[PID]],Table5[[#All],[PID]],0))</f>
        <v>Crystal Lake Sandgnats</v>
      </c>
    </row>
    <row r="17" spans="1:54" ht="15" customHeight="1" x14ac:dyDescent="0.25">
      <c r="A17" s="40">
        <v>21015</v>
      </c>
      <c r="B17" s="40" t="s">
        <v>87</v>
      </c>
      <c r="C17" s="40" t="s">
        <v>152</v>
      </c>
      <c r="D17" s="40" t="s">
        <v>1334</v>
      </c>
      <c r="E17" s="40">
        <v>17</v>
      </c>
      <c r="F17" s="40" t="s">
        <v>42</v>
      </c>
      <c r="G17" s="40" t="s">
        <v>42</v>
      </c>
      <c r="H17" s="41" t="s">
        <v>634</v>
      </c>
      <c r="I17" s="65" t="s">
        <v>43</v>
      </c>
      <c r="J17" s="66" t="s">
        <v>43</v>
      </c>
      <c r="K17" s="67" t="s">
        <v>43</v>
      </c>
      <c r="L17" s="40">
        <v>1</v>
      </c>
      <c r="M17" s="40">
        <v>2</v>
      </c>
      <c r="N17" s="40">
        <v>3</v>
      </c>
      <c r="O17" s="40">
        <v>2</v>
      </c>
      <c r="P17" s="41">
        <v>2</v>
      </c>
      <c r="Q17" s="40">
        <v>5</v>
      </c>
      <c r="R17" s="40">
        <v>6</v>
      </c>
      <c r="S17" s="40">
        <v>6</v>
      </c>
      <c r="T17" s="40">
        <v>5</v>
      </c>
      <c r="U17" s="41">
        <v>5</v>
      </c>
      <c r="V17" s="40">
        <v>3</v>
      </c>
      <c r="W17" s="40">
        <v>2</v>
      </c>
      <c r="X17" s="40">
        <v>1</v>
      </c>
      <c r="Y17" s="41">
        <v>1</v>
      </c>
      <c r="Z17" s="40" t="s">
        <v>45</v>
      </c>
      <c r="AA17" s="40">
        <v>1</v>
      </c>
      <c r="AB17" s="40" t="s">
        <v>45</v>
      </c>
      <c r="AC17" s="40" t="s">
        <v>45</v>
      </c>
      <c r="AD17" s="40" t="s">
        <v>45</v>
      </c>
      <c r="AE17" s="40" t="s">
        <v>45</v>
      </c>
      <c r="AF17" s="40" t="s">
        <v>45</v>
      </c>
      <c r="AG17" s="41" t="s">
        <v>45</v>
      </c>
      <c r="AH17" s="40">
        <v>3</v>
      </c>
      <c r="AI17" s="40">
        <v>2</v>
      </c>
      <c r="AJ17" s="41">
        <v>1</v>
      </c>
      <c r="AK17" s="43" t="s">
        <v>546</v>
      </c>
      <c r="AL17" s="43" t="s">
        <v>47</v>
      </c>
      <c r="AM17" s="44">
        <f t="shared" si="1"/>
        <v>-1.7374345923344008</v>
      </c>
      <c r="AN17" s="44">
        <f t="shared" si="2"/>
        <v>0.39539042250280981</v>
      </c>
      <c r="AO17" s="45">
        <f t="shared" si="3"/>
        <v>0</v>
      </c>
      <c r="AP17" s="46">
        <f t="shared" si="4"/>
        <v>0</v>
      </c>
      <c r="AQ17" s="44">
        <f>($AM$3*AM17+$AN$3*AN17+$AO$3*AO17+$AP$3*AP17)+$I$3*VLOOKUP(I17,COND!$A$2:$E$7,4,FALSE)+$J$3*VLOOKUP(J17,COND!$A$2:$C$7,2,FALSE)+$K$3*VLOOKUP(K17,COND!$A$2:$C$7,3,FALSE)+IF(AND($B$2&gt;0,$E17&lt;20),$B$2*25,0)</f>
        <v>54.570941610800276</v>
      </c>
      <c r="AR17" s="47">
        <f t="shared" si="5"/>
        <v>2.3143972799323684</v>
      </c>
      <c r="AS17" s="45" t="str">
        <f t="shared" si="6"/>
        <v>1B</v>
      </c>
      <c r="AT17" s="45">
        <f>RANK(Batters[[#This Row],[zScore]],Batters[[#All],[zScore]])</f>
        <v>13</v>
      </c>
      <c r="AU17" s="45"/>
      <c r="AV17" s="45"/>
      <c r="AW17" s="45" t="str">
        <f t="shared" si="7"/>
        <v>Possible</v>
      </c>
      <c r="AX17" s="45"/>
      <c r="AY17" s="45">
        <f>INDEX(Table5[[#All],[Ovr]],MATCH(Batters[[#This Row],[PID]],Table5[[#All],[PID]],0))</f>
        <v>145</v>
      </c>
      <c r="AZ17" s="45" t="str">
        <f>INDEX(Table5[[#All],[Rnd]],MATCH(Batters[[#This Row],[PID]],Table5[[#All],[PID]],0))</f>
        <v>5</v>
      </c>
      <c r="BA17" s="45">
        <f>INDEX(Table5[[#All],[Pick]],MATCH(Batters[[#This Row],[PID]],Table5[[#All],[PID]],0))</f>
        <v>17</v>
      </c>
      <c r="BB17" s="45" t="str">
        <f>INDEX(Table5[[#All],[Team]],MATCH(Batters[[#This Row],[PID]],Table5[[#All],[PID]],0))</f>
        <v>Madison Malts</v>
      </c>
    </row>
    <row r="18" spans="1:54" ht="15" customHeight="1" x14ac:dyDescent="0.25">
      <c r="A18" s="40">
        <v>18372</v>
      </c>
      <c r="B18" s="40" t="s">
        <v>50</v>
      </c>
      <c r="C18" s="40" t="s">
        <v>1313</v>
      </c>
      <c r="D18" s="40" t="s">
        <v>587</v>
      </c>
      <c r="E18" s="40">
        <v>18</v>
      </c>
      <c r="F18" s="40" t="s">
        <v>53</v>
      </c>
      <c r="G18" s="40" t="s">
        <v>53</v>
      </c>
      <c r="H18" s="41" t="s">
        <v>634</v>
      </c>
      <c r="I18" s="65" t="s">
        <v>43</v>
      </c>
      <c r="J18" s="66" t="s">
        <v>43</v>
      </c>
      <c r="K18" s="67" t="s">
        <v>43</v>
      </c>
      <c r="L18" s="40">
        <v>2</v>
      </c>
      <c r="M18" s="40">
        <v>3</v>
      </c>
      <c r="N18" s="40">
        <v>3</v>
      </c>
      <c r="O18" s="40">
        <v>2</v>
      </c>
      <c r="P18" s="41">
        <v>2</v>
      </c>
      <c r="Q18" s="40">
        <v>5</v>
      </c>
      <c r="R18" s="40">
        <v>6</v>
      </c>
      <c r="S18" s="40">
        <v>6</v>
      </c>
      <c r="T18" s="40">
        <v>5</v>
      </c>
      <c r="U18" s="41">
        <v>4</v>
      </c>
      <c r="V18" s="40">
        <v>3</v>
      </c>
      <c r="W18" s="40">
        <v>4</v>
      </c>
      <c r="X18" s="40">
        <v>1</v>
      </c>
      <c r="Y18" s="41">
        <v>1</v>
      </c>
      <c r="Z18" s="40" t="s">
        <v>45</v>
      </c>
      <c r="AA18" s="40" t="s">
        <v>45</v>
      </c>
      <c r="AB18" s="40" t="s">
        <v>45</v>
      </c>
      <c r="AC18" s="40" t="s">
        <v>45</v>
      </c>
      <c r="AD18" s="40" t="s">
        <v>45</v>
      </c>
      <c r="AE18" s="40">
        <v>2</v>
      </c>
      <c r="AF18" s="40" t="s">
        <v>45</v>
      </c>
      <c r="AG18" s="41" t="s">
        <v>45</v>
      </c>
      <c r="AH18" s="40">
        <v>5</v>
      </c>
      <c r="AI18" s="40">
        <v>4</v>
      </c>
      <c r="AJ18" s="41">
        <v>4</v>
      </c>
      <c r="AK18" s="43" t="s">
        <v>553</v>
      </c>
      <c r="AL18" s="43" t="s">
        <v>635</v>
      </c>
      <c r="AM18" s="44">
        <f t="shared" si="1"/>
        <v>-1.3638188765130226</v>
      </c>
      <c r="AN18" s="44">
        <f t="shared" si="2"/>
        <v>0.35537408268572634</v>
      </c>
      <c r="AO18" s="45">
        <f t="shared" si="3"/>
        <v>0</v>
      </c>
      <c r="AP18" s="46">
        <f t="shared" si="4"/>
        <v>0</v>
      </c>
      <c r="AQ18" s="44">
        <f>($AM$3*AM18+$AN$3*AN18+$AO$3*AO18+$AP$3*AP18)+$I$3*VLOOKUP(I18,COND!$A$2:$E$7,4,FALSE)+$J$3*VLOOKUP(J18,COND!$A$2:$C$7,2,FALSE)+$K$3*VLOOKUP(K18,COND!$A$2:$C$7,3,FALSE)+IF(AND($B$2&gt;0,$E18&lt;20),$B$2*25,0)</f>
        <v>54.12810710457741</v>
      </c>
      <c r="AR18" s="47">
        <f t="shared" si="5"/>
        <v>2.2162178766192953</v>
      </c>
      <c r="AS18" s="45" t="str">
        <f t="shared" si="6"/>
        <v>LF</v>
      </c>
      <c r="AT18" s="45">
        <f>RANK(Batters[[#This Row],[zScore]],Batters[[#All],[zScore]])</f>
        <v>14</v>
      </c>
      <c r="AU18" s="45"/>
      <c r="AV18" s="45"/>
      <c r="AW18" s="45" t="str">
        <f t="shared" si="7"/>
        <v>Possible</v>
      </c>
      <c r="AX18" s="45"/>
      <c r="AY18" s="45">
        <f>INDEX(Table5[[#All],[Ovr]],MATCH(Batters[[#This Row],[PID]],Table5[[#All],[PID]],0))</f>
        <v>163</v>
      </c>
      <c r="AZ18" s="45" t="str">
        <f>INDEX(Table5[[#All],[Rnd]],MATCH(Batters[[#This Row],[PID]],Table5[[#All],[PID]],0))</f>
        <v>6</v>
      </c>
      <c r="BA18" s="45">
        <f>INDEX(Table5[[#All],[Pick]],MATCH(Batters[[#This Row],[PID]],Table5[[#All],[PID]],0))</f>
        <v>5</v>
      </c>
      <c r="BB18" s="45" t="str">
        <f>INDEX(Table5[[#All],[Team]],MATCH(Batters[[#This Row],[PID]],Table5[[#All],[PID]],0))</f>
        <v>Okinawa Shisa</v>
      </c>
    </row>
    <row r="19" spans="1:54" ht="15" customHeight="1" x14ac:dyDescent="0.25">
      <c r="A19" s="40">
        <v>20515</v>
      </c>
      <c r="B19" s="40" t="s">
        <v>87</v>
      </c>
      <c r="C19" s="40" t="s">
        <v>1249</v>
      </c>
      <c r="D19" s="40" t="s">
        <v>1250</v>
      </c>
      <c r="E19" s="40">
        <v>17</v>
      </c>
      <c r="F19" s="40" t="s">
        <v>42</v>
      </c>
      <c r="G19" s="40" t="s">
        <v>42</v>
      </c>
      <c r="H19" s="41" t="s">
        <v>634</v>
      </c>
      <c r="I19" s="65" t="s">
        <v>43</v>
      </c>
      <c r="J19" s="66" t="s">
        <v>43</v>
      </c>
      <c r="K19" s="67" t="s">
        <v>43</v>
      </c>
      <c r="L19" s="40">
        <v>2</v>
      </c>
      <c r="M19" s="40">
        <v>4</v>
      </c>
      <c r="N19" s="40">
        <v>3</v>
      </c>
      <c r="O19" s="40">
        <v>2</v>
      </c>
      <c r="P19" s="41">
        <v>5</v>
      </c>
      <c r="Q19" s="40">
        <v>5</v>
      </c>
      <c r="R19" s="40">
        <v>7</v>
      </c>
      <c r="S19" s="40">
        <v>5</v>
      </c>
      <c r="T19" s="40">
        <v>4</v>
      </c>
      <c r="U19" s="41">
        <v>7</v>
      </c>
      <c r="V19" s="40">
        <v>2</v>
      </c>
      <c r="W19" s="40">
        <v>2</v>
      </c>
      <c r="X19" s="40">
        <v>1</v>
      </c>
      <c r="Y19" s="41">
        <v>1</v>
      </c>
      <c r="Z19" s="40" t="s">
        <v>45</v>
      </c>
      <c r="AA19" s="40">
        <v>2</v>
      </c>
      <c r="AB19" s="40" t="s">
        <v>45</v>
      </c>
      <c r="AC19" s="40" t="s">
        <v>45</v>
      </c>
      <c r="AD19" s="40" t="s">
        <v>45</v>
      </c>
      <c r="AE19" s="40" t="s">
        <v>45</v>
      </c>
      <c r="AF19" s="40" t="s">
        <v>45</v>
      </c>
      <c r="AG19" s="41" t="s">
        <v>45</v>
      </c>
      <c r="AH19" s="40">
        <v>2</v>
      </c>
      <c r="AI19" s="40">
        <v>1</v>
      </c>
      <c r="AJ19" s="41">
        <v>2</v>
      </c>
      <c r="AK19" s="43" t="s">
        <v>553</v>
      </c>
      <c r="AL19" s="43" t="s">
        <v>47</v>
      </c>
      <c r="AM19" s="44">
        <f t="shared" si="1"/>
        <v>-1.1927099774430689</v>
      </c>
      <c r="AN19" s="44">
        <f t="shared" si="2"/>
        <v>0.35371193772219767</v>
      </c>
      <c r="AO19" s="45">
        <f t="shared" si="3"/>
        <v>0</v>
      </c>
      <c r="AP19" s="46">
        <f t="shared" si="4"/>
        <v>0</v>
      </c>
      <c r="AQ19" s="44">
        <f>($AM$3*AM19+$AN$3*AN19+$AO$3*AO19+$AP$3*AP19)+$I$3*VLOOKUP(I19,COND!$A$2:$E$7,4,FALSE)+$J$3*VLOOKUP(J19,COND!$A$2:$C$7,2,FALSE)+$K$3*VLOOKUP(K19,COND!$A$2:$C$7,3,FALSE)+IF(AND($B$2&gt;0,$E19&lt;20),$B$2*25,0)</f>
        <v>54.125272254922066</v>
      </c>
      <c r="AR19" s="47">
        <f t="shared" si="5"/>
        <v>2.2155893712889005</v>
      </c>
      <c r="AS19" s="45" t="str">
        <f t="shared" si="6"/>
        <v>1B</v>
      </c>
      <c r="AT19" s="45">
        <f>RANK(Batters[[#This Row],[zScore]],Batters[[#All],[zScore]])</f>
        <v>15</v>
      </c>
      <c r="AU19" s="45"/>
      <c r="AV19" s="45"/>
      <c r="AW19" s="45" t="str">
        <f t="shared" si="7"/>
        <v>Unlikely</v>
      </c>
      <c r="AX19" s="45"/>
      <c r="AY19" s="45">
        <f>INDEX(Table5[[#All],[Ovr]],MATCH(Batters[[#This Row],[PID]],Table5[[#All],[PID]],0))</f>
        <v>31</v>
      </c>
      <c r="AZ19" s="45" t="str">
        <f>INDEX(Table5[[#All],[Rnd]],MATCH(Batters[[#This Row],[PID]],Table5[[#All],[PID]],0))</f>
        <v>S1</v>
      </c>
      <c r="BA19" s="45">
        <f>INDEX(Table5[[#All],[Pick]],MATCH(Batters[[#This Row],[PID]],Table5[[#All],[PID]],0))</f>
        <v>4</v>
      </c>
      <c r="BB19" s="45" t="str">
        <f>INDEX(Table5[[#All],[Team]],MATCH(Batters[[#This Row],[PID]],Table5[[#All],[PID]],0))</f>
        <v>Crystal Lake Sandgnats</v>
      </c>
    </row>
    <row r="20" spans="1:54" ht="15" customHeight="1" x14ac:dyDescent="0.25">
      <c r="A20" s="40">
        <v>18385</v>
      </c>
      <c r="B20" s="40" t="s">
        <v>71</v>
      </c>
      <c r="C20" s="40" t="s">
        <v>637</v>
      </c>
      <c r="D20" s="40" t="s">
        <v>1112</v>
      </c>
      <c r="E20" s="40">
        <v>18</v>
      </c>
      <c r="F20" s="40" t="s">
        <v>42</v>
      </c>
      <c r="G20" s="40" t="s">
        <v>42</v>
      </c>
      <c r="H20" s="41" t="s">
        <v>634</v>
      </c>
      <c r="I20" s="65" t="s">
        <v>43</v>
      </c>
      <c r="J20" s="66" t="s">
        <v>47</v>
      </c>
      <c r="K20" s="67" t="s">
        <v>43</v>
      </c>
      <c r="L20" s="40">
        <v>2</v>
      </c>
      <c r="M20" s="40">
        <v>5</v>
      </c>
      <c r="N20" s="40">
        <v>3</v>
      </c>
      <c r="O20" s="40">
        <v>2</v>
      </c>
      <c r="P20" s="41">
        <v>1</v>
      </c>
      <c r="Q20" s="40">
        <v>5</v>
      </c>
      <c r="R20" s="40">
        <v>7</v>
      </c>
      <c r="S20" s="40">
        <v>4</v>
      </c>
      <c r="T20" s="40">
        <v>5</v>
      </c>
      <c r="U20" s="41">
        <v>4</v>
      </c>
      <c r="V20" s="40">
        <v>9</v>
      </c>
      <c r="W20" s="40">
        <v>8</v>
      </c>
      <c r="X20" s="40">
        <v>1</v>
      </c>
      <c r="Y20" s="41">
        <v>1</v>
      </c>
      <c r="Z20" s="40" t="s">
        <v>45</v>
      </c>
      <c r="AA20" s="40" t="s">
        <v>45</v>
      </c>
      <c r="AB20" s="40">
        <v>4</v>
      </c>
      <c r="AC20" s="40" t="s">
        <v>45</v>
      </c>
      <c r="AD20" s="40">
        <v>2</v>
      </c>
      <c r="AE20" s="40" t="s">
        <v>45</v>
      </c>
      <c r="AF20" s="40" t="s">
        <v>45</v>
      </c>
      <c r="AG20" s="41" t="s">
        <v>45</v>
      </c>
      <c r="AH20" s="40">
        <v>10</v>
      </c>
      <c r="AI20" s="40">
        <v>9</v>
      </c>
      <c r="AJ20" s="41">
        <v>6</v>
      </c>
      <c r="AK20" s="43" t="s">
        <v>423</v>
      </c>
      <c r="AL20" s="43" t="s">
        <v>635</v>
      </c>
      <c r="AM20" s="44">
        <f t="shared" si="1"/>
        <v>-1.3017154570926994</v>
      </c>
      <c r="AN20" s="44">
        <f t="shared" si="2"/>
        <v>0.24031097425662687</v>
      </c>
      <c r="AO20" s="45">
        <f t="shared" si="3"/>
        <v>4</v>
      </c>
      <c r="AP20" s="46">
        <f t="shared" si="4"/>
        <v>0</v>
      </c>
      <c r="AQ20" s="44">
        <f>($AM$3*AM20+$AN$3*AN20+$AO$3*AO20+$AP$3*AP20)+$I$3*VLOOKUP(I20,COND!$A$2:$E$7,4,FALSE)+$J$3*VLOOKUP(J20,COND!$A$2:$C$7,2,FALSE)+$K$3*VLOOKUP(K20,COND!$A$2:$C$7,3,FALSE)+IF(AND($B$2&gt;0,$E20&lt;20),$B$2*25,0)</f>
        <v>53.72022681203692</v>
      </c>
      <c r="AR20" s="47">
        <f t="shared" si="5"/>
        <v>2.1257880587481623</v>
      </c>
      <c r="AS20" s="45" t="str">
        <f t="shared" si="6"/>
        <v>2B</v>
      </c>
      <c r="AT20" s="45">
        <f>RANK(Batters[[#This Row],[zScore]],Batters[[#All],[zScore]])</f>
        <v>16</v>
      </c>
      <c r="AU20" s="45"/>
      <c r="AV20" s="45"/>
      <c r="AW20" s="45" t="str">
        <f t="shared" si="7"/>
        <v>Unlikely</v>
      </c>
      <c r="AX20" s="45"/>
      <c r="AY20" s="45">
        <f>INDEX(Table5[[#All],[Ovr]],MATCH(Batters[[#This Row],[PID]],Table5[[#All],[PID]],0))</f>
        <v>115</v>
      </c>
      <c r="AZ20" s="45" t="str">
        <f>INDEX(Table5[[#All],[Rnd]],MATCH(Batters[[#This Row],[PID]],Table5[[#All],[PID]],0))</f>
        <v>4</v>
      </c>
      <c r="BA20" s="45">
        <f>INDEX(Table5[[#All],[Pick]],MATCH(Batters[[#This Row],[PID]],Table5[[#All],[PID]],0))</f>
        <v>15</v>
      </c>
      <c r="BB20" s="45" t="str">
        <f>INDEX(Table5[[#All],[Team]],MATCH(Batters[[#This Row],[PID]],Table5[[#All],[PID]],0))</f>
        <v>Madison Malts</v>
      </c>
    </row>
    <row r="21" spans="1:54" ht="15" customHeight="1" x14ac:dyDescent="0.25">
      <c r="A21" s="40">
        <v>18159</v>
      </c>
      <c r="B21" s="40" t="s">
        <v>87</v>
      </c>
      <c r="C21" s="40" t="s">
        <v>151</v>
      </c>
      <c r="D21" s="40" t="s">
        <v>1207</v>
      </c>
      <c r="E21" s="40">
        <v>21</v>
      </c>
      <c r="F21" s="40" t="s">
        <v>53</v>
      </c>
      <c r="G21" s="40" t="s">
        <v>42</v>
      </c>
      <c r="H21" s="41" t="s">
        <v>633</v>
      </c>
      <c r="I21" s="65" t="s">
        <v>47</v>
      </c>
      <c r="J21" s="66" t="s">
        <v>43</v>
      </c>
      <c r="K21" s="67" t="s">
        <v>44</v>
      </c>
      <c r="L21" s="40">
        <v>4</v>
      </c>
      <c r="M21" s="40">
        <v>4</v>
      </c>
      <c r="N21" s="40">
        <v>4</v>
      </c>
      <c r="O21" s="40">
        <v>4</v>
      </c>
      <c r="P21" s="41">
        <v>5</v>
      </c>
      <c r="Q21" s="40">
        <v>5</v>
      </c>
      <c r="R21" s="40">
        <v>8</v>
      </c>
      <c r="S21" s="40">
        <v>7</v>
      </c>
      <c r="T21" s="40">
        <v>6</v>
      </c>
      <c r="U21" s="41">
        <v>6</v>
      </c>
      <c r="V21" s="40">
        <v>3</v>
      </c>
      <c r="W21" s="40">
        <v>4</v>
      </c>
      <c r="X21" s="40">
        <v>1</v>
      </c>
      <c r="Y21" s="41">
        <v>1</v>
      </c>
      <c r="Z21" s="40" t="s">
        <v>45</v>
      </c>
      <c r="AA21" s="40">
        <v>5</v>
      </c>
      <c r="AB21" s="40" t="s">
        <v>45</v>
      </c>
      <c r="AC21" s="40" t="s">
        <v>45</v>
      </c>
      <c r="AD21" s="40" t="s">
        <v>45</v>
      </c>
      <c r="AE21" s="40" t="s">
        <v>45</v>
      </c>
      <c r="AF21" s="40" t="s">
        <v>45</v>
      </c>
      <c r="AG21" s="41" t="s">
        <v>45</v>
      </c>
      <c r="AH21" s="40">
        <v>1</v>
      </c>
      <c r="AI21" s="40">
        <v>1</v>
      </c>
      <c r="AJ21" s="41">
        <v>1</v>
      </c>
      <c r="AK21" s="43" t="s">
        <v>666</v>
      </c>
      <c r="AL21" s="43" t="s">
        <v>47</v>
      </c>
      <c r="AM21" s="44">
        <f t="shared" si="1"/>
        <v>-0.28511771099465594</v>
      </c>
      <c r="AN21" s="44">
        <f t="shared" si="2"/>
        <v>0.71029756559078283</v>
      </c>
      <c r="AO21" s="45">
        <f t="shared" si="3"/>
        <v>0</v>
      </c>
      <c r="AP21" s="46">
        <f t="shared" si="4"/>
        <v>0</v>
      </c>
      <c r="AQ21" s="44">
        <f>($AM$3*AM21+$AN$3*AN21+$AO$3*AO21+$AP$3*AP21)+$I$3*VLOOKUP(I21,COND!$A$2:$E$7,4,FALSE)+$J$3*VLOOKUP(J21,COND!$A$2:$C$7,2,FALSE)+$K$3*VLOOKUP(K21,COND!$A$2:$C$7,3,FALSE)+IF(AND($B$2&gt;0,$E21&lt;20),$B$2*25,0)</f>
        <v>53.420059015989921</v>
      </c>
      <c r="AR21" s="47">
        <f t="shared" si="5"/>
        <v>2.0592388294185424</v>
      </c>
      <c r="AS21" s="45" t="str">
        <f t="shared" si="6"/>
        <v>1B</v>
      </c>
      <c r="AT21" s="45">
        <f>RANK(Batters[[#This Row],[zScore]],Batters[[#All],[zScore]])</f>
        <v>17</v>
      </c>
      <c r="AU21" s="45"/>
      <c r="AV21" s="45"/>
      <c r="AW21" s="45" t="str">
        <f t="shared" si="7"/>
        <v>Possible</v>
      </c>
      <c r="AX21" s="45"/>
      <c r="AY21" s="45">
        <f>INDEX(Table5[[#All],[Ovr]],MATCH(Batters[[#This Row],[PID]],Table5[[#All],[PID]],0))</f>
        <v>9</v>
      </c>
      <c r="AZ21" s="45" t="str">
        <f>INDEX(Table5[[#All],[Rnd]],MATCH(Batters[[#This Row],[PID]],Table5[[#All],[PID]],0))</f>
        <v>1</v>
      </c>
      <c r="BA21" s="45">
        <f>INDEX(Table5[[#All],[Pick]],MATCH(Batters[[#This Row],[PID]],Table5[[#All],[PID]],0))</f>
        <v>9</v>
      </c>
      <c r="BB21" s="45" t="str">
        <f>INDEX(Table5[[#All],[Team]],MATCH(Batters[[#This Row],[PID]],Table5[[#All],[PID]],0))</f>
        <v>Scottish Claymores</v>
      </c>
    </row>
    <row r="22" spans="1:54" ht="15" customHeight="1" x14ac:dyDescent="0.25">
      <c r="A22" s="40">
        <v>18012</v>
      </c>
      <c r="B22" s="40" t="s">
        <v>87</v>
      </c>
      <c r="C22" s="40" t="s">
        <v>1290</v>
      </c>
      <c r="D22" s="40" t="s">
        <v>1291</v>
      </c>
      <c r="E22" s="40">
        <v>21</v>
      </c>
      <c r="F22" s="40" t="s">
        <v>62</v>
      </c>
      <c r="G22" s="40" t="s">
        <v>42</v>
      </c>
      <c r="H22" s="41" t="s">
        <v>634</v>
      </c>
      <c r="I22" s="65" t="s">
        <v>43</v>
      </c>
      <c r="J22" s="66" t="s">
        <v>43</v>
      </c>
      <c r="K22" s="67" t="s">
        <v>43</v>
      </c>
      <c r="L22" s="40">
        <v>3</v>
      </c>
      <c r="M22" s="40">
        <v>5</v>
      </c>
      <c r="N22" s="40">
        <v>3</v>
      </c>
      <c r="O22" s="40">
        <v>2</v>
      </c>
      <c r="P22" s="41">
        <v>3</v>
      </c>
      <c r="Q22" s="40">
        <v>6</v>
      </c>
      <c r="R22" s="40">
        <v>7</v>
      </c>
      <c r="S22" s="40">
        <v>6</v>
      </c>
      <c r="T22" s="40">
        <v>4</v>
      </c>
      <c r="U22" s="41">
        <v>5</v>
      </c>
      <c r="V22" s="40">
        <v>3</v>
      </c>
      <c r="W22" s="40">
        <v>2</v>
      </c>
      <c r="X22" s="40">
        <v>1</v>
      </c>
      <c r="Y22" s="41">
        <v>1</v>
      </c>
      <c r="Z22" s="40" t="s">
        <v>45</v>
      </c>
      <c r="AA22" s="40">
        <v>4</v>
      </c>
      <c r="AB22" s="40" t="s">
        <v>45</v>
      </c>
      <c r="AC22" s="40" t="s">
        <v>45</v>
      </c>
      <c r="AD22" s="40" t="s">
        <v>45</v>
      </c>
      <c r="AE22" s="40" t="s">
        <v>45</v>
      </c>
      <c r="AF22" s="40" t="s">
        <v>45</v>
      </c>
      <c r="AG22" s="41" t="s">
        <v>45</v>
      </c>
      <c r="AH22" s="40">
        <v>2</v>
      </c>
      <c r="AI22" s="40">
        <v>5</v>
      </c>
      <c r="AJ22" s="41">
        <v>5</v>
      </c>
      <c r="AK22" s="43" t="s">
        <v>573</v>
      </c>
      <c r="AL22" s="43" t="s">
        <v>47</v>
      </c>
      <c r="AM22" s="44">
        <f t="shared" si="1"/>
        <v>-0.89912694125585768</v>
      </c>
      <c r="AN22" s="44">
        <f t="shared" si="2"/>
        <v>0.67929658831460704</v>
      </c>
      <c r="AO22" s="45">
        <f t="shared" si="3"/>
        <v>0</v>
      </c>
      <c r="AP22" s="46">
        <f t="shared" si="4"/>
        <v>0</v>
      </c>
      <c r="AQ22" s="44">
        <f>($AM$3*AM22+$AN$3*AN22+$AO$3*AO22+$AP$3*AP22)+$I$3*VLOOKUP(I22,COND!$A$2:$E$7,4,FALSE)+$J$3*VLOOKUP(J22,COND!$A$2:$C$7,2,FALSE)+$K$3*VLOOKUP(K22,COND!$A$2:$C$7,3,FALSE)+IF(AND($B$2&gt;0,$E22&lt;20),$B$2*25,0)</f>
        <v>53.0616463656497</v>
      </c>
      <c r="AR22" s="47">
        <f t="shared" si="5"/>
        <v>1.9797763221934384</v>
      </c>
      <c r="AS22" s="45" t="str">
        <f t="shared" si="6"/>
        <v>1B</v>
      </c>
      <c r="AT22" s="45">
        <f>RANK(Batters[[#This Row],[zScore]],Batters[[#All],[zScore]])</f>
        <v>18</v>
      </c>
      <c r="AU22" s="45"/>
      <c r="AV22" s="45"/>
      <c r="AW22" s="45" t="str">
        <f t="shared" si="7"/>
        <v>Possible</v>
      </c>
      <c r="AX22" s="45"/>
      <c r="AY22" s="45">
        <f>INDEX(Table5[[#All],[Ovr]],MATCH(Batters[[#This Row],[PID]],Table5[[#All],[PID]],0))</f>
        <v>30</v>
      </c>
      <c r="AZ22" s="45" t="str">
        <f>INDEX(Table5[[#All],[Rnd]],MATCH(Batters[[#This Row],[PID]],Table5[[#All],[PID]],0))</f>
        <v>S1</v>
      </c>
      <c r="BA22" s="45">
        <f>INDEX(Table5[[#All],[Pick]],MATCH(Batters[[#This Row],[PID]],Table5[[#All],[PID]],0))</f>
        <v>3</v>
      </c>
      <c r="BB22" s="45" t="str">
        <f>INDEX(Table5[[#All],[Team]],MATCH(Batters[[#This Row],[PID]],Table5[[#All],[PID]],0))</f>
        <v>Crystal Lake Sandgnats</v>
      </c>
    </row>
    <row r="23" spans="1:54" ht="15" customHeight="1" x14ac:dyDescent="0.25">
      <c r="A23" s="40">
        <v>20540</v>
      </c>
      <c r="B23" s="40" t="s">
        <v>87</v>
      </c>
      <c r="C23" s="40" t="s">
        <v>330</v>
      </c>
      <c r="D23" s="40" t="s">
        <v>1342</v>
      </c>
      <c r="E23" s="40">
        <v>17</v>
      </c>
      <c r="F23" s="40" t="s">
        <v>53</v>
      </c>
      <c r="G23" s="40" t="s">
        <v>42</v>
      </c>
      <c r="H23" s="41" t="s">
        <v>634</v>
      </c>
      <c r="I23" s="65" t="s">
        <v>43</v>
      </c>
      <c r="J23" s="66" t="s">
        <v>43</v>
      </c>
      <c r="K23" s="67" t="s">
        <v>43</v>
      </c>
      <c r="L23" s="40">
        <v>1</v>
      </c>
      <c r="M23" s="40">
        <v>4</v>
      </c>
      <c r="N23" s="40">
        <v>4</v>
      </c>
      <c r="O23" s="40">
        <v>3</v>
      </c>
      <c r="P23" s="41">
        <v>1</v>
      </c>
      <c r="Q23" s="40">
        <v>4</v>
      </c>
      <c r="R23" s="40">
        <v>7</v>
      </c>
      <c r="S23" s="40">
        <v>7</v>
      </c>
      <c r="T23" s="40">
        <v>6</v>
      </c>
      <c r="U23" s="41">
        <v>4</v>
      </c>
      <c r="V23" s="40">
        <v>2</v>
      </c>
      <c r="W23" s="40">
        <v>4</v>
      </c>
      <c r="X23" s="40">
        <v>1</v>
      </c>
      <c r="Y23" s="41">
        <v>1</v>
      </c>
      <c r="Z23" s="40" t="s">
        <v>45</v>
      </c>
      <c r="AA23" s="40">
        <v>1</v>
      </c>
      <c r="AB23" s="40" t="s">
        <v>45</v>
      </c>
      <c r="AC23" s="40" t="s">
        <v>45</v>
      </c>
      <c r="AD23" s="40" t="s">
        <v>45</v>
      </c>
      <c r="AE23" s="40" t="s">
        <v>45</v>
      </c>
      <c r="AF23" s="40" t="s">
        <v>45</v>
      </c>
      <c r="AG23" s="41" t="s">
        <v>45</v>
      </c>
      <c r="AH23" s="40">
        <v>1</v>
      </c>
      <c r="AI23" s="40">
        <v>1</v>
      </c>
      <c r="AJ23" s="41">
        <v>1</v>
      </c>
      <c r="AK23" s="43" t="s">
        <v>644</v>
      </c>
      <c r="AL23" s="43" t="s">
        <v>635</v>
      </c>
      <c r="AM23" s="44">
        <f t="shared" si="1"/>
        <v>-1.5025601288805945</v>
      </c>
      <c r="AN23" s="44">
        <f t="shared" si="2"/>
        <v>0.25664917013523769</v>
      </c>
      <c r="AO23" s="45">
        <f t="shared" si="3"/>
        <v>0</v>
      </c>
      <c r="AP23" s="46">
        <f t="shared" si="4"/>
        <v>0</v>
      </c>
      <c r="AQ23" s="44">
        <f>($AM$3*AM23+$AN$3*AN23+$AO$3*AO23+$AP$3*AP23)+$I$3*VLOOKUP(I23,COND!$A$2:$E$7,4,FALSE)+$J$3*VLOOKUP(J23,COND!$A$2:$C$7,2,FALSE)+$K$3*VLOOKUP(K23,COND!$A$2:$C$7,3,FALSE)+IF(AND($B$2&gt;0,$E23&lt;20),$B$2*25,0)</f>
        <v>52.929534028734793</v>
      </c>
      <c r="AR23" s="47">
        <f t="shared" si="5"/>
        <v>1.9504861241028824</v>
      </c>
      <c r="AS23" s="45" t="str">
        <f t="shared" si="6"/>
        <v>1B</v>
      </c>
      <c r="AT23" s="45">
        <f>RANK(Batters[[#This Row],[zScore]],Batters[[#All],[zScore]])</f>
        <v>19</v>
      </c>
      <c r="AU23" s="45"/>
      <c r="AV23" s="45"/>
      <c r="AW23" s="45" t="str">
        <f t="shared" si="7"/>
        <v>Possible</v>
      </c>
      <c r="AX23" s="45"/>
      <c r="AY23" s="45">
        <f>INDEX(Table5[[#All],[Ovr]],MATCH(Batters[[#This Row],[PID]],Table5[[#All],[PID]],0))</f>
        <v>221</v>
      </c>
      <c r="AZ23" s="45" t="str">
        <f>INDEX(Table5[[#All],[Rnd]],MATCH(Batters[[#This Row],[PID]],Table5[[#All],[PID]],0))</f>
        <v>8</v>
      </c>
      <c r="BA23" s="45">
        <f>INDEX(Table5[[#All],[Pick]],MATCH(Batters[[#This Row],[PID]],Table5[[#All],[PID]],0))</f>
        <v>3</v>
      </c>
      <c r="BB23" s="45" t="str">
        <f>INDEX(Table5[[#All],[Team]],MATCH(Batters[[#This Row],[PID]],Table5[[#All],[PID]],0))</f>
        <v>New Orleans Trendsetters</v>
      </c>
    </row>
    <row r="24" spans="1:54" ht="15" customHeight="1" x14ac:dyDescent="0.25">
      <c r="A24" s="40">
        <v>18230</v>
      </c>
      <c r="B24" s="40" t="s">
        <v>50</v>
      </c>
      <c r="C24" s="40" t="s">
        <v>125</v>
      </c>
      <c r="D24" s="40" t="s">
        <v>1200</v>
      </c>
      <c r="E24" s="40">
        <v>18</v>
      </c>
      <c r="F24" s="40" t="s">
        <v>53</v>
      </c>
      <c r="G24" s="40" t="s">
        <v>53</v>
      </c>
      <c r="H24" s="41" t="s">
        <v>633</v>
      </c>
      <c r="I24" s="65" t="s">
        <v>43</v>
      </c>
      <c r="J24" s="66" t="s">
        <v>47</v>
      </c>
      <c r="K24" s="67" t="s">
        <v>43</v>
      </c>
      <c r="L24" s="40">
        <v>1</v>
      </c>
      <c r="M24" s="40">
        <v>2</v>
      </c>
      <c r="N24" s="40">
        <v>3</v>
      </c>
      <c r="O24" s="40">
        <v>2</v>
      </c>
      <c r="P24" s="41">
        <v>1</v>
      </c>
      <c r="Q24" s="40">
        <v>4</v>
      </c>
      <c r="R24" s="40">
        <v>7</v>
      </c>
      <c r="S24" s="40">
        <v>7</v>
      </c>
      <c r="T24" s="40">
        <v>6</v>
      </c>
      <c r="U24" s="41">
        <v>3</v>
      </c>
      <c r="V24" s="40">
        <v>2</v>
      </c>
      <c r="W24" s="40">
        <v>5</v>
      </c>
      <c r="X24" s="40">
        <v>1</v>
      </c>
      <c r="Y24" s="41">
        <v>1</v>
      </c>
      <c r="Z24" s="40" t="s">
        <v>45</v>
      </c>
      <c r="AA24" s="40" t="s">
        <v>45</v>
      </c>
      <c r="AB24" s="40" t="s">
        <v>45</v>
      </c>
      <c r="AC24" s="40" t="s">
        <v>45</v>
      </c>
      <c r="AD24" s="40" t="s">
        <v>45</v>
      </c>
      <c r="AE24" s="40">
        <v>2</v>
      </c>
      <c r="AF24" s="40" t="s">
        <v>45</v>
      </c>
      <c r="AG24" s="41" t="s">
        <v>45</v>
      </c>
      <c r="AH24" s="40">
        <v>2</v>
      </c>
      <c r="AI24" s="40">
        <v>1</v>
      </c>
      <c r="AJ24" s="41">
        <v>1</v>
      </c>
      <c r="AK24" s="43" t="s">
        <v>727</v>
      </c>
      <c r="AL24" s="43" t="s">
        <v>47</v>
      </c>
      <c r="AM24" s="44">
        <f t="shared" si="1"/>
        <v>-1.7774509321514844</v>
      </c>
      <c r="AN24" s="44">
        <f t="shared" si="2"/>
        <v>0.21663283031815425</v>
      </c>
      <c r="AO24" s="45">
        <f t="shared" si="3"/>
        <v>0</v>
      </c>
      <c r="AP24" s="46">
        <f t="shared" si="4"/>
        <v>0</v>
      </c>
      <c r="AQ24" s="44">
        <f>($AM$3*AM24+$AN$3*AN24+$AO$3*AO24+$AP$3*AP24)+$I$3*VLOOKUP(I24,COND!$A$2:$E$7,4,FALSE)+$J$3*VLOOKUP(J24,COND!$A$2:$C$7,2,FALSE)+$K$3*VLOOKUP(K24,COND!$A$2:$C$7,3,FALSE)+IF(AND($B$2&gt;0,$E24&lt;20),$B$2*25,0)</f>
        <v>52.721848870602699</v>
      </c>
      <c r="AR24" s="47">
        <f t="shared" si="5"/>
        <v>1.904440920723613</v>
      </c>
      <c r="AS24" s="45" t="str">
        <f t="shared" si="6"/>
        <v>LF</v>
      </c>
      <c r="AT24" s="45">
        <f>RANK(Batters[[#This Row],[zScore]],Batters[[#All],[zScore]])</f>
        <v>20</v>
      </c>
      <c r="AU24" s="45"/>
      <c r="AV24" s="45"/>
      <c r="AW24" s="45" t="str">
        <f t="shared" si="7"/>
        <v>Possible</v>
      </c>
      <c r="AX24" s="45"/>
      <c r="AY24" s="45">
        <f>INDEX(Table5[[#All],[Ovr]],MATCH(Batters[[#This Row],[PID]],Table5[[#All],[PID]],0))</f>
        <v>72</v>
      </c>
      <c r="AZ24" s="45" t="str">
        <f>INDEX(Table5[[#All],[Rnd]],MATCH(Batters[[#This Row],[PID]],Table5[[#All],[PID]],0))</f>
        <v>3</v>
      </c>
      <c r="BA24" s="45">
        <f>INDEX(Table5[[#All],[Pick]],MATCH(Batters[[#This Row],[PID]],Table5[[#All],[PID]],0))</f>
        <v>4</v>
      </c>
      <c r="BB24" s="45" t="str">
        <f>INDEX(Table5[[#All],[Team]],MATCH(Batters[[#This Row],[PID]],Table5[[#All],[PID]],0))</f>
        <v>Florida Farstriders</v>
      </c>
    </row>
    <row r="25" spans="1:54" ht="15" customHeight="1" x14ac:dyDescent="0.25">
      <c r="A25" s="40">
        <v>20417</v>
      </c>
      <c r="B25" s="40" t="s">
        <v>66</v>
      </c>
      <c r="C25" s="40" t="s">
        <v>153</v>
      </c>
      <c r="D25" s="40" t="s">
        <v>1286</v>
      </c>
      <c r="E25" s="40">
        <v>17</v>
      </c>
      <c r="F25" s="40" t="s">
        <v>42</v>
      </c>
      <c r="G25" s="40" t="s">
        <v>42</v>
      </c>
      <c r="H25" s="41" t="s">
        <v>634</v>
      </c>
      <c r="I25" s="65" t="s">
        <v>43</v>
      </c>
      <c r="J25" s="66" t="s">
        <v>44</v>
      </c>
      <c r="K25" s="67" t="s">
        <v>44</v>
      </c>
      <c r="L25" s="40">
        <v>1</v>
      </c>
      <c r="M25" s="40">
        <v>3</v>
      </c>
      <c r="N25" s="40">
        <v>5</v>
      </c>
      <c r="O25" s="40">
        <v>3</v>
      </c>
      <c r="P25" s="41">
        <v>1</v>
      </c>
      <c r="Q25" s="40">
        <v>4</v>
      </c>
      <c r="R25" s="40">
        <v>6</v>
      </c>
      <c r="S25" s="40">
        <v>8</v>
      </c>
      <c r="T25" s="40">
        <v>6</v>
      </c>
      <c r="U25" s="41">
        <v>4</v>
      </c>
      <c r="V25" s="40">
        <v>8</v>
      </c>
      <c r="W25" s="40">
        <v>8</v>
      </c>
      <c r="X25" s="40">
        <v>1</v>
      </c>
      <c r="Y25" s="41">
        <v>1</v>
      </c>
      <c r="Z25" s="40" t="s">
        <v>45</v>
      </c>
      <c r="AA25" s="40" t="s">
        <v>45</v>
      </c>
      <c r="AB25" s="40" t="s">
        <v>45</v>
      </c>
      <c r="AC25" s="40">
        <v>1</v>
      </c>
      <c r="AD25" s="40" t="s">
        <v>45</v>
      </c>
      <c r="AE25" s="40" t="s">
        <v>45</v>
      </c>
      <c r="AF25" s="40" t="s">
        <v>45</v>
      </c>
      <c r="AG25" s="41">
        <v>1</v>
      </c>
      <c r="AH25" s="40">
        <v>4</v>
      </c>
      <c r="AI25" s="40">
        <v>1</v>
      </c>
      <c r="AJ25" s="41">
        <v>1</v>
      </c>
      <c r="AK25" s="43" t="s">
        <v>599</v>
      </c>
      <c r="AL25" s="43" t="s">
        <v>47</v>
      </c>
      <c r="AM25" s="44">
        <f t="shared" si="1"/>
        <v>-1.4705585144753968</v>
      </c>
      <c r="AN25" s="44">
        <f t="shared" si="2"/>
        <v>0.28865078454043575</v>
      </c>
      <c r="AO25" s="45">
        <f t="shared" si="3"/>
        <v>0</v>
      </c>
      <c r="AP25" s="46">
        <f t="shared" si="4"/>
        <v>0</v>
      </c>
      <c r="AQ25" s="44">
        <f>($AM$3*AM25+$AN$3*AN25+$AO$3*AO25+$AP$3*AP25)+$I$3*VLOOKUP(I25,COND!$A$2:$E$7,4,FALSE)+$J$3*VLOOKUP(J25,COND!$A$2:$C$7,2,FALSE)+$K$3*VLOOKUP(K25,COND!$A$2:$C$7,3,FALSE)+IF(AND($B$2&gt;0,$E25&lt;20),$B$2*25,0)</f>
        <v>52.716753563037685</v>
      </c>
      <c r="AR25" s="47">
        <f t="shared" si="5"/>
        <v>1.9033112565953667</v>
      </c>
      <c r="AS25" s="45" t="str">
        <f t="shared" si="6"/>
        <v>3B</v>
      </c>
      <c r="AT25" s="45">
        <f>RANK(Batters[[#This Row],[zScore]],Batters[[#All],[zScore]])</f>
        <v>21</v>
      </c>
      <c r="AU25" s="45"/>
      <c r="AV25" s="45"/>
      <c r="AW25" s="45" t="str">
        <f t="shared" si="7"/>
        <v>Possible</v>
      </c>
      <c r="AX25" s="45"/>
      <c r="AY25" s="45">
        <f>INDEX(Table5[[#All],[Ovr]],MATCH(Batters[[#This Row],[PID]],Table5[[#All],[PID]],0))</f>
        <v>96</v>
      </c>
      <c r="AZ25" s="45" t="str">
        <f>INDEX(Table5[[#All],[Rnd]],MATCH(Batters[[#This Row],[PID]],Table5[[#All],[PID]],0))</f>
        <v>3</v>
      </c>
      <c r="BA25" s="45">
        <f>INDEX(Table5[[#All],[Pick]],MATCH(Batters[[#This Row],[PID]],Table5[[#All],[PID]],0))</f>
        <v>28</v>
      </c>
      <c r="BB25" s="45" t="str">
        <f>INDEX(Table5[[#All],[Team]],MATCH(Batters[[#This Row],[PID]],Table5[[#All],[PID]],0))</f>
        <v>Kalamazoo Badgers</v>
      </c>
    </row>
    <row r="26" spans="1:54" ht="15" customHeight="1" x14ac:dyDescent="0.25">
      <c r="A26" s="40">
        <v>20673</v>
      </c>
      <c r="B26" s="40" t="s">
        <v>50</v>
      </c>
      <c r="C26" s="40" t="s">
        <v>1164</v>
      </c>
      <c r="D26" s="40" t="s">
        <v>1165</v>
      </c>
      <c r="E26" s="40">
        <v>17</v>
      </c>
      <c r="F26" s="40" t="s">
        <v>53</v>
      </c>
      <c r="G26" s="40" t="s">
        <v>53</v>
      </c>
      <c r="H26" s="41" t="s">
        <v>633</v>
      </c>
      <c r="I26" s="65" t="s">
        <v>43</v>
      </c>
      <c r="J26" s="66" t="s">
        <v>43</v>
      </c>
      <c r="K26" s="67" t="s">
        <v>43</v>
      </c>
      <c r="L26" s="40">
        <v>1</v>
      </c>
      <c r="M26" s="40">
        <v>2</v>
      </c>
      <c r="N26" s="40">
        <v>5</v>
      </c>
      <c r="O26" s="40">
        <v>3</v>
      </c>
      <c r="P26" s="41">
        <v>1</v>
      </c>
      <c r="Q26" s="40">
        <v>4</v>
      </c>
      <c r="R26" s="40">
        <v>4</v>
      </c>
      <c r="S26" s="40">
        <v>8</v>
      </c>
      <c r="T26" s="40">
        <v>7</v>
      </c>
      <c r="U26" s="41">
        <v>3</v>
      </c>
      <c r="V26" s="40">
        <v>4</v>
      </c>
      <c r="W26" s="40">
        <v>6</v>
      </c>
      <c r="X26" s="40">
        <v>1</v>
      </c>
      <c r="Y26" s="41">
        <v>1</v>
      </c>
      <c r="Z26" s="40" t="s">
        <v>45</v>
      </c>
      <c r="AA26" s="40" t="s">
        <v>45</v>
      </c>
      <c r="AB26" s="40" t="s">
        <v>45</v>
      </c>
      <c r="AC26" s="40" t="s">
        <v>45</v>
      </c>
      <c r="AD26" s="40" t="s">
        <v>45</v>
      </c>
      <c r="AE26" s="40">
        <v>2</v>
      </c>
      <c r="AF26" s="40" t="s">
        <v>45</v>
      </c>
      <c r="AG26" s="41">
        <v>1</v>
      </c>
      <c r="AH26" s="40">
        <v>6</v>
      </c>
      <c r="AI26" s="40">
        <v>6</v>
      </c>
      <c r="AJ26" s="41">
        <v>3</v>
      </c>
      <c r="AK26" s="43" t="s">
        <v>553</v>
      </c>
      <c r="AL26" s="43" t="s">
        <v>47</v>
      </c>
      <c r="AM26" s="44">
        <f t="shared" si="1"/>
        <v>-1.5216183940940999</v>
      </c>
      <c r="AN26" s="44">
        <f t="shared" si="2"/>
        <v>0.23622423549552629</v>
      </c>
      <c r="AO26" s="45">
        <f t="shared" si="3"/>
        <v>0</v>
      </c>
      <c r="AP26" s="46">
        <f t="shared" si="4"/>
        <v>0</v>
      </c>
      <c r="AQ26" s="44">
        <f>($AM$3*AM26+$AN$3*AN26+$AO$3*AO26+$AP$3*AP26)+$I$3*VLOOKUP(I26,COND!$A$2:$E$7,4,FALSE)+$J$3*VLOOKUP(J26,COND!$A$2:$C$7,2,FALSE)+$K$3*VLOOKUP(K26,COND!$A$2:$C$7,3,FALSE)+IF(AND($B$2&gt;0,$E26&lt;20),$B$2*25,0)</f>
        <v>52.682528986536909</v>
      </c>
      <c r="AR26" s="47">
        <f t="shared" si="5"/>
        <v>1.8957234366484772</v>
      </c>
      <c r="AS26" s="45" t="str">
        <f t="shared" si="6"/>
        <v>LF</v>
      </c>
      <c r="AT26" s="45">
        <f>RANK(Batters[[#This Row],[zScore]],Batters[[#All],[zScore]])</f>
        <v>22</v>
      </c>
      <c r="AU26" s="45"/>
      <c r="AV26" s="45"/>
      <c r="AW26" s="45" t="str">
        <f t="shared" si="7"/>
        <v>Possible</v>
      </c>
      <c r="AX26" s="45"/>
      <c r="AY26" s="45">
        <f>INDEX(Table5[[#All],[Ovr]],MATCH(Batters[[#This Row],[PID]],Table5[[#All],[PID]],0))</f>
        <v>24</v>
      </c>
      <c r="AZ26" s="45" t="str">
        <f>INDEX(Table5[[#All],[Rnd]],MATCH(Batters[[#This Row],[PID]],Table5[[#All],[PID]],0))</f>
        <v>1</v>
      </c>
      <c r="BA26" s="45">
        <f>INDEX(Table5[[#All],[Pick]],MATCH(Batters[[#This Row],[PID]],Table5[[#All],[PID]],0))</f>
        <v>24</v>
      </c>
      <c r="BB26" s="45" t="str">
        <f>INDEX(Table5[[#All],[Team]],MATCH(Batters[[#This Row],[PID]],Table5[[#All],[PID]],0))</f>
        <v>Yuma Arroyos</v>
      </c>
    </row>
    <row r="27" spans="1:54" ht="15" customHeight="1" x14ac:dyDescent="0.25">
      <c r="A27" s="40">
        <v>20715</v>
      </c>
      <c r="B27" s="40" t="s">
        <v>87</v>
      </c>
      <c r="C27" s="40" t="s">
        <v>1263</v>
      </c>
      <c r="D27" s="40" t="s">
        <v>1264</v>
      </c>
      <c r="E27" s="40">
        <v>17</v>
      </c>
      <c r="F27" s="40" t="s">
        <v>42</v>
      </c>
      <c r="G27" s="40" t="s">
        <v>42</v>
      </c>
      <c r="H27" s="41" t="s">
        <v>634</v>
      </c>
      <c r="I27" s="65" t="s">
        <v>43</v>
      </c>
      <c r="J27" s="66" t="s">
        <v>44</v>
      </c>
      <c r="K27" s="67" t="s">
        <v>43</v>
      </c>
      <c r="L27" s="40">
        <v>1</v>
      </c>
      <c r="M27" s="40">
        <v>2</v>
      </c>
      <c r="N27" s="40">
        <v>3</v>
      </c>
      <c r="O27" s="40">
        <v>2</v>
      </c>
      <c r="P27" s="41">
        <v>1</v>
      </c>
      <c r="Q27" s="40">
        <v>4</v>
      </c>
      <c r="R27" s="40">
        <v>7</v>
      </c>
      <c r="S27" s="40">
        <v>8</v>
      </c>
      <c r="T27" s="40">
        <v>6</v>
      </c>
      <c r="U27" s="41">
        <v>2</v>
      </c>
      <c r="V27" s="40">
        <v>2</v>
      </c>
      <c r="W27" s="40">
        <v>2</v>
      </c>
      <c r="X27" s="40">
        <v>1</v>
      </c>
      <c r="Y27" s="41">
        <v>1</v>
      </c>
      <c r="Z27" s="40" t="s">
        <v>45</v>
      </c>
      <c r="AA27" s="40">
        <v>1</v>
      </c>
      <c r="AB27" s="40" t="s">
        <v>45</v>
      </c>
      <c r="AC27" s="40" t="s">
        <v>45</v>
      </c>
      <c r="AD27" s="40" t="s">
        <v>45</v>
      </c>
      <c r="AE27" s="40" t="s">
        <v>45</v>
      </c>
      <c r="AF27" s="40" t="s">
        <v>45</v>
      </c>
      <c r="AG27" s="41" t="s">
        <v>45</v>
      </c>
      <c r="AH27" s="40">
        <v>1</v>
      </c>
      <c r="AI27" s="40">
        <v>4</v>
      </c>
      <c r="AJ27" s="41">
        <v>1</v>
      </c>
      <c r="AK27" s="43" t="s">
        <v>599</v>
      </c>
      <c r="AL27" s="43" t="s">
        <v>47</v>
      </c>
      <c r="AM27" s="44">
        <f t="shared" si="1"/>
        <v>-1.7774509321514844</v>
      </c>
      <c r="AN27" s="44">
        <f t="shared" si="2"/>
        <v>0.25967798452497232</v>
      </c>
      <c r="AO27" s="45">
        <f t="shared" si="3"/>
        <v>0</v>
      </c>
      <c r="AP27" s="46">
        <f t="shared" si="4"/>
        <v>0</v>
      </c>
      <c r="AQ27" s="44">
        <f>($AM$3*AM27+$AN$3*AN27+$AO$3*AO27+$AP$3*AP27)+$I$3*VLOOKUP(I27,COND!$A$2:$E$7,4,FALSE)+$J$3*VLOOKUP(J27,COND!$A$2:$C$7,2,FALSE)+$K$3*VLOOKUP(K27,COND!$A$2:$C$7,3,FALSE)+IF(AND($B$2&gt;0,$E27&lt;20),$B$2*25,0)</f>
        <v>52.638390721084519</v>
      </c>
      <c r="AR27" s="47">
        <f t="shared" si="5"/>
        <v>1.8859376848506968</v>
      </c>
      <c r="AS27" s="45" t="str">
        <f t="shared" si="6"/>
        <v>1B</v>
      </c>
      <c r="AT27" s="45">
        <f>RANK(Batters[[#This Row],[zScore]],Batters[[#All],[zScore]])</f>
        <v>23</v>
      </c>
      <c r="AU27" s="45"/>
      <c r="AV27" s="45"/>
      <c r="AW27" s="45" t="str">
        <f t="shared" si="7"/>
        <v>Possible</v>
      </c>
      <c r="AX27" s="45"/>
      <c r="AY27" s="45">
        <f>INDEX(Table5[[#All],[Ovr]],MATCH(Batters[[#This Row],[PID]],Table5[[#All],[PID]],0))</f>
        <v>162</v>
      </c>
      <c r="AZ27" s="45" t="str">
        <f>INDEX(Table5[[#All],[Rnd]],MATCH(Batters[[#This Row],[PID]],Table5[[#All],[PID]],0))</f>
        <v>6</v>
      </c>
      <c r="BA27" s="45">
        <f>INDEX(Table5[[#All],[Pick]],MATCH(Batters[[#This Row],[PID]],Table5[[#All],[PID]],0))</f>
        <v>4</v>
      </c>
      <c r="BB27" s="45" t="str">
        <f>INDEX(Table5[[#All],[Team]],MATCH(Batters[[#This Row],[PID]],Table5[[#All],[PID]],0))</f>
        <v>Tempe Knights</v>
      </c>
    </row>
    <row r="28" spans="1:54" ht="15" customHeight="1" x14ac:dyDescent="0.25">
      <c r="A28" s="40">
        <v>20640</v>
      </c>
      <c r="B28" s="40" t="s">
        <v>87</v>
      </c>
      <c r="C28" s="40" t="s">
        <v>1182</v>
      </c>
      <c r="D28" s="40" t="s">
        <v>1183</v>
      </c>
      <c r="E28" s="40">
        <v>18</v>
      </c>
      <c r="F28" s="40" t="s">
        <v>42</v>
      </c>
      <c r="G28" s="40" t="s">
        <v>42</v>
      </c>
      <c r="H28" s="41" t="s">
        <v>633</v>
      </c>
      <c r="I28" s="65" t="s">
        <v>43</v>
      </c>
      <c r="J28" s="66" t="s">
        <v>44</v>
      </c>
      <c r="K28" s="67" t="s">
        <v>43</v>
      </c>
      <c r="L28" s="40">
        <v>1</v>
      </c>
      <c r="M28" s="40">
        <v>4</v>
      </c>
      <c r="N28" s="40">
        <v>5</v>
      </c>
      <c r="O28" s="40">
        <v>3</v>
      </c>
      <c r="P28" s="41">
        <v>1</v>
      </c>
      <c r="Q28" s="40">
        <v>4</v>
      </c>
      <c r="R28" s="40">
        <v>6</v>
      </c>
      <c r="S28" s="40">
        <v>8</v>
      </c>
      <c r="T28" s="40">
        <v>6</v>
      </c>
      <c r="U28" s="41">
        <v>3</v>
      </c>
      <c r="V28" s="40">
        <v>3</v>
      </c>
      <c r="W28" s="40">
        <v>3</v>
      </c>
      <c r="X28" s="40">
        <v>1</v>
      </c>
      <c r="Y28" s="41">
        <v>1</v>
      </c>
      <c r="Z28" s="40" t="s">
        <v>45</v>
      </c>
      <c r="AA28" s="40">
        <v>1</v>
      </c>
      <c r="AB28" s="40" t="s">
        <v>45</v>
      </c>
      <c r="AC28" s="40" t="s">
        <v>45</v>
      </c>
      <c r="AD28" s="40" t="s">
        <v>45</v>
      </c>
      <c r="AE28" s="40" t="s">
        <v>45</v>
      </c>
      <c r="AF28" s="40" t="s">
        <v>45</v>
      </c>
      <c r="AG28" s="41" t="s">
        <v>45</v>
      </c>
      <c r="AH28" s="40">
        <v>3</v>
      </c>
      <c r="AI28" s="40">
        <v>1</v>
      </c>
      <c r="AJ28" s="41">
        <v>1</v>
      </c>
      <c r="AK28" s="43" t="s">
        <v>553</v>
      </c>
      <c r="AL28" s="43" t="s">
        <v>635</v>
      </c>
      <c r="AM28" s="44">
        <f t="shared" si="1"/>
        <v>-1.4194986348566934</v>
      </c>
      <c r="AN28" s="44">
        <f t="shared" si="2"/>
        <v>0.24863444472335228</v>
      </c>
      <c r="AO28" s="45">
        <f t="shared" si="3"/>
        <v>0</v>
      </c>
      <c r="AP28" s="46">
        <f t="shared" si="4"/>
        <v>0</v>
      </c>
      <c r="AQ28" s="44">
        <f>($AM$3*AM28+$AN$3*AN28+$AO$3*AO28+$AP$3*AP28)+$I$3*VLOOKUP(I28,COND!$A$2:$E$7,4,FALSE)+$J$3*VLOOKUP(J28,COND!$A$2:$C$7,2,FALSE)+$K$3*VLOOKUP(K28,COND!$A$2:$C$7,3,FALSE)+IF(AND($B$2&gt;0,$E28&lt;20),$B$2*25,0)</f>
        <v>52.541663473194561</v>
      </c>
      <c r="AR28" s="47">
        <f t="shared" si="5"/>
        <v>1.864492600177976</v>
      </c>
      <c r="AS28" s="45" t="str">
        <f t="shared" si="6"/>
        <v>1B</v>
      </c>
      <c r="AT28" s="45">
        <f>RANK(Batters[[#This Row],[zScore]],Batters[[#All],[zScore]])</f>
        <v>24</v>
      </c>
      <c r="AU28" s="45"/>
      <c r="AV28" s="45"/>
      <c r="AW28" s="45" t="str">
        <f t="shared" si="7"/>
        <v>Possible</v>
      </c>
      <c r="AX28" s="45"/>
      <c r="AY28" s="45">
        <f>INDEX(Table5[[#All],[Ovr]],MATCH(Batters[[#This Row],[PID]],Table5[[#All],[PID]],0))</f>
        <v>180</v>
      </c>
      <c r="AZ28" s="45" t="str">
        <f>INDEX(Table5[[#All],[Rnd]],MATCH(Batters[[#This Row],[PID]],Table5[[#All],[PID]],0))</f>
        <v>6</v>
      </c>
      <c r="BA28" s="45">
        <f>INDEX(Table5[[#All],[Pick]],MATCH(Batters[[#This Row],[PID]],Table5[[#All],[PID]],0))</f>
        <v>22</v>
      </c>
      <c r="BB28" s="45" t="str">
        <f>INDEX(Table5[[#All],[Team]],MATCH(Batters[[#This Row],[PID]],Table5[[#All],[PID]],0))</f>
        <v>Fargo Dinosaurs</v>
      </c>
    </row>
    <row r="29" spans="1:54" ht="15" customHeight="1" x14ac:dyDescent="0.25">
      <c r="A29" s="40">
        <v>18244</v>
      </c>
      <c r="B29" s="40" t="s">
        <v>50</v>
      </c>
      <c r="C29" s="40" t="s">
        <v>126</v>
      </c>
      <c r="D29" s="40" t="s">
        <v>1239</v>
      </c>
      <c r="E29" s="40">
        <v>18</v>
      </c>
      <c r="F29" s="40" t="s">
        <v>42</v>
      </c>
      <c r="G29" s="40" t="s">
        <v>42</v>
      </c>
      <c r="H29" s="41" t="s">
        <v>634</v>
      </c>
      <c r="I29" s="65" t="s">
        <v>43</v>
      </c>
      <c r="J29" s="66" t="s">
        <v>43</v>
      </c>
      <c r="K29" s="67" t="s">
        <v>43</v>
      </c>
      <c r="L29" s="40">
        <v>2</v>
      </c>
      <c r="M29" s="40">
        <v>2</v>
      </c>
      <c r="N29" s="40">
        <v>3</v>
      </c>
      <c r="O29" s="40">
        <v>2</v>
      </c>
      <c r="P29" s="41">
        <v>1</v>
      </c>
      <c r="Q29" s="40">
        <v>4</v>
      </c>
      <c r="R29" s="40">
        <v>6</v>
      </c>
      <c r="S29" s="40">
        <v>7</v>
      </c>
      <c r="T29" s="40">
        <v>6</v>
      </c>
      <c r="U29" s="41">
        <v>4</v>
      </c>
      <c r="V29" s="40">
        <v>1</v>
      </c>
      <c r="W29" s="40">
        <v>5</v>
      </c>
      <c r="X29" s="40">
        <v>1</v>
      </c>
      <c r="Y29" s="41">
        <v>1</v>
      </c>
      <c r="Z29" s="40" t="s">
        <v>45</v>
      </c>
      <c r="AA29" s="40" t="s">
        <v>45</v>
      </c>
      <c r="AB29" s="40" t="s">
        <v>45</v>
      </c>
      <c r="AC29" s="40" t="s">
        <v>45</v>
      </c>
      <c r="AD29" s="40" t="s">
        <v>45</v>
      </c>
      <c r="AE29" s="40">
        <v>2</v>
      </c>
      <c r="AF29" s="40" t="s">
        <v>45</v>
      </c>
      <c r="AG29" s="41" t="s">
        <v>45</v>
      </c>
      <c r="AH29" s="40">
        <v>5</v>
      </c>
      <c r="AI29" s="40">
        <v>5</v>
      </c>
      <c r="AJ29" s="41">
        <v>3</v>
      </c>
      <c r="AK29" s="43" t="s">
        <v>558</v>
      </c>
      <c r="AL29" s="43" t="s">
        <v>47</v>
      </c>
      <c r="AM29" s="44">
        <f t="shared" si="1"/>
        <v>-1.4548950959488096</v>
      </c>
      <c r="AN29" s="44">
        <f t="shared" si="2"/>
        <v>0.20558929051653421</v>
      </c>
      <c r="AO29" s="45">
        <f t="shared" si="3"/>
        <v>0</v>
      </c>
      <c r="AP29" s="46">
        <f t="shared" si="4"/>
        <v>0</v>
      </c>
      <c r="AQ29" s="44">
        <f>($AM$3*AM29+$AN$3*AN29+$AO$3*AO29+$AP$3*AP29)+$I$3*VLOOKUP(I29,COND!$A$2:$E$7,4,FALSE)+$J$3*VLOOKUP(J29,COND!$A$2:$C$7,2,FALSE)+$K$3*VLOOKUP(K29,COND!$A$2:$C$7,3,FALSE)+IF(AND($B$2&gt;0,$E29&lt;20),$B$2*25,0)</f>
        <v>52.321581976603525</v>
      </c>
      <c r="AR29" s="47">
        <f t="shared" si="5"/>
        <v>1.8156990447708878</v>
      </c>
      <c r="AS29" s="45" t="str">
        <f t="shared" si="6"/>
        <v>LF</v>
      </c>
      <c r="AT29" s="45">
        <f>RANK(Batters[[#This Row],[zScore]],Batters[[#All],[zScore]])</f>
        <v>25</v>
      </c>
      <c r="AU29" s="45"/>
      <c r="AV29" s="45"/>
      <c r="AW29" s="45" t="str">
        <f t="shared" si="7"/>
        <v>Possible</v>
      </c>
      <c r="AX29" s="45"/>
      <c r="AY29" s="45">
        <f>INDEX(Table5[[#All],[Ovr]],MATCH(Batters[[#This Row],[PID]],Table5[[#All],[PID]],0))</f>
        <v>119</v>
      </c>
      <c r="AZ29" s="45" t="str">
        <f>INDEX(Table5[[#All],[Rnd]],MATCH(Batters[[#This Row],[PID]],Table5[[#All],[PID]],0))</f>
        <v>4</v>
      </c>
      <c r="BA29" s="45">
        <f>INDEX(Table5[[#All],[Pick]],MATCH(Batters[[#This Row],[PID]],Table5[[#All],[PID]],0))</f>
        <v>19</v>
      </c>
      <c r="BB29" s="45" t="str">
        <f>INDEX(Table5[[#All],[Team]],MATCH(Batters[[#This Row],[PID]],Table5[[#All],[PID]],0))</f>
        <v>Tempe Knights</v>
      </c>
    </row>
    <row r="30" spans="1:54" ht="15" customHeight="1" x14ac:dyDescent="0.25">
      <c r="A30" s="40">
        <v>18164</v>
      </c>
      <c r="B30" s="40" t="s">
        <v>66</v>
      </c>
      <c r="C30" s="40" t="s">
        <v>440</v>
      </c>
      <c r="D30" s="40" t="s">
        <v>1260</v>
      </c>
      <c r="E30" s="40">
        <v>21</v>
      </c>
      <c r="F30" s="40" t="s">
        <v>62</v>
      </c>
      <c r="G30" s="40" t="s">
        <v>42</v>
      </c>
      <c r="H30" s="41" t="s">
        <v>634</v>
      </c>
      <c r="I30" s="65" t="s">
        <v>44</v>
      </c>
      <c r="J30" s="66" t="s">
        <v>47</v>
      </c>
      <c r="K30" s="67" t="s">
        <v>43</v>
      </c>
      <c r="L30" s="40">
        <v>3</v>
      </c>
      <c r="M30" s="40">
        <v>5</v>
      </c>
      <c r="N30" s="40">
        <v>4</v>
      </c>
      <c r="O30" s="40">
        <v>5</v>
      </c>
      <c r="P30" s="41">
        <v>3</v>
      </c>
      <c r="Q30" s="40">
        <v>5</v>
      </c>
      <c r="R30" s="40">
        <v>7</v>
      </c>
      <c r="S30" s="40">
        <v>6</v>
      </c>
      <c r="T30" s="40">
        <v>7</v>
      </c>
      <c r="U30" s="41">
        <v>4</v>
      </c>
      <c r="V30" s="40">
        <v>8</v>
      </c>
      <c r="W30" s="40">
        <v>10</v>
      </c>
      <c r="X30" s="40">
        <v>1</v>
      </c>
      <c r="Y30" s="41">
        <v>1</v>
      </c>
      <c r="Z30" s="40" t="s">
        <v>45</v>
      </c>
      <c r="AA30" s="40" t="s">
        <v>45</v>
      </c>
      <c r="AB30" s="40" t="s">
        <v>45</v>
      </c>
      <c r="AC30" s="40" t="s">
        <v>45</v>
      </c>
      <c r="AD30" s="40" t="s">
        <v>45</v>
      </c>
      <c r="AE30" s="40" t="s">
        <v>45</v>
      </c>
      <c r="AF30" s="40" t="s">
        <v>45</v>
      </c>
      <c r="AG30" s="41">
        <v>3</v>
      </c>
      <c r="AH30" s="40">
        <v>3</v>
      </c>
      <c r="AI30" s="40">
        <v>1</v>
      </c>
      <c r="AJ30" s="41">
        <v>1</v>
      </c>
      <c r="AK30" s="43" t="s">
        <v>643</v>
      </c>
      <c r="AL30" s="43" t="s">
        <v>47</v>
      </c>
      <c r="AM30" s="44">
        <f t="shared" si="1"/>
        <v>-0.54693679720321298</v>
      </c>
      <c r="AN30" s="44">
        <f t="shared" si="2"/>
        <v>0.58585306232359202</v>
      </c>
      <c r="AO30" s="45">
        <f t="shared" si="3"/>
        <v>0</v>
      </c>
      <c r="AP30" s="46">
        <f t="shared" si="4"/>
        <v>0</v>
      </c>
      <c r="AQ30" s="44">
        <f>($AM$3*AM30+$AN$3*AN30+$AO$3*AO30+$AP$3*AP30)+$I$3*VLOOKUP(I30,COND!$A$2:$E$7,4,FALSE)+$J$3*VLOOKUP(J30,COND!$A$2:$C$7,2,FALSE)+$K$3*VLOOKUP(K30,COND!$A$2:$C$7,3,FALSE)+IF(AND($B$2&gt;0,$E30&lt;20),$B$2*25,0)</f>
        <v>52.125543068162784</v>
      </c>
      <c r="AR30" s="47">
        <f t="shared" si="5"/>
        <v>1.7722358936695335</v>
      </c>
      <c r="AS30" s="45" t="str">
        <f t="shared" si="6"/>
        <v>RF</v>
      </c>
      <c r="AT30" s="45">
        <f>RANK(Batters[[#This Row],[zScore]],Batters[[#All],[zScore]])</f>
        <v>26</v>
      </c>
      <c r="AU30" s="45"/>
      <c r="AV30" s="45"/>
      <c r="AW30" s="45" t="str">
        <f t="shared" si="7"/>
        <v>Possible</v>
      </c>
      <c r="AX30" s="45"/>
      <c r="AY30" s="45">
        <f>INDEX(Table5[[#All],[Ovr]],MATCH(Batters[[#This Row],[PID]],Table5[[#All],[PID]],0))</f>
        <v>44</v>
      </c>
      <c r="AZ30" s="45" t="str">
        <f>INDEX(Table5[[#All],[Rnd]],MATCH(Batters[[#This Row],[PID]],Table5[[#All],[PID]],0))</f>
        <v>2</v>
      </c>
      <c r="BA30" s="45">
        <f>INDEX(Table5[[#All],[Pick]],MATCH(Batters[[#This Row],[PID]],Table5[[#All],[PID]],0))</f>
        <v>9</v>
      </c>
      <c r="BB30" s="45" t="str">
        <f>INDEX(Table5[[#All],[Team]],MATCH(Batters[[#This Row],[PID]],Table5[[#All],[PID]],0))</f>
        <v>Kalamazoo Badgers</v>
      </c>
    </row>
    <row r="31" spans="1:54" ht="15" customHeight="1" x14ac:dyDescent="0.25">
      <c r="A31" s="40">
        <v>20445</v>
      </c>
      <c r="B31" s="40" t="s">
        <v>74</v>
      </c>
      <c r="C31" s="40" t="s">
        <v>692</v>
      </c>
      <c r="D31" s="40" t="s">
        <v>393</v>
      </c>
      <c r="E31" s="40">
        <v>18</v>
      </c>
      <c r="F31" s="40" t="s">
        <v>42</v>
      </c>
      <c r="G31" s="40" t="s">
        <v>42</v>
      </c>
      <c r="H31" s="41" t="s">
        <v>634</v>
      </c>
      <c r="I31" s="65" t="s">
        <v>43</v>
      </c>
      <c r="J31" s="66" t="s">
        <v>47</v>
      </c>
      <c r="K31" s="67" t="s">
        <v>43</v>
      </c>
      <c r="L31" s="40">
        <v>1</v>
      </c>
      <c r="M31" s="40">
        <v>3</v>
      </c>
      <c r="N31" s="40">
        <v>3</v>
      </c>
      <c r="O31" s="40">
        <v>4</v>
      </c>
      <c r="P31" s="41">
        <v>2</v>
      </c>
      <c r="Q31" s="40">
        <v>4</v>
      </c>
      <c r="R31" s="40">
        <v>5</v>
      </c>
      <c r="S31" s="40">
        <v>6</v>
      </c>
      <c r="T31" s="40">
        <v>7</v>
      </c>
      <c r="U31" s="41">
        <v>4</v>
      </c>
      <c r="V31" s="40">
        <v>4</v>
      </c>
      <c r="W31" s="40">
        <v>6</v>
      </c>
      <c r="X31" s="40">
        <v>1</v>
      </c>
      <c r="Y31" s="41">
        <v>1</v>
      </c>
      <c r="Z31" s="40" t="s">
        <v>45</v>
      </c>
      <c r="AA31" s="40" t="s">
        <v>45</v>
      </c>
      <c r="AB31" s="40" t="s">
        <v>45</v>
      </c>
      <c r="AC31" s="40" t="s">
        <v>45</v>
      </c>
      <c r="AD31" s="40" t="s">
        <v>45</v>
      </c>
      <c r="AE31" s="40" t="s">
        <v>45</v>
      </c>
      <c r="AF31" s="40">
        <v>2</v>
      </c>
      <c r="AG31" s="41">
        <v>1</v>
      </c>
      <c r="AH31" s="40">
        <v>6</v>
      </c>
      <c r="AI31" s="40">
        <v>5</v>
      </c>
      <c r="AJ31" s="41">
        <v>3</v>
      </c>
      <c r="AK31" s="43" t="s">
        <v>556</v>
      </c>
      <c r="AL31" s="43" t="s">
        <v>47</v>
      </c>
      <c r="AM31" s="44">
        <f t="shared" si="1"/>
        <v>-1.5069556126965353</v>
      </c>
      <c r="AN31" s="44">
        <f t="shared" si="2"/>
        <v>0.16117746688351023</v>
      </c>
      <c r="AO31" s="45">
        <f t="shared" si="3"/>
        <v>0</v>
      </c>
      <c r="AP31" s="46">
        <f t="shared" si="4"/>
        <v>0</v>
      </c>
      <c r="AQ31" s="44">
        <f>($AM$3*AM31+$AN$3*AN31+$AO$3*AO31+$AP$3*AP31)+$I$3*VLOOKUP(I31,COND!$A$2:$E$7,4,FALSE)+$J$3*VLOOKUP(J31,COND!$A$2:$C$7,2,FALSE)+$K$3*VLOOKUP(K31,COND!$A$2:$C$7,3,FALSE)+IF(AND($B$2&gt;0,$E31&lt;20),$B$2*25,0)</f>
        <v>52.083434041332467</v>
      </c>
      <c r="AR31" s="47">
        <f t="shared" si="5"/>
        <v>1.7629000377906465</v>
      </c>
      <c r="AS31" s="45" t="str">
        <f t="shared" si="6"/>
        <v>CF</v>
      </c>
      <c r="AT31" s="45">
        <f>RANK(Batters[[#This Row],[zScore]],Batters[[#All],[zScore]])</f>
        <v>27</v>
      </c>
      <c r="AU31" s="45"/>
      <c r="AV31" s="45"/>
      <c r="AW31" s="45" t="str">
        <f t="shared" si="7"/>
        <v>Possible</v>
      </c>
      <c r="AX31" s="45"/>
      <c r="AY31" s="45">
        <f>INDEX(Table5[[#All],[Ovr]],MATCH(Batters[[#This Row],[PID]],Table5[[#All],[PID]],0))</f>
        <v>77</v>
      </c>
      <c r="AZ31" s="45" t="str">
        <f>INDEX(Table5[[#All],[Rnd]],MATCH(Batters[[#This Row],[PID]],Table5[[#All],[PID]],0))</f>
        <v>3</v>
      </c>
      <c r="BA31" s="45">
        <f>INDEX(Table5[[#All],[Pick]],MATCH(Batters[[#This Row],[PID]],Table5[[#All],[PID]],0))</f>
        <v>9</v>
      </c>
      <c r="BB31" s="45" t="str">
        <f>INDEX(Table5[[#All],[Team]],MATCH(Batters[[#This Row],[PID]],Table5[[#All],[PID]],0))</f>
        <v>Scottish Claymores</v>
      </c>
    </row>
    <row r="32" spans="1:54" ht="15" customHeight="1" x14ac:dyDescent="0.25">
      <c r="A32" s="40">
        <v>20523</v>
      </c>
      <c r="B32" s="40" t="s">
        <v>50</v>
      </c>
      <c r="C32" s="40" t="s">
        <v>1191</v>
      </c>
      <c r="D32" s="40" t="s">
        <v>1192</v>
      </c>
      <c r="E32" s="40">
        <v>18</v>
      </c>
      <c r="F32" s="40" t="s">
        <v>42</v>
      </c>
      <c r="G32" s="40" t="s">
        <v>42</v>
      </c>
      <c r="H32" s="41" t="s">
        <v>633</v>
      </c>
      <c r="I32" s="65" t="s">
        <v>43</v>
      </c>
      <c r="J32" s="66" t="s">
        <v>43</v>
      </c>
      <c r="K32" s="67" t="s">
        <v>44</v>
      </c>
      <c r="L32" s="40">
        <v>1</v>
      </c>
      <c r="M32" s="40">
        <v>2</v>
      </c>
      <c r="N32" s="40">
        <v>5</v>
      </c>
      <c r="O32" s="40">
        <v>3</v>
      </c>
      <c r="P32" s="41">
        <v>1</v>
      </c>
      <c r="Q32" s="40">
        <v>4</v>
      </c>
      <c r="R32" s="40">
        <v>3</v>
      </c>
      <c r="S32" s="40">
        <v>8</v>
      </c>
      <c r="T32" s="40">
        <v>7</v>
      </c>
      <c r="U32" s="41">
        <v>3</v>
      </c>
      <c r="V32" s="40">
        <v>3</v>
      </c>
      <c r="W32" s="40">
        <v>5</v>
      </c>
      <c r="X32" s="40">
        <v>1</v>
      </c>
      <c r="Y32" s="41">
        <v>1</v>
      </c>
      <c r="Z32" s="40" t="s">
        <v>45</v>
      </c>
      <c r="AA32" s="40" t="s">
        <v>45</v>
      </c>
      <c r="AB32" s="40" t="s">
        <v>45</v>
      </c>
      <c r="AC32" s="40" t="s">
        <v>45</v>
      </c>
      <c r="AD32" s="40" t="s">
        <v>45</v>
      </c>
      <c r="AE32" s="40">
        <v>5</v>
      </c>
      <c r="AF32" s="40">
        <v>1</v>
      </c>
      <c r="AG32" s="41">
        <v>1</v>
      </c>
      <c r="AH32" s="40">
        <v>8</v>
      </c>
      <c r="AI32" s="40">
        <v>5</v>
      </c>
      <c r="AJ32" s="41">
        <v>3</v>
      </c>
      <c r="AK32" s="43" t="s">
        <v>553</v>
      </c>
      <c r="AL32" s="43" t="s">
        <v>47</v>
      </c>
      <c r="AM32" s="44">
        <f t="shared" si="1"/>
        <v>-1.5216183940940999</v>
      </c>
      <c r="AN32" s="44">
        <f t="shared" si="2"/>
        <v>0.18516435587682287</v>
      </c>
      <c r="AO32" s="45">
        <f t="shared" si="3"/>
        <v>1</v>
      </c>
      <c r="AP32" s="46">
        <f t="shared" si="4"/>
        <v>0</v>
      </c>
      <c r="AQ32" s="44">
        <f>($AM$3*AM32+$AN$3*AN32+$AO$3*AO32+$AP$3*AP32)+$I$3*VLOOKUP(I32,COND!$A$2:$E$7,4,FALSE)+$J$3*VLOOKUP(J32,COND!$A$2:$C$7,2,FALSE)+$K$3*VLOOKUP(K32,COND!$A$2:$C$7,3,FALSE)+IF(AND($B$2&gt;0,$E32&lt;20),$B$2*25,0)</f>
        <v>51.936477097779132</v>
      </c>
      <c r="AR32" s="47">
        <f t="shared" si="5"/>
        <v>1.7303186900681227</v>
      </c>
      <c r="AS32" s="45" t="str">
        <f t="shared" si="6"/>
        <v>LF</v>
      </c>
      <c r="AT32" s="45">
        <f>RANK(Batters[[#This Row],[zScore]],Batters[[#All],[zScore]])</f>
        <v>28</v>
      </c>
      <c r="AU32" s="45"/>
      <c r="AV32" s="45"/>
      <c r="AW32" s="45" t="str">
        <f t="shared" si="7"/>
        <v>Possible</v>
      </c>
      <c r="AX32" s="45"/>
      <c r="AY32" s="45">
        <f>INDEX(Table5[[#All],[Ovr]],MATCH(Batters[[#This Row],[PID]],Table5[[#All],[PID]],0))</f>
        <v>105</v>
      </c>
      <c r="AZ32" s="45" t="str">
        <f>INDEX(Table5[[#All],[Rnd]],MATCH(Batters[[#This Row],[PID]],Table5[[#All],[PID]],0))</f>
        <v>4</v>
      </c>
      <c r="BA32" s="45">
        <f>INDEX(Table5[[#All],[Pick]],MATCH(Batters[[#This Row],[PID]],Table5[[#All],[PID]],0))</f>
        <v>5</v>
      </c>
      <c r="BB32" s="45" t="str">
        <f>INDEX(Table5[[#All],[Team]],MATCH(Batters[[#This Row],[PID]],Table5[[#All],[PID]],0))</f>
        <v>Tempe Knights</v>
      </c>
    </row>
    <row r="33" spans="1:54" ht="15" customHeight="1" x14ac:dyDescent="0.25">
      <c r="A33" s="40">
        <v>20646</v>
      </c>
      <c r="B33" s="40" t="s">
        <v>66</v>
      </c>
      <c r="C33" s="40" t="s">
        <v>572</v>
      </c>
      <c r="D33" s="40" t="s">
        <v>648</v>
      </c>
      <c r="E33" s="40">
        <v>17</v>
      </c>
      <c r="F33" s="40" t="s">
        <v>53</v>
      </c>
      <c r="G33" s="40" t="s">
        <v>53</v>
      </c>
      <c r="H33" s="41" t="s">
        <v>634</v>
      </c>
      <c r="I33" s="65" t="s">
        <v>43</v>
      </c>
      <c r="J33" s="66" t="s">
        <v>47</v>
      </c>
      <c r="K33" s="67" t="s">
        <v>43</v>
      </c>
      <c r="L33" s="40">
        <v>1</v>
      </c>
      <c r="M33" s="40">
        <v>5</v>
      </c>
      <c r="N33" s="40">
        <v>2</v>
      </c>
      <c r="O33" s="40">
        <v>3</v>
      </c>
      <c r="P33" s="41">
        <v>1</v>
      </c>
      <c r="Q33" s="40">
        <v>4</v>
      </c>
      <c r="R33" s="40">
        <v>8</v>
      </c>
      <c r="S33" s="40">
        <v>4</v>
      </c>
      <c r="T33" s="40">
        <v>7</v>
      </c>
      <c r="U33" s="41">
        <v>4</v>
      </c>
      <c r="V33" s="40">
        <v>7</v>
      </c>
      <c r="W33" s="40">
        <v>8</v>
      </c>
      <c r="X33" s="40">
        <v>1</v>
      </c>
      <c r="Y33" s="41">
        <v>1</v>
      </c>
      <c r="Z33" s="40" t="s">
        <v>45</v>
      </c>
      <c r="AA33" s="40" t="s">
        <v>45</v>
      </c>
      <c r="AB33" s="40" t="s">
        <v>45</v>
      </c>
      <c r="AC33" s="40" t="s">
        <v>45</v>
      </c>
      <c r="AD33" s="40" t="s">
        <v>45</v>
      </c>
      <c r="AE33" s="40" t="s">
        <v>45</v>
      </c>
      <c r="AF33" s="40" t="s">
        <v>45</v>
      </c>
      <c r="AG33" s="41">
        <v>1</v>
      </c>
      <c r="AH33" s="40">
        <v>2</v>
      </c>
      <c r="AI33" s="40">
        <v>1</v>
      </c>
      <c r="AJ33" s="41">
        <v>1</v>
      </c>
      <c r="AK33" s="43" t="s">
        <v>670</v>
      </c>
      <c r="AL33" s="43" t="s">
        <v>47</v>
      </c>
      <c r="AM33" s="44">
        <f t="shared" si="1"/>
        <v>-1.6176232373096944</v>
      </c>
      <c r="AN33" s="44">
        <f t="shared" si="2"/>
        <v>0.14823411769181774</v>
      </c>
      <c r="AO33" s="45">
        <f t="shared" si="3"/>
        <v>0</v>
      </c>
      <c r="AP33" s="46">
        <f t="shared" si="4"/>
        <v>0</v>
      </c>
      <c r="AQ33" s="44">
        <f>($AM$3*AM33+$AN$3*AN33+$AO$3*AO33+$AP$3*AP33)+$I$3*VLOOKUP(I33,COND!$A$2:$E$7,4,FALSE)+$J$3*VLOOKUP(J33,COND!$A$2:$C$7,2,FALSE)+$K$3*VLOOKUP(K33,COND!$A$2:$C$7,3,FALSE)+IF(AND($B$2&gt;0,$E33&lt;20),$B$2*25,0)</f>
        <v>51.91704708857084</v>
      </c>
      <c r="AR33" s="47">
        <f t="shared" si="5"/>
        <v>1.7260109256919709</v>
      </c>
      <c r="AS33" s="45" t="str">
        <f t="shared" si="6"/>
        <v>RF</v>
      </c>
      <c r="AT33" s="45">
        <f>RANK(Batters[[#This Row],[zScore]],Batters[[#All],[zScore]])</f>
        <v>29</v>
      </c>
      <c r="AU33" s="45"/>
      <c r="AV33" s="45"/>
      <c r="AW33" s="45" t="str">
        <f t="shared" si="7"/>
        <v>Unlikely</v>
      </c>
      <c r="AX33" s="45"/>
      <c r="AY33" s="45">
        <f>INDEX(Table5[[#All],[Ovr]],MATCH(Batters[[#This Row],[PID]],Table5[[#All],[PID]],0))</f>
        <v>237</v>
      </c>
      <c r="AZ33" s="45" t="str">
        <f>INDEX(Table5[[#All],[Rnd]],MATCH(Batters[[#This Row],[PID]],Table5[[#All],[PID]],0))</f>
        <v>8</v>
      </c>
      <c r="BA33" s="45">
        <f>INDEX(Table5[[#All],[Pick]],MATCH(Batters[[#This Row],[PID]],Table5[[#All],[PID]],0))</f>
        <v>19</v>
      </c>
      <c r="BB33" s="45" t="str">
        <f>INDEX(Table5[[#All],[Team]],MATCH(Batters[[#This Row],[PID]],Table5[[#All],[PID]],0))</f>
        <v>Scottish Claymores</v>
      </c>
    </row>
    <row r="34" spans="1:54" ht="15" customHeight="1" x14ac:dyDescent="0.25">
      <c r="A34" s="40">
        <v>20649</v>
      </c>
      <c r="B34" s="40" t="s">
        <v>87</v>
      </c>
      <c r="C34" s="40" t="s">
        <v>1352</v>
      </c>
      <c r="D34" s="40" t="s">
        <v>1353</v>
      </c>
      <c r="E34" s="40">
        <v>17</v>
      </c>
      <c r="F34" s="40" t="s">
        <v>53</v>
      </c>
      <c r="G34" s="40" t="s">
        <v>53</v>
      </c>
      <c r="H34" s="41" t="s">
        <v>634</v>
      </c>
      <c r="I34" s="65" t="s">
        <v>43</v>
      </c>
      <c r="J34" s="66" t="s">
        <v>43</v>
      </c>
      <c r="K34" s="67" t="s">
        <v>43</v>
      </c>
      <c r="L34" s="40">
        <v>1</v>
      </c>
      <c r="M34" s="40">
        <v>3</v>
      </c>
      <c r="N34" s="40">
        <v>4</v>
      </c>
      <c r="O34" s="40">
        <v>3</v>
      </c>
      <c r="P34" s="41">
        <v>2</v>
      </c>
      <c r="Q34" s="40">
        <v>4</v>
      </c>
      <c r="R34" s="40">
        <v>6</v>
      </c>
      <c r="S34" s="40">
        <v>6</v>
      </c>
      <c r="T34" s="40">
        <v>7</v>
      </c>
      <c r="U34" s="41">
        <v>3</v>
      </c>
      <c r="V34" s="40">
        <v>2</v>
      </c>
      <c r="W34" s="40">
        <v>3</v>
      </c>
      <c r="X34" s="40">
        <v>1</v>
      </c>
      <c r="Y34" s="41">
        <v>1</v>
      </c>
      <c r="Z34" s="40" t="s">
        <v>45</v>
      </c>
      <c r="AA34" s="40">
        <v>2</v>
      </c>
      <c r="AB34" s="40" t="s">
        <v>45</v>
      </c>
      <c r="AC34" s="40" t="s">
        <v>45</v>
      </c>
      <c r="AD34" s="40" t="s">
        <v>45</v>
      </c>
      <c r="AE34" s="40" t="s">
        <v>45</v>
      </c>
      <c r="AF34" s="40" t="s">
        <v>45</v>
      </c>
      <c r="AG34" s="41" t="s">
        <v>45</v>
      </c>
      <c r="AH34" s="40">
        <v>2</v>
      </c>
      <c r="AI34" s="40">
        <v>1</v>
      </c>
      <c r="AJ34" s="41">
        <v>1</v>
      </c>
      <c r="AK34" s="43" t="s">
        <v>554</v>
      </c>
      <c r="AL34" s="43" t="s">
        <v>635</v>
      </c>
      <c r="AM34" s="44">
        <f t="shared" si="1"/>
        <v>-1.5136036686822145</v>
      </c>
      <c r="AN34" s="44">
        <f t="shared" si="2"/>
        <v>0.1722210066851303</v>
      </c>
      <c r="AO34" s="45">
        <f t="shared" si="3"/>
        <v>0</v>
      </c>
      <c r="AP34" s="46">
        <f t="shared" si="4"/>
        <v>0</v>
      </c>
      <c r="AQ34" s="44">
        <f>($AM$3*AM34+$AN$3*AN34+$AO$3*AO34+$AP$3*AP34)+$I$3*VLOOKUP(I34,COND!$A$2:$E$7,4,FALSE)+$J$3*VLOOKUP(J34,COND!$A$2:$C$7,2,FALSE)+$K$3*VLOOKUP(K34,COND!$A$2:$C$7,3,FALSE)+IF(AND($B$2&gt;0,$E34&lt;20),$B$2*25,0)</f>
        <v>51.915291713353341</v>
      </c>
      <c r="AR34" s="47">
        <f t="shared" si="5"/>
        <v>1.725621747141016</v>
      </c>
      <c r="AS34" s="45" t="str">
        <f t="shared" si="6"/>
        <v>1B</v>
      </c>
      <c r="AT34" s="45">
        <f>RANK(Batters[[#This Row],[zScore]],Batters[[#All],[zScore]])</f>
        <v>30</v>
      </c>
      <c r="AU34" s="45"/>
      <c r="AV34" s="45"/>
      <c r="AW34" s="45" t="str">
        <f t="shared" si="7"/>
        <v>Possible</v>
      </c>
      <c r="AX34" s="45"/>
      <c r="AY34" s="45">
        <f>INDEX(Table5[[#All],[Ovr]],MATCH(Batters[[#This Row],[PID]],Table5[[#All],[PID]],0))</f>
        <v>238</v>
      </c>
      <c r="AZ34" s="45" t="str">
        <f>INDEX(Table5[[#All],[Rnd]],MATCH(Batters[[#This Row],[PID]],Table5[[#All],[PID]],0))</f>
        <v>8</v>
      </c>
      <c r="BA34" s="45">
        <f>INDEX(Table5[[#All],[Pick]],MATCH(Batters[[#This Row],[PID]],Table5[[#All],[PID]],0))</f>
        <v>20</v>
      </c>
      <c r="BB34" s="45" t="str">
        <f>INDEX(Table5[[#All],[Team]],MATCH(Batters[[#This Row],[PID]],Table5[[#All],[PID]],0))</f>
        <v>Amsterdam Lions</v>
      </c>
    </row>
    <row r="35" spans="1:54" ht="15" customHeight="1" x14ac:dyDescent="0.25">
      <c r="A35" s="40">
        <v>18202</v>
      </c>
      <c r="B35" s="40" t="s">
        <v>50</v>
      </c>
      <c r="C35" s="40" t="s">
        <v>1072</v>
      </c>
      <c r="D35" s="40" t="s">
        <v>753</v>
      </c>
      <c r="E35" s="40">
        <v>18</v>
      </c>
      <c r="F35" s="40" t="s">
        <v>42</v>
      </c>
      <c r="G35" s="40" t="s">
        <v>42</v>
      </c>
      <c r="H35" s="41" t="s">
        <v>638</v>
      </c>
      <c r="I35" s="65" t="s">
        <v>43</v>
      </c>
      <c r="J35" s="66" t="s">
        <v>43</v>
      </c>
      <c r="K35" s="67" t="s">
        <v>43</v>
      </c>
      <c r="L35" s="40">
        <v>1</v>
      </c>
      <c r="M35" s="40">
        <v>1</v>
      </c>
      <c r="N35" s="40">
        <v>2</v>
      </c>
      <c r="O35" s="40">
        <v>1</v>
      </c>
      <c r="P35" s="41">
        <v>1</v>
      </c>
      <c r="Q35" s="40">
        <v>5</v>
      </c>
      <c r="R35" s="40">
        <v>5</v>
      </c>
      <c r="S35" s="40">
        <v>5</v>
      </c>
      <c r="T35" s="40">
        <v>4</v>
      </c>
      <c r="U35" s="41">
        <v>5</v>
      </c>
      <c r="V35" s="40">
        <v>6</v>
      </c>
      <c r="W35" s="40">
        <v>9</v>
      </c>
      <c r="X35" s="40">
        <v>1</v>
      </c>
      <c r="Y35" s="41">
        <v>1</v>
      </c>
      <c r="Z35" s="40" t="s">
        <v>45</v>
      </c>
      <c r="AA35" s="40" t="s">
        <v>45</v>
      </c>
      <c r="AB35" s="40" t="s">
        <v>45</v>
      </c>
      <c r="AC35" s="40" t="s">
        <v>45</v>
      </c>
      <c r="AD35" s="40" t="s">
        <v>45</v>
      </c>
      <c r="AE35" s="40" t="s">
        <v>45</v>
      </c>
      <c r="AF35" s="40" t="s">
        <v>45</v>
      </c>
      <c r="AG35" s="41" t="s">
        <v>45</v>
      </c>
      <c r="AH35" s="40">
        <v>1</v>
      </c>
      <c r="AI35" s="40">
        <v>3</v>
      </c>
      <c r="AJ35" s="41">
        <v>4</v>
      </c>
      <c r="AK35" s="43" t="s">
        <v>45</v>
      </c>
      <c r="AL35" s="43" t="s">
        <v>47</v>
      </c>
      <c r="AM35" s="44">
        <f t="shared" si="1"/>
        <v>-2.0012818558036707</v>
      </c>
      <c r="AN35" s="44">
        <f t="shared" si="2"/>
        <v>0.17155949885062377</v>
      </c>
      <c r="AO35" s="45">
        <f t="shared" si="3"/>
        <v>0</v>
      </c>
      <c r="AP35" s="46">
        <f t="shared" si="4"/>
        <v>0</v>
      </c>
      <c r="AQ35" s="44">
        <f>($AM$3*AM35+$AN$3*AN35+$AO$3*AO35+$AP$3*AP35)+$I$3*VLOOKUP(I35,COND!$A$2:$E$7,4,FALSE)+$J$3*VLOOKUP(J35,COND!$A$2:$C$7,2,FALSE)+$K$3*VLOOKUP(K35,COND!$A$2:$C$7,3,FALSE)+IF(AND($B$2&gt;0,$E35&lt;20),$B$2*25,0)</f>
        <v>51.858585800627118</v>
      </c>
      <c r="AR35" s="47">
        <f t="shared" si="5"/>
        <v>1.713049662993215</v>
      </c>
      <c r="AS35" s="45" t="str">
        <f t="shared" si="6"/>
        <v>DH</v>
      </c>
      <c r="AT35" s="45">
        <f>RANK(Batters[[#This Row],[zScore]],Batters[[#All],[zScore]])</f>
        <v>31</v>
      </c>
      <c r="AU35" s="45"/>
      <c r="AV35" s="45"/>
      <c r="AW35" s="45" t="str">
        <f t="shared" si="7"/>
        <v>Unlikely</v>
      </c>
      <c r="AX35" s="45"/>
      <c r="AY35" s="45">
        <f>INDEX(Table5[[#All],[Ovr]],MATCH(Batters[[#This Row],[PID]],Table5[[#All],[PID]],0))</f>
        <v>254</v>
      </c>
      <c r="AZ35" s="45" t="str">
        <f>INDEX(Table5[[#All],[Rnd]],MATCH(Batters[[#This Row],[PID]],Table5[[#All],[PID]],0))</f>
        <v>9</v>
      </c>
      <c r="BA35" s="45">
        <f>INDEX(Table5[[#All],[Pick]],MATCH(Batters[[#This Row],[PID]],Table5[[#All],[PID]],0))</f>
        <v>6</v>
      </c>
      <c r="BB35" s="45" t="str">
        <f>INDEX(Table5[[#All],[Team]],MATCH(Batters[[#This Row],[PID]],Table5[[#All],[PID]],0))</f>
        <v>Manchester Maulers</v>
      </c>
    </row>
    <row r="36" spans="1:54" ht="15" customHeight="1" x14ac:dyDescent="0.25">
      <c r="A36" s="40">
        <v>18163</v>
      </c>
      <c r="B36" s="40" t="s">
        <v>74</v>
      </c>
      <c r="C36" s="40" t="s">
        <v>292</v>
      </c>
      <c r="D36" s="40" t="s">
        <v>1156</v>
      </c>
      <c r="E36" s="40">
        <v>21</v>
      </c>
      <c r="F36" s="40" t="s">
        <v>42</v>
      </c>
      <c r="G36" s="40" t="s">
        <v>42</v>
      </c>
      <c r="H36" s="41" t="s">
        <v>632</v>
      </c>
      <c r="I36" s="65" t="s">
        <v>47</v>
      </c>
      <c r="J36" s="66" t="s">
        <v>43</v>
      </c>
      <c r="K36" s="67" t="s">
        <v>43</v>
      </c>
      <c r="L36" s="40">
        <v>3</v>
      </c>
      <c r="M36" s="40">
        <v>5</v>
      </c>
      <c r="N36" s="40">
        <v>3</v>
      </c>
      <c r="O36" s="40">
        <v>3</v>
      </c>
      <c r="P36" s="41">
        <v>2</v>
      </c>
      <c r="Q36" s="40">
        <v>5</v>
      </c>
      <c r="R36" s="40">
        <v>7</v>
      </c>
      <c r="S36" s="40">
        <v>6</v>
      </c>
      <c r="T36" s="40">
        <v>5</v>
      </c>
      <c r="U36" s="41">
        <v>5</v>
      </c>
      <c r="V36" s="40">
        <v>3</v>
      </c>
      <c r="W36" s="40">
        <v>6</v>
      </c>
      <c r="X36" s="40">
        <v>1</v>
      </c>
      <c r="Y36" s="41">
        <v>1</v>
      </c>
      <c r="Z36" s="40" t="s">
        <v>45</v>
      </c>
      <c r="AA36" s="40" t="s">
        <v>45</v>
      </c>
      <c r="AB36" s="40" t="s">
        <v>45</v>
      </c>
      <c r="AC36" s="40" t="s">
        <v>45</v>
      </c>
      <c r="AD36" s="40" t="s">
        <v>45</v>
      </c>
      <c r="AE36" s="40" t="s">
        <v>45</v>
      </c>
      <c r="AF36" s="40">
        <v>7</v>
      </c>
      <c r="AG36" s="41" t="s">
        <v>45</v>
      </c>
      <c r="AH36" s="40">
        <v>9</v>
      </c>
      <c r="AI36" s="40">
        <v>8</v>
      </c>
      <c r="AJ36" s="41">
        <v>5</v>
      </c>
      <c r="AK36" s="43" t="s">
        <v>413</v>
      </c>
      <c r="AL36" s="43" t="s">
        <v>47</v>
      </c>
      <c r="AM36" s="44">
        <f t="shared" si="1"/>
        <v>-0.84943373106336018</v>
      </c>
      <c r="AN36" s="44">
        <f t="shared" si="2"/>
        <v>0.44645030212151332</v>
      </c>
      <c r="AO36" s="45">
        <f t="shared" si="3"/>
        <v>3</v>
      </c>
      <c r="AP36" s="46">
        <f t="shared" si="4"/>
        <v>0.75</v>
      </c>
      <c r="AQ36" s="44">
        <f>($AM$3*AM36+$AN$3*AN36+$AO$3*AO36+$AP$3*AP36)+$I$3*VLOOKUP(I36,COND!$A$2:$E$7,4,FALSE)+$J$3*VLOOKUP(J36,COND!$A$2:$C$7,2,FALSE)+$K$3*VLOOKUP(K36,COND!$A$2:$C$7,3,FALSE)+IF(AND($B$2&gt;0,$E36&lt;20),$B$2*25,0)</f>
        <v>51.747460252351821</v>
      </c>
      <c r="AR36" s="47">
        <f t="shared" si="5"/>
        <v>1.6884123778015867</v>
      </c>
      <c r="AS36" s="45" t="str">
        <f t="shared" si="6"/>
        <v>CF</v>
      </c>
      <c r="AT36" s="45">
        <f>RANK(Batters[[#This Row],[zScore]],Batters[[#All],[zScore]])</f>
        <v>32</v>
      </c>
      <c r="AU36" s="45"/>
      <c r="AV36" s="45"/>
      <c r="AW36" s="45" t="str">
        <f t="shared" si="7"/>
        <v>Possible</v>
      </c>
      <c r="AX36" s="45"/>
      <c r="AY36" s="45">
        <f>INDEX(Table5[[#All],[Ovr]],MATCH(Batters[[#This Row],[PID]],Table5[[#All],[PID]],0))</f>
        <v>11</v>
      </c>
      <c r="AZ36" s="45" t="str">
        <f>INDEX(Table5[[#All],[Rnd]],MATCH(Batters[[#This Row],[PID]],Table5[[#All],[PID]],0))</f>
        <v>1</v>
      </c>
      <c r="BA36" s="45">
        <f>INDEX(Table5[[#All],[Pick]],MATCH(Batters[[#This Row],[PID]],Table5[[#All],[PID]],0))</f>
        <v>11</v>
      </c>
      <c r="BB36" s="45" t="str">
        <f>INDEX(Table5[[#All],[Team]],MATCH(Batters[[#This Row],[PID]],Table5[[#All],[PID]],0))</f>
        <v>Duluth Warriors</v>
      </c>
    </row>
    <row r="37" spans="1:54" ht="15" customHeight="1" x14ac:dyDescent="0.25">
      <c r="A37" s="40">
        <v>20390</v>
      </c>
      <c r="B37" s="40" t="s">
        <v>87</v>
      </c>
      <c r="C37" s="40" t="s">
        <v>1349</v>
      </c>
      <c r="D37" s="40" t="s">
        <v>1350</v>
      </c>
      <c r="E37" s="40">
        <v>18</v>
      </c>
      <c r="F37" s="40" t="s">
        <v>42</v>
      </c>
      <c r="G37" s="40" t="s">
        <v>42</v>
      </c>
      <c r="H37" s="41" t="s">
        <v>634</v>
      </c>
      <c r="I37" s="65" t="s">
        <v>44</v>
      </c>
      <c r="J37" s="66" t="s">
        <v>43</v>
      </c>
      <c r="K37" s="67" t="s">
        <v>43</v>
      </c>
      <c r="L37" s="40">
        <v>1</v>
      </c>
      <c r="M37" s="40">
        <v>4</v>
      </c>
      <c r="N37" s="40">
        <v>4</v>
      </c>
      <c r="O37" s="40">
        <v>3</v>
      </c>
      <c r="P37" s="41">
        <v>1</v>
      </c>
      <c r="Q37" s="40">
        <v>4</v>
      </c>
      <c r="R37" s="40">
        <v>6</v>
      </c>
      <c r="S37" s="40">
        <v>7</v>
      </c>
      <c r="T37" s="40">
        <v>6</v>
      </c>
      <c r="U37" s="41">
        <v>3</v>
      </c>
      <c r="V37" s="40">
        <v>2</v>
      </c>
      <c r="W37" s="40">
        <v>1</v>
      </c>
      <c r="X37" s="40">
        <v>1</v>
      </c>
      <c r="Y37" s="41">
        <v>1</v>
      </c>
      <c r="Z37" s="40" t="s">
        <v>45</v>
      </c>
      <c r="AA37" s="40">
        <v>2</v>
      </c>
      <c r="AB37" s="40" t="s">
        <v>45</v>
      </c>
      <c r="AC37" s="40" t="s">
        <v>45</v>
      </c>
      <c r="AD37" s="40" t="s">
        <v>45</v>
      </c>
      <c r="AE37" s="40" t="s">
        <v>45</v>
      </c>
      <c r="AF37" s="40" t="s">
        <v>45</v>
      </c>
      <c r="AG37" s="41" t="s">
        <v>45</v>
      </c>
      <c r="AH37" s="40">
        <v>5</v>
      </c>
      <c r="AI37" s="40">
        <v>5</v>
      </c>
      <c r="AJ37" s="41">
        <v>5</v>
      </c>
      <c r="AK37" s="43" t="s">
        <v>554</v>
      </c>
      <c r="AL37" s="43" t="s">
        <v>635</v>
      </c>
      <c r="AM37" s="44">
        <f t="shared" si="1"/>
        <v>-1.5025601288805945</v>
      </c>
      <c r="AN37" s="44">
        <f t="shared" si="2"/>
        <v>0.16557295069945074</v>
      </c>
      <c r="AO37" s="45">
        <f t="shared" si="3"/>
        <v>0</v>
      </c>
      <c r="AP37" s="46">
        <f t="shared" si="4"/>
        <v>0</v>
      </c>
      <c r="AQ37" s="44">
        <f>($AM$3*AM37+$AN$3*AN37+$AO$3*AO37+$AP$3*AP37)+$I$3*VLOOKUP(I37,COND!$A$2:$E$7,4,FALSE)+$J$3*VLOOKUP(J37,COND!$A$2:$C$7,2,FALSE)+$K$3*VLOOKUP(K37,COND!$A$2:$C$7,3,FALSE)+IF(AND($B$2&gt;0,$E37&lt;20),$B$2*25,0)</f>
        <v>51.686619395505346</v>
      </c>
      <c r="AR37" s="47">
        <f t="shared" si="5"/>
        <v>1.6749235485926974</v>
      </c>
      <c r="AS37" s="45" t="str">
        <f t="shared" si="6"/>
        <v>1B</v>
      </c>
      <c r="AT37" s="45">
        <f>RANK(Batters[[#This Row],[zScore]],Batters[[#All],[zScore]])</f>
        <v>33</v>
      </c>
      <c r="AU37" s="45"/>
      <c r="AV37" s="45"/>
      <c r="AW37" s="45" t="str">
        <f t="shared" si="7"/>
        <v>Possible</v>
      </c>
      <c r="AX37" s="45"/>
      <c r="AY37" s="45">
        <f>INDEX(Table5[[#All],[Ovr]],MATCH(Batters[[#This Row],[PID]],Table5[[#All],[PID]],0))</f>
        <v>329</v>
      </c>
      <c r="AZ37" s="45" t="str">
        <f>INDEX(Table5[[#All],[Rnd]],MATCH(Batters[[#This Row],[PID]],Table5[[#All],[PID]],0))</f>
        <v>11</v>
      </c>
      <c r="BA37" s="45">
        <f>INDEX(Table5[[#All],[Pick]],MATCH(Batters[[#This Row],[PID]],Table5[[#All],[PID]],0))</f>
        <v>21</v>
      </c>
      <c r="BB37" s="45" t="str">
        <f>INDEX(Table5[[#All],[Team]],MATCH(Batters[[#This Row],[PID]],Table5[[#All],[PID]],0))</f>
        <v>Crystal Lake Sandgnats</v>
      </c>
    </row>
    <row r="38" spans="1:54" ht="15" customHeight="1" x14ac:dyDescent="0.25">
      <c r="A38" s="40">
        <v>18337</v>
      </c>
      <c r="B38" s="40" t="s">
        <v>66</v>
      </c>
      <c r="C38" s="40" t="s">
        <v>1373</v>
      </c>
      <c r="D38" s="40" t="s">
        <v>668</v>
      </c>
      <c r="E38" s="40">
        <v>18</v>
      </c>
      <c r="F38" s="40" t="s">
        <v>53</v>
      </c>
      <c r="G38" s="40" t="s">
        <v>42</v>
      </c>
      <c r="H38" s="41" t="s">
        <v>634</v>
      </c>
      <c r="I38" s="65" t="s">
        <v>44</v>
      </c>
      <c r="J38" s="66" t="s">
        <v>43</v>
      </c>
      <c r="K38" s="67" t="s">
        <v>43</v>
      </c>
      <c r="L38" s="40">
        <v>1</v>
      </c>
      <c r="M38" s="40">
        <v>2</v>
      </c>
      <c r="N38" s="40">
        <v>3</v>
      </c>
      <c r="O38" s="40">
        <v>3</v>
      </c>
      <c r="P38" s="41">
        <v>1</v>
      </c>
      <c r="Q38" s="40">
        <v>4</v>
      </c>
      <c r="R38" s="40">
        <v>6</v>
      </c>
      <c r="S38" s="40">
        <v>7</v>
      </c>
      <c r="T38" s="40">
        <v>6</v>
      </c>
      <c r="U38" s="41">
        <v>3</v>
      </c>
      <c r="V38" s="40">
        <v>7</v>
      </c>
      <c r="W38" s="40">
        <v>6</v>
      </c>
      <c r="X38" s="40">
        <v>1</v>
      </c>
      <c r="Y38" s="41">
        <v>1</v>
      </c>
      <c r="Z38" s="40" t="s">
        <v>45</v>
      </c>
      <c r="AA38" s="40" t="s">
        <v>45</v>
      </c>
      <c r="AB38" s="40" t="s">
        <v>45</v>
      </c>
      <c r="AC38" s="40" t="s">
        <v>45</v>
      </c>
      <c r="AD38" s="40" t="s">
        <v>45</v>
      </c>
      <c r="AE38" s="40" t="s">
        <v>45</v>
      </c>
      <c r="AF38" s="40" t="s">
        <v>45</v>
      </c>
      <c r="AG38" s="41" t="s">
        <v>45</v>
      </c>
      <c r="AH38" s="40">
        <v>1</v>
      </c>
      <c r="AI38" s="40">
        <v>2</v>
      </c>
      <c r="AJ38" s="41">
        <v>2</v>
      </c>
      <c r="AK38" s="43" t="s">
        <v>553</v>
      </c>
      <c r="AL38" s="43" t="s">
        <v>47</v>
      </c>
      <c r="AM38" s="44">
        <f t="shared" si="1"/>
        <v>-1.6877413821419032</v>
      </c>
      <c r="AN38" s="44">
        <f t="shared" si="2"/>
        <v>0.16557295069945074</v>
      </c>
      <c r="AO38" s="45">
        <f t="shared" si="3"/>
        <v>0</v>
      </c>
      <c r="AP38" s="46">
        <f t="shared" si="4"/>
        <v>0</v>
      </c>
      <c r="AQ38" s="44">
        <f>($AM$3*AM38+$AN$3*AN38+$AO$3*AO38+$AP$3*AP38)+$I$3*VLOOKUP(I38,COND!$A$2:$E$7,4,FALSE)+$J$3*VLOOKUP(J38,COND!$A$2:$C$7,2,FALSE)+$K$3*VLOOKUP(K38,COND!$A$2:$C$7,3,FALSE)+IF(AND($B$2&gt;0,$E38&lt;20),$B$2*25,0)</f>
        <v>51.668101270179221</v>
      </c>
      <c r="AR38" s="47">
        <f t="shared" si="5"/>
        <v>1.670817955036985</v>
      </c>
      <c r="AS38" s="45" t="str">
        <f t="shared" si="6"/>
        <v>DH</v>
      </c>
      <c r="AT38" s="45">
        <f>RANK(Batters[[#This Row],[zScore]],Batters[[#All],[zScore]])</f>
        <v>34</v>
      </c>
      <c r="AU38" s="45"/>
      <c r="AV38" s="45"/>
      <c r="AW38" s="45" t="str">
        <f t="shared" si="7"/>
        <v>Possible</v>
      </c>
      <c r="AX38" s="45"/>
      <c r="AY38" s="45">
        <f>INDEX(Table5[[#All],[Ovr]],MATCH(Batters[[#This Row],[PID]],Table5[[#All],[PID]],0))</f>
        <v>282</v>
      </c>
      <c r="AZ38" s="45" t="str">
        <f>INDEX(Table5[[#All],[Rnd]],MATCH(Batters[[#This Row],[PID]],Table5[[#All],[PID]],0))</f>
        <v>10</v>
      </c>
      <c r="BA38" s="45">
        <f>INDEX(Table5[[#All],[Pick]],MATCH(Batters[[#This Row],[PID]],Table5[[#All],[PID]],0))</f>
        <v>4</v>
      </c>
      <c r="BB38" s="45" t="str">
        <f>INDEX(Table5[[#All],[Team]],MATCH(Batters[[#This Row],[PID]],Table5[[#All],[PID]],0))</f>
        <v>Tempe Knights</v>
      </c>
    </row>
    <row r="39" spans="1:54" ht="15" customHeight="1" x14ac:dyDescent="0.25">
      <c r="A39" s="40">
        <v>18402</v>
      </c>
      <c r="B39" s="40" t="s">
        <v>66</v>
      </c>
      <c r="C39" s="40" t="s">
        <v>1031</v>
      </c>
      <c r="D39" s="40" t="s">
        <v>397</v>
      </c>
      <c r="E39" s="40">
        <v>18</v>
      </c>
      <c r="F39" s="40" t="s">
        <v>42</v>
      </c>
      <c r="G39" s="40" t="s">
        <v>42</v>
      </c>
      <c r="H39" s="41" t="s">
        <v>634</v>
      </c>
      <c r="I39" s="65" t="s">
        <v>44</v>
      </c>
      <c r="J39" s="66" t="s">
        <v>47</v>
      </c>
      <c r="K39" s="67" t="s">
        <v>43</v>
      </c>
      <c r="L39" s="40">
        <v>2</v>
      </c>
      <c r="M39" s="40">
        <v>2</v>
      </c>
      <c r="N39" s="40">
        <v>3</v>
      </c>
      <c r="O39" s="40">
        <v>2</v>
      </c>
      <c r="P39" s="41">
        <v>1</v>
      </c>
      <c r="Q39" s="40">
        <v>4</v>
      </c>
      <c r="R39" s="40">
        <v>4</v>
      </c>
      <c r="S39" s="40">
        <v>7</v>
      </c>
      <c r="T39" s="40">
        <v>6</v>
      </c>
      <c r="U39" s="41">
        <v>3</v>
      </c>
      <c r="V39" s="40">
        <v>8</v>
      </c>
      <c r="W39" s="40">
        <v>9</v>
      </c>
      <c r="X39" s="40">
        <v>1</v>
      </c>
      <c r="Y39" s="41">
        <v>1</v>
      </c>
      <c r="Z39" s="40" t="s">
        <v>45</v>
      </c>
      <c r="AA39" s="40" t="s">
        <v>45</v>
      </c>
      <c r="AB39" s="40" t="s">
        <v>45</v>
      </c>
      <c r="AC39" s="40" t="s">
        <v>45</v>
      </c>
      <c r="AD39" s="40" t="s">
        <v>45</v>
      </c>
      <c r="AE39" s="40" t="s">
        <v>45</v>
      </c>
      <c r="AF39" s="40" t="s">
        <v>45</v>
      </c>
      <c r="AG39" s="41">
        <v>5</v>
      </c>
      <c r="AH39" s="40">
        <v>8</v>
      </c>
      <c r="AI39" s="40">
        <v>6</v>
      </c>
      <c r="AJ39" s="41">
        <v>3</v>
      </c>
      <c r="AK39" s="43" t="s">
        <v>554</v>
      </c>
      <c r="AL39" s="43" t="s">
        <v>635</v>
      </c>
      <c r="AM39" s="44">
        <f t="shared" si="1"/>
        <v>-1.4548950959488096</v>
      </c>
      <c r="AN39" s="44">
        <f t="shared" si="2"/>
        <v>6.3453191462043729E-2</v>
      </c>
      <c r="AO39" s="45">
        <f t="shared" si="3"/>
        <v>1</v>
      </c>
      <c r="AP39" s="46">
        <f t="shared" si="4"/>
        <v>0.65</v>
      </c>
      <c r="AQ39" s="44">
        <f>($AM$3*AM39+$AN$3*AN39+$AO$3*AO39+$AP$3*AP39)+$I$3*VLOOKUP(I39,COND!$A$2:$E$7,4,FALSE)+$J$3*VLOOKUP(J39,COND!$A$2:$C$7,2,FALSE)+$K$3*VLOOKUP(K39,COND!$A$2:$C$7,3,FALSE)+IF(AND($B$2&gt;0,$E39&lt;20),$B$2*25,0)</f>
        <v>51.58261545461631</v>
      </c>
      <c r="AR39" s="47">
        <f t="shared" si="5"/>
        <v>1.6518651718962014</v>
      </c>
      <c r="AS39" s="45" t="str">
        <f t="shared" si="6"/>
        <v>RF</v>
      </c>
      <c r="AT39" s="45">
        <f>RANK(Batters[[#This Row],[zScore]],Batters[[#All],[zScore]])</f>
        <v>35</v>
      </c>
      <c r="AU39" s="45"/>
      <c r="AV39" s="45"/>
      <c r="AW39" s="45" t="str">
        <f t="shared" si="7"/>
        <v>Possible</v>
      </c>
      <c r="AX39" s="45"/>
      <c r="AY39" s="45">
        <f>INDEX(Table5[[#All],[Ovr]],MATCH(Batters[[#This Row],[PID]],Table5[[#All],[PID]],0))</f>
        <v>248</v>
      </c>
      <c r="AZ39" s="45" t="str">
        <f>INDEX(Table5[[#All],[Rnd]],MATCH(Batters[[#This Row],[PID]],Table5[[#All],[PID]],0))</f>
        <v>8</v>
      </c>
      <c r="BA39" s="45">
        <f>INDEX(Table5[[#All],[Pick]],MATCH(Batters[[#This Row],[PID]],Table5[[#All],[PID]],0))</f>
        <v>30</v>
      </c>
      <c r="BB39" s="45" t="str">
        <f>INDEX(Table5[[#All],[Team]],MATCH(Batters[[#This Row],[PID]],Table5[[#All],[PID]],0))</f>
        <v>Florida Farstriders</v>
      </c>
    </row>
    <row r="40" spans="1:54" ht="15" customHeight="1" x14ac:dyDescent="0.25">
      <c r="A40" s="40">
        <v>20415</v>
      </c>
      <c r="B40" s="40" t="s">
        <v>87</v>
      </c>
      <c r="C40" s="40" t="s">
        <v>345</v>
      </c>
      <c r="D40" s="40" t="s">
        <v>1339</v>
      </c>
      <c r="E40" s="40">
        <v>18</v>
      </c>
      <c r="F40" s="40" t="s">
        <v>42</v>
      </c>
      <c r="G40" s="40" t="s">
        <v>42</v>
      </c>
      <c r="H40" s="41" t="s">
        <v>634</v>
      </c>
      <c r="I40" s="65" t="s">
        <v>43</v>
      </c>
      <c r="J40" s="66" t="s">
        <v>44</v>
      </c>
      <c r="K40" s="67" t="s">
        <v>43</v>
      </c>
      <c r="L40" s="40">
        <v>1</v>
      </c>
      <c r="M40" s="40">
        <v>3</v>
      </c>
      <c r="N40" s="40">
        <v>4</v>
      </c>
      <c r="O40" s="40">
        <v>3</v>
      </c>
      <c r="P40" s="41">
        <v>1</v>
      </c>
      <c r="Q40" s="40">
        <v>4</v>
      </c>
      <c r="R40" s="40">
        <v>6</v>
      </c>
      <c r="S40" s="40">
        <v>7</v>
      </c>
      <c r="T40" s="40">
        <v>6</v>
      </c>
      <c r="U40" s="41">
        <v>3</v>
      </c>
      <c r="V40" s="40">
        <v>4</v>
      </c>
      <c r="W40" s="40">
        <v>2</v>
      </c>
      <c r="X40" s="40">
        <v>1</v>
      </c>
      <c r="Y40" s="41">
        <v>1</v>
      </c>
      <c r="Z40" s="40" t="s">
        <v>45</v>
      </c>
      <c r="AA40" s="40">
        <v>3</v>
      </c>
      <c r="AB40" s="40" t="s">
        <v>45</v>
      </c>
      <c r="AC40" s="40" t="s">
        <v>45</v>
      </c>
      <c r="AD40" s="40" t="s">
        <v>45</v>
      </c>
      <c r="AE40" s="40" t="s">
        <v>45</v>
      </c>
      <c r="AF40" s="40" t="s">
        <v>45</v>
      </c>
      <c r="AG40" s="41" t="s">
        <v>45</v>
      </c>
      <c r="AH40" s="40">
        <v>2</v>
      </c>
      <c r="AI40" s="40">
        <v>1</v>
      </c>
      <c r="AJ40" s="41">
        <v>1</v>
      </c>
      <c r="AK40" s="43" t="s">
        <v>553</v>
      </c>
      <c r="AL40" s="43" t="s">
        <v>47</v>
      </c>
      <c r="AM40" s="44">
        <f t="shared" si="1"/>
        <v>-1.5536200084992982</v>
      </c>
      <c r="AN40" s="44">
        <f t="shared" si="2"/>
        <v>0.16557295069945074</v>
      </c>
      <c r="AO40" s="45">
        <f t="shared" si="3"/>
        <v>0</v>
      </c>
      <c r="AP40" s="46">
        <f t="shared" si="4"/>
        <v>0</v>
      </c>
      <c r="AQ40" s="44">
        <f>($AM$3*AM40+$AN$3*AN40+$AO$3*AO40+$AP$3*AP40)+$I$3*VLOOKUP(I40,COND!$A$2:$E$7,4,FALSE)+$J$3*VLOOKUP(J40,COND!$A$2:$C$7,2,FALSE)+$K$3*VLOOKUP(K40,COND!$A$2:$C$7,3,FALSE)+IF(AND($B$2&gt;0,$E40&lt;20),$B$2*25,0)</f>
        <v>51.531513407543478</v>
      </c>
      <c r="AR40" s="47">
        <f t="shared" si="5"/>
        <v>1.6405355026423738</v>
      </c>
      <c r="AS40" s="45" t="str">
        <f t="shared" si="6"/>
        <v>1B</v>
      </c>
      <c r="AT40" s="45">
        <f>RANK(Batters[[#This Row],[zScore]],Batters[[#All],[zScore]])</f>
        <v>36</v>
      </c>
      <c r="AU40" s="45"/>
      <c r="AV40" s="45"/>
      <c r="AW40" s="45" t="str">
        <f t="shared" si="7"/>
        <v>Possible</v>
      </c>
      <c r="AX40" s="45"/>
      <c r="AY40" s="45">
        <f>INDEX(Table5[[#All],[Ovr]],MATCH(Batters[[#This Row],[PID]],Table5[[#All],[PID]],0))</f>
        <v>312</v>
      </c>
      <c r="AZ40" s="45" t="str">
        <f>INDEX(Table5[[#All],[Rnd]],MATCH(Batters[[#This Row],[PID]],Table5[[#All],[PID]],0))</f>
        <v>11</v>
      </c>
      <c r="BA40" s="45">
        <f>INDEX(Table5[[#All],[Pick]],MATCH(Batters[[#This Row],[PID]],Table5[[#All],[PID]],0))</f>
        <v>4</v>
      </c>
      <c r="BB40" s="45" t="str">
        <f>INDEX(Table5[[#All],[Team]],MATCH(Batters[[#This Row],[PID]],Table5[[#All],[PID]],0))</f>
        <v>Tempe Knights</v>
      </c>
    </row>
    <row r="41" spans="1:54" ht="15" customHeight="1" x14ac:dyDescent="0.25">
      <c r="A41" s="40">
        <v>20524</v>
      </c>
      <c r="B41" s="40" t="s">
        <v>74</v>
      </c>
      <c r="C41" s="40" t="s">
        <v>584</v>
      </c>
      <c r="D41" s="40" t="s">
        <v>1198</v>
      </c>
      <c r="E41" s="40">
        <v>17</v>
      </c>
      <c r="F41" s="40" t="s">
        <v>42</v>
      </c>
      <c r="G41" s="40" t="s">
        <v>42</v>
      </c>
      <c r="H41" s="41" t="s">
        <v>633</v>
      </c>
      <c r="I41" s="65" t="s">
        <v>43</v>
      </c>
      <c r="J41" s="66" t="s">
        <v>44</v>
      </c>
      <c r="K41" s="67" t="s">
        <v>43</v>
      </c>
      <c r="L41" s="40">
        <v>1</v>
      </c>
      <c r="M41" s="40">
        <v>3</v>
      </c>
      <c r="N41" s="40">
        <v>5</v>
      </c>
      <c r="O41" s="40">
        <v>2</v>
      </c>
      <c r="P41" s="41">
        <v>1</v>
      </c>
      <c r="Q41" s="40">
        <v>4</v>
      </c>
      <c r="R41" s="40">
        <v>6</v>
      </c>
      <c r="S41" s="40">
        <v>8</v>
      </c>
      <c r="T41" s="40">
        <v>5</v>
      </c>
      <c r="U41" s="41">
        <v>2</v>
      </c>
      <c r="V41" s="40">
        <v>6</v>
      </c>
      <c r="W41" s="40">
        <v>9</v>
      </c>
      <c r="X41" s="40">
        <v>1</v>
      </c>
      <c r="Y41" s="41">
        <v>1</v>
      </c>
      <c r="Z41" s="40" t="s">
        <v>45</v>
      </c>
      <c r="AA41" s="40" t="s">
        <v>45</v>
      </c>
      <c r="AB41" s="40">
        <v>1</v>
      </c>
      <c r="AC41" s="40">
        <v>1</v>
      </c>
      <c r="AD41" s="40" t="s">
        <v>45</v>
      </c>
      <c r="AE41" s="40" t="s">
        <v>45</v>
      </c>
      <c r="AF41" s="40">
        <v>3</v>
      </c>
      <c r="AG41" s="41">
        <v>1</v>
      </c>
      <c r="AH41" s="40">
        <v>10</v>
      </c>
      <c r="AI41" s="40">
        <v>6</v>
      </c>
      <c r="AJ41" s="41">
        <v>4</v>
      </c>
      <c r="AK41" s="43" t="s">
        <v>606</v>
      </c>
      <c r="AL41" s="43" t="s">
        <v>47</v>
      </c>
      <c r="AM41" s="44">
        <f t="shared" si="1"/>
        <v>-1.560268064484978</v>
      </c>
      <c r="AN41" s="44">
        <f t="shared" si="2"/>
        <v>0.11890855489668781</v>
      </c>
      <c r="AO41" s="45">
        <f t="shared" si="3"/>
        <v>2</v>
      </c>
      <c r="AP41" s="46">
        <f t="shared" si="4"/>
        <v>0</v>
      </c>
      <c r="AQ41" s="44">
        <f>($AM$3*AM41+$AN$3*AN41+$AO$3*AO41+$AP$3*AP41)+$I$3*VLOOKUP(I41,COND!$A$2:$E$7,4,FALSE)+$J$3*VLOOKUP(J41,COND!$A$2:$C$7,2,FALSE)+$K$3*VLOOKUP(K41,COND!$A$2:$C$7,3,FALSE)+IF(AND($B$2&gt;0,$E41&lt;20),$B$2*25,0)</f>
        <v>51.304209185645092</v>
      </c>
      <c r="AR41" s="47">
        <f t="shared" si="5"/>
        <v>1.5901406202135537</v>
      </c>
      <c r="AS41" s="45" t="str">
        <f t="shared" si="6"/>
        <v>2B</v>
      </c>
      <c r="AT41" s="45">
        <f>RANK(Batters[[#This Row],[zScore]],Batters[[#All],[zScore]])</f>
        <v>37</v>
      </c>
      <c r="AU41" s="45"/>
      <c r="AV41" s="45"/>
      <c r="AW41" s="45" t="str">
        <f t="shared" si="7"/>
        <v>Possible</v>
      </c>
      <c r="AX41" s="45"/>
      <c r="AY41" s="45">
        <f>INDEX(Table5[[#All],[Ovr]],MATCH(Batters[[#This Row],[PID]],Table5[[#All],[PID]],0))</f>
        <v>91</v>
      </c>
      <c r="AZ41" s="45" t="str">
        <f>INDEX(Table5[[#All],[Rnd]],MATCH(Batters[[#This Row],[PID]],Table5[[#All],[PID]],0))</f>
        <v>3</v>
      </c>
      <c r="BA41" s="45">
        <f>INDEX(Table5[[#All],[Pick]],MATCH(Batters[[#This Row],[PID]],Table5[[#All],[PID]],0))</f>
        <v>23</v>
      </c>
      <c r="BB41" s="45" t="str">
        <f>INDEX(Table5[[#All],[Team]],MATCH(Batters[[#This Row],[PID]],Table5[[#All],[PID]],0))</f>
        <v>Fargo Dinosaurs</v>
      </c>
    </row>
    <row r="42" spans="1:54" ht="15" customHeight="1" x14ac:dyDescent="0.25">
      <c r="A42" s="40">
        <v>18419</v>
      </c>
      <c r="B42" s="40" t="s">
        <v>72</v>
      </c>
      <c r="C42" s="40" t="s">
        <v>167</v>
      </c>
      <c r="D42" s="40" t="s">
        <v>1310</v>
      </c>
      <c r="E42" s="40">
        <v>18</v>
      </c>
      <c r="F42" s="40" t="s">
        <v>53</v>
      </c>
      <c r="G42" s="40" t="s">
        <v>42</v>
      </c>
      <c r="H42" s="41" t="s">
        <v>634</v>
      </c>
      <c r="I42" s="65" t="s">
        <v>43</v>
      </c>
      <c r="J42" s="66" t="s">
        <v>47</v>
      </c>
      <c r="K42" s="67" t="s">
        <v>43</v>
      </c>
      <c r="L42" s="40">
        <v>2</v>
      </c>
      <c r="M42" s="40">
        <v>3</v>
      </c>
      <c r="N42" s="40">
        <v>3</v>
      </c>
      <c r="O42" s="40">
        <v>2</v>
      </c>
      <c r="P42" s="41">
        <v>1</v>
      </c>
      <c r="Q42" s="40">
        <v>4</v>
      </c>
      <c r="R42" s="40">
        <v>6</v>
      </c>
      <c r="S42" s="40">
        <v>5</v>
      </c>
      <c r="T42" s="40">
        <v>6</v>
      </c>
      <c r="U42" s="41">
        <v>4</v>
      </c>
      <c r="V42" s="40">
        <v>6</v>
      </c>
      <c r="W42" s="40">
        <v>5</v>
      </c>
      <c r="X42" s="40">
        <v>1</v>
      </c>
      <c r="Y42" s="41">
        <v>1</v>
      </c>
      <c r="Z42" s="40" t="s">
        <v>45</v>
      </c>
      <c r="AA42" s="40" t="s">
        <v>45</v>
      </c>
      <c r="AB42" s="40" t="s">
        <v>45</v>
      </c>
      <c r="AC42" s="40" t="s">
        <v>45</v>
      </c>
      <c r="AD42" s="40">
        <v>4</v>
      </c>
      <c r="AE42" s="40" t="s">
        <v>45</v>
      </c>
      <c r="AF42" s="40" t="s">
        <v>45</v>
      </c>
      <c r="AG42" s="41" t="s">
        <v>45</v>
      </c>
      <c r="AH42" s="40">
        <v>5</v>
      </c>
      <c r="AI42" s="40">
        <v>10</v>
      </c>
      <c r="AJ42" s="41">
        <v>10</v>
      </c>
      <c r="AK42" s="43" t="s">
        <v>553</v>
      </c>
      <c r="AL42" s="43" t="s">
        <v>47</v>
      </c>
      <c r="AM42" s="44">
        <f t="shared" si="1"/>
        <v>-1.4038352163301062</v>
      </c>
      <c r="AN42" s="44">
        <f t="shared" si="2"/>
        <v>3.9466302468731194E-2</v>
      </c>
      <c r="AO42" s="45">
        <f t="shared" si="3"/>
        <v>4</v>
      </c>
      <c r="AP42" s="46">
        <f t="shared" si="4"/>
        <v>0</v>
      </c>
      <c r="AQ42" s="44">
        <f>($AM$3*AM42+$AN$3*AN42+$AO$3*AO42+$AP$3*AP42)+$I$3*VLOOKUP(I42,COND!$A$2:$E$7,4,FALSE)+$J$3*VLOOKUP(J42,COND!$A$2:$C$7,2,FALSE)+$K$3*VLOOKUP(K42,COND!$A$2:$C$7,3,FALSE)+IF(AND($B$2&gt;0,$E42&lt;20),$B$2*25,0)</f>
        <v>51.299878774658431</v>
      </c>
      <c r="AR42" s="47">
        <f t="shared" si="5"/>
        <v>1.5891805388269493</v>
      </c>
      <c r="AS42" s="45" t="str">
        <f t="shared" si="6"/>
        <v>SS</v>
      </c>
      <c r="AT42" s="45">
        <f>RANK(Batters[[#This Row],[zScore]],Batters[[#All],[zScore]])</f>
        <v>38</v>
      </c>
      <c r="AU42" s="45"/>
      <c r="AV42" s="45"/>
      <c r="AW42" s="45" t="str">
        <f t="shared" si="7"/>
        <v>Unlikely</v>
      </c>
      <c r="AX42" s="45"/>
      <c r="AY42" s="45">
        <f>INDEX(Table5[[#All],[Ovr]],MATCH(Batters[[#This Row],[PID]],Table5[[#All],[PID]],0))</f>
        <v>137</v>
      </c>
      <c r="AZ42" s="45" t="str">
        <f>INDEX(Table5[[#All],[Rnd]],MATCH(Batters[[#This Row],[PID]],Table5[[#All],[PID]],0))</f>
        <v>5</v>
      </c>
      <c r="BA42" s="45">
        <f>INDEX(Table5[[#All],[Pick]],MATCH(Batters[[#This Row],[PID]],Table5[[#All],[PID]],0))</f>
        <v>9</v>
      </c>
      <c r="BB42" s="45" t="str">
        <f>INDEX(Table5[[#All],[Team]],MATCH(Batters[[#This Row],[PID]],Table5[[#All],[PID]],0))</f>
        <v>Hartford Harpoon</v>
      </c>
    </row>
    <row r="43" spans="1:54" ht="15" customHeight="1" x14ac:dyDescent="0.25">
      <c r="A43" s="40">
        <v>20492</v>
      </c>
      <c r="B43" s="40" t="s">
        <v>87</v>
      </c>
      <c r="C43" s="40" t="s">
        <v>620</v>
      </c>
      <c r="D43" s="40" t="s">
        <v>860</v>
      </c>
      <c r="E43" s="40">
        <v>16</v>
      </c>
      <c r="F43" s="40" t="s">
        <v>42</v>
      </c>
      <c r="G43" s="40" t="s">
        <v>42</v>
      </c>
      <c r="H43" s="41" t="s">
        <v>634</v>
      </c>
      <c r="I43" s="65" t="s">
        <v>43</v>
      </c>
      <c r="J43" s="66" t="s">
        <v>44</v>
      </c>
      <c r="K43" s="67" t="s">
        <v>47</v>
      </c>
      <c r="L43" s="40">
        <v>1</v>
      </c>
      <c r="M43" s="40">
        <v>2</v>
      </c>
      <c r="N43" s="40">
        <v>3</v>
      </c>
      <c r="O43" s="40">
        <v>3</v>
      </c>
      <c r="P43" s="41">
        <v>1</v>
      </c>
      <c r="Q43" s="40">
        <v>4</v>
      </c>
      <c r="R43" s="40">
        <v>5</v>
      </c>
      <c r="S43" s="40">
        <v>6</v>
      </c>
      <c r="T43" s="40">
        <v>7</v>
      </c>
      <c r="U43" s="41">
        <v>3</v>
      </c>
      <c r="V43" s="40">
        <v>5</v>
      </c>
      <c r="W43" s="40">
        <v>6</v>
      </c>
      <c r="X43" s="40">
        <v>1</v>
      </c>
      <c r="Y43" s="41">
        <v>1</v>
      </c>
      <c r="Z43" s="40" t="s">
        <v>45</v>
      </c>
      <c r="AA43" s="40">
        <v>3</v>
      </c>
      <c r="AB43" s="40" t="s">
        <v>45</v>
      </c>
      <c r="AC43" s="40">
        <v>1</v>
      </c>
      <c r="AD43" s="40" t="s">
        <v>45</v>
      </c>
      <c r="AE43" s="40" t="s">
        <v>45</v>
      </c>
      <c r="AF43" s="40" t="s">
        <v>45</v>
      </c>
      <c r="AG43" s="41" t="s">
        <v>45</v>
      </c>
      <c r="AH43" s="40">
        <v>2</v>
      </c>
      <c r="AI43" s="40">
        <v>4</v>
      </c>
      <c r="AJ43" s="41">
        <v>2</v>
      </c>
      <c r="AK43" s="43" t="s">
        <v>659</v>
      </c>
      <c r="AL43" s="43" t="s">
        <v>635</v>
      </c>
      <c r="AM43" s="44">
        <f t="shared" si="1"/>
        <v>-1.6877413821419032</v>
      </c>
      <c r="AN43" s="44">
        <f t="shared" si="2"/>
        <v>0.12116112706642677</v>
      </c>
      <c r="AO43" s="45">
        <f t="shared" si="3"/>
        <v>0</v>
      </c>
      <c r="AP43" s="46">
        <f t="shared" si="4"/>
        <v>0</v>
      </c>
      <c r="AQ43" s="44">
        <f>($AM$3*AM43+$AN$3*AN43+$AO$3*AO43+$AP$3*AP43)+$I$3*VLOOKUP(I43,COND!$A$2:$E$7,4,FALSE)+$J$3*VLOOKUP(J43,COND!$A$2:$C$7,2,FALSE)+$K$3*VLOOKUP(K43,COND!$A$2:$C$7,3,FALSE)+IF(AND($B$2&gt;0,$E43&lt;20),$B$2*25,0)</f>
        <v>51.285159386582933</v>
      </c>
      <c r="AR43" s="47">
        <f t="shared" si="5"/>
        <v>1.5859171509967818</v>
      </c>
      <c r="AS43" s="45" t="str">
        <f t="shared" si="6"/>
        <v>1B</v>
      </c>
      <c r="AT43" s="45">
        <f>RANK(Batters[[#This Row],[zScore]],Batters[[#All],[zScore]])</f>
        <v>39</v>
      </c>
      <c r="AU43" s="45"/>
      <c r="AV43" s="45"/>
      <c r="AW43" s="45" t="str">
        <f t="shared" si="7"/>
        <v>Possible</v>
      </c>
      <c r="AX43" s="45"/>
      <c r="AY43" s="45">
        <f>INDEX(Table5[[#All],[Ovr]],MATCH(Batters[[#This Row],[PID]],Table5[[#All],[PID]],0))</f>
        <v>390</v>
      </c>
      <c r="AZ43" s="45" t="str">
        <f>INDEX(Table5[[#All],[Rnd]],MATCH(Batters[[#This Row],[PID]],Table5[[#All],[PID]],0))</f>
        <v>13</v>
      </c>
      <c r="BA43" s="45">
        <f>INDEX(Table5[[#All],[Pick]],MATCH(Batters[[#This Row],[PID]],Table5[[#All],[PID]],0))</f>
        <v>22</v>
      </c>
      <c r="BB43" s="45" t="str">
        <f>INDEX(Table5[[#All],[Team]],MATCH(Batters[[#This Row],[PID]],Table5[[#All],[PID]],0))</f>
        <v>Fargo Dinosaurs</v>
      </c>
    </row>
    <row r="44" spans="1:54" ht="15" customHeight="1" x14ac:dyDescent="0.25">
      <c r="A44" s="40">
        <v>21069</v>
      </c>
      <c r="B44" s="40" t="s">
        <v>50</v>
      </c>
      <c r="C44" s="40" t="s">
        <v>780</v>
      </c>
      <c r="D44" s="40" t="s">
        <v>325</v>
      </c>
      <c r="E44" s="40">
        <v>18</v>
      </c>
      <c r="F44" s="40" t="s">
        <v>53</v>
      </c>
      <c r="G44" s="40" t="s">
        <v>53</v>
      </c>
      <c r="H44" s="41" t="s">
        <v>634</v>
      </c>
      <c r="I44" s="65" t="s">
        <v>44</v>
      </c>
      <c r="J44" s="66" t="s">
        <v>43</v>
      </c>
      <c r="K44" s="67" t="s">
        <v>43</v>
      </c>
      <c r="L44" s="40">
        <v>1</v>
      </c>
      <c r="M44" s="40">
        <v>3</v>
      </c>
      <c r="N44" s="40">
        <v>3</v>
      </c>
      <c r="O44" s="40">
        <v>2</v>
      </c>
      <c r="P44" s="41">
        <v>1</v>
      </c>
      <c r="Q44" s="40">
        <v>4</v>
      </c>
      <c r="R44" s="40">
        <v>7</v>
      </c>
      <c r="S44" s="40">
        <v>6</v>
      </c>
      <c r="T44" s="40">
        <v>5</v>
      </c>
      <c r="U44" s="41">
        <v>4</v>
      </c>
      <c r="V44" s="40">
        <v>5</v>
      </c>
      <c r="W44" s="40">
        <v>6</v>
      </c>
      <c r="X44" s="40">
        <v>1</v>
      </c>
      <c r="Y44" s="41">
        <v>1</v>
      </c>
      <c r="Z44" s="40" t="s">
        <v>45</v>
      </c>
      <c r="AA44" s="40" t="s">
        <v>45</v>
      </c>
      <c r="AB44" s="40" t="s">
        <v>45</v>
      </c>
      <c r="AC44" s="40" t="s">
        <v>45</v>
      </c>
      <c r="AD44" s="40" t="s">
        <v>45</v>
      </c>
      <c r="AE44" s="40">
        <v>1</v>
      </c>
      <c r="AF44" s="40" t="s">
        <v>45</v>
      </c>
      <c r="AG44" s="41">
        <v>2</v>
      </c>
      <c r="AH44" s="40">
        <v>5</v>
      </c>
      <c r="AI44" s="40">
        <v>8</v>
      </c>
      <c r="AJ44" s="41">
        <v>9</v>
      </c>
      <c r="AK44" s="43" t="s">
        <v>558</v>
      </c>
      <c r="AL44" s="43" t="s">
        <v>635</v>
      </c>
      <c r="AM44" s="44">
        <f t="shared" si="1"/>
        <v>-1.726391052532781</v>
      </c>
      <c r="AN44" s="44">
        <f t="shared" si="2"/>
        <v>8.3878126101755116E-2</v>
      </c>
      <c r="AO44" s="45">
        <f t="shared" si="3"/>
        <v>3</v>
      </c>
      <c r="AP44" s="46">
        <f t="shared" si="4"/>
        <v>0</v>
      </c>
      <c r="AQ44" s="44">
        <f>($AM$3*AM44+$AN$3*AN44+$AO$3*AO44+$AP$3*AP44)+$I$3*VLOOKUP(I44,COND!$A$2:$E$7,4,FALSE)+$J$3*VLOOKUP(J44,COND!$A$2:$C$7,2,FALSE)+$K$3*VLOOKUP(K44,COND!$A$2:$C$7,3,FALSE)+IF(AND($B$2&gt;0,$E44&lt;20),$B$2*25,0)</f>
        <v>51.183898407967781</v>
      </c>
      <c r="AR44" s="47">
        <f t="shared" si="5"/>
        <v>1.5634669075771102</v>
      </c>
      <c r="AS44" s="45" t="str">
        <f t="shared" si="6"/>
        <v>RF</v>
      </c>
      <c r="AT44" s="45">
        <f>RANK(Batters[[#This Row],[zScore]],Batters[[#All],[zScore]])</f>
        <v>40</v>
      </c>
      <c r="AU44" s="45"/>
      <c r="AV44" s="45"/>
      <c r="AW44" s="45" t="str">
        <f t="shared" si="7"/>
        <v>Unlikely</v>
      </c>
      <c r="AX44" s="45"/>
      <c r="AY44" s="45">
        <f>INDEX(Table5[[#All],[Ovr]],MATCH(Batters[[#This Row],[PID]],Table5[[#All],[PID]],0))</f>
        <v>203</v>
      </c>
      <c r="AZ44" s="45" t="str">
        <f>INDEX(Table5[[#All],[Rnd]],MATCH(Batters[[#This Row],[PID]],Table5[[#All],[PID]],0))</f>
        <v>7</v>
      </c>
      <c r="BA44" s="45">
        <f>INDEX(Table5[[#All],[Pick]],MATCH(Batters[[#This Row],[PID]],Table5[[#All],[PID]],0))</f>
        <v>15</v>
      </c>
      <c r="BB44" s="45" t="str">
        <f>INDEX(Table5[[#All],[Team]],MATCH(Batters[[#This Row],[PID]],Table5[[#All],[PID]],0))</f>
        <v>Kentucky Thoroughbreds</v>
      </c>
    </row>
    <row r="45" spans="1:54" ht="15" customHeight="1" x14ac:dyDescent="0.25">
      <c r="A45" s="40">
        <v>20865</v>
      </c>
      <c r="B45" s="40" t="s">
        <v>87</v>
      </c>
      <c r="C45" s="40" t="s">
        <v>182</v>
      </c>
      <c r="D45" s="40" t="s">
        <v>1242</v>
      </c>
      <c r="E45" s="40">
        <v>18</v>
      </c>
      <c r="F45" s="40" t="s">
        <v>42</v>
      </c>
      <c r="G45" s="40" t="s">
        <v>42</v>
      </c>
      <c r="H45" s="41" t="s">
        <v>634</v>
      </c>
      <c r="I45" s="65" t="s">
        <v>44</v>
      </c>
      <c r="J45" s="66" t="s">
        <v>44</v>
      </c>
      <c r="K45" s="67" t="s">
        <v>47</v>
      </c>
      <c r="L45" s="40">
        <v>1</v>
      </c>
      <c r="M45" s="40">
        <v>2</v>
      </c>
      <c r="N45" s="40">
        <v>3</v>
      </c>
      <c r="O45" s="40">
        <v>2</v>
      </c>
      <c r="P45" s="41">
        <v>1</v>
      </c>
      <c r="Q45" s="40">
        <v>4</v>
      </c>
      <c r="R45" s="40">
        <v>6</v>
      </c>
      <c r="S45" s="40">
        <v>7</v>
      </c>
      <c r="T45" s="40">
        <v>6</v>
      </c>
      <c r="U45" s="41">
        <v>2</v>
      </c>
      <c r="V45" s="40">
        <v>3</v>
      </c>
      <c r="W45" s="40">
        <v>2</v>
      </c>
      <c r="X45" s="40">
        <v>1</v>
      </c>
      <c r="Y45" s="41">
        <v>1</v>
      </c>
      <c r="Z45" s="40" t="s">
        <v>45</v>
      </c>
      <c r="AA45" s="40">
        <v>2</v>
      </c>
      <c r="AB45" s="40" t="s">
        <v>45</v>
      </c>
      <c r="AC45" s="40" t="s">
        <v>45</v>
      </c>
      <c r="AD45" s="40" t="s">
        <v>45</v>
      </c>
      <c r="AE45" s="40" t="s">
        <v>45</v>
      </c>
      <c r="AF45" s="40" t="s">
        <v>45</v>
      </c>
      <c r="AG45" s="41" t="s">
        <v>45</v>
      </c>
      <c r="AH45" s="40">
        <v>2</v>
      </c>
      <c r="AI45" s="40">
        <v>5</v>
      </c>
      <c r="AJ45" s="41">
        <v>3</v>
      </c>
      <c r="AK45" s="43" t="s">
        <v>553</v>
      </c>
      <c r="AL45" s="43" t="s">
        <v>635</v>
      </c>
      <c r="AM45" s="44">
        <f t="shared" si="1"/>
        <v>-1.7774509321514844</v>
      </c>
      <c r="AN45" s="44">
        <f t="shared" si="2"/>
        <v>0.1255566108823673</v>
      </c>
      <c r="AO45" s="45">
        <f t="shared" si="3"/>
        <v>0</v>
      </c>
      <c r="AP45" s="46">
        <f t="shared" si="4"/>
        <v>0</v>
      </c>
      <c r="AQ45" s="44">
        <f>($AM$3*AM45+$AN$3*AN45+$AO$3*AO45+$AP$3*AP45)+$I$3*VLOOKUP(I45,COND!$A$2:$E$7,4,FALSE)+$J$3*VLOOKUP(J45,COND!$A$2:$C$7,2,FALSE)+$K$3*VLOOKUP(K45,COND!$A$2:$C$7,3,FALSE)+IF(AND($B$2&gt;0,$E45&lt;20),$B$2*25,0)</f>
        <v>51.178934237373255</v>
      </c>
      <c r="AR45" s="47">
        <f t="shared" si="5"/>
        <v>1.5623663174016245</v>
      </c>
      <c r="AS45" s="45" t="str">
        <f t="shared" si="6"/>
        <v>1B</v>
      </c>
      <c r="AT45" s="45">
        <f>RANK(Batters[[#This Row],[zScore]],Batters[[#All],[zScore]])</f>
        <v>41</v>
      </c>
      <c r="AU45" s="45"/>
      <c r="AV45" s="45"/>
      <c r="AW45" s="45" t="str">
        <f t="shared" si="7"/>
        <v>Possible</v>
      </c>
      <c r="AX45" s="45"/>
      <c r="AY45" s="45">
        <f>INDEX(Table5[[#All],[Ovr]],MATCH(Batters[[#This Row],[PID]],Table5[[#All],[PID]],0))</f>
        <v>233</v>
      </c>
      <c r="AZ45" s="45" t="str">
        <f>INDEX(Table5[[#All],[Rnd]],MATCH(Batters[[#This Row],[PID]],Table5[[#All],[PID]],0))</f>
        <v>8</v>
      </c>
      <c r="BA45" s="45">
        <f>INDEX(Table5[[#All],[Pick]],MATCH(Batters[[#This Row],[PID]],Table5[[#All],[PID]],0))</f>
        <v>15</v>
      </c>
      <c r="BB45" s="45" t="str">
        <f>INDEX(Table5[[#All],[Team]],MATCH(Batters[[#This Row],[PID]],Table5[[#All],[PID]],0))</f>
        <v>Kentucky Thoroughbreds</v>
      </c>
    </row>
    <row r="46" spans="1:54" ht="15" customHeight="1" x14ac:dyDescent="0.25">
      <c r="A46" s="40">
        <v>18260</v>
      </c>
      <c r="B46" s="40" t="s">
        <v>66</v>
      </c>
      <c r="C46" s="40" t="s">
        <v>1274</v>
      </c>
      <c r="D46" s="40" t="s">
        <v>179</v>
      </c>
      <c r="E46" s="40">
        <v>18</v>
      </c>
      <c r="F46" s="40" t="s">
        <v>62</v>
      </c>
      <c r="G46" s="40" t="s">
        <v>53</v>
      </c>
      <c r="H46" s="41" t="s">
        <v>634</v>
      </c>
      <c r="I46" s="65" t="s">
        <v>43</v>
      </c>
      <c r="J46" s="66" t="s">
        <v>43</v>
      </c>
      <c r="K46" s="67" t="s">
        <v>47</v>
      </c>
      <c r="L46" s="40">
        <v>1</v>
      </c>
      <c r="M46" s="40">
        <v>2</v>
      </c>
      <c r="N46" s="40">
        <v>2</v>
      </c>
      <c r="O46" s="40">
        <v>2</v>
      </c>
      <c r="P46" s="41">
        <v>1</v>
      </c>
      <c r="Q46" s="40">
        <v>4</v>
      </c>
      <c r="R46" s="40">
        <v>6</v>
      </c>
      <c r="S46" s="40">
        <v>7</v>
      </c>
      <c r="T46" s="40">
        <v>5</v>
      </c>
      <c r="U46" s="41">
        <v>3</v>
      </c>
      <c r="V46" s="40">
        <v>4</v>
      </c>
      <c r="W46" s="40">
        <v>7</v>
      </c>
      <c r="X46" s="40">
        <v>1</v>
      </c>
      <c r="Y46" s="41">
        <v>1</v>
      </c>
      <c r="Z46" s="40" t="s">
        <v>45</v>
      </c>
      <c r="AA46" s="40" t="s">
        <v>45</v>
      </c>
      <c r="AB46" s="40" t="s">
        <v>45</v>
      </c>
      <c r="AC46" s="40" t="s">
        <v>45</v>
      </c>
      <c r="AD46" s="40" t="s">
        <v>45</v>
      </c>
      <c r="AE46" s="40" t="s">
        <v>45</v>
      </c>
      <c r="AF46" s="40" t="s">
        <v>45</v>
      </c>
      <c r="AG46" s="41">
        <v>2</v>
      </c>
      <c r="AH46" s="40">
        <v>3</v>
      </c>
      <c r="AI46" s="40">
        <v>2</v>
      </c>
      <c r="AJ46" s="41">
        <v>2</v>
      </c>
      <c r="AK46" s="43" t="s">
        <v>554</v>
      </c>
      <c r="AL46" s="43" t="s">
        <v>47</v>
      </c>
      <c r="AM46" s="44">
        <f t="shared" si="1"/>
        <v>-1.8605124261753858</v>
      </c>
      <c r="AN46" s="44">
        <f t="shared" si="2"/>
        <v>7.5863400689869701E-2</v>
      </c>
      <c r="AO46" s="45">
        <f t="shared" si="3"/>
        <v>0</v>
      </c>
      <c r="AP46" s="46">
        <f t="shared" si="4"/>
        <v>0</v>
      </c>
      <c r="AQ46" s="44">
        <f>($AM$3*AM46+$AN$3*AN46+$AO$3*AO46+$AP$3*AP46)+$I$3*VLOOKUP(I46,COND!$A$2:$E$7,4,FALSE)+$J$3*VLOOKUP(J46,COND!$A$2:$C$7,2,FALSE)+$K$3*VLOOKUP(K46,COND!$A$2:$C$7,3,FALSE)+IF(AND($B$2&gt;0,$E46&lt;20),$B$2*25,0)</f>
        <v>51.0243095656609</v>
      </c>
      <c r="AR46" s="47">
        <f t="shared" si="5"/>
        <v>1.5280849825172136</v>
      </c>
      <c r="AS46" s="45" t="str">
        <f t="shared" si="6"/>
        <v>RF</v>
      </c>
      <c r="AT46" s="45">
        <f>RANK(Batters[[#This Row],[zScore]],Batters[[#All],[zScore]])</f>
        <v>42</v>
      </c>
      <c r="AU46" s="45"/>
      <c r="AV46" s="45"/>
      <c r="AW46" s="45" t="str">
        <f t="shared" si="7"/>
        <v>Possible</v>
      </c>
      <c r="AX46" s="45"/>
      <c r="AY46" s="45">
        <f>INDEX(Table5[[#All],[Ovr]],MATCH(Batters[[#This Row],[PID]],Table5[[#All],[PID]],0))</f>
        <v>164</v>
      </c>
      <c r="AZ46" s="45" t="str">
        <f>INDEX(Table5[[#All],[Rnd]],MATCH(Batters[[#This Row],[PID]],Table5[[#All],[PID]],0))</f>
        <v>6</v>
      </c>
      <c r="BA46" s="45">
        <f>INDEX(Table5[[#All],[Pick]],MATCH(Batters[[#This Row],[PID]],Table5[[#All],[PID]],0))</f>
        <v>6</v>
      </c>
      <c r="BB46" s="45" t="str">
        <f>INDEX(Table5[[#All],[Team]],MATCH(Batters[[#This Row],[PID]],Table5[[#All],[PID]],0))</f>
        <v>Manchester Maulers</v>
      </c>
    </row>
    <row r="47" spans="1:54" ht="15" customHeight="1" x14ac:dyDescent="0.25">
      <c r="A47" s="40">
        <v>17893</v>
      </c>
      <c r="B47" s="40" t="s">
        <v>87</v>
      </c>
      <c r="C47" s="40" t="s">
        <v>123</v>
      </c>
      <c r="D47" s="40" t="s">
        <v>760</v>
      </c>
      <c r="E47" s="40">
        <v>18</v>
      </c>
      <c r="F47" s="40" t="s">
        <v>53</v>
      </c>
      <c r="G47" s="40" t="s">
        <v>42</v>
      </c>
      <c r="H47" s="41" t="s">
        <v>638</v>
      </c>
      <c r="I47" s="65" t="s">
        <v>47</v>
      </c>
      <c r="J47" s="66" t="s">
        <v>43</v>
      </c>
      <c r="K47" s="67" t="s">
        <v>43</v>
      </c>
      <c r="L47" s="40">
        <v>2</v>
      </c>
      <c r="M47" s="40">
        <v>2</v>
      </c>
      <c r="N47" s="40">
        <v>3</v>
      </c>
      <c r="O47" s="40">
        <v>2</v>
      </c>
      <c r="P47" s="41">
        <v>3</v>
      </c>
      <c r="Q47" s="40">
        <v>5</v>
      </c>
      <c r="R47" s="40">
        <v>4</v>
      </c>
      <c r="S47" s="40">
        <v>4</v>
      </c>
      <c r="T47" s="40">
        <v>4</v>
      </c>
      <c r="U47" s="41">
        <v>6</v>
      </c>
      <c r="V47" s="40">
        <v>4</v>
      </c>
      <c r="W47" s="40">
        <v>1</v>
      </c>
      <c r="X47" s="40">
        <v>1</v>
      </c>
      <c r="Y47" s="41">
        <v>1</v>
      </c>
      <c r="Z47" s="40" t="s">
        <v>45</v>
      </c>
      <c r="AA47" s="40">
        <v>1</v>
      </c>
      <c r="AB47" s="40" t="s">
        <v>45</v>
      </c>
      <c r="AC47" s="40" t="s">
        <v>45</v>
      </c>
      <c r="AD47" s="40" t="s">
        <v>45</v>
      </c>
      <c r="AE47" s="40" t="s">
        <v>45</v>
      </c>
      <c r="AF47" s="40" t="s">
        <v>45</v>
      </c>
      <c r="AG47" s="41" t="s">
        <v>45</v>
      </c>
      <c r="AH47" s="40">
        <v>2</v>
      </c>
      <c r="AI47" s="40">
        <v>4</v>
      </c>
      <c r="AJ47" s="41">
        <v>5</v>
      </c>
      <c r="AK47" s="43" t="s">
        <v>659</v>
      </c>
      <c r="AL47" s="43" t="s">
        <v>635</v>
      </c>
      <c r="AM47" s="44">
        <f t="shared" si="1"/>
        <v>-1.3748624163146428</v>
      </c>
      <c r="AN47" s="44">
        <f t="shared" si="2"/>
        <v>7.7454465025102226E-2</v>
      </c>
      <c r="AO47" s="45">
        <f t="shared" si="3"/>
        <v>0</v>
      </c>
      <c r="AP47" s="46">
        <f t="shared" si="4"/>
        <v>0</v>
      </c>
      <c r="AQ47" s="44">
        <f>($AM$3*AM47+$AN$3*AN47+$AO$3*AO47+$AP$3*AP47)+$I$3*VLOOKUP(I47,COND!$A$2:$E$7,4,FALSE)+$J$3*VLOOKUP(J47,COND!$A$2:$C$7,2,FALSE)+$K$3*VLOOKUP(K47,COND!$A$2:$C$7,3,FALSE)+IF(AND($B$2&gt;0,$E47&lt;20),$B$2*25,0)</f>
        <v>51.016967338669758</v>
      </c>
      <c r="AR47" s="47">
        <f t="shared" si="5"/>
        <v>1.5264571611644289</v>
      </c>
      <c r="AS47" s="45" t="str">
        <f t="shared" si="6"/>
        <v>1B</v>
      </c>
      <c r="AT47" s="45">
        <f>RANK(Batters[[#This Row],[zScore]],Batters[[#All],[zScore]])</f>
        <v>43</v>
      </c>
      <c r="AU47" s="45"/>
      <c r="AV47" s="45"/>
      <c r="AW47" s="45" t="str">
        <f t="shared" si="7"/>
        <v>Unlikely</v>
      </c>
      <c r="AX47" s="45"/>
      <c r="AY47" s="45">
        <f>INDEX(Table5[[#All],[Ovr]],MATCH(Batters[[#This Row],[PID]],Table5[[#All],[PID]],0))</f>
        <v>112</v>
      </c>
      <c r="AZ47" s="45" t="str">
        <f>INDEX(Table5[[#All],[Rnd]],MATCH(Batters[[#This Row],[PID]],Table5[[#All],[PID]],0))</f>
        <v>4</v>
      </c>
      <c r="BA47" s="45">
        <f>INDEX(Table5[[#All],[Pick]],MATCH(Batters[[#This Row],[PID]],Table5[[#All],[PID]],0))</f>
        <v>12</v>
      </c>
      <c r="BB47" s="45" t="str">
        <f>INDEX(Table5[[#All],[Team]],MATCH(Batters[[#This Row],[PID]],Table5[[#All],[PID]],0))</f>
        <v>Arlington Bureaucrats</v>
      </c>
    </row>
    <row r="48" spans="1:54" ht="15" customHeight="1" x14ac:dyDescent="0.25">
      <c r="A48" s="40">
        <v>18282</v>
      </c>
      <c r="B48" s="40" t="s">
        <v>72</v>
      </c>
      <c r="C48" s="40" t="s">
        <v>1168</v>
      </c>
      <c r="D48" s="40" t="s">
        <v>1169</v>
      </c>
      <c r="E48" s="40">
        <v>21</v>
      </c>
      <c r="F48" s="40" t="s">
        <v>53</v>
      </c>
      <c r="G48" s="40" t="s">
        <v>42</v>
      </c>
      <c r="H48" s="41" t="s">
        <v>633</v>
      </c>
      <c r="I48" s="65" t="s">
        <v>47</v>
      </c>
      <c r="J48" s="66" t="s">
        <v>43</v>
      </c>
      <c r="K48" s="67" t="s">
        <v>43</v>
      </c>
      <c r="L48" s="40">
        <v>4</v>
      </c>
      <c r="M48" s="40">
        <v>6</v>
      </c>
      <c r="N48" s="40">
        <v>5</v>
      </c>
      <c r="O48" s="40">
        <v>4</v>
      </c>
      <c r="P48" s="41">
        <v>3</v>
      </c>
      <c r="Q48" s="40">
        <v>5</v>
      </c>
      <c r="R48" s="40">
        <v>7</v>
      </c>
      <c r="S48" s="40">
        <v>6</v>
      </c>
      <c r="T48" s="40">
        <v>4</v>
      </c>
      <c r="U48" s="41">
        <v>5</v>
      </c>
      <c r="V48" s="40">
        <v>10</v>
      </c>
      <c r="W48" s="40">
        <v>10</v>
      </c>
      <c r="X48" s="40">
        <v>1</v>
      </c>
      <c r="Y48" s="41">
        <v>1</v>
      </c>
      <c r="Z48" s="40" t="s">
        <v>45</v>
      </c>
      <c r="AA48" s="40" t="s">
        <v>45</v>
      </c>
      <c r="AB48" s="40" t="s">
        <v>45</v>
      </c>
      <c r="AC48" s="40" t="s">
        <v>45</v>
      </c>
      <c r="AD48" s="40">
        <v>5</v>
      </c>
      <c r="AE48" s="40" t="s">
        <v>45</v>
      </c>
      <c r="AF48" s="40" t="s">
        <v>45</v>
      </c>
      <c r="AG48" s="41" t="s">
        <v>45</v>
      </c>
      <c r="AH48" s="40">
        <v>8</v>
      </c>
      <c r="AI48" s="40">
        <v>8</v>
      </c>
      <c r="AJ48" s="41">
        <v>4</v>
      </c>
      <c r="AK48" s="43" t="s">
        <v>643</v>
      </c>
      <c r="AL48" s="43" t="s">
        <v>47</v>
      </c>
      <c r="AM48" s="44">
        <f t="shared" si="1"/>
        <v>-0.1799691373675143</v>
      </c>
      <c r="AN48" s="44">
        <f t="shared" si="2"/>
        <v>0.35674075211193229</v>
      </c>
      <c r="AO48" s="45">
        <f t="shared" si="3"/>
        <v>3</v>
      </c>
      <c r="AP48" s="46">
        <f t="shared" si="4"/>
        <v>1</v>
      </c>
      <c r="AQ48" s="44">
        <f>($AM$3*AM48+$AN$3*AN48+$AO$3*AO48+$AP$3*AP48)+$I$3*VLOOKUP(I48,COND!$A$2:$E$7,4,FALSE)+$J$3*VLOOKUP(J48,COND!$A$2:$C$7,2,FALSE)+$K$3*VLOOKUP(K48,COND!$A$2:$C$7,3,FALSE)+IF(AND($B$2&gt;0,$E48&lt;20),$B$2*25,0)</f>
        <v>50.987892111606435</v>
      </c>
      <c r="AR48" s="47">
        <f t="shared" si="5"/>
        <v>1.5200109867941947</v>
      </c>
      <c r="AS48" s="45" t="str">
        <f t="shared" si="6"/>
        <v>SS</v>
      </c>
      <c r="AT48" s="45">
        <f>RANK(Batters[[#This Row],[zScore]],Batters[[#All],[zScore]])</f>
        <v>44</v>
      </c>
      <c r="AU48" s="45"/>
      <c r="AV48" s="45"/>
      <c r="AW48" s="45" t="str">
        <f t="shared" si="7"/>
        <v>Possible</v>
      </c>
      <c r="AX48" s="45"/>
      <c r="AY48" s="45">
        <f>INDEX(Table5[[#All],[Ovr]],MATCH(Batters[[#This Row],[PID]],Table5[[#All],[PID]],0))</f>
        <v>23</v>
      </c>
      <c r="AZ48" s="45" t="str">
        <f>INDEX(Table5[[#All],[Rnd]],MATCH(Batters[[#This Row],[PID]],Table5[[#All],[PID]],0))</f>
        <v>1</v>
      </c>
      <c r="BA48" s="45">
        <f>INDEX(Table5[[#All],[Pick]],MATCH(Batters[[#This Row],[PID]],Table5[[#All],[PID]],0))</f>
        <v>23</v>
      </c>
      <c r="BB48" s="45" t="str">
        <f>INDEX(Table5[[#All],[Team]],MATCH(Batters[[#This Row],[PID]],Table5[[#All],[PID]],0))</f>
        <v>West Virginia Alleghenies</v>
      </c>
    </row>
    <row r="49" spans="1:54" ht="15" customHeight="1" x14ac:dyDescent="0.25">
      <c r="A49" s="40">
        <v>20740</v>
      </c>
      <c r="B49" s="40" t="s">
        <v>87</v>
      </c>
      <c r="C49" s="40" t="s">
        <v>125</v>
      </c>
      <c r="D49" s="40" t="s">
        <v>402</v>
      </c>
      <c r="E49" s="40">
        <v>18</v>
      </c>
      <c r="F49" s="40" t="s">
        <v>42</v>
      </c>
      <c r="G49" s="40" t="s">
        <v>42</v>
      </c>
      <c r="H49" s="41" t="s">
        <v>634</v>
      </c>
      <c r="I49" s="65" t="s">
        <v>43</v>
      </c>
      <c r="J49" s="66" t="s">
        <v>47</v>
      </c>
      <c r="K49" s="67" t="s">
        <v>43</v>
      </c>
      <c r="L49" s="40">
        <v>1</v>
      </c>
      <c r="M49" s="40">
        <v>2</v>
      </c>
      <c r="N49" s="40">
        <v>3</v>
      </c>
      <c r="O49" s="40">
        <v>2</v>
      </c>
      <c r="P49" s="41">
        <v>1</v>
      </c>
      <c r="Q49" s="40">
        <v>4</v>
      </c>
      <c r="R49" s="40">
        <v>5</v>
      </c>
      <c r="S49" s="40">
        <v>6</v>
      </c>
      <c r="T49" s="40">
        <v>6</v>
      </c>
      <c r="U49" s="41">
        <v>4</v>
      </c>
      <c r="V49" s="40">
        <v>2</v>
      </c>
      <c r="W49" s="40">
        <v>2</v>
      </c>
      <c r="X49" s="40">
        <v>1</v>
      </c>
      <c r="Y49" s="41">
        <v>1</v>
      </c>
      <c r="Z49" s="40" t="s">
        <v>45</v>
      </c>
      <c r="AA49" s="40">
        <v>2</v>
      </c>
      <c r="AB49" s="40" t="s">
        <v>45</v>
      </c>
      <c r="AC49" s="40" t="s">
        <v>45</v>
      </c>
      <c r="AD49" s="40" t="s">
        <v>45</v>
      </c>
      <c r="AE49" s="40" t="s">
        <v>45</v>
      </c>
      <c r="AF49" s="40" t="s">
        <v>45</v>
      </c>
      <c r="AG49" s="41" t="s">
        <v>45</v>
      </c>
      <c r="AH49" s="40">
        <v>1</v>
      </c>
      <c r="AI49" s="40">
        <v>1</v>
      </c>
      <c r="AJ49" s="41">
        <v>1</v>
      </c>
      <c r="AK49" s="43" t="s">
        <v>644</v>
      </c>
      <c r="AL49" s="43" t="s">
        <v>47</v>
      </c>
      <c r="AM49" s="44">
        <f t="shared" si="1"/>
        <v>-1.7774509321514844</v>
      </c>
      <c r="AN49" s="44">
        <f t="shared" si="2"/>
        <v>7.1467916873929171E-2</v>
      </c>
      <c r="AO49" s="45">
        <f t="shared" si="3"/>
        <v>0</v>
      </c>
      <c r="AP49" s="46">
        <f t="shared" si="4"/>
        <v>0</v>
      </c>
      <c r="AQ49" s="44">
        <f>($AM$3*AM49+$AN$3*AN49+$AO$3*AO49+$AP$3*AP49)+$I$3*VLOOKUP(I49,COND!$A$2:$E$7,4,FALSE)+$J$3*VLOOKUP(J49,COND!$A$2:$C$7,2,FALSE)+$K$3*VLOOKUP(K49,COND!$A$2:$C$7,3,FALSE)+IF(AND($B$2&gt;0,$E49&lt;20),$B$2*25,0)</f>
        <v>50.979869909272004</v>
      </c>
      <c r="AR49" s="47">
        <f t="shared" si="5"/>
        <v>1.5182324103115961</v>
      </c>
      <c r="AS49" s="45" t="str">
        <f t="shared" si="6"/>
        <v>1B</v>
      </c>
      <c r="AT49" s="45">
        <f>RANK(Batters[[#This Row],[zScore]],Batters[[#All],[zScore]])</f>
        <v>45</v>
      </c>
      <c r="AU49" s="45"/>
      <c r="AV49" s="45"/>
      <c r="AW49" s="45" t="str">
        <f t="shared" si="7"/>
        <v>Possible</v>
      </c>
      <c r="AX49" s="45"/>
      <c r="AY49" s="45">
        <f>INDEX(Table5[[#All],[Ovr]],MATCH(Batters[[#This Row],[PID]],Table5[[#All],[PID]],0))</f>
        <v>204</v>
      </c>
      <c r="AZ49" s="45" t="str">
        <f>INDEX(Table5[[#All],[Rnd]],MATCH(Batters[[#This Row],[PID]],Table5[[#All],[PID]],0))</f>
        <v>7</v>
      </c>
      <c r="BA49" s="45">
        <f>INDEX(Table5[[#All],[Pick]],MATCH(Batters[[#This Row],[PID]],Table5[[#All],[PID]],0))</f>
        <v>16</v>
      </c>
      <c r="BB49" s="45" t="str">
        <f>INDEX(Table5[[#All],[Team]],MATCH(Batters[[#This Row],[PID]],Table5[[#All],[PID]],0))</f>
        <v>San Antonio Calzones of Laredo</v>
      </c>
    </row>
    <row r="50" spans="1:54" ht="15" customHeight="1" x14ac:dyDescent="0.25">
      <c r="A50" s="40">
        <v>20346</v>
      </c>
      <c r="B50" s="40" t="s">
        <v>74</v>
      </c>
      <c r="C50" s="40" t="s">
        <v>1371</v>
      </c>
      <c r="D50" s="40" t="s">
        <v>1372</v>
      </c>
      <c r="E50" s="40">
        <v>18</v>
      </c>
      <c r="F50" s="40" t="s">
        <v>53</v>
      </c>
      <c r="G50" s="40" t="s">
        <v>53</v>
      </c>
      <c r="H50" s="41" t="s">
        <v>634</v>
      </c>
      <c r="I50" s="65" t="s">
        <v>44</v>
      </c>
      <c r="J50" s="66" t="s">
        <v>47</v>
      </c>
      <c r="K50" s="67" t="s">
        <v>43</v>
      </c>
      <c r="L50" s="40">
        <v>1</v>
      </c>
      <c r="M50" s="40">
        <v>2</v>
      </c>
      <c r="N50" s="40">
        <v>4</v>
      </c>
      <c r="O50" s="40">
        <v>3</v>
      </c>
      <c r="P50" s="41">
        <v>1</v>
      </c>
      <c r="Q50" s="40">
        <v>4</v>
      </c>
      <c r="R50" s="40">
        <v>4</v>
      </c>
      <c r="S50" s="40">
        <v>7</v>
      </c>
      <c r="T50" s="40">
        <v>6</v>
      </c>
      <c r="U50" s="41">
        <v>3</v>
      </c>
      <c r="V50" s="40">
        <v>4</v>
      </c>
      <c r="W50" s="40">
        <v>7</v>
      </c>
      <c r="X50" s="40">
        <v>1</v>
      </c>
      <c r="Y50" s="41">
        <v>1</v>
      </c>
      <c r="Z50" s="40" t="s">
        <v>45</v>
      </c>
      <c r="AA50" s="40" t="s">
        <v>45</v>
      </c>
      <c r="AB50" s="40" t="s">
        <v>45</v>
      </c>
      <c r="AC50" s="40" t="s">
        <v>45</v>
      </c>
      <c r="AD50" s="40" t="s">
        <v>45</v>
      </c>
      <c r="AE50" s="40">
        <v>1</v>
      </c>
      <c r="AF50" s="40">
        <v>2</v>
      </c>
      <c r="AG50" s="41">
        <v>1</v>
      </c>
      <c r="AH50" s="40">
        <v>9</v>
      </c>
      <c r="AI50" s="40">
        <v>5</v>
      </c>
      <c r="AJ50" s="41">
        <v>4</v>
      </c>
      <c r="AK50" s="43" t="s">
        <v>565</v>
      </c>
      <c r="AL50" s="43" t="s">
        <v>47</v>
      </c>
      <c r="AM50" s="44">
        <f t="shared" si="1"/>
        <v>-1.6046798881180016</v>
      </c>
      <c r="AN50" s="44">
        <f t="shared" si="2"/>
        <v>6.3453191462043729E-2</v>
      </c>
      <c r="AO50" s="45">
        <f t="shared" si="3"/>
        <v>1</v>
      </c>
      <c r="AP50" s="46">
        <f t="shared" si="4"/>
        <v>0</v>
      </c>
      <c r="AQ50" s="44">
        <f>($AM$3*AM50+$AN$3*AN50+$AO$3*AO50+$AP$3*AP50)+$I$3*VLOOKUP(I50,COND!$A$2:$E$7,4,FALSE)+$J$3*VLOOKUP(J50,COND!$A$2:$C$7,2,FALSE)+$K$3*VLOOKUP(K50,COND!$A$2:$C$7,3,FALSE)+IF(AND($B$2&gt;0,$E50&lt;20),$B$2*25,0)</f>
        <v>50.91763697539939</v>
      </c>
      <c r="AR50" s="47">
        <f t="shared" si="5"/>
        <v>1.5044349482164443</v>
      </c>
      <c r="AS50" s="45" t="str">
        <f t="shared" si="6"/>
        <v>CF</v>
      </c>
      <c r="AT50" s="45">
        <f>RANK(Batters[[#This Row],[zScore]],Batters[[#All],[zScore]])</f>
        <v>46</v>
      </c>
      <c r="AU50" s="45"/>
      <c r="AV50" s="45"/>
      <c r="AW50" s="45" t="str">
        <f t="shared" si="7"/>
        <v>Possible</v>
      </c>
      <c r="AX50" s="45"/>
      <c r="AY50" s="45">
        <f>INDEX(Table5[[#All],[Ovr]],MATCH(Batters[[#This Row],[PID]],Table5[[#All],[PID]],0))</f>
        <v>167</v>
      </c>
      <c r="AZ50" s="45" t="str">
        <f>INDEX(Table5[[#All],[Rnd]],MATCH(Batters[[#This Row],[PID]],Table5[[#All],[PID]],0))</f>
        <v>6</v>
      </c>
      <c r="BA50" s="45">
        <f>INDEX(Table5[[#All],[Pick]],MATCH(Batters[[#This Row],[PID]],Table5[[#All],[PID]],0))</f>
        <v>9</v>
      </c>
      <c r="BB50" s="45" t="str">
        <f>INDEX(Table5[[#All],[Team]],MATCH(Batters[[#This Row],[PID]],Table5[[#All],[PID]],0))</f>
        <v>Scottish Claymores</v>
      </c>
    </row>
    <row r="51" spans="1:54" ht="15" customHeight="1" x14ac:dyDescent="0.25">
      <c r="A51" s="40">
        <v>15327</v>
      </c>
      <c r="B51" s="40" t="s">
        <v>87</v>
      </c>
      <c r="C51" s="40" t="s">
        <v>291</v>
      </c>
      <c r="D51" s="40" t="s">
        <v>1210</v>
      </c>
      <c r="E51" s="40">
        <v>18</v>
      </c>
      <c r="F51" s="40" t="s">
        <v>42</v>
      </c>
      <c r="G51" s="40" t="s">
        <v>53</v>
      </c>
      <c r="H51" s="41" t="s">
        <v>634</v>
      </c>
      <c r="I51" s="65" t="s">
        <v>43</v>
      </c>
      <c r="J51" s="66" t="s">
        <v>44</v>
      </c>
      <c r="K51" s="67" t="s">
        <v>43</v>
      </c>
      <c r="L51" s="40">
        <v>1</v>
      </c>
      <c r="M51" s="40">
        <v>2</v>
      </c>
      <c r="N51" s="40">
        <v>3</v>
      </c>
      <c r="O51" s="40">
        <v>3</v>
      </c>
      <c r="P51" s="41">
        <v>1</v>
      </c>
      <c r="Q51" s="40">
        <v>4</v>
      </c>
      <c r="R51" s="40">
        <v>5</v>
      </c>
      <c r="S51" s="40">
        <v>7</v>
      </c>
      <c r="T51" s="40">
        <v>6</v>
      </c>
      <c r="U51" s="41">
        <v>3</v>
      </c>
      <c r="V51" s="40">
        <v>3</v>
      </c>
      <c r="W51" s="40">
        <v>2</v>
      </c>
      <c r="X51" s="40">
        <v>1</v>
      </c>
      <c r="Y51" s="41">
        <v>1</v>
      </c>
      <c r="Z51" s="40" t="s">
        <v>45</v>
      </c>
      <c r="AA51" s="40">
        <v>4</v>
      </c>
      <c r="AB51" s="40" t="s">
        <v>45</v>
      </c>
      <c r="AC51" s="40" t="s">
        <v>45</v>
      </c>
      <c r="AD51" s="40" t="s">
        <v>45</v>
      </c>
      <c r="AE51" s="40" t="s">
        <v>45</v>
      </c>
      <c r="AF51" s="40" t="s">
        <v>45</v>
      </c>
      <c r="AG51" s="41" t="s">
        <v>45</v>
      </c>
      <c r="AH51" s="40">
        <v>4</v>
      </c>
      <c r="AI51" s="40">
        <v>1</v>
      </c>
      <c r="AJ51" s="41">
        <v>1</v>
      </c>
      <c r="AK51" s="43" t="s">
        <v>554</v>
      </c>
      <c r="AL51" s="43" t="s">
        <v>47</v>
      </c>
      <c r="AM51" s="44">
        <f t="shared" si="1"/>
        <v>-1.6877413821419032</v>
      </c>
      <c r="AN51" s="44">
        <f t="shared" si="2"/>
        <v>0.11451307108074724</v>
      </c>
      <c r="AO51" s="45">
        <f t="shared" si="3"/>
        <v>0</v>
      </c>
      <c r="AP51" s="46">
        <f t="shared" si="4"/>
        <v>0</v>
      </c>
      <c r="AQ51" s="44">
        <f>($AM$3*AM51+$AN$3*AN51+$AO$3*AO51+$AP$3*AP51)+$I$3*VLOOKUP(I51,COND!$A$2:$E$7,4,FALSE)+$J$3*VLOOKUP(J51,COND!$A$2:$C$7,2,FALSE)+$K$3*VLOOKUP(K51,COND!$A$2:$C$7,3,FALSE)+IF(AND($B$2&gt;0,$E51&lt;20),$B$2*25,0)</f>
        <v>50.905382714754779</v>
      </c>
      <c r="AR51" s="47">
        <f t="shared" si="5"/>
        <v>1.5017180958004195</v>
      </c>
      <c r="AS51" s="45" t="str">
        <f t="shared" si="6"/>
        <v>1B</v>
      </c>
      <c r="AT51" s="45">
        <f>RANK(Batters[[#This Row],[zScore]],Batters[[#All],[zScore]])</f>
        <v>47</v>
      </c>
      <c r="AU51" s="45"/>
      <c r="AV51" s="45"/>
      <c r="AW51" s="45" t="str">
        <f t="shared" si="7"/>
        <v>Possible</v>
      </c>
      <c r="AX51" s="45"/>
      <c r="AY51" s="45">
        <f>INDEX(Table5[[#All],[Ovr]],MATCH(Batters[[#This Row],[PID]],Table5[[#All],[PID]],0))</f>
        <v>309</v>
      </c>
      <c r="AZ51" s="45" t="str">
        <f>INDEX(Table5[[#All],[Rnd]],MATCH(Batters[[#This Row],[PID]],Table5[[#All],[PID]],0))</f>
        <v>11</v>
      </c>
      <c r="BA51" s="45">
        <f>INDEX(Table5[[#All],[Pick]],MATCH(Batters[[#This Row],[PID]],Table5[[#All],[PID]],0))</f>
        <v>1</v>
      </c>
      <c r="BB51" s="45" t="str">
        <f>INDEX(Table5[[#All],[Team]],MATCH(Batters[[#This Row],[PID]],Table5[[#All],[PID]],0))</f>
        <v>Yuma Arroyos</v>
      </c>
    </row>
    <row r="52" spans="1:54" ht="15" customHeight="1" x14ac:dyDescent="0.25">
      <c r="A52" s="40">
        <v>18403</v>
      </c>
      <c r="B52" s="40" t="s">
        <v>74</v>
      </c>
      <c r="C52" s="40" t="s">
        <v>636</v>
      </c>
      <c r="D52" s="40" t="s">
        <v>608</v>
      </c>
      <c r="E52" s="40">
        <v>18</v>
      </c>
      <c r="F52" s="40" t="s">
        <v>53</v>
      </c>
      <c r="G52" s="40" t="s">
        <v>42</v>
      </c>
      <c r="H52" s="41" t="s">
        <v>633</v>
      </c>
      <c r="I52" s="65" t="s">
        <v>44</v>
      </c>
      <c r="J52" s="66" t="s">
        <v>44</v>
      </c>
      <c r="K52" s="67" t="s">
        <v>43</v>
      </c>
      <c r="L52" s="40">
        <v>1</v>
      </c>
      <c r="M52" s="40">
        <v>3</v>
      </c>
      <c r="N52" s="40">
        <v>3</v>
      </c>
      <c r="O52" s="40">
        <v>3</v>
      </c>
      <c r="P52" s="41">
        <v>1</v>
      </c>
      <c r="Q52" s="40">
        <v>4</v>
      </c>
      <c r="R52" s="40">
        <v>6</v>
      </c>
      <c r="S52" s="40">
        <v>5</v>
      </c>
      <c r="T52" s="40">
        <v>6</v>
      </c>
      <c r="U52" s="41">
        <v>5</v>
      </c>
      <c r="V52" s="40">
        <v>4</v>
      </c>
      <c r="W52" s="40">
        <v>7</v>
      </c>
      <c r="X52" s="40">
        <v>1</v>
      </c>
      <c r="Y52" s="41">
        <v>1</v>
      </c>
      <c r="Z52" s="40" t="s">
        <v>45</v>
      </c>
      <c r="AA52" s="40" t="s">
        <v>45</v>
      </c>
      <c r="AB52" s="40" t="s">
        <v>45</v>
      </c>
      <c r="AC52" s="40" t="s">
        <v>45</v>
      </c>
      <c r="AD52" s="40" t="s">
        <v>45</v>
      </c>
      <c r="AE52" s="40" t="s">
        <v>45</v>
      </c>
      <c r="AF52" s="40">
        <v>4</v>
      </c>
      <c r="AG52" s="41" t="s">
        <v>45</v>
      </c>
      <c r="AH52" s="40">
        <v>9</v>
      </c>
      <c r="AI52" s="40">
        <v>7</v>
      </c>
      <c r="AJ52" s="41">
        <v>7</v>
      </c>
      <c r="AK52" s="43" t="s">
        <v>1177</v>
      </c>
      <c r="AL52" s="43" t="s">
        <v>635</v>
      </c>
      <c r="AM52" s="44">
        <f t="shared" si="1"/>
        <v>-1.6366815025231998</v>
      </c>
      <c r="AN52" s="44">
        <f t="shared" si="2"/>
        <v>7.9482642285814642E-2</v>
      </c>
      <c r="AO52" s="45">
        <f t="shared" si="3"/>
        <v>3</v>
      </c>
      <c r="AP52" s="46">
        <f t="shared" si="4"/>
        <v>0</v>
      </c>
      <c r="AQ52" s="44">
        <f>($AM$3*AM52+$AN$3*AN52+$AO$3*AO52+$AP$3*AP52)+$I$3*VLOOKUP(I52,COND!$A$2:$E$7,4,FALSE)+$J$3*VLOOKUP(J52,COND!$A$2:$C$7,2,FALSE)+$K$3*VLOOKUP(K52,COND!$A$2:$C$7,3,FALSE)+IF(AND($B$2&gt;0,$E52&lt;20),$B$2*25,0)</f>
        <v>50.840123557177449</v>
      </c>
      <c r="AR52" s="47">
        <f t="shared" si="5"/>
        <v>1.4872496994545585</v>
      </c>
      <c r="AS52" s="45" t="str">
        <f t="shared" si="6"/>
        <v>CF</v>
      </c>
      <c r="AT52" s="45">
        <f>RANK(Batters[[#This Row],[zScore]],Batters[[#All],[zScore]])</f>
        <v>48</v>
      </c>
      <c r="AU52" s="45"/>
      <c r="AV52" s="45"/>
      <c r="AW52" s="45" t="str">
        <f t="shared" si="7"/>
        <v>Unlikely</v>
      </c>
      <c r="AX52" s="45"/>
      <c r="AY52" s="45">
        <f>INDEX(Table5[[#All],[Ovr]],MATCH(Batters[[#This Row],[PID]],Table5[[#All],[PID]],0))</f>
        <v>90</v>
      </c>
      <c r="AZ52" s="45" t="str">
        <f>INDEX(Table5[[#All],[Rnd]],MATCH(Batters[[#This Row],[PID]],Table5[[#All],[PID]],0))</f>
        <v>3</v>
      </c>
      <c r="BA52" s="45">
        <f>INDEX(Table5[[#All],[Pick]],MATCH(Batters[[#This Row],[PID]],Table5[[#All],[PID]],0))</f>
        <v>22</v>
      </c>
      <c r="BB52" s="45" t="str">
        <f>INDEX(Table5[[#All],[Team]],MATCH(Batters[[#This Row],[PID]],Table5[[#All],[PID]],0))</f>
        <v>Reno Zephyrs</v>
      </c>
    </row>
    <row r="53" spans="1:54" ht="15" customHeight="1" x14ac:dyDescent="0.25">
      <c r="A53" s="40">
        <v>18264</v>
      </c>
      <c r="B53" s="40" t="s">
        <v>74</v>
      </c>
      <c r="C53" s="40" t="s">
        <v>144</v>
      </c>
      <c r="D53" s="40" t="s">
        <v>678</v>
      </c>
      <c r="E53" s="40">
        <v>18</v>
      </c>
      <c r="F53" s="40" t="s">
        <v>42</v>
      </c>
      <c r="G53" s="40" t="s">
        <v>42</v>
      </c>
      <c r="H53" s="41" t="s">
        <v>633</v>
      </c>
      <c r="I53" s="65" t="s">
        <v>43</v>
      </c>
      <c r="J53" s="66" t="s">
        <v>43</v>
      </c>
      <c r="K53" s="67" t="s">
        <v>43</v>
      </c>
      <c r="L53" s="40">
        <v>1</v>
      </c>
      <c r="M53" s="40">
        <v>2</v>
      </c>
      <c r="N53" s="40">
        <v>3</v>
      </c>
      <c r="O53" s="40">
        <v>1</v>
      </c>
      <c r="P53" s="41">
        <v>1</v>
      </c>
      <c r="Q53" s="40">
        <v>4</v>
      </c>
      <c r="R53" s="40">
        <v>5</v>
      </c>
      <c r="S53" s="40">
        <v>6</v>
      </c>
      <c r="T53" s="40">
        <v>5</v>
      </c>
      <c r="U53" s="41">
        <v>3</v>
      </c>
      <c r="V53" s="40">
        <v>8</v>
      </c>
      <c r="W53" s="40">
        <v>9</v>
      </c>
      <c r="X53" s="40">
        <v>1</v>
      </c>
      <c r="Y53" s="41">
        <v>1</v>
      </c>
      <c r="Z53" s="40" t="s">
        <v>45</v>
      </c>
      <c r="AA53" s="40" t="s">
        <v>45</v>
      </c>
      <c r="AB53" s="40" t="s">
        <v>45</v>
      </c>
      <c r="AC53" s="40" t="s">
        <v>45</v>
      </c>
      <c r="AD53" s="40" t="s">
        <v>45</v>
      </c>
      <c r="AE53" s="40" t="s">
        <v>45</v>
      </c>
      <c r="AF53" s="40">
        <v>6</v>
      </c>
      <c r="AG53" s="41" t="s">
        <v>45</v>
      </c>
      <c r="AH53" s="40">
        <v>9</v>
      </c>
      <c r="AI53" s="40">
        <v>10</v>
      </c>
      <c r="AJ53" s="41">
        <v>6</v>
      </c>
      <c r="AK53" s="43" t="s">
        <v>1174</v>
      </c>
      <c r="AL53" s="43" t="s">
        <v>47</v>
      </c>
      <c r="AM53" s="44">
        <f t="shared" si="1"/>
        <v>-1.8671604821610654</v>
      </c>
      <c r="AN53" s="44">
        <f t="shared" si="2"/>
        <v>-5.8257972952735312E-2</v>
      </c>
      <c r="AO53" s="45">
        <f t="shared" si="3"/>
        <v>4</v>
      </c>
      <c r="AP53" s="46">
        <f t="shared" si="4"/>
        <v>0.75</v>
      </c>
      <c r="AQ53" s="44">
        <f>($AM$3*AM53+$AN$3*AN53+$AO$3*AO53+$AP$3*AP53)+$I$3*VLOOKUP(I53,COND!$A$2:$E$7,4,FALSE)+$J$3*VLOOKUP(J53,COND!$A$2:$C$7,2,FALSE)+$K$3*VLOOKUP(K53,COND!$A$2:$C$7,3,FALSE)+IF(AND($B$2&gt;0,$E53&lt;20),$B$2*25,0)</f>
        <v>50.530854943017737</v>
      </c>
      <c r="AR53" s="47">
        <f t="shared" si="5"/>
        <v>1.4186827572335288</v>
      </c>
      <c r="AS53" s="45" t="str">
        <f t="shared" si="6"/>
        <v>CF</v>
      </c>
      <c r="AT53" s="45">
        <f>RANK(Batters[[#This Row],[zScore]],Batters[[#All],[zScore]])</f>
        <v>49</v>
      </c>
      <c r="AU53" s="45"/>
      <c r="AV53" s="45"/>
      <c r="AW53" s="45" t="str">
        <f t="shared" si="7"/>
        <v>Unlikely</v>
      </c>
      <c r="AX53" s="45"/>
      <c r="AY53" s="45">
        <f>INDEX(Table5[[#All],[Ovr]],MATCH(Batters[[#This Row],[PID]],Table5[[#All],[PID]],0))</f>
        <v>140</v>
      </c>
      <c r="AZ53" s="45" t="str">
        <f>INDEX(Table5[[#All],[Rnd]],MATCH(Batters[[#This Row],[PID]],Table5[[#All],[PID]],0))</f>
        <v>5</v>
      </c>
      <c r="BA53" s="45">
        <f>INDEX(Table5[[#All],[Pick]],MATCH(Batters[[#This Row],[PID]],Table5[[#All],[PID]],0))</f>
        <v>12</v>
      </c>
      <c r="BB53" s="45" t="str">
        <f>INDEX(Table5[[#All],[Team]],MATCH(Batters[[#This Row],[PID]],Table5[[#All],[PID]],0))</f>
        <v>Reno Zephyrs</v>
      </c>
    </row>
    <row r="54" spans="1:54" ht="15" customHeight="1" x14ac:dyDescent="0.25">
      <c r="A54" s="40">
        <v>20393</v>
      </c>
      <c r="B54" s="40" t="s">
        <v>72</v>
      </c>
      <c r="C54" s="40" t="s">
        <v>1186</v>
      </c>
      <c r="D54" s="40" t="s">
        <v>1064</v>
      </c>
      <c r="E54" s="40">
        <v>18</v>
      </c>
      <c r="F54" s="40" t="s">
        <v>42</v>
      </c>
      <c r="G54" s="40" t="s">
        <v>42</v>
      </c>
      <c r="H54" s="41" t="s">
        <v>633</v>
      </c>
      <c r="I54" s="65" t="s">
        <v>44</v>
      </c>
      <c r="J54" s="66" t="s">
        <v>44</v>
      </c>
      <c r="K54" s="67" t="s">
        <v>43</v>
      </c>
      <c r="L54" s="40">
        <v>1</v>
      </c>
      <c r="M54" s="40">
        <v>3</v>
      </c>
      <c r="N54" s="40">
        <v>3</v>
      </c>
      <c r="O54" s="40">
        <v>3</v>
      </c>
      <c r="P54" s="41">
        <v>2</v>
      </c>
      <c r="Q54" s="40">
        <v>4</v>
      </c>
      <c r="R54" s="40">
        <v>5</v>
      </c>
      <c r="S54" s="40">
        <v>5</v>
      </c>
      <c r="T54" s="40">
        <v>7</v>
      </c>
      <c r="U54" s="41">
        <v>4</v>
      </c>
      <c r="V54" s="40">
        <v>6</v>
      </c>
      <c r="W54" s="40">
        <v>6</v>
      </c>
      <c r="X54" s="40">
        <v>1</v>
      </c>
      <c r="Y54" s="41">
        <v>1</v>
      </c>
      <c r="Z54" s="40" t="s">
        <v>45</v>
      </c>
      <c r="AA54" s="40" t="s">
        <v>45</v>
      </c>
      <c r="AB54" s="40" t="s">
        <v>45</v>
      </c>
      <c r="AC54" s="40" t="s">
        <v>45</v>
      </c>
      <c r="AD54" s="40">
        <v>3</v>
      </c>
      <c r="AE54" s="40" t="s">
        <v>45</v>
      </c>
      <c r="AF54" s="40" t="s">
        <v>45</v>
      </c>
      <c r="AG54" s="41" t="s">
        <v>45</v>
      </c>
      <c r="AH54" s="40">
        <v>7</v>
      </c>
      <c r="AI54" s="40">
        <v>6</v>
      </c>
      <c r="AJ54" s="41">
        <v>7</v>
      </c>
      <c r="AK54" s="43" t="s">
        <v>1187</v>
      </c>
      <c r="AL54" s="43" t="s">
        <v>47</v>
      </c>
      <c r="AM54" s="44">
        <f t="shared" si="1"/>
        <v>-1.5966651627061161</v>
      </c>
      <c r="AN54" s="44">
        <f t="shared" si="2"/>
        <v>7.8115972859608709E-2</v>
      </c>
      <c r="AO54" s="45">
        <f t="shared" si="3"/>
        <v>1</v>
      </c>
      <c r="AP54" s="46">
        <f t="shared" si="4"/>
        <v>0</v>
      </c>
      <c r="AQ54" s="44">
        <f>($AM$3*AM54+$AN$3*AN54+$AO$3*AO54+$AP$3*AP54)+$I$3*VLOOKUP(I54,COND!$A$2:$E$7,4,FALSE)+$J$3*VLOOKUP(J54,COND!$A$2:$C$7,2,FALSE)+$K$3*VLOOKUP(K54,COND!$A$2:$C$7,3,FALSE)+IF(AND($B$2&gt;0,$E54&lt;20),$B$2*25,0)</f>
        <v>50.494391824711357</v>
      </c>
      <c r="AR54" s="47">
        <f t="shared" si="5"/>
        <v>1.4105986374371986</v>
      </c>
      <c r="AS54" s="45" t="str">
        <f t="shared" si="6"/>
        <v>SS</v>
      </c>
      <c r="AT54" s="45">
        <f>RANK(Batters[[#This Row],[zScore]],Batters[[#All],[zScore]])</f>
        <v>50</v>
      </c>
      <c r="AU54" s="45"/>
      <c r="AV54" s="45"/>
      <c r="AW54" s="45" t="str">
        <f t="shared" si="7"/>
        <v>Possible</v>
      </c>
      <c r="AX54" s="45"/>
      <c r="AY54" s="45">
        <f>INDEX(Table5[[#All],[Ovr]],MATCH(Batters[[#This Row],[PID]],Table5[[#All],[PID]],0))</f>
        <v>120</v>
      </c>
      <c r="AZ54" s="45" t="str">
        <f>INDEX(Table5[[#All],[Rnd]],MATCH(Batters[[#This Row],[PID]],Table5[[#All],[PID]],0))</f>
        <v>4</v>
      </c>
      <c r="BA54" s="45">
        <f>INDEX(Table5[[#All],[Pick]],MATCH(Batters[[#This Row],[PID]],Table5[[#All],[PID]],0))</f>
        <v>20</v>
      </c>
      <c r="BB54" s="45" t="str">
        <f>INDEX(Table5[[#All],[Team]],MATCH(Batters[[#This Row],[PID]],Table5[[#All],[PID]],0))</f>
        <v>Fargo Dinosaurs</v>
      </c>
    </row>
    <row r="55" spans="1:54" ht="15" customHeight="1" x14ac:dyDescent="0.25">
      <c r="A55" s="40">
        <v>18396</v>
      </c>
      <c r="B55" s="40" t="s">
        <v>87</v>
      </c>
      <c r="C55" s="40" t="s">
        <v>290</v>
      </c>
      <c r="D55" s="40" t="s">
        <v>1304</v>
      </c>
      <c r="E55" s="40">
        <v>18</v>
      </c>
      <c r="F55" s="40" t="s">
        <v>42</v>
      </c>
      <c r="G55" s="40" t="s">
        <v>42</v>
      </c>
      <c r="H55" s="41" t="s">
        <v>634</v>
      </c>
      <c r="I55" s="65" t="s">
        <v>47</v>
      </c>
      <c r="J55" s="66" t="s">
        <v>43</v>
      </c>
      <c r="K55" s="67" t="s">
        <v>43</v>
      </c>
      <c r="L55" s="40">
        <v>2</v>
      </c>
      <c r="M55" s="40">
        <v>2</v>
      </c>
      <c r="N55" s="40">
        <v>4</v>
      </c>
      <c r="O55" s="40">
        <v>2</v>
      </c>
      <c r="P55" s="41">
        <v>2</v>
      </c>
      <c r="Q55" s="40">
        <v>4</v>
      </c>
      <c r="R55" s="40">
        <v>6</v>
      </c>
      <c r="S55" s="40">
        <v>6</v>
      </c>
      <c r="T55" s="40">
        <v>5</v>
      </c>
      <c r="U55" s="41">
        <v>4</v>
      </c>
      <c r="V55" s="40">
        <v>3</v>
      </c>
      <c r="W55" s="40">
        <v>3</v>
      </c>
      <c r="X55" s="40">
        <v>1</v>
      </c>
      <c r="Y55" s="41">
        <v>1</v>
      </c>
      <c r="Z55" s="40" t="s">
        <v>45</v>
      </c>
      <c r="AA55" s="40">
        <v>5</v>
      </c>
      <c r="AB55" s="40" t="s">
        <v>45</v>
      </c>
      <c r="AC55" s="40" t="s">
        <v>45</v>
      </c>
      <c r="AD55" s="40" t="s">
        <v>45</v>
      </c>
      <c r="AE55" s="40" t="s">
        <v>45</v>
      </c>
      <c r="AF55" s="40" t="s">
        <v>45</v>
      </c>
      <c r="AG55" s="41" t="s">
        <v>45</v>
      </c>
      <c r="AH55" s="40">
        <v>2</v>
      </c>
      <c r="AI55" s="40">
        <v>1</v>
      </c>
      <c r="AJ55" s="41">
        <v>3</v>
      </c>
      <c r="AK55" s="43" t="s">
        <v>553</v>
      </c>
      <c r="AL55" s="43" t="s">
        <v>635</v>
      </c>
      <c r="AM55" s="44">
        <f t="shared" si="1"/>
        <v>-1.3318172621078248</v>
      </c>
      <c r="AN55" s="44">
        <f t="shared" si="2"/>
        <v>3.281824648305165E-2</v>
      </c>
      <c r="AO55" s="45">
        <f t="shared" si="3"/>
        <v>0</v>
      </c>
      <c r="AP55" s="46">
        <f t="shared" si="4"/>
        <v>0</v>
      </c>
      <c r="AQ55" s="44">
        <f>($AM$3*AM55+$AN$3*AN55+$AO$3*AO55+$AP$3*AP55)+$I$3*VLOOKUP(I55,COND!$A$2:$E$7,4,FALSE)+$J$3*VLOOKUP(J55,COND!$A$2:$C$7,2,FALSE)+$K$3*VLOOKUP(K55,COND!$A$2:$C$7,3,FALSE)+IF(AND($B$2&gt;0,$E55&lt;20),$B$2*25,0)</f>
        <v>50.485637231585834</v>
      </c>
      <c r="AR55" s="47">
        <f t="shared" si="5"/>
        <v>1.4086576849657124</v>
      </c>
      <c r="AS55" s="45" t="str">
        <f t="shared" si="6"/>
        <v>1B</v>
      </c>
      <c r="AT55" s="45">
        <f>RANK(Batters[[#This Row],[zScore]],Batters[[#All],[zScore]])</f>
        <v>51</v>
      </c>
      <c r="AU55" s="45"/>
      <c r="AV55" s="45"/>
      <c r="AW55" s="45" t="str">
        <f t="shared" si="7"/>
        <v>Unlikely</v>
      </c>
      <c r="AX55" s="45"/>
      <c r="AY55" s="45">
        <f>INDEX(Table5[[#All],[Ovr]],MATCH(Batters[[#This Row],[PID]],Table5[[#All],[PID]],0))</f>
        <v>258</v>
      </c>
      <c r="AZ55" s="45" t="str">
        <f>INDEX(Table5[[#All],[Rnd]],MATCH(Batters[[#This Row],[PID]],Table5[[#All],[PID]],0))</f>
        <v>9</v>
      </c>
      <c r="BA55" s="45">
        <f>INDEX(Table5[[#All],[Pick]],MATCH(Batters[[#This Row],[PID]],Table5[[#All],[PID]],0))</f>
        <v>10</v>
      </c>
      <c r="BB55" s="45" t="str">
        <f>INDEX(Table5[[#All],[Team]],MATCH(Batters[[#This Row],[PID]],Table5[[#All],[PID]],0))</f>
        <v>Hartford Harpoon</v>
      </c>
    </row>
    <row r="56" spans="1:54" ht="15" customHeight="1" x14ac:dyDescent="0.25">
      <c r="A56" s="40">
        <v>20920</v>
      </c>
      <c r="B56" s="40" t="s">
        <v>74</v>
      </c>
      <c r="C56" s="40" t="s">
        <v>128</v>
      </c>
      <c r="D56" s="40" t="s">
        <v>433</v>
      </c>
      <c r="E56" s="40">
        <v>17</v>
      </c>
      <c r="F56" s="40" t="s">
        <v>42</v>
      </c>
      <c r="G56" s="40" t="s">
        <v>42</v>
      </c>
      <c r="H56" s="41" t="s">
        <v>634</v>
      </c>
      <c r="I56" s="65" t="s">
        <v>47</v>
      </c>
      <c r="J56" s="66" t="s">
        <v>43</v>
      </c>
      <c r="K56" s="67" t="s">
        <v>43</v>
      </c>
      <c r="L56" s="40">
        <v>1</v>
      </c>
      <c r="M56" s="40">
        <v>2</v>
      </c>
      <c r="N56" s="40">
        <v>3</v>
      </c>
      <c r="O56" s="40">
        <v>2</v>
      </c>
      <c r="P56" s="41">
        <v>1</v>
      </c>
      <c r="Q56" s="40">
        <v>4</v>
      </c>
      <c r="R56" s="40">
        <v>7</v>
      </c>
      <c r="S56" s="40">
        <v>5</v>
      </c>
      <c r="T56" s="40">
        <v>5</v>
      </c>
      <c r="U56" s="41">
        <v>4</v>
      </c>
      <c r="V56" s="40">
        <v>6</v>
      </c>
      <c r="W56" s="40">
        <v>7</v>
      </c>
      <c r="X56" s="40">
        <v>1</v>
      </c>
      <c r="Y56" s="41">
        <v>1</v>
      </c>
      <c r="Z56" s="40" t="s">
        <v>45</v>
      </c>
      <c r="AA56" s="40" t="s">
        <v>45</v>
      </c>
      <c r="AB56" s="40">
        <v>1</v>
      </c>
      <c r="AC56" s="40" t="s">
        <v>45</v>
      </c>
      <c r="AD56" s="40" t="s">
        <v>45</v>
      </c>
      <c r="AE56" s="40" t="s">
        <v>45</v>
      </c>
      <c r="AF56" s="40">
        <v>2</v>
      </c>
      <c r="AG56" s="41" t="s">
        <v>45</v>
      </c>
      <c r="AH56" s="40">
        <v>8</v>
      </c>
      <c r="AI56" s="40">
        <v>7</v>
      </c>
      <c r="AJ56" s="41">
        <v>5</v>
      </c>
      <c r="AK56" s="43" t="s">
        <v>554</v>
      </c>
      <c r="AL56" s="43" t="s">
        <v>47</v>
      </c>
      <c r="AM56" s="44">
        <f t="shared" si="1"/>
        <v>-1.7774509321514844</v>
      </c>
      <c r="AN56" s="44">
        <f t="shared" si="2"/>
        <v>8.1663207785363876E-4</v>
      </c>
      <c r="AO56" s="45">
        <f t="shared" si="3"/>
        <v>2</v>
      </c>
      <c r="AP56" s="46">
        <f t="shared" si="4"/>
        <v>0</v>
      </c>
      <c r="AQ56" s="44">
        <f>($AM$3*AM56+$AN$3*AN56+$AO$3*AO56+$AP$3*AP56)+$I$3*VLOOKUP(I56,COND!$A$2:$E$7,4,FALSE)+$J$3*VLOOKUP(J56,COND!$A$2:$C$7,2,FALSE)+$K$3*VLOOKUP(K56,COND!$A$2:$C$7,3,FALSE)+IF(AND($B$2&gt;0,$E56&lt;20),$B$2*25,0)</f>
        <v>50.390387825052429</v>
      </c>
      <c r="AR56" s="47">
        <f t="shared" si="5"/>
        <v>1.3875402477110201</v>
      </c>
      <c r="AS56" s="45" t="str">
        <f t="shared" si="6"/>
        <v>2B</v>
      </c>
      <c r="AT56" s="45">
        <f>RANK(Batters[[#This Row],[zScore]],Batters[[#All],[zScore]])</f>
        <v>52</v>
      </c>
      <c r="AU56" s="45"/>
      <c r="AV56" s="45"/>
      <c r="AW56" s="45" t="str">
        <f t="shared" si="7"/>
        <v>Unlikely</v>
      </c>
      <c r="AX56" s="45"/>
      <c r="AY56" s="45">
        <f>INDEX(Table5[[#All],[Ovr]],MATCH(Batters[[#This Row],[PID]],Table5[[#All],[PID]],0))</f>
        <v>268</v>
      </c>
      <c r="AZ56" s="45" t="str">
        <f>INDEX(Table5[[#All],[Rnd]],MATCH(Batters[[#This Row],[PID]],Table5[[#All],[PID]],0))</f>
        <v>9</v>
      </c>
      <c r="BA56" s="45">
        <f>INDEX(Table5[[#All],[Pick]],MATCH(Batters[[#This Row],[PID]],Table5[[#All],[PID]],0))</f>
        <v>20</v>
      </c>
      <c r="BB56" s="45" t="str">
        <f>INDEX(Table5[[#All],[Team]],MATCH(Batters[[#This Row],[PID]],Table5[[#All],[PID]],0))</f>
        <v>Amsterdam Lions</v>
      </c>
    </row>
    <row r="57" spans="1:54" ht="15" customHeight="1" x14ac:dyDescent="0.25">
      <c r="A57" s="40">
        <v>15280</v>
      </c>
      <c r="B57" s="40" t="s">
        <v>66</v>
      </c>
      <c r="C57" s="40" t="s">
        <v>158</v>
      </c>
      <c r="D57" s="40" t="s">
        <v>1247</v>
      </c>
      <c r="E57" s="40">
        <v>18</v>
      </c>
      <c r="F57" s="40" t="s">
        <v>42</v>
      </c>
      <c r="G57" s="40" t="s">
        <v>42</v>
      </c>
      <c r="H57" s="41" t="s">
        <v>634</v>
      </c>
      <c r="I57" s="65" t="s">
        <v>43</v>
      </c>
      <c r="J57" s="66" t="s">
        <v>43</v>
      </c>
      <c r="K57" s="67" t="s">
        <v>43</v>
      </c>
      <c r="L57" s="40">
        <v>1</v>
      </c>
      <c r="M57" s="40">
        <v>3</v>
      </c>
      <c r="N57" s="40">
        <v>3</v>
      </c>
      <c r="O57" s="40">
        <v>2</v>
      </c>
      <c r="P57" s="41">
        <v>2</v>
      </c>
      <c r="Q57" s="40">
        <v>4</v>
      </c>
      <c r="R57" s="40">
        <v>7</v>
      </c>
      <c r="S57" s="40">
        <v>7</v>
      </c>
      <c r="T57" s="40">
        <v>4</v>
      </c>
      <c r="U57" s="41">
        <v>3</v>
      </c>
      <c r="V57" s="40">
        <v>8</v>
      </c>
      <c r="W57" s="40">
        <v>8</v>
      </c>
      <c r="X57" s="40">
        <v>1</v>
      </c>
      <c r="Y57" s="41">
        <v>1</v>
      </c>
      <c r="Z57" s="40" t="s">
        <v>45</v>
      </c>
      <c r="AA57" s="40" t="s">
        <v>45</v>
      </c>
      <c r="AB57" s="40" t="s">
        <v>45</v>
      </c>
      <c r="AC57" s="40" t="s">
        <v>45</v>
      </c>
      <c r="AD57" s="40" t="s">
        <v>45</v>
      </c>
      <c r="AE57" s="40" t="s">
        <v>45</v>
      </c>
      <c r="AF57" s="40" t="s">
        <v>45</v>
      </c>
      <c r="AG57" s="41">
        <v>3</v>
      </c>
      <c r="AH57" s="40">
        <v>2</v>
      </c>
      <c r="AI57" s="40">
        <v>2</v>
      </c>
      <c r="AJ57" s="41">
        <v>1</v>
      </c>
      <c r="AK57" s="43" t="s">
        <v>551</v>
      </c>
      <c r="AL57" s="43" t="s">
        <v>635</v>
      </c>
      <c r="AM57" s="44">
        <f t="shared" si="1"/>
        <v>-1.6863747127156974</v>
      </c>
      <c r="AN57" s="44">
        <f t="shared" si="2"/>
        <v>3.7213730298992158E-2</v>
      </c>
      <c r="AO57" s="45">
        <f t="shared" si="3"/>
        <v>0</v>
      </c>
      <c r="AP57" s="46">
        <f t="shared" si="4"/>
        <v>0</v>
      </c>
      <c r="AQ57" s="44">
        <f>($AM$3*AM57+$AN$3*AN57+$AO$3*AO57+$AP$3*AP57)+$I$3*VLOOKUP(I57,COND!$A$2:$E$7,4,FALSE)+$J$3*VLOOKUP(J57,COND!$A$2:$C$7,2,FALSE)+$K$3*VLOOKUP(K57,COND!$A$2:$C$7,3,FALSE)+IF(AND($B$2&gt;0,$E57&lt;20),$B$2*25,0)</f>
        <v>50.277927292316335</v>
      </c>
      <c r="AR57" s="47">
        <f t="shared" si="5"/>
        <v>1.3626069874407756</v>
      </c>
      <c r="AS57" s="45" t="str">
        <f t="shared" si="6"/>
        <v>RF</v>
      </c>
      <c r="AT57" s="45">
        <f>RANK(Batters[[#This Row],[zScore]],Batters[[#All],[zScore]])</f>
        <v>53</v>
      </c>
      <c r="AU57" s="45"/>
      <c r="AV57" s="45"/>
      <c r="AW57" s="45" t="str">
        <f t="shared" si="7"/>
        <v>Unlikely</v>
      </c>
      <c r="AX57" s="45"/>
      <c r="AY57" s="45">
        <f>INDEX(Table5[[#All],[Ovr]],MATCH(Batters[[#This Row],[PID]],Table5[[#All],[PID]],0))</f>
        <v>175</v>
      </c>
      <c r="AZ57" s="45" t="str">
        <f>INDEX(Table5[[#All],[Rnd]],MATCH(Batters[[#This Row],[PID]],Table5[[#All],[PID]],0))</f>
        <v>6</v>
      </c>
      <c r="BA57" s="45">
        <f>INDEX(Table5[[#All],[Pick]],MATCH(Batters[[#This Row],[PID]],Table5[[#All],[PID]],0))</f>
        <v>17</v>
      </c>
      <c r="BB57" s="45" t="str">
        <f>INDEX(Table5[[#All],[Team]],MATCH(Batters[[#This Row],[PID]],Table5[[#All],[PID]],0))</f>
        <v>Madison Malts</v>
      </c>
    </row>
    <row r="58" spans="1:54" ht="15" customHeight="1" x14ac:dyDescent="0.25">
      <c r="A58" s="40">
        <v>20692</v>
      </c>
      <c r="B58" s="40" t="s">
        <v>87</v>
      </c>
      <c r="C58" s="40" t="s">
        <v>1237</v>
      </c>
      <c r="D58" s="40" t="s">
        <v>1238</v>
      </c>
      <c r="E58" s="40">
        <v>18</v>
      </c>
      <c r="F58" s="40" t="s">
        <v>42</v>
      </c>
      <c r="G58" s="40" t="s">
        <v>42</v>
      </c>
      <c r="H58" s="41" t="s">
        <v>634</v>
      </c>
      <c r="I58" s="65" t="s">
        <v>43</v>
      </c>
      <c r="J58" s="66" t="s">
        <v>43</v>
      </c>
      <c r="K58" s="67" t="s">
        <v>43</v>
      </c>
      <c r="L58" s="40">
        <v>1</v>
      </c>
      <c r="M58" s="40">
        <v>3</v>
      </c>
      <c r="N58" s="40">
        <v>3</v>
      </c>
      <c r="O58" s="40">
        <v>3</v>
      </c>
      <c r="P58" s="41">
        <v>2</v>
      </c>
      <c r="Q58" s="40">
        <v>4</v>
      </c>
      <c r="R58" s="40">
        <v>6</v>
      </c>
      <c r="S58" s="40">
        <v>6</v>
      </c>
      <c r="T58" s="40">
        <v>5</v>
      </c>
      <c r="U58" s="41">
        <v>4</v>
      </c>
      <c r="V58" s="40">
        <v>9</v>
      </c>
      <c r="W58" s="40">
        <v>8</v>
      </c>
      <c r="X58" s="40">
        <v>1</v>
      </c>
      <c r="Y58" s="41">
        <v>1</v>
      </c>
      <c r="Z58" s="40" t="s">
        <v>45</v>
      </c>
      <c r="AA58" s="40">
        <v>3</v>
      </c>
      <c r="AB58" s="40" t="s">
        <v>45</v>
      </c>
      <c r="AC58" s="40">
        <v>1</v>
      </c>
      <c r="AD58" s="40" t="s">
        <v>45</v>
      </c>
      <c r="AE58" s="40" t="s">
        <v>45</v>
      </c>
      <c r="AF58" s="40" t="s">
        <v>45</v>
      </c>
      <c r="AG58" s="41">
        <v>1</v>
      </c>
      <c r="AH58" s="40">
        <v>7</v>
      </c>
      <c r="AI58" s="40">
        <v>5</v>
      </c>
      <c r="AJ58" s="41">
        <v>6</v>
      </c>
      <c r="AK58" s="43" t="s">
        <v>553</v>
      </c>
      <c r="AL58" s="43" t="s">
        <v>635</v>
      </c>
      <c r="AM58" s="44">
        <f t="shared" si="1"/>
        <v>-1.5966651627061161</v>
      </c>
      <c r="AN58" s="44">
        <f t="shared" si="2"/>
        <v>3.281824648305165E-2</v>
      </c>
      <c r="AO58" s="45">
        <f t="shared" si="3"/>
        <v>0</v>
      </c>
      <c r="AP58" s="46">
        <f t="shared" si="4"/>
        <v>0</v>
      </c>
      <c r="AQ58" s="44">
        <f>($AM$3*AM58+$AN$3*AN58+$AO$3*AO58+$AP$3*AP58)+$I$3*VLOOKUP(I58,COND!$A$2:$E$7,4,FALSE)+$J$3*VLOOKUP(J58,COND!$A$2:$C$7,2,FALSE)+$K$3*VLOOKUP(K58,COND!$A$2:$C$7,3,FALSE)+IF(AND($B$2&gt;0,$E58&lt;20),$B$2*25,0)</f>
        <v>50.234152441526007</v>
      </c>
      <c r="AR58" s="47">
        <f t="shared" si="5"/>
        <v>1.3529018071300292</v>
      </c>
      <c r="AS58" s="45" t="str">
        <f t="shared" si="6"/>
        <v>RF</v>
      </c>
      <c r="AT58" s="45">
        <f>RANK(Batters[[#This Row],[zScore]],Batters[[#All],[zScore]])</f>
        <v>54</v>
      </c>
      <c r="AU58" s="45"/>
      <c r="AV58" s="45"/>
      <c r="AW58" s="45" t="str">
        <f t="shared" si="7"/>
        <v>Unlikely</v>
      </c>
      <c r="AX58" s="45"/>
      <c r="AY58" s="45">
        <f>INDEX(Table5[[#All],[Ovr]],MATCH(Batters[[#This Row],[PID]],Table5[[#All],[PID]],0))</f>
        <v>143</v>
      </c>
      <c r="AZ58" s="45" t="str">
        <f>INDEX(Table5[[#All],[Rnd]],MATCH(Batters[[#This Row],[PID]],Table5[[#All],[PID]],0))</f>
        <v>5</v>
      </c>
      <c r="BA58" s="45">
        <f>INDEX(Table5[[#All],[Pick]],MATCH(Batters[[#This Row],[PID]],Table5[[#All],[PID]],0))</f>
        <v>15</v>
      </c>
      <c r="BB58" s="45" t="str">
        <f>INDEX(Table5[[#All],[Team]],MATCH(Batters[[#This Row],[PID]],Table5[[#All],[PID]],0))</f>
        <v>Kentucky Thoroughbreds</v>
      </c>
    </row>
    <row r="59" spans="1:54" ht="15" customHeight="1" x14ac:dyDescent="0.25">
      <c r="A59" s="40">
        <v>18404</v>
      </c>
      <c r="B59" s="40" t="s">
        <v>69</v>
      </c>
      <c r="C59" s="40" t="s">
        <v>1359</v>
      </c>
      <c r="D59" s="40" t="s">
        <v>1360</v>
      </c>
      <c r="E59" s="40">
        <v>18</v>
      </c>
      <c r="F59" s="40" t="s">
        <v>53</v>
      </c>
      <c r="G59" s="40" t="s">
        <v>42</v>
      </c>
      <c r="H59" s="41" t="s">
        <v>634</v>
      </c>
      <c r="I59" s="65" t="s">
        <v>44</v>
      </c>
      <c r="J59" s="66" t="s">
        <v>47</v>
      </c>
      <c r="K59" s="67" t="s">
        <v>43</v>
      </c>
      <c r="L59" s="40">
        <v>1</v>
      </c>
      <c r="M59" s="40">
        <v>3</v>
      </c>
      <c r="N59" s="40">
        <v>2</v>
      </c>
      <c r="O59" s="40">
        <v>2</v>
      </c>
      <c r="P59" s="41">
        <v>3</v>
      </c>
      <c r="Q59" s="40">
        <v>4</v>
      </c>
      <c r="R59" s="40">
        <v>7</v>
      </c>
      <c r="S59" s="40">
        <v>4</v>
      </c>
      <c r="T59" s="40">
        <v>5</v>
      </c>
      <c r="U59" s="41">
        <v>5</v>
      </c>
      <c r="V59" s="40">
        <v>9</v>
      </c>
      <c r="W59" s="40">
        <v>8</v>
      </c>
      <c r="X59" s="40">
        <v>1</v>
      </c>
      <c r="Y59" s="41">
        <v>1</v>
      </c>
      <c r="Z59" s="40" t="s">
        <v>45</v>
      </c>
      <c r="AA59" s="40" t="s">
        <v>45</v>
      </c>
      <c r="AB59" s="40" t="s">
        <v>45</v>
      </c>
      <c r="AC59" s="40">
        <v>5</v>
      </c>
      <c r="AD59" s="40" t="s">
        <v>45</v>
      </c>
      <c r="AE59" s="40" t="s">
        <v>45</v>
      </c>
      <c r="AF59" s="40" t="s">
        <v>45</v>
      </c>
      <c r="AG59" s="41" t="s">
        <v>45</v>
      </c>
      <c r="AH59" s="40">
        <v>6</v>
      </c>
      <c r="AI59" s="40">
        <v>4</v>
      </c>
      <c r="AJ59" s="41">
        <v>3</v>
      </c>
      <c r="AK59" s="43" t="s">
        <v>554</v>
      </c>
      <c r="AL59" s="43" t="s">
        <v>635</v>
      </c>
      <c r="AM59" s="44">
        <f t="shared" si="1"/>
        <v>-1.7294198669225156</v>
      </c>
      <c r="AN59" s="44">
        <f t="shared" si="2"/>
        <v>-4.2228522128964399E-2</v>
      </c>
      <c r="AO59" s="45">
        <f t="shared" si="3"/>
        <v>0</v>
      </c>
      <c r="AP59" s="46">
        <f t="shared" si="4"/>
        <v>0.75</v>
      </c>
      <c r="AQ59" s="44">
        <f>($AM$3*AM59+$AN$3*AN59+$AO$3*AO59+$AP$3*AP59)+$I$3*VLOOKUP(I59,COND!$A$2:$E$7,4,FALSE)+$J$3*VLOOKUP(J59,COND!$A$2:$C$7,2,FALSE)+$K$3*VLOOKUP(K59,COND!$A$2:$C$7,3,FALSE)+IF(AND($B$2&gt;0,$E59&lt;20),$B$2*25,0)</f>
        <v>50.220315747760175</v>
      </c>
      <c r="AR59" s="47">
        <f t="shared" si="5"/>
        <v>1.3498341185947744</v>
      </c>
      <c r="AS59" s="45" t="str">
        <f t="shared" si="6"/>
        <v>3B</v>
      </c>
      <c r="AT59" s="45">
        <f>RANK(Batters[[#This Row],[zScore]],Batters[[#All],[zScore]])</f>
        <v>55</v>
      </c>
      <c r="AU59" s="45"/>
      <c r="AV59" s="45"/>
      <c r="AW59" s="45" t="str">
        <f t="shared" si="7"/>
        <v>Unlikely</v>
      </c>
      <c r="AX59" s="45"/>
      <c r="AY59" s="45">
        <f>INDEX(Table5[[#All],[Ovr]],MATCH(Batters[[#This Row],[PID]],Table5[[#All],[PID]],0))</f>
        <v>242</v>
      </c>
      <c r="AZ59" s="45" t="str">
        <f>INDEX(Table5[[#All],[Rnd]],MATCH(Batters[[#This Row],[PID]],Table5[[#All],[PID]],0))</f>
        <v>8</v>
      </c>
      <c r="BA59" s="45">
        <f>INDEX(Table5[[#All],[Pick]],MATCH(Batters[[#This Row],[PID]],Table5[[#All],[PID]],0))</f>
        <v>24</v>
      </c>
      <c r="BB59" s="45" t="str">
        <f>INDEX(Table5[[#All],[Team]],MATCH(Batters[[#This Row],[PID]],Table5[[#All],[PID]],0))</f>
        <v>Aurora Borealis</v>
      </c>
    </row>
    <row r="60" spans="1:54" ht="15" customHeight="1" x14ac:dyDescent="0.25">
      <c r="A60" s="40">
        <v>20311</v>
      </c>
      <c r="B60" s="40" t="s">
        <v>87</v>
      </c>
      <c r="C60" s="40" t="s">
        <v>180</v>
      </c>
      <c r="D60" s="40" t="s">
        <v>149</v>
      </c>
      <c r="E60" s="40">
        <v>18</v>
      </c>
      <c r="F60" s="40" t="s">
        <v>53</v>
      </c>
      <c r="G60" s="40" t="s">
        <v>53</v>
      </c>
      <c r="H60" s="41" t="s">
        <v>634</v>
      </c>
      <c r="I60" s="65" t="s">
        <v>43</v>
      </c>
      <c r="J60" s="66" t="s">
        <v>43</v>
      </c>
      <c r="K60" s="67" t="s">
        <v>43</v>
      </c>
      <c r="L60" s="40">
        <v>1</v>
      </c>
      <c r="M60" s="40">
        <v>2</v>
      </c>
      <c r="N60" s="40">
        <v>4</v>
      </c>
      <c r="O60" s="40">
        <v>3</v>
      </c>
      <c r="P60" s="41">
        <v>1</v>
      </c>
      <c r="Q60" s="40">
        <v>4</v>
      </c>
      <c r="R60" s="40">
        <v>4</v>
      </c>
      <c r="S60" s="40">
        <v>6</v>
      </c>
      <c r="T60" s="40">
        <v>6</v>
      </c>
      <c r="U60" s="41">
        <v>4</v>
      </c>
      <c r="V60" s="40">
        <v>1</v>
      </c>
      <c r="W60" s="40">
        <v>2</v>
      </c>
      <c r="X60" s="40">
        <v>1</v>
      </c>
      <c r="Y60" s="41">
        <v>1</v>
      </c>
      <c r="Z60" s="40" t="s">
        <v>45</v>
      </c>
      <c r="AA60" s="40">
        <v>2</v>
      </c>
      <c r="AB60" s="40" t="s">
        <v>45</v>
      </c>
      <c r="AC60" s="40" t="s">
        <v>45</v>
      </c>
      <c r="AD60" s="40" t="s">
        <v>45</v>
      </c>
      <c r="AE60" s="40" t="s">
        <v>45</v>
      </c>
      <c r="AF60" s="40" t="s">
        <v>45</v>
      </c>
      <c r="AG60" s="41" t="s">
        <v>45</v>
      </c>
      <c r="AH60" s="40">
        <v>1</v>
      </c>
      <c r="AI60" s="40">
        <v>4</v>
      </c>
      <c r="AJ60" s="41">
        <v>5</v>
      </c>
      <c r="AK60" s="43" t="s">
        <v>644</v>
      </c>
      <c r="AL60" s="43" t="s">
        <v>635</v>
      </c>
      <c r="AM60" s="44">
        <f t="shared" si="1"/>
        <v>-1.6046798881180016</v>
      </c>
      <c r="AN60" s="44">
        <f t="shared" si="2"/>
        <v>2.040803725522566E-2</v>
      </c>
      <c r="AO60" s="45">
        <f t="shared" si="3"/>
        <v>0</v>
      </c>
      <c r="AP60" s="46">
        <f t="shared" si="4"/>
        <v>0</v>
      </c>
      <c r="AQ60" s="44">
        <f>($AM$3*AM60+$AN$3*AN60+$AO$3*AO60+$AP$3*AP60)+$I$3*VLOOKUP(I60,COND!$A$2:$E$7,4,FALSE)+$J$3*VLOOKUP(J60,COND!$A$2:$C$7,2,FALSE)+$K$3*VLOOKUP(K60,COND!$A$2:$C$7,3,FALSE)+IF(AND($B$2&gt;0,$E60&lt;20),$B$2*25,0)</f>
        <v>50.084428458250912</v>
      </c>
      <c r="AR60" s="47">
        <f t="shared" si="5"/>
        <v>1.3197069879977386</v>
      </c>
      <c r="AS60" s="45" t="str">
        <f t="shared" si="6"/>
        <v>1B</v>
      </c>
      <c r="AT60" s="45">
        <f>RANK(Batters[[#This Row],[zScore]],Batters[[#All],[zScore]])</f>
        <v>56</v>
      </c>
      <c r="AU60" s="45"/>
      <c r="AV60" s="45"/>
      <c r="AW60" s="45" t="str">
        <f t="shared" si="7"/>
        <v>Possible</v>
      </c>
      <c r="AX60" s="45"/>
      <c r="AY60" s="45">
        <f>INDEX(Table5[[#All],[Ovr]],MATCH(Batters[[#This Row],[PID]],Table5[[#All],[PID]],0))</f>
        <v>176</v>
      </c>
      <c r="AZ60" s="45" t="str">
        <f>INDEX(Table5[[#All],[Rnd]],MATCH(Batters[[#This Row],[PID]],Table5[[#All],[PID]],0))</f>
        <v>6</v>
      </c>
      <c r="BA60" s="45">
        <f>INDEX(Table5[[#All],[Pick]],MATCH(Batters[[#This Row],[PID]],Table5[[#All],[PID]],0))</f>
        <v>18</v>
      </c>
      <c r="BB60" s="45" t="str">
        <f>INDEX(Table5[[#All],[Team]],MATCH(Batters[[#This Row],[PID]],Table5[[#All],[PID]],0))</f>
        <v>Bakersfield Bears</v>
      </c>
    </row>
    <row r="61" spans="1:54" ht="15" customHeight="1" x14ac:dyDescent="0.25">
      <c r="A61" s="40">
        <v>18333</v>
      </c>
      <c r="B61" s="40" t="s">
        <v>50</v>
      </c>
      <c r="C61" s="40" t="s">
        <v>1255</v>
      </c>
      <c r="D61" s="40" t="s">
        <v>686</v>
      </c>
      <c r="E61" s="40">
        <v>18</v>
      </c>
      <c r="F61" s="40" t="s">
        <v>53</v>
      </c>
      <c r="G61" s="40" t="s">
        <v>53</v>
      </c>
      <c r="H61" s="41" t="s">
        <v>634</v>
      </c>
      <c r="I61" s="65" t="s">
        <v>43</v>
      </c>
      <c r="J61" s="66" t="s">
        <v>43</v>
      </c>
      <c r="K61" s="67" t="s">
        <v>47</v>
      </c>
      <c r="L61" s="40">
        <v>1</v>
      </c>
      <c r="M61" s="40">
        <v>2</v>
      </c>
      <c r="N61" s="40">
        <v>3</v>
      </c>
      <c r="O61" s="40">
        <v>2</v>
      </c>
      <c r="P61" s="41">
        <v>2</v>
      </c>
      <c r="Q61" s="40">
        <v>4</v>
      </c>
      <c r="R61" s="40">
        <v>6</v>
      </c>
      <c r="S61" s="40">
        <v>5</v>
      </c>
      <c r="T61" s="40">
        <v>5</v>
      </c>
      <c r="U61" s="41">
        <v>4</v>
      </c>
      <c r="V61" s="40">
        <v>4</v>
      </c>
      <c r="W61" s="40">
        <v>8</v>
      </c>
      <c r="X61" s="40">
        <v>1</v>
      </c>
      <c r="Y61" s="41">
        <v>1</v>
      </c>
      <c r="Z61" s="40" t="s">
        <v>45</v>
      </c>
      <c r="AA61" s="40" t="s">
        <v>45</v>
      </c>
      <c r="AB61" s="40" t="s">
        <v>45</v>
      </c>
      <c r="AC61" s="40" t="s">
        <v>45</v>
      </c>
      <c r="AD61" s="40" t="s">
        <v>45</v>
      </c>
      <c r="AE61" s="40">
        <v>4</v>
      </c>
      <c r="AF61" s="40" t="s">
        <v>45</v>
      </c>
      <c r="AG61" s="41" t="s">
        <v>45</v>
      </c>
      <c r="AH61" s="40">
        <v>9</v>
      </c>
      <c r="AI61" s="40">
        <v>7</v>
      </c>
      <c r="AJ61" s="41">
        <v>7</v>
      </c>
      <c r="AK61" s="43" t="s">
        <v>553</v>
      </c>
      <c r="AL61" s="43" t="s">
        <v>47</v>
      </c>
      <c r="AM61" s="44">
        <f t="shared" si="1"/>
        <v>-1.7374345923344008</v>
      </c>
      <c r="AN61" s="44">
        <f t="shared" si="2"/>
        <v>-5.0243247540849842E-2</v>
      </c>
      <c r="AO61" s="45">
        <f t="shared" si="3"/>
        <v>3</v>
      </c>
      <c r="AP61" s="46">
        <f t="shared" si="4"/>
        <v>0</v>
      </c>
      <c r="AQ61" s="44">
        <f>($AM$3*AM61+$AN$3*AN61+$AO$3*AO61+$AP$3*AP61)+$I$3*VLOOKUP(I61,COND!$A$2:$E$7,4,FALSE)+$J$3*VLOOKUP(J61,COND!$A$2:$C$7,2,FALSE)+$K$3*VLOOKUP(K61,COND!$A$2:$C$7,3,FALSE)+IF(AND($B$2&gt;0,$E61&lt;20),$B$2*25,0)</f>
        <v>50.023337570276368</v>
      </c>
      <c r="AR61" s="47">
        <f t="shared" si="5"/>
        <v>1.3061627251977028</v>
      </c>
      <c r="AS61" s="45" t="str">
        <f t="shared" si="6"/>
        <v>LF</v>
      </c>
      <c r="AT61" s="45">
        <f>RANK(Batters[[#This Row],[zScore]],Batters[[#All],[zScore]])</f>
        <v>57</v>
      </c>
      <c r="AU61" s="45"/>
      <c r="AV61" s="45"/>
      <c r="AW61" s="45" t="str">
        <f t="shared" si="7"/>
        <v>Unlikely</v>
      </c>
      <c r="AX61" s="45"/>
      <c r="AY61" s="45">
        <f>INDEX(Table5[[#All],[Ovr]],MATCH(Batters[[#This Row],[PID]],Table5[[#All],[PID]],0))</f>
        <v>235</v>
      </c>
      <c r="AZ61" s="45" t="str">
        <f>INDEX(Table5[[#All],[Rnd]],MATCH(Batters[[#This Row],[PID]],Table5[[#All],[PID]],0))</f>
        <v>8</v>
      </c>
      <c r="BA61" s="45">
        <f>INDEX(Table5[[#All],[Pick]],MATCH(Batters[[#This Row],[PID]],Table5[[#All],[PID]],0))</f>
        <v>17</v>
      </c>
      <c r="BB61" s="45" t="str">
        <f>INDEX(Table5[[#All],[Team]],MATCH(Batters[[#This Row],[PID]],Table5[[#All],[PID]],0))</f>
        <v>Madison Malts</v>
      </c>
    </row>
    <row r="62" spans="1:54" ht="15" customHeight="1" x14ac:dyDescent="0.25">
      <c r="A62" s="40">
        <v>18321</v>
      </c>
      <c r="B62" s="40" t="s">
        <v>87</v>
      </c>
      <c r="C62" s="40" t="s">
        <v>1367</v>
      </c>
      <c r="D62" s="40" t="s">
        <v>1368</v>
      </c>
      <c r="E62" s="40">
        <v>21</v>
      </c>
      <c r="F62" s="40" t="s">
        <v>53</v>
      </c>
      <c r="G62" s="40" t="s">
        <v>53</v>
      </c>
      <c r="H62" s="41" t="s">
        <v>634</v>
      </c>
      <c r="I62" s="65" t="s">
        <v>43</v>
      </c>
      <c r="J62" s="66" t="s">
        <v>44</v>
      </c>
      <c r="K62" s="67" t="s">
        <v>43</v>
      </c>
      <c r="L62" s="40">
        <v>3</v>
      </c>
      <c r="M62" s="40">
        <v>4</v>
      </c>
      <c r="N62" s="40">
        <v>4</v>
      </c>
      <c r="O62" s="40">
        <v>5</v>
      </c>
      <c r="P62" s="41">
        <v>3</v>
      </c>
      <c r="Q62" s="40">
        <v>5</v>
      </c>
      <c r="R62" s="40">
        <v>5</v>
      </c>
      <c r="S62" s="40">
        <v>6</v>
      </c>
      <c r="T62" s="40">
        <v>6</v>
      </c>
      <c r="U62" s="41">
        <v>5</v>
      </c>
      <c r="V62" s="40">
        <v>1</v>
      </c>
      <c r="W62" s="40">
        <v>2</v>
      </c>
      <c r="X62" s="40">
        <v>1</v>
      </c>
      <c r="Y62" s="41">
        <v>1</v>
      </c>
      <c r="Z62" s="40" t="s">
        <v>45</v>
      </c>
      <c r="AA62" s="40">
        <v>5</v>
      </c>
      <c r="AB62" s="40" t="s">
        <v>45</v>
      </c>
      <c r="AC62" s="40" t="s">
        <v>45</v>
      </c>
      <c r="AD62" s="40" t="s">
        <v>45</v>
      </c>
      <c r="AE62" s="40" t="s">
        <v>45</v>
      </c>
      <c r="AF62" s="40" t="s">
        <v>45</v>
      </c>
      <c r="AG62" s="41" t="s">
        <v>45</v>
      </c>
      <c r="AH62" s="40">
        <v>1</v>
      </c>
      <c r="AI62" s="40">
        <v>6</v>
      </c>
      <c r="AJ62" s="41">
        <v>7</v>
      </c>
      <c r="AK62" s="43" t="s">
        <v>1369</v>
      </c>
      <c r="AL62" s="43" t="s">
        <v>47</v>
      </c>
      <c r="AM62" s="44">
        <f t="shared" si="1"/>
        <v>-0.59799667682191648</v>
      </c>
      <c r="AN62" s="44">
        <f t="shared" si="2"/>
        <v>0.43404009289368728</v>
      </c>
      <c r="AO62" s="45">
        <f t="shared" si="3"/>
        <v>1</v>
      </c>
      <c r="AP62" s="46">
        <f t="shared" si="4"/>
        <v>0</v>
      </c>
      <c r="AQ62" s="44">
        <f>($AM$3*AM62+$AN$3*AN62+$AO$3*AO62+$AP$3*AP62)+$I$3*VLOOKUP(I62,COND!$A$2:$E$7,4,FALSE)+$J$3*VLOOKUP(J62,COND!$A$2:$C$7,2,FALSE)+$K$3*VLOOKUP(K62,COND!$A$2:$C$7,3,FALSE)+IF(AND($B$2&gt;0,$E62&lt;20),$B$2*25,0)</f>
        <v>50.015348113708725</v>
      </c>
      <c r="AR62" s="47">
        <f t="shared" si="5"/>
        <v>1.304391408672942</v>
      </c>
      <c r="AS62" s="45" t="str">
        <f t="shared" si="6"/>
        <v>1B</v>
      </c>
      <c r="AT62" s="45">
        <f>RANK(Batters[[#This Row],[zScore]],Batters[[#All],[zScore]])</f>
        <v>58</v>
      </c>
      <c r="AU62" s="45"/>
      <c r="AV62" s="45"/>
      <c r="AW62" s="45" t="str">
        <f t="shared" si="7"/>
        <v>Possible</v>
      </c>
      <c r="AX62" s="45"/>
      <c r="AY62" s="45">
        <f>INDEX(Table5[[#All],[Ovr]],MATCH(Batters[[#This Row],[PID]],Table5[[#All],[PID]],0))</f>
        <v>129</v>
      </c>
      <c r="AZ62" s="45" t="str">
        <f>INDEX(Table5[[#All],[Rnd]],MATCH(Batters[[#This Row],[PID]],Table5[[#All],[PID]],0))</f>
        <v>5</v>
      </c>
      <c r="BA62" s="45">
        <f>INDEX(Table5[[#All],[Pick]],MATCH(Batters[[#This Row],[PID]],Table5[[#All],[PID]],0))</f>
        <v>1</v>
      </c>
      <c r="BB62" s="45" t="str">
        <f>INDEX(Table5[[#All],[Team]],MATCH(Batters[[#This Row],[PID]],Table5[[#All],[PID]],0))</f>
        <v>Yuma Arroyos</v>
      </c>
    </row>
    <row r="63" spans="1:54" ht="15" customHeight="1" x14ac:dyDescent="0.25">
      <c r="A63" s="40">
        <v>18118</v>
      </c>
      <c r="B63" s="40" t="s">
        <v>71</v>
      </c>
      <c r="C63" s="40" t="s">
        <v>335</v>
      </c>
      <c r="D63" s="40" t="s">
        <v>1366</v>
      </c>
      <c r="E63" s="40">
        <v>21</v>
      </c>
      <c r="F63" s="40" t="s">
        <v>42</v>
      </c>
      <c r="G63" s="40" t="s">
        <v>42</v>
      </c>
      <c r="H63" s="41" t="s">
        <v>634</v>
      </c>
      <c r="I63" s="65" t="s">
        <v>43</v>
      </c>
      <c r="J63" s="66" t="s">
        <v>43</v>
      </c>
      <c r="K63" s="67" t="s">
        <v>43</v>
      </c>
      <c r="L63" s="40">
        <v>3</v>
      </c>
      <c r="M63" s="40">
        <v>4</v>
      </c>
      <c r="N63" s="40">
        <v>2</v>
      </c>
      <c r="O63" s="40">
        <v>3</v>
      </c>
      <c r="P63" s="41">
        <v>2</v>
      </c>
      <c r="Q63" s="40">
        <v>5</v>
      </c>
      <c r="R63" s="40">
        <v>7</v>
      </c>
      <c r="S63" s="40">
        <v>4</v>
      </c>
      <c r="T63" s="40">
        <v>6</v>
      </c>
      <c r="U63" s="41">
        <v>5</v>
      </c>
      <c r="V63" s="40">
        <v>4</v>
      </c>
      <c r="W63" s="40">
        <v>2</v>
      </c>
      <c r="X63" s="40">
        <v>1</v>
      </c>
      <c r="Y63" s="41">
        <v>1</v>
      </c>
      <c r="Z63" s="40" t="s">
        <v>45</v>
      </c>
      <c r="AA63" s="40" t="s">
        <v>45</v>
      </c>
      <c r="AB63" s="40">
        <v>4</v>
      </c>
      <c r="AC63" s="40" t="s">
        <v>45</v>
      </c>
      <c r="AD63" s="40">
        <v>1</v>
      </c>
      <c r="AE63" s="40" t="s">
        <v>45</v>
      </c>
      <c r="AF63" s="40" t="s">
        <v>45</v>
      </c>
      <c r="AG63" s="41" t="s">
        <v>45</v>
      </c>
      <c r="AH63" s="40">
        <v>9</v>
      </c>
      <c r="AI63" s="40">
        <v>8</v>
      </c>
      <c r="AJ63" s="41">
        <v>7</v>
      </c>
      <c r="AK63" s="43" t="s">
        <v>657</v>
      </c>
      <c r="AL63" s="43" t="s">
        <v>635</v>
      </c>
      <c r="AM63" s="44">
        <f t="shared" si="1"/>
        <v>-0.98355510470596508</v>
      </c>
      <c r="AN63" s="44">
        <f t="shared" si="2"/>
        <v>0.37003686408329134</v>
      </c>
      <c r="AO63" s="45">
        <f t="shared" si="3"/>
        <v>4</v>
      </c>
      <c r="AP63" s="46">
        <f t="shared" si="4"/>
        <v>0</v>
      </c>
      <c r="AQ63" s="44">
        <f>($AM$3*AM63+$AN$3*AN63+$AO$3*AO63+$AP$3*AP63)+$I$3*VLOOKUP(I63,COND!$A$2:$E$7,4,FALSE)+$J$3*VLOOKUP(J63,COND!$A$2:$C$7,2,FALSE)+$K$3*VLOOKUP(K63,COND!$A$2:$C$7,3,FALSE)+IF(AND($B$2&gt;0,$E63&lt;20),$B$2*25,0)</f>
        <v>50.008753525195566</v>
      </c>
      <c r="AR63" s="47">
        <f t="shared" si="5"/>
        <v>1.302929343824293</v>
      </c>
      <c r="AS63" s="45" t="str">
        <f t="shared" si="6"/>
        <v>2B</v>
      </c>
      <c r="AT63" s="45">
        <f>RANK(Batters[[#This Row],[zScore]],Batters[[#All],[zScore]])</f>
        <v>59</v>
      </c>
      <c r="AU63" s="45"/>
      <c r="AV63" s="45"/>
      <c r="AW63" s="45" t="str">
        <f t="shared" si="7"/>
        <v>Possible</v>
      </c>
      <c r="AX63" s="45"/>
      <c r="AY63" s="45">
        <f>INDEX(Table5[[#All],[Ovr]],MATCH(Batters[[#This Row],[PID]],Table5[[#All],[PID]],0))</f>
        <v>89</v>
      </c>
      <c r="AZ63" s="45" t="str">
        <f>INDEX(Table5[[#All],[Rnd]],MATCH(Batters[[#This Row],[PID]],Table5[[#All],[PID]],0))</f>
        <v>3</v>
      </c>
      <c r="BA63" s="45">
        <f>INDEX(Table5[[#All],[Pick]],MATCH(Batters[[#This Row],[PID]],Table5[[#All],[PID]],0))</f>
        <v>21</v>
      </c>
      <c r="BB63" s="45" t="str">
        <f>INDEX(Table5[[#All],[Team]],MATCH(Batters[[#This Row],[PID]],Table5[[#All],[PID]],0))</f>
        <v>Toyama Wind Dancers</v>
      </c>
    </row>
    <row r="64" spans="1:54" ht="15" customHeight="1" x14ac:dyDescent="0.25">
      <c r="A64" s="40">
        <v>20312</v>
      </c>
      <c r="B64" s="40" t="s">
        <v>71</v>
      </c>
      <c r="C64" s="40" t="s">
        <v>1377</v>
      </c>
      <c r="D64" s="40" t="s">
        <v>1378</v>
      </c>
      <c r="E64" s="40">
        <v>18</v>
      </c>
      <c r="F64" s="40" t="s">
        <v>42</v>
      </c>
      <c r="G64" s="40" t="s">
        <v>42</v>
      </c>
      <c r="H64" s="41" t="s">
        <v>634</v>
      </c>
      <c r="I64" s="65" t="s">
        <v>43</v>
      </c>
      <c r="J64" s="66" t="s">
        <v>43</v>
      </c>
      <c r="K64" s="67" t="s">
        <v>43</v>
      </c>
      <c r="L64" s="40">
        <v>1</v>
      </c>
      <c r="M64" s="40">
        <v>4</v>
      </c>
      <c r="N64" s="40">
        <v>2</v>
      </c>
      <c r="O64" s="40">
        <v>3</v>
      </c>
      <c r="P64" s="41">
        <v>1</v>
      </c>
      <c r="Q64" s="40">
        <v>4</v>
      </c>
      <c r="R64" s="40">
        <v>7</v>
      </c>
      <c r="S64" s="40">
        <v>4</v>
      </c>
      <c r="T64" s="40">
        <v>6</v>
      </c>
      <c r="U64" s="41">
        <v>4</v>
      </c>
      <c r="V64" s="40">
        <v>4</v>
      </c>
      <c r="W64" s="40">
        <v>3</v>
      </c>
      <c r="X64" s="40">
        <v>1</v>
      </c>
      <c r="Y64" s="41">
        <v>1</v>
      </c>
      <c r="Z64" s="40" t="s">
        <v>45</v>
      </c>
      <c r="AA64" s="40" t="s">
        <v>45</v>
      </c>
      <c r="AB64" s="40">
        <v>2</v>
      </c>
      <c r="AC64" s="40" t="s">
        <v>45</v>
      </c>
      <c r="AD64" s="40">
        <v>1</v>
      </c>
      <c r="AE64" s="40" t="s">
        <v>45</v>
      </c>
      <c r="AF64" s="40" t="s">
        <v>45</v>
      </c>
      <c r="AG64" s="41" t="s">
        <v>45</v>
      </c>
      <c r="AH64" s="40">
        <v>6</v>
      </c>
      <c r="AI64" s="40">
        <v>5</v>
      </c>
      <c r="AJ64" s="41">
        <v>6</v>
      </c>
      <c r="AK64" s="43" t="s">
        <v>654</v>
      </c>
      <c r="AL64" s="43" t="s">
        <v>47</v>
      </c>
      <c r="AM64" s="44">
        <f t="shared" si="1"/>
        <v>-1.6686831169283978</v>
      </c>
      <c r="AN64" s="44">
        <f t="shared" si="2"/>
        <v>7.4646880635331828E-3</v>
      </c>
      <c r="AO64" s="45">
        <f t="shared" si="3"/>
        <v>0</v>
      </c>
      <c r="AP64" s="46">
        <f t="shared" si="4"/>
        <v>0</v>
      </c>
      <c r="AQ64" s="44">
        <f>($AM$3*AM64+$AN$3*AN64+$AO$3*AO64+$AP$3*AP64)+$I$3*VLOOKUP(I64,COND!$A$2:$E$7,4,FALSE)+$J$3*VLOOKUP(J64,COND!$A$2:$C$7,2,FALSE)+$K$3*VLOOKUP(K64,COND!$A$2:$C$7,3,FALSE)+IF(AND($B$2&gt;0,$E64&lt;20),$B$2*25,0)</f>
        <v>49.922707945069561</v>
      </c>
      <c r="AR64" s="47">
        <f t="shared" si="5"/>
        <v>1.2838524570962142</v>
      </c>
      <c r="AS64" s="45" t="str">
        <f t="shared" si="6"/>
        <v>2B</v>
      </c>
      <c r="AT64" s="45">
        <f>RANK(Batters[[#This Row],[zScore]],Batters[[#All],[zScore]])</f>
        <v>60</v>
      </c>
      <c r="AU64" s="45"/>
      <c r="AV64" s="45"/>
      <c r="AW64" s="45" t="str">
        <f t="shared" si="7"/>
        <v>Unlikely</v>
      </c>
      <c r="AX64" s="45"/>
      <c r="AY64" s="45">
        <f>INDEX(Table5[[#All],[Ovr]],MATCH(Batters[[#This Row],[PID]],Table5[[#All],[PID]],0))</f>
        <v>358</v>
      </c>
      <c r="AZ64" s="45" t="str">
        <f>INDEX(Table5[[#All],[Rnd]],MATCH(Batters[[#This Row],[PID]],Table5[[#All],[PID]],0))</f>
        <v>12</v>
      </c>
      <c r="BA64" s="45">
        <f>INDEX(Table5[[#All],[Pick]],MATCH(Batters[[#This Row],[PID]],Table5[[#All],[PID]],0))</f>
        <v>20</v>
      </c>
      <c r="BB64" s="45" t="str">
        <f>INDEX(Table5[[#All],[Team]],MATCH(Batters[[#This Row],[PID]],Table5[[#All],[PID]],0))</f>
        <v>Amsterdam Lions</v>
      </c>
    </row>
    <row r="65" spans="1:54" ht="15" customHeight="1" x14ac:dyDescent="0.25">
      <c r="A65" s="40">
        <v>20472</v>
      </c>
      <c r="B65" s="40" t="s">
        <v>69</v>
      </c>
      <c r="C65" s="40" t="s">
        <v>1344</v>
      </c>
      <c r="D65" s="40" t="s">
        <v>1345</v>
      </c>
      <c r="E65" s="40">
        <v>18</v>
      </c>
      <c r="F65" s="40" t="s">
        <v>42</v>
      </c>
      <c r="G65" s="40" t="s">
        <v>42</v>
      </c>
      <c r="H65" s="41" t="s">
        <v>634</v>
      </c>
      <c r="I65" s="65" t="s">
        <v>43</v>
      </c>
      <c r="J65" s="66" t="s">
        <v>43</v>
      </c>
      <c r="K65" s="67" t="s">
        <v>44</v>
      </c>
      <c r="L65" s="40">
        <v>1</v>
      </c>
      <c r="M65" s="40">
        <v>3</v>
      </c>
      <c r="N65" s="40">
        <v>3</v>
      </c>
      <c r="O65" s="40">
        <v>3</v>
      </c>
      <c r="P65" s="41">
        <v>1</v>
      </c>
      <c r="Q65" s="40">
        <v>4</v>
      </c>
      <c r="R65" s="40">
        <v>5</v>
      </c>
      <c r="S65" s="40">
        <v>5</v>
      </c>
      <c r="T65" s="40">
        <v>6</v>
      </c>
      <c r="U65" s="41">
        <v>4</v>
      </c>
      <c r="V65" s="40">
        <v>8</v>
      </c>
      <c r="W65" s="40">
        <v>7</v>
      </c>
      <c r="X65" s="40">
        <v>2</v>
      </c>
      <c r="Y65" s="41">
        <v>1</v>
      </c>
      <c r="Z65" s="40" t="s">
        <v>45</v>
      </c>
      <c r="AA65" s="40">
        <v>2</v>
      </c>
      <c r="AB65" s="40" t="s">
        <v>45</v>
      </c>
      <c r="AC65" s="40">
        <v>2</v>
      </c>
      <c r="AD65" s="40" t="s">
        <v>45</v>
      </c>
      <c r="AE65" s="40" t="s">
        <v>45</v>
      </c>
      <c r="AF65" s="40" t="s">
        <v>45</v>
      </c>
      <c r="AG65" s="41" t="s">
        <v>45</v>
      </c>
      <c r="AH65" s="40">
        <v>7</v>
      </c>
      <c r="AI65" s="40">
        <v>8</v>
      </c>
      <c r="AJ65" s="41">
        <v>7</v>
      </c>
      <c r="AK65" s="43" t="s">
        <v>670</v>
      </c>
      <c r="AL65" s="43" t="s">
        <v>47</v>
      </c>
      <c r="AM65" s="44">
        <f t="shared" si="1"/>
        <v>-1.6366815025231998</v>
      </c>
      <c r="AN65" s="44">
        <f t="shared" si="2"/>
        <v>-1.1593577149972334E-2</v>
      </c>
      <c r="AO65" s="45">
        <f t="shared" si="3"/>
        <v>3</v>
      </c>
      <c r="AP65" s="46">
        <f t="shared" si="4"/>
        <v>0</v>
      </c>
      <c r="AQ65" s="44">
        <f>($AM$3*AM65+$AN$3*AN65+$AO$3*AO65+$AP$3*AP65)+$I$3*VLOOKUP(I65,COND!$A$2:$E$7,4,FALSE)+$J$3*VLOOKUP(J65,COND!$A$2:$C$7,2,FALSE)+$K$3*VLOOKUP(K65,COND!$A$2:$C$7,3,FALSE)+IF(AND($B$2&gt;0,$E65&lt;20),$B$2*25,0)</f>
        <v>49.897208923948014</v>
      </c>
      <c r="AR65" s="47">
        <f t="shared" si="5"/>
        <v>1.2781991517561806</v>
      </c>
      <c r="AS65" s="45" t="str">
        <f t="shared" si="6"/>
        <v>3B</v>
      </c>
      <c r="AT65" s="45">
        <f>RANK(Batters[[#This Row],[zScore]],Batters[[#All],[zScore]])</f>
        <v>61</v>
      </c>
      <c r="AU65" s="45"/>
      <c r="AV65" s="45"/>
      <c r="AW65" s="45" t="str">
        <f t="shared" si="7"/>
        <v>Unlikely</v>
      </c>
      <c r="AX65" s="45"/>
      <c r="AY65" s="45">
        <f>INDEX(Table5[[#All],[Ovr]],MATCH(Batters[[#This Row],[PID]],Table5[[#All],[PID]],0))</f>
        <v>251</v>
      </c>
      <c r="AZ65" s="45" t="str">
        <f>INDEX(Table5[[#All],[Rnd]],MATCH(Batters[[#This Row],[PID]],Table5[[#All],[PID]],0))</f>
        <v>9</v>
      </c>
      <c r="BA65" s="45">
        <f>INDEX(Table5[[#All],[Pick]],MATCH(Batters[[#This Row],[PID]],Table5[[#All],[PID]],0))</f>
        <v>3</v>
      </c>
      <c r="BB65" s="45" t="str">
        <f>INDEX(Table5[[#All],[Team]],MATCH(Batters[[#This Row],[PID]],Table5[[#All],[PID]],0))</f>
        <v>New Orleans Trendsetters</v>
      </c>
    </row>
    <row r="66" spans="1:54" ht="15" customHeight="1" x14ac:dyDescent="0.25">
      <c r="A66" s="40">
        <v>20496</v>
      </c>
      <c r="B66" s="40" t="s">
        <v>66</v>
      </c>
      <c r="C66" s="40" t="s">
        <v>669</v>
      </c>
      <c r="D66" s="40" t="s">
        <v>781</v>
      </c>
      <c r="E66" s="40">
        <v>18</v>
      </c>
      <c r="F66" s="40" t="s">
        <v>53</v>
      </c>
      <c r="G66" s="40" t="s">
        <v>53</v>
      </c>
      <c r="H66" s="41" t="s">
        <v>634</v>
      </c>
      <c r="I66" s="65" t="s">
        <v>43</v>
      </c>
      <c r="J66" s="66" t="s">
        <v>44</v>
      </c>
      <c r="K66" s="67" t="s">
        <v>43</v>
      </c>
      <c r="L66" s="40">
        <v>1</v>
      </c>
      <c r="M66" s="40">
        <v>2</v>
      </c>
      <c r="N66" s="40">
        <v>3</v>
      </c>
      <c r="O66" s="40">
        <v>4</v>
      </c>
      <c r="P66" s="41">
        <v>2</v>
      </c>
      <c r="Q66" s="40">
        <v>4</v>
      </c>
      <c r="R66" s="40">
        <v>5</v>
      </c>
      <c r="S66" s="40">
        <v>5</v>
      </c>
      <c r="T66" s="40">
        <v>6</v>
      </c>
      <c r="U66" s="41">
        <v>5</v>
      </c>
      <c r="V66" s="40">
        <v>5</v>
      </c>
      <c r="W66" s="40">
        <v>6</v>
      </c>
      <c r="X66" s="40">
        <v>1</v>
      </c>
      <c r="Y66" s="41">
        <v>1</v>
      </c>
      <c r="Z66" s="40" t="s">
        <v>45</v>
      </c>
      <c r="AA66" s="40" t="s">
        <v>45</v>
      </c>
      <c r="AB66" s="40" t="s">
        <v>45</v>
      </c>
      <c r="AC66" s="40" t="s">
        <v>45</v>
      </c>
      <c r="AD66" s="40" t="s">
        <v>45</v>
      </c>
      <c r="AE66" s="40">
        <v>1</v>
      </c>
      <c r="AF66" s="40">
        <v>1</v>
      </c>
      <c r="AG66" s="41">
        <v>2</v>
      </c>
      <c r="AH66" s="40">
        <v>7</v>
      </c>
      <c r="AI66" s="40">
        <v>5</v>
      </c>
      <c r="AJ66" s="41">
        <v>4</v>
      </c>
      <c r="AK66" s="43" t="s">
        <v>654</v>
      </c>
      <c r="AL66" s="43" t="s">
        <v>47</v>
      </c>
      <c r="AM66" s="44">
        <f t="shared" si="1"/>
        <v>-1.5580154923152389</v>
      </c>
      <c r="AN66" s="44">
        <f t="shared" si="2"/>
        <v>2.8422762667111117E-2</v>
      </c>
      <c r="AO66" s="45">
        <f t="shared" si="3"/>
        <v>0</v>
      </c>
      <c r="AP66" s="46">
        <f t="shared" si="4"/>
        <v>0</v>
      </c>
      <c r="AQ66" s="44">
        <f>($AM$3*AM66+$AN$3*AN66+$AO$3*AO66+$AP$3*AP66)+$I$3*VLOOKUP(I66,COND!$A$2:$E$7,4,FALSE)+$J$3*VLOOKUP(J66,COND!$A$2:$C$7,2,FALSE)+$K$3*VLOOKUP(K66,COND!$A$2:$C$7,3,FALSE)+IF(AND($B$2&gt;0,$E66&lt;20),$B$2*25,0)</f>
        <v>49.885271602773813</v>
      </c>
      <c r="AR66" s="47">
        <f t="shared" si="5"/>
        <v>1.2755525669630574</v>
      </c>
      <c r="AS66" s="45" t="str">
        <f t="shared" si="6"/>
        <v>RF</v>
      </c>
      <c r="AT66" s="45">
        <f>RANK(Batters[[#This Row],[zScore]],Batters[[#All],[zScore]])</f>
        <v>62</v>
      </c>
      <c r="AU66" s="45"/>
      <c r="AV66" s="45"/>
      <c r="AW66" s="45" t="str">
        <f t="shared" si="7"/>
        <v>Unlikely</v>
      </c>
      <c r="AX66" s="45"/>
      <c r="AY66" s="45">
        <f>INDEX(Table5[[#All],[Ovr]],MATCH(Batters[[#This Row],[PID]],Table5[[#All],[PID]],0))</f>
        <v>388</v>
      </c>
      <c r="AZ66" s="45" t="str">
        <f>INDEX(Table5[[#All],[Rnd]],MATCH(Batters[[#This Row],[PID]],Table5[[#All],[PID]],0))</f>
        <v>13</v>
      </c>
      <c r="BA66" s="45">
        <f>INDEX(Table5[[#All],[Pick]],MATCH(Batters[[#This Row],[PID]],Table5[[#All],[PID]],0))</f>
        <v>20</v>
      </c>
      <c r="BB66" s="45" t="str">
        <f>INDEX(Table5[[#All],[Team]],MATCH(Batters[[#This Row],[PID]],Table5[[#All],[PID]],0))</f>
        <v>Amsterdam Lions</v>
      </c>
    </row>
    <row r="67" spans="1:54" ht="15" customHeight="1" x14ac:dyDescent="0.25">
      <c r="A67" s="40">
        <v>18239</v>
      </c>
      <c r="B67" s="40" t="s">
        <v>87</v>
      </c>
      <c r="C67" s="40" t="s">
        <v>689</v>
      </c>
      <c r="D67" s="40" t="s">
        <v>832</v>
      </c>
      <c r="E67" s="40">
        <v>18</v>
      </c>
      <c r="F67" s="40" t="s">
        <v>53</v>
      </c>
      <c r="G67" s="40" t="s">
        <v>53</v>
      </c>
      <c r="H67" s="41" t="s">
        <v>634</v>
      </c>
      <c r="I67" s="65" t="s">
        <v>43</v>
      </c>
      <c r="J67" s="66" t="s">
        <v>44</v>
      </c>
      <c r="K67" s="67" t="s">
        <v>43</v>
      </c>
      <c r="L67" s="40">
        <v>1</v>
      </c>
      <c r="M67" s="40">
        <v>2</v>
      </c>
      <c r="N67" s="40">
        <v>4</v>
      </c>
      <c r="O67" s="40">
        <v>2</v>
      </c>
      <c r="P67" s="41">
        <v>1</v>
      </c>
      <c r="Q67" s="40">
        <v>4</v>
      </c>
      <c r="R67" s="40">
        <v>5</v>
      </c>
      <c r="S67" s="40">
        <v>7</v>
      </c>
      <c r="T67" s="40">
        <v>5</v>
      </c>
      <c r="U67" s="41">
        <v>3</v>
      </c>
      <c r="V67" s="40">
        <v>4</v>
      </c>
      <c r="W67" s="40">
        <v>1</v>
      </c>
      <c r="X67" s="40">
        <v>1</v>
      </c>
      <c r="Y67" s="41">
        <v>1</v>
      </c>
      <c r="Z67" s="40" t="s">
        <v>45</v>
      </c>
      <c r="AA67" s="40">
        <v>2</v>
      </c>
      <c r="AB67" s="40" t="s">
        <v>45</v>
      </c>
      <c r="AC67" s="40" t="s">
        <v>45</v>
      </c>
      <c r="AD67" s="40" t="s">
        <v>45</v>
      </c>
      <c r="AE67" s="40" t="s">
        <v>45</v>
      </c>
      <c r="AF67" s="40" t="s">
        <v>45</v>
      </c>
      <c r="AG67" s="41" t="s">
        <v>45</v>
      </c>
      <c r="AH67" s="40">
        <v>1</v>
      </c>
      <c r="AI67" s="40">
        <v>1</v>
      </c>
      <c r="AJ67" s="41">
        <v>1</v>
      </c>
      <c r="AK67" s="43" t="s">
        <v>1318</v>
      </c>
      <c r="AL67" s="43" t="s">
        <v>635</v>
      </c>
      <c r="AM67" s="44">
        <f t="shared" si="1"/>
        <v>-1.6943894381275826</v>
      </c>
      <c r="AN67" s="44">
        <f t="shared" si="2"/>
        <v>2.4803521071166203E-2</v>
      </c>
      <c r="AO67" s="45">
        <f t="shared" si="3"/>
        <v>0</v>
      </c>
      <c r="AP67" s="46">
        <f t="shared" si="4"/>
        <v>0</v>
      </c>
      <c r="AQ67" s="44">
        <f>($AM$3*AM67+$AN$3*AN67+$AO$3*AO67+$AP$3*AP67)+$I$3*VLOOKUP(I67,COND!$A$2:$E$7,4,FALSE)+$J$3*VLOOKUP(J67,COND!$A$2:$C$7,2,FALSE)+$K$3*VLOOKUP(K67,COND!$A$2:$C$7,3,FALSE)+IF(AND($B$2&gt;0,$E67&lt;20),$B$2*25,0)</f>
        <v>49.828203309041236</v>
      </c>
      <c r="AR67" s="47">
        <f t="shared" si="5"/>
        <v>1.2629001404966795</v>
      </c>
      <c r="AS67" s="45" t="str">
        <f t="shared" si="6"/>
        <v>1B</v>
      </c>
      <c r="AT67" s="45">
        <f>RANK(Batters[[#This Row],[zScore]],Batters[[#All],[zScore]])</f>
        <v>63</v>
      </c>
      <c r="AU67" s="45"/>
      <c r="AV67" s="45"/>
      <c r="AW67" s="45" t="str">
        <f t="shared" si="7"/>
        <v>Possible</v>
      </c>
      <c r="AX67" s="45"/>
      <c r="AY67" s="45">
        <f>INDEX(Table5[[#All],[Ovr]],MATCH(Batters[[#This Row],[PID]],Table5[[#All],[PID]],0))</f>
        <v>290</v>
      </c>
      <c r="AZ67" s="45" t="str">
        <f>INDEX(Table5[[#All],[Rnd]],MATCH(Batters[[#This Row],[PID]],Table5[[#All],[PID]],0))</f>
        <v>10</v>
      </c>
      <c r="BA67" s="45">
        <f>INDEX(Table5[[#All],[Pick]],MATCH(Batters[[#This Row],[PID]],Table5[[#All],[PID]],0))</f>
        <v>12</v>
      </c>
      <c r="BB67" s="45" t="str">
        <f>INDEX(Table5[[#All],[Team]],MATCH(Batters[[#This Row],[PID]],Table5[[#All],[PID]],0))</f>
        <v>Palm Springs Codgers</v>
      </c>
    </row>
    <row r="68" spans="1:54" ht="15" customHeight="1" x14ac:dyDescent="0.25">
      <c r="A68" s="40">
        <v>20694</v>
      </c>
      <c r="B68" s="40" t="s">
        <v>66</v>
      </c>
      <c r="C68" s="40" t="s">
        <v>1201</v>
      </c>
      <c r="D68" s="40" t="s">
        <v>1202</v>
      </c>
      <c r="E68" s="40">
        <v>18</v>
      </c>
      <c r="F68" s="40" t="s">
        <v>42</v>
      </c>
      <c r="G68" s="40" t="s">
        <v>42</v>
      </c>
      <c r="H68" s="41" t="s">
        <v>633</v>
      </c>
      <c r="I68" s="65" t="s">
        <v>43</v>
      </c>
      <c r="J68" s="66" t="s">
        <v>44</v>
      </c>
      <c r="K68" s="67" t="s">
        <v>43</v>
      </c>
      <c r="L68" s="40">
        <v>1</v>
      </c>
      <c r="M68" s="40">
        <v>4</v>
      </c>
      <c r="N68" s="40">
        <v>5</v>
      </c>
      <c r="O68" s="40">
        <v>3</v>
      </c>
      <c r="P68" s="41">
        <v>1</v>
      </c>
      <c r="Q68" s="40">
        <v>3</v>
      </c>
      <c r="R68" s="40">
        <v>7</v>
      </c>
      <c r="S68" s="40">
        <v>9</v>
      </c>
      <c r="T68" s="40">
        <v>6</v>
      </c>
      <c r="U68" s="41">
        <v>2</v>
      </c>
      <c r="V68" s="40">
        <v>8</v>
      </c>
      <c r="W68" s="40">
        <v>9</v>
      </c>
      <c r="X68" s="40">
        <v>1</v>
      </c>
      <c r="Y68" s="41">
        <v>1</v>
      </c>
      <c r="Z68" s="40" t="s">
        <v>45</v>
      </c>
      <c r="AA68" s="40" t="s">
        <v>45</v>
      </c>
      <c r="AB68" s="40" t="s">
        <v>45</v>
      </c>
      <c r="AC68" s="40" t="s">
        <v>45</v>
      </c>
      <c r="AD68" s="40" t="s">
        <v>45</v>
      </c>
      <c r="AE68" s="40">
        <v>1</v>
      </c>
      <c r="AF68" s="40" t="s">
        <v>45</v>
      </c>
      <c r="AG68" s="41">
        <v>2</v>
      </c>
      <c r="AH68" s="40">
        <v>3</v>
      </c>
      <c r="AI68" s="40">
        <v>3</v>
      </c>
      <c r="AJ68" s="41">
        <v>2</v>
      </c>
      <c r="AK68" s="43" t="s">
        <v>601</v>
      </c>
      <c r="AL68" s="43" t="s">
        <v>635</v>
      </c>
      <c r="AM68" s="44">
        <f t="shared" si="1"/>
        <v>-1.4194986348566934</v>
      </c>
      <c r="AN68" s="44">
        <f t="shared" si="2"/>
        <v>2.018364234619905E-2</v>
      </c>
      <c r="AO68" s="45">
        <f t="shared" si="3"/>
        <v>0</v>
      </c>
      <c r="AP68" s="46">
        <f t="shared" si="4"/>
        <v>0</v>
      </c>
      <c r="AQ68" s="44">
        <f>($AM$3*AM68+$AN$3*AN68+$AO$3*AO68+$AP$3*AP68)+$I$3*VLOOKUP(I68,COND!$A$2:$E$7,4,FALSE)+$J$3*VLOOKUP(J68,COND!$A$2:$C$7,2,FALSE)+$K$3*VLOOKUP(K68,COND!$A$2:$C$7,3,FALSE)+IF(AND($B$2&gt;0,$E68&lt;20),$B$2*25,0)</f>
        <v>49.800253844668717</v>
      </c>
      <c r="AR68" s="47">
        <f t="shared" si="5"/>
        <v>1.2567035553244461</v>
      </c>
      <c r="AS68" s="45" t="str">
        <f t="shared" si="6"/>
        <v>RF</v>
      </c>
      <c r="AT68" s="45">
        <f>RANK(Batters[[#This Row],[zScore]],Batters[[#All],[zScore]])</f>
        <v>64</v>
      </c>
      <c r="AU68" s="45"/>
      <c r="AV68" s="45"/>
      <c r="AW68" s="45" t="str">
        <f t="shared" si="7"/>
        <v>Possible</v>
      </c>
      <c r="AX68" s="45"/>
      <c r="AY68" s="45">
        <f>INDEX(Table5[[#All],[Ovr]],MATCH(Batters[[#This Row],[PID]],Table5[[#All],[PID]],0))</f>
        <v>100</v>
      </c>
      <c r="AZ68" s="45" t="str">
        <f>INDEX(Table5[[#All],[Rnd]],MATCH(Batters[[#This Row],[PID]],Table5[[#All],[PID]],0))</f>
        <v>3</v>
      </c>
      <c r="BA68" s="45">
        <f>INDEX(Table5[[#All],[Pick]],MATCH(Batters[[#This Row],[PID]],Table5[[#All],[PID]],0))</f>
        <v>32</v>
      </c>
      <c r="BB68" s="45" t="str">
        <f>INDEX(Table5[[#All],[Team]],MATCH(Batters[[#This Row],[PID]],Table5[[#All],[PID]],0))</f>
        <v>Fargo Dinosaurs</v>
      </c>
    </row>
    <row r="69" spans="1:54" ht="15" customHeight="1" x14ac:dyDescent="0.25">
      <c r="A69" s="40">
        <v>18397</v>
      </c>
      <c r="B69" s="40" t="s">
        <v>66</v>
      </c>
      <c r="C69" s="40" t="s">
        <v>335</v>
      </c>
      <c r="D69" s="40" t="s">
        <v>1504</v>
      </c>
      <c r="E69" s="40">
        <v>18</v>
      </c>
      <c r="F69" s="40" t="s">
        <v>42</v>
      </c>
      <c r="G69" s="40" t="s">
        <v>53</v>
      </c>
      <c r="H69" s="41" t="s">
        <v>638</v>
      </c>
      <c r="I69" s="65" t="s">
        <v>43</v>
      </c>
      <c r="J69" s="66" t="s">
        <v>43</v>
      </c>
      <c r="K69" s="67" t="s">
        <v>43</v>
      </c>
      <c r="L69" s="40">
        <v>1</v>
      </c>
      <c r="M69" s="40">
        <v>2</v>
      </c>
      <c r="N69" s="40">
        <v>2</v>
      </c>
      <c r="O69" s="40">
        <v>1</v>
      </c>
      <c r="P69" s="41">
        <v>3</v>
      </c>
      <c r="Q69" s="40">
        <v>5</v>
      </c>
      <c r="R69" s="40">
        <v>5</v>
      </c>
      <c r="S69" s="40">
        <v>3</v>
      </c>
      <c r="T69" s="40">
        <v>3</v>
      </c>
      <c r="U69" s="41">
        <v>7</v>
      </c>
      <c r="V69" s="40">
        <v>7</v>
      </c>
      <c r="W69" s="40">
        <v>7</v>
      </c>
      <c r="X69" s="40">
        <v>1</v>
      </c>
      <c r="Y69" s="41">
        <v>1</v>
      </c>
      <c r="Z69" s="40" t="s">
        <v>45</v>
      </c>
      <c r="AA69" s="40" t="s">
        <v>45</v>
      </c>
      <c r="AB69" s="40" t="s">
        <v>45</v>
      </c>
      <c r="AC69" s="40" t="s">
        <v>45</v>
      </c>
      <c r="AD69" s="40" t="s">
        <v>45</v>
      </c>
      <c r="AE69" s="40" t="s">
        <v>45</v>
      </c>
      <c r="AF69" s="40" t="s">
        <v>45</v>
      </c>
      <c r="AG69" s="41">
        <v>4</v>
      </c>
      <c r="AH69" s="40">
        <v>4</v>
      </c>
      <c r="AI69" s="40">
        <v>2</v>
      </c>
      <c r="AJ69" s="41">
        <v>1</v>
      </c>
      <c r="AK69" s="43" t="s">
        <v>644</v>
      </c>
      <c r="AL69" s="43" t="s">
        <v>47</v>
      </c>
      <c r="AM69" s="44">
        <f t="shared" ref="AM69:AM132" si="8">($L$3*(L69-$Q$1)/$Q$2+$M$3*(M69-$R$1)/$R$2+$N$3*(N69-$S$1)/$S$2+$O$3*(O69-$T$1)/$T$2+$P$3*(P69-$U$1)/$U$2)/(SUM($L$3:$P$3))</f>
        <v>-1.8701892965508</v>
      </c>
      <c r="AN69" s="44">
        <f t="shared" ref="AN69:AN132" si="9">($L$3*(Q69-$Q$1)/$Q$2+$M$3*(R69-$R$1)/$R$2+$N$3*(S69-$S$1)/$S$2+$O$3*(T69-$T$1)/$T$2+$P$3*(U69-$U$1)/$U$2)/(SUM($L$3:$P$3))</f>
        <v>-4.2403595725933815E-3</v>
      </c>
      <c r="AO69" s="45">
        <f t="shared" ref="AO69:AO132" si="10">IF(AVERAGE(AH69:AI69)&gt;9,1,0)+IF(AVERAGE(AH69:AI69)&gt;7,1,0)+IF(AH69&gt;7,1,0)+IF(AI69&gt;7,1,0)+IF(AJ69&gt;8,1,0)+IF(AJ69&gt;6,1,0)</f>
        <v>0</v>
      </c>
      <c r="AP69" s="46">
        <f t="shared" ref="AP69:AP132" si="11">MIN(2,IF(OR(Z69="-",X69&lt;5),0,1+IF(Y69&gt;7,0.35,IF(Y69&gt;5,0.1,0))+IF(Z69&gt;7,1+IF(X69&gt;7,0.25,0),IF(Z69&gt;4,0.5+IF(X69&gt;7,0.25,0),0+IF(X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</v>
      </c>
      <c r="AQ69" s="44">
        <f>($AM$3*AM69+$AN$3*AN69+$AO$3*AO69+$AP$3*AP69)+$I$3*VLOOKUP(I69,COND!$A$2:$E$7,4,FALSE)+$J$3*VLOOKUP(J69,COND!$A$2:$C$7,2,FALSE)+$K$3*VLOOKUP(K69,COND!$A$2:$C$7,3,FALSE)+IF(AND($B$2&gt;0,$E69&lt;20),$B$2*25,0)</f>
        <v>49.762096755473799</v>
      </c>
      <c r="AR69" s="47">
        <f t="shared" ref="AR69:AR132" si="12">STANDARDIZE(AQ69,AVERAGE($AQ$5:$AQ$534),STDEVP($AQ$5:$AQ$534))</f>
        <v>1.2482438707319465</v>
      </c>
      <c r="AS69" s="45" t="str">
        <f t="shared" ref="AS69:AS132" si="13">IF(AND(Z69&lt;&gt;"-",Y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RF</v>
      </c>
      <c r="AT69" s="45">
        <f>RANK(Batters[[#This Row],[zScore]],Batters[[#All],[zScore]])</f>
        <v>65</v>
      </c>
      <c r="AU69" s="45"/>
      <c r="AV69" s="45"/>
      <c r="AW69" s="45" t="str">
        <f t="shared" ref="AW69:AW132" si="14">IF(AND($Q69&gt;=6,AVERAGE($S69:$T69)&gt;=6),"Likely",IF(OR($Q69&gt;6,AND($Q69=6,AVERAGE($S69:$T69)&gt;=3),AND($Q69&gt;=5,AVERAGE($S69:$T69)&gt;=5),AVERAGE($Q69,$S69:$T69)&gt;5),"Possible","Unlikely"))</f>
        <v>Unlikely</v>
      </c>
      <c r="AX69" s="45"/>
      <c r="AY69" s="45">
        <f>INDEX(Table5[[#All],[Ovr]],MATCH(Batters[[#This Row],[PID]],Table5[[#All],[PID]],0))</f>
        <v>146</v>
      </c>
      <c r="AZ69" s="45" t="str">
        <f>INDEX(Table5[[#All],[Rnd]],MATCH(Batters[[#This Row],[PID]],Table5[[#All],[PID]],0))</f>
        <v>5</v>
      </c>
      <c r="BA69" s="45">
        <f>INDEX(Table5[[#All],[Pick]],MATCH(Batters[[#This Row],[PID]],Table5[[#All],[PID]],0))</f>
        <v>18</v>
      </c>
      <c r="BB69" s="45" t="str">
        <f>INDEX(Table5[[#All],[Team]],MATCH(Batters[[#This Row],[PID]],Table5[[#All],[PID]],0))</f>
        <v>Bakersfield Bears</v>
      </c>
    </row>
    <row r="70" spans="1:54" ht="15" customHeight="1" x14ac:dyDescent="0.25">
      <c r="A70" s="40">
        <v>18438</v>
      </c>
      <c r="B70" s="40" t="s">
        <v>66</v>
      </c>
      <c r="C70" s="40" t="s">
        <v>1053</v>
      </c>
      <c r="D70" s="40" t="s">
        <v>372</v>
      </c>
      <c r="E70" s="40">
        <v>18</v>
      </c>
      <c r="F70" s="40" t="s">
        <v>42</v>
      </c>
      <c r="G70" s="40" t="s">
        <v>42</v>
      </c>
      <c r="H70" s="41" t="s">
        <v>634</v>
      </c>
      <c r="I70" s="65" t="s">
        <v>43</v>
      </c>
      <c r="J70" s="66" t="s">
        <v>44</v>
      </c>
      <c r="K70" s="67" t="s">
        <v>43</v>
      </c>
      <c r="L70" s="40">
        <v>1</v>
      </c>
      <c r="M70" s="40">
        <v>2</v>
      </c>
      <c r="N70" s="40">
        <v>3</v>
      </c>
      <c r="O70" s="40">
        <v>2</v>
      </c>
      <c r="P70" s="41">
        <v>1</v>
      </c>
      <c r="Q70" s="40">
        <v>4</v>
      </c>
      <c r="R70" s="40">
        <v>6</v>
      </c>
      <c r="S70" s="40">
        <v>7</v>
      </c>
      <c r="T70" s="40">
        <v>4</v>
      </c>
      <c r="U70" s="41">
        <v>2</v>
      </c>
      <c r="V70" s="40">
        <v>5</v>
      </c>
      <c r="W70" s="40">
        <v>9</v>
      </c>
      <c r="X70" s="40">
        <v>1</v>
      </c>
      <c r="Y70" s="41">
        <v>1</v>
      </c>
      <c r="Z70" s="40" t="s">
        <v>45</v>
      </c>
      <c r="AA70" s="40" t="s">
        <v>45</v>
      </c>
      <c r="AB70" s="40" t="s">
        <v>45</v>
      </c>
      <c r="AC70" s="40">
        <v>1</v>
      </c>
      <c r="AD70" s="40" t="s">
        <v>45</v>
      </c>
      <c r="AE70" s="40" t="s">
        <v>45</v>
      </c>
      <c r="AF70" s="40" t="s">
        <v>45</v>
      </c>
      <c r="AG70" s="41">
        <v>4</v>
      </c>
      <c r="AH70" s="40">
        <v>8</v>
      </c>
      <c r="AI70" s="40">
        <v>8</v>
      </c>
      <c r="AJ70" s="41">
        <v>10</v>
      </c>
      <c r="AK70" s="43" t="s">
        <v>614</v>
      </c>
      <c r="AL70" s="43" t="s">
        <v>47</v>
      </c>
      <c r="AM70" s="44">
        <f t="shared" si="8"/>
        <v>-1.7774509321514844</v>
      </c>
      <c r="AN70" s="44">
        <f t="shared" si="9"/>
        <v>-5.3862489136794769E-2</v>
      </c>
      <c r="AO70" s="45">
        <f t="shared" si="10"/>
        <v>5</v>
      </c>
      <c r="AP70" s="46">
        <f t="shared" si="11"/>
        <v>0</v>
      </c>
      <c r="AQ70" s="44">
        <f>($AM$3*AM70+$AN$3*AN70+$AO$3*AO70+$AP$3*AP70)+$I$3*VLOOKUP(I70,COND!$A$2:$E$7,4,FALSE)+$J$3*VLOOKUP(J70,COND!$A$2:$C$7,2,FALSE)+$K$3*VLOOKUP(K70,COND!$A$2:$C$7,3,FALSE)+IF(AND($B$2&gt;0,$E70&lt;20),$B$2*25,0)</f>
        <v>49.709238370476648</v>
      </c>
      <c r="AR70" s="47">
        <f t="shared" si="12"/>
        <v>1.2365248094885546</v>
      </c>
      <c r="AS70" s="45" t="str">
        <f t="shared" si="13"/>
        <v>3B</v>
      </c>
      <c r="AT70" s="45">
        <f>RANK(Batters[[#This Row],[zScore]],Batters[[#All],[zScore]])</f>
        <v>66</v>
      </c>
      <c r="AU70" s="45"/>
      <c r="AV70" s="45"/>
      <c r="AW70" s="45" t="str">
        <f t="shared" si="14"/>
        <v>Unlikely</v>
      </c>
      <c r="AX70" s="45"/>
      <c r="AY70" s="45">
        <f>INDEX(Table5[[#All],[Ovr]],MATCH(Batters[[#This Row],[PID]],Table5[[#All],[PID]],0))</f>
        <v>170</v>
      </c>
      <c r="AZ70" s="45" t="str">
        <f>INDEX(Table5[[#All],[Rnd]],MATCH(Batters[[#This Row],[PID]],Table5[[#All],[PID]],0))</f>
        <v>6</v>
      </c>
      <c r="BA70" s="45">
        <f>INDEX(Table5[[#All],[Pick]],MATCH(Batters[[#This Row],[PID]],Table5[[#All],[PID]],0))</f>
        <v>12</v>
      </c>
      <c r="BB70" s="45" t="str">
        <f>INDEX(Table5[[#All],[Team]],MATCH(Batters[[#This Row],[PID]],Table5[[#All],[PID]],0))</f>
        <v>Palm Springs Codgers</v>
      </c>
    </row>
    <row r="71" spans="1:54" ht="15" customHeight="1" x14ac:dyDescent="0.25">
      <c r="A71" s="40">
        <v>20317</v>
      </c>
      <c r="B71" s="40" t="s">
        <v>66</v>
      </c>
      <c r="C71" s="40" t="s">
        <v>1180</v>
      </c>
      <c r="D71" s="40" t="s">
        <v>1181</v>
      </c>
      <c r="E71" s="40">
        <v>17</v>
      </c>
      <c r="F71" s="40" t="s">
        <v>42</v>
      </c>
      <c r="G71" s="40" t="s">
        <v>42</v>
      </c>
      <c r="H71" s="41" t="s">
        <v>633</v>
      </c>
      <c r="I71" s="65" t="s">
        <v>47</v>
      </c>
      <c r="J71" s="66" t="s">
        <v>43</v>
      </c>
      <c r="K71" s="67" t="s">
        <v>44</v>
      </c>
      <c r="L71" s="40">
        <v>1</v>
      </c>
      <c r="M71" s="40">
        <v>4</v>
      </c>
      <c r="N71" s="40">
        <v>5</v>
      </c>
      <c r="O71" s="40">
        <v>3</v>
      </c>
      <c r="P71" s="41">
        <v>1</v>
      </c>
      <c r="Q71" s="40">
        <v>3</v>
      </c>
      <c r="R71" s="40">
        <v>7</v>
      </c>
      <c r="S71" s="40">
        <v>8</v>
      </c>
      <c r="T71" s="40">
        <v>6</v>
      </c>
      <c r="U71" s="41">
        <v>3</v>
      </c>
      <c r="V71" s="40">
        <v>7</v>
      </c>
      <c r="W71" s="40">
        <v>8</v>
      </c>
      <c r="X71" s="40">
        <v>1</v>
      </c>
      <c r="Y71" s="41">
        <v>1</v>
      </c>
      <c r="Z71" s="40" t="s">
        <v>45</v>
      </c>
      <c r="AA71" s="40" t="s">
        <v>45</v>
      </c>
      <c r="AB71" s="40" t="s">
        <v>45</v>
      </c>
      <c r="AC71" s="40" t="s">
        <v>45</v>
      </c>
      <c r="AD71" s="40" t="s">
        <v>45</v>
      </c>
      <c r="AE71" s="40" t="s">
        <v>45</v>
      </c>
      <c r="AF71" s="40" t="s">
        <v>45</v>
      </c>
      <c r="AG71" s="41">
        <v>2</v>
      </c>
      <c r="AH71" s="40">
        <v>2</v>
      </c>
      <c r="AI71" s="40">
        <v>5</v>
      </c>
      <c r="AJ71" s="41">
        <v>8</v>
      </c>
      <c r="AK71" s="43" t="s">
        <v>600</v>
      </c>
      <c r="AL71" s="43" t="s">
        <v>635</v>
      </c>
      <c r="AM71" s="44">
        <f t="shared" si="8"/>
        <v>-1.4194986348566934</v>
      </c>
      <c r="AN71" s="44">
        <f t="shared" si="9"/>
        <v>-2.2861511860618976E-2</v>
      </c>
      <c r="AO71" s="45">
        <f t="shared" si="10"/>
        <v>1</v>
      </c>
      <c r="AP71" s="46">
        <f t="shared" si="11"/>
        <v>0</v>
      </c>
      <c r="AQ71" s="44">
        <f>($AM$3*AM71+$AN$3*AN71+$AO$3*AO71+$AP$3*AP71)+$I$3*VLOOKUP(I71,COND!$A$2:$E$7,4,FALSE)+$J$3*VLOOKUP(J71,COND!$A$2:$C$7,2,FALSE)+$K$3*VLOOKUP(K71,COND!$A$2:$C$7,3,FALSE)+IF(AND($B$2&gt;0,$E71&lt;20),$B$2*25,0)</f>
        <v>49.675378660853568</v>
      </c>
      <c r="AR71" s="47">
        <f t="shared" si="12"/>
        <v>1.2290178829947216</v>
      </c>
      <c r="AS71" s="45" t="str">
        <f t="shared" si="13"/>
        <v>RF</v>
      </c>
      <c r="AT71" s="45">
        <f>RANK(Batters[[#This Row],[zScore]],Batters[[#All],[zScore]])</f>
        <v>67</v>
      </c>
      <c r="AU71" s="45"/>
      <c r="AV71" s="45"/>
      <c r="AW71" s="45" t="str">
        <f t="shared" si="14"/>
        <v>Possible</v>
      </c>
      <c r="AX71" s="45"/>
      <c r="AY71" s="45">
        <f>INDEX(Table5[[#All],[Ovr]],MATCH(Batters[[#This Row],[PID]],Table5[[#All],[PID]],0))</f>
        <v>36</v>
      </c>
      <c r="AZ71" s="45" t="str">
        <f>INDEX(Table5[[#All],[Rnd]],MATCH(Batters[[#This Row],[PID]],Table5[[#All],[PID]],0))</f>
        <v>2</v>
      </c>
      <c r="BA71" s="45">
        <f>INDEX(Table5[[#All],[Pick]],MATCH(Batters[[#This Row],[PID]],Table5[[#All],[PID]],0))</f>
        <v>1</v>
      </c>
      <c r="BB71" s="45" t="str">
        <f>INDEX(Table5[[#All],[Team]],MATCH(Batters[[#This Row],[PID]],Table5[[#All],[PID]],0))</f>
        <v>West Virginia Alleghenies</v>
      </c>
    </row>
    <row r="72" spans="1:54" ht="15" customHeight="1" x14ac:dyDescent="0.25">
      <c r="A72" s="40">
        <v>18446</v>
      </c>
      <c r="B72" s="40" t="s">
        <v>50</v>
      </c>
      <c r="C72" s="40" t="s">
        <v>1287</v>
      </c>
      <c r="D72" s="40" t="s">
        <v>1288</v>
      </c>
      <c r="E72" s="40">
        <v>18</v>
      </c>
      <c r="F72" s="40" t="s">
        <v>42</v>
      </c>
      <c r="G72" s="40" t="s">
        <v>53</v>
      </c>
      <c r="H72" s="41" t="s">
        <v>634</v>
      </c>
      <c r="I72" s="65" t="s">
        <v>43</v>
      </c>
      <c r="J72" s="66" t="s">
        <v>43</v>
      </c>
      <c r="K72" s="67" t="s">
        <v>43</v>
      </c>
      <c r="L72" s="40">
        <v>1</v>
      </c>
      <c r="M72" s="40">
        <v>2</v>
      </c>
      <c r="N72" s="40">
        <v>4</v>
      </c>
      <c r="O72" s="40">
        <v>2</v>
      </c>
      <c r="P72" s="41">
        <v>1</v>
      </c>
      <c r="Q72" s="40">
        <v>4</v>
      </c>
      <c r="R72" s="40">
        <v>4</v>
      </c>
      <c r="S72" s="40">
        <v>8</v>
      </c>
      <c r="T72" s="40">
        <v>4</v>
      </c>
      <c r="U72" s="41">
        <v>3</v>
      </c>
      <c r="V72" s="40">
        <v>2</v>
      </c>
      <c r="W72" s="40">
        <v>4</v>
      </c>
      <c r="X72" s="40">
        <v>1</v>
      </c>
      <c r="Y72" s="41">
        <v>1</v>
      </c>
      <c r="Z72" s="40" t="s">
        <v>45</v>
      </c>
      <c r="AA72" s="40" t="s">
        <v>45</v>
      </c>
      <c r="AB72" s="40" t="s">
        <v>45</v>
      </c>
      <c r="AC72" s="40" t="s">
        <v>45</v>
      </c>
      <c r="AD72" s="40" t="s">
        <v>45</v>
      </c>
      <c r="AE72" s="40">
        <v>1</v>
      </c>
      <c r="AF72" s="40" t="s">
        <v>45</v>
      </c>
      <c r="AG72" s="41" t="s">
        <v>45</v>
      </c>
      <c r="AH72" s="40">
        <v>1</v>
      </c>
      <c r="AI72" s="40">
        <v>5</v>
      </c>
      <c r="AJ72" s="41">
        <v>8</v>
      </c>
      <c r="AK72" s="43" t="s">
        <v>599</v>
      </c>
      <c r="AL72" s="43" t="s">
        <v>635</v>
      </c>
      <c r="AM72" s="44">
        <f t="shared" si="8"/>
        <v>-1.6943894381275826</v>
      </c>
      <c r="AN72" s="44">
        <f t="shared" si="9"/>
        <v>-3.2904414533216804E-2</v>
      </c>
      <c r="AO72" s="45">
        <f t="shared" si="10"/>
        <v>1</v>
      </c>
      <c r="AP72" s="46">
        <f t="shared" si="11"/>
        <v>0</v>
      </c>
      <c r="AQ72" s="44">
        <f>($AM$3*AM72+$AN$3*AN72+$AO$3*AO72+$AP$3*AP72)+$I$3*VLOOKUP(I72,COND!$A$2:$E$7,4,FALSE)+$J$3*VLOOKUP(J72,COND!$A$2:$C$7,2,FALSE)+$K$3*VLOOKUP(K72,COND!$A$2:$C$7,3,FALSE)+IF(AND($B$2&gt;0,$E72&lt;20),$B$2*25,0)</f>
        <v>49.602374748455304</v>
      </c>
      <c r="AR72" s="47">
        <f t="shared" si="12"/>
        <v>1.2128324221553755</v>
      </c>
      <c r="AS72" s="45" t="str">
        <f t="shared" si="13"/>
        <v>LF</v>
      </c>
      <c r="AT72" s="45">
        <f>RANK(Batters[[#This Row],[zScore]],Batters[[#All],[zScore]])</f>
        <v>68</v>
      </c>
      <c r="AU72" s="45"/>
      <c r="AV72" s="45"/>
      <c r="AW72" s="45" t="str">
        <f t="shared" si="14"/>
        <v>Possible</v>
      </c>
      <c r="AX72" s="45"/>
      <c r="AY72" s="45">
        <f>INDEX(Table5[[#All],[Ovr]],MATCH(Batters[[#This Row],[PID]],Table5[[#All],[PID]],0))</f>
        <v>185</v>
      </c>
      <c r="AZ72" s="45" t="str">
        <f>INDEX(Table5[[#All],[Rnd]],MATCH(Batters[[#This Row],[PID]],Table5[[#All],[PID]],0))</f>
        <v>6</v>
      </c>
      <c r="BA72" s="45">
        <f>INDEX(Table5[[#All],[Pick]],MATCH(Batters[[#This Row],[PID]],Table5[[#All],[PID]],0))</f>
        <v>27</v>
      </c>
      <c r="BB72" s="45" t="str">
        <f>INDEX(Table5[[#All],[Team]],MATCH(Batters[[#This Row],[PID]],Table5[[#All],[PID]],0))</f>
        <v>Neo-Tokyo Akira</v>
      </c>
    </row>
    <row r="73" spans="1:54" ht="15" customHeight="1" x14ac:dyDescent="0.25">
      <c r="A73" s="40">
        <v>21098</v>
      </c>
      <c r="B73" s="40" t="s">
        <v>71</v>
      </c>
      <c r="C73" s="40" t="s">
        <v>210</v>
      </c>
      <c r="D73" s="40" t="s">
        <v>1048</v>
      </c>
      <c r="E73" s="40">
        <v>18</v>
      </c>
      <c r="F73" s="40" t="s">
        <v>42</v>
      </c>
      <c r="G73" s="40" t="s">
        <v>42</v>
      </c>
      <c r="H73" s="41" t="s">
        <v>634</v>
      </c>
      <c r="I73" s="65" t="s">
        <v>43</v>
      </c>
      <c r="J73" s="66" t="s">
        <v>43</v>
      </c>
      <c r="K73" s="67" t="s">
        <v>43</v>
      </c>
      <c r="L73" s="40">
        <v>1</v>
      </c>
      <c r="M73" s="40">
        <v>2</v>
      </c>
      <c r="N73" s="40">
        <v>2</v>
      </c>
      <c r="O73" s="40">
        <v>1</v>
      </c>
      <c r="P73" s="41">
        <v>1</v>
      </c>
      <c r="Q73" s="40">
        <v>4</v>
      </c>
      <c r="R73" s="40">
        <v>5</v>
      </c>
      <c r="S73" s="40">
        <v>5</v>
      </c>
      <c r="T73" s="40">
        <v>5</v>
      </c>
      <c r="U73" s="41">
        <v>6</v>
      </c>
      <c r="V73" s="40">
        <v>8</v>
      </c>
      <c r="W73" s="40">
        <v>7</v>
      </c>
      <c r="X73" s="40">
        <v>1</v>
      </c>
      <c r="Y73" s="41">
        <v>1</v>
      </c>
      <c r="Z73" s="40" t="s">
        <v>45</v>
      </c>
      <c r="AA73" s="40" t="s">
        <v>45</v>
      </c>
      <c r="AB73" s="40">
        <v>2</v>
      </c>
      <c r="AC73" s="40">
        <v>1</v>
      </c>
      <c r="AD73" s="40" t="s">
        <v>45</v>
      </c>
      <c r="AE73" s="40" t="s">
        <v>45</v>
      </c>
      <c r="AF73" s="40">
        <v>1</v>
      </c>
      <c r="AG73" s="41" t="s">
        <v>45</v>
      </c>
      <c r="AH73" s="40">
        <v>4</v>
      </c>
      <c r="AI73" s="40">
        <v>4</v>
      </c>
      <c r="AJ73" s="41">
        <v>2</v>
      </c>
      <c r="AK73" s="43" t="s">
        <v>553</v>
      </c>
      <c r="AL73" s="43" t="s">
        <v>635</v>
      </c>
      <c r="AM73" s="44">
        <f t="shared" si="8"/>
        <v>-1.9502219761849671</v>
      </c>
      <c r="AN73" s="44">
        <f t="shared" si="9"/>
        <v>-2.1270447525386489E-2</v>
      </c>
      <c r="AO73" s="45">
        <f t="shared" si="10"/>
        <v>0</v>
      </c>
      <c r="AP73" s="46">
        <f t="shared" si="11"/>
        <v>0</v>
      </c>
      <c r="AQ73" s="44">
        <f>($AM$3*AM73+$AN$3*AN73+$AO$3*AO73+$AP$3*AP73)+$I$3*VLOOKUP(I73,COND!$A$2:$E$7,4,FALSE)+$J$3*VLOOKUP(J73,COND!$A$2:$C$7,2,FALSE)+$K$3*VLOOKUP(K73,COND!$A$2:$C$7,3,FALSE)+IF(AND($B$2&gt;0,$E73&lt;20),$B$2*25,0)</f>
        <v>49.549732432076866</v>
      </c>
      <c r="AR73" s="47">
        <f t="shared" si="12"/>
        <v>1.2011612647852405</v>
      </c>
      <c r="AS73" s="45" t="str">
        <f t="shared" si="13"/>
        <v>2B</v>
      </c>
      <c r="AT73" s="45">
        <f>RANK(Batters[[#This Row],[zScore]],Batters[[#All],[zScore]])</f>
        <v>69</v>
      </c>
      <c r="AU73" s="45"/>
      <c r="AV73" s="45"/>
      <c r="AW73" s="45" t="str">
        <f t="shared" si="14"/>
        <v>Unlikely</v>
      </c>
      <c r="AX73" s="45"/>
      <c r="AY73" s="45">
        <f>INDEX(Table5[[#All],[Ovr]],MATCH(Batters[[#This Row],[PID]],Table5[[#All],[PID]],0))</f>
        <v>179</v>
      </c>
      <c r="AZ73" s="45" t="str">
        <f>INDEX(Table5[[#All],[Rnd]],MATCH(Batters[[#This Row],[PID]],Table5[[#All],[PID]],0))</f>
        <v>6</v>
      </c>
      <c r="BA73" s="45">
        <f>INDEX(Table5[[#All],[Pick]],MATCH(Batters[[#This Row],[PID]],Table5[[#All],[PID]],0))</f>
        <v>21</v>
      </c>
      <c r="BB73" s="45" t="str">
        <f>INDEX(Table5[[#All],[Team]],MATCH(Batters[[#This Row],[PID]],Table5[[#All],[PID]],0))</f>
        <v>Crystal Lake Sandgnats</v>
      </c>
    </row>
    <row r="74" spans="1:54" ht="15" customHeight="1" x14ac:dyDescent="0.25">
      <c r="A74" s="40">
        <v>20441</v>
      </c>
      <c r="B74" s="40" t="s">
        <v>72</v>
      </c>
      <c r="C74" s="40" t="s">
        <v>1382</v>
      </c>
      <c r="D74" s="40" t="s">
        <v>1383</v>
      </c>
      <c r="E74" s="40">
        <v>18</v>
      </c>
      <c r="F74" s="40" t="s">
        <v>42</v>
      </c>
      <c r="G74" s="40" t="s">
        <v>42</v>
      </c>
      <c r="H74" s="41" t="s">
        <v>634</v>
      </c>
      <c r="I74" s="65" t="s">
        <v>47</v>
      </c>
      <c r="J74" s="66" t="s">
        <v>43</v>
      </c>
      <c r="K74" s="67" t="s">
        <v>43</v>
      </c>
      <c r="L74" s="40">
        <v>1</v>
      </c>
      <c r="M74" s="40">
        <v>4</v>
      </c>
      <c r="N74" s="40">
        <v>3</v>
      </c>
      <c r="O74" s="40">
        <v>3</v>
      </c>
      <c r="P74" s="41">
        <v>1</v>
      </c>
      <c r="Q74" s="40">
        <v>4</v>
      </c>
      <c r="R74" s="40">
        <v>6</v>
      </c>
      <c r="S74" s="40">
        <v>4</v>
      </c>
      <c r="T74" s="40">
        <v>6</v>
      </c>
      <c r="U74" s="41">
        <v>4</v>
      </c>
      <c r="V74" s="40">
        <v>5</v>
      </c>
      <c r="W74" s="40">
        <v>4</v>
      </c>
      <c r="X74" s="40">
        <v>1</v>
      </c>
      <c r="Y74" s="41">
        <v>1</v>
      </c>
      <c r="Z74" s="40" t="s">
        <v>45</v>
      </c>
      <c r="AA74" s="40" t="s">
        <v>45</v>
      </c>
      <c r="AB74" s="40">
        <v>1</v>
      </c>
      <c r="AC74" s="40" t="s">
        <v>45</v>
      </c>
      <c r="AD74" s="40">
        <v>2</v>
      </c>
      <c r="AE74" s="40" t="s">
        <v>45</v>
      </c>
      <c r="AF74" s="40" t="s">
        <v>45</v>
      </c>
      <c r="AG74" s="41" t="s">
        <v>45</v>
      </c>
      <c r="AH74" s="40">
        <v>4</v>
      </c>
      <c r="AI74" s="40">
        <v>5</v>
      </c>
      <c r="AJ74" s="41">
        <v>3</v>
      </c>
      <c r="AK74" s="43" t="s">
        <v>553</v>
      </c>
      <c r="AL74" s="43" t="s">
        <v>47</v>
      </c>
      <c r="AM74" s="44">
        <f t="shared" si="8"/>
        <v>-1.5856216229044964</v>
      </c>
      <c r="AN74" s="44">
        <f t="shared" si="9"/>
        <v>-4.3595191555170297E-2</v>
      </c>
      <c r="AO74" s="45">
        <f t="shared" si="10"/>
        <v>0</v>
      </c>
      <c r="AP74" s="46">
        <f t="shared" si="11"/>
        <v>0</v>
      </c>
      <c r="AQ74" s="44">
        <f>($AM$3*AM74+$AN$3*AN74+$AO$3*AO74+$AP$3*AP74)+$I$3*VLOOKUP(I74,COND!$A$2:$E$7,4,FALSE)+$J$3*VLOOKUP(J74,COND!$A$2:$C$7,2,FALSE)+$K$3*VLOOKUP(K74,COND!$A$2:$C$7,3,FALSE)+IF(AND($B$2&gt;0,$E74&lt;20),$B$2*25,0)</f>
        <v>49.543295539047506</v>
      </c>
      <c r="AR74" s="47">
        <f t="shared" si="12"/>
        <v>1.1997341620912725</v>
      </c>
      <c r="AS74" s="45" t="str">
        <f t="shared" si="13"/>
        <v>SS</v>
      </c>
      <c r="AT74" s="45">
        <f>RANK(Batters[[#This Row],[zScore]],Batters[[#All],[zScore]])</f>
        <v>70</v>
      </c>
      <c r="AU74" s="45"/>
      <c r="AV74" s="45"/>
      <c r="AW74" s="45" t="str">
        <f t="shared" si="14"/>
        <v>Unlikely</v>
      </c>
      <c r="AX74" s="45"/>
      <c r="AY74" s="45">
        <f>INDEX(Table5[[#All],[Ovr]],MATCH(Batters[[#This Row],[PID]],Table5[[#All],[PID]],0))</f>
        <v>355</v>
      </c>
      <c r="AZ74" s="45" t="str">
        <f>INDEX(Table5[[#All],[Rnd]],MATCH(Batters[[#This Row],[PID]],Table5[[#All],[PID]],0))</f>
        <v>12</v>
      </c>
      <c r="BA74" s="45">
        <f>INDEX(Table5[[#All],[Pick]],MATCH(Batters[[#This Row],[PID]],Table5[[#All],[PID]],0))</f>
        <v>17</v>
      </c>
      <c r="BB74" s="45" t="str">
        <f>INDEX(Table5[[#All],[Team]],MATCH(Batters[[#This Row],[PID]],Table5[[#All],[PID]],0))</f>
        <v>Madison Malts</v>
      </c>
    </row>
    <row r="75" spans="1:54" ht="15" customHeight="1" x14ac:dyDescent="0.25">
      <c r="A75" s="40">
        <v>18178</v>
      </c>
      <c r="B75" s="40" t="s">
        <v>71</v>
      </c>
      <c r="C75" s="40" t="s">
        <v>1327</v>
      </c>
      <c r="D75" s="40" t="s">
        <v>1487</v>
      </c>
      <c r="E75" s="40">
        <v>18</v>
      </c>
      <c r="F75" s="40" t="s">
        <v>42</v>
      </c>
      <c r="G75" s="40" t="s">
        <v>42</v>
      </c>
      <c r="H75" s="41" t="s">
        <v>638</v>
      </c>
      <c r="I75" s="65" t="s">
        <v>44</v>
      </c>
      <c r="J75" s="66" t="s">
        <v>47</v>
      </c>
      <c r="K75" s="67" t="s">
        <v>43</v>
      </c>
      <c r="L75" s="40">
        <v>1</v>
      </c>
      <c r="M75" s="40">
        <v>2</v>
      </c>
      <c r="N75" s="40">
        <v>2</v>
      </c>
      <c r="O75" s="40">
        <v>1</v>
      </c>
      <c r="P75" s="41">
        <v>2</v>
      </c>
      <c r="Q75" s="40">
        <v>5</v>
      </c>
      <c r="R75" s="40">
        <v>6</v>
      </c>
      <c r="S75" s="40">
        <v>2</v>
      </c>
      <c r="T75" s="40">
        <v>3</v>
      </c>
      <c r="U75" s="41">
        <v>7</v>
      </c>
      <c r="V75" s="40">
        <v>4</v>
      </c>
      <c r="W75" s="40">
        <v>2</v>
      </c>
      <c r="X75" s="40">
        <v>1</v>
      </c>
      <c r="Y75" s="41">
        <v>1</v>
      </c>
      <c r="Z75" s="40" t="s">
        <v>45</v>
      </c>
      <c r="AA75" s="40" t="s">
        <v>45</v>
      </c>
      <c r="AB75" s="40">
        <v>1</v>
      </c>
      <c r="AC75" s="40" t="s">
        <v>45</v>
      </c>
      <c r="AD75" s="40" t="s">
        <v>45</v>
      </c>
      <c r="AE75" s="40" t="s">
        <v>45</v>
      </c>
      <c r="AF75" s="40" t="s">
        <v>45</v>
      </c>
      <c r="AG75" s="41" t="s">
        <v>45</v>
      </c>
      <c r="AH75" s="40">
        <v>4</v>
      </c>
      <c r="AI75" s="40">
        <v>4</v>
      </c>
      <c r="AJ75" s="41">
        <v>6</v>
      </c>
      <c r="AK75" s="43" t="s">
        <v>644</v>
      </c>
      <c r="AL75" s="43" t="s">
        <v>635</v>
      </c>
      <c r="AM75" s="44">
        <f t="shared" si="8"/>
        <v>-1.9102056363678834</v>
      </c>
      <c r="AN75" s="44">
        <f t="shared" si="9"/>
        <v>-3.62419739777914E-2</v>
      </c>
      <c r="AO75" s="45">
        <f t="shared" si="10"/>
        <v>0</v>
      </c>
      <c r="AP75" s="46">
        <f t="shared" si="11"/>
        <v>0</v>
      </c>
      <c r="AQ75" s="44">
        <f>($AM$3*AM75+$AN$3*AN75+$AO$3*AO75+$AP$3*AP75)+$I$3*VLOOKUP(I75,COND!$A$2:$E$7,4,FALSE)+$J$3*VLOOKUP(J75,COND!$A$2:$C$7,2,FALSE)+$K$3*VLOOKUP(K75,COND!$A$2:$C$7,3,FALSE)+IF(AND($B$2&gt;0,$E75&lt;20),$B$2*25,0)</f>
        <v>49.524075748629713</v>
      </c>
      <c r="AR75" s="47">
        <f t="shared" si="12"/>
        <v>1.1954730046419215</v>
      </c>
      <c r="AS75" s="45" t="str">
        <f t="shared" si="13"/>
        <v>2B</v>
      </c>
      <c r="AT75" s="45">
        <f>RANK(Batters[[#This Row],[zScore]],Batters[[#All],[zScore]])</f>
        <v>71</v>
      </c>
      <c r="AU75" s="45"/>
      <c r="AV75" s="45"/>
      <c r="AW75" s="45" t="str">
        <f t="shared" si="14"/>
        <v>Unlikely</v>
      </c>
      <c r="AX75" s="45"/>
      <c r="AY75" s="45">
        <f>INDEX(Table5[[#All],[Ovr]],MATCH(Batters[[#This Row],[PID]],Table5[[#All],[PID]],0))</f>
        <v>14</v>
      </c>
      <c r="AZ75" s="45" t="str">
        <f>INDEX(Table5[[#All],[Rnd]],MATCH(Batters[[#This Row],[PID]],Table5[[#All],[PID]],0))</f>
        <v>1</v>
      </c>
      <c r="BA75" s="45">
        <f>INDEX(Table5[[#All],[Pick]],MATCH(Batters[[#This Row],[PID]],Table5[[#All],[PID]],0))</f>
        <v>14</v>
      </c>
      <c r="BB75" s="45" t="str">
        <f>INDEX(Table5[[#All],[Team]],MATCH(Batters[[#This Row],[PID]],Table5[[#All],[PID]],0))</f>
        <v>Arlington Bureaucrats</v>
      </c>
    </row>
    <row r="76" spans="1:54" ht="15" customHeight="1" x14ac:dyDescent="0.25">
      <c r="A76" s="40">
        <v>15836</v>
      </c>
      <c r="B76" s="40" t="s">
        <v>50</v>
      </c>
      <c r="C76" s="40" t="s">
        <v>1116</v>
      </c>
      <c r="D76" s="40" t="s">
        <v>609</v>
      </c>
      <c r="E76" s="40">
        <v>18</v>
      </c>
      <c r="F76" s="40" t="s">
        <v>42</v>
      </c>
      <c r="G76" s="40" t="s">
        <v>42</v>
      </c>
      <c r="H76" s="41" t="s">
        <v>638</v>
      </c>
      <c r="I76" s="65" t="s">
        <v>44</v>
      </c>
      <c r="J76" s="66" t="s">
        <v>44</v>
      </c>
      <c r="K76" s="67" t="s">
        <v>44</v>
      </c>
      <c r="L76" s="40">
        <v>2</v>
      </c>
      <c r="M76" s="40">
        <v>2</v>
      </c>
      <c r="N76" s="40">
        <v>4</v>
      </c>
      <c r="O76" s="40">
        <v>3</v>
      </c>
      <c r="P76" s="41">
        <v>1</v>
      </c>
      <c r="Q76" s="40">
        <v>4</v>
      </c>
      <c r="R76" s="40">
        <v>5</v>
      </c>
      <c r="S76" s="40">
        <v>6</v>
      </c>
      <c r="T76" s="40">
        <v>6</v>
      </c>
      <c r="U76" s="41">
        <v>3</v>
      </c>
      <c r="V76" s="40">
        <v>8</v>
      </c>
      <c r="W76" s="40">
        <v>9</v>
      </c>
      <c r="X76" s="40">
        <v>1</v>
      </c>
      <c r="Y76" s="41">
        <v>1</v>
      </c>
      <c r="Z76" s="40" t="s">
        <v>45</v>
      </c>
      <c r="AA76" s="40" t="s">
        <v>45</v>
      </c>
      <c r="AB76" s="40" t="s">
        <v>45</v>
      </c>
      <c r="AC76" s="40" t="s">
        <v>45</v>
      </c>
      <c r="AD76" s="40" t="s">
        <v>45</v>
      </c>
      <c r="AE76" s="40" t="s">
        <v>45</v>
      </c>
      <c r="AF76" s="40" t="s">
        <v>45</v>
      </c>
      <c r="AG76" s="41" t="s">
        <v>45</v>
      </c>
      <c r="AH76" s="40">
        <v>1</v>
      </c>
      <c r="AI76" s="40">
        <v>1</v>
      </c>
      <c r="AJ76" s="41">
        <v>1</v>
      </c>
      <c r="AK76" s="43" t="s">
        <v>659</v>
      </c>
      <c r="AL76" s="43" t="s">
        <v>47</v>
      </c>
      <c r="AM76" s="44">
        <f t="shared" si="8"/>
        <v>-1.2821240519153274</v>
      </c>
      <c r="AN76" s="44">
        <f t="shared" si="9"/>
        <v>3.1451577056845731E-2</v>
      </c>
      <c r="AO76" s="45">
        <f t="shared" si="10"/>
        <v>0</v>
      </c>
      <c r="AP76" s="46">
        <f t="shared" si="11"/>
        <v>0</v>
      </c>
      <c r="AQ76" s="44">
        <f>($AM$3*AM76+$AN$3*AN76+$AO$3*AO76+$AP$3*AP76)+$I$3*VLOOKUP(I76,COND!$A$2:$E$7,4,FALSE)+$J$3*VLOOKUP(J76,COND!$A$2:$C$7,2,FALSE)+$K$3*VLOOKUP(K76,COND!$A$2:$C$7,3,FALSE)+IF(AND($B$2&gt;0,$E76&lt;20),$B$2*25,0)</f>
        <v>49.499206519490613</v>
      </c>
      <c r="AR76" s="47">
        <f t="shared" si="12"/>
        <v>1.1899593284413952</v>
      </c>
      <c r="AS76" s="45" t="str">
        <f t="shared" si="13"/>
        <v>DH</v>
      </c>
      <c r="AT76" s="45">
        <f>RANK(Batters[[#This Row],[zScore]],Batters[[#All],[zScore]])</f>
        <v>72</v>
      </c>
      <c r="AU76" s="45"/>
      <c r="AV76" s="45"/>
      <c r="AW76" s="45" t="str">
        <f t="shared" si="14"/>
        <v>Possible</v>
      </c>
      <c r="AX76" s="45"/>
      <c r="AY76" s="45">
        <f>INDEX(Table5[[#All],[Ovr]],MATCH(Batters[[#This Row],[PID]],Table5[[#All],[PID]],0))</f>
        <v>418</v>
      </c>
      <c r="AZ76" s="45" t="str">
        <f>INDEX(Table5[[#All],[Rnd]],MATCH(Batters[[#This Row],[PID]],Table5[[#All],[PID]],0))</f>
        <v>14</v>
      </c>
      <c r="BA76" s="45">
        <f>INDEX(Table5[[#All],[Pick]],MATCH(Batters[[#This Row],[PID]],Table5[[#All],[PID]],0))</f>
        <v>20</v>
      </c>
      <c r="BB76" s="45" t="str">
        <f>INDEX(Table5[[#All],[Team]],MATCH(Batters[[#This Row],[PID]],Table5[[#All],[PID]],0))</f>
        <v>Amsterdam Lions</v>
      </c>
    </row>
    <row r="77" spans="1:54" ht="15" customHeight="1" x14ac:dyDescent="0.25">
      <c r="A77" s="40">
        <v>20563</v>
      </c>
      <c r="B77" s="40" t="s">
        <v>86</v>
      </c>
      <c r="C77" s="40" t="s">
        <v>1297</v>
      </c>
      <c r="D77" s="40" t="s">
        <v>1298</v>
      </c>
      <c r="E77" s="40">
        <v>18</v>
      </c>
      <c r="F77" s="40" t="s">
        <v>62</v>
      </c>
      <c r="G77" s="40" t="s">
        <v>42</v>
      </c>
      <c r="H77" s="41" t="s">
        <v>634</v>
      </c>
      <c r="I77" s="65" t="s">
        <v>43</v>
      </c>
      <c r="J77" s="66" t="s">
        <v>43</v>
      </c>
      <c r="K77" s="67" t="s">
        <v>44</v>
      </c>
      <c r="L77" s="40">
        <v>1</v>
      </c>
      <c r="M77" s="40">
        <v>3</v>
      </c>
      <c r="N77" s="40">
        <v>3</v>
      </c>
      <c r="O77" s="40">
        <v>3</v>
      </c>
      <c r="P77" s="41">
        <v>1</v>
      </c>
      <c r="Q77" s="40">
        <v>4</v>
      </c>
      <c r="R77" s="40">
        <v>5</v>
      </c>
      <c r="S77" s="40">
        <v>4</v>
      </c>
      <c r="T77" s="40">
        <v>7</v>
      </c>
      <c r="U77" s="41">
        <v>4</v>
      </c>
      <c r="V77" s="40">
        <v>2</v>
      </c>
      <c r="W77" s="40">
        <v>2</v>
      </c>
      <c r="X77" s="40">
        <v>4</v>
      </c>
      <c r="Y77" s="41">
        <v>7</v>
      </c>
      <c r="Z77" s="40" t="s">
        <v>45</v>
      </c>
      <c r="AA77" s="40" t="s">
        <v>45</v>
      </c>
      <c r="AB77" s="40" t="s">
        <v>45</v>
      </c>
      <c r="AC77" s="40" t="s">
        <v>45</v>
      </c>
      <c r="AD77" s="40" t="s">
        <v>45</v>
      </c>
      <c r="AE77" s="40" t="s">
        <v>45</v>
      </c>
      <c r="AF77" s="40" t="s">
        <v>45</v>
      </c>
      <c r="AG77" s="41" t="s">
        <v>45</v>
      </c>
      <c r="AH77" s="40">
        <v>1</v>
      </c>
      <c r="AI77" s="40">
        <v>1</v>
      </c>
      <c r="AJ77" s="41">
        <v>1</v>
      </c>
      <c r="AK77" s="43" t="s">
        <v>644</v>
      </c>
      <c r="AL77" s="43" t="s">
        <v>635</v>
      </c>
      <c r="AM77" s="44">
        <f t="shared" si="8"/>
        <v>-1.6366815025231998</v>
      </c>
      <c r="AN77" s="44">
        <f t="shared" si="9"/>
        <v>-4.9455211642927639E-3</v>
      </c>
      <c r="AO77" s="45">
        <f t="shared" si="10"/>
        <v>0</v>
      </c>
      <c r="AP77" s="46">
        <f t="shared" si="11"/>
        <v>0</v>
      </c>
      <c r="AQ77" s="44">
        <f>($AM$3*AM77+$AN$3*AN77+$AO$3*AO77+$AP$3*AP77)+$I$3*VLOOKUP(I77,COND!$A$2:$E$7,4,FALSE)+$J$3*VLOOKUP(J77,COND!$A$2:$C$7,2,FALSE)+$K$3*VLOOKUP(K77,COND!$A$2:$C$7,3,FALSE)+IF(AND($B$2&gt;0,$E77&lt;20),$B$2*25,0)</f>
        <v>49.476985595776171</v>
      </c>
      <c r="AR77" s="47">
        <f t="shared" si="12"/>
        <v>1.1850327994543985</v>
      </c>
      <c r="AS77" s="45" t="str">
        <f t="shared" si="13"/>
        <v>DH</v>
      </c>
      <c r="AT77" s="45">
        <f>RANK(Batters[[#This Row],[zScore]],Batters[[#All],[zScore]])</f>
        <v>73</v>
      </c>
      <c r="AU77" s="45"/>
      <c r="AV77" s="45"/>
      <c r="AW77" s="45" t="str">
        <f t="shared" si="14"/>
        <v>Unlikely</v>
      </c>
      <c r="AX77" s="45"/>
      <c r="AY77" s="45">
        <f>INDEX(Table5[[#All],[Ovr]],MATCH(Batters[[#This Row],[PID]],Table5[[#All],[PID]],0))</f>
        <v>448</v>
      </c>
      <c r="AZ77" s="45" t="str">
        <f>INDEX(Table5[[#All],[Rnd]],MATCH(Batters[[#This Row],[PID]],Table5[[#All],[PID]],0))</f>
        <v>15</v>
      </c>
      <c r="BA77" s="45">
        <f>INDEX(Table5[[#All],[Pick]],MATCH(Batters[[#This Row],[PID]],Table5[[#All],[PID]],0))</f>
        <v>20</v>
      </c>
      <c r="BB77" s="45" t="str">
        <f>INDEX(Table5[[#All],[Team]],MATCH(Batters[[#This Row],[PID]],Table5[[#All],[PID]],0))</f>
        <v>Amsterdam Lions</v>
      </c>
    </row>
    <row r="78" spans="1:54" ht="15" customHeight="1" x14ac:dyDescent="0.25">
      <c r="A78" s="40">
        <v>20770</v>
      </c>
      <c r="B78" s="40" t="s">
        <v>74</v>
      </c>
      <c r="C78" s="40" t="s">
        <v>208</v>
      </c>
      <c r="D78" s="40" t="s">
        <v>792</v>
      </c>
      <c r="E78" s="40">
        <v>17</v>
      </c>
      <c r="F78" s="40" t="s">
        <v>62</v>
      </c>
      <c r="G78" s="40" t="s">
        <v>42</v>
      </c>
      <c r="H78" s="41" t="s">
        <v>634</v>
      </c>
      <c r="I78" s="65" t="s">
        <v>43</v>
      </c>
      <c r="J78" s="66" t="s">
        <v>44</v>
      </c>
      <c r="K78" s="67" t="s">
        <v>43</v>
      </c>
      <c r="L78" s="40">
        <v>1</v>
      </c>
      <c r="M78" s="40">
        <v>1</v>
      </c>
      <c r="N78" s="40">
        <v>3</v>
      </c>
      <c r="O78" s="40">
        <v>2</v>
      </c>
      <c r="P78" s="41">
        <v>1</v>
      </c>
      <c r="Q78" s="40">
        <v>4</v>
      </c>
      <c r="R78" s="40">
        <v>5</v>
      </c>
      <c r="S78" s="40">
        <v>6</v>
      </c>
      <c r="T78" s="40">
        <v>5</v>
      </c>
      <c r="U78" s="41">
        <v>4</v>
      </c>
      <c r="V78" s="40">
        <v>7</v>
      </c>
      <c r="W78" s="40">
        <v>8</v>
      </c>
      <c r="X78" s="40">
        <v>1</v>
      </c>
      <c r="Y78" s="41">
        <v>1</v>
      </c>
      <c r="Z78" s="40" t="s">
        <v>45</v>
      </c>
      <c r="AA78" s="40">
        <v>1</v>
      </c>
      <c r="AB78" s="40" t="s">
        <v>45</v>
      </c>
      <c r="AC78" s="40" t="s">
        <v>45</v>
      </c>
      <c r="AD78" s="40" t="s">
        <v>45</v>
      </c>
      <c r="AE78" s="40">
        <v>1</v>
      </c>
      <c r="AF78" s="40">
        <v>2</v>
      </c>
      <c r="AG78" s="41">
        <v>1</v>
      </c>
      <c r="AH78" s="40">
        <v>8</v>
      </c>
      <c r="AI78" s="40">
        <v>5</v>
      </c>
      <c r="AJ78" s="41">
        <v>5</v>
      </c>
      <c r="AK78" s="43" t="s">
        <v>644</v>
      </c>
      <c r="AL78" s="43" t="s">
        <v>47</v>
      </c>
      <c r="AM78" s="44">
        <f t="shared" si="8"/>
        <v>-1.828510811770188</v>
      </c>
      <c r="AN78" s="44">
        <f t="shared" si="9"/>
        <v>-1.8241633135651861E-2</v>
      </c>
      <c r="AO78" s="45">
        <f t="shared" si="10"/>
        <v>1</v>
      </c>
      <c r="AP78" s="46">
        <f t="shared" si="11"/>
        <v>0</v>
      </c>
      <c r="AQ78" s="44">
        <f>($AM$3*AM78+$AN$3*AN78+$AO$3*AO78+$AP$3*AP78)+$I$3*VLOOKUP(I78,COND!$A$2:$E$7,4,FALSE)+$J$3*VLOOKUP(J78,COND!$A$2:$C$7,2,FALSE)+$K$3*VLOOKUP(K78,COND!$A$2:$C$7,3,FALSE)+IF(AND($B$2&gt;0,$E78&lt;20),$B$2*25,0)</f>
        <v>49.464915987861829</v>
      </c>
      <c r="AR78" s="47">
        <f t="shared" si="12"/>
        <v>1.182356885796811</v>
      </c>
      <c r="AS78" s="45" t="str">
        <f t="shared" si="13"/>
        <v>CF</v>
      </c>
      <c r="AT78" s="45">
        <f>RANK(Batters[[#This Row],[zScore]],Batters[[#All],[zScore]])</f>
        <v>74</v>
      </c>
      <c r="AU78" s="45"/>
      <c r="AV78" s="45"/>
      <c r="AW78" s="45" t="str">
        <f t="shared" si="14"/>
        <v>Unlikely</v>
      </c>
      <c r="AX78" s="45"/>
      <c r="AY78" s="45">
        <f>INDEX(Table5[[#All],[Ovr]],MATCH(Batters[[#This Row],[PID]],Table5[[#All],[PID]],0))</f>
        <v>165</v>
      </c>
      <c r="AZ78" s="45" t="str">
        <f>INDEX(Table5[[#All],[Rnd]],MATCH(Batters[[#This Row],[PID]],Table5[[#All],[PID]],0))</f>
        <v>6</v>
      </c>
      <c r="BA78" s="45">
        <f>INDEX(Table5[[#All],[Pick]],MATCH(Batters[[#This Row],[PID]],Table5[[#All],[PID]],0))</f>
        <v>7</v>
      </c>
      <c r="BB78" s="45" t="str">
        <f>INDEX(Table5[[#All],[Team]],MATCH(Batters[[#This Row],[PID]],Table5[[#All],[PID]],0))</f>
        <v>Niihama-shi Ghosts</v>
      </c>
    </row>
    <row r="79" spans="1:54" ht="15" customHeight="1" x14ac:dyDescent="0.25">
      <c r="A79" s="40">
        <v>18454</v>
      </c>
      <c r="B79" s="40" t="s">
        <v>50</v>
      </c>
      <c r="C79" s="40" t="s">
        <v>585</v>
      </c>
      <c r="D79" s="40" t="s">
        <v>1292</v>
      </c>
      <c r="E79" s="40">
        <v>18</v>
      </c>
      <c r="F79" s="40" t="s">
        <v>42</v>
      </c>
      <c r="G79" s="40" t="s">
        <v>42</v>
      </c>
      <c r="H79" s="41" t="s">
        <v>634</v>
      </c>
      <c r="I79" s="65" t="s">
        <v>43</v>
      </c>
      <c r="J79" s="66" t="s">
        <v>43</v>
      </c>
      <c r="K79" s="67" t="s">
        <v>47</v>
      </c>
      <c r="L79" s="40">
        <v>1</v>
      </c>
      <c r="M79" s="40">
        <v>3</v>
      </c>
      <c r="N79" s="40">
        <v>3</v>
      </c>
      <c r="O79" s="40">
        <v>2</v>
      </c>
      <c r="P79" s="41">
        <v>2</v>
      </c>
      <c r="Q79" s="40">
        <v>4</v>
      </c>
      <c r="R79" s="40">
        <v>5</v>
      </c>
      <c r="S79" s="40">
        <v>5</v>
      </c>
      <c r="T79" s="40">
        <v>5</v>
      </c>
      <c r="U79" s="41">
        <v>4</v>
      </c>
      <c r="V79" s="40">
        <v>3</v>
      </c>
      <c r="W79" s="40">
        <v>6</v>
      </c>
      <c r="X79" s="40">
        <v>1</v>
      </c>
      <c r="Y79" s="41">
        <v>1</v>
      </c>
      <c r="Z79" s="40" t="s">
        <v>45</v>
      </c>
      <c r="AA79" s="40" t="s">
        <v>45</v>
      </c>
      <c r="AB79" s="40" t="s">
        <v>45</v>
      </c>
      <c r="AC79" s="40" t="s">
        <v>45</v>
      </c>
      <c r="AD79" s="40" t="s">
        <v>45</v>
      </c>
      <c r="AE79" s="40">
        <v>5</v>
      </c>
      <c r="AF79" s="40">
        <v>1</v>
      </c>
      <c r="AG79" s="41" t="s">
        <v>45</v>
      </c>
      <c r="AH79" s="40">
        <v>6</v>
      </c>
      <c r="AI79" s="40">
        <v>8</v>
      </c>
      <c r="AJ79" s="41">
        <v>9</v>
      </c>
      <c r="AK79" s="43" t="s">
        <v>644</v>
      </c>
      <c r="AL79" s="43" t="s">
        <v>47</v>
      </c>
      <c r="AM79" s="44">
        <f t="shared" si="8"/>
        <v>-1.6863747127156974</v>
      </c>
      <c r="AN79" s="44">
        <f t="shared" si="9"/>
        <v>-0.10130312715955338</v>
      </c>
      <c r="AO79" s="45">
        <f t="shared" si="10"/>
        <v>3</v>
      </c>
      <c r="AP79" s="46">
        <f t="shared" si="11"/>
        <v>0</v>
      </c>
      <c r="AQ79" s="44">
        <f>($AM$3*AM79+$AN$3*AN79+$AO$3*AO79+$AP$3*AP79)+$I$3*VLOOKUP(I79,COND!$A$2:$E$7,4,FALSE)+$J$3*VLOOKUP(J79,COND!$A$2:$C$7,2,FALSE)+$K$3*VLOOKUP(K79,COND!$A$2:$C$7,3,FALSE)+IF(AND($B$2&gt;0,$E79&lt;20),$B$2*25,0)</f>
        <v>49.415725002813787</v>
      </c>
      <c r="AR79" s="47">
        <f t="shared" si="12"/>
        <v>1.1714509119114596</v>
      </c>
      <c r="AS79" s="45" t="str">
        <f t="shared" si="13"/>
        <v>LF</v>
      </c>
      <c r="AT79" s="45">
        <f>RANK(Batters[[#This Row],[zScore]],Batters[[#All],[zScore]])</f>
        <v>75</v>
      </c>
      <c r="AU79" s="45"/>
      <c r="AV79" s="45"/>
      <c r="AW79" s="45" t="str">
        <f t="shared" si="14"/>
        <v>Unlikely</v>
      </c>
      <c r="AX79" s="45"/>
      <c r="AY79" s="45">
        <f>INDEX(Table5[[#All],[Ovr]],MATCH(Batters[[#This Row],[PID]],Table5[[#All],[PID]],0))</f>
        <v>334</v>
      </c>
      <c r="AZ79" s="45" t="str">
        <f>INDEX(Table5[[#All],[Rnd]],MATCH(Batters[[#This Row],[PID]],Table5[[#All],[PID]],0))</f>
        <v>11</v>
      </c>
      <c r="BA79" s="45">
        <f>INDEX(Table5[[#All],[Pick]],MATCH(Batters[[#This Row],[PID]],Table5[[#All],[PID]],0))</f>
        <v>26</v>
      </c>
      <c r="BB79" s="45" t="str">
        <f>INDEX(Table5[[#All],[Team]],MATCH(Batters[[#This Row],[PID]],Table5[[#All],[PID]],0))</f>
        <v>Aurora Borealis</v>
      </c>
    </row>
    <row r="80" spans="1:54" ht="15" customHeight="1" x14ac:dyDescent="0.25">
      <c r="A80" s="40">
        <v>20648</v>
      </c>
      <c r="B80" s="40" t="s">
        <v>50</v>
      </c>
      <c r="C80" s="40" t="s">
        <v>1185</v>
      </c>
      <c r="D80" s="40" t="s">
        <v>694</v>
      </c>
      <c r="E80" s="40">
        <v>17</v>
      </c>
      <c r="F80" s="40" t="s">
        <v>53</v>
      </c>
      <c r="G80" s="40" t="s">
        <v>53</v>
      </c>
      <c r="H80" s="41" t="s">
        <v>633</v>
      </c>
      <c r="I80" s="65" t="s">
        <v>43</v>
      </c>
      <c r="J80" s="66" t="s">
        <v>44</v>
      </c>
      <c r="K80" s="67" t="s">
        <v>43</v>
      </c>
      <c r="L80" s="40">
        <v>1</v>
      </c>
      <c r="M80" s="40">
        <v>3</v>
      </c>
      <c r="N80" s="40">
        <v>5</v>
      </c>
      <c r="O80" s="40">
        <v>3</v>
      </c>
      <c r="P80" s="41">
        <v>1</v>
      </c>
      <c r="Q80" s="40">
        <v>3</v>
      </c>
      <c r="R80" s="40">
        <v>6</v>
      </c>
      <c r="S80" s="40">
        <v>9</v>
      </c>
      <c r="T80" s="40">
        <v>6</v>
      </c>
      <c r="U80" s="41">
        <v>2</v>
      </c>
      <c r="V80" s="40">
        <v>7</v>
      </c>
      <c r="W80" s="40">
        <v>8</v>
      </c>
      <c r="X80" s="40">
        <v>1</v>
      </c>
      <c r="Y80" s="41">
        <v>1</v>
      </c>
      <c r="Z80" s="40" t="s">
        <v>45</v>
      </c>
      <c r="AA80" s="40" t="s">
        <v>45</v>
      </c>
      <c r="AB80" s="40" t="s">
        <v>45</v>
      </c>
      <c r="AC80" s="40" t="s">
        <v>45</v>
      </c>
      <c r="AD80" s="40" t="s">
        <v>45</v>
      </c>
      <c r="AE80" s="40">
        <v>2</v>
      </c>
      <c r="AF80" s="40" t="s">
        <v>45</v>
      </c>
      <c r="AG80" s="41">
        <v>1</v>
      </c>
      <c r="AH80" s="40">
        <v>2</v>
      </c>
      <c r="AI80" s="40">
        <v>5</v>
      </c>
      <c r="AJ80" s="41">
        <v>8</v>
      </c>
      <c r="AK80" s="43" t="s">
        <v>553</v>
      </c>
      <c r="AL80" s="43" t="s">
        <v>47</v>
      </c>
      <c r="AM80" s="44">
        <f t="shared" si="8"/>
        <v>-1.4705585144753968</v>
      </c>
      <c r="AN80" s="44">
        <f t="shared" si="9"/>
        <v>-3.0876237272504391E-2</v>
      </c>
      <c r="AO80" s="45">
        <f t="shared" si="10"/>
        <v>1</v>
      </c>
      <c r="AP80" s="46">
        <f t="shared" si="11"/>
        <v>0</v>
      </c>
      <c r="AQ80" s="44">
        <f>($AM$3*AM80+$AN$3*AN80+$AO$3*AO80+$AP$3*AP80)+$I$3*VLOOKUP(I80,COND!$A$2:$E$7,4,FALSE)+$J$3*VLOOKUP(J80,COND!$A$2:$C$7,2,FALSE)+$K$3*VLOOKUP(K80,COND!$A$2:$C$7,3,FALSE)+IF(AND($B$2&gt;0,$E80&lt;20),$B$2*25,0)</f>
        <v>49.349095967949076</v>
      </c>
      <c r="AR80" s="47">
        <f t="shared" si="12"/>
        <v>1.1566788045114751</v>
      </c>
      <c r="AS80" s="45" t="str">
        <f t="shared" si="13"/>
        <v>LF</v>
      </c>
      <c r="AT80" s="45">
        <f>RANK(Batters[[#This Row],[zScore]],Batters[[#All],[zScore]])</f>
        <v>76</v>
      </c>
      <c r="AU80" s="45"/>
      <c r="AV80" s="45"/>
      <c r="AW80" s="45" t="str">
        <f t="shared" si="14"/>
        <v>Possible</v>
      </c>
      <c r="AX80" s="45"/>
      <c r="AY80" s="45">
        <f>INDEX(Table5[[#All],[Ovr]],MATCH(Batters[[#This Row],[PID]],Table5[[#All],[PID]],0))</f>
        <v>150</v>
      </c>
      <c r="AZ80" s="45" t="str">
        <f>INDEX(Table5[[#All],[Rnd]],MATCH(Batters[[#This Row],[PID]],Table5[[#All],[PID]],0))</f>
        <v>5</v>
      </c>
      <c r="BA80" s="45">
        <f>INDEX(Table5[[#All],[Pick]],MATCH(Batters[[#This Row],[PID]],Table5[[#All],[PID]],0))</f>
        <v>22</v>
      </c>
      <c r="BB80" s="45" t="str">
        <f>INDEX(Table5[[#All],[Team]],MATCH(Batters[[#This Row],[PID]],Table5[[#All],[PID]],0))</f>
        <v>Niihama-shi Ghosts</v>
      </c>
    </row>
    <row r="81" spans="1:54" ht="15" customHeight="1" x14ac:dyDescent="0.25">
      <c r="A81" s="40">
        <v>15748</v>
      </c>
      <c r="B81" s="40" t="s">
        <v>66</v>
      </c>
      <c r="C81" s="40" t="s">
        <v>650</v>
      </c>
      <c r="D81" s="40" t="s">
        <v>1610</v>
      </c>
      <c r="E81" s="40">
        <v>18</v>
      </c>
      <c r="F81" s="40" t="s">
        <v>42</v>
      </c>
      <c r="G81" s="40" t="s">
        <v>53</v>
      </c>
      <c r="H81" s="41" t="s">
        <v>638</v>
      </c>
      <c r="I81" s="65" t="s">
        <v>47</v>
      </c>
      <c r="J81" s="66" t="s">
        <v>43</v>
      </c>
      <c r="K81" s="67" t="s">
        <v>43</v>
      </c>
      <c r="L81" s="40">
        <v>1</v>
      </c>
      <c r="M81" s="40">
        <v>2</v>
      </c>
      <c r="N81" s="40">
        <v>3</v>
      </c>
      <c r="O81" s="40">
        <v>2</v>
      </c>
      <c r="P81" s="41">
        <v>1</v>
      </c>
      <c r="Q81" s="40">
        <v>4</v>
      </c>
      <c r="R81" s="40">
        <v>5</v>
      </c>
      <c r="S81" s="40">
        <v>6</v>
      </c>
      <c r="T81" s="40">
        <v>5</v>
      </c>
      <c r="U81" s="41">
        <v>3</v>
      </c>
      <c r="V81" s="40">
        <v>10</v>
      </c>
      <c r="W81" s="40">
        <v>10</v>
      </c>
      <c r="X81" s="40">
        <v>1</v>
      </c>
      <c r="Y81" s="41">
        <v>1</v>
      </c>
      <c r="Z81" s="40" t="s">
        <v>45</v>
      </c>
      <c r="AA81" s="40" t="s">
        <v>45</v>
      </c>
      <c r="AB81" s="40" t="s">
        <v>45</v>
      </c>
      <c r="AC81" s="40" t="s">
        <v>45</v>
      </c>
      <c r="AD81" s="40" t="s">
        <v>45</v>
      </c>
      <c r="AE81" s="40" t="s">
        <v>45</v>
      </c>
      <c r="AF81" s="40" t="s">
        <v>45</v>
      </c>
      <c r="AG81" s="41" t="s">
        <v>45</v>
      </c>
      <c r="AH81" s="40">
        <v>1</v>
      </c>
      <c r="AI81" s="40">
        <v>1</v>
      </c>
      <c r="AJ81" s="41">
        <v>1</v>
      </c>
      <c r="AK81" s="43" t="s">
        <v>45</v>
      </c>
      <c r="AL81" s="43" t="s">
        <v>635</v>
      </c>
      <c r="AM81" s="44">
        <f t="shared" si="8"/>
        <v>-1.7774509321514844</v>
      </c>
      <c r="AN81" s="44">
        <f t="shared" si="9"/>
        <v>-5.8257972952735312E-2</v>
      </c>
      <c r="AO81" s="45">
        <f t="shared" si="10"/>
        <v>0</v>
      </c>
      <c r="AP81" s="46">
        <f t="shared" si="11"/>
        <v>0</v>
      </c>
      <c r="AQ81" s="44">
        <f>($AM$3*AM81+$AN$3*AN81+$AO$3*AO81+$AP$3*AP81)+$I$3*VLOOKUP(I81,COND!$A$2:$E$7,4,FALSE)+$J$3*VLOOKUP(J81,COND!$A$2:$C$7,2,FALSE)+$K$3*VLOOKUP(K81,COND!$A$2:$C$7,3,FALSE)+IF(AND($B$2&gt;0,$E81&lt;20),$B$2*25,0)</f>
        <v>49.348159231352028</v>
      </c>
      <c r="AR81" s="47">
        <f t="shared" si="12"/>
        <v>1.1564711236761578</v>
      </c>
      <c r="AS81" s="45" t="str">
        <f t="shared" si="13"/>
        <v>DH</v>
      </c>
      <c r="AT81" s="45">
        <f>RANK(Batters[[#This Row],[zScore]],Batters[[#All],[zScore]])</f>
        <v>77</v>
      </c>
      <c r="AU81" s="45"/>
      <c r="AV81" s="45"/>
      <c r="AW81" s="45" t="str">
        <f t="shared" si="14"/>
        <v>Unlikely</v>
      </c>
      <c r="AX81" s="45"/>
      <c r="AY81" s="45">
        <f>INDEX(Table5[[#All],[Ovr]],MATCH(Batters[[#This Row],[PID]],Table5[[#All],[PID]],0))</f>
        <v>478</v>
      </c>
      <c r="AZ81" s="45" t="str">
        <f>INDEX(Table5[[#All],[Rnd]],MATCH(Batters[[#This Row],[PID]],Table5[[#All],[PID]],0))</f>
        <v>16</v>
      </c>
      <c r="BA81" s="45">
        <f>INDEX(Table5[[#All],[Pick]],MATCH(Batters[[#This Row],[PID]],Table5[[#All],[PID]],0))</f>
        <v>20</v>
      </c>
      <c r="BB81" s="45" t="str">
        <f>INDEX(Table5[[#All],[Team]],MATCH(Batters[[#This Row],[PID]],Table5[[#All],[PID]],0))</f>
        <v>Amsterdam Lions</v>
      </c>
    </row>
    <row r="82" spans="1:54" ht="15" customHeight="1" x14ac:dyDescent="0.25">
      <c r="A82" s="40">
        <v>14028</v>
      </c>
      <c r="B82" s="40" t="s">
        <v>72</v>
      </c>
      <c r="C82" s="40" t="s">
        <v>442</v>
      </c>
      <c r="D82" s="40" t="s">
        <v>1209</v>
      </c>
      <c r="E82" s="40">
        <v>18</v>
      </c>
      <c r="F82" s="40" t="s">
        <v>42</v>
      </c>
      <c r="G82" s="40" t="s">
        <v>42</v>
      </c>
      <c r="H82" s="41" t="s">
        <v>634</v>
      </c>
      <c r="I82" s="65" t="s">
        <v>43</v>
      </c>
      <c r="J82" s="66" t="s">
        <v>43</v>
      </c>
      <c r="K82" s="67" t="s">
        <v>43</v>
      </c>
      <c r="L82" s="40">
        <v>2</v>
      </c>
      <c r="M82" s="40">
        <v>2</v>
      </c>
      <c r="N82" s="40">
        <v>3</v>
      </c>
      <c r="O82" s="40">
        <v>2</v>
      </c>
      <c r="P82" s="41">
        <v>4</v>
      </c>
      <c r="Q82" s="40">
        <v>4</v>
      </c>
      <c r="R82" s="40">
        <v>6</v>
      </c>
      <c r="S82" s="40">
        <v>4</v>
      </c>
      <c r="T82" s="40">
        <v>4</v>
      </c>
      <c r="U82" s="41">
        <v>6</v>
      </c>
      <c r="V82" s="40">
        <v>9</v>
      </c>
      <c r="W82" s="40">
        <v>9</v>
      </c>
      <c r="X82" s="40">
        <v>1</v>
      </c>
      <c r="Y82" s="41">
        <v>1</v>
      </c>
      <c r="Z82" s="40" t="s">
        <v>45</v>
      </c>
      <c r="AA82" s="40" t="s">
        <v>45</v>
      </c>
      <c r="AB82" s="40" t="s">
        <v>45</v>
      </c>
      <c r="AC82" s="40" t="s">
        <v>45</v>
      </c>
      <c r="AD82" s="40">
        <v>5</v>
      </c>
      <c r="AE82" s="40" t="s">
        <v>45</v>
      </c>
      <c r="AF82" s="40" t="s">
        <v>45</v>
      </c>
      <c r="AG82" s="41" t="s">
        <v>45</v>
      </c>
      <c r="AH82" s="40">
        <v>4</v>
      </c>
      <c r="AI82" s="40">
        <v>5</v>
      </c>
      <c r="AJ82" s="41">
        <v>7</v>
      </c>
      <c r="AK82" s="43" t="s">
        <v>601</v>
      </c>
      <c r="AL82" s="43" t="s">
        <v>47</v>
      </c>
      <c r="AM82" s="44">
        <f t="shared" si="8"/>
        <v>-1.3348460764975592</v>
      </c>
      <c r="AN82" s="44">
        <f t="shared" si="9"/>
        <v>-0.14298161194016545</v>
      </c>
      <c r="AO82" s="45">
        <f t="shared" si="10"/>
        <v>1</v>
      </c>
      <c r="AP82" s="46">
        <f t="shared" si="11"/>
        <v>1</v>
      </c>
      <c r="AQ82" s="44">
        <f>($AM$3*AM82+$AN$3*AN82+$AO$3*AO82+$AP$3*AP82)+$I$3*VLOOKUP(I82,COND!$A$2:$E$7,4,FALSE)+$J$3*VLOOKUP(J82,COND!$A$2:$C$7,2,FALSE)+$K$3*VLOOKUP(K82,COND!$A$2:$C$7,3,FALSE)+IF(AND($B$2&gt;0,$E82&lt;20),$B$2*25,0)</f>
        <v>49.317402715734929</v>
      </c>
      <c r="AR82" s="47">
        <f t="shared" si="12"/>
        <v>1.1496521962690955</v>
      </c>
      <c r="AS82" s="45" t="str">
        <f t="shared" si="13"/>
        <v>SS</v>
      </c>
      <c r="AT82" s="45">
        <f>RANK(Batters[[#This Row],[zScore]],Batters[[#All],[zScore]])</f>
        <v>78</v>
      </c>
      <c r="AU82" s="45"/>
      <c r="AV82" s="45"/>
      <c r="AW82" s="45" t="str">
        <f t="shared" si="14"/>
        <v>Unlikely</v>
      </c>
      <c r="AX82" s="45"/>
      <c r="AY82" s="45">
        <f>INDEX(Table5[[#All],[Ovr]],MATCH(Batters[[#This Row],[PID]],Table5[[#All],[PID]],0))</f>
        <v>86</v>
      </c>
      <c r="AZ82" s="45" t="str">
        <f>INDEX(Table5[[#All],[Rnd]],MATCH(Batters[[#This Row],[PID]],Table5[[#All],[PID]],0))</f>
        <v>3</v>
      </c>
      <c r="BA82" s="45">
        <f>INDEX(Table5[[#All],[Pick]],MATCH(Batters[[#This Row],[PID]],Table5[[#All],[PID]],0))</f>
        <v>18</v>
      </c>
      <c r="BB82" s="45" t="str">
        <f>INDEX(Table5[[#All],[Team]],MATCH(Batters[[#This Row],[PID]],Table5[[#All],[PID]],0))</f>
        <v>Madison Malts</v>
      </c>
    </row>
    <row r="83" spans="1:54" ht="15" customHeight="1" x14ac:dyDescent="0.25">
      <c r="A83" s="40">
        <v>20949</v>
      </c>
      <c r="B83" s="40" t="s">
        <v>50</v>
      </c>
      <c r="C83" s="40" t="s">
        <v>650</v>
      </c>
      <c r="D83" s="40" t="s">
        <v>946</v>
      </c>
      <c r="E83" s="40">
        <v>18</v>
      </c>
      <c r="F83" s="40" t="s">
        <v>42</v>
      </c>
      <c r="G83" s="40" t="s">
        <v>42</v>
      </c>
      <c r="H83" s="41" t="s">
        <v>638</v>
      </c>
      <c r="I83" s="65" t="s">
        <v>43</v>
      </c>
      <c r="J83" s="66" t="s">
        <v>43</v>
      </c>
      <c r="K83" s="67" t="s">
        <v>47</v>
      </c>
      <c r="L83" s="40">
        <v>1</v>
      </c>
      <c r="M83" s="40">
        <v>2</v>
      </c>
      <c r="N83" s="40">
        <v>3</v>
      </c>
      <c r="O83" s="40">
        <v>2</v>
      </c>
      <c r="P83" s="41">
        <v>1</v>
      </c>
      <c r="Q83" s="40">
        <v>4</v>
      </c>
      <c r="R83" s="40">
        <v>4</v>
      </c>
      <c r="S83" s="40">
        <v>6</v>
      </c>
      <c r="T83" s="40">
        <v>5</v>
      </c>
      <c r="U83" s="41">
        <v>4</v>
      </c>
      <c r="V83" s="40">
        <v>4</v>
      </c>
      <c r="W83" s="40">
        <v>6</v>
      </c>
      <c r="X83" s="40">
        <v>1</v>
      </c>
      <c r="Y83" s="41">
        <v>1</v>
      </c>
      <c r="Z83" s="40" t="s">
        <v>45</v>
      </c>
      <c r="AA83" s="40" t="s">
        <v>45</v>
      </c>
      <c r="AB83" s="40" t="s">
        <v>45</v>
      </c>
      <c r="AC83" s="40" t="s">
        <v>45</v>
      </c>
      <c r="AD83" s="40" t="s">
        <v>45</v>
      </c>
      <c r="AE83" s="40">
        <v>1</v>
      </c>
      <c r="AF83" s="40" t="s">
        <v>45</v>
      </c>
      <c r="AG83" s="41">
        <v>1</v>
      </c>
      <c r="AH83" s="40">
        <v>2</v>
      </c>
      <c r="AI83" s="40">
        <v>3</v>
      </c>
      <c r="AJ83" s="41">
        <v>2</v>
      </c>
      <c r="AK83" s="43" t="s">
        <v>654</v>
      </c>
      <c r="AL83" s="43" t="s">
        <v>47</v>
      </c>
      <c r="AM83" s="44">
        <f t="shared" si="8"/>
        <v>-1.7774509321514844</v>
      </c>
      <c r="AN83" s="44">
        <f t="shared" si="9"/>
        <v>-6.9301512754355379E-2</v>
      </c>
      <c r="AO83" s="45">
        <f t="shared" si="10"/>
        <v>0</v>
      </c>
      <c r="AP83" s="46">
        <f t="shared" si="11"/>
        <v>0</v>
      </c>
      <c r="AQ83" s="44">
        <f>($AM$3*AM83+$AN$3*AN83+$AO$3*AO83+$AP$3*AP83)+$I$3*VLOOKUP(I83,COND!$A$2:$E$7,4,FALSE)+$J$3*VLOOKUP(J83,COND!$A$2:$C$7,2,FALSE)+$K$3*VLOOKUP(K83,COND!$A$2:$C$7,3,FALSE)+IF(AND($B$2&gt;0,$E83&lt;20),$B$2*25,0)</f>
        <v>49.290636753732585</v>
      </c>
      <c r="AR83" s="47">
        <f t="shared" si="12"/>
        <v>1.1437180015720636</v>
      </c>
      <c r="AS83" s="45" t="str">
        <f t="shared" si="13"/>
        <v>RF</v>
      </c>
      <c r="AT83" s="45">
        <f>RANK(Batters[[#This Row],[zScore]],Batters[[#All],[zScore]])</f>
        <v>79</v>
      </c>
      <c r="AU83" s="45"/>
      <c r="AV83" s="45"/>
      <c r="AW83" s="45" t="str">
        <f t="shared" si="14"/>
        <v>Unlikely</v>
      </c>
      <c r="AX83" s="45"/>
      <c r="AY83" s="45">
        <f>INDEX(Table5[[#All],[Ovr]],MATCH(Batters[[#This Row],[PID]],Table5[[#All],[PID]],0))</f>
        <v>322</v>
      </c>
      <c r="AZ83" s="45" t="str">
        <f>INDEX(Table5[[#All],[Rnd]],MATCH(Batters[[#This Row],[PID]],Table5[[#All],[PID]],0))</f>
        <v>11</v>
      </c>
      <c r="BA83" s="45">
        <f>INDEX(Table5[[#All],[Pick]],MATCH(Batters[[#This Row],[PID]],Table5[[#All],[PID]],0))</f>
        <v>14</v>
      </c>
      <c r="BB83" s="45" t="str">
        <f>INDEX(Table5[[#All],[Team]],MATCH(Batters[[#This Row],[PID]],Table5[[#All],[PID]],0))</f>
        <v>Arlington Bureaucrats</v>
      </c>
    </row>
    <row r="84" spans="1:54" ht="15" customHeight="1" x14ac:dyDescent="0.25">
      <c r="A84" s="40">
        <v>18439</v>
      </c>
      <c r="B84" s="40" t="s">
        <v>74</v>
      </c>
      <c r="C84" s="40" t="s">
        <v>370</v>
      </c>
      <c r="D84" s="40" t="s">
        <v>1317</v>
      </c>
      <c r="E84" s="40">
        <v>18</v>
      </c>
      <c r="F84" s="40" t="s">
        <v>62</v>
      </c>
      <c r="G84" s="40" t="s">
        <v>42</v>
      </c>
      <c r="H84" s="41" t="s">
        <v>634</v>
      </c>
      <c r="I84" s="65" t="s">
        <v>44</v>
      </c>
      <c r="J84" s="66" t="s">
        <v>44</v>
      </c>
      <c r="K84" s="67" t="s">
        <v>43</v>
      </c>
      <c r="L84" s="40">
        <v>1</v>
      </c>
      <c r="M84" s="40">
        <v>2</v>
      </c>
      <c r="N84" s="40">
        <v>3</v>
      </c>
      <c r="O84" s="40">
        <v>2</v>
      </c>
      <c r="P84" s="41">
        <v>1</v>
      </c>
      <c r="Q84" s="40">
        <v>4</v>
      </c>
      <c r="R84" s="40">
        <v>5</v>
      </c>
      <c r="S84" s="40">
        <v>5</v>
      </c>
      <c r="T84" s="40">
        <v>5</v>
      </c>
      <c r="U84" s="41">
        <v>3</v>
      </c>
      <c r="V84" s="40">
        <v>3</v>
      </c>
      <c r="W84" s="40">
        <v>5</v>
      </c>
      <c r="X84" s="40">
        <v>1</v>
      </c>
      <c r="Y84" s="41">
        <v>1</v>
      </c>
      <c r="Z84" s="40" t="s">
        <v>45</v>
      </c>
      <c r="AA84" s="40" t="s">
        <v>45</v>
      </c>
      <c r="AB84" s="40" t="s">
        <v>45</v>
      </c>
      <c r="AC84" s="40" t="s">
        <v>45</v>
      </c>
      <c r="AD84" s="40" t="s">
        <v>45</v>
      </c>
      <c r="AE84" s="40" t="s">
        <v>45</v>
      </c>
      <c r="AF84" s="40">
        <v>6</v>
      </c>
      <c r="AG84" s="41" t="s">
        <v>45</v>
      </c>
      <c r="AH84" s="40">
        <v>9</v>
      </c>
      <c r="AI84" s="40">
        <v>9</v>
      </c>
      <c r="AJ84" s="41">
        <v>10</v>
      </c>
      <c r="AK84" s="43" t="s">
        <v>553</v>
      </c>
      <c r="AL84" s="43" t="s">
        <v>47</v>
      </c>
      <c r="AM84" s="44">
        <f t="shared" si="8"/>
        <v>-1.7774509321514844</v>
      </c>
      <c r="AN84" s="44">
        <f t="shared" si="9"/>
        <v>-0.14131946697663683</v>
      </c>
      <c r="AO84" s="45">
        <f t="shared" si="10"/>
        <v>5</v>
      </c>
      <c r="AP84" s="46">
        <f t="shared" si="11"/>
        <v>0.75</v>
      </c>
      <c r="AQ84" s="44">
        <f>($AM$3*AM84+$AN$3*AN84+$AO$3*AO84+$AP$3*AP84)+$I$3*VLOOKUP(I84,COND!$A$2:$E$7,4,FALSE)+$J$3*VLOOKUP(J84,COND!$A$2:$C$7,2,FALSE)+$K$3*VLOOKUP(K84,COND!$A$2:$C$7,3,FALSE)+IF(AND($B$2&gt;0,$E84&lt;20),$B$2*25,0)</f>
        <v>49.25975463639854</v>
      </c>
      <c r="AR84" s="47">
        <f t="shared" si="12"/>
        <v>1.1368712274153656</v>
      </c>
      <c r="AS84" s="45" t="str">
        <f t="shared" si="13"/>
        <v>CF</v>
      </c>
      <c r="AT84" s="45">
        <f>RANK(Batters[[#This Row],[zScore]],Batters[[#All],[zScore]])</f>
        <v>80</v>
      </c>
      <c r="AU84" s="45"/>
      <c r="AV84" s="45"/>
      <c r="AW84" s="45" t="str">
        <f t="shared" si="14"/>
        <v>Unlikely</v>
      </c>
      <c r="AX84" s="45"/>
      <c r="AY84" s="45">
        <f>INDEX(Table5[[#All],[Ovr]],MATCH(Batters[[#This Row],[PID]],Table5[[#All],[PID]],0))</f>
        <v>330</v>
      </c>
      <c r="AZ84" s="45" t="str">
        <f>INDEX(Table5[[#All],[Rnd]],MATCH(Batters[[#This Row],[PID]],Table5[[#All],[PID]],0))</f>
        <v>11</v>
      </c>
      <c r="BA84" s="45">
        <f>INDEX(Table5[[#All],[Pick]],MATCH(Batters[[#This Row],[PID]],Table5[[#All],[PID]],0))</f>
        <v>22</v>
      </c>
      <c r="BB84" s="45" t="str">
        <f>INDEX(Table5[[#All],[Team]],MATCH(Batters[[#This Row],[PID]],Table5[[#All],[PID]],0))</f>
        <v>Fargo Dinosaurs</v>
      </c>
    </row>
    <row r="85" spans="1:54" ht="15" customHeight="1" x14ac:dyDescent="0.25">
      <c r="A85" s="40">
        <v>13152</v>
      </c>
      <c r="B85" s="40" t="s">
        <v>74</v>
      </c>
      <c r="C85" s="40" t="s">
        <v>172</v>
      </c>
      <c r="D85" s="40" t="s">
        <v>765</v>
      </c>
      <c r="E85" s="40">
        <v>18</v>
      </c>
      <c r="F85" s="40" t="s">
        <v>53</v>
      </c>
      <c r="G85" s="40" t="s">
        <v>53</v>
      </c>
      <c r="H85" s="41" t="s">
        <v>634</v>
      </c>
      <c r="I85" s="65" t="s">
        <v>47</v>
      </c>
      <c r="J85" s="66" t="s">
        <v>47</v>
      </c>
      <c r="K85" s="67" t="s">
        <v>47</v>
      </c>
      <c r="L85" s="40">
        <v>1</v>
      </c>
      <c r="M85" s="40">
        <v>2</v>
      </c>
      <c r="N85" s="40">
        <v>2</v>
      </c>
      <c r="O85" s="40">
        <v>2</v>
      </c>
      <c r="P85" s="41">
        <v>1</v>
      </c>
      <c r="Q85" s="40">
        <v>4</v>
      </c>
      <c r="R85" s="40">
        <v>4</v>
      </c>
      <c r="S85" s="40">
        <v>5</v>
      </c>
      <c r="T85" s="40">
        <v>5</v>
      </c>
      <c r="U85" s="41">
        <v>3</v>
      </c>
      <c r="V85" s="40">
        <v>6</v>
      </c>
      <c r="W85" s="40">
        <v>9</v>
      </c>
      <c r="X85" s="40">
        <v>1</v>
      </c>
      <c r="Y85" s="41">
        <v>1</v>
      </c>
      <c r="Z85" s="40" t="s">
        <v>45</v>
      </c>
      <c r="AA85" s="40" t="s">
        <v>45</v>
      </c>
      <c r="AB85" s="40" t="s">
        <v>45</v>
      </c>
      <c r="AC85" s="40" t="s">
        <v>45</v>
      </c>
      <c r="AD85" s="40" t="s">
        <v>45</v>
      </c>
      <c r="AE85" s="40">
        <v>4</v>
      </c>
      <c r="AF85" s="40">
        <v>7</v>
      </c>
      <c r="AG85" s="41" t="s">
        <v>45</v>
      </c>
      <c r="AH85" s="40">
        <v>8</v>
      </c>
      <c r="AI85" s="40">
        <v>6</v>
      </c>
      <c r="AJ85" s="41">
        <v>5</v>
      </c>
      <c r="AK85" s="43" t="s">
        <v>601</v>
      </c>
      <c r="AL85" s="43" t="s">
        <v>47</v>
      </c>
      <c r="AM85" s="44">
        <f t="shared" si="8"/>
        <v>-1.8605124261753858</v>
      </c>
      <c r="AN85" s="44">
        <f t="shared" si="9"/>
        <v>-0.19237934659534037</v>
      </c>
      <c r="AO85" s="45">
        <f t="shared" si="10"/>
        <v>1</v>
      </c>
      <c r="AP85" s="46">
        <f t="shared" si="11"/>
        <v>0.75</v>
      </c>
      <c r="AQ85" s="44">
        <f>($AM$3*AM85+$AN$3*AN85+$AO$3*AO85+$AP$3*AP85)+$I$3*VLOOKUP(I85,COND!$A$2:$E$7,4,FALSE)+$J$3*VLOOKUP(J85,COND!$A$2:$C$7,2,FALSE)+$K$3*VLOOKUP(K85,COND!$A$2:$C$7,3,FALSE)+IF(AND($B$2&gt;0,$E85&lt;20),$B$2*25,0)</f>
        <v>49.247063264905037</v>
      </c>
      <c r="AR85" s="47">
        <f t="shared" si="12"/>
        <v>1.1340574645695463</v>
      </c>
      <c r="AS85" s="45" t="str">
        <f t="shared" si="13"/>
        <v>CF</v>
      </c>
      <c r="AT85" s="45">
        <f>RANK(Batters[[#This Row],[zScore]],Batters[[#All],[zScore]])</f>
        <v>81</v>
      </c>
      <c r="AU85" s="45"/>
      <c r="AV85" s="45"/>
      <c r="AW85" s="45" t="str">
        <f t="shared" si="14"/>
        <v>Unlikely</v>
      </c>
      <c r="AX85" s="45"/>
      <c r="AY85" s="45">
        <f>INDEX(Table5[[#All],[Ovr]],MATCH(Batters[[#This Row],[PID]],Table5[[#All],[PID]],0))</f>
        <v>133</v>
      </c>
      <c r="AZ85" s="45" t="str">
        <f>INDEX(Table5[[#All],[Rnd]],MATCH(Batters[[#This Row],[PID]],Table5[[#All],[PID]],0))</f>
        <v>5</v>
      </c>
      <c r="BA85" s="45">
        <f>INDEX(Table5[[#All],[Pick]],MATCH(Batters[[#This Row],[PID]],Table5[[#All],[PID]],0))</f>
        <v>5</v>
      </c>
      <c r="BB85" s="45" t="str">
        <f>INDEX(Table5[[#All],[Team]],MATCH(Batters[[#This Row],[PID]],Table5[[#All],[PID]],0))</f>
        <v>Manchester Maulers</v>
      </c>
    </row>
    <row r="86" spans="1:54" ht="15" customHeight="1" x14ac:dyDescent="0.25">
      <c r="A86" s="40">
        <v>18093</v>
      </c>
      <c r="B86" s="40" t="s">
        <v>72</v>
      </c>
      <c r="C86" s="40" t="s">
        <v>337</v>
      </c>
      <c r="D86" s="40" t="s">
        <v>784</v>
      </c>
      <c r="E86" s="40">
        <v>21</v>
      </c>
      <c r="F86" s="40" t="s">
        <v>53</v>
      </c>
      <c r="G86" s="40" t="s">
        <v>42</v>
      </c>
      <c r="H86" s="41" t="s">
        <v>633</v>
      </c>
      <c r="I86" s="65" t="s">
        <v>44</v>
      </c>
      <c r="J86" s="66" t="s">
        <v>47</v>
      </c>
      <c r="K86" s="67" t="s">
        <v>47</v>
      </c>
      <c r="L86" s="40">
        <v>3</v>
      </c>
      <c r="M86" s="40">
        <v>5</v>
      </c>
      <c r="N86" s="40">
        <v>3</v>
      </c>
      <c r="O86" s="40">
        <v>2</v>
      </c>
      <c r="P86" s="41">
        <v>4</v>
      </c>
      <c r="Q86" s="40">
        <v>5</v>
      </c>
      <c r="R86" s="40">
        <v>7</v>
      </c>
      <c r="S86" s="40">
        <v>4</v>
      </c>
      <c r="T86" s="40">
        <v>3</v>
      </c>
      <c r="U86" s="41">
        <v>6</v>
      </c>
      <c r="V86" s="40">
        <v>7</v>
      </c>
      <c r="W86" s="40">
        <v>7</v>
      </c>
      <c r="X86" s="40">
        <v>1</v>
      </c>
      <c r="Y86" s="41">
        <v>1</v>
      </c>
      <c r="Z86" s="40" t="s">
        <v>45</v>
      </c>
      <c r="AA86" s="40" t="s">
        <v>45</v>
      </c>
      <c r="AB86" s="40" t="s">
        <v>45</v>
      </c>
      <c r="AC86" s="40" t="s">
        <v>45</v>
      </c>
      <c r="AD86" s="40">
        <v>9</v>
      </c>
      <c r="AE86" s="40" t="s">
        <v>45</v>
      </c>
      <c r="AF86" s="40" t="s">
        <v>45</v>
      </c>
      <c r="AG86" s="41" t="s">
        <v>45</v>
      </c>
      <c r="AH86" s="40">
        <v>10</v>
      </c>
      <c r="AI86" s="40">
        <v>9</v>
      </c>
      <c r="AJ86" s="41">
        <v>6</v>
      </c>
      <c r="AK86" s="43" t="s">
        <v>878</v>
      </c>
      <c r="AL86" s="43" t="s">
        <v>635</v>
      </c>
      <c r="AM86" s="44">
        <f t="shared" si="8"/>
        <v>-0.85911060143877416</v>
      </c>
      <c r="AN86" s="44">
        <f t="shared" si="9"/>
        <v>0.14092455387163166</v>
      </c>
      <c r="AO86" s="45">
        <f t="shared" si="10"/>
        <v>4</v>
      </c>
      <c r="AP86" s="46">
        <f t="shared" si="11"/>
        <v>1.5</v>
      </c>
      <c r="AQ86" s="44">
        <f>($AM$3*AM86+$AN$3*AN86+$AO$3*AO86+$AP$3*AP86)+$I$3*VLOOKUP(I86,COND!$A$2:$E$7,4,FALSE)+$J$3*VLOOKUP(J86,COND!$A$2:$C$7,2,FALSE)+$K$3*VLOOKUP(K86,COND!$A$2:$C$7,3,FALSE)+IF(AND($B$2&gt;0,$E86&lt;20),$B$2*25,0)</f>
        <v>49.221850252982364</v>
      </c>
      <c r="AR86" s="47">
        <f t="shared" si="12"/>
        <v>1.1284675694021455</v>
      </c>
      <c r="AS86" s="45" t="str">
        <f t="shared" si="13"/>
        <v>SS</v>
      </c>
      <c r="AT86" s="45">
        <f>RANK(Batters[[#This Row],[zScore]],Batters[[#All],[zScore]])</f>
        <v>82</v>
      </c>
      <c r="AU86" s="45"/>
      <c r="AV86" s="45"/>
      <c r="AW86" s="45" t="str">
        <f t="shared" si="14"/>
        <v>Unlikely</v>
      </c>
      <c r="AX86" s="45"/>
      <c r="AY86" s="45">
        <f>INDEX(Table5[[#All],[Ovr]],MATCH(Batters[[#This Row],[PID]],Table5[[#All],[PID]],0))</f>
        <v>13</v>
      </c>
      <c r="AZ86" s="45" t="str">
        <f>INDEX(Table5[[#All],[Rnd]],MATCH(Batters[[#This Row],[PID]],Table5[[#All],[PID]],0))</f>
        <v>1</v>
      </c>
      <c r="BA86" s="45">
        <f>INDEX(Table5[[#All],[Pick]],MATCH(Batters[[#This Row],[PID]],Table5[[#All],[PID]],0))</f>
        <v>13</v>
      </c>
      <c r="BB86" s="45" t="str">
        <f>INDEX(Table5[[#All],[Team]],MATCH(Batters[[#This Row],[PID]],Table5[[#All],[PID]],0))</f>
        <v>Reno Zephyrs</v>
      </c>
    </row>
    <row r="87" spans="1:54" ht="15" customHeight="1" x14ac:dyDescent="0.25">
      <c r="A87" s="40">
        <v>20464</v>
      </c>
      <c r="B87" s="40" t="s">
        <v>86</v>
      </c>
      <c r="C87" s="40" t="s">
        <v>1279</v>
      </c>
      <c r="D87" s="40" t="s">
        <v>1280</v>
      </c>
      <c r="E87" s="40">
        <v>18</v>
      </c>
      <c r="F87" s="40" t="s">
        <v>62</v>
      </c>
      <c r="G87" s="40" t="s">
        <v>42</v>
      </c>
      <c r="H87" s="41" t="s">
        <v>634</v>
      </c>
      <c r="I87" s="65" t="s">
        <v>43</v>
      </c>
      <c r="J87" s="66" t="s">
        <v>47</v>
      </c>
      <c r="K87" s="67" t="s">
        <v>43</v>
      </c>
      <c r="L87" s="40">
        <v>1</v>
      </c>
      <c r="M87" s="40">
        <v>3</v>
      </c>
      <c r="N87" s="40">
        <v>2</v>
      </c>
      <c r="O87" s="40">
        <v>2</v>
      </c>
      <c r="P87" s="41">
        <v>2</v>
      </c>
      <c r="Q87" s="40">
        <v>4</v>
      </c>
      <c r="R87" s="40">
        <v>5</v>
      </c>
      <c r="S87" s="40">
        <v>4</v>
      </c>
      <c r="T87" s="40">
        <v>5</v>
      </c>
      <c r="U87" s="41">
        <v>4</v>
      </c>
      <c r="V87" s="40">
        <v>8</v>
      </c>
      <c r="W87" s="40">
        <v>7</v>
      </c>
      <c r="X87" s="40">
        <v>8</v>
      </c>
      <c r="Y87" s="41">
        <v>5</v>
      </c>
      <c r="Z87" s="40">
        <v>2</v>
      </c>
      <c r="AA87" s="40" t="s">
        <v>45</v>
      </c>
      <c r="AB87" s="40" t="s">
        <v>45</v>
      </c>
      <c r="AC87" s="40" t="s">
        <v>45</v>
      </c>
      <c r="AD87" s="40" t="s">
        <v>45</v>
      </c>
      <c r="AE87" s="40" t="s">
        <v>45</v>
      </c>
      <c r="AF87" s="40" t="s">
        <v>45</v>
      </c>
      <c r="AG87" s="41" t="s">
        <v>45</v>
      </c>
      <c r="AH87" s="40">
        <v>1</v>
      </c>
      <c r="AI87" s="40">
        <v>1</v>
      </c>
      <c r="AJ87" s="41">
        <v>2</v>
      </c>
      <c r="AK87" s="43" t="s">
        <v>644</v>
      </c>
      <c r="AL87" s="43" t="s">
        <v>47</v>
      </c>
      <c r="AM87" s="44">
        <f t="shared" si="8"/>
        <v>-1.7694362067395988</v>
      </c>
      <c r="AN87" s="44">
        <f t="shared" si="9"/>
        <v>-0.18436462118345487</v>
      </c>
      <c r="AO87" s="45">
        <f t="shared" si="10"/>
        <v>0</v>
      </c>
      <c r="AP87" s="46">
        <f t="shared" si="11"/>
        <v>1.25</v>
      </c>
      <c r="AQ87" s="44">
        <f>($AM$3*AM87+$AN$3*AN87+$AO$3*AO87+$AP$3*AP87)+$I$3*VLOOKUP(I87,COND!$A$2:$E$7,4,FALSE)+$J$3*VLOOKUP(J87,COND!$A$2:$C$7,2,FALSE)+$K$3*VLOOKUP(K87,COND!$A$2:$C$7,3,FALSE)+IF(AND($B$2&gt;0,$E87&lt;20),$B$2*25,0)</f>
        <v>49.160680925124581</v>
      </c>
      <c r="AR87" s="47">
        <f t="shared" si="12"/>
        <v>1.1149059159497914</v>
      </c>
      <c r="AS87" s="45" t="str">
        <f t="shared" si="13"/>
        <v>C</v>
      </c>
      <c r="AT87" s="45">
        <f>RANK(Batters[[#This Row],[zScore]],Batters[[#All],[zScore]])</f>
        <v>83</v>
      </c>
      <c r="AU87" s="45"/>
      <c r="AV87" s="45"/>
      <c r="AW87" s="45" t="str">
        <f t="shared" si="14"/>
        <v>Unlikely</v>
      </c>
      <c r="AX87" s="45"/>
      <c r="AY87" s="45">
        <f>INDEX(Table5[[#All],[Ovr]],MATCH(Batters[[#This Row],[PID]],Table5[[#All],[PID]],0))</f>
        <v>153</v>
      </c>
      <c r="AZ87" s="45" t="str">
        <f>INDEX(Table5[[#All],[Rnd]],MATCH(Batters[[#This Row],[PID]],Table5[[#All],[PID]],0))</f>
        <v>5</v>
      </c>
      <c r="BA87" s="45">
        <f>INDEX(Table5[[#All],[Pick]],MATCH(Batters[[#This Row],[PID]],Table5[[#All],[PID]],0))</f>
        <v>25</v>
      </c>
      <c r="BB87" s="45" t="str">
        <f>INDEX(Table5[[#All],[Team]],MATCH(Batters[[#This Row],[PID]],Table5[[#All],[PID]],0))</f>
        <v>Toyama Wind Dancers</v>
      </c>
    </row>
    <row r="88" spans="1:54" ht="15" customHeight="1" x14ac:dyDescent="0.25">
      <c r="A88" s="40">
        <v>18453</v>
      </c>
      <c r="B88" s="40" t="s">
        <v>87</v>
      </c>
      <c r="C88" s="40" t="s">
        <v>1420</v>
      </c>
      <c r="D88" s="40" t="s">
        <v>759</v>
      </c>
      <c r="E88" s="40">
        <v>18</v>
      </c>
      <c r="F88" s="40" t="s">
        <v>42</v>
      </c>
      <c r="G88" s="40" t="s">
        <v>42</v>
      </c>
      <c r="H88" s="41" t="s">
        <v>638</v>
      </c>
      <c r="I88" s="65" t="s">
        <v>43</v>
      </c>
      <c r="J88" s="66" t="s">
        <v>43</v>
      </c>
      <c r="K88" s="67" t="s">
        <v>43</v>
      </c>
      <c r="L88" s="40">
        <v>1</v>
      </c>
      <c r="M88" s="40">
        <v>2</v>
      </c>
      <c r="N88" s="40">
        <v>3</v>
      </c>
      <c r="O88" s="40">
        <v>3</v>
      </c>
      <c r="P88" s="41">
        <v>1</v>
      </c>
      <c r="Q88" s="40">
        <v>4</v>
      </c>
      <c r="R88" s="40">
        <v>4</v>
      </c>
      <c r="S88" s="40">
        <v>5</v>
      </c>
      <c r="T88" s="40">
        <v>6</v>
      </c>
      <c r="U88" s="41">
        <v>4</v>
      </c>
      <c r="V88" s="40">
        <v>3</v>
      </c>
      <c r="W88" s="40">
        <v>5</v>
      </c>
      <c r="X88" s="40">
        <v>1</v>
      </c>
      <c r="Y88" s="41">
        <v>1</v>
      </c>
      <c r="Z88" s="40" t="s">
        <v>45</v>
      </c>
      <c r="AA88" s="40">
        <v>6</v>
      </c>
      <c r="AB88" s="40" t="s">
        <v>45</v>
      </c>
      <c r="AC88" s="40" t="s">
        <v>45</v>
      </c>
      <c r="AD88" s="40" t="s">
        <v>45</v>
      </c>
      <c r="AE88" s="40" t="s">
        <v>45</v>
      </c>
      <c r="AF88" s="40" t="s">
        <v>45</v>
      </c>
      <c r="AG88" s="41" t="s">
        <v>45</v>
      </c>
      <c r="AH88" s="40">
        <v>5</v>
      </c>
      <c r="AI88" s="40">
        <v>3</v>
      </c>
      <c r="AJ88" s="41">
        <v>1</v>
      </c>
      <c r="AK88" s="43" t="s">
        <v>563</v>
      </c>
      <c r="AL88" s="43" t="s">
        <v>635</v>
      </c>
      <c r="AM88" s="44">
        <f t="shared" si="8"/>
        <v>-1.6877413821419032</v>
      </c>
      <c r="AN88" s="44">
        <f t="shared" si="9"/>
        <v>-6.2653456768675855E-2</v>
      </c>
      <c r="AO88" s="45">
        <f t="shared" si="10"/>
        <v>0</v>
      </c>
      <c r="AP88" s="46">
        <f t="shared" si="11"/>
        <v>0</v>
      </c>
      <c r="AQ88" s="44">
        <f>($AM$3*AM88+$AN$3*AN88+$AO$3*AO88+$AP$3*AP88)+$I$3*VLOOKUP(I88,COND!$A$2:$E$7,4,FALSE)+$J$3*VLOOKUP(J88,COND!$A$2:$C$7,2,FALSE)+$K$3*VLOOKUP(K88,COND!$A$2:$C$7,3,FALSE)+IF(AND($B$2&gt;0,$E88&lt;20),$B$2*25,0)</f>
        <v>49.079384380561699</v>
      </c>
      <c r="AR88" s="47">
        <f t="shared" si="12"/>
        <v>1.096881922506558</v>
      </c>
      <c r="AS88" s="45" t="str">
        <f t="shared" si="13"/>
        <v>1B</v>
      </c>
      <c r="AT88" s="45">
        <f>RANK(Batters[[#This Row],[zScore]],Batters[[#All],[zScore]])</f>
        <v>84</v>
      </c>
      <c r="AU88" s="45"/>
      <c r="AV88" s="45"/>
      <c r="AW88" s="45" t="str">
        <f t="shared" si="14"/>
        <v>Unlikely</v>
      </c>
      <c r="AX88" s="45"/>
      <c r="AY88" s="45">
        <f>INDEX(Table5[[#All],[Ovr]],MATCH(Batters[[#This Row],[PID]],Table5[[#All],[PID]],0))</f>
        <v>534</v>
      </c>
      <c r="AZ88" s="45" t="str">
        <f>INDEX(Table5[[#All],[Rnd]],MATCH(Batters[[#This Row],[PID]],Table5[[#All],[PID]],0))</f>
        <v>18</v>
      </c>
      <c r="BA88" s="45">
        <f>INDEX(Table5[[#All],[Pick]],MATCH(Batters[[#This Row],[PID]],Table5[[#All],[PID]],0))</f>
        <v>16</v>
      </c>
      <c r="BB88" s="45" t="str">
        <f>INDEX(Table5[[#All],[Team]],MATCH(Batters[[#This Row],[PID]],Table5[[#All],[PID]],0))</f>
        <v>San Antonio Calzones of Laredo</v>
      </c>
    </row>
    <row r="89" spans="1:54" ht="15" customHeight="1" x14ac:dyDescent="0.25">
      <c r="A89" s="40">
        <v>18351</v>
      </c>
      <c r="B89" s="40" t="s">
        <v>69</v>
      </c>
      <c r="C89" s="40" t="s">
        <v>139</v>
      </c>
      <c r="D89" s="40" t="s">
        <v>1173</v>
      </c>
      <c r="E89" s="40">
        <v>18</v>
      </c>
      <c r="F89" s="40" t="s">
        <v>62</v>
      </c>
      <c r="G89" s="40" t="s">
        <v>42</v>
      </c>
      <c r="H89" s="41" t="s">
        <v>634</v>
      </c>
      <c r="I89" s="65" t="s">
        <v>43</v>
      </c>
      <c r="J89" s="66" t="s">
        <v>44</v>
      </c>
      <c r="K89" s="67" t="s">
        <v>43</v>
      </c>
      <c r="L89" s="40">
        <v>2</v>
      </c>
      <c r="M89" s="40">
        <v>3</v>
      </c>
      <c r="N89" s="40">
        <v>3</v>
      </c>
      <c r="O89" s="40">
        <v>3</v>
      </c>
      <c r="P89" s="41">
        <v>2</v>
      </c>
      <c r="Q89" s="40">
        <v>4</v>
      </c>
      <c r="R89" s="40">
        <v>6</v>
      </c>
      <c r="S89" s="40">
        <v>5</v>
      </c>
      <c r="T89" s="40">
        <v>5</v>
      </c>
      <c r="U89" s="41">
        <v>4</v>
      </c>
      <c r="V89" s="40">
        <v>8</v>
      </c>
      <c r="W89" s="40">
        <v>7</v>
      </c>
      <c r="X89" s="40">
        <v>1</v>
      </c>
      <c r="Y89" s="41">
        <v>1</v>
      </c>
      <c r="Z89" s="40" t="s">
        <v>45</v>
      </c>
      <c r="AA89" s="40" t="s">
        <v>45</v>
      </c>
      <c r="AB89" s="40" t="s">
        <v>45</v>
      </c>
      <c r="AC89" s="40">
        <v>2</v>
      </c>
      <c r="AD89" s="40" t="s">
        <v>45</v>
      </c>
      <c r="AE89" s="40" t="s">
        <v>45</v>
      </c>
      <c r="AF89" s="40" t="s">
        <v>45</v>
      </c>
      <c r="AG89" s="41" t="s">
        <v>45</v>
      </c>
      <c r="AH89" s="40">
        <v>3</v>
      </c>
      <c r="AI89" s="40">
        <v>3</v>
      </c>
      <c r="AJ89" s="41">
        <v>1</v>
      </c>
      <c r="AK89" s="43" t="s">
        <v>553</v>
      </c>
      <c r="AL89" s="43" t="s">
        <v>635</v>
      </c>
      <c r="AM89" s="44">
        <f t="shared" si="8"/>
        <v>-1.2741093265034418</v>
      </c>
      <c r="AN89" s="44">
        <f t="shared" si="9"/>
        <v>-5.0243247540849842E-2</v>
      </c>
      <c r="AO89" s="45">
        <f t="shared" si="10"/>
        <v>0</v>
      </c>
      <c r="AP89" s="46">
        <f t="shared" si="11"/>
        <v>0</v>
      </c>
      <c r="AQ89" s="44">
        <f>($AM$3*AM89+$AN$3*AN89+$AO$3*AO89+$AP$3*AP89)+$I$3*VLOOKUP(I89,COND!$A$2:$E$7,4,FALSE)+$J$3*VLOOKUP(J89,COND!$A$2:$C$7,2,FALSE)+$K$3*VLOOKUP(K89,COND!$A$2:$C$7,3,FALSE)+IF(AND($B$2&gt;0,$E89&lt;20),$B$2*25,0)</f>
        <v>48.96967009685946</v>
      </c>
      <c r="AR89" s="47">
        <f t="shared" si="12"/>
        <v>1.0725575242100398</v>
      </c>
      <c r="AS89" s="45" t="str">
        <f t="shared" si="13"/>
        <v>3B</v>
      </c>
      <c r="AT89" s="45">
        <f>RANK(Batters[[#This Row],[zScore]],Batters[[#All],[zScore]])</f>
        <v>85</v>
      </c>
      <c r="AU89" s="45"/>
      <c r="AV89" s="45"/>
      <c r="AW89" s="45" t="str">
        <f t="shared" si="14"/>
        <v>Unlikely</v>
      </c>
      <c r="AX89" s="45"/>
      <c r="AY89" s="45">
        <f>INDEX(Table5[[#All],[Ovr]],MATCH(Batters[[#This Row],[PID]],Table5[[#All],[PID]],0))</f>
        <v>307</v>
      </c>
      <c r="AZ89" s="45" t="str">
        <f>INDEX(Table5[[#All],[Rnd]],MATCH(Batters[[#This Row],[PID]],Table5[[#All],[PID]],0))</f>
        <v>10</v>
      </c>
      <c r="BA89" s="45">
        <f>INDEX(Table5[[#All],[Pick]],MATCH(Batters[[#This Row],[PID]],Table5[[#All],[PID]],0))</f>
        <v>29</v>
      </c>
      <c r="BB89" s="45" t="str">
        <f>INDEX(Table5[[#All],[Team]],MATCH(Batters[[#This Row],[PID]],Table5[[#All],[PID]],0))</f>
        <v>Havana Leones</v>
      </c>
    </row>
    <row r="90" spans="1:54" ht="15" customHeight="1" x14ac:dyDescent="0.25">
      <c r="A90" s="40">
        <v>17561</v>
      </c>
      <c r="B90" s="40" t="s">
        <v>69</v>
      </c>
      <c r="C90" s="40" t="s">
        <v>180</v>
      </c>
      <c r="D90" s="40" t="s">
        <v>368</v>
      </c>
      <c r="E90" s="40">
        <v>18</v>
      </c>
      <c r="F90" s="40" t="s">
        <v>53</v>
      </c>
      <c r="G90" s="40" t="s">
        <v>42</v>
      </c>
      <c r="H90" s="41" t="s">
        <v>638</v>
      </c>
      <c r="I90" s="65" t="s">
        <v>44</v>
      </c>
      <c r="J90" s="66" t="s">
        <v>43</v>
      </c>
      <c r="K90" s="67" t="s">
        <v>43</v>
      </c>
      <c r="L90" s="40">
        <v>1</v>
      </c>
      <c r="M90" s="40">
        <v>2</v>
      </c>
      <c r="N90" s="40">
        <v>2</v>
      </c>
      <c r="O90" s="40">
        <v>1</v>
      </c>
      <c r="P90" s="41">
        <v>1</v>
      </c>
      <c r="Q90" s="40">
        <v>4</v>
      </c>
      <c r="R90" s="40">
        <v>4</v>
      </c>
      <c r="S90" s="40">
        <v>5</v>
      </c>
      <c r="T90" s="40">
        <v>6</v>
      </c>
      <c r="U90" s="41">
        <v>4</v>
      </c>
      <c r="V90" s="40">
        <v>7</v>
      </c>
      <c r="W90" s="40">
        <v>5</v>
      </c>
      <c r="X90" s="40">
        <v>1</v>
      </c>
      <c r="Y90" s="41">
        <v>1</v>
      </c>
      <c r="Z90" s="40" t="s">
        <v>45</v>
      </c>
      <c r="AA90" s="40" t="s">
        <v>45</v>
      </c>
      <c r="AB90" s="40" t="s">
        <v>45</v>
      </c>
      <c r="AC90" s="40" t="s">
        <v>45</v>
      </c>
      <c r="AD90" s="40" t="s">
        <v>45</v>
      </c>
      <c r="AE90" s="40" t="s">
        <v>45</v>
      </c>
      <c r="AF90" s="40" t="s">
        <v>45</v>
      </c>
      <c r="AG90" s="41" t="s">
        <v>45</v>
      </c>
      <c r="AH90" s="40">
        <v>1</v>
      </c>
      <c r="AI90" s="40">
        <v>1</v>
      </c>
      <c r="AJ90" s="41">
        <v>1</v>
      </c>
      <c r="AK90" s="43" t="s">
        <v>644</v>
      </c>
      <c r="AL90" s="43" t="s">
        <v>47</v>
      </c>
      <c r="AM90" s="44">
        <f t="shared" si="8"/>
        <v>-1.9502219761849671</v>
      </c>
      <c r="AN90" s="44">
        <f t="shared" si="9"/>
        <v>-6.2653456768675855E-2</v>
      </c>
      <c r="AO90" s="45">
        <f t="shared" si="10"/>
        <v>0</v>
      </c>
      <c r="AP90" s="46">
        <f t="shared" si="11"/>
        <v>0</v>
      </c>
      <c r="AQ90" s="44">
        <f>($AM$3*AM90+$AN$3*AN90+$AO$3*AO90+$AP$3*AP90)+$I$3*VLOOKUP(I90,COND!$A$2:$E$7,4,FALSE)+$J$3*VLOOKUP(J90,COND!$A$2:$C$7,2,FALSE)+$K$3*VLOOKUP(K90,COND!$A$2:$C$7,3,FALSE)+IF(AND($B$2&gt;0,$E90&lt;20),$B$2*25,0)</f>
        <v>48.90313632115739</v>
      </c>
      <c r="AR90" s="47">
        <f t="shared" si="12"/>
        <v>1.0578065364103051</v>
      </c>
      <c r="AS90" s="45" t="str">
        <f t="shared" si="13"/>
        <v>DH</v>
      </c>
      <c r="AT90" s="45">
        <f>RANK(Batters[[#This Row],[zScore]],Batters[[#All],[zScore]])</f>
        <v>86</v>
      </c>
      <c r="AU90" s="45"/>
      <c r="AV90" s="45"/>
      <c r="AW90" s="45" t="str">
        <f t="shared" si="14"/>
        <v>Unlikely</v>
      </c>
      <c r="AX90" s="45"/>
      <c r="AY90" s="45">
        <f>INDEX(Table5[[#All],[Ovr]],MATCH(Batters[[#This Row],[PID]],Table5[[#All],[PID]],0))</f>
        <v>65</v>
      </c>
      <c r="AZ90" s="45" t="str">
        <f>INDEX(Table5[[#All],[Rnd]],MATCH(Batters[[#This Row],[PID]],Table5[[#All],[PID]],0))</f>
        <v>2</v>
      </c>
      <c r="BA90" s="45">
        <f>INDEX(Table5[[#All],[Pick]],MATCH(Batters[[#This Row],[PID]],Table5[[#All],[PID]],0))</f>
        <v>30</v>
      </c>
      <c r="BB90" s="45" t="str">
        <f>INDEX(Table5[[#All],[Team]],MATCH(Batters[[#This Row],[PID]],Table5[[#All],[PID]],0))</f>
        <v>Bakersfield Bears</v>
      </c>
    </row>
    <row r="91" spans="1:54" ht="15" customHeight="1" x14ac:dyDescent="0.25">
      <c r="A91" s="40">
        <v>18433</v>
      </c>
      <c r="B91" s="40" t="s">
        <v>50</v>
      </c>
      <c r="C91" s="40" t="s">
        <v>1374</v>
      </c>
      <c r="D91" s="40" t="s">
        <v>985</v>
      </c>
      <c r="E91" s="40">
        <v>18</v>
      </c>
      <c r="F91" s="40" t="s">
        <v>42</v>
      </c>
      <c r="G91" s="40" t="s">
        <v>42</v>
      </c>
      <c r="H91" s="41" t="s">
        <v>634</v>
      </c>
      <c r="I91" s="65" t="s">
        <v>47</v>
      </c>
      <c r="J91" s="66" t="s">
        <v>43</v>
      </c>
      <c r="K91" s="67" t="s">
        <v>43</v>
      </c>
      <c r="L91" s="40">
        <v>2</v>
      </c>
      <c r="M91" s="40">
        <v>2</v>
      </c>
      <c r="N91" s="40">
        <v>3</v>
      </c>
      <c r="O91" s="40">
        <v>2</v>
      </c>
      <c r="P91" s="41">
        <v>3</v>
      </c>
      <c r="Q91" s="40">
        <v>4</v>
      </c>
      <c r="R91" s="40">
        <v>5</v>
      </c>
      <c r="S91" s="40">
        <v>4</v>
      </c>
      <c r="T91" s="40">
        <v>5</v>
      </c>
      <c r="U91" s="41">
        <v>6</v>
      </c>
      <c r="V91" s="40">
        <v>5</v>
      </c>
      <c r="W91" s="40">
        <v>7</v>
      </c>
      <c r="X91" s="40">
        <v>1</v>
      </c>
      <c r="Y91" s="41">
        <v>1</v>
      </c>
      <c r="Z91" s="40" t="s">
        <v>45</v>
      </c>
      <c r="AA91" s="40" t="s">
        <v>45</v>
      </c>
      <c r="AB91" s="40" t="s">
        <v>45</v>
      </c>
      <c r="AC91" s="40" t="s">
        <v>45</v>
      </c>
      <c r="AD91" s="40" t="s">
        <v>45</v>
      </c>
      <c r="AE91" s="40">
        <v>5</v>
      </c>
      <c r="AF91" s="40" t="s">
        <v>45</v>
      </c>
      <c r="AG91" s="41" t="s">
        <v>45</v>
      </c>
      <c r="AH91" s="40">
        <v>7</v>
      </c>
      <c r="AI91" s="40">
        <v>4</v>
      </c>
      <c r="AJ91" s="41">
        <v>4</v>
      </c>
      <c r="AK91" s="43" t="s">
        <v>659</v>
      </c>
      <c r="AL91" s="43" t="s">
        <v>47</v>
      </c>
      <c r="AM91" s="44">
        <f t="shared" si="8"/>
        <v>-1.3748624163146428</v>
      </c>
      <c r="AN91" s="44">
        <f t="shared" si="9"/>
        <v>-0.10433194154928796</v>
      </c>
      <c r="AO91" s="45">
        <f t="shared" si="10"/>
        <v>0</v>
      </c>
      <c r="AP91" s="46">
        <f t="shared" si="11"/>
        <v>0</v>
      </c>
      <c r="AQ91" s="44">
        <f>($AM$3*AM91+$AN$3*AN91+$AO$3*AO91+$AP$3*AP91)+$I$3*VLOOKUP(I91,COND!$A$2:$E$7,4,FALSE)+$J$3*VLOOKUP(J91,COND!$A$2:$C$7,2,FALSE)+$K$3*VLOOKUP(K91,COND!$A$2:$C$7,3,FALSE)+IF(AND($B$2&gt;0,$E91&lt;20),$B$2*25,0)</f>
        <v>48.835530459777075</v>
      </c>
      <c r="AR91" s="47">
        <f t="shared" si="12"/>
        <v>1.0428178599690767</v>
      </c>
      <c r="AS91" s="45" t="str">
        <f t="shared" si="13"/>
        <v>LF</v>
      </c>
      <c r="AT91" s="45">
        <f>RANK(Batters[[#This Row],[zScore]],Batters[[#All],[zScore]])</f>
        <v>87</v>
      </c>
      <c r="AU91" s="45"/>
      <c r="AV91" s="45"/>
      <c r="AW91" s="45" t="str">
        <f t="shared" si="14"/>
        <v>Unlikely</v>
      </c>
      <c r="AX91" s="45"/>
      <c r="AY91" s="45">
        <f>INDEX(Table5[[#All],[Ovr]],MATCH(Batters[[#This Row],[PID]],Table5[[#All],[PID]],0))</f>
        <v>169</v>
      </c>
      <c r="AZ91" s="45" t="str">
        <f>INDEX(Table5[[#All],[Rnd]],MATCH(Batters[[#This Row],[PID]],Table5[[#All],[PID]],0))</f>
        <v>6</v>
      </c>
      <c r="BA91" s="45">
        <f>INDEX(Table5[[#All],[Pick]],MATCH(Batters[[#This Row],[PID]],Table5[[#All],[PID]],0))</f>
        <v>11</v>
      </c>
      <c r="BB91" s="45" t="str">
        <f>INDEX(Table5[[#All],[Team]],MATCH(Batters[[#This Row],[PID]],Table5[[#All],[PID]],0))</f>
        <v>Duluth Warriors</v>
      </c>
    </row>
    <row r="92" spans="1:54" ht="15" customHeight="1" x14ac:dyDescent="0.25">
      <c r="A92" s="40">
        <v>20749</v>
      </c>
      <c r="B92" s="40" t="s">
        <v>66</v>
      </c>
      <c r="C92" s="40" t="s">
        <v>862</v>
      </c>
      <c r="D92" s="40" t="s">
        <v>1258</v>
      </c>
      <c r="E92" s="40">
        <v>18</v>
      </c>
      <c r="F92" s="40" t="s">
        <v>53</v>
      </c>
      <c r="G92" s="40" t="s">
        <v>53</v>
      </c>
      <c r="H92" s="41" t="s">
        <v>634</v>
      </c>
      <c r="I92" s="65" t="s">
        <v>47</v>
      </c>
      <c r="J92" s="66" t="s">
        <v>47</v>
      </c>
      <c r="K92" s="67" t="s">
        <v>47</v>
      </c>
      <c r="L92" s="40">
        <v>1</v>
      </c>
      <c r="M92" s="40">
        <v>2</v>
      </c>
      <c r="N92" s="40">
        <v>3</v>
      </c>
      <c r="O92" s="40">
        <v>2</v>
      </c>
      <c r="P92" s="41">
        <v>1</v>
      </c>
      <c r="Q92" s="40">
        <v>3</v>
      </c>
      <c r="R92" s="40">
        <v>6</v>
      </c>
      <c r="S92" s="40">
        <v>7</v>
      </c>
      <c r="T92" s="40">
        <v>6</v>
      </c>
      <c r="U92" s="41">
        <v>3</v>
      </c>
      <c r="V92" s="40">
        <v>4</v>
      </c>
      <c r="W92" s="40">
        <v>7</v>
      </c>
      <c r="X92" s="40">
        <v>1</v>
      </c>
      <c r="Y92" s="41">
        <v>1</v>
      </c>
      <c r="Z92" s="40" t="s">
        <v>45</v>
      </c>
      <c r="AA92" s="40" t="s">
        <v>45</v>
      </c>
      <c r="AB92" s="40" t="s">
        <v>45</v>
      </c>
      <c r="AC92" s="40" t="s">
        <v>45</v>
      </c>
      <c r="AD92" s="40" t="s">
        <v>45</v>
      </c>
      <c r="AE92" s="40" t="s">
        <v>45</v>
      </c>
      <c r="AF92" s="40" t="s">
        <v>45</v>
      </c>
      <c r="AG92" s="41">
        <v>2</v>
      </c>
      <c r="AH92" s="40">
        <v>4</v>
      </c>
      <c r="AI92" s="40">
        <v>4</v>
      </c>
      <c r="AJ92" s="41">
        <v>5</v>
      </c>
      <c r="AK92" s="43" t="s">
        <v>554</v>
      </c>
      <c r="AL92" s="43" t="s">
        <v>635</v>
      </c>
      <c r="AM92" s="44">
        <f t="shared" si="8"/>
        <v>-1.7774509321514844</v>
      </c>
      <c r="AN92" s="44">
        <f t="shared" si="9"/>
        <v>-0.15698288550322398</v>
      </c>
      <c r="AO92" s="45">
        <f t="shared" si="10"/>
        <v>0</v>
      </c>
      <c r="AP92" s="46">
        <f t="shared" si="11"/>
        <v>0</v>
      </c>
      <c r="AQ92" s="44">
        <f>($AM$3*AM92+$AN$3*AN92+$AO$3*AO92+$AP$3*AP92)+$I$3*VLOOKUP(I92,COND!$A$2:$E$7,4,FALSE)+$J$3*VLOOKUP(J92,COND!$A$2:$C$7,2,FALSE)+$K$3*VLOOKUP(K92,COND!$A$2:$C$7,3,FALSE)+IF(AND($B$2&gt;0,$E92&lt;20),$B$2*25,0)</f>
        <v>48.763460280746159</v>
      </c>
      <c r="AR92" s="47">
        <f t="shared" si="12"/>
        <v>1.0268394141287234</v>
      </c>
      <c r="AS92" s="45" t="str">
        <f t="shared" si="13"/>
        <v>RF</v>
      </c>
      <c r="AT92" s="45">
        <f>RANK(Batters[[#This Row],[zScore]],Batters[[#All],[zScore]])</f>
        <v>88</v>
      </c>
      <c r="AU92" s="45"/>
      <c r="AV92" s="45"/>
      <c r="AW92" s="45" t="str">
        <f t="shared" si="14"/>
        <v>Possible</v>
      </c>
      <c r="AX92" s="45"/>
      <c r="AY92" s="45">
        <f>INDEX(Table5[[#All],[Ovr]],MATCH(Batters[[#This Row],[PID]],Table5[[#All],[PID]],0))</f>
        <v>347</v>
      </c>
      <c r="AZ92" s="45" t="str">
        <f>INDEX(Table5[[#All],[Rnd]],MATCH(Batters[[#This Row],[PID]],Table5[[#All],[PID]],0))</f>
        <v>12</v>
      </c>
      <c r="BA92" s="45">
        <f>INDEX(Table5[[#All],[Pick]],MATCH(Batters[[#This Row],[PID]],Table5[[#All],[PID]],0))</f>
        <v>9</v>
      </c>
      <c r="BB92" s="45" t="str">
        <f>INDEX(Table5[[#All],[Team]],MATCH(Batters[[#This Row],[PID]],Table5[[#All],[PID]],0))</f>
        <v>Scottish Claymores</v>
      </c>
    </row>
    <row r="93" spans="1:54" ht="15" customHeight="1" x14ac:dyDescent="0.25">
      <c r="A93" s="40">
        <v>20971</v>
      </c>
      <c r="B93" s="40" t="s">
        <v>74</v>
      </c>
      <c r="C93" s="40" t="s">
        <v>380</v>
      </c>
      <c r="D93" s="40" t="s">
        <v>1048</v>
      </c>
      <c r="E93" s="40">
        <v>17</v>
      </c>
      <c r="F93" s="40" t="s">
        <v>53</v>
      </c>
      <c r="G93" s="40" t="s">
        <v>53</v>
      </c>
      <c r="H93" s="41" t="s">
        <v>638</v>
      </c>
      <c r="I93" s="65" t="s">
        <v>43</v>
      </c>
      <c r="J93" s="66" t="s">
        <v>43</v>
      </c>
      <c r="K93" s="67" t="s">
        <v>47</v>
      </c>
      <c r="L93" s="40">
        <v>1</v>
      </c>
      <c r="M93" s="40">
        <v>1</v>
      </c>
      <c r="N93" s="40">
        <v>2</v>
      </c>
      <c r="O93" s="40">
        <v>2</v>
      </c>
      <c r="P93" s="41">
        <v>1</v>
      </c>
      <c r="Q93" s="40">
        <v>4</v>
      </c>
      <c r="R93" s="40">
        <v>4</v>
      </c>
      <c r="S93" s="40">
        <v>4</v>
      </c>
      <c r="T93" s="40">
        <v>6</v>
      </c>
      <c r="U93" s="41">
        <v>4</v>
      </c>
      <c r="V93" s="40">
        <v>5</v>
      </c>
      <c r="W93" s="40">
        <v>7</v>
      </c>
      <c r="X93" s="40">
        <v>1</v>
      </c>
      <c r="Y93" s="41">
        <v>1</v>
      </c>
      <c r="Z93" s="40" t="s">
        <v>45</v>
      </c>
      <c r="AA93" s="40" t="s">
        <v>45</v>
      </c>
      <c r="AB93" s="40" t="s">
        <v>45</v>
      </c>
      <c r="AC93" s="40" t="s">
        <v>45</v>
      </c>
      <c r="AD93" s="40" t="s">
        <v>45</v>
      </c>
      <c r="AE93" s="40">
        <v>2</v>
      </c>
      <c r="AF93" s="40">
        <v>1</v>
      </c>
      <c r="AG93" s="41">
        <v>1</v>
      </c>
      <c r="AH93" s="40">
        <v>8</v>
      </c>
      <c r="AI93" s="40">
        <v>7</v>
      </c>
      <c r="AJ93" s="41">
        <v>6</v>
      </c>
      <c r="AK93" s="43" t="s">
        <v>548</v>
      </c>
      <c r="AL93" s="43" t="s">
        <v>635</v>
      </c>
      <c r="AM93" s="44">
        <f t="shared" si="8"/>
        <v>-1.9115723057940897</v>
      </c>
      <c r="AN93" s="44">
        <f t="shared" si="9"/>
        <v>-0.14571495079257732</v>
      </c>
      <c r="AO93" s="45">
        <f t="shared" si="10"/>
        <v>2</v>
      </c>
      <c r="AP93" s="46">
        <f t="shared" si="11"/>
        <v>0</v>
      </c>
      <c r="AQ93" s="44">
        <f>($AM$3*AM93+$AN$3*AN93+$AO$3*AO93+$AP$3*AP93)+$I$3*VLOOKUP(I93,COND!$A$2:$E$7,4,FALSE)+$J$3*VLOOKUP(J93,COND!$A$2:$C$7,2,FALSE)+$K$3*VLOOKUP(K93,COND!$A$2:$C$7,3,FALSE)+IF(AND($B$2&gt;0,$E93&lt;20),$B$2*25,0)</f>
        <v>48.693596693242995</v>
      </c>
      <c r="AR93" s="47">
        <f t="shared" si="12"/>
        <v>1.0113501845452471</v>
      </c>
      <c r="AS93" s="45" t="str">
        <f t="shared" si="13"/>
        <v>LF</v>
      </c>
      <c r="AT93" s="45">
        <f>RANK(Batters[[#This Row],[zScore]],Batters[[#All],[zScore]])</f>
        <v>89</v>
      </c>
      <c r="AU93" s="45"/>
      <c r="AV93" s="45"/>
      <c r="AW93" s="45" t="str">
        <f t="shared" si="14"/>
        <v>Unlikely</v>
      </c>
      <c r="AX93" s="45"/>
      <c r="AY93" s="45">
        <f>INDEX(Table5[[#All],[Ovr]],MATCH(Batters[[#This Row],[PID]],Table5[[#All],[PID]],0))</f>
        <v>295</v>
      </c>
      <c r="AZ93" s="45" t="str">
        <f>INDEX(Table5[[#All],[Rnd]],MATCH(Batters[[#This Row],[PID]],Table5[[#All],[PID]],0))</f>
        <v>10</v>
      </c>
      <c r="BA93" s="45">
        <f>INDEX(Table5[[#All],[Pick]],MATCH(Batters[[#This Row],[PID]],Table5[[#All],[PID]],0))</f>
        <v>17</v>
      </c>
      <c r="BB93" s="45" t="str">
        <f>INDEX(Table5[[#All],[Team]],MATCH(Batters[[#This Row],[PID]],Table5[[#All],[PID]],0))</f>
        <v>Madison Malts</v>
      </c>
    </row>
    <row r="94" spans="1:54" ht="15" customHeight="1" x14ac:dyDescent="0.25">
      <c r="A94" s="40">
        <v>20719</v>
      </c>
      <c r="B94" s="40" t="s">
        <v>50</v>
      </c>
      <c r="C94" s="40" t="s">
        <v>130</v>
      </c>
      <c r="D94" s="40" t="s">
        <v>672</v>
      </c>
      <c r="E94" s="40">
        <v>18</v>
      </c>
      <c r="F94" s="40" t="s">
        <v>42</v>
      </c>
      <c r="G94" s="40" t="s">
        <v>42</v>
      </c>
      <c r="H94" s="41" t="s">
        <v>634</v>
      </c>
      <c r="I94" s="65" t="s">
        <v>43</v>
      </c>
      <c r="J94" s="66" t="s">
        <v>43</v>
      </c>
      <c r="K94" s="67" t="s">
        <v>43</v>
      </c>
      <c r="L94" s="40">
        <v>1</v>
      </c>
      <c r="M94" s="40">
        <v>3</v>
      </c>
      <c r="N94" s="40">
        <v>3</v>
      </c>
      <c r="O94" s="40">
        <v>3</v>
      </c>
      <c r="P94" s="41">
        <v>1</v>
      </c>
      <c r="Q94" s="40">
        <v>3</v>
      </c>
      <c r="R94" s="40">
        <v>7</v>
      </c>
      <c r="S94" s="40">
        <v>7</v>
      </c>
      <c r="T94" s="40">
        <v>7</v>
      </c>
      <c r="U94" s="41">
        <v>1</v>
      </c>
      <c r="V94" s="40">
        <v>4</v>
      </c>
      <c r="W94" s="40">
        <v>7</v>
      </c>
      <c r="X94" s="40">
        <v>1</v>
      </c>
      <c r="Y94" s="41">
        <v>1</v>
      </c>
      <c r="Z94" s="40" t="s">
        <v>45</v>
      </c>
      <c r="AA94" s="40" t="s">
        <v>45</v>
      </c>
      <c r="AB94" s="40" t="s">
        <v>45</v>
      </c>
      <c r="AC94" s="40" t="s">
        <v>45</v>
      </c>
      <c r="AD94" s="40" t="s">
        <v>45</v>
      </c>
      <c r="AE94" s="40">
        <v>2</v>
      </c>
      <c r="AF94" s="40" t="s">
        <v>45</v>
      </c>
      <c r="AG94" s="41">
        <v>1</v>
      </c>
      <c r="AH94" s="40">
        <v>3</v>
      </c>
      <c r="AI94" s="40">
        <v>3</v>
      </c>
      <c r="AJ94" s="41">
        <v>1</v>
      </c>
      <c r="AK94" s="43" t="s">
        <v>921</v>
      </c>
      <c r="AL94" s="43" t="s">
        <v>47</v>
      </c>
      <c r="AM94" s="44">
        <f t="shared" si="8"/>
        <v>-1.6366815025231998</v>
      </c>
      <c r="AN94" s="44">
        <f t="shared" si="9"/>
        <v>-9.6246135509106379E-2</v>
      </c>
      <c r="AO94" s="45">
        <f t="shared" si="10"/>
        <v>0</v>
      </c>
      <c r="AP94" s="46">
        <f t="shared" si="11"/>
        <v>0</v>
      </c>
      <c r="AQ94" s="44">
        <f>($AM$3*AM94+$AN$3*AN94+$AO$3*AO94+$AP$3*AP94)+$I$3*VLOOKUP(I94,COND!$A$2:$E$7,4,FALSE)+$J$3*VLOOKUP(J94,COND!$A$2:$C$7,2,FALSE)+$K$3*VLOOKUP(K94,COND!$A$2:$C$7,3,FALSE)+IF(AND($B$2&gt;0,$E94&lt;20),$B$2*25,0)</f>
        <v>48.681378223638404</v>
      </c>
      <c r="AR94" s="47">
        <f t="shared" si="12"/>
        <v>1.0086412672447198</v>
      </c>
      <c r="AS94" s="45" t="str">
        <f t="shared" si="13"/>
        <v>LF</v>
      </c>
      <c r="AT94" s="45">
        <f>RANK(Batters[[#This Row],[zScore]],Batters[[#All],[zScore]])</f>
        <v>90</v>
      </c>
      <c r="AU94" s="45"/>
      <c r="AV94" s="45"/>
      <c r="AW94" s="45" t="str">
        <f t="shared" si="14"/>
        <v>Possible</v>
      </c>
      <c r="AX94" s="45"/>
      <c r="AY94" s="45">
        <f>INDEX(Table5[[#All],[Ovr]],MATCH(Batters[[#This Row],[PID]],Table5[[#All],[PID]],0))</f>
        <v>126</v>
      </c>
      <c r="AZ94" s="45" t="str">
        <f>INDEX(Table5[[#All],[Rnd]],MATCH(Batters[[#This Row],[PID]],Table5[[#All],[PID]],0))</f>
        <v>4</v>
      </c>
      <c r="BA94" s="45">
        <f>INDEX(Table5[[#All],[Pick]],MATCH(Batters[[#This Row],[PID]],Table5[[#All],[PID]],0))</f>
        <v>26</v>
      </c>
      <c r="BB94" s="45" t="str">
        <f>INDEX(Table5[[#All],[Team]],MATCH(Batters[[#This Row],[PID]],Table5[[#All],[PID]],0))</f>
        <v>San Juan Coqui</v>
      </c>
    </row>
    <row r="95" spans="1:54" ht="15" customHeight="1" x14ac:dyDescent="0.25">
      <c r="A95" s="40">
        <v>14683</v>
      </c>
      <c r="B95" s="40" t="s">
        <v>50</v>
      </c>
      <c r="C95" s="40" t="s">
        <v>1398</v>
      </c>
      <c r="D95" s="40" t="s">
        <v>1399</v>
      </c>
      <c r="E95" s="40">
        <v>18</v>
      </c>
      <c r="F95" s="40" t="s">
        <v>53</v>
      </c>
      <c r="G95" s="40" t="s">
        <v>53</v>
      </c>
      <c r="H95" s="41" t="s">
        <v>638</v>
      </c>
      <c r="I95" s="65" t="s">
        <v>43</v>
      </c>
      <c r="J95" s="66" t="s">
        <v>43</v>
      </c>
      <c r="K95" s="67" t="s">
        <v>43</v>
      </c>
      <c r="L95" s="40">
        <v>1</v>
      </c>
      <c r="M95" s="40">
        <v>2</v>
      </c>
      <c r="N95" s="40">
        <v>3</v>
      </c>
      <c r="O95" s="40">
        <v>2</v>
      </c>
      <c r="P95" s="41">
        <v>1</v>
      </c>
      <c r="Q95" s="40">
        <v>4</v>
      </c>
      <c r="R95" s="40">
        <v>5</v>
      </c>
      <c r="S95" s="40">
        <v>5</v>
      </c>
      <c r="T95" s="40">
        <v>5</v>
      </c>
      <c r="U95" s="41">
        <v>4</v>
      </c>
      <c r="V95" s="40">
        <v>4</v>
      </c>
      <c r="W95" s="40">
        <v>6</v>
      </c>
      <c r="X95" s="40">
        <v>1</v>
      </c>
      <c r="Y95" s="41">
        <v>1</v>
      </c>
      <c r="Z95" s="40" t="s">
        <v>45</v>
      </c>
      <c r="AA95" s="40" t="s">
        <v>45</v>
      </c>
      <c r="AB95" s="40" t="s">
        <v>45</v>
      </c>
      <c r="AC95" s="40" t="s">
        <v>45</v>
      </c>
      <c r="AD95" s="40" t="s">
        <v>45</v>
      </c>
      <c r="AE95" s="40">
        <v>1</v>
      </c>
      <c r="AF95" s="40" t="s">
        <v>45</v>
      </c>
      <c r="AG95" s="41" t="s">
        <v>45</v>
      </c>
      <c r="AH95" s="40">
        <v>5</v>
      </c>
      <c r="AI95" s="40">
        <v>6</v>
      </c>
      <c r="AJ95" s="41">
        <v>2</v>
      </c>
      <c r="AK95" s="43" t="s">
        <v>659</v>
      </c>
      <c r="AL95" s="43" t="s">
        <v>47</v>
      </c>
      <c r="AM95" s="44">
        <f t="shared" si="8"/>
        <v>-1.7774509321514844</v>
      </c>
      <c r="AN95" s="44">
        <f t="shared" si="9"/>
        <v>-0.10130312715955338</v>
      </c>
      <c r="AO95" s="45">
        <f t="shared" si="10"/>
        <v>0</v>
      </c>
      <c r="AP95" s="46">
        <f t="shared" si="11"/>
        <v>0</v>
      </c>
      <c r="AQ95" s="44">
        <f>($AM$3*AM95+$AN$3*AN95+$AO$3*AO95+$AP$3*AP95)+$I$3*VLOOKUP(I95,COND!$A$2:$E$7,4,FALSE)+$J$3*VLOOKUP(J95,COND!$A$2:$C$7,2,FALSE)+$K$3*VLOOKUP(K95,COND!$A$2:$C$7,3,FALSE)+IF(AND($B$2&gt;0,$E95&lt;20),$B$2*25,0)</f>
        <v>48.606617380870212</v>
      </c>
      <c r="AR95" s="47">
        <f t="shared" si="12"/>
        <v>0.99206628306661326</v>
      </c>
      <c r="AS95" s="45" t="str">
        <f t="shared" si="13"/>
        <v>LF</v>
      </c>
      <c r="AT95" s="45">
        <f>RANK(Batters[[#This Row],[zScore]],Batters[[#All],[zScore]])</f>
        <v>91</v>
      </c>
      <c r="AU95" s="45"/>
      <c r="AV95" s="45"/>
      <c r="AW95" s="45" t="str">
        <f t="shared" si="14"/>
        <v>Unlikely</v>
      </c>
      <c r="AX95" s="45"/>
      <c r="AY95" s="45">
        <f>INDEX(Table5[[#All],[Ovr]],MATCH(Batters[[#This Row],[PID]],Table5[[#All],[PID]],0))</f>
        <v>326</v>
      </c>
      <c r="AZ95" s="45" t="str">
        <f>INDEX(Table5[[#All],[Rnd]],MATCH(Batters[[#This Row],[PID]],Table5[[#All],[PID]],0))</f>
        <v>11</v>
      </c>
      <c r="BA95" s="45">
        <f>INDEX(Table5[[#All],[Pick]],MATCH(Batters[[#This Row],[PID]],Table5[[#All],[PID]],0))</f>
        <v>18</v>
      </c>
      <c r="BB95" s="45" t="str">
        <f>INDEX(Table5[[#All],[Team]],MATCH(Batters[[#This Row],[PID]],Table5[[#All],[PID]],0))</f>
        <v>Bakersfield Bears</v>
      </c>
    </row>
    <row r="96" spans="1:54" ht="15" customHeight="1" x14ac:dyDescent="0.25">
      <c r="A96" s="40">
        <v>18414</v>
      </c>
      <c r="B96" s="40" t="s">
        <v>71</v>
      </c>
      <c r="C96" s="40" t="s">
        <v>1624</v>
      </c>
      <c r="D96" s="40" t="s">
        <v>1625</v>
      </c>
      <c r="E96" s="40">
        <v>18</v>
      </c>
      <c r="F96" s="40" t="s">
        <v>42</v>
      </c>
      <c r="G96" s="40" t="s">
        <v>42</v>
      </c>
      <c r="H96" s="41" t="s">
        <v>638</v>
      </c>
      <c r="I96" s="65" t="s">
        <v>43</v>
      </c>
      <c r="J96" s="66" t="s">
        <v>47</v>
      </c>
      <c r="K96" s="67" t="s">
        <v>43</v>
      </c>
      <c r="L96" s="40">
        <v>2</v>
      </c>
      <c r="M96" s="40">
        <v>3</v>
      </c>
      <c r="N96" s="40">
        <v>2</v>
      </c>
      <c r="O96" s="40">
        <v>2</v>
      </c>
      <c r="P96" s="41">
        <v>2</v>
      </c>
      <c r="Q96" s="40">
        <v>4</v>
      </c>
      <c r="R96" s="40">
        <v>6</v>
      </c>
      <c r="S96" s="40">
        <v>4</v>
      </c>
      <c r="T96" s="40">
        <v>5</v>
      </c>
      <c r="U96" s="41">
        <v>4</v>
      </c>
      <c r="V96" s="40">
        <v>4</v>
      </c>
      <c r="W96" s="40">
        <v>2</v>
      </c>
      <c r="X96" s="40">
        <v>1</v>
      </c>
      <c r="Y96" s="41">
        <v>1</v>
      </c>
      <c r="Z96" s="40" t="s">
        <v>45</v>
      </c>
      <c r="AA96" s="40" t="s">
        <v>45</v>
      </c>
      <c r="AB96" s="40">
        <v>2</v>
      </c>
      <c r="AC96" s="40" t="s">
        <v>45</v>
      </c>
      <c r="AD96" s="40" t="s">
        <v>45</v>
      </c>
      <c r="AE96" s="40" t="s">
        <v>45</v>
      </c>
      <c r="AF96" s="40" t="s">
        <v>45</v>
      </c>
      <c r="AG96" s="41" t="s">
        <v>45</v>
      </c>
      <c r="AH96" s="40">
        <v>6</v>
      </c>
      <c r="AI96" s="40">
        <v>3</v>
      </c>
      <c r="AJ96" s="41">
        <v>3</v>
      </c>
      <c r="AK96" s="43" t="s">
        <v>573</v>
      </c>
      <c r="AL96" s="43" t="s">
        <v>635</v>
      </c>
      <c r="AM96" s="44">
        <f t="shared" si="8"/>
        <v>-1.4468803705369244</v>
      </c>
      <c r="AN96" s="44">
        <f t="shared" si="9"/>
        <v>-0.13330474156475133</v>
      </c>
      <c r="AO96" s="45">
        <f t="shared" si="10"/>
        <v>0</v>
      </c>
      <c r="AP96" s="46">
        <f t="shared" si="11"/>
        <v>0</v>
      </c>
      <c r="AQ96" s="44">
        <f>($AM$3*AM96+$AN$3*AN96+$AO$3*AO96+$AP$3*AP96)+$I$3*VLOOKUP(I96,COND!$A$2:$E$7,4,FALSE)+$J$3*VLOOKUP(J96,COND!$A$2:$C$7,2,FALSE)+$K$3*VLOOKUP(K96,COND!$A$2:$C$7,3,FALSE)+IF(AND($B$2&gt;0,$E96&lt;20),$B$2*25,0)</f>
        <v>48.555655064169294</v>
      </c>
      <c r="AR96" s="47">
        <f t="shared" si="12"/>
        <v>0.98076759298072846</v>
      </c>
      <c r="AS96" s="45" t="str">
        <f t="shared" si="13"/>
        <v>2B</v>
      </c>
      <c r="AT96" s="45">
        <f>RANK(Batters[[#This Row],[zScore]],Batters[[#All],[zScore]])</f>
        <v>92</v>
      </c>
      <c r="AU96" s="45"/>
      <c r="AV96" s="45"/>
      <c r="AW96" s="45" t="str">
        <f t="shared" si="14"/>
        <v>Unlikely</v>
      </c>
      <c r="AX96" s="45"/>
      <c r="AY96" s="45">
        <f>INDEX(Table5[[#All],[Ovr]],MATCH(Batters[[#This Row],[PID]],Table5[[#All],[PID]],0))</f>
        <v>419</v>
      </c>
      <c r="AZ96" s="45" t="str">
        <f>INDEX(Table5[[#All],[Rnd]],MATCH(Batters[[#This Row],[PID]],Table5[[#All],[PID]],0))</f>
        <v>14</v>
      </c>
      <c r="BA96" s="45">
        <f>INDEX(Table5[[#All],[Pick]],MATCH(Batters[[#This Row],[PID]],Table5[[#All],[PID]],0))</f>
        <v>21</v>
      </c>
      <c r="BB96" s="45" t="str">
        <f>INDEX(Table5[[#All],[Team]],MATCH(Batters[[#This Row],[PID]],Table5[[#All],[PID]],0))</f>
        <v>Crystal Lake Sandgnats</v>
      </c>
    </row>
    <row r="97" spans="1:54" ht="15" customHeight="1" x14ac:dyDescent="0.25">
      <c r="A97" s="40">
        <v>20674</v>
      </c>
      <c r="B97" s="40" t="s">
        <v>66</v>
      </c>
      <c r="C97" s="40" t="s">
        <v>1354</v>
      </c>
      <c r="D97" s="40" t="s">
        <v>1355</v>
      </c>
      <c r="E97" s="40">
        <v>18</v>
      </c>
      <c r="F97" s="40" t="s">
        <v>62</v>
      </c>
      <c r="G97" s="40" t="s">
        <v>42</v>
      </c>
      <c r="H97" s="41" t="s">
        <v>634</v>
      </c>
      <c r="I97" s="65" t="s">
        <v>43</v>
      </c>
      <c r="J97" s="66" t="s">
        <v>44</v>
      </c>
      <c r="K97" s="67" t="s">
        <v>44</v>
      </c>
      <c r="L97" s="40">
        <v>1</v>
      </c>
      <c r="M97" s="40">
        <v>4</v>
      </c>
      <c r="N97" s="40">
        <v>5</v>
      </c>
      <c r="O97" s="40">
        <v>4</v>
      </c>
      <c r="P97" s="41">
        <v>1</v>
      </c>
      <c r="Q97" s="40">
        <v>3</v>
      </c>
      <c r="R97" s="40">
        <v>7</v>
      </c>
      <c r="S97" s="40">
        <v>8</v>
      </c>
      <c r="T97" s="40">
        <v>6</v>
      </c>
      <c r="U97" s="41">
        <v>2</v>
      </c>
      <c r="V97" s="40">
        <v>6</v>
      </c>
      <c r="W97" s="40">
        <v>7</v>
      </c>
      <c r="X97" s="40">
        <v>1</v>
      </c>
      <c r="Y97" s="41">
        <v>1</v>
      </c>
      <c r="Z97" s="40" t="s">
        <v>45</v>
      </c>
      <c r="AA97" s="40" t="s">
        <v>45</v>
      </c>
      <c r="AB97" s="40" t="s">
        <v>45</v>
      </c>
      <c r="AC97" s="40" t="s">
        <v>45</v>
      </c>
      <c r="AD97" s="40" t="s">
        <v>45</v>
      </c>
      <c r="AE97" s="40">
        <v>1</v>
      </c>
      <c r="AF97" s="40" t="s">
        <v>45</v>
      </c>
      <c r="AG97" s="41">
        <v>1</v>
      </c>
      <c r="AH97" s="40">
        <v>3</v>
      </c>
      <c r="AI97" s="40">
        <v>5</v>
      </c>
      <c r="AJ97" s="41">
        <v>4</v>
      </c>
      <c r="AK97" s="43" t="s">
        <v>553</v>
      </c>
      <c r="AL97" s="43" t="s">
        <v>635</v>
      </c>
      <c r="AM97" s="44">
        <f t="shared" si="8"/>
        <v>-1.3297890848471123</v>
      </c>
      <c r="AN97" s="44">
        <f t="shared" si="9"/>
        <v>-6.287785167770242E-2</v>
      </c>
      <c r="AO97" s="45">
        <f t="shared" si="10"/>
        <v>0</v>
      </c>
      <c r="AP97" s="46">
        <f t="shared" si="11"/>
        <v>0</v>
      </c>
      <c r="AQ97" s="44">
        <f>($AM$3*AM97+$AN$3*AN97+$AO$3*AO97+$AP$3*AP97)+$I$3*VLOOKUP(I97,COND!$A$2:$E$7,4,FALSE)+$J$3*VLOOKUP(J97,COND!$A$2:$C$7,2,FALSE)+$K$3*VLOOKUP(K97,COND!$A$2:$C$7,3,FALSE)+IF(AND($B$2&gt;0,$E97&lt;20),$B$2*25,0)</f>
        <v>48.512486871382862</v>
      </c>
      <c r="AR97" s="47">
        <f t="shared" si="12"/>
        <v>0.97119691285007348</v>
      </c>
      <c r="AS97" s="45" t="str">
        <f t="shared" si="13"/>
        <v>RF</v>
      </c>
      <c r="AT97" s="45">
        <f>RANK(Batters[[#This Row],[zScore]],Batters[[#All],[zScore]])</f>
        <v>93</v>
      </c>
      <c r="AU97" s="45"/>
      <c r="AV97" s="45"/>
      <c r="AW97" s="45" t="str">
        <f t="shared" si="14"/>
        <v>Possible</v>
      </c>
      <c r="AX97" s="45"/>
      <c r="AY97" s="45">
        <f>INDEX(Table5[[#All],[Ovr]],MATCH(Batters[[#This Row],[PID]],Table5[[#All],[PID]],0))</f>
        <v>270</v>
      </c>
      <c r="AZ97" s="45" t="str">
        <f>INDEX(Table5[[#All],[Rnd]],MATCH(Batters[[#This Row],[PID]],Table5[[#All],[PID]],0))</f>
        <v>9</v>
      </c>
      <c r="BA97" s="45">
        <f>INDEX(Table5[[#All],[Pick]],MATCH(Batters[[#This Row],[PID]],Table5[[#All],[PID]],0))</f>
        <v>22</v>
      </c>
      <c r="BB97" s="45" t="str">
        <f>INDEX(Table5[[#All],[Team]],MATCH(Batters[[#This Row],[PID]],Table5[[#All],[PID]],0))</f>
        <v>Fargo Dinosaurs</v>
      </c>
    </row>
    <row r="98" spans="1:54" ht="15" customHeight="1" x14ac:dyDescent="0.25">
      <c r="A98" s="40">
        <v>20344</v>
      </c>
      <c r="B98" s="40" t="s">
        <v>66</v>
      </c>
      <c r="C98" s="40" t="s">
        <v>1315</v>
      </c>
      <c r="D98" s="40" t="s">
        <v>1316</v>
      </c>
      <c r="E98" s="40">
        <v>17</v>
      </c>
      <c r="F98" s="40" t="s">
        <v>42</v>
      </c>
      <c r="G98" s="40" t="s">
        <v>42</v>
      </c>
      <c r="H98" s="41" t="s">
        <v>634</v>
      </c>
      <c r="I98" s="65" t="s">
        <v>43</v>
      </c>
      <c r="J98" s="66" t="s">
        <v>43</v>
      </c>
      <c r="K98" s="67" t="s">
        <v>47</v>
      </c>
      <c r="L98" s="40">
        <v>1</v>
      </c>
      <c r="M98" s="40">
        <v>2</v>
      </c>
      <c r="N98" s="40">
        <v>3</v>
      </c>
      <c r="O98" s="40">
        <v>2</v>
      </c>
      <c r="P98" s="41">
        <v>1</v>
      </c>
      <c r="Q98" s="40">
        <v>4</v>
      </c>
      <c r="R98" s="40">
        <v>4</v>
      </c>
      <c r="S98" s="40">
        <v>5</v>
      </c>
      <c r="T98" s="40">
        <v>5</v>
      </c>
      <c r="U98" s="41">
        <v>4</v>
      </c>
      <c r="V98" s="40">
        <v>5</v>
      </c>
      <c r="W98" s="40">
        <v>6</v>
      </c>
      <c r="X98" s="40">
        <v>1</v>
      </c>
      <c r="Y98" s="41">
        <v>1</v>
      </c>
      <c r="Z98" s="40" t="s">
        <v>45</v>
      </c>
      <c r="AA98" s="40" t="s">
        <v>45</v>
      </c>
      <c r="AB98" s="40" t="s">
        <v>45</v>
      </c>
      <c r="AC98" s="40" t="s">
        <v>45</v>
      </c>
      <c r="AD98" s="40" t="s">
        <v>45</v>
      </c>
      <c r="AE98" s="40">
        <v>1</v>
      </c>
      <c r="AF98" s="40" t="s">
        <v>45</v>
      </c>
      <c r="AG98" s="41">
        <v>1</v>
      </c>
      <c r="AH98" s="40">
        <v>6</v>
      </c>
      <c r="AI98" s="40">
        <v>6</v>
      </c>
      <c r="AJ98" s="41">
        <v>8</v>
      </c>
      <c r="AK98" s="43" t="s">
        <v>654</v>
      </c>
      <c r="AL98" s="43" t="s">
        <v>47</v>
      </c>
      <c r="AM98" s="44">
        <f t="shared" si="8"/>
        <v>-1.7774509321514844</v>
      </c>
      <c r="AN98" s="44">
        <f t="shared" si="9"/>
        <v>-0.1523630067782569</v>
      </c>
      <c r="AO98" s="45">
        <f t="shared" si="10"/>
        <v>1</v>
      </c>
      <c r="AP98" s="46">
        <f t="shared" si="11"/>
        <v>0</v>
      </c>
      <c r="AQ98" s="44">
        <f>($AM$3*AM98+$AN$3*AN98+$AO$3*AO98+$AP$3*AP98)+$I$3*VLOOKUP(I98,COND!$A$2:$E$7,4,FALSE)+$J$3*VLOOKUP(J98,COND!$A$2:$C$7,2,FALSE)+$K$3*VLOOKUP(K98,COND!$A$2:$C$7,3,FALSE)+IF(AND($B$2&gt;0,$E98&lt;20),$B$2*25,0)</f>
        <v>48.460565492112437</v>
      </c>
      <c r="AR98" s="47">
        <f t="shared" si="12"/>
        <v>0.9596855921098677</v>
      </c>
      <c r="AS98" s="45" t="str">
        <f t="shared" si="13"/>
        <v>RF</v>
      </c>
      <c r="AT98" s="45">
        <f>RANK(Batters[[#This Row],[zScore]],Batters[[#All],[zScore]])</f>
        <v>94</v>
      </c>
      <c r="AU98" s="45"/>
      <c r="AV98" s="45"/>
      <c r="AW98" s="45" t="str">
        <f t="shared" si="14"/>
        <v>Unlikely</v>
      </c>
      <c r="AX98" s="45"/>
      <c r="AY98" s="45">
        <f>INDEX(Table5[[#All],[Ovr]],MATCH(Batters[[#This Row],[PID]],Table5[[#All],[PID]],0))</f>
        <v>273</v>
      </c>
      <c r="AZ98" s="45" t="str">
        <f>INDEX(Table5[[#All],[Rnd]],MATCH(Batters[[#This Row],[PID]],Table5[[#All],[PID]],0))</f>
        <v>9</v>
      </c>
      <c r="BA98" s="45">
        <f>INDEX(Table5[[#All],[Pick]],MATCH(Batters[[#This Row],[PID]],Table5[[#All],[PID]],0))</f>
        <v>25</v>
      </c>
      <c r="BB98" s="45" t="str">
        <f>INDEX(Table5[[#All],[Team]],MATCH(Batters[[#This Row],[PID]],Table5[[#All],[PID]],0))</f>
        <v>Toyama Wind Dancers</v>
      </c>
    </row>
    <row r="99" spans="1:54" ht="15" customHeight="1" x14ac:dyDescent="0.25">
      <c r="A99" s="40">
        <v>20923</v>
      </c>
      <c r="B99" s="40" t="s">
        <v>87</v>
      </c>
      <c r="C99" s="40" t="s">
        <v>1001</v>
      </c>
      <c r="D99" s="40" t="s">
        <v>191</v>
      </c>
      <c r="E99" s="40">
        <v>17</v>
      </c>
      <c r="F99" s="40" t="s">
        <v>62</v>
      </c>
      <c r="G99" s="40" t="s">
        <v>42</v>
      </c>
      <c r="H99" s="41" t="s">
        <v>634</v>
      </c>
      <c r="I99" s="65" t="s">
        <v>43</v>
      </c>
      <c r="J99" s="66" t="s">
        <v>43</v>
      </c>
      <c r="K99" s="67" t="s">
        <v>43</v>
      </c>
      <c r="L99" s="40">
        <v>1</v>
      </c>
      <c r="M99" s="40">
        <v>3</v>
      </c>
      <c r="N99" s="40">
        <v>3</v>
      </c>
      <c r="O99" s="40">
        <v>2</v>
      </c>
      <c r="P99" s="41">
        <v>1</v>
      </c>
      <c r="Q99" s="40">
        <v>3</v>
      </c>
      <c r="R99" s="40">
        <v>6</v>
      </c>
      <c r="S99" s="40">
        <v>8</v>
      </c>
      <c r="T99" s="40">
        <v>6</v>
      </c>
      <c r="U99" s="41">
        <v>2</v>
      </c>
      <c r="V99" s="40">
        <v>2</v>
      </c>
      <c r="W99" s="40">
        <v>3</v>
      </c>
      <c r="X99" s="40">
        <v>1</v>
      </c>
      <c r="Y99" s="41">
        <v>1</v>
      </c>
      <c r="Z99" s="40" t="s">
        <v>45</v>
      </c>
      <c r="AA99" s="40">
        <v>2</v>
      </c>
      <c r="AB99" s="40" t="s">
        <v>45</v>
      </c>
      <c r="AC99" s="40" t="s">
        <v>45</v>
      </c>
      <c r="AD99" s="40" t="s">
        <v>45</v>
      </c>
      <c r="AE99" s="40" t="s">
        <v>45</v>
      </c>
      <c r="AF99" s="40" t="s">
        <v>45</v>
      </c>
      <c r="AG99" s="41" t="s">
        <v>45</v>
      </c>
      <c r="AH99" s="40">
        <v>3</v>
      </c>
      <c r="AI99" s="40">
        <v>5</v>
      </c>
      <c r="AJ99" s="41">
        <v>3</v>
      </c>
      <c r="AK99" s="43" t="s">
        <v>553</v>
      </c>
      <c r="AL99" s="43" t="s">
        <v>47</v>
      </c>
      <c r="AM99" s="44">
        <f t="shared" si="8"/>
        <v>-1.726391052532781</v>
      </c>
      <c r="AN99" s="44">
        <f t="shared" si="9"/>
        <v>-0.11393773129640587</v>
      </c>
      <c r="AO99" s="45">
        <f t="shared" si="10"/>
        <v>0</v>
      </c>
      <c r="AP99" s="46">
        <f t="shared" si="11"/>
        <v>0</v>
      </c>
      <c r="AQ99" s="44">
        <f>($AM$3*AM99+$AN$3*AN99+$AO$3*AO99+$AP$3*AP99)+$I$3*VLOOKUP(I99,COND!$A$2:$E$7,4,FALSE)+$J$3*VLOOKUP(J99,COND!$A$2:$C$7,2,FALSE)+$K$3*VLOOKUP(K99,COND!$A$2:$C$7,3,FALSE)+IF(AND($B$2&gt;0,$E99&lt;20),$B$2*25,0)</f>
        <v>48.460108119189854</v>
      </c>
      <c r="AR99" s="47">
        <f t="shared" si="12"/>
        <v>0.95958418944137713</v>
      </c>
      <c r="AS99" s="45" t="str">
        <f t="shared" si="13"/>
        <v>1B</v>
      </c>
      <c r="AT99" s="45">
        <f>RANK(Batters[[#This Row],[zScore]],Batters[[#All],[zScore]])</f>
        <v>95</v>
      </c>
      <c r="AU99" s="45"/>
      <c r="AV99" s="45"/>
      <c r="AW99" s="45" t="str">
        <f t="shared" si="14"/>
        <v>Possible</v>
      </c>
      <c r="AX99" s="45"/>
      <c r="AY99" s="45">
        <f>INDEX(Table5[[#All],[Ovr]],MATCH(Batters[[#This Row],[PID]],Table5[[#All],[PID]],0))</f>
        <v>215</v>
      </c>
      <c r="AZ99" s="45" t="str">
        <f>INDEX(Table5[[#All],[Rnd]],MATCH(Batters[[#This Row],[PID]],Table5[[#All],[PID]],0))</f>
        <v>7</v>
      </c>
      <c r="BA99" s="45">
        <f>INDEX(Table5[[#All],[Pick]],MATCH(Batters[[#This Row],[PID]],Table5[[#All],[PID]],0))</f>
        <v>27</v>
      </c>
      <c r="BB99" s="45" t="str">
        <f>INDEX(Table5[[#All],[Team]],MATCH(Batters[[#This Row],[PID]],Table5[[#All],[PID]],0))</f>
        <v>Neo-Tokyo Akira</v>
      </c>
    </row>
    <row r="100" spans="1:54" ht="15" customHeight="1" x14ac:dyDescent="0.25">
      <c r="A100" s="40">
        <v>20769</v>
      </c>
      <c r="B100" s="40" t="s">
        <v>50</v>
      </c>
      <c r="C100" s="40" t="s">
        <v>337</v>
      </c>
      <c r="D100" s="40" t="s">
        <v>1050</v>
      </c>
      <c r="E100" s="40">
        <v>17</v>
      </c>
      <c r="F100" s="40" t="s">
        <v>42</v>
      </c>
      <c r="G100" s="40" t="s">
        <v>42</v>
      </c>
      <c r="H100" s="41" t="s">
        <v>634</v>
      </c>
      <c r="I100" s="65" t="s">
        <v>44</v>
      </c>
      <c r="J100" s="66" t="s">
        <v>44</v>
      </c>
      <c r="K100" s="67" t="s">
        <v>43</v>
      </c>
      <c r="L100" s="40">
        <v>1</v>
      </c>
      <c r="M100" s="40">
        <v>2</v>
      </c>
      <c r="N100" s="40">
        <v>2</v>
      </c>
      <c r="O100" s="40">
        <v>2</v>
      </c>
      <c r="P100" s="41">
        <v>1</v>
      </c>
      <c r="Q100" s="40">
        <v>3</v>
      </c>
      <c r="R100" s="40">
        <v>7</v>
      </c>
      <c r="S100" s="40">
        <v>6</v>
      </c>
      <c r="T100" s="40">
        <v>6</v>
      </c>
      <c r="U100" s="41">
        <v>4</v>
      </c>
      <c r="V100" s="40">
        <v>4</v>
      </c>
      <c r="W100" s="40">
        <v>6</v>
      </c>
      <c r="X100" s="40">
        <v>1</v>
      </c>
      <c r="Y100" s="41">
        <v>1</v>
      </c>
      <c r="Z100" s="40" t="s">
        <v>45</v>
      </c>
      <c r="AA100" s="40" t="s">
        <v>45</v>
      </c>
      <c r="AB100" s="40" t="s">
        <v>45</v>
      </c>
      <c r="AC100" s="40" t="s">
        <v>45</v>
      </c>
      <c r="AD100" s="40" t="s">
        <v>45</v>
      </c>
      <c r="AE100" s="40">
        <v>2</v>
      </c>
      <c r="AF100" s="40">
        <v>1</v>
      </c>
      <c r="AG100" s="41">
        <v>2</v>
      </c>
      <c r="AH100" s="40">
        <v>8</v>
      </c>
      <c r="AI100" s="40">
        <v>8</v>
      </c>
      <c r="AJ100" s="41">
        <v>10</v>
      </c>
      <c r="AK100" s="43" t="s">
        <v>654</v>
      </c>
      <c r="AL100" s="43" t="s">
        <v>47</v>
      </c>
      <c r="AM100" s="44">
        <f t="shared" si="8"/>
        <v>-1.8605124261753858</v>
      </c>
      <c r="AN100" s="44">
        <f t="shared" si="9"/>
        <v>-0.14896816009133859</v>
      </c>
      <c r="AO100" s="45">
        <f t="shared" si="10"/>
        <v>5</v>
      </c>
      <c r="AP100" s="46">
        <f t="shared" si="11"/>
        <v>0</v>
      </c>
      <c r="AQ100" s="44">
        <f>($AM$3*AM100+$AN$3*AN100+$AO$3*AO100+$AP$3*AP100)+$I$3*VLOOKUP(I100,COND!$A$2:$E$7,4,FALSE)+$J$3*VLOOKUP(J100,COND!$A$2:$C$7,2,FALSE)+$K$3*VLOOKUP(K100,COND!$A$2:$C$7,3,FALSE)+IF(AND($B$2&gt;0,$E100&lt;20),$B$2*25,0)</f>
        <v>48.409664169619731</v>
      </c>
      <c r="AR100" s="47">
        <f t="shared" si="12"/>
        <v>0.94840042485222609</v>
      </c>
      <c r="AS100" s="45" t="str">
        <f t="shared" si="13"/>
        <v>RF</v>
      </c>
      <c r="AT100" s="45">
        <f>RANK(Batters[[#This Row],[zScore]],Batters[[#All],[zScore]])</f>
        <v>96</v>
      </c>
      <c r="AU100" s="45"/>
      <c r="AV100" s="45"/>
      <c r="AW100" s="45" t="str">
        <f t="shared" si="14"/>
        <v>Unlikely</v>
      </c>
      <c r="AX100" s="45"/>
      <c r="AY100" s="45">
        <f>INDEX(Table5[[#All],[Ovr]],MATCH(Batters[[#This Row],[PID]],Table5[[#All],[PID]],0))</f>
        <v>228</v>
      </c>
      <c r="AZ100" s="45" t="str">
        <f>INDEX(Table5[[#All],[Rnd]],MATCH(Batters[[#This Row],[PID]],Table5[[#All],[PID]],0))</f>
        <v>8</v>
      </c>
      <c r="BA100" s="45">
        <f>INDEX(Table5[[#All],[Pick]],MATCH(Batters[[#This Row],[PID]],Table5[[#All],[PID]],0))</f>
        <v>10</v>
      </c>
      <c r="BB100" s="45" t="str">
        <f>INDEX(Table5[[#All],[Team]],MATCH(Batters[[#This Row],[PID]],Table5[[#All],[PID]],0))</f>
        <v>Hartford Harpoon</v>
      </c>
    </row>
    <row r="101" spans="1:54" ht="15" customHeight="1" x14ac:dyDescent="0.25">
      <c r="A101" s="40">
        <v>17779</v>
      </c>
      <c r="B101" s="40" t="s">
        <v>72</v>
      </c>
      <c r="C101" s="40" t="s">
        <v>1357</v>
      </c>
      <c r="D101" s="40" t="s">
        <v>1358</v>
      </c>
      <c r="E101" s="40">
        <v>21</v>
      </c>
      <c r="F101" s="40" t="s">
        <v>53</v>
      </c>
      <c r="G101" s="40" t="s">
        <v>42</v>
      </c>
      <c r="H101" s="41" t="s">
        <v>634</v>
      </c>
      <c r="I101" s="65" t="s">
        <v>43</v>
      </c>
      <c r="J101" s="66" t="s">
        <v>47</v>
      </c>
      <c r="K101" s="67" t="s">
        <v>43</v>
      </c>
      <c r="L101" s="40">
        <v>2</v>
      </c>
      <c r="M101" s="40">
        <v>6</v>
      </c>
      <c r="N101" s="40">
        <v>3</v>
      </c>
      <c r="O101" s="40">
        <v>2</v>
      </c>
      <c r="P101" s="41">
        <v>3</v>
      </c>
      <c r="Q101" s="40">
        <v>5</v>
      </c>
      <c r="R101" s="40">
        <v>7</v>
      </c>
      <c r="S101" s="40">
        <v>4</v>
      </c>
      <c r="T101" s="40">
        <v>3</v>
      </c>
      <c r="U101" s="41">
        <v>6</v>
      </c>
      <c r="V101" s="40">
        <v>7</v>
      </c>
      <c r="W101" s="40">
        <v>8</v>
      </c>
      <c r="X101" s="40">
        <v>1</v>
      </c>
      <c r="Y101" s="41">
        <v>1</v>
      </c>
      <c r="Z101" s="40" t="s">
        <v>45</v>
      </c>
      <c r="AA101" s="40" t="s">
        <v>45</v>
      </c>
      <c r="AB101" s="40" t="s">
        <v>45</v>
      </c>
      <c r="AC101" s="40">
        <v>6</v>
      </c>
      <c r="AD101" s="40">
        <v>5</v>
      </c>
      <c r="AE101" s="40" t="s">
        <v>45</v>
      </c>
      <c r="AF101" s="40" t="s">
        <v>45</v>
      </c>
      <c r="AG101" s="41">
        <v>1</v>
      </c>
      <c r="AH101" s="40">
        <v>7</v>
      </c>
      <c r="AI101" s="40">
        <v>3</v>
      </c>
      <c r="AJ101" s="41">
        <v>1</v>
      </c>
      <c r="AK101" s="43" t="s">
        <v>643</v>
      </c>
      <c r="AL101" s="43" t="s">
        <v>635</v>
      </c>
      <c r="AM101" s="44">
        <f t="shared" si="8"/>
        <v>-1.170622897839829</v>
      </c>
      <c r="AN101" s="44">
        <f t="shared" si="9"/>
        <v>0.14092455387163166</v>
      </c>
      <c r="AO101" s="45">
        <f t="shared" si="10"/>
        <v>0</v>
      </c>
      <c r="AP101" s="46">
        <f t="shared" si="11"/>
        <v>1.5</v>
      </c>
      <c r="AQ101" s="44">
        <f>($AM$3*AM101+$AN$3*AN101+$AO$3*AO101+$AP$3*AP101)+$I$3*VLOOKUP(I101,COND!$A$2:$E$7,4,FALSE)+$J$3*VLOOKUP(J101,COND!$A$2:$C$7,2,FALSE)+$K$3*VLOOKUP(K101,COND!$A$2:$C$7,3,FALSE)+IF(AND($B$2&gt;0,$E101&lt;20),$B$2*25,0)</f>
        <v>48.374032356675599</v>
      </c>
      <c r="AR101" s="47">
        <f t="shared" si="12"/>
        <v>0.94050061107380911</v>
      </c>
      <c r="AS101" s="45" t="str">
        <f t="shared" si="13"/>
        <v>3B</v>
      </c>
      <c r="AT101" s="45">
        <f>RANK(Batters[[#This Row],[zScore]],Batters[[#All],[zScore]])</f>
        <v>97</v>
      </c>
      <c r="AU101" s="45"/>
      <c r="AV101" s="45"/>
      <c r="AW101" s="45" t="str">
        <f t="shared" si="14"/>
        <v>Unlikely</v>
      </c>
      <c r="AX101" s="45"/>
      <c r="AY101" s="45">
        <f>INDEX(Table5[[#All],[Ovr]],MATCH(Batters[[#This Row],[PID]],Table5[[#All],[PID]],0))</f>
        <v>26</v>
      </c>
      <c r="AZ101" s="45" t="str">
        <f>INDEX(Table5[[#All],[Rnd]],MATCH(Batters[[#This Row],[PID]],Table5[[#All],[PID]],0))</f>
        <v>1</v>
      </c>
      <c r="BA101" s="45">
        <f>INDEX(Table5[[#All],[Pick]],MATCH(Batters[[#This Row],[PID]],Table5[[#All],[PID]],0))</f>
        <v>26</v>
      </c>
      <c r="BB101" s="45" t="str">
        <f>INDEX(Table5[[#All],[Team]],MATCH(Batters[[#This Row],[PID]],Table5[[#All],[PID]],0))</f>
        <v>Havana Leones</v>
      </c>
    </row>
    <row r="102" spans="1:54" ht="15" customHeight="1" x14ac:dyDescent="0.25">
      <c r="A102" s="40">
        <v>20716</v>
      </c>
      <c r="B102" s="40" t="s">
        <v>71</v>
      </c>
      <c r="C102" s="40" t="s">
        <v>771</v>
      </c>
      <c r="D102" s="40" t="s">
        <v>133</v>
      </c>
      <c r="E102" s="40">
        <v>16</v>
      </c>
      <c r="F102" s="40" t="s">
        <v>42</v>
      </c>
      <c r="G102" s="40" t="s">
        <v>42</v>
      </c>
      <c r="H102" s="41" t="s">
        <v>638</v>
      </c>
      <c r="I102" s="65" t="s">
        <v>43</v>
      </c>
      <c r="J102" s="66" t="s">
        <v>43</v>
      </c>
      <c r="K102" s="67" t="s">
        <v>43</v>
      </c>
      <c r="L102" s="40">
        <v>1</v>
      </c>
      <c r="M102" s="40">
        <v>1</v>
      </c>
      <c r="N102" s="40">
        <v>2</v>
      </c>
      <c r="O102" s="40">
        <v>1</v>
      </c>
      <c r="P102" s="41">
        <v>1</v>
      </c>
      <c r="Q102" s="40">
        <v>4</v>
      </c>
      <c r="R102" s="40">
        <v>4</v>
      </c>
      <c r="S102" s="40">
        <v>5</v>
      </c>
      <c r="T102" s="40">
        <v>5</v>
      </c>
      <c r="U102" s="41">
        <v>4</v>
      </c>
      <c r="V102" s="40">
        <v>4</v>
      </c>
      <c r="W102" s="40">
        <v>3</v>
      </c>
      <c r="X102" s="40">
        <v>1</v>
      </c>
      <c r="Y102" s="41">
        <v>1</v>
      </c>
      <c r="Z102" s="40" t="s">
        <v>45</v>
      </c>
      <c r="AA102" s="40" t="s">
        <v>45</v>
      </c>
      <c r="AB102" s="40">
        <v>2</v>
      </c>
      <c r="AC102" s="40" t="s">
        <v>45</v>
      </c>
      <c r="AD102" s="40">
        <v>1</v>
      </c>
      <c r="AE102" s="40" t="s">
        <v>45</v>
      </c>
      <c r="AF102" s="40" t="s">
        <v>45</v>
      </c>
      <c r="AG102" s="41" t="s">
        <v>45</v>
      </c>
      <c r="AH102" s="40">
        <v>9</v>
      </c>
      <c r="AI102" s="40">
        <v>6</v>
      </c>
      <c r="AJ102" s="41">
        <v>5</v>
      </c>
      <c r="AK102" s="43" t="s">
        <v>670</v>
      </c>
      <c r="AL102" s="43" t="s">
        <v>47</v>
      </c>
      <c r="AM102" s="44">
        <f t="shared" si="8"/>
        <v>-2.0012818558036707</v>
      </c>
      <c r="AN102" s="44">
        <f t="shared" si="9"/>
        <v>-0.1523630067782569</v>
      </c>
      <c r="AO102" s="45">
        <f t="shared" si="10"/>
        <v>2</v>
      </c>
      <c r="AP102" s="46">
        <f t="shared" si="11"/>
        <v>0</v>
      </c>
      <c r="AQ102" s="44">
        <f>($AM$3*AM102+$AN$3*AN102+$AO$3*AO102+$AP$3*AP102)+$I$3*VLOOKUP(I102,COND!$A$2:$E$7,4,FALSE)+$J$3*VLOOKUP(J102,COND!$A$2:$C$7,2,FALSE)+$K$3*VLOOKUP(K102,COND!$A$2:$C$7,3,FALSE)+IF(AND($B$2&gt;0,$E102&lt;20),$B$2*25,0)</f>
        <v>48.30484906641388</v>
      </c>
      <c r="AR102" s="47">
        <f t="shared" si="12"/>
        <v>0.92516220798714377</v>
      </c>
      <c r="AS102" s="45" t="str">
        <f t="shared" si="13"/>
        <v>2B</v>
      </c>
      <c r="AT102" s="45">
        <f>RANK(Batters[[#This Row],[zScore]],Batters[[#All],[zScore]])</f>
        <v>98</v>
      </c>
      <c r="AU102" s="45"/>
      <c r="AV102" s="45"/>
      <c r="AW102" s="45" t="str">
        <f t="shared" si="14"/>
        <v>Unlikely</v>
      </c>
      <c r="AX102" s="45"/>
      <c r="AY102" s="45">
        <f>INDEX(Table5[[#All],[Ovr]],MATCH(Batters[[#This Row],[PID]],Table5[[#All],[PID]],0))</f>
        <v>205</v>
      </c>
      <c r="AZ102" s="45" t="str">
        <f>INDEX(Table5[[#All],[Rnd]],MATCH(Batters[[#This Row],[PID]],Table5[[#All],[PID]],0))</f>
        <v>7</v>
      </c>
      <c r="BA102" s="45">
        <f>INDEX(Table5[[#All],[Pick]],MATCH(Batters[[#This Row],[PID]],Table5[[#All],[PID]],0))</f>
        <v>17</v>
      </c>
      <c r="BB102" s="45" t="str">
        <f>INDEX(Table5[[#All],[Team]],MATCH(Batters[[#This Row],[PID]],Table5[[#All],[PID]],0))</f>
        <v>Madison Malts</v>
      </c>
    </row>
    <row r="103" spans="1:54" ht="15" customHeight="1" x14ac:dyDescent="0.25">
      <c r="A103" s="40">
        <v>20438</v>
      </c>
      <c r="B103" s="40" t="s">
        <v>86</v>
      </c>
      <c r="C103" s="40" t="s">
        <v>1205</v>
      </c>
      <c r="D103" s="40" t="s">
        <v>1206</v>
      </c>
      <c r="E103" s="40">
        <v>18</v>
      </c>
      <c r="F103" s="40" t="s">
        <v>42</v>
      </c>
      <c r="G103" s="40" t="s">
        <v>42</v>
      </c>
      <c r="H103" s="41" t="s">
        <v>633</v>
      </c>
      <c r="I103" s="65" t="s">
        <v>43</v>
      </c>
      <c r="J103" s="66" t="s">
        <v>44</v>
      </c>
      <c r="K103" s="67" t="s">
        <v>43</v>
      </c>
      <c r="L103" s="40">
        <v>1</v>
      </c>
      <c r="M103" s="40">
        <v>4</v>
      </c>
      <c r="N103" s="40">
        <v>4</v>
      </c>
      <c r="O103" s="40">
        <v>3</v>
      </c>
      <c r="P103" s="41">
        <v>1</v>
      </c>
      <c r="Q103" s="40">
        <v>3</v>
      </c>
      <c r="R103" s="40">
        <v>7</v>
      </c>
      <c r="S103" s="40">
        <v>7</v>
      </c>
      <c r="T103" s="40">
        <v>6</v>
      </c>
      <c r="U103" s="41">
        <v>3</v>
      </c>
      <c r="V103" s="40">
        <v>3</v>
      </c>
      <c r="W103" s="40">
        <v>4</v>
      </c>
      <c r="X103" s="40">
        <v>4</v>
      </c>
      <c r="Y103" s="41">
        <v>9</v>
      </c>
      <c r="Z103" s="40">
        <v>2</v>
      </c>
      <c r="AA103" s="40" t="s">
        <v>45</v>
      </c>
      <c r="AB103" s="40" t="s">
        <v>45</v>
      </c>
      <c r="AC103" s="40" t="s">
        <v>45</v>
      </c>
      <c r="AD103" s="40" t="s">
        <v>45</v>
      </c>
      <c r="AE103" s="40" t="s">
        <v>45</v>
      </c>
      <c r="AF103" s="40" t="s">
        <v>45</v>
      </c>
      <c r="AG103" s="41" t="s">
        <v>45</v>
      </c>
      <c r="AH103" s="40">
        <v>2</v>
      </c>
      <c r="AI103" s="40">
        <v>1</v>
      </c>
      <c r="AJ103" s="41">
        <v>1</v>
      </c>
      <c r="AK103" s="43" t="s">
        <v>683</v>
      </c>
      <c r="AL103" s="43" t="s">
        <v>47</v>
      </c>
      <c r="AM103" s="44">
        <f t="shared" si="8"/>
        <v>-1.5025601288805945</v>
      </c>
      <c r="AN103" s="44">
        <f t="shared" si="9"/>
        <v>-0.10592300588452053</v>
      </c>
      <c r="AO103" s="45">
        <f t="shared" si="10"/>
        <v>0</v>
      </c>
      <c r="AP103" s="46">
        <f t="shared" si="11"/>
        <v>0</v>
      </c>
      <c r="AQ103" s="44">
        <f>($AM$3*AM103+$AN$3*AN103+$AO$3*AO103+$AP$3*AP103)+$I$3*VLOOKUP(I103,COND!$A$2:$E$7,4,FALSE)+$J$3*VLOOKUP(J103,COND!$A$2:$C$7,2,FALSE)+$K$3*VLOOKUP(K103,COND!$A$2:$C$7,3,FALSE)+IF(AND($B$2&gt;0,$E103&lt;20),$B$2*25,0)</f>
        <v>48.278667916497696</v>
      </c>
      <c r="AR103" s="47">
        <f t="shared" si="12"/>
        <v>0.91935767008257629</v>
      </c>
      <c r="AS103" s="45" t="str">
        <f t="shared" si="13"/>
        <v>C</v>
      </c>
      <c r="AT103" s="45">
        <f>RANK(Batters[[#This Row],[zScore]],Batters[[#All],[zScore]])</f>
        <v>99</v>
      </c>
      <c r="AU103" s="45"/>
      <c r="AV103" s="45"/>
      <c r="AW103" s="45" t="str">
        <f t="shared" si="14"/>
        <v>Possible</v>
      </c>
      <c r="AX103" s="45"/>
      <c r="AY103" s="45">
        <f>INDEX(Table5[[#All],[Ovr]],MATCH(Batters[[#This Row],[PID]],Table5[[#All],[PID]],0))</f>
        <v>111</v>
      </c>
      <c r="AZ103" s="45" t="str">
        <f>INDEX(Table5[[#All],[Rnd]],MATCH(Batters[[#This Row],[PID]],Table5[[#All],[PID]],0))</f>
        <v>4</v>
      </c>
      <c r="BA103" s="45">
        <f>INDEX(Table5[[#All],[Pick]],MATCH(Batters[[#This Row],[PID]],Table5[[#All],[PID]],0))</f>
        <v>11</v>
      </c>
      <c r="BB103" s="45" t="str">
        <f>INDEX(Table5[[#All],[Team]],MATCH(Batters[[#This Row],[PID]],Table5[[#All],[PID]],0))</f>
        <v>Reno Zephyrs</v>
      </c>
    </row>
    <row r="104" spans="1:54" ht="15" customHeight="1" x14ac:dyDescent="0.25">
      <c r="A104" s="40">
        <v>20283</v>
      </c>
      <c r="B104" s="40" t="s">
        <v>69</v>
      </c>
      <c r="C104" s="40" t="s">
        <v>1251</v>
      </c>
      <c r="D104" s="40" t="s">
        <v>1252</v>
      </c>
      <c r="E104" s="40">
        <v>21</v>
      </c>
      <c r="F104" s="40" t="s">
        <v>42</v>
      </c>
      <c r="G104" s="40" t="s">
        <v>42</v>
      </c>
      <c r="H104" s="41" t="s">
        <v>634</v>
      </c>
      <c r="I104" s="65" t="s">
        <v>43</v>
      </c>
      <c r="J104" s="66" t="s">
        <v>47</v>
      </c>
      <c r="K104" s="67" t="s">
        <v>43</v>
      </c>
      <c r="L104" s="40">
        <v>2</v>
      </c>
      <c r="M104" s="40">
        <v>4</v>
      </c>
      <c r="N104" s="40">
        <v>4</v>
      </c>
      <c r="O104" s="40">
        <v>5</v>
      </c>
      <c r="P104" s="41">
        <v>2</v>
      </c>
      <c r="Q104" s="40">
        <v>4</v>
      </c>
      <c r="R104" s="40">
        <v>6</v>
      </c>
      <c r="S104" s="40">
        <v>6</v>
      </c>
      <c r="T104" s="40">
        <v>7</v>
      </c>
      <c r="U104" s="41">
        <v>4</v>
      </c>
      <c r="V104" s="40">
        <v>7</v>
      </c>
      <c r="W104" s="40">
        <v>7</v>
      </c>
      <c r="X104" s="40">
        <v>1</v>
      </c>
      <c r="Y104" s="41">
        <v>1</v>
      </c>
      <c r="Z104" s="40" t="s">
        <v>45</v>
      </c>
      <c r="AA104" s="40" t="s">
        <v>45</v>
      </c>
      <c r="AB104" s="40">
        <v>2</v>
      </c>
      <c r="AC104" s="40">
        <v>5</v>
      </c>
      <c r="AD104" s="40">
        <v>2</v>
      </c>
      <c r="AE104" s="40" t="s">
        <v>45</v>
      </c>
      <c r="AF104" s="40" t="s">
        <v>45</v>
      </c>
      <c r="AG104" s="41" t="s">
        <v>45</v>
      </c>
      <c r="AH104" s="40">
        <v>3</v>
      </c>
      <c r="AI104" s="40">
        <v>3</v>
      </c>
      <c r="AJ104" s="41">
        <v>2</v>
      </c>
      <c r="AK104" s="43" t="s">
        <v>643</v>
      </c>
      <c r="AL104" s="43" t="s">
        <v>47</v>
      </c>
      <c r="AM104" s="44">
        <f t="shared" si="8"/>
        <v>-0.96056885284167481</v>
      </c>
      <c r="AN104" s="44">
        <f t="shared" si="9"/>
        <v>0.21223734650221374</v>
      </c>
      <c r="AO104" s="45">
        <f t="shared" si="10"/>
        <v>0</v>
      </c>
      <c r="AP104" s="46">
        <f t="shared" si="11"/>
        <v>0.5</v>
      </c>
      <c r="AQ104" s="44">
        <f>($AM$3*AM104+$AN$3*AN104+$AO$3*AO104+$AP$3*AP104)+$I$3*VLOOKUP(I104,COND!$A$2:$E$7,4,FALSE)+$J$3*VLOOKUP(J104,COND!$A$2:$C$7,2,FALSE)+$K$3*VLOOKUP(K104,COND!$A$2:$C$7,3,FALSE)+IF(AND($B$2&gt;0,$E104&lt;20),$B$2*25,0)</f>
        <v>48.250791272742397</v>
      </c>
      <c r="AR104" s="47">
        <f t="shared" si="12"/>
        <v>0.91317722973340232</v>
      </c>
      <c r="AS104" s="45" t="str">
        <f t="shared" si="13"/>
        <v>3B</v>
      </c>
      <c r="AT104" s="45">
        <f>RANK(Batters[[#This Row],[zScore]],Batters[[#All],[zScore]])</f>
        <v>100</v>
      </c>
      <c r="AU104" s="45"/>
      <c r="AV104" s="45"/>
      <c r="AW104" s="45" t="str">
        <f t="shared" si="14"/>
        <v>Possible</v>
      </c>
      <c r="AX104" s="45"/>
      <c r="AY104" s="45">
        <f>INDEX(Table5[[#All],[Ovr]],MATCH(Batters[[#This Row],[PID]],Table5[[#All],[PID]],0))</f>
        <v>226</v>
      </c>
      <c r="AZ104" s="45" t="str">
        <f>INDEX(Table5[[#All],[Rnd]],MATCH(Batters[[#This Row],[PID]],Table5[[#All],[PID]],0))</f>
        <v>8</v>
      </c>
      <c r="BA104" s="45">
        <f>INDEX(Table5[[#All],[Pick]],MATCH(Batters[[#This Row],[PID]],Table5[[#All],[PID]],0))</f>
        <v>8</v>
      </c>
      <c r="BB104" s="45" t="str">
        <f>INDEX(Table5[[#All],[Team]],MATCH(Batters[[#This Row],[PID]],Table5[[#All],[PID]],0))</f>
        <v>London Underground</v>
      </c>
    </row>
    <row r="105" spans="1:54" ht="15" customHeight="1" x14ac:dyDescent="0.25">
      <c r="A105" s="40">
        <v>20546</v>
      </c>
      <c r="B105" s="40" t="s">
        <v>74</v>
      </c>
      <c r="C105" s="40" t="s">
        <v>974</v>
      </c>
      <c r="D105" s="40" t="s">
        <v>1229</v>
      </c>
      <c r="E105" s="40">
        <v>18</v>
      </c>
      <c r="F105" s="40" t="s">
        <v>42</v>
      </c>
      <c r="G105" s="40" t="s">
        <v>42</v>
      </c>
      <c r="H105" s="41" t="s">
        <v>634</v>
      </c>
      <c r="I105" s="65" t="s">
        <v>43</v>
      </c>
      <c r="J105" s="66" t="s">
        <v>43</v>
      </c>
      <c r="K105" s="67" t="s">
        <v>43</v>
      </c>
      <c r="L105" s="40">
        <v>1</v>
      </c>
      <c r="M105" s="40">
        <v>4</v>
      </c>
      <c r="N105" s="40">
        <v>4</v>
      </c>
      <c r="O105" s="40">
        <v>3</v>
      </c>
      <c r="P105" s="41">
        <v>1</v>
      </c>
      <c r="Q105" s="40">
        <v>3</v>
      </c>
      <c r="R105" s="40">
        <v>6</v>
      </c>
      <c r="S105" s="40">
        <v>7</v>
      </c>
      <c r="T105" s="40">
        <v>6</v>
      </c>
      <c r="U105" s="41">
        <v>3</v>
      </c>
      <c r="V105" s="40">
        <v>6</v>
      </c>
      <c r="W105" s="40">
        <v>7</v>
      </c>
      <c r="X105" s="40">
        <v>1</v>
      </c>
      <c r="Y105" s="41">
        <v>1</v>
      </c>
      <c r="Z105" s="40" t="s">
        <v>45</v>
      </c>
      <c r="AA105" s="40" t="s">
        <v>45</v>
      </c>
      <c r="AB105" s="40" t="s">
        <v>45</v>
      </c>
      <c r="AC105" s="40" t="s">
        <v>45</v>
      </c>
      <c r="AD105" s="40" t="s">
        <v>45</v>
      </c>
      <c r="AE105" s="40" t="s">
        <v>45</v>
      </c>
      <c r="AF105" s="40">
        <v>2</v>
      </c>
      <c r="AG105" s="41">
        <v>1</v>
      </c>
      <c r="AH105" s="40">
        <v>9</v>
      </c>
      <c r="AI105" s="40">
        <v>4</v>
      </c>
      <c r="AJ105" s="41">
        <v>1</v>
      </c>
      <c r="AK105" s="43" t="s">
        <v>644</v>
      </c>
      <c r="AL105" s="43" t="s">
        <v>47</v>
      </c>
      <c r="AM105" s="44">
        <f t="shared" si="8"/>
        <v>-1.5025601288805945</v>
      </c>
      <c r="AN105" s="44">
        <f t="shared" si="9"/>
        <v>-0.15698288550322398</v>
      </c>
      <c r="AO105" s="45">
        <f t="shared" si="10"/>
        <v>1</v>
      </c>
      <c r="AP105" s="46">
        <f t="shared" si="11"/>
        <v>0</v>
      </c>
      <c r="AQ105" s="44">
        <f>($AM$3*AM105+$AN$3*AN105+$AO$3*AO105+$AP$3*AP105)+$I$3*VLOOKUP(I105,COND!$A$2:$E$7,4,FALSE)+$J$3*VLOOKUP(J105,COND!$A$2:$C$7,2,FALSE)+$K$3*VLOOKUP(K105,COND!$A$2:$C$7,3,FALSE)+IF(AND($B$2&gt;0,$E105&lt;20),$B$2*25,0)</f>
        <v>48.132616027739921</v>
      </c>
      <c r="AR105" s="47">
        <f t="shared" si="12"/>
        <v>0.88697697912583073</v>
      </c>
      <c r="AS105" s="45" t="str">
        <f t="shared" si="13"/>
        <v>CF</v>
      </c>
      <c r="AT105" s="45">
        <f>RANK(Batters[[#This Row],[zScore]],Batters[[#All],[zScore]])</f>
        <v>101</v>
      </c>
      <c r="AU105" s="45"/>
      <c r="AV105" s="45"/>
      <c r="AW105" s="45" t="str">
        <f t="shared" si="14"/>
        <v>Possible</v>
      </c>
      <c r="AX105" s="45"/>
      <c r="AY105" s="45">
        <f>INDEX(Table5[[#All],[Ovr]],MATCH(Batters[[#This Row],[PID]],Table5[[#All],[PID]],0))</f>
        <v>186</v>
      </c>
      <c r="AZ105" s="45" t="str">
        <f>INDEX(Table5[[#All],[Rnd]],MATCH(Batters[[#This Row],[PID]],Table5[[#All],[PID]],0))</f>
        <v>6</v>
      </c>
      <c r="BA105" s="45">
        <f>INDEX(Table5[[#All],[Pick]],MATCH(Batters[[#This Row],[PID]],Table5[[#All],[PID]],0))</f>
        <v>28</v>
      </c>
      <c r="BB105" s="45" t="str">
        <f>INDEX(Table5[[#All],[Team]],MATCH(Batters[[#This Row],[PID]],Table5[[#All],[PID]],0))</f>
        <v>San Juan Coqui</v>
      </c>
    </row>
    <row r="106" spans="1:54" ht="15" customHeight="1" x14ac:dyDescent="0.25">
      <c r="A106" s="40">
        <v>18140</v>
      </c>
      <c r="B106" s="40" t="s">
        <v>87</v>
      </c>
      <c r="C106" s="40" t="s">
        <v>650</v>
      </c>
      <c r="D106" s="40" t="s">
        <v>1220</v>
      </c>
      <c r="E106" s="40">
        <v>21</v>
      </c>
      <c r="F106" s="40" t="s">
        <v>53</v>
      </c>
      <c r="G106" s="40" t="s">
        <v>53</v>
      </c>
      <c r="H106" s="41" t="s">
        <v>634</v>
      </c>
      <c r="I106" s="65" t="s">
        <v>44</v>
      </c>
      <c r="J106" s="66" t="s">
        <v>43</v>
      </c>
      <c r="K106" s="67" t="s">
        <v>43</v>
      </c>
      <c r="L106" s="40">
        <v>3</v>
      </c>
      <c r="M106" s="40">
        <v>6</v>
      </c>
      <c r="N106" s="40">
        <v>3</v>
      </c>
      <c r="O106" s="40">
        <v>3</v>
      </c>
      <c r="P106" s="41">
        <v>4</v>
      </c>
      <c r="Q106" s="40">
        <v>5</v>
      </c>
      <c r="R106" s="40">
        <v>6</v>
      </c>
      <c r="S106" s="40">
        <v>5</v>
      </c>
      <c r="T106" s="40">
        <v>4</v>
      </c>
      <c r="U106" s="41">
        <v>5</v>
      </c>
      <c r="V106" s="40">
        <v>4</v>
      </c>
      <c r="W106" s="40">
        <v>7</v>
      </c>
      <c r="X106" s="40">
        <v>1</v>
      </c>
      <c r="Y106" s="41">
        <v>1</v>
      </c>
      <c r="Z106" s="40" t="s">
        <v>45</v>
      </c>
      <c r="AA106" s="40">
        <v>6</v>
      </c>
      <c r="AB106" s="40" t="s">
        <v>45</v>
      </c>
      <c r="AC106" s="40" t="s">
        <v>45</v>
      </c>
      <c r="AD106" s="40" t="s">
        <v>45</v>
      </c>
      <c r="AE106" s="40" t="s">
        <v>45</v>
      </c>
      <c r="AF106" s="40" t="s">
        <v>45</v>
      </c>
      <c r="AG106" s="41" t="s">
        <v>45</v>
      </c>
      <c r="AH106" s="40">
        <v>8</v>
      </c>
      <c r="AI106" s="40">
        <v>9</v>
      </c>
      <c r="AJ106" s="41">
        <v>8</v>
      </c>
      <c r="AK106" s="43" t="s">
        <v>643</v>
      </c>
      <c r="AL106" s="43" t="s">
        <v>47</v>
      </c>
      <c r="AM106" s="44">
        <f t="shared" si="8"/>
        <v>-0.71834117181048962</v>
      </c>
      <c r="AN106" s="44">
        <f t="shared" si="9"/>
        <v>0.22261937846932731</v>
      </c>
      <c r="AO106" s="45">
        <f t="shared" si="10"/>
        <v>4</v>
      </c>
      <c r="AP106" s="46">
        <f t="shared" si="11"/>
        <v>0</v>
      </c>
      <c r="AQ106" s="44">
        <f>($AM$3*AM106+$AN$3*AN106+$AO$3*AO106+$AP$3*AP106)+$I$3*VLOOKUP(I106,COND!$A$2:$E$7,4,FALSE)+$J$3*VLOOKUP(J106,COND!$A$2:$C$7,2,FALSE)+$K$3*VLOOKUP(K106,COND!$A$2:$C$7,3,FALSE)+IF(AND($B$2&gt;0,$E106&lt;20),$B$2*25,0)</f>
        <v>48.11626509111754</v>
      </c>
      <c r="AR106" s="47">
        <f t="shared" si="12"/>
        <v>0.88335186595457471</v>
      </c>
      <c r="AS106" s="45" t="str">
        <f t="shared" si="13"/>
        <v>1B</v>
      </c>
      <c r="AT106" s="45">
        <f>RANK(Batters[[#This Row],[zScore]],Batters[[#All],[zScore]])</f>
        <v>102</v>
      </c>
      <c r="AU106" s="45"/>
      <c r="AV106" s="45"/>
      <c r="AW106" s="45" t="str">
        <f t="shared" si="14"/>
        <v>Unlikely</v>
      </c>
      <c r="AX106" s="45"/>
      <c r="AY106" s="45">
        <f>INDEX(Table5[[#All],[Ovr]],MATCH(Batters[[#This Row],[PID]],Table5[[#All],[PID]],0))</f>
        <v>83</v>
      </c>
      <c r="AZ106" s="45" t="str">
        <f>INDEX(Table5[[#All],[Rnd]],MATCH(Batters[[#This Row],[PID]],Table5[[#All],[PID]],0))</f>
        <v>3</v>
      </c>
      <c r="BA106" s="45">
        <f>INDEX(Table5[[#All],[Pick]],MATCH(Batters[[#This Row],[PID]],Table5[[#All],[PID]],0))</f>
        <v>15</v>
      </c>
      <c r="BB106" s="45" t="str">
        <f>INDEX(Table5[[#All],[Team]],MATCH(Batters[[#This Row],[PID]],Table5[[#All],[PID]],0))</f>
        <v>Kentucky Thoroughbreds</v>
      </c>
    </row>
    <row r="107" spans="1:54" ht="15" customHeight="1" x14ac:dyDescent="0.25">
      <c r="A107" s="40">
        <v>20841</v>
      </c>
      <c r="B107" s="40" t="s">
        <v>71</v>
      </c>
      <c r="C107" s="40" t="s">
        <v>809</v>
      </c>
      <c r="D107" s="40" t="s">
        <v>1293</v>
      </c>
      <c r="E107" s="40">
        <v>17</v>
      </c>
      <c r="F107" s="40" t="s">
        <v>42</v>
      </c>
      <c r="G107" s="40" t="s">
        <v>42</v>
      </c>
      <c r="H107" s="41" t="s">
        <v>634</v>
      </c>
      <c r="I107" s="65" t="s">
        <v>47</v>
      </c>
      <c r="J107" s="66" t="s">
        <v>47</v>
      </c>
      <c r="K107" s="67" t="s">
        <v>43</v>
      </c>
      <c r="L107" s="40">
        <v>1</v>
      </c>
      <c r="M107" s="40">
        <v>3</v>
      </c>
      <c r="N107" s="40">
        <v>3</v>
      </c>
      <c r="O107" s="40">
        <v>3</v>
      </c>
      <c r="P107" s="41">
        <v>1</v>
      </c>
      <c r="Q107" s="40">
        <v>3</v>
      </c>
      <c r="R107" s="40">
        <v>7</v>
      </c>
      <c r="S107" s="40">
        <v>6</v>
      </c>
      <c r="T107" s="40">
        <v>6</v>
      </c>
      <c r="U107" s="41">
        <v>3</v>
      </c>
      <c r="V107" s="40">
        <v>4</v>
      </c>
      <c r="W107" s="40">
        <v>2</v>
      </c>
      <c r="X107" s="40">
        <v>1</v>
      </c>
      <c r="Y107" s="41">
        <v>1</v>
      </c>
      <c r="Z107" s="40" t="s">
        <v>45</v>
      </c>
      <c r="AA107" s="40" t="s">
        <v>45</v>
      </c>
      <c r="AB107" s="40">
        <v>1</v>
      </c>
      <c r="AC107" s="40" t="s">
        <v>45</v>
      </c>
      <c r="AD107" s="40">
        <v>1</v>
      </c>
      <c r="AE107" s="40" t="s">
        <v>45</v>
      </c>
      <c r="AF107" s="40" t="s">
        <v>45</v>
      </c>
      <c r="AG107" s="41" t="s">
        <v>45</v>
      </c>
      <c r="AH107" s="40">
        <v>6</v>
      </c>
      <c r="AI107" s="40">
        <v>5</v>
      </c>
      <c r="AJ107" s="41">
        <v>5</v>
      </c>
      <c r="AK107" s="43" t="s">
        <v>644</v>
      </c>
      <c r="AL107" s="43" t="s">
        <v>47</v>
      </c>
      <c r="AM107" s="44">
        <f t="shared" si="8"/>
        <v>-1.6366815025231998</v>
      </c>
      <c r="AN107" s="44">
        <f t="shared" si="9"/>
        <v>-0.18898449990842203</v>
      </c>
      <c r="AO107" s="45">
        <f t="shared" si="10"/>
        <v>0</v>
      </c>
      <c r="AP107" s="46">
        <f t="shared" si="11"/>
        <v>0</v>
      </c>
      <c r="AQ107" s="44">
        <f>($AM$3*AM107+$AN$3*AN107+$AO$3*AO107+$AP$3*AP107)+$I$3*VLOOKUP(I107,COND!$A$2:$E$7,4,FALSE)+$J$3*VLOOKUP(J107,COND!$A$2:$C$7,2,FALSE)+$K$3*VLOOKUP(K107,COND!$A$2:$C$7,3,FALSE)+IF(AND($B$2&gt;0,$E107&lt;20),$B$2*25,0)</f>
        <v>48.093517850846617</v>
      </c>
      <c r="AR107" s="47">
        <f t="shared" si="12"/>
        <v>0.87830864902943639</v>
      </c>
      <c r="AS107" s="45" t="str">
        <f t="shared" si="13"/>
        <v>2B</v>
      </c>
      <c r="AT107" s="45">
        <f>RANK(Batters[[#This Row],[zScore]],Batters[[#All],[zScore]])</f>
        <v>103</v>
      </c>
      <c r="AU107" s="45"/>
      <c r="AV107" s="45"/>
      <c r="AW107" s="45" t="str">
        <f t="shared" si="14"/>
        <v>Unlikely</v>
      </c>
      <c r="AX107" s="45"/>
      <c r="AY107" s="45">
        <f>INDEX(Table5[[#All],[Ovr]],MATCH(Batters[[#This Row],[PID]],Table5[[#All],[PID]],0))</f>
        <v>227</v>
      </c>
      <c r="AZ107" s="45" t="str">
        <f>INDEX(Table5[[#All],[Rnd]],MATCH(Batters[[#This Row],[PID]],Table5[[#All],[PID]],0))</f>
        <v>8</v>
      </c>
      <c r="BA107" s="45">
        <f>INDEX(Table5[[#All],[Pick]],MATCH(Batters[[#This Row],[PID]],Table5[[#All],[PID]],0))</f>
        <v>9</v>
      </c>
      <c r="BB107" s="45" t="str">
        <f>INDEX(Table5[[#All],[Team]],MATCH(Batters[[#This Row],[PID]],Table5[[#All],[PID]],0))</f>
        <v>Scottish Claymores</v>
      </c>
    </row>
    <row r="108" spans="1:54" ht="15" customHeight="1" x14ac:dyDescent="0.25">
      <c r="A108" s="40">
        <v>20669</v>
      </c>
      <c r="B108" s="40" t="s">
        <v>69</v>
      </c>
      <c r="C108" s="40" t="s">
        <v>1380</v>
      </c>
      <c r="D108" s="40" t="s">
        <v>1381</v>
      </c>
      <c r="E108" s="40">
        <v>18</v>
      </c>
      <c r="F108" s="40" t="s">
        <v>42</v>
      </c>
      <c r="G108" s="40" t="s">
        <v>42</v>
      </c>
      <c r="H108" s="41" t="s">
        <v>634</v>
      </c>
      <c r="I108" s="65" t="s">
        <v>43</v>
      </c>
      <c r="J108" s="66" t="s">
        <v>44</v>
      </c>
      <c r="K108" s="67" t="s">
        <v>47</v>
      </c>
      <c r="L108" s="40">
        <v>1</v>
      </c>
      <c r="M108" s="40">
        <v>4</v>
      </c>
      <c r="N108" s="40">
        <v>3</v>
      </c>
      <c r="O108" s="40">
        <v>4</v>
      </c>
      <c r="P108" s="41">
        <v>1</v>
      </c>
      <c r="Q108" s="40">
        <v>3</v>
      </c>
      <c r="R108" s="40">
        <v>6</v>
      </c>
      <c r="S108" s="40">
        <v>6</v>
      </c>
      <c r="T108" s="40">
        <v>7</v>
      </c>
      <c r="U108" s="41">
        <v>3</v>
      </c>
      <c r="V108" s="40">
        <v>8</v>
      </c>
      <c r="W108" s="40">
        <v>8</v>
      </c>
      <c r="X108" s="40">
        <v>1</v>
      </c>
      <c r="Y108" s="41">
        <v>1</v>
      </c>
      <c r="Z108" s="40" t="s">
        <v>45</v>
      </c>
      <c r="AA108" s="40" t="s">
        <v>45</v>
      </c>
      <c r="AB108" s="40">
        <v>1</v>
      </c>
      <c r="AC108" s="40">
        <v>1</v>
      </c>
      <c r="AD108" s="40" t="s">
        <v>45</v>
      </c>
      <c r="AE108" s="40">
        <v>1</v>
      </c>
      <c r="AF108" s="40">
        <v>1</v>
      </c>
      <c r="AG108" s="41">
        <v>1</v>
      </c>
      <c r="AH108" s="40">
        <v>3</v>
      </c>
      <c r="AI108" s="40">
        <v>3</v>
      </c>
      <c r="AJ108" s="41">
        <v>2</v>
      </c>
      <c r="AK108" s="43" t="s">
        <v>644</v>
      </c>
      <c r="AL108" s="43" t="s">
        <v>47</v>
      </c>
      <c r="AM108" s="44">
        <f t="shared" si="8"/>
        <v>-1.4959120728949156</v>
      </c>
      <c r="AN108" s="44">
        <f t="shared" si="9"/>
        <v>-0.15033482951754448</v>
      </c>
      <c r="AO108" s="45">
        <f t="shared" si="10"/>
        <v>0</v>
      </c>
      <c r="AP108" s="46">
        <f t="shared" si="11"/>
        <v>0</v>
      </c>
      <c r="AQ108" s="44">
        <f>($AM$3*AM108+$AN$3*AN108+$AO$3*AO108+$AP$3*AP108)+$I$3*VLOOKUP(I108,COND!$A$2:$E$7,4,FALSE)+$J$3*VLOOKUP(J108,COND!$A$2:$C$7,2,FALSE)+$K$3*VLOOKUP(K108,COND!$A$2:$C$7,3,FALSE)+IF(AND($B$2&gt;0,$E108&lt;20),$B$2*25,0)</f>
        <v>48.046390838499974</v>
      </c>
      <c r="AR108" s="47">
        <f t="shared" si="12"/>
        <v>0.86786027184314596</v>
      </c>
      <c r="AS108" s="45" t="str">
        <f t="shared" si="13"/>
        <v>2B</v>
      </c>
      <c r="AT108" s="45">
        <f>RANK(Batters[[#This Row],[zScore]],Batters[[#All],[zScore]])</f>
        <v>104</v>
      </c>
      <c r="AU108" s="45"/>
      <c r="AV108" s="45"/>
      <c r="AW108" s="45" t="str">
        <f t="shared" si="14"/>
        <v>Possible</v>
      </c>
      <c r="AX108" s="45"/>
      <c r="AY108" s="45">
        <f>INDEX(Table5[[#All],[Ovr]],MATCH(Batters[[#This Row],[PID]],Table5[[#All],[PID]],0))</f>
        <v>455</v>
      </c>
      <c r="AZ108" s="45" t="str">
        <f>INDEX(Table5[[#All],[Rnd]],MATCH(Batters[[#This Row],[PID]],Table5[[#All],[PID]],0))</f>
        <v>15</v>
      </c>
      <c r="BA108" s="45">
        <f>INDEX(Table5[[#All],[Pick]],MATCH(Batters[[#This Row],[PID]],Table5[[#All],[PID]],0))</f>
        <v>27</v>
      </c>
      <c r="BB108" s="45" t="str">
        <f>INDEX(Table5[[#All],[Team]],MATCH(Batters[[#This Row],[PID]],Table5[[#All],[PID]],0))</f>
        <v>Neo-Tokyo Akira</v>
      </c>
    </row>
    <row r="109" spans="1:54" ht="15" customHeight="1" x14ac:dyDescent="0.25">
      <c r="A109" s="40">
        <v>20992</v>
      </c>
      <c r="B109" s="40" t="s">
        <v>69</v>
      </c>
      <c r="C109" s="40" t="s">
        <v>1486</v>
      </c>
      <c r="D109" s="40" t="s">
        <v>769</v>
      </c>
      <c r="E109" s="40">
        <v>17</v>
      </c>
      <c r="F109" s="40" t="s">
        <v>42</v>
      </c>
      <c r="G109" s="40" t="s">
        <v>42</v>
      </c>
      <c r="H109" s="41" t="s">
        <v>638</v>
      </c>
      <c r="I109" s="65" t="s">
        <v>44</v>
      </c>
      <c r="J109" s="66" t="s">
        <v>44</v>
      </c>
      <c r="K109" s="67" t="s">
        <v>43</v>
      </c>
      <c r="L109" s="40">
        <v>1</v>
      </c>
      <c r="M109" s="40">
        <v>1</v>
      </c>
      <c r="N109" s="40">
        <v>2</v>
      </c>
      <c r="O109" s="40">
        <v>2</v>
      </c>
      <c r="P109" s="41">
        <v>1</v>
      </c>
      <c r="Q109" s="40">
        <v>4</v>
      </c>
      <c r="R109" s="40">
        <v>4</v>
      </c>
      <c r="S109" s="40">
        <v>5</v>
      </c>
      <c r="T109" s="40">
        <v>5</v>
      </c>
      <c r="U109" s="41">
        <v>4</v>
      </c>
      <c r="V109" s="40">
        <v>7</v>
      </c>
      <c r="W109" s="40">
        <v>6</v>
      </c>
      <c r="X109" s="40">
        <v>1</v>
      </c>
      <c r="Y109" s="41">
        <v>1</v>
      </c>
      <c r="Z109" s="40" t="s">
        <v>45</v>
      </c>
      <c r="AA109" s="40" t="s">
        <v>45</v>
      </c>
      <c r="AB109" s="40" t="s">
        <v>45</v>
      </c>
      <c r="AC109" s="40">
        <v>1</v>
      </c>
      <c r="AD109" s="40" t="s">
        <v>45</v>
      </c>
      <c r="AE109" s="40" t="s">
        <v>45</v>
      </c>
      <c r="AF109" s="40" t="s">
        <v>45</v>
      </c>
      <c r="AG109" s="41">
        <v>1</v>
      </c>
      <c r="AH109" s="40">
        <v>9</v>
      </c>
      <c r="AI109" s="40">
        <v>7</v>
      </c>
      <c r="AJ109" s="41">
        <v>8</v>
      </c>
      <c r="AK109" s="43" t="s">
        <v>654</v>
      </c>
      <c r="AL109" s="43" t="s">
        <v>47</v>
      </c>
      <c r="AM109" s="44">
        <f t="shared" si="8"/>
        <v>-1.9115723057940897</v>
      </c>
      <c r="AN109" s="44">
        <f t="shared" si="9"/>
        <v>-0.1523630067782569</v>
      </c>
      <c r="AO109" s="45">
        <f t="shared" si="10"/>
        <v>3</v>
      </c>
      <c r="AP109" s="46">
        <f t="shared" si="11"/>
        <v>0</v>
      </c>
      <c r="AQ109" s="44">
        <f>($AM$3*AM109+$AN$3*AN109+$AO$3*AO109+$AP$3*AP109)+$I$3*VLOOKUP(I109,COND!$A$2:$E$7,4,FALSE)+$J$3*VLOOKUP(J109,COND!$A$2:$C$7,2,FALSE)+$K$3*VLOOKUP(K109,COND!$A$2:$C$7,3,FALSE)+IF(AND($B$2&gt;0,$E109&lt;20),$B$2*25,0)</f>
        <v>48.03048668808151</v>
      </c>
      <c r="AR109" s="47">
        <f t="shared" si="12"/>
        <v>0.86433421419329259</v>
      </c>
      <c r="AS109" s="45" t="str">
        <f t="shared" si="13"/>
        <v>3B</v>
      </c>
      <c r="AT109" s="45">
        <f>RANK(Batters[[#This Row],[zScore]],Batters[[#All],[zScore]])</f>
        <v>105</v>
      </c>
      <c r="AU109" s="45"/>
      <c r="AV109" s="45"/>
      <c r="AW109" s="45" t="str">
        <f t="shared" si="14"/>
        <v>Unlikely</v>
      </c>
      <c r="AX109" s="45"/>
      <c r="AY109" s="45">
        <f>INDEX(Table5[[#All],[Ovr]],MATCH(Batters[[#This Row],[PID]],Table5[[#All],[PID]],0))</f>
        <v>324</v>
      </c>
      <c r="AZ109" s="45" t="str">
        <f>INDEX(Table5[[#All],[Rnd]],MATCH(Batters[[#This Row],[PID]],Table5[[#All],[PID]],0))</f>
        <v>11</v>
      </c>
      <c r="BA109" s="45">
        <f>INDEX(Table5[[#All],[Pick]],MATCH(Batters[[#This Row],[PID]],Table5[[#All],[PID]],0))</f>
        <v>16</v>
      </c>
      <c r="BB109" s="45" t="str">
        <f>INDEX(Table5[[#All],[Team]],MATCH(Batters[[#This Row],[PID]],Table5[[#All],[PID]],0))</f>
        <v>San Antonio Calzones of Laredo</v>
      </c>
    </row>
    <row r="110" spans="1:54" ht="15" customHeight="1" x14ac:dyDescent="0.25">
      <c r="A110" s="40">
        <v>21046</v>
      </c>
      <c r="B110" s="40" t="s">
        <v>66</v>
      </c>
      <c r="C110" s="40" t="s">
        <v>176</v>
      </c>
      <c r="D110" s="40" t="s">
        <v>733</v>
      </c>
      <c r="E110" s="40">
        <v>17</v>
      </c>
      <c r="F110" s="40" t="s">
        <v>42</v>
      </c>
      <c r="G110" s="40" t="s">
        <v>53</v>
      </c>
      <c r="H110" s="41" t="s">
        <v>634</v>
      </c>
      <c r="I110" s="65" t="s">
        <v>47</v>
      </c>
      <c r="J110" s="66" t="s">
        <v>47</v>
      </c>
      <c r="K110" s="67" t="s">
        <v>43</v>
      </c>
      <c r="L110" s="40">
        <v>1</v>
      </c>
      <c r="M110" s="40">
        <v>3</v>
      </c>
      <c r="N110" s="40">
        <v>3</v>
      </c>
      <c r="O110" s="40">
        <v>2</v>
      </c>
      <c r="P110" s="41">
        <v>1</v>
      </c>
      <c r="Q110" s="40">
        <v>3</v>
      </c>
      <c r="R110" s="40">
        <v>7</v>
      </c>
      <c r="S110" s="40">
        <v>7</v>
      </c>
      <c r="T110" s="40">
        <v>5</v>
      </c>
      <c r="U110" s="41">
        <v>3</v>
      </c>
      <c r="V110" s="40">
        <v>3</v>
      </c>
      <c r="W110" s="40">
        <v>5</v>
      </c>
      <c r="X110" s="40">
        <v>1</v>
      </c>
      <c r="Y110" s="41">
        <v>1</v>
      </c>
      <c r="Z110" s="40" t="s">
        <v>45</v>
      </c>
      <c r="AA110" s="40" t="s">
        <v>45</v>
      </c>
      <c r="AB110" s="40" t="s">
        <v>45</v>
      </c>
      <c r="AC110" s="40" t="s">
        <v>45</v>
      </c>
      <c r="AD110" s="40" t="s">
        <v>45</v>
      </c>
      <c r="AE110" s="40">
        <v>2</v>
      </c>
      <c r="AF110" s="40">
        <v>1</v>
      </c>
      <c r="AG110" s="41">
        <v>2</v>
      </c>
      <c r="AH110" s="40">
        <v>7</v>
      </c>
      <c r="AI110" s="40">
        <v>5</v>
      </c>
      <c r="AJ110" s="41">
        <v>4</v>
      </c>
      <c r="AK110" s="43" t="s">
        <v>599</v>
      </c>
      <c r="AL110" s="43" t="s">
        <v>47</v>
      </c>
      <c r="AM110" s="44">
        <f t="shared" si="8"/>
        <v>-1.726391052532781</v>
      </c>
      <c r="AN110" s="44">
        <f t="shared" si="9"/>
        <v>-0.19563255589410158</v>
      </c>
      <c r="AO110" s="45">
        <f t="shared" si="10"/>
        <v>0</v>
      </c>
      <c r="AP110" s="46">
        <f t="shared" si="11"/>
        <v>0</v>
      </c>
      <c r="AQ110" s="44">
        <f>($AM$3*AM110+$AN$3*AN110+$AO$3*AO110+$AP$3*AP110)+$I$3*VLOOKUP(I110,COND!$A$2:$E$7,4,FALSE)+$J$3*VLOOKUP(J110,COND!$A$2:$C$7,2,FALSE)+$K$3*VLOOKUP(K110,COND!$A$2:$C$7,3,FALSE)+IF(AND($B$2&gt;0,$E110&lt;20),$B$2*25,0)</f>
        <v>48.004770224017506</v>
      </c>
      <c r="AR110" s="47">
        <f t="shared" si="12"/>
        <v>0.85863270028313821</v>
      </c>
      <c r="AS110" s="45" t="str">
        <f t="shared" si="13"/>
        <v>LF</v>
      </c>
      <c r="AT110" s="45">
        <f>RANK(Batters[[#This Row],[zScore]],Batters[[#All],[zScore]])</f>
        <v>106</v>
      </c>
      <c r="AU110" s="45"/>
      <c r="AV110" s="45"/>
      <c r="AW110" s="45" t="str">
        <f t="shared" si="14"/>
        <v>Unlikely</v>
      </c>
      <c r="AX110" s="45"/>
      <c r="AY110" s="45">
        <f>INDEX(Table5[[#All],[Ovr]],MATCH(Batters[[#This Row],[PID]],Table5[[#All],[PID]],0))</f>
        <v>222</v>
      </c>
      <c r="AZ110" s="45" t="str">
        <f>INDEX(Table5[[#All],[Rnd]],MATCH(Batters[[#This Row],[PID]],Table5[[#All],[PID]],0))</f>
        <v>8</v>
      </c>
      <c r="BA110" s="45">
        <f>INDEX(Table5[[#All],[Pick]],MATCH(Batters[[#This Row],[PID]],Table5[[#All],[PID]],0))</f>
        <v>4</v>
      </c>
      <c r="BB110" s="45" t="str">
        <f>INDEX(Table5[[#All],[Team]],MATCH(Batters[[#This Row],[PID]],Table5[[#All],[PID]],0))</f>
        <v>Tempe Knights</v>
      </c>
    </row>
    <row r="111" spans="1:54" ht="15" customHeight="1" x14ac:dyDescent="0.25">
      <c r="A111" s="40">
        <v>18416</v>
      </c>
      <c r="B111" s="40" t="s">
        <v>50</v>
      </c>
      <c r="C111" s="40" t="s">
        <v>1017</v>
      </c>
      <c r="D111" s="40" t="s">
        <v>1517</v>
      </c>
      <c r="E111" s="40">
        <v>18</v>
      </c>
      <c r="F111" s="40" t="s">
        <v>42</v>
      </c>
      <c r="G111" s="40" t="s">
        <v>42</v>
      </c>
      <c r="H111" s="41" t="s">
        <v>638</v>
      </c>
      <c r="I111" s="65" t="s">
        <v>43</v>
      </c>
      <c r="J111" s="66" t="s">
        <v>43</v>
      </c>
      <c r="K111" s="67" t="s">
        <v>43</v>
      </c>
      <c r="L111" s="40">
        <v>1</v>
      </c>
      <c r="M111" s="40">
        <v>2</v>
      </c>
      <c r="N111" s="40">
        <v>3</v>
      </c>
      <c r="O111" s="40">
        <v>3</v>
      </c>
      <c r="P111" s="41">
        <v>1</v>
      </c>
      <c r="Q111" s="40">
        <v>4</v>
      </c>
      <c r="R111" s="40">
        <v>4</v>
      </c>
      <c r="S111" s="40">
        <v>5</v>
      </c>
      <c r="T111" s="40">
        <v>5</v>
      </c>
      <c r="U111" s="41">
        <v>4</v>
      </c>
      <c r="V111" s="40">
        <v>3</v>
      </c>
      <c r="W111" s="40">
        <v>5</v>
      </c>
      <c r="X111" s="40">
        <v>1</v>
      </c>
      <c r="Y111" s="41">
        <v>1</v>
      </c>
      <c r="Z111" s="40" t="s">
        <v>45</v>
      </c>
      <c r="AA111" s="40" t="s">
        <v>45</v>
      </c>
      <c r="AB111" s="40" t="s">
        <v>45</v>
      </c>
      <c r="AC111" s="40" t="s">
        <v>45</v>
      </c>
      <c r="AD111" s="40" t="s">
        <v>45</v>
      </c>
      <c r="AE111" s="40">
        <v>1</v>
      </c>
      <c r="AF111" s="40" t="s">
        <v>45</v>
      </c>
      <c r="AG111" s="41" t="s">
        <v>45</v>
      </c>
      <c r="AH111" s="40">
        <v>1</v>
      </c>
      <c r="AI111" s="40">
        <v>1</v>
      </c>
      <c r="AJ111" s="41">
        <v>1</v>
      </c>
      <c r="AK111" s="43" t="s">
        <v>644</v>
      </c>
      <c r="AL111" s="43" t="s">
        <v>47</v>
      </c>
      <c r="AM111" s="44">
        <f t="shared" si="8"/>
        <v>-1.6877413821419032</v>
      </c>
      <c r="AN111" s="44">
        <f t="shared" si="9"/>
        <v>-0.1523630067782569</v>
      </c>
      <c r="AO111" s="45">
        <f t="shared" si="10"/>
        <v>0</v>
      </c>
      <c r="AP111" s="46">
        <f t="shared" si="11"/>
        <v>0</v>
      </c>
      <c r="AQ111" s="44">
        <f>($AM$3*AM111+$AN$3*AN111+$AO$3*AO111+$AP$3*AP111)+$I$3*VLOOKUP(I111,COND!$A$2:$E$7,4,FALSE)+$J$3*VLOOKUP(J111,COND!$A$2:$C$7,2,FALSE)+$K$3*VLOOKUP(K111,COND!$A$2:$C$7,3,FALSE)+IF(AND($B$2&gt;0,$E111&lt;20),$B$2*25,0)</f>
        <v>48.00286978044673</v>
      </c>
      <c r="AR111" s="47">
        <f t="shared" si="12"/>
        <v>0.85821135909769086</v>
      </c>
      <c r="AS111" s="45" t="str">
        <f t="shared" si="13"/>
        <v>LF</v>
      </c>
      <c r="AT111" s="45">
        <f>RANK(Batters[[#This Row],[zScore]],Batters[[#All],[zScore]])</f>
        <v>107</v>
      </c>
      <c r="AU111" s="45"/>
      <c r="AV111" s="45"/>
      <c r="AW111" s="45" t="str">
        <f t="shared" si="14"/>
        <v>Unlikely</v>
      </c>
      <c r="AX111" s="45"/>
      <c r="AY111" s="45">
        <f>INDEX(Table5[[#All],[Ovr]],MATCH(Batters[[#This Row],[PID]],Table5[[#All],[PID]],0))</f>
        <v>538</v>
      </c>
      <c r="AZ111" s="45" t="str">
        <f>INDEX(Table5[[#All],[Rnd]],MATCH(Batters[[#This Row],[PID]],Table5[[#All],[PID]],0))</f>
        <v>18</v>
      </c>
      <c r="BA111" s="45">
        <f>INDEX(Table5[[#All],[Pick]],MATCH(Batters[[#This Row],[PID]],Table5[[#All],[PID]],0))</f>
        <v>20</v>
      </c>
      <c r="BB111" s="45" t="str">
        <f>INDEX(Table5[[#All],[Team]],MATCH(Batters[[#This Row],[PID]],Table5[[#All],[PID]],0))</f>
        <v>Amsterdam Lions</v>
      </c>
    </row>
    <row r="112" spans="1:54" ht="15" customHeight="1" x14ac:dyDescent="0.25">
      <c r="A112" s="40">
        <v>18198</v>
      </c>
      <c r="B112" s="40" t="s">
        <v>74</v>
      </c>
      <c r="C112" s="40" t="s">
        <v>185</v>
      </c>
      <c r="D112" s="40" t="s">
        <v>662</v>
      </c>
      <c r="E112" s="40">
        <v>18</v>
      </c>
      <c r="F112" s="40" t="s">
        <v>42</v>
      </c>
      <c r="G112" s="40" t="s">
        <v>42</v>
      </c>
      <c r="H112" s="41" t="s">
        <v>634</v>
      </c>
      <c r="I112" s="65" t="s">
        <v>43</v>
      </c>
      <c r="J112" s="66" t="s">
        <v>47</v>
      </c>
      <c r="K112" s="67" t="s">
        <v>43</v>
      </c>
      <c r="L112" s="40">
        <v>1</v>
      </c>
      <c r="M112" s="40">
        <v>2</v>
      </c>
      <c r="N112" s="40">
        <v>3</v>
      </c>
      <c r="O112" s="40">
        <v>2</v>
      </c>
      <c r="P112" s="41">
        <v>1</v>
      </c>
      <c r="Q112" s="40">
        <v>3</v>
      </c>
      <c r="R112" s="40">
        <v>5</v>
      </c>
      <c r="S112" s="40">
        <v>7</v>
      </c>
      <c r="T112" s="40">
        <v>6</v>
      </c>
      <c r="U112" s="41">
        <v>2</v>
      </c>
      <c r="V112" s="40">
        <v>6</v>
      </c>
      <c r="W112" s="40">
        <v>10</v>
      </c>
      <c r="X112" s="40">
        <v>1</v>
      </c>
      <c r="Y112" s="41">
        <v>1</v>
      </c>
      <c r="Z112" s="40" t="s">
        <v>45</v>
      </c>
      <c r="AA112" s="40" t="s">
        <v>45</v>
      </c>
      <c r="AB112" s="40" t="s">
        <v>45</v>
      </c>
      <c r="AC112" s="40" t="s">
        <v>45</v>
      </c>
      <c r="AD112" s="40" t="s">
        <v>45</v>
      </c>
      <c r="AE112" s="40" t="s">
        <v>45</v>
      </c>
      <c r="AF112" s="40">
        <v>3</v>
      </c>
      <c r="AG112" s="41" t="s">
        <v>45</v>
      </c>
      <c r="AH112" s="40">
        <v>9</v>
      </c>
      <c r="AI112" s="40">
        <v>9</v>
      </c>
      <c r="AJ112" s="41">
        <v>9</v>
      </c>
      <c r="AK112" s="43" t="s">
        <v>1332</v>
      </c>
      <c r="AL112" s="43" t="s">
        <v>635</v>
      </c>
      <c r="AM112" s="44">
        <f t="shared" si="8"/>
        <v>-1.7774509321514844</v>
      </c>
      <c r="AN112" s="44">
        <f t="shared" si="9"/>
        <v>-0.24805910493901093</v>
      </c>
      <c r="AO112" s="45">
        <f t="shared" si="10"/>
        <v>5</v>
      </c>
      <c r="AP112" s="46">
        <f t="shared" si="11"/>
        <v>0</v>
      </c>
      <c r="AQ112" s="44">
        <f>($AM$3*AM112+$AN$3*AN112+$AO$3*AO112+$AP$3*AP112)+$I$3*VLOOKUP(I112,COND!$A$2:$E$7,4,FALSE)+$J$3*VLOOKUP(J112,COND!$A$2:$C$7,2,FALSE)+$K$3*VLOOKUP(K112,COND!$A$2:$C$7,3,FALSE)+IF(AND($B$2&gt;0,$E112&lt;20),$B$2*25,0)</f>
        <v>47.978878980850055</v>
      </c>
      <c r="AR112" s="47">
        <f t="shared" si="12"/>
        <v>0.85289243666435277</v>
      </c>
      <c r="AS112" s="45" t="str">
        <f t="shared" si="13"/>
        <v>CF</v>
      </c>
      <c r="AT112" s="45">
        <f>RANK(Batters[[#This Row],[zScore]],Batters[[#All],[zScore]])</f>
        <v>108</v>
      </c>
      <c r="AU112" s="45"/>
      <c r="AV112" s="45"/>
      <c r="AW112" s="45" t="str">
        <f t="shared" si="14"/>
        <v>Possible</v>
      </c>
      <c r="AX112" s="45"/>
      <c r="AY112" s="45">
        <f>INDEX(Table5[[#All],[Ovr]],MATCH(Batters[[#This Row],[PID]],Table5[[#All],[PID]],0))</f>
        <v>278</v>
      </c>
      <c r="AZ112" s="45" t="str">
        <f>INDEX(Table5[[#All],[Rnd]],MATCH(Batters[[#This Row],[PID]],Table5[[#All],[PID]],0))</f>
        <v>9</v>
      </c>
      <c r="BA112" s="45">
        <f>INDEX(Table5[[#All],[Pick]],MATCH(Batters[[#This Row],[PID]],Table5[[#All],[PID]],0))</f>
        <v>30</v>
      </c>
      <c r="BB112" s="45" t="str">
        <f>INDEX(Table5[[#All],[Team]],MATCH(Batters[[#This Row],[PID]],Table5[[#All],[PID]],0))</f>
        <v>Florida Farstriders</v>
      </c>
    </row>
    <row r="113" spans="1:54" ht="15" customHeight="1" x14ac:dyDescent="0.25">
      <c r="A113" s="40">
        <v>18229</v>
      </c>
      <c r="B113" s="40" t="s">
        <v>87</v>
      </c>
      <c r="C113" s="40" t="s">
        <v>1586</v>
      </c>
      <c r="D113" s="40" t="s">
        <v>1587</v>
      </c>
      <c r="E113" s="40">
        <v>18</v>
      </c>
      <c r="F113" s="40" t="s">
        <v>53</v>
      </c>
      <c r="G113" s="40" t="s">
        <v>42</v>
      </c>
      <c r="H113" s="41" t="s">
        <v>638</v>
      </c>
      <c r="I113" s="65" t="s">
        <v>43</v>
      </c>
      <c r="J113" s="66" t="s">
        <v>43</v>
      </c>
      <c r="K113" s="67" t="s">
        <v>44</v>
      </c>
      <c r="L113" s="40">
        <v>1</v>
      </c>
      <c r="M113" s="40">
        <v>2</v>
      </c>
      <c r="N113" s="40">
        <v>2</v>
      </c>
      <c r="O113" s="40">
        <v>2</v>
      </c>
      <c r="P113" s="41">
        <v>3</v>
      </c>
      <c r="Q113" s="40">
        <v>4</v>
      </c>
      <c r="R113" s="40">
        <v>4</v>
      </c>
      <c r="S113" s="40">
        <v>3</v>
      </c>
      <c r="T113" s="40">
        <v>5</v>
      </c>
      <c r="U113" s="41">
        <v>7</v>
      </c>
      <c r="V113" s="40">
        <v>8</v>
      </c>
      <c r="W113" s="40">
        <v>7</v>
      </c>
      <c r="X113" s="40">
        <v>1</v>
      </c>
      <c r="Y113" s="41">
        <v>1</v>
      </c>
      <c r="Z113" s="40" t="s">
        <v>45</v>
      </c>
      <c r="AA113" s="40">
        <v>3</v>
      </c>
      <c r="AB113" s="40" t="s">
        <v>45</v>
      </c>
      <c r="AC113" s="40">
        <v>1</v>
      </c>
      <c r="AD113" s="40" t="s">
        <v>45</v>
      </c>
      <c r="AE113" s="40" t="s">
        <v>45</v>
      </c>
      <c r="AF113" s="40" t="s">
        <v>45</v>
      </c>
      <c r="AG113" s="41" t="s">
        <v>45</v>
      </c>
      <c r="AH113" s="40">
        <v>9</v>
      </c>
      <c r="AI113" s="40">
        <v>9</v>
      </c>
      <c r="AJ113" s="41">
        <v>10</v>
      </c>
      <c r="AK113" s="43" t="s">
        <v>644</v>
      </c>
      <c r="AL113" s="43" t="s">
        <v>47</v>
      </c>
      <c r="AM113" s="44">
        <f t="shared" si="8"/>
        <v>-1.780479746541219</v>
      </c>
      <c r="AN113" s="44">
        <f t="shared" si="9"/>
        <v>-0.19843697537480953</v>
      </c>
      <c r="AO113" s="45">
        <f t="shared" si="10"/>
        <v>5</v>
      </c>
      <c r="AP113" s="46">
        <f t="shared" si="11"/>
        <v>0</v>
      </c>
      <c r="AQ113" s="44">
        <f>($AM$3*AM113+$AN$3*AN113+$AO$3*AO113+$AP$3*AP113)+$I$3*VLOOKUP(I113,COND!$A$2:$E$7,4,FALSE)+$J$3*VLOOKUP(J113,COND!$A$2:$C$7,2,FALSE)+$K$3*VLOOKUP(K113,COND!$A$2:$C$7,3,FALSE)+IF(AND($B$2&gt;0,$E113&lt;20),$B$2*25,0)</f>
        <v>47.974041654181491</v>
      </c>
      <c r="AR113" s="47">
        <f t="shared" si="12"/>
        <v>0.85181996864463827</v>
      </c>
      <c r="AS113" s="45" t="str">
        <f t="shared" si="13"/>
        <v>1B</v>
      </c>
      <c r="AT113" s="45">
        <f>RANK(Batters[[#This Row],[zScore]],Batters[[#All],[zScore]])</f>
        <v>109</v>
      </c>
      <c r="AU113" s="45"/>
      <c r="AV113" s="45"/>
      <c r="AW113" s="45" t="str">
        <f t="shared" si="14"/>
        <v>Unlikely</v>
      </c>
      <c r="AX113" s="45"/>
      <c r="AY113" s="45">
        <f>INDEX(Table5[[#All],[Ovr]],MATCH(Batters[[#This Row],[PID]],Table5[[#All],[PID]],0))</f>
        <v>395</v>
      </c>
      <c r="AZ113" s="45" t="str">
        <f>INDEX(Table5[[#All],[Rnd]],MATCH(Batters[[#This Row],[PID]],Table5[[#All],[PID]],0))</f>
        <v>13</v>
      </c>
      <c r="BA113" s="45">
        <f>INDEX(Table5[[#All],[Pick]],MATCH(Batters[[#This Row],[PID]],Table5[[#All],[PID]],0))</f>
        <v>27</v>
      </c>
      <c r="BB113" s="45" t="str">
        <f>INDEX(Table5[[#All],[Team]],MATCH(Batters[[#This Row],[PID]],Table5[[#All],[PID]],0))</f>
        <v>Neo-Tokyo Akira</v>
      </c>
    </row>
    <row r="114" spans="1:54" ht="15" customHeight="1" x14ac:dyDescent="0.25">
      <c r="A114" s="40">
        <v>18316</v>
      </c>
      <c r="B114" s="40" t="s">
        <v>71</v>
      </c>
      <c r="C114" s="40" t="s">
        <v>1230</v>
      </c>
      <c r="D114" s="40" t="s">
        <v>1299</v>
      </c>
      <c r="E114" s="40">
        <v>21</v>
      </c>
      <c r="F114" s="40" t="s">
        <v>53</v>
      </c>
      <c r="G114" s="40" t="s">
        <v>42</v>
      </c>
      <c r="H114" s="41" t="s">
        <v>634</v>
      </c>
      <c r="I114" s="65" t="s">
        <v>43</v>
      </c>
      <c r="J114" s="66" t="s">
        <v>43</v>
      </c>
      <c r="K114" s="67" t="s">
        <v>43</v>
      </c>
      <c r="L114" s="40">
        <v>4</v>
      </c>
      <c r="M114" s="40">
        <v>6</v>
      </c>
      <c r="N114" s="40">
        <v>3</v>
      </c>
      <c r="O114" s="40">
        <v>3</v>
      </c>
      <c r="P114" s="41">
        <v>5</v>
      </c>
      <c r="Q114" s="40">
        <v>5</v>
      </c>
      <c r="R114" s="40">
        <v>6</v>
      </c>
      <c r="S114" s="40">
        <v>3</v>
      </c>
      <c r="T114" s="40">
        <v>5</v>
      </c>
      <c r="U114" s="41">
        <v>6</v>
      </c>
      <c r="V114" s="40">
        <v>4</v>
      </c>
      <c r="W114" s="40">
        <v>1</v>
      </c>
      <c r="X114" s="40">
        <v>1</v>
      </c>
      <c r="Y114" s="41">
        <v>1</v>
      </c>
      <c r="Z114" s="40" t="s">
        <v>45</v>
      </c>
      <c r="AA114" s="40" t="s">
        <v>45</v>
      </c>
      <c r="AB114" s="40">
        <v>5</v>
      </c>
      <c r="AC114" s="40" t="s">
        <v>45</v>
      </c>
      <c r="AD114" s="40" t="s">
        <v>45</v>
      </c>
      <c r="AE114" s="40" t="s">
        <v>45</v>
      </c>
      <c r="AF114" s="40" t="s">
        <v>45</v>
      </c>
      <c r="AG114" s="41" t="s">
        <v>45</v>
      </c>
      <c r="AH114" s="40">
        <v>8</v>
      </c>
      <c r="AI114" s="40">
        <v>5</v>
      </c>
      <c r="AJ114" s="41">
        <v>5</v>
      </c>
      <c r="AK114" s="43" t="s">
        <v>45</v>
      </c>
      <c r="AL114" s="43" t="s">
        <v>47</v>
      </c>
      <c r="AM114" s="44">
        <f t="shared" si="8"/>
        <v>-0.35576899579073146</v>
      </c>
      <c r="AN114" s="44">
        <f t="shared" si="9"/>
        <v>0.18622228024818877</v>
      </c>
      <c r="AO114" s="45">
        <f t="shared" si="10"/>
        <v>1</v>
      </c>
      <c r="AP114" s="46">
        <f t="shared" si="11"/>
        <v>0.6</v>
      </c>
      <c r="AQ114" s="44">
        <f>($AM$3*AM114+$AN$3*AN114+$AO$3*AO114+$AP$3*AP114)+$I$3*VLOOKUP(I114,COND!$A$2:$E$7,4,FALSE)+$J$3*VLOOKUP(J114,COND!$A$2:$C$7,2,FALSE)+$K$3*VLOOKUP(K114,COND!$A$2:$C$7,3,FALSE)+IF(AND($B$2&gt;0,$E114&lt;20),$B$2*25,0)</f>
        <v>47.96575713006586</v>
      </c>
      <c r="AR114" s="47">
        <f t="shared" si="12"/>
        <v>0.84998323365001693</v>
      </c>
      <c r="AS114" s="45" t="str">
        <f t="shared" si="13"/>
        <v>2B</v>
      </c>
      <c r="AT114" s="45">
        <f>RANK(Batters[[#This Row],[zScore]],Batters[[#All],[zScore]])</f>
        <v>110</v>
      </c>
      <c r="AU114" s="45"/>
      <c r="AV114" s="45"/>
      <c r="AW114" s="45" t="str">
        <f t="shared" si="14"/>
        <v>Unlikely</v>
      </c>
      <c r="AX114" s="45"/>
      <c r="AY114" s="45">
        <f>INDEX(Table5[[#All],[Ovr]],MATCH(Batters[[#This Row],[PID]],Table5[[#All],[PID]],0))</f>
        <v>88</v>
      </c>
      <c r="AZ114" s="45" t="str">
        <f>INDEX(Table5[[#All],[Rnd]],MATCH(Batters[[#This Row],[PID]],Table5[[#All],[PID]],0))</f>
        <v>3</v>
      </c>
      <c r="BA114" s="45">
        <f>INDEX(Table5[[#All],[Pick]],MATCH(Batters[[#This Row],[PID]],Table5[[#All],[PID]],0))</f>
        <v>20</v>
      </c>
      <c r="BB114" s="45" t="str">
        <f>INDEX(Table5[[#All],[Team]],MATCH(Batters[[#This Row],[PID]],Table5[[#All],[PID]],0))</f>
        <v>West Virginia Alleghenies</v>
      </c>
    </row>
    <row r="115" spans="1:54" ht="15" customHeight="1" x14ac:dyDescent="0.25">
      <c r="A115" s="40">
        <v>20571</v>
      </c>
      <c r="B115" s="40" t="s">
        <v>66</v>
      </c>
      <c r="C115" s="40" t="s">
        <v>756</v>
      </c>
      <c r="D115" s="40" t="s">
        <v>1179</v>
      </c>
      <c r="E115" s="40">
        <v>18</v>
      </c>
      <c r="F115" s="40" t="s">
        <v>53</v>
      </c>
      <c r="G115" s="40" t="s">
        <v>53</v>
      </c>
      <c r="H115" s="41" t="s">
        <v>633</v>
      </c>
      <c r="I115" s="65" t="s">
        <v>43</v>
      </c>
      <c r="J115" s="66" t="s">
        <v>43</v>
      </c>
      <c r="K115" s="67" t="s">
        <v>44</v>
      </c>
      <c r="L115" s="40">
        <v>1</v>
      </c>
      <c r="M115" s="40">
        <v>2</v>
      </c>
      <c r="N115" s="40">
        <v>5</v>
      </c>
      <c r="O115" s="40">
        <v>3</v>
      </c>
      <c r="P115" s="41">
        <v>1</v>
      </c>
      <c r="Q115" s="40">
        <v>3</v>
      </c>
      <c r="R115" s="40">
        <v>4</v>
      </c>
      <c r="S115" s="40">
        <v>9</v>
      </c>
      <c r="T115" s="40">
        <v>6</v>
      </c>
      <c r="U115" s="41">
        <v>2</v>
      </c>
      <c r="V115" s="40">
        <v>5</v>
      </c>
      <c r="W115" s="40">
        <v>8</v>
      </c>
      <c r="X115" s="40">
        <v>1</v>
      </c>
      <c r="Y115" s="41">
        <v>1</v>
      </c>
      <c r="Z115" s="40" t="s">
        <v>45</v>
      </c>
      <c r="AA115" s="40" t="s">
        <v>45</v>
      </c>
      <c r="AB115" s="40" t="s">
        <v>45</v>
      </c>
      <c r="AC115" s="40" t="s">
        <v>45</v>
      </c>
      <c r="AD115" s="40" t="s">
        <v>45</v>
      </c>
      <c r="AE115" s="40">
        <v>1</v>
      </c>
      <c r="AF115" s="40">
        <v>1</v>
      </c>
      <c r="AG115" s="41">
        <v>2</v>
      </c>
      <c r="AH115" s="40">
        <v>3</v>
      </c>
      <c r="AI115" s="40">
        <v>5</v>
      </c>
      <c r="AJ115" s="41">
        <v>5</v>
      </c>
      <c r="AK115" s="43" t="s">
        <v>553</v>
      </c>
      <c r="AL115" s="43" t="s">
        <v>47</v>
      </c>
      <c r="AM115" s="44">
        <f t="shared" si="8"/>
        <v>-1.5216183940940999</v>
      </c>
      <c r="AN115" s="44">
        <f t="shared" si="9"/>
        <v>-0.13299599650991142</v>
      </c>
      <c r="AO115" s="45">
        <f t="shared" si="10"/>
        <v>0</v>
      </c>
      <c r="AP115" s="46">
        <f t="shared" si="11"/>
        <v>0</v>
      </c>
      <c r="AQ115" s="44">
        <f>($AM$3*AM115+$AN$3*AN115+$AO$3*AO115+$AP$3*AP115)+$I$3*VLOOKUP(I115,COND!$A$2:$E$7,4,FALSE)+$J$3*VLOOKUP(J115,COND!$A$2:$C$7,2,FALSE)+$K$3*VLOOKUP(K115,COND!$A$2:$C$7,3,FALSE)+IF(AND($B$2&gt;0,$E115&lt;20),$B$2*25,0)</f>
        <v>47.951886202471655</v>
      </c>
      <c r="AR115" s="47">
        <f t="shared" si="12"/>
        <v>0.84690795524361273</v>
      </c>
      <c r="AS115" s="45" t="str">
        <f t="shared" si="13"/>
        <v>RF</v>
      </c>
      <c r="AT115" s="45">
        <f>RANK(Batters[[#This Row],[zScore]],Batters[[#All],[zScore]])</f>
        <v>111</v>
      </c>
      <c r="AU115" s="45"/>
      <c r="AV115" s="45"/>
      <c r="AW115" s="45" t="str">
        <f t="shared" si="14"/>
        <v>Possible</v>
      </c>
      <c r="AX115" s="45"/>
      <c r="AY115" s="45">
        <f>INDEX(Table5[[#All],[Ovr]],MATCH(Batters[[#This Row],[PID]],Table5[[#All],[PID]],0))</f>
        <v>177</v>
      </c>
      <c r="AZ115" s="45" t="str">
        <f>INDEX(Table5[[#All],[Rnd]],MATCH(Batters[[#This Row],[PID]],Table5[[#All],[PID]],0))</f>
        <v>6</v>
      </c>
      <c r="BA115" s="45">
        <f>INDEX(Table5[[#All],[Pick]],MATCH(Batters[[#This Row],[PID]],Table5[[#All],[PID]],0))</f>
        <v>19</v>
      </c>
      <c r="BB115" s="45" t="str">
        <f>INDEX(Table5[[#All],[Team]],MATCH(Batters[[#This Row],[PID]],Table5[[#All],[PID]],0))</f>
        <v>Kalamazoo Badgers</v>
      </c>
    </row>
    <row r="116" spans="1:54" ht="15" customHeight="1" x14ac:dyDescent="0.25">
      <c r="A116" s="40">
        <v>14736</v>
      </c>
      <c r="B116" s="40" t="s">
        <v>69</v>
      </c>
      <c r="C116" s="40" t="s">
        <v>1268</v>
      </c>
      <c r="D116" s="40" t="s">
        <v>1269</v>
      </c>
      <c r="E116" s="40">
        <v>18</v>
      </c>
      <c r="F116" s="40" t="s">
        <v>42</v>
      </c>
      <c r="G116" s="40" t="s">
        <v>42</v>
      </c>
      <c r="H116" s="41" t="s">
        <v>634</v>
      </c>
      <c r="I116" s="65" t="s">
        <v>44</v>
      </c>
      <c r="J116" s="66" t="s">
        <v>43</v>
      </c>
      <c r="K116" s="67" t="s">
        <v>43</v>
      </c>
      <c r="L116" s="40">
        <v>2</v>
      </c>
      <c r="M116" s="40">
        <v>3</v>
      </c>
      <c r="N116" s="40">
        <v>3</v>
      </c>
      <c r="O116" s="40">
        <v>1</v>
      </c>
      <c r="P116" s="41">
        <v>2</v>
      </c>
      <c r="Q116" s="40">
        <v>4</v>
      </c>
      <c r="R116" s="40">
        <v>6</v>
      </c>
      <c r="S116" s="40">
        <v>4</v>
      </c>
      <c r="T116" s="40">
        <v>2</v>
      </c>
      <c r="U116" s="41">
        <v>7</v>
      </c>
      <c r="V116" s="40">
        <v>9</v>
      </c>
      <c r="W116" s="40">
        <v>9</v>
      </c>
      <c r="X116" s="40">
        <v>1</v>
      </c>
      <c r="Y116" s="41">
        <v>1</v>
      </c>
      <c r="Z116" s="40" t="s">
        <v>45</v>
      </c>
      <c r="AA116" s="40" t="s">
        <v>45</v>
      </c>
      <c r="AB116" s="40" t="s">
        <v>45</v>
      </c>
      <c r="AC116" s="40">
        <v>5</v>
      </c>
      <c r="AD116" s="40" t="s">
        <v>45</v>
      </c>
      <c r="AE116" s="40" t="s">
        <v>45</v>
      </c>
      <c r="AF116" s="40" t="s">
        <v>45</v>
      </c>
      <c r="AG116" s="41" t="s">
        <v>45</v>
      </c>
      <c r="AH116" s="40">
        <v>8</v>
      </c>
      <c r="AI116" s="40">
        <v>8</v>
      </c>
      <c r="AJ116" s="41">
        <v>10</v>
      </c>
      <c r="AK116" s="43" t="s">
        <v>670</v>
      </c>
      <c r="AL116" s="43" t="s">
        <v>47</v>
      </c>
      <c r="AM116" s="44">
        <f t="shared" si="8"/>
        <v>-1.4535284265226038</v>
      </c>
      <c r="AN116" s="44">
        <f t="shared" si="9"/>
        <v>-0.2823843721422441</v>
      </c>
      <c r="AO116" s="45">
        <f t="shared" si="10"/>
        <v>5</v>
      </c>
      <c r="AP116" s="46">
        <f t="shared" si="11"/>
        <v>0.75</v>
      </c>
      <c r="AQ116" s="44">
        <f>($AM$3*AM116+$AN$3*AN116+$AO$3*AO116+$AP$3*AP116)+$I$3*VLOOKUP(I116,COND!$A$2:$E$7,4,FALSE)+$J$3*VLOOKUP(J116,COND!$A$2:$C$7,2,FALSE)+$K$3*VLOOKUP(K116,COND!$A$2:$C$7,3,FALSE)+IF(AND($B$2&gt;0,$E116&lt;20),$B$2*25,0)</f>
        <v>47.899368024974144</v>
      </c>
      <c r="AR116" s="47">
        <f t="shared" si="12"/>
        <v>0.83526432030248032</v>
      </c>
      <c r="AS116" s="45" t="str">
        <f t="shared" si="13"/>
        <v>3B</v>
      </c>
      <c r="AT116" s="45">
        <f>RANK(Batters[[#This Row],[zScore]],Batters[[#All],[zScore]])</f>
        <v>112</v>
      </c>
      <c r="AU116" s="45"/>
      <c r="AV116" s="45"/>
      <c r="AW116" s="45" t="str">
        <f t="shared" si="14"/>
        <v>Unlikely</v>
      </c>
      <c r="AX116" s="45"/>
      <c r="AY116" s="45">
        <f>INDEX(Table5[[#All],[Ovr]],MATCH(Batters[[#This Row],[PID]],Table5[[#All],[PID]],0))</f>
        <v>79</v>
      </c>
      <c r="AZ116" s="45" t="str">
        <f>INDEX(Table5[[#All],[Rnd]],MATCH(Batters[[#This Row],[PID]],Table5[[#All],[PID]],0))</f>
        <v>3</v>
      </c>
      <c r="BA116" s="45">
        <f>INDEX(Table5[[#All],[Pick]],MATCH(Batters[[#This Row],[PID]],Table5[[#All],[PID]],0))</f>
        <v>11</v>
      </c>
      <c r="BB116" s="45" t="str">
        <f>INDEX(Table5[[#All],[Team]],MATCH(Batters[[#This Row],[PID]],Table5[[#All],[PID]],0))</f>
        <v>Duluth Warriors</v>
      </c>
    </row>
    <row r="117" spans="1:54" ht="15" customHeight="1" x14ac:dyDescent="0.25">
      <c r="A117" s="40">
        <v>20258</v>
      </c>
      <c r="B117" s="40" t="s">
        <v>66</v>
      </c>
      <c r="C117" s="40" t="s">
        <v>1193</v>
      </c>
      <c r="D117" s="40" t="s">
        <v>1194</v>
      </c>
      <c r="E117" s="40">
        <v>21</v>
      </c>
      <c r="F117" s="40" t="s">
        <v>53</v>
      </c>
      <c r="G117" s="40" t="s">
        <v>53</v>
      </c>
      <c r="H117" s="41" t="s">
        <v>633</v>
      </c>
      <c r="I117" s="65" t="s">
        <v>43</v>
      </c>
      <c r="J117" s="66" t="s">
        <v>44</v>
      </c>
      <c r="K117" s="67" t="s">
        <v>43</v>
      </c>
      <c r="L117" s="40">
        <v>2</v>
      </c>
      <c r="M117" s="40">
        <v>6</v>
      </c>
      <c r="N117" s="40">
        <v>6</v>
      </c>
      <c r="O117" s="40">
        <v>4</v>
      </c>
      <c r="P117" s="41">
        <v>1</v>
      </c>
      <c r="Q117" s="40">
        <v>4</v>
      </c>
      <c r="R117" s="40">
        <v>7</v>
      </c>
      <c r="S117" s="40">
        <v>8</v>
      </c>
      <c r="T117" s="40">
        <v>6</v>
      </c>
      <c r="U117" s="41">
        <v>2</v>
      </c>
      <c r="V117" s="40">
        <v>7</v>
      </c>
      <c r="W117" s="40">
        <v>8</v>
      </c>
      <c r="X117" s="40">
        <v>1</v>
      </c>
      <c r="Y117" s="41">
        <v>1</v>
      </c>
      <c r="Z117" s="40" t="s">
        <v>45</v>
      </c>
      <c r="AA117" s="40">
        <v>2</v>
      </c>
      <c r="AB117" s="40" t="s">
        <v>45</v>
      </c>
      <c r="AC117" s="40" t="s">
        <v>45</v>
      </c>
      <c r="AD117" s="40" t="s">
        <v>45</v>
      </c>
      <c r="AE117" s="40">
        <v>2</v>
      </c>
      <c r="AF117" s="40">
        <v>1</v>
      </c>
      <c r="AG117" s="41">
        <v>4</v>
      </c>
      <c r="AH117" s="40">
        <v>4</v>
      </c>
      <c r="AI117" s="40">
        <v>4</v>
      </c>
      <c r="AJ117" s="41">
        <v>3</v>
      </c>
      <c r="AK117" s="43" t="s">
        <v>573</v>
      </c>
      <c r="AL117" s="43" t="s">
        <v>635</v>
      </c>
      <c r="AM117" s="44">
        <f t="shared" si="8"/>
        <v>-0.82205199538312934</v>
      </c>
      <c r="AN117" s="44">
        <f t="shared" si="9"/>
        <v>0.25967798452497232</v>
      </c>
      <c r="AO117" s="45">
        <f t="shared" si="10"/>
        <v>0</v>
      </c>
      <c r="AP117" s="46">
        <f t="shared" si="11"/>
        <v>0</v>
      </c>
      <c r="AQ117" s="44">
        <f>($AM$3*AM117+$AN$3*AN117+$AO$3*AO117+$AP$3*AP117)+$I$3*VLOOKUP(I117,COND!$A$2:$E$7,4,FALSE)+$J$3*VLOOKUP(J117,COND!$A$2:$C$7,2,FALSE)+$K$3*VLOOKUP(K117,COND!$A$2:$C$7,3,FALSE)+IF(AND($B$2&gt;0,$E117&lt;20),$B$2*25,0)</f>
        <v>47.733930614761348</v>
      </c>
      <c r="AR117" s="47">
        <f t="shared" si="12"/>
        <v>0.79858572820519247</v>
      </c>
      <c r="AS117" s="45" t="str">
        <f t="shared" si="13"/>
        <v>RF</v>
      </c>
      <c r="AT117" s="45">
        <f>RANK(Batters[[#This Row],[zScore]],Batters[[#All],[zScore]])</f>
        <v>113</v>
      </c>
      <c r="AU117" s="45"/>
      <c r="AV117" s="45"/>
      <c r="AW117" s="45" t="str">
        <f t="shared" si="14"/>
        <v>Possible</v>
      </c>
      <c r="AX117" s="45"/>
      <c r="AY117" s="45">
        <f>INDEX(Table5[[#All],[Ovr]],MATCH(Batters[[#This Row],[PID]],Table5[[#All],[PID]],0))</f>
        <v>142</v>
      </c>
      <c r="AZ117" s="45" t="str">
        <f>INDEX(Table5[[#All],[Rnd]],MATCH(Batters[[#This Row],[PID]],Table5[[#All],[PID]],0))</f>
        <v>5</v>
      </c>
      <c r="BA117" s="45">
        <f>INDEX(Table5[[#All],[Pick]],MATCH(Batters[[#This Row],[PID]],Table5[[#All],[PID]],0))</f>
        <v>14</v>
      </c>
      <c r="BB117" s="45" t="str">
        <f>INDEX(Table5[[#All],[Team]],MATCH(Batters[[#This Row],[PID]],Table5[[#All],[PID]],0))</f>
        <v>Yuma Arroyos</v>
      </c>
    </row>
    <row r="118" spans="1:54" ht="15" customHeight="1" x14ac:dyDescent="0.25">
      <c r="A118" s="40">
        <v>20870</v>
      </c>
      <c r="B118" s="40" t="s">
        <v>74</v>
      </c>
      <c r="C118" s="40" t="s">
        <v>737</v>
      </c>
      <c r="D118" s="40" t="s">
        <v>699</v>
      </c>
      <c r="E118" s="40">
        <v>18</v>
      </c>
      <c r="F118" s="40" t="s">
        <v>53</v>
      </c>
      <c r="G118" s="40" t="s">
        <v>53</v>
      </c>
      <c r="H118" s="41" t="s">
        <v>638</v>
      </c>
      <c r="I118" s="65" t="s">
        <v>43</v>
      </c>
      <c r="J118" s="66" t="s">
        <v>47</v>
      </c>
      <c r="K118" s="67" t="s">
        <v>43</v>
      </c>
      <c r="L118" s="40">
        <v>1</v>
      </c>
      <c r="M118" s="40">
        <v>3</v>
      </c>
      <c r="N118" s="40">
        <v>2</v>
      </c>
      <c r="O118" s="40">
        <v>2</v>
      </c>
      <c r="P118" s="41">
        <v>1</v>
      </c>
      <c r="Q118" s="40">
        <v>4</v>
      </c>
      <c r="R118" s="40">
        <v>5</v>
      </c>
      <c r="S118" s="40">
        <v>3</v>
      </c>
      <c r="T118" s="40">
        <v>5</v>
      </c>
      <c r="U118" s="41">
        <v>5</v>
      </c>
      <c r="V118" s="40">
        <v>8</v>
      </c>
      <c r="W118" s="40">
        <v>10</v>
      </c>
      <c r="X118" s="40">
        <v>1</v>
      </c>
      <c r="Y118" s="41">
        <v>1</v>
      </c>
      <c r="Z118" s="40" t="s">
        <v>45</v>
      </c>
      <c r="AA118" s="40" t="s">
        <v>45</v>
      </c>
      <c r="AB118" s="40" t="s">
        <v>45</v>
      </c>
      <c r="AC118" s="40" t="s">
        <v>45</v>
      </c>
      <c r="AD118" s="40" t="s">
        <v>45</v>
      </c>
      <c r="AE118" s="40">
        <v>1</v>
      </c>
      <c r="AF118" s="40">
        <v>3</v>
      </c>
      <c r="AG118" s="41">
        <v>3</v>
      </c>
      <c r="AH118" s="40">
        <v>9</v>
      </c>
      <c r="AI118" s="40">
        <v>7</v>
      </c>
      <c r="AJ118" s="41">
        <v>5</v>
      </c>
      <c r="AK118" s="43" t="s">
        <v>553</v>
      </c>
      <c r="AL118" s="43" t="s">
        <v>635</v>
      </c>
      <c r="AM118" s="44">
        <f t="shared" si="8"/>
        <v>-1.8094525465566824</v>
      </c>
      <c r="AN118" s="44">
        <f t="shared" si="9"/>
        <v>-0.22740977539027288</v>
      </c>
      <c r="AO118" s="45">
        <f t="shared" si="10"/>
        <v>2</v>
      </c>
      <c r="AP118" s="46">
        <f t="shared" si="11"/>
        <v>0</v>
      </c>
      <c r="AQ118" s="44">
        <f>($AM$3*AM118+$AN$3*AN118+$AO$3*AO118+$AP$3*AP118)+$I$3*VLOOKUP(I118,COND!$A$2:$E$7,4,FALSE)+$J$3*VLOOKUP(J118,COND!$A$2:$C$7,2,FALSE)+$K$3*VLOOKUP(K118,COND!$A$2:$C$7,3,FALSE)+IF(AND($B$2&gt;0,$E118&lt;20),$B$2*25,0)</f>
        <v>47.723470773994393</v>
      </c>
      <c r="AR118" s="47">
        <f t="shared" si="12"/>
        <v>0.79626671080519651</v>
      </c>
      <c r="AS118" s="45" t="str">
        <f t="shared" si="13"/>
        <v>CF</v>
      </c>
      <c r="AT118" s="45">
        <f>RANK(Batters[[#This Row],[zScore]],Batters[[#All],[zScore]])</f>
        <v>114</v>
      </c>
      <c r="AU118" s="45"/>
      <c r="AV118" s="45"/>
      <c r="AW118" s="45" t="str">
        <f t="shared" si="14"/>
        <v>Unlikely</v>
      </c>
      <c r="AX118" s="45"/>
      <c r="AY118" s="45">
        <f>INDEX(Table5[[#All],[Ovr]],MATCH(Batters[[#This Row],[PID]],Table5[[#All],[PID]],0))</f>
        <v>325</v>
      </c>
      <c r="AZ118" s="45" t="str">
        <f>INDEX(Table5[[#All],[Rnd]],MATCH(Batters[[#This Row],[PID]],Table5[[#All],[PID]],0))</f>
        <v>11</v>
      </c>
      <c r="BA118" s="45">
        <f>INDEX(Table5[[#All],[Pick]],MATCH(Batters[[#This Row],[PID]],Table5[[#All],[PID]],0))</f>
        <v>17</v>
      </c>
      <c r="BB118" s="45" t="str">
        <f>INDEX(Table5[[#All],[Team]],MATCH(Batters[[#This Row],[PID]],Table5[[#All],[PID]],0))</f>
        <v>Madison Malts</v>
      </c>
    </row>
    <row r="119" spans="1:54" ht="15" customHeight="1" x14ac:dyDescent="0.25">
      <c r="A119" s="40">
        <v>18284</v>
      </c>
      <c r="B119" s="40" t="s">
        <v>87</v>
      </c>
      <c r="C119" s="40" t="s">
        <v>1175</v>
      </c>
      <c r="D119" s="40" t="s">
        <v>814</v>
      </c>
      <c r="E119" s="40">
        <v>21</v>
      </c>
      <c r="F119" s="40" t="s">
        <v>42</v>
      </c>
      <c r="G119" s="40" t="s">
        <v>53</v>
      </c>
      <c r="H119" s="41" t="s">
        <v>633</v>
      </c>
      <c r="I119" s="65" t="s">
        <v>44</v>
      </c>
      <c r="J119" s="66" t="s">
        <v>43</v>
      </c>
      <c r="K119" s="67" t="s">
        <v>43</v>
      </c>
      <c r="L119" s="40">
        <v>2</v>
      </c>
      <c r="M119" s="40">
        <v>4</v>
      </c>
      <c r="N119" s="40">
        <v>4</v>
      </c>
      <c r="O119" s="40">
        <v>3</v>
      </c>
      <c r="P119" s="41">
        <v>1</v>
      </c>
      <c r="Q119" s="40">
        <v>4</v>
      </c>
      <c r="R119" s="40">
        <v>6</v>
      </c>
      <c r="S119" s="40">
        <v>8</v>
      </c>
      <c r="T119" s="40">
        <v>6</v>
      </c>
      <c r="U119" s="41">
        <v>3</v>
      </c>
      <c r="V119" s="40">
        <v>7</v>
      </c>
      <c r="W119" s="40">
        <v>8</v>
      </c>
      <c r="X119" s="40">
        <v>1</v>
      </c>
      <c r="Y119" s="41">
        <v>1</v>
      </c>
      <c r="Z119" s="40" t="s">
        <v>45</v>
      </c>
      <c r="AA119" s="40">
        <v>3</v>
      </c>
      <c r="AB119" s="40" t="s">
        <v>45</v>
      </c>
      <c r="AC119" s="40" t="s">
        <v>45</v>
      </c>
      <c r="AD119" s="40" t="s">
        <v>45</v>
      </c>
      <c r="AE119" s="40" t="s">
        <v>45</v>
      </c>
      <c r="AF119" s="40" t="s">
        <v>45</v>
      </c>
      <c r="AG119" s="41" t="s">
        <v>45</v>
      </c>
      <c r="AH119" s="40">
        <v>3</v>
      </c>
      <c r="AI119" s="40">
        <v>4</v>
      </c>
      <c r="AJ119" s="41">
        <v>1</v>
      </c>
      <c r="AK119" s="43" t="s">
        <v>643</v>
      </c>
      <c r="AL119" s="43" t="s">
        <v>47</v>
      </c>
      <c r="AM119" s="44">
        <f t="shared" si="8"/>
        <v>-1.1800042926779204</v>
      </c>
      <c r="AN119" s="44">
        <f t="shared" si="9"/>
        <v>0.24863444472335228</v>
      </c>
      <c r="AO119" s="45">
        <f t="shared" si="10"/>
        <v>0</v>
      </c>
      <c r="AP119" s="46">
        <f t="shared" si="11"/>
        <v>0</v>
      </c>
      <c r="AQ119" s="44">
        <f>($AM$3*AM119+$AN$3*AN119+$AO$3*AO119+$AP$3*AP119)+$I$3*VLOOKUP(I119,COND!$A$2:$E$7,4,FALSE)+$J$3*VLOOKUP(J119,COND!$A$2:$C$7,2,FALSE)+$K$3*VLOOKUP(K119,COND!$A$2:$C$7,3,FALSE)+IF(AND($B$2&gt;0,$E119&lt;20),$B$2*25,0)</f>
        <v>47.715612907412435</v>
      </c>
      <c r="AR119" s="47">
        <f t="shared" si="12"/>
        <v>0.79452456866972776</v>
      </c>
      <c r="AS119" s="45" t="str">
        <f t="shared" si="13"/>
        <v>1B</v>
      </c>
      <c r="AT119" s="45">
        <f>RANK(Batters[[#This Row],[zScore]],Batters[[#All],[zScore]])</f>
        <v>115</v>
      </c>
      <c r="AU119" s="45"/>
      <c r="AV119" s="45"/>
      <c r="AW119" s="45" t="str">
        <f t="shared" si="14"/>
        <v>Possible</v>
      </c>
      <c r="AX119" s="45"/>
      <c r="AY119" s="45">
        <f>INDEX(Table5[[#All],[Ovr]],MATCH(Batters[[#This Row],[PID]],Table5[[#All],[PID]],0))</f>
        <v>275</v>
      </c>
      <c r="AZ119" s="45" t="str">
        <f>INDEX(Table5[[#All],[Rnd]],MATCH(Batters[[#This Row],[PID]],Table5[[#All],[PID]],0))</f>
        <v>9</v>
      </c>
      <c r="BA119" s="45">
        <f>INDEX(Table5[[#All],[Pick]],MATCH(Batters[[#This Row],[PID]],Table5[[#All],[PID]],0))</f>
        <v>27</v>
      </c>
      <c r="BB119" s="45" t="str">
        <f>INDEX(Table5[[#All],[Team]],MATCH(Batters[[#This Row],[PID]],Table5[[#All],[PID]],0))</f>
        <v>Neo-Tokyo Akira</v>
      </c>
    </row>
    <row r="120" spans="1:54" ht="15" customHeight="1" x14ac:dyDescent="0.25">
      <c r="A120" s="40">
        <v>20738</v>
      </c>
      <c r="B120" s="40" t="s">
        <v>86</v>
      </c>
      <c r="C120" s="40" t="s">
        <v>187</v>
      </c>
      <c r="D120" s="40" t="s">
        <v>1224</v>
      </c>
      <c r="E120" s="40">
        <v>18</v>
      </c>
      <c r="F120" s="40" t="s">
        <v>42</v>
      </c>
      <c r="G120" s="40" t="s">
        <v>42</v>
      </c>
      <c r="H120" s="41" t="s">
        <v>634</v>
      </c>
      <c r="I120" s="65" t="s">
        <v>43</v>
      </c>
      <c r="J120" s="66" t="s">
        <v>47</v>
      </c>
      <c r="K120" s="67" t="s">
        <v>43</v>
      </c>
      <c r="L120" s="40">
        <v>1</v>
      </c>
      <c r="M120" s="40">
        <v>3</v>
      </c>
      <c r="N120" s="40">
        <v>3</v>
      </c>
      <c r="O120" s="40">
        <v>2</v>
      </c>
      <c r="P120" s="41">
        <v>1</v>
      </c>
      <c r="Q120" s="40">
        <v>3</v>
      </c>
      <c r="R120" s="40">
        <v>7</v>
      </c>
      <c r="S120" s="40">
        <v>6</v>
      </c>
      <c r="T120" s="40">
        <v>6</v>
      </c>
      <c r="U120" s="41">
        <v>2</v>
      </c>
      <c r="V120" s="40">
        <v>2</v>
      </c>
      <c r="W120" s="40">
        <v>1</v>
      </c>
      <c r="X120" s="40">
        <v>3</v>
      </c>
      <c r="Y120" s="41">
        <v>7</v>
      </c>
      <c r="Z120" s="40" t="s">
        <v>45</v>
      </c>
      <c r="AA120" s="40" t="s">
        <v>45</v>
      </c>
      <c r="AB120" s="40" t="s">
        <v>45</v>
      </c>
      <c r="AC120" s="40" t="s">
        <v>45</v>
      </c>
      <c r="AD120" s="40" t="s">
        <v>45</v>
      </c>
      <c r="AE120" s="40" t="s">
        <v>45</v>
      </c>
      <c r="AF120" s="40" t="s">
        <v>45</v>
      </c>
      <c r="AG120" s="41" t="s">
        <v>45</v>
      </c>
      <c r="AH120" s="40">
        <v>8</v>
      </c>
      <c r="AI120" s="40">
        <v>6</v>
      </c>
      <c r="AJ120" s="41">
        <v>6</v>
      </c>
      <c r="AK120" s="43" t="s">
        <v>554</v>
      </c>
      <c r="AL120" s="43" t="s">
        <v>47</v>
      </c>
      <c r="AM120" s="44">
        <f t="shared" si="8"/>
        <v>-1.726391052532781</v>
      </c>
      <c r="AN120" s="44">
        <f t="shared" si="9"/>
        <v>-0.22900083972550547</v>
      </c>
      <c r="AO120" s="45">
        <f t="shared" si="10"/>
        <v>1</v>
      </c>
      <c r="AP120" s="46">
        <f t="shared" si="11"/>
        <v>0</v>
      </c>
      <c r="AQ120" s="44">
        <f>($AM$3*AM120+$AN$3*AN120+$AO$3*AO120+$AP$3*AP120)+$I$3*VLOOKUP(I120,COND!$A$2:$E$7,4,FALSE)+$J$3*VLOOKUP(J120,COND!$A$2:$C$7,2,FALSE)+$K$3*VLOOKUP(K120,COND!$A$2:$C$7,3,FALSE)+IF(AND($B$2&gt;0,$E120&lt;20),$B$2*25,0)</f>
        <v>47.54601748470732</v>
      </c>
      <c r="AR120" s="47">
        <f t="shared" si="12"/>
        <v>0.75692411709733676</v>
      </c>
      <c r="AS120" s="45" t="str">
        <f t="shared" si="13"/>
        <v>DH</v>
      </c>
      <c r="AT120" s="45">
        <f>RANK(Batters[[#This Row],[zScore]],Batters[[#All],[zScore]])</f>
        <v>116</v>
      </c>
      <c r="AU120" s="45"/>
      <c r="AV120" s="45"/>
      <c r="AW120" s="45" t="str">
        <f t="shared" si="14"/>
        <v>Unlikely</v>
      </c>
      <c r="AX120" s="45"/>
      <c r="AY120" s="45">
        <f>INDEX(Table5[[#All],[Ovr]],MATCH(Batters[[#This Row],[PID]],Table5[[#All],[PID]],0))</f>
        <v>287</v>
      </c>
      <c r="AZ120" s="45" t="str">
        <f>INDEX(Table5[[#All],[Rnd]],MATCH(Batters[[#This Row],[PID]],Table5[[#All],[PID]],0))</f>
        <v>10</v>
      </c>
      <c r="BA120" s="45">
        <f>INDEX(Table5[[#All],[Pick]],MATCH(Batters[[#This Row],[PID]],Table5[[#All],[PID]],0))</f>
        <v>9</v>
      </c>
      <c r="BB120" s="45" t="str">
        <f>INDEX(Table5[[#All],[Team]],MATCH(Batters[[#This Row],[PID]],Table5[[#All],[PID]],0))</f>
        <v>Scottish Claymores</v>
      </c>
    </row>
    <row r="121" spans="1:54" ht="15" customHeight="1" x14ac:dyDescent="0.25">
      <c r="A121" s="40">
        <v>18286</v>
      </c>
      <c r="B121" s="40" t="s">
        <v>71</v>
      </c>
      <c r="C121" s="40" t="s">
        <v>545</v>
      </c>
      <c r="D121" s="40" t="s">
        <v>1196</v>
      </c>
      <c r="E121" s="40">
        <v>21</v>
      </c>
      <c r="F121" s="40" t="s">
        <v>42</v>
      </c>
      <c r="G121" s="40" t="s">
        <v>42</v>
      </c>
      <c r="H121" s="41" t="s">
        <v>633</v>
      </c>
      <c r="I121" s="65" t="s">
        <v>43</v>
      </c>
      <c r="J121" s="66" t="s">
        <v>43</v>
      </c>
      <c r="K121" s="67" t="s">
        <v>47</v>
      </c>
      <c r="L121" s="40">
        <v>3</v>
      </c>
      <c r="M121" s="40">
        <v>6</v>
      </c>
      <c r="N121" s="40">
        <v>4</v>
      </c>
      <c r="O121" s="40">
        <v>5</v>
      </c>
      <c r="P121" s="41">
        <v>2</v>
      </c>
      <c r="Q121" s="40">
        <v>4</v>
      </c>
      <c r="R121" s="40">
        <v>7</v>
      </c>
      <c r="S121" s="40">
        <v>5</v>
      </c>
      <c r="T121" s="40">
        <v>7</v>
      </c>
      <c r="U121" s="41">
        <v>3</v>
      </c>
      <c r="V121" s="40">
        <v>3</v>
      </c>
      <c r="W121" s="40">
        <v>2</v>
      </c>
      <c r="X121" s="40">
        <v>1</v>
      </c>
      <c r="Y121" s="41">
        <v>1</v>
      </c>
      <c r="Z121" s="40" t="s">
        <v>45</v>
      </c>
      <c r="AA121" s="40" t="s">
        <v>45</v>
      </c>
      <c r="AB121" s="40">
        <v>5</v>
      </c>
      <c r="AC121" s="40" t="s">
        <v>45</v>
      </c>
      <c r="AD121" s="40" t="s">
        <v>45</v>
      </c>
      <c r="AE121" s="40" t="s">
        <v>45</v>
      </c>
      <c r="AF121" s="40" t="s">
        <v>45</v>
      </c>
      <c r="AG121" s="41" t="s">
        <v>45</v>
      </c>
      <c r="AH121" s="40">
        <v>6</v>
      </c>
      <c r="AI121" s="40">
        <v>2</v>
      </c>
      <c r="AJ121" s="41">
        <v>1</v>
      </c>
      <c r="AK121" s="43" t="s">
        <v>1197</v>
      </c>
      <c r="AL121" s="43" t="s">
        <v>47</v>
      </c>
      <c r="AM121" s="44">
        <f t="shared" si="8"/>
        <v>-0.53589325740159288</v>
      </c>
      <c r="AN121" s="44">
        <f t="shared" si="9"/>
        <v>0.14021939227993227</v>
      </c>
      <c r="AO121" s="45">
        <f t="shared" si="10"/>
        <v>0</v>
      </c>
      <c r="AP121" s="46">
        <f t="shared" si="11"/>
        <v>0.6</v>
      </c>
      <c r="AQ121" s="44">
        <f>($AM$3*AM121+$AN$3*AN121+$AO$3*AO121+$AP$3*AP121)+$I$3*VLOOKUP(I121,COND!$A$2:$E$7,4,FALSE)+$J$3*VLOOKUP(J121,COND!$A$2:$C$7,2,FALSE)+$K$3*VLOOKUP(K121,COND!$A$2:$C$7,3,FALSE)+IF(AND($B$2&gt;0,$E121&lt;20),$B$2*25,0)</f>
        <v>47.529043381619033</v>
      </c>
      <c r="AR121" s="47">
        <f t="shared" si="12"/>
        <v>0.75316084370837477</v>
      </c>
      <c r="AS121" s="45" t="str">
        <f t="shared" si="13"/>
        <v>2B</v>
      </c>
      <c r="AT121" s="45">
        <f>RANK(Batters[[#This Row],[zScore]],Batters[[#All],[zScore]])</f>
        <v>117</v>
      </c>
      <c r="AU121" s="45"/>
      <c r="AV121" s="45"/>
      <c r="AW121" s="45" t="str">
        <f t="shared" si="14"/>
        <v>Possible</v>
      </c>
      <c r="AX121" s="45"/>
      <c r="AY121" s="45">
        <f>INDEX(Table5[[#All],[Ovr]],MATCH(Batters[[#This Row],[PID]],Table5[[#All],[PID]],0))</f>
        <v>159</v>
      </c>
      <c r="AZ121" s="45" t="str">
        <f>INDEX(Table5[[#All],[Rnd]],MATCH(Batters[[#This Row],[PID]],Table5[[#All],[PID]],0))</f>
        <v>6</v>
      </c>
      <c r="BA121" s="45">
        <f>INDEX(Table5[[#All],[Pick]],MATCH(Batters[[#This Row],[PID]],Table5[[#All],[PID]],0))</f>
        <v>1</v>
      </c>
      <c r="BB121" s="45" t="str">
        <f>INDEX(Table5[[#All],[Team]],MATCH(Batters[[#This Row],[PID]],Table5[[#All],[PID]],0))</f>
        <v>Yuma Arroyos</v>
      </c>
    </row>
    <row r="122" spans="1:54" ht="15" customHeight="1" x14ac:dyDescent="0.25">
      <c r="A122" s="40">
        <v>20289</v>
      </c>
      <c r="B122" s="40" t="s">
        <v>66</v>
      </c>
      <c r="C122" s="40" t="s">
        <v>1261</v>
      </c>
      <c r="D122" s="40" t="s">
        <v>1262</v>
      </c>
      <c r="E122" s="40">
        <v>21</v>
      </c>
      <c r="F122" s="40" t="s">
        <v>53</v>
      </c>
      <c r="G122" s="40" t="s">
        <v>53</v>
      </c>
      <c r="H122" s="41" t="s">
        <v>634</v>
      </c>
      <c r="I122" s="65" t="s">
        <v>43</v>
      </c>
      <c r="J122" s="66" t="s">
        <v>47</v>
      </c>
      <c r="K122" s="67" t="s">
        <v>47</v>
      </c>
      <c r="L122" s="40">
        <v>3</v>
      </c>
      <c r="M122" s="40">
        <v>4</v>
      </c>
      <c r="N122" s="40">
        <v>6</v>
      </c>
      <c r="O122" s="40">
        <v>4</v>
      </c>
      <c r="P122" s="41">
        <v>2</v>
      </c>
      <c r="Q122" s="40">
        <v>4</v>
      </c>
      <c r="R122" s="40">
        <v>5</v>
      </c>
      <c r="S122" s="40">
        <v>7</v>
      </c>
      <c r="T122" s="40">
        <v>6</v>
      </c>
      <c r="U122" s="41">
        <v>4</v>
      </c>
      <c r="V122" s="40">
        <v>6</v>
      </c>
      <c r="W122" s="40">
        <v>9</v>
      </c>
      <c r="X122" s="40">
        <v>1</v>
      </c>
      <c r="Y122" s="41">
        <v>1</v>
      </c>
      <c r="Z122" s="40" t="s">
        <v>45</v>
      </c>
      <c r="AA122" s="40" t="s">
        <v>45</v>
      </c>
      <c r="AB122" s="40" t="s">
        <v>45</v>
      </c>
      <c r="AC122" s="40" t="s">
        <v>45</v>
      </c>
      <c r="AD122" s="40" t="s">
        <v>45</v>
      </c>
      <c r="AE122" s="40">
        <v>3</v>
      </c>
      <c r="AF122" s="40" t="s">
        <v>45</v>
      </c>
      <c r="AG122" s="41">
        <v>2</v>
      </c>
      <c r="AH122" s="40">
        <v>4</v>
      </c>
      <c r="AI122" s="40">
        <v>1</v>
      </c>
      <c r="AJ122" s="41">
        <v>1</v>
      </c>
      <c r="AK122" s="43" t="s">
        <v>45</v>
      </c>
      <c r="AL122" s="43" t="s">
        <v>635</v>
      </c>
      <c r="AM122" s="44">
        <f t="shared" si="8"/>
        <v>-0.56159957860077814</v>
      </c>
      <c r="AN122" s="44">
        <f t="shared" si="9"/>
        <v>0.15452941089783068</v>
      </c>
      <c r="AO122" s="45">
        <f t="shared" si="10"/>
        <v>0</v>
      </c>
      <c r="AP122" s="46">
        <f t="shared" si="11"/>
        <v>0</v>
      </c>
      <c r="AQ122" s="44">
        <f>($AM$3*AM122+$AN$3*AN122+$AO$3*AO122+$AP$3*AP122)+$I$3*VLOOKUP(I122,COND!$A$2:$E$7,4,FALSE)+$J$3*VLOOKUP(J122,COND!$A$2:$C$7,2,FALSE)+$K$3*VLOOKUP(K122,COND!$A$2:$C$7,3,FALSE)+IF(AND($B$2&gt;0,$E122&lt;20),$B$2*25,0)</f>
        <v>47.39819297291389</v>
      </c>
      <c r="AR122" s="47">
        <f t="shared" si="12"/>
        <v>0.72415042363176663</v>
      </c>
      <c r="AS122" s="45" t="str">
        <f t="shared" si="13"/>
        <v>LF</v>
      </c>
      <c r="AT122" s="45">
        <f>RANK(Batters[[#This Row],[zScore]],Batters[[#All],[zScore]])</f>
        <v>118</v>
      </c>
      <c r="AU122" s="45"/>
      <c r="AV122" s="45"/>
      <c r="AW122" s="45" t="str">
        <f t="shared" si="14"/>
        <v>Possible</v>
      </c>
      <c r="AX122" s="45"/>
      <c r="AY122" s="45">
        <f>INDEX(Table5[[#All],[Ovr]],MATCH(Batters[[#This Row],[PID]],Table5[[#All],[PID]],0))</f>
        <v>107</v>
      </c>
      <c r="AZ122" s="45" t="str">
        <f>INDEX(Table5[[#All],[Rnd]],MATCH(Batters[[#This Row],[PID]],Table5[[#All],[PID]],0))</f>
        <v>4</v>
      </c>
      <c r="BA122" s="45">
        <f>INDEX(Table5[[#All],[Pick]],MATCH(Batters[[#This Row],[PID]],Table5[[#All],[PID]],0))</f>
        <v>7</v>
      </c>
      <c r="BB122" s="45" t="str">
        <f>INDEX(Table5[[#All],[Team]],MATCH(Batters[[#This Row],[PID]],Table5[[#All],[PID]],0))</f>
        <v>Scottish Claymores</v>
      </c>
    </row>
    <row r="123" spans="1:54" ht="15" customHeight="1" x14ac:dyDescent="0.25">
      <c r="A123" s="40">
        <v>20368</v>
      </c>
      <c r="B123" s="40" t="s">
        <v>72</v>
      </c>
      <c r="C123" s="40" t="s">
        <v>422</v>
      </c>
      <c r="D123" s="40" t="s">
        <v>1303</v>
      </c>
      <c r="E123" s="40">
        <v>17</v>
      </c>
      <c r="F123" s="40" t="s">
        <v>42</v>
      </c>
      <c r="G123" s="40" t="s">
        <v>42</v>
      </c>
      <c r="H123" s="41" t="s">
        <v>634</v>
      </c>
      <c r="I123" s="65" t="s">
        <v>43</v>
      </c>
      <c r="J123" s="66" t="s">
        <v>43</v>
      </c>
      <c r="K123" s="67" t="s">
        <v>43</v>
      </c>
      <c r="L123" s="40">
        <v>1</v>
      </c>
      <c r="M123" s="40">
        <v>2</v>
      </c>
      <c r="N123" s="40">
        <v>4</v>
      </c>
      <c r="O123" s="40">
        <v>3</v>
      </c>
      <c r="P123" s="41">
        <v>1</v>
      </c>
      <c r="Q123" s="40">
        <v>3</v>
      </c>
      <c r="R123" s="40">
        <v>3</v>
      </c>
      <c r="S123" s="40">
        <v>7</v>
      </c>
      <c r="T123" s="40">
        <v>7</v>
      </c>
      <c r="U123" s="41">
        <v>3</v>
      </c>
      <c r="V123" s="40">
        <v>7</v>
      </c>
      <c r="W123" s="40">
        <v>7</v>
      </c>
      <c r="X123" s="40">
        <v>1</v>
      </c>
      <c r="Y123" s="41">
        <v>1</v>
      </c>
      <c r="Z123" s="40" t="s">
        <v>45</v>
      </c>
      <c r="AA123" s="40" t="s">
        <v>45</v>
      </c>
      <c r="AB123" s="40" t="s">
        <v>45</v>
      </c>
      <c r="AC123" s="40" t="s">
        <v>45</v>
      </c>
      <c r="AD123" s="40">
        <v>1</v>
      </c>
      <c r="AE123" s="40" t="s">
        <v>45</v>
      </c>
      <c r="AF123" s="40" t="s">
        <v>45</v>
      </c>
      <c r="AG123" s="41" t="s">
        <v>45</v>
      </c>
      <c r="AH123" s="40">
        <v>7</v>
      </c>
      <c r="AI123" s="40">
        <v>7</v>
      </c>
      <c r="AJ123" s="41">
        <v>7</v>
      </c>
      <c r="AK123" s="43" t="s">
        <v>644</v>
      </c>
      <c r="AL123" s="43" t="s">
        <v>47</v>
      </c>
      <c r="AM123" s="44">
        <f t="shared" si="8"/>
        <v>-1.6046798881180016</v>
      </c>
      <c r="AN123" s="44">
        <f t="shared" si="9"/>
        <v>-0.22045297434975342</v>
      </c>
      <c r="AO123" s="45">
        <f t="shared" si="10"/>
        <v>1</v>
      </c>
      <c r="AP123" s="46">
        <f t="shared" si="11"/>
        <v>0</v>
      </c>
      <c r="AQ123" s="44">
        <f>($AM$3*AM123+$AN$3*AN123+$AO$3*AO123+$AP$3*AP123)+$I$3*VLOOKUP(I123,COND!$A$2:$E$7,4,FALSE)+$J$3*VLOOKUP(J123,COND!$A$2:$C$7,2,FALSE)+$K$3*VLOOKUP(K123,COND!$A$2:$C$7,3,FALSE)+IF(AND($B$2&gt;0,$E123&lt;20),$B$2*25,0)</f>
        <v>47.360762985657828</v>
      </c>
      <c r="AR123" s="47">
        <f t="shared" si="12"/>
        <v>0.71585194245386452</v>
      </c>
      <c r="AS123" s="45" t="str">
        <f t="shared" si="13"/>
        <v>SS</v>
      </c>
      <c r="AT123" s="45">
        <f>RANK(Batters[[#This Row],[zScore]],Batters[[#All],[zScore]])</f>
        <v>119</v>
      </c>
      <c r="AU123" s="45"/>
      <c r="AV123" s="45"/>
      <c r="AW123" s="45" t="str">
        <f t="shared" si="14"/>
        <v>Possible</v>
      </c>
      <c r="AX123" s="45"/>
      <c r="AY123" s="45">
        <f>INDEX(Table5[[#All],[Ovr]],MATCH(Batters[[#This Row],[PID]],Table5[[#All],[PID]],0))</f>
        <v>256</v>
      </c>
      <c r="AZ123" s="45" t="str">
        <f>INDEX(Table5[[#All],[Rnd]],MATCH(Batters[[#This Row],[PID]],Table5[[#All],[PID]],0))</f>
        <v>9</v>
      </c>
      <c r="BA123" s="45">
        <f>INDEX(Table5[[#All],[Pick]],MATCH(Batters[[#This Row],[PID]],Table5[[#All],[PID]],0))</f>
        <v>8</v>
      </c>
      <c r="BB123" s="45" t="str">
        <f>INDEX(Table5[[#All],[Team]],MATCH(Batters[[#This Row],[PID]],Table5[[#All],[PID]],0))</f>
        <v>London Underground</v>
      </c>
    </row>
    <row r="124" spans="1:54" ht="15" customHeight="1" x14ac:dyDescent="0.25">
      <c r="A124" s="40">
        <v>20423</v>
      </c>
      <c r="B124" s="40" t="s">
        <v>50</v>
      </c>
      <c r="C124" s="40" t="s">
        <v>128</v>
      </c>
      <c r="D124" s="40" t="s">
        <v>1214</v>
      </c>
      <c r="E124" s="40">
        <v>17</v>
      </c>
      <c r="F124" s="40" t="s">
        <v>42</v>
      </c>
      <c r="G124" s="40" t="s">
        <v>53</v>
      </c>
      <c r="H124" s="41" t="s">
        <v>634</v>
      </c>
      <c r="I124" s="65" t="s">
        <v>43</v>
      </c>
      <c r="J124" s="66" t="s">
        <v>47</v>
      </c>
      <c r="K124" s="67" t="s">
        <v>44</v>
      </c>
      <c r="L124" s="40">
        <v>1</v>
      </c>
      <c r="M124" s="40">
        <v>2</v>
      </c>
      <c r="N124" s="40">
        <v>5</v>
      </c>
      <c r="O124" s="40">
        <v>3</v>
      </c>
      <c r="P124" s="41">
        <v>1</v>
      </c>
      <c r="Q124" s="40">
        <v>3</v>
      </c>
      <c r="R124" s="40">
        <v>4</v>
      </c>
      <c r="S124" s="40">
        <v>8</v>
      </c>
      <c r="T124" s="40">
        <v>6</v>
      </c>
      <c r="U124" s="41">
        <v>2</v>
      </c>
      <c r="V124" s="40">
        <v>7</v>
      </c>
      <c r="W124" s="40">
        <v>7</v>
      </c>
      <c r="X124" s="40">
        <v>1</v>
      </c>
      <c r="Y124" s="41">
        <v>1</v>
      </c>
      <c r="Z124" s="40" t="s">
        <v>45</v>
      </c>
      <c r="AA124" s="40">
        <v>1</v>
      </c>
      <c r="AB124" s="40" t="s">
        <v>45</v>
      </c>
      <c r="AC124" s="40" t="s">
        <v>45</v>
      </c>
      <c r="AD124" s="40" t="s">
        <v>45</v>
      </c>
      <c r="AE124" s="40">
        <v>2</v>
      </c>
      <c r="AF124" s="40" t="s">
        <v>45</v>
      </c>
      <c r="AG124" s="41">
        <v>1</v>
      </c>
      <c r="AH124" s="40">
        <v>3</v>
      </c>
      <c r="AI124" s="40">
        <v>2</v>
      </c>
      <c r="AJ124" s="41">
        <v>2</v>
      </c>
      <c r="AK124" s="43" t="s">
        <v>554</v>
      </c>
      <c r="AL124" s="43" t="s">
        <v>47</v>
      </c>
      <c r="AM124" s="44">
        <f t="shared" si="8"/>
        <v>-1.5216183940940999</v>
      </c>
      <c r="AN124" s="44">
        <f t="shared" si="9"/>
        <v>-0.2160574905338129</v>
      </c>
      <c r="AO124" s="45">
        <f t="shared" si="10"/>
        <v>0</v>
      </c>
      <c r="AP124" s="46">
        <f t="shared" si="11"/>
        <v>0</v>
      </c>
      <c r="AQ124" s="44">
        <f>($AM$3*AM124+$AN$3*AN124+$AO$3*AO124+$AP$3*AP124)+$I$3*VLOOKUP(I124,COND!$A$2:$E$7,4,FALSE)+$J$3*VLOOKUP(J124,COND!$A$2:$C$7,2,FALSE)+$K$3*VLOOKUP(K124,COND!$A$2:$C$7,3,FALSE)+IF(AND($B$2&gt;0,$E124&lt;20),$B$2*25,0)</f>
        <v>47.255148274184833</v>
      </c>
      <c r="AR124" s="47">
        <f t="shared" si="12"/>
        <v>0.69243644703110596</v>
      </c>
      <c r="AS124" s="45" t="str">
        <f t="shared" si="13"/>
        <v>LF</v>
      </c>
      <c r="AT124" s="45">
        <f>RANK(Batters[[#This Row],[zScore]],Batters[[#All],[zScore]])</f>
        <v>120</v>
      </c>
      <c r="AU124" s="45"/>
      <c r="AV124" s="45"/>
      <c r="AW124" s="45" t="str">
        <f t="shared" si="14"/>
        <v>Possible</v>
      </c>
      <c r="AX124" s="45"/>
      <c r="AY124" s="45">
        <f>INDEX(Table5[[#All],[Ovr]],MATCH(Batters[[#This Row],[PID]],Table5[[#All],[PID]],0))</f>
        <v>305</v>
      </c>
      <c r="AZ124" s="45" t="str">
        <f>INDEX(Table5[[#All],[Rnd]],MATCH(Batters[[#This Row],[PID]],Table5[[#All],[PID]],0))</f>
        <v>10</v>
      </c>
      <c r="BA124" s="45">
        <f>INDEX(Table5[[#All],[Pick]],MATCH(Batters[[#This Row],[PID]],Table5[[#All],[PID]],0))</f>
        <v>27</v>
      </c>
      <c r="BB124" s="45" t="str">
        <f>INDEX(Table5[[#All],[Team]],MATCH(Batters[[#This Row],[PID]],Table5[[#All],[PID]],0))</f>
        <v>Neo-Tokyo Akira</v>
      </c>
    </row>
    <row r="125" spans="1:54" ht="15" customHeight="1" x14ac:dyDescent="0.25">
      <c r="A125" s="40">
        <v>20796</v>
      </c>
      <c r="B125" s="40" t="s">
        <v>50</v>
      </c>
      <c r="C125" s="40" t="s">
        <v>569</v>
      </c>
      <c r="D125" s="40" t="s">
        <v>696</v>
      </c>
      <c r="E125" s="40">
        <v>18</v>
      </c>
      <c r="F125" s="40" t="s">
        <v>53</v>
      </c>
      <c r="G125" s="40" t="s">
        <v>53</v>
      </c>
      <c r="H125" s="41" t="s">
        <v>638</v>
      </c>
      <c r="I125" s="65" t="s">
        <v>43</v>
      </c>
      <c r="J125" s="66" t="s">
        <v>44</v>
      </c>
      <c r="K125" s="67" t="s">
        <v>43</v>
      </c>
      <c r="L125" s="40">
        <v>1</v>
      </c>
      <c r="M125" s="40">
        <v>2</v>
      </c>
      <c r="N125" s="40">
        <v>2</v>
      </c>
      <c r="O125" s="40">
        <v>1</v>
      </c>
      <c r="P125" s="41">
        <v>1</v>
      </c>
      <c r="Q125" s="40">
        <v>4</v>
      </c>
      <c r="R125" s="40">
        <v>5</v>
      </c>
      <c r="S125" s="40">
        <v>5</v>
      </c>
      <c r="T125" s="40">
        <v>4</v>
      </c>
      <c r="U125" s="41">
        <v>4</v>
      </c>
      <c r="V125" s="40">
        <v>5</v>
      </c>
      <c r="W125" s="40">
        <v>6</v>
      </c>
      <c r="X125" s="40">
        <v>1</v>
      </c>
      <c r="Y125" s="41">
        <v>1</v>
      </c>
      <c r="Z125" s="40" t="s">
        <v>45</v>
      </c>
      <c r="AA125" s="40" t="s">
        <v>45</v>
      </c>
      <c r="AB125" s="40" t="s">
        <v>45</v>
      </c>
      <c r="AC125" s="40" t="s">
        <v>45</v>
      </c>
      <c r="AD125" s="40" t="s">
        <v>45</v>
      </c>
      <c r="AE125" s="40">
        <v>2</v>
      </c>
      <c r="AF125" s="40" t="s">
        <v>45</v>
      </c>
      <c r="AG125" s="41">
        <v>2</v>
      </c>
      <c r="AH125" s="40">
        <v>6</v>
      </c>
      <c r="AI125" s="40">
        <v>1</v>
      </c>
      <c r="AJ125" s="41">
        <v>2</v>
      </c>
      <c r="AK125" s="43" t="s">
        <v>553</v>
      </c>
      <c r="AL125" s="43" t="s">
        <v>635</v>
      </c>
      <c r="AM125" s="44">
        <f t="shared" si="8"/>
        <v>-1.9502219761849671</v>
      </c>
      <c r="AN125" s="44">
        <f t="shared" si="9"/>
        <v>-0.19101267716913439</v>
      </c>
      <c r="AO125" s="45">
        <f t="shared" si="10"/>
        <v>0</v>
      </c>
      <c r="AP125" s="46">
        <f t="shared" si="11"/>
        <v>0</v>
      </c>
      <c r="AQ125" s="44">
        <f>($AM$3*AM125+$AN$3*AN125+$AO$3*AO125+$AP$3*AP125)+$I$3*VLOOKUP(I125,COND!$A$2:$E$7,4,FALSE)+$J$3*VLOOKUP(J125,COND!$A$2:$C$7,2,FALSE)+$K$3*VLOOKUP(K125,COND!$A$2:$C$7,3,FALSE)+IF(AND($B$2&gt;0,$E125&lt;20),$B$2*25,0)</f>
        <v>47.212825676351891</v>
      </c>
      <c r="AR125" s="47">
        <f t="shared" si="12"/>
        <v>0.683053241017331</v>
      </c>
      <c r="AS125" s="45" t="str">
        <f t="shared" si="13"/>
        <v>RF</v>
      </c>
      <c r="AT125" s="45">
        <f>RANK(Batters[[#This Row],[zScore]],Batters[[#All],[zScore]])</f>
        <v>121</v>
      </c>
      <c r="AU125" s="45"/>
      <c r="AV125" s="45"/>
      <c r="AW125" s="45" t="str">
        <f t="shared" si="14"/>
        <v>Unlikely</v>
      </c>
      <c r="AX125" s="45"/>
      <c r="AY125" s="45">
        <f>INDEX(Table5[[#All],[Ovr]],MATCH(Batters[[#This Row],[PID]],Table5[[#All],[PID]],0))</f>
        <v>356</v>
      </c>
      <c r="AZ125" s="45" t="str">
        <f>INDEX(Table5[[#All],[Rnd]],MATCH(Batters[[#This Row],[PID]],Table5[[#All],[PID]],0))</f>
        <v>12</v>
      </c>
      <c r="BA125" s="45">
        <f>INDEX(Table5[[#All],[Pick]],MATCH(Batters[[#This Row],[PID]],Table5[[#All],[PID]],0))</f>
        <v>18</v>
      </c>
      <c r="BB125" s="45" t="str">
        <f>INDEX(Table5[[#All],[Team]],MATCH(Batters[[#This Row],[PID]],Table5[[#All],[PID]],0))</f>
        <v>Bakersfield Bears</v>
      </c>
    </row>
    <row r="126" spans="1:54" ht="15" customHeight="1" x14ac:dyDescent="0.25">
      <c r="A126" s="40">
        <v>18357</v>
      </c>
      <c r="B126" s="40" t="s">
        <v>66</v>
      </c>
      <c r="C126" s="40" t="s">
        <v>150</v>
      </c>
      <c r="D126" s="40" t="s">
        <v>1140</v>
      </c>
      <c r="E126" s="40">
        <v>18</v>
      </c>
      <c r="F126" s="40" t="s">
        <v>42</v>
      </c>
      <c r="G126" s="40" t="s">
        <v>42</v>
      </c>
      <c r="H126" s="41" t="s">
        <v>638</v>
      </c>
      <c r="I126" s="65" t="s">
        <v>44</v>
      </c>
      <c r="J126" s="66" t="s">
        <v>47</v>
      </c>
      <c r="K126" s="67" t="s">
        <v>43</v>
      </c>
      <c r="L126" s="40">
        <v>2</v>
      </c>
      <c r="M126" s="40">
        <v>2</v>
      </c>
      <c r="N126" s="40">
        <v>2</v>
      </c>
      <c r="O126" s="40">
        <v>2</v>
      </c>
      <c r="P126" s="41">
        <v>2</v>
      </c>
      <c r="Q126" s="40">
        <v>4</v>
      </c>
      <c r="R126" s="40">
        <v>3</v>
      </c>
      <c r="S126" s="40">
        <v>2</v>
      </c>
      <c r="T126" s="40">
        <v>7</v>
      </c>
      <c r="U126" s="41">
        <v>5</v>
      </c>
      <c r="V126" s="40">
        <v>5</v>
      </c>
      <c r="W126" s="40">
        <v>5</v>
      </c>
      <c r="X126" s="40">
        <v>1</v>
      </c>
      <c r="Y126" s="41">
        <v>1</v>
      </c>
      <c r="Z126" s="40" t="s">
        <v>45</v>
      </c>
      <c r="AA126" s="40" t="s">
        <v>45</v>
      </c>
      <c r="AB126" s="40" t="s">
        <v>45</v>
      </c>
      <c r="AC126" s="40" t="s">
        <v>45</v>
      </c>
      <c r="AD126" s="40" t="s">
        <v>45</v>
      </c>
      <c r="AE126" s="40" t="s">
        <v>45</v>
      </c>
      <c r="AF126" s="40" t="s">
        <v>45</v>
      </c>
      <c r="AG126" s="41">
        <v>1</v>
      </c>
      <c r="AH126" s="40">
        <v>1</v>
      </c>
      <c r="AI126" s="40">
        <v>3</v>
      </c>
      <c r="AJ126" s="41">
        <v>4</v>
      </c>
      <c r="AK126" s="43" t="s">
        <v>654</v>
      </c>
      <c r="AL126" s="43" t="s">
        <v>47</v>
      </c>
      <c r="AM126" s="44">
        <f t="shared" si="8"/>
        <v>-1.4979402501556278</v>
      </c>
      <c r="AN126" s="44">
        <f t="shared" si="9"/>
        <v>-0.23317192863241928</v>
      </c>
      <c r="AO126" s="45">
        <f t="shared" si="10"/>
        <v>0</v>
      </c>
      <c r="AP126" s="46">
        <f t="shared" si="11"/>
        <v>0</v>
      </c>
      <c r="AQ126" s="44">
        <f>($AM$3*AM126+$AN$3*AN126+$AO$3*AO126+$AP$3*AP126)+$I$3*VLOOKUP(I126,COND!$A$2:$E$7,4,FALSE)+$J$3*VLOOKUP(J126,COND!$A$2:$C$7,2,FALSE)+$K$3*VLOOKUP(K126,COND!$A$2:$C$7,3,FALSE)+IF(AND($B$2&gt;0,$E126&lt;20),$B$2*25,0)</f>
        <v>47.202142831395406</v>
      </c>
      <c r="AR126" s="47">
        <f t="shared" si="12"/>
        <v>0.68068478208114813</v>
      </c>
      <c r="AS126" s="45" t="str">
        <f t="shared" si="13"/>
        <v>DH</v>
      </c>
      <c r="AT126" s="45">
        <f>RANK(Batters[[#This Row],[zScore]],Batters[[#All],[zScore]])</f>
        <v>122</v>
      </c>
      <c r="AU126" s="45"/>
      <c r="AV126" s="45"/>
      <c r="AW126" s="45" t="str">
        <f t="shared" si="14"/>
        <v>Unlikely</v>
      </c>
      <c r="AX126" s="45"/>
      <c r="AY126" s="45">
        <f>INDEX(Table5[[#All],[Ovr]],MATCH(Batters[[#This Row],[PID]],Table5[[#All],[PID]],0))</f>
        <v>598</v>
      </c>
      <c r="AZ126" s="45" t="str">
        <f>INDEX(Table5[[#All],[Rnd]],MATCH(Batters[[#This Row],[PID]],Table5[[#All],[PID]],0))</f>
        <v>20</v>
      </c>
      <c r="BA126" s="45">
        <f>INDEX(Table5[[#All],[Pick]],MATCH(Batters[[#This Row],[PID]],Table5[[#All],[PID]],0))</f>
        <v>20</v>
      </c>
      <c r="BB126" s="45" t="str">
        <f>INDEX(Table5[[#All],[Team]],MATCH(Batters[[#This Row],[PID]],Table5[[#All],[PID]],0))</f>
        <v>Amsterdam Lions</v>
      </c>
    </row>
    <row r="127" spans="1:54" ht="15" customHeight="1" x14ac:dyDescent="0.25">
      <c r="A127" s="40">
        <v>18338</v>
      </c>
      <c r="B127" s="40" t="s">
        <v>74</v>
      </c>
      <c r="C127" s="40" t="s">
        <v>1494</v>
      </c>
      <c r="D127" s="40" t="s">
        <v>1014</v>
      </c>
      <c r="E127" s="40">
        <v>18</v>
      </c>
      <c r="F127" s="40" t="s">
        <v>42</v>
      </c>
      <c r="G127" s="40" t="s">
        <v>42</v>
      </c>
      <c r="H127" s="41" t="s">
        <v>638</v>
      </c>
      <c r="I127" s="65" t="s">
        <v>44</v>
      </c>
      <c r="J127" s="66" t="s">
        <v>47</v>
      </c>
      <c r="K127" s="67" t="s">
        <v>43</v>
      </c>
      <c r="L127" s="40">
        <v>2</v>
      </c>
      <c r="M127" s="40">
        <v>2</v>
      </c>
      <c r="N127" s="40">
        <v>3</v>
      </c>
      <c r="O127" s="40">
        <v>3</v>
      </c>
      <c r="P127" s="41">
        <v>2</v>
      </c>
      <c r="Q127" s="40">
        <v>4</v>
      </c>
      <c r="R127" s="40">
        <v>4</v>
      </c>
      <c r="S127" s="40">
        <v>4</v>
      </c>
      <c r="T127" s="40">
        <v>5</v>
      </c>
      <c r="U127" s="41">
        <v>4</v>
      </c>
      <c r="V127" s="40">
        <v>9</v>
      </c>
      <c r="W127" s="40">
        <v>10</v>
      </c>
      <c r="X127" s="40">
        <v>1</v>
      </c>
      <c r="Y127" s="41">
        <v>1</v>
      </c>
      <c r="Z127" s="40" t="s">
        <v>45</v>
      </c>
      <c r="AA127" s="40" t="s">
        <v>45</v>
      </c>
      <c r="AB127" s="40" t="s">
        <v>45</v>
      </c>
      <c r="AC127" s="40" t="s">
        <v>45</v>
      </c>
      <c r="AD127" s="40" t="s">
        <v>45</v>
      </c>
      <c r="AE127" s="40" t="s">
        <v>45</v>
      </c>
      <c r="AF127" s="40">
        <v>3</v>
      </c>
      <c r="AG127" s="41" t="s">
        <v>45</v>
      </c>
      <c r="AH127" s="40">
        <v>5</v>
      </c>
      <c r="AI127" s="40">
        <v>6</v>
      </c>
      <c r="AJ127" s="41">
        <v>5</v>
      </c>
      <c r="AK127" s="43" t="s">
        <v>644</v>
      </c>
      <c r="AL127" s="43" t="s">
        <v>47</v>
      </c>
      <c r="AM127" s="44">
        <f t="shared" si="8"/>
        <v>-1.3251692061221452</v>
      </c>
      <c r="AN127" s="44">
        <f t="shared" si="9"/>
        <v>-0.23542450080215838</v>
      </c>
      <c r="AO127" s="45">
        <f t="shared" si="10"/>
        <v>0</v>
      </c>
      <c r="AP127" s="46">
        <f t="shared" si="11"/>
        <v>0</v>
      </c>
      <c r="AQ127" s="44">
        <f>($AM$3*AM127+$AN$3*AN127+$AO$3*AO127+$AP$3*AP127)+$I$3*VLOOKUP(I127,COND!$A$2:$E$7,4,FALSE)+$J$3*VLOOKUP(J127,COND!$A$2:$C$7,2,FALSE)+$K$3*VLOOKUP(K127,COND!$A$2:$C$7,3,FALSE)+IF(AND($B$2&gt;0,$E127&lt;20),$B$2*25,0)</f>
        <v>47.192389069761887</v>
      </c>
      <c r="AR127" s="47">
        <f t="shared" si="12"/>
        <v>0.67852230719768702</v>
      </c>
      <c r="AS127" s="45" t="str">
        <f t="shared" si="13"/>
        <v>CF</v>
      </c>
      <c r="AT127" s="45">
        <f>RANK(Batters[[#This Row],[zScore]],Batters[[#All],[zScore]])</f>
        <v>123</v>
      </c>
      <c r="AU127" s="45"/>
      <c r="AV127" s="45"/>
      <c r="AW127" s="45" t="str">
        <f t="shared" si="14"/>
        <v>Unlikely</v>
      </c>
      <c r="AX127" s="45"/>
      <c r="AY127" s="45">
        <f>INDEX(Table5[[#All],[Ovr]],MATCH(Batters[[#This Row],[PID]],Table5[[#All],[PID]],0))</f>
        <v>363</v>
      </c>
      <c r="AZ127" s="45" t="str">
        <f>INDEX(Table5[[#All],[Rnd]],MATCH(Batters[[#This Row],[PID]],Table5[[#All],[PID]],0))</f>
        <v>12</v>
      </c>
      <c r="BA127" s="45">
        <f>INDEX(Table5[[#All],[Pick]],MATCH(Batters[[#This Row],[PID]],Table5[[#All],[PID]],0))</f>
        <v>25</v>
      </c>
      <c r="BB127" s="45" t="str">
        <f>INDEX(Table5[[#All],[Team]],MATCH(Batters[[#This Row],[PID]],Table5[[#All],[PID]],0))</f>
        <v>Toyama Wind Dancers</v>
      </c>
    </row>
    <row r="128" spans="1:54" ht="15" customHeight="1" x14ac:dyDescent="0.25">
      <c r="A128" s="40">
        <v>20471</v>
      </c>
      <c r="B128" s="40" t="s">
        <v>50</v>
      </c>
      <c r="C128" s="40" t="s">
        <v>1215</v>
      </c>
      <c r="D128" s="40" t="s">
        <v>1216</v>
      </c>
      <c r="E128" s="40">
        <v>18</v>
      </c>
      <c r="F128" s="40" t="s">
        <v>53</v>
      </c>
      <c r="G128" s="40" t="s">
        <v>53</v>
      </c>
      <c r="H128" s="41" t="s">
        <v>634</v>
      </c>
      <c r="I128" s="65" t="s">
        <v>43</v>
      </c>
      <c r="J128" s="66" t="s">
        <v>43</v>
      </c>
      <c r="K128" s="67" t="s">
        <v>44</v>
      </c>
      <c r="L128" s="40">
        <v>1</v>
      </c>
      <c r="M128" s="40">
        <v>3</v>
      </c>
      <c r="N128" s="40">
        <v>4</v>
      </c>
      <c r="O128" s="40">
        <v>3</v>
      </c>
      <c r="P128" s="41">
        <v>1</v>
      </c>
      <c r="Q128" s="40">
        <v>3</v>
      </c>
      <c r="R128" s="40">
        <v>6</v>
      </c>
      <c r="S128" s="40">
        <v>7</v>
      </c>
      <c r="T128" s="40">
        <v>6</v>
      </c>
      <c r="U128" s="41">
        <v>2</v>
      </c>
      <c r="V128" s="40">
        <v>5</v>
      </c>
      <c r="W128" s="40">
        <v>5</v>
      </c>
      <c r="X128" s="40">
        <v>1</v>
      </c>
      <c r="Y128" s="41">
        <v>1</v>
      </c>
      <c r="Z128" s="40" t="s">
        <v>45</v>
      </c>
      <c r="AA128" s="40">
        <v>1</v>
      </c>
      <c r="AB128" s="40" t="s">
        <v>45</v>
      </c>
      <c r="AC128" s="40" t="s">
        <v>45</v>
      </c>
      <c r="AD128" s="40" t="s">
        <v>45</v>
      </c>
      <c r="AE128" s="40">
        <v>2</v>
      </c>
      <c r="AF128" s="40">
        <v>1</v>
      </c>
      <c r="AG128" s="41">
        <v>1</v>
      </c>
      <c r="AH128" s="40">
        <v>6</v>
      </c>
      <c r="AI128" s="40">
        <v>6</v>
      </c>
      <c r="AJ128" s="41">
        <v>4</v>
      </c>
      <c r="AK128" s="43" t="s">
        <v>553</v>
      </c>
      <c r="AL128" s="43" t="s">
        <v>47</v>
      </c>
      <c r="AM128" s="44">
        <f t="shared" si="8"/>
        <v>-1.5536200084992982</v>
      </c>
      <c r="AN128" s="44">
        <f t="shared" si="9"/>
        <v>-0.19699922532030742</v>
      </c>
      <c r="AO128" s="45">
        <f t="shared" si="10"/>
        <v>0</v>
      </c>
      <c r="AP128" s="46">
        <f t="shared" si="11"/>
        <v>0</v>
      </c>
      <c r="AQ128" s="44">
        <f>($AM$3*AM128+$AN$3*AN128+$AO$3*AO128+$AP$3*AP128)+$I$3*VLOOKUP(I128,COND!$A$2:$E$7,4,FALSE)+$J$3*VLOOKUP(J128,COND!$A$2:$C$7,2,FALSE)+$K$3*VLOOKUP(K128,COND!$A$2:$C$7,3,FALSE)+IF(AND($B$2&gt;0,$E128&lt;20),$B$2*25,0)</f>
        <v>47.180647295306386</v>
      </c>
      <c r="AR128" s="47">
        <f t="shared" si="12"/>
        <v>0.67591907643387295</v>
      </c>
      <c r="AS128" s="45" t="str">
        <f t="shared" si="13"/>
        <v>LF</v>
      </c>
      <c r="AT128" s="45">
        <f>RANK(Batters[[#This Row],[zScore]],Batters[[#All],[zScore]])</f>
        <v>124</v>
      </c>
      <c r="AU128" s="45"/>
      <c r="AV128" s="45"/>
      <c r="AW128" s="45" t="str">
        <f t="shared" si="14"/>
        <v>Possible</v>
      </c>
      <c r="AX128" s="45"/>
      <c r="AY128" s="45">
        <f>INDEX(Table5[[#All],[Ovr]],MATCH(Batters[[#This Row],[PID]],Table5[[#All],[PID]],0))</f>
        <v>240</v>
      </c>
      <c r="AZ128" s="45" t="str">
        <f>INDEX(Table5[[#All],[Rnd]],MATCH(Batters[[#This Row],[PID]],Table5[[#All],[PID]],0))</f>
        <v>8</v>
      </c>
      <c r="BA128" s="45">
        <f>INDEX(Table5[[#All],[Pick]],MATCH(Batters[[#This Row],[PID]],Table5[[#All],[PID]],0))</f>
        <v>22</v>
      </c>
      <c r="BB128" s="45" t="str">
        <f>INDEX(Table5[[#All],[Team]],MATCH(Batters[[#This Row],[PID]],Table5[[#All],[PID]],0))</f>
        <v>Fargo Dinosaurs</v>
      </c>
    </row>
    <row r="129" spans="1:54" ht="15" customHeight="1" x14ac:dyDescent="0.25">
      <c r="A129" s="40">
        <v>20290</v>
      </c>
      <c r="B129" s="40" t="s">
        <v>50</v>
      </c>
      <c r="C129" s="40" t="s">
        <v>1203</v>
      </c>
      <c r="D129" s="40" t="s">
        <v>1204</v>
      </c>
      <c r="E129" s="40">
        <v>22</v>
      </c>
      <c r="F129" s="40" t="s">
        <v>53</v>
      </c>
      <c r="G129" s="40" t="s">
        <v>53</v>
      </c>
      <c r="H129" s="41" t="s">
        <v>633</v>
      </c>
      <c r="I129" s="65" t="s">
        <v>43</v>
      </c>
      <c r="J129" s="66" t="s">
        <v>43</v>
      </c>
      <c r="K129" s="67" t="s">
        <v>43</v>
      </c>
      <c r="L129" s="40">
        <v>2</v>
      </c>
      <c r="M129" s="40">
        <v>4</v>
      </c>
      <c r="N129" s="40">
        <v>6</v>
      </c>
      <c r="O129" s="40">
        <v>4</v>
      </c>
      <c r="P129" s="41">
        <v>1</v>
      </c>
      <c r="Q129" s="40">
        <v>4</v>
      </c>
      <c r="R129" s="40">
        <v>4</v>
      </c>
      <c r="S129" s="40">
        <v>8</v>
      </c>
      <c r="T129" s="40">
        <v>6</v>
      </c>
      <c r="U129" s="41">
        <v>3</v>
      </c>
      <c r="V129" s="40">
        <v>4</v>
      </c>
      <c r="W129" s="40">
        <v>6</v>
      </c>
      <c r="X129" s="40">
        <v>1</v>
      </c>
      <c r="Y129" s="41">
        <v>1</v>
      </c>
      <c r="Z129" s="40" t="s">
        <v>45</v>
      </c>
      <c r="AA129" s="40" t="s">
        <v>45</v>
      </c>
      <c r="AB129" s="40" t="s">
        <v>45</v>
      </c>
      <c r="AC129" s="40" t="s">
        <v>45</v>
      </c>
      <c r="AD129" s="40" t="s">
        <v>45</v>
      </c>
      <c r="AE129" s="40">
        <v>4</v>
      </c>
      <c r="AF129" s="40" t="s">
        <v>45</v>
      </c>
      <c r="AG129" s="41">
        <v>4</v>
      </c>
      <c r="AH129" s="40">
        <v>4</v>
      </c>
      <c r="AI129" s="40">
        <v>9</v>
      </c>
      <c r="AJ129" s="41">
        <v>10</v>
      </c>
      <c r="AK129" s="43" t="s">
        <v>929</v>
      </c>
      <c r="AL129" s="43" t="s">
        <v>47</v>
      </c>
      <c r="AM129" s="44">
        <f t="shared" si="8"/>
        <v>-0.92417175462053625</v>
      </c>
      <c r="AN129" s="44">
        <f t="shared" si="9"/>
        <v>0.14651468548594526</v>
      </c>
      <c r="AO129" s="45">
        <f t="shared" si="10"/>
        <v>3</v>
      </c>
      <c r="AP129" s="46">
        <f t="shared" si="11"/>
        <v>0</v>
      </c>
      <c r="AQ129" s="44">
        <f>($AM$3*AM129+$AN$3*AN129+$AO$3*AO129+$AP$3*AP129)+$I$3*VLOOKUP(I129,COND!$A$2:$E$7,4,FALSE)+$J$3*VLOOKUP(J129,COND!$A$2:$C$7,2,FALSE)+$K$3*VLOOKUP(K129,COND!$A$2:$C$7,3,FALSE)+IF(AND($B$2&gt;0,$E129&lt;20),$B$2*25,0)</f>
        <v>47.165759050369289</v>
      </c>
      <c r="AR129" s="47">
        <f t="shared" si="12"/>
        <v>0.67261825189612234</v>
      </c>
      <c r="AS129" s="45" t="str">
        <f t="shared" si="13"/>
        <v>RF</v>
      </c>
      <c r="AT129" s="45">
        <f>RANK(Batters[[#This Row],[zScore]],Batters[[#All],[zScore]])</f>
        <v>125</v>
      </c>
      <c r="AU129" s="45"/>
      <c r="AV129" s="45"/>
      <c r="AW129" s="45" t="str">
        <f t="shared" si="14"/>
        <v>Possible</v>
      </c>
      <c r="AX129" s="45"/>
      <c r="AY129" s="45">
        <f>INDEX(Table5[[#All],[Ovr]],MATCH(Batters[[#This Row],[PID]],Table5[[#All],[PID]],0))</f>
        <v>123</v>
      </c>
      <c r="AZ129" s="45" t="str">
        <f>INDEX(Table5[[#All],[Rnd]],MATCH(Batters[[#This Row],[PID]],Table5[[#All],[PID]],0))</f>
        <v>4</v>
      </c>
      <c r="BA129" s="45">
        <f>INDEX(Table5[[#All],[Pick]],MATCH(Batters[[#This Row],[PID]],Table5[[#All],[PID]],0))</f>
        <v>23</v>
      </c>
      <c r="BB129" s="45" t="str">
        <f>INDEX(Table5[[#All],[Team]],MATCH(Batters[[#This Row],[PID]],Table5[[#All],[PID]],0))</f>
        <v>Niihama-shi Ghosts</v>
      </c>
    </row>
    <row r="130" spans="1:54" ht="15" customHeight="1" x14ac:dyDescent="0.25">
      <c r="A130" s="40">
        <v>20739</v>
      </c>
      <c r="B130" s="40" t="s">
        <v>86</v>
      </c>
      <c r="C130" s="40" t="s">
        <v>877</v>
      </c>
      <c r="D130" s="40" t="s">
        <v>1259</v>
      </c>
      <c r="E130" s="40">
        <v>16</v>
      </c>
      <c r="F130" s="40" t="s">
        <v>42</v>
      </c>
      <c r="G130" s="40" t="s">
        <v>42</v>
      </c>
      <c r="H130" s="41" t="s">
        <v>634</v>
      </c>
      <c r="I130" s="65" t="s">
        <v>43</v>
      </c>
      <c r="J130" s="66" t="s">
        <v>43</v>
      </c>
      <c r="K130" s="67" t="s">
        <v>43</v>
      </c>
      <c r="L130" s="40">
        <v>1</v>
      </c>
      <c r="M130" s="40">
        <v>2</v>
      </c>
      <c r="N130" s="40">
        <v>2</v>
      </c>
      <c r="O130" s="40">
        <v>1</v>
      </c>
      <c r="P130" s="41">
        <v>2</v>
      </c>
      <c r="Q130" s="40">
        <v>4</v>
      </c>
      <c r="R130" s="40">
        <v>6</v>
      </c>
      <c r="S130" s="40">
        <v>3</v>
      </c>
      <c r="T130" s="40">
        <v>4</v>
      </c>
      <c r="U130" s="41">
        <v>6</v>
      </c>
      <c r="V130" s="40">
        <v>6</v>
      </c>
      <c r="W130" s="40">
        <v>7</v>
      </c>
      <c r="X130" s="40">
        <v>7</v>
      </c>
      <c r="Y130" s="41">
        <v>4</v>
      </c>
      <c r="Z130" s="40" t="s">
        <v>45</v>
      </c>
      <c r="AA130" s="40" t="s">
        <v>45</v>
      </c>
      <c r="AB130" s="40" t="s">
        <v>45</v>
      </c>
      <c r="AC130" s="40" t="s">
        <v>45</v>
      </c>
      <c r="AD130" s="40" t="s">
        <v>45</v>
      </c>
      <c r="AE130" s="40" t="s">
        <v>45</v>
      </c>
      <c r="AF130" s="40" t="s">
        <v>45</v>
      </c>
      <c r="AG130" s="41" t="s">
        <v>45</v>
      </c>
      <c r="AH130" s="40">
        <v>3</v>
      </c>
      <c r="AI130" s="40">
        <v>3</v>
      </c>
      <c r="AJ130" s="41">
        <v>1</v>
      </c>
      <c r="AK130" s="43" t="s">
        <v>644</v>
      </c>
      <c r="AL130" s="43" t="s">
        <v>635</v>
      </c>
      <c r="AM130" s="44">
        <f t="shared" si="8"/>
        <v>-1.9102056363678834</v>
      </c>
      <c r="AN130" s="44">
        <f t="shared" si="9"/>
        <v>-0.22604310596406693</v>
      </c>
      <c r="AO130" s="45">
        <f t="shared" si="10"/>
        <v>0</v>
      </c>
      <c r="AP130" s="46">
        <f t="shared" si="11"/>
        <v>0</v>
      </c>
      <c r="AQ130" s="44">
        <f>($AM$3*AM130+$AN$3*AN130+$AO$3*AO130+$AP$3*AP130)+$I$3*VLOOKUP(I130,COND!$A$2:$E$7,4,FALSE)+$J$3*VLOOKUP(J130,COND!$A$2:$C$7,2,FALSE)+$K$3*VLOOKUP(K130,COND!$A$2:$C$7,3,FALSE)+IF(AND($B$2&gt;0,$E130&lt;20),$B$2*25,0)</f>
        <v>47.09646216479441</v>
      </c>
      <c r="AR130" s="47">
        <f t="shared" si="12"/>
        <v>0.65725466396069654</v>
      </c>
      <c r="AS130" s="45" t="str">
        <f t="shared" si="13"/>
        <v>DH</v>
      </c>
      <c r="AT130" s="45">
        <f>RANK(Batters[[#This Row],[zScore]],Batters[[#All],[zScore]])</f>
        <v>126</v>
      </c>
      <c r="AU130" s="45"/>
      <c r="AV130" s="45"/>
      <c r="AW130" s="45" t="str">
        <f t="shared" si="14"/>
        <v>Unlikely</v>
      </c>
      <c r="AX130" s="45"/>
      <c r="AY130" s="45">
        <f>INDEX(Table5[[#All],[Ovr]],MATCH(Batters[[#This Row],[PID]],Table5[[#All],[PID]],0))</f>
        <v>138</v>
      </c>
      <c r="AZ130" s="45" t="str">
        <f>INDEX(Table5[[#All],[Rnd]],MATCH(Batters[[#This Row],[PID]],Table5[[#All],[PID]],0))</f>
        <v>5</v>
      </c>
      <c r="BA130" s="45">
        <f>INDEX(Table5[[#All],[Pick]],MATCH(Batters[[#This Row],[PID]],Table5[[#All],[PID]],0))</f>
        <v>10</v>
      </c>
      <c r="BB130" s="45" t="str">
        <f>INDEX(Table5[[#All],[Team]],MATCH(Batters[[#This Row],[PID]],Table5[[#All],[PID]],0))</f>
        <v>Duluth Warriors</v>
      </c>
    </row>
    <row r="131" spans="1:54" ht="15" customHeight="1" x14ac:dyDescent="0.25">
      <c r="A131" s="40">
        <v>20696</v>
      </c>
      <c r="B131" s="40" t="s">
        <v>66</v>
      </c>
      <c r="C131" s="40" t="s">
        <v>1582</v>
      </c>
      <c r="D131" s="40" t="s">
        <v>1583</v>
      </c>
      <c r="E131" s="40">
        <v>17</v>
      </c>
      <c r="F131" s="40" t="s">
        <v>53</v>
      </c>
      <c r="G131" s="40" t="s">
        <v>53</v>
      </c>
      <c r="H131" s="41" t="s">
        <v>638</v>
      </c>
      <c r="I131" s="65" t="s">
        <v>43</v>
      </c>
      <c r="J131" s="66" t="s">
        <v>44</v>
      </c>
      <c r="K131" s="67" t="s">
        <v>43</v>
      </c>
      <c r="L131" s="40">
        <v>1</v>
      </c>
      <c r="M131" s="40">
        <v>2</v>
      </c>
      <c r="N131" s="40">
        <v>3</v>
      </c>
      <c r="O131" s="40">
        <v>2</v>
      </c>
      <c r="P131" s="41">
        <v>1</v>
      </c>
      <c r="Q131" s="40">
        <v>4</v>
      </c>
      <c r="R131" s="40">
        <v>3</v>
      </c>
      <c r="S131" s="40">
        <v>5</v>
      </c>
      <c r="T131" s="40">
        <v>5</v>
      </c>
      <c r="U131" s="41">
        <v>4</v>
      </c>
      <c r="V131" s="40">
        <v>3</v>
      </c>
      <c r="W131" s="40">
        <v>5</v>
      </c>
      <c r="X131" s="40">
        <v>1</v>
      </c>
      <c r="Y131" s="41">
        <v>1</v>
      </c>
      <c r="Z131" s="40" t="s">
        <v>45</v>
      </c>
      <c r="AA131" s="40" t="s">
        <v>45</v>
      </c>
      <c r="AB131" s="40" t="s">
        <v>45</v>
      </c>
      <c r="AC131" s="40" t="s">
        <v>45</v>
      </c>
      <c r="AD131" s="40" t="s">
        <v>45</v>
      </c>
      <c r="AE131" s="40">
        <v>1</v>
      </c>
      <c r="AF131" s="40" t="s">
        <v>45</v>
      </c>
      <c r="AG131" s="41">
        <v>1</v>
      </c>
      <c r="AH131" s="40">
        <v>6</v>
      </c>
      <c r="AI131" s="40">
        <v>4</v>
      </c>
      <c r="AJ131" s="41">
        <v>3</v>
      </c>
      <c r="AK131" s="43" t="s">
        <v>670</v>
      </c>
      <c r="AL131" s="43" t="s">
        <v>47</v>
      </c>
      <c r="AM131" s="44">
        <f t="shared" si="8"/>
        <v>-1.7774509321514844</v>
      </c>
      <c r="AN131" s="44">
        <f t="shared" si="9"/>
        <v>-0.20342288639696035</v>
      </c>
      <c r="AO131" s="45">
        <f t="shared" si="10"/>
        <v>0</v>
      </c>
      <c r="AP131" s="46">
        <f t="shared" si="11"/>
        <v>0</v>
      </c>
      <c r="AQ131" s="44">
        <f>($AM$3*AM131+$AN$3*AN131+$AO$3*AO131+$AP$3*AP131)+$I$3*VLOOKUP(I131,COND!$A$2:$E$7,4,FALSE)+$J$3*VLOOKUP(J131,COND!$A$2:$C$7,2,FALSE)+$K$3*VLOOKUP(K131,COND!$A$2:$C$7,3,FALSE)+IF(AND($B$2&gt;0,$E131&lt;20),$B$2*25,0)</f>
        <v>47.081180270021328</v>
      </c>
      <c r="AR131" s="47">
        <f t="shared" si="12"/>
        <v>0.65386656459348214</v>
      </c>
      <c r="AS131" s="45" t="str">
        <f t="shared" si="13"/>
        <v>LF</v>
      </c>
      <c r="AT131" s="45">
        <f>RANK(Batters[[#This Row],[zScore]],Batters[[#All],[zScore]])</f>
        <v>127</v>
      </c>
      <c r="AU131" s="45"/>
      <c r="AV131" s="45"/>
      <c r="AW131" s="45" t="str">
        <f t="shared" si="14"/>
        <v>Unlikely</v>
      </c>
      <c r="AX131" s="45"/>
      <c r="AY131" s="45">
        <f>INDEX(Table5[[#All],[Ovr]],MATCH(Batters[[#This Row],[PID]],Table5[[#All],[PID]],0))</f>
        <v>382</v>
      </c>
      <c r="AZ131" s="45" t="str">
        <f>INDEX(Table5[[#All],[Rnd]],MATCH(Batters[[#This Row],[PID]],Table5[[#All],[PID]],0))</f>
        <v>13</v>
      </c>
      <c r="BA131" s="45">
        <f>INDEX(Table5[[#All],[Pick]],MATCH(Batters[[#This Row],[PID]],Table5[[#All],[PID]],0))</f>
        <v>14</v>
      </c>
      <c r="BB131" s="45" t="str">
        <f>INDEX(Table5[[#All],[Team]],MATCH(Batters[[#This Row],[PID]],Table5[[#All],[PID]],0))</f>
        <v>Arlington Bureaucrats</v>
      </c>
    </row>
    <row r="132" spans="1:54" ht="15" customHeight="1" x14ac:dyDescent="0.25">
      <c r="A132" s="40">
        <v>20367</v>
      </c>
      <c r="B132" s="40" t="s">
        <v>69</v>
      </c>
      <c r="C132" s="40" t="s">
        <v>732</v>
      </c>
      <c r="D132" s="40" t="s">
        <v>131</v>
      </c>
      <c r="E132" s="40">
        <v>17</v>
      </c>
      <c r="F132" s="40" t="s">
        <v>42</v>
      </c>
      <c r="G132" s="40" t="s">
        <v>42</v>
      </c>
      <c r="H132" s="41" t="s">
        <v>634</v>
      </c>
      <c r="I132" s="65" t="s">
        <v>44</v>
      </c>
      <c r="J132" s="66" t="s">
        <v>44</v>
      </c>
      <c r="K132" s="67" t="s">
        <v>43</v>
      </c>
      <c r="L132" s="40">
        <v>1</v>
      </c>
      <c r="M132" s="40">
        <v>2</v>
      </c>
      <c r="N132" s="40">
        <v>3</v>
      </c>
      <c r="O132" s="40">
        <v>3</v>
      </c>
      <c r="P132" s="41">
        <v>1</v>
      </c>
      <c r="Q132" s="40">
        <v>4</v>
      </c>
      <c r="R132" s="40">
        <v>4</v>
      </c>
      <c r="S132" s="40">
        <v>5</v>
      </c>
      <c r="T132" s="40">
        <v>5</v>
      </c>
      <c r="U132" s="41">
        <v>3</v>
      </c>
      <c r="V132" s="40">
        <v>8</v>
      </c>
      <c r="W132" s="40">
        <v>8</v>
      </c>
      <c r="X132" s="40">
        <v>1</v>
      </c>
      <c r="Y132" s="41">
        <v>1</v>
      </c>
      <c r="Z132" s="40" t="s">
        <v>45</v>
      </c>
      <c r="AA132" s="40" t="s">
        <v>45</v>
      </c>
      <c r="AB132" s="40" t="s">
        <v>45</v>
      </c>
      <c r="AC132" s="40">
        <v>2</v>
      </c>
      <c r="AD132" s="40" t="s">
        <v>45</v>
      </c>
      <c r="AE132" s="40" t="s">
        <v>45</v>
      </c>
      <c r="AF132" s="40" t="s">
        <v>45</v>
      </c>
      <c r="AG132" s="41" t="s">
        <v>45</v>
      </c>
      <c r="AH132" s="40">
        <v>2</v>
      </c>
      <c r="AI132" s="40">
        <v>3</v>
      </c>
      <c r="AJ132" s="41">
        <v>3</v>
      </c>
      <c r="AK132" s="43" t="s">
        <v>644</v>
      </c>
      <c r="AL132" s="43" t="s">
        <v>47</v>
      </c>
      <c r="AM132" s="44">
        <f t="shared" si="8"/>
        <v>-1.6877413821419032</v>
      </c>
      <c r="AN132" s="44">
        <f t="shared" si="9"/>
        <v>-0.19237934659534037</v>
      </c>
      <c r="AO132" s="45">
        <f t="shared" si="10"/>
        <v>0</v>
      </c>
      <c r="AP132" s="46">
        <f t="shared" si="11"/>
        <v>0</v>
      </c>
      <c r="AQ132" s="44">
        <f>($AM$3*AM132+$AN$3*AN132+$AO$3*AO132+$AP$3*AP132)+$I$3*VLOOKUP(I132,COND!$A$2:$E$7,4,FALSE)+$J$3*VLOOKUP(J132,COND!$A$2:$C$7,2,FALSE)+$K$3*VLOOKUP(K132,COND!$A$2:$C$7,3,FALSE)+IF(AND($B$2&gt;0,$E132&lt;20),$B$2*25,0)</f>
        <v>47.072673702641723</v>
      </c>
      <c r="AR132" s="47">
        <f t="shared" si="12"/>
        <v>0.65198060110636458</v>
      </c>
      <c r="AS132" s="45" t="str">
        <f t="shared" si="13"/>
        <v>3B</v>
      </c>
      <c r="AT132" s="45">
        <f>RANK(Batters[[#This Row],[zScore]],Batters[[#All],[zScore]])</f>
        <v>128</v>
      </c>
      <c r="AU132" s="45"/>
      <c r="AV132" s="45"/>
      <c r="AW132" s="45" t="str">
        <f t="shared" si="14"/>
        <v>Unlikely</v>
      </c>
      <c r="AX132" s="45"/>
      <c r="AY132" s="45">
        <f>INDEX(Table5[[#All],[Ovr]],MATCH(Batters[[#This Row],[PID]],Table5[[#All],[PID]],0))</f>
        <v>464</v>
      </c>
      <c r="AZ132" s="45" t="str">
        <f>INDEX(Table5[[#All],[Rnd]],MATCH(Batters[[#This Row],[PID]],Table5[[#All],[PID]],0))</f>
        <v>16</v>
      </c>
      <c r="BA132" s="45">
        <f>INDEX(Table5[[#All],[Pick]],MATCH(Batters[[#This Row],[PID]],Table5[[#All],[PID]],0))</f>
        <v>6</v>
      </c>
      <c r="BB132" s="45" t="str">
        <f>INDEX(Table5[[#All],[Team]],MATCH(Batters[[#This Row],[PID]],Table5[[#All],[PID]],0))</f>
        <v>Manchester Maulers</v>
      </c>
    </row>
    <row r="133" spans="1:54" ht="15" customHeight="1" x14ac:dyDescent="0.25">
      <c r="A133" s="40">
        <v>18251</v>
      </c>
      <c r="B133" s="40" t="s">
        <v>69</v>
      </c>
      <c r="C133" s="40" t="s">
        <v>675</v>
      </c>
      <c r="D133" s="40" t="s">
        <v>1325</v>
      </c>
      <c r="E133" s="40">
        <v>18</v>
      </c>
      <c r="F133" s="40" t="s">
        <v>62</v>
      </c>
      <c r="G133" s="40" t="s">
        <v>42</v>
      </c>
      <c r="H133" s="41" t="s">
        <v>634</v>
      </c>
      <c r="I133" s="65" t="s">
        <v>43</v>
      </c>
      <c r="J133" s="66" t="s">
        <v>47</v>
      </c>
      <c r="K133" s="67" t="s">
        <v>43</v>
      </c>
      <c r="L133" s="40">
        <v>1</v>
      </c>
      <c r="M133" s="40">
        <v>2</v>
      </c>
      <c r="N133" s="40">
        <v>2</v>
      </c>
      <c r="O133" s="40">
        <v>1</v>
      </c>
      <c r="P133" s="41">
        <v>1</v>
      </c>
      <c r="Q133" s="40">
        <v>4</v>
      </c>
      <c r="R133" s="40">
        <v>5</v>
      </c>
      <c r="S133" s="40">
        <v>5</v>
      </c>
      <c r="T133" s="40">
        <v>3</v>
      </c>
      <c r="U133" s="41">
        <v>4</v>
      </c>
      <c r="V133" s="40">
        <v>10</v>
      </c>
      <c r="W133" s="40">
        <v>10</v>
      </c>
      <c r="X133" s="40">
        <v>1</v>
      </c>
      <c r="Y133" s="41">
        <v>1</v>
      </c>
      <c r="Z133" s="40" t="s">
        <v>45</v>
      </c>
      <c r="AA133" s="40" t="s">
        <v>45</v>
      </c>
      <c r="AB133" s="40" t="s">
        <v>45</v>
      </c>
      <c r="AC133" s="40">
        <v>3</v>
      </c>
      <c r="AD133" s="40" t="s">
        <v>45</v>
      </c>
      <c r="AE133" s="40" t="s">
        <v>45</v>
      </c>
      <c r="AF133" s="40" t="s">
        <v>45</v>
      </c>
      <c r="AG133" s="41" t="s">
        <v>45</v>
      </c>
      <c r="AH133" s="40">
        <v>3</v>
      </c>
      <c r="AI133" s="40">
        <v>7</v>
      </c>
      <c r="AJ133" s="41">
        <v>9</v>
      </c>
      <c r="AK133" s="43" t="s">
        <v>554</v>
      </c>
      <c r="AL133" s="43" t="s">
        <v>635</v>
      </c>
      <c r="AM133" s="44">
        <f t="shared" ref="AM133:AM196" si="15">($L$3*(L133-$Q$1)/$Q$2+$M$3*(M133-$R$1)/$R$2+$N$3*(N133-$S$1)/$S$2+$O$3*(O133-$T$1)/$T$2+$P$3*(P133-$U$1)/$U$2)/(SUM($L$3:$P$3))</f>
        <v>-1.9502219761849671</v>
      </c>
      <c r="AN133" s="44">
        <f t="shared" ref="AN133:AN196" si="16">($L$3*(Q133-$Q$1)/$Q$2+$M$3*(R133-$R$1)/$R$2+$N$3*(S133-$S$1)/$S$2+$O$3*(T133-$T$1)/$T$2+$P$3*(U133-$U$1)/$U$2)/(SUM($L$3:$P$3))</f>
        <v>-0.28072222717871542</v>
      </c>
      <c r="AO133" s="45">
        <f t="shared" ref="AO133:AO196" si="17">IF(AVERAGE(AH133:AI133)&gt;9,1,0)+IF(AVERAGE(AH133:AI133)&gt;7,1,0)+IF(AH133&gt;7,1,0)+IF(AI133&gt;7,1,0)+IF(AJ133&gt;8,1,0)+IF(AJ133&gt;6,1,0)</f>
        <v>2</v>
      </c>
      <c r="AP133" s="46">
        <f t="shared" ref="AP133:AP196" si="18">MIN(2,IF(OR(Z133="-",X133&lt;5),0,1+IF(Y133&gt;7,0.35,IF(Y133&gt;5,0.1,0))+IF(Z133&gt;7,1+IF(X133&gt;7,0.25,0),IF(Z133&gt;4,0.5+IF(X133&gt;7,0.25,0),0+IF(X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0</v>
      </c>
      <c r="AQ133" s="44">
        <f>($AM$3*AM133+$AN$3*AN133+$AO$3*AO133+$AP$3*AP133)+$I$3*VLOOKUP(I133,COND!$A$2:$E$7,4,FALSE)+$J$3*VLOOKUP(J133,COND!$A$2:$C$7,2,FALSE)+$K$3*VLOOKUP(K133,COND!$A$2:$C$7,3,FALSE)+IF(AND($B$2&gt;0,$E133&lt;20),$B$2*25,0)</f>
        <v>47.069644409570252</v>
      </c>
      <c r="AR133" s="47">
        <f t="shared" ref="AR133:AR196" si="19">STANDARDIZE(AQ133,AVERAGE($AQ$5:$AQ$534),STDEVP($AQ$5:$AQ$534))</f>
        <v>0.65130898635629864</v>
      </c>
      <c r="AS133" s="45" t="str">
        <f t="shared" ref="AS133:AS196" si="20">IF(AND(Z133&lt;&gt;"-",Y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3B</v>
      </c>
      <c r="AT133" s="45">
        <f>RANK(Batters[[#This Row],[zScore]],Batters[[#All],[zScore]])</f>
        <v>129</v>
      </c>
      <c r="AU133" s="45"/>
      <c r="AV133" s="45"/>
      <c r="AW133" s="45" t="str">
        <f t="shared" ref="AW133:AW196" si="21">IF(AND($Q133&gt;=6,AVERAGE($S133:$T133)&gt;=6),"Likely",IF(OR($Q133&gt;6,AND($Q133=6,AVERAGE($S133:$T133)&gt;=3),AND($Q133&gt;=5,AVERAGE($S133:$T133)&gt;=5),AVERAGE($Q133,$S133:$T133)&gt;5),"Possible","Unlikely"))</f>
        <v>Unlikely</v>
      </c>
      <c r="AX133" s="45"/>
      <c r="AY133" s="45">
        <f>INDEX(Table5[[#All],[Ovr]],MATCH(Batters[[#This Row],[PID]],Table5[[#All],[PID]],0))</f>
        <v>344</v>
      </c>
      <c r="AZ133" s="45" t="str">
        <f>INDEX(Table5[[#All],[Rnd]],MATCH(Batters[[#This Row],[PID]],Table5[[#All],[PID]],0))</f>
        <v>12</v>
      </c>
      <c r="BA133" s="45">
        <f>INDEX(Table5[[#All],[Pick]],MATCH(Batters[[#This Row],[PID]],Table5[[#All],[PID]],0))</f>
        <v>6</v>
      </c>
      <c r="BB133" s="45" t="str">
        <f>INDEX(Table5[[#All],[Team]],MATCH(Batters[[#This Row],[PID]],Table5[[#All],[PID]],0))</f>
        <v>Manchester Maulers</v>
      </c>
    </row>
    <row r="134" spans="1:54" ht="15" customHeight="1" x14ac:dyDescent="0.25">
      <c r="A134" s="40">
        <v>20898</v>
      </c>
      <c r="B134" s="40" t="s">
        <v>87</v>
      </c>
      <c r="C134" s="40" t="s">
        <v>1301</v>
      </c>
      <c r="D134" s="40" t="s">
        <v>1302</v>
      </c>
      <c r="E134" s="40">
        <v>18</v>
      </c>
      <c r="F134" s="40" t="s">
        <v>42</v>
      </c>
      <c r="G134" s="40" t="s">
        <v>42</v>
      </c>
      <c r="H134" s="41" t="s">
        <v>634</v>
      </c>
      <c r="I134" s="65" t="s">
        <v>43</v>
      </c>
      <c r="J134" s="66" t="s">
        <v>43</v>
      </c>
      <c r="K134" s="67" t="s">
        <v>47</v>
      </c>
      <c r="L134" s="40">
        <v>1</v>
      </c>
      <c r="M134" s="40">
        <v>2</v>
      </c>
      <c r="N134" s="40">
        <v>4</v>
      </c>
      <c r="O134" s="40">
        <v>1</v>
      </c>
      <c r="P134" s="41">
        <v>1</v>
      </c>
      <c r="Q134" s="40">
        <v>3</v>
      </c>
      <c r="R134" s="40">
        <v>5</v>
      </c>
      <c r="S134" s="40">
        <v>8</v>
      </c>
      <c r="T134" s="40">
        <v>5</v>
      </c>
      <c r="U134" s="41">
        <v>2</v>
      </c>
      <c r="V134" s="40">
        <v>7</v>
      </c>
      <c r="W134" s="40">
        <v>7</v>
      </c>
      <c r="X134" s="40">
        <v>2</v>
      </c>
      <c r="Y134" s="41">
        <v>1</v>
      </c>
      <c r="Z134" s="40" t="s">
        <v>45</v>
      </c>
      <c r="AA134" s="40">
        <v>3</v>
      </c>
      <c r="AB134" s="40" t="s">
        <v>45</v>
      </c>
      <c r="AC134" s="40">
        <v>1</v>
      </c>
      <c r="AD134" s="40" t="s">
        <v>45</v>
      </c>
      <c r="AE134" s="40" t="s">
        <v>45</v>
      </c>
      <c r="AF134" s="40" t="s">
        <v>45</v>
      </c>
      <c r="AG134" s="41" t="s">
        <v>45</v>
      </c>
      <c r="AH134" s="40">
        <v>4</v>
      </c>
      <c r="AI134" s="40">
        <v>1</v>
      </c>
      <c r="AJ134" s="41">
        <v>2</v>
      </c>
      <c r="AK134" s="43" t="s">
        <v>551</v>
      </c>
      <c r="AL134" s="43" t="s">
        <v>47</v>
      </c>
      <c r="AM134" s="44">
        <f t="shared" si="15"/>
        <v>-1.7840989881371638</v>
      </c>
      <c r="AN134" s="44">
        <f t="shared" si="16"/>
        <v>-0.25470716092469042</v>
      </c>
      <c r="AO134" s="45">
        <f t="shared" si="17"/>
        <v>0</v>
      </c>
      <c r="AP134" s="46">
        <f t="shared" si="18"/>
        <v>0</v>
      </c>
      <c r="AQ134" s="44">
        <f>($AM$3*AM134+$AN$3*AN134+$AO$3*AO134+$AP$3*AP134)+$I$3*VLOOKUP(I134,COND!$A$2:$E$7,4,FALSE)+$J$3*VLOOKUP(J134,COND!$A$2:$C$7,2,FALSE)+$K$3*VLOOKUP(K134,COND!$A$2:$C$7,3,FALSE)+IF(AND($B$2&gt;0,$E134&lt;20),$B$2*25,0)</f>
        <v>47.065104170089995</v>
      </c>
      <c r="AR134" s="47">
        <f t="shared" si="19"/>
        <v>0.65030238457435507</v>
      </c>
      <c r="AS134" s="45" t="str">
        <f t="shared" si="20"/>
        <v>1B</v>
      </c>
      <c r="AT134" s="45">
        <f>RANK(Batters[[#This Row],[zScore]],Batters[[#All],[zScore]])</f>
        <v>130</v>
      </c>
      <c r="AU134" s="45"/>
      <c r="AV134" s="45"/>
      <c r="AW134" s="45" t="str">
        <f t="shared" si="21"/>
        <v>Possible</v>
      </c>
      <c r="AX134" s="45"/>
      <c r="AY134" s="45">
        <f>INDEX(Table5[[#All],[Ovr]],MATCH(Batters[[#This Row],[PID]],Table5[[#All],[PID]],0))</f>
        <v>360</v>
      </c>
      <c r="AZ134" s="45" t="str">
        <f>INDEX(Table5[[#All],[Rnd]],MATCH(Batters[[#This Row],[PID]],Table5[[#All],[PID]],0))</f>
        <v>12</v>
      </c>
      <c r="BA134" s="45">
        <f>INDEX(Table5[[#All],[Pick]],MATCH(Batters[[#This Row],[PID]],Table5[[#All],[PID]],0))</f>
        <v>22</v>
      </c>
      <c r="BB134" s="45" t="str">
        <f>INDEX(Table5[[#All],[Team]],MATCH(Batters[[#This Row],[PID]],Table5[[#All],[PID]],0))</f>
        <v>Fargo Dinosaurs</v>
      </c>
    </row>
    <row r="135" spans="1:54" ht="15" customHeight="1" x14ac:dyDescent="0.25">
      <c r="A135" s="40">
        <v>18291</v>
      </c>
      <c r="B135" s="40" t="s">
        <v>86</v>
      </c>
      <c r="C135" s="40" t="s">
        <v>1166</v>
      </c>
      <c r="D135" s="40" t="s">
        <v>1167</v>
      </c>
      <c r="E135" s="40">
        <v>21</v>
      </c>
      <c r="F135" s="40" t="s">
        <v>62</v>
      </c>
      <c r="G135" s="40" t="s">
        <v>42</v>
      </c>
      <c r="H135" s="41" t="s">
        <v>633</v>
      </c>
      <c r="I135" s="65" t="s">
        <v>43</v>
      </c>
      <c r="J135" s="66" t="s">
        <v>43</v>
      </c>
      <c r="K135" s="67" t="s">
        <v>43</v>
      </c>
      <c r="L135" s="40">
        <v>3</v>
      </c>
      <c r="M135" s="40">
        <v>5</v>
      </c>
      <c r="N135" s="40">
        <v>4</v>
      </c>
      <c r="O135" s="40">
        <v>3</v>
      </c>
      <c r="P135" s="41">
        <v>6</v>
      </c>
      <c r="Q135" s="40">
        <v>4</v>
      </c>
      <c r="R135" s="40">
        <v>7</v>
      </c>
      <c r="S135" s="40">
        <v>5</v>
      </c>
      <c r="T135" s="40">
        <v>5</v>
      </c>
      <c r="U135" s="41">
        <v>6</v>
      </c>
      <c r="V135" s="40">
        <v>4</v>
      </c>
      <c r="W135" s="40">
        <v>4</v>
      </c>
      <c r="X135" s="40">
        <v>6</v>
      </c>
      <c r="Y135" s="41">
        <v>7</v>
      </c>
      <c r="Z135" s="40">
        <v>3</v>
      </c>
      <c r="AA135" s="40" t="s">
        <v>45</v>
      </c>
      <c r="AB135" s="40" t="s">
        <v>45</v>
      </c>
      <c r="AC135" s="40" t="s">
        <v>45</v>
      </c>
      <c r="AD135" s="40" t="s">
        <v>45</v>
      </c>
      <c r="AE135" s="40" t="s">
        <v>45</v>
      </c>
      <c r="AF135" s="40" t="s">
        <v>45</v>
      </c>
      <c r="AG135" s="41" t="s">
        <v>45</v>
      </c>
      <c r="AH135" s="40">
        <v>1</v>
      </c>
      <c r="AI135" s="40">
        <v>5</v>
      </c>
      <c r="AJ135" s="41">
        <v>3</v>
      </c>
      <c r="AK135" s="43" t="s">
        <v>709</v>
      </c>
      <c r="AL135" s="43" t="s">
        <v>635</v>
      </c>
      <c r="AM135" s="44">
        <f t="shared" si="15"/>
        <v>-0.60630687777112469</v>
      </c>
      <c r="AN135" s="44">
        <f t="shared" si="16"/>
        <v>8.0849311712020547E-2</v>
      </c>
      <c r="AO135" s="45">
        <f t="shared" si="17"/>
        <v>0</v>
      </c>
      <c r="AP135" s="46">
        <f t="shared" si="18"/>
        <v>1.1000000000000001</v>
      </c>
      <c r="AQ135" s="44">
        <f>($AM$3*AM135+$AN$3*AN135+$AO$3*AO135+$AP$3*AP135)+$I$3*VLOOKUP(I135,COND!$A$2:$E$7,4,FALSE)+$J$3*VLOOKUP(J135,COND!$A$2:$C$7,2,FALSE)+$K$3*VLOOKUP(K135,COND!$A$2:$C$7,3,FALSE)+IF(AND($B$2&gt;0,$E135&lt;20),$B$2*25,0)</f>
        <v>47.009561052767133</v>
      </c>
      <c r="AR135" s="47">
        <f t="shared" si="19"/>
        <v>0.6379881000272466</v>
      </c>
      <c r="AS135" s="45" t="str">
        <f t="shared" si="20"/>
        <v>C</v>
      </c>
      <c r="AT135" s="45">
        <f>RANK(Batters[[#This Row],[zScore]],Batters[[#All],[zScore]])</f>
        <v>131</v>
      </c>
      <c r="AU135" s="45"/>
      <c r="AV135" s="45"/>
      <c r="AW135" s="45" t="str">
        <f t="shared" si="21"/>
        <v>Unlikely</v>
      </c>
      <c r="AX135" s="45"/>
      <c r="AY135" s="45">
        <f>INDEX(Table5[[#All],[Ovr]],MATCH(Batters[[#This Row],[PID]],Table5[[#All],[PID]],0))</f>
        <v>55</v>
      </c>
      <c r="AZ135" s="45" t="str">
        <f>INDEX(Table5[[#All],[Rnd]],MATCH(Batters[[#This Row],[PID]],Table5[[#All],[PID]],0))</f>
        <v>2</v>
      </c>
      <c r="BA135" s="45">
        <f>INDEX(Table5[[#All],[Pick]],MATCH(Batters[[#This Row],[PID]],Table5[[#All],[PID]],0))</f>
        <v>20</v>
      </c>
      <c r="BB135" s="45" t="str">
        <f>INDEX(Table5[[#All],[Team]],MATCH(Batters[[#This Row],[PID]],Table5[[#All],[PID]],0))</f>
        <v>Florida Farstriders</v>
      </c>
    </row>
    <row r="136" spans="1:54" ht="15" customHeight="1" x14ac:dyDescent="0.25">
      <c r="A136" s="40">
        <v>18232</v>
      </c>
      <c r="B136" s="40" t="s">
        <v>66</v>
      </c>
      <c r="C136" s="40" t="s">
        <v>1330</v>
      </c>
      <c r="D136" s="40" t="s">
        <v>344</v>
      </c>
      <c r="E136" s="40">
        <v>18</v>
      </c>
      <c r="F136" s="40" t="s">
        <v>53</v>
      </c>
      <c r="G136" s="40" t="s">
        <v>53</v>
      </c>
      <c r="H136" s="41" t="s">
        <v>634</v>
      </c>
      <c r="I136" s="65" t="s">
        <v>43</v>
      </c>
      <c r="J136" s="66" t="s">
        <v>44</v>
      </c>
      <c r="K136" s="67" t="s">
        <v>43</v>
      </c>
      <c r="L136" s="40">
        <v>1</v>
      </c>
      <c r="M136" s="40">
        <v>2</v>
      </c>
      <c r="N136" s="40">
        <v>3</v>
      </c>
      <c r="O136" s="40">
        <v>2</v>
      </c>
      <c r="P136" s="41">
        <v>1</v>
      </c>
      <c r="Q136" s="40">
        <v>3</v>
      </c>
      <c r="R136" s="40">
        <v>7</v>
      </c>
      <c r="S136" s="40">
        <v>6</v>
      </c>
      <c r="T136" s="40">
        <v>6</v>
      </c>
      <c r="U136" s="41">
        <v>2</v>
      </c>
      <c r="V136" s="40">
        <v>2</v>
      </c>
      <c r="W136" s="40">
        <v>6</v>
      </c>
      <c r="X136" s="40">
        <v>1</v>
      </c>
      <c r="Y136" s="41">
        <v>1</v>
      </c>
      <c r="Z136" s="40" t="s">
        <v>45</v>
      </c>
      <c r="AA136" s="40" t="s">
        <v>45</v>
      </c>
      <c r="AB136" s="40" t="s">
        <v>45</v>
      </c>
      <c r="AC136" s="40" t="s">
        <v>45</v>
      </c>
      <c r="AD136" s="40" t="s">
        <v>45</v>
      </c>
      <c r="AE136" s="40" t="s">
        <v>45</v>
      </c>
      <c r="AF136" s="40" t="s">
        <v>45</v>
      </c>
      <c r="AG136" s="41">
        <v>4</v>
      </c>
      <c r="AH136" s="40">
        <v>7</v>
      </c>
      <c r="AI136" s="40">
        <v>7</v>
      </c>
      <c r="AJ136" s="41">
        <v>7</v>
      </c>
      <c r="AK136" s="43" t="s">
        <v>554</v>
      </c>
      <c r="AL136" s="43" t="s">
        <v>635</v>
      </c>
      <c r="AM136" s="44">
        <f t="shared" si="15"/>
        <v>-1.7774509321514844</v>
      </c>
      <c r="AN136" s="44">
        <f t="shared" si="16"/>
        <v>-0.22900083972550547</v>
      </c>
      <c r="AO136" s="45">
        <f t="shared" si="17"/>
        <v>1</v>
      </c>
      <c r="AP136" s="46">
        <f t="shared" si="18"/>
        <v>0</v>
      </c>
      <c r="AQ136" s="44">
        <f>($AM$3*AM136+$AN$3*AN136+$AO$3*AO136+$AP$3*AP136)+$I$3*VLOOKUP(I136,COND!$A$2:$E$7,4,FALSE)+$J$3*VLOOKUP(J136,COND!$A$2:$C$7,2,FALSE)+$K$3*VLOOKUP(K136,COND!$A$2:$C$7,3,FALSE)+IF(AND($B$2&gt;0,$E136&lt;20),$B$2*25,0)</f>
        <v>46.94091149674545</v>
      </c>
      <c r="AR136" s="47">
        <f t="shared" si="19"/>
        <v>0.62276802942930598</v>
      </c>
      <c r="AS136" s="45" t="str">
        <f t="shared" si="20"/>
        <v>RF</v>
      </c>
      <c r="AT136" s="45">
        <f>RANK(Batters[[#This Row],[zScore]],Batters[[#All],[zScore]])</f>
        <v>132</v>
      </c>
      <c r="AU136" s="45"/>
      <c r="AV136" s="45"/>
      <c r="AW136" s="45" t="str">
        <f t="shared" si="21"/>
        <v>Unlikely</v>
      </c>
      <c r="AX136" s="45"/>
      <c r="AY136" s="45">
        <f>INDEX(Table5[[#All],[Ovr]],MATCH(Batters[[#This Row],[PID]],Table5[[#All],[PID]],0))</f>
        <v>288</v>
      </c>
      <c r="AZ136" s="45" t="str">
        <f>INDEX(Table5[[#All],[Rnd]],MATCH(Batters[[#This Row],[PID]],Table5[[#All],[PID]],0))</f>
        <v>10</v>
      </c>
      <c r="BA136" s="45">
        <f>INDEX(Table5[[#All],[Pick]],MATCH(Batters[[#This Row],[PID]],Table5[[#All],[PID]],0))</f>
        <v>10</v>
      </c>
      <c r="BB136" s="45" t="str">
        <f>INDEX(Table5[[#All],[Team]],MATCH(Batters[[#This Row],[PID]],Table5[[#All],[PID]],0))</f>
        <v>Hartford Harpoon</v>
      </c>
    </row>
    <row r="137" spans="1:54" ht="15" customHeight="1" x14ac:dyDescent="0.25">
      <c r="A137" s="40">
        <v>18426</v>
      </c>
      <c r="B137" s="40" t="s">
        <v>50</v>
      </c>
      <c r="C137" s="40" t="s">
        <v>963</v>
      </c>
      <c r="D137" s="40" t="s">
        <v>1636</v>
      </c>
      <c r="E137" s="40">
        <v>18</v>
      </c>
      <c r="F137" s="40" t="s">
        <v>53</v>
      </c>
      <c r="G137" s="40" t="s">
        <v>53</v>
      </c>
      <c r="H137" s="41" t="s">
        <v>638</v>
      </c>
      <c r="I137" s="65" t="s">
        <v>43</v>
      </c>
      <c r="J137" s="66" t="s">
        <v>43</v>
      </c>
      <c r="K137" s="67" t="s">
        <v>43</v>
      </c>
      <c r="L137" s="40">
        <v>1</v>
      </c>
      <c r="M137" s="40">
        <v>2</v>
      </c>
      <c r="N137" s="40">
        <v>3</v>
      </c>
      <c r="O137" s="40">
        <v>2</v>
      </c>
      <c r="P137" s="41">
        <v>1</v>
      </c>
      <c r="Q137" s="40">
        <v>4</v>
      </c>
      <c r="R137" s="40">
        <v>4</v>
      </c>
      <c r="S137" s="40">
        <v>5</v>
      </c>
      <c r="T137" s="40">
        <v>4</v>
      </c>
      <c r="U137" s="41">
        <v>4</v>
      </c>
      <c r="V137" s="40">
        <v>2</v>
      </c>
      <c r="W137" s="40">
        <v>6</v>
      </c>
      <c r="X137" s="40">
        <v>1</v>
      </c>
      <c r="Y137" s="41">
        <v>1</v>
      </c>
      <c r="Z137" s="40" t="s">
        <v>45</v>
      </c>
      <c r="AA137" s="40" t="s">
        <v>45</v>
      </c>
      <c r="AB137" s="40" t="s">
        <v>45</v>
      </c>
      <c r="AC137" s="40" t="s">
        <v>45</v>
      </c>
      <c r="AD137" s="40" t="s">
        <v>45</v>
      </c>
      <c r="AE137" s="40">
        <v>1</v>
      </c>
      <c r="AF137" s="40" t="s">
        <v>45</v>
      </c>
      <c r="AG137" s="41" t="s">
        <v>45</v>
      </c>
      <c r="AH137" s="40">
        <v>2</v>
      </c>
      <c r="AI137" s="40">
        <v>4</v>
      </c>
      <c r="AJ137" s="41">
        <v>4</v>
      </c>
      <c r="AK137" s="43" t="s">
        <v>654</v>
      </c>
      <c r="AL137" s="43"/>
      <c r="AM137" s="44">
        <f t="shared" si="15"/>
        <v>-1.7774509321514844</v>
      </c>
      <c r="AN137" s="44">
        <f t="shared" si="16"/>
        <v>-0.2420725567878379</v>
      </c>
      <c r="AO137" s="45">
        <f t="shared" si="17"/>
        <v>0</v>
      </c>
      <c r="AP137" s="46">
        <f t="shared" si="18"/>
        <v>0</v>
      </c>
      <c r="AQ137" s="44">
        <f>($AM$3*AM137+$AN$3*AN137+$AO$3*AO137+$AP$3*AP137)+$I$3*VLOOKUP(I137,COND!$A$2:$E$7,4,FALSE)+$J$3*VLOOKUP(J137,COND!$A$2:$C$7,2,FALSE)+$K$3*VLOOKUP(K137,COND!$A$2:$C$7,3,FALSE)+IF(AND($B$2&gt;0,$E137&lt;20),$B$2*25,0)</f>
        <v>46.917384225330792</v>
      </c>
      <c r="AR137" s="47">
        <f t="shared" si="19"/>
        <v>0.61755187432708081</v>
      </c>
      <c r="AS137" s="45" t="str">
        <f t="shared" si="20"/>
        <v>LF</v>
      </c>
      <c r="AT137" s="45">
        <f>RANK(Batters[[#This Row],[zScore]],Batters[[#All],[zScore]])</f>
        <v>133</v>
      </c>
      <c r="AU137" s="45"/>
      <c r="AV137" s="45"/>
      <c r="AW137" s="45" t="str">
        <f t="shared" si="21"/>
        <v>Unlikely</v>
      </c>
      <c r="AX137" s="45"/>
      <c r="AY137" s="64">
        <f>INDEX(Table5[[#All],[Ovr]],MATCH(Batters[[#This Row],[PID]],Table5[[#All],[PID]],0))</f>
        <v>374</v>
      </c>
      <c r="AZ137" s="64" t="str">
        <f>INDEX(Table5[[#All],[Rnd]],MATCH(Batters[[#This Row],[PID]],Table5[[#All],[PID]],0))</f>
        <v>13</v>
      </c>
      <c r="BA137" s="64">
        <f>INDEX(Table5[[#All],[Pick]],MATCH(Batters[[#This Row],[PID]],Table5[[#All],[PID]],0))</f>
        <v>6</v>
      </c>
      <c r="BB137" s="64" t="str">
        <f>INDEX(Table5[[#All],[Team]],MATCH(Batters[[#This Row],[PID]],Table5[[#All],[PID]],0))</f>
        <v>Manchester Maulers</v>
      </c>
    </row>
    <row r="138" spans="1:54" ht="15" customHeight="1" x14ac:dyDescent="0.25">
      <c r="A138" s="40">
        <v>20494</v>
      </c>
      <c r="B138" s="40" t="s">
        <v>50</v>
      </c>
      <c r="C138" s="40" t="s">
        <v>1640</v>
      </c>
      <c r="D138" s="40" t="s">
        <v>1641</v>
      </c>
      <c r="E138" s="40">
        <v>17</v>
      </c>
      <c r="F138" s="40" t="s">
        <v>53</v>
      </c>
      <c r="G138" s="40" t="s">
        <v>42</v>
      </c>
      <c r="H138" s="41" t="s">
        <v>638</v>
      </c>
      <c r="I138" s="65" t="s">
        <v>43</v>
      </c>
      <c r="J138" s="66" t="s">
        <v>43</v>
      </c>
      <c r="K138" s="67" t="s">
        <v>43</v>
      </c>
      <c r="L138" s="40">
        <v>1</v>
      </c>
      <c r="M138" s="40">
        <v>3</v>
      </c>
      <c r="N138" s="40">
        <v>3</v>
      </c>
      <c r="O138" s="40">
        <v>3</v>
      </c>
      <c r="P138" s="41">
        <v>2</v>
      </c>
      <c r="Q138" s="40">
        <v>3</v>
      </c>
      <c r="R138" s="40">
        <v>5</v>
      </c>
      <c r="S138" s="40">
        <v>5</v>
      </c>
      <c r="T138" s="40">
        <v>7</v>
      </c>
      <c r="U138" s="41">
        <v>4</v>
      </c>
      <c r="V138" s="40">
        <v>4</v>
      </c>
      <c r="W138" s="40">
        <v>6</v>
      </c>
      <c r="X138" s="40">
        <v>1</v>
      </c>
      <c r="Y138" s="41">
        <v>1</v>
      </c>
      <c r="Z138" s="40" t="s">
        <v>45</v>
      </c>
      <c r="AA138" s="40" t="s">
        <v>45</v>
      </c>
      <c r="AB138" s="40" t="s">
        <v>45</v>
      </c>
      <c r="AC138" s="40" t="s">
        <v>45</v>
      </c>
      <c r="AD138" s="40" t="s">
        <v>45</v>
      </c>
      <c r="AE138" s="40">
        <v>1</v>
      </c>
      <c r="AF138" s="40" t="s">
        <v>45</v>
      </c>
      <c r="AG138" s="41" t="s">
        <v>45</v>
      </c>
      <c r="AH138" s="40">
        <v>3</v>
      </c>
      <c r="AI138" s="40">
        <v>2</v>
      </c>
      <c r="AJ138" s="41">
        <v>2</v>
      </c>
      <c r="AK138" s="43" t="s">
        <v>659</v>
      </c>
      <c r="AL138" s="43"/>
      <c r="AM138" s="44">
        <f t="shared" si="15"/>
        <v>-1.5966651627061161</v>
      </c>
      <c r="AN138" s="44">
        <f t="shared" si="16"/>
        <v>-0.244439863343066</v>
      </c>
      <c r="AO138" s="45">
        <f t="shared" si="17"/>
        <v>0</v>
      </c>
      <c r="AP138" s="46">
        <f t="shared" si="18"/>
        <v>0</v>
      </c>
      <c r="AQ138" s="44">
        <f>($AM$3*AM138+$AN$3*AN138+$AO$3*AO138+$AP$3*AP138)+$I$3*VLOOKUP(I138,COND!$A$2:$E$7,4,FALSE)+$J$3*VLOOKUP(J138,COND!$A$2:$C$7,2,FALSE)+$K$3*VLOOKUP(K138,COND!$A$2:$C$7,3,FALSE)+IF(AND($B$2&gt;0,$E138&lt;20),$B$2*25,0)</f>
        <v>46.907055123612594</v>
      </c>
      <c r="AR138" s="47">
        <f t="shared" si="19"/>
        <v>0.61526184265790806</v>
      </c>
      <c r="AS138" s="45" t="str">
        <f t="shared" si="20"/>
        <v>LF</v>
      </c>
      <c r="AT138" s="45">
        <f>RANK(Batters[[#This Row],[zScore]],Batters[[#All],[zScore]])</f>
        <v>134</v>
      </c>
      <c r="AU138" s="45"/>
      <c r="AV138" s="45"/>
      <c r="AW138" s="45" t="str">
        <f t="shared" si="21"/>
        <v>Unlikely</v>
      </c>
      <c r="AX138" s="45"/>
      <c r="AY138" s="64">
        <f>INDEX(Table5[[#All],[Ovr]],MATCH(Batters[[#This Row],[PID]],Table5[[#All],[PID]],0))</f>
        <v>528</v>
      </c>
      <c r="AZ138" s="64" t="str">
        <f>INDEX(Table5[[#All],[Rnd]],MATCH(Batters[[#This Row],[PID]],Table5[[#All],[PID]],0))</f>
        <v>18</v>
      </c>
      <c r="BA138" s="64">
        <f>INDEX(Table5[[#All],[Pick]],MATCH(Batters[[#This Row],[PID]],Table5[[#All],[PID]],0))</f>
        <v>10</v>
      </c>
      <c r="BB138" s="64" t="str">
        <f>INDEX(Table5[[#All],[Team]],MATCH(Batters[[#This Row],[PID]],Table5[[#All],[PID]],0))</f>
        <v>Hartford Harpoon</v>
      </c>
    </row>
    <row r="139" spans="1:54" ht="15" customHeight="1" x14ac:dyDescent="0.25">
      <c r="A139" s="40">
        <v>20363</v>
      </c>
      <c r="B139" s="40" t="s">
        <v>86</v>
      </c>
      <c r="C139" s="40" t="s">
        <v>162</v>
      </c>
      <c r="D139" s="40" t="s">
        <v>191</v>
      </c>
      <c r="E139" s="40">
        <v>17</v>
      </c>
      <c r="F139" s="40" t="s">
        <v>42</v>
      </c>
      <c r="G139" s="40" t="s">
        <v>42</v>
      </c>
      <c r="H139" s="41" t="s">
        <v>634</v>
      </c>
      <c r="I139" s="65" t="s">
        <v>43</v>
      </c>
      <c r="J139" s="66" t="s">
        <v>47</v>
      </c>
      <c r="K139" s="67" t="s">
        <v>47</v>
      </c>
      <c r="L139" s="40">
        <v>1</v>
      </c>
      <c r="M139" s="40">
        <v>2</v>
      </c>
      <c r="N139" s="40">
        <v>3</v>
      </c>
      <c r="O139" s="40">
        <v>3</v>
      </c>
      <c r="P139" s="41">
        <v>1</v>
      </c>
      <c r="Q139" s="40">
        <v>3</v>
      </c>
      <c r="R139" s="40">
        <v>4</v>
      </c>
      <c r="S139" s="40">
        <v>5</v>
      </c>
      <c r="T139" s="40">
        <v>7</v>
      </c>
      <c r="U139" s="41">
        <v>4</v>
      </c>
      <c r="V139" s="40">
        <v>3</v>
      </c>
      <c r="W139" s="40">
        <v>2</v>
      </c>
      <c r="X139" s="40">
        <v>6</v>
      </c>
      <c r="Y139" s="41">
        <v>5</v>
      </c>
      <c r="Z139" s="40" t="s">
        <v>45</v>
      </c>
      <c r="AA139" s="40" t="s">
        <v>45</v>
      </c>
      <c r="AB139" s="40" t="s">
        <v>45</v>
      </c>
      <c r="AC139" s="40" t="s">
        <v>45</v>
      </c>
      <c r="AD139" s="40" t="s">
        <v>45</v>
      </c>
      <c r="AE139" s="40" t="s">
        <v>45</v>
      </c>
      <c r="AF139" s="40" t="s">
        <v>45</v>
      </c>
      <c r="AG139" s="41" t="s">
        <v>45</v>
      </c>
      <c r="AH139" s="40">
        <v>4</v>
      </c>
      <c r="AI139" s="40">
        <v>4</v>
      </c>
      <c r="AJ139" s="41">
        <v>3</v>
      </c>
      <c r="AK139" s="43" t="s">
        <v>45</v>
      </c>
      <c r="AL139" s="43" t="s">
        <v>635</v>
      </c>
      <c r="AM139" s="44">
        <f t="shared" si="15"/>
        <v>-1.6877413821419032</v>
      </c>
      <c r="AN139" s="44">
        <f t="shared" si="16"/>
        <v>-0.29549974296176951</v>
      </c>
      <c r="AO139" s="45">
        <f t="shared" si="17"/>
        <v>0</v>
      </c>
      <c r="AP139" s="46">
        <f t="shared" si="18"/>
        <v>0</v>
      </c>
      <c r="AQ139" s="44">
        <f>($AM$3*AM139+$AN$3*AN139+$AO$3*AO139+$AP$3*AP139)+$I$3*VLOOKUP(I139,COND!$A$2:$E$7,4,FALSE)+$J$3*VLOOKUP(J139,COND!$A$2:$C$7,2,FALSE)+$K$3*VLOOKUP(K139,COND!$A$2:$C$7,3,FALSE)+IF(AND($B$2&gt;0,$E139&lt;20),$B$2*25,0)</f>
        <v>46.885228946244581</v>
      </c>
      <c r="AR139" s="47">
        <f t="shared" si="19"/>
        <v>0.61042283160415267</v>
      </c>
      <c r="AS139" s="45" t="str">
        <f t="shared" si="20"/>
        <v>DH</v>
      </c>
      <c r="AT139" s="45">
        <f>RANK(Batters[[#This Row],[zScore]],Batters[[#All],[zScore]])</f>
        <v>135</v>
      </c>
      <c r="AU139" s="45"/>
      <c r="AV139" s="45"/>
      <c r="AW139" s="45" t="str">
        <f t="shared" si="21"/>
        <v>Unlikely</v>
      </c>
      <c r="AX139" s="45"/>
      <c r="AY139" s="45">
        <f>INDEX(Table5[[#All],[Ovr]],MATCH(Batters[[#This Row],[PID]],Table5[[#All],[PID]],0))</f>
        <v>375</v>
      </c>
      <c r="AZ139" s="45" t="str">
        <f>INDEX(Table5[[#All],[Rnd]],MATCH(Batters[[#This Row],[PID]],Table5[[#All],[PID]],0))</f>
        <v>13</v>
      </c>
      <c r="BA139" s="45">
        <f>INDEX(Table5[[#All],[Pick]],MATCH(Batters[[#This Row],[PID]],Table5[[#All],[PID]],0))</f>
        <v>7</v>
      </c>
      <c r="BB139" s="45" t="str">
        <f>INDEX(Table5[[#All],[Team]],MATCH(Batters[[#This Row],[PID]],Table5[[#All],[PID]],0))</f>
        <v>Niihama-shi Ghosts</v>
      </c>
    </row>
    <row r="140" spans="1:54" ht="15" customHeight="1" x14ac:dyDescent="0.25">
      <c r="A140" s="40">
        <v>14079</v>
      </c>
      <c r="B140" s="40" t="s">
        <v>71</v>
      </c>
      <c r="C140" s="40" t="s">
        <v>1584</v>
      </c>
      <c r="D140" s="40" t="s">
        <v>1585</v>
      </c>
      <c r="E140" s="40">
        <v>18</v>
      </c>
      <c r="F140" s="40" t="s">
        <v>42</v>
      </c>
      <c r="G140" s="40" t="s">
        <v>42</v>
      </c>
      <c r="H140" s="41" t="s">
        <v>638</v>
      </c>
      <c r="I140" s="65" t="s">
        <v>43</v>
      </c>
      <c r="J140" s="66" t="s">
        <v>47</v>
      </c>
      <c r="K140" s="67" t="s">
        <v>43</v>
      </c>
      <c r="L140" s="40">
        <v>1</v>
      </c>
      <c r="M140" s="40">
        <v>2</v>
      </c>
      <c r="N140" s="40">
        <v>3</v>
      </c>
      <c r="O140" s="40">
        <v>2</v>
      </c>
      <c r="P140" s="41">
        <v>2</v>
      </c>
      <c r="Q140" s="40">
        <v>4</v>
      </c>
      <c r="R140" s="40">
        <v>4</v>
      </c>
      <c r="S140" s="40">
        <v>4</v>
      </c>
      <c r="T140" s="40">
        <v>4</v>
      </c>
      <c r="U140" s="41">
        <v>5</v>
      </c>
      <c r="V140" s="40">
        <v>4</v>
      </c>
      <c r="W140" s="40">
        <v>2</v>
      </c>
      <c r="X140" s="40">
        <v>1</v>
      </c>
      <c r="Y140" s="41">
        <v>1</v>
      </c>
      <c r="Z140" s="40" t="s">
        <v>45</v>
      </c>
      <c r="AA140" s="40" t="s">
        <v>45</v>
      </c>
      <c r="AB140" s="40">
        <v>2</v>
      </c>
      <c r="AC140" s="40" t="s">
        <v>45</v>
      </c>
      <c r="AD140" s="40" t="s">
        <v>45</v>
      </c>
      <c r="AE140" s="40" t="s">
        <v>45</v>
      </c>
      <c r="AF140" s="40" t="s">
        <v>45</v>
      </c>
      <c r="AG140" s="41" t="s">
        <v>45</v>
      </c>
      <c r="AH140" s="40">
        <v>7</v>
      </c>
      <c r="AI140" s="40">
        <v>6</v>
      </c>
      <c r="AJ140" s="41">
        <v>8</v>
      </c>
      <c r="AK140" s="43" t="s">
        <v>670</v>
      </c>
      <c r="AL140" s="43" t="s">
        <v>47</v>
      </c>
      <c r="AM140" s="44">
        <f t="shared" si="15"/>
        <v>-1.7374345923344008</v>
      </c>
      <c r="AN140" s="44">
        <f t="shared" si="16"/>
        <v>-0.28511771099465594</v>
      </c>
      <c r="AO140" s="45">
        <f t="shared" si="17"/>
        <v>1</v>
      </c>
      <c r="AP140" s="46">
        <f t="shared" si="18"/>
        <v>0</v>
      </c>
      <c r="AQ140" s="44">
        <f>($AM$3*AM140+$AN$3*AN140+$AO$3*AO140+$AP$3*AP140)+$I$3*VLOOKUP(I140,COND!$A$2:$E$7,4,FALSE)+$J$3*VLOOKUP(J140,COND!$A$2:$C$7,2,FALSE)+$K$3*VLOOKUP(K140,COND!$A$2:$C$7,3,FALSE)+IF(AND($B$2&gt;0,$E140&lt;20),$B$2*25,0)</f>
        <v>46.871510675497355</v>
      </c>
      <c r="AR140" s="47">
        <f t="shared" si="19"/>
        <v>0.60738139825258808</v>
      </c>
      <c r="AS140" s="45" t="str">
        <f t="shared" si="20"/>
        <v>2B</v>
      </c>
      <c r="AT140" s="45">
        <f>RANK(Batters[[#This Row],[zScore]],Batters[[#All],[zScore]])</f>
        <v>136</v>
      </c>
      <c r="AU140" s="45"/>
      <c r="AV140" s="45"/>
      <c r="AW140" s="45" t="str">
        <f t="shared" si="21"/>
        <v>Unlikely</v>
      </c>
      <c r="AX140" s="45"/>
      <c r="AY140" s="45">
        <f>INDEX(Table5[[#All],[Ovr]],MATCH(Batters[[#This Row],[PID]],Table5[[#All],[PID]],0))</f>
        <v>332</v>
      </c>
      <c r="AZ140" s="45" t="str">
        <f>INDEX(Table5[[#All],[Rnd]],MATCH(Batters[[#This Row],[PID]],Table5[[#All],[PID]],0))</f>
        <v>11</v>
      </c>
      <c r="BA140" s="45">
        <f>INDEX(Table5[[#All],[Pick]],MATCH(Batters[[#This Row],[PID]],Table5[[#All],[PID]],0))</f>
        <v>24</v>
      </c>
      <c r="BB140" s="45" t="str">
        <f>INDEX(Table5[[#All],[Team]],MATCH(Batters[[#This Row],[PID]],Table5[[#All],[PID]],0))</f>
        <v>Aurora Borealis</v>
      </c>
    </row>
    <row r="141" spans="1:54" ht="15" customHeight="1" x14ac:dyDescent="0.25">
      <c r="A141" s="40">
        <v>21016</v>
      </c>
      <c r="B141" s="40" t="s">
        <v>71</v>
      </c>
      <c r="C141" s="40" t="s">
        <v>1327</v>
      </c>
      <c r="D141" s="40" t="s">
        <v>1328</v>
      </c>
      <c r="E141" s="40">
        <v>17</v>
      </c>
      <c r="F141" s="40" t="s">
        <v>42</v>
      </c>
      <c r="G141" s="40" t="s">
        <v>42</v>
      </c>
      <c r="H141" s="41" t="s">
        <v>634</v>
      </c>
      <c r="I141" s="65" t="s">
        <v>43</v>
      </c>
      <c r="J141" s="66" t="s">
        <v>44</v>
      </c>
      <c r="K141" s="67" t="s">
        <v>43</v>
      </c>
      <c r="L141" s="40">
        <v>1</v>
      </c>
      <c r="M141" s="40">
        <v>2</v>
      </c>
      <c r="N141" s="40">
        <v>2</v>
      </c>
      <c r="O141" s="40">
        <v>3</v>
      </c>
      <c r="P141" s="41">
        <v>1</v>
      </c>
      <c r="Q141" s="40">
        <v>4</v>
      </c>
      <c r="R141" s="40">
        <v>4</v>
      </c>
      <c r="S141" s="40">
        <v>2</v>
      </c>
      <c r="T141" s="40">
        <v>7</v>
      </c>
      <c r="U141" s="41">
        <v>4</v>
      </c>
      <c r="V141" s="40">
        <v>5</v>
      </c>
      <c r="W141" s="40">
        <v>4</v>
      </c>
      <c r="X141" s="40">
        <v>1</v>
      </c>
      <c r="Y141" s="41">
        <v>1</v>
      </c>
      <c r="Z141" s="40" t="s">
        <v>45</v>
      </c>
      <c r="AA141" s="40" t="s">
        <v>45</v>
      </c>
      <c r="AB141" s="40">
        <v>2</v>
      </c>
      <c r="AC141" s="40" t="s">
        <v>45</v>
      </c>
      <c r="AD141" s="40">
        <v>1</v>
      </c>
      <c r="AE141" s="40" t="s">
        <v>45</v>
      </c>
      <c r="AF141" s="40" t="s">
        <v>45</v>
      </c>
      <c r="AG141" s="41" t="s">
        <v>45</v>
      </c>
      <c r="AH141" s="40">
        <v>4</v>
      </c>
      <c r="AI141" s="40">
        <v>4</v>
      </c>
      <c r="AJ141" s="41">
        <v>6</v>
      </c>
      <c r="AK141" s="43" t="s">
        <v>644</v>
      </c>
      <c r="AL141" s="43" t="s">
        <v>47</v>
      </c>
      <c r="AM141" s="44">
        <f t="shared" si="15"/>
        <v>-1.7708028761658048</v>
      </c>
      <c r="AN141" s="44">
        <f t="shared" si="16"/>
        <v>-0.2221283888307993</v>
      </c>
      <c r="AO141" s="45">
        <f t="shared" si="17"/>
        <v>0</v>
      </c>
      <c r="AP141" s="46">
        <f t="shared" si="18"/>
        <v>0</v>
      </c>
      <c r="AQ141" s="44">
        <f>($AM$3*AM141+$AN$3*AN141+$AO$3*AO141+$AP$3*AP141)+$I$3*VLOOKUP(I141,COND!$A$2:$E$7,4,FALSE)+$J$3*VLOOKUP(J141,COND!$A$2:$C$7,2,FALSE)+$K$3*VLOOKUP(K141,COND!$A$2:$C$7,3,FALSE)+IF(AND($B$2&gt;0,$E141&lt;20),$B$2*25,0)</f>
        <v>46.857379046413826</v>
      </c>
      <c r="AR141" s="47">
        <f t="shared" si="19"/>
        <v>0.60424832056382216</v>
      </c>
      <c r="AS141" s="45" t="str">
        <f t="shared" si="20"/>
        <v>2B</v>
      </c>
      <c r="AT141" s="45">
        <f>RANK(Batters[[#This Row],[zScore]],Batters[[#All],[zScore]])</f>
        <v>137</v>
      </c>
      <c r="AU141" s="45"/>
      <c r="AV141" s="45"/>
      <c r="AW141" s="45" t="str">
        <f t="shared" si="21"/>
        <v>Unlikely</v>
      </c>
      <c r="AX141" s="45"/>
      <c r="AY141" s="45">
        <f>INDEX(Table5[[#All],[Ovr]],MATCH(Batters[[#This Row],[PID]],Table5[[#All],[PID]],0))</f>
        <v>596</v>
      </c>
      <c r="AZ141" s="45" t="str">
        <f>INDEX(Table5[[#All],[Rnd]],MATCH(Batters[[#This Row],[PID]],Table5[[#All],[PID]],0))</f>
        <v>20</v>
      </c>
      <c r="BA141" s="45">
        <f>INDEX(Table5[[#All],[Pick]],MATCH(Batters[[#This Row],[PID]],Table5[[#All],[PID]],0))</f>
        <v>18</v>
      </c>
      <c r="BB141" s="45" t="str">
        <f>INDEX(Table5[[#All],[Team]],MATCH(Batters[[#This Row],[PID]],Table5[[#All],[PID]],0))</f>
        <v>Bakersfield Bears</v>
      </c>
    </row>
    <row r="142" spans="1:54" ht="15" customHeight="1" x14ac:dyDescent="0.25">
      <c r="A142" s="40">
        <v>18298</v>
      </c>
      <c r="B142" s="40" t="s">
        <v>66</v>
      </c>
      <c r="C142" s="40" t="s">
        <v>585</v>
      </c>
      <c r="D142" s="40" t="s">
        <v>1356</v>
      </c>
      <c r="E142" s="40">
        <v>21</v>
      </c>
      <c r="F142" s="40" t="s">
        <v>42</v>
      </c>
      <c r="G142" s="40" t="s">
        <v>42</v>
      </c>
      <c r="H142" s="41" t="s">
        <v>634</v>
      </c>
      <c r="I142" s="65" t="s">
        <v>44</v>
      </c>
      <c r="J142" s="66" t="s">
        <v>43</v>
      </c>
      <c r="K142" s="67" t="s">
        <v>43</v>
      </c>
      <c r="L142" s="40">
        <v>3</v>
      </c>
      <c r="M142" s="40">
        <v>6</v>
      </c>
      <c r="N142" s="40">
        <v>3</v>
      </c>
      <c r="O142" s="40">
        <v>2</v>
      </c>
      <c r="P142" s="41">
        <v>6</v>
      </c>
      <c r="Q142" s="40">
        <v>5</v>
      </c>
      <c r="R142" s="40">
        <v>6</v>
      </c>
      <c r="S142" s="40">
        <v>4</v>
      </c>
      <c r="T142" s="40">
        <v>3</v>
      </c>
      <c r="U142" s="41">
        <v>8</v>
      </c>
      <c r="V142" s="40">
        <v>9</v>
      </c>
      <c r="W142" s="40">
        <v>10</v>
      </c>
      <c r="X142" s="40">
        <v>1</v>
      </c>
      <c r="Y142" s="41">
        <v>1</v>
      </c>
      <c r="Z142" s="40" t="s">
        <v>45</v>
      </c>
      <c r="AA142" s="40" t="s">
        <v>45</v>
      </c>
      <c r="AB142" s="40" t="s">
        <v>45</v>
      </c>
      <c r="AC142" s="40" t="s">
        <v>45</v>
      </c>
      <c r="AD142" s="40" t="s">
        <v>45</v>
      </c>
      <c r="AE142" s="40" t="s">
        <v>45</v>
      </c>
      <c r="AF142" s="40" t="s">
        <v>45</v>
      </c>
      <c r="AG142" s="41">
        <v>3</v>
      </c>
      <c r="AH142" s="40">
        <v>2</v>
      </c>
      <c r="AI142" s="40">
        <v>4</v>
      </c>
      <c r="AJ142" s="41">
        <v>6</v>
      </c>
      <c r="AK142" s="43" t="s">
        <v>45</v>
      </c>
      <c r="AL142" s="43" t="s">
        <v>635</v>
      </c>
      <c r="AM142" s="44">
        <f t="shared" si="15"/>
        <v>-0.72801804218590371</v>
      </c>
      <c r="AN142" s="44">
        <f t="shared" si="16"/>
        <v>0.16989735388709504</v>
      </c>
      <c r="AO142" s="45">
        <f t="shared" si="17"/>
        <v>0</v>
      </c>
      <c r="AP142" s="46">
        <f t="shared" si="18"/>
        <v>0</v>
      </c>
      <c r="AQ142" s="44">
        <f>($AM$3*AM142+$AN$3*AN142+$AO$3*AO142+$AP$3*AP142)+$I$3*VLOOKUP(I142,COND!$A$2:$E$7,4,FALSE)+$J$3*VLOOKUP(J142,COND!$A$2:$C$7,2,FALSE)+$K$3*VLOOKUP(K142,COND!$A$2:$C$7,3,FALSE)+IF(AND($B$2&gt;0,$E142&lt;20),$B$2*25,0)</f>
        <v>46.81596644242655</v>
      </c>
      <c r="AR142" s="47">
        <f t="shared" si="19"/>
        <v>0.59506686633661909</v>
      </c>
      <c r="AS142" s="45" t="str">
        <f t="shared" si="20"/>
        <v>RF</v>
      </c>
      <c r="AT142" s="45">
        <f>RANK(Batters[[#This Row],[zScore]],Batters[[#All],[zScore]])</f>
        <v>138</v>
      </c>
      <c r="AU142" s="45"/>
      <c r="AV142" s="45"/>
      <c r="AW142" s="45" t="str">
        <f t="shared" si="21"/>
        <v>Unlikely</v>
      </c>
      <c r="AX142" s="45"/>
      <c r="AY142" s="45">
        <f>INDEX(Table5[[#All],[Ovr]],MATCH(Batters[[#This Row],[PID]],Table5[[#All],[PID]],0))</f>
        <v>71</v>
      </c>
      <c r="AZ142" s="45" t="str">
        <f>INDEX(Table5[[#All],[Rnd]],MATCH(Batters[[#This Row],[PID]],Table5[[#All],[PID]],0))</f>
        <v>3</v>
      </c>
      <c r="BA142" s="45">
        <f>INDEX(Table5[[#All],[Pick]],MATCH(Batters[[#This Row],[PID]],Table5[[#All],[PID]],0))</f>
        <v>3</v>
      </c>
      <c r="BB142" s="45" t="str">
        <f>INDEX(Table5[[#All],[Team]],MATCH(Batters[[#This Row],[PID]],Table5[[#All],[PID]],0))</f>
        <v>New Orleans Trendsetters</v>
      </c>
    </row>
    <row r="143" spans="1:54" ht="15" customHeight="1" x14ac:dyDescent="0.25">
      <c r="A143" s="40">
        <v>18228</v>
      </c>
      <c r="B143" s="40" t="s">
        <v>87</v>
      </c>
      <c r="C143" s="40" t="s">
        <v>756</v>
      </c>
      <c r="D143" s="40" t="s">
        <v>161</v>
      </c>
      <c r="E143" s="40">
        <v>18</v>
      </c>
      <c r="F143" s="40" t="s">
        <v>42</v>
      </c>
      <c r="G143" s="40" t="s">
        <v>42</v>
      </c>
      <c r="H143" s="41" t="s">
        <v>638</v>
      </c>
      <c r="I143" s="65" t="s">
        <v>44</v>
      </c>
      <c r="J143" s="66" t="s">
        <v>47</v>
      </c>
      <c r="K143" s="67" t="s">
        <v>43</v>
      </c>
      <c r="L143" s="40">
        <v>1</v>
      </c>
      <c r="M143" s="40">
        <v>1</v>
      </c>
      <c r="N143" s="40">
        <v>2</v>
      </c>
      <c r="O143" s="40">
        <v>2</v>
      </c>
      <c r="P143" s="41">
        <v>1</v>
      </c>
      <c r="Q143" s="40">
        <v>4</v>
      </c>
      <c r="R143" s="40">
        <v>3</v>
      </c>
      <c r="S143" s="40">
        <v>5</v>
      </c>
      <c r="T143" s="40">
        <v>4</v>
      </c>
      <c r="U143" s="41">
        <v>4</v>
      </c>
      <c r="V143" s="40">
        <v>4</v>
      </c>
      <c r="W143" s="40">
        <v>2</v>
      </c>
      <c r="X143" s="40">
        <v>1</v>
      </c>
      <c r="Y143" s="41">
        <v>1</v>
      </c>
      <c r="Z143" s="40" t="s">
        <v>45</v>
      </c>
      <c r="AA143" s="40">
        <v>1</v>
      </c>
      <c r="AB143" s="40" t="s">
        <v>45</v>
      </c>
      <c r="AC143" s="40" t="s">
        <v>45</v>
      </c>
      <c r="AD143" s="40" t="s">
        <v>45</v>
      </c>
      <c r="AE143" s="40" t="s">
        <v>45</v>
      </c>
      <c r="AF143" s="40" t="s">
        <v>45</v>
      </c>
      <c r="AG143" s="41" t="s">
        <v>45</v>
      </c>
      <c r="AH143" s="40">
        <v>3</v>
      </c>
      <c r="AI143" s="40">
        <v>8</v>
      </c>
      <c r="AJ143" s="41">
        <v>7</v>
      </c>
      <c r="AK143" s="43" t="s">
        <v>45</v>
      </c>
      <c r="AL143" s="43"/>
      <c r="AM143" s="44">
        <f t="shared" si="15"/>
        <v>-1.9115723057940897</v>
      </c>
      <c r="AN143" s="44">
        <f t="shared" si="16"/>
        <v>-0.29313243640654135</v>
      </c>
      <c r="AO143" s="45">
        <f t="shared" si="17"/>
        <v>2</v>
      </c>
      <c r="AP143" s="46">
        <f t="shared" si="18"/>
        <v>0</v>
      </c>
      <c r="AQ143" s="44">
        <f>($AM$3*AM143+$AN$3*AN143+$AO$3*AO143+$AP$3*AP143)+$I$3*VLOOKUP(I143,COND!$A$2:$E$7,4,FALSE)+$J$3*VLOOKUP(J143,COND!$A$2:$C$7,2,FALSE)+$K$3*VLOOKUP(K143,COND!$A$2:$C$7,3,FALSE)+IF(AND($B$2&gt;0,$E143&lt;20),$B$2*25,0)</f>
        <v>46.774586865875428</v>
      </c>
      <c r="AR143" s="47">
        <f t="shared" si="19"/>
        <v>0.58589273451525592</v>
      </c>
      <c r="AS143" s="45" t="str">
        <f t="shared" si="20"/>
        <v>1B</v>
      </c>
      <c r="AT143" s="45">
        <f>RANK(Batters[[#This Row],[zScore]],Batters[[#All],[zScore]])</f>
        <v>139</v>
      </c>
      <c r="AU143" s="45"/>
      <c r="AV143" s="45"/>
      <c r="AW143" s="45" t="str">
        <f t="shared" si="21"/>
        <v>Unlikely</v>
      </c>
      <c r="AX143" s="45"/>
      <c r="AY143" s="64" t="str">
        <f>INDEX(Table5[[#All],[Ovr]],MATCH(Batters[[#This Row],[PID]],Table5[[#All],[PID]],0))</f>
        <v/>
      </c>
      <c r="AZ143" s="64" t="str">
        <f>INDEX(Table5[[#All],[Rnd]],MATCH(Batters[[#This Row],[PID]],Table5[[#All],[PID]],0))</f>
        <v/>
      </c>
      <c r="BA143" s="64" t="str">
        <f>INDEX(Table5[[#All],[Pick]],MATCH(Batters[[#This Row],[PID]],Table5[[#All],[PID]],0))</f>
        <v/>
      </c>
      <c r="BB143" s="64" t="str">
        <f>INDEX(Table5[[#All],[Team]],MATCH(Batters[[#This Row],[PID]],Table5[[#All],[PID]],0))</f>
        <v/>
      </c>
    </row>
    <row r="144" spans="1:54" ht="15" customHeight="1" x14ac:dyDescent="0.25">
      <c r="A144" s="40">
        <v>18447</v>
      </c>
      <c r="B144" s="40" t="s">
        <v>87</v>
      </c>
      <c r="C144" s="40" t="s">
        <v>136</v>
      </c>
      <c r="D144" s="40" t="s">
        <v>1470</v>
      </c>
      <c r="E144" s="40">
        <v>18</v>
      </c>
      <c r="F144" s="40" t="s">
        <v>53</v>
      </c>
      <c r="G144" s="40" t="s">
        <v>42</v>
      </c>
      <c r="H144" s="41" t="s">
        <v>638</v>
      </c>
      <c r="I144" s="65" t="s">
        <v>43</v>
      </c>
      <c r="J144" s="66" t="s">
        <v>43</v>
      </c>
      <c r="K144" s="67" t="s">
        <v>44</v>
      </c>
      <c r="L144" s="40">
        <v>2</v>
      </c>
      <c r="M144" s="40">
        <v>2</v>
      </c>
      <c r="N144" s="40">
        <v>2</v>
      </c>
      <c r="O144" s="40">
        <v>2</v>
      </c>
      <c r="P144" s="41">
        <v>1</v>
      </c>
      <c r="Q144" s="40">
        <v>4</v>
      </c>
      <c r="R144" s="40">
        <v>4</v>
      </c>
      <c r="S144" s="40">
        <v>4</v>
      </c>
      <c r="T144" s="40">
        <v>5</v>
      </c>
      <c r="U144" s="41">
        <v>4</v>
      </c>
      <c r="V144" s="40">
        <v>7</v>
      </c>
      <c r="W144" s="40">
        <v>6</v>
      </c>
      <c r="X144" s="40">
        <v>1</v>
      </c>
      <c r="Y144" s="41">
        <v>1</v>
      </c>
      <c r="Z144" s="40" t="s">
        <v>45</v>
      </c>
      <c r="AA144" s="40">
        <v>4</v>
      </c>
      <c r="AB144" s="40" t="s">
        <v>45</v>
      </c>
      <c r="AC144" s="40">
        <v>1</v>
      </c>
      <c r="AD144" s="40" t="s">
        <v>45</v>
      </c>
      <c r="AE144" s="40" t="s">
        <v>45</v>
      </c>
      <c r="AF144" s="40" t="s">
        <v>45</v>
      </c>
      <c r="AG144" s="41" t="s">
        <v>45</v>
      </c>
      <c r="AH144" s="40">
        <v>1</v>
      </c>
      <c r="AI144" s="40">
        <v>3</v>
      </c>
      <c r="AJ144" s="41">
        <v>2</v>
      </c>
      <c r="AK144" s="43" t="s">
        <v>654</v>
      </c>
      <c r="AL144" s="43" t="s">
        <v>635</v>
      </c>
      <c r="AM144" s="44">
        <f t="shared" si="15"/>
        <v>-1.5379565899727115</v>
      </c>
      <c r="AN144" s="44">
        <f t="shared" si="16"/>
        <v>-0.23542450080215838</v>
      </c>
      <c r="AO144" s="45">
        <f t="shared" si="17"/>
        <v>0</v>
      </c>
      <c r="AP144" s="46">
        <f t="shared" si="18"/>
        <v>0</v>
      </c>
      <c r="AQ144" s="44">
        <f>($AM$3*AM144+$AN$3*AN144+$AO$3*AO144+$AP$3*AP144)+$I$3*VLOOKUP(I144,COND!$A$2:$E$7,4,FALSE)+$J$3*VLOOKUP(J144,COND!$A$2:$C$7,2,FALSE)+$K$3*VLOOKUP(K144,COND!$A$2:$C$7,3,FALSE)+IF(AND($B$2&gt;0,$E144&lt;20),$B$2*25,0)</f>
        <v>46.721110331376828</v>
      </c>
      <c r="AR144" s="47">
        <f t="shared" si="19"/>
        <v>0.57403662534908995</v>
      </c>
      <c r="AS144" s="45" t="str">
        <f t="shared" si="20"/>
        <v>1B</v>
      </c>
      <c r="AT144" s="45">
        <f>RANK(Batters[[#This Row],[zScore]],Batters[[#All],[zScore]])</f>
        <v>140</v>
      </c>
      <c r="AU144" s="45"/>
      <c r="AV144" s="45"/>
      <c r="AW144" s="45" t="str">
        <f t="shared" si="21"/>
        <v>Unlikely</v>
      </c>
      <c r="AX144" s="45"/>
      <c r="AY144" s="45" t="str">
        <f>INDEX(Table5[[#All],[Ovr]],MATCH(Batters[[#This Row],[PID]],Table5[[#All],[PID]],0))</f>
        <v/>
      </c>
      <c r="AZ144" s="45" t="str">
        <f>INDEX(Table5[[#All],[Rnd]],MATCH(Batters[[#This Row],[PID]],Table5[[#All],[PID]],0))</f>
        <v/>
      </c>
      <c r="BA144" s="45" t="str">
        <f>INDEX(Table5[[#All],[Pick]],MATCH(Batters[[#This Row],[PID]],Table5[[#All],[PID]],0))</f>
        <v/>
      </c>
      <c r="BB144" s="45" t="str">
        <f>INDEX(Table5[[#All],[Team]],MATCH(Batters[[#This Row],[PID]],Table5[[#All],[PID]],0))</f>
        <v/>
      </c>
    </row>
    <row r="145" spans="1:54" ht="15" customHeight="1" x14ac:dyDescent="0.25">
      <c r="A145" s="40">
        <v>18295</v>
      </c>
      <c r="B145" s="40" t="s">
        <v>86</v>
      </c>
      <c r="C145" s="40" t="s">
        <v>130</v>
      </c>
      <c r="D145" s="40" t="s">
        <v>1289</v>
      </c>
      <c r="E145" s="40">
        <v>21</v>
      </c>
      <c r="F145" s="40" t="s">
        <v>42</v>
      </c>
      <c r="G145" s="40" t="s">
        <v>42</v>
      </c>
      <c r="H145" s="41" t="s">
        <v>634</v>
      </c>
      <c r="I145" s="65" t="s">
        <v>43</v>
      </c>
      <c r="J145" s="66" t="s">
        <v>43</v>
      </c>
      <c r="K145" s="67" t="s">
        <v>44</v>
      </c>
      <c r="L145" s="40">
        <v>3</v>
      </c>
      <c r="M145" s="40">
        <v>5</v>
      </c>
      <c r="N145" s="40">
        <v>4</v>
      </c>
      <c r="O145" s="40">
        <v>4</v>
      </c>
      <c r="P145" s="41">
        <v>1</v>
      </c>
      <c r="Q145" s="40">
        <v>4</v>
      </c>
      <c r="R145" s="40">
        <v>6</v>
      </c>
      <c r="S145" s="40">
        <v>6</v>
      </c>
      <c r="T145" s="40">
        <v>6</v>
      </c>
      <c r="U145" s="41">
        <v>3</v>
      </c>
      <c r="V145" s="40">
        <v>3</v>
      </c>
      <c r="W145" s="40">
        <v>3</v>
      </c>
      <c r="X145" s="40">
        <v>5</v>
      </c>
      <c r="Y145" s="41">
        <v>7</v>
      </c>
      <c r="Z145" s="40">
        <v>2</v>
      </c>
      <c r="AA145" s="40" t="s">
        <v>45</v>
      </c>
      <c r="AB145" s="40" t="s">
        <v>45</v>
      </c>
      <c r="AC145" s="40" t="s">
        <v>45</v>
      </c>
      <c r="AD145" s="40" t="s">
        <v>45</v>
      </c>
      <c r="AE145" s="40" t="s">
        <v>45</v>
      </c>
      <c r="AF145" s="40" t="s">
        <v>45</v>
      </c>
      <c r="AG145" s="41" t="s">
        <v>45</v>
      </c>
      <c r="AH145" s="40">
        <v>1</v>
      </c>
      <c r="AI145" s="40">
        <v>3</v>
      </c>
      <c r="AJ145" s="41">
        <v>5</v>
      </c>
      <c r="AK145" s="43" t="s">
        <v>45</v>
      </c>
      <c r="AL145" s="43" t="s">
        <v>47</v>
      </c>
      <c r="AM145" s="44">
        <f t="shared" si="15"/>
        <v>-0.71667902684696083</v>
      </c>
      <c r="AN145" s="44">
        <f t="shared" si="16"/>
        <v>8.2511456675549238E-2</v>
      </c>
      <c r="AO145" s="45">
        <f t="shared" si="17"/>
        <v>0</v>
      </c>
      <c r="AP145" s="46">
        <f t="shared" si="18"/>
        <v>1.1000000000000001</v>
      </c>
      <c r="AQ145" s="44">
        <f>($AM$3*AM145+$AN$3*AN145+$AO$3*AO145+$AP$3*AP145)+$I$3*VLOOKUP(I145,COND!$A$2:$E$7,4,FALSE)+$J$3*VLOOKUP(J145,COND!$A$2:$C$7,2,FALSE)+$K$3*VLOOKUP(K145,COND!$A$2:$C$7,3,FALSE)+IF(AND($B$2&gt;0,$E145&lt;20),$B$2*25,0)</f>
        <v>46.718469577421899</v>
      </c>
      <c r="AR145" s="47">
        <f t="shared" si="19"/>
        <v>0.57345115234744226</v>
      </c>
      <c r="AS145" s="45" t="str">
        <f t="shared" si="20"/>
        <v>C</v>
      </c>
      <c r="AT145" s="45">
        <f>RANK(Batters[[#This Row],[zScore]],Batters[[#All],[zScore]])</f>
        <v>141</v>
      </c>
      <c r="AU145" s="45"/>
      <c r="AV145" s="45"/>
      <c r="AW145" s="45" t="str">
        <f t="shared" si="21"/>
        <v>Possible</v>
      </c>
      <c r="AX145" s="45"/>
      <c r="AY145" s="45">
        <f>INDEX(Table5[[#All],[Ovr]],MATCH(Batters[[#This Row],[PID]],Table5[[#All],[PID]],0))</f>
        <v>69</v>
      </c>
      <c r="AZ145" s="45" t="str">
        <f>INDEX(Table5[[#All],[Rnd]],MATCH(Batters[[#This Row],[PID]],Table5[[#All],[PID]],0))</f>
        <v>3</v>
      </c>
      <c r="BA145" s="45">
        <f>INDEX(Table5[[#All],[Pick]],MATCH(Batters[[#This Row],[PID]],Table5[[#All],[PID]],0))</f>
        <v>1</v>
      </c>
      <c r="BB145" s="45" t="str">
        <f>INDEX(Table5[[#All],[Team]],MATCH(Batters[[#This Row],[PID]],Table5[[#All],[PID]],0))</f>
        <v>Yuma Arroyos</v>
      </c>
    </row>
    <row r="146" spans="1:54" ht="15" customHeight="1" x14ac:dyDescent="0.25">
      <c r="A146" s="40">
        <v>18222</v>
      </c>
      <c r="B146" s="40" t="s">
        <v>86</v>
      </c>
      <c r="C146" s="40" t="s">
        <v>130</v>
      </c>
      <c r="D146" s="40" t="s">
        <v>148</v>
      </c>
      <c r="E146" s="40">
        <v>18</v>
      </c>
      <c r="F146" s="40" t="s">
        <v>42</v>
      </c>
      <c r="G146" s="40" t="s">
        <v>42</v>
      </c>
      <c r="H146" s="41" t="s">
        <v>638</v>
      </c>
      <c r="I146" s="65" t="s">
        <v>43</v>
      </c>
      <c r="J146" s="66" t="s">
        <v>43</v>
      </c>
      <c r="K146" s="67" t="s">
        <v>47</v>
      </c>
      <c r="L146" s="40">
        <v>1</v>
      </c>
      <c r="M146" s="40">
        <v>1</v>
      </c>
      <c r="N146" s="40">
        <v>2</v>
      </c>
      <c r="O146" s="40">
        <v>2</v>
      </c>
      <c r="P146" s="41">
        <v>1</v>
      </c>
      <c r="Q146" s="40">
        <v>3</v>
      </c>
      <c r="R146" s="40">
        <v>6</v>
      </c>
      <c r="S146" s="40">
        <v>5</v>
      </c>
      <c r="T146" s="40">
        <v>6</v>
      </c>
      <c r="U146" s="41">
        <v>4</v>
      </c>
      <c r="V146" s="40">
        <v>5</v>
      </c>
      <c r="W146" s="40">
        <v>6</v>
      </c>
      <c r="X146" s="40">
        <v>7</v>
      </c>
      <c r="Y146" s="41">
        <v>2</v>
      </c>
      <c r="Z146" s="40" t="s">
        <v>45</v>
      </c>
      <c r="AA146" s="40" t="s">
        <v>45</v>
      </c>
      <c r="AB146" s="40" t="s">
        <v>45</v>
      </c>
      <c r="AC146" s="40" t="s">
        <v>45</v>
      </c>
      <c r="AD146" s="40" t="s">
        <v>45</v>
      </c>
      <c r="AE146" s="40" t="s">
        <v>45</v>
      </c>
      <c r="AF146" s="40" t="s">
        <v>45</v>
      </c>
      <c r="AG146" s="41" t="s">
        <v>45</v>
      </c>
      <c r="AH146" s="40">
        <v>1</v>
      </c>
      <c r="AI146" s="40">
        <v>1</v>
      </c>
      <c r="AJ146" s="41">
        <v>1</v>
      </c>
      <c r="AK146" s="43" t="s">
        <v>654</v>
      </c>
      <c r="AL146" s="43" t="s">
        <v>47</v>
      </c>
      <c r="AM146" s="44">
        <f t="shared" si="15"/>
        <v>-1.9115723057940897</v>
      </c>
      <c r="AN146" s="44">
        <f t="shared" si="16"/>
        <v>-0.28308953373394352</v>
      </c>
      <c r="AO146" s="45">
        <f t="shared" si="17"/>
        <v>0</v>
      </c>
      <c r="AP146" s="46">
        <f t="shared" si="18"/>
        <v>0</v>
      </c>
      <c r="AQ146" s="44">
        <f>($AM$3*AM146+$AN$3*AN146+$AO$3*AO146+$AP$3*AP146)+$I$3*VLOOKUP(I146,COND!$A$2:$E$7,4,FALSE)+$J$3*VLOOKUP(J146,COND!$A$2:$C$7,2,FALSE)+$K$3*VLOOKUP(K146,COND!$A$2:$C$7,3,FALSE)+IF(AND($B$2&gt;0,$E146&lt;20),$B$2*25,0)</f>
        <v>46.71176836461327</v>
      </c>
      <c r="AR146" s="47">
        <f t="shared" si="19"/>
        <v>0.57196544817177442</v>
      </c>
      <c r="AS146" s="45" t="str">
        <f t="shared" si="20"/>
        <v>DH</v>
      </c>
      <c r="AT146" s="45">
        <f>RANK(Batters[[#This Row],[zScore]],Batters[[#All],[zScore]])</f>
        <v>142</v>
      </c>
      <c r="AU146" s="45"/>
      <c r="AV146" s="45"/>
      <c r="AW146" s="45" t="str">
        <f t="shared" si="21"/>
        <v>Unlikely</v>
      </c>
      <c r="AX146" s="45"/>
      <c r="AY146" s="45">
        <f>INDEX(Table5[[#All],[Ovr]],MATCH(Batters[[#This Row],[PID]],Table5[[#All],[PID]],0))</f>
        <v>274</v>
      </c>
      <c r="AZ146" s="45" t="str">
        <f>INDEX(Table5[[#All],[Rnd]],MATCH(Batters[[#This Row],[PID]],Table5[[#All],[PID]],0))</f>
        <v>9</v>
      </c>
      <c r="BA146" s="45">
        <f>INDEX(Table5[[#All],[Pick]],MATCH(Batters[[#This Row],[PID]],Table5[[#All],[PID]],0))</f>
        <v>26</v>
      </c>
      <c r="BB146" s="45" t="str">
        <f>INDEX(Table5[[#All],[Team]],MATCH(Batters[[#This Row],[PID]],Table5[[#All],[PID]],0))</f>
        <v>West Virginia Alleghenies</v>
      </c>
    </row>
    <row r="147" spans="1:54" ht="15" customHeight="1" x14ac:dyDescent="0.25">
      <c r="A147" s="40">
        <v>20722</v>
      </c>
      <c r="B147" s="40" t="s">
        <v>72</v>
      </c>
      <c r="C147" s="40" t="s">
        <v>1363</v>
      </c>
      <c r="D147" s="40" t="s">
        <v>1364</v>
      </c>
      <c r="E147" s="40">
        <v>18</v>
      </c>
      <c r="F147" s="40" t="s">
        <v>42</v>
      </c>
      <c r="G147" s="40" t="s">
        <v>42</v>
      </c>
      <c r="H147" s="41" t="s">
        <v>634</v>
      </c>
      <c r="I147" s="65" t="s">
        <v>43</v>
      </c>
      <c r="J147" s="66" t="s">
        <v>47</v>
      </c>
      <c r="K147" s="67" t="s">
        <v>43</v>
      </c>
      <c r="L147" s="40">
        <v>1</v>
      </c>
      <c r="M147" s="40">
        <v>1</v>
      </c>
      <c r="N147" s="40">
        <v>2</v>
      </c>
      <c r="O147" s="40">
        <v>3</v>
      </c>
      <c r="P147" s="41">
        <v>1</v>
      </c>
      <c r="Q147" s="40">
        <v>3</v>
      </c>
      <c r="R147" s="40">
        <v>5</v>
      </c>
      <c r="S147" s="40">
        <v>5</v>
      </c>
      <c r="T147" s="40">
        <v>7</v>
      </c>
      <c r="U147" s="41">
        <v>3</v>
      </c>
      <c r="V147" s="40">
        <v>7</v>
      </c>
      <c r="W147" s="40">
        <v>7</v>
      </c>
      <c r="X147" s="40">
        <v>1</v>
      </c>
      <c r="Y147" s="41">
        <v>1</v>
      </c>
      <c r="Z147" s="40" t="s">
        <v>45</v>
      </c>
      <c r="AA147" s="40" t="s">
        <v>45</v>
      </c>
      <c r="AB147" s="40" t="s">
        <v>45</v>
      </c>
      <c r="AC147" s="40" t="s">
        <v>45</v>
      </c>
      <c r="AD147" s="40">
        <v>3</v>
      </c>
      <c r="AE147" s="40" t="s">
        <v>45</v>
      </c>
      <c r="AF147" s="40" t="s">
        <v>45</v>
      </c>
      <c r="AG147" s="41" t="s">
        <v>45</v>
      </c>
      <c r="AH147" s="40">
        <v>3</v>
      </c>
      <c r="AI147" s="40">
        <v>1</v>
      </c>
      <c r="AJ147" s="41">
        <v>1</v>
      </c>
      <c r="AK147" s="43" t="s">
        <v>554</v>
      </c>
      <c r="AL147" s="43" t="s">
        <v>47</v>
      </c>
      <c r="AM147" s="44">
        <f t="shared" si="15"/>
        <v>-1.8218627557845084</v>
      </c>
      <c r="AN147" s="44">
        <f t="shared" si="16"/>
        <v>-0.28445620316014947</v>
      </c>
      <c r="AO147" s="45">
        <f t="shared" si="17"/>
        <v>0</v>
      </c>
      <c r="AP147" s="46">
        <f t="shared" si="18"/>
        <v>0</v>
      </c>
      <c r="AQ147" s="44">
        <f>($AM$3*AM147+$AN$3*AN147+$AO$3*AO147+$AP$3*AP147)+$I$3*VLOOKUP(I147,COND!$A$2:$E$7,4,FALSE)+$J$3*VLOOKUP(J147,COND!$A$2:$C$7,2,FALSE)+$K$3*VLOOKUP(K147,COND!$A$2:$C$7,3,FALSE)+IF(AND($B$2&gt;0,$E147&lt;20),$B$2*25,0)</f>
        <v>46.70433928649976</v>
      </c>
      <c r="AR147" s="47">
        <f t="shared" si="19"/>
        <v>0.57031837133810148</v>
      </c>
      <c r="AS147" s="45" t="str">
        <f t="shared" si="20"/>
        <v>SS</v>
      </c>
      <c r="AT147" s="45">
        <f>RANK(Batters[[#This Row],[zScore]],Batters[[#All],[zScore]])</f>
        <v>143</v>
      </c>
      <c r="AU147" s="45"/>
      <c r="AV147" s="45"/>
      <c r="AW147" s="45" t="str">
        <f t="shared" si="21"/>
        <v>Unlikely</v>
      </c>
      <c r="AX147" s="45"/>
      <c r="AY147" s="45">
        <f>INDEX(Table5[[#All],[Ovr]],MATCH(Batters[[#This Row],[PID]],Table5[[#All],[PID]],0))</f>
        <v>595</v>
      </c>
      <c r="AZ147" s="45" t="str">
        <f>INDEX(Table5[[#All],[Rnd]],MATCH(Batters[[#This Row],[PID]],Table5[[#All],[PID]],0))</f>
        <v>20</v>
      </c>
      <c r="BA147" s="45">
        <f>INDEX(Table5[[#All],[Pick]],MATCH(Batters[[#This Row],[PID]],Table5[[#All],[PID]],0))</f>
        <v>17</v>
      </c>
      <c r="BB147" s="45" t="str">
        <f>INDEX(Table5[[#All],[Team]],MATCH(Batters[[#This Row],[PID]],Table5[[#All],[PID]],0))</f>
        <v>Madison Malts</v>
      </c>
    </row>
    <row r="148" spans="1:54" ht="15" customHeight="1" x14ac:dyDescent="0.25">
      <c r="A148" s="40">
        <v>18313</v>
      </c>
      <c r="B148" s="40" t="s">
        <v>74</v>
      </c>
      <c r="C148" s="40" t="s">
        <v>435</v>
      </c>
      <c r="D148" s="40" t="s">
        <v>696</v>
      </c>
      <c r="E148" s="40">
        <v>21</v>
      </c>
      <c r="F148" s="40" t="s">
        <v>53</v>
      </c>
      <c r="G148" s="40" t="s">
        <v>53</v>
      </c>
      <c r="H148" s="41" t="s">
        <v>633</v>
      </c>
      <c r="I148" s="65" t="s">
        <v>44</v>
      </c>
      <c r="J148" s="66" t="s">
        <v>44</v>
      </c>
      <c r="K148" s="67" t="s">
        <v>43</v>
      </c>
      <c r="L148" s="40">
        <v>3</v>
      </c>
      <c r="M148" s="40">
        <v>4</v>
      </c>
      <c r="N148" s="40">
        <v>4</v>
      </c>
      <c r="O148" s="40">
        <v>4</v>
      </c>
      <c r="P148" s="41">
        <v>3</v>
      </c>
      <c r="Q148" s="40">
        <v>4</v>
      </c>
      <c r="R148" s="40">
        <v>5</v>
      </c>
      <c r="S148" s="40">
        <v>5</v>
      </c>
      <c r="T148" s="40">
        <v>7</v>
      </c>
      <c r="U148" s="41">
        <v>4</v>
      </c>
      <c r="V148" s="40">
        <v>3</v>
      </c>
      <c r="W148" s="40">
        <v>7</v>
      </c>
      <c r="X148" s="40">
        <v>1</v>
      </c>
      <c r="Y148" s="41">
        <v>1</v>
      </c>
      <c r="Z148" s="40" t="s">
        <v>45</v>
      </c>
      <c r="AA148" s="40" t="s">
        <v>45</v>
      </c>
      <c r="AB148" s="40" t="s">
        <v>45</v>
      </c>
      <c r="AC148" s="40" t="s">
        <v>45</v>
      </c>
      <c r="AD148" s="40" t="s">
        <v>45</v>
      </c>
      <c r="AE148" s="40">
        <v>4</v>
      </c>
      <c r="AF148" s="40">
        <v>7</v>
      </c>
      <c r="AG148" s="41">
        <v>1</v>
      </c>
      <c r="AH148" s="40">
        <v>10</v>
      </c>
      <c r="AI148" s="40">
        <v>8</v>
      </c>
      <c r="AJ148" s="41">
        <v>5</v>
      </c>
      <c r="AK148" s="43" t="s">
        <v>643</v>
      </c>
      <c r="AL148" s="43" t="s">
        <v>47</v>
      </c>
      <c r="AM148" s="44">
        <f t="shared" si="15"/>
        <v>-0.68770622683149762</v>
      </c>
      <c r="AN148" s="44">
        <f t="shared" si="16"/>
        <v>7.8115972859608709E-2</v>
      </c>
      <c r="AO148" s="45">
        <f t="shared" si="17"/>
        <v>3</v>
      </c>
      <c r="AP148" s="46">
        <f t="shared" si="18"/>
        <v>0.75</v>
      </c>
      <c r="AQ148" s="44">
        <f>($AM$3*AM148+$AN$3*AN148+$AO$3*AO148+$AP$3*AP148)+$I$3*VLOOKUP(I148,COND!$A$2:$E$7,4,FALSE)+$J$3*VLOOKUP(J148,COND!$A$2:$C$7,2,FALSE)+$K$3*VLOOKUP(K148,COND!$A$2:$C$7,3,FALSE)+IF(AND($B$2&gt;0,$E148&lt;20),$B$2*25,0)</f>
        <v>46.668621051632158</v>
      </c>
      <c r="AR148" s="47">
        <f t="shared" si="19"/>
        <v>0.56239939723509313</v>
      </c>
      <c r="AS148" s="45" t="str">
        <f t="shared" si="20"/>
        <v>CF</v>
      </c>
      <c r="AT148" s="45">
        <f>RANK(Batters[[#This Row],[zScore]],Batters[[#All],[zScore]])</f>
        <v>144</v>
      </c>
      <c r="AU148" s="45"/>
      <c r="AV148" s="45"/>
      <c r="AW148" s="45" t="str">
        <f t="shared" si="21"/>
        <v>Possible</v>
      </c>
      <c r="AX148" s="45"/>
      <c r="AY148" s="45">
        <f>INDEX(Table5[[#All],[Ovr]],MATCH(Batters[[#This Row],[PID]],Table5[[#All],[PID]],0))</f>
        <v>81</v>
      </c>
      <c r="AZ148" s="45" t="str">
        <f>INDEX(Table5[[#All],[Rnd]],MATCH(Batters[[#This Row],[PID]],Table5[[#All],[PID]],0))</f>
        <v>3</v>
      </c>
      <c r="BA148" s="45">
        <f>INDEX(Table5[[#All],[Pick]],MATCH(Batters[[#This Row],[PID]],Table5[[#All],[PID]],0))</f>
        <v>13</v>
      </c>
      <c r="BB148" s="45" t="str">
        <f>INDEX(Table5[[#All],[Team]],MATCH(Batters[[#This Row],[PID]],Table5[[#All],[PID]],0))</f>
        <v>Reno Zephyrs</v>
      </c>
    </row>
    <row r="149" spans="1:54" ht="15" customHeight="1" x14ac:dyDescent="0.25">
      <c r="A149" s="40">
        <v>18322</v>
      </c>
      <c r="B149" s="40" t="s">
        <v>72</v>
      </c>
      <c r="C149" s="40" t="s">
        <v>1379</v>
      </c>
      <c r="D149" s="40" t="s">
        <v>605</v>
      </c>
      <c r="E149" s="40">
        <v>21</v>
      </c>
      <c r="F149" s="40" t="s">
        <v>42</v>
      </c>
      <c r="G149" s="40" t="s">
        <v>42</v>
      </c>
      <c r="H149" s="41" t="s">
        <v>634</v>
      </c>
      <c r="I149" s="65" t="s">
        <v>43</v>
      </c>
      <c r="J149" s="66" t="s">
        <v>43</v>
      </c>
      <c r="K149" s="67" t="s">
        <v>44</v>
      </c>
      <c r="L149" s="40">
        <v>3</v>
      </c>
      <c r="M149" s="40">
        <v>4</v>
      </c>
      <c r="N149" s="40">
        <v>3</v>
      </c>
      <c r="O149" s="40">
        <v>2</v>
      </c>
      <c r="P149" s="41">
        <v>5</v>
      </c>
      <c r="Q149" s="40">
        <v>5</v>
      </c>
      <c r="R149" s="40">
        <v>6</v>
      </c>
      <c r="S149" s="40">
        <v>4</v>
      </c>
      <c r="T149" s="40">
        <v>3</v>
      </c>
      <c r="U149" s="41">
        <v>8</v>
      </c>
      <c r="V149" s="40">
        <v>5</v>
      </c>
      <c r="W149" s="40">
        <v>5</v>
      </c>
      <c r="X149" s="40">
        <v>1</v>
      </c>
      <c r="Y149" s="41">
        <v>1</v>
      </c>
      <c r="Z149" s="40" t="s">
        <v>45</v>
      </c>
      <c r="AA149" s="40" t="s">
        <v>45</v>
      </c>
      <c r="AB149" s="40">
        <v>3</v>
      </c>
      <c r="AC149" s="40">
        <v>2</v>
      </c>
      <c r="AD149" s="40">
        <v>3</v>
      </c>
      <c r="AE149" s="40" t="s">
        <v>45</v>
      </c>
      <c r="AF149" s="40" t="s">
        <v>45</v>
      </c>
      <c r="AG149" s="41" t="s">
        <v>45</v>
      </c>
      <c r="AH149" s="40">
        <v>3</v>
      </c>
      <c r="AI149" s="40">
        <v>3</v>
      </c>
      <c r="AJ149" s="41">
        <v>3</v>
      </c>
      <c r="AK149" s="43" t="s">
        <v>45</v>
      </c>
      <c r="AL149" s="43" t="s">
        <v>47</v>
      </c>
      <c r="AM149" s="44">
        <f t="shared" si="15"/>
        <v>-0.87015414124039414</v>
      </c>
      <c r="AN149" s="44">
        <f t="shared" si="16"/>
        <v>0.16989735388709504</v>
      </c>
      <c r="AO149" s="45">
        <f t="shared" si="17"/>
        <v>0</v>
      </c>
      <c r="AP149" s="46">
        <f t="shared" si="18"/>
        <v>0</v>
      </c>
      <c r="AQ149" s="44">
        <f>($AM$3*AM149+$AN$3*AN149+$AO$3*AO149+$AP$3*AP149)+$I$3*VLOOKUP(I149,COND!$A$2:$E$7,4,FALSE)+$J$3*VLOOKUP(J149,COND!$A$2:$C$7,2,FALSE)+$K$3*VLOOKUP(K149,COND!$A$2:$C$7,3,FALSE)+IF(AND($B$2&gt;0,$E149&lt;20),$B$2*25,0)</f>
        <v>46.651752832521098</v>
      </c>
      <c r="AR149" s="47">
        <f t="shared" si="19"/>
        <v>0.55865959903959161</v>
      </c>
      <c r="AS149" s="45" t="str">
        <f t="shared" si="20"/>
        <v>2B</v>
      </c>
      <c r="AT149" s="45">
        <f>RANK(Batters[[#This Row],[zScore]],Batters[[#All],[zScore]])</f>
        <v>145</v>
      </c>
      <c r="AU149" s="45"/>
      <c r="AV149" s="45"/>
      <c r="AW149" s="45" t="str">
        <f t="shared" si="21"/>
        <v>Unlikely</v>
      </c>
      <c r="AX149" s="45"/>
      <c r="AY149" s="45">
        <f>INDEX(Table5[[#All],[Ovr]],MATCH(Batters[[#This Row],[PID]],Table5[[#All],[PID]],0))</f>
        <v>299</v>
      </c>
      <c r="AZ149" s="45" t="str">
        <f>INDEX(Table5[[#All],[Rnd]],MATCH(Batters[[#This Row],[PID]],Table5[[#All],[PID]],0))</f>
        <v>10</v>
      </c>
      <c r="BA149" s="45">
        <f>INDEX(Table5[[#All],[Pick]],MATCH(Batters[[#This Row],[PID]],Table5[[#All],[PID]],0))</f>
        <v>21</v>
      </c>
      <c r="BB149" s="45" t="str">
        <f>INDEX(Table5[[#All],[Team]],MATCH(Batters[[#This Row],[PID]],Table5[[#All],[PID]],0))</f>
        <v>Crystal Lake Sandgnats</v>
      </c>
    </row>
    <row r="150" spans="1:54" ht="15" customHeight="1" x14ac:dyDescent="0.25">
      <c r="A150" s="40">
        <v>18119</v>
      </c>
      <c r="B150" s="40" t="s">
        <v>50</v>
      </c>
      <c r="C150" s="40" t="s">
        <v>1265</v>
      </c>
      <c r="D150" s="40" t="s">
        <v>946</v>
      </c>
      <c r="E150" s="40">
        <v>21</v>
      </c>
      <c r="F150" s="40" t="s">
        <v>53</v>
      </c>
      <c r="G150" s="40" t="s">
        <v>53</v>
      </c>
      <c r="H150" s="41" t="s">
        <v>634</v>
      </c>
      <c r="I150" s="65" t="s">
        <v>47</v>
      </c>
      <c r="J150" s="66" t="s">
        <v>47</v>
      </c>
      <c r="K150" s="67" t="s">
        <v>47</v>
      </c>
      <c r="L150" s="40">
        <v>2</v>
      </c>
      <c r="M150" s="40">
        <v>2</v>
      </c>
      <c r="N150" s="40">
        <v>4</v>
      </c>
      <c r="O150" s="40">
        <v>2</v>
      </c>
      <c r="P150" s="41">
        <v>2</v>
      </c>
      <c r="Q150" s="40">
        <v>4</v>
      </c>
      <c r="R150" s="40">
        <v>5</v>
      </c>
      <c r="S150" s="40">
        <v>6</v>
      </c>
      <c r="T150" s="40">
        <v>5</v>
      </c>
      <c r="U150" s="41">
        <v>5</v>
      </c>
      <c r="V150" s="40">
        <v>3</v>
      </c>
      <c r="W150" s="40">
        <v>6</v>
      </c>
      <c r="X150" s="40">
        <v>1</v>
      </c>
      <c r="Y150" s="41">
        <v>1</v>
      </c>
      <c r="Z150" s="40" t="s">
        <v>45</v>
      </c>
      <c r="AA150" s="40" t="s">
        <v>45</v>
      </c>
      <c r="AB150" s="40" t="s">
        <v>45</v>
      </c>
      <c r="AC150" s="40" t="s">
        <v>45</v>
      </c>
      <c r="AD150" s="40" t="s">
        <v>45</v>
      </c>
      <c r="AE150" s="40">
        <v>7</v>
      </c>
      <c r="AF150" s="40">
        <v>1</v>
      </c>
      <c r="AG150" s="41">
        <v>4</v>
      </c>
      <c r="AH150" s="40">
        <v>7</v>
      </c>
      <c r="AI150" s="40">
        <v>9</v>
      </c>
      <c r="AJ150" s="41">
        <v>9</v>
      </c>
      <c r="AK150" s="43" t="s">
        <v>643</v>
      </c>
      <c r="AL150" s="43" t="s">
        <v>47</v>
      </c>
      <c r="AM150" s="44">
        <f t="shared" si="15"/>
        <v>-1.3318172621078248</v>
      </c>
      <c r="AN150" s="44">
        <f t="shared" si="16"/>
        <v>2.177470668143159E-2</v>
      </c>
      <c r="AO150" s="45">
        <f t="shared" si="17"/>
        <v>4</v>
      </c>
      <c r="AP150" s="46">
        <f t="shared" si="18"/>
        <v>0</v>
      </c>
      <c r="AQ150" s="44">
        <f>($AM$3*AM150+$AN$3*AN150+$AO$3*AO150+$AP$3*AP150)+$I$3*VLOOKUP(I150,COND!$A$2:$E$7,4,FALSE)+$J$3*VLOOKUP(J150,COND!$A$2:$C$7,2,FALSE)+$K$3*VLOOKUP(K150,COND!$A$2:$C$7,3,FALSE)+IF(AND($B$2&gt;0,$E150&lt;20),$B$2*25,0)</f>
        <v>46.619781420633061</v>
      </c>
      <c r="AR150" s="47">
        <f t="shared" si="19"/>
        <v>0.55157132091732575</v>
      </c>
      <c r="AS150" s="45" t="str">
        <f t="shared" si="20"/>
        <v>LF</v>
      </c>
      <c r="AT150" s="45">
        <f>RANK(Batters[[#This Row],[zScore]],Batters[[#All],[zScore]])</f>
        <v>146</v>
      </c>
      <c r="AU150" s="45"/>
      <c r="AV150" s="45"/>
      <c r="AW150" s="45" t="str">
        <f t="shared" si="21"/>
        <v>Unlikely</v>
      </c>
      <c r="AX150" s="45"/>
      <c r="AY150" s="45">
        <f>INDEX(Table5[[#All],[Ovr]],MATCH(Batters[[#This Row],[PID]],Table5[[#All],[PID]],0))</f>
        <v>157</v>
      </c>
      <c r="AZ150" s="45" t="str">
        <f>INDEX(Table5[[#All],[Rnd]],MATCH(Batters[[#This Row],[PID]],Table5[[#All],[PID]],0))</f>
        <v>5</v>
      </c>
      <c r="BA150" s="45">
        <f>INDEX(Table5[[#All],[Pick]],MATCH(Batters[[#This Row],[PID]],Table5[[#All],[PID]],0))</f>
        <v>29</v>
      </c>
      <c r="BB150" s="45" t="str">
        <f>INDEX(Table5[[#All],[Team]],MATCH(Batters[[#This Row],[PID]],Table5[[#All],[PID]],0))</f>
        <v>Havana Leones</v>
      </c>
    </row>
    <row r="151" spans="1:54" ht="15" customHeight="1" x14ac:dyDescent="0.25">
      <c r="A151" s="40">
        <v>20566</v>
      </c>
      <c r="B151" s="40" t="s">
        <v>71</v>
      </c>
      <c r="C151" s="40" t="s">
        <v>822</v>
      </c>
      <c r="D151" s="40" t="s">
        <v>1248</v>
      </c>
      <c r="E151" s="40">
        <v>17</v>
      </c>
      <c r="F151" s="40" t="s">
        <v>42</v>
      </c>
      <c r="G151" s="40" t="s">
        <v>42</v>
      </c>
      <c r="H151" s="41" t="s">
        <v>634</v>
      </c>
      <c r="I151" s="65" t="s">
        <v>43</v>
      </c>
      <c r="J151" s="66" t="s">
        <v>44</v>
      </c>
      <c r="K151" s="67" t="s">
        <v>47</v>
      </c>
      <c r="L151" s="40">
        <v>1</v>
      </c>
      <c r="M151" s="40">
        <v>2</v>
      </c>
      <c r="N151" s="40">
        <v>2</v>
      </c>
      <c r="O151" s="40">
        <v>3</v>
      </c>
      <c r="P151" s="41">
        <v>1</v>
      </c>
      <c r="Q151" s="40">
        <v>4</v>
      </c>
      <c r="R151" s="40">
        <v>4</v>
      </c>
      <c r="S151" s="40">
        <v>3</v>
      </c>
      <c r="T151" s="40">
        <v>6</v>
      </c>
      <c r="U151" s="41">
        <v>3</v>
      </c>
      <c r="V151" s="40">
        <v>4</v>
      </c>
      <c r="W151" s="40">
        <v>3</v>
      </c>
      <c r="X151" s="40">
        <v>1</v>
      </c>
      <c r="Y151" s="41">
        <v>1</v>
      </c>
      <c r="Z151" s="40" t="s">
        <v>45</v>
      </c>
      <c r="AA151" s="40" t="s">
        <v>45</v>
      </c>
      <c r="AB151" s="40">
        <v>2</v>
      </c>
      <c r="AC151" s="40" t="s">
        <v>45</v>
      </c>
      <c r="AD151" s="40" t="s">
        <v>45</v>
      </c>
      <c r="AE151" s="40" t="s">
        <v>45</v>
      </c>
      <c r="AF151" s="40" t="s">
        <v>45</v>
      </c>
      <c r="AG151" s="41" t="s">
        <v>45</v>
      </c>
      <c r="AH151" s="40">
        <v>5</v>
      </c>
      <c r="AI151" s="40">
        <v>2</v>
      </c>
      <c r="AJ151" s="41">
        <v>1</v>
      </c>
      <c r="AK151" s="43" t="s">
        <v>670</v>
      </c>
      <c r="AL151" s="43" t="s">
        <v>47</v>
      </c>
      <c r="AM151" s="44">
        <f t="shared" si="15"/>
        <v>-1.7708028761658048</v>
      </c>
      <c r="AN151" s="44">
        <f t="shared" si="16"/>
        <v>-0.26879278463356227</v>
      </c>
      <c r="AO151" s="45">
        <f t="shared" si="17"/>
        <v>0</v>
      </c>
      <c r="AP151" s="46">
        <f t="shared" si="18"/>
        <v>0</v>
      </c>
      <c r="AQ151" s="44">
        <f>($AM$3*AM151+$AN$3*AN151+$AO$3*AO151+$AP$3*AP151)+$I$3*VLOOKUP(I151,COND!$A$2:$E$7,4,FALSE)+$J$3*VLOOKUP(J151,COND!$A$2:$C$7,2,FALSE)+$K$3*VLOOKUP(K151,COND!$A$2:$C$7,3,FALSE)+IF(AND($B$2&gt;0,$E151&lt;20),$B$2*25,0)</f>
        <v>46.597406296780676</v>
      </c>
      <c r="AR151" s="47">
        <f t="shared" si="19"/>
        <v>0.54661060471745115</v>
      </c>
      <c r="AS151" s="45" t="str">
        <f t="shared" si="20"/>
        <v>2B</v>
      </c>
      <c r="AT151" s="45">
        <f>RANK(Batters[[#This Row],[zScore]],Batters[[#All],[zScore]])</f>
        <v>147</v>
      </c>
      <c r="AU151" s="45"/>
      <c r="AV151" s="45"/>
      <c r="AW151" s="45" t="str">
        <f t="shared" si="21"/>
        <v>Unlikely</v>
      </c>
      <c r="AX151" s="45"/>
      <c r="AY151" s="45">
        <f>INDEX(Table5[[#All],[Ovr]],MATCH(Batters[[#This Row],[PID]],Table5[[#All],[PID]],0))</f>
        <v>429</v>
      </c>
      <c r="AZ151" s="45" t="str">
        <f>INDEX(Table5[[#All],[Rnd]],MATCH(Batters[[#This Row],[PID]],Table5[[#All],[PID]],0))</f>
        <v>15</v>
      </c>
      <c r="BA151" s="45">
        <f>INDEX(Table5[[#All],[Pick]],MATCH(Batters[[#This Row],[PID]],Table5[[#All],[PID]],0))</f>
        <v>1</v>
      </c>
      <c r="BB151" s="45" t="str">
        <f>INDEX(Table5[[#All],[Team]],MATCH(Batters[[#This Row],[PID]],Table5[[#All],[PID]],0))</f>
        <v>Yuma Arroyos</v>
      </c>
    </row>
    <row r="152" spans="1:54" ht="15" customHeight="1" x14ac:dyDescent="0.25">
      <c r="A152" s="40">
        <v>20666</v>
      </c>
      <c r="B152" s="40" t="s">
        <v>71</v>
      </c>
      <c r="C152" s="40" t="s">
        <v>1178</v>
      </c>
      <c r="D152" s="40" t="s">
        <v>1475</v>
      </c>
      <c r="E152" s="40">
        <v>16</v>
      </c>
      <c r="F152" s="40" t="s">
        <v>42</v>
      </c>
      <c r="G152" s="40" t="s">
        <v>42</v>
      </c>
      <c r="H152" s="41" t="s">
        <v>638</v>
      </c>
      <c r="I152" s="65" t="s">
        <v>43</v>
      </c>
      <c r="J152" s="66" t="s">
        <v>43</v>
      </c>
      <c r="K152" s="67" t="s">
        <v>43</v>
      </c>
      <c r="L152" s="40">
        <v>1</v>
      </c>
      <c r="M152" s="40">
        <v>2</v>
      </c>
      <c r="N152" s="40">
        <v>2</v>
      </c>
      <c r="O152" s="40">
        <v>3</v>
      </c>
      <c r="P152" s="41">
        <v>1</v>
      </c>
      <c r="Q152" s="40">
        <v>4</v>
      </c>
      <c r="R152" s="40">
        <v>4</v>
      </c>
      <c r="S152" s="40">
        <v>2</v>
      </c>
      <c r="T152" s="40">
        <v>6</v>
      </c>
      <c r="U152" s="41">
        <v>5</v>
      </c>
      <c r="V152" s="40">
        <v>3</v>
      </c>
      <c r="W152" s="40">
        <v>2</v>
      </c>
      <c r="X152" s="40">
        <v>1</v>
      </c>
      <c r="Y152" s="41">
        <v>1</v>
      </c>
      <c r="Z152" s="40" t="s">
        <v>45</v>
      </c>
      <c r="AA152" s="40" t="s">
        <v>45</v>
      </c>
      <c r="AB152" s="40">
        <v>1</v>
      </c>
      <c r="AC152" s="40" t="s">
        <v>45</v>
      </c>
      <c r="AD152" s="40" t="s">
        <v>45</v>
      </c>
      <c r="AE152" s="40" t="s">
        <v>45</v>
      </c>
      <c r="AF152" s="40" t="s">
        <v>45</v>
      </c>
      <c r="AG152" s="41" t="s">
        <v>45</v>
      </c>
      <c r="AH152" s="40">
        <v>3</v>
      </c>
      <c r="AI152" s="40">
        <v>4</v>
      </c>
      <c r="AJ152" s="41">
        <v>3</v>
      </c>
      <c r="AK152" s="43" t="s">
        <v>670</v>
      </c>
      <c r="AL152" s="43" t="s">
        <v>47</v>
      </c>
      <c r="AM152" s="44">
        <f t="shared" si="15"/>
        <v>-1.7708028761658048</v>
      </c>
      <c r="AN152" s="44">
        <f t="shared" si="16"/>
        <v>-0.27182159902329689</v>
      </c>
      <c r="AO152" s="45">
        <f t="shared" si="17"/>
        <v>0</v>
      </c>
      <c r="AP152" s="46">
        <f t="shared" si="18"/>
        <v>0</v>
      </c>
      <c r="AQ152" s="44">
        <f>($AM$3*AM152+$AN$3*AN152+$AO$3*AO152+$AP$3*AP152)+$I$3*VLOOKUP(I152,COND!$A$2:$E$7,4,FALSE)+$J$3*VLOOKUP(J152,COND!$A$2:$C$7,2,FALSE)+$K$3*VLOOKUP(K152,COND!$A$2:$C$7,3,FALSE)+IF(AND($B$2&gt;0,$E152&lt;20),$B$2*25,0)</f>
        <v>46.561060524103858</v>
      </c>
      <c r="AR152" s="47">
        <f t="shared" si="19"/>
        <v>0.53855250124037779</v>
      </c>
      <c r="AS152" s="45" t="str">
        <f t="shared" si="20"/>
        <v>2B</v>
      </c>
      <c r="AT152" s="45">
        <f>RANK(Batters[[#This Row],[zScore]],Batters[[#All],[zScore]])</f>
        <v>148</v>
      </c>
      <c r="AU152" s="45"/>
      <c r="AV152" s="45"/>
      <c r="AW152" s="45" t="str">
        <f t="shared" si="21"/>
        <v>Unlikely</v>
      </c>
      <c r="AX152" s="45"/>
      <c r="AY152" s="45" t="str">
        <f>INDEX(Table5[[#All],[Ovr]],MATCH(Batters[[#This Row],[PID]],Table5[[#All],[PID]],0))</f>
        <v/>
      </c>
      <c r="AZ152" s="45" t="str">
        <f>INDEX(Table5[[#All],[Rnd]],MATCH(Batters[[#This Row],[PID]],Table5[[#All],[PID]],0))</f>
        <v/>
      </c>
      <c r="BA152" s="45" t="str">
        <f>INDEX(Table5[[#All],[Pick]],MATCH(Batters[[#This Row],[PID]],Table5[[#All],[PID]],0))</f>
        <v/>
      </c>
      <c r="BB152" s="45" t="str">
        <f>INDEX(Table5[[#All],[Team]],MATCH(Batters[[#This Row],[PID]],Table5[[#All],[PID]],0))</f>
        <v/>
      </c>
    </row>
    <row r="153" spans="1:54" ht="15" customHeight="1" x14ac:dyDescent="0.25">
      <c r="A153" s="40">
        <v>20824</v>
      </c>
      <c r="B153" s="40" t="s">
        <v>50</v>
      </c>
      <c r="C153" s="40" t="s">
        <v>165</v>
      </c>
      <c r="D153" s="40" t="s">
        <v>1633</v>
      </c>
      <c r="E153" s="40">
        <v>17</v>
      </c>
      <c r="F153" s="40" t="s">
        <v>62</v>
      </c>
      <c r="G153" s="40" t="s">
        <v>53</v>
      </c>
      <c r="H153" s="41" t="s">
        <v>638</v>
      </c>
      <c r="I153" s="65" t="s">
        <v>43</v>
      </c>
      <c r="J153" s="66" t="s">
        <v>44</v>
      </c>
      <c r="K153" s="67" t="s">
        <v>43</v>
      </c>
      <c r="L153" s="40">
        <v>1</v>
      </c>
      <c r="M153" s="40">
        <v>1</v>
      </c>
      <c r="N153" s="40">
        <v>3</v>
      </c>
      <c r="O153" s="40">
        <v>2</v>
      </c>
      <c r="P153" s="41">
        <v>1</v>
      </c>
      <c r="Q153" s="40">
        <v>3</v>
      </c>
      <c r="R153" s="40">
        <v>3</v>
      </c>
      <c r="S153" s="40">
        <v>7</v>
      </c>
      <c r="T153" s="40">
        <v>7</v>
      </c>
      <c r="U153" s="41">
        <v>2</v>
      </c>
      <c r="V153" s="40">
        <v>3</v>
      </c>
      <c r="W153" s="40">
        <v>6</v>
      </c>
      <c r="X153" s="40">
        <v>1</v>
      </c>
      <c r="Y153" s="41">
        <v>1</v>
      </c>
      <c r="Z153" s="40" t="s">
        <v>45</v>
      </c>
      <c r="AA153" s="40" t="s">
        <v>45</v>
      </c>
      <c r="AB153" s="40" t="s">
        <v>45</v>
      </c>
      <c r="AC153" s="40" t="s">
        <v>45</v>
      </c>
      <c r="AD153" s="40" t="s">
        <v>45</v>
      </c>
      <c r="AE153" s="40">
        <v>2</v>
      </c>
      <c r="AF153" s="40" t="s">
        <v>45</v>
      </c>
      <c r="AG153" s="41">
        <v>1</v>
      </c>
      <c r="AH153" s="40">
        <v>3</v>
      </c>
      <c r="AI153" s="40">
        <v>5</v>
      </c>
      <c r="AJ153" s="41">
        <v>7</v>
      </c>
      <c r="AK153" s="43" t="s">
        <v>670</v>
      </c>
      <c r="AL153" s="43"/>
      <c r="AM153" s="44">
        <f t="shared" si="15"/>
        <v>-1.828510811770188</v>
      </c>
      <c r="AN153" s="44">
        <f t="shared" si="16"/>
        <v>-0.26046931416683683</v>
      </c>
      <c r="AO153" s="45">
        <f t="shared" si="17"/>
        <v>1</v>
      </c>
      <c r="AP153" s="46">
        <f t="shared" si="18"/>
        <v>0</v>
      </c>
      <c r="AQ153" s="44">
        <f>($AM$3*AM153+$AN$3*AN153+$AO$3*AO153+$AP$3*AP153)+$I$3*VLOOKUP(I153,COND!$A$2:$E$7,4,FALSE)+$J$3*VLOOKUP(J153,COND!$A$2:$C$7,2,FALSE)+$K$3*VLOOKUP(K153,COND!$A$2:$C$7,3,FALSE)+IF(AND($B$2&gt;0,$E153&lt;20),$B$2*25,0)</f>
        <v>46.55818381548761</v>
      </c>
      <c r="AR153" s="47">
        <f t="shared" si="19"/>
        <v>0.53791471549540981</v>
      </c>
      <c r="AS153" s="45" t="str">
        <f t="shared" si="20"/>
        <v>LF</v>
      </c>
      <c r="AT153" s="45">
        <f>RANK(Batters[[#This Row],[zScore]],Batters[[#All],[zScore]])</f>
        <v>149</v>
      </c>
      <c r="AU153" s="45"/>
      <c r="AV153" s="45"/>
      <c r="AW153" s="45" t="str">
        <f t="shared" si="21"/>
        <v>Possible</v>
      </c>
      <c r="AX153" s="45"/>
      <c r="AY153" s="64">
        <f>INDEX(Table5[[#All],[Ovr]],MATCH(Batters[[#This Row],[PID]],Table5[[#All],[PID]],0))</f>
        <v>553</v>
      </c>
      <c r="AZ153" s="64" t="str">
        <f>INDEX(Table5[[#All],[Rnd]],MATCH(Batters[[#This Row],[PID]],Table5[[#All],[PID]],0))</f>
        <v>19</v>
      </c>
      <c r="BA153" s="64">
        <f>INDEX(Table5[[#All],[Pick]],MATCH(Batters[[#This Row],[PID]],Table5[[#All],[PID]],0))</f>
        <v>5</v>
      </c>
      <c r="BB153" s="64" t="str">
        <f>INDEX(Table5[[#All],[Team]],MATCH(Batters[[#This Row],[PID]],Table5[[#All],[PID]],0))</f>
        <v>Okinawa Shisa</v>
      </c>
    </row>
    <row r="154" spans="1:54" ht="15" customHeight="1" x14ac:dyDescent="0.25">
      <c r="A154" s="40">
        <v>18161</v>
      </c>
      <c r="B154" s="40" t="s">
        <v>66</v>
      </c>
      <c r="C154" s="40" t="s">
        <v>317</v>
      </c>
      <c r="D154" s="40" t="s">
        <v>1341</v>
      </c>
      <c r="E154" s="40">
        <v>21</v>
      </c>
      <c r="F154" s="40" t="s">
        <v>53</v>
      </c>
      <c r="G154" s="40" t="s">
        <v>53</v>
      </c>
      <c r="H154" s="41" t="s">
        <v>634</v>
      </c>
      <c r="I154" s="65" t="s">
        <v>43</v>
      </c>
      <c r="J154" s="66" t="s">
        <v>47</v>
      </c>
      <c r="K154" s="67" t="s">
        <v>43</v>
      </c>
      <c r="L154" s="40">
        <v>2</v>
      </c>
      <c r="M154" s="40">
        <v>5</v>
      </c>
      <c r="N154" s="40">
        <v>4</v>
      </c>
      <c r="O154" s="40">
        <v>3</v>
      </c>
      <c r="P154" s="41">
        <v>1</v>
      </c>
      <c r="Q154" s="40">
        <v>4</v>
      </c>
      <c r="R154" s="40">
        <v>6</v>
      </c>
      <c r="S154" s="40">
        <v>7</v>
      </c>
      <c r="T154" s="40">
        <v>5</v>
      </c>
      <c r="U154" s="41">
        <v>3</v>
      </c>
      <c r="V154" s="40">
        <v>4</v>
      </c>
      <c r="W154" s="40">
        <v>6</v>
      </c>
      <c r="X154" s="40">
        <v>1</v>
      </c>
      <c r="Y154" s="41">
        <v>1</v>
      </c>
      <c r="Z154" s="40" t="s">
        <v>45</v>
      </c>
      <c r="AA154" s="40" t="s">
        <v>45</v>
      </c>
      <c r="AB154" s="40" t="s">
        <v>45</v>
      </c>
      <c r="AC154" s="40" t="s">
        <v>45</v>
      </c>
      <c r="AD154" s="40" t="s">
        <v>45</v>
      </c>
      <c r="AE154" s="40" t="s">
        <v>45</v>
      </c>
      <c r="AF154" s="40" t="s">
        <v>45</v>
      </c>
      <c r="AG154" s="41">
        <v>4</v>
      </c>
      <c r="AH154" s="40">
        <v>2</v>
      </c>
      <c r="AI154" s="40">
        <v>7</v>
      </c>
      <c r="AJ154" s="41">
        <v>10</v>
      </c>
      <c r="AK154" s="43" t="s">
        <v>45</v>
      </c>
      <c r="AL154" s="43" t="s">
        <v>47</v>
      </c>
      <c r="AM154" s="44">
        <f t="shared" si="15"/>
        <v>-1.1289444130592168</v>
      </c>
      <c r="AN154" s="44">
        <f t="shared" si="16"/>
        <v>7.5863400689869701E-2</v>
      </c>
      <c r="AO154" s="45">
        <f t="shared" si="17"/>
        <v>2</v>
      </c>
      <c r="AP154" s="46">
        <f t="shared" si="18"/>
        <v>0</v>
      </c>
      <c r="AQ154" s="44">
        <f>($AM$3*AM154+$AN$3*AN154+$AO$3*AO154+$AP$3*AP154)+$I$3*VLOOKUP(I154,COND!$A$2:$E$7,4,FALSE)+$J$3*VLOOKUP(J154,COND!$A$2:$C$7,2,FALSE)+$K$3*VLOOKUP(K154,COND!$A$2:$C$7,3,FALSE)+IF(AND($B$2&gt;0,$E154&lt;20),$B$2*25,0)</f>
        <v>46.430799700305847</v>
      </c>
      <c r="AR154" s="47">
        <f t="shared" si="19"/>
        <v>0.50967279612290506</v>
      </c>
      <c r="AS154" s="45" t="str">
        <f t="shared" si="20"/>
        <v>RF</v>
      </c>
      <c r="AT154" s="45">
        <f>RANK(Batters[[#This Row],[zScore]],Batters[[#All],[zScore]])</f>
        <v>150</v>
      </c>
      <c r="AU154" s="45"/>
      <c r="AV154" s="45"/>
      <c r="AW154" s="45" t="str">
        <f t="shared" si="21"/>
        <v>Possible</v>
      </c>
      <c r="AX154" s="45"/>
      <c r="AY154" s="45">
        <f>INDEX(Table5[[#All],[Ovr]],MATCH(Batters[[#This Row],[PID]],Table5[[#All],[PID]],0))</f>
        <v>136</v>
      </c>
      <c r="AZ154" s="45" t="str">
        <f>INDEX(Table5[[#All],[Rnd]],MATCH(Batters[[#This Row],[PID]],Table5[[#All],[PID]],0))</f>
        <v>5</v>
      </c>
      <c r="BA154" s="45">
        <f>INDEX(Table5[[#All],[Pick]],MATCH(Batters[[#This Row],[PID]],Table5[[#All],[PID]],0))</f>
        <v>8</v>
      </c>
      <c r="BB154" s="45" t="str">
        <f>INDEX(Table5[[#All],[Team]],MATCH(Batters[[#This Row],[PID]],Table5[[#All],[PID]],0))</f>
        <v>Scottish Claymores</v>
      </c>
    </row>
    <row r="155" spans="1:54" ht="15" customHeight="1" x14ac:dyDescent="0.25">
      <c r="A155" s="40">
        <v>20313</v>
      </c>
      <c r="B155" s="40" t="s">
        <v>69</v>
      </c>
      <c r="C155" s="40" t="s">
        <v>1319</v>
      </c>
      <c r="D155" s="40" t="s">
        <v>1320</v>
      </c>
      <c r="E155" s="40">
        <v>18</v>
      </c>
      <c r="F155" s="40" t="s">
        <v>42</v>
      </c>
      <c r="G155" s="40" t="s">
        <v>42</v>
      </c>
      <c r="H155" s="41" t="s">
        <v>634</v>
      </c>
      <c r="I155" s="65" t="s">
        <v>43</v>
      </c>
      <c r="J155" s="66" t="s">
        <v>43</v>
      </c>
      <c r="K155" s="67" t="s">
        <v>43</v>
      </c>
      <c r="L155" s="40">
        <v>1</v>
      </c>
      <c r="M155" s="40">
        <v>3</v>
      </c>
      <c r="N155" s="40">
        <v>4</v>
      </c>
      <c r="O155" s="40">
        <v>3</v>
      </c>
      <c r="P155" s="41">
        <v>1</v>
      </c>
      <c r="Q155" s="40">
        <v>3</v>
      </c>
      <c r="R155" s="40">
        <v>6</v>
      </c>
      <c r="S155" s="40">
        <v>7</v>
      </c>
      <c r="T155" s="40">
        <v>5</v>
      </c>
      <c r="U155" s="41">
        <v>2</v>
      </c>
      <c r="V155" s="40">
        <v>9</v>
      </c>
      <c r="W155" s="40">
        <v>8</v>
      </c>
      <c r="X155" s="40">
        <v>2</v>
      </c>
      <c r="Y155" s="41">
        <v>1</v>
      </c>
      <c r="Z155" s="40" t="s">
        <v>45</v>
      </c>
      <c r="AA155" s="40" t="s">
        <v>45</v>
      </c>
      <c r="AB155" s="40">
        <v>1</v>
      </c>
      <c r="AC155" s="40">
        <v>3</v>
      </c>
      <c r="AD155" s="40">
        <v>1</v>
      </c>
      <c r="AE155" s="40">
        <v>1</v>
      </c>
      <c r="AF155" s="40" t="s">
        <v>45</v>
      </c>
      <c r="AG155" s="41" t="s">
        <v>45</v>
      </c>
      <c r="AH155" s="40">
        <v>4</v>
      </c>
      <c r="AI155" s="40">
        <v>3</v>
      </c>
      <c r="AJ155" s="41">
        <v>1</v>
      </c>
      <c r="AK155" s="43" t="s">
        <v>670</v>
      </c>
      <c r="AL155" s="43" t="s">
        <v>635</v>
      </c>
      <c r="AM155" s="44">
        <f t="shared" si="15"/>
        <v>-1.5536200084992982</v>
      </c>
      <c r="AN155" s="44">
        <f t="shared" si="16"/>
        <v>-0.28670877532988848</v>
      </c>
      <c r="AO155" s="45">
        <f t="shared" si="17"/>
        <v>0</v>
      </c>
      <c r="AP155" s="46">
        <f t="shared" si="18"/>
        <v>0</v>
      </c>
      <c r="AQ155" s="44">
        <f>($AM$3*AM155+$AN$3*AN155+$AO$3*AO155+$AP$3*AP155)+$I$3*VLOOKUP(I155,COND!$A$2:$E$7,4,FALSE)+$J$3*VLOOKUP(J155,COND!$A$2:$C$7,2,FALSE)+$K$3*VLOOKUP(K155,COND!$A$2:$C$7,3,FALSE)+IF(AND($B$2&gt;0,$E155&lt;20),$B$2*25,0)</f>
        <v>46.404132695191407</v>
      </c>
      <c r="AR155" s="47">
        <f t="shared" si="19"/>
        <v>0.50376054083680777</v>
      </c>
      <c r="AS155" s="45" t="str">
        <f t="shared" si="20"/>
        <v>3B</v>
      </c>
      <c r="AT155" s="45">
        <f>RANK(Batters[[#This Row],[zScore]],Batters[[#All],[zScore]])</f>
        <v>151</v>
      </c>
      <c r="AU155" s="45"/>
      <c r="AV155" s="45"/>
      <c r="AW155" s="45" t="str">
        <f t="shared" si="21"/>
        <v>Unlikely</v>
      </c>
      <c r="AX155" s="45"/>
      <c r="AY155" s="45">
        <f>INDEX(Table5[[#All],[Ovr]],MATCH(Batters[[#This Row],[PID]],Table5[[#All],[PID]],0))</f>
        <v>463</v>
      </c>
      <c r="AZ155" s="45" t="str">
        <f>INDEX(Table5[[#All],[Rnd]],MATCH(Batters[[#This Row],[PID]],Table5[[#All],[PID]],0))</f>
        <v>16</v>
      </c>
      <c r="BA155" s="45">
        <f>INDEX(Table5[[#All],[Pick]],MATCH(Batters[[#This Row],[PID]],Table5[[#All],[PID]],0))</f>
        <v>5</v>
      </c>
      <c r="BB155" s="45" t="str">
        <f>INDEX(Table5[[#All],[Team]],MATCH(Batters[[#This Row],[PID]],Table5[[#All],[PID]],0))</f>
        <v>Okinawa Shisa</v>
      </c>
    </row>
    <row r="156" spans="1:54" ht="15" customHeight="1" x14ac:dyDescent="0.25">
      <c r="A156" s="40">
        <v>21092</v>
      </c>
      <c r="B156" s="40" t="s">
        <v>69</v>
      </c>
      <c r="C156" s="40" t="s">
        <v>142</v>
      </c>
      <c r="D156" s="40" t="s">
        <v>1322</v>
      </c>
      <c r="E156" s="40">
        <v>18</v>
      </c>
      <c r="F156" s="40" t="s">
        <v>42</v>
      </c>
      <c r="G156" s="40" t="s">
        <v>42</v>
      </c>
      <c r="H156" s="41" t="s">
        <v>634</v>
      </c>
      <c r="I156" s="65" t="s">
        <v>43</v>
      </c>
      <c r="J156" s="66" t="s">
        <v>43</v>
      </c>
      <c r="K156" s="67" t="s">
        <v>43</v>
      </c>
      <c r="L156" s="40">
        <v>1</v>
      </c>
      <c r="M156" s="40">
        <v>3</v>
      </c>
      <c r="N156" s="40">
        <v>3</v>
      </c>
      <c r="O156" s="40">
        <v>2</v>
      </c>
      <c r="P156" s="41">
        <v>1</v>
      </c>
      <c r="Q156" s="40">
        <v>3</v>
      </c>
      <c r="R156" s="40">
        <v>6</v>
      </c>
      <c r="S156" s="40">
        <v>7</v>
      </c>
      <c r="T156" s="40">
        <v>5</v>
      </c>
      <c r="U156" s="41">
        <v>2</v>
      </c>
      <c r="V156" s="40">
        <v>10</v>
      </c>
      <c r="W156" s="40">
        <v>9</v>
      </c>
      <c r="X156" s="40">
        <v>1</v>
      </c>
      <c r="Y156" s="41">
        <v>1</v>
      </c>
      <c r="Z156" s="40" t="s">
        <v>45</v>
      </c>
      <c r="AA156" s="40" t="s">
        <v>45</v>
      </c>
      <c r="AB156" s="40" t="s">
        <v>45</v>
      </c>
      <c r="AC156" s="40">
        <v>2</v>
      </c>
      <c r="AD156" s="40" t="s">
        <v>45</v>
      </c>
      <c r="AE156" s="40" t="s">
        <v>45</v>
      </c>
      <c r="AF156" s="40" t="s">
        <v>45</v>
      </c>
      <c r="AG156" s="41" t="s">
        <v>45</v>
      </c>
      <c r="AH156" s="40">
        <v>6</v>
      </c>
      <c r="AI156" s="40">
        <v>2</v>
      </c>
      <c r="AJ156" s="41">
        <v>2</v>
      </c>
      <c r="AK156" s="43" t="s">
        <v>553</v>
      </c>
      <c r="AL156" s="43" t="s">
        <v>47</v>
      </c>
      <c r="AM156" s="44">
        <f t="shared" si="15"/>
        <v>-1.726391052532781</v>
      </c>
      <c r="AN156" s="44">
        <f t="shared" si="16"/>
        <v>-0.28670877532988848</v>
      </c>
      <c r="AO156" s="45">
        <f t="shared" si="17"/>
        <v>0</v>
      </c>
      <c r="AP156" s="46">
        <f t="shared" si="18"/>
        <v>0</v>
      </c>
      <c r="AQ156" s="44">
        <f>($AM$3*AM156+$AN$3*AN156+$AO$3*AO156+$AP$3*AP156)+$I$3*VLOOKUP(I156,COND!$A$2:$E$7,4,FALSE)+$J$3*VLOOKUP(J156,COND!$A$2:$C$7,2,FALSE)+$K$3*VLOOKUP(K156,COND!$A$2:$C$7,3,FALSE)+IF(AND($B$2&gt;0,$E156&lt;20),$B$2*25,0)</f>
        <v>46.386855590788059</v>
      </c>
      <c r="AR156" s="47">
        <f t="shared" si="19"/>
        <v>0.49993009000819799</v>
      </c>
      <c r="AS156" s="45" t="str">
        <f t="shared" si="20"/>
        <v>3B</v>
      </c>
      <c r="AT156" s="45">
        <f>RANK(Batters[[#This Row],[zScore]],Batters[[#All],[zScore]])</f>
        <v>152</v>
      </c>
      <c r="AU156" s="45"/>
      <c r="AV156" s="45"/>
      <c r="AW156" s="45" t="str">
        <f t="shared" si="21"/>
        <v>Unlikely</v>
      </c>
      <c r="AX156" s="45"/>
      <c r="AY156" s="45">
        <f>INDEX(Table5[[#All],[Ovr]],MATCH(Batters[[#This Row],[PID]],Table5[[#All],[PID]],0))</f>
        <v>458</v>
      </c>
      <c r="AZ156" s="45" t="str">
        <f>INDEX(Table5[[#All],[Rnd]],MATCH(Batters[[#This Row],[PID]],Table5[[#All],[PID]],0))</f>
        <v>15</v>
      </c>
      <c r="BA156" s="45">
        <f>INDEX(Table5[[#All],[Pick]],MATCH(Batters[[#This Row],[PID]],Table5[[#All],[PID]],0))</f>
        <v>30</v>
      </c>
      <c r="BB156" s="45" t="str">
        <f>INDEX(Table5[[#All],[Team]],MATCH(Batters[[#This Row],[PID]],Table5[[#All],[PID]],0))</f>
        <v>Florida Farstriders</v>
      </c>
    </row>
    <row r="157" spans="1:54" ht="15" customHeight="1" x14ac:dyDescent="0.25">
      <c r="A157" s="40">
        <v>20972</v>
      </c>
      <c r="B157" s="40" t="s">
        <v>87</v>
      </c>
      <c r="C157" s="40" t="s">
        <v>332</v>
      </c>
      <c r="D157" s="40" t="s">
        <v>1050</v>
      </c>
      <c r="E157" s="40">
        <v>16</v>
      </c>
      <c r="F157" s="40" t="s">
        <v>42</v>
      </c>
      <c r="G157" s="40" t="s">
        <v>42</v>
      </c>
      <c r="H157" s="41" t="s">
        <v>634</v>
      </c>
      <c r="I157" s="65" t="s">
        <v>43</v>
      </c>
      <c r="J157" s="66" t="s">
        <v>43</v>
      </c>
      <c r="K157" s="67" t="s">
        <v>43</v>
      </c>
      <c r="L157" s="40">
        <v>1</v>
      </c>
      <c r="M157" s="40">
        <v>2</v>
      </c>
      <c r="N157" s="40">
        <v>3</v>
      </c>
      <c r="O157" s="40">
        <v>2</v>
      </c>
      <c r="P157" s="41">
        <v>1</v>
      </c>
      <c r="Q157" s="40">
        <v>3</v>
      </c>
      <c r="R157" s="40">
        <v>5</v>
      </c>
      <c r="S157" s="40">
        <v>6</v>
      </c>
      <c r="T157" s="40">
        <v>6</v>
      </c>
      <c r="U157" s="41">
        <v>3</v>
      </c>
      <c r="V157" s="40">
        <v>2</v>
      </c>
      <c r="W157" s="40">
        <v>5</v>
      </c>
      <c r="X157" s="40">
        <v>1</v>
      </c>
      <c r="Y157" s="41">
        <v>1</v>
      </c>
      <c r="Z157" s="40" t="s">
        <v>45</v>
      </c>
      <c r="AA157" s="40">
        <v>2</v>
      </c>
      <c r="AB157" s="40" t="s">
        <v>45</v>
      </c>
      <c r="AC157" s="40" t="s">
        <v>45</v>
      </c>
      <c r="AD157" s="40" t="s">
        <v>45</v>
      </c>
      <c r="AE157" s="40" t="s">
        <v>45</v>
      </c>
      <c r="AF157" s="40" t="s">
        <v>45</v>
      </c>
      <c r="AG157" s="41" t="s">
        <v>45</v>
      </c>
      <c r="AH157" s="40">
        <v>3</v>
      </c>
      <c r="AI157" s="40">
        <v>1</v>
      </c>
      <c r="AJ157" s="41">
        <v>1</v>
      </c>
      <c r="AK157" s="43" t="s">
        <v>644</v>
      </c>
      <c r="AL157" s="43" t="s">
        <v>635</v>
      </c>
      <c r="AM157" s="44">
        <f t="shared" si="15"/>
        <v>-1.7774509321514844</v>
      </c>
      <c r="AN157" s="44">
        <f t="shared" si="16"/>
        <v>-0.29110425914582899</v>
      </c>
      <c r="AO157" s="45">
        <f t="shared" si="17"/>
        <v>0</v>
      </c>
      <c r="AP157" s="46">
        <f t="shared" si="18"/>
        <v>0</v>
      </c>
      <c r="AQ157" s="44">
        <f>($AM$3*AM157+$AN$3*AN157+$AO$3*AO157+$AP$3*AP157)+$I$3*VLOOKUP(I157,COND!$A$2:$E$7,4,FALSE)+$J$3*VLOOKUP(J157,COND!$A$2:$C$7,2,FALSE)+$K$3*VLOOKUP(K157,COND!$A$2:$C$7,3,FALSE)+IF(AND($B$2&gt;0,$E157&lt;20),$B$2*25,0)</f>
        <v>46.3290037970349</v>
      </c>
      <c r="AR157" s="47">
        <f t="shared" si="19"/>
        <v>0.4871039562912885</v>
      </c>
      <c r="AS157" s="45" t="str">
        <f t="shared" si="20"/>
        <v>1B</v>
      </c>
      <c r="AT157" s="45">
        <f>RANK(Batters[[#This Row],[zScore]],Batters[[#All],[zScore]])</f>
        <v>153</v>
      </c>
      <c r="AU157" s="45"/>
      <c r="AV157" s="45"/>
      <c r="AW157" s="45" t="str">
        <f t="shared" si="21"/>
        <v>Unlikely</v>
      </c>
      <c r="AX157" s="45"/>
      <c r="AY157" s="45">
        <f>INDEX(Table5[[#All],[Ovr]],MATCH(Batters[[#This Row],[PID]],Table5[[#All],[PID]],0))</f>
        <v>407</v>
      </c>
      <c r="AZ157" s="45" t="str">
        <f>INDEX(Table5[[#All],[Rnd]],MATCH(Batters[[#This Row],[PID]],Table5[[#All],[PID]],0))</f>
        <v>14</v>
      </c>
      <c r="BA157" s="45">
        <f>INDEX(Table5[[#All],[Pick]],MATCH(Batters[[#This Row],[PID]],Table5[[#All],[PID]],0))</f>
        <v>9</v>
      </c>
      <c r="BB157" s="45" t="str">
        <f>INDEX(Table5[[#All],[Team]],MATCH(Batters[[#This Row],[PID]],Table5[[#All],[PID]],0))</f>
        <v>Scottish Claymores</v>
      </c>
    </row>
    <row r="158" spans="1:54" ht="15" customHeight="1" x14ac:dyDescent="0.25">
      <c r="A158" s="40">
        <v>20746</v>
      </c>
      <c r="B158" s="40" t="s">
        <v>87</v>
      </c>
      <c r="C158" s="40" t="s">
        <v>1212</v>
      </c>
      <c r="D158" s="40" t="s">
        <v>1632</v>
      </c>
      <c r="E158" s="40">
        <v>16</v>
      </c>
      <c r="F158" s="40" t="s">
        <v>42</v>
      </c>
      <c r="G158" s="40" t="s">
        <v>53</v>
      </c>
      <c r="H158" s="41" t="s">
        <v>638</v>
      </c>
      <c r="I158" s="65" t="s">
        <v>44</v>
      </c>
      <c r="J158" s="66" t="s">
        <v>47</v>
      </c>
      <c r="K158" s="67" t="s">
        <v>44</v>
      </c>
      <c r="L158" s="40">
        <v>1</v>
      </c>
      <c r="M158" s="40">
        <v>1</v>
      </c>
      <c r="N158" s="40">
        <v>2</v>
      </c>
      <c r="O158" s="40">
        <v>2</v>
      </c>
      <c r="P158" s="41">
        <v>1</v>
      </c>
      <c r="Q158" s="40">
        <v>4</v>
      </c>
      <c r="R158" s="40">
        <v>4</v>
      </c>
      <c r="S158" s="40">
        <v>3</v>
      </c>
      <c r="T158" s="40">
        <v>5</v>
      </c>
      <c r="U158" s="41">
        <v>5</v>
      </c>
      <c r="V158" s="40">
        <v>5</v>
      </c>
      <c r="W158" s="40">
        <v>7</v>
      </c>
      <c r="X158" s="40">
        <v>1</v>
      </c>
      <c r="Y158" s="41">
        <v>1</v>
      </c>
      <c r="Z158" s="40" t="s">
        <v>45</v>
      </c>
      <c r="AA158" s="40">
        <v>2</v>
      </c>
      <c r="AB158" s="40" t="s">
        <v>45</v>
      </c>
      <c r="AC158" s="40" t="s">
        <v>45</v>
      </c>
      <c r="AD158" s="40" t="s">
        <v>45</v>
      </c>
      <c r="AE158" s="40" t="s">
        <v>45</v>
      </c>
      <c r="AF158" s="40" t="s">
        <v>45</v>
      </c>
      <c r="AG158" s="41">
        <v>1</v>
      </c>
      <c r="AH158" s="40">
        <v>5</v>
      </c>
      <c r="AI158" s="40">
        <v>5</v>
      </c>
      <c r="AJ158" s="41">
        <v>2</v>
      </c>
      <c r="AK158" s="43" t="s">
        <v>659</v>
      </c>
      <c r="AL158" s="43"/>
      <c r="AM158" s="44">
        <f t="shared" si="15"/>
        <v>-1.9115723057940897</v>
      </c>
      <c r="AN158" s="44">
        <f t="shared" si="16"/>
        <v>-0.27846965500897641</v>
      </c>
      <c r="AO158" s="45">
        <f t="shared" si="17"/>
        <v>0</v>
      </c>
      <c r="AP158" s="46">
        <f t="shared" si="18"/>
        <v>0</v>
      </c>
      <c r="AQ158" s="44">
        <f>($AM$3*AM158+$AN$3*AN158+$AO$3*AO158+$AP$3*AP158)+$I$3*VLOOKUP(I158,COND!$A$2:$E$7,4,FALSE)+$J$3*VLOOKUP(J158,COND!$A$2:$C$7,2,FALSE)+$K$3*VLOOKUP(K158,COND!$A$2:$C$7,3,FALSE)+IF(AND($B$2&gt;0,$E158&lt;20),$B$2*25,0)</f>
        <v>46.317206909312873</v>
      </c>
      <c r="AR158" s="47">
        <f t="shared" si="19"/>
        <v>0.48448850654375436</v>
      </c>
      <c r="AS158" s="45" t="str">
        <f t="shared" si="20"/>
        <v>RF</v>
      </c>
      <c r="AT158" s="45">
        <f>RANK(Batters[[#This Row],[zScore]],Batters[[#All],[zScore]])</f>
        <v>154</v>
      </c>
      <c r="AU158" s="45"/>
      <c r="AV158" s="45"/>
      <c r="AW158" s="45" t="str">
        <f t="shared" si="21"/>
        <v>Unlikely</v>
      </c>
      <c r="AX158" s="45"/>
      <c r="AY158" s="64" t="str">
        <f>INDEX(Table5[[#All],[Ovr]],MATCH(Batters[[#This Row],[PID]],Table5[[#All],[PID]],0))</f>
        <v/>
      </c>
      <c r="AZ158" s="64" t="str">
        <f>INDEX(Table5[[#All],[Rnd]],MATCH(Batters[[#This Row],[PID]],Table5[[#All],[PID]],0))</f>
        <v/>
      </c>
      <c r="BA158" s="64" t="str">
        <f>INDEX(Table5[[#All],[Pick]],MATCH(Batters[[#This Row],[PID]],Table5[[#All],[PID]],0))</f>
        <v/>
      </c>
      <c r="BB158" s="64" t="str">
        <f>INDEX(Table5[[#All],[Team]],MATCH(Batters[[#This Row],[PID]],Table5[[#All],[PID]],0))</f>
        <v/>
      </c>
    </row>
    <row r="159" spans="1:54" ht="15" customHeight="1" x14ac:dyDescent="0.25">
      <c r="A159" s="40">
        <v>18224</v>
      </c>
      <c r="B159" s="40" t="s">
        <v>66</v>
      </c>
      <c r="C159" s="40" t="s">
        <v>529</v>
      </c>
      <c r="D159" s="40" t="s">
        <v>1648</v>
      </c>
      <c r="E159" s="40">
        <v>18</v>
      </c>
      <c r="F159" s="40" t="s">
        <v>53</v>
      </c>
      <c r="G159" s="40" t="s">
        <v>53</v>
      </c>
      <c r="H159" s="41" t="s">
        <v>638</v>
      </c>
      <c r="I159" s="65" t="s">
        <v>43</v>
      </c>
      <c r="J159" s="66" t="s">
        <v>43</v>
      </c>
      <c r="K159" s="67" t="s">
        <v>44</v>
      </c>
      <c r="L159" s="40">
        <v>1</v>
      </c>
      <c r="M159" s="40">
        <v>1</v>
      </c>
      <c r="N159" s="40">
        <v>2</v>
      </c>
      <c r="O159" s="40">
        <v>2</v>
      </c>
      <c r="P159" s="41">
        <v>1</v>
      </c>
      <c r="Q159" s="40">
        <v>4</v>
      </c>
      <c r="R159" s="40">
        <v>5</v>
      </c>
      <c r="S159" s="40">
        <v>3</v>
      </c>
      <c r="T159" s="40">
        <v>5</v>
      </c>
      <c r="U159" s="41">
        <v>4</v>
      </c>
      <c r="V159" s="40">
        <v>3</v>
      </c>
      <c r="W159" s="40">
        <v>6</v>
      </c>
      <c r="X159" s="40">
        <v>1</v>
      </c>
      <c r="Y159" s="41">
        <v>1</v>
      </c>
      <c r="Z159" s="40" t="s">
        <v>45</v>
      </c>
      <c r="AA159" s="40" t="s">
        <v>45</v>
      </c>
      <c r="AB159" s="40" t="s">
        <v>45</v>
      </c>
      <c r="AC159" s="40" t="s">
        <v>45</v>
      </c>
      <c r="AD159" s="40" t="s">
        <v>45</v>
      </c>
      <c r="AE159" s="40" t="s">
        <v>45</v>
      </c>
      <c r="AF159" s="40">
        <v>1</v>
      </c>
      <c r="AG159" s="41">
        <v>2</v>
      </c>
      <c r="AH159" s="40">
        <v>3</v>
      </c>
      <c r="AI159" s="40">
        <v>4</v>
      </c>
      <c r="AJ159" s="41">
        <v>5</v>
      </c>
      <c r="AK159" s="43" t="s">
        <v>644</v>
      </c>
      <c r="AL159" s="43"/>
      <c r="AM159" s="44">
        <f t="shared" si="15"/>
        <v>-1.9115723057940897</v>
      </c>
      <c r="AN159" s="44">
        <f t="shared" si="16"/>
        <v>-0.26742611520735632</v>
      </c>
      <c r="AO159" s="45">
        <f t="shared" si="17"/>
        <v>0</v>
      </c>
      <c r="AP159" s="46">
        <f t="shared" si="18"/>
        <v>0</v>
      </c>
      <c r="AQ159" s="44">
        <f>($AM$3*AM159+$AN$3*AN159+$AO$3*AO159+$AP$3*AP159)+$I$3*VLOOKUP(I159,COND!$A$2:$E$7,4,FALSE)+$J$3*VLOOKUP(J159,COND!$A$2:$C$7,2,FALSE)+$K$3*VLOOKUP(K159,COND!$A$2:$C$7,3,FALSE)+IF(AND($B$2&gt;0,$E159&lt;20),$B$2*25,0)</f>
        <v>46.299729386932313</v>
      </c>
      <c r="AR159" s="47">
        <f t="shared" si="19"/>
        <v>0.48061362169489696</v>
      </c>
      <c r="AS159" s="45" t="str">
        <f t="shared" si="20"/>
        <v>RF</v>
      </c>
      <c r="AT159" s="45">
        <f>RANK(Batters[[#This Row],[zScore]],Batters[[#All],[zScore]])</f>
        <v>155</v>
      </c>
      <c r="AU159" s="45"/>
      <c r="AV159" s="45"/>
      <c r="AW159" s="45" t="str">
        <f t="shared" si="21"/>
        <v>Unlikely</v>
      </c>
      <c r="AX159" s="45"/>
      <c r="AY159" s="64" t="str">
        <f>INDEX(Table5[[#All],[Ovr]],MATCH(Batters[[#This Row],[PID]],Table5[[#All],[PID]],0))</f>
        <v/>
      </c>
      <c r="AZ159" s="64" t="str">
        <f>INDEX(Table5[[#All],[Rnd]],MATCH(Batters[[#This Row],[PID]],Table5[[#All],[PID]],0))</f>
        <v/>
      </c>
      <c r="BA159" s="64" t="str">
        <f>INDEX(Table5[[#All],[Pick]],MATCH(Batters[[#This Row],[PID]],Table5[[#All],[PID]],0))</f>
        <v/>
      </c>
      <c r="BB159" s="64" t="str">
        <f>INDEX(Table5[[#All],[Team]],MATCH(Batters[[#This Row],[PID]],Table5[[#All],[PID]],0))</f>
        <v/>
      </c>
    </row>
    <row r="160" spans="1:54" ht="15" customHeight="1" x14ac:dyDescent="0.25">
      <c r="A160" s="40">
        <v>20896</v>
      </c>
      <c r="B160" s="40" t="s">
        <v>66</v>
      </c>
      <c r="C160" s="40" t="s">
        <v>130</v>
      </c>
      <c r="D160" s="40" t="s">
        <v>133</v>
      </c>
      <c r="E160" s="40">
        <v>17</v>
      </c>
      <c r="F160" s="40" t="s">
        <v>53</v>
      </c>
      <c r="G160" s="40" t="s">
        <v>53</v>
      </c>
      <c r="H160" s="41" t="s">
        <v>634</v>
      </c>
      <c r="I160" s="65" t="s">
        <v>43</v>
      </c>
      <c r="J160" s="66" t="s">
        <v>43</v>
      </c>
      <c r="K160" s="67" t="s">
        <v>44</v>
      </c>
      <c r="L160" s="40">
        <v>1</v>
      </c>
      <c r="M160" s="40">
        <v>2</v>
      </c>
      <c r="N160" s="40">
        <v>3</v>
      </c>
      <c r="O160" s="40">
        <v>2</v>
      </c>
      <c r="P160" s="41">
        <v>1</v>
      </c>
      <c r="Q160" s="40">
        <v>3</v>
      </c>
      <c r="R160" s="40">
        <v>6</v>
      </c>
      <c r="S160" s="40">
        <v>7</v>
      </c>
      <c r="T160" s="40">
        <v>5</v>
      </c>
      <c r="U160" s="41">
        <v>2</v>
      </c>
      <c r="V160" s="40">
        <v>5</v>
      </c>
      <c r="W160" s="40">
        <v>6</v>
      </c>
      <c r="X160" s="40">
        <v>1</v>
      </c>
      <c r="Y160" s="41">
        <v>1</v>
      </c>
      <c r="Z160" s="40" t="s">
        <v>45</v>
      </c>
      <c r="AA160" s="40" t="s">
        <v>45</v>
      </c>
      <c r="AB160" s="40" t="s">
        <v>45</v>
      </c>
      <c r="AC160" s="40" t="s">
        <v>45</v>
      </c>
      <c r="AD160" s="40" t="s">
        <v>45</v>
      </c>
      <c r="AE160" s="40" t="s">
        <v>45</v>
      </c>
      <c r="AF160" s="40" t="s">
        <v>45</v>
      </c>
      <c r="AG160" s="41">
        <v>2</v>
      </c>
      <c r="AH160" s="40">
        <v>8</v>
      </c>
      <c r="AI160" s="40">
        <v>2</v>
      </c>
      <c r="AJ160" s="41">
        <v>4</v>
      </c>
      <c r="AK160" s="43" t="s">
        <v>663</v>
      </c>
      <c r="AL160" s="43" t="s">
        <v>635</v>
      </c>
      <c r="AM160" s="44">
        <f t="shared" si="15"/>
        <v>-1.7774509321514844</v>
      </c>
      <c r="AN160" s="44">
        <f t="shared" si="16"/>
        <v>-0.28670877532988848</v>
      </c>
      <c r="AO160" s="45">
        <f t="shared" si="17"/>
        <v>1</v>
      </c>
      <c r="AP160" s="46">
        <f t="shared" si="18"/>
        <v>0</v>
      </c>
      <c r="AQ160" s="44">
        <f>($AM$3*AM160+$AN$3*AN160+$AO$3*AO160+$AP$3*AP160)+$I$3*VLOOKUP(I160,COND!$A$2:$E$7,4,FALSE)+$J$3*VLOOKUP(J160,COND!$A$2:$C$7,2,FALSE)+$K$3*VLOOKUP(K160,COND!$A$2:$C$7,3,FALSE)+IF(AND($B$2&gt;0,$E160&lt;20),$B$2*25,0)</f>
        <v>46.24841626949285</v>
      </c>
      <c r="AR160" s="47">
        <f t="shared" si="19"/>
        <v>0.46923715671408384</v>
      </c>
      <c r="AS160" s="45" t="str">
        <f t="shared" si="20"/>
        <v>RF</v>
      </c>
      <c r="AT160" s="45">
        <f>RANK(Batters[[#This Row],[zScore]],Batters[[#All],[zScore]])</f>
        <v>156</v>
      </c>
      <c r="AU160" s="45"/>
      <c r="AV160" s="45"/>
      <c r="AW160" s="45" t="str">
        <f t="shared" si="21"/>
        <v>Unlikely</v>
      </c>
      <c r="AX160" s="45"/>
      <c r="AY160" s="45">
        <f>INDEX(Table5[[#All],[Ovr]],MATCH(Batters[[#This Row],[PID]],Table5[[#All],[PID]],0))</f>
        <v>327</v>
      </c>
      <c r="AZ160" s="45" t="str">
        <f>INDEX(Table5[[#All],[Rnd]],MATCH(Batters[[#This Row],[PID]],Table5[[#All],[PID]],0))</f>
        <v>11</v>
      </c>
      <c r="BA160" s="45">
        <f>INDEX(Table5[[#All],[Pick]],MATCH(Batters[[#This Row],[PID]],Table5[[#All],[PID]],0))</f>
        <v>19</v>
      </c>
      <c r="BB160" s="45" t="str">
        <f>INDEX(Table5[[#All],[Team]],MATCH(Batters[[#This Row],[PID]],Table5[[#All],[PID]],0))</f>
        <v>Kalamazoo Badgers</v>
      </c>
    </row>
    <row r="161" spans="1:54" ht="15" customHeight="1" x14ac:dyDescent="0.25">
      <c r="A161" s="40">
        <v>18409</v>
      </c>
      <c r="B161" s="40" t="s">
        <v>72</v>
      </c>
      <c r="C161" s="40" t="s">
        <v>1346</v>
      </c>
      <c r="D161" s="40" t="s">
        <v>385</v>
      </c>
      <c r="E161" s="40">
        <v>18</v>
      </c>
      <c r="F161" s="40" t="s">
        <v>42</v>
      </c>
      <c r="G161" s="40" t="s">
        <v>42</v>
      </c>
      <c r="H161" s="41" t="s">
        <v>634</v>
      </c>
      <c r="I161" s="65" t="s">
        <v>43</v>
      </c>
      <c r="J161" s="66" t="s">
        <v>43</v>
      </c>
      <c r="K161" s="67" t="s">
        <v>43</v>
      </c>
      <c r="L161" s="40">
        <v>1</v>
      </c>
      <c r="M161" s="40">
        <v>2</v>
      </c>
      <c r="N161" s="40">
        <v>2</v>
      </c>
      <c r="O161" s="40">
        <v>2</v>
      </c>
      <c r="P161" s="41">
        <v>3</v>
      </c>
      <c r="Q161" s="40">
        <v>4</v>
      </c>
      <c r="R161" s="40">
        <v>5</v>
      </c>
      <c r="S161" s="40">
        <v>2</v>
      </c>
      <c r="T161" s="40">
        <v>4</v>
      </c>
      <c r="U161" s="41">
        <v>5</v>
      </c>
      <c r="V161" s="40">
        <v>8</v>
      </c>
      <c r="W161" s="40">
        <v>8</v>
      </c>
      <c r="X161" s="40">
        <v>1</v>
      </c>
      <c r="Y161" s="41">
        <v>1</v>
      </c>
      <c r="Z161" s="40" t="s">
        <v>45</v>
      </c>
      <c r="AA161" s="40" t="s">
        <v>45</v>
      </c>
      <c r="AB161" s="40" t="s">
        <v>45</v>
      </c>
      <c r="AC161" s="40" t="s">
        <v>45</v>
      </c>
      <c r="AD161" s="40">
        <v>6</v>
      </c>
      <c r="AE161" s="40" t="s">
        <v>45</v>
      </c>
      <c r="AF161" s="40" t="s">
        <v>45</v>
      </c>
      <c r="AG161" s="41" t="s">
        <v>45</v>
      </c>
      <c r="AH161" s="40">
        <v>8</v>
      </c>
      <c r="AI161" s="40">
        <v>6</v>
      </c>
      <c r="AJ161" s="41">
        <v>4</v>
      </c>
      <c r="AK161" s="43" t="s">
        <v>553</v>
      </c>
      <c r="AL161" s="43" t="s">
        <v>47</v>
      </c>
      <c r="AM161" s="44">
        <f t="shared" si="15"/>
        <v>-1.780479746541219</v>
      </c>
      <c r="AN161" s="44">
        <f t="shared" si="16"/>
        <v>-0.40018081942375544</v>
      </c>
      <c r="AO161" s="45">
        <f t="shared" si="17"/>
        <v>1</v>
      </c>
      <c r="AP161" s="46">
        <f t="shared" si="18"/>
        <v>1</v>
      </c>
      <c r="AQ161" s="44">
        <f>($AM$3*AM161+$AN$3*AN161+$AO$3*AO161+$AP$3*AP161)+$I$3*VLOOKUP(I161,COND!$A$2:$E$7,4,FALSE)+$J$3*VLOOKUP(J161,COND!$A$2:$C$7,2,FALSE)+$K$3*VLOOKUP(K161,COND!$A$2:$C$7,3,FALSE)+IF(AND($B$2&gt;0,$E161&lt;20),$B$2*25,0)</f>
        <v>46.186448858927477</v>
      </c>
      <c r="AR161" s="47">
        <f t="shared" si="19"/>
        <v>0.45549856293091856</v>
      </c>
      <c r="AS161" s="45" t="str">
        <f t="shared" si="20"/>
        <v>SS</v>
      </c>
      <c r="AT161" s="45">
        <f>RANK(Batters[[#This Row],[zScore]],Batters[[#All],[zScore]])</f>
        <v>157</v>
      </c>
      <c r="AU161" s="45"/>
      <c r="AV161" s="45"/>
      <c r="AW161" s="45" t="str">
        <f t="shared" si="21"/>
        <v>Unlikely</v>
      </c>
      <c r="AX161" s="45"/>
      <c r="AY161" s="45">
        <f>INDEX(Table5[[#All],[Ovr]],MATCH(Batters[[#This Row],[PID]],Table5[[#All],[PID]],0))</f>
        <v>201</v>
      </c>
      <c r="AZ161" s="45" t="str">
        <f>INDEX(Table5[[#All],[Rnd]],MATCH(Batters[[#This Row],[PID]],Table5[[#All],[PID]],0))</f>
        <v>7</v>
      </c>
      <c r="BA161" s="45">
        <f>INDEX(Table5[[#All],[Pick]],MATCH(Batters[[#This Row],[PID]],Table5[[#All],[PID]],0))</f>
        <v>13</v>
      </c>
      <c r="BB161" s="45" t="str">
        <f>INDEX(Table5[[#All],[Team]],MATCH(Batters[[#This Row],[PID]],Table5[[#All],[PID]],0))</f>
        <v>Reno Zephyrs</v>
      </c>
    </row>
    <row r="162" spans="1:54" ht="15" customHeight="1" x14ac:dyDescent="0.25">
      <c r="A162" s="40">
        <v>20372</v>
      </c>
      <c r="B162" s="40" t="s">
        <v>71</v>
      </c>
      <c r="C162" s="40" t="s">
        <v>367</v>
      </c>
      <c r="D162" s="40" t="s">
        <v>1011</v>
      </c>
      <c r="E162" s="40">
        <v>17</v>
      </c>
      <c r="F162" s="40" t="s">
        <v>42</v>
      </c>
      <c r="G162" s="40" t="s">
        <v>42</v>
      </c>
      <c r="H162" s="41" t="s">
        <v>634</v>
      </c>
      <c r="I162" s="65" t="s">
        <v>43</v>
      </c>
      <c r="J162" s="66" t="s">
        <v>44</v>
      </c>
      <c r="K162" s="67" t="s">
        <v>43</v>
      </c>
      <c r="L162" s="40">
        <v>1</v>
      </c>
      <c r="M162" s="40">
        <v>3</v>
      </c>
      <c r="N162" s="40">
        <v>3</v>
      </c>
      <c r="O162" s="40">
        <v>3</v>
      </c>
      <c r="P162" s="41">
        <v>2</v>
      </c>
      <c r="Q162" s="40">
        <v>3</v>
      </c>
      <c r="R162" s="40">
        <v>6</v>
      </c>
      <c r="S162" s="40">
        <v>5</v>
      </c>
      <c r="T162" s="40">
        <v>6</v>
      </c>
      <c r="U162" s="41">
        <v>4</v>
      </c>
      <c r="V162" s="40">
        <v>1</v>
      </c>
      <c r="W162" s="40">
        <v>1</v>
      </c>
      <c r="X162" s="40">
        <v>1</v>
      </c>
      <c r="Y162" s="41">
        <v>1</v>
      </c>
      <c r="Z162" s="40" t="s">
        <v>45</v>
      </c>
      <c r="AA162" s="40" t="s">
        <v>45</v>
      </c>
      <c r="AB162" s="40">
        <v>1</v>
      </c>
      <c r="AC162" s="40" t="s">
        <v>45</v>
      </c>
      <c r="AD162" s="40" t="s">
        <v>45</v>
      </c>
      <c r="AE162" s="40" t="s">
        <v>45</v>
      </c>
      <c r="AF162" s="40" t="s">
        <v>45</v>
      </c>
      <c r="AG162" s="41" t="s">
        <v>45</v>
      </c>
      <c r="AH162" s="40">
        <v>7</v>
      </c>
      <c r="AI162" s="40">
        <v>5</v>
      </c>
      <c r="AJ162" s="41">
        <v>4</v>
      </c>
      <c r="AK162" s="43" t="s">
        <v>659</v>
      </c>
      <c r="AL162" s="43" t="s">
        <v>47</v>
      </c>
      <c r="AM162" s="44">
        <f t="shared" si="15"/>
        <v>-1.5966651627061161</v>
      </c>
      <c r="AN162" s="44">
        <f t="shared" si="16"/>
        <v>-0.28308953373394352</v>
      </c>
      <c r="AO162" s="45">
        <f t="shared" si="17"/>
        <v>0</v>
      </c>
      <c r="AP162" s="46">
        <f t="shared" si="18"/>
        <v>0</v>
      </c>
      <c r="AQ162" s="44">
        <f>($AM$3*AM162+$AN$3*AN162+$AO$3*AO162+$AP$3*AP162)+$I$3*VLOOKUP(I162,COND!$A$2:$E$7,4,FALSE)+$J$3*VLOOKUP(J162,COND!$A$2:$C$7,2,FALSE)+$K$3*VLOOKUP(K162,COND!$A$2:$C$7,3,FALSE)+IF(AND($B$2&gt;0,$E162&lt;20),$B$2*25,0)</f>
        <v>46.143259078922064</v>
      </c>
      <c r="AR162" s="47">
        <f t="shared" si="19"/>
        <v>0.44592309676789943</v>
      </c>
      <c r="AS162" s="45" t="str">
        <f t="shared" si="20"/>
        <v>2B</v>
      </c>
      <c r="AT162" s="45">
        <f>RANK(Batters[[#This Row],[zScore]],Batters[[#All],[zScore]])</f>
        <v>158</v>
      </c>
      <c r="AU162" s="45"/>
      <c r="AV162" s="45"/>
      <c r="AW162" s="45" t="str">
        <f t="shared" si="21"/>
        <v>Unlikely</v>
      </c>
      <c r="AX162" s="45"/>
      <c r="AY162" s="45">
        <f>INDEX(Table5[[#All],[Ovr]],MATCH(Batters[[#This Row],[PID]],Table5[[#All],[PID]],0))</f>
        <v>387</v>
      </c>
      <c r="AZ162" s="45" t="str">
        <f>INDEX(Table5[[#All],[Rnd]],MATCH(Batters[[#This Row],[PID]],Table5[[#All],[PID]],0))</f>
        <v>13</v>
      </c>
      <c r="BA162" s="45">
        <f>INDEX(Table5[[#All],[Pick]],MATCH(Batters[[#This Row],[PID]],Table5[[#All],[PID]],0))</f>
        <v>19</v>
      </c>
      <c r="BB162" s="45" t="str">
        <f>INDEX(Table5[[#All],[Team]],MATCH(Batters[[#This Row],[PID]],Table5[[#All],[PID]],0))</f>
        <v>Kalamazoo Badgers</v>
      </c>
    </row>
    <row r="163" spans="1:54" ht="15" customHeight="1" x14ac:dyDescent="0.25">
      <c r="A163" s="40">
        <v>20543</v>
      </c>
      <c r="B163" s="40" t="s">
        <v>72</v>
      </c>
      <c r="C163" s="40" t="s">
        <v>1134</v>
      </c>
      <c r="D163" s="40" t="s">
        <v>1529</v>
      </c>
      <c r="E163" s="40">
        <v>17</v>
      </c>
      <c r="F163" s="40" t="s">
        <v>53</v>
      </c>
      <c r="G163" s="40" t="s">
        <v>42</v>
      </c>
      <c r="H163" s="41" t="s">
        <v>638</v>
      </c>
      <c r="I163" s="65" t="s">
        <v>44</v>
      </c>
      <c r="J163" s="66" t="s">
        <v>47</v>
      </c>
      <c r="K163" s="67" t="s">
        <v>43</v>
      </c>
      <c r="L163" s="40">
        <v>1</v>
      </c>
      <c r="M163" s="40">
        <v>3</v>
      </c>
      <c r="N163" s="40">
        <v>2</v>
      </c>
      <c r="O163" s="40">
        <v>2</v>
      </c>
      <c r="P163" s="41">
        <v>3</v>
      </c>
      <c r="Q163" s="40">
        <v>4</v>
      </c>
      <c r="R163" s="40">
        <v>4</v>
      </c>
      <c r="S163" s="40">
        <v>2</v>
      </c>
      <c r="T163" s="40">
        <v>5</v>
      </c>
      <c r="U163" s="41">
        <v>6</v>
      </c>
      <c r="V163" s="40">
        <v>7</v>
      </c>
      <c r="W163" s="40">
        <v>7</v>
      </c>
      <c r="X163" s="40">
        <v>1</v>
      </c>
      <c r="Y163" s="41">
        <v>1</v>
      </c>
      <c r="Z163" s="40" t="s">
        <v>45</v>
      </c>
      <c r="AA163" s="40" t="s">
        <v>45</v>
      </c>
      <c r="AB163" s="40" t="s">
        <v>45</v>
      </c>
      <c r="AC163" s="40" t="s">
        <v>45</v>
      </c>
      <c r="AD163" s="40">
        <v>2</v>
      </c>
      <c r="AE163" s="40" t="s">
        <v>45</v>
      </c>
      <c r="AF163" s="40" t="s">
        <v>45</v>
      </c>
      <c r="AG163" s="41" t="s">
        <v>45</v>
      </c>
      <c r="AH163" s="40">
        <v>4</v>
      </c>
      <c r="AI163" s="40">
        <v>5</v>
      </c>
      <c r="AJ163" s="41">
        <v>3</v>
      </c>
      <c r="AK163" s="43" t="s">
        <v>654</v>
      </c>
      <c r="AL163" s="43" t="s">
        <v>47</v>
      </c>
      <c r="AM163" s="44">
        <f t="shared" si="15"/>
        <v>-1.7294198669225156</v>
      </c>
      <c r="AN163" s="44">
        <f t="shared" si="16"/>
        <v>-0.32151480921579445</v>
      </c>
      <c r="AO163" s="45">
        <f t="shared" si="17"/>
        <v>0</v>
      </c>
      <c r="AP163" s="46">
        <f t="shared" si="18"/>
        <v>0</v>
      </c>
      <c r="AQ163" s="44">
        <f>($AM$3*AM163+$AN$3*AN163+$AO$3*AO163+$AP$3*AP163)+$I$3*VLOOKUP(I163,COND!$A$2:$E$7,4,FALSE)+$J$3*VLOOKUP(J163,COND!$A$2:$C$7,2,FALSE)+$K$3*VLOOKUP(K163,COND!$A$2:$C$7,3,FALSE)+IF(AND($B$2&gt;0,$E163&lt;20),$B$2*25,0)</f>
        <v>46.118880302718217</v>
      </c>
      <c r="AR163" s="47">
        <f t="shared" si="19"/>
        <v>0.44051815729827276</v>
      </c>
      <c r="AS163" s="45" t="str">
        <f t="shared" si="20"/>
        <v>SS</v>
      </c>
      <c r="AT163" s="45">
        <f>RANK(Batters[[#This Row],[zScore]],Batters[[#All],[zScore]])</f>
        <v>159</v>
      </c>
      <c r="AU163" s="45"/>
      <c r="AV163" s="45"/>
      <c r="AW163" s="45" t="str">
        <f t="shared" si="21"/>
        <v>Unlikely</v>
      </c>
      <c r="AX163" s="45"/>
      <c r="AY163" s="45">
        <f>INDEX(Table5[[#All],[Ovr]],MATCH(Batters[[#This Row],[PID]],Table5[[#All],[PID]],0))</f>
        <v>368</v>
      </c>
      <c r="AZ163" s="45" t="str">
        <f>INDEX(Table5[[#All],[Rnd]],MATCH(Batters[[#This Row],[PID]],Table5[[#All],[PID]],0))</f>
        <v>12</v>
      </c>
      <c r="BA163" s="45">
        <f>INDEX(Table5[[#All],[Pick]],MATCH(Batters[[#This Row],[PID]],Table5[[#All],[PID]],0))</f>
        <v>30</v>
      </c>
      <c r="BB163" s="45" t="str">
        <f>INDEX(Table5[[#All],[Team]],MATCH(Batters[[#This Row],[PID]],Table5[[#All],[PID]],0))</f>
        <v>Florida Farstriders</v>
      </c>
    </row>
    <row r="164" spans="1:54" ht="15" customHeight="1" x14ac:dyDescent="0.25">
      <c r="A164" s="40">
        <v>18326</v>
      </c>
      <c r="B164" s="40" t="s">
        <v>72</v>
      </c>
      <c r="C164" s="40" t="s">
        <v>1307</v>
      </c>
      <c r="D164" s="40" t="s">
        <v>803</v>
      </c>
      <c r="E164" s="40">
        <v>21</v>
      </c>
      <c r="F164" s="40" t="s">
        <v>42</v>
      </c>
      <c r="G164" s="40" t="s">
        <v>42</v>
      </c>
      <c r="H164" s="41" t="s">
        <v>634</v>
      </c>
      <c r="I164" s="65" t="s">
        <v>44</v>
      </c>
      <c r="J164" s="66" t="s">
        <v>44</v>
      </c>
      <c r="K164" s="67" t="s">
        <v>43</v>
      </c>
      <c r="L164" s="40">
        <v>3</v>
      </c>
      <c r="M164" s="40">
        <v>5</v>
      </c>
      <c r="N164" s="40">
        <v>2</v>
      </c>
      <c r="O164" s="40">
        <v>3</v>
      </c>
      <c r="P164" s="41">
        <v>5</v>
      </c>
      <c r="Q164" s="40">
        <v>5</v>
      </c>
      <c r="R164" s="40">
        <v>6</v>
      </c>
      <c r="S164" s="40">
        <v>2</v>
      </c>
      <c r="T164" s="40">
        <v>4</v>
      </c>
      <c r="U164" s="41">
        <v>7</v>
      </c>
      <c r="V164" s="40">
        <v>4</v>
      </c>
      <c r="W164" s="40">
        <v>4</v>
      </c>
      <c r="X164" s="40">
        <v>1</v>
      </c>
      <c r="Y164" s="41">
        <v>1</v>
      </c>
      <c r="Z164" s="40" t="s">
        <v>45</v>
      </c>
      <c r="AA164" s="40" t="s">
        <v>45</v>
      </c>
      <c r="AB164" s="40" t="s">
        <v>45</v>
      </c>
      <c r="AC164" s="40" t="s">
        <v>45</v>
      </c>
      <c r="AD164" s="40">
        <v>5</v>
      </c>
      <c r="AE164" s="40" t="s">
        <v>45</v>
      </c>
      <c r="AF164" s="40" t="s">
        <v>45</v>
      </c>
      <c r="AG164" s="41" t="s">
        <v>45</v>
      </c>
      <c r="AH164" s="40">
        <v>6</v>
      </c>
      <c r="AI164" s="40">
        <v>5</v>
      </c>
      <c r="AJ164" s="41">
        <v>5</v>
      </c>
      <c r="AK164" s="43" t="s">
        <v>643</v>
      </c>
      <c r="AL164" s="43" t="s">
        <v>47</v>
      </c>
      <c r="AM164" s="44">
        <f t="shared" si="15"/>
        <v>-0.81244620563601122</v>
      </c>
      <c r="AN164" s="44">
        <f t="shared" si="16"/>
        <v>5.346757603178965E-2</v>
      </c>
      <c r="AO164" s="45">
        <f t="shared" si="17"/>
        <v>0</v>
      </c>
      <c r="AP164" s="46">
        <f t="shared" si="18"/>
        <v>1</v>
      </c>
      <c r="AQ164" s="44">
        <f>($AM$3*AM164+$AN$3*AN164+$AO$3*AO164+$AP$3*AP164)+$I$3*VLOOKUP(I164,COND!$A$2:$E$7,4,FALSE)+$J$3*VLOOKUP(J164,COND!$A$2:$C$7,2,FALSE)+$K$3*VLOOKUP(K164,COND!$A$2:$C$7,3,FALSE)+IF(AND($B$2&gt;0,$E164&lt;20),$B$2*25,0)</f>
        <v>46.110366291817869</v>
      </c>
      <c r="AR164" s="47">
        <f t="shared" si="19"/>
        <v>0.43863054353229269</v>
      </c>
      <c r="AS164" s="45" t="str">
        <f t="shared" si="20"/>
        <v>SS</v>
      </c>
      <c r="AT164" s="45">
        <f>RANK(Batters[[#This Row],[zScore]],Batters[[#All],[zScore]])</f>
        <v>160</v>
      </c>
      <c r="AU164" s="45"/>
      <c r="AV164" s="45"/>
      <c r="AW164" s="45" t="str">
        <f t="shared" si="21"/>
        <v>Unlikely</v>
      </c>
      <c r="AX164" s="45"/>
      <c r="AY164" s="45">
        <f>INDEX(Table5[[#All],[Ovr]],MATCH(Batters[[#This Row],[PID]],Table5[[#All],[PID]],0))</f>
        <v>128</v>
      </c>
      <c r="AZ164" s="45" t="str">
        <f>INDEX(Table5[[#All],[Rnd]],MATCH(Batters[[#This Row],[PID]],Table5[[#All],[PID]],0))</f>
        <v>4</v>
      </c>
      <c r="BA164" s="45">
        <f>INDEX(Table5[[#All],[Pick]],MATCH(Batters[[#This Row],[PID]],Table5[[#All],[PID]],0))</f>
        <v>28</v>
      </c>
      <c r="BB164" s="45" t="str">
        <f>INDEX(Table5[[#All],[Team]],MATCH(Batters[[#This Row],[PID]],Table5[[#All],[PID]],0))</f>
        <v>Florida Farstriders</v>
      </c>
    </row>
    <row r="165" spans="1:54" ht="15" customHeight="1" x14ac:dyDescent="0.25">
      <c r="A165" s="40">
        <v>20343</v>
      </c>
      <c r="B165" s="40" t="s">
        <v>72</v>
      </c>
      <c r="C165" s="40" t="s">
        <v>1017</v>
      </c>
      <c r="D165" s="40" t="s">
        <v>1206</v>
      </c>
      <c r="E165" s="40">
        <v>17</v>
      </c>
      <c r="F165" s="40" t="s">
        <v>42</v>
      </c>
      <c r="G165" s="40" t="s">
        <v>42</v>
      </c>
      <c r="H165" s="41" t="s">
        <v>638</v>
      </c>
      <c r="I165" s="65" t="s">
        <v>43</v>
      </c>
      <c r="J165" s="66" t="s">
        <v>44</v>
      </c>
      <c r="K165" s="67" t="s">
        <v>47</v>
      </c>
      <c r="L165" s="40">
        <v>1</v>
      </c>
      <c r="M165" s="40">
        <v>2</v>
      </c>
      <c r="N165" s="40">
        <v>2</v>
      </c>
      <c r="O165" s="40">
        <v>2</v>
      </c>
      <c r="P165" s="41">
        <v>1</v>
      </c>
      <c r="Q165" s="40">
        <v>4</v>
      </c>
      <c r="R165" s="40">
        <v>4</v>
      </c>
      <c r="S165" s="40">
        <v>3</v>
      </c>
      <c r="T165" s="40">
        <v>5</v>
      </c>
      <c r="U165" s="41">
        <v>4</v>
      </c>
      <c r="V165" s="40">
        <v>5</v>
      </c>
      <c r="W165" s="40">
        <v>5</v>
      </c>
      <c r="X165" s="40">
        <v>1</v>
      </c>
      <c r="Y165" s="41">
        <v>1</v>
      </c>
      <c r="Z165" s="40" t="s">
        <v>45</v>
      </c>
      <c r="AA165" s="40" t="s">
        <v>45</v>
      </c>
      <c r="AB165" s="40" t="s">
        <v>45</v>
      </c>
      <c r="AC165" s="40" t="s">
        <v>45</v>
      </c>
      <c r="AD165" s="40">
        <v>2</v>
      </c>
      <c r="AE165" s="40" t="s">
        <v>45</v>
      </c>
      <c r="AF165" s="40" t="s">
        <v>45</v>
      </c>
      <c r="AG165" s="41">
        <v>1</v>
      </c>
      <c r="AH165" s="40">
        <v>5</v>
      </c>
      <c r="AI165" s="40">
        <v>1</v>
      </c>
      <c r="AJ165" s="41">
        <v>1</v>
      </c>
      <c r="AK165" s="43" t="s">
        <v>644</v>
      </c>
      <c r="AL165" s="43"/>
      <c r="AM165" s="44">
        <f t="shared" si="15"/>
        <v>-1.8605124261753858</v>
      </c>
      <c r="AN165" s="44">
        <f t="shared" si="16"/>
        <v>-0.31848599482605983</v>
      </c>
      <c r="AO165" s="45">
        <f t="shared" si="17"/>
        <v>0</v>
      </c>
      <c r="AP165" s="46">
        <f t="shared" si="18"/>
        <v>0</v>
      </c>
      <c r="AQ165" s="44">
        <f>($AM$3*AM165+$AN$3*AN165+$AO$3*AO165+$AP$3*AP165)+$I$3*VLOOKUP(I165,COND!$A$2:$E$7,4,FALSE)+$J$3*VLOOKUP(J165,COND!$A$2:$C$7,2,FALSE)+$K$3*VLOOKUP(K165,COND!$A$2:$C$7,3,FALSE)+IF(AND($B$2&gt;0,$E165&lt;20),$B$2*25,0)</f>
        <v>45.992116819469743</v>
      </c>
      <c r="AR165" s="47">
        <f t="shared" si="19"/>
        <v>0.41241383622046035</v>
      </c>
      <c r="AS165" s="45" t="str">
        <f t="shared" si="20"/>
        <v>SS</v>
      </c>
      <c r="AT165" s="45">
        <f>RANK(Batters[[#This Row],[zScore]],Batters[[#All],[zScore]])</f>
        <v>161</v>
      </c>
      <c r="AU165" s="45"/>
      <c r="AV165" s="45"/>
      <c r="AW165" s="45" t="str">
        <f t="shared" si="21"/>
        <v>Unlikely</v>
      </c>
      <c r="AX165" s="45"/>
      <c r="AY165" s="64" t="str">
        <f>INDEX(Table5[[#All],[Ovr]],MATCH(Batters[[#This Row],[PID]],Table5[[#All],[PID]],0))</f>
        <v/>
      </c>
      <c r="AZ165" s="64" t="str">
        <f>INDEX(Table5[[#All],[Rnd]],MATCH(Batters[[#This Row],[PID]],Table5[[#All],[PID]],0))</f>
        <v/>
      </c>
      <c r="BA165" s="64" t="str">
        <f>INDEX(Table5[[#All],[Pick]],MATCH(Batters[[#This Row],[PID]],Table5[[#All],[PID]],0))</f>
        <v/>
      </c>
      <c r="BB165" s="64" t="str">
        <f>INDEX(Table5[[#All],[Team]],MATCH(Batters[[#This Row],[PID]],Table5[[#All],[PID]],0))</f>
        <v/>
      </c>
    </row>
    <row r="166" spans="1:54" ht="15" customHeight="1" x14ac:dyDescent="0.25">
      <c r="A166" s="40">
        <v>18287</v>
      </c>
      <c r="B166" s="40" t="s">
        <v>66</v>
      </c>
      <c r="C166" s="40" t="s">
        <v>128</v>
      </c>
      <c r="D166" s="40" t="s">
        <v>804</v>
      </c>
      <c r="E166" s="40">
        <v>21</v>
      </c>
      <c r="F166" s="40" t="s">
        <v>53</v>
      </c>
      <c r="G166" s="40" t="s">
        <v>53</v>
      </c>
      <c r="H166" s="41" t="s">
        <v>634</v>
      </c>
      <c r="I166" s="65" t="s">
        <v>43</v>
      </c>
      <c r="J166" s="66" t="s">
        <v>43</v>
      </c>
      <c r="K166" s="67" t="s">
        <v>43</v>
      </c>
      <c r="L166" s="40">
        <v>3</v>
      </c>
      <c r="M166" s="40">
        <v>4</v>
      </c>
      <c r="N166" s="40">
        <v>3</v>
      </c>
      <c r="O166" s="40">
        <v>4</v>
      </c>
      <c r="P166" s="41">
        <v>4</v>
      </c>
      <c r="Q166" s="40">
        <v>4</v>
      </c>
      <c r="R166" s="40">
        <v>6</v>
      </c>
      <c r="S166" s="40">
        <v>5</v>
      </c>
      <c r="T166" s="40">
        <v>6</v>
      </c>
      <c r="U166" s="41">
        <v>5</v>
      </c>
      <c r="V166" s="40">
        <v>9</v>
      </c>
      <c r="W166" s="40">
        <v>10</v>
      </c>
      <c r="X166" s="40">
        <v>1</v>
      </c>
      <c r="Y166" s="41">
        <v>1</v>
      </c>
      <c r="Z166" s="40" t="s">
        <v>45</v>
      </c>
      <c r="AA166" s="40" t="s">
        <v>45</v>
      </c>
      <c r="AB166" s="40" t="s">
        <v>45</v>
      </c>
      <c r="AC166" s="40" t="s">
        <v>45</v>
      </c>
      <c r="AD166" s="40" t="s">
        <v>45</v>
      </c>
      <c r="AE166" s="40" t="s">
        <v>45</v>
      </c>
      <c r="AF166" s="40" t="s">
        <v>45</v>
      </c>
      <c r="AG166" s="41">
        <v>3</v>
      </c>
      <c r="AH166" s="40">
        <v>4</v>
      </c>
      <c r="AI166" s="40">
        <v>6</v>
      </c>
      <c r="AJ166" s="41">
        <v>6</v>
      </c>
      <c r="AK166" s="43" t="s">
        <v>45</v>
      </c>
      <c r="AL166" s="43" t="s">
        <v>635</v>
      </c>
      <c r="AM166" s="44">
        <f t="shared" si="15"/>
        <v>-0.7307513810383155</v>
      </c>
      <c r="AN166" s="44">
        <f t="shared" si="16"/>
        <v>7.9482642285814642E-2</v>
      </c>
      <c r="AO166" s="45">
        <f t="shared" si="17"/>
        <v>0</v>
      </c>
      <c r="AP166" s="46">
        <f t="shared" si="18"/>
        <v>0</v>
      </c>
      <c r="AQ166" s="44">
        <f>($AM$3*AM166+$AN$3*AN166+$AO$3*AO166+$AP$3*AP166)+$I$3*VLOOKUP(I166,COND!$A$2:$E$7,4,FALSE)+$J$3*VLOOKUP(J166,COND!$A$2:$C$7,2,FALSE)+$K$3*VLOOKUP(K166,COND!$A$2:$C$7,3,FALSE)+IF(AND($B$2&gt;0,$E166&lt;20),$B$2*25,0)</f>
        <v>45.880716569325941</v>
      </c>
      <c r="AR166" s="47">
        <f t="shared" si="19"/>
        <v>0.3877156477677719</v>
      </c>
      <c r="AS166" s="45" t="str">
        <f t="shared" si="20"/>
        <v>RF</v>
      </c>
      <c r="AT166" s="45">
        <f>RANK(Batters[[#This Row],[zScore]],Batters[[#All],[zScore]])</f>
        <v>162</v>
      </c>
      <c r="AU166" s="45"/>
      <c r="AV166" s="45"/>
      <c r="AW166" s="45" t="str">
        <f t="shared" si="21"/>
        <v>Unlikely</v>
      </c>
      <c r="AX166" s="45"/>
      <c r="AY166" s="45">
        <f>INDEX(Table5[[#All],[Ovr]],MATCH(Batters[[#This Row],[PID]],Table5[[#All],[PID]],0))</f>
        <v>283</v>
      </c>
      <c r="AZ166" s="45" t="str">
        <f>INDEX(Table5[[#All],[Rnd]],MATCH(Batters[[#This Row],[PID]],Table5[[#All],[PID]],0))</f>
        <v>10</v>
      </c>
      <c r="BA166" s="45">
        <f>INDEX(Table5[[#All],[Pick]],MATCH(Batters[[#This Row],[PID]],Table5[[#All],[PID]],0))</f>
        <v>5</v>
      </c>
      <c r="BB166" s="45" t="str">
        <f>INDEX(Table5[[#All],[Team]],MATCH(Batters[[#This Row],[PID]],Table5[[#All],[PID]],0))</f>
        <v>Okinawa Shisa</v>
      </c>
    </row>
    <row r="167" spans="1:54" ht="15" customHeight="1" x14ac:dyDescent="0.25">
      <c r="A167" s="40">
        <v>18213</v>
      </c>
      <c r="B167" s="40" t="s">
        <v>72</v>
      </c>
      <c r="C167" s="40" t="s">
        <v>144</v>
      </c>
      <c r="D167" s="40" t="s">
        <v>1329</v>
      </c>
      <c r="E167" s="40">
        <v>18</v>
      </c>
      <c r="F167" s="40" t="s">
        <v>42</v>
      </c>
      <c r="G167" s="40" t="s">
        <v>42</v>
      </c>
      <c r="H167" s="41" t="s">
        <v>634</v>
      </c>
      <c r="I167" s="65" t="s">
        <v>43</v>
      </c>
      <c r="J167" s="66" t="s">
        <v>43</v>
      </c>
      <c r="K167" s="67" t="s">
        <v>43</v>
      </c>
      <c r="L167" s="40">
        <v>1</v>
      </c>
      <c r="M167" s="40">
        <v>1</v>
      </c>
      <c r="N167" s="40">
        <v>2</v>
      </c>
      <c r="O167" s="40">
        <v>2</v>
      </c>
      <c r="P167" s="41">
        <v>2</v>
      </c>
      <c r="Q167" s="40">
        <v>4</v>
      </c>
      <c r="R167" s="40">
        <v>3</v>
      </c>
      <c r="S167" s="40">
        <v>3</v>
      </c>
      <c r="T167" s="40">
        <v>5</v>
      </c>
      <c r="U167" s="41">
        <v>5</v>
      </c>
      <c r="V167" s="40">
        <v>7</v>
      </c>
      <c r="W167" s="40">
        <v>9</v>
      </c>
      <c r="X167" s="40">
        <v>1</v>
      </c>
      <c r="Y167" s="41">
        <v>1</v>
      </c>
      <c r="Z167" s="40" t="s">
        <v>45</v>
      </c>
      <c r="AA167" s="40" t="s">
        <v>45</v>
      </c>
      <c r="AB167" s="40">
        <v>1</v>
      </c>
      <c r="AC167" s="40" t="s">
        <v>45</v>
      </c>
      <c r="AD167" s="40">
        <v>3</v>
      </c>
      <c r="AE167" s="40" t="s">
        <v>45</v>
      </c>
      <c r="AF167" s="40">
        <v>3</v>
      </c>
      <c r="AG167" s="41" t="s">
        <v>45</v>
      </c>
      <c r="AH167" s="40">
        <v>7</v>
      </c>
      <c r="AI167" s="40">
        <v>4</v>
      </c>
      <c r="AJ167" s="41">
        <v>1</v>
      </c>
      <c r="AK167" s="43" t="s">
        <v>553</v>
      </c>
      <c r="AL167" s="43" t="s">
        <v>47</v>
      </c>
      <c r="AM167" s="44">
        <f t="shared" si="15"/>
        <v>-1.871555965977006</v>
      </c>
      <c r="AN167" s="44">
        <f t="shared" si="16"/>
        <v>-0.32952953462767981</v>
      </c>
      <c r="AO167" s="45">
        <f t="shared" si="17"/>
        <v>0</v>
      </c>
      <c r="AP167" s="46">
        <f t="shared" si="18"/>
        <v>0</v>
      </c>
      <c r="AQ167" s="44">
        <f>($AM$3*AM167+$AN$3*AN167+$AO$3*AO167+$AP$3*AP167)+$I$3*VLOOKUP(I167,COND!$A$2:$E$7,4,FALSE)+$J$3*VLOOKUP(J167,COND!$A$2:$C$7,2,FALSE)+$K$3*VLOOKUP(K167,COND!$A$2:$C$7,3,FALSE)+IF(AND($B$2&gt;0,$E167&lt;20),$B$2*25,0)</f>
        <v>45.858489987870144</v>
      </c>
      <c r="AR167" s="47">
        <f t="shared" si="19"/>
        <v>0.38278786442127422</v>
      </c>
      <c r="AS167" s="45" t="str">
        <f t="shared" si="20"/>
        <v>SS</v>
      </c>
      <c r="AT167" s="45">
        <f>RANK(Batters[[#This Row],[zScore]],Batters[[#All],[zScore]])</f>
        <v>163</v>
      </c>
      <c r="AU167" s="45"/>
      <c r="AV167" s="45"/>
      <c r="AW167" s="45" t="str">
        <f t="shared" si="21"/>
        <v>Unlikely</v>
      </c>
      <c r="AX167" s="45"/>
      <c r="AY167" s="45">
        <f>INDEX(Table5[[#All],[Ovr]],MATCH(Batters[[#This Row],[PID]],Table5[[#All],[PID]],0))</f>
        <v>442</v>
      </c>
      <c r="AZ167" s="45" t="str">
        <f>INDEX(Table5[[#All],[Rnd]],MATCH(Batters[[#This Row],[PID]],Table5[[#All],[PID]],0))</f>
        <v>15</v>
      </c>
      <c r="BA167" s="45">
        <f>INDEX(Table5[[#All],[Pick]],MATCH(Batters[[#This Row],[PID]],Table5[[#All],[PID]],0))</f>
        <v>14</v>
      </c>
      <c r="BB167" s="45" t="str">
        <f>INDEX(Table5[[#All],[Team]],MATCH(Batters[[#This Row],[PID]],Table5[[#All],[PID]],0))</f>
        <v>Arlington Bureaucrats</v>
      </c>
    </row>
    <row r="168" spans="1:54" ht="15" customHeight="1" x14ac:dyDescent="0.25">
      <c r="A168" s="40">
        <v>17855</v>
      </c>
      <c r="B168" s="40" t="s">
        <v>66</v>
      </c>
      <c r="C168" s="40" t="s">
        <v>341</v>
      </c>
      <c r="D168" s="40" t="s">
        <v>1506</v>
      </c>
      <c r="E168" s="40">
        <v>18</v>
      </c>
      <c r="F168" s="40" t="s">
        <v>53</v>
      </c>
      <c r="G168" s="40" t="s">
        <v>42</v>
      </c>
      <c r="H168" s="41" t="s">
        <v>638</v>
      </c>
      <c r="I168" s="65" t="s">
        <v>44</v>
      </c>
      <c r="J168" s="66" t="s">
        <v>47</v>
      </c>
      <c r="K168" s="67" t="s">
        <v>43</v>
      </c>
      <c r="L168" s="40">
        <v>1</v>
      </c>
      <c r="M168" s="40">
        <v>1</v>
      </c>
      <c r="N168" s="40">
        <v>2</v>
      </c>
      <c r="O168" s="40">
        <v>1</v>
      </c>
      <c r="P168" s="41">
        <v>1</v>
      </c>
      <c r="Q168" s="40">
        <v>4</v>
      </c>
      <c r="R168" s="40">
        <v>4</v>
      </c>
      <c r="S168" s="40">
        <v>2</v>
      </c>
      <c r="T168" s="40">
        <v>5</v>
      </c>
      <c r="U168" s="41">
        <v>4</v>
      </c>
      <c r="V168" s="40">
        <v>6</v>
      </c>
      <c r="W168" s="40">
        <v>10</v>
      </c>
      <c r="X168" s="40">
        <v>1</v>
      </c>
      <c r="Y168" s="41">
        <v>1</v>
      </c>
      <c r="Z168" s="40" t="s">
        <v>45</v>
      </c>
      <c r="AA168" s="40" t="s">
        <v>45</v>
      </c>
      <c r="AB168" s="40" t="s">
        <v>45</v>
      </c>
      <c r="AC168" s="40" t="s">
        <v>45</v>
      </c>
      <c r="AD168" s="40">
        <v>1</v>
      </c>
      <c r="AE168" s="40" t="s">
        <v>45</v>
      </c>
      <c r="AF168" s="40" t="s">
        <v>45</v>
      </c>
      <c r="AG168" s="41">
        <v>4</v>
      </c>
      <c r="AH168" s="40">
        <v>7</v>
      </c>
      <c r="AI168" s="40">
        <v>8</v>
      </c>
      <c r="AJ168" s="41">
        <v>9</v>
      </c>
      <c r="AK168" s="43" t="s">
        <v>670</v>
      </c>
      <c r="AL168" s="43" t="s">
        <v>47</v>
      </c>
      <c r="AM168" s="44">
        <f t="shared" si="15"/>
        <v>-2.0012818558036707</v>
      </c>
      <c r="AN168" s="44">
        <f t="shared" si="16"/>
        <v>-0.40154748884996139</v>
      </c>
      <c r="AO168" s="45">
        <f t="shared" si="17"/>
        <v>4</v>
      </c>
      <c r="AP168" s="46">
        <f t="shared" si="18"/>
        <v>0</v>
      </c>
      <c r="AQ168" s="44">
        <f>($AM$3*AM168+$AN$3*AN168+$AO$3*AO168+$AP$3*AP168)+$I$3*VLOOKUP(I168,COND!$A$2:$E$7,4,FALSE)+$J$3*VLOOKUP(J168,COND!$A$2:$C$7,2,FALSE)+$K$3*VLOOKUP(K168,COND!$A$2:$C$7,3,FALSE)+IF(AND($B$2&gt;0,$E168&lt;20),$B$2*25,0)</f>
        <v>45.797968614886763</v>
      </c>
      <c r="AR168" s="47">
        <f t="shared" si="19"/>
        <v>0.36936986694434354</v>
      </c>
      <c r="AS168" s="45" t="str">
        <f t="shared" si="20"/>
        <v>SS</v>
      </c>
      <c r="AT168" s="45">
        <f>RANK(Batters[[#This Row],[zScore]],Batters[[#All],[zScore]])</f>
        <v>164</v>
      </c>
      <c r="AU168" s="45"/>
      <c r="AV168" s="45"/>
      <c r="AW168" s="45" t="str">
        <f t="shared" si="21"/>
        <v>Unlikely</v>
      </c>
      <c r="AX168" s="45"/>
      <c r="AY168" s="45">
        <f>INDEX(Table5[[#All],[Ovr]],MATCH(Batters[[#This Row],[PID]],Table5[[#All],[PID]],0))</f>
        <v>304</v>
      </c>
      <c r="AZ168" s="45" t="str">
        <f>INDEX(Table5[[#All],[Rnd]],MATCH(Batters[[#This Row],[PID]],Table5[[#All],[PID]],0))</f>
        <v>10</v>
      </c>
      <c r="BA168" s="45">
        <f>INDEX(Table5[[#All],[Pick]],MATCH(Batters[[#This Row],[PID]],Table5[[#All],[PID]],0))</f>
        <v>26</v>
      </c>
      <c r="BB168" s="45" t="str">
        <f>INDEX(Table5[[#All],[Team]],MATCH(Batters[[#This Row],[PID]],Table5[[#All],[PID]],0))</f>
        <v>Aurora Borealis</v>
      </c>
    </row>
    <row r="169" spans="1:54" ht="15" customHeight="1" x14ac:dyDescent="0.25">
      <c r="A169" s="40">
        <v>18134</v>
      </c>
      <c r="B169" s="40" t="s">
        <v>86</v>
      </c>
      <c r="C169" s="40" t="s">
        <v>140</v>
      </c>
      <c r="D169" s="40" t="s">
        <v>733</v>
      </c>
      <c r="E169" s="40">
        <v>21</v>
      </c>
      <c r="F169" s="40" t="s">
        <v>42</v>
      </c>
      <c r="G169" s="40" t="s">
        <v>42</v>
      </c>
      <c r="H169" s="41" t="s">
        <v>633</v>
      </c>
      <c r="I169" s="65" t="s">
        <v>43</v>
      </c>
      <c r="J169" s="66" t="s">
        <v>43</v>
      </c>
      <c r="K169" s="67" t="s">
        <v>43</v>
      </c>
      <c r="L169" s="40">
        <v>3</v>
      </c>
      <c r="M169" s="40">
        <v>3</v>
      </c>
      <c r="N169" s="40">
        <v>3</v>
      </c>
      <c r="O169" s="40">
        <v>3</v>
      </c>
      <c r="P169" s="41">
        <v>2</v>
      </c>
      <c r="Q169" s="40">
        <v>4</v>
      </c>
      <c r="R169" s="40">
        <v>6</v>
      </c>
      <c r="S169" s="40">
        <v>6</v>
      </c>
      <c r="T169" s="40">
        <v>5</v>
      </c>
      <c r="U169" s="41">
        <v>5</v>
      </c>
      <c r="V169" s="40">
        <v>2</v>
      </c>
      <c r="W169" s="40">
        <v>1</v>
      </c>
      <c r="X169" s="40">
        <v>4</v>
      </c>
      <c r="Y169" s="41">
        <v>9</v>
      </c>
      <c r="Z169" s="40">
        <v>3</v>
      </c>
      <c r="AA169" s="40" t="s">
        <v>45</v>
      </c>
      <c r="AB169" s="40" t="s">
        <v>45</v>
      </c>
      <c r="AC169" s="40" t="s">
        <v>45</v>
      </c>
      <c r="AD169" s="40" t="s">
        <v>45</v>
      </c>
      <c r="AE169" s="40" t="s">
        <v>45</v>
      </c>
      <c r="AF169" s="40" t="s">
        <v>45</v>
      </c>
      <c r="AG169" s="41" t="s">
        <v>45</v>
      </c>
      <c r="AH169" s="40">
        <v>1</v>
      </c>
      <c r="AI169" s="40">
        <v>2</v>
      </c>
      <c r="AJ169" s="41">
        <v>2</v>
      </c>
      <c r="AK169" s="43" t="s">
        <v>1176</v>
      </c>
      <c r="AL169" s="43" t="s">
        <v>47</v>
      </c>
      <c r="AM169" s="44">
        <f t="shared" si="15"/>
        <v>-0.95155349030076708</v>
      </c>
      <c r="AN169" s="44">
        <f t="shared" si="16"/>
        <v>7.2834586300135104E-2</v>
      </c>
      <c r="AO169" s="45">
        <f t="shared" si="17"/>
        <v>0</v>
      </c>
      <c r="AP169" s="46">
        <f t="shared" si="18"/>
        <v>0</v>
      </c>
      <c r="AQ169" s="44">
        <f>($AM$3*AM169+$AN$3*AN169+$AO$3*AO169+$AP$3*AP169)+$I$3*VLOOKUP(I169,COND!$A$2:$E$7,4,FALSE)+$J$3*VLOOKUP(J169,COND!$A$2:$C$7,2,FALSE)+$K$3*VLOOKUP(K169,COND!$A$2:$C$7,3,FALSE)+IF(AND($B$2&gt;0,$E169&lt;20),$B$2*25,0)</f>
        <v>45.778859686571543</v>
      </c>
      <c r="AR169" s="47">
        <f t="shared" si="19"/>
        <v>0.36513328837249137</v>
      </c>
      <c r="AS169" s="45" t="str">
        <f t="shared" si="20"/>
        <v>C</v>
      </c>
      <c r="AT169" s="45">
        <f>RANK(Batters[[#This Row],[zScore]],Batters[[#All],[zScore]])</f>
        <v>165</v>
      </c>
      <c r="AU169" s="45"/>
      <c r="AV169" s="45"/>
      <c r="AW169" s="45" t="str">
        <f t="shared" si="21"/>
        <v>Unlikely</v>
      </c>
      <c r="AX169" s="45"/>
      <c r="AY169" s="45">
        <f>INDEX(Table5[[#All],[Ovr]],MATCH(Batters[[#This Row],[PID]],Table5[[#All],[PID]],0))</f>
        <v>52</v>
      </c>
      <c r="AZ169" s="45" t="str">
        <f>INDEX(Table5[[#All],[Rnd]],MATCH(Batters[[#This Row],[PID]],Table5[[#All],[PID]],0))</f>
        <v>2</v>
      </c>
      <c r="BA169" s="45">
        <f>INDEX(Table5[[#All],[Pick]],MATCH(Batters[[#This Row],[PID]],Table5[[#All],[PID]],0))</f>
        <v>17</v>
      </c>
      <c r="BB169" s="45" t="str">
        <f>INDEX(Table5[[#All],[Team]],MATCH(Batters[[#This Row],[PID]],Table5[[#All],[PID]],0))</f>
        <v>Kentucky Thoroughbreds</v>
      </c>
    </row>
    <row r="170" spans="1:54" ht="15" customHeight="1" x14ac:dyDescent="0.25">
      <c r="A170" s="40">
        <v>18312</v>
      </c>
      <c r="B170" s="40" t="s">
        <v>69</v>
      </c>
      <c r="C170" s="40" t="s">
        <v>1162</v>
      </c>
      <c r="D170" s="40" t="s">
        <v>1163</v>
      </c>
      <c r="E170" s="40">
        <v>21</v>
      </c>
      <c r="F170" s="40" t="s">
        <v>62</v>
      </c>
      <c r="G170" s="40" t="s">
        <v>42</v>
      </c>
      <c r="H170" s="41" t="s">
        <v>633</v>
      </c>
      <c r="I170" s="65" t="s">
        <v>43</v>
      </c>
      <c r="J170" s="66" t="s">
        <v>43</v>
      </c>
      <c r="K170" s="67" t="s">
        <v>44</v>
      </c>
      <c r="L170" s="40">
        <v>3</v>
      </c>
      <c r="M170" s="40">
        <v>5</v>
      </c>
      <c r="N170" s="40">
        <v>4</v>
      </c>
      <c r="O170" s="40">
        <v>4</v>
      </c>
      <c r="P170" s="41">
        <v>1</v>
      </c>
      <c r="Q170" s="40">
        <v>4</v>
      </c>
      <c r="R170" s="40">
        <v>6</v>
      </c>
      <c r="S170" s="40">
        <v>6</v>
      </c>
      <c r="T170" s="40">
        <v>5</v>
      </c>
      <c r="U170" s="41">
        <v>4</v>
      </c>
      <c r="V170" s="40">
        <v>10</v>
      </c>
      <c r="W170" s="40">
        <v>10</v>
      </c>
      <c r="X170" s="40">
        <v>2</v>
      </c>
      <c r="Y170" s="41">
        <v>1</v>
      </c>
      <c r="Z170" s="40" t="s">
        <v>45</v>
      </c>
      <c r="AA170" s="40" t="s">
        <v>45</v>
      </c>
      <c r="AB170" s="40" t="s">
        <v>45</v>
      </c>
      <c r="AC170" s="40">
        <v>7</v>
      </c>
      <c r="AD170" s="40" t="s">
        <v>45</v>
      </c>
      <c r="AE170" s="40" t="s">
        <v>45</v>
      </c>
      <c r="AF170" s="40" t="s">
        <v>45</v>
      </c>
      <c r="AG170" s="41" t="s">
        <v>45</v>
      </c>
      <c r="AH170" s="40">
        <v>4</v>
      </c>
      <c r="AI170" s="40">
        <v>4</v>
      </c>
      <c r="AJ170" s="41">
        <v>5</v>
      </c>
      <c r="AK170" s="43" t="s">
        <v>643</v>
      </c>
      <c r="AL170" s="43" t="s">
        <v>47</v>
      </c>
      <c r="AM170" s="44">
        <f t="shared" si="15"/>
        <v>-0.71667902684696083</v>
      </c>
      <c r="AN170" s="44">
        <f t="shared" si="16"/>
        <v>3.281824648305165E-2</v>
      </c>
      <c r="AO170" s="45">
        <f t="shared" si="17"/>
        <v>0</v>
      </c>
      <c r="AP170" s="46">
        <f t="shared" si="18"/>
        <v>0.75</v>
      </c>
      <c r="AQ170" s="44">
        <f>($AM$3*AM170+$AN$3*AN170+$AO$3*AO170+$AP$3*AP170)+$I$3*VLOOKUP(I170,COND!$A$2:$E$7,4,FALSE)+$J$3*VLOOKUP(J170,COND!$A$2:$C$7,2,FALSE)+$K$3*VLOOKUP(K170,COND!$A$2:$C$7,3,FALSE)+IF(AND($B$2&gt;0,$E170&lt;20),$B$2*25,0)</f>
        <v>45.77215105511192</v>
      </c>
      <c r="AR170" s="47">
        <f t="shared" si="19"/>
        <v>0.36364593943175255</v>
      </c>
      <c r="AS170" s="45" t="str">
        <f t="shared" si="20"/>
        <v>3B</v>
      </c>
      <c r="AT170" s="45">
        <f>RANK(Batters[[#This Row],[zScore]],Batters[[#All],[zScore]])</f>
        <v>166</v>
      </c>
      <c r="AU170" s="45"/>
      <c r="AV170" s="45"/>
      <c r="AW170" s="45" t="str">
        <f t="shared" si="21"/>
        <v>Unlikely</v>
      </c>
      <c r="AX170" s="45"/>
      <c r="AY170" s="45">
        <f>INDEX(Table5[[#All],[Ovr]],MATCH(Batters[[#This Row],[PID]],Table5[[#All],[PID]],0))</f>
        <v>60</v>
      </c>
      <c r="AZ170" s="45" t="str">
        <f>INDEX(Table5[[#All],[Rnd]],MATCH(Batters[[#This Row],[PID]],Table5[[#All],[PID]],0))</f>
        <v>2</v>
      </c>
      <c r="BA170" s="45">
        <f>INDEX(Table5[[#All],[Pick]],MATCH(Batters[[#This Row],[PID]],Table5[[#All],[PID]],0))</f>
        <v>25</v>
      </c>
      <c r="BB170" s="45" t="str">
        <f>INDEX(Table5[[#All],[Team]],MATCH(Batters[[#This Row],[PID]],Table5[[#All],[PID]],0))</f>
        <v>Yuma Arroyos</v>
      </c>
    </row>
    <row r="171" spans="1:54" ht="15" customHeight="1" x14ac:dyDescent="0.25">
      <c r="A171" s="40">
        <v>20965</v>
      </c>
      <c r="B171" s="40" t="s">
        <v>87</v>
      </c>
      <c r="C171" s="40" t="s">
        <v>128</v>
      </c>
      <c r="D171" s="40" t="s">
        <v>772</v>
      </c>
      <c r="E171" s="40">
        <v>18</v>
      </c>
      <c r="F171" s="40" t="s">
        <v>42</v>
      </c>
      <c r="G171" s="40" t="s">
        <v>42</v>
      </c>
      <c r="H171" s="41" t="s">
        <v>638</v>
      </c>
      <c r="I171" s="65" t="s">
        <v>44</v>
      </c>
      <c r="J171" s="66" t="s">
        <v>43</v>
      </c>
      <c r="K171" s="67" t="s">
        <v>43</v>
      </c>
      <c r="L171" s="40">
        <v>1</v>
      </c>
      <c r="M171" s="40">
        <v>2</v>
      </c>
      <c r="N171" s="40">
        <v>3</v>
      </c>
      <c r="O171" s="40">
        <v>2</v>
      </c>
      <c r="P171" s="41">
        <v>1</v>
      </c>
      <c r="Q171" s="40">
        <v>3</v>
      </c>
      <c r="R171" s="40">
        <v>6</v>
      </c>
      <c r="S171" s="40">
        <v>6</v>
      </c>
      <c r="T171" s="40">
        <v>5</v>
      </c>
      <c r="U171" s="41">
        <v>3</v>
      </c>
      <c r="V171" s="40">
        <v>1</v>
      </c>
      <c r="W171" s="40">
        <v>3</v>
      </c>
      <c r="X171" s="40">
        <v>1</v>
      </c>
      <c r="Y171" s="41">
        <v>1</v>
      </c>
      <c r="Z171" s="40" t="s">
        <v>45</v>
      </c>
      <c r="AA171" s="40">
        <v>1</v>
      </c>
      <c r="AB171" s="40" t="s">
        <v>45</v>
      </c>
      <c r="AC171" s="40" t="s">
        <v>45</v>
      </c>
      <c r="AD171" s="40" t="s">
        <v>45</v>
      </c>
      <c r="AE171" s="40">
        <v>1</v>
      </c>
      <c r="AF171" s="40" t="s">
        <v>45</v>
      </c>
      <c r="AG171" s="41" t="s">
        <v>45</v>
      </c>
      <c r="AH171" s="40">
        <v>4</v>
      </c>
      <c r="AI171" s="40">
        <v>3</v>
      </c>
      <c r="AJ171" s="41">
        <v>3</v>
      </c>
      <c r="AK171" s="43" t="s">
        <v>657</v>
      </c>
      <c r="AL171" s="43" t="s">
        <v>635</v>
      </c>
      <c r="AM171" s="44">
        <f t="shared" si="15"/>
        <v>-1.7774509321514844</v>
      </c>
      <c r="AN171" s="44">
        <f t="shared" si="16"/>
        <v>-0.32975392953670657</v>
      </c>
      <c r="AO171" s="45">
        <f t="shared" si="17"/>
        <v>0</v>
      </c>
      <c r="AP171" s="46">
        <f t="shared" si="18"/>
        <v>0</v>
      </c>
      <c r="AQ171" s="44">
        <f>($AM$3*AM171+$AN$3*AN171+$AO$3*AO171+$AP$3*AP171)+$I$3*VLOOKUP(I171,COND!$A$2:$E$7,4,FALSE)+$J$3*VLOOKUP(J171,COND!$A$2:$C$7,2,FALSE)+$K$3*VLOOKUP(K171,COND!$A$2:$C$7,3,FALSE)+IF(AND($B$2&gt;0,$E171&lt;20),$B$2*25,0)</f>
        <v>45.715207752344369</v>
      </c>
      <c r="AR171" s="47">
        <f t="shared" si="19"/>
        <v>0.35102122430718163</v>
      </c>
      <c r="AS171" s="45" t="str">
        <f t="shared" si="20"/>
        <v>LF</v>
      </c>
      <c r="AT171" s="45">
        <f>RANK(Batters[[#This Row],[zScore]],Batters[[#All],[zScore]])</f>
        <v>167</v>
      </c>
      <c r="AU171" s="45"/>
      <c r="AV171" s="45"/>
      <c r="AW171" s="45" t="str">
        <f t="shared" si="21"/>
        <v>Unlikely</v>
      </c>
      <c r="AX171" s="45"/>
      <c r="AY171" s="45">
        <f>INDEX(Table5[[#All],[Ovr]],MATCH(Batters[[#This Row],[PID]],Table5[[#All],[PID]],0))</f>
        <v>253</v>
      </c>
      <c r="AZ171" s="45" t="str">
        <f>INDEX(Table5[[#All],[Rnd]],MATCH(Batters[[#This Row],[PID]],Table5[[#All],[PID]],0))</f>
        <v>9</v>
      </c>
      <c r="BA171" s="45">
        <f>INDEX(Table5[[#All],[Pick]],MATCH(Batters[[#This Row],[PID]],Table5[[#All],[PID]],0))</f>
        <v>5</v>
      </c>
      <c r="BB171" s="45" t="str">
        <f>INDEX(Table5[[#All],[Team]],MATCH(Batters[[#This Row],[PID]],Table5[[#All],[PID]],0))</f>
        <v>Okinawa Shisa</v>
      </c>
    </row>
    <row r="172" spans="1:54" ht="15" customHeight="1" x14ac:dyDescent="0.25">
      <c r="A172" s="40">
        <v>18248</v>
      </c>
      <c r="B172" s="40" t="s">
        <v>86</v>
      </c>
      <c r="C172" s="40" t="s">
        <v>1270</v>
      </c>
      <c r="D172" s="40" t="s">
        <v>1010</v>
      </c>
      <c r="E172" s="40">
        <v>18</v>
      </c>
      <c r="F172" s="40" t="s">
        <v>42</v>
      </c>
      <c r="G172" s="40" t="s">
        <v>42</v>
      </c>
      <c r="H172" s="41" t="s">
        <v>634</v>
      </c>
      <c r="I172" s="65" t="s">
        <v>43</v>
      </c>
      <c r="J172" s="66" t="s">
        <v>47</v>
      </c>
      <c r="K172" s="67" t="s">
        <v>43</v>
      </c>
      <c r="L172" s="40">
        <v>1</v>
      </c>
      <c r="M172" s="40">
        <v>2</v>
      </c>
      <c r="N172" s="40">
        <v>2</v>
      </c>
      <c r="O172" s="40">
        <v>1</v>
      </c>
      <c r="P172" s="41">
        <v>3</v>
      </c>
      <c r="Q172" s="40">
        <v>4</v>
      </c>
      <c r="R172" s="40">
        <v>4</v>
      </c>
      <c r="S172" s="40">
        <v>3</v>
      </c>
      <c r="T172" s="40">
        <v>4</v>
      </c>
      <c r="U172" s="41">
        <v>5</v>
      </c>
      <c r="V172" s="40">
        <v>1</v>
      </c>
      <c r="W172" s="40">
        <v>2</v>
      </c>
      <c r="X172" s="40">
        <v>3</v>
      </c>
      <c r="Y172" s="41">
        <v>8</v>
      </c>
      <c r="Z172" s="40" t="s">
        <v>45</v>
      </c>
      <c r="AA172" s="40" t="s">
        <v>45</v>
      </c>
      <c r="AB172" s="40" t="s">
        <v>45</v>
      </c>
      <c r="AC172" s="40" t="s">
        <v>45</v>
      </c>
      <c r="AD172" s="40" t="s">
        <v>45</v>
      </c>
      <c r="AE172" s="40" t="s">
        <v>45</v>
      </c>
      <c r="AF172" s="40" t="s">
        <v>45</v>
      </c>
      <c r="AG172" s="41" t="s">
        <v>45</v>
      </c>
      <c r="AH172" s="40">
        <v>3</v>
      </c>
      <c r="AI172" s="40">
        <v>2</v>
      </c>
      <c r="AJ172" s="41">
        <v>1</v>
      </c>
      <c r="AK172" s="43" t="s">
        <v>45</v>
      </c>
      <c r="AL172" s="43" t="s">
        <v>47</v>
      </c>
      <c r="AM172" s="44">
        <f t="shared" si="15"/>
        <v>-1.8701892965508</v>
      </c>
      <c r="AN172" s="44">
        <f t="shared" si="16"/>
        <v>-0.36817920501855744</v>
      </c>
      <c r="AO172" s="45">
        <f t="shared" si="17"/>
        <v>0</v>
      </c>
      <c r="AP172" s="46">
        <f t="shared" si="18"/>
        <v>0</v>
      </c>
      <c r="AQ172" s="44">
        <f>($AM$3*AM172+$AN$3*AN172+$AO$3*AO172+$AP$3*AP172)+$I$3*VLOOKUP(I172,COND!$A$2:$E$7,4,FALSE)+$J$3*VLOOKUP(J172,COND!$A$2:$C$7,2,FALSE)+$K$3*VLOOKUP(K172,COND!$A$2:$C$7,3,FALSE)+IF(AND($B$2&gt;0,$E172&lt;20),$B$2*25,0)</f>
        <v>45.694830610122231</v>
      </c>
      <c r="AR172" s="47">
        <f t="shared" si="19"/>
        <v>0.34650347413983518</v>
      </c>
      <c r="AS172" s="45" t="str">
        <f t="shared" si="20"/>
        <v>DH</v>
      </c>
      <c r="AT172" s="45">
        <f>RANK(Batters[[#This Row],[zScore]],Batters[[#All],[zScore]])</f>
        <v>168</v>
      </c>
      <c r="AU172" s="45"/>
      <c r="AV172" s="45"/>
      <c r="AW172" s="45" t="str">
        <f t="shared" si="21"/>
        <v>Unlikely</v>
      </c>
      <c r="AX172" s="45"/>
      <c r="AY172" s="45">
        <f>INDEX(Table5[[#All],[Ovr]],MATCH(Batters[[#This Row],[PID]],Table5[[#All],[PID]],0))</f>
        <v>93</v>
      </c>
      <c r="AZ172" s="45" t="str">
        <f>INDEX(Table5[[#All],[Rnd]],MATCH(Batters[[#This Row],[PID]],Table5[[#All],[PID]],0))</f>
        <v>3</v>
      </c>
      <c r="BA172" s="45">
        <f>INDEX(Table5[[#All],[Pick]],MATCH(Batters[[#This Row],[PID]],Table5[[#All],[PID]],0))</f>
        <v>25</v>
      </c>
      <c r="BB172" s="45" t="str">
        <f>INDEX(Table5[[#All],[Team]],MATCH(Batters[[#This Row],[PID]],Table5[[#All],[PID]],0))</f>
        <v>London Underground</v>
      </c>
    </row>
    <row r="173" spans="1:54" ht="15" customHeight="1" x14ac:dyDescent="0.25">
      <c r="A173" s="40">
        <v>20392</v>
      </c>
      <c r="B173" s="40" t="s">
        <v>69</v>
      </c>
      <c r="C173" s="40" t="s">
        <v>1284</v>
      </c>
      <c r="D173" s="40" t="s">
        <v>1285</v>
      </c>
      <c r="E173" s="40">
        <v>18</v>
      </c>
      <c r="F173" s="40" t="s">
        <v>42</v>
      </c>
      <c r="G173" s="40" t="s">
        <v>42</v>
      </c>
      <c r="H173" s="41" t="s">
        <v>634</v>
      </c>
      <c r="I173" s="65" t="s">
        <v>43</v>
      </c>
      <c r="J173" s="66" t="s">
        <v>47</v>
      </c>
      <c r="K173" s="67" t="s">
        <v>43</v>
      </c>
      <c r="L173" s="40">
        <v>1</v>
      </c>
      <c r="M173" s="40">
        <v>3</v>
      </c>
      <c r="N173" s="40">
        <v>4</v>
      </c>
      <c r="O173" s="40">
        <v>3</v>
      </c>
      <c r="P173" s="41">
        <v>1</v>
      </c>
      <c r="Q173" s="40">
        <v>3</v>
      </c>
      <c r="R173" s="40">
        <v>5</v>
      </c>
      <c r="S173" s="40">
        <v>6</v>
      </c>
      <c r="T173" s="40">
        <v>6</v>
      </c>
      <c r="U173" s="41">
        <v>1</v>
      </c>
      <c r="V173" s="40">
        <v>8</v>
      </c>
      <c r="W173" s="40">
        <v>8</v>
      </c>
      <c r="X173" s="40">
        <v>1</v>
      </c>
      <c r="Y173" s="41">
        <v>1</v>
      </c>
      <c r="Z173" s="40" t="s">
        <v>45</v>
      </c>
      <c r="AA173" s="40">
        <v>2</v>
      </c>
      <c r="AB173" s="40" t="s">
        <v>45</v>
      </c>
      <c r="AC173" s="40">
        <v>3</v>
      </c>
      <c r="AD173" s="40">
        <v>1</v>
      </c>
      <c r="AE173" s="40" t="s">
        <v>45</v>
      </c>
      <c r="AF173" s="40" t="s">
        <v>45</v>
      </c>
      <c r="AG173" s="41" t="s">
        <v>45</v>
      </c>
      <c r="AH173" s="40">
        <v>6</v>
      </c>
      <c r="AI173" s="40">
        <v>5</v>
      </c>
      <c r="AJ173" s="41">
        <v>4</v>
      </c>
      <c r="AK173" s="43" t="s">
        <v>573</v>
      </c>
      <c r="AL173" s="43" t="s">
        <v>47</v>
      </c>
      <c r="AM173" s="44">
        <f t="shared" si="15"/>
        <v>-1.5536200084992982</v>
      </c>
      <c r="AN173" s="44">
        <f t="shared" si="16"/>
        <v>-0.37113693877999582</v>
      </c>
      <c r="AO173" s="45">
        <f t="shared" si="17"/>
        <v>0</v>
      </c>
      <c r="AP173" s="46">
        <f t="shared" si="18"/>
        <v>0</v>
      </c>
      <c r="AQ173" s="44">
        <f>($AM$3*AM173+$AN$3*AN173+$AO$3*AO173+$AP$3*AP173)+$I$3*VLOOKUP(I173,COND!$A$2:$E$7,4,FALSE)+$J$3*VLOOKUP(J173,COND!$A$2:$C$7,2,FALSE)+$K$3*VLOOKUP(K173,COND!$A$2:$C$7,3,FALSE)+IF(AND($B$2&gt;0,$E173&lt;20),$B$2*25,0)</f>
        <v>45.69099473379012</v>
      </c>
      <c r="AR173" s="47">
        <f t="shared" si="19"/>
        <v>0.34565303442888839</v>
      </c>
      <c r="AS173" s="45" t="str">
        <f t="shared" si="20"/>
        <v>3B</v>
      </c>
      <c r="AT173" s="45">
        <f>RANK(Batters[[#This Row],[zScore]],Batters[[#All],[zScore]])</f>
        <v>169</v>
      </c>
      <c r="AU173" s="45"/>
      <c r="AV173" s="45"/>
      <c r="AW173" s="45" t="str">
        <f t="shared" si="21"/>
        <v>Unlikely</v>
      </c>
      <c r="AX173" s="45"/>
      <c r="AY173" s="45">
        <f>INDEX(Table5[[#All],[Ovr]],MATCH(Batters[[#This Row],[PID]],Table5[[#All],[PID]],0))</f>
        <v>497</v>
      </c>
      <c r="AZ173" s="45" t="str">
        <f>INDEX(Table5[[#All],[Rnd]],MATCH(Batters[[#This Row],[PID]],Table5[[#All],[PID]],0))</f>
        <v>17</v>
      </c>
      <c r="BA173" s="45">
        <f>INDEX(Table5[[#All],[Pick]],MATCH(Batters[[#This Row],[PID]],Table5[[#All],[PID]],0))</f>
        <v>9</v>
      </c>
      <c r="BB173" s="45" t="str">
        <f>INDEX(Table5[[#All],[Team]],MATCH(Batters[[#This Row],[PID]],Table5[[#All],[PID]],0))</f>
        <v>Scottish Claymores</v>
      </c>
    </row>
    <row r="174" spans="1:54" ht="15" customHeight="1" x14ac:dyDescent="0.25">
      <c r="A174" s="40">
        <v>20413</v>
      </c>
      <c r="B174" s="40" t="s">
        <v>86</v>
      </c>
      <c r="C174" s="40" t="s">
        <v>388</v>
      </c>
      <c r="D174" s="40" t="s">
        <v>1240</v>
      </c>
      <c r="E174" s="40">
        <v>19</v>
      </c>
      <c r="F174" s="40" t="s">
        <v>42</v>
      </c>
      <c r="G174" s="40" t="s">
        <v>42</v>
      </c>
      <c r="H174" s="41" t="s">
        <v>634</v>
      </c>
      <c r="I174" s="65" t="s">
        <v>43</v>
      </c>
      <c r="J174" s="66" t="s">
        <v>43</v>
      </c>
      <c r="K174" s="67" t="s">
        <v>47</v>
      </c>
      <c r="L174" s="40">
        <v>1</v>
      </c>
      <c r="M174" s="40">
        <v>3</v>
      </c>
      <c r="N174" s="40">
        <v>3</v>
      </c>
      <c r="O174" s="40">
        <v>3</v>
      </c>
      <c r="P174" s="41">
        <v>1</v>
      </c>
      <c r="Q174" s="40">
        <v>3</v>
      </c>
      <c r="R174" s="40">
        <v>5</v>
      </c>
      <c r="S174" s="40">
        <v>5</v>
      </c>
      <c r="T174" s="40">
        <v>6</v>
      </c>
      <c r="U174" s="41">
        <v>3</v>
      </c>
      <c r="V174" s="40">
        <v>3</v>
      </c>
      <c r="W174" s="40">
        <v>3</v>
      </c>
      <c r="X174" s="40">
        <v>4</v>
      </c>
      <c r="Y174" s="41">
        <v>7</v>
      </c>
      <c r="Z174" s="40">
        <v>2</v>
      </c>
      <c r="AA174" s="40">
        <v>1</v>
      </c>
      <c r="AB174" s="40" t="s">
        <v>45</v>
      </c>
      <c r="AC174" s="40" t="s">
        <v>45</v>
      </c>
      <c r="AD174" s="40" t="s">
        <v>45</v>
      </c>
      <c r="AE174" s="40" t="s">
        <v>45</v>
      </c>
      <c r="AF174" s="40" t="s">
        <v>45</v>
      </c>
      <c r="AG174" s="41" t="s">
        <v>45</v>
      </c>
      <c r="AH174" s="40">
        <v>1</v>
      </c>
      <c r="AI174" s="40">
        <v>1</v>
      </c>
      <c r="AJ174" s="41">
        <v>1</v>
      </c>
      <c r="AK174" s="43" t="s">
        <v>656</v>
      </c>
      <c r="AL174" s="43" t="s">
        <v>635</v>
      </c>
      <c r="AM174" s="44">
        <f t="shared" si="15"/>
        <v>-1.6366815025231998</v>
      </c>
      <c r="AN174" s="44">
        <f t="shared" si="16"/>
        <v>-0.3741657531697305</v>
      </c>
      <c r="AO174" s="45">
        <f t="shared" si="17"/>
        <v>0</v>
      </c>
      <c r="AP174" s="46">
        <f t="shared" si="18"/>
        <v>0</v>
      </c>
      <c r="AQ174" s="44">
        <f>($AM$3*AM174+$AN$3*AN174+$AO$3*AO174+$AP$3*AP174)+$I$3*VLOOKUP(I174,COND!$A$2:$E$7,4,FALSE)+$J$3*VLOOKUP(J174,COND!$A$2:$C$7,2,FALSE)+$K$3*VLOOKUP(K174,COND!$A$2:$C$7,3,FALSE)+IF(AND($B$2&gt;0,$E174&lt;20),$B$2*25,0)</f>
        <v>45.646342811710909</v>
      </c>
      <c r="AR174" s="47">
        <f t="shared" si="19"/>
        <v>0.33575340148494504</v>
      </c>
      <c r="AS174" s="45" t="str">
        <f t="shared" si="20"/>
        <v>C</v>
      </c>
      <c r="AT174" s="45">
        <f>RANK(Batters[[#This Row],[zScore]],Batters[[#All],[zScore]])</f>
        <v>170</v>
      </c>
      <c r="AU174" s="45"/>
      <c r="AV174" s="45"/>
      <c r="AW174" s="45" t="str">
        <f t="shared" si="21"/>
        <v>Unlikely</v>
      </c>
      <c r="AX174" s="45"/>
      <c r="AY174" s="45">
        <f>INDEX(Table5[[#All],[Ovr]],MATCH(Batters[[#This Row],[PID]],Table5[[#All],[PID]],0))</f>
        <v>231</v>
      </c>
      <c r="AZ174" s="45" t="str">
        <f>INDEX(Table5[[#All],[Rnd]],MATCH(Batters[[#This Row],[PID]],Table5[[#All],[PID]],0))</f>
        <v>8</v>
      </c>
      <c r="BA174" s="45">
        <f>INDEX(Table5[[#All],[Pick]],MATCH(Batters[[#This Row],[PID]],Table5[[#All],[PID]],0))</f>
        <v>13</v>
      </c>
      <c r="BB174" s="45" t="str">
        <f>INDEX(Table5[[#All],[Team]],MATCH(Batters[[#This Row],[PID]],Table5[[#All],[PID]],0))</f>
        <v>Reno Zephyrs</v>
      </c>
    </row>
    <row r="175" spans="1:54" ht="15" customHeight="1" x14ac:dyDescent="0.25">
      <c r="A175" s="40">
        <v>20858</v>
      </c>
      <c r="B175" s="40" t="s">
        <v>71</v>
      </c>
      <c r="C175" s="40" t="s">
        <v>192</v>
      </c>
      <c r="D175" s="40" t="s">
        <v>1520</v>
      </c>
      <c r="E175" s="40">
        <v>18</v>
      </c>
      <c r="F175" s="40" t="s">
        <v>42</v>
      </c>
      <c r="G175" s="40" t="s">
        <v>42</v>
      </c>
      <c r="H175" s="41" t="s">
        <v>638</v>
      </c>
      <c r="I175" s="65" t="s">
        <v>43</v>
      </c>
      <c r="J175" s="66" t="s">
        <v>44</v>
      </c>
      <c r="K175" s="67" t="s">
        <v>43</v>
      </c>
      <c r="L175" s="40">
        <v>1</v>
      </c>
      <c r="M175" s="40">
        <v>4</v>
      </c>
      <c r="N175" s="40">
        <v>2</v>
      </c>
      <c r="O175" s="40">
        <v>2</v>
      </c>
      <c r="P175" s="41">
        <v>1</v>
      </c>
      <c r="Q175" s="40">
        <v>3</v>
      </c>
      <c r="R175" s="40">
        <v>8</v>
      </c>
      <c r="S175" s="40">
        <v>2</v>
      </c>
      <c r="T175" s="40">
        <v>7</v>
      </c>
      <c r="U175" s="41">
        <v>3</v>
      </c>
      <c r="V175" s="40">
        <v>7</v>
      </c>
      <c r="W175" s="40">
        <v>6</v>
      </c>
      <c r="X175" s="40">
        <v>1</v>
      </c>
      <c r="Y175" s="41">
        <v>1</v>
      </c>
      <c r="Z175" s="40" t="s">
        <v>45</v>
      </c>
      <c r="AA175" s="40" t="s">
        <v>45</v>
      </c>
      <c r="AB175" s="40">
        <v>1</v>
      </c>
      <c r="AC175" s="40">
        <v>1</v>
      </c>
      <c r="AD175" s="40" t="s">
        <v>45</v>
      </c>
      <c r="AE175" s="40" t="s">
        <v>45</v>
      </c>
      <c r="AF175" s="40" t="s">
        <v>45</v>
      </c>
      <c r="AG175" s="41" t="s">
        <v>45</v>
      </c>
      <c r="AH175" s="40">
        <v>7</v>
      </c>
      <c r="AI175" s="40">
        <v>8</v>
      </c>
      <c r="AJ175" s="41">
        <v>9</v>
      </c>
      <c r="AK175" s="43" t="s">
        <v>414</v>
      </c>
      <c r="AL175" s="43" t="s">
        <v>635</v>
      </c>
      <c r="AM175" s="44">
        <f t="shared" si="15"/>
        <v>-1.758392666937979</v>
      </c>
      <c r="AN175" s="44">
        <f t="shared" si="16"/>
        <v>-0.38046104637574335</v>
      </c>
      <c r="AO175" s="45">
        <f t="shared" si="17"/>
        <v>4</v>
      </c>
      <c r="AP175" s="46">
        <f t="shared" si="18"/>
        <v>0</v>
      </c>
      <c r="AQ175" s="44">
        <f>($AM$3*AM175+$AN$3*AN175+$AO$3*AO175+$AP$3*AP175)+$I$3*VLOOKUP(I175,COND!$A$2:$E$7,4,FALSE)+$J$3*VLOOKUP(J175,COND!$A$2:$C$7,2,FALSE)+$K$3*VLOOKUP(K175,COND!$A$2:$C$7,3,FALSE)+IF(AND($B$2&gt;0,$E175&lt;20),$B$2*25,0)</f>
        <v>45.625294843463948</v>
      </c>
      <c r="AR175" s="47">
        <f t="shared" si="19"/>
        <v>0.33108692465353218</v>
      </c>
      <c r="AS175" s="45" t="str">
        <f t="shared" si="20"/>
        <v>2B</v>
      </c>
      <c r="AT175" s="45">
        <f>RANK(Batters[[#This Row],[zScore]],Batters[[#All],[zScore]])</f>
        <v>171</v>
      </c>
      <c r="AU175" s="45"/>
      <c r="AV175" s="45"/>
      <c r="AW175" s="45" t="str">
        <f t="shared" si="21"/>
        <v>Unlikely</v>
      </c>
      <c r="AX175" s="45"/>
      <c r="AY175" s="45">
        <f>INDEX(Table5[[#All],[Ovr]],MATCH(Batters[[#This Row],[PID]],Table5[[#All],[PID]],0))</f>
        <v>569</v>
      </c>
      <c r="AZ175" s="45" t="str">
        <f>INDEX(Table5[[#All],[Rnd]],MATCH(Batters[[#This Row],[PID]],Table5[[#All],[PID]],0))</f>
        <v>19</v>
      </c>
      <c r="BA175" s="45">
        <f>INDEX(Table5[[#All],[Pick]],MATCH(Batters[[#This Row],[PID]],Table5[[#All],[PID]],0))</f>
        <v>21</v>
      </c>
      <c r="BB175" s="45" t="str">
        <f>INDEX(Table5[[#All],[Team]],MATCH(Batters[[#This Row],[PID]],Table5[[#All],[PID]],0))</f>
        <v>Reno Zephyrs</v>
      </c>
    </row>
    <row r="176" spans="1:54" ht="15" customHeight="1" x14ac:dyDescent="0.25">
      <c r="A176" s="40">
        <v>20968</v>
      </c>
      <c r="B176" s="40" t="s">
        <v>72</v>
      </c>
      <c r="C176" s="40" t="s">
        <v>545</v>
      </c>
      <c r="D176" s="40" t="s">
        <v>1409</v>
      </c>
      <c r="E176" s="40">
        <v>17</v>
      </c>
      <c r="F176" s="40" t="s">
        <v>42</v>
      </c>
      <c r="G176" s="40" t="s">
        <v>42</v>
      </c>
      <c r="H176" s="41" t="s">
        <v>638</v>
      </c>
      <c r="I176" s="65" t="s">
        <v>43</v>
      </c>
      <c r="J176" s="66" t="s">
        <v>47</v>
      </c>
      <c r="K176" s="67" t="s">
        <v>43</v>
      </c>
      <c r="L176" s="40">
        <v>1</v>
      </c>
      <c r="M176" s="40">
        <v>2</v>
      </c>
      <c r="N176" s="40">
        <v>2</v>
      </c>
      <c r="O176" s="40">
        <v>2</v>
      </c>
      <c r="P176" s="41">
        <v>1</v>
      </c>
      <c r="Q176" s="40">
        <v>3</v>
      </c>
      <c r="R176" s="40">
        <v>5</v>
      </c>
      <c r="S176" s="40">
        <v>5</v>
      </c>
      <c r="T176" s="40">
        <v>6</v>
      </c>
      <c r="U176" s="41">
        <v>3</v>
      </c>
      <c r="V176" s="40">
        <v>7</v>
      </c>
      <c r="W176" s="40">
        <v>7</v>
      </c>
      <c r="X176" s="40">
        <v>1</v>
      </c>
      <c r="Y176" s="41">
        <v>1</v>
      </c>
      <c r="Z176" s="40" t="s">
        <v>45</v>
      </c>
      <c r="AA176" s="40" t="s">
        <v>45</v>
      </c>
      <c r="AB176" s="40">
        <v>1</v>
      </c>
      <c r="AC176" s="40">
        <v>1</v>
      </c>
      <c r="AD176" s="40">
        <v>2</v>
      </c>
      <c r="AE176" s="40" t="s">
        <v>45</v>
      </c>
      <c r="AF176" s="40" t="s">
        <v>45</v>
      </c>
      <c r="AG176" s="41" t="s">
        <v>45</v>
      </c>
      <c r="AH176" s="40">
        <v>7</v>
      </c>
      <c r="AI176" s="40">
        <v>5</v>
      </c>
      <c r="AJ176" s="41">
        <v>4</v>
      </c>
      <c r="AK176" s="43" t="s">
        <v>670</v>
      </c>
      <c r="AL176" s="43" t="s">
        <v>635</v>
      </c>
      <c r="AM176" s="44">
        <f t="shared" si="15"/>
        <v>-1.8605124261753858</v>
      </c>
      <c r="AN176" s="44">
        <f t="shared" si="16"/>
        <v>-0.3741657531697305</v>
      </c>
      <c r="AO176" s="45">
        <f t="shared" si="17"/>
        <v>0</v>
      </c>
      <c r="AP176" s="46">
        <f t="shared" si="18"/>
        <v>0</v>
      </c>
      <c r="AQ176" s="44">
        <f>($AM$3*AM176+$AN$3*AN176+$AO$3*AO176+$AP$3*AP176)+$I$3*VLOOKUP(I176,COND!$A$2:$E$7,4,FALSE)+$J$3*VLOOKUP(J176,COND!$A$2:$C$7,2,FALSE)+$K$3*VLOOKUP(K176,COND!$A$2:$C$7,3,FALSE)+IF(AND($B$2&gt;0,$E176&lt;20),$B$2*25,0)</f>
        <v>45.623959719345692</v>
      </c>
      <c r="AR176" s="47">
        <f t="shared" si="19"/>
        <v>0.33079091861191329</v>
      </c>
      <c r="AS176" s="45" t="str">
        <f t="shared" si="20"/>
        <v>SS</v>
      </c>
      <c r="AT176" s="45">
        <f>RANK(Batters[[#This Row],[zScore]],Batters[[#All],[zScore]])</f>
        <v>172</v>
      </c>
      <c r="AU176" s="45"/>
      <c r="AV176" s="45"/>
      <c r="AW176" s="45" t="str">
        <f t="shared" si="21"/>
        <v>Unlikely</v>
      </c>
      <c r="AX176" s="45"/>
      <c r="AY176" s="45">
        <f>INDEX(Table5[[#All],[Ovr]],MATCH(Batters[[#This Row],[PID]],Table5[[#All],[PID]],0))</f>
        <v>399</v>
      </c>
      <c r="AZ176" s="45" t="str">
        <f>INDEX(Table5[[#All],[Rnd]],MATCH(Batters[[#This Row],[PID]],Table5[[#All],[PID]],0))</f>
        <v>14</v>
      </c>
      <c r="BA176" s="45">
        <f>INDEX(Table5[[#All],[Pick]],MATCH(Batters[[#This Row],[PID]],Table5[[#All],[PID]],0))</f>
        <v>1</v>
      </c>
      <c r="BB176" s="45" t="str">
        <f>INDEX(Table5[[#All],[Team]],MATCH(Batters[[#This Row],[PID]],Table5[[#All],[PID]],0))</f>
        <v>Yuma Arroyos</v>
      </c>
    </row>
    <row r="177" spans="1:54" ht="15" customHeight="1" x14ac:dyDescent="0.25">
      <c r="A177" s="40">
        <v>12441</v>
      </c>
      <c r="B177" s="40" t="s">
        <v>87</v>
      </c>
      <c r="C177" s="40" t="s">
        <v>1518</v>
      </c>
      <c r="D177" s="40" t="s">
        <v>1519</v>
      </c>
      <c r="E177" s="40">
        <v>18</v>
      </c>
      <c r="F177" s="40" t="s">
        <v>42</v>
      </c>
      <c r="G177" s="40" t="s">
        <v>42</v>
      </c>
      <c r="H177" s="41" t="s">
        <v>638</v>
      </c>
      <c r="I177" s="65" t="s">
        <v>43</v>
      </c>
      <c r="J177" s="66" t="s">
        <v>44</v>
      </c>
      <c r="K177" s="67" t="s">
        <v>43</v>
      </c>
      <c r="L177" s="40">
        <v>1</v>
      </c>
      <c r="M177" s="40">
        <v>2</v>
      </c>
      <c r="N177" s="40">
        <v>2</v>
      </c>
      <c r="O177" s="40">
        <v>2</v>
      </c>
      <c r="P177" s="41">
        <v>1</v>
      </c>
      <c r="Q177" s="40">
        <v>3</v>
      </c>
      <c r="R177" s="40">
        <v>6</v>
      </c>
      <c r="S177" s="40">
        <v>7</v>
      </c>
      <c r="T177" s="40">
        <v>5</v>
      </c>
      <c r="U177" s="41">
        <v>1</v>
      </c>
      <c r="V177" s="40">
        <v>4</v>
      </c>
      <c r="W177" s="40">
        <v>3</v>
      </c>
      <c r="X177" s="40">
        <v>1</v>
      </c>
      <c r="Y177" s="41">
        <v>1</v>
      </c>
      <c r="Z177" s="40" t="s">
        <v>45</v>
      </c>
      <c r="AA177" s="40">
        <v>1</v>
      </c>
      <c r="AB177" s="40" t="s">
        <v>45</v>
      </c>
      <c r="AC177" s="40" t="s">
        <v>45</v>
      </c>
      <c r="AD177" s="40" t="s">
        <v>45</v>
      </c>
      <c r="AE177" s="40" t="s">
        <v>45</v>
      </c>
      <c r="AF177" s="40" t="s">
        <v>45</v>
      </c>
      <c r="AG177" s="41" t="s">
        <v>45</v>
      </c>
      <c r="AH177" s="40">
        <v>1</v>
      </c>
      <c r="AI177" s="40">
        <v>3</v>
      </c>
      <c r="AJ177" s="41">
        <v>3</v>
      </c>
      <c r="AK177" s="43" t="s">
        <v>554</v>
      </c>
      <c r="AL177" s="43" t="s">
        <v>47</v>
      </c>
      <c r="AM177" s="44">
        <f t="shared" si="15"/>
        <v>-1.8605124261753858</v>
      </c>
      <c r="AN177" s="44">
        <f t="shared" si="16"/>
        <v>-0.32672511514697189</v>
      </c>
      <c r="AO177" s="45">
        <f t="shared" si="17"/>
        <v>0</v>
      </c>
      <c r="AP177" s="46">
        <f t="shared" si="18"/>
        <v>0</v>
      </c>
      <c r="AQ177" s="44">
        <f>($AM$3*AM177+$AN$3*AN177+$AO$3*AO177+$AP$3*AP177)+$I$3*VLOOKUP(I177,COND!$A$2:$E$7,4,FALSE)+$J$3*VLOOKUP(J177,COND!$A$2:$C$7,2,FALSE)+$K$3*VLOOKUP(K177,COND!$A$2:$C$7,3,FALSE)+IF(AND($B$2&gt;0,$E177&lt;20),$B$2*25,0)</f>
        <v>45.593247375618802</v>
      </c>
      <c r="AR177" s="47">
        <f t="shared" si="19"/>
        <v>0.32398178441148467</v>
      </c>
      <c r="AS177" s="45" t="str">
        <f t="shared" si="20"/>
        <v>1B</v>
      </c>
      <c r="AT177" s="45">
        <f>RANK(Batters[[#This Row],[zScore]],Batters[[#All],[zScore]])</f>
        <v>173</v>
      </c>
      <c r="AU177" s="45"/>
      <c r="AV177" s="45"/>
      <c r="AW177" s="45" t="str">
        <f t="shared" si="21"/>
        <v>Unlikely</v>
      </c>
      <c r="AX177" s="45"/>
      <c r="AY177" s="45">
        <f>INDEX(Table5[[#All],[Ovr]],MATCH(Batters[[#This Row],[PID]],Table5[[#All],[PID]],0))</f>
        <v>194</v>
      </c>
      <c r="AZ177" s="45" t="str">
        <f>INDEX(Table5[[#All],[Rnd]],MATCH(Batters[[#This Row],[PID]],Table5[[#All],[PID]],0))</f>
        <v>7</v>
      </c>
      <c r="BA177" s="45">
        <f>INDEX(Table5[[#All],[Pick]],MATCH(Batters[[#This Row],[PID]],Table5[[#All],[PID]],0))</f>
        <v>6</v>
      </c>
      <c r="BB177" s="45" t="str">
        <f>INDEX(Table5[[#All],[Team]],MATCH(Batters[[#This Row],[PID]],Table5[[#All],[PID]],0))</f>
        <v>Manchester Maulers</v>
      </c>
    </row>
    <row r="178" spans="1:54" ht="15" customHeight="1" x14ac:dyDescent="0.25">
      <c r="A178" s="40">
        <v>18323</v>
      </c>
      <c r="B178" s="40" t="s">
        <v>50</v>
      </c>
      <c r="C178" s="40" t="s">
        <v>132</v>
      </c>
      <c r="D178" s="40" t="s">
        <v>1228</v>
      </c>
      <c r="E178" s="40">
        <v>21</v>
      </c>
      <c r="F178" s="40" t="s">
        <v>42</v>
      </c>
      <c r="G178" s="40" t="s">
        <v>42</v>
      </c>
      <c r="H178" s="41" t="s">
        <v>634</v>
      </c>
      <c r="I178" s="65" t="s">
        <v>44</v>
      </c>
      <c r="J178" s="66" t="s">
        <v>44</v>
      </c>
      <c r="K178" s="67" t="s">
        <v>43</v>
      </c>
      <c r="L178" s="40">
        <v>3</v>
      </c>
      <c r="M178" s="40">
        <v>4</v>
      </c>
      <c r="N178" s="40">
        <v>5</v>
      </c>
      <c r="O178" s="40">
        <v>3</v>
      </c>
      <c r="P178" s="41">
        <v>1</v>
      </c>
      <c r="Q178" s="40">
        <v>4</v>
      </c>
      <c r="R178" s="40">
        <v>5</v>
      </c>
      <c r="S178" s="40">
        <v>7</v>
      </c>
      <c r="T178" s="40">
        <v>5</v>
      </c>
      <c r="U178" s="41">
        <v>4</v>
      </c>
      <c r="V178" s="40">
        <v>5</v>
      </c>
      <c r="W178" s="40">
        <v>7</v>
      </c>
      <c r="X178" s="40">
        <v>1</v>
      </c>
      <c r="Y178" s="41">
        <v>1</v>
      </c>
      <c r="Z178" s="40" t="s">
        <v>45</v>
      </c>
      <c r="AA178" s="40" t="s">
        <v>45</v>
      </c>
      <c r="AB178" s="40" t="s">
        <v>45</v>
      </c>
      <c r="AC178" s="40">
        <v>1</v>
      </c>
      <c r="AD178" s="40" t="s">
        <v>45</v>
      </c>
      <c r="AE178" s="40">
        <v>6</v>
      </c>
      <c r="AF178" s="40" t="s">
        <v>45</v>
      </c>
      <c r="AG178" s="41" t="s">
        <v>45</v>
      </c>
      <c r="AH178" s="40">
        <v>9</v>
      </c>
      <c r="AI178" s="40">
        <v>6</v>
      </c>
      <c r="AJ178" s="41">
        <v>2</v>
      </c>
      <c r="AK178" s="43" t="s">
        <v>45</v>
      </c>
      <c r="AL178" s="43" t="s">
        <v>47</v>
      </c>
      <c r="AM178" s="44">
        <f t="shared" si="15"/>
        <v>-0.77438696245134409</v>
      </c>
      <c r="AN178" s="44">
        <f t="shared" si="16"/>
        <v>6.4819860888249647E-2</v>
      </c>
      <c r="AO178" s="45">
        <f t="shared" si="17"/>
        <v>2</v>
      </c>
      <c r="AP178" s="46">
        <f t="shared" si="18"/>
        <v>0</v>
      </c>
      <c r="AQ178" s="44">
        <f>($AM$3*AM178+$AN$3*AN178+$AO$3*AO178+$AP$3*AP178)+$I$3*VLOOKUP(I178,COND!$A$2:$E$7,4,FALSE)+$J$3*VLOOKUP(J178,COND!$A$2:$C$7,2,FALSE)+$K$3*VLOOKUP(K178,COND!$A$2:$C$7,3,FALSE)+IF(AND($B$2&gt;0,$E178&lt;20),$B$2*25,0)</f>
        <v>45.583732967747196</v>
      </c>
      <c r="AR178" s="47">
        <f t="shared" si="19"/>
        <v>0.32187237587492096</v>
      </c>
      <c r="AS178" s="45" t="str">
        <f t="shared" si="20"/>
        <v>3B</v>
      </c>
      <c r="AT178" s="45">
        <f>RANK(Batters[[#This Row],[zScore]],Batters[[#All],[zScore]])</f>
        <v>174</v>
      </c>
      <c r="AU178" s="45"/>
      <c r="AV178" s="45"/>
      <c r="AW178" s="45" t="str">
        <f t="shared" si="21"/>
        <v>Possible</v>
      </c>
      <c r="AX178" s="45"/>
      <c r="AY178" s="45">
        <f>INDEX(Table5[[#All],[Ovr]],MATCH(Batters[[#This Row],[PID]],Table5[[#All],[PID]],0))</f>
        <v>156</v>
      </c>
      <c r="AZ178" s="45" t="str">
        <f>INDEX(Table5[[#All],[Rnd]],MATCH(Batters[[#This Row],[PID]],Table5[[#All],[PID]],0))</f>
        <v>5</v>
      </c>
      <c r="BA178" s="45">
        <f>INDEX(Table5[[#All],[Pick]],MATCH(Batters[[#This Row],[PID]],Table5[[#All],[PID]],0))</f>
        <v>28</v>
      </c>
      <c r="BB178" s="45" t="str">
        <f>INDEX(Table5[[#All],[Team]],MATCH(Batters[[#This Row],[PID]],Table5[[#All],[PID]],0))</f>
        <v>San Juan Coqui</v>
      </c>
    </row>
    <row r="179" spans="1:54" ht="15" customHeight="1" x14ac:dyDescent="0.25">
      <c r="A179" s="40">
        <v>18146</v>
      </c>
      <c r="B179" s="40" t="s">
        <v>50</v>
      </c>
      <c r="C179" s="40" t="s">
        <v>384</v>
      </c>
      <c r="D179" s="40" t="s">
        <v>677</v>
      </c>
      <c r="E179" s="40">
        <v>21</v>
      </c>
      <c r="F179" s="40" t="s">
        <v>42</v>
      </c>
      <c r="G179" s="40" t="s">
        <v>42</v>
      </c>
      <c r="H179" s="41" t="s">
        <v>634</v>
      </c>
      <c r="I179" s="65" t="s">
        <v>43</v>
      </c>
      <c r="J179" s="66" t="s">
        <v>43</v>
      </c>
      <c r="K179" s="67" t="s">
        <v>43</v>
      </c>
      <c r="L179" s="40">
        <v>3</v>
      </c>
      <c r="M179" s="40">
        <v>4</v>
      </c>
      <c r="N179" s="40">
        <v>2</v>
      </c>
      <c r="O179" s="40">
        <v>1</v>
      </c>
      <c r="P179" s="41">
        <v>6</v>
      </c>
      <c r="Q179" s="40">
        <v>5</v>
      </c>
      <c r="R179" s="40">
        <v>6</v>
      </c>
      <c r="S179" s="40">
        <v>2</v>
      </c>
      <c r="T179" s="40">
        <v>3</v>
      </c>
      <c r="U179" s="41">
        <v>7</v>
      </c>
      <c r="V179" s="40">
        <v>3</v>
      </c>
      <c r="W179" s="40">
        <v>6</v>
      </c>
      <c r="X179" s="40">
        <v>1</v>
      </c>
      <c r="Y179" s="41">
        <v>1</v>
      </c>
      <c r="Z179" s="40" t="s">
        <v>45</v>
      </c>
      <c r="AA179" s="40" t="s">
        <v>45</v>
      </c>
      <c r="AB179" s="40">
        <v>1</v>
      </c>
      <c r="AC179" s="40" t="s">
        <v>45</v>
      </c>
      <c r="AD179" s="40" t="s">
        <v>45</v>
      </c>
      <c r="AE179" s="40">
        <v>7</v>
      </c>
      <c r="AF179" s="40">
        <v>2</v>
      </c>
      <c r="AG179" s="41" t="s">
        <v>45</v>
      </c>
      <c r="AH179" s="40">
        <v>10</v>
      </c>
      <c r="AI179" s="40">
        <v>10</v>
      </c>
      <c r="AJ179" s="41">
        <v>10</v>
      </c>
      <c r="AK179" s="43" t="s">
        <v>643</v>
      </c>
      <c r="AL179" s="43" t="s">
        <v>47</v>
      </c>
      <c r="AM179" s="44">
        <f t="shared" si="15"/>
        <v>-1.0029088454567934</v>
      </c>
      <c r="AN179" s="44">
        <f t="shared" si="16"/>
        <v>-3.62419739777914E-2</v>
      </c>
      <c r="AO179" s="45">
        <f t="shared" si="17"/>
        <v>6</v>
      </c>
      <c r="AP179" s="46">
        <f t="shared" si="18"/>
        <v>0</v>
      </c>
      <c r="AQ179" s="44">
        <f>($AM$3*AM179+$AN$3*AN179+$AO$3*AO179+$AP$3*AP179)+$I$3*VLOOKUP(I179,COND!$A$2:$E$7,4,FALSE)+$J$3*VLOOKUP(J179,COND!$A$2:$C$7,2,FALSE)+$K$3*VLOOKUP(K179,COND!$A$2:$C$7,3,FALSE)+IF(AND($B$2&gt;0,$E179&lt;20),$B$2*25,0)</f>
        <v>45.464805427720826</v>
      </c>
      <c r="AR179" s="47">
        <f t="shared" si="19"/>
        <v>0.29550533637550974</v>
      </c>
      <c r="AS179" s="45" t="str">
        <f t="shared" si="20"/>
        <v>2B</v>
      </c>
      <c r="AT179" s="45">
        <f>RANK(Batters[[#This Row],[zScore]],Batters[[#All],[zScore]])</f>
        <v>175</v>
      </c>
      <c r="AU179" s="45"/>
      <c r="AV179" s="45"/>
      <c r="AW179" s="45" t="str">
        <f t="shared" si="21"/>
        <v>Unlikely</v>
      </c>
      <c r="AX179" s="45"/>
      <c r="AY179" s="45">
        <f>INDEX(Table5[[#All],[Ovr]],MATCH(Batters[[#This Row],[PID]],Table5[[#All],[PID]],0))</f>
        <v>58</v>
      </c>
      <c r="AZ179" s="45" t="str">
        <f>INDEX(Table5[[#All],[Rnd]],MATCH(Batters[[#This Row],[PID]],Table5[[#All],[PID]],0))</f>
        <v>2</v>
      </c>
      <c r="BA179" s="45">
        <f>INDEX(Table5[[#All],[Pick]],MATCH(Batters[[#This Row],[PID]],Table5[[#All],[PID]],0))</f>
        <v>23</v>
      </c>
      <c r="BB179" s="45" t="str">
        <f>INDEX(Table5[[#All],[Team]],MATCH(Batters[[#This Row],[PID]],Table5[[#All],[PID]],0))</f>
        <v>New Orleans Trendsetters</v>
      </c>
    </row>
    <row r="180" spans="1:54" ht="15" customHeight="1" x14ac:dyDescent="0.25">
      <c r="A180" s="40">
        <v>18297</v>
      </c>
      <c r="B180" s="40" t="s">
        <v>50</v>
      </c>
      <c r="C180" s="40" t="s">
        <v>1184</v>
      </c>
      <c r="D180" s="40" t="s">
        <v>1066</v>
      </c>
      <c r="E180" s="40">
        <v>21</v>
      </c>
      <c r="F180" s="40" t="s">
        <v>53</v>
      </c>
      <c r="G180" s="40" t="s">
        <v>53</v>
      </c>
      <c r="H180" s="41" t="s">
        <v>634</v>
      </c>
      <c r="I180" s="65" t="s">
        <v>43</v>
      </c>
      <c r="J180" s="66" t="s">
        <v>44</v>
      </c>
      <c r="K180" s="67" t="s">
        <v>43</v>
      </c>
      <c r="L180" s="40">
        <v>2</v>
      </c>
      <c r="M180" s="40">
        <v>4</v>
      </c>
      <c r="N180" s="40">
        <v>4</v>
      </c>
      <c r="O180" s="40">
        <v>4</v>
      </c>
      <c r="P180" s="41">
        <v>2</v>
      </c>
      <c r="Q180" s="40">
        <v>4</v>
      </c>
      <c r="R180" s="40">
        <v>5</v>
      </c>
      <c r="S180" s="40">
        <v>6</v>
      </c>
      <c r="T180" s="40">
        <v>6</v>
      </c>
      <c r="U180" s="41">
        <v>4</v>
      </c>
      <c r="V180" s="40">
        <v>4</v>
      </c>
      <c r="W180" s="40">
        <v>6</v>
      </c>
      <c r="X180" s="40">
        <v>1</v>
      </c>
      <c r="Y180" s="41">
        <v>1</v>
      </c>
      <c r="Z180" s="40" t="s">
        <v>45</v>
      </c>
      <c r="AA180" s="40" t="s">
        <v>45</v>
      </c>
      <c r="AB180" s="40" t="s">
        <v>45</v>
      </c>
      <c r="AC180" s="40" t="s">
        <v>45</v>
      </c>
      <c r="AD180" s="40" t="s">
        <v>45</v>
      </c>
      <c r="AE180" s="40">
        <v>3</v>
      </c>
      <c r="AF180" s="40" t="s">
        <v>45</v>
      </c>
      <c r="AG180" s="41" t="s">
        <v>45</v>
      </c>
      <c r="AH180" s="40">
        <v>2</v>
      </c>
      <c r="AI180" s="40">
        <v>1</v>
      </c>
      <c r="AJ180" s="41">
        <v>1</v>
      </c>
      <c r="AK180" s="43" t="s">
        <v>45</v>
      </c>
      <c r="AL180" s="43" t="s">
        <v>635</v>
      </c>
      <c r="AM180" s="44">
        <f t="shared" si="15"/>
        <v>-1.0502784028512557</v>
      </c>
      <c r="AN180" s="44">
        <f t="shared" si="16"/>
        <v>7.1467916873929171E-2</v>
      </c>
      <c r="AO180" s="45">
        <f t="shared" si="17"/>
        <v>0</v>
      </c>
      <c r="AP180" s="46">
        <f t="shared" si="18"/>
        <v>0</v>
      </c>
      <c r="AQ180" s="44">
        <f>($AM$3*AM180+$AN$3*AN180+$AO$3*AO180+$AP$3*AP180)+$I$3*VLOOKUP(I180,COND!$A$2:$E$7,4,FALSE)+$J$3*VLOOKUP(J180,COND!$A$2:$C$7,2,FALSE)+$K$3*VLOOKUP(K180,COND!$A$2:$C$7,3,FALSE)+IF(AND($B$2&gt;0,$E180&lt;20),$B$2*25,0)</f>
        <v>45.452587162202022</v>
      </c>
      <c r="AR180" s="47">
        <f t="shared" si="19"/>
        <v>0.29279646432218071</v>
      </c>
      <c r="AS180" s="45" t="str">
        <f t="shared" si="20"/>
        <v>LF</v>
      </c>
      <c r="AT180" s="45">
        <f>RANK(Batters[[#This Row],[zScore]],Batters[[#All],[zScore]])</f>
        <v>176</v>
      </c>
      <c r="AU180" s="45"/>
      <c r="AV180" s="45"/>
      <c r="AW180" s="45" t="str">
        <f t="shared" si="21"/>
        <v>Possible</v>
      </c>
      <c r="AX180" s="45"/>
      <c r="AY180" s="45">
        <f>INDEX(Table5[[#All],[Ovr]],MATCH(Batters[[#This Row],[PID]],Table5[[#All],[PID]],0))</f>
        <v>284</v>
      </c>
      <c r="AZ180" s="45" t="str">
        <f>INDEX(Table5[[#All],[Rnd]],MATCH(Batters[[#This Row],[PID]],Table5[[#All],[PID]],0))</f>
        <v>10</v>
      </c>
      <c r="BA180" s="45">
        <f>INDEX(Table5[[#All],[Pick]],MATCH(Batters[[#This Row],[PID]],Table5[[#All],[PID]],0))</f>
        <v>6</v>
      </c>
      <c r="BB180" s="45" t="str">
        <f>INDEX(Table5[[#All],[Team]],MATCH(Batters[[#This Row],[PID]],Table5[[#All],[PID]],0))</f>
        <v>Manchester Maulers</v>
      </c>
    </row>
    <row r="181" spans="1:54" ht="15" customHeight="1" x14ac:dyDescent="0.25">
      <c r="A181" s="40">
        <v>18114</v>
      </c>
      <c r="B181" s="40" t="s">
        <v>86</v>
      </c>
      <c r="C181" s="40" t="s">
        <v>325</v>
      </c>
      <c r="D181" s="40" t="s">
        <v>133</v>
      </c>
      <c r="E181" s="40">
        <v>21</v>
      </c>
      <c r="F181" s="40" t="s">
        <v>62</v>
      </c>
      <c r="G181" s="40" t="s">
        <v>42</v>
      </c>
      <c r="H181" s="41" t="s">
        <v>634</v>
      </c>
      <c r="I181" s="65" t="s">
        <v>43</v>
      </c>
      <c r="J181" s="66" t="s">
        <v>44</v>
      </c>
      <c r="K181" s="67" t="s">
        <v>44</v>
      </c>
      <c r="L181" s="40">
        <v>2</v>
      </c>
      <c r="M181" s="40">
        <v>4</v>
      </c>
      <c r="N181" s="40">
        <v>2</v>
      </c>
      <c r="O181" s="40">
        <v>1</v>
      </c>
      <c r="P181" s="41">
        <v>3</v>
      </c>
      <c r="Q181" s="40">
        <v>5</v>
      </c>
      <c r="R181" s="40">
        <v>6</v>
      </c>
      <c r="S181" s="40">
        <v>3</v>
      </c>
      <c r="T181" s="40">
        <v>3</v>
      </c>
      <c r="U181" s="41">
        <v>6</v>
      </c>
      <c r="V181" s="40">
        <v>3</v>
      </c>
      <c r="W181" s="40">
        <v>3</v>
      </c>
      <c r="X181" s="40">
        <v>5</v>
      </c>
      <c r="Y181" s="41">
        <v>7</v>
      </c>
      <c r="Z181" s="40">
        <v>2</v>
      </c>
      <c r="AA181" s="40" t="s">
        <v>45</v>
      </c>
      <c r="AB181" s="40" t="s">
        <v>45</v>
      </c>
      <c r="AC181" s="40" t="s">
        <v>45</v>
      </c>
      <c r="AD181" s="40" t="s">
        <v>45</v>
      </c>
      <c r="AE181" s="40" t="s">
        <v>45</v>
      </c>
      <c r="AF181" s="40" t="s">
        <v>45</v>
      </c>
      <c r="AG181" s="41" t="s">
        <v>45</v>
      </c>
      <c r="AH181" s="40">
        <v>1</v>
      </c>
      <c r="AI181" s="40">
        <v>1</v>
      </c>
      <c r="AJ181" s="41">
        <v>1</v>
      </c>
      <c r="AK181" s="43" t="s">
        <v>1231</v>
      </c>
      <c r="AL181" s="43" t="s">
        <v>47</v>
      </c>
      <c r="AM181" s="44">
        <f t="shared" si="15"/>
        <v>-1.4455137011107184</v>
      </c>
      <c r="AN181" s="44">
        <f t="shared" si="16"/>
        <v>6.8031802290266672E-3</v>
      </c>
      <c r="AO181" s="45">
        <f t="shared" si="17"/>
        <v>0</v>
      </c>
      <c r="AP181" s="46">
        <f t="shared" si="18"/>
        <v>1.1000000000000001</v>
      </c>
      <c r="AQ181" s="44">
        <f>($AM$3*AM181+$AN$3*AN181+$AO$3*AO181+$AP$3*AP181)+$I$3*VLOOKUP(I181,COND!$A$2:$E$7,4,FALSE)+$J$3*VLOOKUP(J181,COND!$A$2:$C$7,2,FALSE)+$K$3*VLOOKUP(K181,COND!$A$2:$C$7,3,FALSE)+IF(AND($B$2&gt;0,$E181&lt;20),$B$2*25,0)</f>
        <v>45.437086792637245</v>
      </c>
      <c r="AR181" s="47">
        <f t="shared" si="19"/>
        <v>0.28935992761689522</v>
      </c>
      <c r="AS181" s="45" t="str">
        <f t="shared" si="20"/>
        <v>C</v>
      </c>
      <c r="AT181" s="45">
        <f>RANK(Batters[[#This Row],[zScore]],Batters[[#All],[zScore]])</f>
        <v>177</v>
      </c>
      <c r="AU181" s="45"/>
      <c r="AV181" s="45"/>
      <c r="AW181" s="45" t="str">
        <f t="shared" si="21"/>
        <v>Unlikely</v>
      </c>
      <c r="AX181" s="45"/>
      <c r="AY181" s="45">
        <f>INDEX(Table5[[#All],[Ovr]],MATCH(Batters[[#This Row],[PID]],Table5[[#All],[PID]],0))</f>
        <v>109</v>
      </c>
      <c r="AZ181" s="45" t="str">
        <f>INDEX(Table5[[#All],[Rnd]],MATCH(Batters[[#This Row],[PID]],Table5[[#All],[PID]],0))</f>
        <v>4</v>
      </c>
      <c r="BA181" s="45">
        <f>INDEX(Table5[[#All],[Pick]],MATCH(Batters[[#This Row],[PID]],Table5[[#All],[PID]],0))</f>
        <v>9</v>
      </c>
      <c r="BB181" s="45" t="str">
        <f>INDEX(Table5[[#All],[Team]],MATCH(Batters[[#This Row],[PID]],Table5[[#All],[PID]],0))</f>
        <v>Duluth Warriors</v>
      </c>
    </row>
    <row r="182" spans="1:54" ht="15" customHeight="1" x14ac:dyDescent="0.25">
      <c r="A182" s="40">
        <v>20815</v>
      </c>
      <c r="B182" s="40" t="s">
        <v>87</v>
      </c>
      <c r="C182" s="40" t="s">
        <v>188</v>
      </c>
      <c r="D182" s="40" t="s">
        <v>717</v>
      </c>
      <c r="E182" s="40">
        <v>17</v>
      </c>
      <c r="F182" s="40" t="s">
        <v>62</v>
      </c>
      <c r="G182" s="40" t="s">
        <v>53</v>
      </c>
      <c r="H182" s="41" t="s">
        <v>638</v>
      </c>
      <c r="I182" s="65" t="s">
        <v>43</v>
      </c>
      <c r="J182" s="66" t="s">
        <v>43</v>
      </c>
      <c r="K182" s="67" t="s">
        <v>47</v>
      </c>
      <c r="L182" s="40">
        <v>1</v>
      </c>
      <c r="M182" s="40">
        <v>1</v>
      </c>
      <c r="N182" s="40">
        <v>3</v>
      </c>
      <c r="O182" s="40">
        <v>2</v>
      </c>
      <c r="P182" s="41">
        <v>1</v>
      </c>
      <c r="Q182" s="40">
        <v>3</v>
      </c>
      <c r="R182" s="40">
        <v>4</v>
      </c>
      <c r="S182" s="40">
        <v>6</v>
      </c>
      <c r="T182" s="40">
        <v>5</v>
      </c>
      <c r="U182" s="41">
        <v>4</v>
      </c>
      <c r="V182" s="40">
        <v>1</v>
      </c>
      <c r="W182" s="40">
        <v>2</v>
      </c>
      <c r="X182" s="40">
        <v>1</v>
      </c>
      <c r="Y182" s="41">
        <v>1</v>
      </c>
      <c r="Z182" s="40" t="s">
        <v>45</v>
      </c>
      <c r="AA182" s="40">
        <v>3</v>
      </c>
      <c r="AB182" s="40" t="s">
        <v>45</v>
      </c>
      <c r="AC182" s="40" t="s">
        <v>45</v>
      </c>
      <c r="AD182" s="40" t="s">
        <v>45</v>
      </c>
      <c r="AE182" s="40" t="s">
        <v>45</v>
      </c>
      <c r="AF182" s="40" t="s">
        <v>45</v>
      </c>
      <c r="AG182" s="41" t="s">
        <v>45</v>
      </c>
      <c r="AH182" s="40">
        <v>1</v>
      </c>
      <c r="AI182" s="40">
        <v>1</v>
      </c>
      <c r="AJ182" s="41">
        <v>1</v>
      </c>
      <c r="AK182" s="43" t="s">
        <v>45</v>
      </c>
      <c r="AL182" s="43" t="s">
        <v>47</v>
      </c>
      <c r="AM182" s="44">
        <f t="shared" si="15"/>
        <v>-1.828510811770188</v>
      </c>
      <c r="AN182" s="44">
        <f t="shared" si="16"/>
        <v>-0.39185734895703012</v>
      </c>
      <c r="AO182" s="45">
        <f t="shared" si="17"/>
        <v>0</v>
      </c>
      <c r="AP182" s="46">
        <f t="shared" si="18"/>
        <v>0</v>
      </c>
      <c r="AQ182" s="44">
        <f>($AM$3*AM182+$AN$3*AN182+$AO$3*AO182+$AP$3*AP182)+$I$3*VLOOKUP(I182,COND!$A$2:$E$7,4,FALSE)+$J$3*VLOOKUP(J182,COND!$A$2:$C$7,2,FALSE)+$K$3*VLOOKUP(K182,COND!$A$2:$C$7,3,FALSE)+IF(AND($B$2&gt;0,$E182&lt;20),$B$2*25,0)</f>
        <v>45.414860731338621</v>
      </c>
      <c r="AR182" s="47">
        <f t="shared" si="19"/>
        <v>0.28443225959275859</v>
      </c>
      <c r="AS182" s="45" t="str">
        <f t="shared" si="20"/>
        <v>1B</v>
      </c>
      <c r="AT182" s="45">
        <f>RANK(Batters[[#This Row],[zScore]],Batters[[#All],[zScore]])</f>
        <v>178</v>
      </c>
      <c r="AU182" s="45"/>
      <c r="AV182" s="45"/>
      <c r="AW182" s="45" t="str">
        <f t="shared" si="21"/>
        <v>Unlikely</v>
      </c>
      <c r="AX182" s="45"/>
      <c r="AY182" s="45">
        <f>INDEX(Table5[[#All],[Ovr]],MATCH(Batters[[#This Row],[PID]],Table5[[#All],[PID]],0))</f>
        <v>567</v>
      </c>
      <c r="AZ182" s="45" t="str">
        <f>INDEX(Table5[[#All],[Rnd]],MATCH(Batters[[#This Row],[PID]],Table5[[#All],[PID]],0))</f>
        <v>19</v>
      </c>
      <c r="BA182" s="45">
        <f>INDEX(Table5[[#All],[Pick]],MATCH(Batters[[#This Row],[PID]],Table5[[#All],[PID]],0))</f>
        <v>19</v>
      </c>
      <c r="BB182" s="45" t="str">
        <f>INDEX(Table5[[#All],[Team]],MATCH(Batters[[#This Row],[PID]],Table5[[#All],[PID]],0))</f>
        <v>Kalamazoo Badgers</v>
      </c>
    </row>
    <row r="183" spans="1:54" ht="15" customHeight="1" x14ac:dyDescent="0.25">
      <c r="A183" s="40">
        <v>13214</v>
      </c>
      <c r="B183" s="40" t="s">
        <v>69</v>
      </c>
      <c r="C183" s="40" t="s">
        <v>1212</v>
      </c>
      <c r="D183" s="40" t="s">
        <v>324</v>
      </c>
      <c r="E183" s="40">
        <v>18</v>
      </c>
      <c r="F183" s="40" t="s">
        <v>42</v>
      </c>
      <c r="G183" s="40" t="s">
        <v>42</v>
      </c>
      <c r="H183" s="41" t="s">
        <v>638</v>
      </c>
      <c r="I183" s="65" t="s">
        <v>43</v>
      </c>
      <c r="J183" s="66" t="s">
        <v>43</v>
      </c>
      <c r="K183" s="67" t="s">
        <v>43</v>
      </c>
      <c r="L183" s="40">
        <v>1</v>
      </c>
      <c r="M183" s="40">
        <v>1</v>
      </c>
      <c r="N183" s="40">
        <v>2</v>
      </c>
      <c r="O183" s="40">
        <v>2</v>
      </c>
      <c r="P183" s="41">
        <v>1</v>
      </c>
      <c r="Q183" s="40">
        <v>3</v>
      </c>
      <c r="R183" s="40">
        <v>6</v>
      </c>
      <c r="S183" s="40">
        <v>6</v>
      </c>
      <c r="T183" s="40">
        <v>5</v>
      </c>
      <c r="U183" s="41">
        <v>2</v>
      </c>
      <c r="V183" s="40">
        <v>6</v>
      </c>
      <c r="W183" s="40">
        <v>5</v>
      </c>
      <c r="X183" s="40">
        <v>1</v>
      </c>
      <c r="Y183" s="41">
        <v>1</v>
      </c>
      <c r="Z183" s="40" t="s">
        <v>45</v>
      </c>
      <c r="AA183" s="40" t="s">
        <v>45</v>
      </c>
      <c r="AB183" s="40" t="s">
        <v>45</v>
      </c>
      <c r="AC183" s="40">
        <v>2</v>
      </c>
      <c r="AD183" s="40" t="s">
        <v>45</v>
      </c>
      <c r="AE183" s="40" t="s">
        <v>45</v>
      </c>
      <c r="AF183" s="40">
        <v>1</v>
      </c>
      <c r="AG183" s="41" t="s">
        <v>45</v>
      </c>
      <c r="AH183" s="40">
        <v>2</v>
      </c>
      <c r="AI183" s="40">
        <v>4</v>
      </c>
      <c r="AJ183" s="41">
        <v>4</v>
      </c>
      <c r="AK183" s="43" t="s">
        <v>553</v>
      </c>
      <c r="AL183" s="43" t="s">
        <v>47</v>
      </c>
      <c r="AM183" s="44">
        <f t="shared" si="15"/>
        <v>-1.9115723057940897</v>
      </c>
      <c r="AN183" s="44">
        <f t="shared" si="16"/>
        <v>-0.36977026935379004</v>
      </c>
      <c r="AO183" s="45">
        <f t="shared" si="17"/>
        <v>0</v>
      </c>
      <c r="AP183" s="46">
        <f t="shared" si="18"/>
        <v>0</v>
      </c>
      <c r="AQ183" s="44">
        <f>($AM$3*AM183+$AN$3*AN183+$AO$3*AO183+$AP$3*AP183)+$I$3*VLOOKUP(I183,COND!$A$2:$E$7,4,FALSE)+$J$3*VLOOKUP(J183,COND!$A$2:$C$7,2,FALSE)+$K$3*VLOOKUP(K183,COND!$A$2:$C$7,3,FALSE)+IF(AND($B$2&gt;0,$E183&lt;20),$B$2*25,0)</f>
        <v>45.371599537175115</v>
      </c>
      <c r="AR183" s="47">
        <f t="shared" si="19"/>
        <v>0.27484096042817535</v>
      </c>
      <c r="AS183" s="45" t="str">
        <f t="shared" si="20"/>
        <v>3B</v>
      </c>
      <c r="AT183" s="45">
        <f>RANK(Batters[[#This Row],[zScore]],Batters[[#All],[zScore]])</f>
        <v>179</v>
      </c>
      <c r="AU183" s="45"/>
      <c r="AV183" s="45"/>
      <c r="AW183" s="45" t="str">
        <f t="shared" si="21"/>
        <v>Unlikely</v>
      </c>
      <c r="AX183" s="45"/>
      <c r="AY183" s="45">
        <f>INDEX(Table5[[#All],[Ovr]],MATCH(Batters[[#This Row],[PID]],Table5[[#All],[PID]],0))</f>
        <v>320</v>
      </c>
      <c r="AZ183" s="45" t="str">
        <f>INDEX(Table5[[#All],[Rnd]],MATCH(Batters[[#This Row],[PID]],Table5[[#All],[PID]],0))</f>
        <v>11</v>
      </c>
      <c r="BA183" s="45">
        <f>INDEX(Table5[[#All],[Pick]],MATCH(Batters[[#This Row],[PID]],Table5[[#All],[PID]],0))</f>
        <v>12</v>
      </c>
      <c r="BB183" s="45" t="str">
        <f>INDEX(Table5[[#All],[Team]],MATCH(Batters[[#This Row],[PID]],Table5[[#All],[PID]],0))</f>
        <v>Palm Springs Codgers</v>
      </c>
    </row>
    <row r="184" spans="1:54" ht="15" customHeight="1" x14ac:dyDescent="0.25">
      <c r="A184" s="40">
        <v>20253</v>
      </c>
      <c r="B184" s="40" t="s">
        <v>71</v>
      </c>
      <c r="C184" s="40" t="s">
        <v>1294</v>
      </c>
      <c r="D184" s="40" t="s">
        <v>1295</v>
      </c>
      <c r="E184" s="40">
        <v>21</v>
      </c>
      <c r="F184" s="40" t="s">
        <v>42</v>
      </c>
      <c r="G184" s="40" t="s">
        <v>42</v>
      </c>
      <c r="H184" s="41" t="s">
        <v>634</v>
      </c>
      <c r="I184" s="65" t="s">
        <v>43</v>
      </c>
      <c r="J184" s="66" t="s">
        <v>44</v>
      </c>
      <c r="K184" s="67" t="s">
        <v>43</v>
      </c>
      <c r="L184" s="40">
        <v>2</v>
      </c>
      <c r="M184" s="40">
        <v>5</v>
      </c>
      <c r="N184" s="40">
        <v>4</v>
      </c>
      <c r="O184" s="40">
        <v>3</v>
      </c>
      <c r="P184" s="41">
        <v>2</v>
      </c>
      <c r="Q184" s="40">
        <v>4</v>
      </c>
      <c r="R184" s="40">
        <v>7</v>
      </c>
      <c r="S184" s="40">
        <v>5</v>
      </c>
      <c r="T184" s="40">
        <v>5</v>
      </c>
      <c r="U184" s="41">
        <v>4</v>
      </c>
      <c r="V184" s="40">
        <v>5</v>
      </c>
      <c r="W184" s="40">
        <v>4</v>
      </c>
      <c r="X184" s="40">
        <v>1</v>
      </c>
      <c r="Y184" s="41">
        <v>1</v>
      </c>
      <c r="Z184" s="40" t="s">
        <v>45</v>
      </c>
      <c r="AA184" s="40" t="s">
        <v>45</v>
      </c>
      <c r="AB184" s="40">
        <v>6</v>
      </c>
      <c r="AC184" s="40">
        <v>2</v>
      </c>
      <c r="AD184" s="40">
        <v>3</v>
      </c>
      <c r="AE184" s="40">
        <v>4</v>
      </c>
      <c r="AF184" s="40" t="s">
        <v>45</v>
      </c>
      <c r="AG184" s="41">
        <v>3</v>
      </c>
      <c r="AH184" s="40">
        <v>7</v>
      </c>
      <c r="AI184" s="40">
        <v>7</v>
      </c>
      <c r="AJ184" s="41">
        <v>7</v>
      </c>
      <c r="AK184" s="43" t="s">
        <v>701</v>
      </c>
      <c r="AL184" s="43" t="s">
        <v>635</v>
      </c>
      <c r="AM184" s="44">
        <f t="shared" si="15"/>
        <v>-1.0889280732421334</v>
      </c>
      <c r="AN184" s="44">
        <f t="shared" si="16"/>
        <v>8.1663207785363876E-4</v>
      </c>
      <c r="AO184" s="45">
        <f t="shared" si="17"/>
        <v>1</v>
      </c>
      <c r="AP184" s="46">
        <f t="shared" si="18"/>
        <v>0.6</v>
      </c>
      <c r="AQ184" s="44">
        <f>($AM$3*AM184+$AN$3*AN184+$AO$3*AO184+$AP$3*AP184)+$I$3*VLOOKUP(I184,COND!$A$2:$E$7,4,FALSE)+$J$3*VLOOKUP(J184,COND!$A$2:$C$7,2,FALSE)+$K$3*VLOOKUP(K184,COND!$A$2:$C$7,3,FALSE)+IF(AND($B$2&gt;0,$E184&lt;20),$B$2*25,0)</f>
        <v>45.367573444276694</v>
      </c>
      <c r="AR184" s="47">
        <f t="shared" si="19"/>
        <v>0.27394834841873306</v>
      </c>
      <c r="AS184" s="45" t="str">
        <f t="shared" si="20"/>
        <v>2B</v>
      </c>
      <c r="AT184" s="45">
        <f>RANK(Batters[[#This Row],[zScore]],Batters[[#All],[zScore]])</f>
        <v>180</v>
      </c>
      <c r="AU184" s="45"/>
      <c r="AV184" s="45"/>
      <c r="AW184" s="45" t="str">
        <f t="shared" si="21"/>
        <v>Unlikely</v>
      </c>
      <c r="AX184" s="45"/>
      <c r="AY184" s="45">
        <f>INDEX(Table5[[#All],[Ovr]],MATCH(Batters[[#This Row],[PID]],Table5[[#All],[PID]],0))</f>
        <v>210</v>
      </c>
      <c r="AZ184" s="45" t="str">
        <f>INDEX(Table5[[#All],[Rnd]],MATCH(Batters[[#This Row],[PID]],Table5[[#All],[PID]],0))</f>
        <v>7</v>
      </c>
      <c r="BA184" s="45">
        <f>INDEX(Table5[[#All],[Pick]],MATCH(Batters[[#This Row],[PID]],Table5[[#All],[PID]],0))</f>
        <v>22</v>
      </c>
      <c r="BB184" s="45" t="str">
        <f>INDEX(Table5[[#All],[Team]],MATCH(Batters[[#This Row],[PID]],Table5[[#All],[PID]],0))</f>
        <v>Fargo Dinosaurs</v>
      </c>
    </row>
    <row r="185" spans="1:54" ht="15" customHeight="1" x14ac:dyDescent="0.25">
      <c r="A185" s="40">
        <v>20260</v>
      </c>
      <c r="B185" s="40" t="s">
        <v>74</v>
      </c>
      <c r="C185" s="40" t="s">
        <v>354</v>
      </c>
      <c r="D185" s="40" t="s">
        <v>1074</v>
      </c>
      <c r="E185" s="40">
        <v>21</v>
      </c>
      <c r="F185" s="40" t="s">
        <v>42</v>
      </c>
      <c r="G185" s="40" t="s">
        <v>42</v>
      </c>
      <c r="H185" s="41" t="s">
        <v>634</v>
      </c>
      <c r="I185" s="65" t="s">
        <v>43</v>
      </c>
      <c r="J185" s="66" t="s">
        <v>43</v>
      </c>
      <c r="K185" s="67" t="s">
        <v>43</v>
      </c>
      <c r="L185" s="40">
        <v>2</v>
      </c>
      <c r="M185" s="40">
        <v>5</v>
      </c>
      <c r="N185" s="40">
        <v>3</v>
      </c>
      <c r="O185" s="40">
        <v>3</v>
      </c>
      <c r="P185" s="41">
        <v>2</v>
      </c>
      <c r="Q185" s="40">
        <v>4</v>
      </c>
      <c r="R185" s="40">
        <v>6</v>
      </c>
      <c r="S185" s="40">
        <v>5</v>
      </c>
      <c r="T185" s="40">
        <v>5</v>
      </c>
      <c r="U185" s="41">
        <v>4</v>
      </c>
      <c r="V185" s="40">
        <v>6</v>
      </c>
      <c r="W185" s="40">
        <v>8</v>
      </c>
      <c r="X185" s="40">
        <v>1</v>
      </c>
      <c r="Y185" s="41">
        <v>1</v>
      </c>
      <c r="Z185" s="40" t="s">
        <v>45</v>
      </c>
      <c r="AA185" s="40" t="s">
        <v>45</v>
      </c>
      <c r="AB185" s="40" t="s">
        <v>45</v>
      </c>
      <c r="AC185" s="40" t="s">
        <v>45</v>
      </c>
      <c r="AD185" s="40" t="s">
        <v>45</v>
      </c>
      <c r="AE185" s="40">
        <v>5</v>
      </c>
      <c r="AF185" s="40">
        <v>6</v>
      </c>
      <c r="AG185" s="41">
        <v>2</v>
      </c>
      <c r="AH185" s="40">
        <v>10</v>
      </c>
      <c r="AI185" s="40">
        <v>6</v>
      </c>
      <c r="AJ185" s="41">
        <v>5</v>
      </c>
      <c r="AK185" s="43" t="s">
        <v>551</v>
      </c>
      <c r="AL185" s="43" t="s">
        <v>47</v>
      </c>
      <c r="AM185" s="44">
        <f t="shared" si="15"/>
        <v>-1.171989567266035</v>
      </c>
      <c r="AN185" s="44">
        <f t="shared" si="16"/>
        <v>-5.0243247540849842E-2</v>
      </c>
      <c r="AO185" s="45">
        <f t="shared" si="17"/>
        <v>2</v>
      </c>
      <c r="AP185" s="46">
        <f t="shared" si="18"/>
        <v>0.75</v>
      </c>
      <c r="AQ185" s="44">
        <f>($AM$3*AM185+$AN$3*AN185+$AO$3*AO185+$AP$3*AP185)+$I$3*VLOOKUP(I185,COND!$A$2:$E$7,4,FALSE)+$J$3*VLOOKUP(J185,COND!$A$2:$C$7,2,FALSE)+$K$3*VLOOKUP(K185,COND!$A$2:$C$7,3,FALSE)+IF(AND($B$2&gt;0,$E185&lt;20),$B$2*25,0)</f>
        <v>45.363215406116531</v>
      </c>
      <c r="AR185" s="47">
        <f t="shared" si="19"/>
        <v>0.27298214190102082</v>
      </c>
      <c r="AS185" s="45" t="str">
        <f t="shared" si="20"/>
        <v>CF</v>
      </c>
      <c r="AT185" s="45">
        <f>RANK(Batters[[#This Row],[zScore]],Batters[[#All],[zScore]])</f>
        <v>181</v>
      </c>
      <c r="AU185" s="45"/>
      <c r="AV185" s="45"/>
      <c r="AW185" s="45" t="str">
        <f t="shared" si="21"/>
        <v>Unlikely</v>
      </c>
      <c r="AX185" s="45"/>
      <c r="AY185" s="45">
        <f>INDEX(Table5[[#All],[Ovr]],MATCH(Batters[[#This Row],[PID]],Table5[[#All],[PID]],0))</f>
        <v>158</v>
      </c>
      <c r="AZ185" s="45" t="str">
        <f>INDEX(Table5[[#All],[Rnd]],MATCH(Batters[[#This Row],[PID]],Table5[[#All],[PID]],0))</f>
        <v>5</v>
      </c>
      <c r="BA185" s="45">
        <f>INDEX(Table5[[#All],[Pick]],MATCH(Batters[[#This Row],[PID]],Table5[[#All],[PID]],0))</f>
        <v>30</v>
      </c>
      <c r="BB185" s="45" t="str">
        <f>INDEX(Table5[[#All],[Team]],MATCH(Batters[[#This Row],[PID]],Table5[[#All],[PID]],0))</f>
        <v>Niihama-shi Ghosts</v>
      </c>
    </row>
    <row r="186" spans="1:54" ht="15" customHeight="1" x14ac:dyDescent="0.25">
      <c r="A186" s="40">
        <v>20670</v>
      </c>
      <c r="B186" s="40" t="s">
        <v>74</v>
      </c>
      <c r="C186" s="40" t="s">
        <v>1491</v>
      </c>
      <c r="D186" s="40" t="s">
        <v>694</v>
      </c>
      <c r="E186" s="40">
        <v>18</v>
      </c>
      <c r="F186" s="40" t="s">
        <v>42</v>
      </c>
      <c r="G186" s="40" t="s">
        <v>42</v>
      </c>
      <c r="H186" s="41" t="s">
        <v>638</v>
      </c>
      <c r="I186" s="65" t="s">
        <v>43</v>
      </c>
      <c r="J186" s="66" t="s">
        <v>43</v>
      </c>
      <c r="K186" s="67" t="s">
        <v>43</v>
      </c>
      <c r="L186" s="40">
        <v>1</v>
      </c>
      <c r="M186" s="40">
        <v>3</v>
      </c>
      <c r="N186" s="40">
        <v>3</v>
      </c>
      <c r="O186" s="40">
        <v>4</v>
      </c>
      <c r="P186" s="41">
        <v>1</v>
      </c>
      <c r="Q186" s="40">
        <v>3</v>
      </c>
      <c r="R186" s="40">
        <v>5</v>
      </c>
      <c r="S186" s="40">
        <v>5</v>
      </c>
      <c r="T186" s="40">
        <v>6</v>
      </c>
      <c r="U186" s="41">
        <v>3</v>
      </c>
      <c r="V186" s="40">
        <v>3</v>
      </c>
      <c r="W186" s="40">
        <v>6</v>
      </c>
      <c r="X186" s="40">
        <v>1</v>
      </c>
      <c r="Y186" s="41">
        <v>1</v>
      </c>
      <c r="Z186" s="40" t="s">
        <v>45</v>
      </c>
      <c r="AA186" s="40" t="s">
        <v>45</v>
      </c>
      <c r="AB186" s="40" t="s">
        <v>45</v>
      </c>
      <c r="AC186" s="40" t="s">
        <v>45</v>
      </c>
      <c r="AD186" s="40" t="s">
        <v>45</v>
      </c>
      <c r="AE186" s="40" t="s">
        <v>45</v>
      </c>
      <c r="AF186" s="40">
        <v>1</v>
      </c>
      <c r="AG186" s="41">
        <v>1</v>
      </c>
      <c r="AH186" s="40">
        <v>7</v>
      </c>
      <c r="AI186" s="40">
        <v>4</v>
      </c>
      <c r="AJ186" s="41">
        <v>5</v>
      </c>
      <c r="AK186" s="43" t="s">
        <v>670</v>
      </c>
      <c r="AL186" s="43" t="s">
        <v>47</v>
      </c>
      <c r="AM186" s="44">
        <f t="shared" si="15"/>
        <v>-1.546971952513619</v>
      </c>
      <c r="AN186" s="44">
        <f t="shared" si="16"/>
        <v>-0.3741657531697305</v>
      </c>
      <c r="AO186" s="45">
        <f t="shared" si="17"/>
        <v>0</v>
      </c>
      <c r="AP186" s="46">
        <f t="shared" si="18"/>
        <v>0</v>
      </c>
      <c r="AQ186" s="44">
        <f>($AM$3*AM186+$AN$3*AN186+$AO$3*AO186+$AP$3*AP186)+$I$3*VLOOKUP(I186,COND!$A$2:$E$7,4,FALSE)+$J$3*VLOOKUP(J186,COND!$A$2:$C$7,2,FALSE)+$K$3*VLOOKUP(K186,COND!$A$2:$C$7,3,FALSE)+IF(AND($B$2&gt;0,$E186&lt;20),$B$2*25,0)</f>
        <v>45.355313766711873</v>
      </c>
      <c r="AR186" s="47">
        <f t="shared" si="19"/>
        <v>0.27123029503488272</v>
      </c>
      <c r="AS186" s="45" t="str">
        <f t="shared" si="20"/>
        <v>CF</v>
      </c>
      <c r="AT186" s="45">
        <f>RANK(Batters[[#This Row],[zScore]],Batters[[#All],[zScore]])</f>
        <v>182</v>
      </c>
      <c r="AU186" s="45"/>
      <c r="AV186" s="45"/>
      <c r="AW186" s="45" t="str">
        <f t="shared" si="21"/>
        <v>Unlikely</v>
      </c>
      <c r="AX186" s="45"/>
      <c r="AY186" s="45">
        <f>INDEX(Table5[[#All],[Ovr]],MATCH(Batters[[#This Row],[PID]],Table5[[#All],[PID]],0))</f>
        <v>408</v>
      </c>
      <c r="AZ186" s="45" t="str">
        <f>INDEX(Table5[[#All],[Rnd]],MATCH(Batters[[#This Row],[PID]],Table5[[#All],[PID]],0))</f>
        <v>14</v>
      </c>
      <c r="BA186" s="45">
        <f>INDEX(Table5[[#All],[Pick]],MATCH(Batters[[#This Row],[PID]],Table5[[#All],[PID]],0))</f>
        <v>10</v>
      </c>
      <c r="BB186" s="45" t="str">
        <f>INDEX(Table5[[#All],[Team]],MATCH(Batters[[#This Row],[PID]],Table5[[#All],[PID]],0))</f>
        <v>Hartford Harpoon</v>
      </c>
    </row>
    <row r="187" spans="1:54" ht="15" customHeight="1" x14ac:dyDescent="0.25">
      <c r="A187" s="40">
        <v>18250</v>
      </c>
      <c r="B187" s="40" t="s">
        <v>50</v>
      </c>
      <c r="C187" s="40" t="s">
        <v>342</v>
      </c>
      <c r="D187" s="40" t="s">
        <v>1217</v>
      </c>
      <c r="E187" s="40">
        <v>18</v>
      </c>
      <c r="F187" s="40" t="s">
        <v>42</v>
      </c>
      <c r="G187" s="40" t="s">
        <v>42</v>
      </c>
      <c r="H187" s="41" t="s">
        <v>634</v>
      </c>
      <c r="I187" s="65" t="s">
        <v>43</v>
      </c>
      <c r="J187" s="66" t="s">
        <v>43</v>
      </c>
      <c r="K187" s="67" t="s">
        <v>43</v>
      </c>
      <c r="L187" s="40">
        <v>1</v>
      </c>
      <c r="M187" s="40">
        <v>2</v>
      </c>
      <c r="N187" s="40">
        <v>3</v>
      </c>
      <c r="O187" s="40">
        <v>1</v>
      </c>
      <c r="P187" s="41">
        <v>1</v>
      </c>
      <c r="Q187" s="40">
        <v>3</v>
      </c>
      <c r="R187" s="40">
        <v>6</v>
      </c>
      <c r="S187" s="40">
        <v>7</v>
      </c>
      <c r="T187" s="40">
        <v>4</v>
      </c>
      <c r="U187" s="41">
        <v>2</v>
      </c>
      <c r="V187" s="40">
        <v>4</v>
      </c>
      <c r="W187" s="40">
        <v>6</v>
      </c>
      <c r="X187" s="40">
        <v>1</v>
      </c>
      <c r="Y187" s="41">
        <v>1</v>
      </c>
      <c r="Z187" s="40" t="s">
        <v>45</v>
      </c>
      <c r="AA187" s="40" t="s">
        <v>45</v>
      </c>
      <c r="AB187" s="40" t="s">
        <v>45</v>
      </c>
      <c r="AC187" s="40" t="s">
        <v>45</v>
      </c>
      <c r="AD187" s="40" t="s">
        <v>45</v>
      </c>
      <c r="AE187" s="40">
        <v>4</v>
      </c>
      <c r="AF187" s="40" t="s">
        <v>45</v>
      </c>
      <c r="AG187" s="41" t="s">
        <v>45</v>
      </c>
      <c r="AH187" s="40">
        <v>5</v>
      </c>
      <c r="AI187" s="40">
        <v>4</v>
      </c>
      <c r="AJ187" s="41">
        <v>6</v>
      </c>
      <c r="AK187" s="43" t="s">
        <v>921</v>
      </c>
      <c r="AL187" s="43" t="s">
        <v>47</v>
      </c>
      <c r="AM187" s="44">
        <f t="shared" si="15"/>
        <v>-1.8671604821610654</v>
      </c>
      <c r="AN187" s="44">
        <f t="shared" si="16"/>
        <v>-0.37641832533946945</v>
      </c>
      <c r="AO187" s="45">
        <f t="shared" si="17"/>
        <v>0</v>
      </c>
      <c r="AP187" s="46">
        <f t="shared" si="18"/>
        <v>0</v>
      </c>
      <c r="AQ187" s="44">
        <f>($AM$3*AM187+$AN$3*AN187+$AO$3*AO187+$AP$3*AP187)+$I$3*VLOOKUP(I187,COND!$A$2:$E$7,4,FALSE)+$J$3*VLOOKUP(J187,COND!$A$2:$C$7,2,FALSE)+$K$3*VLOOKUP(K187,COND!$A$2:$C$7,3,FALSE)+IF(AND($B$2&gt;0,$E187&lt;20),$B$2*25,0)</f>
        <v>45.29626404771026</v>
      </c>
      <c r="AR187" s="47">
        <f t="shared" si="19"/>
        <v>0.25813857319316752</v>
      </c>
      <c r="AS187" s="45" t="str">
        <f t="shared" si="20"/>
        <v>LF</v>
      </c>
      <c r="AT187" s="45">
        <f>RANK(Batters[[#This Row],[zScore]],Batters[[#All],[zScore]])</f>
        <v>183</v>
      </c>
      <c r="AU187" s="45"/>
      <c r="AV187" s="45"/>
      <c r="AW187" s="45" t="str">
        <f t="shared" si="21"/>
        <v>Unlikely</v>
      </c>
      <c r="AX187" s="45"/>
      <c r="AY187" s="45">
        <f>INDEX(Table5[[#All],[Ovr]],MATCH(Batters[[#This Row],[PID]],Table5[[#All],[PID]],0))</f>
        <v>147</v>
      </c>
      <c r="AZ187" s="45" t="str">
        <f>INDEX(Table5[[#All],[Rnd]],MATCH(Batters[[#This Row],[PID]],Table5[[#All],[PID]],0))</f>
        <v>5</v>
      </c>
      <c r="BA187" s="45">
        <f>INDEX(Table5[[#All],[Pick]],MATCH(Batters[[#This Row],[PID]],Table5[[#All],[PID]],0))</f>
        <v>19</v>
      </c>
      <c r="BB187" s="45" t="str">
        <f>INDEX(Table5[[#All],[Team]],MATCH(Batters[[#This Row],[PID]],Table5[[#All],[PID]],0))</f>
        <v>Kalamazoo Badgers</v>
      </c>
    </row>
    <row r="188" spans="1:54" ht="15" customHeight="1" x14ac:dyDescent="0.25">
      <c r="A188" s="40">
        <v>17586</v>
      </c>
      <c r="B188" s="40" t="s">
        <v>71</v>
      </c>
      <c r="C188" s="40" t="s">
        <v>124</v>
      </c>
      <c r="D188" s="40" t="s">
        <v>672</v>
      </c>
      <c r="E188" s="40">
        <v>18</v>
      </c>
      <c r="F188" s="40" t="s">
        <v>42</v>
      </c>
      <c r="G188" s="40" t="s">
        <v>42</v>
      </c>
      <c r="H188" s="41" t="s">
        <v>638</v>
      </c>
      <c r="I188" s="65" t="s">
        <v>43</v>
      </c>
      <c r="J188" s="66" t="s">
        <v>43</v>
      </c>
      <c r="K188" s="67" t="s">
        <v>43</v>
      </c>
      <c r="L188" s="40">
        <v>1</v>
      </c>
      <c r="M188" s="40">
        <v>1</v>
      </c>
      <c r="N188" s="40">
        <v>2</v>
      </c>
      <c r="O188" s="40">
        <v>1</v>
      </c>
      <c r="P188" s="41">
        <v>1</v>
      </c>
      <c r="Q188" s="40">
        <v>4</v>
      </c>
      <c r="R188" s="40">
        <v>3</v>
      </c>
      <c r="S188" s="40">
        <v>3</v>
      </c>
      <c r="T188" s="40">
        <v>4</v>
      </c>
      <c r="U188" s="41">
        <v>4</v>
      </c>
      <c r="V188" s="40">
        <v>4</v>
      </c>
      <c r="W188" s="40">
        <v>4</v>
      </c>
      <c r="X188" s="40">
        <v>1</v>
      </c>
      <c r="Y188" s="41">
        <v>1</v>
      </c>
      <c r="Z188" s="40" t="s">
        <v>45</v>
      </c>
      <c r="AA188" s="40" t="s">
        <v>45</v>
      </c>
      <c r="AB188" s="40">
        <v>3</v>
      </c>
      <c r="AC188" s="40" t="s">
        <v>45</v>
      </c>
      <c r="AD188" s="40" t="s">
        <v>45</v>
      </c>
      <c r="AE188" s="40">
        <v>2</v>
      </c>
      <c r="AF188" s="40" t="s">
        <v>45</v>
      </c>
      <c r="AG188" s="41" t="s">
        <v>45</v>
      </c>
      <c r="AH188" s="40">
        <v>9</v>
      </c>
      <c r="AI188" s="40">
        <v>10</v>
      </c>
      <c r="AJ188" s="41">
        <v>9</v>
      </c>
      <c r="AK188" s="43" t="s">
        <v>644</v>
      </c>
      <c r="AL188" s="43" t="s">
        <v>47</v>
      </c>
      <c r="AM188" s="44">
        <f t="shared" si="15"/>
        <v>-2.0012818558036707</v>
      </c>
      <c r="AN188" s="44">
        <f t="shared" si="16"/>
        <v>-0.45925542445434431</v>
      </c>
      <c r="AO188" s="45">
        <f t="shared" si="17"/>
        <v>6</v>
      </c>
      <c r="AP188" s="46">
        <f t="shared" si="18"/>
        <v>0</v>
      </c>
      <c r="AQ188" s="44">
        <f>($AM$3*AM188+$AN$3*AN188+$AO$3*AO188+$AP$3*AP188)+$I$3*VLOOKUP(I188,COND!$A$2:$E$7,4,FALSE)+$J$3*VLOOKUP(J188,COND!$A$2:$C$7,2,FALSE)+$K$3*VLOOKUP(K188,COND!$A$2:$C$7,3,FALSE)+IF(AND($B$2&gt;0,$E188&lt;20),$B$2*25,0)</f>
        <v>45.2888067209675</v>
      </c>
      <c r="AR188" s="47">
        <f t="shared" si="19"/>
        <v>0.25648523344744706</v>
      </c>
      <c r="AS188" s="45" t="str">
        <f t="shared" si="20"/>
        <v>2B</v>
      </c>
      <c r="AT188" s="45">
        <f>RANK(Batters[[#This Row],[zScore]],Batters[[#All],[zScore]])</f>
        <v>184</v>
      </c>
      <c r="AU188" s="45"/>
      <c r="AV188" s="45"/>
      <c r="AW188" s="45" t="str">
        <f t="shared" si="21"/>
        <v>Unlikely</v>
      </c>
      <c r="AX188" s="45"/>
      <c r="AY188" s="45">
        <f>INDEX(Table5[[#All],[Ovr]],MATCH(Batters[[#This Row],[PID]],Table5[[#All],[PID]],0))</f>
        <v>471</v>
      </c>
      <c r="AZ188" s="45" t="str">
        <f>INDEX(Table5[[#All],[Rnd]],MATCH(Batters[[#This Row],[PID]],Table5[[#All],[PID]],0))</f>
        <v>16</v>
      </c>
      <c r="BA188" s="45">
        <f>INDEX(Table5[[#All],[Pick]],MATCH(Batters[[#This Row],[PID]],Table5[[#All],[PID]],0))</f>
        <v>13</v>
      </c>
      <c r="BB188" s="45" t="str">
        <f>INDEX(Table5[[#All],[Team]],MATCH(Batters[[#This Row],[PID]],Table5[[#All],[PID]],0))</f>
        <v>Reno Zephyrs</v>
      </c>
    </row>
    <row r="189" spans="1:54" ht="15" customHeight="1" x14ac:dyDescent="0.25">
      <c r="A189" s="40">
        <v>17832</v>
      </c>
      <c r="B189" s="40" t="s">
        <v>50</v>
      </c>
      <c r="C189" s="40" t="s">
        <v>1468</v>
      </c>
      <c r="D189" s="40" t="s">
        <v>568</v>
      </c>
      <c r="E189" s="40">
        <v>18</v>
      </c>
      <c r="F189" s="40" t="s">
        <v>42</v>
      </c>
      <c r="G189" s="40" t="s">
        <v>42</v>
      </c>
      <c r="H189" s="41" t="s">
        <v>638</v>
      </c>
      <c r="I189" s="65" t="s">
        <v>43</v>
      </c>
      <c r="J189" s="66" t="s">
        <v>47</v>
      </c>
      <c r="K189" s="67" t="s">
        <v>47</v>
      </c>
      <c r="L189" s="40">
        <v>1</v>
      </c>
      <c r="M189" s="40">
        <v>1</v>
      </c>
      <c r="N189" s="40">
        <v>2</v>
      </c>
      <c r="O189" s="40">
        <v>1</v>
      </c>
      <c r="P189" s="41">
        <v>1</v>
      </c>
      <c r="Q189" s="40">
        <v>4</v>
      </c>
      <c r="R189" s="40">
        <v>5</v>
      </c>
      <c r="S189" s="40">
        <v>2</v>
      </c>
      <c r="T189" s="40">
        <v>4</v>
      </c>
      <c r="U189" s="41">
        <v>4</v>
      </c>
      <c r="V189" s="40">
        <v>3</v>
      </c>
      <c r="W189" s="40">
        <v>4</v>
      </c>
      <c r="X189" s="40">
        <v>1</v>
      </c>
      <c r="Y189" s="41">
        <v>1</v>
      </c>
      <c r="Z189" s="40" t="s">
        <v>45</v>
      </c>
      <c r="AA189" s="40" t="s">
        <v>45</v>
      </c>
      <c r="AB189" s="40" t="s">
        <v>45</v>
      </c>
      <c r="AC189" s="40" t="s">
        <v>45</v>
      </c>
      <c r="AD189" s="40" t="s">
        <v>45</v>
      </c>
      <c r="AE189" s="40">
        <v>5</v>
      </c>
      <c r="AF189" s="40">
        <v>1</v>
      </c>
      <c r="AG189" s="41">
        <v>1</v>
      </c>
      <c r="AH189" s="40">
        <v>4</v>
      </c>
      <c r="AI189" s="40">
        <v>5</v>
      </c>
      <c r="AJ189" s="41">
        <v>7</v>
      </c>
      <c r="AK189" s="43" t="s">
        <v>663</v>
      </c>
      <c r="AL189" s="43" t="s">
        <v>635</v>
      </c>
      <c r="AM189" s="44">
        <f t="shared" si="15"/>
        <v>-2.0012818558036707</v>
      </c>
      <c r="AN189" s="44">
        <f t="shared" si="16"/>
        <v>-0.44019715924083891</v>
      </c>
      <c r="AO189" s="45">
        <f t="shared" si="17"/>
        <v>1</v>
      </c>
      <c r="AP189" s="46">
        <f t="shared" si="18"/>
        <v>0</v>
      </c>
      <c r="AQ189" s="44">
        <f>($AM$3*AM189+$AN$3*AN189+$AO$3*AO189+$AP$3*AP189)+$I$3*VLOOKUP(I189,COND!$A$2:$E$7,4,FALSE)+$J$3*VLOOKUP(J189,COND!$A$2:$C$7,2,FALSE)+$K$3*VLOOKUP(K189,COND!$A$2:$C$7,3,FALSE)+IF(AND($B$2&gt;0,$E189&lt;20),$B$2*25,0)</f>
        <v>45.284172570196233</v>
      </c>
      <c r="AR189" s="47">
        <f t="shared" si="19"/>
        <v>0.25545781089750508</v>
      </c>
      <c r="AS189" s="45" t="str">
        <f t="shared" si="20"/>
        <v>LF</v>
      </c>
      <c r="AT189" s="45">
        <f>RANK(Batters[[#This Row],[zScore]],Batters[[#All],[zScore]])</f>
        <v>185</v>
      </c>
      <c r="AU189" s="45"/>
      <c r="AV189" s="45"/>
      <c r="AW189" s="45" t="str">
        <f t="shared" si="21"/>
        <v>Unlikely</v>
      </c>
      <c r="AX189" s="45"/>
      <c r="AY189" s="45" t="str">
        <f>INDEX(Table5[[#All],[Ovr]],MATCH(Batters[[#This Row],[PID]],Table5[[#All],[PID]],0))</f>
        <v/>
      </c>
      <c r="AZ189" s="45" t="str">
        <f>INDEX(Table5[[#All],[Rnd]],MATCH(Batters[[#This Row],[PID]],Table5[[#All],[PID]],0))</f>
        <v/>
      </c>
      <c r="BA189" s="45" t="str">
        <f>INDEX(Table5[[#All],[Pick]],MATCH(Batters[[#This Row],[PID]],Table5[[#All],[PID]],0))</f>
        <v/>
      </c>
      <c r="BB189" s="45" t="str">
        <f>INDEX(Table5[[#All],[Team]],MATCH(Batters[[#This Row],[PID]],Table5[[#All],[PID]],0))</f>
        <v/>
      </c>
    </row>
    <row r="190" spans="1:54" ht="15" customHeight="1" x14ac:dyDescent="0.25">
      <c r="A190" s="40">
        <v>12841</v>
      </c>
      <c r="B190" s="40" t="s">
        <v>72</v>
      </c>
      <c r="C190" s="40" t="s">
        <v>1337</v>
      </c>
      <c r="D190" s="40" t="s">
        <v>1338</v>
      </c>
      <c r="E190" s="40">
        <v>21</v>
      </c>
      <c r="F190" s="40" t="s">
        <v>42</v>
      </c>
      <c r="G190" s="40" t="s">
        <v>42</v>
      </c>
      <c r="H190" s="41" t="s">
        <v>634</v>
      </c>
      <c r="I190" s="65" t="s">
        <v>43</v>
      </c>
      <c r="J190" s="66" t="s">
        <v>43</v>
      </c>
      <c r="K190" s="67" t="s">
        <v>43</v>
      </c>
      <c r="L190" s="40">
        <v>2</v>
      </c>
      <c r="M190" s="40">
        <v>4</v>
      </c>
      <c r="N190" s="40">
        <v>3</v>
      </c>
      <c r="O190" s="40">
        <v>3</v>
      </c>
      <c r="P190" s="41">
        <v>2</v>
      </c>
      <c r="Q190" s="40">
        <v>4</v>
      </c>
      <c r="R190" s="40">
        <v>6</v>
      </c>
      <c r="S190" s="40">
        <v>5</v>
      </c>
      <c r="T190" s="40">
        <v>5</v>
      </c>
      <c r="U190" s="41">
        <v>4</v>
      </c>
      <c r="V190" s="40">
        <v>9</v>
      </c>
      <c r="W190" s="40">
        <v>8</v>
      </c>
      <c r="X190" s="40">
        <v>1</v>
      </c>
      <c r="Y190" s="41">
        <v>1</v>
      </c>
      <c r="Z190" s="40" t="s">
        <v>45</v>
      </c>
      <c r="AA190" s="40" t="s">
        <v>45</v>
      </c>
      <c r="AB190" s="40" t="s">
        <v>45</v>
      </c>
      <c r="AC190" s="40" t="s">
        <v>45</v>
      </c>
      <c r="AD190" s="40">
        <v>5</v>
      </c>
      <c r="AE190" s="40" t="s">
        <v>45</v>
      </c>
      <c r="AF190" s="40" t="s">
        <v>45</v>
      </c>
      <c r="AG190" s="41" t="s">
        <v>45</v>
      </c>
      <c r="AH190" s="40">
        <v>6</v>
      </c>
      <c r="AI190" s="40">
        <v>5</v>
      </c>
      <c r="AJ190" s="41">
        <v>2</v>
      </c>
      <c r="AK190" s="43" t="s">
        <v>544</v>
      </c>
      <c r="AL190" s="43" t="s">
        <v>47</v>
      </c>
      <c r="AM190" s="44">
        <f t="shared" si="15"/>
        <v>-1.2230494468847384</v>
      </c>
      <c r="AN190" s="44">
        <f t="shared" si="16"/>
        <v>-5.0243247540849842E-2</v>
      </c>
      <c r="AO190" s="45">
        <f t="shared" si="17"/>
        <v>0</v>
      </c>
      <c r="AP190" s="46">
        <f t="shared" si="18"/>
        <v>1</v>
      </c>
      <c r="AQ190" s="44">
        <f>($AM$3*AM190+$AN$3*AN190+$AO$3*AO190+$AP$3*AP190)+$I$3*VLOOKUP(I190,COND!$A$2:$E$7,4,FALSE)+$J$3*VLOOKUP(J190,COND!$A$2:$C$7,2,FALSE)+$K$3*VLOOKUP(K190,COND!$A$2:$C$7,3,FALSE)+IF(AND($B$2&gt;0,$E190&lt;20),$B$2*25,0)</f>
        <v>45.274776084821326</v>
      </c>
      <c r="AR190" s="47">
        <f t="shared" si="19"/>
        <v>0.25337454657554165</v>
      </c>
      <c r="AS190" s="45" t="str">
        <f t="shared" si="20"/>
        <v>SS</v>
      </c>
      <c r="AT190" s="45">
        <f>RANK(Batters[[#This Row],[zScore]],Batters[[#All],[zScore]])</f>
        <v>186</v>
      </c>
      <c r="AU190" s="45"/>
      <c r="AV190" s="45"/>
      <c r="AW190" s="45" t="str">
        <f t="shared" si="21"/>
        <v>Unlikely</v>
      </c>
      <c r="AX190" s="45"/>
      <c r="AY190" s="45">
        <f>INDEX(Table5[[#All],[Ovr]],MATCH(Batters[[#This Row],[PID]],Table5[[#All],[PID]],0))</f>
        <v>359</v>
      </c>
      <c r="AZ190" s="45" t="str">
        <f>INDEX(Table5[[#All],[Rnd]],MATCH(Batters[[#This Row],[PID]],Table5[[#All],[PID]],0))</f>
        <v>12</v>
      </c>
      <c r="BA190" s="45">
        <f>INDEX(Table5[[#All],[Pick]],MATCH(Batters[[#This Row],[PID]],Table5[[#All],[PID]],0))</f>
        <v>21</v>
      </c>
      <c r="BB190" s="45" t="str">
        <f>INDEX(Table5[[#All],[Team]],MATCH(Batters[[#This Row],[PID]],Table5[[#All],[PID]],0))</f>
        <v>Crystal Lake Sandgnats</v>
      </c>
    </row>
    <row r="191" spans="1:54" ht="15" customHeight="1" x14ac:dyDescent="0.25">
      <c r="A191" s="40">
        <v>18384</v>
      </c>
      <c r="B191" s="40" t="s">
        <v>69</v>
      </c>
      <c r="C191" s="40" t="s">
        <v>1218</v>
      </c>
      <c r="D191" s="40" t="s">
        <v>1219</v>
      </c>
      <c r="E191" s="40">
        <v>18</v>
      </c>
      <c r="F191" s="40" t="s">
        <v>62</v>
      </c>
      <c r="G191" s="40" t="s">
        <v>42</v>
      </c>
      <c r="H191" s="41" t="s">
        <v>634</v>
      </c>
      <c r="I191" s="65" t="s">
        <v>43</v>
      </c>
      <c r="J191" s="66" t="s">
        <v>43</v>
      </c>
      <c r="K191" s="67" t="s">
        <v>43</v>
      </c>
      <c r="L191" s="40">
        <v>1</v>
      </c>
      <c r="M191" s="40">
        <v>2</v>
      </c>
      <c r="N191" s="40">
        <v>3</v>
      </c>
      <c r="O191" s="40">
        <v>2</v>
      </c>
      <c r="P191" s="41">
        <v>1</v>
      </c>
      <c r="Q191" s="40">
        <v>3</v>
      </c>
      <c r="R191" s="40">
        <v>5</v>
      </c>
      <c r="S191" s="40">
        <v>6</v>
      </c>
      <c r="T191" s="40">
        <v>5</v>
      </c>
      <c r="U191" s="41">
        <v>3</v>
      </c>
      <c r="V191" s="40">
        <v>9</v>
      </c>
      <c r="W191" s="40">
        <v>8</v>
      </c>
      <c r="X191" s="40">
        <v>1</v>
      </c>
      <c r="Y191" s="41">
        <v>1</v>
      </c>
      <c r="Z191" s="40" t="s">
        <v>45</v>
      </c>
      <c r="AA191" s="40" t="s">
        <v>45</v>
      </c>
      <c r="AB191" s="40">
        <v>1</v>
      </c>
      <c r="AC191" s="40">
        <v>2</v>
      </c>
      <c r="AD191" s="40" t="s">
        <v>45</v>
      </c>
      <c r="AE191" s="40" t="s">
        <v>45</v>
      </c>
      <c r="AF191" s="40" t="s">
        <v>45</v>
      </c>
      <c r="AG191" s="41" t="s">
        <v>45</v>
      </c>
      <c r="AH191" s="40">
        <v>2</v>
      </c>
      <c r="AI191" s="40">
        <v>4</v>
      </c>
      <c r="AJ191" s="41">
        <v>1</v>
      </c>
      <c r="AK191" s="43" t="s">
        <v>644</v>
      </c>
      <c r="AL191" s="43" t="s">
        <v>47</v>
      </c>
      <c r="AM191" s="44">
        <f t="shared" si="15"/>
        <v>-1.7774509321514844</v>
      </c>
      <c r="AN191" s="44">
        <f t="shared" si="16"/>
        <v>-0.38081380915540997</v>
      </c>
      <c r="AO191" s="45">
        <f t="shared" si="17"/>
        <v>0</v>
      </c>
      <c r="AP191" s="46">
        <f t="shared" si="18"/>
        <v>0</v>
      </c>
      <c r="AQ191" s="44">
        <f>($AM$3*AM191+$AN$3*AN191+$AO$3*AO191+$AP$3*AP191)+$I$3*VLOOKUP(I191,COND!$A$2:$E$7,4,FALSE)+$J$3*VLOOKUP(J191,COND!$A$2:$C$7,2,FALSE)+$K$3*VLOOKUP(K191,COND!$A$2:$C$7,3,FALSE)+IF(AND($B$2&gt;0,$E191&lt;20),$B$2*25,0)</f>
        <v>45.252489196919932</v>
      </c>
      <c r="AR191" s="47">
        <f t="shared" si="19"/>
        <v>0.24843339288242128</v>
      </c>
      <c r="AS191" s="45" t="str">
        <f t="shared" si="20"/>
        <v>3B</v>
      </c>
      <c r="AT191" s="45">
        <f>RANK(Batters[[#This Row],[zScore]],Batters[[#All],[zScore]])</f>
        <v>187</v>
      </c>
      <c r="AU191" s="45"/>
      <c r="AV191" s="45"/>
      <c r="AW191" s="45" t="str">
        <f t="shared" si="21"/>
        <v>Unlikely</v>
      </c>
      <c r="AX191" s="45"/>
      <c r="AY191" s="45">
        <f>INDEX(Table5[[#All],[Ovr]],MATCH(Batters[[#This Row],[PID]],Table5[[#All],[PID]],0))</f>
        <v>402</v>
      </c>
      <c r="AZ191" s="45" t="str">
        <f>INDEX(Table5[[#All],[Rnd]],MATCH(Batters[[#This Row],[PID]],Table5[[#All],[PID]],0))</f>
        <v>14</v>
      </c>
      <c r="BA191" s="45">
        <f>INDEX(Table5[[#All],[Pick]],MATCH(Batters[[#This Row],[PID]],Table5[[#All],[PID]],0))</f>
        <v>4</v>
      </c>
      <c r="BB191" s="45" t="str">
        <f>INDEX(Table5[[#All],[Team]],MATCH(Batters[[#This Row],[PID]],Table5[[#All],[PID]],0))</f>
        <v>Tempe Knights</v>
      </c>
    </row>
    <row r="192" spans="1:54" ht="15" customHeight="1" x14ac:dyDescent="0.25">
      <c r="A192" s="40">
        <v>18371</v>
      </c>
      <c r="B192" s="40" t="s">
        <v>71</v>
      </c>
      <c r="C192" s="40" t="s">
        <v>883</v>
      </c>
      <c r="D192" s="40" t="s">
        <v>1607</v>
      </c>
      <c r="E192" s="40">
        <v>18</v>
      </c>
      <c r="F192" s="40" t="s">
        <v>42</v>
      </c>
      <c r="G192" s="40" t="s">
        <v>42</v>
      </c>
      <c r="H192" s="41" t="s">
        <v>638</v>
      </c>
      <c r="I192" s="65" t="s">
        <v>44</v>
      </c>
      <c r="J192" s="66" t="s">
        <v>43</v>
      </c>
      <c r="K192" s="67" t="s">
        <v>43</v>
      </c>
      <c r="L192" s="40">
        <v>1</v>
      </c>
      <c r="M192" s="40">
        <v>2</v>
      </c>
      <c r="N192" s="40">
        <v>2</v>
      </c>
      <c r="O192" s="40">
        <v>2</v>
      </c>
      <c r="P192" s="41">
        <v>3</v>
      </c>
      <c r="Q192" s="40">
        <v>4</v>
      </c>
      <c r="R192" s="40">
        <v>3</v>
      </c>
      <c r="S192" s="40">
        <v>3</v>
      </c>
      <c r="T192" s="40">
        <v>4</v>
      </c>
      <c r="U192" s="41">
        <v>5</v>
      </c>
      <c r="V192" s="40">
        <v>6</v>
      </c>
      <c r="W192" s="40">
        <v>6</v>
      </c>
      <c r="X192" s="40">
        <v>1</v>
      </c>
      <c r="Y192" s="41">
        <v>1</v>
      </c>
      <c r="Z192" s="40" t="s">
        <v>45</v>
      </c>
      <c r="AA192" s="40" t="s">
        <v>45</v>
      </c>
      <c r="AB192" s="40">
        <v>5</v>
      </c>
      <c r="AC192" s="40" t="s">
        <v>45</v>
      </c>
      <c r="AD192" s="40">
        <v>2</v>
      </c>
      <c r="AE192" s="40" t="s">
        <v>45</v>
      </c>
      <c r="AF192" s="40" t="s">
        <v>45</v>
      </c>
      <c r="AG192" s="41" t="s">
        <v>45</v>
      </c>
      <c r="AH192" s="40">
        <v>7</v>
      </c>
      <c r="AI192" s="40">
        <v>3</v>
      </c>
      <c r="AJ192" s="41">
        <v>2</v>
      </c>
      <c r="AK192" s="43" t="s">
        <v>657</v>
      </c>
      <c r="AL192" s="43" t="s">
        <v>635</v>
      </c>
      <c r="AM192" s="44">
        <f t="shared" si="15"/>
        <v>-1.780479746541219</v>
      </c>
      <c r="AN192" s="44">
        <f t="shared" si="16"/>
        <v>-0.41923908463726089</v>
      </c>
      <c r="AO192" s="45">
        <f t="shared" si="17"/>
        <v>0</v>
      </c>
      <c r="AP192" s="46">
        <f t="shared" si="18"/>
        <v>0.6</v>
      </c>
      <c r="AQ192" s="44">
        <f>($AM$3*AM192+$AN$3*AN192+$AO$3*AO192+$AP$3*AP192)+$I$3*VLOOKUP(I192,COND!$A$2:$E$7,4,FALSE)+$J$3*VLOOKUP(J192,COND!$A$2:$C$7,2,FALSE)+$K$3*VLOOKUP(K192,COND!$A$2:$C$7,3,FALSE)+IF(AND($B$2&gt;0,$E192&lt;20),$B$2*25,0)</f>
        <v>45.241083009698748</v>
      </c>
      <c r="AR192" s="47">
        <f t="shared" si="19"/>
        <v>0.2459045640768146</v>
      </c>
      <c r="AS192" s="45" t="str">
        <f t="shared" si="20"/>
        <v>2B</v>
      </c>
      <c r="AT192" s="45">
        <f>RANK(Batters[[#This Row],[zScore]],Batters[[#All],[zScore]])</f>
        <v>188</v>
      </c>
      <c r="AU192" s="45"/>
      <c r="AV192" s="45"/>
      <c r="AW192" s="45" t="str">
        <f t="shared" si="21"/>
        <v>Unlikely</v>
      </c>
      <c r="AX192" s="45"/>
      <c r="AY192" s="45" t="str">
        <f>INDEX(Table5[[#All],[Ovr]],MATCH(Batters[[#This Row],[PID]],Table5[[#All],[PID]],0))</f>
        <v/>
      </c>
      <c r="AZ192" s="45" t="str">
        <f>INDEX(Table5[[#All],[Rnd]],MATCH(Batters[[#This Row],[PID]],Table5[[#All],[PID]],0))</f>
        <v/>
      </c>
      <c r="BA192" s="45" t="str">
        <f>INDEX(Table5[[#All],[Pick]],MATCH(Batters[[#This Row],[PID]],Table5[[#All],[PID]],0))</f>
        <v/>
      </c>
      <c r="BB192" s="45" t="str">
        <f>INDEX(Table5[[#All],[Team]],MATCH(Batters[[#This Row],[PID]],Table5[[#All],[PID]],0))</f>
        <v/>
      </c>
    </row>
    <row r="193" spans="1:54" ht="15" customHeight="1" x14ac:dyDescent="0.25">
      <c r="A193" s="40">
        <v>18157</v>
      </c>
      <c r="B193" s="40" t="s">
        <v>72</v>
      </c>
      <c r="C193" s="40" t="s">
        <v>160</v>
      </c>
      <c r="D193" s="40" t="s">
        <v>1199</v>
      </c>
      <c r="E193" s="40">
        <v>21</v>
      </c>
      <c r="F193" s="40" t="s">
        <v>62</v>
      </c>
      <c r="G193" s="40" t="s">
        <v>42</v>
      </c>
      <c r="H193" s="41" t="s">
        <v>633</v>
      </c>
      <c r="I193" s="65" t="s">
        <v>47</v>
      </c>
      <c r="J193" s="66" t="s">
        <v>43</v>
      </c>
      <c r="K193" s="67" t="s">
        <v>44</v>
      </c>
      <c r="L193" s="40">
        <v>3</v>
      </c>
      <c r="M193" s="40">
        <v>5</v>
      </c>
      <c r="N193" s="40">
        <v>3</v>
      </c>
      <c r="O193" s="40">
        <v>3</v>
      </c>
      <c r="P193" s="41">
        <v>2</v>
      </c>
      <c r="Q193" s="40">
        <v>4</v>
      </c>
      <c r="R193" s="40">
        <v>6</v>
      </c>
      <c r="S193" s="40">
        <v>5</v>
      </c>
      <c r="T193" s="40">
        <v>5</v>
      </c>
      <c r="U193" s="41">
        <v>4</v>
      </c>
      <c r="V193" s="40">
        <v>7</v>
      </c>
      <c r="W193" s="40">
        <v>6</v>
      </c>
      <c r="X193" s="40">
        <v>1</v>
      </c>
      <c r="Y193" s="41">
        <v>1</v>
      </c>
      <c r="Z193" s="40" t="s">
        <v>45</v>
      </c>
      <c r="AA193" s="40" t="s">
        <v>45</v>
      </c>
      <c r="AB193" s="40" t="s">
        <v>45</v>
      </c>
      <c r="AC193" s="40" t="s">
        <v>45</v>
      </c>
      <c r="AD193" s="40">
        <v>6</v>
      </c>
      <c r="AE193" s="40" t="s">
        <v>45</v>
      </c>
      <c r="AF193" s="40" t="s">
        <v>45</v>
      </c>
      <c r="AG193" s="41" t="s">
        <v>45</v>
      </c>
      <c r="AH193" s="40">
        <v>5</v>
      </c>
      <c r="AI193" s="40">
        <v>1</v>
      </c>
      <c r="AJ193" s="41">
        <v>2</v>
      </c>
      <c r="AK193" s="43" t="s">
        <v>643</v>
      </c>
      <c r="AL193" s="43" t="s">
        <v>635</v>
      </c>
      <c r="AM193" s="44">
        <f t="shared" si="15"/>
        <v>-0.84943373106336018</v>
      </c>
      <c r="AN193" s="44">
        <f t="shared" si="16"/>
        <v>-5.0243247540849842E-2</v>
      </c>
      <c r="AO193" s="45">
        <f t="shared" si="17"/>
        <v>0</v>
      </c>
      <c r="AP193" s="46">
        <f t="shared" si="18"/>
        <v>1</v>
      </c>
      <c r="AQ193" s="44">
        <f>($AM$3*AM193+$AN$3*AN193+$AO$3*AO193+$AP$3*AP193)+$I$3*VLOOKUP(I193,COND!$A$2:$E$7,4,FALSE)+$J$3*VLOOKUP(J193,COND!$A$2:$C$7,2,FALSE)+$K$3*VLOOKUP(K193,COND!$A$2:$C$7,3,FALSE)+IF(AND($B$2&gt;0,$E193&lt;20),$B$2*25,0)</f>
        <v>45.237137656403462</v>
      </c>
      <c r="AR193" s="47">
        <f t="shared" si="19"/>
        <v>0.24502985258313636</v>
      </c>
      <c r="AS193" s="45" t="str">
        <f t="shared" si="20"/>
        <v>SS</v>
      </c>
      <c r="AT193" s="45">
        <f>RANK(Batters[[#This Row],[zScore]],Batters[[#All],[zScore]])</f>
        <v>189</v>
      </c>
      <c r="AU193" s="45"/>
      <c r="AV193" s="45"/>
      <c r="AW193" s="45" t="str">
        <f t="shared" si="21"/>
        <v>Unlikely</v>
      </c>
      <c r="AX193" s="45"/>
      <c r="AY193" s="45">
        <f>INDEX(Table5[[#All],[Ovr]],MATCH(Batters[[#This Row],[PID]],Table5[[#All],[PID]],0))</f>
        <v>35</v>
      </c>
      <c r="AZ193" s="45" t="str">
        <f>INDEX(Table5[[#All],[Rnd]],MATCH(Batters[[#This Row],[PID]],Table5[[#All],[PID]],0))</f>
        <v>S1</v>
      </c>
      <c r="BA193" s="45">
        <f>INDEX(Table5[[#All],[Pick]],MATCH(Batters[[#This Row],[PID]],Table5[[#All],[PID]],0))</f>
        <v>8</v>
      </c>
      <c r="BB193" s="45" t="str">
        <f>INDEX(Table5[[#All],[Team]],MATCH(Batters[[#This Row],[PID]],Table5[[#All],[PID]],0))</f>
        <v>Florida Farstriders</v>
      </c>
    </row>
    <row r="194" spans="1:54" ht="15" customHeight="1" x14ac:dyDescent="0.25">
      <c r="A194" s="40">
        <v>18304</v>
      </c>
      <c r="B194" s="40" t="s">
        <v>72</v>
      </c>
      <c r="C194" s="40" t="s">
        <v>1028</v>
      </c>
      <c r="D194" s="40" t="s">
        <v>1572</v>
      </c>
      <c r="E194" s="40">
        <v>21</v>
      </c>
      <c r="F194" s="40" t="s">
        <v>42</v>
      </c>
      <c r="G194" s="40" t="s">
        <v>42</v>
      </c>
      <c r="H194" s="41" t="s">
        <v>638</v>
      </c>
      <c r="I194" s="65" t="s">
        <v>43</v>
      </c>
      <c r="J194" s="66" t="s">
        <v>43</v>
      </c>
      <c r="K194" s="67" t="s">
        <v>43</v>
      </c>
      <c r="L194" s="40">
        <v>3</v>
      </c>
      <c r="M194" s="40">
        <v>4</v>
      </c>
      <c r="N194" s="40">
        <v>2</v>
      </c>
      <c r="O194" s="40">
        <v>3</v>
      </c>
      <c r="P194" s="41">
        <v>2</v>
      </c>
      <c r="Q194" s="40">
        <v>5</v>
      </c>
      <c r="R194" s="40">
        <v>5</v>
      </c>
      <c r="S194" s="40">
        <v>2</v>
      </c>
      <c r="T194" s="40">
        <v>5</v>
      </c>
      <c r="U194" s="41">
        <v>4</v>
      </c>
      <c r="V194" s="40">
        <v>4</v>
      </c>
      <c r="W194" s="40">
        <v>3</v>
      </c>
      <c r="X194" s="40">
        <v>1</v>
      </c>
      <c r="Y194" s="41">
        <v>1</v>
      </c>
      <c r="Z194" s="40" t="s">
        <v>45</v>
      </c>
      <c r="AA194" s="40" t="s">
        <v>45</v>
      </c>
      <c r="AB194" s="40">
        <v>1</v>
      </c>
      <c r="AC194" s="40" t="s">
        <v>45</v>
      </c>
      <c r="AD194" s="40">
        <v>2</v>
      </c>
      <c r="AE194" s="40" t="s">
        <v>45</v>
      </c>
      <c r="AF194" s="40" t="s">
        <v>45</v>
      </c>
      <c r="AG194" s="41" t="s">
        <v>45</v>
      </c>
      <c r="AH194" s="40">
        <v>8</v>
      </c>
      <c r="AI194" s="40">
        <v>8</v>
      </c>
      <c r="AJ194" s="41">
        <v>7</v>
      </c>
      <c r="AK194" s="43" t="s">
        <v>45</v>
      </c>
      <c r="AL194" s="43" t="s">
        <v>47</v>
      </c>
      <c r="AM194" s="44">
        <f t="shared" si="15"/>
        <v>-0.98355510470596508</v>
      </c>
      <c r="AN194" s="44">
        <f t="shared" si="16"/>
        <v>-2.7931773028583153E-2</v>
      </c>
      <c r="AO194" s="45">
        <f t="shared" si="17"/>
        <v>4</v>
      </c>
      <c r="AP194" s="46">
        <f t="shared" si="18"/>
        <v>0</v>
      </c>
      <c r="AQ194" s="44">
        <f>($AM$3*AM194+$AN$3*AN194+$AO$3*AO194+$AP$3*AP194)+$I$3*VLOOKUP(I194,COND!$A$2:$E$7,4,FALSE)+$J$3*VLOOKUP(J194,COND!$A$2:$C$7,2,FALSE)+$K$3*VLOOKUP(K194,COND!$A$2:$C$7,3,FALSE)+IF(AND($B$2&gt;0,$E194&lt;20),$B$2*25,0)</f>
        <v>45.233129879853074</v>
      </c>
      <c r="AR194" s="47">
        <f t="shared" si="19"/>
        <v>0.24414130143186</v>
      </c>
      <c r="AS194" s="45" t="str">
        <f t="shared" si="20"/>
        <v>SS</v>
      </c>
      <c r="AT194" s="45">
        <f>RANK(Batters[[#This Row],[zScore]],Batters[[#All],[zScore]])</f>
        <v>190</v>
      </c>
      <c r="AU194" s="45"/>
      <c r="AV194" s="45"/>
      <c r="AW194" s="45" t="str">
        <f t="shared" si="21"/>
        <v>Unlikely</v>
      </c>
      <c r="AX194" s="45"/>
      <c r="AY194" s="45">
        <f>INDEX(Table5[[#All],[Ovr]],MATCH(Batters[[#This Row],[PID]],Table5[[#All],[PID]],0))</f>
        <v>415</v>
      </c>
      <c r="AZ194" s="45" t="str">
        <f>INDEX(Table5[[#All],[Rnd]],MATCH(Batters[[#This Row],[PID]],Table5[[#All],[PID]],0))</f>
        <v>14</v>
      </c>
      <c r="BA194" s="45">
        <f>INDEX(Table5[[#All],[Pick]],MATCH(Batters[[#This Row],[PID]],Table5[[#All],[PID]],0))</f>
        <v>17</v>
      </c>
      <c r="BB194" s="45" t="str">
        <f>INDEX(Table5[[#All],[Team]],MATCH(Batters[[#This Row],[PID]],Table5[[#All],[PID]],0))</f>
        <v>Madison Malts</v>
      </c>
    </row>
    <row r="195" spans="1:54" ht="15" customHeight="1" x14ac:dyDescent="0.25">
      <c r="A195" s="40">
        <v>20564</v>
      </c>
      <c r="B195" s="40" t="s">
        <v>87</v>
      </c>
      <c r="C195" s="40" t="s">
        <v>352</v>
      </c>
      <c r="D195" s="40" t="s">
        <v>1477</v>
      </c>
      <c r="E195" s="40">
        <v>18</v>
      </c>
      <c r="F195" s="40" t="s">
        <v>42</v>
      </c>
      <c r="G195" s="40" t="s">
        <v>42</v>
      </c>
      <c r="H195" s="41" t="s">
        <v>638</v>
      </c>
      <c r="I195" s="65" t="s">
        <v>43</v>
      </c>
      <c r="J195" s="66" t="s">
        <v>43</v>
      </c>
      <c r="K195" s="67" t="s">
        <v>43</v>
      </c>
      <c r="L195" s="40">
        <v>1</v>
      </c>
      <c r="M195" s="40">
        <v>2</v>
      </c>
      <c r="N195" s="40">
        <v>3</v>
      </c>
      <c r="O195" s="40">
        <v>3</v>
      </c>
      <c r="P195" s="41">
        <v>1</v>
      </c>
      <c r="Q195" s="40">
        <v>3</v>
      </c>
      <c r="R195" s="40">
        <v>4</v>
      </c>
      <c r="S195" s="40">
        <v>5</v>
      </c>
      <c r="T195" s="40">
        <v>6</v>
      </c>
      <c r="U195" s="41">
        <v>4</v>
      </c>
      <c r="V195" s="40">
        <v>3</v>
      </c>
      <c r="W195" s="40">
        <v>4</v>
      </c>
      <c r="X195" s="40">
        <v>4</v>
      </c>
      <c r="Y195" s="41">
        <v>5</v>
      </c>
      <c r="Z195" s="40" t="s">
        <v>45</v>
      </c>
      <c r="AA195" s="40">
        <v>1</v>
      </c>
      <c r="AB195" s="40" t="s">
        <v>45</v>
      </c>
      <c r="AC195" s="40" t="s">
        <v>45</v>
      </c>
      <c r="AD195" s="40" t="s">
        <v>45</v>
      </c>
      <c r="AE195" s="40" t="s">
        <v>45</v>
      </c>
      <c r="AF195" s="40" t="s">
        <v>45</v>
      </c>
      <c r="AG195" s="41" t="s">
        <v>45</v>
      </c>
      <c r="AH195" s="40">
        <v>1</v>
      </c>
      <c r="AI195" s="40">
        <v>1</v>
      </c>
      <c r="AJ195" s="41">
        <v>1</v>
      </c>
      <c r="AK195" s="43" t="s">
        <v>548</v>
      </c>
      <c r="AL195" s="43" t="s">
        <v>47</v>
      </c>
      <c r="AM195" s="44">
        <f t="shared" si="15"/>
        <v>-1.6877413821419032</v>
      </c>
      <c r="AN195" s="44">
        <f t="shared" si="16"/>
        <v>-0.38520929297135054</v>
      </c>
      <c r="AO195" s="45">
        <f t="shared" si="17"/>
        <v>0</v>
      </c>
      <c r="AP195" s="46">
        <f t="shared" si="18"/>
        <v>0</v>
      </c>
      <c r="AQ195" s="44">
        <f>($AM$3*AM195+$AN$3*AN195+$AO$3*AO195+$AP$3*AP195)+$I$3*VLOOKUP(I195,COND!$A$2:$E$7,4,FALSE)+$J$3*VLOOKUP(J195,COND!$A$2:$C$7,2,FALSE)+$K$3*VLOOKUP(K195,COND!$A$2:$C$7,3,FALSE)+IF(AND($B$2&gt;0,$E195&lt;20),$B$2*25,0)</f>
        <v>45.208714346129604</v>
      </c>
      <c r="AR195" s="47">
        <f t="shared" si="19"/>
        <v>0.23872821257167504</v>
      </c>
      <c r="AS195" s="45" t="str">
        <f t="shared" si="20"/>
        <v>1B</v>
      </c>
      <c r="AT195" s="45">
        <f>RANK(Batters[[#This Row],[zScore]],Batters[[#All],[zScore]])</f>
        <v>191</v>
      </c>
      <c r="AU195" s="45"/>
      <c r="AV195" s="45"/>
      <c r="AW195" s="45" t="str">
        <f t="shared" si="21"/>
        <v>Unlikely</v>
      </c>
      <c r="AX195" s="45"/>
      <c r="AY195" s="45" t="str">
        <f>INDEX(Table5[[#All],[Ovr]],MATCH(Batters[[#This Row],[PID]],Table5[[#All],[PID]],0))</f>
        <v/>
      </c>
      <c r="AZ195" s="45" t="str">
        <f>INDEX(Table5[[#All],[Rnd]],MATCH(Batters[[#This Row],[PID]],Table5[[#All],[PID]],0))</f>
        <v/>
      </c>
      <c r="BA195" s="45" t="str">
        <f>INDEX(Table5[[#All],[Pick]],MATCH(Batters[[#This Row],[PID]],Table5[[#All],[PID]],0))</f>
        <v/>
      </c>
      <c r="BB195" s="45" t="str">
        <f>INDEX(Table5[[#All],[Team]],MATCH(Batters[[#This Row],[PID]],Table5[[#All],[PID]],0))</f>
        <v/>
      </c>
    </row>
    <row r="196" spans="1:54" ht="15" customHeight="1" x14ac:dyDescent="0.25">
      <c r="A196" s="40">
        <v>20314</v>
      </c>
      <c r="B196" s="40" t="s">
        <v>72</v>
      </c>
      <c r="C196" s="40" t="s">
        <v>1463</v>
      </c>
      <c r="D196" s="40" t="s">
        <v>1464</v>
      </c>
      <c r="E196" s="40">
        <v>17</v>
      </c>
      <c r="F196" s="40" t="s">
        <v>42</v>
      </c>
      <c r="G196" s="40" t="s">
        <v>42</v>
      </c>
      <c r="H196" s="41" t="s">
        <v>638</v>
      </c>
      <c r="I196" s="65" t="s">
        <v>43</v>
      </c>
      <c r="J196" s="66" t="s">
        <v>47</v>
      </c>
      <c r="K196" s="67" t="s">
        <v>43</v>
      </c>
      <c r="L196" s="40">
        <v>1</v>
      </c>
      <c r="M196" s="40">
        <v>2</v>
      </c>
      <c r="N196" s="40">
        <v>2</v>
      </c>
      <c r="O196" s="40">
        <v>2</v>
      </c>
      <c r="P196" s="41">
        <v>4</v>
      </c>
      <c r="Q196" s="40">
        <v>4</v>
      </c>
      <c r="R196" s="40">
        <v>4</v>
      </c>
      <c r="S196" s="40">
        <v>2</v>
      </c>
      <c r="T196" s="40">
        <v>4</v>
      </c>
      <c r="U196" s="41">
        <v>6</v>
      </c>
      <c r="V196" s="40">
        <v>7</v>
      </c>
      <c r="W196" s="40">
        <v>7</v>
      </c>
      <c r="X196" s="40">
        <v>1</v>
      </c>
      <c r="Y196" s="41">
        <v>1</v>
      </c>
      <c r="Z196" s="40" t="s">
        <v>45</v>
      </c>
      <c r="AA196" s="40" t="s">
        <v>45</v>
      </c>
      <c r="AB196" s="40">
        <v>1</v>
      </c>
      <c r="AC196" s="40" t="s">
        <v>45</v>
      </c>
      <c r="AD196" s="40">
        <v>2</v>
      </c>
      <c r="AE196" s="40" t="s">
        <v>45</v>
      </c>
      <c r="AF196" s="40" t="s">
        <v>45</v>
      </c>
      <c r="AG196" s="41">
        <v>1</v>
      </c>
      <c r="AH196" s="40">
        <v>6</v>
      </c>
      <c r="AI196" s="40">
        <v>3</v>
      </c>
      <c r="AJ196" s="41">
        <v>3</v>
      </c>
      <c r="AK196" s="43" t="s">
        <v>45</v>
      </c>
      <c r="AL196" s="43" t="s">
        <v>47</v>
      </c>
      <c r="AM196" s="44">
        <f t="shared" si="15"/>
        <v>-1.7404634067241354</v>
      </c>
      <c r="AN196" s="44">
        <f t="shared" si="16"/>
        <v>-0.41122435922537554</v>
      </c>
      <c r="AO196" s="45">
        <f t="shared" si="17"/>
        <v>0</v>
      </c>
      <c r="AP196" s="46">
        <f t="shared" si="18"/>
        <v>0</v>
      </c>
      <c r="AQ196" s="44">
        <f>($AM$3*AM196+$AN$3*AN196+$AO$3*AO196+$AP$3*AP196)+$I$3*VLOOKUP(I196,COND!$A$2:$E$7,4,FALSE)+$J$3*VLOOKUP(J196,COND!$A$2:$C$7,2,FALSE)+$K$3*VLOOKUP(K196,COND!$A$2:$C$7,3,FALSE)+IF(AND($B$2&gt;0,$E196&lt;20),$B$2*25,0)</f>
        <v>45.19126134862308</v>
      </c>
      <c r="AR196" s="47">
        <f t="shared" si="19"/>
        <v>0.23485876505316411</v>
      </c>
      <c r="AS196" s="45" t="str">
        <f t="shared" si="20"/>
        <v>SS</v>
      </c>
      <c r="AT196" s="45">
        <f>RANK(Batters[[#This Row],[zScore]],Batters[[#All],[zScore]])</f>
        <v>192</v>
      </c>
      <c r="AU196" s="45"/>
      <c r="AV196" s="45"/>
      <c r="AW196" s="45" t="str">
        <f t="shared" si="21"/>
        <v>Unlikely</v>
      </c>
      <c r="AX196" s="45"/>
      <c r="AY196" s="45">
        <f>INDEX(Table5[[#All],[Ovr]],MATCH(Batters[[#This Row],[PID]],Table5[[#All],[PID]],0))</f>
        <v>521</v>
      </c>
      <c r="AZ196" s="45" t="str">
        <f>INDEX(Table5[[#All],[Rnd]],MATCH(Batters[[#This Row],[PID]],Table5[[#All],[PID]],0))</f>
        <v>18</v>
      </c>
      <c r="BA196" s="45">
        <f>INDEX(Table5[[#All],[Pick]],MATCH(Batters[[#This Row],[PID]],Table5[[#All],[PID]],0))</f>
        <v>3</v>
      </c>
      <c r="BB196" s="45" t="str">
        <f>INDEX(Table5[[#All],[Team]],MATCH(Batters[[#This Row],[PID]],Table5[[#All],[PID]],0))</f>
        <v>New Orleans Trendsetters</v>
      </c>
    </row>
    <row r="197" spans="1:54" ht="15" customHeight="1" x14ac:dyDescent="0.25">
      <c r="A197" s="40">
        <v>20849</v>
      </c>
      <c r="B197" s="40" t="s">
        <v>50</v>
      </c>
      <c r="C197" s="40" t="s">
        <v>290</v>
      </c>
      <c r="D197" s="40" t="s">
        <v>1033</v>
      </c>
      <c r="E197" s="40">
        <v>17</v>
      </c>
      <c r="F197" s="40" t="s">
        <v>62</v>
      </c>
      <c r="G197" s="40" t="s">
        <v>42</v>
      </c>
      <c r="H197" s="41" t="s">
        <v>638</v>
      </c>
      <c r="I197" s="65" t="s">
        <v>43</v>
      </c>
      <c r="J197" s="66" t="s">
        <v>47</v>
      </c>
      <c r="K197" s="67" t="s">
        <v>43</v>
      </c>
      <c r="L197" s="40">
        <v>1</v>
      </c>
      <c r="M197" s="40">
        <v>2</v>
      </c>
      <c r="N197" s="40">
        <v>2</v>
      </c>
      <c r="O197" s="40">
        <v>1</v>
      </c>
      <c r="P197" s="41">
        <v>1</v>
      </c>
      <c r="Q197" s="40">
        <v>3</v>
      </c>
      <c r="R197" s="40">
        <v>6</v>
      </c>
      <c r="S197" s="40">
        <v>5</v>
      </c>
      <c r="T197" s="40">
        <v>5</v>
      </c>
      <c r="U197" s="41">
        <v>3</v>
      </c>
      <c r="V197" s="40">
        <v>6</v>
      </c>
      <c r="W197" s="40">
        <v>6</v>
      </c>
      <c r="X197" s="40">
        <v>1</v>
      </c>
      <c r="Y197" s="41">
        <v>1</v>
      </c>
      <c r="Z197" s="40" t="s">
        <v>45</v>
      </c>
      <c r="AA197" s="40" t="s">
        <v>45</v>
      </c>
      <c r="AB197" s="40" t="s">
        <v>45</v>
      </c>
      <c r="AC197" s="40" t="s">
        <v>45</v>
      </c>
      <c r="AD197" s="40" t="s">
        <v>45</v>
      </c>
      <c r="AE197" s="40">
        <v>2</v>
      </c>
      <c r="AF197" s="40">
        <v>1</v>
      </c>
      <c r="AG197" s="41">
        <v>2</v>
      </c>
      <c r="AH197" s="40">
        <v>5</v>
      </c>
      <c r="AI197" s="40">
        <v>5</v>
      </c>
      <c r="AJ197" s="41">
        <v>5</v>
      </c>
      <c r="AK197" s="43" t="s">
        <v>644</v>
      </c>
      <c r="AL197" s="43" t="s">
        <v>47</v>
      </c>
      <c r="AM197" s="44">
        <f t="shared" ref="AM197:AM260" si="22">($L$3*(L197-$Q$1)/$Q$2+$M$3*(M197-$R$1)/$R$2+$N$3*(N197-$S$1)/$S$2+$O$3*(O197-$T$1)/$T$2+$P$3*(P197-$U$1)/$U$2)/(SUM($L$3:$P$3))</f>
        <v>-1.9502219761849671</v>
      </c>
      <c r="AN197" s="44">
        <f t="shared" ref="AN197:AN260" si="23">($L$3*(Q197-$Q$1)/$Q$2+$M$3*(R197-$R$1)/$R$2+$N$3*(S197-$S$1)/$S$2+$O$3*(T197-$T$1)/$T$2+$P$3*(U197-$U$1)/$U$2)/(SUM($L$3:$P$3))</f>
        <v>-0.41281542356060796</v>
      </c>
      <c r="AO197" s="45">
        <f t="shared" ref="AO197:AO260" si="24">IF(AVERAGE(AH197:AI197)&gt;9,1,0)+IF(AVERAGE(AH197:AI197)&gt;7,1,0)+IF(AH197&gt;7,1,0)+IF(AI197&gt;7,1,0)+IF(AJ197&gt;8,1,0)+IF(AJ197&gt;6,1,0)</f>
        <v>0</v>
      </c>
      <c r="AP197" s="46">
        <f t="shared" ref="AP197:AP260" si="25">MIN(2,IF(OR(Z197="-",X197&lt;5),0,1+IF(Y197&gt;7,0.35,IF(Y197&gt;5,0.1,0))+IF(Z197&gt;7,1+IF(X197&gt;7,0.25,0),IF(Z197&gt;4,0.5+IF(X197&gt;7,0.25,0),0+IF(X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0</v>
      </c>
      <c r="AQ197" s="44">
        <f>($AM$3*AM197+$AN$3*AN197+$AO$3*AO197+$AP$3*AP197)+$I$3*VLOOKUP(I197,COND!$A$2:$E$7,4,FALSE)+$J$3*VLOOKUP(J197,COND!$A$2:$C$7,2,FALSE)+$K$3*VLOOKUP(K197,COND!$A$2:$C$7,3,FALSE)+IF(AND($B$2&gt;0,$E197&lt;20),$B$2*25,0)</f>
        <v>45.151192719654205</v>
      </c>
      <c r="AR197" s="47">
        <f t="shared" ref="AR197:AR260" si="26">STANDARDIZE(AQ197,AVERAGE($AQ$5:$AQ$534),STDEVP($AQ$5:$AQ$534))</f>
        <v>0.2259752791719685</v>
      </c>
      <c r="AS197" s="45" t="str">
        <f t="shared" ref="AS197:AS260" si="27">IF(AND(Z197&lt;&gt;"-",Y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RF</v>
      </c>
      <c r="AT197" s="45">
        <f>RANK(Batters[[#This Row],[zScore]],Batters[[#All],[zScore]])</f>
        <v>193</v>
      </c>
      <c r="AU197" s="45"/>
      <c r="AV197" s="45"/>
      <c r="AW197" s="45" t="str">
        <f t="shared" ref="AW197:AW260" si="28">IF(AND($Q197&gt;=6,AVERAGE($S197:$T197)&gt;=6),"Likely",IF(OR($Q197&gt;6,AND($Q197=6,AVERAGE($S197:$T197)&gt;=3),AND($Q197&gt;=5,AVERAGE($S197:$T197)&gt;=5),AVERAGE($Q197,$S197:$T197)&gt;5),"Possible","Unlikely"))</f>
        <v>Unlikely</v>
      </c>
      <c r="AX197" s="45"/>
      <c r="AY197" s="45">
        <f>INDEX(Table5[[#All],[Ovr]],MATCH(Batters[[#This Row],[PID]],Table5[[#All],[PID]],0))</f>
        <v>432</v>
      </c>
      <c r="AZ197" s="45" t="str">
        <f>INDEX(Table5[[#All],[Rnd]],MATCH(Batters[[#This Row],[PID]],Table5[[#All],[PID]],0))</f>
        <v>15</v>
      </c>
      <c r="BA197" s="45">
        <f>INDEX(Table5[[#All],[Pick]],MATCH(Batters[[#This Row],[PID]],Table5[[#All],[PID]],0))</f>
        <v>4</v>
      </c>
      <c r="BB197" s="45" t="str">
        <f>INDEX(Table5[[#All],[Team]],MATCH(Batters[[#This Row],[PID]],Table5[[#All],[PID]],0))</f>
        <v>Tempe Knights</v>
      </c>
    </row>
    <row r="198" spans="1:54" ht="15" customHeight="1" x14ac:dyDescent="0.25">
      <c r="A198" s="40">
        <v>18106</v>
      </c>
      <c r="B198" s="40" t="s">
        <v>87</v>
      </c>
      <c r="C198" s="40" t="s">
        <v>138</v>
      </c>
      <c r="D198" s="40" t="s">
        <v>1446</v>
      </c>
      <c r="E198" s="40">
        <v>21</v>
      </c>
      <c r="F198" s="40" t="s">
        <v>42</v>
      </c>
      <c r="G198" s="40" t="s">
        <v>42</v>
      </c>
      <c r="H198" s="41" t="s">
        <v>638</v>
      </c>
      <c r="I198" s="65" t="s">
        <v>43</v>
      </c>
      <c r="J198" s="66" t="s">
        <v>44</v>
      </c>
      <c r="K198" s="67" t="s">
        <v>43</v>
      </c>
      <c r="L198" s="40">
        <v>2</v>
      </c>
      <c r="M198" s="40">
        <v>4</v>
      </c>
      <c r="N198" s="40">
        <v>3</v>
      </c>
      <c r="O198" s="40">
        <v>5</v>
      </c>
      <c r="P198" s="41">
        <v>1</v>
      </c>
      <c r="Q198" s="40">
        <v>4</v>
      </c>
      <c r="R198" s="40">
        <v>6</v>
      </c>
      <c r="S198" s="40">
        <v>4</v>
      </c>
      <c r="T198" s="40">
        <v>7</v>
      </c>
      <c r="U198" s="41">
        <v>4</v>
      </c>
      <c r="V198" s="40">
        <v>3</v>
      </c>
      <c r="W198" s="40">
        <v>2</v>
      </c>
      <c r="X198" s="40">
        <v>4</v>
      </c>
      <c r="Y198" s="41">
        <v>3</v>
      </c>
      <c r="Z198" s="40" t="s">
        <v>45</v>
      </c>
      <c r="AA198" s="40">
        <v>1</v>
      </c>
      <c r="AB198" s="40" t="s">
        <v>45</v>
      </c>
      <c r="AC198" s="40" t="s">
        <v>45</v>
      </c>
      <c r="AD198" s="40" t="s">
        <v>45</v>
      </c>
      <c r="AE198" s="40" t="s">
        <v>45</v>
      </c>
      <c r="AF198" s="40" t="s">
        <v>45</v>
      </c>
      <c r="AG198" s="41" t="s">
        <v>45</v>
      </c>
      <c r="AH198" s="40">
        <v>1</v>
      </c>
      <c r="AI198" s="40">
        <v>3</v>
      </c>
      <c r="AJ198" s="41">
        <v>3</v>
      </c>
      <c r="AK198" s="43" t="s">
        <v>45</v>
      </c>
      <c r="AL198" s="43" t="s">
        <v>635</v>
      </c>
      <c r="AM198" s="44">
        <f t="shared" si="22"/>
        <v>-1.0836466866826597</v>
      </c>
      <c r="AN198" s="44">
        <f t="shared" si="23"/>
        <v>4.6114358454410746E-2</v>
      </c>
      <c r="AO198" s="45">
        <f t="shared" si="24"/>
        <v>0</v>
      </c>
      <c r="AP198" s="46">
        <f t="shared" si="25"/>
        <v>0</v>
      </c>
      <c r="AQ198" s="44">
        <f>($AM$3*AM198+$AN$3*AN198+$AO$3*AO198+$AP$3*AP198)+$I$3*VLOOKUP(I198,COND!$A$2:$E$7,4,FALSE)+$J$3*VLOOKUP(J198,COND!$A$2:$C$7,2,FALSE)+$K$3*VLOOKUP(K198,COND!$A$2:$C$7,3,FALSE)+IF(AND($B$2&gt;0,$E198&lt;20),$B$2*25,0)</f>
        <v>45.145007632784662</v>
      </c>
      <c r="AR198" s="47">
        <f t="shared" si="26"/>
        <v>0.22460400360568361</v>
      </c>
      <c r="AS198" s="45" t="str">
        <f t="shared" si="27"/>
        <v>1B</v>
      </c>
      <c r="AT198" s="45">
        <f>RANK(Batters[[#This Row],[zScore]],Batters[[#All],[zScore]])</f>
        <v>194</v>
      </c>
      <c r="AU198" s="45"/>
      <c r="AV198" s="45"/>
      <c r="AW198" s="45" t="str">
        <f t="shared" si="28"/>
        <v>Unlikely</v>
      </c>
      <c r="AX198" s="45"/>
      <c r="AY198" s="45">
        <f>INDEX(Table5[[#All],[Ovr]],MATCH(Batters[[#This Row],[PID]],Table5[[#All],[PID]],0))</f>
        <v>551</v>
      </c>
      <c r="AZ198" s="45" t="str">
        <f>INDEX(Table5[[#All],[Rnd]],MATCH(Batters[[#This Row],[PID]],Table5[[#All],[PID]],0))</f>
        <v>19</v>
      </c>
      <c r="BA198" s="45">
        <f>INDEX(Table5[[#All],[Pick]],MATCH(Batters[[#This Row],[PID]],Table5[[#All],[PID]],0))</f>
        <v>3</v>
      </c>
      <c r="BB198" s="45" t="str">
        <f>INDEX(Table5[[#All],[Team]],MATCH(Batters[[#This Row],[PID]],Table5[[#All],[PID]],0))</f>
        <v>New Orleans Trendsetters</v>
      </c>
    </row>
    <row r="199" spans="1:54" ht="15" customHeight="1" x14ac:dyDescent="0.25">
      <c r="A199" s="40">
        <v>18281</v>
      </c>
      <c r="B199" s="40" t="s">
        <v>72</v>
      </c>
      <c r="C199" s="40" t="s">
        <v>1170</v>
      </c>
      <c r="D199" s="40" t="s">
        <v>812</v>
      </c>
      <c r="E199" s="40">
        <v>21</v>
      </c>
      <c r="F199" s="40" t="s">
        <v>62</v>
      </c>
      <c r="G199" s="40" t="s">
        <v>42</v>
      </c>
      <c r="H199" s="41" t="s">
        <v>633</v>
      </c>
      <c r="I199" s="65" t="s">
        <v>43</v>
      </c>
      <c r="J199" s="66" t="s">
        <v>47</v>
      </c>
      <c r="K199" s="67" t="s">
        <v>43</v>
      </c>
      <c r="L199" s="40">
        <v>3</v>
      </c>
      <c r="M199" s="40">
        <v>5</v>
      </c>
      <c r="N199" s="40">
        <v>4</v>
      </c>
      <c r="O199" s="40">
        <v>3</v>
      </c>
      <c r="P199" s="41">
        <v>1</v>
      </c>
      <c r="Q199" s="40">
        <v>4</v>
      </c>
      <c r="R199" s="40">
        <v>6</v>
      </c>
      <c r="S199" s="40">
        <v>5</v>
      </c>
      <c r="T199" s="40">
        <v>5</v>
      </c>
      <c r="U199" s="41">
        <v>3</v>
      </c>
      <c r="V199" s="40">
        <v>7</v>
      </c>
      <c r="W199" s="40">
        <v>6</v>
      </c>
      <c r="X199" s="40">
        <v>1</v>
      </c>
      <c r="Y199" s="41">
        <v>1</v>
      </c>
      <c r="Z199" s="40" t="s">
        <v>45</v>
      </c>
      <c r="AA199" s="40" t="s">
        <v>45</v>
      </c>
      <c r="AB199" s="40" t="s">
        <v>45</v>
      </c>
      <c r="AC199" s="40" t="s">
        <v>45</v>
      </c>
      <c r="AD199" s="40">
        <v>7</v>
      </c>
      <c r="AE199" s="40" t="s">
        <v>45</v>
      </c>
      <c r="AF199" s="40" t="s">
        <v>45</v>
      </c>
      <c r="AG199" s="41" t="s">
        <v>45</v>
      </c>
      <c r="AH199" s="40">
        <v>6</v>
      </c>
      <c r="AI199" s="40">
        <v>5</v>
      </c>
      <c r="AJ199" s="41">
        <v>2</v>
      </c>
      <c r="AK199" s="43" t="s">
        <v>643</v>
      </c>
      <c r="AL199" s="43" t="s">
        <v>635</v>
      </c>
      <c r="AM199" s="44">
        <f t="shared" si="22"/>
        <v>-0.80638857685654197</v>
      </c>
      <c r="AN199" s="44">
        <f t="shared" si="23"/>
        <v>-9.0259587357933296E-2</v>
      </c>
      <c r="AO199" s="45">
        <f t="shared" si="24"/>
        <v>0</v>
      </c>
      <c r="AP199" s="46">
        <f t="shared" si="25"/>
        <v>1</v>
      </c>
      <c r="AQ199" s="44">
        <f>($AM$3*AM199+$AN$3*AN199+$AO$3*AO199+$AP$3*AP199)+$I$3*VLOOKUP(I199,COND!$A$2:$E$7,4,FALSE)+$J$3*VLOOKUP(J199,COND!$A$2:$C$7,2,FALSE)+$K$3*VLOOKUP(K199,COND!$A$2:$C$7,3,FALSE)+IF(AND($B$2&gt;0,$E199&lt;20),$B$2*25,0)</f>
        <v>45.136246094019143</v>
      </c>
      <c r="AR199" s="47">
        <f t="shared" si="26"/>
        <v>0.22266151123886224</v>
      </c>
      <c r="AS199" s="45" t="str">
        <f t="shared" si="27"/>
        <v>SS</v>
      </c>
      <c r="AT199" s="45">
        <f>RANK(Batters[[#This Row],[zScore]],Batters[[#All],[zScore]])</f>
        <v>195</v>
      </c>
      <c r="AU199" s="45"/>
      <c r="AV199" s="45"/>
      <c r="AW199" s="45" t="str">
        <f t="shared" si="28"/>
        <v>Unlikely</v>
      </c>
      <c r="AX199" s="45"/>
      <c r="AY199" s="45">
        <f>INDEX(Table5[[#All],[Ovr]],MATCH(Batters[[#This Row],[PID]],Table5[[#All],[PID]],0))</f>
        <v>101</v>
      </c>
      <c r="AZ199" s="45" t="str">
        <f>INDEX(Table5[[#All],[Rnd]],MATCH(Batters[[#This Row],[PID]],Table5[[#All],[PID]],0))</f>
        <v>4</v>
      </c>
      <c r="BA199" s="45">
        <f>INDEX(Table5[[#All],[Pick]],MATCH(Batters[[#This Row],[PID]],Table5[[#All],[PID]],0))</f>
        <v>1</v>
      </c>
      <c r="BB199" s="45" t="str">
        <f>INDEX(Table5[[#All],[Team]],MATCH(Batters[[#This Row],[PID]],Table5[[#All],[PID]],0))</f>
        <v>Yuma Arroyos</v>
      </c>
    </row>
    <row r="200" spans="1:54" ht="15" customHeight="1" x14ac:dyDescent="0.25">
      <c r="A200" s="40">
        <v>17831</v>
      </c>
      <c r="B200" s="40" t="s">
        <v>86</v>
      </c>
      <c r="C200" s="40" t="s">
        <v>1024</v>
      </c>
      <c r="D200" s="40" t="s">
        <v>736</v>
      </c>
      <c r="E200" s="40">
        <v>18</v>
      </c>
      <c r="F200" s="40" t="s">
        <v>42</v>
      </c>
      <c r="G200" s="40" t="s">
        <v>42</v>
      </c>
      <c r="H200" s="41" t="s">
        <v>634</v>
      </c>
      <c r="I200" s="65" t="s">
        <v>43</v>
      </c>
      <c r="J200" s="66" t="s">
        <v>47</v>
      </c>
      <c r="K200" s="67" t="s">
        <v>43</v>
      </c>
      <c r="L200" s="40">
        <v>1</v>
      </c>
      <c r="M200" s="40">
        <v>1</v>
      </c>
      <c r="N200" s="40">
        <v>2</v>
      </c>
      <c r="O200" s="40">
        <v>2</v>
      </c>
      <c r="P200" s="41">
        <v>1</v>
      </c>
      <c r="Q200" s="40">
        <v>3</v>
      </c>
      <c r="R200" s="40">
        <v>4</v>
      </c>
      <c r="S200" s="40">
        <v>4</v>
      </c>
      <c r="T200" s="40">
        <v>6</v>
      </c>
      <c r="U200" s="41">
        <v>3</v>
      </c>
      <c r="V200" s="40">
        <v>4</v>
      </c>
      <c r="W200" s="40">
        <v>4</v>
      </c>
      <c r="X200" s="40">
        <v>6</v>
      </c>
      <c r="Y200" s="41">
        <v>7</v>
      </c>
      <c r="Z200" s="40">
        <v>2</v>
      </c>
      <c r="AA200" s="40" t="s">
        <v>45</v>
      </c>
      <c r="AB200" s="40" t="s">
        <v>45</v>
      </c>
      <c r="AC200" s="40" t="s">
        <v>45</v>
      </c>
      <c r="AD200" s="40" t="s">
        <v>45</v>
      </c>
      <c r="AE200" s="40" t="s">
        <v>45</v>
      </c>
      <c r="AF200" s="40" t="s">
        <v>45</v>
      </c>
      <c r="AG200" s="41" t="s">
        <v>45</v>
      </c>
      <c r="AH200" s="40">
        <v>1</v>
      </c>
      <c r="AI200" s="40">
        <v>1</v>
      </c>
      <c r="AJ200" s="41">
        <v>3</v>
      </c>
      <c r="AK200" s="43" t="s">
        <v>644</v>
      </c>
      <c r="AL200" s="43" t="s">
        <v>47</v>
      </c>
      <c r="AM200" s="44">
        <f t="shared" si="22"/>
        <v>-1.9115723057940897</v>
      </c>
      <c r="AN200" s="44">
        <f t="shared" si="23"/>
        <v>-0.50828712681233545</v>
      </c>
      <c r="AO200" s="45">
        <f t="shared" si="24"/>
        <v>0</v>
      </c>
      <c r="AP200" s="46">
        <f t="shared" si="25"/>
        <v>1.1000000000000001</v>
      </c>
      <c r="AQ200" s="44">
        <f>($AM$3*AM200+$AN$3*AN200+$AO$3*AO200+$AP$3*AP200)+$I$3*VLOOKUP(I200,COND!$A$2:$E$7,4,FALSE)+$J$3*VLOOKUP(J200,COND!$A$2:$C$7,2,FALSE)+$K$3*VLOOKUP(K200,COND!$A$2:$C$7,3,FALSE)+IF(AND($B$2&gt;0,$E200&lt;20),$B$2*25,0)</f>
        <v>45.109397247672568</v>
      </c>
      <c r="AR200" s="47">
        <f t="shared" si="26"/>
        <v>0.2167089405224682</v>
      </c>
      <c r="AS200" s="45" t="str">
        <f t="shared" si="27"/>
        <v>C</v>
      </c>
      <c r="AT200" s="45">
        <f>RANK(Batters[[#This Row],[zScore]],Batters[[#All],[zScore]])</f>
        <v>196</v>
      </c>
      <c r="AU200" s="45"/>
      <c r="AV200" s="45"/>
      <c r="AW200" s="45" t="str">
        <f t="shared" si="28"/>
        <v>Unlikely</v>
      </c>
      <c r="AX200" s="45"/>
      <c r="AY200" s="45">
        <f>INDEX(Table5[[#All],[Ovr]],MATCH(Batters[[#This Row],[PID]],Table5[[#All],[PID]],0))</f>
        <v>513</v>
      </c>
      <c r="AZ200" s="45" t="str">
        <f>INDEX(Table5[[#All],[Rnd]],MATCH(Batters[[#This Row],[PID]],Table5[[#All],[PID]],0))</f>
        <v>17</v>
      </c>
      <c r="BA200" s="45">
        <f>INDEX(Table5[[#All],[Pick]],MATCH(Batters[[#This Row],[PID]],Table5[[#All],[PID]],0))</f>
        <v>25</v>
      </c>
      <c r="BB200" s="45" t="str">
        <f>INDEX(Table5[[#All],[Team]],MATCH(Batters[[#This Row],[PID]],Table5[[#All],[PID]],0))</f>
        <v>Toyama Wind Dancers</v>
      </c>
    </row>
    <row r="201" spans="1:54" ht="15" customHeight="1" x14ac:dyDescent="0.25">
      <c r="A201" s="40">
        <v>21094</v>
      </c>
      <c r="B201" s="40" t="s">
        <v>66</v>
      </c>
      <c r="C201" s="40" t="s">
        <v>148</v>
      </c>
      <c r="D201" s="40" t="s">
        <v>1445</v>
      </c>
      <c r="E201" s="40">
        <v>18</v>
      </c>
      <c r="F201" s="40" t="s">
        <v>62</v>
      </c>
      <c r="G201" s="40" t="s">
        <v>53</v>
      </c>
      <c r="H201" s="41" t="s">
        <v>638</v>
      </c>
      <c r="I201" s="65" t="s">
        <v>43</v>
      </c>
      <c r="J201" s="66" t="s">
        <v>47</v>
      </c>
      <c r="K201" s="67" t="s">
        <v>43</v>
      </c>
      <c r="L201" s="40">
        <v>1</v>
      </c>
      <c r="M201" s="40">
        <v>2</v>
      </c>
      <c r="N201" s="40">
        <v>2</v>
      </c>
      <c r="O201" s="40">
        <v>2</v>
      </c>
      <c r="P201" s="41">
        <v>1</v>
      </c>
      <c r="Q201" s="40">
        <v>3</v>
      </c>
      <c r="R201" s="40">
        <v>5</v>
      </c>
      <c r="S201" s="40">
        <v>4</v>
      </c>
      <c r="T201" s="40">
        <v>6</v>
      </c>
      <c r="U201" s="41">
        <v>4</v>
      </c>
      <c r="V201" s="40">
        <v>6</v>
      </c>
      <c r="W201" s="40">
        <v>7</v>
      </c>
      <c r="X201" s="40">
        <v>1</v>
      </c>
      <c r="Y201" s="41">
        <v>1</v>
      </c>
      <c r="Z201" s="40" t="s">
        <v>45</v>
      </c>
      <c r="AA201" s="40" t="s">
        <v>45</v>
      </c>
      <c r="AB201" s="40" t="s">
        <v>45</v>
      </c>
      <c r="AC201" s="40" t="s">
        <v>45</v>
      </c>
      <c r="AD201" s="40" t="s">
        <v>45</v>
      </c>
      <c r="AE201" s="40">
        <v>2</v>
      </c>
      <c r="AF201" s="40" t="s">
        <v>45</v>
      </c>
      <c r="AG201" s="41">
        <v>1</v>
      </c>
      <c r="AH201" s="40">
        <v>5</v>
      </c>
      <c r="AI201" s="40">
        <v>3</v>
      </c>
      <c r="AJ201" s="41">
        <v>2</v>
      </c>
      <c r="AK201" s="43" t="s">
        <v>644</v>
      </c>
      <c r="AL201" s="43" t="s">
        <v>47</v>
      </c>
      <c r="AM201" s="44">
        <f t="shared" si="22"/>
        <v>-1.8605124261753858</v>
      </c>
      <c r="AN201" s="44">
        <f t="shared" si="23"/>
        <v>-0.41721090737654859</v>
      </c>
      <c r="AO201" s="45">
        <f t="shared" si="24"/>
        <v>0</v>
      </c>
      <c r="AP201" s="46">
        <f t="shared" si="25"/>
        <v>0</v>
      </c>
      <c r="AQ201" s="44">
        <f>($AM$3*AM201+$AN$3*AN201+$AO$3*AO201+$AP$3*AP201)+$I$3*VLOOKUP(I201,COND!$A$2:$E$7,4,FALSE)+$J$3*VLOOKUP(J201,COND!$A$2:$C$7,2,FALSE)+$K$3*VLOOKUP(K201,COND!$A$2:$C$7,3,FALSE)+IF(AND($B$2&gt;0,$E201&lt;20),$B$2*25,0)</f>
        <v>45.107417868863877</v>
      </c>
      <c r="AR201" s="47">
        <f t="shared" si="26"/>
        <v>0.21627009886122225</v>
      </c>
      <c r="AS201" s="45" t="str">
        <f t="shared" si="27"/>
        <v>LF</v>
      </c>
      <c r="AT201" s="45">
        <f>RANK(Batters[[#This Row],[zScore]],Batters[[#All],[zScore]])</f>
        <v>197</v>
      </c>
      <c r="AU201" s="45"/>
      <c r="AV201" s="45"/>
      <c r="AW201" s="45" t="str">
        <f t="shared" si="28"/>
        <v>Unlikely</v>
      </c>
      <c r="AX201" s="45"/>
      <c r="AY201" s="45" t="str">
        <f>INDEX(Table5[[#All],[Ovr]],MATCH(Batters[[#This Row],[PID]],Table5[[#All],[PID]],0))</f>
        <v/>
      </c>
      <c r="AZ201" s="45" t="str">
        <f>INDEX(Table5[[#All],[Rnd]],MATCH(Batters[[#This Row],[PID]],Table5[[#All],[PID]],0))</f>
        <v/>
      </c>
      <c r="BA201" s="45" t="str">
        <f>INDEX(Table5[[#All],[Pick]],MATCH(Batters[[#This Row],[PID]],Table5[[#All],[PID]],0))</f>
        <v/>
      </c>
      <c r="BB201" s="45" t="str">
        <f>INDEX(Table5[[#All],[Team]],MATCH(Batters[[#This Row],[PID]],Table5[[#All],[PID]],0))</f>
        <v/>
      </c>
    </row>
    <row r="202" spans="1:54" ht="15" customHeight="1" x14ac:dyDescent="0.25">
      <c r="A202" s="40">
        <v>18327</v>
      </c>
      <c r="B202" s="40" t="s">
        <v>74</v>
      </c>
      <c r="C202" s="40" t="s">
        <v>1343</v>
      </c>
      <c r="D202" s="40" t="s">
        <v>1100</v>
      </c>
      <c r="E202" s="40">
        <v>21</v>
      </c>
      <c r="F202" s="40" t="s">
        <v>53</v>
      </c>
      <c r="G202" s="40" t="s">
        <v>42</v>
      </c>
      <c r="H202" s="41" t="s">
        <v>634</v>
      </c>
      <c r="I202" s="65" t="s">
        <v>43</v>
      </c>
      <c r="J202" s="66" t="s">
        <v>43</v>
      </c>
      <c r="K202" s="67" t="s">
        <v>43</v>
      </c>
      <c r="L202" s="40">
        <v>4</v>
      </c>
      <c r="M202" s="40">
        <v>5</v>
      </c>
      <c r="N202" s="40">
        <v>2</v>
      </c>
      <c r="O202" s="40">
        <v>2</v>
      </c>
      <c r="P202" s="41">
        <v>4</v>
      </c>
      <c r="Q202" s="40">
        <v>5</v>
      </c>
      <c r="R202" s="40">
        <v>6</v>
      </c>
      <c r="S202" s="40">
        <v>2</v>
      </c>
      <c r="T202" s="40">
        <v>3</v>
      </c>
      <c r="U202" s="41">
        <v>6</v>
      </c>
      <c r="V202" s="40">
        <v>6</v>
      </c>
      <c r="W202" s="40">
        <v>8</v>
      </c>
      <c r="X202" s="40">
        <v>1</v>
      </c>
      <c r="Y202" s="41">
        <v>1</v>
      </c>
      <c r="Z202" s="40" t="s">
        <v>45</v>
      </c>
      <c r="AA202" s="40" t="s">
        <v>45</v>
      </c>
      <c r="AB202" s="40" t="s">
        <v>45</v>
      </c>
      <c r="AC202" s="40" t="s">
        <v>45</v>
      </c>
      <c r="AD202" s="40" t="s">
        <v>45</v>
      </c>
      <c r="AE202" s="40" t="s">
        <v>45</v>
      </c>
      <c r="AF202" s="40">
        <v>7</v>
      </c>
      <c r="AG202" s="41" t="s">
        <v>45</v>
      </c>
      <c r="AH202" s="40">
        <v>7</v>
      </c>
      <c r="AI202" s="40">
        <v>8</v>
      </c>
      <c r="AJ202" s="41">
        <v>5</v>
      </c>
      <c r="AK202" s="43" t="s">
        <v>643</v>
      </c>
      <c r="AL202" s="43" t="s">
        <v>47</v>
      </c>
      <c r="AM202" s="44">
        <f t="shared" si="22"/>
        <v>-0.61961625926000097</v>
      </c>
      <c r="AN202" s="44">
        <f t="shared" si="23"/>
        <v>-7.6258313794874841E-2</v>
      </c>
      <c r="AO202" s="45">
        <f t="shared" si="24"/>
        <v>2</v>
      </c>
      <c r="AP202" s="46">
        <f t="shared" si="25"/>
        <v>0.75</v>
      </c>
      <c r="AQ202" s="44">
        <f>($AM$3*AM202+$AN$3*AN202+$AO$3*AO202+$AP$3*AP202)+$I$3*VLOOKUP(I202,COND!$A$2:$E$7,4,FALSE)+$J$3*VLOOKUP(J202,COND!$A$2:$C$7,2,FALSE)+$K$3*VLOOKUP(K202,COND!$A$2:$C$7,3,FALSE)+IF(AND($B$2&gt;0,$E202&lt;20),$B$2*25,0)</f>
        <v>45.106271941868833</v>
      </c>
      <c r="AR202" s="47">
        <f t="shared" si="26"/>
        <v>0.21601603910067346</v>
      </c>
      <c r="AS202" s="45" t="str">
        <f t="shared" si="27"/>
        <v>CF</v>
      </c>
      <c r="AT202" s="45">
        <f>RANK(Batters[[#This Row],[zScore]],Batters[[#All],[zScore]])</f>
        <v>198</v>
      </c>
      <c r="AU202" s="45"/>
      <c r="AV202" s="45"/>
      <c r="AW202" s="45" t="str">
        <f t="shared" si="28"/>
        <v>Unlikely</v>
      </c>
      <c r="AX202" s="45"/>
      <c r="AY202" s="45">
        <f>INDEX(Table5[[#All],[Ovr]],MATCH(Batters[[#This Row],[PID]],Table5[[#All],[PID]],0))</f>
        <v>68</v>
      </c>
      <c r="AZ202" s="45" t="str">
        <f>INDEX(Table5[[#All],[Rnd]],MATCH(Batters[[#This Row],[PID]],Table5[[#All],[PID]],0))</f>
        <v>2</v>
      </c>
      <c r="BA202" s="45">
        <f>INDEX(Table5[[#All],[Pick]],MATCH(Batters[[#This Row],[PID]],Table5[[#All],[PID]],0))</f>
        <v>33</v>
      </c>
      <c r="BB202" s="45" t="str">
        <f>INDEX(Table5[[#All],[Team]],MATCH(Batters[[#This Row],[PID]],Table5[[#All],[PID]],0))</f>
        <v>Florida Farstriders</v>
      </c>
    </row>
    <row r="203" spans="1:54" ht="15" customHeight="1" x14ac:dyDescent="0.25">
      <c r="A203" s="40">
        <v>18347</v>
      </c>
      <c r="B203" s="40" t="s">
        <v>74</v>
      </c>
      <c r="C203" s="40" t="s">
        <v>714</v>
      </c>
      <c r="D203" s="40" t="s">
        <v>1333</v>
      </c>
      <c r="E203" s="40">
        <v>18</v>
      </c>
      <c r="F203" s="40" t="s">
        <v>62</v>
      </c>
      <c r="G203" s="40" t="s">
        <v>42</v>
      </c>
      <c r="H203" s="41" t="s">
        <v>634</v>
      </c>
      <c r="I203" s="65" t="s">
        <v>43</v>
      </c>
      <c r="J203" s="66" t="s">
        <v>44</v>
      </c>
      <c r="K203" s="67" t="s">
        <v>43</v>
      </c>
      <c r="L203" s="40">
        <v>1</v>
      </c>
      <c r="M203" s="40">
        <v>2</v>
      </c>
      <c r="N203" s="40">
        <v>3</v>
      </c>
      <c r="O203" s="40">
        <v>2</v>
      </c>
      <c r="P203" s="41">
        <v>1</v>
      </c>
      <c r="Q203" s="40">
        <v>3</v>
      </c>
      <c r="R203" s="40">
        <v>4</v>
      </c>
      <c r="S203" s="40">
        <v>6</v>
      </c>
      <c r="T203" s="40">
        <v>6</v>
      </c>
      <c r="U203" s="41">
        <v>2</v>
      </c>
      <c r="V203" s="40">
        <v>5</v>
      </c>
      <c r="W203" s="40">
        <v>8</v>
      </c>
      <c r="X203" s="40">
        <v>1</v>
      </c>
      <c r="Y203" s="41">
        <v>1</v>
      </c>
      <c r="Z203" s="40" t="s">
        <v>45</v>
      </c>
      <c r="AA203" s="40" t="s">
        <v>45</v>
      </c>
      <c r="AB203" s="40" t="s">
        <v>45</v>
      </c>
      <c r="AC203" s="40" t="s">
        <v>45</v>
      </c>
      <c r="AD203" s="40" t="s">
        <v>45</v>
      </c>
      <c r="AE203" s="40" t="s">
        <v>45</v>
      </c>
      <c r="AF203" s="40">
        <v>3</v>
      </c>
      <c r="AG203" s="41" t="s">
        <v>45</v>
      </c>
      <c r="AH203" s="40">
        <v>9</v>
      </c>
      <c r="AI203" s="40">
        <v>5</v>
      </c>
      <c r="AJ203" s="41">
        <v>4</v>
      </c>
      <c r="AK203" s="43" t="s">
        <v>663</v>
      </c>
      <c r="AL203" s="43" t="s">
        <v>47</v>
      </c>
      <c r="AM203" s="44">
        <f t="shared" si="22"/>
        <v>-1.7774509321514844</v>
      </c>
      <c r="AN203" s="44">
        <f t="shared" si="23"/>
        <v>-0.38218047858161597</v>
      </c>
      <c r="AO203" s="45">
        <f t="shared" si="24"/>
        <v>1</v>
      </c>
      <c r="AP203" s="46">
        <f t="shared" si="25"/>
        <v>0</v>
      </c>
      <c r="AQ203" s="44">
        <f>($AM$3*AM203+$AN$3*AN203+$AO$3*AO203+$AP$3*AP203)+$I$3*VLOOKUP(I203,COND!$A$2:$E$7,4,FALSE)+$J$3*VLOOKUP(J203,COND!$A$2:$C$7,2,FALSE)+$K$3*VLOOKUP(K203,COND!$A$2:$C$7,3,FALSE)+IF(AND($B$2&gt;0,$E203&lt;20),$B$2*25,0)</f>
        <v>45.102755830472127</v>
      </c>
      <c r="AR203" s="47">
        <f t="shared" si="26"/>
        <v>0.21523649343731635</v>
      </c>
      <c r="AS203" s="45" t="str">
        <f t="shared" si="27"/>
        <v>CF</v>
      </c>
      <c r="AT203" s="45">
        <f>RANK(Batters[[#This Row],[zScore]],Batters[[#All],[zScore]])</f>
        <v>199</v>
      </c>
      <c r="AU203" s="45"/>
      <c r="AV203" s="45"/>
      <c r="AW203" s="45" t="str">
        <f t="shared" si="28"/>
        <v>Unlikely</v>
      </c>
      <c r="AX203" s="45"/>
      <c r="AY203" s="45">
        <f>INDEX(Table5[[#All],[Ovr]],MATCH(Batters[[#This Row],[PID]],Table5[[#All],[PID]],0))</f>
        <v>417</v>
      </c>
      <c r="AZ203" s="45" t="str">
        <f>INDEX(Table5[[#All],[Rnd]],MATCH(Batters[[#This Row],[PID]],Table5[[#All],[PID]],0))</f>
        <v>14</v>
      </c>
      <c r="BA203" s="45">
        <f>INDEX(Table5[[#All],[Pick]],MATCH(Batters[[#This Row],[PID]],Table5[[#All],[PID]],0))</f>
        <v>19</v>
      </c>
      <c r="BB203" s="45" t="str">
        <f>INDEX(Table5[[#All],[Team]],MATCH(Batters[[#This Row],[PID]],Table5[[#All],[PID]],0))</f>
        <v>Kalamazoo Badgers</v>
      </c>
    </row>
    <row r="204" spans="1:54" ht="15" customHeight="1" x14ac:dyDescent="0.25">
      <c r="A204" s="40">
        <v>18310</v>
      </c>
      <c r="B204" s="40" t="s">
        <v>66</v>
      </c>
      <c r="C204" s="40" t="s">
        <v>1305</v>
      </c>
      <c r="D204" s="40" t="s">
        <v>1306</v>
      </c>
      <c r="E204" s="40">
        <v>21</v>
      </c>
      <c r="F204" s="40" t="s">
        <v>53</v>
      </c>
      <c r="G204" s="40" t="s">
        <v>53</v>
      </c>
      <c r="H204" s="41" t="s">
        <v>634</v>
      </c>
      <c r="I204" s="65" t="s">
        <v>43</v>
      </c>
      <c r="J204" s="66" t="s">
        <v>44</v>
      </c>
      <c r="K204" s="67" t="s">
        <v>43</v>
      </c>
      <c r="L204" s="40">
        <v>3</v>
      </c>
      <c r="M204" s="40">
        <v>6</v>
      </c>
      <c r="N204" s="40">
        <v>5</v>
      </c>
      <c r="O204" s="40">
        <v>3</v>
      </c>
      <c r="P204" s="41">
        <v>1</v>
      </c>
      <c r="Q204" s="40">
        <v>4</v>
      </c>
      <c r="R204" s="40">
        <v>7</v>
      </c>
      <c r="S204" s="40">
        <v>7</v>
      </c>
      <c r="T204" s="40">
        <v>4</v>
      </c>
      <c r="U204" s="41">
        <v>3</v>
      </c>
      <c r="V204" s="40">
        <v>2</v>
      </c>
      <c r="W204" s="40">
        <v>4</v>
      </c>
      <c r="X204" s="40">
        <v>1</v>
      </c>
      <c r="Y204" s="41">
        <v>1</v>
      </c>
      <c r="Z204" s="40" t="s">
        <v>45</v>
      </c>
      <c r="AA204" s="40" t="s">
        <v>45</v>
      </c>
      <c r="AB204" s="40" t="s">
        <v>45</v>
      </c>
      <c r="AC204" s="40" t="s">
        <v>45</v>
      </c>
      <c r="AD204" s="40" t="s">
        <v>45</v>
      </c>
      <c r="AE204" s="40" t="s">
        <v>45</v>
      </c>
      <c r="AF204" s="40" t="s">
        <v>45</v>
      </c>
      <c r="AG204" s="41">
        <v>1</v>
      </c>
      <c r="AH204" s="40">
        <v>3</v>
      </c>
      <c r="AI204" s="40">
        <v>3</v>
      </c>
      <c r="AJ204" s="41">
        <v>3</v>
      </c>
      <c r="AK204" s="43" t="s">
        <v>45</v>
      </c>
      <c r="AL204" s="43" t="s">
        <v>47</v>
      </c>
      <c r="AM204" s="44">
        <f t="shared" si="22"/>
        <v>-0.67226720321393696</v>
      </c>
      <c r="AN204" s="44">
        <f t="shared" si="23"/>
        <v>3.7213730298992158E-2</v>
      </c>
      <c r="AO204" s="45">
        <f t="shared" si="24"/>
        <v>0</v>
      </c>
      <c r="AP204" s="46">
        <f t="shared" si="25"/>
        <v>0</v>
      </c>
      <c r="AQ204" s="44">
        <f>($AM$3*AM204+$AN$3*AN204+$AO$3*AO204+$AP$3*AP204)+$I$3*VLOOKUP(I204,COND!$A$2:$E$7,4,FALSE)+$J$3*VLOOKUP(J204,COND!$A$2:$C$7,2,FALSE)+$K$3*VLOOKUP(K204,COND!$A$2:$C$7,3,FALSE)+IF(AND($B$2&gt;0,$E204&lt;20),$B$2*25,0)</f>
        <v>45.07933804326651</v>
      </c>
      <c r="AR204" s="47">
        <f t="shared" si="26"/>
        <v>0.21004461172428007</v>
      </c>
      <c r="AS204" s="45" t="str">
        <f t="shared" si="27"/>
        <v>DH</v>
      </c>
      <c r="AT204" s="45">
        <f>RANK(Batters[[#This Row],[zScore]],Batters[[#All],[zScore]])</f>
        <v>200</v>
      </c>
      <c r="AU204" s="45"/>
      <c r="AV204" s="45"/>
      <c r="AW204" s="45" t="str">
        <f t="shared" si="28"/>
        <v>Unlikely</v>
      </c>
      <c r="AX204" s="45"/>
      <c r="AY204" s="45">
        <f>INDEX(Table5[[#All],[Ovr]],MATCH(Batters[[#This Row],[PID]],Table5[[#All],[PID]],0))</f>
        <v>127</v>
      </c>
      <c r="AZ204" s="45" t="str">
        <f>INDEX(Table5[[#All],[Rnd]],MATCH(Batters[[#This Row],[PID]],Table5[[#All],[PID]],0))</f>
        <v>4</v>
      </c>
      <c r="BA204" s="45">
        <f>INDEX(Table5[[#All],[Pick]],MATCH(Batters[[#This Row],[PID]],Table5[[#All],[PID]],0))</f>
        <v>27</v>
      </c>
      <c r="BB204" s="45" t="str">
        <f>INDEX(Table5[[#All],[Team]],MATCH(Batters[[#This Row],[PID]],Table5[[#All],[PID]],0))</f>
        <v>Havana Leones</v>
      </c>
    </row>
    <row r="205" spans="1:54" ht="15" customHeight="1" x14ac:dyDescent="0.25">
      <c r="A205" s="40">
        <v>21093</v>
      </c>
      <c r="B205" s="40" t="s">
        <v>72</v>
      </c>
      <c r="C205" s="40" t="s">
        <v>936</v>
      </c>
      <c r="D205" s="40" t="s">
        <v>201</v>
      </c>
      <c r="E205" s="40">
        <v>17</v>
      </c>
      <c r="F205" s="40" t="s">
        <v>42</v>
      </c>
      <c r="G205" s="40" t="s">
        <v>42</v>
      </c>
      <c r="H205" s="41" t="s">
        <v>634</v>
      </c>
      <c r="I205" s="65" t="s">
        <v>43</v>
      </c>
      <c r="J205" s="66" t="s">
        <v>44</v>
      </c>
      <c r="K205" s="67" t="s">
        <v>43</v>
      </c>
      <c r="L205" s="40">
        <v>1</v>
      </c>
      <c r="M205" s="40">
        <v>2</v>
      </c>
      <c r="N205" s="40">
        <v>3</v>
      </c>
      <c r="O205" s="40">
        <v>2</v>
      </c>
      <c r="P205" s="41">
        <v>1</v>
      </c>
      <c r="Q205" s="40">
        <v>3</v>
      </c>
      <c r="R205" s="40">
        <v>6</v>
      </c>
      <c r="S205" s="40">
        <v>5</v>
      </c>
      <c r="T205" s="40">
        <v>5</v>
      </c>
      <c r="U205" s="41">
        <v>4</v>
      </c>
      <c r="V205" s="40">
        <v>8</v>
      </c>
      <c r="W205" s="40">
        <v>8</v>
      </c>
      <c r="X205" s="40">
        <v>1</v>
      </c>
      <c r="Y205" s="41">
        <v>1</v>
      </c>
      <c r="Z205" s="40" t="s">
        <v>45</v>
      </c>
      <c r="AA205" s="40" t="s">
        <v>45</v>
      </c>
      <c r="AB205" s="40" t="s">
        <v>45</v>
      </c>
      <c r="AC205" s="40" t="s">
        <v>45</v>
      </c>
      <c r="AD205" s="40">
        <v>2</v>
      </c>
      <c r="AE205" s="40" t="s">
        <v>45</v>
      </c>
      <c r="AF205" s="40" t="s">
        <v>45</v>
      </c>
      <c r="AG205" s="41" t="s">
        <v>45</v>
      </c>
      <c r="AH205" s="40">
        <v>6</v>
      </c>
      <c r="AI205" s="40">
        <v>5</v>
      </c>
      <c r="AJ205" s="41">
        <v>5</v>
      </c>
      <c r="AK205" s="43" t="s">
        <v>644</v>
      </c>
      <c r="AL205" s="43" t="s">
        <v>47</v>
      </c>
      <c r="AM205" s="44">
        <f t="shared" si="22"/>
        <v>-1.7774509321514844</v>
      </c>
      <c r="AN205" s="44">
        <f t="shared" si="23"/>
        <v>-0.37279908374352455</v>
      </c>
      <c r="AO205" s="45">
        <f t="shared" si="24"/>
        <v>0</v>
      </c>
      <c r="AP205" s="46">
        <f t="shared" si="25"/>
        <v>0</v>
      </c>
      <c r="AQ205" s="44">
        <f>($AM$3*AM205+$AN$3*AN205+$AO$3*AO205+$AP$3*AP205)+$I$3*VLOOKUP(I205,COND!$A$2:$E$7,4,FALSE)+$J$3*VLOOKUP(J205,COND!$A$2:$C$7,2,FALSE)+$K$3*VLOOKUP(K205,COND!$A$2:$C$7,3,FALSE)+IF(AND($B$2&gt;0,$E205&lt;20),$B$2*25,0)</f>
        <v>45.048665901862556</v>
      </c>
      <c r="AR205" s="47">
        <f t="shared" si="26"/>
        <v>0.20324439065058875</v>
      </c>
      <c r="AS205" s="45" t="str">
        <f t="shared" si="27"/>
        <v>SS</v>
      </c>
      <c r="AT205" s="45">
        <f>RANK(Batters[[#This Row],[zScore]],Batters[[#All],[zScore]])</f>
        <v>201</v>
      </c>
      <c r="AU205" s="45"/>
      <c r="AV205" s="45"/>
      <c r="AW205" s="45" t="str">
        <f t="shared" si="28"/>
        <v>Unlikely</v>
      </c>
      <c r="AX205" s="45"/>
      <c r="AY205" s="45">
        <f>INDEX(Table5[[#All],[Ovr]],MATCH(Batters[[#This Row],[PID]],Table5[[#All],[PID]],0))</f>
        <v>234</v>
      </c>
      <c r="AZ205" s="45" t="str">
        <f>INDEX(Table5[[#All],[Rnd]],MATCH(Batters[[#This Row],[PID]],Table5[[#All],[PID]],0))</f>
        <v>8</v>
      </c>
      <c r="BA205" s="45">
        <f>INDEX(Table5[[#All],[Pick]],MATCH(Batters[[#This Row],[PID]],Table5[[#All],[PID]],0))</f>
        <v>16</v>
      </c>
      <c r="BB205" s="45" t="str">
        <f>INDEX(Table5[[#All],[Team]],MATCH(Batters[[#This Row],[PID]],Table5[[#All],[PID]],0))</f>
        <v>San Antonio Calzones of Laredo</v>
      </c>
    </row>
    <row r="206" spans="1:54" ht="15" customHeight="1" x14ac:dyDescent="0.25">
      <c r="A206" s="40">
        <v>17068</v>
      </c>
      <c r="B206" s="40" t="s">
        <v>69</v>
      </c>
      <c r="C206" s="40" t="s">
        <v>1271</v>
      </c>
      <c r="D206" s="40" t="s">
        <v>1272</v>
      </c>
      <c r="E206" s="40">
        <v>21</v>
      </c>
      <c r="F206" s="40" t="s">
        <v>53</v>
      </c>
      <c r="G206" s="40" t="s">
        <v>42</v>
      </c>
      <c r="H206" s="41" t="s">
        <v>634</v>
      </c>
      <c r="I206" s="65" t="s">
        <v>43</v>
      </c>
      <c r="J206" s="66" t="s">
        <v>43</v>
      </c>
      <c r="K206" s="67" t="s">
        <v>47</v>
      </c>
      <c r="L206" s="40">
        <v>2</v>
      </c>
      <c r="M206" s="40">
        <v>3</v>
      </c>
      <c r="N206" s="40">
        <v>3</v>
      </c>
      <c r="O206" s="40">
        <v>3</v>
      </c>
      <c r="P206" s="41">
        <v>2</v>
      </c>
      <c r="Q206" s="40">
        <v>4</v>
      </c>
      <c r="R206" s="40">
        <v>5</v>
      </c>
      <c r="S206" s="40">
        <v>5</v>
      </c>
      <c r="T206" s="40">
        <v>5</v>
      </c>
      <c r="U206" s="41">
        <v>4</v>
      </c>
      <c r="V206" s="40">
        <v>8</v>
      </c>
      <c r="W206" s="40">
        <v>8</v>
      </c>
      <c r="X206" s="40">
        <v>1</v>
      </c>
      <c r="Y206" s="41">
        <v>1</v>
      </c>
      <c r="Z206" s="40" t="s">
        <v>45</v>
      </c>
      <c r="AA206" s="40" t="s">
        <v>45</v>
      </c>
      <c r="AB206" s="40" t="s">
        <v>45</v>
      </c>
      <c r="AC206" s="40">
        <v>6</v>
      </c>
      <c r="AD206" s="40" t="s">
        <v>45</v>
      </c>
      <c r="AE206" s="40" t="s">
        <v>45</v>
      </c>
      <c r="AF206" s="40" t="s">
        <v>45</v>
      </c>
      <c r="AG206" s="41" t="s">
        <v>45</v>
      </c>
      <c r="AH206" s="40">
        <v>5</v>
      </c>
      <c r="AI206" s="40">
        <v>7</v>
      </c>
      <c r="AJ206" s="41">
        <v>10</v>
      </c>
      <c r="AK206" s="43" t="s">
        <v>654</v>
      </c>
      <c r="AL206" s="43" t="s">
        <v>47</v>
      </c>
      <c r="AM206" s="44">
        <f t="shared" si="22"/>
        <v>-1.2741093265034418</v>
      </c>
      <c r="AN206" s="44">
        <f t="shared" si="23"/>
        <v>-0.10130312715955338</v>
      </c>
      <c r="AO206" s="45">
        <f t="shared" si="24"/>
        <v>2</v>
      </c>
      <c r="AP206" s="46">
        <f t="shared" si="25"/>
        <v>0.75</v>
      </c>
      <c r="AQ206" s="44">
        <f>($AM$3*AM206+$AN$3*AN206+$AO$3*AO206+$AP$3*AP206)+$I$3*VLOOKUP(I206,COND!$A$2:$E$7,4,FALSE)+$J$3*VLOOKUP(J206,COND!$A$2:$C$7,2,FALSE)+$K$3*VLOOKUP(K206,COND!$A$2:$C$7,3,FALSE)+IF(AND($B$2&gt;0,$E206&lt;20),$B$2*25,0)</f>
        <v>45.040284874768346</v>
      </c>
      <c r="AR206" s="47">
        <f t="shared" si="26"/>
        <v>0.20138626029331691</v>
      </c>
      <c r="AS206" s="45" t="str">
        <f t="shared" si="27"/>
        <v>3B</v>
      </c>
      <c r="AT206" s="45">
        <f>RANK(Batters[[#This Row],[zScore]],Batters[[#All],[zScore]])</f>
        <v>202</v>
      </c>
      <c r="AU206" s="45"/>
      <c r="AV206" s="45"/>
      <c r="AW206" s="45" t="str">
        <f t="shared" si="28"/>
        <v>Unlikely</v>
      </c>
      <c r="AX206" s="45"/>
      <c r="AY206" s="45">
        <f>INDEX(Table5[[#All],[Ovr]],MATCH(Batters[[#This Row],[PID]],Table5[[#All],[PID]],0))</f>
        <v>285</v>
      </c>
      <c r="AZ206" s="45" t="str">
        <f>INDEX(Table5[[#All],[Rnd]],MATCH(Batters[[#This Row],[PID]],Table5[[#All],[PID]],0))</f>
        <v>10</v>
      </c>
      <c r="BA206" s="45">
        <f>INDEX(Table5[[#All],[Pick]],MATCH(Batters[[#This Row],[PID]],Table5[[#All],[PID]],0))</f>
        <v>7</v>
      </c>
      <c r="BB206" s="45" t="str">
        <f>INDEX(Table5[[#All],[Team]],MATCH(Batters[[#This Row],[PID]],Table5[[#All],[PID]],0))</f>
        <v>Niihama-shi Ghosts</v>
      </c>
    </row>
    <row r="207" spans="1:54" ht="15" customHeight="1" x14ac:dyDescent="0.25">
      <c r="A207" s="40">
        <v>20587</v>
      </c>
      <c r="B207" s="40" t="s">
        <v>86</v>
      </c>
      <c r="C207" s="40" t="s">
        <v>1335</v>
      </c>
      <c r="D207" s="40" t="s">
        <v>1336</v>
      </c>
      <c r="E207" s="40">
        <v>17</v>
      </c>
      <c r="F207" s="40" t="s">
        <v>42</v>
      </c>
      <c r="G207" s="40" t="s">
        <v>42</v>
      </c>
      <c r="H207" s="41" t="s">
        <v>634</v>
      </c>
      <c r="I207" s="65" t="s">
        <v>47</v>
      </c>
      <c r="J207" s="66" t="s">
        <v>43</v>
      </c>
      <c r="K207" s="67" t="s">
        <v>43</v>
      </c>
      <c r="L207" s="40">
        <v>1</v>
      </c>
      <c r="M207" s="40">
        <v>2</v>
      </c>
      <c r="N207" s="40">
        <v>3</v>
      </c>
      <c r="O207" s="40">
        <v>3</v>
      </c>
      <c r="P207" s="41">
        <v>1</v>
      </c>
      <c r="Q207" s="40">
        <v>3</v>
      </c>
      <c r="R207" s="40">
        <v>4</v>
      </c>
      <c r="S207" s="40">
        <v>4</v>
      </c>
      <c r="T207" s="40">
        <v>7</v>
      </c>
      <c r="U207" s="41">
        <v>3</v>
      </c>
      <c r="V207" s="40">
        <v>3</v>
      </c>
      <c r="W207" s="40">
        <v>4</v>
      </c>
      <c r="X207" s="40">
        <v>6</v>
      </c>
      <c r="Y207" s="41">
        <v>6</v>
      </c>
      <c r="Z207" s="40" t="s">
        <v>45</v>
      </c>
      <c r="AA207" s="40" t="s">
        <v>45</v>
      </c>
      <c r="AB207" s="40" t="s">
        <v>45</v>
      </c>
      <c r="AC207" s="40" t="s">
        <v>45</v>
      </c>
      <c r="AD207" s="40" t="s">
        <v>45</v>
      </c>
      <c r="AE207" s="40" t="s">
        <v>45</v>
      </c>
      <c r="AF207" s="40" t="s">
        <v>45</v>
      </c>
      <c r="AG207" s="41" t="s">
        <v>45</v>
      </c>
      <c r="AH207" s="40">
        <v>3</v>
      </c>
      <c r="AI207" s="40">
        <v>1</v>
      </c>
      <c r="AJ207" s="41">
        <v>1</v>
      </c>
      <c r="AK207" s="43" t="s">
        <v>644</v>
      </c>
      <c r="AL207" s="43" t="s">
        <v>47</v>
      </c>
      <c r="AM207" s="44">
        <f t="shared" si="22"/>
        <v>-1.6877413821419032</v>
      </c>
      <c r="AN207" s="44">
        <f t="shared" si="23"/>
        <v>-0.41857757680275448</v>
      </c>
      <c r="AO207" s="45">
        <f t="shared" si="24"/>
        <v>0</v>
      </c>
      <c r="AP207" s="46">
        <f t="shared" si="25"/>
        <v>0</v>
      </c>
      <c r="AQ207" s="44">
        <f>($AM$3*AM207+$AN$3*AN207+$AO$3*AO207+$AP$3*AP207)+$I$3*VLOOKUP(I207,COND!$A$2:$E$7,4,FALSE)+$J$3*VLOOKUP(J207,COND!$A$2:$C$7,2,FALSE)+$K$3*VLOOKUP(K207,COND!$A$2:$C$7,3,FALSE)+IF(AND($B$2&gt;0,$E207&lt;20),$B$2*25,0)</f>
        <v>45.033294940152757</v>
      </c>
      <c r="AR207" s="47">
        <f t="shared" si="26"/>
        <v>0.19983654454146768</v>
      </c>
      <c r="AS207" s="45" t="str">
        <f t="shared" si="27"/>
        <v>DH</v>
      </c>
      <c r="AT207" s="45">
        <f>RANK(Batters[[#This Row],[zScore]],Batters[[#All],[zScore]])</f>
        <v>203</v>
      </c>
      <c r="AU207" s="45"/>
      <c r="AV207" s="45"/>
      <c r="AW207" s="45" t="str">
        <f t="shared" si="28"/>
        <v>Unlikely</v>
      </c>
      <c r="AX207" s="45"/>
      <c r="AY207" s="45">
        <f>INDEX(Table5[[#All],[Ovr]],MATCH(Batters[[#This Row],[PID]],Table5[[#All],[PID]],0))</f>
        <v>480</v>
      </c>
      <c r="AZ207" s="45" t="str">
        <f>INDEX(Table5[[#All],[Rnd]],MATCH(Batters[[#This Row],[PID]],Table5[[#All],[PID]],0))</f>
        <v>16</v>
      </c>
      <c r="BA207" s="45">
        <f>INDEX(Table5[[#All],[Pick]],MATCH(Batters[[#This Row],[PID]],Table5[[#All],[PID]],0))</f>
        <v>22</v>
      </c>
      <c r="BB207" s="45" t="str">
        <f>INDEX(Table5[[#All],[Team]],MATCH(Batters[[#This Row],[PID]],Table5[[#All],[PID]],0))</f>
        <v>Fargo Dinosaurs</v>
      </c>
    </row>
    <row r="208" spans="1:54" ht="15" customHeight="1" x14ac:dyDescent="0.25">
      <c r="A208" s="40">
        <v>18209</v>
      </c>
      <c r="B208" s="40" t="s">
        <v>69</v>
      </c>
      <c r="C208" s="40" t="s">
        <v>322</v>
      </c>
      <c r="D208" s="40" t="s">
        <v>200</v>
      </c>
      <c r="E208" s="40">
        <v>18</v>
      </c>
      <c r="F208" s="40" t="s">
        <v>42</v>
      </c>
      <c r="G208" s="40" t="s">
        <v>42</v>
      </c>
      <c r="H208" s="41" t="s">
        <v>634</v>
      </c>
      <c r="I208" s="65" t="s">
        <v>43</v>
      </c>
      <c r="J208" s="66" t="s">
        <v>44</v>
      </c>
      <c r="K208" s="67" t="s">
        <v>43</v>
      </c>
      <c r="L208" s="40">
        <v>1</v>
      </c>
      <c r="M208" s="40">
        <v>2</v>
      </c>
      <c r="N208" s="40">
        <v>3</v>
      </c>
      <c r="O208" s="40">
        <v>2</v>
      </c>
      <c r="P208" s="41">
        <v>1</v>
      </c>
      <c r="Q208" s="40">
        <v>3</v>
      </c>
      <c r="R208" s="40">
        <v>5</v>
      </c>
      <c r="S208" s="40">
        <v>5</v>
      </c>
      <c r="T208" s="40">
        <v>6</v>
      </c>
      <c r="U208" s="41">
        <v>3</v>
      </c>
      <c r="V208" s="40">
        <v>9</v>
      </c>
      <c r="W208" s="40">
        <v>9</v>
      </c>
      <c r="X208" s="40">
        <v>1</v>
      </c>
      <c r="Y208" s="41">
        <v>1</v>
      </c>
      <c r="Z208" s="40" t="s">
        <v>45</v>
      </c>
      <c r="AA208" s="40" t="s">
        <v>45</v>
      </c>
      <c r="AB208" s="40" t="s">
        <v>45</v>
      </c>
      <c r="AC208" s="40">
        <v>3</v>
      </c>
      <c r="AD208" s="40" t="s">
        <v>45</v>
      </c>
      <c r="AE208" s="40" t="s">
        <v>45</v>
      </c>
      <c r="AF208" s="40" t="s">
        <v>45</v>
      </c>
      <c r="AG208" s="41" t="s">
        <v>45</v>
      </c>
      <c r="AH208" s="40">
        <v>7</v>
      </c>
      <c r="AI208" s="40">
        <v>7</v>
      </c>
      <c r="AJ208" s="41">
        <v>5</v>
      </c>
      <c r="AK208" s="43" t="s">
        <v>659</v>
      </c>
      <c r="AL208" s="43" t="s">
        <v>635</v>
      </c>
      <c r="AM208" s="44">
        <f t="shared" si="22"/>
        <v>-1.7774509321514844</v>
      </c>
      <c r="AN208" s="44">
        <f t="shared" si="23"/>
        <v>-0.3741657531697305</v>
      </c>
      <c r="AO208" s="45">
        <f t="shared" si="24"/>
        <v>0</v>
      </c>
      <c r="AP208" s="46">
        <f t="shared" si="25"/>
        <v>0</v>
      </c>
      <c r="AQ208" s="44">
        <f>($AM$3*AM208+$AN$3*AN208+$AO$3*AO208+$AP$3*AP208)+$I$3*VLOOKUP(I208,COND!$A$2:$E$7,4,FALSE)+$J$3*VLOOKUP(J208,COND!$A$2:$C$7,2,FALSE)+$K$3*VLOOKUP(K208,COND!$A$2:$C$7,3,FALSE)+IF(AND($B$2&gt;0,$E208&lt;20),$B$2*25,0)</f>
        <v>45.032265868748084</v>
      </c>
      <c r="AR208" s="47">
        <f t="shared" si="26"/>
        <v>0.19960839245517448</v>
      </c>
      <c r="AS208" s="45" t="str">
        <f t="shared" si="27"/>
        <v>3B</v>
      </c>
      <c r="AT208" s="45">
        <f>RANK(Batters[[#This Row],[zScore]],Batters[[#All],[zScore]])</f>
        <v>204</v>
      </c>
      <c r="AU208" s="45"/>
      <c r="AV208" s="45"/>
      <c r="AW208" s="45" t="str">
        <f t="shared" si="28"/>
        <v>Unlikely</v>
      </c>
      <c r="AX208" s="45"/>
      <c r="AY208" s="45">
        <f>INDEX(Table5[[#All],[Ovr]],MATCH(Batters[[#This Row],[PID]],Table5[[#All],[PID]],0))</f>
        <v>354</v>
      </c>
      <c r="AZ208" s="45" t="str">
        <f>INDEX(Table5[[#All],[Rnd]],MATCH(Batters[[#This Row],[PID]],Table5[[#All],[PID]],0))</f>
        <v>12</v>
      </c>
      <c r="BA208" s="45">
        <f>INDEX(Table5[[#All],[Pick]],MATCH(Batters[[#This Row],[PID]],Table5[[#All],[PID]],0))</f>
        <v>16</v>
      </c>
      <c r="BB208" s="45" t="str">
        <f>INDEX(Table5[[#All],[Team]],MATCH(Batters[[#This Row],[PID]],Table5[[#All],[PID]],0))</f>
        <v>San Antonio Calzones of Laredo</v>
      </c>
    </row>
    <row r="209" spans="1:54" ht="15" customHeight="1" x14ac:dyDescent="0.25">
      <c r="A209" s="40">
        <v>20374</v>
      </c>
      <c r="B209" s="40" t="s">
        <v>50</v>
      </c>
      <c r="C209" s="40" t="s">
        <v>178</v>
      </c>
      <c r="D209" s="40" t="s">
        <v>533</v>
      </c>
      <c r="E209" s="40">
        <v>18</v>
      </c>
      <c r="F209" s="40" t="s">
        <v>53</v>
      </c>
      <c r="G209" s="40" t="s">
        <v>53</v>
      </c>
      <c r="H209" s="41" t="s">
        <v>638</v>
      </c>
      <c r="I209" s="65" t="s">
        <v>43</v>
      </c>
      <c r="J209" s="66" t="s">
        <v>43</v>
      </c>
      <c r="K209" s="67" t="s">
        <v>47</v>
      </c>
      <c r="L209" s="40">
        <v>1</v>
      </c>
      <c r="M209" s="40">
        <v>2</v>
      </c>
      <c r="N209" s="40">
        <v>3</v>
      </c>
      <c r="O209" s="40">
        <v>3</v>
      </c>
      <c r="P209" s="41">
        <v>1</v>
      </c>
      <c r="Q209" s="40">
        <v>3</v>
      </c>
      <c r="R209" s="40">
        <v>4</v>
      </c>
      <c r="S209" s="40">
        <v>4</v>
      </c>
      <c r="T209" s="40">
        <v>6</v>
      </c>
      <c r="U209" s="41">
        <v>4</v>
      </c>
      <c r="V209" s="40">
        <v>3</v>
      </c>
      <c r="W209" s="40">
        <v>6</v>
      </c>
      <c r="X209" s="40">
        <v>1</v>
      </c>
      <c r="Y209" s="41">
        <v>1</v>
      </c>
      <c r="Z209" s="40" t="s">
        <v>45</v>
      </c>
      <c r="AA209" s="40">
        <v>2</v>
      </c>
      <c r="AB209" s="40" t="s">
        <v>45</v>
      </c>
      <c r="AC209" s="40" t="s">
        <v>45</v>
      </c>
      <c r="AD209" s="40" t="s">
        <v>45</v>
      </c>
      <c r="AE209" s="40">
        <v>2</v>
      </c>
      <c r="AF209" s="40">
        <v>1</v>
      </c>
      <c r="AG209" s="41">
        <v>1</v>
      </c>
      <c r="AH209" s="40">
        <v>7</v>
      </c>
      <c r="AI209" s="40">
        <v>8</v>
      </c>
      <c r="AJ209" s="41">
        <v>8</v>
      </c>
      <c r="AK209" s="43" t="s">
        <v>644</v>
      </c>
      <c r="AL209" s="43" t="s">
        <v>47</v>
      </c>
      <c r="AM209" s="44">
        <f t="shared" si="22"/>
        <v>-1.6877413821419032</v>
      </c>
      <c r="AN209" s="44">
        <f t="shared" si="23"/>
        <v>-0.46827078699525204</v>
      </c>
      <c r="AO209" s="45">
        <f t="shared" si="24"/>
        <v>3</v>
      </c>
      <c r="AP209" s="46">
        <f t="shared" si="25"/>
        <v>0</v>
      </c>
      <c r="AQ209" s="44">
        <f>($AM$3*AM209+$AN$3*AN209+$AO$3*AO209+$AP$3*AP209)+$I$3*VLOOKUP(I209,COND!$A$2:$E$7,4,FALSE)+$J$3*VLOOKUP(J209,COND!$A$2:$C$7,2,FALSE)+$K$3*VLOOKUP(K209,COND!$A$2:$C$7,3,FALSE)+IF(AND($B$2&gt;0,$E209&lt;20),$B$2*25,0)</f>
        <v>45.011976417842789</v>
      </c>
      <c r="AR209" s="47">
        <f t="shared" si="26"/>
        <v>0.19511008404551036</v>
      </c>
      <c r="AS209" s="45" t="str">
        <f t="shared" si="27"/>
        <v>LF</v>
      </c>
      <c r="AT209" s="45">
        <f>RANK(Batters[[#This Row],[zScore]],Batters[[#All],[zScore]])</f>
        <v>205</v>
      </c>
      <c r="AU209" s="45"/>
      <c r="AV209" s="45"/>
      <c r="AW209" s="45" t="str">
        <f t="shared" si="28"/>
        <v>Unlikely</v>
      </c>
      <c r="AX209" s="45"/>
      <c r="AY209" s="45">
        <f>INDEX(Table5[[#All],[Ovr]],MATCH(Batters[[#This Row],[PID]],Table5[[#All],[PID]],0))</f>
        <v>411</v>
      </c>
      <c r="AZ209" s="45" t="str">
        <f>INDEX(Table5[[#All],[Rnd]],MATCH(Batters[[#This Row],[PID]],Table5[[#All],[PID]],0))</f>
        <v>14</v>
      </c>
      <c r="BA209" s="45">
        <f>INDEX(Table5[[#All],[Pick]],MATCH(Batters[[#This Row],[PID]],Table5[[#All],[PID]],0))</f>
        <v>13</v>
      </c>
      <c r="BB209" s="45" t="str">
        <f>INDEX(Table5[[#All],[Team]],MATCH(Batters[[#This Row],[PID]],Table5[[#All],[PID]],0))</f>
        <v>Reno Zephyrs</v>
      </c>
    </row>
    <row r="210" spans="1:54" ht="15" customHeight="1" x14ac:dyDescent="0.25">
      <c r="A210" s="40">
        <v>18082</v>
      </c>
      <c r="B210" s="40" t="s">
        <v>69</v>
      </c>
      <c r="C210" s="40" t="s">
        <v>182</v>
      </c>
      <c r="D210" s="40" t="s">
        <v>1211</v>
      </c>
      <c r="E210" s="40">
        <v>21</v>
      </c>
      <c r="F210" s="40" t="s">
        <v>42</v>
      </c>
      <c r="G210" s="40" t="s">
        <v>42</v>
      </c>
      <c r="H210" s="41" t="s">
        <v>634</v>
      </c>
      <c r="I210" s="65" t="s">
        <v>43</v>
      </c>
      <c r="J210" s="66" t="s">
        <v>43</v>
      </c>
      <c r="K210" s="67" t="s">
        <v>43</v>
      </c>
      <c r="L210" s="40">
        <v>2</v>
      </c>
      <c r="M210" s="40">
        <v>3</v>
      </c>
      <c r="N210" s="40">
        <v>2</v>
      </c>
      <c r="O210" s="40">
        <v>3</v>
      </c>
      <c r="P210" s="41">
        <v>2</v>
      </c>
      <c r="Q210" s="40">
        <v>4</v>
      </c>
      <c r="R210" s="40">
        <v>6</v>
      </c>
      <c r="S210" s="40">
        <v>5</v>
      </c>
      <c r="T210" s="40">
        <v>5</v>
      </c>
      <c r="U210" s="41">
        <v>4</v>
      </c>
      <c r="V210" s="40">
        <v>9</v>
      </c>
      <c r="W210" s="40">
        <v>8</v>
      </c>
      <c r="X210" s="40">
        <v>1</v>
      </c>
      <c r="Y210" s="41">
        <v>1</v>
      </c>
      <c r="Z210" s="40" t="s">
        <v>45</v>
      </c>
      <c r="AA210" s="40" t="s">
        <v>45</v>
      </c>
      <c r="AB210" s="40" t="s">
        <v>45</v>
      </c>
      <c r="AC210" s="40">
        <v>5</v>
      </c>
      <c r="AD210" s="40" t="s">
        <v>45</v>
      </c>
      <c r="AE210" s="40" t="s">
        <v>45</v>
      </c>
      <c r="AF210" s="40" t="s">
        <v>45</v>
      </c>
      <c r="AG210" s="41" t="s">
        <v>45</v>
      </c>
      <c r="AH210" s="40">
        <v>4</v>
      </c>
      <c r="AI210" s="40">
        <v>3</v>
      </c>
      <c r="AJ210" s="41">
        <v>3</v>
      </c>
      <c r="AK210" s="43" t="s">
        <v>556</v>
      </c>
      <c r="AL210" s="43" t="s">
        <v>635</v>
      </c>
      <c r="AM210" s="44">
        <f t="shared" si="22"/>
        <v>-1.3571708205273432</v>
      </c>
      <c r="AN210" s="44">
        <f t="shared" si="23"/>
        <v>-5.0243247540849842E-2</v>
      </c>
      <c r="AO210" s="45">
        <f t="shared" si="24"/>
        <v>0</v>
      </c>
      <c r="AP210" s="46">
        <f t="shared" si="25"/>
        <v>0.75</v>
      </c>
      <c r="AQ210" s="44">
        <f>($AM$3*AM210+$AN$3*AN210+$AO$3*AO210+$AP$3*AP210)+$I$3*VLOOKUP(I210,COND!$A$2:$E$7,4,FALSE)+$J$3*VLOOKUP(J210,COND!$A$2:$C$7,2,FALSE)+$K$3*VLOOKUP(K210,COND!$A$2:$C$7,3,FALSE)+IF(AND($B$2&gt;0,$E210&lt;20),$B$2*25,0)</f>
        <v>45.01136394745707</v>
      </c>
      <c r="AR210" s="47">
        <f t="shared" si="26"/>
        <v>0.19497429522108103</v>
      </c>
      <c r="AS210" s="45" t="str">
        <f t="shared" si="27"/>
        <v>3B</v>
      </c>
      <c r="AT210" s="45">
        <f>RANK(Batters[[#This Row],[zScore]],Batters[[#All],[zScore]])</f>
        <v>206</v>
      </c>
      <c r="AU210" s="45"/>
      <c r="AV210" s="45"/>
      <c r="AW210" s="45" t="str">
        <f t="shared" si="28"/>
        <v>Unlikely</v>
      </c>
      <c r="AX210" s="45"/>
      <c r="AY210" s="45">
        <f>INDEX(Table5[[#All],[Ovr]],MATCH(Batters[[#This Row],[PID]],Table5[[#All],[PID]],0))</f>
        <v>267</v>
      </c>
      <c r="AZ210" s="45" t="str">
        <f>INDEX(Table5[[#All],[Rnd]],MATCH(Batters[[#This Row],[PID]],Table5[[#All],[PID]],0))</f>
        <v>9</v>
      </c>
      <c r="BA210" s="45">
        <f>INDEX(Table5[[#All],[Pick]],MATCH(Batters[[#This Row],[PID]],Table5[[#All],[PID]],0))</f>
        <v>19</v>
      </c>
      <c r="BB210" s="45" t="str">
        <f>INDEX(Table5[[#All],[Team]],MATCH(Batters[[#This Row],[PID]],Table5[[#All],[PID]],0))</f>
        <v>Kalamazoo Badgers</v>
      </c>
    </row>
    <row r="211" spans="1:54" ht="15" customHeight="1" x14ac:dyDescent="0.25">
      <c r="A211" s="40">
        <v>20256</v>
      </c>
      <c r="B211" s="40" t="s">
        <v>50</v>
      </c>
      <c r="C211" s="40" t="s">
        <v>1022</v>
      </c>
      <c r="D211" s="40" t="s">
        <v>1171</v>
      </c>
      <c r="E211" s="40">
        <v>22</v>
      </c>
      <c r="F211" s="40" t="s">
        <v>53</v>
      </c>
      <c r="G211" s="40" t="s">
        <v>42</v>
      </c>
      <c r="H211" s="41" t="s">
        <v>633</v>
      </c>
      <c r="I211" s="65" t="s">
        <v>44</v>
      </c>
      <c r="J211" s="66" t="s">
        <v>47</v>
      </c>
      <c r="K211" s="67" t="s">
        <v>43</v>
      </c>
      <c r="L211" s="40">
        <v>1</v>
      </c>
      <c r="M211" s="40">
        <v>7</v>
      </c>
      <c r="N211" s="40">
        <v>7</v>
      </c>
      <c r="O211" s="40">
        <v>3</v>
      </c>
      <c r="P211" s="41">
        <v>1</v>
      </c>
      <c r="Q211" s="40">
        <v>3</v>
      </c>
      <c r="R211" s="40">
        <v>8</v>
      </c>
      <c r="S211" s="40">
        <v>9</v>
      </c>
      <c r="T211" s="40">
        <v>5</v>
      </c>
      <c r="U211" s="41">
        <v>1</v>
      </c>
      <c r="V211" s="40">
        <v>3</v>
      </c>
      <c r="W211" s="40">
        <v>5</v>
      </c>
      <c r="X211" s="40">
        <v>1</v>
      </c>
      <c r="Y211" s="41">
        <v>1</v>
      </c>
      <c r="Z211" s="40" t="s">
        <v>45</v>
      </c>
      <c r="AA211" s="40" t="s">
        <v>45</v>
      </c>
      <c r="AB211" s="40" t="s">
        <v>45</v>
      </c>
      <c r="AC211" s="40" t="s">
        <v>45</v>
      </c>
      <c r="AD211" s="40" t="s">
        <v>45</v>
      </c>
      <c r="AE211" s="40">
        <v>7</v>
      </c>
      <c r="AF211" s="40">
        <v>2</v>
      </c>
      <c r="AG211" s="41">
        <v>1</v>
      </c>
      <c r="AH211" s="40">
        <v>7</v>
      </c>
      <c r="AI211" s="40">
        <v>9</v>
      </c>
      <c r="AJ211" s="41">
        <v>9</v>
      </c>
      <c r="AK211" s="43" t="s">
        <v>643</v>
      </c>
      <c r="AL211" s="43" t="s">
        <v>635</v>
      </c>
      <c r="AM211" s="44">
        <f t="shared" si="22"/>
        <v>-1.1001960079527799</v>
      </c>
      <c r="AN211" s="44">
        <f t="shared" si="23"/>
        <v>-5.848236786176185E-2</v>
      </c>
      <c r="AO211" s="45">
        <f t="shared" si="24"/>
        <v>4</v>
      </c>
      <c r="AP211" s="46">
        <f t="shared" si="25"/>
        <v>0</v>
      </c>
      <c r="AQ211" s="44">
        <f>($AM$3*AM211+$AN$3*AN211+$AO$3*AO211+$AP$3*AP211)+$I$3*VLOOKUP(I211,COND!$A$2:$E$7,4,FALSE)+$J$3*VLOOKUP(J211,COND!$A$2:$C$7,2,FALSE)+$K$3*VLOOKUP(K211,COND!$A$2:$C$7,3,FALSE)+IF(AND($B$2&gt;0,$E211&lt;20),$B$2*25,0)</f>
        <v>45.004858651530249</v>
      </c>
      <c r="AR211" s="47">
        <f t="shared" si="26"/>
        <v>0.19353202714238515</v>
      </c>
      <c r="AS211" s="45" t="str">
        <f t="shared" si="27"/>
        <v>LF</v>
      </c>
      <c r="AT211" s="45">
        <f>RANK(Batters[[#This Row],[zScore]],Batters[[#All],[zScore]])</f>
        <v>207</v>
      </c>
      <c r="AU211" s="45"/>
      <c r="AV211" s="45"/>
      <c r="AW211" s="45" t="str">
        <f t="shared" si="28"/>
        <v>Possible</v>
      </c>
      <c r="AX211" s="45"/>
      <c r="AY211" s="45">
        <f>INDEX(Table5[[#All],[Ovr]],MATCH(Batters[[#This Row],[PID]],Table5[[#All],[PID]],0))</f>
        <v>57</v>
      </c>
      <c r="AZ211" s="45" t="str">
        <f>INDEX(Table5[[#All],[Rnd]],MATCH(Batters[[#This Row],[PID]],Table5[[#All],[PID]],0))</f>
        <v>2</v>
      </c>
      <c r="BA211" s="45">
        <f>INDEX(Table5[[#All],[Pick]],MATCH(Batters[[#This Row],[PID]],Table5[[#All],[PID]],0))</f>
        <v>22</v>
      </c>
      <c r="BB211" s="45" t="str">
        <f>INDEX(Table5[[#All],[Team]],MATCH(Batters[[#This Row],[PID]],Table5[[#All],[PID]],0))</f>
        <v>Palm Springs Codgers</v>
      </c>
    </row>
    <row r="212" spans="1:54" ht="15" customHeight="1" x14ac:dyDescent="0.25">
      <c r="A212" s="40">
        <v>18243</v>
      </c>
      <c r="B212" s="40" t="s">
        <v>66</v>
      </c>
      <c r="C212" s="40" t="s">
        <v>180</v>
      </c>
      <c r="D212" s="40" t="s">
        <v>570</v>
      </c>
      <c r="E212" s="40">
        <v>18</v>
      </c>
      <c r="F212" s="40" t="s">
        <v>42</v>
      </c>
      <c r="G212" s="40" t="s">
        <v>42</v>
      </c>
      <c r="H212" s="41" t="s">
        <v>639</v>
      </c>
      <c r="I212" s="65" t="s">
        <v>43</v>
      </c>
      <c r="J212" s="66" t="s">
        <v>43</v>
      </c>
      <c r="K212" s="67" t="s">
        <v>43</v>
      </c>
      <c r="L212" s="40">
        <v>1</v>
      </c>
      <c r="M212" s="40">
        <v>1</v>
      </c>
      <c r="N212" s="40">
        <v>2</v>
      </c>
      <c r="O212" s="40">
        <v>1</v>
      </c>
      <c r="P212" s="41">
        <v>1</v>
      </c>
      <c r="Q212" s="40">
        <v>4</v>
      </c>
      <c r="R212" s="40">
        <v>4</v>
      </c>
      <c r="S212" s="40">
        <v>2</v>
      </c>
      <c r="T212" s="40">
        <v>5</v>
      </c>
      <c r="U212" s="41">
        <v>4</v>
      </c>
      <c r="V212" s="40">
        <v>7</v>
      </c>
      <c r="W212" s="40">
        <v>8</v>
      </c>
      <c r="X212" s="40">
        <v>1</v>
      </c>
      <c r="Y212" s="41">
        <v>1</v>
      </c>
      <c r="Z212" s="40" t="s">
        <v>45</v>
      </c>
      <c r="AA212" s="40" t="s">
        <v>45</v>
      </c>
      <c r="AB212" s="40" t="s">
        <v>45</v>
      </c>
      <c r="AC212" s="40" t="s">
        <v>45</v>
      </c>
      <c r="AD212" s="40" t="s">
        <v>45</v>
      </c>
      <c r="AE212" s="40" t="s">
        <v>45</v>
      </c>
      <c r="AF212" s="40" t="s">
        <v>45</v>
      </c>
      <c r="AG212" s="41">
        <v>1</v>
      </c>
      <c r="AH212" s="40">
        <v>5</v>
      </c>
      <c r="AI212" s="40">
        <v>5</v>
      </c>
      <c r="AJ212" s="41">
        <v>4</v>
      </c>
      <c r="AK212" s="43" t="s">
        <v>644</v>
      </c>
      <c r="AL212" s="43"/>
      <c r="AM212" s="44">
        <f t="shared" si="22"/>
        <v>-2.0012818558036707</v>
      </c>
      <c r="AN212" s="44">
        <f t="shared" si="23"/>
        <v>-0.40154748884996139</v>
      </c>
      <c r="AO212" s="45">
        <f t="shared" si="24"/>
        <v>0</v>
      </c>
      <c r="AP212" s="46">
        <f t="shared" si="25"/>
        <v>0</v>
      </c>
      <c r="AQ212" s="44">
        <f>($AM$3*AM212+$AN$3*AN212+$AO$3*AO212+$AP$3*AP212)+$I$3*VLOOKUP(I212,COND!$A$2:$E$7,4,FALSE)+$J$3*VLOOKUP(J212,COND!$A$2:$C$7,2,FALSE)+$K$3*VLOOKUP(K212,COND!$A$2:$C$7,3,FALSE)+IF(AND($B$2&gt;0,$E212&lt;20),$B$2*25,0)</f>
        <v>44.981301948220093</v>
      </c>
      <c r="AR212" s="47">
        <f t="shared" si="26"/>
        <v>0.18830934678998673</v>
      </c>
      <c r="AS212" s="45" t="str">
        <f t="shared" si="27"/>
        <v>RF</v>
      </c>
      <c r="AT212" s="45">
        <f>RANK(Batters[[#This Row],[zScore]],Batters[[#All],[zScore]])</f>
        <v>208</v>
      </c>
      <c r="AU212" s="45"/>
      <c r="AV212" s="45"/>
      <c r="AW212" s="45" t="str">
        <f t="shared" si="28"/>
        <v>Unlikely</v>
      </c>
      <c r="AX212" s="45"/>
      <c r="AY212" s="64" t="str">
        <f>INDEX(Table5[[#All],[Ovr]],MATCH(Batters[[#This Row],[PID]],Table5[[#All],[PID]],0))</f>
        <v/>
      </c>
      <c r="AZ212" s="64" t="str">
        <f>INDEX(Table5[[#All],[Rnd]],MATCH(Batters[[#This Row],[PID]],Table5[[#All],[PID]],0))</f>
        <v/>
      </c>
      <c r="BA212" s="64" t="str">
        <f>INDEX(Table5[[#All],[Pick]],MATCH(Batters[[#This Row],[PID]],Table5[[#All],[PID]],0))</f>
        <v/>
      </c>
      <c r="BB212" s="64" t="str">
        <f>INDEX(Table5[[#All],[Team]],MATCH(Batters[[#This Row],[PID]],Table5[[#All],[PID]],0))</f>
        <v/>
      </c>
    </row>
    <row r="213" spans="1:54" ht="15" customHeight="1" x14ac:dyDescent="0.25">
      <c r="A213" s="40">
        <v>16486</v>
      </c>
      <c r="B213" s="40" t="s">
        <v>71</v>
      </c>
      <c r="C213" s="40" t="s">
        <v>179</v>
      </c>
      <c r="D213" s="40" t="s">
        <v>405</v>
      </c>
      <c r="E213" s="40">
        <v>21</v>
      </c>
      <c r="F213" s="40" t="s">
        <v>42</v>
      </c>
      <c r="G213" s="40" t="s">
        <v>42</v>
      </c>
      <c r="H213" s="41" t="s">
        <v>634</v>
      </c>
      <c r="I213" s="65" t="s">
        <v>43</v>
      </c>
      <c r="J213" s="66" t="s">
        <v>47</v>
      </c>
      <c r="K213" s="67" t="s">
        <v>44</v>
      </c>
      <c r="L213" s="40">
        <v>3</v>
      </c>
      <c r="M213" s="40">
        <v>3</v>
      </c>
      <c r="N213" s="40">
        <v>2</v>
      </c>
      <c r="O213" s="40">
        <v>2</v>
      </c>
      <c r="P213" s="41">
        <v>3</v>
      </c>
      <c r="Q213" s="40">
        <v>5</v>
      </c>
      <c r="R213" s="40">
        <v>4</v>
      </c>
      <c r="S213" s="40">
        <v>3</v>
      </c>
      <c r="T213" s="40">
        <v>4</v>
      </c>
      <c r="U213" s="41">
        <v>5</v>
      </c>
      <c r="V213" s="40">
        <v>6</v>
      </c>
      <c r="W213" s="40">
        <v>9</v>
      </c>
      <c r="X213" s="40">
        <v>1</v>
      </c>
      <c r="Y213" s="41">
        <v>1</v>
      </c>
      <c r="Z213" s="40" t="s">
        <v>45</v>
      </c>
      <c r="AA213" s="40" t="s">
        <v>45</v>
      </c>
      <c r="AB213" s="40">
        <v>5</v>
      </c>
      <c r="AC213" s="40" t="s">
        <v>45</v>
      </c>
      <c r="AD213" s="40">
        <v>1</v>
      </c>
      <c r="AE213" s="40" t="s">
        <v>45</v>
      </c>
      <c r="AF213" s="40" t="s">
        <v>45</v>
      </c>
      <c r="AG213" s="41" t="s">
        <v>45</v>
      </c>
      <c r="AH213" s="40">
        <v>5</v>
      </c>
      <c r="AI213" s="40">
        <v>2</v>
      </c>
      <c r="AJ213" s="41">
        <v>3</v>
      </c>
      <c r="AK213" s="43" t="s">
        <v>45</v>
      </c>
      <c r="AL213" s="43" t="s">
        <v>47</v>
      </c>
      <c r="AM213" s="44">
        <f t="shared" si="22"/>
        <v>-1.0843081945171662</v>
      </c>
      <c r="AN213" s="44">
        <f t="shared" si="23"/>
        <v>-4.5623368815882727E-2</v>
      </c>
      <c r="AO213" s="45">
        <f t="shared" si="24"/>
        <v>0</v>
      </c>
      <c r="AP213" s="46">
        <f t="shared" si="25"/>
        <v>0.6</v>
      </c>
      <c r="AQ213" s="44">
        <f>($AM$3*AM213+$AN$3*AN213+$AO$3*AO213+$AP$3*AP213)+$I$3*VLOOKUP(I213,COND!$A$2:$E$7,4,FALSE)+$J$3*VLOOKUP(J213,COND!$A$2:$C$7,2,FALSE)+$K$3*VLOOKUP(K213,COND!$A$2:$C$7,3,FALSE)+IF(AND($B$2&gt;0,$E213&lt;20),$B$2*25,0)</f>
        <v>44.944088754757686</v>
      </c>
      <c r="AR213" s="47">
        <f t="shared" si="26"/>
        <v>0.18005893026152797</v>
      </c>
      <c r="AS213" s="45" t="str">
        <f t="shared" si="27"/>
        <v>2B</v>
      </c>
      <c r="AT213" s="45">
        <f>RANK(Batters[[#This Row],[zScore]],Batters[[#All],[zScore]])</f>
        <v>209</v>
      </c>
      <c r="AU213" s="45"/>
      <c r="AV213" s="45"/>
      <c r="AW213" s="45" t="str">
        <f t="shared" si="28"/>
        <v>Unlikely</v>
      </c>
      <c r="AX213" s="45"/>
      <c r="AY213" s="45">
        <f>INDEX(Table5[[#All],[Ovr]],MATCH(Batters[[#This Row],[PID]],Table5[[#All],[PID]],0))</f>
        <v>385</v>
      </c>
      <c r="AZ213" s="45" t="str">
        <f>INDEX(Table5[[#All],[Rnd]],MATCH(Batters[[#This Row],[PID]],Table5[[#All],[PID]],0))</f>
        <v>13</v>
      </c>
      <c r="BA213" s="45">
        <f>INDEX(Table5[[#All],[Pick]],MATCH(Batters[[#This Row],[PID]],Table5[[#All],[PID]],0))</f>
        <v>17</v>
      </c>
      <c r="BB213" s="45" t="str">
        <f>INDEX(Table5[[#All],[Team]],MATCH(Batters[[#This Row],[PID]],Table5[[#All],[PID]],0))</f>
        <v>Madison Malts</v>
      </c>
    </row>
    <row r="214" spans="1:54" ht="15" customHeight="1" x14ac:dyDescent="0.25">
      <c r="A214" s="40">
        <v>17862</v>
      </c>
      <c r="B214" s="40" t="s">
        <v>50</v>
      </c>
      <c r="C214" s="40" t="s">
        <v>1468</v>
      </c>
      <c r="D214" s="40" t="s">
        <v>403</v>
      </c>
      <c r="E214" s="40">
        <v>18</v>
      </c>
      <c r="F214" s="40" t="s">
        <v>53</v>
      </c>
      <c r="G214" s="40" t="s">
        <v>53</v>
      </c>
      <c r="H214" s="41" t="s">
        <v>638</v>
      </c>
      <c r="I214" s="65" t="s">
        <v>43</v>
      </c>
      <c r="J214" s="66" t="s">
        <v>44</v>
      </c>
      <c r="K214" s="67" t="s">
        <v>43</v>
      </c>
      <c r="L214" s="40">
        <v>1</v>
      </c>
      <c r="M214" s="40">
        <v>1</v>
      </c>
      <c r="N214" s="40">
        <v>2</v>
      </c>
      <c r="O214" s="40">
        <v>1</v>
      </c>
      <c r="P214" s="41">
        <v>1</v>
      </c>
      <c r="Q214" s="40">
        <v>4</v>
      </c>
      <c r="R214" s="40">
        <v>3</v>
      </c>
      <c r="S214" s="40">
        <v>4</v>
      </c>
      <c r="T214" s="40">
        <v>3</v>
      </c>
      <c r="U214" s="41">
        <v>5</v>
      </c>
      <c r="V214" s="40">
        <v>3</v>
      </c>
      <c r="W214" s="40">
        <v>6</v>
      </c>
      <c r="X214" s="40">
        <v>1</v>
      </c>
      <c r="Y214" s="41">
        <v>1</v>
      </c>
      <c r="Z214" s="40" t="s">
        <v>45</v>
      </c>
      <c r="AA214" s="40" t="s">
        <v>45</v>
      </c>
      <c r="AB214" s="40" t="s">
        <v>45</v>
      </c>
      <c r="AC214" s="40" t="s">
        <v>45</v>
      </c>
      <c r="AD214" s="40" t="s">
        <v>45</v>
      </c>
      <c r="AE214" s="40">
        <v>1</v>
      </c>
      <c r="AF214" s="40" t="s">
        <v>45</v>
      </c>
      <c r="AG214" s="41">
        <v>1</v>
      </c>
      <c r="AH214" s="40">
        <v>7</v>
      </c>
      <c r="AI214" s="40">
        <v>9</v>
      </c>
      <c r="AJ214" s="41">
        <v>7</v>
      </c>
      <c r="AK214" s="43" t="s">
        <v>644</v>
      </c>
      <c r="AL214" s="43" t="s">
        <v>47</v>
      </c>
      <c r="AM214" s="44">
        <f t="shared" si="22"/>
        <v>-2.0012818558036707</v>
      </c>
      <c r="AN214" s="44">
        <f t="shared" si="23"/>
        <v>-0.42588714062294047</v>
      </c>
      <c r="AO214" s="45">
        <f t="shared" si="24"/>
        <v>3</v>
      </c>
      <c r="AP214" s="46">
        <f t="shared" si="25"/>
        <v>0</v>
      </c>
      <c r="AQ214" s="44">
        <f>($AM$3*AM214+$AN$3*AN214+$AO$3*AO214+$AP$3*AP214)+$I$3*VLOOKUP(I214,COND!$A$2:$E$7,4,FALSE)+$J$3*VLOOKUP(J214,COND!$A$2:$C$7,2,FALSE)+$K$3*VLOOKUP(K214,COND!$A$2:$C$7,3,FALSE)+IF(AND($B$2&gt;0,$E214&lt;20),$B$2*25,0)</f>
        <v>44.889226126944351</v>
      </c>
      <c r="AR214" s="47">
        <f t="shared" si="26"/>
        <v>0.16789551483836385</v>
      </c>
      <c r="AS214" s="45" t="str">
        <f t="shared" si="27"/>
        <v>RF</v>
      </c>
      <c r="AT214" s="45">
        <f>RANK(Batters[[#This Row],[zScore]],Batters[[#All],[zScore]])</f>
        <v>210</v>
      </c>
      <c r="AU214" s="45"/>
      <c r="AV214" s="45"/>
      <c r="AW214" s="45" t="str">
        <f t="shared" si="28"/>
        <v>Unlikely</v>
      </c>
      <c r="AX214" s="45"/>
      <c r="AY214" s="45">
        <f>INDEX(Table5[[#All],[Ovr]],MATCH(Batters[[#This Row],[PID]],Table5[[#All],[PID]],0))</f>
        <v>546</v>
      </c>
      <c r="AZ214" s="45" t="str">
        <f>INDEX(Table5[[#All],[Rnd]],MATCH(Batters[[#This Row],[PID]],Table5[[#All],[PID]],0))</f>
        <v>18</v>
      </c>
      <c r="BA214" s="45">
        <f>INDEX(Table5[[#All],[Pick]],MATCH(Batters[[#This Row],[PID]],Table5[[#All],[PID]],0))</f>
        <v>28</v>
      </c>
      <c r="BB214" s="45" t="str">
        <f>INDEX(Table5[[#All],[Team]],MATCH(Batters[[#This Row],[PID]],Table5[[#All],[PID]],0))</f>
        <v>San Juan Coqui</v>
      </c>
    </row>
    <row r="215" spans="1:54" ht="15" customHeight="1" x14ac:dyDescent="0.25">
      <c r="A215" s="40">
        <v>21067</v>
      </c>
      <c r="B215" s="40" t="s">
        <v>69</v>
      </c>
      <c r="C215" s="40" t="s">
        <v>698</v>
      </c>
      <c r="D215" s="40" t="s">
        <v>212</v>
      </c>
      <c r="E215" s="40">
        <v>17</v>
      </c>
      <c r="F215" s="40" t="s">
        <v>62</v>
      </c>
      <c r="G215" s="40" t="s">
        <v>42</v>
      </c>
      <c r="H215" s="41" t="s">
        <v>638</v>
      </c>
      <c r="I215" s="65" t="s">
        <v>43</v>
      </c>
      <c r="J215" s="66" t="s">
        <v>47</v>
      </c>
      <c r="K215" s="67" t="s">
        <v>43</v>
      </c>
      <c r="L215" s="40">
        <v>1</v>
      </c>
      <c r="M215" s="40">
        <v>1</v>
      </c>
      <c r="N215" s="40">
        <v>2</v>
      </c>
      <c r="O215" s="40">
        <v>2</v>
      </c>
      <c r="P215" s="41">
        <v>1</v>
      </c>
      <c r="Q215" s="40">
        <v>3</v>
      </c>
      <c r="R215" s="40">
        <v>3</v>
      </c>
      <c r="S215" s="40">
        <v>5</v>
      </c>
      <c r="T215" s="40">
        <v>6</v>
      </c>
      <c r="U215" s="41">
        <v>4</v>
      </c>
      <c r="V215" s="40">
        <v>8</v>
      </c>
      <c r="W215" s="40">
        <v>9</v>
      </c>
      <c r="X215" s="40">
        <v>1</v>
      </c>
      <c r="Y215" s="41">
        <v>1</v>
      </c>
      <c r="Z215" s="40" t="s">
        <v>45</v>
      </c>
      <c r="AA215" s="40" t="s">
        <v>45</v>
      </c>
      <c r="AB215" s="40" t="s">
        <v>45</v>
      </c>
      <c r="AC215" s="40">
        <v>1</v>
      </c>
      <c r="AD215" s="40" t="s">
        <v>45</v>
      </c>
      <c r="AE215" s="40" t="s">
        <v>45</v>
      </c>
      <c r="AF215" s="40" t="s">
        <v>45</v>
      </c>
      <c r="AG215" s="41" t="s">
        <v>45</v>
      </c>
      <c r="AH215" s="40">
        <v>3</v>
      </c>
      <c r="AI215" s="40">
        <v>1</v>
      </c>
      <c r="AJ215" s="41">
        <v>1</v>
      </c>
      <c r="AK215" s="43" t="s">
        <v>644</v>
      </c>
      <c r="AL215" s="43" t="s">
        <v>47</v>
      </c>
      <c r="AM215" s="44">
        <f t="shared" si="22"/>
        <v>-1.9115723057940897</v>
      </c>
      <c r="AN215" s="44">
        <f t="shared" si="23"/>
        <v>-0.43626917259005399</v>
      </c>
      <c r="AO215" s="45">
        <f t="shared" si="24"/>
        <v>0</v>
      </c>
      <c r="AP215" s="46">
        <f t="shared" si="25"/>
        <v>0</v>
      </c>
      <c r="AQ215" s="44">
        <f>($AM$3*AM215+$AN$3*AN215+$AO$3*AO215+$AP$3*AP215)+$I$3*VLOOKUP(I215,COND!$A$2:$E$7,4,FALSE)+$J$3*VLOOKUP(J215,COND!$A$2:$C$7,2,FALSE)+$K$3*VLOOKUP(K215,COND!$A$2:$C$7,3,FALSE)+IF(AND($B$2&gt;0,$E215&lt;20),$B$2*25,0)</f>
        <v>44.87361269833994</v>
      </c>
      <c r="AR215" s="47">
        <f t="shared" si="26"/>
        <v>0.16443391217978323</v>
      </c>
      <c r="AS215" s="45" t="str">
        <f t="shared" si="27"/>
        <v>3B</v>
      </c>
      <c r="AT215" s="45">
        <f>RANK(Batters[[#This Row],[zScore]],Batters[[#All],[zScore]])</f>
        <v>211</v>
      </c>
      <c r="AU215" s="45"/>
      <c r="AV215" s="45"/>
      <c r="AW215" s="45" t="str">
        <f t="shared" si="28"/>
        <v>Unlikely</v>
      </c>
      <c r="AX215" s="45"/>
      <c r="AY215" s="45">
        <f>INDEX(Table5[[#All],[Ovr]],MATCH(Batters[[#This Row],[PID]],Table5[[#All],[PID]],0))</f>
        <v>527</v>
      </c>
      <c r="AZ215" s="45" t="str">
        <f>INDEX(Table5[[#All],[Rnd]],MATCH(Batters[[#This Row],[PID]],Table5[[#All],[PID]],0))</f>
        <v>18</v>
      </c>
      <c r="BA215" s="45">
        <f>INDEX(Table5[[#All],[Pick]],MATCH(Batters[[#This Row],[PID]],Table5[[#All],[PID]],0))</f>
        <v>9</v>
      </c>
      <c r="BB215" s="45" t="str">
        <f>INDEX(Table5[[#All],[Team]],MATCH(Batters[[#This Row],[PID]],Table5[[#All],[PID]],0))</f>
        <v>Scottish Claymores</v>
      </c>
    </row>
    <row r="216" spans="1:54" ht="15" customHeight="1" x14ac:dyDescent="0.25">
      <c r="A216" s="40">
        <v>20389</v>
      </c>
      <c r="B216" s="40" t="s">
        <v>86</v>
      </c>
      <c r="C216" s="40" t="s">
        <v>355</v>
      </c>
      <c r="D216" s="40" t="s">
        <v>1397</v>
      </c>
      <c r="E216" s="40">
        <v>17</v>
      </c>
      <c r="F216" s="40" t="s">
        <v>62</v>
      </c>
      <c r="G216" s="40" t="s">
        <v>42</v>
      </c>
      <c r="H216" s="41" t="s">
        <v>638</v>
      </c>
      <c r="I216" s="65" t="s">
        <v>43</v>
      </c>
      <c r="J216" s="66" t="s">
        <v>47</v>
      </c>
      <c r="K216" s="67" t="s">
        <v>44</v>
      </c>
      <c r="L216" s="40">
        <v>1</v>
      </c>
      <c r="M216" s="40">
        <v>3</v>
      </c>
      <c r="N216" s="40">
        <v>3</v>
      </c>
      <c r="O216" s="40">
        <v>3</v>
      </c>
      <c r="P216" s="41">
        <v>1</v>
      </c>
      <c r="Q216" s="40">
        <v>3</v>
      </c>
      <c r="R216" s="40">
        <v>5</v>
      </c>
      <c r="S216" s="40">
        <v>5</v>
      </c>
      <c r="T216" s="40">
        <v>6</v>
      </c>
      <c r="U216" s="41">
        <v>2</v>
      </c>
      <c r="V216" s="40">
        <v>1</v>
      </c>
      <c r="W216" s="40">
        <v>2</v>
      </c>
      <c r="X216" s="40">
        <v>3</v>
      </c>
      <c r="Y216" s="41">
        <v>6</v>
      </c>
      <c r="Z216" s="40" t="s">
        <v>45</v>
      </c>
      <c r="AA216" s="40" t="s">
        <v>45</v>
      </c>
      <c r="AB216" s="40" t="s">
        <v>45</v>
      </c>
      <c r="AC216" s="40" t="s">
        <v>45</v>
      </c>
      <c r="AD216" s="40" t="s">
        <v>45</v>
      </c>
      <c r="AE216" s="40" t="s">
        <v>45</v>
      </c>
      <c r="AF216" s="40" t="s">
        <v>45</v>
      </c>
      <c r="AG216" s="41" t="s">
        <v>45</v>
      </c>
      <c r="AH216" s="40">
        <v>1</v>
      </c>
      <c r="AI216" s="40">
        <v>1</v>
      </c>
      <c r="AJ216" s="41">
        <v>1</v>
      </c>
      <c r="AK216" s="43" t="s">
        <v>670</v>
      </c>
      <c r="AL216" s="43" t="s">
        <v>635</v>
      </c>
      <c r="AM216" s="44">
        <f t="shared" si="22"/>
        <v>-1.6366815025231998</v>
      </c>
      <c r="AN216" s="44">
        <f t="shared" si="23"/>
        <v>-0.41418209298681402</v>
      </c>
      <c r="AO216" s="45">
        <f t="shared" si="24"/>
        <v>0</v>
      </c>
      <c r="AP216" s="46">
        <f t="shared" si="25"/>
        <v>0</v>
      </c>
      <c r="AQ216" s="44">
        <f>($AM$3*AM216+$AN$3*AN216+$AO$3*AO216+$AP$3*AP216)+$I$3*VLOOKUP(I216,COND!$A$2:$E$7,4,FALSE)+$J$3*VLOOKUP(J216,COND!$A$2:$C$7,2,FALSE)+$K$3*VLOOKUP(K216,COND!$A$2:$C$7,3,FALSE)+IF(AND($B$2&gt;0,$E216&lt;20),$B$2*25,0)</f>
        <v>44.866146733905907</v>
      </c>
      <c r="AR216" s="47">
        <f t="shared" si="26"/>
        <v>0.1627786573995221</v>
      </c>
      <c r="AS216" s="45" t="str">
        <f t="shared" si="27"/>
        <v>DH</v>
      </c>
      <c r="AT216" s="45">
        <f>RANK(Batters[[#This Row],[zScore]],Batters[[#All],[zScore]])</f>
        <v>212</v>
      </c>
      <c r="AU216" s="45"/>
      <c r="AV216" s="45"/>
      <c r="AW216" s="45" t="str">
        <f t="shared" si="28"/>
        <v>Unlikely</v>
      </c>
      <c r="AX216" s="45"/>
      <c r="AY216" s="45">
        <f>INDEX(Table5[[#All],[Ovr]],MATCH(Batters[[#This Row],[PID]],Table5[[#All],[PID]],0))</f>
        <v>339</v>
      </c>
      <c r="AZ216" s="45" t="str">
        <f>INDEX(Table5[[#All],[Rnd]],MATCH(Batters[[#This Row],[PID]],Table5[[#All],[PID]],0))</f>
        <v>12</v>
      </c>
      <c r="BA216" s="45">
        <f>INDEX(Table5[[#All],[Pick]],MATCH(Batters[[#This Row],[PID]],Table5[[#All],[PID]],0))</f>
        <v>1</v>
      </c>
      <c r="BB216" s="45" t="str">
        <f>INDEX(Table5[[#All],[Team]],MATCH(Batters[[#This Row],[PID]],Table5[[#All],[PID]],0))</f>
        <v>Yuma Arroyos</v>
      </c>
    </row>
    <row r="217" spans="1:54" ht="15" customHeight="1" x14ac:dyDescent="0.25">
      <c r="A217" s="40">
        <v>15248</v>
      </c>
      <c r="B217" s="40" t="s">
        <v>74</v>
      </c>
      <c r="C217" s="40" t="s">
        <v>1467</v>
      </c>
      <c r="D217" s="40" t="s">
        <v>403</v>
      </c>
      <c r="E217" s="40">
        <v>18</v>
      </c>
      <c r="F217" s="40" t="s">
        <v>42</v>
      </c>
      <c r="G217" s="40" t="s">
        <v>42</v>
      </c>
      <c r="H217" s="41" t="s">
        <v>638</v>
      </c>
      <c r="I217" s="65" t="s">
        <v>44</v>
      </c>
      <c r="J217" s="66" t="s">
        <v>47</v>
      </c>
      <c r="K217" s="67" t="s">
        <v>43</v>
      </c>
      <c r="L217" s="40">
        <v>1</v>
      </c>
      <c r="M217" s="40">
        <v>2</v>
      </c>
      <c r="N217" s="40">
        <v>3</v>
      </c>
      <c r="O217" s="40">
        <v>2</v>
      </c>
      <c r="P217" s="41">
        <v>1</v>
      </c>
      <c r="Q217" s="40">
        <v>3</v>
      </c>
      <c r="R217" s="40">
        <v>5</v>
      </c>
      <c r="S217" s="40">
        <v>6</v>
      </c>
      <c r="T217" s="40">
        <v>4</v>
      </c>
      <c r="U217" s="41">
        <v>4</v>
      </c>
      <c r="V217" s="40">
        <v>7</v>
      </c>
      <c r="W217" s="40">
        <v>6</v>
      </c>
      <c r="X217" s="40">
        <v>1</v>
      </c>
      <c r="Y217" s="41">
        <v>1</v>
      </c>
      <c r="Z217" s="40" t="s">
        <v>45</v>
      </c>
      <c r="AA217" s="40" t="s">
        <v>45</v>
      </c>
      <c r="AB217" s="40" t="s">
        <v>45</v>
      </c>
      <c r="AC217" s="40">
        <v>2</v>
      </c>
      <c r="AD217" s="40" t="s">
        <v>45</v>
      </c>
      <c r="AE217" s="40" t="s">
        <v>45</v>
      </c>
      <c r="AF217" s="40" t="s">
        <v>45</v>
      </c>
      <c r="AG217" s="41" t="s">
        <v>45</v>
      </c>
      <c r="AH217" s="40">
        <v>3</v>
      </c>
      <c r="AI217" s="40">
        <v>5</v>
      </c>
      <c r="AJ217" s="41">
        <v>2</v>
      </c>
      <c r="AK217" s="43" t="s">
        <v>644</v>
      </c>
      <c r="AL217" s="43" t="s">
        <v>47</v>
      </c>
      <c r="AM217" s="44">
        <f t="shared" si="22"/>
        <v>-1.7774509321514844</v>
      </c>
      <c r="AN217" s="44">
        <f t="shared" si="23"/>
        <v>-0.43050701934790758</v>
      </c>
      <c r="AO217" s="45">
        <f t="shared" si="24"/>
        <v>0</v>
      </c>
      <c r="AP217" s="46">
        <f t="shared" si="25"/>
        <v>0</v>
      </c>
      <c r="AQ217" s="44">
        <f>($AM$3*AM217+$AN$3*AN217+$AO$3*AO217+$AP$3*AP217)+$I$3*VLOOKUP(I217,COND!$A$2:$E$7,4,FALSE)+$J$3*VLOOKUP(J217,COND!$A$2:$C$7,2,FALSE)+$K$3*VLOOKUP(K217,COND!$A$2:$C$7,3,FALSE)+IF(AND($B$2&gt;0,$E217&lt;20),$B$2*25,0)</f>
        <v>44.806170674609959</v>
      </c>
      <c r="AR217" s="47">
        <f t="shared" si="26"/>
        <v>0.14948155965307361</v>
      </c>
      <c r="AS217" s="45" t="str">
        <f t="shared" si="27"/>
        <v>3B</v>
      </c>
      <c r="AT217" s="45">
        <f>RANK(Batters[[#This Row],[zScore]],Batters[[#All],[zScore]])</f>
        <v>213</v>
      </c>
      <c r="AU217" s="45"/>
      <c r="AV217" s="45"/>
      <c r="AW217" s="45" t="str">
        <f t="shared" si="28"/>
        <v>Unlikely</v>
      </c>
      <c r="AX217" s="45"/>
      <c r="AY217" s="45">
        <f>INDEX(Table5[[#All],[Ovr]],MATCH(Batters[[#This Row],[PID]],Table5[[#All],[PID]],0))</f>
        <v>449</v>
      </c>
      <c r="AZ217" s="45" t="str">
        <f>INDEX(Table5[[#All],[Rnd]],MATCH(Batters[[#This Row],[PID]],Table5[[#All],[PID]],0))</f>
        <v>15</v>
      </c>
      <c r="BA217" s="45">
        <f>INDEX(Table5[[#All],[Pick]],MATCH(Batters[[#This Row],[PID]],Table5[[#All],[PID]],0))</f>
        <v>21</v>
      </c>
      <c r="BB217" s="45" t="str">
        <f>INDEX(Table5[[#All],[Team]],MATCH(Batters[[#This Row],[PID]],Table5[[#All],[PID]],0))</f>
        <v>Crystal Lake Sandgnats</v>
      </c>
    </row>
    <row r="218" spans="1:54" ht="15" customHeight="1" x14ac:dyDescent="0.25">
      <c r="A218" s="40">
        <v>20895</v>
      </c>
      <c r="B218" s="40" t="s">
        <v>74</v>
      </c>
      <c r="C218" s="40" t="s">
        <v>1429</v>
      </c>
      <c r="D218" s="40" t="s">
        <v>1526</v>
      </c>
      <c r="E218" s="40">
        <v>17</v>
      </c>
      <c r="F218" s="40" t="s">
        <v>53</v>
      </c>
      <c r="G218" s="40" t="s">
        <v>53</v>
      </c>
      <c r="H218" s="41" t="s">
        <v>638</v>
      </c>
      <c r="I218" s="65" t="s">
        <v>43</v>
      </c>
      <c r="J218" s="66" t="s">
        <v>43</v>
      </c>
      <c r="K218" s="67" t="s">
        <v>43</v>
      </c>
      <c r="L218" s="40">
        <v>1</v>
      </c>
      <c r="M218" s="40">
        <v>1</v>
      </c>
      <c r="N218" s="40">
        <v>2</v>
      </c>
      <c r="O218" s="40">
        <v>3</v>
      </c>
      <c r="P218" s="41">
        <v>1</v>
      </c>
      <c r="Q218" s="40">
        <v>3</v>
      </c>
      <c r="R218" s="40">
        <v>4</v>
      </c>
      <c r="S218" s="40">
        <v>3</v>
      </c>
      <c r="T218" s="40">
        <v>7</v>
      </c>
      <c r="U218" s="41">
        <v>5</v>
      </c>
      <c r="V218" s="40">
        <v>1</v>
      </c>
      <c r="W218" s="40">
        <v>3</v>
      </c>
      <c r="X218" s="40">
        <v>1</v>
      </c>
      <c r="Y218" s="41">
        <v>1</v>
      </c>
      <c r="Z218" s="40" t="s">
        <v>45</v>
      </c>
      <c r="AA218" s="40" t="s">
        <v>45</v>
      </c>
      <c r="AB218" s="40" t="s">
        <v>45</v>
      </c>
      <c r="AC218" s="40" t="s">
        <v>45</v>
      </c>
      <c r="AD218" s="40" t="s">
        <v>45</v>
      </c>
      <c r="AE218" s="40" t="s">
        <v>45</v>
      </c>
      <c r="AF218" s="40">
        <v>2</v>
      </c>
      <c r="AG218" s="41" t="s">
        <v>45</v>
      </c>
      <c r="AH218" s="40">
        <v>7</v>
      </c>
      <c r="AI218" s="40">
        <v>7</v>
      </c>
      <c r="AJ218" s="41">
        <v>5</v>
      </c>
      <c r="AK218" s="43" t="s">
        <v>670</v>
      </c>
      <c r="AL218" s="43" t="s">
        <v>635</v>
      </c>
      <c r="AM218" s="44">
        <f t="shared" si="22"/>
        <v>-1.8218627557845084</v>
      </c>
      <c r="AN218" s="44">
        <f t="shared" si="23"/>
        <v>-0.42160639119248911</v>
      </c>
      <c r="AO218" s="45">
        <f t="shared" si="24"/>
        <v>0</v>
      </c>
      <c r="AP218" s="46">
        <f t="shared" si="25"/>
        <v>0</v>
      </c>
      <c r="AQ218" s="44">
        <f>($AM$3*AM218+$AN$3*AN218+$AO$3*AO218+$AP$3*AP218)+$I$3*VLOOKUP(I218,COND!$A$2:$E$7,4,FALSE)+$J$3*VLOOKUP(J218,COND!$A$2:$C$7,2,FALSE)+$K$3*VLOOKUP(K218,COND!$A$2:$C$7,3,FALSE)+IF(AND($B$2&gt;0,$E218&lt;20),$B$2*25,0)</f>
        <v>44.758537030111682</v>
      </c>
      <c r="AR218" s="47">
        <f t="shared" si="26"/>
        <v>0.13892085869425044</v>
      </c>
      <c r="AS218" s="45" t="str">
        <f t="shared" si="27"/>
        <v>CF</v>
      </c>
      <c r="AT218" s="45">
        <f>RANK(Batters[[#This Row],[zScore]],Batters[[#All],[zScore]])</f>
        <v>214</v>
      </c>
      <c r="AU218" s="45"/>
      <c r="AV218" s="45"/>
      <c r="AW218" s="45" t="str">
        <f t="shared" si="28"/>
        <v>Unlikely</v>
      </c>
      <c r="AX218" s="45"/>
      <c r="AY218" s="45" t="str">
        <f>INDEX(Table5[[#All],[Ovr]],MATCH(Batters[[#This Row],[PID]],Table5[[#All],[PID]],0))</f>
        <v/>
      </c>
      <c r="AZ218" s="45" t="str">
        <f>INDEX(Table5[[#All],[Rnd]],MATCH(Batters[[#This Row],[PID]],Table5[[#All],[PID]],0))</f>
        <v/>
      </c>
      <c r="BA218" s="45" t="str">
        <f>INDEX(Table5[[#All],[Pick]],MATCH(Batters[[#This Row],[PID]],Table5[[#All],[PID]],0))</f>
        <v/>
      </c>
      <c r="BB218" s="45" t="str">
        <f>INDEX(Table5[[#All],[Team]],MATCH(Batters[[#This Row],[PID]],Table5[[#All],[PID]],0))</f>
        <v/>
      </c>
    </row>
    <row r="219" spans="1:54" ht="15" customHeight="1" x14ac:dyDescent="0.25">
      <c r="A219" s="40">
        <v>20848</v>
      </c>
      <c r="B219" s="40" t="s">
        <v>72</v>
      </c>
      <c r="C219" s="40" t="s">
        <v>1230</v>
      </c>
      <c r="D219" s="40" t="s">
        <v>133</v>
      </c>
      <c r="E219" s="40">
        <v>17</v>
      </c>
      <c r="F219" s="40" t="s">
        <v>53</v>
      </c>
      <c r="G219" s="40" t="s">
        <v>42</v>
      </c>
      <c r="H219" s="41" t="s">
        <v>634</v>
      </c>
      <c r="I219" s="65" t="s">
        <v>47</v>
      </c>
      <c r="J219" s="66" t="s">
        <v>47</v>
      </c>
      <c r="K219" s="67" t="s">
        <v>44</v>
      </c>
      <c r="L219" s="40">
        <v>1</v>
      </c>
      <c r="M219" s="40">
        <v>2</v>
      </c>
      <c r="N219" s="40">
        <v>2</v>
      </c>
      <c r="O219" s="40">
        <v>1</v>
      </c>
      <c r="P219" s="41">
        <v>1</v>
      </c>
      <c r="Q219" s="40">
        <v>4</v>
      </c>
      <c r="R219" s="40">
        <v>3</v>
      </c>
      <c r="S219" s="40">
        <v>3</v>
      </c>
      <c r="T219" s="40">
        <v>3</v>
      </c>
      <c r="U219" s="41">
        <v>5</v>
      </c>
      <c r="V219" s="40">
        <v>6</v>
      </c>
      <c r="W219" s="40">
        <v>7</v>
      </c>
      <c r="X219" s="40">
        <v>1</v>
      </c>
      <c r="Y219" s="41">
        <v>1</v>
      </c>
      <c r="Z219" s="40" t="s">
        <v>45</v>
      </c>
      <c r="AA219" s="40" t="s">
        <v>45</v>
      </c>
      <c r="AB219" s="40" t="s">
        <v>45</v>
      </c>
      <c r="AC219" s="40" t="s">
        <v>45</v>
      </c>
      <c r="AD219" s="40">
        <v>3</v>
      </c>
      <c r="AE219" s="40" t="s">
        <v>45</v>
      </c>
      <c r="AF219" s="40" t="s">
        <v>45</v>
      </c>
      <c r="AG219" s="41" t="s">
        <v>45</v>
      </c>
      <c r="AH219" s="40">
        <v>8</v>
      </c>
      <c r="AI219" s="40">
        <v>8</v>
      </c>
      <c r="AJ219" s="41">
        <v>10</v>
      </c>
      <c r="AK219" s="43" t="s">
        <v>670</v>
      </c>
      <c r="AL219" s="43" t="s">
        <v>635</v>
      </c>
      <c r="AM219" s="44">
        <f t="shared" si="22"/>
        <v>-1.9502219761849671</v>
      </c>
      <c r="AN219" s="44">
        <f t="shared" si="23"/>
        <v>-0.50894863464684192</v>
      </c>
      <c r="AO219" s="45">
        <f t="shared" si="24"/>
        <v>5</v>
      </c>
      <c r="AP219" s="46">
        <f t="shared" si="25"/>
        <v>0</v>
      </c>
      <c r="AQ219" s="44">
        <f>($AM$3*AM219+$AN$3*AN219+$AO$3*AO219+$AP$3*AP219)+$I$3*VLOOKUP(I219,COND!$A$2:$E$7,4,FALSE)+$J$3*VLOOKUP(J219,COND!$A$2:$C$7,2,FALSE)+$K$3*VLOOKUP(K219,COND!$A$2:$C$7,3,FALSE)+IF(AND($B$2&gt;0,$E219&lt;20),$B$2*25,0)</f>
        <v>44.755927519952735</v>
      </c>
      <c r="AR219" s="47">
        <f t="shared" si="26"/>
        <v>0.13834231265336008</v>
      </c>
      <c r="AS219" s="45" t="str">
        <f t="shared" si="27"/>
        <v>SS</v>
      </c>
      <c r="AT219" s="45">
        <f>RANK(Batters[[#This Row],[zScore]],Batters[[#All],[zScore]])</f>
        <v>215</v>
      </c>
      <c r="AU219" s="45"/>
      <c r="AV219" s="45"/>
      <c r="AW219" s="45" t="str">
        <f t="shared" si="28"/>
        <v>Unlikely</v>
      </c>
      <c r="AX219" s="45"/>
      <c r="AY219" s="45">
        <f>INDEX(Table5[[#All],[Ovr]],MATCH(Batters[[#This Row],[PID]],Table5[[#All],[PID]],0))</f>
        <v>398</v>
      </c>
      <c r="AZ219" s="45" t="str">
        <f>INDEX(Table5[[#All],[Rnd]],MATCH(Batters[[#This Row],[PID]],Table5[[#All],[PID]],0))</f>
        <v>13</v>
      </c>
      <c r="BA219" s="45">
        <f>INDEX(Table5[[#All],[Pick]],MATCH(Batters[[#This Row],[PID]],Table5[[#All],[PID]],0))</f>
        <v>30</v>
      </c>
      <c r="BB219" s="45" t="str">
        <f>INDEX(Table5[[#All],[Team]],MATCH(Batters[[#This Row],[PID]],Table5[[#All],[PID]],0))</f>
        <v>Florida Farstriders</v>
      </c>
    </row>
    <row r="220" spans="1:54" ht="15" customHeight="1" x14ac:dyDescent="0.25">
      <c r="A220" s="40">
        <v>17924</v>
      </c>
      <c r="B220" s="40" t="s">
        <v>86</v>
      </c>
      <c r="C220" s="40" t="s">
        <v>585</v>
      </c>
      <c r="D220" s="40" t="s">
        <v>1241</v>
      </c>
      <c r="E220" s="40">
        <v>18</v>
      </c>
      <c r="F220" s="40" t="s">
        <v>53</v>
      </c>
      <c r="G220" s="40" t="s">
        <v>42</v>
      </c>
      <c r="H220" s="41" t="s">
        <v>634</v>
      </c>
      <c r="I220" s="65" t="s">
        <v>43</v>
      </c>
      <c r="J220" s="66" t="s">
        <v>43</v>
      </c>
      <c r="K220" s="67" t="s">
        <v>43</v>
      </c>
      <c r="L220" s="40">
        <v>1</v>
      </c>
      <c r="M220" s="40">
        <v>3</v>
      </c>
      <c r="N220" s="40">
        <v>3</v>
      </c>
      <c r="O220" s="40">
        <v>2</v>
      </c>
      <c r="P220" s="41">
        <v>1</v>
      </c>
      <c r="Q220" s="40">
        <v>3</v>
      </c>
      <c r="R220" s="40">
        <v>5</v>
      </c>
      <c r="S220" s="40">
        <v>5</v>
      </c>
      <c r="T220" s="40">
        <v>5</v>
      </c>
      <c r="U220" s="41">
        <v>4</v>
      </c>
      <c r="V220" s="40">
        <v>3</v>
      </c>
      <c r="W220" s="40">
        <v>2</v>
      </c>
      <c r="X220" s="40">
        <v>4</v>
      </c>
      <c r="Y220" s="41">
        <v>7</v>
      </c>
      <c r="Z220" s="40">
        <v>2</v>
      </c>
      <c r="AA220" s="40" t="s">
        <v>45</v>
      </c>
      <c r="AB220" s="40" t="s">
        <v>45</v>
      </c>
      <c r="AC220" s="40" t="s">
        <v>45</v>
      </c>
      <c r="AD220" s="40" t="s">
        <v>45</v>
      </c>
      <c r="AE220" s="40" t="s">
        <v>45</v>
      </c>
      <c r="AF220" s="40" t="s">
        <v>45</v>
      </c>
      <c r="AG220" s="41" t="s">
        <v>45</v>
      </c>
      <c r="AH220" s="40">
        <v>2</v>
      </c>
      <c r="AI220" s="40">
        <v>4</v>
      </c>
      <c r="AJ220" s="41">
        <v>6</v>
      </c>
      <c r="AK220" s="43" t="s">
        <v>423</v>
      </c>
      <c r="AL220" s="43" t="s">
        <v>47</v>
      </c>
      <c r="AM220" s="44">
        <f t="shared" si="22"/>
        <v>-1.726391052532781</v>
      </c>
      <c r="AN220" s="44">
        <f t="shared" si="23"/>
        <v>-0.42385896336222806</v>
      </c>
      <c r="AO220" s="45">
        <f t="shared" si="24"/>
        <v>0</v>
      </c>
      <c r="AP220" s="46">
        <f t="shared" si="25"/>
        <v>0</v>
      </c>
      <c r="AQ220" s="44">
        <f>($AM$3*AM220+$AN$3*AN220+$AO$3*AO220+$AP$3*AP220)+$I$3*VLOOKUP(I220,COND!$A$2:$E$7,4,FALSE)+$J$3*VLOOKUP(J220,COND!$A$2:$C$7,2,FALSE)+$K$3*VLOOKUP(K220,COND!$A$2:$C$7,3,FALSE)+IF(AND($B$2&gt;0,$E220&lt;20),$B$2*25,0)</f>
        <v>44.741053334399986</v>
      </c>
      <c r="AR220" s="47">
        <f t="shared" si="26"/>
        <v>0.13504460517615213</v>
      </c>
      <c r="AS220" s="45" t="str">
        <f t="shared" si="27"/>
        <v>C</v>
      </c>
      <c r="AT220" s="45">
        <f>RANK(Batters[[#This Row],[zScore]],Batters[[#All],[zScore]])</f>
        <v>216</v>
      </c>
      <c r="AU220" s="45"/>
      <c r="AV220" s="45"/>
      <c r="AW220" s="45" t="str">
        <f t="shared" si="28"/>
        <v>Unlikely</v>
      </c>
      <c r="AX220" s="45"/>
      <c r="AY220" s="45">
        <f>INDEX(Table5[[#All],[Ovr]],MATCH(Batters[[#This Row],[PID]],Table5[[#All],[PID]],0))</f>
        <v>362</v>
      </c>
      <c r="AZ220" s="45" t="str">
        <f>INDEX(Table5[[#All],[Rnd]],MATCH(Batters[[#This Row],[PID]],Table5[[#All],[PID]],0))</f>
        <v>12</v>
      </c>
      <c r="BA220" s="45">
        <f>INDEX(Table5[[#All],[Pick]],MATCH(Batters[[#This Row],[PID]],Table5[[#All],[PID]],0))</f>
        <v>24</v>
      </c>
      <c r="BB220" s="45" t="str">
        <f>INDEX(Table5[[#All],[Team]],MATCH(Batters[[#This Row],[PID]],Table5[[#All],[PID]],0))</f>
        <v>Aurora Borealis</v>
      </c>
    </row>
    <row r="221" spans="1:54" ht="15" customHeight="1" x14ac:dyDescent="0.25">
      <c r="A221" s="40">
        <v>20446</v>
      </c>
      <c r="B221" s="40" t="s">
        <v>66</v>
      </c>
      <c r="C221" s="40" t="s">
        <v>1614</v>
      </c>
      <c r="D221" s="40" t="s">
        <v>1615</v>
      </c>
      <c r="E221" s="40">
        <v>17</v>
      </c>
      <c r="F221" s="40" t="s">
        <v>42</v>
      </c>
      <c r="G221" s="40" t="s">
        <v>53</v>
      </c>
      <c r="H221" s="41" t="s">
        <v>638</v>
      </c>
      <c r="I221" s="65" t="s">
        <v>43</v>
      </c>
      <c r="J221" s="66" t="s">
        <v>43</v>
      </c>
      <c r="K221" s="67" t="s">
        <v>43</v>
      </c>
      <c r="L221" s="40">
        <v>1</v>
      </c>
      <c r="M221" s="40">
        <v>2</v>
      </c>
      <c r="N221" s="40">
        <v>3</v>
      </c>
      <c r="O221" s="40">
        <v>3</v>
      </c>
      <c r="P221" s="41">
        <v>1</v>
      </c>
      <c r="Q221" s="40">
        <v>3</v>
      </c>
      <c r="R221" s="40">
        <v>4</v>
      </c>
      <c r="S221" s="40">
        <v>4</v>
      </c>
      <c r="T221" s="40">
        <v>6</v>
      </c>
      <c r="U221" s="41">
        <v>4</v>
      </c>
      <c r="V221" s="40">
        <v>3</v>
      </c>
      <c r="W221" s="40">
        <v>4</v>
      </c>
      <c r="X221" s="40">
        <v>1</v>
      </c>
      <c r="Y221" s="41">
        <v>1</v>
      </c>
      <c r="Z221" s="40" t="s">
        <v>45</v>
      </c>
      <c r="AA221" s="40" t="s">
        <v>45</v>
      </c>
      <c r="AB221" s="40" t="s">
        <v>45</v>
      </c>
      <c r="AC221" s="40" t="s">
        <v>45</v>
      </c>
      <c r="AD221" s="40" t="s">
        <v>45</v>
      </c>
      <c r="AE221" s="40" t="s">
        <v>45</v>
      </c>
      <c r="AF221" s="40">
        <v>1</v>
      </c>
      <c r="AG221" s="41">
        <v>2</v>
      </c>
      <c r="AH221" s="40">
        <v>9</v>
      </c>
      <c r="AI221" s="40">
        <v>7</v>
      </c>
      <c r="AJ221" s="41">
        <v>8</v>
      </c>
      <c r="AK221" s="43" t="s">
        <v>670</v>
      </c>
      <c r="AL221" s="43" t="s">
        <v>47</v>
      </c>
      <c r="AM221" s="44">
        <f t="shared" si="22"/>
        <v>-1.6877413821419032</v>
      </c>
      <c r="AN221" s="44">
        <f t="shared" si="23"/>
        <v>-0.46827078699525204</v>
      </c>
      <c r="AO221" s="45">
        <f t="shared" si="24"/>
        <v>3</v>
      </c>
      <c r="AP221" s="46">
        <f t="shared" si="25"/>
        <v>0</v>
      </c>
      <c r="AQ221" s="44">
        <f>($AM$3*AM221+$AN$3*AN221+$AO$3*AO221+$AP$3*AP221)+$I$3*VLOOKUP(I221,COND!$A$2:$E$7,4,FALSE)+$J$3*VLOOKUP(J221,COND!$A$2:$C$7,2,FALSE)+$K$3*VLOOKUP(K221,COND!$A$2:$C$7,3,FALSE)+IF(AND($B$2&gt;0,$E221&lt;20),$B$2*25,0)</f>
        <v>44.711976417842784</v>
      </c>
      <c r="AR221" s="47">
        <f t="shared" si="26"/>
        <v>0.12859805623370513</v>
      </c>
      <c r="AS221" s="45" t="str">
        <f t="shared" si="27"/>
        <v>DH</v>
      </c>
      <c r="AT221" s="45">
        <f>RANK(Batters[[#This Row],[zScore]],Batters[[#All],[zScore]])</f>
        <v>217</v>
      </c>
      <c r="AU221" s="45"/>
      <c r="AV221" s="45"/>
      <c r="AW221" s="45" t="str">
        <f t="shared" si="28"/>
        <v>Unlikely</v>
      </c>
      <c r="AX221" s="45"/>
      <c r="AY221" s="45">
        <f>INDEX(Table5[[#All],[Ovr]],MATCH(Batters[[#This Row],[PID]],Table5[[#All],[PID]],0))</f>
        <v>555</v>
      </c>
      <c r="AZ221" s="45" t="str">
        <f>INDEX(Table5[[#All],[Rnd]],MATCH(Batters[[#This Row],[PID]],Table5[[#All],[PID]],0))</f>
        <v>19</v>
      </c>
      <c r="BA221" s="45">
        <f>INDEX(Table5[[#All],[Pick]],MATCH(Batters[[#This Row],[PID]],Table5[[#All],[PID]],0))</f>
        <v>7</v>
      </c>
      <c r="BB221" s="45" t="str">
        <f>INDEX(Table5[[#All],[Team]],MATCH(Batters[[#This Row],[PID]],Table5[[#All],[PID]],0))</f>
        <v>Niihama-shi Ghosts</v>
      </c>
    </row>
    <row r="222" spans="1:54" ht="15" customHeight="1" x14ac:dyDescent="0.25">
      <c r="A222" s="40">
        <v>18436</v>
      </c>
      <c r="B222" s="40" t="s">
        <v>86</v>
      </c>
      <c r="C222" s="40" t="s">
        <v>816</v>
      </c>
      <c r="D222" s="40" t="s">
        <v>642</v>
      </c>
      <c r="E222" s="40">
        <v>18</v>
      </c>
      <c r="F222" s="40" t="s">
        <v>42</v>
      </c>
      <c r="G222" s="40" t="s">
        <v>42</v>
      </c>
      <c r="H222" s="41" t="s">
        <v>634</v>
      </c>
      <c r="I222" s="65" t="s">
        <v>43</v>
      </c>
      <c r="J222" s="66" t="s">
        <v>44</v>
      </c>
      <c r="K222" s="67" t="s">
        <v>43</v>
      </c>
      <c r="L222" s="40">
        <v>1</v>
      </c>
      <c r="M222" s="40">
        <v>2</v>
      </c>
      <c r="N222" s="40">
        <v>3</v>
      </c>
      <c r="O222" s="40">
        <v>2</v>
      </c>
      <c r="P222" s="41">
        <v>1</v>
      </c>
      <c r="Q222" s="40">
        <v>3</v>
      </c>
      <c r="R222" s="40">
        <v>7</v>
      </c>
      <c r="S222" s="40">
        <v>5</v>
      </c>
      <c r="T222" s="40">
        <v>5</v>
      </c>
      <c r="U222" s="41">
        <v>2</v>
      </c>
      <c r="V222" s="40">
        <v>3</v>
      </c>
      <c r="W222" s="40">
        <v>2</v>
      </c>
      <c r="X222" s="40">
        <v>3</v>
      </c>
      <c r="Y222" s="41">
        <v>10</v>
      </c>
      <c r="Z222" s="40">
        <v>2</v>
      </c>
      <c r="AA222" s="40" t="s">
        <v>45</v>
      </c>
      <c r="AB222" s="40">
        <v>1</v>
      </c>
      <c r="AC222" s="40" t="s">
        <v>45</v>
      </c>
      <c r="AD222" s="40" t="s">
        <v>45</v>
      </c>
      <c r="AE222" s="40" t="s">
        <v>45</v>
      </c>
      <c r="AF222" s="40" t="s">
        <v>45</v>
      </c>
      <c r="AG222" s="41" t="s">
        <v>45</v>
      </c>
      <c r="AH222" s="40">
        <v>1</v>
      </c>
      <c r="AI222" s="40">
        <v>3</v>
      </c>
      <c r="AJ222" s="41">
        <v>4</v>
      </c>
      <c r="AK222" s="43" t="s">
        <v>659</v>
      </c>
      <c r="AL222" s="43" t="s">
        <v>635</v>
      </c>
      <c r="AM222" s="44">
        <f t="shared" si="22"/>
        <v>-1.7774509321514844</v>
      </c>
      <c r="AN222" s="44">
        <f t="shared" si="23"/>
        <v>-0.40177188375898798</v>
      </c>
      <c r="AO222" s="45">
        <f t="shared" si="24"/>
        <v>0</v>
      </c>
      <c r="AP222" s="46">
        <f t="shared" si="25"/>
        <v>0</v>
      </c>
      <c r="AQ222" s="44">
        <f>($AM$3*AM222+$AN$3*AN222+$AO$3*AO222+$AP$3*AP222)+$I$3*VLOOKUP(I222,COND!$A$2:$E$7,4,FALSE)+$J$3*VLOOKUP(J222,COND!$A$2:$C$7,2,FALSE)+$K$3*VLOOKUP(K222,COND!$A$2:$C$7,3,FALSE)+IF(AND($B$2&gt;0,$E222&lt;20),$B$2*25,0)</f>
        <v>44.70099230167699</v>
      </c>
      <c r="AR222" s="47">
        <f t="shared" si="26"/>
        <v>0.12616280343401387</v>
      </c>
      <c r="AS222" s="45" t="str">
        <f t="shared" si="27"/>
        <v>C</v>
      </c>
      <c r="AT222" s="45">
        <f>RANK(Batters[[#This Row],[zScore]],Batters[[#All],[zScore]])</f>
        <v>218</v>
      </c>
      <c r="AU222" s="45"/>
      <c r="AV222" s="45"/>
      <c r="AW222" s="45" t="str">
        <f t="shared" si="28"/>
        <v>Unlikely</v>
      </c>
      <c r="AX222" s="45"/>
      <c r="AY222" s="45">
        <f>INDEX(Table5[[#All],[Ovr]],MATCH(Batters[[#This Row],[PID]],Table5[[#All],[PID]],0))</f>
        <v>477</v>
      </c>
      <c r="AZ222" s="45" t="str">
        <f>INDEX(Table5[[#All],[Rnd]],MATCH(Batters[[#This Row],[PID]],Table5[[#All],[PID]],0))</f>
        <v>16</v>
      </c>
      <c r="BA222" s="45">
        <f>INDEX(Table5[[#All],[Pick]],MATCH(Batters[[#This Row],[PID]],Table5[[#All],[PID]],0))</f>
        <v>19</v>
      </c>
      <c r="BB222" s="45" t="str">
        <f>INDEX(Table5[[#All],[Team]],MATCH(Batters[[#This Row],[PID]],Table5[[#All],[PID]],0))</f>
        <v>Kalamazoo Badgers</v>
      </c>
    </row>
    <row r="223" spans="1:54" ht="15" customHeight="1" x14ac:dyDescent="0.25">
      <c r="A223" s="40">
        <v>20488</v>
      </c>
      <c r="B223" s="40" t="s">
        <v>86</v>
      </c>
      <c r="C223" s="40" t="s">
        <v>1308</v>
      </c>
      <c r="D223" s="40" t="s">
        <v>1083</v>
      </c>
      <c r="E223" s="40">
        <v>18</v>
      </c>
      <c r="F223" s="40" t="s">
        <v>42</v>
      </c>
      <c r="G223" s="40" t="s">
        <v>42</v>
      </c>
      <c r="H223" s="41" t="s">
        <v>634</v>
      </c>
      <c r="I223" s="65" t="s">
        <v>44</v>
      </c>
      <c r="J223" s="66" t="s">
        <v>43</v>
      </c>
      <c r="K223" s="67" t="s">
        <v>43</v>
      </c>
      <c r="L223" s="40">
        <v>1</v>
      </c>
      <c r="M223" s="40">
        <v>2</v>
      </c>
      <c r="N223" s="40">
        <v>2</v>
      </c>
      <c r="O223" s="40">
        <v>3</v>
      </c>
      <c r="P223" s="41">
        <v>1</v>
      </c>
      <c r="Q223" s="40">
        <v>3</v>
      </c>
      <c r="R223" s="40">
        <v>4</v>
      </c>
      <c r="S223" s="40">
        <v>3</v>
      </c>
      <c r="T223" s="40">
        <v>7</v>
      </c>
      <c r="U223" s="41">
        <v>3</v>
      </c>
      <c r="V223" s="40">
        <v>4</v>
      </c>
      <c r="W223" s="40">
        <v>3</v>
      </c>
      <c r="X223" s="40">
        <v>6</v>
      </c>
      <c r="Y223" s="41">
        <v>5</v>
      </c>
      <c r="Z223" s="40">
        <v>2</v>
      </c>
      <c r="AA223" s="40">
        <v>2</v>
      </c>
      <c r="AB223" s="40" t="s">
        <v>45</v>
      </c>
      <c r="AC223" s="40" t="s">
        <v>45</v>
      </c>
      <c r="AD223" s="40" t="s">
        <v>45</v>
      </c>
      <c r="AE223" s="40" t="s">
        <v>45</v>
      </c>
      <c r="AF223" s="40" t="s">
        <v>45</v>
      </c>
      <c r="AG223" s="41" t="s">
        <v>45</v>
      </c>
      <c r="AH223" s="40">
        <v>2</v>
      </c>
      <c r="AI223" s="40">
        <v>3</v>
      </c>
      <c r="AJ223" s="41">
        <v>1</v>
      </c>
      <c r="AK223" s="43" t="s">
        <v>410</v>
      </c>
      <c r="AL223" s="43" t="s">
        <v>47</v>
      </c>
      <c r="AM223" s="44">
        <f t="shared" si="22"/>
        <v>-1.7708028761658048</v>
      </c>
      <c r="AN223" s="44">
        <f t="shared" si="23"/>
        <v>-0.50163907082665593</v>
      </c>
      <c r="AO223" s="45">
        <f t="shared" si="24"/>
        <v>0</v>
      </c>
      <c r="AP223" s="46">
        <f t="shared" si="25"/>
        <v>1</v>
      </c>
      <c r="AQ223" s="44">
        <f>($AM$3*AM223+$AN$3*AN223+$AO$3*AO223+$AP$3*AP223)+$I$3*VLOOKUP(I223,COND!$A$2:$E$7,4,FALSE)+$J$3*VLOOKUP(J223,COND!$A$2:$C$7,2,FALSE)+$K$3*VLOOKUP(K223,COND!$A$2:$C$7,3,FALSE)+IF(AND($B$2&gt;0,$E223&lt;20),$B$2*25,0)</f>
        <v>44.653250862463551</v>
      </c>
      <c r="AR223" s="47">
        <f t="shared" si="26"/>
        <v>0.11557820365821443</v>
      </c>
      <c r="AS223" s="45" t="str">
        <f t="shared" si="27"/>
        <v>C</v>
      </c>
      <c r="AT223" s="45">
        <f>RANK(Batters[[#This Row],[zScore]],Batters[[#All],[zScore]])</f>
        <v>219</v>
      </c>
      <c r="AU223" s="45"/>
      <c r="AV223" s="45"/>
      <c r="AW223" s="45" t="str">
        <f t="shared" si="28"/>
        <v>Unlikely</v>
      </c>
      <c r="AX223" s="45"/>
      <c r="AY223" s="45" t="str">
        <f>INDEX(Table5[[#All],[Ovr]],MATCH(Batters[[#This Row],[PID]],Table5[[#All],[PID]],0))</f>
        <v/>
      </c>
      <c r="AZ223" s="45" t="str">
        <f>INDEX(Table5[[#All],[Rnd]],MATCH(Batters[[#This Row],[PID]],Table5[[#All],[PID]],0))</f>
        <v/>
      </c>
      <c r="BA223" s="45" t="str">
        <f>INDEX(Table5[[#All],[Pick]],MATCH(Batters[[#This Row],[PID]],Table5[[#All],[PID]],0))</f>
        <v/>
      </c>
      <c r="BB223" s="45" t="str">
        <f>INDEX(Table5[[#All],[Team]],MATCH(Batters[[#This Row],[PID]],Table5[[#All],[PID]],0))</f>
        <v/>
      </c>
    </row>
    <row r="224" spans="1:54" ht="15" customHeight="1" x14ac:dyDescent="0.25">
      <c r="A224" s="40">
        <v>18085</v>
      </c>
      <c r="B224" s="40" t="s">
        <v>74</v>
      </c>
      <c r="C224" s="40" t="s">
        <v>180</v>
      </c>
      <c r="D224" s="40" t="s">
        <v>1232</v>
      </c>
      <c r="E224" s="40">
        <v>21</v>
      </c>
      <c r="F224" s="40" t="s">
        <v>62</v>
      </c>
      <c r="G224" s="40" t="s">
        <v>53</v>
      </c>
      <c r="H224" s="41" t="s">
        <v>634</v>
      </c>
      <c r="I224" s="65" t="s">
        <v>43</v>
      </c>
      <c r="J224" s="66" t="s">
        <v>44</v>
      </c>
      <c r="K224" s="67" t="s">
        <v>43</v>
      </c>
      <c r="L224" s="40">
        <v>2</v>
      </c>
      <c r="M224" s="40">
        <v>5</v>
      </c>
      <c r="N224" s="40">
        <v>3</v>
      </c>
      <c r="O224" s="40">
        <v>4</v>
      </c>
      <c r="P224" s="41">
        <v>1</v>
      </c>
      <c r="Q224" s="40">
        <v>4</v>
      </c>
      <c r="R224" s="40">
        <v>8</v>
      </c>
      <c r="S224" s="40">
        <v>4</v>
      </c>
      <c r="T224" s="40">
        <v>5</v>
      </c>
      <c r="U224" s="41">
        <v>3</v>
      </c>
      <c r="V224" s="40">
        <v>1</v>
      </c>
      <c r="W224" s="40">
        <v>4</v>
      </c>
      <c r="X224" s="40">
        <v>1</v>
      </c>
      <c r="Y224" s="41">
        <v>1</v>
      </c>
      <c r="Z224" s="40" t="s">
        <v>45</v>
      </c>
      <c r="AA224" s="40" t="s">
        <v>45</v>
      </c>
      <c r="AB224" s="40" t="s">
        <v>45</v>
      </c>
      <c r="AC224" s="40" t="s">
        <v>45</v>
      </c>
      <c r="AD224" s="40" t="s">
        <v>45</v>
      </c>
      <c r="AE224" s="40" t="s">
        <v>45</v>
      </c>
      <c r="AF224" s="40">
        <v>6</v>
      </c>
      <c r="AG224" s="41" t="s">
        <v>45</v>
      </c>
      <c r="AH224" s="40">
        <v>6</v>
      </c>
      <c r="AI224" s="40">
        <v>5</v>
      </c>
      <c r="AJ224" s="41">
        <v>7</v>
      </c>
      <c r="AK224" s="43" t="s">
        <v>45</v>
      </c>
      <c r="AL224" s="43" t="s">
        <v>47</v>
      </c>
      <c r="AM224" s="44">
        <f t="shared" si="22"/>
        <v>-1.1222963570735371</v>
      </c>
      <c r="AN224" s="44">
        <f t="shared" si="23"/>
        <v>-7.1201322144427787E-2</v>
      </c>
      <c r="AO224" s="45">
        <f t="shared" si="24"/>
        <v>1</v>
      </c>
      <c r="AP224" s="46">
        <f t="shared" si="25"/>
        <v>0.75</v>
      </c>
      <c r="AQ224" s="44">
        <f>($AM$3*AM224+$AN$3*AN224+$AO$3*AO224+$AP$3*AP224)+$I$3*VLOOKUP(I224,COND!$A$2:$E$7,4,FALSE)+$J$3*VLOOKUP(J224,COND!$A$2:$C$7,2,FALSE)+$K$3*VLOOKUP(K224,COND!$A$2:$C$7,3,FALSE)+IF(AND($B$2&gt;0,$E224&lt;20),$B$2*25,0)</f>
        <v>44.650021165226178</v>
      </c>
      <c r="AR224" s="47">
        <f t="shared" si="26"/>
        <v>0.11486215794996159</v>
      </c>
      <c r="AS224" s="45" t="str">
        <f t="shared" si="27"/>
        <v>CF</v>
      </c>
      <c r="AT224" s="45">
        <f>RANK(Batters[[#This Row],[zScore]],Batters[[#All],[zScore]])</f>
        <v>220</v>
      </c>
      <c r="AU224" s="45"/>
      <c r="AV224" s="45"/>
      <c r="AW224" s="45" t="str">
        <f t="shared" si="28"/>
        <v>Unlikely</v>
      </c>
      <c r="AX224" s="45"/>
      <c r="AY224" s="45">
        <f>INDEX(Table5[[#All],[Ovr]],MATCH(Batters[[#This Row],[PID]],Table5[[#All],[PID]],0))</f>
        <v>300</v>
      </c>
      <c r="AZ224" s="45" t="str">
        <f>INDEX(Table5[[#All],[Rnd]],MATCH(Batters[[#This Row],[PID]],Table5[[#All],[PID]],0))</f>
        <v>10</v>
      </c>
      <c r="BA224" s="45">
        <f>INDEX(Table5[[#All],[Pick]],MATCH(Batters[[#This Row],[PID]],Table5[[#All],[PID]],0))</f>
        <v>22</v>
      </c>
      <c r="BB224" s="45" t="str">
        <f>INDEX(Table5[[#All],[Team]],MATCH(Batters[[#This Row],[PID]],Table5[[#All],[PID]],0))</f>
        <v>Fargo Dinosaurs</v>
      </c>
    </row>
    <row r="225" spans="1:54" ht="15" customHeight="1" x14ac:dyDescent="0.25">
      <c r="A225" s="40">
        <v>20619</v>
      </c>
      <c r="B225" s="40" t="s">
        <v>66</v>
      </c>
      <c r="C225" s="40" t="s">
        <v>1428</v>
      </c>
      <c r="D225" s="40" t="s">
        <v>1047</v>
      </c>
      <c r="E225" s="40">
        <v>18</v>
      </c>
      <c r="F225" s="40" t="s">
        <v>42</v>
      </c>
      <c r="G225" s="40" t="s">
        <v>42</v>
      </c>
      <c r="H225" s="41" t="s">
        <v>638</v>
      </c>
      <c r="I225" s="65" t="s">
        <v>43</v>
      </c>
      <c r="J225" s="66" t="s">
        <v>47</v>
      </c>
      <c r="K225" s="67" t="s">
        <v>43</v>
      </c>
      <c r="L225" s="40">
        <v>1</v>
      </c>
      <c r="M225" s="40">
        <v>3</v>
      </c>
      <c r="N225" s="40">
        <v>3</v>
      </c>
      <c r="O225" s="40">
        <v>3</v>
      </c>
      <c r="P225" s="41">
        <v>1</v>
      </c>
      <c r="Q225" s="40">
        <v>3</v>
      </c>
      <c r="R225" s="40">
        <v>5</v>
      </c>
      <c r="S225" s="40">
        <v>4</v>
      </c>
      <c r="T225" s="40">
        <v>6</v>
      </c>
      <c r="U225" s="41">
        <v>3</v>
      </c>
      <c r="V225" s="40">
        <v>4</v>
      </c>
      <c r="W225" s="40">
        <v>6</v>
      </c>
      <c r="X225" s="40">
        <v>1</v>
      </c>
      <c r="Y225" s="41">
        <v>1</v>
      </c>
      <c r="Z225" s="40" t="s">
        <v>45</v>
      </c>
      <c r="AA225" s="40" t="s">
        <v>45</v>
      </c>
      <c r="AB225" s="40" t="s">
        <v>45</v>
      </c>
      <c r="AC225" s="40" t="s">
        <v>45</v>
      </c>
      <c r="AD225" s="40" t="s">
        <v>45</v>
      </c>
      <c r="AE225" s="40">
        <v>1</v>
      </c>
      <c r="AF225" s="40" t="s">
        <v>45</v>
      </c>
      <c r="AG225" s="41">
        <v>1</v>
      </c>
      <c r="AH225" s="40">
        <v>4</v>
      </c>
      <c r="AI225" s="40">
        <v>3</v>
      </c>
      <c r="AJ225" s="41">
        <v>6</v>
      </c>
      <c r="AK225" s="43" t="s">
        <v>644</v>
      </c>
      <c r="AL225" s="43" t="s">
        <v>47</v>
      </c>
      <c r="AM225" s="44">
        <f t="shared" si="22"/>
        <v>-1.6366815025231998</v>
      </c>
      <c r="AN225" s="44">
        <f t="shared" si="23"/>
        <v>-0.457227247193632</v>
      </c>
      <c r="AO225" s="45">
        <f t="shared" si="24"/>
        <v>0</v>
      </c>
      <c r="AP225" s="46">
        <f t="shared" si="25"/>
        <v>0</v>
      </c>
      <c r="AQ225" s="44">
        <f>($AM$3*AM225+$AN$3*AN225+$AO$3*AO225+$AP$3*AP225)+$I$3*VLOOKUP(I225,COND!$A$2:$E$7,4,FALSE)+$J$3*VLOOKUP(J225,COND!$A$2:$C$7,2,FALSE)+$K$3*VLOOKUP(K225,COND!$A$2:$C$7,3,FALSE)+IF(AND($B$2&gt;0,$E225&lt;20),$B$2*25,0)</f>
        <v>44.649604883424097</v>
      </c>
      <c r="AR225" s="47">
        <f t="shared" si="26"/>
        <v>0.11476986546063625</v>
      </c>
      <c r="AS225" s="45" t="str">
        <f t="shared" si="27"/>
        <v>RF</v>
      </c>
      <c r="AT225" s="45">
        <f>RANK(Batters[[#This Row],[zScore]],Batters[[#All],[zScore]])</f>
        <v>221</v>
      </c>
      <c r="AU225" s="45"/>
      <c r="AV225" s="45"/>
      <c r="AW225" s="45" t="str">
        <f t="shared" si="28"/>
        <v>Unlikely</v>
      </c>
      <c r="AX225" s="45"/>
      <c r="AY225" s="45">
        <f>INDEX(Table5[[#All],[Ovr]],MATCH(Batters[[#This Row],[PID]],Table5[[#All],[PID]],0))</f>
        <v>557</v>
      </c>
      <c r="AZ225" s="45" t="str">
        <f>INDEX(Table5[[#All],[Rnd]],MATCH(Batters[[#This Row],[PID]],Table5[[#All],[PID]],0))</f>
        <v>19</v>
      </c>
      <c r="BA225" s="45">
        <f>INDEX(Table5[[#All],[Pick]],MATCH(Batters[[#This Row],[PID]],Table5[[#All],[PID]],0))</f>
        <v>9</v>
      </c>
      <c r="BB225" s="45" t="str">
        <f>INDEX(Table5[[#All],[Team]],MATCH(Batters[[#This Row],[PID]],Table5[[#All],[PID]],0))</f>
        <v>Scottish Claymores</v>
      </c>
    </row>
    <row r="226" spans="1:54" ht="15" customHeight="1" x14ac:dyDescent="0.25">
      <c r="A226" s="40">
        <v>20315</v>
      </c>
      <c r="B226" s="40" t="s">
        <v>50</v>
      </c>
      <c r="C226" s="40" t="s">
        <v>1490</v>
      </c>
      <c r="D226" s="40" t="s">
        <v>694</v>
      </c>
      <c r="E226" s="40">
        <v>18</v>
      </c>
      <c r="F226" s="40" t="s">
        <v>42</v>
      </c>
      <c r="G226" s="40" t="s">
        <v>42</v>
      </c>
      <c r="H226" s="41" t="s">
        <v>638</v>
      </c>
      <c r="I226" s="65" t="s">
        <v>43</v>
      </c>
      <c r="J226" s="66" t="s">
        <v>44</v>
      </c>
      <c r="K226" s="67" t="s">
        <v>43</v>
      </c>
      <c r="L226" s="40">
        <v>1</v>
      </c>
      <c r="M226" s="40">
        <v>4</v>
      </c>
      <c r="N226" s="40">
        <v>3</v>
      </c>
      <c r="O226" s="40">
        <v>3</v>
      </c>
      <c r="P226" s="41">
        <v>1</v>
      </c>
      <c r="Q226" s="40">
        <v>3</v>
      </c>
      <c r="R226" s="40">
        <v>6</v>
      </c>
      <c r="S226" s="40">
        <v>5</v>
      </c>
      <c r="T226" s="40">
        <v>5</v>
      </c>
      <c r="U226" s="41">
        <v>3</v>
      </c>
      <c r="V226" s="40">
        <v>7</v>
      </c>
      <c r="W226" s="40">
        <v>8</v>
      </c>
      <c r="X226" s="40">
        <v>1</v>
      </c>
      <c r="Y226" s="41">
        <v>1</v>
      </c>
      <c r="Z226" s="40" t="s">
        <v>45</v>
      </c>
      <c r="AA226" s="40">
        <v>1</v>
      </c>
      <c r="AB226" s="40" t="s">
        <v>45</v>
      </c>
      <c r="AC226" s="40" t="s">
        <v>45</v>
      </c>
      <c r="AD226" s="40" t="s">
        <v>45</v>
      </c>
      <c r="AE226" s="40">
        <v>1</v>
      </c>
      <c r="AF226" s="40" t="s">
        <v>45</v>
      </c>
      <c r="AG226" s="41">
        <v>1</v>
      </c>
      <c r="AH226" s="40">
        <v>6</v>
      </c>
      <c r="AI226" s="40">
        <v>6</v>
      </c>
      <c r="AJ226" s="41">
        <v>3</v>
      </c>
      <c r="AK226" s="43" t="s">
        <v>573</v>
      </c>
      <c r="AL226" s="43" t="s">
        <v>635</v>
      </c>
      <c r="AM226" s="44">
        <f t="shared" si="22"/>
        <v>-1.5856216229044964</v>
      </c>
      <c r="AN226" s="44">
        <f t="shared" si="23"/>
        <v>-0.41281542356060796</v>
      </c>
      <c r="AO226" s="45">
        <f t="shared" si="24"/>
        <v>0</v>
      </c>
      <c r="AP226" s="46">
        <f t="shared" si="25"/>
        <v>0</v>
      </c>
      <c r="AQ226" s="44">
        <f>($AM$3*AM226+$AN$3*AN226+$AO$3*AO226+$AP$3*AP226)+$I$3*VLOOKUP(I226,COND!$A$2:$E$7,4,FALSE)+$J$3*VLOOKUP(J226,COND!$A$2:$C$7,2,FALSE)+$K$3*VLOOKUP(K226,COND!$A$2:$C$7,3,FALSE)+IF(AND($B$2&gt;0,$E226&lt;20),$B$2*25,0)</f>
        <v>44.587652754982258</v>
      </c>
      <c r="AR226" s="47">
        <f t="shared" si="26"/>
        <v>0.10103465982755619</v>
      </c>
      <c r="AS226" s="45" t="str">
        <f t="shared" si="27"/>
        <v>RF</v>
      </c>
      <c r="AT226" s="45">
        <f>RANK(Batters[[#This Row],[zScore]],Batters[[#All],[zScore]])</f>
        <v>222</v>
      </c>
      <c r="AU226" s="45"/>
      <c r="AV226" s="45"/>
      <c r="AW226" s="45" t="str">
        <f t="shared" si="28"/>
        <v>Unlikely</v>
      </c>
      <c r="AX226" s="45"/>
      <c r="AY226" s="45" t="str">
        <f>INDEX(Table5[[#All],[Ovr]],MATCH(Batters[[#This Row],[PID]],Table5[[#All],[PID]],0))</f>
        <v/>
      </c>
      <c r="AZ226" s="45" t="str">
        <f>INDEX(Table5[[#All],[Rnd]],MATCH(Batters[[#This Row],[PID]],Table5[[#All],[PID]],0))</f>
        <v/>
      </c>
      <c r="BA226" s="45" t="str">
        <f>INDEX(Table5[[#All],[Pick]],MATCH(Batters[[#This Row],[PID]],Table5[[#All],[PID]],0))</f>
        <v/>
      </c>
      <c r="BB226" s="45" t="str">
        <f>INDEX(Table5[[#All],[Team]],MATCH(Batters[[#This Row],[PID]],Table5[[#All],[PID]],0))</f>
        <v/>
      </c>
    </row>
    <row r="227" spans="1:54" ht="15" customHeight="1" x14ac:dyDescent="0.25">
      <c r="A227" s="40">
        <v>20889</v>
      </c>
      <c r="B227" s="40" t="s">
        <v>86</v>
      </c>
      <c r="C227" s="40" t="s">
        <v>370</v>
      </c>
      <c r="D227" s="40" t="s">
        <v>811</v>
      </c>
      <c r="E227" s="40">
        <v>18</v>
      </c>
      <c r="F227" s="40" t="s">
        <v>42</v>
      </c>
      <c r="G227" s="40" t="s">
        <v>42</v>
      </c>
      <c r="H227" s="41" t="s">
        <v>634</v>
      </c>
      <c r="I227" s="65" t="s">
        <v>47</v>
      </c>
      <c r="J227" s="66" t="s">
        <v>47</v>
      </c>
      <c r="K227" s="67" t="s">
        <v>43</v>
      </c>
      <c r="L227" s="40">
        <v>1</v>
      </c>
      <c r="M227" s="40">
        <v>1</v>
      </c>
      <c r="N227" s="40">
        <v>3</v>
      </c>
      <c r="O227" s="40">
        <v>3</v>
      </c>
      <c r="P227" s="41">
        <v>1</v>
      </c>
      <c r="Q227" s="40">
        <v>2</v>
      </c>
      <c r="R227" s="40">
        <v>4</v>
      </c>
      <c r="S227" s="40">
        <v>7</v>
      </c>
      <c r="T227" s="40">
        <v>8</v>
      </c>
      <c r="U227" s="41">
        <v>1</v>
      </c>
      <c r="V227" s="40">
        <v>2</v>
      </c>
      <c r="W227" s="40">
        <v>3</v>
      </c>
      <c r="X227" s="40">
        <v>4</v>
      </c>
      <c r="Y227" s="41">
        <v>7</v>
      </c>
      <c r="Z227" s="40">
        <v>2</v>
      </c>
      <c r="AA227" s="40" t="s">
        <v>45</v>
      </c>
      <c r="AB227" s="40" t="s">
        <v>45</v>
      </c>
      <c r="AC227" s="40" t="s">
        <v>45</v>
      </c>
      <c r="AD227" s="40" t="s">
        <v>45</v>
      </c>
      <c r="AE227" s="40" t="s">
        <v>45</v>
      </c>
      <c r="AF227" s="40" t="s">
        <v>45</v>
      </c>
      <c r="AG227" s="41" t="s">
        <v>45</v>
      </c>
      <c r="AH227" s="40">
        <v>1</v>
      </c>
      <c r="AI227" s="40">
        <v>1</v>
      </c>
      <c r="AJ227" s="41">
        <v>1</v>
      </c>
      <c r="AK227" s="43" t="s">
        <v>553</v>
      </c>
      <c r="AL227" s="43" t="s">
        <v>47</v>
      </c>
      <c r="AM227" s="44">
        <f t="shared" si="22"/>
        <v>-1.738801261760607</v>
      </c>
      <c r="AN227" s="44">
        <f t="shared" si="23"/>
        <v>-0.48227206055831062</v>
      </c>
      <c r="AO227" s="45">
        <f t="shared" si="24"/>
        <v>0</v>
      </c>
      <c r="AP227" s="46">
        <f t="shared" si="25"/>
        <v>0</v>
      </c>
      <c r="AQ227" s="44">
        <f>($AM$3*AM227+$AN$3*AN227+$AO$3*AO227+$AP$3*AP227)+$I$3*VLOOKUP(I227,COND!$A$2:$E$7,4,FALSE)+$J$3*VLOOKUP(J227,COND!$A$2:$C$7,2,FALSE)+$K$3*VLOOKUP(K227,COND!$A$2:$C$7,3,FALSE)+IF(AND($B$2&gt;0,$E227&lt;20),$B$2*25,0)</f>
        <v>44.563855147124215</v>
      </c>
      <c r="AR227" s="47">
        <f t="shared" si="26"/>
        <v>9.5758569308527608E-2</v>
      </c>
      <c r="AS227" s="45" t="str">
        <f t="shared" si="27"/>
        <v>C</v>
      </c>
      <c r="AT227" s="45">
        <f>RANK(Batters[[#This Row],[zScore]],Batters[[#All],[zScore]])</f>
        <v>223</v>
      </c>
      <c r="AU227" s="45"/>
      <c r="AV227" s="45"/>
      <c r="AW227" s="45" t="str">
        <f t="shared" si="28"/>
        <v>Possible</v>
      </c>
      <c r="AX227" s="45"/>
      <c r="AY227" s="45">
        <f>INDEX(Table5[[#All],[Ovr]],MATCH(Batters[[#This Row],[PID]],Table5[[#All],[PID]],0))</f>
        <v>168</v>
      </c>
      <c r="AZ227" s="45" t="str">
        <f>INDEX(Table5[[#All],[Rnd]],MATCH(Batters[[#This Row],[PID]],Table5[[#All],[PID]],0))</f>
        <v>6</v>
      </c>
      <c r="BA227" s="45">
        <f>INDEX(Table5[[#All],[Pick]],MATCH(Batters[[#This Row],[PID]],Table5[[#All],[PID]],0))</f>
        <v>10</v>
      </c>
      <c r="BB227" s="45" t="str">
        <f>INDEX(Table5[[#All],[Team]],MATCH(Batters[[#This Row],[PID]],Table5[[#All],[PID]],0))</f>
        <v>Hartford Harpoon</v>
      </c>
    </row>
    <row r="228" spans="1:54" ht="15" customHeight="1" x14ac:dyDescent="0.25">
      <c r="A228" s="40">
        <v>18135</v>
      </c>
      <c r="B228" s="40" t="s">
        <v>66</v>
      </c>
      <c r="C228" s="40" t="s">
        <v>125</v>
      </c>
      <c r="D228" s="40" t="s">
        <v>688</v>
      </c>
      <c r="E228" s="40">
        <v>21</v>
      </c>
      <c r="F228" s="40" t="s">
        <v>53</v>
      </c>
      <c r="G228" s="40" t="s">
        <v>53</v>
      </c>
      <c r="H228" s="41" t="s">
        <v>634</v>
      </c>
      <c r="I228" s="65" t="s">
        <v>43</v>
      </c>
      <c r="J228" s="66" t="s">
        <v>43</v>
      </c>
      <c r="K228" s="67" t="s">
        <v>43</v>
      </c>
      <c r="L228" s="40">
        <v>2</v>
      </c>
      <c r="M228" s="40">
        <v>6</v>
      </c>
      <c r="N228" s="40">
        <v>3</v>
      </c>
      <c r="O228" s="40">
        <v>2</v>
      </c>
      <c r="P228" s="41">
        <v>2</v>
      </c>
      <c r="Q228" s="40">
        <v>4</v>
      </c>
      <c r="R228" s="40">
        <v>8</v>
      </c>
      <c r="S228" s="40">
        <v>4</v>
      </c>
      <c r="T228" s="40">
        <v>4</v>
      </c>
      <c r="U228" s="41">
        <v>5</v>
      </c>
      <c r="V228" s="40">
        <v>5</v>
      </c>
      <c r="W228" s="40">
        <v>9</v>
      </c>
      <c r="X228" s="40">
        <v>1</v>
      </c>
      <c r="Y228" s="41">
        <v>1</v>
      </c>
      <c r="Z228" s="40" t="s">
        <v>45</v>
      </c>
      <c r="AA228" s="40" t="s">
        <v>45</v>
      </c>
      <c r="AB228" s="40" t="s">
        <v>45</v>
      </c>
      <c r="AC228" s="40" t="s">
        <v>45</v>
      </c>
      <c r="AD228" s="40" t="s">
        <v>45</v>
      </c>
      <c r="AE228" s="40" t="s">
        <v>45</v>
      </c>
      <c r="AF228" s="40" t="s">
        <v>45</v>
      </c>
      <c r="AG228" s="41">
        <v>6</v>
      </c>
      <c r="AH228" s="40">
        <v>6</v>
      </c>
      <c r="AI228" s="40">
        <v>6</v>
      </c>
      <c r="AJ228" s="41">
        <v>6</v>
      </c>
      <c r="AK228" s="43" t="s">
        <v>45</v>
      </c>
      <c r="AL228" s="43" t="s">
        <v>635</v>
      </c>
      <c r="AM228" s="44">
        <f t="shared" si="22"/>
        <v>-1.2106392376569124</v>
      </c>
      <c r="AN228" s="44">
        <f t="shared" si="23"/>
        <v>-8.0878192519841935E-2</v>
      </c>
      <c r="AO228" s="45">
        <f t="shared" si="24"/>
        <v>0</v>
      </c>
      <c r="AP228" s="46">
        <f t="shared" si="25"/>
        <v>0.65</v>
      </c>
      <c r="AQ228" s="44">
        <f>($AM$3*AM228+$AN$3*AN228+$AO$3*AO228+$AP$3*AP228)+$I$3*VLOOKUP(I228,COND!$A$2:$E$7,4,FALSE)+$J$3*VLOOKUP(J228,COND!$A$2:$C$7,2,FALSE)+$K$3*VLOOKUP(K228,COND!$A$2:$C$7,3,FALSE)+IF(AND($B$2&gt;0,$E228&lt;20),$B$2*25,0)</f>
        <v>44.558397765996204</v>
      </c>
      <c r="AR228" s="47">
        <f t="shared" si="26"/>
        <v>9.4548631023974719E-2</v>
      </c>
      <c r="AS228" s="45" t="str">
        <f t="shared" si="27"/>
        <v>RF</v>
      </c>
      <c r="AT228" s="45">
        <f>RANK(Batters[[#This Row],[zScore]],Batters[[#All],[zScore]])</f>
        <v>224</v>
      </c>
      <c r="AU228" s="45"/>
      <c r="AV228" s="45"/>
      <c r="AW228" s="45" t="str">
        <f t="shared" si="28"/>
        <v>Unlikely</v>
      </c>
      <c r="AX228" s="45"/>
      <c r="AY228" s="45">
        <f>INDEX(Table5[[#All],[Ovr]],MATCH(Batters[[#This Row],[PID]],Table5[[#All],[PID]],0))</f>
        <v>265</v>
      </c>
      <c r="AZ228" s="45" t="str">
        <f>INDEX(Table5[[#All],[Rnd]],MATCH(Batters[[#This Row],[PID]],Table5[[#All],[PID]],0))</f>
        <v>9</v>
      </c>
      <c r="BA228" s="45">
        <f>INDEX(Table5[[#All],[Pick]],MATCH(Batters[[#This Row],[PID]],Table5[[#All],[PID]],0))</f>
        <v>17</v>
      </c>
      <c r="BB228" s="45" t="str">
        <f>INDEX(Table5[[#All],[Team]],MATCH(Batters[[#This Row],[PID]],Table5[[#All],[PID]],0))</f>
        <v>Madison Malts</v>
      </c>
    </row>
    <row r="229" spans="1:54" ht="15" customHeight="1" x14ac:dyDescent="0.25">
      <c r="A229" s="40">
        <v>18236</v>
      </c>
      <c r="B229" s="40" t="s">
        <v>72</v>
      </c>
      <c r="C229" s="40" t="s">
        <v>1634</v>
      </c>
      <c r="D229" s="40" t="s">
        <v>1635</v>
      </c>
      <c r="E229" s="40">
        <v>18</v>
      </c>
      <c r="F229" s="40" t="s">
        <v>42</v>
      </c>
      <c r="G229" s="40" t="s">
        <v>42</v>
      </c>
      <c r="H229" s="41" t="s">
        <v>638</v>
      </c>
      <c r="I229" s="65" t="s">
        <v>43</v>
      </c>
      <c r="J229" s="66" t="s">
        <v>44</v>
      </c>
      <c r="K229" s="67" t="s">
        <v>47</v>
      </c>
      <c r="L229" s="40">
        <v>1</v>
      </c>
      <c r="M229" s="40">
        <v>2</v>
      </c>
      <c r="N229" s="40">
        <v>2</v>
      </c>
      <c r="O229" s="40">
        <v>2</v>
      </c>
      <c r="P229" s="41">
        <v>1</v>
      </c>
      <c r="Q229" s="40">
        <v>3</v>
      </c>
      <c r="R229" s="40">
        <v>6</v>
      </c>
      <c r="S229" s="40">
        <v>4</v>
      </c>
      <c r="T229" s="40">
        <v>5</v>
      </c>
      <c r="U229" s="41">
        <v>3</v>
      </c>
      <c r="V229" s="40">
        <v>7</v>
      </c>
      <c r="W229" s="40">
        <v>7</v>
      </c>
      <c r="X229" s="40">
        <v>1</v>
      </c>
      <c r="Y229" s="41">
        <v>1</v>
      </c>
      <c r="Z229" s="40" t="s">
        <v>45</v>
      </c>
      <c r="AA229" s="40" t="s">
        <v>45</v>
      </c>
      <c r="AB229" s="40">
        <v>4</v>
      </c>
      <c r="AC229" s="40" t="s">
        <v>45</v>
      </c>
      <c r="AD229" s="40">
        <v>1</v>
      </c>
      <c r="AE229" s="40" t="s">
        <v>45</v>
      </c>
      <c r="AF229" s="40" t="s">
        <v>45</v>
      </c>
      <c r="AG229" s="41" t="s">
        <v>45</v>
      </c>
      <c r="AH229" s="40">
        <v>6</v>
      </c>
      <c r="AI229" s="40">
        <v>9</v>
      </c>
      <c r="AJ229" s="41">
        <v>10</v>
      </c>
      <c r="AK229" s="43" t="s">
        <v>553</v>
      </c>
      <c r="AL229" s="43"/>
      <c r="AM229" s="44">
        <f t="shared" si="22"/>
        <v>-1.8605124261753858</v>
      </c>
      <c r="AN229" s="44">
        <f t="shared" si="23"/>
        <v>-0.49587691758450947</v>
      </c>
      <c r="AO229" s="45">
        <f t="shared" si="24"/>
        <v>4</v>
      </c>
      <c r="AP229" s="46">
        <f t="shared" si="25"/>
        <v>0</v>
      </c>
      <c r="AQ229" s="44">
        <f>($AM$3*AM229+$AN$3*AN229+$AO$3*AO229+$AP$3*AP229)+$I$3*VLOOKUP(I229,COND!$A$2:$E$7,4,FALSE)+$J$3*VLOOKUP(J229,COND!$A$2:$C$7,2,FALSE)+$K$3*VLOOKUP(K229,COND!$A$2:$C$7,3,FALSE)+IF(AND($B$2&gt;0,$E229&lt;20),$B$2*25,0)</f>
        <v>44.530092413035014</v>
      </c>
      <c r="AR229" s="47">
        <f t="shared" si="26"/>
        <v>8.8273142946049252E-2</v>
      </c>
      <c r="AS229" s="45" t="str">
        <f t="shared" si="27"/>
        <v>2B</v>
      </c>
      <c r="AT229" s="45">
        <f>RANK(Batters[[#This Row],[zScore]],Batters[[#All],[zScore]])</f>
        <v>225</v>
      </c>
      <c r="AU229" s="45"/>
      <c r="AV229" s="45"/>
      <c r="AW229" s="45" t="str">
        <f t="shared" si="28"/>
        <v>Unlikely</v>
      </c>
      <c r="AX229" s="45"/>
      <c r="AY229" s="64">
        <f>INDEX(Table5[[#All],[Ovr]],MATCH(Batters[[#This Row],[PID]],Table5[[#All],[PID]],0))</f>
        <v>484</v>
      </c>
      <c r="AZ229" s="64" t="str">
        <f>INDEX(Table5[[#All],[Rnd]],MATCH(Batters[[#This Row],[PID]],Table5[[#All],[PID]],0))</f>
        <v>16</v>
      </c>
      <c r="BA229" s="64">
        <f>INDEX(Table5[[#All],[Pick]],MATCH(Batters[[#This Row],[PID]],Table5[[#All],[PID]],0))</f>
        <v>26</v>
      </c>
      <c r="BB229" s="64" t="str">
        <f>INDEX(Table5[[#All],[Team]],MATCH(Batters[[#This Row],[PID]],Table5[[#All],[PID]],0))</f>
        <v>Aurora Borealis</v>
      </c>
    </row>
    <row r="230" spans="1:54" ht="15" customHeight="1" x14ac:dyDescent="0.25">
      <c r="A230" s="40">
        <v>20970</v>
      </c>
      <c r="B230" s="40" t="s">
        <v>87</v>
      </c>
      <c r="C230" s="40" t="s">
        <v>535</v>
      </c>
      <c r="D230" s="40" t="s">
        <v>133</v>
      </c>
      <c r="E230" s="40">
        <v>17</v>
      </c>
      <c r="F230" s="40" t="s">
        <v>53</v>
      </c>
      <c r="G230" s="40" t="s">
        <v>53</v>
      </c>
      <c r="H230" s="41" t="s">
        <v>638</v>
      </c>
      <c r="I230" s="65" t="s">
        <v>43</v>
      </c>
      <c r="J230" s="66" t="s">
        <v>44</v>
      </c>
      <c r="K230" s="67" t="s">
        <v>44</v>
      </c>
      <c r="L230" s="40">
        <v>1</v>
      </c>
      <c r="M230" s="40">
        <v>1</v>
      </c>
      <c r="N230" s="40">
        <v>2</v>
      </c>
      <c r="O230" s="40">
        <v>2</v>
      </c>
      <c r="P230" s="41">
        <v>1</v>
      </c>
      <c r="Q230" s="40">
        <v>4</v>
      </c>
      <c r="R230" s="40">
        <v>4</v>
      </c>
      <c r="S230" s="40">
        <v>3</v>
      </c>
      <c r="T230" s="40">
        <v>4</v>
      </c>
      <c r="U230" s="41">
        <v>4</v>
      </c>
      <c r="V230" s="40">
        <v>3</v>
      </c>
      <c r="W230" s="40">
        <v>4</v>
      </c>
      <c r="X230" s="40">
        <v>1</v>
      </c>
      <c r="Y230" s="41">
        <v>1</v>
      </c>
      <c r="Z230" s="40" t="s">
        <v>45</v>
      </c>
      <c r="AA230" s="40">
        <v>1</v>
      </c>
      <c r="AB230" s="40" t="s">
        <v>45</v>
      </c>
      <c r="AC230" s="40" t="s">
        <v>45</v>
      </c>
      <c r="AD230" s="40" t="s">
        <v>45</v>
      </c>
      <c r="AE230" s="40" t="s">
        <v>45</v>
      </c>
      <c r="AF230" s="40">
        <v>1</v>
      </c>
      <c r="AG230" s="41">
        <v>1</v>
      </c>
      <c r="AH230" s="40">
        <v>7</v>
      </c>
      <c r="AI230" s="40">
        <v>5</v>
      </c>
      <c r="AJ230" s="41">
        <v>7</v>
      </c>
      <c r="AK230" s="43" t="s">
        <v>670</v>
      </c>
      <c r="AL230" s="43" t="s">
        <v>47</v>
      </c>
      <c r="AM230" s="44">
        <f t="shared" si="22"/>
        <v>-1.9115723057940897</v>
      </c>
      <c r="AN230" s="44">
        <f t="shared" si="23"/>
        <v>-0.40819554483564086</v>
      </c>
      <c r="AO230" s="45">
        <f t="shared" si="24"/>
        <v>1</v>
      </c>
      <c r="AP230" s="46">
        <f t="shared" si="25"/>
        <v>0</v>
      </c>
      <c r="AQ230" s="44">
        <f>($AM$3*AM230+$AN$3*AN230+$AO$3*AO230+$AP$3*AP230)+$I$3*VLOOKUP(I230,COND!$A$2:$E$7,4,FALSE)+$J$3*VLOOKUP(J230,COND!$A$2:$C$7,2,FALSE)+$K$3*VLOOKUP(K230,COND!$A$2:$C$7,3,FALSE)+IF(AND($B$2&gt;0,$E230&lt;20),$B$2*25,0)</f>
        <v>44.477162898059561</v>
      </c>
      <c r="AR230" s="47">
        <f t="shared" si="26"/>
        <v>7.6538311705673739E-2</v>
      </c>
      <c r="AS230" s="45" t="str">
        <f t="shared" si="27"/>
        <v>CF</v>
      </c>
      <c r="AT230" s="45">
        <f>RANK(Batters[[#This Row],[zScore]],Batters[[#All],[zScore]])</f>
        <v>226</v>
      </c>
      <c r="AU230" s="45"/>
      <c r="AV230" s="45"/>
      <c r="AW230" s="45" t="str">
        <f t="shared" si="28"/>
        <v>Unlikely</v>
      </c>
      <c r="AX230" s="45"/>
      <c r="AY230" s="45" t="str">
        <f>INDEX(Table5[[#All],[Ovr]],MATCH(Batters[[#This Row],[PID]],Table5[[#All],[PID]],0))</f>
        <v/>
      </c>
      <c r="AZ230" s="45" t="str">
        <f>INDEX(Table5[[#All],[Rnd]],MATCH(Batters[[#This Row],[PID]],Table5[[#All],[PID]],0))</f>
        <v/>
      </c>
      <c r="BA230" s="45" t="str">
        <f>INDEX(Table5[[#All],[Pick]],MATCH(Batters[[#This Row],[PID]],Table5[[#All],[PID]],0))</f>
        <v/>
      </c>
      <c r="BB230" s="45" t="str">
        <f>INDEX(Table5[[#All],[Team]],MATCH(Batters[[#This Row],[PID]],Table5[[#All],[PID]],0))</f>
        <v/>
      </c>
    </row>
    <row r="231" spans="1:54" ht="15" customHeight="1" x14ac:dyDescent="0.25">
      <c r="A231" s="40">
        <v>12913</v>
      </c>
      <c r="B231" s="40" t="s">
        <v>69</v>
      </c>
      <c r="C231" s="40" t="s">
        <v>192</v>
      </c>
      <c r="D231" s="40" t="s">
        <v>1326</v>
      </c>
      <c r="E231" s="40">
        <v>18</v>
      </c>
      <c r="F231" s="40" t="s">
        <v>62</v>
      </c>
      <c r="G231" s="40" t="s">
        <v>42</v>
      </c>
      <c r="H231" s="41" t="s">
        <v>634</v>
      </c>
      <c r="I231" s="65" t="s">
        <v>43</v>
      </c>
      <c r="J231" s="66" t="s">
        <v>44</v>
      </c>
      <c r="K231" s="67" t="s">
        <v>43</v>
      </c>
      <c r="L231" s="40">
        <v>1</v>
      </c>
      <c r="M231" s="40">
        <v>2</v>
      </c>
      <c r="N231" s="40">
        <v>2</v>
      </c>
      <c r="O231" s="40">
        <v>2</v>
      </c>
      <c r="P231" s="41">
        <v>1</v>
      </c>
      <c r="Q231" s="40">
        <v>3</v>
      </c>
      <c r="R231" s="40">
        <v>5</v>
      </c>
      <c r="S231" s="40">
        <v>6</v>
      </c>
      <c r="T231" s="40">
        <v>5</v>
      </c>
      <c r="U231" s="41">
        <v>2</v>
      </c>
      <c r="V231" s="40">
        <v>10</v>
      </c>
      <c r="W231" s="40">
        <v>8</v>
      </c>
      <c r="X231" s="40">
        <v>1</v>
      </c>
      <c r="Y231" s="41">
        <v>1</v>
      </c>
      <c r="Z231" s="40" t="s">
        <v>45</v>
      </c>
      <c r="AA231" s="40" t="s">
        <v>45</v>
      </c>
      <c r="AB231" s="40" t="s">
        <v>45</v>
      </c>
      <c r="AC231" s="40">
        <v>3</v>
      </c>
      <c r="AD231" s="40" t="s">
        <v>45</v>
      </c>
      <c r="AE231" s="40" t="s">
        <v>45</v>
      </c>
      <c r="AF231" s="40" t="s">
        <v>45</v>
      </c>
      <c r="AG231" s="41" t="s">
        <v>45</v>
      </c>
      <c r="AH231" s="40">
        <v>2</v>
      </c>
      <c r="AI231" s="40">
        <v>4</v>
      </c>
      <c r="AJ231" s="41">
        <v>2</v>
      </c>
      <c r="AK231" s="43" t="s">
        <v>553</v>
      </c>
      <c r="AL231" s="43" t="s">
        <v>635</v>
      </c>
      <c r="AM231" s="44">
        <f t="shared" si="22"/>
        <v>-1.8605124261753858</v>
      </c>
      <c r="AN231" s="44">
        <f t="shared" si="23"/>
        <v>-0.42083014897249338</v>
      </c>
      <c r="AO231" s="45">
        <f t="shared" si="24"/>
        <v>0</v>
      </c>
      <c r="AP231" s="46">
        <f t="shared" si="25"/>
        <v>0</v>
      </c>
      <c r="AQ231" s="44">
        <f>($AM$3*AM231+$AN$3*AN231+$AO$3*AO231+$AP$3*AP231)+$I$3*VLOOKUP(I231,COND!$A$2:$E$7,4,FALSE)+$J$3*VLOOKUP(J231,COND!$A$2:$C$7,2,FALSE)+$K$3*VLOOKUP(K231,COND!$A$2:$C$7,3,FALSE)+IF(AND($B$2&gt;0,$E231&lt;20),$B$2*25,0)</f>
        <v>44.463986969712536</v>
      </c>
      <c r="AR231" s="47">
        <f t="shared" si="26"/>
        <v>7.3617119330128294E-2</v>
      </c>
      <c r="AS231" s="45" t="str">
        <f t="shared" si="27"/>
        <v>3B</v>
      </c>
      <c r="AT231" s="45">
        <f>RANK(Batters[[#This Row],[zScore]],Batters[[#All],[zScore]])</f>
        <v>227</v>
      </c>
      <c r="AU231" s="45"/>
      <c r="AV231" s="45"/>
      <c r="AW231" s="45" t="str">
        <f t="shared" si="28"/>
        <v>Unlikely</v>
      </c>
      <c r="AX231" s="45"/>
      <c r="AY231" s="45">
        <f>INDEX(Table5[[#All],[Ovr]],MATCH(Batters[[#This Row],[PID]],Table5[[#All],[PID]],0))</f>
        <v>337</v>
      </c>
      <c r="AZ231" s="45" t="str">
        <f>INDEX(Table5[[#All],[Rnd]],MATCH(Batters[[#This Row],[PID]],Table5[[#All],[PID]],0))</f>
        <v>11</v>
      </c>
      <c r="BA231" s="45">
        <f>INDEX(Table5[[#All],[Pick]],MATCH(Batters[[#This Row],[PID]],Table5[[#All],[PID]],0))</f>
        <v>29</v>
      </c>
      <c r="BB231" s="45" t="str">
        <f>INDEX(Table5[[#All],[Team]],MATCH(Batters[[#This Row],[PID]],Table5[[#All],[PID]],0))</f>
        <v>Havana Leones</v>
      </c>
    </row>
    <row r="232" spans="1:54" ht="15" customHeight="1" x14ac:dyDescent="0.25">
      <c r="A232" s="40">
        <v>18421</v>
      </c>
      <c r="B232" s="40" t="s">
        <v>87</v>
      </c>
      <c r="C232" s="40" t="s">
        <v>1627</v>
      </c>
      <c r="D232" s="40" t="s">
        <v>1628</v>
      </c>
      <c r="E232" s="40">
        <v>18</v>
      </c>
      <c r="F232" s="40" t="s">
        <v>53</v>
      </c>
      <c r="G232" s="40" t="s">
        <v>53</v>
      </c>
      <c r="H232" s="41" t="s">
        <v>638</v>
      </c>
      <c r="I232" s="65" t="s">
        <v>47</v>
      </c>
      <c r="J232" s="66" t="s">
        <v>43</v>
      </c>
      <c r="K232" s="67" t="s">
        <v>43</v>
      </c>
      <c r="L232" s="40">
        <v>1</v>
      </c>
      <c r="M232" s="40">
        <v>2</v>
      </c>
      <c r="N232" s="40">
        <v>2</v>
      </c>
      <c r="O232" s="40">
        <v>1</v>
      </c>
      <c r="P232" s="41">
        <v>2</v>
      </c>
      <c r="Q232" s="40">
        <v>4</v>
      </c>
      <c r="R232" s="40">
        <v>4</v>
      </c>
      <c r="S232" s="40">
        <v>4</v>
      </c>
      <c r="T232" s="40">
        <v>2</v>
      </c>
      <c r="U232" s="41">
        <v>5</v>
      </c>
      <c r="V232" s="40">
        <v>4</v>
      </c>
      <c r="W232" s="40">
        <v>2</v>
      </c>
      <c r="X232" s="40">
        <v>1</v>
      </c>
      <c r="Y232" s="41">
        <v>1</v>
      </c>
      <c r="Z232" s="40" t="s">
        <v>45</v>
      </c>
      <c r="AA232" s="40">
        <v>2</v>
      </c>
      <c r="AB232" s="40" t="s">
        <v>45</v>
      </c>
      <c r="AC232" s="40" t="s">
        <v>45</v>
      </c>
      <c r="AD232" s="40" t="s">
        <v>45</v>
      </c>
      <c r="AE232" s="40" t="s">
        <v>45</v>
      </c>
      <c r="AF232" s="40" t="s">
        <v>45</v>
      </c>
      <c r="AG232" s="41" t="s">
        <v>45</v>
      </c>
      <c r="AH232" s="40">
        <v>1</v>
      </c>
      <c r="AI232" s="40">
        <v>1</v>
      </c>
      <c r="AJ232" s="41">
        <v>3</v>
      </c>
      <c r="AK232" s="43" t="s">
        <v>644</v>
      </c>
      <c r="AL232" s="43"/>
      <c r="AM232" s="44">
        <f t="shared" si="22"/>
        <v>-1.9102056363678834</v>
      </c>
      <c r="AN232" s="44">
        <f t="shared" si="23"/>
        <v>-0.46453681101381805</v>
      </c>
      <c r="AO232" s="45">
        <f t="shared" si="24"/>
        <v>0</v>
      </c>
      <c r="AP232" s="46">
        <f t="shared" si="25"/>
        <v>0</v>
      </c>
      <c r="AQ232" s="44">
        <f>($AM$3*AM232+$AN$3*AN232+$AO$3*AO232+$AP$3*AP232)+$I$3*VLOOKUP(I232,COND!$A$2:$E$7,4,FALSE)+$J$3*VLOOKUP(J232,COND!$A$2:$C$7,2,FALSE)+$K$3*VLOOKUP(K232,COND!$A$2:$C$7,3,FALSE)+IF(AND($B$2&gt;0,$E232&lt;20),$B$2*25,0)</f>
        <v>44.459537704197395</v>
      </c>
      <c r="AR232" s="47">
        <f t="shared" si="26"/>
        <v>7.2630687091177634E-2</v>
      </c>
      <c r="AS232" s="45" t="str">
        <f t="shared" si="27"/>
        <v>1B</v>
      </c>
      <c r="AT232" s="45">
        <f>RANK(Batters[[#This Row],[zScore]],Batters[[#All],[zScore]])</f>
        <v>228</v>
      </c>
      <c r="AU232" s="45"/>
      <c r="AV232" s="45"/>
      <c r="AW232" s="45" t="str">
        <f t="shared" si="28"/>
        <v>Unlikely</v>
      </c>
      <c r="AX232" s="45"/>
      <c r="AY232" s="64">
        <f>INDEX(Table5[[#All],[Ovr]],MATCH(Batters[[#This Row],[PID]],Table5[[#All],[PID]],0))</f>
        <v>393</v>
      </c>
      <c r="AZ232" s="64" t="str">
        <f>INDEX(Table5[[#All],[Rnd]],MATCH(Batters[[#This Row],[PID]],Table5[[#All],[PID]],0))</f>
        <v>13</v>
      </c>
      <c r="BA232" s="64">
        <f>INDEX(Table5[[#All],[Pick]],MATCH(Batters[[#This Row],[PID]],Table5[[#All],[PID]],0))</f>
        <v>25</v>
      </c>
      <c r="BB232" s="64" t="str">
        <f>INDEX(Table5[[#All],[Team]],MATCH(Batters[[#This Row],[PID]],Table5[[#All],[PID]],0))</f>
        <v>Toyama Wind Dancers</v>
      </c>
    </row>
    <row r="233" spans="1:54" ht="15" customHeight="1" x14ac:dyDescent="0.25">
      <c r="A233" s="40">
        <v>17757</v>
      </c>
      <c r="B233" s="40" t="s">
        <v>69</v>
      </c>
      <c r="C233" s="40" t="s">
        <v>1314</v>
      </c>
      <c r="D233" s="40" t="s">
        <v>379</v>
      </c>
      <c r="E233" s="40">
        <v>21</v>
      </c>
      <c r="F233" s="40" t="s">
        <v>53</v>
      </c>
      <c r="G233" s="40" t="s">
        <v>42</v>
      </c>
      <c r="H233" s="41" t="s">
        <v>634</v>
      </c>
      <c r="I233" s="65" t="s">
        <v>43</v>
      </c>
      <c r="J233" s="66" t="s">
        <v>43</v>
      </c>
      <c r="K233" s="67" t="s">
        <v>43</v>
      </c>
      <c r="L233" s="40">
        <v>3</v>
      </c>
      <c r="M233" s="40">
        <v>2</v>
      </c>
      <c r="N233" s="40">
        <v>3</v>
      </c>
      <c r="O233" s="40">
        <v>2</v>
      </c>
      <c r="P233" s="41">
        <v>1</v>
      </c>
      <c r="Q233" s="40">
        <v>4</v>
      </c>
      <c r="R233" s="40">
        <v>5</v>
      </c>
      <c r="S233" s="40">
        <v>5</v>
      </c>
      <c r="T233" s="40">
        <v>5</v>
      </c>
      <c r="U233" s="41">
        <v>4</v>
      </c>
      <c r="V233" s="40">
        <v>10</v>
      </c>
      <c r="W233" s="40">
        <v>9</v>
      </c>
      <c r="X233" s="40">
        <v>1</v>
      </c>
      <c r="Y233" s="41">
        <v>1</v>
      </c>
      <c r="Z233" s="40" t="s">
        <v>45</v>
      </c>
      <c r="AA233" s="40" t="s">
        <v>45</v>
      </c>
      <c r="AB233" s="40">
        <v>3</v>
      </c>
      <c r="AC233" s="40">
        <v>5</v>
      </c>
      <c r="AD233" s="40">
        <v>1</v>
      </c>
      <c r="AE233" s="40" t="s">
        <v>45</v>
      </c>
      <c r="AF233" s="40" t="s">
        <v>45</v>
      </c>
      <c r="AG233" s="41" t="s">
        <v>45</v>
      </c>
      <c r="AH233" s="40">
        <v>7</v>
      </c>
      <c r="AI233" s="40">
        <v>7</v>
      </c>
      <c r="AJ233" s="41">
        <v>2</v>
      </c>
      <c r="AK233" s="43" t="s">
        <v>643</v>
      </c>
      <c r="AL233" s="43" t="s">
        <v>47</v>
      </c>
      <c r="AM233" s="44">
        <f t="shared" si="22"/>
        <v>-1.132339259746135</v>
      </c>
      <c r="AN233" s="44">
        <f t="shared" si="23"/>
        <v>-0.10130312715955338</v>
      </c>
      <c r="AO233" s="45">
        <f t="shared" si="24"/>
        <v>0</v>
      </c>
      <c r="AP233" s="46">
        <f t="shared" si="25"/>
        <v>0.75</v>
      </c>
      <c r="AQ233" s="44">
        <f>($AM$3*AM233+$AN$3*AN233+$AO$3*AO233+$AP$3*AP233)+$I$3*VLOOKUP(I233,COND!$A$2:$E$7,4,FALSE)+$J$3*VLOOKUP(J233,COND!$A$2:$C$7,2,FALSE)+$K$3*VLOOKUP(K233,COND!$A$2:$C$7,3,FALSE)+IF(AND($B$2&gt;0,$E233&lt;20),$B$2*25,0)</f>
        <v>44.421128548110744</v>
      </c>
      <c r="AR233" s="47">
        <f t="shared" si="26"/>
        <v>6.4115117564966795E-2</v>
      </c>
      <c r="AS233" s="45" t="str">
        <f t="shared" si="27"/>
        <v>3B</v>
      </c>
      <c r="AT233" s="45">
        <f>RANK(Batters[[#This Row],[zScore]],Batters[[#All],[zScore]])</f>
        <v>229</v>
      </c>
      <c r="AU233" s="45"/>
      <c r="AV233" s="45"/>
      <c r="AW233" s="45" t="str">
        <f t="shared" si="28"/>
        <v>Unlikely</v>
      </c>
      <c r="AX233" s="45"/>
      <c r="AY233" s="45">
        <f>INDEX(Table5[[#All],[Ovr]],MATCH(Batters[[#This Row],[PID]],Table5[[#All],[PID]],0))</f>
        <v>410</v>
      </c>
      <c r="AZ233" s="45" t="str">
        <f>INDEX(Table5[[#All],[Rnd]],MATCH(Batters[[#This Row],[PID]],Table5[[#All],[PID]],0))</f>
        <v>14</v>
      </c>
      <c r="BA233" s="45">
        <f>INDEX(Table5[[#All],[Pick]],MATCH(Batters[[#This Row],[PID]],Table5[[#All],[PID]],0))</f>
        <v>12</v>
      </c>
      <c r="BB233" s="45" t="str">
        <f>INDEX(Table5[[#All],[Team]],MATCH(Batters[[#This Row],[PID]],Table5[[#All],[PID]],0))</f>
        <v>Palm Springs Codgers</v>
      </c>
    </row>
    <row r="234" spans="1:54" ht="15" customHeight="1" x14ac:dyDescent="0.25">
      <c r="A234" s="40">
        <v>18367</v>
      </c>
      <c r="B234" s="40" t="s">
        <v>66</v>
      </c>
      <c r="C234" s="40" t="s">
        <v>1275</v>
      </c>
      <c r="D234" s="40" t="s">
        <v>1276</v>
      </c>
      <c r="E234" s="40">
        <v>18</v>
      </c>
      <c r="F234" s="40" t="s">
        <v>42</v>
      </c>
      <c r="G234" s="40" t="s">
        <v>42</v>
      </c>
      <c r="H234" s="41" t="s">
        <v>634</v>
      </c>
      <c r="I234" s="65" t="s">
        <v>44</v>
      </c>
      <c r="J234" s="66" t="s">
        <v>43</v>
      </c>
      <c r="K234" s="67" t="s">
        <v>43</v>
      </c>
      <c r="L234" s="40">
        <v>1</v>
      </c>
      <c r="M234" s="40">
        <v>2</v>
      </c>
      <c r="N234" s="40">
        <v>3</v>
      </c>
      <c r="O234" s="40">
        <v>2</v>
      </c>
      <c r="P234" s="41">
        <v>1</v>
      </c>
      <c r="Q234" s="40">
        <v>3</v>
      </c>
      <c r="R234" s="40">
        <v>3</v>
      </c>
      <c r="S234" s="40">
        <v>7</v>
      </c>
      <c r="T234" s="40">
        <v>5</v>
      </c>
      <c r="U234" s="41">
        <v>2</v>
      </c>
      <c r="V234" s="40">
        <v>6</v>
      </c>
      <c r="W234" s="40">
        <v>10</v>
      </c>
      <c r="X234" s="40">
        <v>1</v>
      </c>
      <c r="Y234" s="41">
        <v>1</v>
      </c>
      <c r="Z234" s="40" t="s">
        <v>45</v>
      </c>
      <c r="AA234" s="40" t="s">
        <v>45</v>
      </c>
      <c r="AB234" s="40" t="s">
        <v>45</v>
      </c>
      <c r="AC234" s="40" t="s">
        <v>45</v>
      </c>
      <c r="AD234" s="40" t="s">
        <v>45</v>
      </c>
      <c r="AE234" s="40" t="s">
        <v>45</v>
      </c>
      <c r="AF234" s="40" t="s">
        <v>45</v>
      </c>
      <c r="AG234" s="41">
        <v>3</v>
      </c>
      <c r="AH234" s="40">
        <v>3</v>
      </c>
      <c r="AI234" s="40">
        <v>5</v>
      </c>
      <c r="AJ234" s="41">
        <v>5</v>
      </c>
      <c r="AK234" s="43" t="s">
        <v>644</v>
      </c>
      <c r="AL234" s="43" t="s">
        <v>635</v>
      </c>
      <c r="AM234" s="44">
        <f t="shared" si="22"/>
        <v>-1.7774509321514844</v>
      </c>
      <c r="AN234" s="44">
        <f t="shared" si="23"/>
        <v>-0.43988841418599894</v>
      </c>
      <c r="AO234" s="45">
        <f t="shared" si="24"/>
        <v>0</v>
      </c>
      <c r="AP234" s="46">
        <f t="shared" si="25"/>
        <v>0</v>
      </c>
      <c r="AQ234" s="44">
        <f>($AM$3*AM234+$AN$3*AN234+$AO$3*AO234+$AP$3*AP234)+$I$3*VLOOKUP(I234,COND!$A$2:$E$7,4,FALSE)+$J$3*VLOOKUP(J234,COND!$A$2:$C$7,2,FALSE)+$K$3*VLOOKUP(K234,COND!$A$2:$C$7,3,FALSE)+IF(AND($B$2&gt;0,$E234&lt;20),$B$2*25,0)</f>
        <v>44.393593936552861</v>
      </c>
      <c r="AR234" s="47">
        <f t="shared" si="26"/>
        <v>5.8010508065883044E-2</v>
      </c>
      <c r="AS234" s="45" t="str">
        <f t="shared" si="27"/>
        <v>RF</v>
      </c>
      <c r="AT234" s="45">
        <f>RANK(Batters[[#This Row],[zScore]],Batters[[#All],[zScore]])</f>
        <v>230</v>
      </c>
      <c r="AU234" s="45"/>
      <c r="AV234" s="45"/>
      <c r="AW234" s="45" t="str">
        <f t="shared" si="28"/>
        <v>Unlikely</v>
      </c>
      <c r="AX234" s="45"/>
      <c r="AY234" s="45">
        <f>INDEX(Table5[[#All],[Ovr]],MATCH(Batters[[#This Row],[PID]],Table5[[#All],[PID]],0))</f>
        <v>331</v>
      </c>
      <c r="AZ234" s="45" t="str">
        <f>INDEX(Table5[[#All],[Rnd]],MATCH(Batters[[#This Row],[PID]],Table5[[#All],[PID]],0))</f>
        <v>11</v>
      </c>
      <c r="BA234" s="45">
        <f>INDEX(Table5[[#All],[Pick]],MATCH(Batters[[#This Row],[PID]],Table5[[#All],[PID]],0))</f>
        <v>23</v>
      </c>
      <c r="BB234" s="45" t="str">
        <f>INDEX(Table5[[#All],[Team]],MATCH(Batters[[#This Row],[PID]],Table5[[#All],[PID]],0))</f>
        <v>Shin Seiki Evas</v>
      </c>
    </row>
    <row r="235" spans="1:54" ht="15" customHeight="1" x14ac:dyDescent="0.25">
      <c r="A235" s="40">
        <v>18356</v>
      </c>
      <c r="B235" s="40" t="s">
        <v>86</v>
      </c>
      <c r="C235" s="40" t="s">
        <v>140</v>
      </c>
      <c r="D235" s="40" t="s">
        <v>662</v>
      </c>
      <c r="E235" s="40">
        <v>18</v>
      </c>
      <c r="F235" s="40" t="s">
        <v>62</v>
      </c>
      <c r="G235" s="40" t="s">
        <v>42</v>
      </c>
      <c r="H235" s="41" t="s">
        <v>634</v>
      </c>
      <c r="I235" s="65" t="s">
        <v>44</v>
      </c>
      <c r="J235" s="66" t="s">
        <v>44</v>
      </c>
      <c r="K235" s="67" t="s">
        <v>43</v>
      </c>
      <c r="L235" s="40">
        <v>1</v>
      </c>
      <c r="M235" s="40">
        <v>2</v>
      </c>
      <c r="N235" s="40">
        <v>3</v>
      </c>
      <c r="O235" s="40">
        <v>3</v>
      </c>
      <c r="P235" s="41">
        <v>1</v>
      </c>
      <c r="Q235" s="40">
        <v>3</v>
      </c>
      <c r="R235" s="40">
        <v>4</v>
      </c>
      <c r="S235" s="40">
        <v>4</v>
      </c>
      <c r="T235" s="40">
        <v>7</v>
      </c>
      <c r="U235" s="41">
        <v>3</v>
      </c>
      <c r="V235" s="40">
        <v>2</v>
      </c>
      <c r="W235" s="40">
        <v>3</v>
      </c>
      <c r="X235" s="40">
        <v>4</v>
      </c>
      <c r="Y235" s="41">
        <v>4</v>
      </c>
      <c r="Z235" s="40" t="s">
        <v>45</v>
      </c>
      <c r="AA235" s="40" t="s">
        <v>45</v>
      </c>
      <c r="AB235" s="40" t="s">
        <v>45</v>
      </c>
      <c r="AC235" s="40" t="s">
        <v>45</v>
      </c>
      <c r="AD235" s="40" t="s">
        <v>45</v>
      </c>
      <c r="AE235" s="40" t="s">
        <v>45</v>
      </c>
      <c r="AF235" s="40" t="s">
        <v>45</v>
      </c>
      <c r="AG235" s="41" t="s">
        <v>45</v>
      </c>
      <c r="AH235" s="40">
        <v>2</v>
      </c>
      <c r="AI235" s="40">
        <v>2</v>
      </c>
      <c r="AJ235" s="41">
        <v>3</v>
      </c>
      <c r="AK235" s="43" t="s">
        <v>657</v>
      </c>
      <c r="AL235" s="43" t="s">
        <v>47</v>
      </c>
      <c r="AM235" s="44">
        <f t="shared" si="22"/>
        <v>-1.6877413821419032</v>
      </c>
      <c r="AN235" s="44">
        <f t="shared" si="23"/>
        <v>-0.41857757680275448</v>
      </c>
      <c r="AO235" s="45">
        <f t="shared" si="24"/>
        <v>0</v>
      </c>
      <c r="AP235" s="46">
        <f t="shared" si="25"/>
        <v>0</v>
      </c>
      <c r="AQ235" s="44">
        <f>($AM$3*AM235+$AN$3*AN235+$AO$3*AO235+$AP$3*AP235)+$I$3*VLOOKUP(I235,COND!$A$2:$E$7,4,FALSE)+$J$3*VLOOKUP(J235,COND!$A$2:$C$7,2,FALSE)+$K$3*VLOOKUP(K235,COND!$A$2:$C$7,3,FALSE)+IF(AND($B$2&gt;0,$E235&lt;20),$B$2*25,0)</f>
        <v>44.358294940152753</v>
      </c>
      <c r="AR235" s="47">
        <f t="shared" si="26"/>
        <v>5.0184481964907116E-2</v>
      </c>
      <c r="AS235" s="45" t="str">
        <f t="shared" si="27"/>
        <v>DH</v>
      </c>
      <c r="AT235" s="45">
        <f>RANK(Batters[[#This Row],[zScore]],Batters[[#All],[zScore]])</f>
        <v>231</v>
      </c>
      <c r="AU235" s="45"/>
      <c r="AV235" s="45"/>
      <c r="AW235" s="45" t="str">
        <f t="shared" si="28"/>
        <v>Unlikely</v>
      </c>
      <c r="AX235" s="45"/>
      <c r="AY235" s="45" t="str">
        <f>INDEX(Table5[[#All],[Ovr]],MATCH(Batters[[#This Row],[PID]],Table5[[#All],[PID]],0))</f>
        <v/>
      </c>
      <c r="AZ235" s="45" t="str">
        <f>INDEX(Table5[[#All],[Rnd]],MATCH(Batters[[#This Row],[PID]],Table5[[#All],[PID]],0))</f>
        <v/>
      </c>
      <c r="BA235" s="45" t="str">
        <f>INDEX(Table5[[#All],[Pick]],MATCH(Batters[[#This Row],[PID]],Table5[[#All],[PID]],0))</f>
        <v/>
      </c>
      <c r="BB235" s="45" t="str">
        <f>INDEX(Table5[[#All],[Team]],MATCH(Batters[[#This Row],[PID]],Table5[[#All],[PID]],0))</f>
        <v/>
      </c>
    </row>
    <row r="236" spans="1:54" ht="15" customHeight="1" x14ac:dyDescent="0.25">
      <c r="A236" s="40">
        <v>20391</v>
      </c>
      <c r="B236" s="40" t="s">
        <v>71</v>
      </c>
      <c r="C236" s="40" t="s">
        <v>783</v>
      </c>
      <c r="D236" s="40" t="s">
        <v>1300</v>
      </c>
      <c r="E236" s="40">
        <v>18</v>
      </c>
      <c r="F236" s="40" t="s">
        <v>42</v>
      </c>
      <c r="G236" s="40" t="s">
        <v>42</v>
      </c>
      <c r="H236" s="41" t="s">
        <v>634</v>
      </c>
      <c r="I236" s="65" t="s">
        <v>43</v>
      </c>
      <c r="J236" s="66" t="s">
        <v>43</v>
      </c>
      <c r="K236" s="67" t="s">
        <v>43</v>
      </c>
      <c r="L236" s="40">
        <v>1</v>
      </c>
      <c r="M236" s="40">
        <v>3</v>
      </c>
      <c r="N236" s="40">
        <v>3</v>
      </c>
      <c r="O236" s="40">
        <v>3</v>
      </c>
      <c r="P236" s="41">
        <v>1</v>
      </c>
      <c r="Q236" s="40">
        <v>3</v>
      </c>
      <c r="R236" s="40">
        <v>5</v>
      </c>
      <c r="S236" s="40">
        <v>4</v>
      </c>
      <c r="T236" s="40">
        <v>6</v>
      </c>
      <c r="U236" s="41">
        <v>3</v>
      </c>
      <c r="V236" s="40">
        <v>1</v>
      </c>
      <c r="W236" s="40">
        <v>1</v>
      </c>
      <c r="X236" s="40">
        <v>1</v>
      </c>
      <c r="Y236" s="41">
        <v>1</v>
      </c>
      <c r="Z236" s="40" t="s">
        <v>45</v>
      </c>
      <c r="AA236" s="40" t="s">
        <v>45</v>
      </c>
      <c r="AB236" s="40">
        <v>2</v>
      </c>
      <c r="AC236" s="40" t="s">
        <v>45</v>
      </c>
      <c r="AD236" s="40" t="s">
        <v>45</v>
      </c>
      <c r="AE236" s="40" t="s">
        <v>45</v>
      </c>
      <c r="AF236" s="40" t="s">
        <v>45</v>
      </c>
      <c r="AG236" s="41" t="s">
        <v>45</v>
      </c>
      <c r="AH236" s="40">
        <v>5</v>
      </c>
      <c r="AI236" s="40">
        <v>1</v>
      </c>
      <c r="AJ236" s="41">
        <v>2</v>
      </c>
      <c r="AK236" s="43" t="s">
        <v>670</v>
      </c>
      <c r="AL236" s="43" t="s">
        <v>635</v>
      </c>
      <c r="AM236" s="44">
        <f t="shared" si="22"/>
        <v>-1.6366815025231998</v>
      </c>
      <c r="AN236" s="44">
        <f t="shared" si="23"/>
        <v>-0.457227247193632</v>
      </c>
      <c r="AO236" s="45">
        <f t="shared" si="24"/>
        <v>0</v>
      </c>
      <c r="AP236" s="46">
        <f t="shared" si="25"/>
        <v>0</v>
      </c>
      <c r="AQ236" s="44">
        <f>($AM$3*AM236+$AN$3*AN236+$AO$3*AO236+$AP$3*AP236)+$I$3*VLOOKUP(I236,COND!$A$2:$E$7,4,FALSE)+$J$3*VLOOKUP(J236,COND!$A$2:$C$7,2,FALSE)+$K$3*VLOOKUP(K236,COND!$A$2:$C$7,3,FALSE)+IF(AND($B$2&gt;0,$E236&lt;20),$B$2*25,0)</f>
        <v>44.349604883424092</v>
      </c>
      <c r="AR236" s="47">
        <f t="shared" si="26"/>
        <v>4.8257837648831028E-2</v>
      </c>
      <c r="AS236" s="45" t="str">
        <f t="shared" si="27"/>
        <v>2B</v>
      </c>
      <c r="AT236" s="45">
        <f>RANK(Batters[[#This Row],[zScore]],Batters[[#All],[zScore]])</f>
        <v>232</v>
      </c>
      <c r="AU236" s="45"/>
      <c r="AV236" s="45"/>
      <c r="AW236" s="45" t="str">
        <f t="shared" si="28"/>
        <v>Unlikely</v>
      </c>
      <c r="AX236" s="45"/>
      <c r="AY236" s="45">
        <f>INDEX(Table5[[#All],[Ovr]],MATCH(Batters[[#This Row],[PID]],Table5[[#All],[PID]],0))</f>
        <v>579</v>
      </c>
      <c r="AZ236" s="45" t="str">
        <f>INDEX(Table5[[#All],[Rnd]],MATCH(Batters[[#This Row],[PID]],Table5[[#All],[PID]],0))</f>
        <v>20</v>
      </c>
      <c r="BA236" s="45">
        <f>INDEX(Table5[[#All],[Pick]],MATCH(Batters[[#This Row],[PID]],Table5[[#All],[PID]],0))</f>
        <v>1</v>
      </c>
      <c r="BB236" s="45" t="str">
        <f>INDEX(Table5[[#All],[Team]],MATCH(Batters[[#This Row],[PID]],Table5[[#All],[PID]],0))</f>
        <v>Yuma Arroyos</v>
      </c>
    </row>
    <row r="237" spans="1:54" ht="15" customHeight="1" x14ac:dyDescent="0.25">
      <c r="A237" s="40">
        <v>20613</v>
      </c>
      <c r="B237" s="40" t="s">
        <v>86</v>
      </c>
      <c r="C237" s="40" t="s">
        <v>1384</v>
      </c>
      <c r="D237" s="40" t="s">
        <v>1385</v>
      </c>
      <c r="E237" s="40">
        <v>17</v>
      </c>
      <c r="F237" s="40" t="s">
        <v>62</v>
      </c>
      <c r="G237" s="40" t="s">
        <v>42</v>
      </c>
      <c r="H237" s="41" t="s">
        <v>634</v>
      </c>
      <c r="I237" s="65" t="s">
        <v>43</v>
      </c>
      <c r="J237" s="66" t="s">
        <v>44</v>
      </c>
      <c r="K237" s="67" t="s">
        <v>43</v>
      </c>
      <c r="L237" s="40">
        <v>1</v>
      </c>
      <c r="M237" s="40">
        <v>2</v>
      </c>
      <c r="N237" s="40">
        <v>3</v>
      </c>
      <c r="O237" s="40">
        <v>3</v>
      </c>
      <c r="P237" s="41">
        <v>1</v>
      </c>
      <c r="Q237" s="40">
        <v>3</v>
      </c>
      <c r="R237" s="40">
        <v>3</v>
      </c>
      <c r="S237" s="40">
        <v>6</v>
      </c>
      <c r="T237" s="40">
        <v>6</v>
      </c>
      <c r="U237" s="41">
        <v>2</v>
      </c>
      <c r="V237" s="40">
        <v>1</v>
      </c>
      <c r="W237" s="40">
        <v>2</v>
      </c>
      <c r="X237" s="40">
        <v>3</v>
      </c>
      <c r="Y237" s="41">
        <v>5</v>
      </c>
      <c r="Z237" s="40" t="s">
        <v>45</v>
      </c>
      <c r="AA237" s="40" t="s">
        <v>45</v>
      </c>
      <c r="AB237" s="40" t="s">
        <v>45</v>
      </c>
      <c r="AC237" s="40" t="s">
        <v>45</v>
      </c>
      <c r="AD237" s="40" t="s">
        <v>45</v>
      </c>
      <c r="AE237" s="40" t="s">
        <v>45</v>
      </c>
      <c r="AF237" s="40" t="s">
        <v>45</v>
      </c>
      <c r="AG237" s="41" t="s">
        <v>45</v>
      </c>
      <c r="AH237" s="40">
        <v>1</v>
      </c>
      <c r="AI237" s="40">
        <v>1</v>
      </c>
      <c r="AJ237" s="41">
        <v>1</v>
      </c>
      <c r="AK237" s="43" t="s">
        <v>644</v>
      </c>
      <c r="AL237" s="43" t="s">
        <v>635</v>
      </c>
      <c r="AM237" s="44">
        <f t="shared" si="22"/>
        <v>-1.6877413821419032</v>
      </c>
      <c r="AN237" s="44">
        <f t="shared" si="23"/>
        <v>-0.43324035820031942</v>
      </c>
      <c r="AO237" s="45">
        <f t="shared" si="24"/>
        <v>0</v>
      </c>
      <c r="AP237" s="46">
        <f t="shared" si="25"/>
        <v>0</v>
      </c>
      <c r="AQ237" s="44">
        <f>($AM$3*AM237+$AN$3*AN237+$AO$3*AO237+$AP$3*AP237)+$I$3*VLOOKUP(I237,COND!$A$2:$E$7,4,FALSE)+$J$3*VLOOKUP(J237,COND!$A$2:$C$7,2,FALSE)+$K$3*VLOOKUP(K237,COND!$A$2:$C$7,3,FALSE)+IF(AND($B$2&gt;0,$E237&lt;20),$B$2*25,0)</f>
        <v>44.332341563381974</v>
      </c>
      <c r="AR237" s="47">
        <f t="shared" si="26"/>
        <v>4.4430442906279413E-2</v>
      </c>
      <c r="AS237" s="45" t="str">
        <f t="shared" si="27"/>
        <v>DH</v>
      </c>
      <c r="AT237" s="45">
        <f>RANK(Batters[[#This Row],[zScore]],Batters[[#All],[zScore]])</f>
        <v>233</v>
      </c>
      <c r="AU237" s="45"/>
      <c r="AV237" s="45"/>
      <c r="AW237" s="45" t="str">
        <f t="shared" si="28"/>
        <v>Unlikely</v>
      </c>
      <c r="AX237" s="45"/>
      <c r="AY237" s="45">
        <f>INDEX(Table5[[#All],[Ovr]],MATCH(Batters[[#This Row],[PID]],Table5[[#All],[PID]],0))</f>
        <v>420</v>
      </c>
      <c r="AZ237" s="45" t="str">
        <f>INDEX(Table5[[#All],[Rnd]],MATCH(Batters[[#This Row],[PID]],Table5[[#All],[PID]],0))</f>
        <v>14</v>
      </c>
      <c r="BA237" s="45">
        <f>INDEX(Table5[[#All],[Pick]],MATCH(Batters[[#This Row],[PID]],Table5[[#All],[PID]],0))</f>
        <v>22</v>
      </c>
      <c r="BB237" s="45" t="str">
        <f>INDEX(Table5[[#All],[Team]],MATCH(Batters[[#This Row],[PID]],Table5[[#All],[PID]],0))</f>
        <v>Fargo Dinosaurs</v>
      </c>
    </row>
    <row r="238" spans="1:54" ht="15" customHeight="1" x14ac:dyDescent="0.25">
      <c r="A238" s="40">
        <v>18223</v>
      </c>
      <c r="B238" s="40" t="s">
        <v>72</v>
      </c>
      <c r="C238" s="40" t="s">
        <v>130</v>
      </c>
      <c r="D238" s="40" t="s">
        <v>855</v>
      </c>
      <c r="E238" s="40">
        <v>18</v>
      </c>
      <c r="F238" s="40" t="s">
        <v>42</v>
      </c>
      <c r="G238" s="40" t="s">
        <v>42</v>
      </c>
      <c r="H238" s="41" t="s">
        <v>638</v>
      </c>
      <c r="I238" s="65" t="s">
        <v>43</v>
      </c>
      <c r="J238" s="66" t="s">
        <v>47</v>
      </c>
      <c r="K238" s="67" t="s">
        <v>43</v>
      </c>
      <c r="L238" s="40">
        <v>1</v>
      </c>
      <c r="M238" s="40">
        <v>1</v>
      </c>
      <c r="N238" s="40">
        <v>2</v>
      </c>
      <c r="O238" s="40">
        <v>2</v>
      </c>
      <c r="P238" s="41">
        <v>1</v>
      </c>
      <c r="Q238" s="40">
        <v>3</v>
      </c>
      <c r="R238" s="40">
        <v>3</v>
      </c>
      <c r="S238" s="40">
        <v>5</v>
      </c>
      <c r="T238" s="40">
        <v>5</v>
      </c>
      <c r="U238" s="41">
        <v>3</v>
      </c>
      <c r="V238" s="40">
        <v>5</v>
      </c>
      <c r="W238" s="40">
        <v>2</v>
      </c>
      <c r="X238" s="40">
        <v>1</v>
      </c>
      <c r="Y238" s="41">
        <v>1</v>
      </c>
      <c r="Z238" s="40" t="s">
        <v>45</v>
      </c>
      <c r="AA238" s="40" t="s">
        <v>45</v>
      </c>
      <c r="AB238" s="40" t="s">
        <v>45</v>
      </c>
      <c r="AC238" s="40" t="s">
        <v>45</v>
      </c>
      <c r="AD238" s="40">
        <v>5</v>
      </c>
      <c r="AE238" s="40" t="s">
        <v>45</v>
      </c>
      <c r="AF238" s="40" t="s">
        <v>45</v>
      </c>
      <c r="AG238" s="41" t="s">
        <v>45</v>
      </c>
      <c r="AH238" s="40">
        <v>7</v>
      </c>
      <c r="AI238" s="40">
        <v>5</v>
      </c>
      <c r="AJ238" s="41">
        <v>4</v>
      </c>
      <c r="AK238" s="43" t="s">
        <v>663</v>
      </c>
      <c r="AL238" s="43" t="s">
        <v>635</v>
      </c>
      <c r="AM238" s="44">
        <f t="shared" si="22"/>
        <v>-1.9115723057940897</v>
      </c>
      <c r="AN238" s="44">
        <f t="shared" si="23"/>
        <v>-0.56599506241671849</v>
      </c>
      <c r="AO238" s="45">
        <f t="shared" si="24"/>
        <v>0</v>
      </c>
      <c r="AP238" s="46">
        <f t="shared" si="25"/>
        <v>1</v>
      </c>
      <c r="AQ238" s="44">
        <f>($AM$3*AM238+$AN$3*AN238+$AO$3*AO238+$AP$3*AP238)+$I$3*VLOOKUP(I238,COND!$A$2:$E$7,4,FALSE)+$J$3*VLOOKUP(J238,COND!$A$2:$C$7,2,FALSE)+$K$3*VLOOKUP(K238,COND!$A$2:$C$7,3,FALSE)+IF(AND($B$2&gt;0,$E238&lt;20),$B$2*25,0)</f>
        <v>44.316902020419974</v>
      </c>
      <c r="AR238" s="47">
        <f t="shared" si="26"/>
        <v>4.1007391869979204E-2</v>
      </c>
      <c r="AS238" s="45" t="str">
        <f t="shared" si="27"/>
        <v>SS</v>
      </c>
      <c r="AT238" s="45">
        <f>RANK(Batters[[#This Row],[zScore]],Batters[[#All],[zScore]])</f>
        <v>234</v>
      </c>
      <c r="AU238" s="45"/>
      <c r="AV238" s="45"/>
      <c r="AW238" s="45" t="str">
        <f t="shared" si="28"/>
        <v>Unlikely</v>
      </c>
      <c r="AX238" s="45"/>
      <c r="AY238" s="45">
        <f>INDEX(Table5[[#All],[Ovr]],MATCH(Batters[[#This Row],[PID]],Table5[[#All],[PID]],0))</f>
        <v>460</v>
      </c>
      <c r="AZ238" s="45" t="str">
        <f>INDEX(Table5[[#All],[Rnd]],MATCH(Batters[[#This Row],[PID]],Table5[[#All],[PID]],0))</f>
        <v>16</v>
      </c>
      <c r="BA238" s="45">
        <f>INDEX(Table5[[#All],[Pick]],MATCH(Batters[[#This Row],[PID]],Table5[[#All],[PID]],0))</f>
        <v>2</v>
      </c>
      <c r="BB238" s="45" t="str">
        <f>INDEX(Table5[[#All],[Team]],MATCH(Batters[[#This Row],[PID]],Table5[[#All],[PID]],0))</f>
        <v>Charleston Statesmen</v>
      </c>
    </row>
    <row r="239" spans="1:54" ht="15" customHeight="1" x14ac:dyDescent="0.25">
      <c r="A239" s="40">
        <v>20338</v>
      </c>
      <c r="B239" s="40" t="s">
        <v>86</v>
      </c>
      <c r="C239" s="40" t="s">
        <v>439</v>
      </c>
      <c r="D239" s="40" t="s">
        <v>1351</v>
      </c>
      <c r="E239" s="40">
        <v>18</v>
      </c>
      <c r="F239" s="40" t="s">
        <v>42</v>
      </c>
      <c r="G239" s="40" t="s">
        <v>42</v>
      </c>
      <c r="H239" s="41" t="s">
        <v>634</v>
      </c>
      <c r="I239" s="65" t="s">
        <v>43</v>
      </c>
      <c r="J239" s="66" t="s">
        <v>43</v>
      </c>
      <c r="K239" s="67" t="s">
        <v>47</v>
      </c>
      <c r="L239" s="40">
        <v>1</v>
      </c>
      <c r="M239" s="40">
        <v>2</v>
      </c>
      <c r="N239" s="40">
        <v>2</v>
      </c>
      <c r="O239" s="40">
        <v>3</v>
      </c>
      <c r="P239" s="41">
        <v>1</v>
      </c>
      <c r="Q239" s="40">
        <v>3</v>
      </c>
      <c r="R239" s="40">
        <v>4</v>
      </c>
      <c r="S239" s="40">
        <v>3</v>
      </c>
      <c r="T239" s="40">
        <v>6</v>
      </c>
      <c r="U239" s="41">
        <v>3</v>
      </c>
      <c r="V239" s="40">
        <v>4</v>
      </c>
      <c r="W239" s="40">
        <v>5</v>
      </c>
      <c r="X239" s="40">
        <v>7</v>
      </c>
      <c r="Y239" s="41">
        <v>7</v>
      </c>
      <c r="Z239" s="40">
        <v>2</v>
      </c>
      <c r="AA239" s="40" t="s">
        <v>45</v>
      </c>
      <c r="AB239" s="40" t="s">
        <v>45</v>
      </c>
      <c r="AC239" s="40" t="s">
        <v>45</v>
      </c>
      <c r="AD239" s="40" t="s">
        <v>45</v>
      </c>
      <c r="AE239" s="40" t="s">
        <v>45</v>
      </c>
      <c r="AF239" s="40" t="s">
        <v>45</v>
      </c>
      <c r="AG239" s="41" t="s">
        <v>45</v>
      </c>
      <c r="AH239" s="40">
        <v>8</v>
      </c>
      <c r="AI239" s="40">
        <v>5</v>
      </c>
      <c r="AJ239" s="41">
        <v>4</v>
      </c>
      <c r="AK239" s="43" t="s">
        <v>654</v>
      </c>
      <c r="AL239" s="43" t="s">
        <v>635</v>
      </c>
      <c r="AM239" s="44">
        <f t="shared" si="22"/>
        <v>-1.7708028761658048</v>
      </c>
      <c r="AN239" s="44">
        <f t="shared" si="23"/>
        <v>-0.59134862083623696</v>
      </c>
      <c r="AO239" s="45">
        <f t="shared" si="24"/>
        <v>1</v>
      </c>
      <c r="AP239" s="46">
        <f t="shared" si="25"/>
        <v>1.1000000000000001</v>
      </c>
      <c r="AQ239" s="44">
        <f>($AM$3*AM239+$AN$3*AN239+$AO$3*AO239+$AP$3*AP239)+$I$3*VLOOKUP(I239,COND!$A$2:$E$7,4,FALSE)+$J$3*VLOOKUP(J239,COND!$A$2:$C$7,2,FALSE)+$K$3*VLOOKUP(K239,COND!$A$2:$C$7,3,FALSE)+IF(AND($B$2&gt;0,$E239&lt;20),$B$2*25,0)</f>
        <v>44.293402929015244</v>
      </c>
      <c r="AR239" s="47">
        <f t="shared" si="26"/>
        <v>3.5797484466434056E-2</v>
      </c>
      <c r="AS239" s="45" t="str">
        <f t="shared" si="27"/>
        <v>C</v>
      </c>
      <c r="AT239" s="45">
        <f>RANK(Batters[[#This Row],[zScore]],Batters[[#All],[zScore]])</f>
        <v>235</v>
      </c>
      <c r="AU239" s="45"/>
      <c r="AV239" s="45"/>
      <c r="AW239" s="45" t="str">
        <f t="shared" si="28"/>
        <v>Unlikely</v>
      </c>
      <c r="AX239" s="45"/>
      <c r="AY239" s="45" t="str">
        <f>INDEX(Table5[[#All],[Ovr]],MATCH(Batters[[#This Row],[PID]],Table5[[#All],[PID]],0))</f>
        <v/>
      </c>
      <c r="AZ239" s="45" t="str">
        <f>INDEX(Table5[[#All],[Rnd]],MATCH(Batters[[#This Row],[PID]],Table5[[#All],[PID]],0))</f>
        <v/>
      </c>
      <c r="BA239" s="45" t="str">
        <f>INDEX(Table5[[#All],[Pick]],MATCH(Batters[[#This Row],[PID]],Table5[[#All],[PID]],0))</f>
        <v/>
      </c>
      <c r="BB239" s="45" t="str">
        <f>INDEX(Table5[[#All],[Team]],MATCH(Batters[[#This Row],[PID]],Table5[[#All],[PID]],0))</f>
        <v/>
      </c>
    </row>
    <row r="240" spans="1:54" ht="15" customHeight="1" x14ac:dyDescent="0.25">
      <c r="A240" s="40">
        <v>20942</v>
      </c>
      <c r="B240" s="40" t="s">
        <v>69</v>
      </c>
      <c r="C240" s="40" t="s">
        <v>650</v>
      </c>
      <c r="D240" s="40" t="s">
        <v>446</v>
      </c>
      <c r="E240" s="40">
        <v>16</v>
      </c>
      <c r="F240" s="40" t="s">
        <v>42</v>
      </c>
      <c r="G240" s="40" t="s">
        <v>42</v>
      </c>
      <c r="H240" s="41" t="s">
        <v>638</v>
      </c>
      <c r="I240" s="65" t="s">
        <v>43</v>
      </c>
      <c r="J240" s="66" t="s">
        <v>44</v>
      </c>
      <c r="K240" s="67" t="s">
        <v>43</v>
      </c>
      <c r="L240" s="40">
        <v>1</v>
      </c>
      <c r="M240" s="40">
        <v>1</v>
      </c>
      <c r="N240" s="40">
        <v>2</v>
      </c>
      <c r="O240" s="40">
        <v>2</v>
      </c>
      <c r="P240" s="41">
        <v>1</v>
      </c>
      <c r="Q240" s="40">
        <v>3</v>
      </c>
      <c r="R240" s="40">
        <v>4</v>
      </c>
      <c r="S240" s="40">
        <v>5</v>
      </c>
      <c r="T240" s="40">
        <v>5</v>
      </c>
      <c r="U240" s="41">
        <v>5</v>
      </c>
      <c r="V240" s="40">
        <v>6</v>
      </c>
      <c r="W240" s="40">
        <v>6</v>
      </c>
      <c r="X240" s="40">
        <v>1</v>
      </c>
      <c r="Y240" s="41">
        <v>1</v>
      </c>
      <c r="Z240" s="40" t="s">
        <v>45</v>
      </c>
      <c r="AA240" s="40" t="s">
        <v>45</v>
      </c>
      <c r="AB240" s="40" t="s">
        <v>45</v>
      </c>
      <c r="AC240" s="40">
        <v>1</v>
      </c>
      <c r="AD240" s="40" t="s">
        <v>45</v>
      </c>
      <c r="AE240" s="40" t="s">
        <v>45</v>
      </c>
      <c r="AF240" s="40" t="s">
        <v>45</v>
      </c>
      <c r="AG240" s="41" t="s">
        <v>45</v>
      </c>
      <c r="AH240" s="40">
        <v>3</v>
      </c>
      <c r="AI240" s="40">
        <v>5</v>
      </c>
      <c r="AJ240" s="41">
        <v>3</v>
      </c>
      <c r="AK240" s="43" t="s">
        <v>663</v>
      </c>
      <c r="AL240" s="43" t="s">
        <v>47</v>
      </c>
      <c r="AM240" s="44">
        <f t="shared" si="22"/>
        <v>-1.9115723057940897</v>
      </c>
      <c r="AN240" s="44">
        <f t="shared" si="23"/>
        <v>-0.43490250316384815</v>
      </c>
      <c r="AO240" s="45">
        <f t="shared" si="24"/>
        <v>0</v>
      </c>
      <c r="AP240" s="46">
        <f t="shared" si="25"/>
        <v>0</v>
      </c>
      <c r="AQ240" s="44">
        <f>($AM$3*AM240+$AN$3*AN240+$AO$3*AO240+$AP$3*AP240)+$I$3*VLOOKUP(I240,COND!$A$2:$E$7,4,FALSE)+$J$3*VLOOKUP(J240,COND!$A$2:$C$7,2,FALSE)+$K$3*VLOOKUP(K240,COND!$A$2:$C$7,3,FALSE)+IF(AND($B$2&gt;0,$E240&lt;20),$B$2*25,0)</f>
        <v>44.290012731454411</v>
      </c>
      <c r="AR240" s="47">
        <f t="shared" si="26"/>
        <v>3.5045854751588598E-2</v>
      </c>
      <c r="AS240" s="45" t="str">
        <f t="shared" si="27"/>
        <v>3B</v>
      </c>
      <c r="AT240" s="45">
        <f>RANK(Batters[[#This Row],[zScore]],Batters[[#All],[zScore]])</f>
        <v>236</v>
      </c>
      <c r="AU240" s="45"/>
      <c r="AV240" s="45"/>
      <c r="AW240" s="45" t="str">
        <f t="shared" si="28"/>
        <v>Unlikely</v>
      </c>
      <c r="AX240" s="45"/>
      <c r="AY240" s="45" t="str">
        <f>INDEX(Table5[[#All],[Ovr]],MATCH(Batters[[#This Row],[PID]],Table5[[#All],[PID]],0))</f>
        <v/>
      </c>
      <c r="AZ240" s="45" t="str">
        <f>INDEX(Table5[[#All],[Rnd]],MATCH(Batters[[#This Row],[PID]],Table5[[#All],[PID]],0))</f>
        <v/>
      </c>
      <c r="BA240" s="45" t="str">
        <f>INDEX(Table5[[#All],[Pick]],MATCH(Batters[[#This Row],[PID]],Table5[[#All],[PID]],0))</f>
        <v/>
      </c>
      <c r="BB240" s="45" t="str">
        <f>INDEX(Table5[[#All],[Team]],MATCH(Batters[[#This Row],[PID]],Table5[[#All],[PID]],0))</f>
        <v/>
      </c>
    </row>
    <row r="241" spans="1:54" ht="15" customHeight="1" x14ac:dyDescent="0.25">
      <c r="A241" s="40">
        <v>18160</v>
      </c>
      <c r="B241" s="40" t="s">
        <v>72</v>
      </c>
      <c r="C241" s="40" t="s">
        <v>337</v>
      </c>
      <c r="D241" s="40" t="s">
        <v>1173</v>
      </c>
      <c r="E241" s="40">
        <v>21</v>
      </c>
      <c r="F241" s="40" t="s">
        <v>42</v>
      </c>
      <c r="G241" s="40" t="s">
        <v>42</v>
      </c>
      <c r="H241" s="41" t="s">
        <v>633</v>
      </c>
      <c r="I241" s="65" t="s">
        <v>44</v>
      </c>
      <c r="J241" s="66" t="s">
        <v>43</v>
      </c>
      <c r="K241" s="67" t="s">
        <v>43</v>
      </c>
      <c r="L241" s="40">
        <v>2</v>
      </c>
      <c r="M241" s="40">
        <v>3</v>
      </c>
      <c r="N241" s="40">
        <v>3</v>
      </c>
      <c r="O241" s="40">
        <v>4</v>
      </c>
      <c r="P241" s="41">
        <v>1</v>
      </c>
      <c r="Q241" s="40">
        <v>4</v>
      </c>
      <c r="R241" s="40">
        <v>5</v>
      </c>
      <c r="S241" s="40">
        <v>4</v>
      </c>
      <c r="T241" s="40">
        <v>6</v>
      </c>
      <c r="U241" s="41">
        <v>3</v>
      </c>
      <c r="V241" s="40">
        <v>8</v>
      </c>
      <c r="W241" s="40">
        <v>6</v>
      </c>
      <c r="X241" s="40">
        <v>1</v>
      </c>
      <c r="Y241" s="41">
        <v>1</v>
      </c>
      <c r="Z241" s="40" t="s">
        <v>45</v>
      </c>
      <c r="AA241" s="40" t="s">
        <v>45</v>
      </c>
      <c r="AB241" s="40" t="s">
        <v>45</v>
      </c>
      <c r="AC241" s="40" t="s">
        <v>45</v>
      </c>
      <c r="AD241" s="40">
        <v>7</v>
      </c>
      <c r="AE241" s="40" t="s">
        <v>45</v>
      </c>
      <c r="AF241" s="40" t="s">
        <v>45</v>
      </c>
      <c r="AG241" s="41" t="s">
        <v>45</v>
      </c>
      <c r="AH241" s="40">
        <v>4</v>
      </c>
      <c r="AI241" s="40">
        <v>6</v>
      </c>
      <c r="AJ241" s="41">
        <v>8</v>
      </c>
      <c r="AK241" s="43" t="s">
        <v>556</v>
      </c>
      <c r="AL241" s="43" t="s">
        <v>635</v>
      </c>
      <c r="AM241" s="44">
        <f t="shared" si="22"/>
        <v>-1.2244161163109442</v>
      </c>
      <c r="AN241" s="44">
        <f t="shared" si="23"/>
        <v>-0.13467141099095725</v>
      </c>
      <c r="AO241" s="45">
        <f t="shared" si="24"/>
        <v>1</v>
      </c>
      <c r="AP241" s="46">
        <f t="shared" si="25"/>
        <v>1</v>
      </c>
      <c r="AQ241" s="44">
        <f>($AM$3*AM241+$AN$3*AN241+$AO$3*AO241+$AP$3*AP241)+$I$3*VLOOKUP(I241,COND!$A$2:$E$7,4,FALSE)+$J$3*VLOOKUP(J241,COND!$A$2:$C$7,2,FALSE)+$K$3*VLOOKUP(K241,COND!$A$2:$C$7,3,FALSE)+IF(AND($B$2&gt;0,$E241&lt;20),$B$2*25,0)</f>
        <v>44.278168123144084</v>
      </c>
      <c r="AR241" s="47">
        <f t="shared" si="26"/>
        <v>3.2419825027067382E-2</v>
      </c>
      <c r="AS241" s="45" t="str">
        <f t="shared" si="27"/>
        <v>SS</v>
      </c>
      <c r="AT241" s="45">
        <f>RANK(Batters[[#This Row],[zScore]],Batters[[#All],[zScore]])</f>
        <v>237</v>
      </c>
      <c r="AU241" s="45"/>
      <c r="AV241" s="45"/>
      <c r="AW241" s="45" t="str">
        <f t="shared" si="28"/>
        <v>Unlikely</v>
      </c>
      <c r="AX241" s="45"/>
      <c r="AY241" s="45">
        <f>INDEX(Table5[[#All],[Ovr]],MATCH(Batters[[#This Row],[PID]],Table5[[#All],[PID]],0))</f>
        <v>50</v>
      </c>
      <c r="AZ241" s="45" t="str">
        <f>INDEX(Table5[[#All],[Rnd]],MATCH(Batters[[#This Row],[PID]],Table5[[#All],[PID]],0))</f>
        <v>2</v>
      </c>
      <c r="BA241" s="45">
        <f>INDEX(Table5[[#All],[Pick]],MATCH(Batters[[#This Row],[PID]],Table5[[#All],[PID]],0))</f>
        <v>15</v>
      </c>
      <c r="BB241" s="45" t="str">
        <f>INDEX(Table5[[#All],[Team]],MATCH(Batters[[#This Row],[PID]],Table5[[#All],[PID]],0))</f>
        <v>Reno Zephyrs</v>
      </c>
    </row>
    <row r="242" spans="1:54" ht="15" customHeight="1" x14ac:dyDescent="0.25">
      <c r="A242" s="40">
        <v>20644</v>
      </c>
      <c r="B242" s="40" t="s">
        <v>50</v>
      </c>
      <c r="C242" s="40" t="s">
        <v>1411</v>
      </c>
      <c r="D242" s="40" t="s">
        <v>1412</v>
      </c>
      <c r="E242" s="40">
        <v>17</v>
      </c>
      <c r="F242" s="40" t="s">
        <v>62</v>
      </c>
      <c r="G242" s="40" t="s">
        <v>42</v>
      </c>
      <c r="H242" s="41" t="s">
        <v>638</v>
      </c>
      <c r="I242" s="65" t="s">
        <v>43</v>
      </c>
      <c r="J242" s="66" t="s">
        <v>47</v>
      </c>
      <c r="K242" s="67" t="s">
        <v>43</v>
      </c>
      <c r="L242" s="40">
        <v>1</v>
      </c>
      <c r="M242" s="40">
        <v>3</v>
      </c>
      <c r="N242" s="40">
        <v>2</v>
      </c>
      <c r="O242" s="40">
        <v>3</v>
      </c>
      <c r="P242" s="41">
        <v>1</v>
      </c>
      <c r="Q242" s="40">
        <v>3</v>
      </c>
      <c r="R242" s="40">
        <v>6</v>
      </c>
      <c r="S242" s="40">
        <v>3</v>
      </c>
      <c r="T242" s="40">
        <v>6</v>
      </c>
      <c r="U242" s="41">
        <v>3</v>
      </c>
      <c r="V242" s="40">
        <v>6</v>
      </c>
      <c r="W242" s="40">
        <v>7</v>
      </c>
      <c r="X242" s="40">
        <v>1</v>
      </c>
      <c r="Y242" s="41">
        <v>1</v>
      </c>
      <c r="Z242" s="40" t="s">
        <v>45</v>
      </c>
      <c r="AA242" s="40" t="s">
        <v>45</v>
      </c>
      <c r="AB242" s="40" t="s">
        <v>45</v>
      </c>
      <c r="AC242" s="40" t="s">
        <v>45</v>
      </c>
      <c r="AD242" s="40" t="s">
        <v>45</v>
      </c>
      <c r="AE242" s="40">
        <v>1</v>
      </c>
      <c r="AF242" s="40" t="s">
        <v>45</v>
      </c>
      <c r="AG242" s="41" t="s">
        <v>45</v>
      </c>
      <c r="AH242" s="40">
        <v>3</v>
      </c>
      <c r="AI242" s="40">
        <v>6</v>
      </c>
      <c r="AJ242" s="41">
        <v>6</v>
      </c>
      <c r="AK242" s="43" t="s">
        <v>670</v>
      </c>
      <c r="AL242" s="43" t="s">
        <v>47</v>
      </c>
      <c r="AM242" s="44">
        <f t="shared" si="22"/>
        <v>-1.7197429965471014</v>
      </c>
      <c r="AN242" s="44">
        <f t="shared" si="23"/>
        <v>-0.48922886159882989</v>
      </c>
      <c r="AO242" s="45">
        <f t="shared" si="24"/>
        <v>0</v>
      </c>
      <c r="AP242" s="46">
        <f t="shared" si="25"/>
        <v>0</v>
      </c>
      <c r="AQ242" s="44">
        <f>($AM$3*AM242+$AN$3*AN242+$AO$3*AO242+$AP$3*AP242)+$I$3*VLOOKUP(I242,COND!$A$2:$E$7,4,FALSE)+$J$3*VLOOKUP(J242,COND!$A$2:$C$7,2,FALSE)+$K$3*VLOOKUP(K242,COND!$A$2:$C$7,3,FALSE)+IF(AND($B$2&gt;0,$E242&lt;20),$B$2*25,0)</f>
        <v>44.257279361159334</v>
      </c>
      <c r="AR242" s="47">
        <f t="shared" si="26"/>
        <v>2.7788645300121165E-2</v>
      </c>
      <c r="AS242" s="45" t="str">
        <f t="shared" si="27"/>
        <v>LF</v>
      </c>
      <c r="AT242" s="45">
        <f>RANK(Batters[[#This Row],[zScore]],Batters[[#All],[zScore]])</f>
        <v>238</v>
      </c>
      <c r="AU242" s="45"/>
      <c r="AV242" s="45"/>
      <c r="AW242" s="45" t="str">
        <f t="shared" si="28"/>
        <v>Unlikely</v>
      </c>
      <c r="AX242" s="45"/>
      <c r="AY242" s="45" t="str">
        <f>INDEX(Table5[[#All],[Ovr]],MATCH(Batters[[#This Row],[PID]],Table5[[#All],[PID]],0))</f>
        <v/>
      </c>
      <c r="AZ242" s="45" t="str">
        <f>INDEX(Table5[[#All],[Rnd]],MATCH(Batters[[#This Row],[PID]],Table5[[#All],[PID]],0))</f>
        <v/>
      </c>
      <c r="BA242" s="45" t="str">
        <f>INDEX(Table5[[#All],[Pick]],MATCH(Batters[[#This Row],[PID]],Table5[[#All],[PID]],0))</f>
        <v/>
      </c>
      <c r="BB242" s="45" t="str">
        <f>INDEX(Table5[[#All],[Team]],MATCH(Batters[[#This Row],[PID]],Table5[[#All],[PID]],0))</f>
        <v/>
      </c>
    </row>
    <row r="243" spans="1:54" ht="15" customHeight="1" x14ac:dyDescent="0.25">
      <c r="A243" s="40">
        <v>20548</v>
      </c>
      <c r="B243" s="40" t="s">
        <v>50</v>
      </c>
      <c r="C243" s="40" t="s">
        <v>1425</v>
      </c>
      <c r="D243" s="40" t="s">
        <v>1626</v>
      </c>
      <c r="E243" s="40">
        <v>17</v>
      </c>
      <c r="F243" s="40" t="s">
        <v>42</v>
      </c>
      <c r="G243" s="40" t="s">
        <v>42</v>
      </c>
      <c r="H243" s="41" t="s">
        <v>638</v>
      </c>
      <c r="I243" s="65" t="s">
        <v>44</v>
      </c>
      <c r="J243" s="66" t="s">
        <v>47</v>
      </c>
      <c r="K243" s="67" t="s">
        <v>44</v>
      </c>
      <c r="L243" s="40">
        <v>1</v>
      </c>
      <c r="M243" s="40">
        <v>2</v>
      </c>
      <c r="N243" s="40">
        <v>3</v>
      </c>
      <c r="O243" s="40">
        <v>3</v>
      </c>
      <c r="P243" s="41">
        <v>1</v>
      </c>
      <c r="Q243" s="40">
        <v>3</v>
      </c>
      <c r="R243" s="40">
        <v>4</v>
      </c>
      <c r="S243" s="40">
        <v>4</v>
      </c>
      <c r="T243" s="40">
        <v>6</v>
      </c>
      <c r="U243" s="41">
        <v>3</v>
      </c>
      <c r="V243" s="40">
        <v>2</v>
      </c>
      <c r="W243" s="40">
        <v>5</v>
      </c>
      <c r="X243" s="40">
        <v>1</v>
      </c>
      <c r="Y243" s="41">
        <v>1</v>
      </c>
      <c r="Z243" s="40" t="s">
        <v>45</v>
      </c>
      <c r="AA243" s="40" t="s">
        <v>45</v>
      </c>
      <c r="AB243" s="40" t="s">
        <v>45</v>
      </c>
      <c r="AC243" s="40" t="s">
        <v>45</v>
      </c>
      <c r="AD243" s="40" t="s">
        <v>45</v>
      </c>
      <c r="AE243" s="40">
        <v>2</v>
      </c>
      <c r="AF243" s="40">
        <v>1</v>
      </c>
      <c r="AG243" s="41" t="s">
        <v>45</v>
      </c>
      <c r="AH243" s="40">
        <v>7</v>
      </c>
      <c r="AI243" s="40">
        <v>9</v>
      </c>
      <c r="AJ243" s="41">
        <v>10</v>
      </c>
      <c r="AK243" s="43" t="s">
        <v>644</v>
      </c>
      <c r="AL243" s="43"/>
      <c r="AM243" s="44">
        <f t="shared" si="22"/>
        <v>-1.6877413821419032</v>
      </c>
      <c r="AN243" s="44">
        <f t="shared" si="23"/>
        <v>-0.50828712681233545</v>
      </c>
      <c r="AO243" s="45">
        <f t="shared" si="24"/>
        <v>4</v>
      </c>
      <c r="AP243" s="46">
        <f t="shared" si="25"/>
        <v>0</v>
      </c>
      <c r="AQ243" s="44">
        <f>($AM$3*AM243+$AN$3*AN243+$AO$3*AO243+$AP$3*AP243)+$I$3*VLOOKUP(I243,COND!$A$2:$E$7,4,FALSE)+$J$3*VLOOKUP(J243,COND!$A$2:$C$7,2,FALSE)+$K$3*VLOOKUP(K243,COND!$A$2:$C$7,3,FALSE)+IF(AND($B$2&gt;0,$E243&lt;20),$B$2*25,0)</f>
        <v>44.248447006704453</v>
      </c>
      <c r="AR243" s="47">
        <f t="shared" si="26"/>
        <v>2.5830452616298547E-2</v>
      </c>
      <c r="AS243" s="45" t="str">
        <f t="shared" si="27"/>
        <v>LF</v>
      </c>
      <c r="AT243" s="45">
        <f>RANK(Batters[[#This Row],[zScore]],Batters[[#All],[zScore]])</f>
        <v>239</v>
      </c>
      <c r="AU243" s="45"/>
      <c r="AV243" s="45"/>
      <c r="AW243" s="45" t="str">
        <f t="shared" si="28"/>
        <v>Unlikely</v>
      </c>
      <c r="AX243" s="45"/>
      <c r="AY243" s="64">
        <f>INDEX(Table5[[#All],[Ovr]],MATCH(Batters[[#This Row],[PID]],Table5[[#All],[PID]],0))</f>
        <v>554</v>
      </c>
      <c r="AZ243" s="64" t="str">
        <f>INDEX(Table5[[#All],[Rnd]],MATCH(Batters[[#This Row],[PID]],Table5[[#All],[PID]],0))</f>
        <v>19</v>
      </c>
      <c r="BA243" s="64">
        <f>INDEX(Table5[[#All],[Pick]],MATCH(Batters[[#This Row],[PID]],Table5[[#All],[PID]],0))</f>
        <v>6</v>
      </c>
      <c r="BB243" s="64" t="str">
        <f>INDEX(Table5[[#All],[Team]],MATCH(Batters[[#This Row],[PID]],Table5[[#All],[PID]],0))</f>
        <v>Manchester Maulers</v>
      </c>
    </row>
    <row r="244" spans="1:54" ht="15" customHeight="1" x14ac:dyDescent="0.25">
      <c r="A244" s="40">
        <v>20892</v>
      </c>
      <c r="B244" s="40" t="s">
        <v>69</v>
      </c>
      <c r="C244" s="40" t="s">
        <v>183</v>
      </c>
      <c r="D244" s="40" t="s">
        <v>1621</v>
      </c>
      <c r="E244" s="40">
        <v>18</v>
      </c>
      <c r="F244" s="40" t="s">
        <v>42</v>
      </c>
      <c r="G244" s="40" t="s">
        <v>42</v>
      </c>
      <c r="H244" s="41" t="s">
        <v>638</v>
      </c>
      <c r="I244" s="65" t="s">
        <v>43</v>
      </c>
      <c r="J244" s="66" t="s">
        <v>43</v>
      </c>
      <c r="K244" s="67" t="s">
        <v>43</v>
      </c>
      <c r="L244" s="40">
        <v>1</v>
      </c>
      <c r="M244" s="40">
        <v>1</v>
      </c>
      <c r="N244" s="40">
        <v>2</v>
      </c>
      <c r="O244" s="40">
        <v>2</v>
      </c>
      <c r="P244" s="41">
        <v>1</v>
      </c>
      <c r="Q244" s="40">
        <v>3</v>
      </c>
      <c r="R244" s="40">
        <v>4</v>
      </c>
      <c r="S244" s="40">
        <v>5</v>
      </c>
      <c r="T244" s="40">
        <v>6</v>
      </c>
      <c r="U244" s="41">
        <v>2</v>
      </c>
      <c r="V244" s="40">
        <v>9</v>
      </c>
      <c r="W244" s="40">
        <v>9</v>
      </c>
      <c r="X244" s="40">
        <v>1</v>
      </c>
      <c r="Y244" s="41">
        <v>1</v>
      </c>
      <c r="Z244" s="40" t="s">
        <v>45</v>
      </c>
      <c r="AA244" s="40" t="s">
        <v>45</v>
      </c>
      <c r="AB244" s="40" t="s">
        <v>45</v>
      </c>
      <c r="AC244" s="40">
        <v>3</v>
      </c>
      <c r="AD244" s="40">
        <v>1</v>
      </c>
      <c r="AE244" s="40" t="s">
        <v>45</v>
      </c>
      <c r="AF244" s="40" t="s">
        <v>45</v>
      </c>
      <c r="AG244" s="41" t="s">
        <v>45</v>
      </c>
      <c r="AH244" s="40">
        <v>4</v>
      </c>
      <c r="AI244" s="40">
        <v>4</v>
      </c>
      <c r="AJ244" s="41">
        <v>3</v>
      </c>
      <c r="AK244" s="43" t="s">
        <v>548</v>
      </c>
      <c r="AL244" s="43" t="s">
        <v>47</v>
      </c>
      <c r="AM244" s="44">
        <f t="shared" si="22"/>
        <v>-1.9115723057940897</v>
      </c>
      <c r="AN244" s="44">
        <f t="shared" si="23"/>
        <v>-0.46524197260551747</v>
      </c>
      <c r="AO244" s="45">
        <f t="shared" si="24"/>
        <v>0</v>
      </c>
      <c r="AP244" s="46">
        <f t="shared" si="25"/>
        <v>0</v>
      </c>
      <c r="AQ244" s="44">
        <f>($AM$3*AM244+$AN$3*AN244+$AO$3*AO244+$AP$3*AP244)+$I$3*VLOOKUP(I244,COND!$A$2:$E$7,4,FALSE)+$J$3*VLOOKUP(J244,COND!$A$2:$C$7,2,FALSE)+$K$3*VLOOKUP(K244,COND!$A$2:$C$7,3,FALSE)+IF(AND($B$2&gt;0,$E244&lt;20),$B$2*25,0)</f>
        <v>44.225939098154385</v>
      </c>
      <c r="AR244" s="47">
        <f t="shared" si="26"/>
        <v>2.0840297151406287E-2</v>
      </c>
      <c r="AS244" s="45" t="str">
        <f t="shared" si="27"/>
        <v>3B</v>
      </c>
      <c r="AT244" s="45">
        <f>RANK(Batters[[#This Row],[zScore]],Batters[[#All],[zScore]])</f>
        <v>240</v>
      </c>
      <c r="AU244" s="45"/>
      <c r="AV244" s="45"/>
      <c r="AW244" s="45" t="str">
        <f t="shared" si="28"/>
        <v>Unlikely</v>
      </c>
      <c r="AX244" s="45"/>
      <c r="AY244" s="45">
        <f>INDEX(Table5[[#All],[Ovr]],MATCH(Batters[[#This Row],[PID]],Table5[[#All],[PID]],0))</f>
        <v>342</v>
      </c>
      <c r="AZ244" s="45" t="str">
        <f>INDEX(Table5[[#All],[Rnd]],MATCH(Batters[[#This Row],[PID]],Table5[[#All],[PID]],0))</f>
        <v>12</v>
      </c>
      <c r="BA244" s="45">
        <f>INDEX(Table5[[#All],[Pick]],MATCH(Batters[[#This Row],[PID]],Table5[[#All],[PID]],0))</f>
        <v>4</v>
      </c>
      <c r="BB244" s="45" t="str">
        <f>INDEX(Table5[[#All],[Team]],MATCH(Batters[[#This Row],[PID]],Table5[[#All],[PID]],0))</f>
        <v>Tempe Knights</v>
      </c>
    </row>
    <row r="245" spans="1:54" ht="15" customHeight="1" x14ac:dyDescent="0.25">
      <c r="A245" s="40">
        <v>18176</v>
      </c>
      <c r="B245" s="40" t="s">
        <v>86</v>
      </c>
      <c r="C245" s="40" t="s">
        <v>831</v>
      </c>
      <c r="D245" s="40" t="s">
        <v>363</v>
      </c>
      <c r="E245" s="40">
        <v>18</v>
      </c>
      <c r="F245" s="40" t="s">
        <v>53</v>
      </c>
      <c r="G245" s="40" t="s">
        <v>42</v>
      </c>
      <c r="H245" s="41" t="s">
        <v>638</v>
      </c>
      <c r="I245" s="65" t="s">
        <v>43</v>
      </c>
      <c r="J245" s="66" t="s">
        <v>47</v>
      </c>
      <c r="K245" s="67" t="s">
        <v>43</v>
      </c>
      <c r="L245" s="40">
        <v>1</v>
      </c>
      <c r="M245" s="40">
        <v>3</v>
      </c>
      <c r="N245" s="40">
        <v>2</v>
      </c>
      <c r="O245" s="40">
        <v>1</v>
      </c>
      <c r="P245" s="41">
        <v>1</v>
      </c>
      <c r="Q245" s="40">
        <v>3</v>
      </c>
      <c r="R245" s="40">
        <v>7</v>
      </c>
      <c r="S245" s="40">
        <v>5</v>
      </c>
      <c r="T245" s="40">
        <v>4</v>
      </c>
      <c r="U245" s="41">
        <v>2</v>
      </c>
      <c r="V245" s="40">
        <v>5</v>
      </c>
      <c r="W245" s="40">
        <v>6</v>
      </c>
      <c r="X245" s="40">
        <v>6</v>
      </c>
      <c r="Y245" s="41">
        <v>6</v>
      </c>
      <c r="Z245" s="40" t="s">
        <v>45</v>
      </c>
      <c r="AA245" s="40" t="s">
        <v>45</v>
      </c>
      <c r="AB245" s="40" t="s">
        <v>45</v>
      </c>
      <c r="AC245" s="40" t="s">
        <v>45</v>
      </c>
      <c r="AD245" s="40" t="s">
        <v>45</v>
      </c>
      <c r="AE245" s="40" t="s">
        <v>45</v>
      </c>
      <c r="AF245" s="40" t="s">
        <v>45</v>
      </c>
      <c r="AG245" s="41" t="s">
        <v>45</v>
      </c>
      <c r="AH245" s="40">
        <v>1</v>
      </c>
      <c r="AI245" s="40">
        <v>1</v>
      </c>
      <c r="AJ245" s="41">
        <v>1</v>
      </c>
      <c r="AK245" s="43" t="s">
        <v>644</v>
      </c>
      <c r="AL245" s="43" t="s">
        <v>635</v>
      </c>
      <c r="AM245" s="44">
        <f t="shared" si="22"/>
        <v>-1.8991620965662634</v>
      </c>
      <c r="AN245" s="44">
        <f t="shared" si="23"/>
        <v>-0.49148143376856906</v>
      </c>
      <c r="AO245" s="45">
        <f t="shared" si="24"/>
        <v>0</v>
      </c>
      <c r="AP245" s="46">
        <f t="shared" si="25"/>
        <v>0</v>
      </c>
      <c r="AQ245" s="44">
        <f>($AM$3*AM245+$AN$3*AN245+$AO$3*AO245+$AP$3*AP245)+$I$3*VLOOKUP(I245,COND!$A$2:$E$7,4,FALSE)+$J$3*VLOOKUP(J245,COND!$A$2:$C$7,2,FALSE)+$K$3*VLOOKUP(K245,COND!$A$2:$C$7,3,FALSE)+IF(AND($B$2&gt;0,$E245&lt;20),$B$2*25,0)</f>
        <v>44.212306585120544</v>
      </c>
      <c r="AR245" s="47">
        <f t="shared" si="26"/>
        <v>1.781787686456765E-2</v>
      </c>
      <c r="AS245" s="45" t="str">
        <f t="shared" si="27"/>
        <v>DH</v>
      </c>
      <c r="AT245" s="45">
        <f>RANK(Batters[[#This Row],[zScore]],Batters[[#All],[zScore]])</f>
        <v>241</v>
      </c>
      <c r="AU245" s="45"/>
      <c r="AV245" s="45"/>
      <c r="AW245" s="45" t="str">
        <f t="shared" si="28"/>
        <v>Unlikely</v>
      </c>
      <c r="AX245" s="45"/>
      <c r="AY245" s="45">
        <f>INDEX(Table5[[#All],[Ovr]],MATCH(Batters[[#This Row],[PID]],Table5[[#All],[PID]],0))</f>
        <v>279</v>
      </c>
      <c r="AZ245" s="45" t="str">
        <f>INDEX(Table5[[#All],[Rnd]],MATCH(Batters[[#This Row],[PID]],Table5[[#All],[PID]],0))</f>
        <v>10</v>
      </c>
      <c r="BA245" s="45">
        <f>INDEX(Table5[[#All],[Pick]],MATCH(Batters[[#This Row],[PID]],Table5[[#All],[PID]],0))</f>
        <v>1</v>
      </c>
      <c r="BB245" s="45" t="str">
        <f>INDEX(Table5[[#All],[Team]],MATCH(Batters[[#This Row],[PID]],Table5[[#All],[PID]],0))</f>
        <v>Yuma Arroyos</v>
      </c>
    </row>
    <row r="246" spans="1:54" ht="15" customHeight="1" x14ac:dyDescent="0.25">
      <c r="A246" s="40">
        <v>20642</v>
      </c>
      <c r="B246" s="40" t="s">
        <v>69</v>
      </c>
      <c r="C246" s="40" t="s">
        <v>1421</v>
      </c>
      <c r="D246" s="40" t="s">
        <v>1422</v>
      </c>
      <c r="E246" s="40">
        <v>18</v>
      </c>
      <c r="F246" s="40" t="s">
        <v>42</v>
      </c>
      <c r="G246" s="40" t="s">
        <v>42</v>
      </c>
      <c r="H246" s="41" t="s">
        <v>638</v>
      </c>
      <c r="I246" s="65" t="s">
        <v>43</v>
      </c>
      <c r="J246" s="66" t="s">
        <v>47</v>
      </c>
      <c r="K246" s="67" t="s">
        <v>47</v>
      </c>
      <c r="L246" s="40">
        <v>1</v>
      </c>
      <c r="M246" s="40">
        <v>2</v>
      </c>
      <c r="N246" s="40">
        <v>3</v>
      </c>
      <c r="O246" s="40">
        <v>3</v>
      </c>
      <c r="P246" s="41">
        <v>2</v>
      </c>
      <c r="Q246" s="40">
        <v>3</v>
      </c>
      <c r="R246" s="40">
        <v>3</v>
      </c>
      <c r="S246" s="40">
        <v>4</v>
      </c>
      <c r="T246" s="40">
        <v>6</v>
      </c>
      <c r="U246" s="41">
        <v>4</v>
      </c>
      <c r="V246" s="40">
        <v>6</v>
      </c>
      <c r="W246" s="40">
        <v>6</v>
      </c>
      <c r="X246" s="40">
        <v>1</v>
      </c>
      <c r="Y246" s="41">
        <v>1</v>
      </c>
      <c r="Z246" s="40" t="s">
        <v>45</v>
      </c>
      <c r="AA246" s="40" t="s">
        <v>45</v>
      </c>
      <c r="AB246" s="40" t="s">
        <v>45</v>
      </c>
      <c r="AC246" s="40">
        <v>2</v>
      </c>
      <c r="AD246" s="40" t="s">
        <v>45</v>
      </c>
      <c r="AE246" s="40">
        <v>1</v>
      </c>
      <c r="AF246" s="40" t="s">
        <v>45</v>
      </c>
      <c r="AG246" s="41" t="s">
        <v>45</v>
      </c>
      <c r="AH246" s="40">
        <v>2</v>
      </c>
      <c r="AI246" s="40">
        <v>1</v>
      </c>
      <c r="AJ246" s="41">
        <v>2</v>
      </c>
      <c r="AK246" s="43" t="s">
        <v>644</v>
      </c>
      <c r="AL246" s="43" t="s">
        <v>47</v>
      </c>
      <c r="AM246" s="44">
        <f t="shared" si="22"/>
        <v>-1.6477250423248198</v>
      </c>
      <c r="AN246" s="44">
        <f t="shared" si="23"/>
        <v>-0.51933066661395544</v>
      </c>
      <c r="AO246" s="45">
        <f t="shared" si="24"/>
        <v>0</v>
      </c>
      <c r="AP246" s="46">
        <f t="shared" si="25"/>
        <v>0</v>
      </c>
      <c r="AQ246" s="44">
        <f>($AM$3*AM246+$AN$3*AN246+$AO$3*AO246+$AP$3*AP246)+$I$3*VLOOKUP(I246,COND!$A$2:$E$7,4,FALSE)+$J$3*VLOOKUP(J246,COND!$A$2:$C$7,2,FALSE)+$K$3*VLOOKUP(K246,COND!$A$2:$C$7,3,FALSE)+IF(AND($B$2&gt;0,$E246&lt;20),$B$2*25,0)</f>
        <v>44.203259496400051</v>
      </c>
      <c r="AR246" s="47">
        <f t="shared" si="26"/>
        <v>1.5812076142590017E-2</v>
      </c>
      <c r="AS246" s="45" t="str">
        <f t="shared" si="27"/>
        <v>3B</v>
      </c>
      <c r="AT246" s="45">
        <f>RANK(Batters[[#This Row],[zScore]],Batters[[#All],[zScore]])</f>
        <v>242</v>
      </c>
      <c r="AU246" s="45"/>
      <c r="AV246" s="45"/>
      <c r="AW246" s="45" t="str">
        <f t="shared" si="28"/>
        <v>Unlikely</v>
      </c>
      <c r="AX246" s="45"/>
      <c r="AY246" s="45">
        <f>INDEX(Table5[[#All],[Ovr]],MATCH(Batters[[#This Row],[PID]],Table5[[#All],[PID]],0))</f>
        <v>467</v>
      </c>
      <c r="AZ246" s="45" t="str">
        <f>INDEX(Table5[[#All],[Rnd]],MATCH(Batters[[#This Row],[PID]],Table5[[#All],[PID]],0))</f>
        <v>16</v>
      </c>
      <c r="BA246" s="45">
        <f>INDEX(Table5[[#All],[Pick]],MATCH(Batters[[#This Row],[PID]],Table5[[#All],[PID]],0))</f>
        <v>9</v>
      </c>
      <c r="BB246" s="45" t="str">
        <f>INDEX(Table5[[#All],[Team]],MATCH(Batters[[#This Row],[PID]],Table5[[#All],[PID]],0))</f>
        <v>Scottish Claymores</v>
      </c>
    </row>
    <row r="247" spans="1:54" ht="15" customHeight="1" x14ac:dyDescent="0.25">
      <c r="A247" s="40">
        <v>20799</v>
      </c>
      <c r="B247" s="40" t="s">
        <v>69</v>
      </c>
      <c r="C247" s="40" t="s">
        <v>1049</v>
      </c>
      <c r="D247" s="40" t="s">
        <v>1495</v>
      </c>
      <c r="E247" s="40">
        <v>17</v>
      </c>
      <c r="F247" s="40" t="s">
        <v>42</v>
      </c>
      <c r="G247" s="40" t="s">
        <v>42</v>
      </c>
      <c r="H247" s="41" t="s">
        <v>638</v>
      </c>
      <c r="I247" s="65" t="s">
        <v>43</v>
      </c>
      <c r="J247" s="66" t="s">
        <v>44</v>
      </c>
      <c r="K247" s="67" t="s">
        <v>44</v>
      </c>
      <c r="L247" s="40">
        <v>1</v>
      </c>
      <c r="M247" s="40">
        <v>1</v>
      </c>
      <c r="N247" s="40">
        <v>2</v>
      </c>
      <c r="O247" s="40">
        <v>2</v>
      </c>
      <c r="P247" s="41">
        <v>1</v>
      </c>
      <c r="Q247" s="40">
        <v>4</v>
      </c>
      <c r="R247" s="40">
        <v>3</v>
      </c>
      <c r="S247" s="40">
        <v>3</v>
      </c>
      <c r="T247" s="40">
        <v>4</v>
      </c>
      <c r="U247" s="41">
        <v>5</v>
      </c>
      <c r="V247" s="40">
        <v>9</v>
      </c>
      <c r="W247" s="40">
        <v>9</v>
      </c>
      <c r="X247" s="40">
        <v>1</v>
      </c>
      <c r="Y247" s="41">
        <v>1</v>
      </c>
      <c r="Z247" s="40" t="s">
        <v>45</v>
      </c>
      <c r="AA247" s="40" t="s">
        <v>45</v>
      </c>
      <c r="AB247" s="40">
        <v>1</v>
      </c>
      <c r="AC247" s="40">
        <v>2</v>
      </c>
      <c r="AD247" s="40">
        <v>2</v>
      </c>
      <c r="AE247" s="40">
        <v>1</v>
      </c>
      <c r="AF247" s="40" t="s">
        <v>45</v>
      </c>
      <c r="AG247" s="41" t="s">
        <v>45</v>
      </c>
      <c r="AH247" s="40">
        <v>4</v>
      </c>
      <c r="AI247" s="40">
        <v>5</v>
      </c>
      <c r="AJ247" s="41">
        <v>3</v>
      </c>
      <c r="AK247" s="43" t="s">
        <v>663</v>
      </c>
      <c r="AL247" s="43" t="s">
        <v>47</v>
      </c>
      <c r="AM247" s="44">
        <f t="shared" si="22"/>
        <v>-1.9115723057940897</v>
      </c>
      <c r="AN247" s="44">
        <f t="shared" si="23"/>
        <v>-0.41923908463726089</v>
      </c>
      <c r="AO247" s="45">
        <f t="shared" si="24"/>
        <v>0</v>
      </c>
      <c r="AP247" s="46">
        <f t="shared" si="25"/>
        <v>0</v>
      </c>
      <c r="AQ247" s="44">
        <f>($AM$3*AM247+$AN$3*AN247+$AO$3*AO247+$AP$3*AP247)+$I$3*VLOOKUP(I247,COND!$A$2:$E$7,4,FALSE)+$J$3*VLOOKUP(J247,COND!$A$2:$C$7,2,FALSE)+$K$3*VLOOKUP(K247,COND!$A$2:$C$7,3,FALSE)+IF(AND($B$2&gt;0,$E247&lt;20),$B$2*25,0)</f>
        <v>44.177973753773458</v>
      </c>
      <c r="AR247" s="47">
        <f t="shared" si="26"/>
        <v>1.0206056086516348E-2</v>
      </c>
      <c r="AS247" s="45" t="str">
        <f t="shared" si="27"/>
        <v>SS</v>
      </c>
      <c r="AT247" s="45">
        <f>RANK(Batters[[#This Row],[zScore]],Batters[[#All],[zScore]])</f>
        <v>243</v>
      </c>
      <c r="AU247" s="45"/>
      <c r="AV247" s="45"/>
      <c r="AW247" s="45" t="str">
        <f t="shared" si="28"/>
        <v>Unlikely</v>
      </c>
      <c r="AX247" s="45"/>
      <c r="AY247" s="45">
        <f>INDEX(Table5[[#All],[Ovr]],MATCH(Batters[[#This Row],[PID]],Table5[[#All],[PID]],0))</f>
        <v>550</v>
      </c>
      <c r="AZ247" s="45" t="str">
        <f>INDEX(Table5[[#All],[Rnd]],MATCH(Batters[[#This Row],[PID]],Table5[[#All],[PID]],0))</f>
        <v>19</v>
      </c>
      <c r="BA247" s="45">
        <f>INDEX(Table5[[#All],[Pick]],MATCH(Batters[[#This Row],[PID]],Table5[[#All],[PID]],0))</f>
        <v>2</v>
      </c>
      <c r="BB247" s="45" t="str">
        <f>INDEX(Table5[[#All],[Team]],MATCH(Batters[[#This Row],[PID]],Table5[[#All],[PID]],0))</f>
        <v>Charleston Statesmen</v>
      </c>
    </row>
    <row r="248" spans="1:54" ht="15" customHeight="1" x14ac:dyDescent="0.25">
      <c r="A248" s="40">
        <v>20918</v>
      </c>
      <c r="B248" s="40" t="s">
        <v>72</v>
      </c>
      <c r="C248" s="40" t="s">
        <v>366</v>
      </c>
      <c r="D248" s="40" t="s">
        <v>760</v>
      </c>
      <c r="E248" s="40">
        <v>17</v>
      </c>
      <c r="F248" s="40" t="s">
        <v>42</v>
      </c>
      <c r="G248" s="40" t="s">
        <v>42</v>
      </c>
      <c r="H248" s="41" t="s">
        <v>638</v>
      </c>
      <c r="I248" s="65" t="s">
        <v>43</v>
      </c>
      <c r="J248" s="66" t="s">
        <v>47</v>
      </c>
      <c r="K248" s="67" t="s">
        <v>43</v>
      </c>
      <c r="L248" s="40">
        <v>1</v>
      </c>
      <c r="M248" s="40">
        <v>3</v>
      </c>
      <c r="N248" s="40">
        <v>2</v>
      </c>
      <c r="O248" s="40">
        <v>2</v>
      </c>
      <c r="P248" s="41">
        <v>1</v>
      </c>
      <c r="Q248" s="40">
        <v>3</v>
      </c>
      <c r="R248" s="40">
        <v>6</v>
      </c>
      <c r="S248" s="40">
        <v>4</v>
      </c>
      <c r="T248" s="40">
        <v>5</v>
      </c>
      <c r="U248" s="41">
        <v>3</v>
      </c>
      <c r="V248" s="40">
        <v>6</v>
      </c>
      <c r="W248" s="40">
        <v>6</v>
      </c>
      <c r="X248" s="40">
        <v>1</v>
      </c>
      <c r="Y248" s="41">
        <v>1</v>
      </c>
      <c r="Z248" s="40" t="s">
        <v>45</v>
      </c>
      <c r="AA248" s="40" t="s">
        <v>45</v>
      </c>
      <c r="AB248" s="40" t="s">
        <v>45</v>
      </c>
      <c r="AC248" s="40" t="s">
        <v>45</v>
      </c>
      <c r="AD248" s="40">
        <v>1</v>
      </c>
      <c r="AE248" s="40" t="s">
        <v>45</v>
      </c>
      <c r="AF248" s="40" t="s">
        <v>45</v>
      </c>
      <c r="AG248" s="41" t="s">
        <v>45</v>
      </c>
      <c r="AH248" s="40">
        <v>4</v>
      </c>
      <c r="AI248" s="40">
        <v>4</v>
      </c>
      <c r="AJ248" s="41">
        <v>2</v>
      </c>
      <c r="AK248" s="43" t="s">
        <v>644</v>
      </c>
      <c r="AL248" s="43" t="s">
        <v>47</v>
      </c>
      <c r="AM248" s="44">
        <f t="shared" si="22"/>
        <v>-1.8094525465566824</v>
      </c>
      <c r="AN248" s="44">
        <f t="shared" si="23"/>
        <v>-0.49587691758450947</v>
      </c>
      <c r="AO248" s="45">
        <f t="shared" si="24"/>
        <v>0</v>
      </c>
      <c r="AP248" s="46">
        <f t="shared" si="25"/>
        <v>0</v>
      </c>
      <c r="AQ248" s="44">
        <f>($AM$3*AM248+$AN$3*AN248+$AO$3*AO248+$AP$3*AP248)+$I$3*VLOOKUP(I248,COND!$A$2:$E$7,4,FALSE)+$J$3*VLOOKUP(J248,COND!$A$2:$C$7,2,FALSE)+$K$3*VLOOKUP(K248,COND!$A$2:$C$7,3,FALSE)+IF(AND($B$2&gt;0,$E248&lt;20),$B$2*25,0)</f>
        <v>44.168531734330216</v>
      </c>
      <c r="AR248" s="47">
        <f t="shared" si="26"/>
        <v>8.112696553821401E-3</v>
      </c>
      <c r="AS248" s="45" t="str">
        <f t="shared" si="27"/>
        <v>SS</v>
      </c>
      <c r="AT248" s="45">
        <f>RANK(Batters[[#This Row],[zScore]],Batters[[#All],[zScore]])</f>
        <v>244</v>
      </c>
      <c r="AU248" s="45"/>
      <c r="AV248" s="45"/>
      <c r="AW248" s="45" t="str">
        <f t="shared" si="28"/>
        <v>Unlikely</v>
      </c>
      <c r="AX248" s="45"/>
      <c r="AY248" s="45" t="str">
        <f>INDEX(Table5[[#All],[Ovr]],MATCH(Batters[[#This Row],[PID]],Table5[[#All],[PID]],0))</f>
        <v/>
      </c>
      <c r="AZ248" s="45" t="str">
        <f>INDEX(Table5[[#All],[Rnd]],MATCH(Batters[[#This Row],[PID]],Table5[[#All],[PID]],0))</f>
        <v/>
      </c>
      <c r="BA248" s="45" t="str">
        <f>INDEX(Table5[[#All],[Pick]],MATCH(Batters[[#This Row],[PID]],Table5[[#All],[PID]],0))</f>
        <v/>
      </c>
      <c r="BB248" s="45" t="str">
        <f>INDEX(Table5[[#All],[Team]],MATCH(Batters[[#This Row],[PID]],Table5[[#All],[PID]],0))</f>
        <v/>
      </c>
    </row>
    <row r="249" spans="1:54" ht="15" customHeight="1" x14ac:dyDescent="0.25">
      <c r="A249" s="40">
        <v>18145</v>
      </c>
      <c r="B249" s="40" t="s">
        <v>87</v>
      </c>
      <c r="C249" s="40" t="s">
        <v>169</v>
      </c>
      <c r="D249" s="40" t="s">
        <v>1222</v>
      </c>
      <c r="E249" s="40">
        <v>21</v>
      </c>
      <c r="F249" s="40" t="s">
        <v>62</v>
      </c>
      <c r="G249" s="40" t="s">
        <v>42</v>
      </c>
      <c r="H249" s="41" t="s">
        <v>634</v>
      </c>
      <c r="I249" s="65" t="s">
        <v>43</v>
      </c>
      <c r="J249" s="66" t="s">
        <v>43</v>
      </c>
      <c r="K249" s="67" t="s">
        <v>43</v>
      </c>
      <c r="L249" s="40">
        <v>2</v>
      </c>
      <c r="M249" s="40">
        <v>4</v>
      </c>
      <c r="N249" s="40">
        <v>4</v>
      </c>
      <c r="O249" s="40">
        <v>2</v>
      </c>
      <c r="P249" s="41">
        <v>2</v>
      </c>
      <c r="Q249" s="40">
        <v>4</v>
      </c>
      <c r="R249" s="40">
        <v>5</v>
      </c>
      <c r="S249" s="40">
        <v>5</v>
      </c>
      <c r="T249" s="40">
        <v>5</v>
      </c>
      <c r="U249" s="41">
        <v>5</v>
      </c>
      <c r="V249" s="40">
        <v>1</v>
      </c>
      <c r="W249" s="40">
        <v>1</v>
      </c>
      <c r="X249" s="40">
        <v>2</v>
      </c>
      <c r="Y249" s="41">
        <v>5</v>
      </c>
      <c r="Z249" s="40" t="s">
        <v>45</v>
      </c>
      <c r="AA249" s="40">
        <v>3</v>
      </c>
      <c r="AB249" s="40" t="s">
        <v>45</v>
      </c>
      <c r="AC249" s="40" t="s">
        <v>45</v>
      </c>
      <c r="AD249" s="40" t="s">
        <v>45</v>
      </c>
      <c r="AE249" s="40" t="s">
        <v>45</v>
      </c>
      <c r="AF249" s="40" t="s">
        <v>45</v>
      </c>
      <c r="AG249" s="41" t="s">
        <v>45</v>
      </c>
      <c r="AH249" s="40">
        <v>1</v>
      </c>
      <c r="AI249" s="40">
        <v>1</v>
      </c>
      <c r="AJ249" s="41">
        <v>1</v>
      </c>
      <c r="AK249" s="43" t="s">
        <v>45</v>
      </c>
      <c r="AL249" s="43" t="s">
        <v>47</v>
      </c>
      <c r="AM249" s="44">
        <f t="shared" si="22"/>
        <v>-1.2296975028704178</v>
      </c>
      <c r="AN249" s="44">
        <f t="shared" si="23"/>
        <v>-6.1286787342469937E-2</v>
      </c>
      <c r="AO249" s="45">
        <f t="shared" si="24"/>
        <v>0</v>
      </c>
      <c r="AP249" s="46">
        <f t="shared" si="25"/>
        <v>0</v>
      </c>
      <c r="AQ249" s="44">
        <f>($AM$3*AM249+$AN$3*AN249+$AO$3*AO249+$AP$3*AP249)+$I$3*VLOOKUP(I249,COND!$A$2:$E$7,4,FALSE)+$J$3*VLOOKUP(J249,COND!$A$2:$C$7,2,FALSE)+$K$3*VLOOKUP(K249,COND!$A$2:$C$7,3,FALSE)+IF(AND($B$2&gt;0,$E249&lt;20),$B$2*25,0)</f>
        <v>44.141588801603319</v>
      </c>
      <c r="AR249" s="47">
        <f t="shared" si="26"/>
        <v>2.1392662509449999E-3</v>
      </c>
      <c r="AS249" s="45" t="str">
        <f t="shared" si="27"/>
        <v>1B</v>
      </c>
      <c r="AT249" s="45">
        <f>RANK(Batters[[#This Row],[zScore]],Batters[[#All],[zScore]])</f>
        <v>245</v>
      </c>
      <c r="AU249" s="45"/>
      <c r="AV249" s="45"/>
      <c r="AW249" s="45" t="str">
        <f t="shared" si="28"/>
        <v>Unlikely</v>
      </c>
      <c r="AX249" s="45"/>
      <c r="AY249" s="45">
        <f>INDEX(Table5[[#All],[Ovr]],MATCH(Batters[[#This Row],[PID]],Table5[[#All],[PID]],0))</f>
        <v>266</v>
      </c>
      <c r="AZ249" s="45" t="str">
        <f>INDEX(Table5[[#All],[Rnd]],MATCH(Batters[[#This Row],[PID]],Table5[[#All],[PID]],0))</f>
        <v>9</v>
      </c>
      <c r="BA249" s="45">
        <f>INDEX(Table5[[#All],[Pick]],MATCH(Batters[[#This Row],[PID]],Table5[[#All],[PID]],0))</f>
        <v>18</v>
      </c>
      <c r="BB249" s="45" t="str">
        <f>INDEX(Table5[[#All],[Team]],MATCH(Batters[[#This Row],[PID]],Table5[[#All],[PID]],0))</f>
        <v>Bakersfield Bears</v>
      </c>
    </row>
    <row r="250" spans="1:54" ht="15" customHeight="1" x14ac:dyDescent="0.25">
      <c r="A250" s="40">
        <v>17579</v>
      </c>
      <c r="B250" s="40" t="s">
        <v>66</v>
      </c>
      <c r="C250" s="40" t="s">
        <v>138</v>
      </c>
      <c r="D250" s="40" t="s">
        <v>1652</v>
      </c>
      <c r="E250" s="40">
        <v>18</v>
      </c>
      <c r="F250" s="40" t="s">
        <v>53</v>
      </c>
      <c r="G250" s="40" t="s">
        <v>53</v>
      </c>
      <c r="H250" s="41" t="s">
        <v>639</v>
      </c>
      <c r="I250" s="65" t="s">
        <v>43</v>
      </c>
      <c r="J250" s="66" t="s">
        <v>43</v>
      </c>
      <c r="K250" s="67" t="s">
        <v>43</v>
      </c>
      <c r="L250" s="40">
        <v>1</v>
      </c>
      <c r="M250" s="40">
        <v>1</v>
      </c>
      <c r="N250" s="40">
        <v>2</v>
      </c>
      <c r="O250" s="40">
        <v>1</v>
      </c>
      <c r="P250" s="41">
        <v>1</v>
      </c>
      <c r="Q250" s="40">
        <v>4</v>
      </c>
      <c r="R250" s="40">
        <v>4</v>
      </c>
      <c r="S250" s="40">
        <v>2</v>
      </c>
      <c r="T250" s="40">
        <v>4</v>
      </c>
      <c r="U250" s="41">
        <v>4</v>
      </c>
      <c r="V250" s="40">
        <v>5</v>
      </c>
      <c r="W250" s="40">
        <v>7</v>
      </c>
      <c r="X250" s="40">
        <v>1</v>
      </c>
      <c r="Y250" s="41">
        <v>1</v>
      </c>
      <c r="Z250" s="40" t="s">
        <v>45</v>
      </c>
      <c r="AA250" s="40" t="s">
        <v>45</v>
      </c>
      <c r="AB250" s="40" t="s">
        <v>45</v>
      </c>
      <c r="AC250" s="40" t="s">
        <v>45</v>
      </c>
      <c r="AD250" s="40" t="s">
        <v>45</v>
      </c>
      <c r="AE250" s="40" t="s">
        <v>45</v>
      </c>
      <c r="AF250" s="40" t="s">
        <v>45</v>
      </c>
      <c r="AG250" s="41">
        <v>2</v>
      </c>
      <c r="AH250" s="40">
        <v>4</v>
      </c>
      <c r="AI250" s="40">
        <v>6</v>
      </c>
      <c r="AJ250" s="41">
        <v>7</v>
      </c>
      <c r="AK250" s="43" t="s">
        <v>656</v>
      </c>
      <c r="AL250" s="43"/>
      <c r="AM250" s="44">
        <f t="shared" si="22"/>
        <v>-2.0012818558036707</v>
      </c>
      <c r="AN250" s="44">
        <f t="shared" si="23"/>
        <v>-0.49125703885954242</v>
      </c>
      <c r="AO250" s="45">
        <f t="shared" si="24"/>
        <v>1</v>
      </c>
      <c r="AP250" s="46">
        <f t="shared" si="25"/>
        <v>0</v>
      </c>
      <c r="AQ250" s="44">
        <f>($AM$3*AM250+$AN$3*AN250+$AO$3*AO250+$AP$3*AP250)+$I$3*VLOOKUP(I250,COND!$A$2:$E$7,4,FALSE)+$J$3*VLOOKUP(J250,COND!$A$2:$C$7,2,FALSE)+$K$3*VLOOKUP(K250,COND!$A$2:$C$7,3,FALSE)+IF(AND($B$2&gt;0,$E250&lt;20),$B$2*25,0)</f>
        <v>44.071454014771788</v>
      </c>
      <c r="AR250" s="47">
        <f t="shared" si="26"/>
        <v>-1.3410090056767505E-2</v>
      </c>
      <c r="AS250" s="45" t="str">
        <f t="shared" si="27"/>
        <v>RF</v>
      </c>
      <c r="AT250" s="45">
        <f>RANK(Batters[[#This Row],[zScore]],Batters[[#All],[zScore]])</f>
        <v>246</v>
      </c>
      <c r="AU250" s="45"/>
      <c r="AV250" s="45"/>
      <c r="AW250" s="45" t="str">
        <f t="shared" si="28"/>
        <v>Unlikely</v>
      </c>
      <c r="AX250" s="45"/>
      <c r="AY250" s="64">
        <f>INDEX(Table5[[#All],[Ovr]],MATCH(Batters[[#This Row],[PID]],Table5[[#All],[PID]],0))</f>
        <v>514</v>
      </c>
      <c r="AZ250" s="64" t="str">
        <f>INDEX(Table5[[#All],[Rnd]],MATCH(Batters[[#This Row],[PID]],Table5[[#All],[PID]],0))</f>
        <v>17</v>
      </c>
      <c r="BA250" s="64">
        <f>INDEX(Table5[[#All],[Pick]],MATCH(Batters[[#This Row],[PID]],Table5[[#All],[PID]],0))</f>
        <v>26</v>
      </c>
      <c r="BB250" s="64" t="str">
        <f>INDEX(Table5[[#All],[Team]],MATCH(Batters[[#This Row],[PID]],Table5[[#All],[PID]],0))</f>
        <v>Aurora Borealis</v>
      </c>
    </row>
    <row r="251" spans="1:54" ht="15" customHeight="1" x14ac:dyDescent="0.25">
      <c r="A251" s="40">
        <v>979</v>
      </c>
      <c r="B251" s="40" t="s">
        <v>50</v>
      </c>
      <c r="C251" s="40" t="s">
        <v>1522</v>
      </c>
      <c r="D251" s="40" t="s">
        <v>1523</v>
      </c>
      <c r="E251" s="40">
        <v>18</v>
      </c>
      <c r="F251" s="40" t="s">
        <v>53</v>
      </c>
      <c r="G251" s="40" t="s">
        <v>53</v>
      </c>
      <c r="H251" s="41" t="s">
        <v>638</v>
      </c>
      <c r="I251" s="65" t="s">
        <v>43</v>
      </c>
      <c r="J251" s="66" t="s">
        <v>47</v>
      </c>
      <c r="K251" s="67" t="s">
        <v>43</v>
      </c>
      <c r="L251" s="40">
        <v>1</v>
      </c>
      <c r="M251" s="40">
        <v>2</v>
      </c>
      <c r="N251" s="40">
        <v>2</v>
      </c>
      <c r="O251" s="40">
        <v>1</v>
      </c>
      <c r="P251" s="41">
        <v>1</v>
      </c>
      <c r="Q251" s="40">
        <v>3</v>
      </c>
      <c r="R251" s="40">
        <v>5</v>
      </c>
      <c r="S251" s="40">
        <v>4</v>
      </c>
      <c r="T251" s="40">
        <v>5</v>
      </c>
      <c r="U251" s="41">
        <v>3</v>
      </c>
      <c r="V251" s="40">
        <v>5</v>
      </c>
      <c r="W251" s="40">
        <v>7</v>
      </c>
      <c r="X251" s="40">
        <v>1</v>
      </c>
      <c r="Y251" s="41">
        <v>1</v>
      </c>
      <c r="Z251" s="40" t="s">
        <v>45</v>
      </c>
      <c r="AA251" s="40">
        <v>1</v>
      </c>
      <c r="AB251" s="40" t="s">
        <v>45</v>
      </c>
      <c r="AC251" s="40" t="s">
        <v>45</v>
      </c>
      <c r="AD251" s="40" t="s">
        <v>45</v>
      </c>
      <c r="AE251" s="40">
        <v>4</v>
      </c>
      <c r="AF251" s="40">
        <v>1</v>
      </c>
      <c r="AG251" s="41" t="s">
        <v>45</v>
      </c>
      <c r="AH251" s="40">
        <v>8</v>
      </c>
      <c r="AI251" s="40">
        <v>8</v>
      </c>
      <c r="AJ251" s="41">
        <v>6</v>
      </c>
      <c r="AK251" s="43" t="s">
        <v>423</v>
      </c>
      <c r="AL251" s="43" t="s">
        <v>47</v>
      </c>
      <c r="AM251" s="44">
        <f t="shared" si="22"/>
        <v>-1.9502219761849671</v>
      </c>
      <c r="AN251" s="44">
        <f t="shared" si="23"/>
        <v>-0.54693679720321298</v>
      </c>
      <c r="AO251" s="45">
        <f t="shared" si="24"/>
        <v>3</v>
      </c>
      <c r="AP251" s="46">
        <f t="shared" si="25"/>
        <v>0</v>
      </c>
      <c r="AQ251" s="44">
        <f>($AM$3*AM251+$AN$3*AN251+$AO$3*AO251+$AP$3*AP251)+$I$3*VLOOKUP(I251,COND!$A$2:$E$7,4,FALSE)+$J$3*VLOOKUP(J251,COND!$A$2:$C$7,2,FALSE)+$K$3*VLOOKUP(K251,COND!$A$2:$C$7,3,FALSE)+IF(AND($B$2&gt;0,$E251&lt;20),$B$2*25,0)</f>
        <v>44.041736235942949</v>
      </c>
      <c r="AR251" s="47">
        <f t="shared" si="26"/>
        <v>-1.9998722496663558E-2</v>
      </c>
      <c r="AS251" s="45" t="str">
        <f t="shared" si="27"/>
        <v>LF</v>
      </c>
      <c r="AT251" s="45">
        <f>RANK(Batters[[#This Row],[zScore]],Batters[[#All],[zScore]])</f>
        <v>247</v>
      </c>
      <c r="AU251" s="45"/>
      <c r="AV251" s="45"/>
      <c r="AW251" s="45" t="str">
        <f t="shared" si="28"/>
        <v>Unlikely</v>
      </c>
      <c r="AX251" s="45"/>
      <c r="AY251" s="45">
        <f>INDEX(Table5[[#All],[Ovr]],MATCH(Batters[[#This Row],[PID]],Table5[[#All],[PID]],0))</f>
        <v>462</v>
      </c>
      <c r="AZ251" s="45" t="str">
        <f>INDEX(Table5[[#All],[Rnd]],MATCH(Batters[[#This Row],[PID]],Table5[[#All],[PID]],0))</f>
        <v>16</v>
      </c>
      <c r="BA251" s="45">
        <f>INDEX(Table5[[#All],[Pick]],MATCH(Batters[[#This Row],[PID]],Table5[[#All],[PID]],0))</f>
        <v>4</v>
      </c>
      <c r="BB251" s="45" t="str">
        <f>INDEX(Table5[[#All],[Team]],MATCH(Batters[[#This Row],[PID]],Table5[[#All],[PID]],0))</f>
        <v>Tempe Knights</v>
      </c>
    </row>
    <row r="252" spans="1:54" ht="15" customHeight="1" x14ac:dyDescent="0.25">
      <c r="A252" s="40">
        <v>20944</v>
      </c>
      <c r="B252" s="40" t="s">
        <v>66</v>
      </c>
      <c r="C252" s="40" t="s">
        <v>154</v>
      </c>
      <c r="D252" s="40" t="s">
        <v>590</v>
      </c>
      <c r="E252" s="40">
        <v>18</v>
      </c>
      <c r="F252" s="40" t="s">
        <v>42</v>
      </c>
      <c r="G252" s="40" t="s">
        <v>42</v>
      </c>
      <c r="H252" s="41" t="s">
        <v>638</v>
      </c>
      <c r="I252" s="65" t="s">
        <v>43</v>
      </c>
      <c r="J252" s="66" t="s">
        <v>43</v>
      </c>
      <c r="K252" s="67" t="s">
        <v>43</v>
      </c>
      <c r="L252" s="40">
        <v>1</v>
      </c>
      <c r="M252" s="40">
        <v>2</v>
      </c>
      <c r="N252" s="40">
        <v>2</v>
      </c>
      <c r="O252" s="40">
        <v>2</v>
      </c>
      <c r="P252" s="41">
        <v>1</v>
      </c>
      <c r="Q252" s="40">
        <v>3</v>
      </c>
      <c r="R252" s="40">
        <v>6</v>
      </c>
      <c r="S252" s="40">
        <v>4</v>
      </c>
      <c r="T252" s="40">
        <v>5</v>
      </c>
      <c r="U252" s="41">
        <v>3</v>
      </c>
      <c r="V252" s="40">
        <v>8</v>
      </c>
      <c r="W252" s="40">
        <v>9</v>
      </c>
      <c r="X252" s="40">
        <v>1</v>
      </c>
      <c r="Y252" s="41">
        <v>1</v>
      </c>
      <c r="Z252" s="40" t="s">
        <v>45</v>
      </c>
      <c r="AA252" s="40">
        <v>1</v>
      </c>
      <c r="AB252" s="40" t="s">
        <v>45</v>
      </c>
      <c r="AC252" s="40" t="s">
        <v>45</v>
      </c>
      <c r="AD252" s="40" t="s">
        <v>45</v>
      </c>
      <c r="AE252" s="40">
        <v>1</v>
      </c>
      <c r="AF252" s="40" t="s">
        <v>45</v>
      </c>
      <c r="AG252" s="41">
        <v>2</v>
      </c>
      <c r="AH252" s="40">
        <v>7</v>
      </c>
      <c r="AI252" s="40">
        <v>5</v>
      </c>
      <c r="AJ252" s="41">
        <v>7</v>
      </c>
      <c r="AK252" s="43" t="s">
        <v>644</v>
      </c>
      <c r="AL252" s="43" t="s">
        <v>635</v>
      </c>
      <c r="AM252" s="44">
        <f t="shared" si="22"/>
        <v>-1.8605124261753858</v>
      </c>
      <c r="AN252" s="44">
        <f t="shared" si="23"/>
        <v>-0.49587691758450947</v>
      </c>
      <c r="AO252" s="45">
        <f t="shared" si="24"/>
        <v>1</v>
      </c>
      <c r="AP252" s="46">
        <f t="shared" si="25"/>
        <v>0</v>
      </c>
      <c r="AQ252" s="44">
        <f>($AM$3*AM252+$AN$3*AN252+$AO$3*AO252+$AP$3*AP252)+$I$3*VLOOKUP(I252,COND!$A$2:$E$7,4,FALSE)+$J$3*VLOOKUP(J252,COND!$A$2:$C$7,2,FALSE)+$K$3*VLOOKUP(K252,COND!$A$2:$C$7,3,FALSE)+IF(AND($B$2&gt;0,$E252&lt;20),$B$2*25,0)</f>
        <v>44.030092413035014</v>
      </c>
      <c r="AR252" s="47">
        <f t="shared" si="26"/>
        <v>-2.2580236740291207E-2</v>
      </c>
      <c r="AS252" s="45" t="str">
        <f t="shared" si="27"/>
        <v>RF</v>
      </c>
      <c r="AT252" s="45">
        <f>RANK(Batters[[#This Row],[zScore]],Batters[[#All],[zScore]])</f>
        <v>248</v>
      </c>
      <c r="AU252" s="45"/>
      <c r="AV252" s="45"/>
      <c r="AW252" s="45" t="str">
        <f t="shared" si="28"/>
        <v>Unlikely</v>
      </c>
      <c r="AX252" s="45"/>
      <c r="AY252" s="45">
        <f>INDEX(Table5[[#All],[Ovr]],MATCH(Batters[[#This Row],[PID]],Table5[[#All],[PID]],0))</f>
        <v>594</v>
      </c>
      <c r="AZ252" s="45" t="str">
        <f>INDEX(Table5[[#All],[Rnd]],MATCH(Batters[[#This Row],[PID]],Table5[[#All],[PID]],0))</f>
        <v>20</v>
      </c>
      <c r="BA252" s="45">
        <f>INDEX(Table5[[#All],[Pick]],MATCH(Batters[[#This Row],[PID]],Table5[[#All],[PID]],0))</f>
        <v>16</v>
      </c>
      <c r="BB252" s="45" t="str">
        <f>INDEX(Table5[[#All],[Team]],MATCH(Batters[[#This Row],[PID]],Table5[[#All],[PID]],0))</f>
        <v>San Antonio Calzones of Laredo</v>
      </c>
    </row>
    <row r="253" spans="1:54" ht="15" customHeight="1" x14ac:dyDescent="0.25">
      <c r="A253" s="40">
        <v>17977</v>
      </c>
      <c r="B253" s="40" t="s">
        <v>87</v>
      </c>
      <c r="C253" s="40" t="s">
        <v>1331</v>
      </c>
      <c r="D253" s="40" t="s">
        <v>968</v>
      </c>
      <c r="E253" s="40">
        <v>21</v>
      </c>
      <c r="F253" s="40" t="s">
        <v>53</v>
      </c>
      <c r="G253" s="40" t="s">
        <v>53</v>
      </c>
      <c r="H253" s="41" t="s">
        <v>634</v>
      </c>
      <c r="I253" s="65" t="s">
        <v>43</v>
      </c>
      <c r="J253" s="66" t="s">
        <v>47</v>
      </c>
      <c r="K253" s="67" t="s">
        <v>43</v>
      </c>
      <c r="L253" s="40">
        <v>2</v>
      </c>
      <c r="M253" s="40">
        <v>4</v>
      </c>
      <c r="N253" s="40">
        <v>3</v>
      </c>
      <c r="O253" s="40">
        <v>3</v>
      </c>
      <c r="P253" s="41">
        <v>1</v>
      </c>
      <c r="Q253" s="40">
        <v>4</v>
      </c>
      <c r="R253" s="40">
        <v>6</v>
      </c>
      <c r="S253" s="40">
        <v>6</v>
      </c>
      <c r="T253" s="40">
        <v>4</v>
      </c>
      <c r="U253" s="41">
        <v>3</v>
      </c>
      <c r="V253" s="40">
        <v>1</v>
      </c>
      <c r="W253" s="40">
        <v>2</v>
      </c>
      <c r="X253" s="40">
        <v>1</v>
      </c>
      <c r="Y253" s="41">
        <v>1</v>
      </c>
      <c r="Z253" s="40" t="s">
        <v>45</v>
      </c>
      <c r="AA253" s="40">
        <v>6</v>
      </c>
      <c r="AB253" s="40" t="s">
        <v>45</v>
      </c>
      <c r="AC253" s="40" t="s">
        <v>45</v>
      </c>
      <c r="AD253" s="40" t="s">
        <v>45</v>
      </c>
      <c r="AE253" s="40" t="s">
        <v>45</v>
      </c>
      <c r="AF253" s="40" t="s">
        <v>45</v>
      </c>
      <c r="AG253" s="41" t="s">
        <v>45</v>
      </c>
      <c r="AH253" s="40">
        <v>2</v>
      </c>
      <c r="AI253" s="40">
        <v>1</v>
      </c>
      <c r="AJ253" s="41">
        <v>2</v>
      </c>
      <c r="AK253" s="43" t="s">
        <v>1176</v>
      </c>
      <c r="AL253" s="43" t="s">
        <v>47</v>
      </c>
      <c r="AM253" s="44">
        <f t="shared" si="22"/>
        <v>-1.2630657867018216</v>
      </c>
      <c r="AN253" s="44">
        <f t="shared" si="23"/>
        <v>-9.6907643343612834E-2</v>
      </c>
      <c r="AO253" s="45">
        <f t="shared" si="24"/>
        <v>0</v>
      </c>
      <c r="AP253" s="46">
        <f t="shared" si="25"/>
        <v>0</v>
      </c>
      <c r="AQ253" s="44">
        <f>($AM$3*AM253+$AN$3*AN253+$AO$3*AO253+$AP$3*AP253)+$I$3*VLOOKUP(I253,COND!$A$2:$E$7,4,FALSE)+$J$3*VLOOKUP(J253,COND!$A$2:$C$7,2,FALSE)+$K$3*VLOOKUP(K253,COND!$A$2:$C$7,3,FALSE)+IF(AND($B$2&gt;0,$E253&lt;20),$B$2*25,0)</f>
        <v>44.010801701206461</v>
      </c>
      <c r="AR253" s="47">
        <f t="shared" si="26"/>
        <v>-2.685711794579199E-2</v>
      </c>
      <c r="AS253" s="45" t="str">
        <f t="shared" si="27"/>
        <v>1B</v>
      </c>
      <c r="AT253" s="45">
        <f>RANK(Batters[[#This Row],[zScore]],Batters[[#All],[zScore]])</f>
        <v>249</v>
      </c>
      <c r="AU253" s="45"/>
      <c r="AV253" s="45"/>
      <c r="AW253" s="45" t="str">
        <f t="shared" si="28"/>
        <v>Unlikely</v>
      </c>
      <c r="AX253" s="45"/>
      <c r="AY253" s="45">
        <f>INDEX(Table5[[#All],[Ovr]],MATCH(Batters[[#This Row],[PID]],Table5[[#All],[PID]],0))</f>
        <v>245</v>
      </c>
      <c r="AZ253" s="45" t="str">
        <f>INDEX(Table5[[#All],[Rnd]],MATCH(Batters[[#This Row],[PID]],Table5[[#All],[PID]],0))</f>
        <v>8</v>
      </c>
      <c r="BA253" s="45">
        <f>INDEX(Table5[[#All],[Pick]],MATCH(Batters[[#This Row],[PID]],Table5[[#All],[PID]],0))</f>
        <v>27</v>
      </c>
      <c r="BB253" s="45" t="str">
        <f>INDEX(Table5[[#All],[Team]],MATCH(Batters[[#This Row],[PID]],Table5[[#All],[PID]],0))</f>
        <v>Neo-Tokyo Akira</v>
      </c>
    </row>
    <row r="254" spans="1:54" ht="15" customHeight="1" x14ac:dyDescent="0.25">
      <c r="A254" s="40">
        <v>20842</v>
      </c>
      <c r="B254" s="40" t="s">
        <v>69</v>
      </c>
      <c r="C254" s="40" t="s">
        <v>869</v>
      </c>
      <c r="D254" s="40" t="s">
        <v>1000</v>
      </c>
      <c r="E254" s="40">
        <v>17</v>
      </c>
      <c r="F254" s="40" t="s">
        <v>42</v>
      </c>
      <c r="G254" s="40" t="s">
        <v>42</v>
      </c>
      <c r="H254" s="41" t="s">
        <v>638</v>
      </c>
      <c r="I254" s="65" t="s">
        <v>43</v>
      </c>
      <c r="J254" s="66" t="s">
        <v>47</v>
      </c>
      <c r="K254" s="67" t="s">
        <v>43</v>
      </c>
      <c r="L254" s="40">
        <v>1</v>
      </c>
      <c r="M254" s="40">
        <v>1</v>
      </c>
      <c r="N254" s="40">
        <v>2</v>
      </c>
      <c r="O254" s="40">
        <v>2</v>
      </c>
      <c r="P254" s="41">
        <v>1</v>
      </c>
      <c r="Q254" s="40">
        <v>3</v>
      </c>
      <c r="R254" s="40">
        <v>4</v>
      </c>
      <c r="S254" s="40">
        <v>4</v>
      </c>
      <c r="T254" s="40">
        <v>6</v>
      </c>
      <c r="U254" s="41">
        <v>3</v>
      </c>
      <c r="V254" s="40">
        <v>8</v>
      </c>
      <c r="W254" s="40">
        <v>7</v>
      </c>
      <c r="X254" s="40">
        <v>1</v>
      </c>
      <c r="Y254" s="41">
        <v>1</v>
      </c>
      <c r="Z254" s="40" t="s">
        <v>45</v>
      </c>
      <c r="AA254" s="40" t="s">
        <v>45</v>
      </c>
      <c r="AB254" s="40" t="s">
        <v>45</v>
      </c>
      <c r="AC254" s="40">
        <v>2</v>
      </c>
      <c r="AD254" s="40" t="s">
        <v>45</v>
      </c>
      <c r="AE254" s="40" t="s">
        <v>45</v>
      </c>
      <c r="AF254" s="40" t="s">
        <v>45</v>
      </c>
      <c r="AG254" s="41" t="s">
        <v>45</v>
      </c>
      <c r="AH254" s="40">
        <v>4</v>
      </c>
      <c r="AI254" s="40">
        <v>4</v>
      </c>
      <c r="AJ254" s="41">
        <v>5</v>
      </c>
      <c r="AK254" s="43" t="s">
        <v>644</v>
      </c>
      <c r="AL254" s="43" t="s">
        <v>635</v>
      </c>
      <c r="AM254" s="44">
        <f t="shared" si="22"/>
        <v>-1.9115723057940897</v>
      </c>
      <c r="AN254" s="44">
        <f t="shared" si="23"/>
        <v>-0.50828712681233545</v>
      </c>
      <c r="AO254" s="45">
        <f t="shared" si="24"/>
        <v>0</v>
      </c>
      <c r="AP254" s="46">
        <f t="shared" si="25"/>
        <v>0</v>
      </c>
      <c r="AQ254" s="44">
        <f>($AM$3*AM254+$AN$3*AN254+$AO$3*AO254+$AP$3*AP254)+$I$3*VLOOKUP(I254,COND!$A$2:$E$7,4,FALSE)+$J$3*VLOOKUP(J254,COND!$A$2:$C$7,2,FALSE)+$K$3*VLOOKUP(K254,COND!$A$2:$C$7,3,FALSE)+IF(AND($B$2&gt;0,$E254&lt;20),$B$2*25,0)</f>
        <v>44.009397247672567</v>
      </c>
      <c r="AR254" s="47">
        <f t="shared" si="26"/>
        <v>-2.7168494787481127E-2</v>
      </c>
      <c r="AS254" s="45" t="str">
        <f t="shared" si="27"/>
        <v>3B</v>
      </c>
      <c r="AT254" s="45">
        <f>RANK(Batters[[#This Row],[zScore]],Batters[[#All],[zScore]])</f>
        <v>250</v>
      </c>
      <c r="AU254" s="45"/>
      <c r="AV254" s="45"/>
      <c r="AW254" s="45" t="str">
        <f t="shared" si="28"/>
        <v>Unlikely</v>
      </c>
      <c r="AX254" s="45"/>
      <c r="AY254" s="45" t="str">
        <f>INDEX(Table5[[#All],[Ovr]],MATCH(Batters[[#This Row],[PID]],Table5[[#All],[PID]],0))</f>
        <v/>
      </c>
      <c r="AZ254" s="45" t="str">
        <f>INDEX(Table5[[#All],[Rnd]],MATCH(Batters[[#This Row],[PID]],Table5[[#All],[PID]],0))</f>
        <v/>
      </c>
      <c r="BA254" s="45" t="str">
        <f>INDEX(Table5[[#All],[Pick]],MATCH(Batters[[#This Row],[PID]],Table5[[#All],[PID]],0))</f>
        <v/>
      </c>
      <c r="BB254" s="45" t="str">
        <f>INDEX(Table5[[#All],[Team]],MATCH(Batters[[#This Row],[PID]],Table5[[#All],[PID]],0))</f>
        <v/>
      </c>
    </row>
    <row r="255" spans="1:54" ht="15" customHeight="1" x14ac:dyDescent="0.25">
      <c r="A255" s="40">
        <v>20202</v>
      </c>
      <c r="B255" s="40" t="s">
        <v>74</v>
      </c>
      <c r="C255" s="40" t="s">
        <v>1277</v>
      </c>
      <c r="D255" s="40" t="s">
        <v>1278</v>
      </c>
      <c r="E255" s="40">
        <v>22</v>
      </c>
      <c r="F255" s="40" t="s">
        <v>62</v>
      </c>
      <c r="G255" s="40" t="s">
        <v>53</v>
      </c>
      <c r="H255" s="41" t="s">
        <v>634</v>
      </c>
      <c r="I255" s="65" t="s">
        <v>43</v>
      </c>
      <c r="J255" s="66" t="s">
        <v>43</v>
      </c>
      <c r="K255" s="67" t="s">
        <v>43</v>
      </c>
      <c r="L255" s="40">
        <v>2</v>
      </c>
      <c r="M255" s="40">
        <v>4</v>
      </c>
      <c r="N255" s="40">
        <v>3</v>
      </c>
      <c r="O255" s="40">
        <v>4</v>
      </c>
      <c r="P255" s="41">
        <v>6</v>
      </c>
      <c r="Q255" s="40">
        <v>4</v>
      </c>
      <c r="R255" s="40">
        <v>4</v>
      </c>
      <c r="S255" s="40">
        <v>3</v>
      </c>
      <c r="T255" s="40">
        <v>5</v>
      </c>
      <c r="U255" s="41">
        <v>6</v>
      </c>
      <c r="V255" s="40">
        <v>5</v>
      </c>
      <c r="W255" s="40">
        <v>6</v>
      </c>
      <c r="X255" s="40">
        <v>1</v>
      </c>
      <c r="Y255" s="41">
        <v>1</v>
      </c>
      <c r="Z255" s="40" t="s">
        <v>45</v>
      </c>
      <c r="AA255" s="40" t="s">
        <v>45</v>
      </c>
      <c r="AB255" s="40" t="s">
        <v>45</v>
      </c>
      <c r="AC255" s="40" t="s">
        <v>45</v>
      </c>
      <c r="AD255" s="40" t="s">
        <v>45</v>
      </c>
      <c r="AE255" s="40">
        <v>2</v>
      </c>
      <c r="AF255" s="40">
        <v>8</v>
      </c>
      <c r="AG255" s="41">
        <v>6</v>
      </c>
      <c r="AH255" s="40">
        <v>8</v>
      </c>
      <c r="AI255" s="40">
        <v>5</v>
      </c>
      <c r="AJ255" s="41">
        <v>5</v>
      </c>
      <c r="AK255" s="43" t="s">
        <v>45</v>
      </c>
      <c r="AL255" s="43" t="s">
        <v>47</v>
      </c>
      <c r="AM255" s="44">
        <f t="shared" si="22"/>
        <v>-0.97327453760682336</v>
      </c>
      <c r="AN255" s="44">
        <f t="shared" si="23"/>
        <v>-0.23845331519189295</v>
      </c>
      <c r="AO255" s="45">
        <f t="shared" si="24"/>
        <v>1</v>
      </c>
      <c r="AP255" s="46">
        <f t="shared" si="25"/>
        <v>1.75</v>
      </c>
      <c r="AQ255" s="44">
        <f>($AM$3*AM255+$AN$3*AN255+$AO$3*AO255+$AP$3*AP255)+$I$3*VLOOKUP(I255,COND!$A$2:$E$7,4,FALSE)+$J$3*VLOOKUP(J255,COND!$A$2:$C$7,2,FALSE)+$K$3*VLOOKUP(K255,COND!$A$2:$C$7,3,FALSE)+IF(AND($B$2&gt;0,$E255&lt;20),$B$2*25,0)</f>
        <v>43.95789943060327</v>
      </c>
      <c r="AR255" s="47">
        <f t="shared" si="26"/>
        <v>-3.8585908924682104E-2</v>
      </c>
      <c r="AS255" s="45" t="str">
        <f t="shared" si="27"/>
        <v>CF</v>
      </c>
      <c r="AT255" s="45">
        <f>RANK(Batters[[#This Row],[zScore]],Batters[[#All],[zScore]])</f>
        <v>251</v>
      </c>
      <c r="AU255" s="45"/>
      <c r="AV255" s="45"/>
      <c r="AW255" s="45" t="str">
        <f t="shared" si="28"/>
        <v>Unlikely</v>
      </c>
      <c r="AX255" s="45"/>
      <c r="AY255" s="45">
        <f>INDEX(Table5[[#All],[Ovr]],MATCH(Batters[[#This Row],[PID]],Table5[[#All],[PID]],0))</f>
        <v>182</v>
      </c>
      <c r="AZ255" s="45" t="str">
        <f>INDEX(Table5[[#All],[Rnd]],MATCH(Batters[[#This Row],[PID]],Table5[[#All],[PID]],0))</f>
        <v>6</v>
      </c>
      <c r="BA255" s="45">
        <f>INDEX(Table5[[#All],[Pick]],MATCH(Batters[[#This Row],[PID]],Table5[[#All],[PID]],0))</f>
        <v>24</v>
      </c>
      <c r="BB255" s="45" t="str">
        <f>INDEX(Table5[[#All],[Team]],MATCH(Batters[[#This Row],[PID]],Table5[[#All],[PID]],0))</f>
        <v>Aurora Borealis</v>
      </c>
    </row>
    <row r="256" spans="1:54" ht="15" customHeight="1" x14ac:dyDescent="0.25">
      <c r="A256" s="40">
        <v>18378</v>
      </c>
      <c r="B256" s="40" t="s">
        <v>69</v>
      </c>
      <c r="C256" s="40" t="s">
        <v>129</v>
      </c>
      <c r="D256" s="40" t="s">
        <v>1442</v>
      </c>
      <c r="E256" s="40">
        <v>18</v>
      </c>
      <c r="F256" s="40" t="s">
        <v>42</v>
      </c>
      <c r="G256" s="40" t="s">
        <v>42</v>
      </c>
      <c r="H256" s="41" t="s">
        <v>638</v>
      </c>
      <c r="I256" s="65" t="s">
        <v>43</v>
      </c>
      <c r="J256" s="66" t="s">
        <v>44</v>
      </c>
      <c r="K256" s="67" t="s">
        <v>43</v>
      </c>
      <c r="L256" s="40">
        <v>1</v>
      </c>
      <c r="M256" s="40">
        <v>2</v>
      </c>
      <c r="N256" s="40">
        <v>3</v>
      </c>
      <c r="O256" s="40">
        <v>2</v>
      </c>
      <c r="P256" s="41">
        <v>1</v>
      </c>
      <c r="Q256" s="40">
        <v>3</v>
      </c>
      <c r="R256" s="40">
        <v>5</v>
      </c>
      <c r="S256" s="40">
        <v>5</v>
      </c>
      <c r="T256" s="40">
        <v>5</v>
      </c>
      <c r="U256" s="41">
        <v>3</v>
      </c>
      <c r="V256" s="40">
        <v>7</v>
      </c>
      <c r="W256" s="40">
        <v>6</v>
      </c>
      <c r="X256" s="40">
        <v>1</v>
      </c>
      <c r="Y256" s="41">
        <v>1</v>
      </c>
      <c r="Z256" s="40" t="s">
        <v>45</v>
      </c>
      <c r="AA256" s="40" t="s">
        <v>45</v>
      </c>
      <c r="AB256" s="40" t="s">
        <v>45</v>
      </c>
      <c r="AC256" s="40">
        <v>2</v>
      </c>
      <c r="AD256" s="40" t="s">
        <v>45</v>
      </c>
      <c r="AE256" s="40" t="s">
        <v>45</v>
      </c>
      <c r="AF256" s="40" t="s">
        <v>45</v>
      </c>
      <c r="AG256" s="41" t="s">
        <v>45</v>
      </c>
      <c r="AH256" s="40">
        <v>2</v>
      </c>
      <c r="AI256" s="40">
        <v>7</v>
      </c>
      <c r="AJ256" s="41">
        <v>6</v>
      </c>
      <c r="AK256" s="43" t="s">
        <v>412</v>
      </c>
      <c r="AL256" s="43" t="s">
        <v>635</v>
      </c>
      <c r="AM256" s="44">
        <f t="shared" si="22"/>
        <v>-1.7774509321514844</v>
      </c>
      <c r="AN256" s="44">
        <f t="shared" si="23"/>
        <v>-0.46387530317931153</v>
      </c>
      <c r="AO256" s="45">
        <f t="shared" si="24"/>
        <v>0</v>
      </c>
      <c r="AP256" s="46">
        <f t="shared" si="25"/>
        <v>0</v>
      </c>
      <c r="AQ256" s="44">
        <f>($AM$3*AM256+$AN$3*AN256+$AO$3*AO256+$AP$3*AP256)+$I$3*VLOOKUP(I256,COND!$A$2:$E$7,4,FALSE)+$J$3*VLOOKUP(J256,COND!$A$2:$C$7,2,FALSE)+$K$3*VLOOKUP(K256,COND!$A$2:$C$7,3,FALSE)+IF(AND($B$2&gt;0,$E256&lt;20),$B$2*25,0)</f>
        <v>43.955751268633108</v>
      </c>
      <c r="AR256" s="47">
        <f t="shared" si="26"/>
        <v>-3.9062170953694297E-2</v>
      </c>
      <c r="AS256" s="45" t="str">
        <f t="shared" si="27"/>
        <v>3B</v>
      </c>
      <c r="AT256" s="45">
        <f>RANK(Batters[[#This Row],[zScore]],Batters[[#All],[zScore]])</f>
        <v>252</v>
      </c>
      <c r="AU256" s="45"/>
      <c r="AV256" s="45"/>
      <c r="AW256" s="45" t="str">
        <f t="shared" si="28"/>
        <v>Unlikely</v>
      </c>
      <c r="AX256" s="45"/>
      <c r="AY256" s="45">
        <f>INDEX(Table5[[#All],[Ovr]],MATCH(Batters[[#This Row],[PID]],Table5[[#All],[PID]],0))</f>
        <v>608</v>
      </c>
      <c r="AZ256" s="45" t="str">
        <f>INDEX(Table5[[#All],[Rnd]],MATCH(Batters[[#This Row],[PID]],Table5[[#All],[PID]],0))</f>
        <v>20</v>
      </c>
      <c r="BA256" s="45">
        <f>INDEX(Table5[[#All],[Pick]],MATCH(Batters[[#This Row],[PID]],Table5[[#All],[PID]],0))</f>
        <v>30</v>
      </c>
      <c r="BB256" s="45" t="str">
        <f>INDEX(Table5[[#All],[Team]],MATCH(Batters[[#This Row],[PID]],Table5[[#All],[PID]],0))</f>
        <v>Florida Farstriders</v>
      </c>
    </row>
    <row r="257" spans="1:54" ht="15" customHeight="1" x14ac:dyDescent="0.25">
      <c r="A257" s="40">
        <v>1219</v>
      </c>
      <c r="B257" s="40" t="s">
        <v>66</v>
      </c>
      <c r="C257" s="40" t="s">
        <v>816</v>
      </c>
      <c r="D257" s="40" t="s">
        <v>1569</v>
      </c>
      <c r="E257" s="40">
        <v>18</v>
      </c>
      <c r="F257" s="40" t="s">
        <v>53</v>
      </c>
      <c r="G257" s="40" t="s">
        <v>53</v>
      </c>
      <c r="H257" s="41" t="s">
        <v>638</v>
      </c>
      <c r="I257" s="65" t="s">
        <v>43</v>
      </c>
      <c r="J257" s="66" t="s">
        <v>44</v>
      </c>
      <c r="K257" s="67" t="s">
        <v>43</v>
      </c>
      <c r="L257" s="40">
        <v>1</v>
      </c>
      <c r="M257" s="40">
        <v>2</v>
      </c>
      <c r="N257" s="40">
        <v>2</v>
      </c>
      <c r="O257" s="40">
        <v>1</v>
      </c>
      <c r="P257" s="41">
        <v>1</v>
      </c>
      <c r="Q257" s="40">
        <v>3</v>
      </c>
      <c r="R257" s="40">
        <v>5</v>
      </c>
      <c r="S257" s="40">
        <v>5</v>
      </c>
      <c r="T257" s="40">
        <v>5</v>
      </c>
      <c r="U257" s="41">
        <v>3</v>
      </c>
      <c r="V257" s="40">
        <v>8</v>
      </c>
      <c r="W257" s="40">
        <v>9</v>
      </c>
      <c r="X257" s="40">
        <v>1</v>
      </c>
      <c r="Y257" s="41">
        <v>1</v>
      </c>
      <c r="Z257" s="40" t="s">
        <v>45</v>
      </c>
      <c r="AA257" s="40" t="s">
        <v>45</v>
      </c>
      <c r="AB257" s="40" t="s">
        <v>45</v>
      </c>
      <c r="AC257" s="40" t="s">
        <v>45</v>
      </c>
      <c r="AD257" s="40" t="s">
        <v>45</v>
      </c>
      <c r="AE257" s="40" t="s">
        <v>45</v>
      </c>
      <c r="AF257" s="40" t="s">
        <v>45</v>
      </c>
      <c r="AG257" s="41">
        <v>2</v>
      </c>
      <c r="AH257" s="40">
        <v>2</v>
      </c>
      <c r="AI257" s="40">
        <v>3</v>
      </c>
      <c r="AJ257" s="41">
        <v>3</v>
      </c>
      <c r="AK257" s="43" t="s">
        <v>670</v>
      </c>
      <c r="AL257" s="43" t="s">
        <v>47</v>
      </c>
      <c r="AM257" s="44">
        <f t="shared" si="22"/>
        <v>-1.9502219761849671</v>
      </c>
      <c r="AN257" s="44">
        <f t="shared" si="23"/>
        <v>-0.46387530317931153</v>
      </c>
      <c r="AO257" s="45">
        <f t="shared" si="24"/>
        <v>0</v>
      </c>
      <c r="AP257" s="46">
        <f t="shared" si="25"/>
        <v>0</v>
      </c>
      <c r="AQ257" s="44">
        <f>($AM$3*AM257+$AN$3*AN257+$AO$3*AO257+$AP$3*AP257)+$I$3*VLOOKUP(I257,COND!$A$2:$E$7,4,FALSE)+$J$3*VLOOKUP(J257,COND!$A$2:$C$7,2,FALSE)+$K$3*VLOOKUP(K257,COND!$A$2:$C$7,3,FALSE)+IF(AND($B$2&gt;0,$E257&lt;20),$B$2*25,0)</f>
        <v>43.93847416422976</v>
      </c>
      <c r="AR257" s="47">
        <f t="shared" si="26"/>
        <v>-4.2892621782304102E-2</v>
      </c>
      <c r="AS257" s="45" t="str">
        <f t="shared" si="27"/>
        <v>RF</v>
      </c>
      <c r="AT257" s="45">
        <f>RANK(Batters[[#This Row],[zScore]],Batters[[#All],[zScore]])</f>
        <v>253</v>
      </c>
      <c r="AU257" s="45"/>
      <c r="AV257" s="45"/>
      <c r="AW257" s="45" t="str">
        <f t="shared" si="28"/>
        <v>Unlikely</v>
      </c>
      <c r="AX257" s="45"/>
      <c r="AY257" s="45">
        <f>INDEX(Table5[[#All],[Ovr]],MATCH(Batters[[#This Row],[PID]],Table5[[#All],[PID]],0))</f>
        <v>436</v>
      </c>
      <c r="AZ257" s="45" t="str">
        <f>INDEX(Table5[[#All],[Rnd]],MATCH(Batters[[#This Row],[PID]],Table5[[#All],[PID]],0))</f>
        <v>15</v>
      </c>
      <c r="BA257" s="45">
        <f>INDEX(Table5[[#All],[Pick]],MATCH(Batters[[#This Row],[PID]],Table5[[#All],[PID]],0))</f>
        <v>8</v>
      </c>
      <c r="BB257" s="45" t="str">
        <f>INDEX(Table5[[#All],[Team]],MATCH(Batters[[#This Row],[PID]],Table5[[#All],[PID]],0))</f>
        <v>London Underground</v>
      </c>
    </row>
    <row r="258" spans="1:54" ht="15" customHeight="1" x14ac:dyDescent="0.25">
      <c r="A258" s="40">
        <v>20364</v>
      </c>
      <c r="B258" s="40" t="s">
        <v>86</v>
      </c>
      <c r="C258" s="40" t="s">
        <v>337</v>
      </c>
      <c r="D258" s="40" t="s">
        <v>195</v>
      </c>
      <c r="E258" s="40">
        <v>17</v>
      </c>
      <c r="F258" s="40" t="s">
        <v>42</v>
      </c>
      <c r="G258" s="40" t="s">
        <v>42</v>
      </c>
      <c r="H258" s="41" t="s">
        <v>638</v>
      </c>
      <c r="I258" s="65" t="s">
        <v>43</v>
      </c>
      <c r="J258" s="66" t="s">
        <v>47</v>
      </c>
      <c r="K258" s="67" t="s">
        <v>43</v>
      </c>
      <c r="L258" s="40">
        <v>1</v>
      </c>
      <c r="M258" s="40">
        <v>3</v>
      </c>
      <c r="N258" s="40">
        <v>4</v>
      </c>
      <c r="O258" s="40">
        <v>3</v>
      </c>
      <c r="P258" s="41">
        <v>1</v>
      </c>
      <c r="Q258" s="40">
        <v>2</v>
      </c>
      <c r="R258" s="40">
        <v>6</v>
      </c>
      <c r="S258" s="40">
        <v>7</v>
      </c>
      <c r="T258" s="40">
        <v>6</v>
      </c>
      <c r="U258" s="41">
        <v>2</v>
      </c>
      <c r="V258" s="40">
        <v>2</v>
      </c>
      <c r="W258" s="40">
        <v>2</v>
      </c>
      <c r="X258" s="40">
        <v>2</v>
      </c>
      <c r="Y258" s="41">
        <v>6</v>
      </c>
      <c r="Z258" s="40" t="s">
        <v>45</v>
      </c>
      <c r="AA258" s="40" t="s">
        <v>45</v>
      </c>
      <c r="AB258" s="40" t="s">
        <v>45</v>
      </c>
      <c r="AC258" s="40" t="s">
        <v>45</v>
      </c>
      <c r="AD258" s="40" t="s">
        <v>45</v>
      </c>
      <c r="AE258" s="40" t="s">
        <v>45</v>
      </c>
      <c r="AF258" s="40" t="s">
        <v>45</v>
      </c>
      <c r="AG258" s="41" t="s">
        <v>45</v>
      </c>
      <c r="AH258" s="40">
        <v>1</v>
      </c>
      <c r="AI258" s="40">
        <v>2</v>
      </c>
      <c r="AJ258" s="41">
        <v>3</v>
      </c>
      <c r="AK258" s="43" t="s">
        <v>670</v>
      </c>
      <c r="AL258" s="43" t="s">
        <v>635</v>
      </c>
      <c r="AM258" s="44">
        <f t="shared" si="22"/>
        <v>-1.5536200084992982</v>
      </c>
      <c r="AN258" s="44">
        <f t="shared" si="23"/>
        <v>-0.51955506152298236</v>
      </c>
      <c r="AO258" s="45">
        <f t="shared" si="24"/>
        <v>0</v>
      </c>
      <c r="AP258" s="46">
        <f t="shared" si="25"/>
        <v>0</v>
      </c>
      <c r="AQ258" s="44">
        <f>($AM$3*AM258+$AN$3*AN258+$AO$3*AO258+$AP$3*AP258)+$I$3*VLOOKUP(I258,COND!$A$2:$E$7,4,FALSE)+$J$3*VLOOKUP(J258,COND!$A$2:$C$7,2,FALSE)+$K$3*VLOOKUP(K258,COND!$A$2:$C$7,3,FALSE)+IF(AND($B$2&gt;0,$E258&lt;20),$B$2*25,0)</f>
        <v>43.909977260874285</v>
      </c>
      <c r="AR258" s="47">
        <f t="shared" si="26"/>
        <v>-4.9210577877402829E-2</v>
      </c>
      <c r="AS258" s="45" t="str">
        <f t="shared" si="27"/>
        <v>DH</v>
      </c>
      <c r="AT258" s="45">
        <f>RANK(Batters[[#This Row],[zScore]],Batters[[#All],[zScore]])</f>
        <v>254</v>
      </c>
      <c r="AU258" s="45"/>
      <c r="AV258" s="45"/>
      <c r="AW258" s="45" t="str">
        <f t="shared" si="28"/>
        <v>Unlikely</v>
      </c>
      <c r="AX258" s="45"/>
      <c r="AY258" s="45">
        <f>INDEX(Table5[[#All],[Ovr]],MATCH(Batters[[#This Row],[PID]],Table5[[#All],[PID]],0))</f>
        <v>519</v>
      </c>
      <c r="AZ258" s="45" t="str">
        <f>INDEX(Table5[[#All],[Rnd]],MATCH(Batters[[#This Row],[PID]],Table5[[#All],[PID]],0))</f>
        <v>18</v>
      </c>
      <c r="BA258" s="45">
        <f>INDEX(Table5[[#All],[Pick]],MATCH(Batters[[#This Row],[PID]],Table5[[#All],[PID]],0))</f>
        <v>1</v>
      </c>
      <c r="BB258" s="45" t="str">
        <f>INDEX(Table5[[#All],[Team]],MATCH(Batters[[#This Row],[PID]],Table5[[#All],[PID]],0))</f>
        <v>Yuma Arroyos</v>
      </c>
    </row>
    <row r="259" spans="1:54" ht="15" customHeight="1" x14ac:dyDescent="0.25">
      <c r="A259" s="40">
        <v>21105</v>
      </c>
      <c r="B259" s="40" t="s">
        <v>71</v>
      </c>
      <c r="C259" s="40" t="s">
        <v>1386</v>
      </c>
      <c r="D259" s="40" t="s">
        <v>1387</v>
      </c>
      <c r="E259" s="40">
        <v>18</v>
      </c>
      <c r="F259" s="40" t="s">
        <v>62</v>
      </c>
      <c r="G259" s="40" t="s">
        <v>42</v>
      </c>
      <c r="H259" s="41" t="s">
        <v>638</v>
      </c>
      <c r="I259" s="65" t="s">
        <v>43</v>
      </c>
      <c r="J259" s="66" t="s">
        <v>47</v>
      </c>
      <c r="K259" s="67" t="s">
        <v>43</v>
      </c>
      <c r="L259" s="40">
        <v>1</v>
      </c>
      <c r="M259" s="40">
        <v>3</v>
      </c>
      <c r="N259" s="40">
        <v>3</v>
      </c>
      <c r="O259" s="40">
        <v>3</v>
      </c>
      <c r="P259" s="41">
        <v>1</v>
      </c>
      <c r="Q259" s="40">
        <v>3</v>
      </c>
      <c r="R259" s="40">
        <v>5</v>
      </c>
      <c r="S259" s="40">
        <v>4</v>
      </c>
      <c r="T259" s="40">
        <v>5</v>
      </c>
      <c r="U259" s="41">
        <v>3</v>
      </c>
      <c r="V259" s="40">
        <v>5</v>
      </c>
      <c r="W259" s="40">
        <v>4</v>
      </c>
      <c r="X259" s="40">
        <v>1</v>
      </c>
      <c r="Y259" s="41">
        <v>1</v>
      </c>
      <c r="Z259" s="40" t="s">
        <v>45</v>
      </c>
      <c r="AA259" s="40" t="s">
        <v>45</v>
      </c>
      <c r="AB259" s="40">
        <v>2</v>
      </c>
      <c r="AC259" s="40">
        <v>1</v>
      </c>
      <c r="AD259" s="40">
        <v>1</v>
      </c>
      <c r="AE259" s="40" t="s">
        <v>45</v>
      </c>
      <c r="AF259" s="40" t="s">
        <v>45</v>
      </c>
      <c r="AG259" s="41" t="s">
        <v>45</v>
      </c>
      <c r="AH259" s="40">
        <v>8</v>
      </c>
      <c r="AI259" s="40">
        <v>6</v>
      </c>
      <c r="AJ259" s="41">
        <v>7</v>
      </c>
      <c r="AK259" s="43" t="s">
        <v>654</v>
      </c>
      <c r="AL259" s="43" t="s">
        <v>635</v>
      </c>
      <c r="AM259" s="44">
        <f t="shared" si="22"/>
        <v>-1.6366815025231998</v>
      </c>
      <c r="AN259" s="44">
        <f t="shared" si="23"/>
        <v>-0.54693679720321298</v>
      </c>
      <c r="AO259" s="45">
        <f t="shared" si="24"/>
        <v>2</v>
      </c>
      <c r="AP259" s="46">
        <f t="shared" si="25"/>
        <v>0</v>
      </c>
      <c r="AQ259" s="44">
        <f>($AM$3*AM259+$AN$3*AN259+$AO$3*AO259+$AP$3*AP259)+$I$3*VLOOKUP(I259,COND!$A$2:$E$7,4,FALSE)+$J$3*VLOOKUP(J259,COND!$A$2:$C$7,2,FALSE)+$K$3*VLOOKUP(K259,COND!$A$2:$C$7,3,FALSE)+IF(AND($B$2&gt;0,$E259&lt;20),$B$2*25,0)</f>
        <v>43.906423616642456</v>
      </c>
      <c r="AR259" s="47">
        <f t="shared" si="26"/>
        <v>-4.9998444824005034E-2</v>
      </c>
      <c r="AS259" s="45" t="str">
        <f t="shared" si="27"/>
        <v>2B</v>
      </c>
      <c r="AT259" s="45">
        <f>RANK(Batters[[#This Row],[zScore]],Batters[[#All],[zScore]])</f>
        <v>255</v>
      </c>
      <c r="AU259" s="45"/>
      <c r="AV259" s="45"/>
      <c r="AW259" s="45" t="str">
        <f t="shared" si="28"/>
        <v>Unlikely</v>
      </c>
      <c r="AX259" s="45"/>
      <c r="AY259" s="45" t="str">
        <f>INDEX(Table5[[#All],[Ovr]],MATCH(Batters[[#This Row],[PID]],Table5[[#All],[PID]],0))</f>
        <v/>
      </c>
      <c r="AZ259" s="45" t="str">
        <f>INDEX(Table5[[#All],[Rnd]],MATCH(Batters[[#This Row],[PID]],Table5[[#All],[PID]],0))</f>
        <v/>
      </c>
      <c r="BA259" s="45" t="str">
        <f>INDEX(Table5[[#All],[Pick]],MATCH(Batters[[#This Row],[PID]],Table5[[#All],[PID]],0))</f>
        <v/>
      </c>
      <c r="BB259" s="45" t="str">
        <f>INDEX(Table5[[#All],[Team]],MATCH(Batters[[#This Row],[PID]],Table5[[#All],[PID]],0))</f>
        <v/>
      </c>
    </row>
    <row r="260" spans="1:54" ht="15" customHeight="1" x14ac:dyDescent="0.25">
      <c r="A260" s="40">
        <v>18201</v>
      </c>
      <c r="B260" s="40" t="s">
        <v>66</v>
      </c>
      <c r="C260" s="40" t="s">
        <v>129</v>
      </c>
      <c r="D260" s="40" t="s">
        <v>699</v>
      </c>
      <c r="E260" s="40">
        <v>18</v>
      </c>
      <c r="F260" s="40" t="s">
        <v>42</v>
      </c>
      <c r="G260" s="40" t="s">
        <v>42</v>
      </c>
      <c r="H260" s="41" t="s">
        <v>638</v>
      </c>
      <c r="I260" s="65" t="s">
        <v>47</v>
      </c>
      <c r="J260" s="66" t="s">
        <v>47</v>
      </c>
      <c r="K260" s="67" t="s">
        <v>44</v>
      </c>
      <c r="L260" s="40">
        <v>1</v>
      </c>
      <c r="M260" s="40">
        <v>2</v>
      </c>
      <c r="N260" s="40">
        <v>2</v>
      </c>
      <c r="O260" s="40">
        <v>2</v>
      </c>
      <c r="P260" s="41">
        <v>1</v>
      </c>
      <c r="Q260" s="40">
        <v>3</v>
      </c>
      <c r="R260" s="40">
        <v>4</v>
      </c>
      <c r="S260" s="40">
        <v>5</v>
      </c>
      <c r="T260" s="40">
        <v>5</v>
      </c>
      <c r="U260" s="41">
        <v>3</v>
      </c>
      <c r="V260" s="40">
        <v>9</v>
      </c>
      <c r="W260" s="40">
        <v>9</v>
      </c>
      <c r="X260" s="40">
        <v>1</v>
      </c>
      <c r="Y260" s="41">
        <v>1</v>
      </c>
      <c r="Z260" s="40" t="s">
        <v>45</v>
      </c>
      <c r="AA260" s="40" t="s">
        <v>45</v>
      </c>
      <c r="AB260" s="40" t="s">
        <v>45</v>
      </c>
      <c r="AC260" s="40" t="s">
        <v>45</v>
      </c>
      <c r="AD260" s="40" t="s">
        <v>45</v>
      </c>
      <c r="AE260" s="40" t="s">
        <v>45</v>
      </c>
      <c r="AF260" s="40" t="s">
        <v>45</v>
      </c>
      <c r="AG260" s="41">
        <v>3</v>
      </c>
      <c r="AH260" s="40">
        <v>4</v>
      </c>
      <c r="AI260" s="40">
        <v>7</v>
      </c>
      <c r="AJ260" s="41">
        <v>5</v>
      </c>
      <c r="AK260" s="43" t="s">
        <v>644</v>
      </c>
      <c r="AL260" s="43" t="s">
        <v>47</v>
      </c>
      <c r="AM260" s="44">
        <f t="shared" si="22"/>
        <v>-1.8605124261753858</v>
      </c>
      <c r="AN260" s="44">
        <f t="shared" si="23"/>
        <v>-0.51493518279801498</v>
      </c>
      <c r="AO260" s="45">
        <f t="shared" si="24"/>
        <v>0</v>
      </c>
      <c r="AP260" s="46">
        <f t="shared" si="25"/>
        <v>0</v>
      </c>
      <c r="AQ260" s="44">
        <f>($AM$3*AM260+$AN$3*AN260+$AO$3*AO260+$AP$3*AP260)+$I$3*VLOOKUP(I260,COND!$A$2:$E$7,4,FALSE)+$J$3*VLOOKUP(J260,COND!$A$2:$C$7,2,FALSE)+$K$3*VLOOKUP(K260,COND!$A$2:$C$7,3,FALSE)+IF(AND($B$2&gt;0,$E260&lt;20),$B$2*25,0)</f>
        <v>43.859726563806277</v>
      </c>
      <c r="AR260" s="47">
        <f t="shared" si="26"/>
        <v>-6.0351497080569333E-2</v>
      </c>
      <c r="AS260" s="45" t="str">
        <f t="shared" si="27"/>
        <v>RF</v>
      </c>
      <c r="AT260" s="45">
        <f>RANK(Batters[[#This Row],[zScore]],Batters[[#All],[zScore]])</f>
        <v>256</v>
      </c>
      <c r="AU260" s="45"/>
      <c r="AV260" s="45"/>
      <c r="AW260" s="45" t="str">
        <f t="shared" si="28"/>
        <v>Unlikely</v>
      </c>
      <c r="AX260" s="45"/>
      <c r="AY260" s="45" t="str">
        <f>INDEX(Table5[[#All],[Ovr]],MATCH(Batters[[#This Row],[PID]],Table5[[#All],[PID]],0))</f>
        <v/>
      </c>
      <c r="AZ260" s="45" t="str">
        <f>INDEX(Table5[[#All],[Rnd]],MATCH(Batters[[#This Row],[PID]],Table5[[#All],[PID]],0))</f>
        <v/>
      </c>
      <c r="BA260" s="45" t="str">
        <f>INDEX(Table5[[#All],[Pick]],MATCH(Batters[[#This Row],[PID]],Table5[[#All],[PID]],0))</f>
        <v/>
      </c>
      <c r="BB260" s="45" t="str">
        <f>INDEX(Table5[[#All],[Team]],MATCH(Batters[[#This Row],[PID]],Table5[[#All],[PID]],0))</f>
        <v/>
      </c>
    </row>
    <row r="261" spans="1:54" ht="15" customHeight="1" x14ac:dyDescent="0.25">
      <c r="A261" s="40">
        <v>1038</v>
      </c>
      <c r="B261" s="40" t="s">
        <v>69</v>
      </c>
      <c r="C261" s="40" t="s">
        <v>773</v>
      </c>
      <c r="D261" s="40" t="s">
        <v>1577</v>
      </c>
      <c r="E261" s="40">
        <v>18</v>
      </c>
      <c r="F261" s="40" t="s">
        <v>42</v>
      </c>
      <c r="G261" s="40" t="s">
        <v>42</v>
      </c>
      <c r="H261" s="41" t="s">
        <v>638</v>
      </c>
      <c r="I261" s="65" t="s">
        <v>44</v>
      </c>
      <c r="J261" s="66" t="s">
        <v>43</v>
      </c>
      <c r="K261" s="67" t="s">
        <v>44</v>
      </c>
      <c r="L261" s="40">
        <v>1</v>
      </c>
      <c r="M261" s="40">
        <v>1</v>
      </c>
      <c r="N261" s="40">
        <v>2</v>
      </c>
      <c r="O261" s="40">
        <v>1</v>
      </c>
      <c r="P261" s="41">
        <v>1</v>
      </c>
      <c r="Q261" s="40">
        <v>4</v>
      </c>
      <c r="R261" s="40">
        <v>3</v>
      </c>
      <c r="S261" s="40">
        <v>3</v>
      </c>
      <c r="T261" s="40">
        <v>4</v>
      </c>
      <c r="U261" s="41">
        <v>4</v>
      </c>
      <c r="V261" s="40">
        <v>9</v>
      </c>
      <c r="W261" s="40">
        <v>9</v>
      </c>
      <c r="X261" s="40">
        <v>1</v>
      </c>
      <c r="Y261" s="41">
        <v>1</v>
      </c>
      <c r="Z261" s="40" t="s">
        <v>45</v>
      </c>
      <c r="AA261" s="40" t="s">
        <v>45</v>
      </c>
      <c r="AB261" s="40" t="s">
        <v>45</v>
      </c>
      <c r="AC261" s="40">
        <v>2</v>
      </c>
      <c r="AD261" s="40" t="s">
        <v>45</v>
      </c>
      <c r="AE261" s="40" t="s">
        <v>45</v>
      </c>
      <c r="AF261" s="40" t="s">
        <v>45</v>
      </c>
      <c r="AG261" s="41" t="s">
        <v>45</v>
      </c>
      <c r="AH261" s="40">
        <v>3</v>
      </c>
      <c r="AI261" s="40">
        <v>1</v>
      </c>
      <c r="AJ261" s="41">
        <v>1</v>
      </c>
      <c r="AK261" s="43" t="s">
        <v>644</v>
      </c>
      <c r="AL261" s="43" t="s">
        <v>47</v>
      </c>
      <c r="AM261" s="44">
        <f t="shared" ref="AM261:AM324" si="29">($L$3*(L261-$Q$1)/$Q$2+$M$3*(M261-$R$1)/$R$2+$N$3*(N261-$S$1)/$S$2+$O$3*(O261-$T$1)/$T$2+$P$3*(P261-$U$1)/$U$2)/(SUM($L$3:$P$3))</f>
        <v>-2.0012818558036707</v>
      </c>
      <c r="AN261" s="44">
        <f t="shared" ref="AN261:AN324" si="30">($L$3*(Q261-$Q$1)/$Q$2+$M$3*(R261-$R$1)/$R$2+$N$3*(S261-$S$1)/$S$2+$O$3*(T261-$T$1)/$T$2+$P$3*(U261-$U$1)/$U$2)/(SUM($L$3:$P$3))</f>
        <v>-0.45925542445434431</v>
      </c>
      <c r="AO261" s="45">
        <f t="shared" ref="AO261:AO324" si="31">IF(AVERAGE(AH261:AI261)&gt;9,1,0)+IF(AVERAGE(AH261:AI261)&gt;7,1,0)+IF(AH261&gt;7,1,0)+IF(AI261&gt;7,1,0)+IF(AJ261&gt;8,1,0)+IF(AJ261&gt;6,1,0)</f>
        <v>0</v>
      </c>
      <c r="AP261" s="46">
        <f t="shared" ref="AP261:AP324" si="32">MIN(2,IF(OR(Z261="-",X261&lt;5),0,1+IF(Y261&gt;7,0.35,IF(Y261&gt;5,0.1,0))+IF(Z261&gt;7,1+IF(X261&gt;7,0.25,0),IF(Z261&gt;4,0.5+IF(X261&gt;7,0.25,0),0+IF(X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</v>
      </c>
      <c r="AQ261" s="44">
        <f>($AM$3*AM261+$AN$3*AN261+$AO$3*AO261+$AP$3*AP261)+$I$3*VLOOKUP(I261,COND!$A$2:$E$7,4,FALSE)+$J$3*VLOOKUP(J261,COND!$A$2:$C$7,2,FALSE)+$K$3*VLOOKUP(K261,COND!$A$2:$C$7,3,FALSE)+IF(AND($B$2&gt;0,$E261&lt;20),$B$2*25,0)</f>
        <v>43.838806720967497</v>
      </c>
      <c r="AR261" s="47">
        <f t="shared" ref="AR261:AR324" si="33">STANDARDIZE(AQ261,AVERAGE($AQ$5:$AQ$534),STDEVP($AQ$5:$AQ$534))</f>
        <v>-6.4989567642940893E-2</v>
      </c>
      <c r="AS261" s="45" t="str">
        <f t="shared" ref="AS261:AS324" si="34">IF(AND(Z261&lt;&gt;"-",Y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3B</v>
      </c>
      <c r="AT261" s="45">
        <f>RANK(Batters[[#This Row],[zScore]],Batters[[#All],[zScore]])</f>
        <v>257</v>
      </c>
      <c r="AU261" s="45"/>
      <c r="AV261" s="45"/>
      <c r="AW261" s="45" t="str">
        <f t="shared" ref="AW261:AW324" si="35">IF(AND($Q261&gt;=6,AVERAGE($S261:$T261)&gt;=6),"Likely",IF(OR($Q261&gt;6,AND($Q261=6,AVERAGE($S261:$T261)&gt;=3),AND($Q261&gt;=5,AVERAGE($S261:$T261)&gt;=5),AVERAGE($Q261,$S261:$T261)&gt;5),"Possible","Unlikely"))</f>
        <v>Unlikely</v>
      </c>
      <c r="AX261" s="45"/>
      <c r="AY261" s="45" t="str">
        <f>INDEX(Table5[[#All],[Ovr]],MATCH(Batters[[#This Row],[PID]],Table5[[#All],[PID]],0))</f>
        <v/>
      </c>
      <c r="AZ261" s="45" t="str">
        <f>INDEX(Table5[[#All],[Rnd]],MATCH(Batters[[#This Row],[PID]],Table5[[#All],[PID]],0))</f>
        <v/>
      </c>
      <c r="BA261" s="45" t="str">
        <f>INDEX(Table5[[#All],[Pick]],MATCH(Batters[[#This Row],[PID]],Table5[[#All],[PID]],0))</f>
        <v/>
      </c>
      <c r="BB261" s="45" t="str">
        <f>INDEX(Table5[[#All],[Team]],MATCH(Batters[[#This Row],[PID]],Table5[[#All],[PID]],0))</f>
        <v/>
      </c>
    </row>
    <row r="262" spans="1:54" ht="15" customHeight="1" x14ac:dyDescent="0.25">
      <c r="A262" s="40">
        <v>17988</v>
      </c>
      <c r="B262" s="40" t="s">
        <v>74</v>
      </c>
      <c r="C262" s="40" t="s">
        <v>831</v>
      </c>
      <c r="D262" s="40" t="s">
        <v>344</v>
      </c>
      <c r="E262" s="40">
        <v>21</v>
      </c>
      <c r="F262" s="40" t="s">
        <v>62</v>
      </c>
      <c r="G262" s="40" t="s">
        <v>42</v>
      </c>
      <c r="H262" s="41" t="s">
        <v>634</v>
      </c>
      <c r="I262" s="65" t="s">
        <v>43</v>
      </c>
      <c r="J262" s="66" t="s">
        <v>43</v>
      </c>
      <c r="K262" s="67" t="s">
        <v>47</v>
      </c>
      <c r="L262" s="40">
        <v>3</v>
      </c>
      <c r="M262" s="40">
        <v>2</v>
      </c>
      <c r="N262" s="40">
        <v>2</v>
      </c>
      <c r="O262" s="40">
        <v>2</v>
      </c>
      <c r="P262" s="41">
        <v>1</v>
      </c>
      <c r="Q262" s="40">
        <v>4</v>
      </c>
      <c r="R262" s="40">
        <v>4</v>
      </c>
      <c r="S262" s="40">
        <v>4</v>
      </c>
      <c r="T262" s="40">
        <v>5</v>
      </c>
      <c r="U262" s="41">
        <v>3</v>
      </c>
      <c r="V262" s="40">
        <v>6</v>
      </c>
      <c r="W262" s="40">
        <v>10</v>
      </c>
      <c r="X262" s="40">
        <v>1</v>
      </c>
      <c r="Y262" s="41">
        <v>1</v>
      </c>
      <c r="Z262" s="40" t="s">
        <v>45</v>
      </c>
      <c r="AA262" s="40" t="s">
        <v>45</v>
      </c>
      <c r="AB262" s="40" t="s">
        <v>45</v>
      </c>
      <c r="AC262" s="40" t="s">
        <v>45</v>
      </c>
      <c r="AD262" s="40">
        <v>1</v>
      </c>
      <c r="AE262" s="40" t="s">
        <v>45</v>
      </c>
      <c r="AF262" s="40">
        <v>10</v>
      </c>
      <c r="AG262" s="41" t="s">
        <v>45</v>
      </c>
      <c r="AH262" s="40">
        <v>10</v>
      </c>
      <c r="AI262" s="40">
        <v>9</v>
      </c>
      <c r="AJ262" s="41">
        <v>5</v>
      </c>
      <c r="AK262" s="43" t="s">
        <v>643</v>
      </c>
      <c r="AL262" s="43" t="s">
        <v>635</v>
      </c>
      <c r="AM262" s="44">
        <f t="shared" si="29"/>
        <v>-1.2154007537700366</v>
      </c>
      <c r="AN262" s="44">
        <f t="shared" si="30"/>
        <v>-0.27544084061924184</v>
      </c>
      <c r="AO262" s="45">
        <f t="shared" si="31"/>
        <v>4</v>
      </c>
      <c r="AP262" s="46">
        <f t="shared" si="32"/>
        <v>1.25</v>
      </c>
      <c r="AQ262" s="44">
        <f>($AM$3*AM262+$AN$3*AN262+$AO$3*AO262+$AP$3*AP262)+$I$3*VLOOKUP(I262,COND!$A$2:$E$7,4,FALSE)+$J$3*VLOOKUP(J262,COND!$A$2:$C$7,2,FALSE)+$K$3*VLOOKUP(K262,COND!$A$2:$C$7,3,FALSE)+IF(AND($B$2&gt;0,$E262&lt;20),$B$2*25,0)</f>
        <v>43.789836503858766</v>
      </c>
      <c r="AR262" s="47">
        <f t="shared" si="33"/>
        <v>-7.5846595783894383E-2</v>
      </c>
      <c r="AS262" s="45" t="str">
        <f t="shared" si="34"/>
        <v>SS</v>
      </c>
      <c r="AT262" s="45">
        <f>RANK(Batters[[#This Row],[zScore]],Batters[[#All],[zScore]])</f>
        <v>258</v>
      </c>
      <c r="AU262" s="45"/>
      <c r="AV262" s="45"/>
      <c r="AW262" s="45" t="str">
        <f t="shared" si="35"/>
        <v>Unlikely</v>
      </c>
      <c r="AX262" s="45"/>
      <c r="AY262" s="45">
        <f>INDEX(Table5[[#All],[Ovr]],MATCH(Batters[[#This Row],[PID]],Table5[[#All],[PID]],0))</f>
        <v>160</v>
      </c>
      <c r="AZ262" s="45" t="str">
        <f>INDEX(Table5[[#All],[Rnd]],MATCH(Batters[[#This Row],[PID]],Table5[[#All],[PID]],0))</f>
        <v>6</v>
      </c>
      <c r="BA262" s="45">
        <f>INDEX(Table5[[#All],[Pick]],MATCH(Batters[[#This Row],[PID]],Table5[[#All],[PID]],0))</f>
        <v>2</v>
      </c>
      <c r="BB262" s="45" t="str">
        <f>INDEX(Table5[[#All],[Team]],MATCH(Batters[[#This Row],[PID]],Table5[[#All],[PID]],0))</f>
        <v>Charleston Statesmen</v>
      </c>
    </row>
    <row r="263" spans="1:54" ht="15" customHeight="1" x14ac:dyDescent="0.25">
      <c r="A263" s="40">
        <v>20742</v>
      </c>
      <c r="B263" s="40" t="s">
        <v>69</v>
      </c>
      <c r="C263" s="40" t="s">
        <v>675</v>
      </c>
      <c r="D263" s="40" t="s">
        <v>1531</v>
      </c>
      <c r="E263" s="40">
        <v>17</v>
      </c>
      <c r="F263" s="40" t="s">
        <v>42</v>
      </c>
      <c r="G263" s="40" t="s">
        <v>42</v>
      </c>
      <c r="H263" s="41" t="s">
        <v>638</v>
      </c>
      <c r="I263" s="65" t="s">
        <v>43</v>
      </c>
      <c r="J263" s="66" t="s">
        <v>44</v>
      </c>
      <c r="K263" s="67" t="s">
        <v>43</v>
      </c>
      <c r="L263" s="40">
        <v>1</v>
      </c>
      <c r="M263" s="40">
        <v>1</v>
      </c>
      <c r="N263" s="40">
        <v>3</v>
      </c>
      <c r="O263" s="40">
        <v>1</v>
      </c>
      <c r="P263" s="41">
        <v>1</v>
      </c>
      <c r="Q263" s="40">
        <v>3</v>
      </c>
      <c r="R263" s="40">
        <v>3</v>
      </c>
      <c r="S263" s="40">
        <v>6</v>
      </c>
      <c r="T263" s="40">
        <v>5</v>
      </c>
      <c r="U263" s="41">
        <v>3</v>
      </c>
      <c r="V263" s="40">
        <v>9</v>
      </c>
      <c r="W263" s="40">
        <v>8</v>
      </c>
      <c r="X263" s="40">
        <v>1</v>
      </c>
      <c r="Y263" s="41">
        <v>1</v>
      </c>
      <c r="Z263" s="40" t="s">
        <v>45</v>
      </c>
      <c r="AA263" s="40" t="s">
        <v>45</v>
      </c>
      <c r="AB263" s="40" t="s">
        <v>45</v>
      </c>
      <c r="AC263" s="40">
        <v>2</v>
      </c>
      <c r="AD263" s="40" t="s">
        <v>45</v>
      </c>
      <c r="AE263" s="40" t="s">
        <v>45</v>
      </c>
      <c r="AF263" s="40">
        <v>1</v>
      </c>
      <c r="AG263" s="41" t="s">
        <v>45</v>
      </c>
      <c r="AH263" s="40">
        <v>4</v>
      </c>
      <c r="AI263" s="40">
        <v>5</v>
      </c>
      <c r="AJ263" s="41">
        <v>2</v>
      </c>
      <c r="AK263" s="43" t="s">
        <v>659</v>
      </c>
      <c r="AL263" s="43" t="s">
        <v>635</v>
      </c>
      <c r="AM263" s="44">
        <f t="shared" si="29"/>
        <v>-1.9182203617797693</v>
      </c>
      <c r="AN263" s="44">
        <f t="shared" si="30"/>
        <v>-0.48293356839281698</v>
      </c>
      <c r="AO263" s="45">
        <f t="shared" si="31"/>
        <v>0</v>
      </c>
      <c r="AP263" s="46">
        <f t="shared" si="32"/>
        <v>0</v>
      </c>
      <c r="AQ263" s="44">
        <f>($AM$3*AM263+$AN$3*AN263+$AO$3*AO263+$AP$3*AP263)+$I$3*VLOOKUP(I263,COND!$A$2:$E$7,4,FALSE)+$J$3*VLOOKUP(J263,COND!$A$2:$C$7,2,FALSE)+$K$3*VLOOKUP(K263,COND!$A$2:$C$7,3,FALSE)+IF(AND($B$2&gt;0,$E263&lt;20),$B$2*25,0)</f>
        <v>43.712975143108217</v>
      </c>
      <c r="AR263" s="47">
        <f t="shared" si="33"/>
        <v>-9.2887278996873088E-2</v>
      </c>
      <c r="AS263" s="45" t="str">
        <f t="shared" si="34"/>
        <v>3B</v>
      </c>
      <c r="AT263" s="45">
        <f>RANK(Batters[[#This Row],[zScore]],Batters[[#All],[zScore]])</f>
        <v>259</v>
      </c>
      <c r="AU263" s="45"/>
      <c r="AV263" s="45"/>
      <c r="AW263" s="45" t="str">
        <f t="shared" si="35"/>
        <v>Unlikely</v>
      </c>
      <c r="AX263" s="45"/>
      <c r="AY263" s="45" t="str">
        <f>INDEX(Table5[[#All],[Ovr]],MATCH(Batters[[#This Row],[PID]],Table5[[#All],[PID]],0))</f>
        <v/>
      </c>
      <c r="AZ263" s="45" t="str">
        <f>INDEX(Table5[[#All],[Rnd]],MATCH(Batters[[#This Row],[PID]],Table5[[#All],[PID]],0))</f>
        <v/>
      </c>
      <c r="BA263" s="45" t="str">
        <f>INDEX(Table5[[#All],[Pick]],MATCH(Batters[[#This Row],[PID]],Table5[[#All],[PID]],0))</f>
        <v/>
      </c>
      <c r="BB263" s="45" t="str">
        <f>INDEX(Table5[[#All],[Team]],MATCH(Batters[[#This Row],[PID]],Table5[[#All],[PID]],0))</f>
        <v/>
      </c>
    </row>
    <row r="264" spans="1:54" ht="15" customHeight="1" x14ac:dyDescent="0.25">
      <c r="A264" s="40">
        <v>18150</v>
      </c>
      <c r="B264" s="40" t="s">
        <v>86</v>
      </c>
      <c r="C264" s="40" t="s">
        <v>650</v>
      </c>
      <c r="D264" s="40" t="s">
        <v>1246</v>
      </c>
      <c r="E264" s="40">
        <v>21</v>
      </c>
      <c r="F264" s="40" t="s">
        <v>42</v>
      </c>
      <c r="G264" s="40" t="s">
        <v>42</v>
      </c>
      <c r="H264" s="41" t="s">
        <v>634</v>
      </c>
      <c r="I264" s="65" t="s">
        <v>43</v>
      </c>
      <c r="J264" s="66" t="s">
        <v>43</v>
      </c>
      <c r="K264" s="67" t="s">
        <v>43</v>
      </c>
      <c r="L264" s="40">
        <v>2</v>
      </c>
      <c r="M264" s="40">
        <v>3</v>
      </c>
      <c r="N264" s="40">
        <v>3</v>
      </c>
      <c r="O264" s="40">
        <v>3</v>
      </c>
      <c r="P264" s="41">
        <v>3</v>
      </c>
      <c r="Q264" s="40">
        <v>4</v>
      </c>
      <c r="R264" s="40">
        <v>5</v>
      </c>
      <c r="S264" s="40">
        <v>4</v>
      </c>
      <c r="T264" s="40">
        <v>4</v>
      </c>
      <c r="U264" s="41">
        <v>6</v>
      </c>
      <c r="V264" s="40">
        <v>4</v>
      </c>
      <c r="W264" s="40">
        <v>3</v>
      </c>
      <c r="X264" s="40">
        <v>5</v>
      </c>
      <c r="Y264" s="41">
        <v>7</v>
      </c>
      <c r="Z264" s="40">
        <v>2</v>
      </c>
      <c r="AA264" s="40" t="s">
        <v>45</v>
      </c>
      <c r="AB264" s="40" t="s">
        <v>45</v>
      </c>
      <c r="AC264" s="40" t="s">
        <v>45</v>
      </c>
      <c r="AD264" s="40" t="s">
        <v>45</v>
      </c>
      <c r="AE264" s="40" t="s">
        <v>45</v>
      </c>
      <c r="AF264" s="40" t="s">
        <v>45</v>
      </c>
      <c r="AG264" s="41" t="s">
        <v>45</v>
      </c>
      <c r="AH264" s="40">
        <v>1</v>
      </c>
      <c r="AI264" s="40">
        <v>2</v>
      </c>
      <c r="AJ264" s="41">
        <v>1</v>
      </c>
      <c r="AK264" s="43" t="s">
        <v>643</v>
      </c>
      <c r="AL264" s="43" t="s">
        <v>635</v>
      </c>
      <c r="AM264" s="44">
        <f t="shared" si="29"/>
        <v>-1.2340929866863586</v>
      </c>
      <c r="AN264" s="44">
        <f t="shared" si="30"/>
        <v>-0.19404149155886899</v>
      </c>
      <c r="AO264" s="45">
        <f t="shared" si="31"/>
        <v>0</v>
      </c>
      <c r="AP264" s="46">
        <f t="shared" si="32"/>
        <v>1.1000000000000001</v>
      </c>
      <c r="AQ264" s="44">
        <f>($AM$3*AM264+$AN$3*AN264+$AO$3*AO264+$AP$3*AP264)+$I$3*VLOOKUP(I264,COND!$A$2:$E$7,4,FALSE)+$J$3*VLOOKUP(J264,COND!$A$2:$C$7,2,FALSE)+$K$3*VLOOKUP(K264,COND!$A$2:$C$7,3,FALSE)+IF(AND($B$2&gt;0,$E264&lt;20),$B$2*25,0)</f>
        <v>43.648092802624937</v>
      </c>
      <c r="AR264" s="47">
        <f t="shared" si="33"/>
        <v>-0.10727213244593593</v>
      </c>
      <c r="AS264" s="45" t="str">
        <f t="shared" si="34"/>
        <v>C</v>
      </c>
      <c r="AT264" s="45">
        <f>RANK(Batters[[#This Row],[zScore]],Batters[[#All],[zScore]])</f>
        <v>260</v>
      </c>
      <c r="AU264" s="45"/>
      <c r="AV264" s="45"/>
      <c r="AW264" s="45" t="str">
        <f t="shared" si="35"/>
        <v>Unlikely</v>
      </c>
      <c r="AX264" s="45"/>
      <c r="AY264" s="45">
        <f>INDEX(Table5[[#All],[Ovr]],MATCH(Batters[[#This Row],[PID]],Table5[[#All],[PID]],0))</f>
        <v>184</v>
      </c>
      <c r="AZ264" s="45" t="str">
        <f>INDEX(Table5[[#All],[Rnd]],MATCH(Batters[[#This Row],[PID]],Table5[[#All],[PID]],0))</f>
        <v>6</v>
      </c>
      <c r="BA264" s="45">
        <f>INDEX(Table5[[#All],[Pick]],MATCH(Batters[[#This Row],[PID]],Table5[[#All],[PID]],0))</f>
        <v>26</v>
      </c>
      <c r="BB264" s="45" t="str">
        <f>INDEX(Table5[[#All],[Team]],MATCH(Batters[[#This Row],[PID]],Table5[[#All],[PID]],0))</f>
        <v>Arlington Bureaucrats</v>
      </c>
    </row>
    <row r="265" spans="1:54" ht="15" customHeight="1" x14ac:dyDescent="0.25">
      <c r="A265" s="40">
        <v>20921</v>
      </c>
      <c r="B265" s="40" t="s">
        <v>50</v>
      </c>
      <c r="C265" s="40" t="s">
        <v>336</v>
      </c>
      <c r="D265" s="40" t="s">
        <v>1441</v>
      </c>
      <c r="E265" s="40">
        <v>18</v>
      </c>
      <c r="F265" s="40" t="s">
        <v>53</v>
      </c>
      <c r="G265" s="40" t="s">
        <v>53</v>
      </c>
      <c r="H265" s="41" t="s">
        <v>638</v>
      </c>
      <c r="I265" s="65" t="s">
        <v>43</v>
      </c>
      <c r="J265" s="66" t="s">
        <v>47</v>
      </c>
      <c r="K265" s="67" t="s">
        <v>44</v>
      </c>
      <c r="L265" s="40">
        <v>1</v>
      </c>
      <c r="M265" s="40">
        <v>1</v>
      </c>
      <c r="N265" s="40">
        <v>3</v>
      </c>
      <c r="O265" s="40">
        <v>2</v>
      </c>
      <c r="P265" s="41">
        <v>1</v>
      </c>
      <c r="Q265" s="40">
        <v>3</v>
      </c>
      <c r="R265" s="40">
        <v>4</v>
      </c>
      <c r="S265" s="40">
        <v>5</v>
      </c>
      <c r="T265" s="40">
        <v>5</v>
      </c>
      <c r="U265" s="41">
        <v>3</v>
      </c>
      <c r="V265" s="40">
        <v>2</v>
      </c>
      <c r="W265" s="40">
        <v>6</v>
      </c>
      <c r="X265" s="40">
        <v>1</v>
      </c>
      <c r="Y265" s="41">
        <v>1</v>
      </c>
      <c r="Z265" s="40" t="s">
        <v>45</v>
      </c>
      <c r="AA265" s="40" t="s">
        <v>45</v>
      </c>
      <c r="AB265" s="40" t="s">
        <v>45</v>
      </c>
      <c r="AC265" s="40" t="s">
        <v>45</v>
      </c>
      <c r="AD265" s="40" t="s">
        <v>45</v>
      </c>
      <c r="AE265" s="40">
        <v>3</v>
      </c>
      <c r="AF265" s="40" t="s">
        <v>45</v>
      </c>
      <c r="AG265" s="41">
        <v>1</v>
      </c>
      <c r="AH265" s="40">
        <v>6</v>
      </c>
      <c r="AI265" s="40">
        <v>4</v>
      </c>
      <c r="AJ265" s="41">
        <v>5</v>
      </c>
      <c r="AK265" s="43" t="s">
        <v>670</v>
      </c>
      <c r="AL265" s="43" t="s">
        <v>47</v>
      </c>
      <c r="AM265" s="44">
        <f t="shared" si="29"/>
        <v>-1.828510811770188</v>
      </c>
      <c r="AN265" s="44">
        <f t="shared" si="30"/>
        <v>-0.51493518279801498</v>
      </c>
      <c r="AO265" s="45">
        <f t="shared" si="31"/>
        <v>0</v>
      </c>
      <c r="AP265" s="46">
        <f t="shared" si="32"/>
        <v>0</v>
      </c>
      <c r="AQ265" s="44">
        <f>($AM$3*AM265+$AN$3*AN265+$AO$3*AO265+$AP$3*AP265)+$I$3*VLOOKUP(I265,COND!$A$2:$E$7,4,FALSE)+$J$3*VLOOKUP(J265,COND!$A$2:$C$7,2,FALSE)+$K$3*VLOOKUP(K265,COND!$A$2:$C$7,3,FALSE)+IF(AND($B$2&gt;0,$E265&lt;20),$B$2*25,0)</f>
        <v>43.6379267252468</v>
      </c>
      <c r="AR265" s="47">
        <f t="shared" si="33"/>
        <v>-0.10952602051697473</v>
      </c>
      <c r="AS265" s="45" t="str">
        <f t="shared" si="34"/>
        <v>LF</v>
      </c>
      <c r="AT265" s="45">
        <f>RANK(Batters[[#This Row],[zScore]],Batters[[#All],[zScore]])</f>
        <v>261</v>
      </c>
      <c r="AU265" s="45"/>
      <c r="AV265" s="45"/>
      <c r="AW265" s="45" t="str">
        <f t="shared" si="35"/>
        <v>Unlikely</v>
      </c>
      <c r="AX265" s="45"/>
      <c r="AY265" s="45" t="str">
        <f>INDEX(Table5[[#All],[Ovr]],MATCH(Batters[[#This Row],[PID]],Table5[[#All],[PID]],0))</f>
        <v/>
      </c>
      <c r="AZ265" s="45" t="str">
        <f>INDEX(Table5[[#All],[Rnd]],MATCH(Batters[[#This Row],[PID]],Table5[[#All],[PID]],0))</f>
        <v/>
      </c>
      <c r="BA265" s="45" t="str">
        <f>INDEX(Table5[[#All],[Pick]],MATCH(Batters[[#This Row],[PID]],Table5[[#All],[PID]],0))</f>
        <v/>
      </c>
      <c r="BB265" s="45" t="str">
        <f>INDEX(Table5[[#All],[Team]],MATCH(Batters[[#This Row],[PID]],Table5[[#All],[PID]],0))</f>
        <v/>
      </c>
    </row>
    <row r="266" spans="1:54" ht="15" customHeight="1" x14ac:dyDescent="0.25">
      <c r="A266" s="40">
        <v>17580</v>
      </c>
      <c r="B266" s="40" t="s">
        <v>50</v>
      </c>
      <c r="C266" s="40" t="s">
        <v>136</v>
      </c>
      <c r="D266" s="40" t="s">
        <v>1559</v>
      </c>
      <c r="E266" s="40">
        <v>18</v>
      </c>
      <c r="F266" s="40" t="s">
        <v>42</v>
      </c>
      <c r="G266" s="40" t="s">
        <v>42</v>
      </c>
      <c r="H266" s="41" t="s">
        <v>638</v>
      </c>
      <c r="I266" s="65" t="s">
        <v>43</v>
      </c>
      <c r="J266" s="66" t="s">
        <v>43</v>
      </c>
      <c r="K266" s="67" t="s">
        <v>43</v>
      </c>
      <c r="L266" s="40">
        <v>1</v>
      </c>
      <c r="M266" s="40">
        <v>1</v>
      </c>
      <c r="N266" s="40">
        <v>2</v>
      </c>
      <c r="O266" s="40">
        <v>1</v>
      </c>
      <c r="P266" s="41">
        <v>1</v>
      </c>
      <c r="Q266" s="40">
        <v>3</v>
      </c>
      <c r="R266" s="40">
        <v>4</v>
      </c>
      <c r="S266" s="40">
        <v>5</v>
      </c>
      <c r="T266" s="40">
        <v>5</v>
      </c>
      <c r="U266" s="41">
        <v>3</v>
      </c>
      <c r="V266" s="40">
        <v>4</v>
      </c>
      <c r="W266" s="40">
        <v>10</v>
      </c>
      <c r="X266" s="40">
        <v>1</v>
      </c>
      <c r="Y266" s="41">
        <v>1</v>
      </c>
      <c r="Z266" s="40" t="s">
        <v>45</v>
      </c>
      <c r="AA266" s="40" t="s">
        <v>45</v>
      </c>
      <c r="AB266" s="40" t="s">
        <v>45</v>
      </c>
      <c r="AC266" s="40" t="s">
        <v>45</v>
      </c>
      <c r="AD266" s="40" t="s">
        <v>45</v>
      </c>
      <c r="AE266" s="40">
        <v>1</v>
      </c>
      <c r="AF266" s="40" t="s">
        <v>45</v>
      </c>
      <c r="AG266" s="41" t="s">
        <v>45</v>
      </c>
      <c r="AH266" s="40">
        <v>1</v>
      </c>
      <c r="AI266" s="40">
        <v>1</v>
      </c>
      <c r="AJ266" s="41">
        <v>1</v>
      </c>
      <c r="AK266" s="43" t="s">
        <v>644</v>
      </c>
      <c r="AL266" s="43" t="s">
        <v>47</v>
      </c>
      <c r="AM266" s="44">
        <f t="shared" si="29"/>
        <v>-2.0012818558036707</v>
      </c>
      <c r="AN266" s="44">
        <f t="shared" si="30"/>
        <v>-0.51493518279801498</v>
      </c>
      <c r="AO266" s="45">
        <f t="shared" si="31"/>
        <v>0</v>
      </c>
      <c r="AP266" s="46">
        <f t="shared" si="32"/>
        <v>0</v>
      </c>
      <c r="AQ266" s="44">
        <f>($AM$3*AM266+$AN$3*AN266+$AO$3*AO266+$AP$3*AP266)+$I$3*VLOOKUP(I266,COND!$A$2:$E$7,4,FALSE)+$J$3*VLOOKUP(J266,COND!$A$2:$C$7,2,FALSE)+$K$3*VLOOKUP(K266,COND!$A$2:$C$7,3,FALSE)+IF(AND($B$2&gt;0,$E266&lt;20),$B$2*25,0)</f>
        <v>43.620649620843452</v>
      </c>
      <c r="AR266" s="47">
        <f t="shared" si="33"/>
        <v>-0.11335647134558453</v>
      </c>
      <c r="AS266" s="45" t="str">
        <f t="shared" si="34"/>
        <v>LF</v>
      </c>
      <c r="AT266" s="45">
        <f>RANK(Batters[[#This Row],[zScore]],Batters[[#All],[zScore]])</f>
        <v>262</v>
      </c>
      <c r="AU266" s="45"/>
      <c r="AV266" s="45"/>
      <c r="AW266" s="45" t="str">
        <f t="shared" si="35"/>
        <v>Unlikely</v>
      </c>
      <c r="AX266" s="45"/>
      <c r="AY266" s="45">
        <f>INDEX(Table5[[#All],[Ovr]],MATCH(Batters[[#This Row],[PID]],Table5[[#All],[PID]],0))</f>
        <v>560</v>
      </c>
      <c r="AZ266" s="45" t="str">
        <f>INDEX(Table5[[#All],[Rnd]],MATCH(Batters[[#This Row],[PID]],Table5[[#All],[PID]],0))</f>
        <v>19</v>
      </c>
      <c r="BA266" s="45">
        <f>INDEX(Table5[[#All],[Pick]],MATCH(Batters[[#This Row],[PID]],Table5[[#All],[PID]],0))</f>
        <v>12</v>
      </c>
      <c r="BB266" s="45" t="str">
        <f>INDEX(Table5[[#All],[Team]],MATCH(Batters[[#This Row],[PID]],Table5[[#All],[PID]],0))</f>
        <v>Palm Springs Codgers</v>
      </c>
    </row>
    <row r="267" spans="1:54" ht="15" customHeight="1" x14ac:dyDescent="0.25">
      <c r="A267" s="40">
        <v>20846</v>
      </c>
      <c r="B267" s="40" t="s">
        <v>87</v>
      </c>
      <c r="C267" s="40" t="s">
        <v>366</v>
      </c>
      <c r="D267" s="40" t="s">
        <v>207</v>
      </c>
      <c r="E267" s="40">
        <v>18</v>
      </c>
      <c r="F267" s="40" t="s">
        <v>42</v>
      </c>
      <c r="G267" s="40" t="s">
        <v>53</v>
      </c>
      <c r="H267" s="41" t="s">
        <v>638</v>
      </c>
      <c r="I267" s="65" t="s">
        <v>43</v>
      </c>
      <c r="J267" s="66" t="s">
        <v>43</v>
      </c>
      <c r="K267" s="67" t="s">
        <v>43</v>
      </c>
      <c r="L267" s="40">
        <v>1</v>
      </c>
      <c r="M267" s="40">
        <v>2</v>
      </c>
      <c r="N267" s="40">
        <v>2</v>
      </c>
      <c r="O267" s="40">
        <v>2</v>
      </c>
      <c r="P267" s="41">
        <v>1</v>
      </c>
      <c r="Q267" s="40">
        <v>3</v>
      </c>
      <c r="R267" s="40">
        <v>4</v>
      </c>
      <c r="S267" s="40">
        <v>4</v>
      </c>
      <c r="T267" s="40">
        <v>5</v>
      </c>
      <c r="U267" s="41">
        <v>5</v>
      </c>
      <c r="V267" s="40">
        <v>6</v>
      </c>
      <c r="W267" s="40">
        <v>8</v>
      </c>
      <c r="X267" s="40">
        <v>1</v>
      </c>
      <c r="Y267" s="41">
        <v>1</v>
      </c>
      <c r="Z267" s="40" t="s">
        <v>45</v>
      </c>
      <c r="AA267" s="40">
        <v>3</v>
      </c>
      <c r="AB267" s="40" t="s">
        <v>45</v>
      </c>
      <c r="AC267" s="40" t="s">
        <v>45</v>
      </c>
      <c r="AD267" s="40" t="s">
        <v>45</v>
      </c>
      <c r="AE267" s="40" t="s">
        <v>45</v>
      </c>
      <c r="AF267" s="40" t="s">
        <v>45</v>
      </c>
      <c r="AG267" s="41">
        <v>1</v>
      </c>
      <c r="AH267" s="40">
        <v>6</v>
      </c>
      <c r="AI267" s="40">
        <v>5</v>
      </c>
      <c r="AJ267" s="41">
        <v>2</v>
      </c>
      <c r="AK267" s="43" t="s">
        <v>563</v>
      </c>
      <c r="AL267" s="43" t="s">
        <v>47</v>
      </c>
      <c r="AM267" s="44">
        <f t="shared" si="29"/>
        <v>-1.8605124261753858</v>
      </c>
      <c r="AN267" s="44">
        <f t="shared" si="30"/>
        <v>-0.51796399718774966</v>
      </c>
      <c r="AO267" s="45">
        <f t="shared" si="31"/>
        <v>0</v>
      </c>
      <c r="AP267" s="46">
        <f t="shared" si="32"/>
        <v>0</v>
      </c>
      <c r="AQ267" s="44">
        <f>($AM$3*AM267+$AN$3*AN267+$AO$3*AO267+$AP$3*AP267)+$I$3*VLOOKUP(I267,COND!$A$2:$E$7,4,FALSE)+$J$3*VLOOKUP(J267,COND!$A$2:$C$7,2,FALSE)+$K$3*VLOOKUP(K267,COND!$A$2:$C$7,3,FALSE)+IF(AND($B$2&gt;0,$E267&lt;20),$B$2*25,0)</f>
        <v>43.598380791129465</v>
      </c>
      <c r="AR267" s="47">
        <f t="shared" si="33"/>
        <v>-0.11829362141649462</v>
      </c>
      <c r="AS267" s="45" t="str">
        <f t="shared" si="34"/>
        <v>RF</v>
      </c>
      <c r="AT267" s="45">
        <f>RANK(Batters[[#This Row],[zScore]],Batters[[#All],[zScore]])</f>
        <v>263</v>
      </c>
      <c r="AU267" s="45"/>
      <c r="AV267" s="45"/>
      <c r="AW267" s="45" t="str">
        <f t="shared" si="35"/>
        <v>Unlikely</v>
      </c>
      <c r="AX267" s="45"/>
      <c r="AY267" s="45" t="str">
        <f>INDEX(Table5[[#All],[Ovr]],MATCH(Batters[[#This Row],[PID]],Table5[[#All],[PID]],0))</f>
        <v/>
      </c>
      <c r="AZ267" s="45" t="str">
        <f>INDEX(Table5[[#All],[Rnd]],MATCH(Batters[[#This Row],[PID]],Table5[[#All],[PID]],0))</f>
        <v/>
      </c>
      <c r="BA267" s="45" t="str">
        <f>INDEX(Table5[[#All],[Pick]],MATCH(Batters[[#This Row],[PID]],Table5[[#All],[PID]],0))</f>
        <v/>
      </c>
      <c r="BB267" s="45" t="str">
        <f>INDEX(Table5[[#All],[Team]],MATCH(Batters[[#This Row],[PID]],Table5[[#All],[PID]],0))</f>
        <v/>
      </c>
    </row>
    <row r="268" spans="1:54" ht="15" customHeight="1" x14ac:dyDescent="0.25">
      <c r="A268" s="40">
        <v>21065</v>
      </c>
      <c r="B268" s="40" t="s">
        <v>87</v>
      </c>
      <c r="C268" s="40" t="s">
        <v>174</v>
      </c>
      <c r="D268" s="40" t="s">
        <v>832</v>
      </c>
      <c r="E268" s="40">
        <v>17</v>
      </c>
      <c r="F268" s="40" t="s">
        <v>42</v>
      </c>
      <c r="G268" s="40" t="s">
        <v>42</v>
      </c>
      <c r="H268" s="41" t="s">
        <v>638</v>
      </c>
      <c r="I268" s="65" t="s">
        <v>43</v>
      </c>
      <c r="J268" s="66" t="s">
        <v>47</v>
      </c>
      <c r="K268" s="67" t="s">
        <v>43</v>
      </c>
      <c r="L268" s="40">
        <v>1</v>
      </c>
      <c r="M268" s="40">
        <v>2</v>
      </c>
      <c r="N268" s="40">
        <v>2</v>
      </c>
      <c r="O268" s="40">
        <v>1</v>
      </c>
      <c r="P268" s="41">
        <v>1</v>
      </c>
      <c r="Q268" s="40">
        <v>3</v>
      </c>
      <c r="R268" s="40">
        <v>6</v>
      </c>
      <c r="S268" s="40">
        <v>4</v>
      </c>
      <c r="T268" s="40">
        <v>4</v>
      </c>
      <c r="U268" s="41">
        <v>4</v>
      </c>
      <c r="V268" s="40">
        <v>2</v>
      </c>
      <c r="W268" s="40">
        <v>2</v>
      </c>
      <c r="X268" s="40">
        <v>1</v>
      </c>
      <c r="Y268" s="41">
        <v>1</v>
      </c>
      <c r="Z268" s="40" t="s">
        <v>45</v>
      </c>
      <c r="AA268" s="40">
        <v>1</v>
      </c>
      <c r="AB268" s="40" t="s">
        <v>45</v>
      </c>
      <c r="AC268" s="40" t="s">
        <v>45</v>
      </c>
      <c r="AD268" s="40" t="s">
        <v>45</v>
      </c>
      <c r="AE268" s="40" t="s">
        <v>45</v>
      </c>
      <c r="AF268" s="40" t="s">
        <v>45</v>
      </c>
      <c r="AG268" s="41" t="s">
        <v>45</v>
      </c>
      <c r="AH268" s="40">
        <v>1</v>
      </c>
      <c r="AI268" s="40">
        <v>1</v>
      </c>
      <c r="AJ268" s="41">
        <v>1</v>
      </c>
      <c r="AK268" s="43" t="s">
        <v>644</v>
      </c>
      <c r="AL268" s="43" t="s">
        <v>635</v>
      </c>
      <c r="AM268" s="44">
        <f t="shared" si="29"/>
        <v>-1.9502219761849671</v>
      </c>
      <c r="AN268" s="44">
        <f t="shared" si="30"/>
        <v>-0.54557012777700709</v>
      </c>
      <c r="AO268" s="45">
        <f t="shared" si="31"/>
        <v>0</v>
      </c>
      <c r="AP268" s="46">
        <f t="shared" si="32"/>
        <v>0</v>
      </c>
      <c r="AQ268" s="44">
        <f>($AM$3*AM268+$AN$3*AN268+$AO$3*AO268+$AP$3*AP268)+$I$3*VLOOKUP(I268,COND!$A$2:$E$7,4,FALSE)+$J$3*VLOOKUP(J268,COND!$A$2:$C$7,2,FALSE)+$K$3*VLOOKUP(K268,COND!$A$2:$C$7,3,FALSE)+IF(AND($B$2&gt;0,$E268&lt;20),$B$2*25,0)</f>
        <v>43.558136269057421</v>
      </c>
      <c r="AR268" s="47">
        <f t="shared" si="33"/>
        <v>-0.12721610398758976</v>
      </c>
      <c r="AS268" s="45" t="str">
        <f t="shared" si="34"/>
        <v>1B</v>
      </c>
      <c r="AT268" s="45">
        <f>RANK(Batters[[#This Row],[zScore]],Batters[[#All],[zScore]])</f>
        <v>264</v>
      </c>
      <c r="AU268" s="45"/>
      <c r="AV268" s="45"/>
      <c r="AW268" s="45" t="str">
        <f t="shared" si="35"/>
        <v>Unlikely</v>
      </c>
      <c r="AX268" s="45"/>
      <c r="AY268" s="45" t="str">
        <f>INDEX(Table5[[#All],[Ovr]],MATCH(Batters[[#This Row],[PID]],Table5[[#All],[PID]],0))</f>
        <v/>
      </c>
      <c r="AZ268" s="45" t="str">
        <f>INDEX(Table5[[#All],[Rnd]],MATCH(Batters[[#This Row],[PID]],Table5[[#All],[PID]],0))</f>
        <v/>
      </c>
      <c r="BA268" s="45" t="str">
        <f>INDEX(Table5[[#All],[Pick]],MATCH(Batters[[#This Row],[PID]],Table5[[#All],[PID]],0))</f>
        <v/>
      </c>
      <c r="BB268" s="45" t="str">
        <f>INDEX(Table5[[#All],[Team]],MATCH(Batters[[#This Row],[PID]],Table5[[#All],[PID]],0))</f>
        <v/>
      </c>
    </row>
    <row r="269" spans="1:54" ht="15" customHeight="1" x14ac:dyDescent="0.25">
      <c r="A269" s="40">
        <v>18179</v>
      </c>
      <c r="B269" s="40" t="s">
        <v>71</v>
      </c>
      <c r="C269" s="40" t="s">
        <v>172</v>
      </c>
      <c r="D269" s="40" t="s">
        <v>1084</v>
      </c>
      <c r="E269" s="40">
        <v>18</v>
      </c>
      <c r="F269" s="40" t="s">
        <v>42</v>
      </c>
      <c r="G269" s="40" t="s">
        <v>42</v>
      </c>
      <c r="H269" s="41" t="s">
        <v>638</v>
      </c>
      <c r="I269" s="65" t="s">
        <v>43</v>
      </c>
      <c r="J269" s="66" t="s">
        <v>43</v>
      </c>
      <c r="K269" s="67" t="s">
        <v>44</v>
      </c>
      <c r="L269" s="40">
        <v>1</v>
      </c>
      <c r="M269" s="40">
        <v>2</v>
      </c>
      <c r="N269" s="40">
        <v>2</v>
      </c>
      <c r="O269" s="40">
        <v>1</v>
      </c>
      <c r="P269" s="41">
        <v>1</v>
      </c>
      <c r="Q269" s="40">
        <v>3</v>
      </c>
      <c r="R269" s="40">
        <v>6</v>
      </c>
      <c r="S269" s="40">
        <v>4</v>
      </c>
      <c r="T269" s="40">
        <v>5</v>
      </c>
      <c r="U269" s="41">
        <v>3</v>
      </c>
      <c r="V269" s="40">
        <v>7</v>
      </c>
      <c r="W269" s="40">
        <v>6</v>
      </c>
      <c r="X269" s="40">
        <v>1</v>
      </c>
      <c r="Y269" s="41">
        <v>1</v>
      </c>
      <c r="Z269" s="40" t="s">
        <v>45</v>
      </c>
      <c r="AA269" s="40" t="s">
        <v>45</v>
      </c>
      <c r="AB269" s="40">
        <v>2</v>
      </c>
      <c r="AC269" s="40" t="s">
        <v>45</v>
      </c>
      <c r="AD269" s="40" t="s">
        <v>45</v>
      </c>
      <c r="AE269" s="40" t="s">
        <v>45</v>
      </c>
      <c r="AF269" s="40" t="s">
        <v>45</v>
      </c>
      <c r="AG269" s="41" t="s">
        <v>45</v>
      </c>
      <c r="AH269" s="40">
        <v>7</v>
      </c>
      <c r="AI269" s="40">
        <v>4</v>
      </c>
      <c r="AJ269" s="41">
        <v>5</v>
      </c>
      <c r="AK269" s="43" t="s">
        <v>670</v>
      </c>
      <c r="AL269" s="43" t="s">
        <v>635</v>
      </c>
      <c r="AM269" s="44">
        <f t="shared" si="29"/>
        <v>-1.9502219761849671</v>
      </c>
      <c r="AN269" s="44">
        <f t="shared" si="30"/>
        <v>-0.49587691758450947</v>
      </c>
      <c r="AO269" s="45">
        <f t="shared" si="31"/>
        <v>0</v>
      </c>
      <c r="AP269" s="46">
        <f t="shared" si="32"/>
        <v>0</v>
      </c>
      <c r="AQ269" s="44">
        <f>($AM$3*AM269+$AN$3*AN269+$AO$3*AO269+$AP$3*AP269)+$I$3*VLOOKUP(I269,COND!$A$2:$E$7,4,FALSE)+$J$3*VLOOKUP(J269,COND!$A$2:$C$7,2,FALSE)+$K$3*VLOOKUP(K269,COND!$A$2:$C$7,3,FALSE)+IF(AND($B$2&gt;0,$E269&lt;20),$B$2*25,0)</f>
        <v>43.554454791367391</v>
      </c>
      <c r="AR269" s="47">
        <f t="shared" si="33"/>
        <v>-0.12803231247594915</v>
      </c>
      <c r="AS269" s="45" t="str">
        <f t="shared" si="34"/>
        <v>2B</v>
      </c>
      <c r="AT269" s="45">
        <f>RANK(Batters[[#This Row],[zScore]],Batters[[#All],[zScore]])</f>
        <v>265</v>
      </c>
      <c r="AU269" s="45"/>
      <c r="AV269" s="45"/>
      <c r="AW269" s="45" t="str">
        <f t="shared" si="35"/>
        <v>Unlikely</v>
      </c>
      <c r="AX269" s="45"/>
      <c r="AY269" s="45">
        <f>INDEX(Table5[[#All],[Ovr]],MATCH(Batters[[#This Row],[PID]],Table5[[#All],[PID]],0))</f>
        <v>593</v>
      </c>
      <c r="AZ269" s="45" t="str">
        <f>INDEX(Table5[[#All],[Rnd]],MATCH(Batters[[#This Row],[PID]],Table5[[#All],[PID]],0))</f>
        <v>20</v>
      </c>
      <c r="BA269" s="45">
        <f>INDEX(Table5[[#All],[Pick]],MATCH(Batters[[#This Row],[PID]],Table5[[#All],[PID]],0))</f>
        <v>15</v>
      </c>
      <c r="BB269" s="45" t="str">
        <f>INDEX(Table5[[#All],[Team]],MATCH(Batters[[#This Row],[PID]],Table5[[#All],[PID]],0))</f>
        <v>Kentucky Thoroughbreds</v>
      </c>
    </row>
    <row r="270" spans="1:54" ht="15" customHeight="1" x14ac:dyDescent="0.25">
      <c r="A270" s="40">
        <v>20899</v>
      </c>
      <c r="B270" s="40" t="s">
        <v>50</v>
      </c>
      <c r="C270" s="40" t="s">
        <v>184</v>
      </c>
      <c r="D270" s="40" t="s">
        <v>1406</v>
      </c>
      <c r="E270" s="40">
        <v>18</v>
      </c>
      <c r="F270" s="40" t="s">
        <v>62</v>
      </c>
      <c r="G270" s="40" t="s">
        <v>42</v>
      </c>
      <c r="H270" s="41" t="s">
        <v>638</v>
      </c>
      <c r="I270" s="65" t="s">
        <v>43</v>
      </c>
      <c r="J270" s="66" t="s">
        <v>47</v>
      </c>
      <c r="K270" s="67" t="s">
        <v>43</v>
      </c>
      <c r="L270" s="40">
        <v>1</v>
      </c>
      <c r="M270" s="40">
        <v>2</v>
      </c>
      <c r="N270" s="40">
        <v>2</v>
      </c>
      <c r="O270" s="40">
        <v>2</v>
      </c>
      <c r="P270" s="41">
        <v>1</v>
      </c>
      <c r="Q270" s="40">
        <v>3</v>
      </c>
      <c r="R270" s="40">
        <v>5</v>
      </c>
      <c r="S270" s="40">
        <v>4</v>
      </c>
      <c r="T270" s="40">
        <v>5</v>
      </c>
      <c r="U270" s="41">
        <v>3</v>
      </c>
      <c r="V270" s="40">
        <v>4</v>
      </c>
      <c r="W270" s="40">
        <v>4</v>
      </c>
      <c r="X270" s="40">
        <v>1</v>
      </c>
      <c r="Y270" s="41">
        <v>1</v>
      </c>
      <c r="Z270" s="40" t="s">
        <v>45</v>
      </c>
      <c r="AA270" s="40">
        <v>1</v>
      </c>
      <c r="AB270" s="40" t="s">
        <v>45</v>
      </c>
      <c r="AC270" s="40" t="s">
        <v>45</v>
      </c>
      <c r="AD270" s="40" t="s">
        <v>45</v>
      </c>
      <c r="AE270" s="40">
        <v>3</v>
      </c>
      <c r="AF270" s="40">
        <v>1</v>
      </c>
      <c r="AG270" s="41">
        <v>1</v>
      </c>
      <c r="AH270" s="40">
        <v>7</v>
      </c>
      <c r="AI270" s="40">
        <v>5</v>
      </c>
      <c r="AJ270" s="41">
        <v>4</v>
      </c>
      <c r="AK270" s="43" t="s">
        <v>659</v>
      </c>
      <c r="AL270" s="43" t="s">
        <v>635</v>
      </c>
      <c r="AM270" s="44">
        <f t="shared" si="29"/>
        <v>-1.8605124261753858</v>
      </c>
      <c r="AN270" s="44">
        <f t="shared" si="30"/>
        <v>-0.54693679720321298</v>
      </c>
      <c r="AO270" s="45">
        <f t="shared" si="31"/>
        <v>0</v>
      </c>
      <c r="AP270" s="46">
        <f t="shared" si="32"/>
        <v>0</v>
      </c>
      <c r="AQ270" s="44">
        <f>($AM$3*AM270+$AN$3*AN270+$AO$3*AO270+$AP$3*AP270)+$I$3*VLOOKUP(I270,COND!$A$2:$E$7,4,FALSE)+$J$3*VLOOKUP(J270,COND!$A$2:$C$7,2,FALSE)+$K$3*VLOOKUP(K270,COND!$A$2:$C$7,3,FALSE)+IF(AND($B$2&gt;0,$E270&lt;20),$B$2*25,0)</f>
        <v>43.550707190943911</v>
      </c>
      <c r="AR270" s="47">
        <f t="shared" si="33"/>
        <v>-0.12886318082126269</v>
      </c>
      <c r="AS270" s="45" t="str">
        <f t="shared" si="34"/>
        <v>LF</v>
      </c>
      <c r="AT270" s="45">
        <f>RANK(Batters[[#This Row],[zScore]],Batters[[#All],[zScore]])</f>
        <v>266</v>
      </c>
      <c r="AU270" s="45"/>
      <c r="AV270" s="45"/>
      <c r="AW270" s="45" t="str">
        <f t="shared" si="35"/>
        <v>Unlikely</v>
      </c>
      <c r="AX270" s="45"/>
      <c r="AY270" s="45">
        <f>INDEX(Table5[[#All],[Ovr]],MATCH(Batters[[#This Row],[PID]],Table5[[#All],[PID]],0))</f>
        <v>571</v>
      </c>
      <c r="AZ270" s="45" t="str">
        <f>INDEX(Table5[[#All],[Rnd]],MATCH(Batters[[#This Row],[PID]],Table5[[#All],[PID]],0))</f>
        <v>19</v>
      </c>
      <c r="BA270" s="45">
        <f>INDEX(Table5[[#All],[Pick]],MATCH(Batters[[#This Row],[PID]],Table5[[#All],[PID]],0))</f>
        <v>23</v>
      </c>
      <c r="BB270" s="45" t="str">
        <f>INDEX(Table5[[#All],[Team]],MATCH(Batters[[#This Row],[PID]],Table5[[#All],[PID]],0))</f>
        <v>Shin Seiki Evas</v>
      </c>
    </row>
    <row r="271" spans="1:54" ht="15" customHeight="1" x14ac:dyDescent="0.25">
      <c r="A271" s="40">
        <v>20720</v>
      </c>
      <c r="B271" s="40" t="s">
        <v>74</v>
      </c>
      <c r="C271" s="40" t="s">
        <v>210</v>
      </c>
      <c r="D271" s="40" t="s">
        <v>1629</v>
      </c>
      <c r="E271" s="40">
        <v>18</v>
      </c>
      <c r="F271" s="40" t="s">
        <v>42</v>
      </c>
      <c r="G271" s="40" t="s">
        <v>42</v>
      </c>
      <c r="H271" s="41" t="s">
        <v>638</v>
      </c>
      <c r="I271" s="65" t="s">
        <v>43</v>
      </c>
      <c r="J271" s="66" t="s">
        <v>44</v>
      </c>
      <c r="K271" s="67" t="s">
        <v>43</v>
      </c>
      <c r="L271" s="40">
        <v>1</v>
      </c>
      <c r="M271" s="40">
        <v>1</v>
      </c>
      <c r="N271" s="40">
        <v>2</v>
      </c>
      <c r="O271" s="40">
        <v>2</v>
      </c>
      <c r="P271" s="41">
        <v>1</v>
      </c>
      <c r="Q271" s="40">
        <v>3</v>
      </c>
      <c r="R271" s="40">
        <v>5</v>
      </c>
      <c r="S271" s="40">
        <v>3</v>
      </c>
      <c r="T271" s="40">
        <v>6</v>
      </c>
      <c r="U271" s="41">
        <v>4</v>
      </c>
      <c r="V271" s="40">
        <v>3</v>
      </c>
      <c r="W271" s="40">
        <v>5</v>
      </c>
      <c r="X271" s="40">
        <v>1</v>
      </c>
      <c r="Y271" s="41">
        <v>1</v>
      </c>
      <c r="Z271" s="40" t="s">
        <v>45</v>
      </c>
      <c r="AA271" s="40" t="s">
        <v>45</v>
      </c>
      <c r="AB271" s="40" t="s">
        <v>45</v>
      </c>
      <c r="AC271" s="40" t="s">
        <v>45</v>
      </c>
      <c r="AD271" s="40" t="s">
        <v>45</v>
      </c>
      <c r="AE271" s="40">
        <v>1</v>
      </c>
      <c r="AF271" s="40">
        <v>2</v>
      </c>
      <c r="AG271" s="41">
        <v>1</v>
      </c>
      <c r="AH271" s="40">
        <v>7</v>
      </c>
      <c r="AI271" s="40">
        <v>4</v>
      </c>
      <c r="AJ271" s="41">
        <v>6</v>
      </c>
      <c r="AK271" s="43" t="s">
        <v>644</v>
      </c>
      <c r="AL271" s="43"/>
      <c r="AM271" s="44">
        <f t="shared" si="29"/>
        <v>-1.9115723057940897</v>
      </c>
      <c r="AN271" s="44">
        <f t="shared" si="30"/>
        <v>-0.50027240140045004</v>
      </c>
      <c r="AO271" s="45">
        <f t="shared" si="31"/>
        <v>0</v>
      </c>
      <c r="AP271" s="46">
        <f t="shared" si="32"/>
        <v>0</v>
      </c>
      <c r="AQ271" s="44">
        <f>($AM$3*AM271+$AN$3*AN271+$AO$3*AO271+$AP$3*AP271)+$I$3*VLOOKUP(I271,COND!$A$2:$E$7,4,FALSE)+$J$3*VLOOKUP(J271,COND!$A$2:$C$7,2,FALSE)+$K$3*VLOOKUP(K271,COND!$A$2:$C$7,3,FALSE)+IF(AND($B$2&gt;0,$E271&lt;20),$B$2*25,0)</f>
        <v>43.505573952615194</v>
      </c>
      <c r="AR271" s="47">
        <f t="shared" si="33"/>
        <v>-0.13886952483111731</v>
      </c>
      <c r="AS271" s="45" t="str">
        <f t="shared" si="34"/>
        <v>CF</v>
      </c>
      <c r="AT271" s="45">
        <f>RANK(Batters[[#This Row],[zScore]],Batters[[#All],[zScore]])</f>
        <v>267</v>
      </c>
      <c r="AU271" s="45"/>
      <c r="AV271" s="45"/>
      <c r="AW271" s="45" t="str">
        <f t="shared" si="35"/>
        <v>Unlikely</v>
      </c>
      <c r="AX271" s="45"/>
      <c r="AY271" s="64">
        <f>INDEX(Table5[[#All],[Ovr]],MATCH(Batters[[#This Row],[PID]],Table5[[#All],[PID]],0))</f>
        <v>352</v>
      </c>
      <c r="AZ271" s="64" t="str">
        <f>INDEX(Table5[[#All],[Rnd]],MATCH(Batters[[#This Row],[PID]],Table5[[#All],[PID]],0))</f>
        <v>12</v>
      </c>
      <c r="BA271" s="64">
        <f>INDEX(Table5[[#All],[Pick]],MATCH(Batters[[#This Row],[PID]],Table5[[#All],[PID]],0))</f>
        <v>14</v>
      </c>
      <c r="BB271" s="64" t="str">
        <f>INDEX(Table5[[#All],[Team]],MATCH(Batters[[#This Row],[PID]],Table5[[#All],[PID]],0))</f>
        <v>Arlington Bureaucrats</v>
      </c>
    </row>
    <row r="272" spans="1:54" ht="15" customHeight="1" x14ac:dyDescent="0.25">
      <c r="A272" s="40">
        <v>18084</v>
      </c>
      <c r="B272" s="40" t="s">
        <v>74</v>
      </c>
      <c r="C272" s="40" t="s">
        <v>395</v>
      </c>
      <c r="D272" s="40" t="s">
        <v>1266</v>
      </c>
      <c r="E272" s="40">
        <v>21</v>
      </c>
      <c r="F272" s="40" t="s">
        <v>42</v>
      </c>
      <c r="G272" s="40" t="s">
        <v>42</v>
      </c>
      <c r="H272" s="41" t="s">
        <v>634</v>
      </c>
      <c r="I272" s="65" t="s">
        <v>43</v>
      </c>
      <c r="J272" s="66" t="s">
        <v>43</v>
      </c>
      <c r="K272" s="67" t="s">
        <v>43</v>
      </c>
      <c r="L272" s="40">
        <v>3</v>
      </c>
      <c r="M272" s="40">
        <v>5</v>
      </c>
      <c r="N272" s="40">
        <v>2</v>
      </c>
      <c r="O272" s="40">
        <v>2</v>
      </c>
      <c r="P272" s="41">
        <v>3</v>
      </c>
      <c r="Q272" s="40">
        <v>4</v>
      </c>
      <c r="R272" s="40">
        <v>6</v>
      </c>
      <c r="S272" s="40">
        <v>4</v>
      </c>
      <c r="T272" s="40">
        <v>4</v>
      </c>
      <c r="U272" s="41">
        <v>4</v>
      </c>
      <c r="V272" s="40">
        <v>4</v>
      </c>
      <c r="W272" s="40">
        <v>6</v>
      </c>
      <c r="X272" s="40">
        <v>1</v>
      </c>
      <c r="Y272" s="41">
        <v>1</v>
      </c>
      <c r="Z272" s="40" t="s">
        <v>45</v>
      </c>
      <c r="AA272" s="40" t="s">
        <v>45</v>
      </c>
      <c r="AB272" s="40" t="s">
        <v>45</v>
      </c>
      <c r="AC272" s="40" t="s">
        <v>45</v>
      </c>
      <c r="AD272" s="40" t="s">
        <v>45</v>
      </c>
      <c r="AE272" s="40" t="s">
        <v>45</v>
      </c>
      <c r="AF272" s="40">
        <v>6</v>
      </c>
      <c r="AG272" s="41" t="s">
        <v>45</v>
      </c>
      <c r="AH272" s="40">
        <v>7</v>
      </c>
      <c r="AI272" s="40">
        <v>10</v>
      </c>
      <c r="AJ272" s="41">
        <v>7</v>
      </c>
      <c r="AK272" s="43" t="s">
        <v>1267</v>
      </c>
      <c r="AL272" s="43" t="s">
        <v>47</v>
      </c>
      <c r="AM272" s="44">
        <f t="shared" si="29"/>
        <v>-0.98218843527975919</v>
      </c>
      <c r="AN272" s="44">
        <f t="shared" si="30"/>
        <v>-0.22301429157433236</v>
      </c>
      <c r="AO272" s="45">
        <f t="shared" si="31"/>
        <v>3</v>
      </c>
      <c r="AP272" s="46">
        <f t="shared" si="32"/>
        <v>0.75</v>
      </c>
      <c r="AQ272" s="44">
        <f>($AM$3*AM272+$AN$3*AN272+$AO$3*AO272+$AP$3*AP272)+$I$3*VLOOKUP(I272,COND!$A$2:$E$7,4,FALSE)+$J$3*VLOOKUP(J272,COND!$A$2:$C$7,2,FALSE)+$K$3*VLOOKUP(K272,COND!$A$2:$C$7,3,FALSE)+IF(AND($B$2&gt;0,$E272&lt;20),$B$2*25,0)</f>
        <v>43.475609657580037</v>
      </c>
      <c r="AR272" s="47">
        <f t="shared" si="33"/>
        <v>-0.14551281158024887</v>
      </c>
      <c r="AS272" s="45" t="str">
        <f t="shared" si="34"/>
        <v>CF</v>
      </c>
      <c r="AT272" s="45">
        <f>RANK(Batters[[#This Row],[zScore]],Batters[[#All],[zScore]])</f>
        <v>268</v>
      </c>
      <c r="AU272" s="45"/>
      <c r="AV272" s="45"/>
      <c r="AW272" s="45" t="str">
        <f t="shared" si="35"/>
        <v>Unlikely</v>
      </c>
      <c r="AX272" s="45"/>
      <c r="AY272" s="45">
        <f>INDEX(Table5[[#All],[Ovr]],MATCH(Batters[[#This Row],[PID]],Table5[[#All],[PID]],0))</f>
        <v>261</v>
      </c>
      <c r="AZ272" s="45" t="str">
        <f>INDEX(Table5[[#All],[Rnd]],MATCH(Batters[[#This Row],[PID]],Table5[[#All],[PID]],0))</f>
        <v>9</v>
      </c>
      <c r="BA272" s="45">
        <f>INDEX(Table5[[#All],[Pick]],MATCH(Batters[[#This Row],[PID]],Table5[[#All],[PID]],0))</f>
        <v>13</v>
      </c>
      <c r="BB272" s="45" t="str">
        <f>INDEX(Table5[[#All],[Team]],MATCH(Batters[[#This Row],[PID]],Table5[[#All],[PID]],0))</f>
        <v>Reno Zephyrs</v>
      </c>
    </row>
    <row r="273" spans="1:54" ht="15" customHeight="1" x14ac:dyDescent="0.25">
      <c r="A273" s="40">
        <v>17587</v>
      </c>
      <c r="B273" s="40" t="s">
        <v>66</v>
      </c>
      <c r="C273" s="40" t="s">
        <v>658</v>
      </c>
      <c r="D273" s="40" t="s">
        <v>774</v>
      </c>
      <c r="E273" s="40">
        <v>18</v>
      </c>
      <c r="F273" s="40" t="s">
        <v>42</v>
      </c>
      <c r="G273" s="40" t="s">
        <v>42</v>
      </c>
      <c r="H273" s="41" t="s">
        <v>638</v>
      </c>
      <c r="I273" s="65" t="s">
        <v>43</v>
      </c>
      <c r="J273" s="66" t="s">
        <v>44</v>
      </c>
      <c r="K273" s="67" t="s">
        <v>43</v>
      </c>
      <c r="L273" s="40">
        <v>1</v>
      </c>
      <c r="M273" s="40">
        <v>1</v>
      </c>
      <c r="N273" s="40">
        <v>2</v>
      </c>
      <c r="O273" s="40">
        <v>1</v>
      </c>
      <c r="P273" s="41">
        <v>1</v>
      </c>
      <c r="Q273" s="40">
        <v>4</v>
      </c>
      <c r="R273" s="40">
        <v>2</v>
      </c>
      <c r="S273" s="40">
        <v>2</v>
      </c>
      <c r="T273" s="40">
        <v>5</v>
      </c>
      <c r="U273" s="41">
        <v>4</v>
      </c>
      <c r="V273" s="40">
        <v>4</v>
      </c>
      <c r="W273" s="40">
        <v>7</v>
      </c>
      <c r="X273" s="40">
        <v>1</v>
      </c>
      <c r="Y273" s="41">
        <v>1</v>
      </c>
      <c r="Z273" s="40" t="s">
        <v>45</v>
      </c>
      <c r="AA273" s="40" t="s">
        <v>45</v>
      </c>
      <c r="AB273" s="40" t="s">
        <v>45</v>
      </c>
      <c r="AC273" s="40" t="s">
        <v>45</v>
      </c>
      <c r="AD273" s="40" t="s">
        <v>45</v>
      </c>
      <c r="AE273" s="40" t="s">
        <v>45</v>
      </c>
      <c r="AF273" s="40">
        <v>1</v>
      </c>
      <c r="AG273" s="41">
        <v>4</v>
      </c>
      <c r="AH273" s="40">
        <v>7</v>
      </c>
      <c r="AI273" s="40">
        <v>7</v>
      </c>
      <c r="AJ273" s="41">
        <v>5</v>
      </c>
      <c r="AK273" s="43" t="s">
        <v>659</v>
      </c>
      <c r="AL273" s="43" t="s">
        <v>47</v>
      </c>
      <c r="AM273" s="44">
        <f t="shared" si="29"/>
        <v>-2.0012818558036707</v>
      </c>
      <c r="AN273" s="44">
        <f t="shared" si="30"/>
        <v>-0.50366724808736829</v>
      </c>
      <c r="AO273" s="45">
        <f t="shared" si="31"/>
        <v>0</v>
      </c>
      <c r="AP273" s="46">
        <f t="shared" si="32"/>
        <v>0</v>
      </c>
      <c r="AQ273" s="44">
        <f>($AM$3*AM273+$AN$3*AN273+$AO$3*AO273+$AP$3*AP273)+$I$3*VLOOKUP(I273,COND!$A$2:$E$7,4,FALSE)+$J$3*VLOOKUP(J273,COND!$A$2:$C$7,2,FALSE)+$K$3*VLOOKUP(K273,COND!$A$2:$C$7,3,FALSE)+IF(AND($B$2&gt;0,$E273&lt;20),$B$2*25,0)</f>
        <v>43.455864837371209</v>
      </c>
      <c r="AR273" s="47">
        <f t="shared" si="33"/>
        <v>-0.14989037168314437</v>
      </c>
      <c r="AS273" s="45" t="str">
        <f t="shared" si="34"/>
        <v>RF</v>
      </c>
      <c r="AT273" s="45">
        <f>RANK(Batters[[#This Row],[zScore]],Batters[[#All],[zScore]])</f>
        <v>269</v>
      </c>
      <c r="AU273" s="45"/>
      <c r="AV273" s="45"/>
      <c r="AW273" s="45" t="str">
        <f t="shared" si="35"/>
        <v>Unlikely</v>
      </c>
      <c r="AX273" s="45"/>
      <c r="AY273" s="45">
        <f>INDEX(Table5[[#All],[Ovr]],MATCH(Batters[[#This Row],[PID]],Table5[[#All],[PID]],0))</f>
        <v>364</v>
      </c>
      <c r="AZ273" s="45" t="str">
        <f>INDEX(Table5[[#All],[Rnd]],MATCH(Batters[[#This Row],[PID]],Table5[[#All],[PID]],0))</f>
        <v>12</v>
      </c>
      <c r="BA273" s="45">
        <f>INDEX(Table5[[#All],[Pick]],MATCH(Batters[[#This Row],[PID]],Table5[[#All],[PID]],0))</f>
        <v>26</v>
      </c>
      <c r="BB273" s="45" t="str">
        <f>INDEX(Table5[[#All],[Team]],MATCH(Batters[[#This Row],[PID]],Table5[[#All],[PID]],0))</f>
        <v>Aurora Borealis</v>
      </c>
    </row>
    <row r="274" spans="1:54" ht="15" customHeight="1" x14ac:dyDescent="0.25">
      <c r="A274" s="40">
        <v>17883</v>
      </c>
      <c r="B274" s="40" t="s">
        <v>50</v>
      </c>
      <c r="C274" s="40" t="s">
        <v>583</v>
      </c>
      <c r="D274" s="40" t="s">
        <v>1097</v>
      </c>
      <c r="E274" s="40">
        <v>18</v>
      </c>
      <c r="F274" s="40" t="s">
        <v>42</v>
      </c>
      <c r="G274" s="40" t="s">
        <v>42</v>
      </c>
      <c r="H274" s="41" t="s">
        <v>638</v>
      </c>
      <c r="I274" s="65" t="s">
        <v>43</v>
      </c>
      <c r="J274" s="66" t="s">
        <v>47</v>
      </c>
      <c r="K274" s="67" t="s">
        <v>43</v>
      </c>
      <c r="L274" s="40">
        <v>2</v>
      </c>
      <c r="M274" s="40">
        <v>2</v>
      </c>
      <c r="N274" s="40">
        <v>3</v>
      </c>
      <c r="O274" s="40">
        <v>3</v>
      </c>
      <c r="P274" s="41">
        <v>1</v>
      </c>
      <c r="Q274" s="40">
        <v>3</v>
      </c>
      <c r="R274" s="40">
        <v>3</v>
      </c>
      <c r="S274" s="40">
        <v>4</v>
      </c>
      <c r="T274" s="40">
        <v>6</v>
      </c>
      <c r="U274" s="41">
        <v>3</v>
      </c>
      <c r="V274" s="40">
        <v>4</v>
      </c>
      <c r="W274" s="40">
        <v>8</v>
      </c>
      <c r="X274" s="40">
        <v>1</v>
      </c>
      <c r="Y274" s="41">
        <v>1</v>
      </c>
      <c r="Z274" s="40" t="s">
        <v>45</v>
      </c>
      <c r="AA274" s="40" t="s">
        <v>45</v>
      </c>
      <c r="AB274" s="40" t="s">
        <v>45</v>
      </c>
      <c r="AC274" s="40" t="s">
        <v>45</v>
      </c>
      <c r="AD274" s="40" t="s">
        <v>45</v>
      </c>
      <c r="AE274" s="40">
        <v>3</v>
      </c>
      <c r="AF274" s="40" t="s">
        <v>45</v>
      </c>
      <c r="AG274" s="41" t="s">
        <v>45</v>
      </c>
      <c r="AH274" s="40">
        <v>3</v>
      </c>
      <c r="AI274" s="40">
        <v>6</v>
      </c>
      <c r="AJ274" s="41">
        <v>4</v>
      </c>
      <c r="AK274" s="43" t="s">
        <v>644</v>
      </c>
      <c r="AL274" s="43" t="s">
        <v>47</v>
      </c>
      <c r="AM274" s="44">
        <f t="shared" si="29"/>
        <v>-1.3651855459392288</v>
      </c>
      <c r="AN274" s="44">
        <f t="shared" si="30"/>
        <v>-0.55934700643103885</v>
      </c>
      <c r="AO274" s="45">
        <f t="shared" si="31"/>
        <v>0</v>
      </c>
      <c r="AP274" s="46">
        <f t="shared" si="32"/>
        <v>0</v>
      </c>
      <c r="AQ274" s="44">
        <f>($AM$3*AM274+$AN$3*AN274+$AO$3*AO274+$AP$3*AP274)+$I$3*VLOOKUP(I274,COND!$A$2:$E$7,4,FALSE)+$J$3*VLOOKUP(J274,COND!$A$2:$C$7,2,FALSE)+$K$3*VLOOKUP(K274,COND!$A$2:$C$7,3,FALSE)+IF(AND($B$2&gt;0,$E274&lt;20),$B$2*25,0)</f>
        <v>43.45131736823361</v>
      </c>
      <c r="AR274" s="47">
        <f t="shared" si="33"/>
        <v>-0.15089857632898865</v>
      </c>
      <c r="AS274" s="45" t="str">
        <f t="shared" si="34"/>
        <v>LF</v>
      </c>
      <c r="AT274" s="45">
        <f>RANK(Batters[[#This Row],[zScore]],Batters[[#All],[zScore]])</f>
        <v>270</v>
      </c>
      <c r="AU274" s="45"/>
      <c r="AV274" s="45"/>
      <c r="AW274" s="45" t="str">
        <f t="shared" si="35"/>
        <v>Unlikely</v>
      </c>
      <c r="AX274" s="45"/>
      <c r="AY274" s="45">
        <f>INDEX(Table5[[#All],[Ovr]],MATCH(Batters[[#This Row],[PID]],Table5[[#All],[PID]],0))</f>
        <v>317</v>
      </c>
      <c r="AZ274" s="45" t="str">
        <f>INDEX(Table5[[#All],[Rnd]],MATCH(Batters[[#This Row],[PID]],Table5[[#All],[PID]],0))</f>
        <v>11</v>
      </c>
      <c r="BA274" s="45">
        <f>INDEX(Table5[[#All],[Pick]],MATCH(Batters[[#This Row],[PID]],Table5[[#All],[PID]],0))</f>
        <v>9</v>
      </c>
      <c r="BB274" s="45" t="str">
        <f>INDEX(Table5[[#All],[Team]],MATCH(Batters[[#This Row],[PID]],Table5[[#All],[PID]],0))</f>
        <v>Scottish Claymores</v>
      </c>
    </row>
    <row r="275" spans="1:54" ht="15" customHeight="1" x14ac:dyDescent="0.25">
      <c r="A275" s="40">
        <v>20197</v>
      </c>
      <c r="B275" s="40" t="s">
        <v>87</v>
      </c>
      <c r="C275" s="40" t="s">
        <v>180</v>
      </c>
      <c r="D275" s="40" t="s">
        <v>745</v>
      </c>
      <c r="E275" s="40">
        <v>21</v>
      </c>
      <c r="F275" s="40" t="s">
        <v>53</v>
      </c>
      <c r="G275" s="40" t="s">
        <v>53</v>
      </c>
      <c r="H275" s="41" t="s">
        <v>634</v>
      </c>
      <c r="I275" s="65" t="s">
        <v>43</v>
      </c>
      <c r="J275" s="66" t="s">
        <v>44</v>
      </c>
      <c r="K275" s="67" t="s">
        <v>43</v>
      </c>
      <c r="L275" s="40">
        <v>2</v>
      </c>
      <c r="M275" s="40">
        <v>4</v>
      </c>
      <c r="N275" s="40">
        <v>4</v>
      </c>
      <c r="O275" s="40">
        <v>3</v>
      </c>
      <c r="P275" s="41">
        <v>3</v>
      </c>
      <c r="Q275" s="40">
        <v>4</v>
      </c>
      <c r="R275" s="40">
        <v>5</v>
      </c>
      <c r="S275" s="40">
        <v>5</v>
      </c>
      <c r="T275" s="40">
        <v>5</v>
      </c>
      <c r="U275" s="41">
        <v>4</v>
      </c>
      <c r="V275" s="40">
        <v>3</v>
      </c>
      <c r="W275" s="40">
        <v>3</v>
      </c>
      <c r="X275" s="40">
        <v>1</v>
      </c>
      <c r="Y275" s="41">
        <v>1</v>
      </c>
      <c r="Z275" s="40" t="s">
        <v>45</v>
      </c>
      <c r="AA275" s="40">
        <v>2</v>
      </c>
      <c r="AB275" s="40" t="s">
        <v>45</v>
      </c>
      <c r="AC275" s="40" t="s">
        <v>45</v>
      </c>
      <c r="AD275" s="40" t="s">
        <v>45</v>
      </c>
      <c r="AE275" s="40" t="s">
        <v>45</v>
      </c>
      <c r="AF275" s="40" t="s">
        <v>45</v>
      </c>
      <c r="AG275" s="41" t="s">
        <v>45</v>
      </c>
      <c r="AH275" s="40">
        <v>1</v>
      </c>
      <c r="AI275" s="40">
        <v>2</v>
      </c>
      <c r="AJ275" s="41">
        <v>2</v>
      </c>
      <c r="AK275" s="43" t="s">
        <v>1236</v>
      </c>
      <c r="AL275" s="43" t="s">
        <v>47</v>
      </c>
      <c r="AM275" s="44">
        <f t="shared" si="29"/>
        <v>-1.0999716130437533</v>
      </c>
      <c r="AN275" s="44">
        <f t="shared" si="30"/>
        <v>-0.10130312715955338</v>
      </c>
      <c r="AO275" s="45">
        <f t="shared" si="31"/>
        <v>0</v>
      </c>
      <c r="AP275" s="46">
        <f t="shared" si="32"/>
        <v>0</v>
      </c>
      <c r="AQ275" s="44">
        <f>($AM$3*AM275+$AN$3*AN275+$AO$3*AO275+$AP$3*AP275)+$I$3*VLOOKUP(I275,COND!$A$2:$E$7,4,FALSE)+$J$3*VLOOKUP(J275,COND!$A$2:$C$7,2,FALSE)+$K$3*VLOOKUP(K275,COND!$A$2:$C$7,3,FALSE)+IF(AND($B$2&gt;0,$E275&lt;20),$B$2*25,0)</f>
        <v>43.374365312780981</v>
      </c>
      <c r="AR275" s="47">
        <f t="shared" si="33"/>
        <v>-0.16795936717045798</v>
      </c>
      <c r="AS275" s="45" t="str">
        <f t="shared" si="34"/>
        <v>1B</v>
      </c>
      <c r="AT275" s="45">
        <f>RANK(Batters[[#This Row],[zScore]],Batters[[#All],[zScore]])</f>
        <v>271</v>
      </c>
      <c r="AU275" s="45"/>
      <c r="AV275" s="45"/>
      <c r="AW275" s="45" t="str">
        <f t="shared" si="35"/>
        <v>Unlikely</v>
      </c>
      <c r="AX275" s="45"/>
      <c r="AY275" s="45">
        <f>INDEX(Table5[[#All],[Ovr]],MATCH(Batters[[#This Row],[PID]],Table5[[#All],[PID]],0))</f>
        <v>412</v>
      </c>
      <c r="AZ275" s="45" t="str">
        <f>INDEX(Table5[[#All],[Rnd]],MATCH(Batters[[#This Row],[PID]],Table5[[#All],[PID]],0))</f>
        <v>14</v>
      </c>
      <c r="BA275" s="45">
        <f>INDEX(Table5[[#All],[Pick]],MATCH(Batters[[#This Row],[PID]],Table5[[#All],[PID]],0))</f>
        <v>14</v>
      </c>
      <c r="BB275" s="45" t="str">
        <f>INDEX(Table5[[#All],[Team]],MATCH(Batters[[#This Row],[PID]],Table5[[#All],[PID]],0))</f>
        <v>Arlington Bureaucrats</v>
      </c>
    </row>
    <row r="276" spans="1:54" ht="15" customHeight="1" x14ac:dyDescent="0.25">
      <c r="A276" s="40">
        <v>12277</v>
      </c>
      <c r="B276" s="40" t="s">
        <v>69</v>
      </c>
      <c r="C276" s="40" t="s">
        <v>1447</v>
      </c>
      <c r="D276" s="40" t="s">
        <v>1448</v>
      </c>
      <c r="E276" s="40">
        <v>18</v>
      </c>
      <c r="F276" s="40" t="s">
        <v>62</v>
      </c>
      <c r="G276" s="40" t="s">
        <v>42</v>
      </c>
      <c r="H276" s="41" t="s">
        <v>638</v>
      </c>
      <c r="I276" s="65" t="s">
        <v>43</v>
      </c>
      <c r="J276" s="66" t="s">
        <v>43</v>
      </c>
      <c r="K276" s="67" t="s">
        <v>43</v>
      </c>
      <c r="L276" s="40">
        <v>1</v>
      </c>
      <c r="M276" s="40">
        <v>2</v>
      </c>
      <c r="N276" s="40">
        <v>2</v>
      </c>
      <c r="O276" s="40">
        <v>2</v>
      </c>
      <c r="P276" s="41">
        <v>1</v>
      </c>
      <c r="Q276" s="40">
        <v>3</v>
      </c>
      <c r="R276" s="40">
        <v>6</v>
      </c>
      <c r="S276" s="40">
        <v>3</v>
      </c>
      <c r="T276" s="40">
        <v>5</v>
      </c>
      <c r="U276" s="41">
        <v>3</v>
      </c>
      <c r="V276" s="40">
        <v>7</v>
      </c>
      <c r="W276" s="40">
        <v>8</v>
      </c>
      <c r="X276" s="40">
        <v>1</v>
      </c>
      <c r="Y276" s="41">
        <v>1</v>
      </c>
      <c r="Z276" s="40" t="s">
        <v>45</v>
      </c>
      <c r="AA276" s="40" t="s">
        <v>45</v>
      </c>
      <c r="AB276" s="40" t="s">
        <v>45</v>
      </c>
      <c r="AC276" s="40">
        <v>4</v>
      </c>
      <c r="AD276" s="40">
        <v>2</v>
      </c>
      <c r="AE276" s="40" t="s">
        <v>45</v>
      </c>
      <c r="AF276" s="40" t="s">
        <v>45</v>
      </c>
      <c r="AG276" s="41" t="s">
        <v>45</v>
      </c>
      <c r="AH276" s="40">
        <v>9</v>
      </c>
      <c r="AI276" s="40">
        <v>7</v>
      </c>
      <c r="AJ276" s="41">
        <v>7</v>
      </c>
      <c r="AK276" s="43" t="s">
        <v>656</v>
      </c>
      <c r="AL276" s="43" t="s">
        <v>635</v>
      </c>
      <c r="AM276" s="44">
        <f t="shared" si="29"/>
        <v>-1.8605124261753858</v>
      </c>
      <c r="AN276" s="44">
        <f t="shared" si="30"/>
        <v>-0.57893841160841097</v>
      </c>
      <c r="AO276" s="45">
        <f t="shared" si="31"/>
        <v>3</v>
      </c>
      <c r="AP276" s="46">
        <f t="shared" si="32"/>
        <v>0</v>
      </c>
      <c r="AQ276" s="44">
        <f>($AM$3*AM276+$AN$3*AN276+$AO$3*AO276+$AP$3*AP276)+$I$3*VLOOKUP(I276,COND!$A$2:$E$7,4,FALSE)+$J$3*VLOOKUP(J276,COND!$A$2:$C$7,2,FALSE)+$K$3*VLOOKUP(K276,COND!$A$2:$C$7,3,FALSE)+IF(AND($B$2&gt;0,$E276&lt;20),$B$2*25,0)</f>
        <v>43.36668781808153</v>
      </c>
      <c r="AR276" s="47">
        <f t="shared" si="33"/>
        <v>-0.16966151964037407</v>
      </c>
      <c r="AS276" s="45" t="str">
        <f t="shared" si="34"/>
        <v>3B</v>
      </c>
      <c r="AT276" s="45">
        <f>RANK(Batters[[#This Row],[zScore]],Batters[[#All],[zScore]])</f>
        <v>272</v>
      </c>
      <c r="AU276" s="45"/>
      <c r="AV276" s="45"/>
      <c r="AW276" s="45" t="str">
        <f t="shared" si="35"/>
        <v>Unlikely</v>
      </c>
      <c r="AX276" s="45"/>
      <c r="AY276" s="45">
        <f>INDEX(Table5[[#All],[Ovr]],MATCH(Batters[[#This Row],[PID]],Table5[[#All],[PID]],0))</f>
        <v>503</v>
      </c>
      <c r="AZ276" s="45" t="str">
        <f>INDEX(Table5[[#All],[Rnd]],MATCH(Batters[[#This Row],[PID]],Table5[[#All],[PID]],0))</f>
        <v>17</v>
      </c>
      <c r="BA276" s="45">
        <f>INDEX(Table5[[#All],[Pick]],MATCH(Batters[[#This Row],[PID]],Table5[[#All],[PID]],0))</f>
        <v>15</v>
      </c>
      <c r="BB276" s="45" t="str">
        <f>INDEX(Table5[[#All],[Team]],MATCH(Batters[[#This Row],[PID]],Table5[[#All],[PID]],0))</f>
        <v>Kentucky Thoroughbreds</v>
      </c>
    </row>
    <row r="277" spans="1:54" ht="15" customHeight="1" x14ac:dyDescent="0.25">
      <c r="A277" s="40">
        <v>17771</v>
      </c>
      <c r="B277" s="40" t="s">
        <v>50</v>
      </c>
      <c r="C277" s="40" t="s">
        <v>945</v>
      </c>
      <c r="D277" s="40" t="s">
        <v>1502</v>
      </c>
      <c r="E277" s="40">
        <v>21</v>
      </c>
      <c r="F277" s="40" t="s">
        <v>53</v>
      </c>
      <c r="G277" s="40" t="s">
        <v>53</v>
      </c>
      <c r="H277" s="41" t="s">
        <v>638</v>
      </c>
      <c r="I277" s="65" t="s">
        <v>43</v>
      </c>
      <c r="J277" s="66" t="s">
        <v>44</v>
      </c>
      <c r="K277" s="67" t="s">
        <v>43</v>
      </c>
      <c r="L277" s="40">
        <v>2</v>
      </c>
      <c r="M277" s="40">
        <v>2</v>
      </c>
      <c r="N277" s="40">
        <v>3</v>
      </c>
      <c r="O277" s="40">
        <v>2</v>
      </c>
      <c r="P277" s="41">
        <v>2</v>
      </c>
      <c r="Q277" s="40">
        <v>4</v>
      </c>
      <c r="R277" s="40">
        <v>3</v>
      </c>
      <c r="S277" s="40">
        <v>5</v>
      </c>
      <c r="T277" s="40">
        <v>6</v>
      </c>
      <c r="U277" s="41">
        <v>4</v>
      </c>
      <c r="V277" s="40">
        <v>2</v>
      </c>
      <c r="W277" s="40">
        <v>5</v>
      </c>
      <c r="X277" s="40">
        <v>1</v>
      </c>
      <c r="Y277" s="41">
        <v>1</v>
      </c>
      <c r="Z277" s="40" t="s">
        <v>45</v>
      </c>
      <c r="AA277" s="40" t="s">
        <v>45</v>
      </c>
      <c r="AB277" s="40" t="s">
        <v>45</v>
      </c>
      <c r="AC277" s="40" t="s">
        <v>45</v>
      </c>
      <c r="AD277" s="40" t="s">
        <v>45</v>
      </c>
      <c r="AE277" s="40">
        <v>3</v>
      </c>
      <c r="AF277" s="40" t="s">
        <v>45</v>
      </c>
      <c r="AG277" s="41">
        <v>2</v>
      </c>
      <c r="AH277" s="40">
        <v>7</v>
      </c>
      <c r="AI277" s="40">
        <v>7</v>
      </c>
      <c r="AJ277" s="41">
        <v>7</v>
      </c>
      <c r="AK277" s="43" t="s">
        <v>45</v>
      </c>
      <c r="AL277" s="43" t="s">
        <v>635</v>
      </c>
      <c r="AM277" s="44">
        <f t="shared" si="29"/>
        <v>-1.414878756131726</v>
      </c>
      <c r="AN277" s="44">
        <f t="shared" si="30"/>
        <v>-0.11371333638737929</v>
      </c>
      <c r="AO277" s="45">
        <f t="shared" si="31"/>
        <v>1</v>
      </c>
      <c r="AP277" s="46">
        <f t="shared" si="32"/>
        <v>0</v>
      </c>
      <c r="AQ277" s="44">
        <f>($AM$3*AM277+$AN$3*AN277+$AO$3*AO277+$AP$3*AP277)+$I$3*VLOOKUP(I277,COND!$A$2:$E$7,4,FALSE)+$J$3*VLOOKUP(J277,COND!$A$2:$C$7,2,FALSE)+$K$3*VLOOKUP(K277,COND!$A$2:$C$7,3,FALSE)+IF(AND($B$2&gt;0,$E277&lt;20),$B$2*25,0)</f>
        <v>43.360618754404939</v>
      </c>
      <c r="AR277" s="47">
        <f t="shared" si="33"/>
        <v>-0.17100707208053756</v>
      </c>
      <c r="AS277" s="45" t="str">
        <f t="shared" si="34"/>
        <v>LF</v>
      </c>
      <c r="AT277" s="45">
        <f>RANK(Batters[[#This Row],[zScore]],Batters[[#All],[zScore]])</f>
        <v>273</v>
      </c>
      <c r="AU277" s="45"/>
      <c r="AV277" s="45"/>
      <c r="AW277" s="45" t="str">
        <f t="shared" si="35"/>
        <v>Unlikely</v>
      </c>
      <c r="AX277" s="45"/>
      <c r="AY277" s="45">
        <f>INDEX(Table5[[#All],[Ovr]],MATCH(Batters[[#This Row],[PID]],Table5[[#All],[PID]],0))</f>
        <v>318</v>
      </c>
      <c r="AZ277" s="45" t="str">
        <f>INDEX(Table5[[#All],[Rnd]],MATCH(Batters[[#This Row],[PID]],Table5[[#All],[PID]],0))</f>
        <v>11</v>
      </c>
      <c r="BA277" s="45">
        <f>INDEX(Table5[[#All],[Pick]],MATCH(Batters[[#This Row],[PID]],Table5[[#All],[PID]],0))</f>
        <v>10</v>
      </c>
      <c r="BB277" s="45" t="str">
        <f>INDEX(Table5[[#All],[Team]],MATCH(Batters[[#This Row],[PID]],Table5[[#All],[PID]],0))</f>
        <v>Hartford Harpoon</v>
      </c>
    </row>
    <row r="278" spans="1:54" ht="15" customHeight="1" x14ac:dyDescent="0.25">
      <c r="A278" s="40">
        <v>16923</v>
      </c>
      <c r="B278" s="40" t="s">
        <v>66</v>
      </c>
      <c r="C278" s="40" t="s">
        <v>1391</v>
      </c>
      <c r="D278" s="40" t="s">
        <v>193</v>
      </c>
      <c r="E278" s="40">
        <v>21</v>
      </c>
      <c r="F278" s="40" t="s">
        <v>42</v>
      </c>
      <c r="G278" s="40" t="s">
        <v>53</v>
      </c>
      <c r="H278" s="41" t="s">
        <v>638</v>
      </c>
      <c r="I278" s="65" t="s">
        <v>43</v>
      </c>
      <c r="J278" s="66" t="s">
        <v>44</v>
      </c>
      <c r="K278" s="67" t="s">
        <v>43</v>
      </c>
      <c r="L278" s="40">
        <v>2</v>
      </c>
      <c r="M278" s="40">
        <v>2</v>
      </c>
      <c r="N278" s="40">
        <v>3</v>
      </c>
      <c r="O278" s="40">
        <v>2</v>
      </c>
      <c r="P278" s="41">
        <v>1</v>
      </c>
      <c r="Q278" s="40">
        <v>4</v>
      </c>
      <c r="R278" s="40">
        <v>5</v>
      </c>
      <c r="S278" s="40">
        <v>5</v>
      </c>
      <c r="T278" s="40">
        <v>5</v>
      </c>
      <c r="U278" s="41">
        <v>3</v>
      </c>
      <c r="V278" s="40">
        <v>2</v>
      </c>
      <c r="W278" s="40">
        <v>5</v>
      </c>
      <c r="X278" s="40">
        <v>1</v>
      </c>
      <c r="Y278" s="41">
        <v>1</v>
      </c>
      <c r="Z278" s="40" t="s">
        <v>45</v>
      </c>
      <c r="AA278" s="40" t="s">
        <v>45</v>
      </c>
      <c r="AB278" s="40" t="s">
        <v>45</v>
      </c>
      <c r="AC278" s="40" t="s">
        <v>45</v>
      </c>
      <c r="AD278" s="40" t="s">
        <v>45</v>
      </c>
      <c r="AE278" s="40" t="s">
        <v>45</v>
      </c>
      <c r="AF278" s="40" t="s">
        <v>45</v>
      </c>
      <c r="AG278" s="41">
        <v>2</v>
      </c>
      <c r="AH278" s="40">
        <v>10</v>
      </c>
      <c r="AI278" s="40">
        <v>7</v>
      </c>
      <c r="AJ278" s="41">
        <v>7</v>
      </c>
      <c r="AK278" s="43" t="s">
        <v>1392</v>
      </c>
      <c r="AL278" s="43" t="s">
        <v>47</v>
      </c>
      <c r="AM278" s="44">
        <f t="shared" si="29"/>
        <v>-1.4548950959488096</v>
      </c>
      <c r="AN278" s="44">
        <f t="shared" si="30"/>
        <v>-0.14131946697663683</v>
      </c>
      <c r="AO278" s="45">
        <f t="shared" si="31"/>
        <v>3</v>
      </c>
      <c r="AP278" s="46">
        <f t="shared" si="32"/>
        <v>0</v>
      </c>
      <c r="AQ278" s="44">
        <f>($AM$3*AM278+$AN$3*AN278+$AO$3*AO278+$AP$3*AP278)+$I$3*VLOOKUP(I278,COND!$A$2:$E$7,4,FALSE)+$J$3*VLOOKUP(J278,COND!$A$2:$C$7,2,FALSE)+$K$3*VLOOKUP(K278,COND!$A$2:$C$7,3,FALSE)+IF(AND($B$2&gt;0,$E278&lt;20),$B$2*25,0)</f>
        <v>43.358676886685473</v>
      </c>
      <c r="AR278" s="47">
        <f t="shared" si="33"/>
        <v>-0.17143759727975089</v>
      </c>
      <c r="AS278" s="45" t="str">
        <f t="shared" si="34"/>
        <v>DH</v>
      </c>
      <c r="AT278" s="45">
        <f>RANK(Batters[[#This Row],[zScore]],Batters[[#All],[zScore]])</f>
        <v>274</v>
      </c>
      <c r="AU278" s="45"/>
      <c r="AV278" s="45"/>
      <c r="AW278" s="45" t="str">
        <f t="shared" si="35"/>
        <v>Unlikely</v>
      </c>
      <c r="AX278" s="45"/>
      <c r="AY278" s="45">
        <f>INDEX(Table5[[#All],[Ovr]],MATCH(Batters[[#This Row],[PID]],Table5[[#All],[PID]],0))</f>
        <v>346</v>
      </c>
      <c r="AZ278" s="45" t="str">
        <f>INDEX(Table5[[#All],[Rnd]],MATCH(Batters[[#This Row],[PID]],Table5[[#All],[PID]],0))</f>
        <v>12</v>
      </c>
      <c r="BA278" s="45">
        <f>INDEX(Table5[[#All],[Pick]],MATCH(Batters[[#This Row],[PID]],Table5[[#All],[PID]],0))</f>
        <v>8</v>
      </c>
      <c r="BB278" s="45" t="str">
        <f>INDEX(Table5[[#All],[Team]],MATCH(Batters[[#This Row],[PID]],Table5[[#All],[PID]],0))</f>
        <v>London Underground</v>
      </c>
    </row>
    <row r="279" spans="1:54" ht="15" customHeight="1" x14ac:dyDescent="0.25">
      <c r="A279" s="40">
        <v>20943</v>
      </c>
      <c r="B279" s="40" t="s">
        <v>72</v>
      </c>
      <c r="C279" s="40" t="s">
        <v>364</v>
      </c>
      <c r="D279" s="40" t="s">
        <v>1469</v>
      </c>
      <c r="E279" s="40">
        <v>17</v>
      </c>
      <c r="F279" s="40" t="s">
        <v>42</v>
      </c>
      <c r="G279" s="40" t="s">
        <v>42</v>
      </c>
      <c r="H279" s="41" t="s">
        <v>638</v>
      </c>
      <c r="I279" s="65" t="s">
        <v>43</v>
      </c>
      <c r="J279" s="66" t="s">
        <v>43</v>
      </c>
      <c r="K279" s="67" t="s">
        <v>43</v>
      </c>
      <c r="L279" s="40">
        <v>1</v>
      </c>
      <c r="M279" s="40">
        <v>2</v>
      </c>
      <c r="N279" s="40">
        <v>2</v>
      </c>
      <c r="O279" s="40">
        <v>2</v>
      </c>
      <c r="P279" s="41">
        <v>1</v>
      </c>
      <c r="Q279" s="40">
        <v>3</v>
      </c>
      <c r="R279" s="40">
        <v>6</v>
      </c>
      <c r="S279" s="40">
        <v>3</v>
      </c>
      <c r="T279" s="40">
        <v>5</v>
      </c>
      <c r="U279" s="41">
        <v>4</v>
      </c>
      <c r="V279" s="40">
        <v>8</v>
      </c>
      <c r="W279" s="40">
        <v>8</v>
      </c>
      <c r="X279" s="40">
        <v>1</v>
      </c>
      <c r="Y279" s="41">
        <v>1</v>
      </c>
      <c r="Z279" s="40" t="s">
        <v>45</v>
      </c>
      <c r="AA279" s="40" t="s">
        <v>45</v>
      </c>
      <c r="AB279" s="40" t="s">
        <v>45</v>
      </c>
      <c r="AC279" s="40" t="s">
        <v>45</v>
      </c>
      <c r="AD279" s="40">
        <v>2</v>
      </c>
      <c r="AE279" s="40" t="s">
        <v>45</v>
      </c>
      <c r="AF279" s="40" t="s">
        <v>45</v>
      </c>
      <c r="AG279" s="41" t="s">
        <v>45</v>
      </c>
      <c r="AH279" s="40">
        <v>7</v>
      </c>
      <c r="AI279" s="40">
        <v>6</v>
      </c>
      <c r="AJ279" s="41">
        <v>5</v>
      </c>
      <c r="AK279" s="43" t="s">
        <v>656</v>
      </c>
      <c r="AL279" s="43" t="s">
        <v>47</v>
      </c>
      <c r="AM279" s="44">
        <f t="shared" si="29"/>
        <v>-1.8605124261753858</v>
      </c>
      <c r="AN279" s="44">
        <f t="shared" si="30"/>
        <v>-0.53892207179132756</v>
      </c>
      <c r="AO279" s="45">
        <f t="shared" si="31"/>
        <v>0</v>
      </c>
      <c r="AP279" s="46">
        <f t="shared" si="32"/>
        <v>0</v>
      </c>
      <c r="AQ279" s="44">
        <f>($AM$3*AM279+$AN$3*AN279+$AO$3*AO279+$AP$3*AP279)+$I$3*VLOOKUP(I279,COND!$A$2:$E$7,4,FALSE)+$J$3*VLOOKUP(J279,COND!$A$2:$C$7,2,FALSE)+$K$3*VLOOKUP(K279,COND!$A$2:$C$7,3,FALSE)+IF(AND($B$2&gt;0,$E279&lt;20),$B$2*25,0)</f>
        <v>43.346883895886535</v>
      </c>
      <c r="AR279" s="47">
        <f t="shared" si="33"/>
        <v>-0.17405218305309522</v>
      </c>
      <c r="AS279" s="45" t="str">
        <f t="shared" si="34"/>
        <v>SS</v>
      </c>
      <c r="AT279" s="45">
        <f>RANK(Batters[[#This Row],[zScore]],Batters[[#All],[zScore]])</f>
        <v>275</v>
      </c>
      <c r="AU279" s="45"/>
      <c r="AV279" s="45"/>
      <c r="AW279" s="45" t="str">
        <f t="shared" si="35"/>
        <v>Unlikely</v>
      </c>
      <c r="AX279" s="45"/>
      <c r="AY279" s="45">
        <f>INDEX(Table5[[#All],[Ovr]],MATCH(Batters[[#This Row],[PID]],Table5[[#All],[PID]],0))</f>
        <v>520</v>
      </c>
      <c r="AZ279" s="45" t="str">
        <f>INDEX(Table5[[#All],[Rnd]],MATCH(Batters[[#This Row],[PID]],Table5[[#All],[PID]],0))</f>
        <v>18</v>
      </c>
      <c r="BA279" s="45">
        <f>INDEX(Table5[[#All],[Pick]],MATCH(Batters[[#This Row],[PID]],Table5[[#All],[PID]],0))</f>
        <v>2</v>
      </c>
      <c r="BB279" s="45" t="str">
        <f>INDEX(Table5[[#All],[Team]],MATCH(Batters[[#This Row],[PID]],Table5[[#All],[PID]],0))</f>
        <v>Charleston Statesmen</v>
      </c>
    </row>
    <row r="280" spans="1:54" ht="15" customHeight="1" x14ac:dyDescent="0.25">
      <c r="A280" s="40">
        <v>14861</v>
      </c>
      <c r="B280" s="40" t="s">
        <v>86</v>
      </c>
      <c r="C280" s="40" t="s">
        <v>714</v>
      </c>
      <c r="D280" s="40" t="s">
        <v>1443</v>
      </c>
      <c r="E280" s="40">
        <v>18</v>
      </c>
      <c r="F280" s="40" t="s">
        <v>42</v>
      </c>
      <c r="G280" s="40" t="s">
        <v>42</v>
      </c>
      <c r="H280" s="41" t="s">
        <v>638</v>
      </c>
      <c r="I280" s="65" t="s">
        <v>43</v>
      </c>
      <c r="J280" s="66" t="s">
        <v>44</v>
      </c>
      <c r="K280" s="67" t="s">
        <v>43</v>
      </c>
      <c r="L280" s="40">
        <v>1</v>
      </c>
      <c r="M280" s="40">
        <v>2</v>
      </c>
      <c r="N280" s="40">
        <v>3</v>
      </c>
      <c r="O280" s="40">
        <v>2</v>
      </c>
      <c r="P280" s="41">
        <v>1</v>
      </c>
      <c r="Q280" s="40">
        <v>3</v>
      </c>
      <c r="R280" s="40">
        <v>4</v>
      </c>
      <c r="S280" s="40">
        <v>5</v>
      </c>
      <c r="T280" s="40">
        <v>5</v>
      </c>
      <c r="U280" s="41">
        <v>3</v>
      </c>
      <c r="V280" s="40">
        <v>2</v>
      </c>
      <c r="W280" s="40">
        <v>3</v>
      </c>
      <c r="X280" s="40">
        <v>4</v>
      </c>
      <c r="Y280" s="41">
        <v>7</v>
      </c>
      <c r="Z280" s="40" t="s">
        <v>45</v>
      </c>
      <c r="AA280" s="40" t="s">
        <v>45</v>
      </c>
      <c r="AB280" s="40" t="s">
        <v>45</v>
      </c>
      <c r="AC280" s="40" t="s">
        <v>45</v>
      </c>
      <c r="AD280" s="40" t="s">
        <v>45</v>
      </c>
      <c r="AE280" s="40" t="s">
        <v>45</v>
      </c>
      <c r="AF280" s="40" t="s">
        <v>45</v>
      </c>
      <c r="AG280" s="41" t="s">
        <v>45</v>
      </c>
      <c r="AH280" s="40">
        <v>1</v>
      </c>
      <c r="AI280" s="40">
        <v>2</v>
      </c>
      <c r="AJ280" s="41">
        <v>1</v>
      </c>
      <c r="AK280" s="43" t="s">
        <v>654</v>
      </c>
      <c r="AL280" s="43" t="s">
        <v>635</v>
      </c>
      <c r="AM280" s="44">
        <f t="shared" si="29"/>
        <v>-1.7774509321514844</v>
      </c>
      <c r="AN280" s="44">
        <f t="shared" si="30"/>
        <v>-0.51493518279801498</v>
      </c>
      <c r="AO280" s="45">
        <f t="shared" si="31"/>
        <v>0</v>
      </c>
      <c r="AP280" s="46">
        <f t="shared" si="32"/>
        <v>0</v>
      </c>
      <c r="AQ280" s="44">
        <f>($AM$3*AM280+$AN$3*AN280+$AO$3*AO280+$AP$3*AP280)+$I$3*VLOOKUP(I280,COND!$A$2:$E$7,4,FALSE)+$J$3*VLOOKUP(J280,COND!$A$2:$C$7,2,FALSE)+$K$3*VLOOKUP(K280,COND!$A$2:$C$7,3,FALSE)+IF(AND($B$2&gt;0,$E280&lt;20),$B$2*25,0)</f>
        <v>43.343032713208672</v>
      </c>
      <c r="AR280" s="47">
        <f t="shared" si="33"/>
        <v>-0.17490601628435645</v>
      </c>
      <c r="AS280" s="45" t="str">
        <f t="shared" si="34"/>
        <v>DH</v>
      </c>
      <c r="AT280" s="45">
        <f>RANK(Batters[[#This Row],[zScore]],Batters[[#All],[zScore]])</f>
        <v>276</v>
      </c>
      <c r="AU280" s="45"/>
      <c r="AV280" s="45"/>
      <c r="AW280" s="45" t="str">
        <f t="shared" si="35"/>
        <v>Unlikely</v>
      </c>
      <c r="AX280" s="45"/>
      <c r="AY280" s="45">
        <f>INDEX(Table5[[#All],[Ovr]],MATCH(Batters[[#This Row],[PID]],Table5[[#All],[PID]],0))</f>
        <v>459</v>
      </c>
      <c r="AZ280" s="45" t="str">
        <f>INDEX(Table5[[#All],[Rnd]],MATCH(Batters[[#This Row],[PID]],Table5[[#All],[PID]],0))</f>
        <v>16</v>
      </c>
      <c r="BA280" s="45">
        <f>INDEX(Table5[[#All],[Pick]],MATCH(Batters[[#This Row],[PID]],Table5[[#All],[PID]],0))</f>
        <v>1</v>
      </c>
      <c r="BB280" s="45" t="str">
        <f>INDEX(Table5[[#All],[Team]],MATCH(Batters[[#This Row],[PID]],Table5[[#All],[PID]],0))</f>
        <v>Yuma Arroyos</v>
      </c>
    </row>
    <row r="281" spans="1:54" ht="15" customHeight="1" x14ac:dyDescent="0.25">
      <c r="A281" s="40">
        <v>20549</v>
      </c>
      <c r="B281" s="40" t="s">
        <v>66</v>
      </c>
      <c r="C281" s="40" t="s">
        <v>616</v>
      </c>
      <c r="D281" s="40" t="s">
        <v>1515</v>
      </c>
      <c r="E281" s="40">
        <v>18</v>
      </c>
      <c r="F281" s="40" t="s">
        <v>42</v>
      </c>
      <c r="G281" s="40" t="s">
        <v>42</v>
      </c>
      <c r="H281" s="41" t="s">
        <v>638</v>
      </c>
      <c r="I281" s="65" t="s">
        <v>43</v>
      </c>
      <c r="J281" s="66" t="s">
        <v>44</v>
      </c>
      <c r="K281" s="67" t="s">
        <v>43</v>
      </c>
      <c r="L281" s="40">
        <v>1</v>
      </c>
      <c r="M281" s="40">
        <v>2</v>
      </c>
      <c r="N281" s="40">
        <v>3</v>
      </c>
      <c r="O281" s="40">
        <v>2</v>
      </c>
      <c r="P281" s="41">
        <v>1</v>
      </c>
      <c r="Q281" s="40">
        <v>3</v>
      </c>
      <c r="R281" s="40">
        <v>4</v>
      </c>
      <c r="S281" s="40">
        <v>5</v>
      </c>
      <c r="T281" s="40">
        <v>5</v>
      </c>
      <c r="U281" s="41">
        <v>3</v>
      </c>
      <c r="V281" s="40">
        <v>6</v>
      </c>
      <c r="W281" s="40">
        <v>7</v>
      </c>
      <c r="X281" s="40">
        <v>1</v>
      </c>
      <c r="Y281" s="41">
        <v>1</v>
      </c>
      <c r="Z281" s="40" t="s">
        <v>45</v>
      </c>
      <c r="AA281" s="40" t="s">
        <v>45</v>
      </c>
      <c r="AB281" s="40" t="s">
        <v>45</v>
      </c>
      <c r="AC281" s="40" t="s">
        <v>45</v>
      </c>
      <c r="AD281" s="40" t="s">
        <v>45</v>
      </c>
      <c r="AE281" s="40">
        <v>1</v>
      </c>
      <c r="AF281" s="40" t="s">
        <v>45</v>
      </c>
      <c r="AG281" s="41">
        <v>1</v>
      </c>
      <c r="AH281" s="40">
        <v>6</v>
      </c>
      <c r="AI281" s="40">
        <v>5</v>
      </c>
      <c r="AJ281" s="41">
        <v>4</v>
      </c>
      <c r="AK281" s="43" t="s">
        <v>654</v>
      </c>
      <c r="AL281" s="43" t="s">
        <v>635</v>
      </c>
      <c r="AM281" s="44">
        <f t="shared" si="29"/>
        <v>-1.7774509321514844</v>
      </c>
      <c r="AN281" s="44">
        <f t="shared" si="30"/>
        <v>-0.51493518279801498</v>
      </c>
      <c r="AO281" s="45">
        <f t="shared" si="31"/>
        <v>0</v>
      </c>
      <c r="AP281" s="46">
        <f t="shared" si="32"/>
        <v>0</v>
      </c>
      <c r="AQ281" s="44">
        <f>($AM$3*AM281+$AN$3*AN281+$AO$3*AO281+$AP$3*AP281)+$I$3*VLOOKUP(I281,COND!$A$2:$E$7,4,FALSE)+$J$3*VLOOKUP(J281,COND!$A$2:$C$7,2,FALSE)+$K$3*VLOOKUP(K281,COND!$A$2:$C$7,3,FALSE)+IF(AND($B$2&gt;0,$E281&lt;20),$B$2*25,0)</f>
        <v>43.343032713208672</v>
      </c>
      <c r="AR281" s="47">
        <f t="shared" si="33"/>
        <v>-0.17490601628435645</v>
      </c>
      <c r="AS281" s="45" t="str">
        <f t="shared" si="34"/>
        <v>RF</v>
      </c>
      <c r="AT281" s="45">
        <f>RANK(Batters[[#This Row],[zScore]],Batters[[#All],[zScore]])</f>
        <v>276</v>
      </c>
      <c r="AU281" s="45"/>
      <c r="AV281" s="45"/>
      <c r="AW281" s="45" t="str">
        <f t="shared" si="35"/>
        <v>Unlikely</v>
      </c>
      <c r="AX281" s="45"/>
      <c r="AY281" s="45" t="str">
        <f>INDEX(Table5[[#All],[Ovr]],MATCH(Batters[[#This Row],[PID]],Table5[[#All],[PID]],0))</f>
        <v/>
      </c>
      <c r="AZ281" s="45" t="str">
        <f>INDEX(Table5[[#All],[Rnd]],MATCH(Batters[[#This Row],[PID]],Table5[[#All],[PID]],0))</f>
        <v/>
      </c>
      <c r="BA281" s="45" t="str">
        <f>INDEX(Table5[[#All],[Pick]],MATCH(Batters[[#This Row],[PID]],Table5[[#All],[PID]],0))</f>
        <v/>
      </c>
      <c r="BB281" s="45" t="str">
        <f>INDEX(Table5[[#All],[Team]],MATCH(Batters[[#This Row],[PID]],Table5[[#All],[PID]],0))</f>
        <v/>
      </c>
    </row>
    <row r="282" spans="1:54" ht="15" customHeight="1" x14ac:dyDescent="0.25">
      <c r="A282" s="40">
        <v>21048</v>
      </c>
      <c r="B282" s="40" t="s">
        <v>50</v>
      </c>
      <c r="C282" s="40" t="s">
        <v>1528</v>
      </c>
      <c r="D282" s="40" t="s">
        <v>294</v>
      </c>
      <c r="E282" s="40">
        <v>17</v>
      </c>
      <c r="F282" s="40" t="s">
        <v>42</v>
      </c>
      <c r="G282" s="40" t="s">
        <v>42</v>
      </c>
      <c r="H282" s="41" t="s">
        <v>638</v>
      </c>
      <c r="I282" s="65" t="s">
        <v>43</v>
      </c>
      <c r="J282" s="66" t="s">
        <v>47</v>
      </c>
      <c r="K282" s="67" t="s">
        <v>43</v>
      </c>
      <c r="L282" s="40">
        <v>1</v>
      </c>
      <c r="M282" s="40">
        <v>1</v>
      </c>
      <c r="N282" s="40">
        <v>2</v>
      </c>
      <c r="O282" s="40">
        <v>2</v>
      </c>
      <c r="P282" s="41">
        <v>1</v>
      </c>
      <c r="Q282" s="40">
        <v>3</v>
      </c>
      <c r="R282" s="40">
        <v>4</v>
      </c>
      <c r="S282" s="40">
        <v>5</v>
      </c>
      <c r="T282" s="40">
        <v>4</v>
      </c>
      <c r="U282" s="41">
        <v>4</v>
      </c>
      <c r="V282" s="40">
        <v>8</v>
      </c>
      <c r="W282" s="40">
        <v>8</v>
      </c>
      <c r="X282" s="40">
        <v>1</v>
      </c>
      <c r="Y282" s="41">
        <v>1</v>
      </c>
      <c r="Z282" s="40" t="s">
        <v>45</v>
      </c>
      <c r="AA282" s="40" t="s">
        <v>45</v>
      </c>
      <c r="AB282" s="40" t="s">
        <v>45</v>
      </c>
      <c r="AC282" s="40">
        <v>2</v>
      </c>
      <c r="AD282" s="40" t="s">
        <v>45</v>
      </c>
      <c r="AE282" s="40">
        <v>1</v>
      </c>
      <c r="AF282" s="40" t="s">
        <v>45</v>
      </c>
      <c r="AG282" s="41" t="s">
        <v>45</v>
      </c>
      <c r="AH282" s="40">
        <v>4</v>
      </c>
      <c r="AI282" s="40">
        <v>5</v>
      </c>
      <c r="AJ282" s="41">
        <v>1</v>
      </c>
      <c r="AK282" s="43" t="s">
        <v>644</v>
      </c>
      <c r="AL282" s="43" t="s">
        <v>47</v>
      </c>
      <c r="AM282" s="44">
        <f t="shared" si="29"/>
        <v>-1.9115723057940897</v>
      </c>
      <c r="AN282" s="44">
        <f t="shared" si="30"/>
        <v>-0.5646283929905126</v>
      </c>
      <c r="AO282" s="45">
        <f t="shared" si="31"/>
        <v>0</v>
      </c>
      <c r="AP282" s="46">
        <f t="shared" si="32"/>
        <v>0</v>
      </c>
      <c r="AQ282" s="44">
        <f>($AM$3*AM282+$AN$3*AN282+$AO$3*AO282+$AP$3*AP282)+$I$3*VLOOKUP(I282,COND!$A$2:$E$7,4,FALSE)+$J$3*VLOOKUP(J282,COND!$A$2:$C$7,2,FALSE)+$K$3*VLOOKUP(K282,COND!$A$2:$C$7,3,FALSE)+IF(AND($B$2&gt;0,$E282&lt;20),$B$2*25,0)</f>
        <v>43.333302053534439</v>
      </c>
      <c r="AR282" s="47">
        <f t="shared" si="33"/>
        <v>-0.17706336930728905</v>
      </c>
      <c r="AS282" s="45" t="str">
        <f t="shared" si="34"/>
        <v>3B</v>
      </c>
      <c r="AT282" s="45">
        <f>RANK(Batters[[#This Row],[zScore]],Batters[[#All],[zScore]])</f>
        <v>278</v>
      </c>
      <c r="AU282" s="45"/>
      <c r="AV282" s="45"/>
      <c r="AW282" s="45" t="str">
        <f t="shared" si="35"/>
        <v>Unlikely</v>
      </c>
      <c r="AX282" s="45"/>
      <c r="AY282" s="45" t="str">
        <f>INDEX(Table5[[#All],[Ovr]],MATCH(Batters[[#This Row],[PID]],Table5[[#All],[PID]],0))</f>
        <v/>
      </c>
      <c r="AZ282" s="45" t="str">
        <f>INDEX(Table5[[#All],[Rnd]],MATCH(Batters[[#This Row],[PID]],Table5[[#All],[PID]],0))</f>
        <v/>
      </c>
      <c r="BA282" s="45" t="str">
        <f>INDEX(Table5[[#All],[Pick]],MATCH(Batters[[#This Row],[PID]],Table5[[#All],[PID]],0))</f>
        <v/>
      </c>
      <c r="BB282" s="45" t="str">
        <f>INDEX(Table5[[#All],[Team]],MATCH(Batters[[#This Row],[PID]],Table5[[#All],[PID]],0))</f>
        <v/>
      </c>
    </row>
    <row r="283" spans="1:54" ht="15" customHeight="1" x14ac:dyDescent="0.25">
      <c r="A283" s="40">
        <v>20412</v>
      </c>
      <c r="B283" s="40" t="s">
        <v>86</v>
      </c>
      <c r="C283" s="40" t="s">
        <v>1139</v>
      </c>
      <c r="D283" s="40" t="s">
        <v>1388</v>
      </c>
      <c r="E283" s="40">
        <v>18</v>
      </c>
      <c r="F283" s="40" t="s">
        <v>42</v>
      </c>
      <c r="G283" s="40" t="s">
        <v>42</v>
      </c>
      <c r="H283" s="41" t="s">
        <v>638</v>
      </c>
      <c r="I283" s="65" t="s">
        <v>43</v>
      </c>
      <c r="J283" s="66" t="s">
        <v>43</v>
      </c>
      <c r="K283" s="67" t="s">
        <v>44</v>
      </c>
      <c r="L283" s="40">
        <v>1</v>
      </c>
      <c r="M283" s="40">
        <v>2</v>
      </c>
      <c r="N283" s="40">
        <v>2</v>
      </c>
      <c r="O283" s="40">
        <v>3</v>
      </c>
      <c r="P283" s="41">
        <v>1</v>
      </c>
      <c r="Q283" s="40">
        <v>3</v>
      </c>
      <c r="R283" s="40">
        <v>3</v>
      </c>
      <c r="S283" s="40">
        <v>4</v>
      </c>
      <c r="T283" s="40">
        <v>5</v>
      </c>
      <c r="U283" s="41">
        <v>4</v>
      </c>
      <c r="V283" s="40">
        <v>4</v>
      </c>
      <c r="W283" s="40">
        <v>4</v>
      </c>
      <c r="X283" s="40">
        <v>6</v>
      </c>
      <c r="Y283" s="41">
        <v>6</v>
      </c>
      <c r="Z283" s="40">
        <v>2</v>
      </c>
      <c r="AA283" s="40" t="s">
        <v>45</v>
      </c>
      <c r="AB283" s="40" t="s">
        <v>45</v>
      </c>
      <c r="AC283" s="40" t="s">
        <v>45</v>
      </c>
      <c r="AD283" s="40" t="s">
        <v>45</v>
      </c>
      <c r="AE283" s="40" t="s">
        <v>45</v>
      </c>
      <c r="AF283" s="40" t="s">
        <v>45</v>
      </c>
      <c r="AG283" s="41" t="s">
        <v>45</v>
      </c>
      <c r="AH283" s="40">
        <v>1</v>
      </c>
      <c r="AI283" s="40">
        <v>1</v>
      </c>
      <c r="AJ283" s="41">
        <v>1</v>
      </c>
      <c r="AK283" s="43" t="s">
        <v>654</v>
      </c>
      <c r="AL283" s="43" t="s">
        <v>635</v>
      </c>
      <c r="AM283" s="44">
        <f t="shared" si="29"/>
        <v>-1.7708028761658048</v>
      </c>
      <c r="AN283" s="44">
        <f t="shared" si="30"/>
        <v>-0.60904021662353647</v>
      </c>
      <c r="AO283" s="45">
        <f t="shared" si="31"/>
        <v>0</v>
      </c>
      <c r="AP283" s="46">
        <f t="shared" si="32"/>
        <v>1.1000000000000001</v>
      </c>
      <c r="AQ283" s="44">
        <f>($AM$3*AM283+$AN$3*AN283+$AO$3*AO283+$AP$3*AP283)+$I$3*VLOOKUP(I283,COND!$A$2:$E$7,4,FALSE)+$J$3*VLOOKUP(J283,COND!$A$2:$C$7,2,FALSE)+$K$3*VLOOKUP(K283,COND!$A$2:$C$7,3,FALSE)+IF(AND($B$2&gt;0,$E283&lt;20),$B$2*25,0)</f>
        <v>43.314437112900976</v>
      </c>
      <c r="AR283" s="47">
        <f t="shared" si="33"/>
        <v>-0.1812458541608922</v>
      </c>
      <c r="AS283" s="45" t="str">
        <f t="shared" si="34"/>
        <v>C</v>
      </c>
      <c r="AT283" s="45">
        <f>RANK(Batters[[#This Row],[zScore]],Batters[[#All],[zScore]])</f>
        <v>279</v>
      </c>
      <c r="AU283" s="45"/>
      <c r="AV283" s="45"/>
      <c r="AW283" s="45" t="str">
        <f t="shared" si="35"/>
        <v>Unlikely</v>
      </c>
      <c r="AX283" s="45"/>
      <c r="AY283" s="45" t="str">
        <f>INDEX(Table5[[#All],[Ovr]],MATCH(Batters[[#This Row],[PID]],Table5[[#All],[PID]],0))</f>
        <v/>
      </c>
      <c r="AZ283" s="45" t="str">
        <f>INDEX(Table5[[#All],[Rnd]],MATCH(Batters[[#This Row],[PID]],Table5[[#All],[PID]],0))</f>
        <v/>
      </c>
      <c r="BA283" s="45" t="str">
        <f>INDEX(Table5[[#All],[Pick]],MATCH(Batters[[#This Row],[PID]],Table5[[#All],[PID]],0))</f>
        <v/>
      </c>
      <c r="BB283" s="45" t="str">
        <f>INDEX(Table5[[#All],[Team]],MATCH(Batters[[#This Row],[PID]],Table5[[#All],[PID]],0))</f>
        <v/>
      </c>
    </row>
    <row r="284" spans="1:54" ht="15" customHeight="1" x14ac:dyDescent="0.25">
      <c r="A284" s="40">
        <v>17567</v>
      </c>
      <c r="B284" s="40" t="s">
        <v>87</v>
      </c>
      <c r="C284" s="40" t="s">
        <v>321</v>
      </c>
      <c r="D284" s="40" t="s">
        <v>792</v>
      </c>
      <c r="E284" s="40">
        <v>18</v>
      </c>
      <c r="F284" s="40" t="s">
        <v>42</v>
      </c>
      <c r="G284" s="40" t="s">
        <v>42</v>
      </c>
      <c r="H284" s="41" t="s">
        <v>639</v>
      </c>
      <c r="I284" s="65" t="s">
        <v>43</v>
      </c>
      <c r="J284" s="66" t="s">
        <v>47</v>
      </c>
      <c r="K284" s="67" t="s">
        <v>43</v>
      </c>
      <c r="L284" s="40">
        <v>1</v>
      </c>
      <c r="M284" s="40">
        <v>1</v>
      </c>
      <c r="N284" s="40">
        <v>2</v>
      </c>
      <c r="O284" s="40">
        <v>1</v>
      </c>
      <c r="P284" s="41">
        <v>1</v>
      </c>
      <c r="Q284" s="40">
        <v>3</v>
      </c>
      <c r="R284" s="40">
        <v>3</v>
      </c>
      <c r="S284" s="40">
        <v>5</v>
      </c>
      <c r="T284" s="40">
        <v>5</v>
      </c>
      <c r="U284" s="41">
        <v>3</v>
      </c>
      <c r="V284" s="40">
        <v>3</v>
      </c>
      <c r="W284" s="40">
        <v>4</v>
      </c>
      <c r="X284" s="40">
        <v>1</v>
      </c>
      <c r="Y284" s="41">
        <v>1</v>
      </c>
      <c r="Z284" s="40" t="s">
        <v>45</v>
      </c>
      <c r="AA284" s="40">
        <v>1</v>
      </c>
      <c r="AB284" s="40" t="s">
        <v>45</v>
      </c>
      <c r="AC284" s="40" t="s">
        <v>45</v>
      </c>
      <c r="AD284" s="40" t="s">
        <v>45</v>
      </c>
      <c r="AE284" s="40" t="s">
        <v>45</v>
      </c>
      <c r="AF284" s="40" t="s">
        <v>45</v>
      </c>
      <c r="AG284" s="41" t="s">
        <v>45</v>
      </c>
      <c r="AH284" s="40">
        <v>2</v>
      </c>
      <c r="AI284" s="40">
        <v>1</v>
      </c>
      <c r="AJ284" s="41">
        <v>1</v>
      </c>
      <c r="AK284" s="43" t="s">
        <v>644</v>
      </c>
      <c r="AL284" s="43"/>
      <c r="AM284" s="44">
        <f t="shared" si="29"/>
        <v>-2.0012818558036707</v>
      </c>
      <c r="AN284" s="44">
        <f t="shared" si="30"/>
        <v>-0.56599506241671849</v>
      </c>
      <c r="AO284" s="45">
        <f t="shared" si="31"/>
        <v>0</v>
      </c>
      <c r="AP284" s="46">
        <f t="shared" si="32"/>
        <v>0</v>
      </c>
      <c r="AQ284" s="44">
        <f>($AM$3*AM284+$AN$3*AN284+$AO$3*AO284+$AP$3*AP284)+$I$3*VLOOKUP(I284,COND!$A$2:$E$7,4,FALSE)+$J$3*VLOOKUP(J284,COND!$A$2:$C$7,2,FALSE)+$K$3*VLOOKUP(K284,COND!$A$2:$C$7,3,FALSE)+IF(AND($B$2&gt;0,$E284&lt;20),$B$2*25,0)</f>
        <v>43.307931065419012</v>
      </c>
      <c r="AR284" s="47">
        <f t="shared" si="33"/>
        <v>-0.18268828886444305</v>
      </c>
      <c r="AS284" s="45" t="str">
        <f t="shared" si="34"/>
        <v>1B</v>
      </c>
      <c r="AT284" s="45">
        <f>RANK(Batters[[#This Row],[zScore]],Batters[[#All],[zScore]])</f>
        <v>280</v>
      </c>
      <c r="AU284" s="45"/>
      <c r="AV284" s="45"/>
      <c r="AW284" s="45" t="str">
        <f t="shared" si="35"/>
        <v>Unlikely</v>
      </c>
      <c r="AX284" s="45"/>
      <c r="AY284" s="64" t="str">
        <f>INDEX(Table5[[#All],[Ovr]],MATCH(Batters[[#This Row],[PID]],Table5[[#All],[PID]],0))</f>
        <v/>
      </c>
      <c r="AZ284" s="64" t="str">
        <f>INDEX(Table5[[#All],[Rnd]],MATCH(Batters[[#This Row],[PID]],Table5[[#All],[PID]],0))</f>
        <v/>
      </c>
      <c r="BA284" s="64" t="str">
        <f>INDEX(Table5[[#All],[Pick]],MATCH(Batters[[#This Row],[PID]],Table5[[#All],[PID]],0))</f>
        <v/>
      </c>
      <c r="BB284" s="64" t="str">
        <f>INDEX(Table5[[#All],[Team]],MATCH(Batters[[#This Row],[PID]],Table5[[#All],[PID]],0))</f>
        <v/>
      </c>
    </row>
    <row r="285" spans="1:54" ht="15" customHeight="1" x14ac:dyDescent="0.25">
      <c r="A285" s="40">
        <v>17828</v>
      </c>
      <c r="B285" s="40" t="s">
        <v>71</v>
      </c>
      <c r="C285" s="40" t="s">
        <v>729</v>
      </c>
      <c r="D285" s="40" t="s">
        <v>1390</v>
      </c>
      <c r="E285" s="40">
        <v>18</v>
      </c>
      <c r="F285" s="40" t="s">
        <v>42</v>
      </c>
      <c r="G285" s="40" t="s">
        <v>42</v>
      </c>
      <c r="H285" s="41" t="s">
        <v>638</v>
      </c>
      <c r="I285" s="65" t="s">
        <v>43</v>
      </c>
      <c r="J285" s="66" t="s">
        <v>43</v>
      </c>
      <c r="K285" s="67" t="s">
        <v>43</v>
      </c>
      <c r="L285" s="40">
        <v>1</v>
      </c>
      <c r="M285" s="40">
        <v>1</v>
      </c>
      <c r="N285" s="40">
        <v>2</v>
      </c>
      <c r="O285" s="40">
        <v>1</v>
      </c>
      <c r="P285" s="41">
        <v>1</v>
      </c>
      <c r="Q285" s="40">
        <v>4</v>
      </c>
      <c r="R285" s="40">
        <v>3</v>
      </c>
      <c r="S285" s="40">
        <v>2</v>
      </c>
      <c r="T285" s="40">
        <v>4</v>
      </c>
      <c r="U285" s="41">
        <v>4</v>
      </c>
      <c r="V285" s="40">
        <v>5</v>
      </c>
      <c r="W285" s="40">
        <v>3</v>
      </c>
      <c r="X285" s="40">
        <v>1</v>
      </c>
      <c r="Y285" s="41">
        <v>1</v>
      </c>
      <c r="Z285" s="40" t="s">
        <v>45</v>
      </c>
      <c r="AA285" s="40" t="s">
        <v>45</v>
      </c>
      <c r="AB285" s="40">
        <v>4</v>
      </c>
      <c r="AC285" s="40">
        <v>1</v>
      </c>
      <c r="AD285" s="40" t="s">
        <v>45</v>
      </c>
      <c r="AE285" s="40" t="s">
        <v>45</v>
      </c>
      <c r="AF285" s="40" t="s">
        <v>45</v>
      </c>
      <c r="AG285" s="41" t="s">
        <v>45</v>
      </c>
      <c r="AH285" s="40">
        <v>4</v>
      </c>
      <c r="AI285" s="40">
        <v>5</v>
      </c>
      <c r="AJ285" s="41">
        <v>4</v>
      </c>
      <c r="AK285" s="43" t="s">
        <v>663</v>
      </c>
      <c r="AL285" s="43" t="s">
        <v>635</v>
      </c>
      <c r="AM285" s="44">
        <f t="shared" si="29"/>
        <v>-2.0012818558036707</v>
      </c>
      <c r="AN285" s="44">
        <f t="shared" si="30"/>
        <v>-0.54231691847824581</v>
      </c>
      <c r="AO285" s="45">
        <f t="shared" si="31"/>
        <v>0</v>
      </c>
      <c r="AP285" s="46">
        <f t="shared" si="32"/>
        <v>0</v>
      </c>
      <c r="AQ285" s="44">
        <f>($AM$3*AM285+$AN$3*AN285+$AO$3*AO285+$AP$3*AP285)+$I$3*VLOOKUP(I285,COND!$A$2:$E$7,4,FALSE)+$J$3*VLOOKUP(J285,COND!$A$2:$C$7,2,FALSE)+$K$3*VLOOKUP(K285,COND!$A$2:$C$7,3,FALSE)+IF(AND($B$2&gt;0,$E285&lt;20),$B$2*25,0)</f>
        <v>43.292068792680681</v>
      </c>
      <c r="AR285" s="47">
        <f t="shared" si="33"/>
        <v>-0.1862050619495442</v>
      </c>
      <c r="AS285" s="45" t="str">
        <f t="shared" si="34"/>
        <v>2B</v>
      </c>
      <c r="AT285" s="45">
        <f>RANK(Batters[[#This Row],[zScore]],Batters[[#All],[zScore]])</f>
        <v>281</v>
      </c>
      <c r="AU285" s="45"/>
      <c r="AV285" s="45"/>
      <c r="AW285" s="45" t="str">
        <f t="shared" si="35"/>
        <v>Unlikely</v>
      </c>
      <c r="AX285" s="45"/>
      <c r="AY285" s="45" t="str">
        <f>INDEX(Table5[[#All],[Ovr]],MATCH(Batters[[#This Row],[PID]],Table5[[#All],[PID]],0))</f>
        <v/>
      </c>
      <c r="AZ285" s="45" t="str">
        <f>INDEX(Table5[[#All],[Rnd]],MATCH(Batters[[#This Row],[PID]],Table5[[#All],[PID]],0))</f>
        <v/>
      </c>
      <c r="BA285" s="45" t="str">
        <f>INDEX(Table5[[#All],[Pick]],MATCH(Batters[[#This Row],[PID]],Table5[[#All],[PID]],0))</f>
        <v/>
      </c>
      <c r="BB285" s="45" t="str">
        <f>INDEX(Table5[[#All],[Team]],MATCH(Batters[[#This Row],[PID]],Table5[[#All],[PID]],0))</f>
        <v/>
      </c>
    </row>
    <row r="286" spans="1:54" ht="15" customHeight="1" x14ac:dyDescent="0.25">
      <c r="A286" s="40">
        <v>18156</v>
      </c>
      <c r="B286" s="40" t="s">
        <v>86</v>
      </c>
      <c r="C286" s="40" t="s">
        <v>199</v>
      </c>
      <c r="D286" s="40" t="s">
        <v>718</v>
      </c>
      <c r="E286" s="40">
        <v>21</v>
      </c>
      <c r="F286" s="40" t="s">
        <v>53</v>
      </c>
      <c r="G286" s="40" t="s">
        <v>42</v>
      </c>
      <c r="H286" s="41" t="s">
        <v>634</v>
      </c>
      <c r="I286" s="65" t="s">
        <v>43</v>
      </c>
      <c r="J286" s="66" t="s">
        <v>43</v>
      </c>
      <c r="K286" s="67" t="s">
        <v>43</v>
      </c>
      <c r="L286" s="40">
        <v>2</v>
      </c>
      <c r="M286" s="40">
        <v>4</v>
      </c>
      <c r="N286" s="40">
        <v>3</v>
      </c>
      <c r="O286" s="40">
        <v>4</v>
      </c>
      <c r="P286" s="41">
        <v>1</v>
      </c>
      <c r="Q286" s="40">
        <v>4</v>
      </c>
      <c r="R286" s="40">
        <v>4</v>
      </c>
      <c r="S286" s="40">
        <v>4</v>
      </c>
      <c r="T286" s="40">
        <v>6</v>
      </c>
      <c r="U286" s="41">
        <v>2</v>
      </c>
      <c r="V286" s="40">
        <v>4</v>
      </c>
      <c r="W286" s="40">
        <v>3</v>
      </c>
      <c r="X286" s="40">
        <v>6</v>
      </c>
      <c r="Y286" s="41">
        <v>7</v>
      </c>
      <c r="Z286" s="40">
        <v>3</v>
      </c>
      <c r="AA286" s="40" t="s">
        <v>45</v>
      </c>
      <c r="AB286" s="40" t="s">
        <v>45</v>
      </c>
      <c r="AC286" s="40" t="s">
        <v>45</v>
      </c>
      <c r="AD286" s="40" t="s">
        <v>45</v>
      </c>
      <c r="AE286" s="40" t="s">
        <v>45</v>
      </c>
      <c r="AF286" s="40" t="s">
        <v>45</v>
      </c>
      <c r="AG286" s="41" t="s">
        <v>45</v>
      </c>
      <c r="AH286" s="40">
        <v>2</v>
      </c>
      <c r="AI286" s="40">
        <v>6</v>
      </c>
      <c r="AJ286" s="41">
        <v>5</v>
      </c>
      <c r="AK286" s="43" t="s">
        <v>45</v>
      </c>
      <c r="AL286" s="43" t="s">
        <v>47</v>
      </c>
      <c r="AM286" s="44">
        <f t="shared" si="29"/>
        <v>-1.1733562366922408</v>
      </c>
      <c r="AN286" s="44">
        <f t="shared" si="30"/>
        <v>-0.22574763042674423</v>
      </c>
      <c r="AO286" s="45">
        <f t="shared" si="31"/>
        <v>0</v>
      </c>
      <c r="AP286" s="46">
        <f t="shared" si="32"/>
        <v>1.1000000000000001</v>
      </c>
      <c r="AQ286" s="44">
        <f>($AM$3*AM286+$AN$3*AN286+$AO$3*AO286+$AP$3*AP286)+$I$3*VLOOKUP(I286,COND!$A$2:$E$7,4,FALSE)+$J$3*VLOOKUP(J286,COND!$A$2:$C$7,2,FALSE)+$K$3*VLOOKUP(K286,COND!$A$2:$C$7,3,FALSE)+IF(AND($B$2&gt;0,$E286&lt;20),$B$2*25,0)</f>
        <v>43.273692811209841</v>
      </c>
      <c r="AR286" s="47">
        <f t="shared" si="33"/>
        <v>-0.19027914125173645</v>
      </c>
      <c r="AS286" s="45" t="str">
        <f t="shared" si="34"/>
        <v>C</v>
      </c>
      <c r="AT286" s="45">
        <f>RANK(Batters[[#This Row],[zScore]],Batters[[#All],[zScore]])</f>
        <v>282</v>
      </c>
      <c r="AU286" s="45"/>
      <c r="AV286" s="45"/>
      <c r="AW286" s="45" t="str">
        <f t="shared" si="35"/>
        <v>Unlikely</v>
      </c>
      <c r="AX286" s="45"/>
      <c r="AY286" s="45">
        <f>INDEX(Table5[[#All],[Ovr]],MATCH(Batters[[#This Row],[PID]],Table5[[#All],[PID]],0))</f>
        <v>450</v>
      </c>
      <c r="AZ286" s="45" t="str">
        <f>INDEX(Table5[[#All],[Rnd]],MATCH(Batters[[#This Row],[PID]],Table5[[#All],[PID]],0))</f>
        <v>15</v>
      </c>
      <c r="BA286" s="45">
        <f>INDEX(Table5[[#All],[Pick]],MATCH(Batters[[#This Row],[PID]],Table5[[#All],[PID]],0))</f>
        <v>22</v>
      </c>
      <c r="BB286" s="45" t="str">
        <f>INDEX(Table5[[#All],[Team]],MATCH(Batters[[#This Row],[PID]],Table5[[#All],[PID]],0))</f>
        <v>Fargo Dinosaurs</v>
      </c>
    </row>
    <row r="287" spans="1:54" ht="15" customHeight="1" x14ac:dyDescent="0.25">
      <c r="A287" s="40">
        <v>20232</v>
      </c>
      <c r="B287" s="40" t="s">
        <v>69</v>
      </c>
      <c r="C287" s="40" t="s">
        <v>146</v>
      </c>
      <c r="D287" s="40" t="s">
        <v>1256</v>
      </c>
      <c r="E287" s="40">
        <v>21</v>
      </c>
      <c r="F287" s="40" t="s">
        <v>42</v>
      </c>
      <c r="G287" s="40" t="s">
        <v>42</v>
      </c>
      <c r="H287" s="41" t="s">
        <v>634</v>
      </c>
      <c r="I287" s="65" t="s">
        <v>44</v>
      </c>
      <c r="J287" s="66" t="s">
        <v>43</v>
      </c>
      <c r="K287" s="67" t="s">
        <v>43</v>
      </c>
      <c r="L287" s="40">
        <v>2</v>
      </c>
      <c r="M287" s="40">
        <v>4</v>
      </c>
      <c r="N287" s="40">
        <v>3</v>
      </c>
      <c r="O287" s="40">
        <v>4</v>
      </c>
      <c r="P287" s="41">
        <v>5</v>
      </c>
      <c r="Q287" s="40">
        <v>4</v>
      </c>
      <c r="R287" s="40">
        <v>4</v>
      </c>
      <c r="S287" s="40">
        <v>3</v>
      </c>
      <c r="T287" s="40">
        <v>6</v>
      </c>
      <c r="U287" s="41">
        <v>5</v>
      </c>
      <c r="V287" s="40">
        <v>9</v>
      </c>
      <c r="W287" s="40">
        <v>9</v>
      </c>
      <c r="X287" s="40">
        <v>1</v>
      </c>
      <c r="Y287" s="41">
        <v>1</v>
      </c>
      <c r="Z287" s="40" t="s">
        <v>45</v>
      </c>
      <c r="AA287" s="40" t="s">
        <v>45</v>
      </c>
      <c r="AB287" s="40" t="s">
        <v>45</v>
      </c>
      <c r="AC287" s="40">
        <v>5</v>
      </c>
      <c r="AD287" s="40">
        <v>2</v>
      </c>
      <c r="AE287" s="40" t="s">
        <v>45</v>
      </c>
      <c r="AF287" s="40" t="s">
        <v>45</v>
      </c>
      <c r="AG287" s="41" t="s">
        <v>45</v>
      </c>
      <c r="AH287" s="40">
        <v>7</v>
      </c>
      <c r="AI287" s="40">
        <v>6</v>
      </c>
      <c r="AJ287" s="41">
        <v>6</v>
      </c>
      <c r="AK287" s="43" t="s">
        <v>45</v>
      </c>
      <c r="AL287" s="43" t="s">
        <v>635</v>
      </c>
      <c r="AM287" s="44">
        <f t="shared" si="29"/>
        <v>-1.0132908774239069</v>
      </c>
      <c r="AN287" s="44">
        <f t="shared" si="30"/>
        <v>-0.18876010499939533</v>
      </c>
      <c r="AO287" s="45">
        <f t="shared" si="31"/>
        <v>0</v>
      </c>
      <c r="AP287" s="46">
        <f t="shared" si="32"/>
        <v>0.75</v>
      </c>
      <c r="AQ287" s="44">
        <f>($AM$3*AM287+$AN$3*AN287+$AO$3*AO287+$AP$3*AP287)+$I$3*VLOOKUP(I287,COND!$A$2:$E$7,4,FALSE)+$J$3*VLOOKUP(J287,COND!$A$2:$C$7,2,FALSE)+$K$3*VLOOKUP(K287,COND!$A$2:$C$7,3,FALSE)+IF(AND($B$2&gt;0,$E287&lt;20),$B$2*25,0)</f>
        <v>43.23354965226487</v>
      </c>
      <c r="AR287" s="47">
        <f t="shared" si="33"/>
        <v>-0.19917915093240854</v>
      </c>
      <c r="AS287" s="45" t="str">
        <f t="shared" si="34"/>
        <v>3B</v>
      </c>
      <c r="AT287" s="45">
        <f>RANK(Batters[[#This Row],[zScore]],Batters[[#All],[zScore]])</f>
        <v>283</v>
      </c>
      <c r="AU287" s="45"/>
      <c r="AV287" s="45"/>
      <c r="AW287" s="45" t="str">
        <f t="shared" si="35"/>
        <v>Unlikely</v>
      </c>
      <c r="AX287" s="45"/>
      <c r="AY287" s="45">
        <f>INDEX(Table5[[#All],[Ovr]],MATCH(Batters[[#This Row],[PID]],Table5[[#All],[PID]],0))</f>
        <v>524</v>
      </c>
      <c r="AZ287" s="45" t="str">
        <f>INDEX(Table5[[#All],[Rnd]],MATCH(Batters[[#This Row],[PID]],Table5[[#All],[PID]],0))</f>
        <v>18</v>
      </c>
      <c r="BA287" s="45">
        <f>INDEX(Table5[[#All],[Pick]],MATCH(Batters[[#This Row],[PID]],Table5[[#All],[PID]],0))</f>
        <v>6</v>
      </c>
      <c r="BB287" s="45" t="str">
        <f>INDEX(Table5[[#All],[Team]],MATCH(Batters[[#This Row],[PID]],Table5[[#All],[PID]],0))</f>
        <v>Manchester Maulers</v>
      </c>
    </row>
    <row r="288" spans="1:54" ht="15" customHeight="1" x14ac:dyDescent="0.25">
      <c r="A288" s="40">
        <v>17584</v>
      </c>
      <c r="B288" s="40" t="s">
        <v>50</v>
      </c>
      <c r="C288" s="40" t="s">
        <v>180</v>
      </c>
      <c r="D288" s="40" t="s">
        <v>1590</v>
      </c>
      <c r="E288" s="40">
        <v>18</v>
      </c>
      <c r="F288" s="40" t="s">
        <v>53</v>
      </c>
      <c r="G288" s="40" t="s">
        <v>53</v>
      </c>
      <c r="H288" s="41" t="s">
        <v>638</v>
      </c>
      <c r="I288" s="65" t="s">
        <v>43</v>
      </c>
      <c r="J288" s="66" t="s">
        <v>43</v>
      </c>
      <c r="K288" s="67" t="s">
        <v>43</v>
      </c>
      <c r="L288" s="40">
        <v>1</v>
      </c>
      <c r="M288" s="40">
        <v>1</v>
      </c>
      <c r="N288" s="40">
        <v>2</v>
      </c>
      <c r="O288" s="40">
        <v>1</v>
      </c>
      <c r="P288" s="41">
        <v>1</v>
      </c>
      <c r="Q288" s="40">
        <v>3</v>
      </c>
      <c r="R288" s="40">
        <v>4</v>
      </c>
      <c r="S288" s="40">
        <v>5</v>
      </c>
      <c r="T288" s="40">
        <v>4</v>
      </c>
      <c r="U288" s="41">
        <v>3</v>
      </c>
      <c r="V288" s="40">
        <v>4</v>
      </c>
      <c r="W288" s="40">
        <v>7</v>
      </c>
      <c r="X288" s="40">
        <v>1</v>
      </c>
      <c r="Y288" s="41">
        <v>1</v>
      </c>
      <c r="Z288" s="40" t="s">
        <v>45</v>
      </c>
      <c r="AA288" s="40" t="s">
        <v>45</v>
      </c>
      <c r="AB288" s="40" t="s">
        <v>45</v>
      </c>
      <c r="AC288" s="40" t="s">
        <v>45</v>
      </c>
      <c r="AD288" s="40" t="s">
        <v>45</v>
      </c>
      <c r="AE288" s="40">
        <v>4</v>
      </c>
      <c r="AF288" s="40" t="s">
        <v>45</v>
      </c>
      <c r="AG288" s="41" t="s">
        <v>45</v>
      </c>
      <c r="AH288" s="40">
        <v>8</v>
      </c>
      <c r="AI288" s="40">
        <v>7</v>
      </c>
      <c r="AJ288" s="41">
        <v>9</v>
      </c>
      <c r="AK288" s="43" t="s">
        <v>670</v>
      </c>
      <c r="AL288" s="43" t="s">
        <v>635</v>
      </c>
      <c r="AM288" s="44">
        <f t="shared" si="29"/>
        <v>-2.0012818558036707</v>
      </c>
      <c r="AN288" s="44">
        <f t="shared" si="30"/>
        <v>-0.60464473280759601</v>
      </c>
      <c r="AO288" s="45">
        <f t="shared" si="31"/>
        <v>4</v>
      </c>
      <c r="AP288" s="46">
        <f t="shared" si="32"/>
        <v>0</v>
      </c>
      <c r="AQ288" s="44">
        <f>($AM$3*AM288+$AN$3*AN288+$AO$3*AO288+$AP$3*AP288)+$I$3*VLOOKUP(I288,COND!$A$2:$E$7,4,FALSE)+$J$3*VLOOKUP(J288,COND!$A$2:$C$7,2,FALSE)+$K$3*VLOOKUP(K288,COND!$A$2:$C$7,3,FALSE)+IF(AND($B$2&gt;0,$E288&lt;20),$B$2*25,0)</f>
        <v>43.210801687395147</v>
      </c>
      <c r="AR288" s="47">
        <f t="shared" si="33"/>
        <v>-0.20422252850599831</v>
      </c>
      <c r="AS288" s="45" t="str">
        <f t="shared" si="34"/>
        <v>LF</v>
      </c>
      <c r="AT288" s="45">
        <f>RANK(Batters[[#This Row],[zScore]],Batters[[#All],[zScore]])</f>
        <v>284</v>
      </c>
      <c r="AU288" s="45"/>
      <c r="AV288" s="45"/>
      <c r="AW288" s="45" t="str">
        <f t="shared" si="35"/>
        <v>Unlikely</v>
      </c>
      <c r="AX288" s="45"/>
      <c r="AY288" s="45">
        <f>INDEX(Table5[[#All],[Ovr]],MATCH(Batters[[#This Row],[PID]],Table5[[#All],[PID]],0))</f>
        <v>566</v>
      </c>
      <c r="AZ288" s="45" t="str">
        <f>INDEX(Table5[[#All],[Rnd]],MATCH(Batters[[#This Row],[PID]],Table5[[#All],[PID]],0))</f>
        <v>19</v>
      </c>
      <c r="BA288" s="45">
        <f>INDEX(Table5[[#All],[Pick]],MATCH(Batters[[#This Row],[PID]],Table5[[#All],[PID]],0))</f>
        <v>18</v>
      </c>
      <c r="BB288" s="45" t="str">
        <f>INDEX(Table5[[#All],[Team]],MATCH(Batters[[#This Row],[PID]],Table5[[#All],[PID]],0))</f>
        <v>Bakersfield Bears</v>
      </c>
    </row>
    <row r="289" spans="1:54" ht="15" customHeight="1" x14ac:dyDescent="0.25">
      <c r="A289" s="40">
        <v>20871</v>
      </c>
      <c r="B289" s="40" t="s">
        <v>66</v>
      </c>
      <c r="C289" s="40" t="s">
        <v>650</v>
      </c>
      <c r="D289" s="40" t="s">
        <v>1613</v>
      </c>
      <c r="E289" s="40">
        <v>17</v>
      </c>
      <c r="F289" s="40" t="s">
        <v>62</v>
      </c>
      <c r="G289" s="40" t="s">
        <v>42</v>
      </c>
      <c r="H289" s="41" t="s">
        <v>638</v>
      </c>
      <c r="I289" s="65" t="s">
        <v>43</v>
      </c>
      <c r="J289" s="66" t="s">
        <v>43</v>
      </c>
      <c r="K289" s="67" t="s">
        <v>43</v>
      </c>
      <c r="L289" s="40">
        <v>1</v>
      </c>
      <c r="M289" s="40">
        <v>1</v>
      </c>
      <c r="N289" s="40">
        <v>2</v>
      </c>
      <c r="O289" s="40">
        <v>2</v>
      </c>
      <c r="P289" s="41">
        <v>1</v>
      </c>
      <c r="Q289" s="40">
        <v>3</v>
      </c>
      <c r="R289" s="40">
        <v>3</v>
      </c>
      <c r="S289" s="40">
        <v>3</v>
      </c>
      <c r="T289" s="40">
        <v>7</v>
      </c>
      <c r="U289" s="41">
        <v>3</v>
      </c>
      <c r="V289" s="40">
        <v>4</v>
      </c>
      <c r="W289" s="40">
        <v>5</v>
      </c>
      <c r="X289" s="40">
        <v>1</v>
      </c>
      <c r="Y289" s="41">
        <v>1</v>
      </c>
      <c r="Z289" s="40" t="s">
        <v>45</v>
      </c>
      <c r="AA289" s="40" t="s">
        <v>45</v>
      </c>
      <c r="AB289" s="40" t="s">
        <v>45</v>
      </c>
      <c r="AC289" s="40" t="s">
        <v>45</v>
      </c>
      <c r="AD289" s="40" t="s">
        <v>45</v>
      </c>
      <c r="AE289" s="40">
        <v>2</v>
      </c>
      <c r="AF289" s="40" t="s">
        <v>45</v>
      </c>
      <c r="AG289" s="41">
        <v>3</v>
      </c>
      <c r="AH289" s="40">
        <v>7</v>
      </c>
      <c r="AI289" s="40">
        <v>2</v>
      </c>
      <c r="AJ289" s="41">
        <v>5</v>
      </c>
      <c r="AK289" s="43" t="s">
        <v>556</v>
      </c>
      <c r="AL289" s="43" t="s">
        <v>635</v>
      </c>
      <c r="AM289" s="44">
        <f t="shared" si="29"/>
        <v>-1.9115723057940897</v>
      </c>
      <c r="AN289" s="44">
        <f t="shared" si="30"/>
        <v>-0.55269895044535944</v>
      </c>
      <c r="AO289" s="45">
        <f t="shared" si="31"/>
        <v>0</v>
      </c>
      <c r="AP289" s="46">
        <f t="shared" si="32"/>
        <v>0</v>
      </c>
      <c r="AQ289" s="44">
        <f>($AM$3*AM289+$AN$3*AN289+$AO$3*AO289+$AP$3*AP289)+$I$3*VLOOKUP(I289,COND!$A$2:$E$7,4,FALSE)+$J$3*VLOOKUP(J289,COND!$A$2:$C$7,2,FALSE)+$K$3*VLOOKUP(K289,COND!$A$2:$C$7,3,FALSE)+IF(AND($B$2&gt;0,$E289&lt;20),$B$2*25,0)</f>
        <v>43.176455364076276</v>
      </c>
      <c r="AR289" s="47">
        <f t="shared" si="33"/>
        <v>-0.21183734054539166</v>
      </c>
      <c r="AS289" s="45" t="str">
        <f t="shared" si="34"/>
        <v>LF</v>
      </c>
      <c r="AT289" s="45">
        <f>RANK(Batters[[#This Row],[zScore]],Batters[[#All],[zScore]])</f>
        <v>285</v>
      </c>
      <c r="AU289" s="45"/>
      <c r="AV289" s="45"/>
      <c r="AW289" s="45" t="str">
        <f t="shared" si="35"/>
        <v>Unlikely</v>
      </c>
      <c r="AX289" s="45"/>
      <c r="AY289" s="45" t="str">
        <f>INDEX(Table5[[#All],[Ovr]],MATCH(Batters[[#This Row],[PID]],Table5[[#All],[PID]],0))</f>
        <v/>
      </c>
      <c r="AZ289" s="45" t="str">
        <f>INDEX(Table5[[#All],[Rnd]],MATCH(Batters[[#This Row],[PID]],Table5[[#All],[PID]],0))</f>
        <v/>
      </c>
      <c r="BA289" s="45" t="str">
        <f>INDEX(Table5[[#All],[Pick]],MATCH(Batters[[#This Row],[PID]],Table5[[#All],[PID]],0))</f>
        <v/>
      </c>
      <c r="BB289" s="45" t="str">
        <f>INDEX(Table5[[#All],[Team]],MATCH(Batters[[#This Row],[PID]],Table5[[#All],[PID]],0))</f>
        <v/>
      </c>
    </row>
    <row r="290" spans="1:54" ht="15" customHeight="1" x14ac:dyDescent="0.25">
      <c r="A290" s="40">
        <v>17030</v>
      </c>
      <c r="B290" s="40" t="s">
        <v>86</v>
      </c>
      <c r="C290" s="40" t="s">
        <v>188</v>
      </c>
      <c r="D290" s="40" t="s">
        <v>706</v>
      </c>
      <c r="E290" s="40">
        <v>21</v>
      </c>
      <c r="F290" s="40" t="s">
        <v>42</v>
      </c>
      <c r="G290" s="40" t="s">
        <v>42</v>
      </c>
      <c r="H290" s="41" t="s">
        <v>634</v>
      </c>
      <c r="I290" s="65" t="s">
        <v>43</v>
      </c>
      <c r="J290" s="66" t="s">
        <v>43</v>
      </c>
      <c r="K290" s="67" t="s">
        <v>43</v>
      </c>
      <c r="L290" s="40">
        <v>2</v>
      </c>
      <c r="M290" s="40">
        <v>4</v>
      </c>
      <c r="N290" s="40">
        <v>3</v>
      </c>
      <c r="O290" s="40">
        <v>2</v>
      </c>
      <c r="P290" s="41">
        <v>3</v>
      </c>
      <c r="Q290" s="40">
        <v>4</v>
      </c>
      <c r="R290" s="40">
        <v>5</v>
      </c>
      <c r="S290" s="40">
        <v>4</v>
      </c>
      <c r="T290" s="40">
        <v>4</v>
      </c>
      <c r="U290" s="41">
        <v>5</v>
      </c>
      <c r="V290" s="40">
        <v>4</v>
      </c>
      <c r="W290" s="40">
        <v>5</v>
      </c>
      <c r="X290" s="40">
        <v>6</v>
      </c>
      <c r="Y290" s="41">
        <v>7</v>
      </c>
      <c r="Z290" s="40">
        <v>3</v>
      </c>
      <c r="AA290" s="40" t="s">
        <v>45</v>
      </c>
      <c r="AB290" s="40" t="s">
        <v>45</v>
      </c>
      <c r="AC290" s="40" t="s">
        <v>45</v>
      </c>
      <c r="AD290" s="40" t="s">
        <v>45</v>
      </c>
      <c r="AE290" s="40" t="s">
        <v>45</v>
      </c>
      <c r="AF290" s="40" t="s">
        <v>45</v>
      </c>
      <c r="AG290" s="41" t="s">
        <v>45</v>
      </c>
      <c r="AH290" s="40">
        <v>1</v>
      </c>
      <c r="AI290" s="40">
        <v>4</v>
      </c>
      <c r="AJ290" s="41">
        <v>5</v>
      </c>
      <c r="AK290" s="43" t="s">
        <v>45</v>
      </c>
      <c r="AL290" s="43" t="s">
        <v>47</v>
      </c>
      <c r="AM290" s="44">
        <f t="shared" si="29"/>
        <v>-1.272742657077236</v>
      </c>
      <c r="AN290" s="44">
        <f t="shared" si="30"/>
        <v>-0.2340578313759524</v>
      </c>
      <c r="AO290" s="45">
        <f t="shared" si="31"/>
        <v>0</v>
      </c>
      <c r="AP290" s="46">
        <f t="shared" si="32"/>
        <v>1.1000000000000001</v>
      </c>
      <c r="AQ290" s="44">
        <f>($AM$3*AM290+$AN$3*AN290+$AO$3*AO290+$AP$3*AP290)+$I$3*VLOOKUP(I290,COND!$A$2:$E$7,4,FALSE)+$J$3*VLOOKUP(J290,COND!$A$2:$C$7,2,FALSE)+$K$3*VLOOKUP(K290,COND!$A$2:$C$7,3,FALSE)+IF(AND($B$2&gt;0,$E290&lt;20),$B$2*25,0)</f>
        <v>43.164031757780847</v>
      </c>
      <c r="AR290" s="47">
        <f t="shared" si="33"/>
        <v>-0.21459173803687306</v>
      </c>
      <c r="AS290" s="45" t="str">
        <f t="shared" si="34"/>
        <v>C</v>
      </c>
      <c r="AT290" s="45">
        <f>RANK(Batters[[#This Row],[zScore]],Batters[[#All],[zScore]])</f>
        <v>286</v>
      </c>
      <c r="AU290" s="45"/>
      <c r="AV290" s="45"/>
      <c r="AW290" s="45" t="str">
        <f t="shared" si="35"/>
        <v>Unlikely</v>
      </c>
      <c r="AX290" s="45"/>
      <c r="AY290" s="45">
        <f>INDEX(Table5[[#All],[Ovr]],MATCH(Batters[[#This Row],[PID]],Table5[[#All],[PID]],0))</f>
        <v>428</v>
      </c>
      <c r="AZ290" s="45" t="str">
        <f>INDEX(Table5[[#All],[Rnd]],MATCH(Batters[[#This Row],[PID]],Table5[[#All],[PID]],0))</f>
        <v>14</v>
      </c>
      <c r="BA290" s="45">
        <f>INDEX(Table5[[#All],[Pick]],MATCH(Batters[[#This Row],[PID]],Table5[[#All],[PID]],0))</f>
        <v>30</v>
      </c>
      <c r="BB290" s="45" t="str">
        <f>INDEX(Table5[[#All],[Team]],MATCH(Batters[[#This Row],[PID]],Table5[[#All],[PID]],0))</f>
        <v>Florida Farstriders</v>
      </c>
    </row>
    <row r="291" spans="1:54" ht="15" customHeight="1" x14ac:dyDescent="0.25">
      <c r="A291" s="40">
        <v>17976</v>
      </c>
      <c r="B291" s="40" t="s">
        <v>50</v>
      </c>
      <c r="C291" s="40" t="s">
        <v>190</v>
      </c>
      <c r="D291" s="40" t="s">
        <v>1362</v>
      </c>
      <c r="E291" s="40">
        <v>21</v>
      </c>
      <c r="F291" s="40" t="s">
        <v>42</v>
      </c>
      <c r="G291" s="40" t="s">
        <v>42</v>
      </c>
      <c r="H291" s="41" t="s">
        <v>634</v>
      </c>
      <c r="I291" s="65" t="s">
        <v>44</v>
      </c>
      <c r="J291" s="66" t="s">
        <v>43</v>
      </c>
      <c r="K291" s="67" t="s">
        <v>43</v>
      </c>
      <c r="L291" s="40">
        <v>2</v>
      </c>
      <c r="M291" s="40">
        <v>2</v>
      </c>
      <c r="N291" s="40">
        <v>2</v>
      </c>
      <c r="O291" s="40">
        <v>3</v>
      </c>
      <c r="P291" s="41">
        <v>2</v>
      </c>
      <c r="Q291" s="40">
        <v>4</v>
      </c>
      <c r="R291" s="40">
        <v>5</v>
      </c>
      <c r="S291" s="40">
        <v>4</v>
      </c>
      <c r="T291" s="40">
        <v>5</v>
      </c>
      <c r="U291" s="41">
        <v>4</v>
      </c>
      <c r="V291" s="40">
        <v>4</v>
      </c>
      <c r="W291" s="40">
        <v>5</v>
      </c>
      <c r="X291" s="40">
        <v>1</v>
      </c>
      <c r="Y291" s="41">
        <v>1</v>
      </c>
      <c r="Z291" s="40" t="s">
        <v>45</v>
      </c>
      <c r="AA291" s="40" t="s">
        <v>45</v>
      </c>
      <c r="AB291" s="40" t="s">
        <v>45</v>
      </c>
      <c r="AC291" s="40" t="s">
        <v>45</v>
      </c>
      <c r="AD291" s="40" t="s">
        <v>45</v>
      </c>
      <c r="AE291" s="40">
        <v>7</v>
      </c>
      <c r="AF291" s="40">
        <v>1</v>
      </c>
      <c r="AG291" s="41" t="s">
        <v>45</v>
      </c>
      <c r="AH291" s="40">
        <v>9</v>
      </c>
      <c r="AI291" s="40">
        <v>9</v>
      </c>
      <c r="AJ291" s="41">
        <v>8</v>
      </c>
      <c r="AK291" s="43" t="s">
        <v>45</v>
      </c>
      <c r="AL291" s="43" t="s">
        <v>47</v>
      </c>
      <c r="AM291" s="44">
        <f t="shared" si="29"/>
        <v>-1.4082307001460468</v>
      </c>
      <c r="AN291" s="44">
        <f t="shared" si="30"/>
        <v>-0.18436462118345487</v>
      </c>
      <c r="AO291" s="45">
        <f t="shared" si="31"/>
        <v>4</v>
      </c>
      <c r="AP291" s="46">
        <f t="shared" si="32"/>
        <v>0</v>
      </c>
      <c r="AQ291" s="44">
        <f>($AM$3*AM291+$AN$3*AN291+$AO$3*AO291+$AP$3*AP291)+$I$3*VLOOKUP(I291,COND!$A$2:$E$7,4,FALSE)+$J$3*VLOOKUP(J291,COND!$A$2:$C$7,2,FALSE)+$K$3*VLOOKUP(K291,COND!$A$2:$C$7,3,FALSE)+IF(AND($B$2&gt;0,$E291&lt;20),$B$2*25,0)</f>
        <v>43.163468142450604</v>
      </c>
      <c r="AR291" s="47">
        <f t="shared" si="33"/>
        <v>-0.21471669536527407</v>
      </c>
      <c r="AS291" s="45" t="str">
        <f t="shared" si="34"/>
        <v>LF</v>
      </c>
      <c r="AT291" s="45">
        <f>RANK(Batters[[#This Row],[zScore]],Batters[[#All],[zScore]])</f>
        <v>287</v>
      </c>
      <c r="AU291" s="45"/>
      <c r="AV291" s="45"/>
      <c r="AW291" s="45" t="str">
        <f t="shared" si="35"/>
        <v>Unlikely</v>
      </c>
      <c r="AX291" s="45"/>
      <c r="AY291" s="45">
        <f>INDEX(Table5[[#All],[Ovr]],MATCH(Batters[[#This Row],[PID]],Table5[[#All],[PID]],0))</f>
        <v>263</v>
      </c>
      <c r="AZ291" s="45" t="str">
        <f>INDEX(Table5[[#All],[Rnd]],MATCH(Batters[[#This Row],[PID]],Table5[[#All],[PID]],0))</f>
        <v>9</v>
      </c>
      <c r="BA291" s="45">
        <f>INDEX(Table5[[#All],[Pick]],MATCH(Batters[[#This Row],[PID]],Table5[[#All],[PID]],0))</f>
        <v>15</v>
      </c>
      <c r="BB291" s="45" t="str">
        <f>INDEX(Table5[[#All],[Team]],MATCH(Batters[[#This Row],[PID]],Table5[[#All],[PID]],0))</f>
        <v>Kentucky Thoroughbreds</v>
      </c>
    </row>
    <row r="292" spans="1:54" ht="15" customHeight="1" x14ac:dyDescent="0.25">
      <c r="A292" s="40">
        <v>20199</v>
      </c>
      <c r="B292" s="40" t="s">
        <v>50</v>
      </c>
      <c r="C292" s="40" t="s">
        <v>1375</v>
      </c>
      <c r="D292" s="40" t="s">
        <v>1376</v>
      </c>
      <c r="E292" s="40">
        <v>21</v>
      </c>
      <c r="F292" s="40" t="s">
        <v>62</v>
      </c>
      <c r="G292" s="40" t="s">
        <v>42</v>
      </c>
      <c r="H292" s="41" t="s">
        <v>634</v>
      </c>
      <c r="I292" s="65" t="s">
        <v>43</v>
      </c>
      <c r="J292" s="66" t="s">
        <v>43</v>
      </c>
      <c r="K292" s="67" t="s">
        <v>43</v>
      </c>
      <c r="L292" s="40">
        <v>2</v>
      </c>
      <c r="M292" s="40">
        <v>6</v>
      </c>
      <c r="N292" s="40">
        <v>5</v>
      </c>
      <c r="O292" s="40">
        <v>4</v>
      </c>
      <c r="P292" s="41">
        <v>1</v>
      </c>
      <c r="Q292" s="40">
        <v>3</v>
      </c>
      <c r="R292" s="40">
        <v>7</v>
      </c>
      <c r="S292" s="40">
        <v>7</v>
      </c>
      <c r="T292" s="40">
        <v>6</v>
      </c>
      <c r="U292" s="41">
        <v>2</v>
      </c>
      <c r="V292" s="40">
        <v>9</v>
      </c>
      <c r="W292" s="40">
        <v>8</v>
      </c>
      <c r="X292" s="40">
        <v>2</v>
      </c>
      <c r="Y292" s="41">
        <v>1</v>
      </c>
      <c r="Z292" s="40" t="s">
        <v>45</v>
      </c>
      <c r="AA292" s="40">
        <v>1</v>
      </c>
      <c r="AB292" s="40">
        <v>2</v>
      </c>
      <c r="AC292" s="40">
        <v>3</v>
      </c>
      <c r="AD292" s="40" t="s">
        <v>45</v>
      </c>
      <c r="AE292" s="40">
        <v>5</v>
      </c>
      <c r="AF292" s="40" t="s">
        <v>45</v>
      </c>
      <c r="AG292" s="41">
        <v>4</v>
      </c>
      <c r="AH292" s="40">
        <v>2</v>
      </c>
      <c r="AI292" s="40">
        <v>1</v>
      </c>
      <c r="AJ292" s="41">
        <v>1</v>
      </c>
      <c r="AK292" s="43" t="s">
        <v>643</v>
      </c>
      <c r="AL292" s="43" t="s">
        <v>635</v>
      </c>
      <c r="AM292" s="44">
        <f t="shared" si="29"/>
        <v>-0.90511348940703085</v>
      </c>
      <c r="AN292" s="44">
        <f t="shared" si="30"/>
        <v>-0.14593934570160397</v>
      </c>
      <c r="AO292" s="45">
        <f t="shared" si="31"/>
        <v>0</v>
      </c>
      <c r="AP292" s="46">
        <f t="shared" si="32"/>
        <v>0</v>
      </c>
      <c r="AQ292" s="44">
        <f>($AM$3*AM292+$AN$3*AN292+$AO$3*AO292+$AP$3*AP292)+$I$3*VLOOKUP(I292,COND!$A$2:$E$7,4,FALSE)+$J$3*VLOOKUP(J292,COND!$A$2:$C$7,2,FALSE)+$K$3*VLOOKUP(K292,COND!$A$2:$C$7,3,FALSE)+IF(AND($B$2&gt;0,$E292&lt;20),$B$2*25,0)</f>
        <v>43.158216502640052</v>
      </c>
      <c r="AR292" s="47">
        <f t="shared" si="33"/>
        <v>-0.21588101940906421</v>
      </c>
      <c r="AS292" s="45" t="str">
        <f t="shared" si="34"/>
        <v>3B</v>
      </c>
      <c r="AT292" s="45">
        <f>RANK(Batters[[#This Row],[zScore]],Batters[[#All],[zScore]])</f>
        <v>288</v>
      </c>
      <c r="AU292" s="45"/>
      <c r="AV292" s="45"/>
      <c r="AW292" s="45" t="str">
        <f t="shared" si="35"/>
        <v>Possible</v>
      </c>
      <c r="AX292" s="45"/>
      <c r="AY292" s="45">
        <f>INDEX(Table5[[#All],[Ovr]],MATCH(Batters[[#This Row],[PID]],Table5[[#All],[PID]],0))</f>
        <v>293</v>
      </c>
      <c r="AZ292" s="45" t="str">
        <f>INDEX(Table5[[#All],[Rnd]],MATCH(Batters[[#This Row],[PID]],Table5[[#All],[PID]],0))</f>
        <v>10</v>
      </c>
      <c r="BA292" s="45">
        <f>INDEX(Table5[[#All],[Pick]],MATCH(Batters[[#This Row],[PID]],Table5[[#All],[PID]],0))</f>
        <v>15</v>
      </c>
      <c r="BB292" s="45" t="str">
        <f>INDEX(Table5[[#All],[Team]],MATCH(Batters[[#This Row],[PID]],Table5[[#All],[PID]],0))</f>
        <v>Kentucky Thoroughbreds</v>
      </c>
    </row>
    <row r="293" spans="1:54" ht="15" customHeight="1" x14ac:dyDescent="0.25">
      <c r="A293" s="40">
        <v>20201</v>
      </c>
      <c r="B293" s="40" t="s">
        <v>66</v>
      </c>
      <c r="C293" s="40" t="s">
        <v>1335</v>
      </c>
      <c r="D293" s="40" t="s">
        <v>1649</v>
      </c>
      <c r="E293" s="40">
        <v>21</v>
      </c>
      <c r="F293" s="40" t="s">
        <v>42</v>
      </c>
      <c r="G293" s="40" t="s">
        <v>42</v>
      </c>
      <c r="H293" s="41" t="s">
        <v>638</v>
      </c>
      <c r="I293" s="65" t="s">
        <v>43</v>
      </c>
      <c r="J293" s="66" t="s">
        <v>43</v>
      </c>
      <c r="K293" s="67" t="s">
        <v>43</v>
      </c>
      <c r="L293" s="40">
        <v>2</v>
      </c>
      <c r="M293" s="40">
        <v>3</v>
      </c>
      <c r="N293" s="40">
        <v>3</v>
      </c>
      <c r="O293" s="40">
        <v>4</v>
      </c>
      <c r="P293" s="41">
        <v>4</v>
      </c>
      <c r="Q293" s="40">
        <v>4</v>
      </c>
      <c r="R293" s="40">
        <v>4</v>
      </c>
      <c r="S293" s="40">
        <v>4</v>
      </c>
      <c r="T293" s="40">
        <v>6</v>
      </c>
      <c r="U293" s="41">
        <v>4</v>
      </c>
      <c r="V293" s="40">
        <v>4</v>
      </c>
      <c r="W293" s="40">
        <v>8</v>
      </c>
      <c r="X293" s="40">
        <v>1</v>
      </c>
      <c r="Y293" s="41">
        <v>1</v>
      </c>
      <c r="Z293" s="40" t="s">
        <v>45</v>
      </c>
      <c r="AA293" s="40">
        <v>2</v>
      </c>
      <c r="AB293" s="40" t="s">
        <v>45</v>
      </c>
      <c r="AC293" s="40" t="s">
        <v>45</v>
      </c>
      <c r="AD293" s="40" t="s">
        <v>45</v>
      </c>
      <c r="AE293" s="40">
        <v>3</v>
      </c>
      <c r="AF293" s="40" t="s">
        <v>45</v>
      </c>
      <c r="AG293" s="41">
        <v>2</v>
      </c>
      <c r="AH293" s="40">
        <v>6</v>
      </c>
      <c r="AI293" s="40">
        <v>7</v>
      </c>
      <c r="AJ293" s="41">
        <v>5</v>
      </c>
      <c r="AK293" s="43" t="s">
        <v>643</v>
      </c>
      <c r="AL293" s="43"/>
      <c r="AM293" s="44">
        <f t="shared" si="29"/>
        <v>-1.1043670968596939</v>
      </c>
      <c r="AN293" s="44">
        <f t="shared" si="30"/>
        <v>-0.14571495079257732</v>
      </c>
      <c r="AO293" s="45">
        <f t="shared" si="31"/>
        <v>0</v>
      </c>
      <c r="AP293" s="46">
        <f t="shared" si="32"/>
        <v>0</v>
      </c>
      <c r="AQ293" s="44">
        <f>($AM$3*AM293+$AN$3*AN293+$AO$3*AO293+$AP$3*AP293)+$I$3*VLOOKUP(I293,COND!$A$2:$E$7,4,FALSE)+$J$3*VLOOKUP(J293,COND!$A$2:$C$7,2,FALSE)+$K$3*VLOOKUP(K293,COND!$A$2:$C$7,3,FALSE)+IF(AND($B$2&gt;0,$E293&lt;20),$B$2*25,0)</f>
        <v>43.140983880803105</v>
      </c>
      <c r="AR293" s="47">
        <f t="shared" si="33"/>
        <v>-0.21970160815202847</v>
      </c>
      <c r="AS293" s="45" t="str">
        <f t="shared" si="34"/>
        <v>LF</v>
      </c>
      <c r="AT293" s="45">
        <f>RANK(Batters[[#This Row],[zScore]],Batters[[#All],[zScore]])</f>
        <v>289</v>
      </c>
      <c r="AU293" s="45"/>
      <c r="AV293" s="45"/>
      <c r="AW293" s="45" t="str">
        <f t="shared" si="35"/>
        <v>Unlikely</v>
      </c>
      <c r="AX293" s="45"/>
      <c r="AY293" s="64">
        <f>INDEX(Table5[[#All],[Ovr]],MATCH(Batters[[#This Row],[PID]],Table5[[#All],[PID]],0))</f>
        <v>485</v>
      </c>
      <c r="AZ293" s="64" t="str">
        <f>INDEX(Table5[[#All],[Rnd]],MATCH(Batters[[#This Row],[PID]],Table5[[#All],[PID]],0))</f>
        <v>16</v>
      </c>
      <c r="BA293" s="64">
        <f>INDEX(Table5[[#All],[Pick]],MATCH(Batters[[#This Row],[PID]],Table5[[#All],[PID]],0))</f>
        <v>27</v>
      </c>
      <c r="BB293" s="64" t="str">
        <f>INDEX(Table5[[#All],[Team]],MATCH(Batters[[#This Row],[PID]],Table5[[#All],[PID]],0))</f>
        <v>Neo-Tokyo Akira</v>
      </c>
    </row>
    <row r="294" spans="1:54" ht="15" customHeight="1" x14ac:dyDescent="0.25">
      <c r="A294" s="40">
        <v>18167</v>
      </c>
      <c r="B294" s="40" t="s">
        <v>66</v>
      </c>
      <c r="C294" s="40" t="s">
        <v>187</v>
      </c>
      <c r="D294" s="40" t="s">
        <v>156</v>
      </c>
      <c r="E294" s="40">
        <v>21</v>
      </c>
      <c r="F294" s="40" t="s">
        <v>53</v>
      </c>
      <c r="G294" s="40" t="s">
        <v>53</v>
      </c>
      <c r="H294" s="41" t="s">
        <v>638</v>
      </c>
      <c r="I294" s="65" t="s">
        <v>44</v>
      </c>
      <c r="J294" s="66" t="s">
        <v>44</v>
      </c>
      <c r="K294" s="67" t="s">
        <v>47</v>
      </c>
      <c r="L294" s="40">
        <v>2</v>
      </c>
      <c r="M294" s="40">
        <v>2</v>
      </c>
      <c r="N294" s="40">
        <v>2</v>
      </c>
      <c r="O294" s="40">
        <v>3</v>
      </c>
      <c r="P294" s="41">
        <v>2</v>
      </c>
      <c r="Q294" s="40">
        <v>4</v>
      </c>
      <c r="R294" s="40">
        <v>5</v>
      </c>
      <c r="S294" s="40">
        <v>3</v>
      </c>
      <c r="T294" s="40">
        <v>6</v>
      </c>
      <c r="U294" s="41">
        <v>5</v>
      </c>
      <c r="V294" s="40">
        <v>3</v>
      </c>
      <c r="W294" s="40">
        <v>7</v>
      </c>
      <c r="X294" s="40">
        <v>1</v>
      </c>
      <c r="Y294" s="41">
        <v>1</v>
      </c>
      <c r="Z294" s="40" t="s">
        <v>45</v>
      </c>
      <c r="AA294" s="40" t="s">
        <v>45</v>
      </c>
      <c r="AB294" s="40" t="s">
        <v>45</v>
      </c>
      <c r="AC294" s="40" t="s">
        <v>45</v>
      </c>
      <c r="AD294" s="40" t="s">
        <v>45</v>
      </c>
      <c r="AE294" s="40">
        <v>1</v>
      </c>
      <c r="AF294" s="40" t="s">
        <v>45</v>
      </c>
      <c r="AG294" s="41">
        <v>3</v>
      </c>
      <c r="AH294" s="40">
        <v>3</v>
      </c>
      <c r="AI294" s="40">
        <v>4</v>
      </c>
      <c r="AJ294" s="41">
        <v>5</v>
      </c>
      <c r="AK294" s="43" t="s">
        <v>45</v>
      </c>
      <c r="AL294" s="43" t="s">
        <v>47</v>
      </c>
      <c r="AM294" s="44">
        <f t="shared" si="29"/>
        <v>-1.4082307001460468</v>
      </c>
      <c r="AN294" s="44">
        <f t="shared" si="30"/>
        <v>-0.13770022538069185</v>
      </c>
      <c r="AO294" s="45">
        <f t="shared" si="31"/>
        <v>0</v>
      </c>
      <c r="AP294" s="46">
        <f t="shared" si="32"/>
        <v>0</v>
      </c>
      <c r="AQ294" s="44">
        <f>($AM$3*AM294+$AN$3*AN294+$AO$3*AO294+$AP$3*AP294)+$I$3*VLOOKUP(I294,COND!$A$2:$E$7,4,FALSE)+$J$3*VLOOKUP(J294,COND!$A$2:$C$7,2,FALSE)+$K$3*VLOOKUP(K294,COND!$A$2:$C$7,3,FALSE)+IF(AND($B$2&gt;0,$E294&lt;20),$B$2*25,0)</f>
        <v>43.056774225417087</v>
      </c>
      <c r="AR294" s="47">
        <f t="shared" si="33"/>
        <v>-0.23837145795555292</v>
      </c>
      <c r="AS294" s="45" t="str">
        <f t="shared" si="34"/>
        <v>RF</v>
      </c>
      <c r="AT294" s="45">
        <f>RANK(Batters[[#This Row],[zScore]],Batters[[#All],[zScore]])</f>
        <v>290</v>
      </c>
      <c r="AU294" s="45"/>
      <c r="AV294" s="45"/>
      <c r="AW294" s="45" t="str">
        <f t="shared" si="35"/>
        <v>Unlikely</v>
      </c>
      <c r="AX294" s="45"/>
      <c r="AY294" s="45">
        <f>INDEX(Table5[[#All],[Ovr]],MATCH(Batters[[#This Row],[PID]],Table5[[#All],[PID]],0))</f>
        <v>405</v>
      </c>
      <c r="AZ294" s="45" t="str">
        <f>INDEX(Table5[[#All],[Rnd]],MATCH(Batters[[#This Row],[PID]],Table5[[#All],[PID]],0))</f>
        <v>14</v>
      </c>
      <c r="BA294" s="45">
        <f>INDEX(Table5[[#All],[Pick]],MATCH(Batters[[#This Row],[PID]],Table5[[#All],[PID]],0))</f>
        <v>7</v>
      </c>
      <c r="BB294" s="45" t="str">
        <f>INDEX(Table5[[#All],[Team]],MATCH(Batters[[#This Row],[PID]],Table5[[#All],[PID]],0))</f>
        <v>Niihama-shi Ghosts</v>
      </c>
    </row>
    <row r="295" spans="1:54" ht="15" customHeight="1" x14ac:dyDescent="0.25">
      <c r="A295" s="40">
        <v>20913</v>
      </c>
      <c r="B295" s="40" t="s">
        <v>86</v>
      </c>
      <c r="C295" s="40" t="s">
        <v>675</v>
      </c>
      <c r="D295" s="40" t="s">
        <v>738</v>
      </c>
      <c r="E295" s="40">
        <v>17</v>
      </c>
      <c r="F295" s="40" t="s">
        <v>42</v>
      </c>
      <c r="G295" s="40" t="s">
        <v>42</v>
      </c>
      <c r="H295" s="41" t="s">
        <v>638</v>
      </c>
      <c r="I295" s="65" t="s">
        <v>44</v>
      </c>
      <c r="J295" s="66" t="s">
        <v>44</v>
      </c>
      <c r="K295" s="67" t="s">
        <v>43</v>
      </c>
      <c r="L295" s="40">
        <v>1</v>
      </c>
      <c r="M295" s="40">
        <v>1</v>
      </c>
      <c r="N295" s="40">
        <v>2</v>
      </c>
      <c r="O295" s="40">
        <v>2</v>
      </c>
      <c r="P295" s="41">
        <v>1</v>
      </c>
      <c r="Q295" s="40">
        <v>3</v>
      </c>
      <c r="R295" s="40">
        <v>3</v>
      </c>
      <c r="S295" s="40">
        <v>5</v>
      </c>
      <c r="T295" s="40">
        <v>5</v>
      </c>
      <c r="U295" s="41">
        <v>4</v>
      </c>
      <c r="V295" s="40">
        <v>3</v>
      </c>
      <c r="W295" s="40">
        <v>4</v>
      </c>
      <c r="X295" s="40">
        <v>4</v>
      </c>
      <c r="Y295" s="41">
        <v>5</v>
      </c>
      <c r="Z295" s="40" t="s">
        <v>45</v>
      </c>
      <c r="AA295" s="40" t="s">
        <v>45</v>
      </c>
      <c r="AB295" s="40" t="s">
        <v>45</v>
      </c>
      <c r="AC295" s="40" t="s">
        <v>45</v>
      </c>
      <c r="AD295" s="40" t="s">
        <v>45</v>
      </c>
      <c r="AE295" s="40" t="s">
        <v>45</v>
      </c>
      <c r="AF295" s="40" t="s">
        <v>45</v>
      </c>
      <c r="AG295" s="41" t="s">
        <v>45</v>
      </c>
      <c r="AH295" s="40">
        <v>2</v>
      </c>
      <c r="AI295" s="40">
        <v>1</v>
      </c>
      <c r="AJ295" s="41">
        <v>1</v>
      </c>
      <c r="AK295" s="43" t="s">
        <v>663</v>
      </c>
      <c r="AL295" s="43" t="s">
        <v>47</v>
      </c>
      <c r="AM295" s="44">
        <f t="shared" si="29"/>
        <v>-1.9115723057940897</v>
      </c>
      <c r="AN295" s="44">
        <f t="shared" si="30"/>
        <v>-0.52597872259963507</v>
      </c>
      <c r="AO295" s="45">
        <f t="shared" si="31"/>
        <v>0</v>
      </c>
      <c r="AP295" s="46">
        <f t="shared" si="32"/>
        <v>0</v>
      </c>
      <c r="AQ295" s="44">
        <f>($AM$3*AM295+$AN$3*AN295+$AO$3*AO295+$AP$3*AP295)+$I$3*VLOOKUP(I295,COND!$A$2:$E$7,4,FALSE)+$J$3*VLOOKUP(J295,COND!$A$2:$C$7,2,FALSE)+$K$3*VLOOKUP(K295,COND!$A$2:$C$7,3,FALSE)+IF(AND($B$2&gt;0,$E295&lt;20),$B$2*25,0)</f>
        <v>43.047098098224964</v>
      </c>
      <c r="AR295" s="47">
        <f t="shared" si="33"/>
        <v>-0.24051672075859626</v>
      </c>
      <c r="AS295" s="45" t="str">
        <f t="shared" si="34"/>
        <v>DH</v>
      </c>
      <c r="AT295" s="45">
        <f>RANK(Batters[[#This Row],[zScore]],Batters[[#All],[zScore]])</f>
        <v>291</v>
      </c>
      <c r="AU295" s="45"/>
      <c r="AV295" s="45"/>
      <c r="AW295" s="45" t="str">
        <f t="shared" si="35"/>
        <v>Unlikely</v>
      </c>
      <c r="AX295" s="45"/>
      <c r="AY295" s="45" t="str">
        <f>INDEX(Table5[[#All],[Ovr]],MATCH(Batters[[#This Row],[PID]],Table5[[#All],[PID]],0))</f>
        <v/>
      </c>
      <c r="AZ295" s="45" t="str">
        <f>INDEX(Table5[[#All],[Rnd]],MATCH(Batters[[#This Row],[PID]],Table5[[#All],[PID]],0))</f>
        <v/>
      </c>
      <c r="BA295" s="45" t="str">
        <f>INDEX(Table5[[#All],[Pick]],MATCH(Batters[[#This Row],[PID]],Table5[[#All],[PID]],0))</f>
        <v/>
      </c>
      <c r="BB295" s="45" t="str">
        <f>INDEX(Table5[[#All],[Team]],MATCH(Batters[[#This Row],[PID]],Table5[[#All],[PID]],0))</f>
        <v/>
      </c>
    </row>
    <row r="296" spans="1:54" ht="15" customHeight="1" x14ac:dyDescent="0.25">
      <c r="A296" s="40">
        <v>21072</v>
      </c>
      <c r="B296" s="40" t="s">
        <v>66</v>
      </c>
      <c r="C296" s="40" t="s">
        <v>728</v>
      </c>
      <c r="D296" s="40" t="s">
        <v>1565</v>
      </c>
      <c r="E296" s="40">
        <v>18</v>
      </c>
      <c r="F296" s="40" t="s">
        <v>42</v>
      </c>
      <c r="G296" s="40" t="s">
        <v>42</v>
      </c>
      <c r="H296" s="41" t="s">
        <v>638</v>
      </c>
      <c r="I296" s="65" t="s">
        <v>43</v>
      </c>
      <c r="J296" s="66" t="s">
        <v>44</v>
      </c>
      <c r="K296" s="67" t="s">
        <v>43</v>
      </c>
      <c r="L296" s="40">
        <v>1</v>
      </c>
      <c r="M296" s="40">
        <v>2</v>
      </c>
      <c r="N296" s="40">
        <v>2</v>
      </c>
      <c r="O296" s="40">
        <v>2</v>
      </c>
      <c r="P296" s="41">
        <v>1</v>
      </c>
      <c r="Q296" s="40">
        <v>3</v>
      </c>
      <c r="R296" s="40">
        <v>5</v>
      </c>
      <c r="S296" s="40">
        <v>3</v>
      </c>
      <c r="T296" s="40">
        <v>6</v>
      </c>
      <c r="U296" s="41">
        <v>3</v>
      </c>
      <c r="V296" s="40">
        <v>10</v>
      </c>
      <c r="W296" s="40">
        <v>10</v>
      </c>
      <c r="X296" s="40">
        <v>1</v>
      </c>
      <c r="Y296" s="41">
        <v>1</v>
      </c>
      <c r="Z296" s="40" t="s">
        <v>45</v>
      </c>
      <c r="AA296" s="40" t="s">
        <v>45</v>
      </c>
      <c r="AB296" s="40">
        <v>1</v>
      </c>
      <c r="AC296" s="40">
        <v>2</v>
      </c>
      <c r="AD296" s="40">
        <v>1</v>
      </c>
      <c r="AE296" s="40">
        <v>1</v>
      </c>
      <c r="AF296" s="40" t="s">
        <v>45</v>
      </c>
      <c r="AG296" s="41">
        <v>1</v>
      </c>
      <c r="AH296" s="40">
        <v>4</v>
      </c>
      <c r="AI296" s="40">
        <v>2</v>
      </c>
      <c r="AJ296" s="41">
        <v>1</v>
      </c>
      <c r="AK296" s="43" t="s">
        <v>656</v>
      </c>
      <c r="AL296" s="43" t="s">
        <v>635</v>
      </c>
      <c r="AM296" s="44">
        <f t="shared" si="29"/>
        <v>-1.8605124261753858</v>
      </c>
      <c r="AN296" s="44">
        <f t="shared" si="30"/>
        <v>-0.54028874121753345</v>
      </c>
      <c r="AO296" s="45">
        <f t="shared" si="31"/>
        <v>0</v>
      </c>
      <c r="AP296" s="46">
        <f t="shared" si="32"/>
        <v>0</v>
      </c>
      <c r="AQ296" s="44">
        <f>($AM$3*AM296+$AN$3*AN296+$AO$3*AO296+$AP$3*AP296)+$I$3*VLOOKUP(I296,COND!$A$2:$E$7,4,FALSE)+$J$3*VLOOKUP(J296,COND!$A$2:$C$7,2,FALSE)+$K$3*VLOOKUP(K296,COND!$A$2:$C$7,3,FALSE)+IF(AND($B$2&gt;0,$E296&lt;20),$B$2*25,0)</f>
        <v>43.030483862772059</v>
      </c>
      <c r="AR296" s="47">
        <f t="shared" si="33"/>
        <v>-0.2442002090603147</v>
      </c>
      <c r="AS296" s="45" t="str">
        <f t="shared" si="34"/>
        <v>3B</v>
      </c>
      <c r="AT296" s="45">
        <f>RANK(Batters[[#This Row],[zScore]],Batters[[#All],[zScore]])</f>
        <v>292</v>
      </c>
      <c r="AU296" s="45"/>
      <c r="AV296" s="45"/>
      <c r="AW296" s="45" t="str">
        <f t="shared" si="35"/>
        <v>Unlikely</v>
      </c>
      <c r="AX296" s="45"/>
      <c r="AY296" s="45" t="str">
        <f>INDEX(Table5[[#All],[Ovr]],MATCH(Batters[[#This Row],[PID]],Table5[[#All],[PID]],0))</f>
        <v/>
      </c>
      <c r="AZ296" s="45" t="str">
        <f>INDEX(Table5[[#All],[Rnd]],MATCH(Batters[[#This Row],[PID]],Table5[[#All],[PID]],0))</f>
        <v/>
      </c>
      <c r="BA296" s="45" t="str">
        <f>INDEX(Table5[[#All],[Pick]],MATCH(Batters[[#This Row],[PID]],Table5[[#All],[PID]],0))</f>
        <v/>
      </c>
      <c r="BB296" s="45" t="str">
        <f>INDEX(Table5[[#All],[Team]],MATCH(Batters[[#This Row],[PID]],Table5[[#All],[PID]],0))</f>
        <v/>
      </c>
    </row>
    <row r="297" spans="1:54" ht="15" customHeight="1" x14ac:dyDescent="0.25">
      <c r="A297" s="40">
        <v>17564</v>
      </c>
      <c r="B297" s="40" t="s">
        <v>87</v>
      </c>
      <c r="C297" s="40" t="s">
        <v>1693</v>
      </c>
      <c r="D297" s="40" t="s">
        <v>1694</v>
      </c>
      <c r="E297" s="40">
        <v>18</v>
      </c>
      <c r="F297" s="40" t="s">
        <v>42</v>
      </c>
      <c r="G297" s="40" t="s">
        <v>42</v>
      </c>
      <c r="H297" s="41" t="s">
        <v>639</v>
      </c>
      <c r="I297" s="65" t="s">
        <v>43</v>
      </c>
      <c r="J297" s="66" t="s">
        <v>44</v>
      </c>
      <c r="K297" s="67" t="s">
        <v>44</v>
      </c>
      <c r="L297" s="40">
        <v>1</v>
      </c>
      <c r="M297" s="40">
        <v>1</v>
      </c>
      <c r="N297" s="40">
        <v>2</v>
      </c>
      <c r="O297" s="40">
        <v>1</v>
      </c>
      <c r="P297" s="41">
        <v>1</v>
      </c>
      <c r="Q297" s="40">
        <v>3</v>
      </c>
      <c r="R297" s="40">
        <v>4</v>
      </c>
      <c r="S297" s="40">
        <v>5</v>
      </c>
      <c r="T297" s="40">
        <v>5</v>
      </c>
      <c r="U297" s="41">
        <v>3</v>
      </c>
      <c r="V297" s="40">
        <v>1</v>
      </c>
      <c r="W297" s="40">
        <v>2</v>
      </c>
      <c r="X297" s="40">
        <v>1</v>
      </c>
      <c r="Y297" s="41">
        <v>1</v>
      </c>
      <c r="Z297" s="40" t="s">
        <v>45</v>
      </c>
      <c r="AA297" s="40">
        <v>1</v>
      </c>
      <c r="AB297" s="40" t="s">
        <v>45</v>
      </c>
      <c r="AC297" s="40" t="s">
        <v>45</v>
      </c>
      <c r="AD297" s="40" t="s">
        <v>45</v>
      </c>
      <c r="AE297" s="40" t="s">
        <v>45</v>
      </c>
      <c r="AF297" s="40" t="s">
        <v>45</v>
      </c>
      <c r="AG297" s="41" t="s">
        <v>45</v>
      </c>
      <c r="AH297" s="40">
        <v>1</v>
      </c>
      <c r="AI297" s="40">
        <v>1</v>
      </c>
      <c r="AJ297" s="41">
        <v>2</v>
      </c>
      <c r="AK297" s="43" t="s">
        <v>654</v>
      </c>
      <c r="AL297" s="43"/>
      <c r="AM297" s="44">
        <f t="shared" si="29"/>
        <v>-2.0012818558036707</v>
      </c>
      <c r="AN297" s="44">
        <f t="shared" si="30"/>
        <v>-0.51493518279801498</v>
      </c>
      <c r="AO297" s="45">
        <f t="shared" si="31"/>
        <v>0</v>
      </c>
      <c r="AP297" s="46">
        <f t="shared" si="32"/>
        <v>0</v>
      </c>
      <c r="AQ297" s="44">
        <f>($AM$3*AM297+$AN$3*AN297+$AO$3*AO297+$AP$3*AP297)+$I$3*VLOOKUP(I297,COND!$A$2:$E$7,4,FALSE)+$J$3*VLOOKUP(J297,COND!$A$2:$C$7,2,FALSE)+$K$3*VLOOKUP(K297,COND!$A$2:$C$7,3,FALSE)+IF(AND($B$2&gt;0,$E297&lt;20),$B$2*25,0)</f>
        <v>43.02064962084345</v>
      </c>
      <c r="AR297" s="47">
        <f t="shared" si="33"/>
        <v>-0.24638052696919341</v>
      </c>
      <c r="AS297" s="45" t="str">
        <f t="shared" si="34"/>
        <v>1B</v>
      </c>
      <c r="AT297" s="45">
        <f>RANK(Batters[[#This Row],[zScore]],Batters[[#All],[zScore]])</f>
        <v>293</v>
      </c>
      <c r="AU297" s="45"/>
      <c r="AV297" s="45"/>
      <c r="AW297" s="45" t="str">
        <f t="shared" si="35"/>
        <v>Unlikely</v>
      </c>
      <c r="AX297" s="45"/>
      <c r="AY297" s="64" t="str">
        <f>INDEX(Table5[[#All],[Ovr]],MATCH(Batters[[#This Row],[PID]],Table5[[#All],[PID]],0))</f>
        <v/>
      </c>
      <c r="AZ297" s="64" t="str">
        <f>INDEX(Table5[[#All],[Rnd]],MATCH(Batters[[#This Row],[PID]],Table5[[#All],[PID]],0))</f>
        <v/>
      </c>
      <c r="BA297" s="64" t="str">
        <f>INDEX(Table5[[#All],[Pick]],MATCH(Batters[[#This Row],[PID]],Table5[[#All],[PID]],0))</f>
        <v/>
      </c>
      <c r="BB297" s="64" t="str">
        <f>INDEX(Table5[[#All],[Team]],MATCH(Batters[[#This Row],[PID]],Table5[[#All],[PID]],0))</f>
        <v/>
      </c>
    </row>
    <row r="298" spans="1:54" ht="15" customHeight="1" x14ac:dyDescent="0.25">
      <c r="A298" s="40">
        <v>20790</v>
      </c>
      <c r="B298" s="40" t="s">
        <v>87</v>
      </c>
      <c r="C298" s="40" t="s">
        <v>1665</v>
      </c>
      <c r="D298" s="40" t="s">
        <v>938</v>
      </c>
      <c r="E298" s="40">
        <v>17</v>
      </c>
      <c r="F298" s="40" t="s">
        <v>42</v>
      </c>
      <c r="G298" s="40" t="s">
        <v>42</v>
      </c>
      <c r="H298" s="41" t="s">
        <v>639</v>
      </c>
      <c r="I298" s="65" t="s">
        <v>43</v>
      </c>
      <c r="J298" s="66" t="s">
        <v>44</v>
      </c>
      <c r="K298" s="67" t="s">
        <v>43</v>
      </c>
      <c r="L298" s="40">
        <v>1</v>
      </c>
      <c r="M298" s="40">
        <v>2</v>
      </c>
      <c r="N298" s="40">
        <v>2</v>
      </c>
      <c r="O298" s="40">
        <v>2</v>
      </c>
      <c r="P298" s="41">
        <v>1</v>
      </c>
      <c r="Q298" s="40">
        <v>3</v>
      </c>
      <c r="R298" s="40">
        <v>5</v>
      </c>
      <c r="S298" s="40">
        <v>4</v>
      </c>
      <c r="T298" s="40">
        <v>5</v>
      </c>
      <c r="U298" s="41">
        <v>3</v>
      </c>
      <c r="V298" s="40">
        <v>2</v>
      </c>
      <c r="W298" s="40">
        <v>3</v>
      </c>
      <c r="X298" s="40">
        <v>1</v>
      </c>
      <c r="Y298" s="41">
        <v>1</v>
      </c>
      <c r="Z298" s="40" t="s">
        <v>45</v>
      </c>
      <c r="AA298" s="40">
        <v>1</v>
      </c>
      <c r="AB298" s="40" t="s">
        <v>45</v>
      </c>
      <c r="AC298" s="40" t="s">
        <v>45</v>
      </c>
      <c r="AD298" s="40" t="s">
        <v>45</v>
      </c>
      <c r="AE298" s="40" t="s">
        <v>45</v>
      </c>
      <c r="AF298" s="40" t="s">
        <v>45</v>
      </c>
      <c r="AG298" s="41" t="s">
        <v>45</v>
      </c>
      <c r="AH298" s="40">
        <v>2</v>
      </c>
      <c r="AI298" s="40">
        <v>1</v>
      </c>
      <c r="AJ298" s="41">
        <v>1</v>
      </c>
      <c r="AK298" s="43" t="s">
        <v>659</v>
      </c>
      <c r="AL298" s="43"/>
      <c r="AM298" s="44">
        <f t="shared" si="29"/>
        <v>-1.8605124261753858</v>
      </c>
      <c r="AN298" s="44">
        <f t="shared" si="30"/>
        <v>-0.54693679720321298</v>
      </c>
      <c r="AO298" s="45">
        <f t="shared" si="31"/>
        <v>0</v>
      </c>
      <c r="AP298" s="46">
        <f t="shared" si="32"/>
        <v>0</v>
      </c>
      <c r="AQ298" s="44">
        <f>($AM$3*AM298+$AN$3*AN298+$AO$3*AO298+$AP$3*AP298)+$I$3*VLOOKUP(I298,COND!$A$2:$E$7,4,FALSE)+$J$3*VLOOKUP(J298,COND!$A$2:$C$7,2,FALSE)+$K$3*VLOOKUP(K298,COND!$A$2:$C$7,3,FALSE)+IF(AND($B$2&gt;0,$E298&lt;20),$B$2*25,0)</f>
        <v>42.950707190943902</v>
      </c>
      <c r="AR298" s="47">
        <f t="shared" si="33"/>
        <v>-0.26188723644487311</v>
      </c>
      <c r="AS298" s="45" t="str">
        <f t="shared" si="34"/>
        <v>1B</v>
      </c>
      <c r="AT298" s="45">
        <f>RANK(Batters[[#This Row],[zScore]],Batters[[#All],[zScore]])</f>
        <v>294</v>
      </c>
      <c r="AU298" s="45"/>
      <c r="AV298" s="45"/>
      <c r="AW298" s="45" t="str">
        <f t="shared" si="35"/>
        <v>Unlikely</v>
      </c>
      <c r="AX298" s="45"/>
      <c r="AY298" s="64" t="str">
        <f>INDEX(Table5[[#All],[Ovr]],MATCH(Batters[[#This Row],[PID]],Table5[[#All],[PID]],0))</f>
        <v/>
      </c>
      <c r="AZ298" s="64" t="str">
        <f>INDEX(Table5[[#All],[Rnd]],MATCH(Batters[[#This Row],[PID]],Table5[[#All],[PID]],0))</f>
        <v/>
      </c>
      <c r="BA298" s="64" t="str">
        <f>INDEX(Table5[[#All],[Pick]],MATCH(Batters[[#This Row],[PID]],Table5[[#All],[PID]],0))</f>
        <v/>
      </c>
      <c r="BB298" s="64" t="str">
        <f>INDEX(Table5[[#All],[Team]],MATCH(Batters[[#This Row],[PID]],Table5[[#All],[PID]],0))</f>
        <v/>
      </c>
    </row>
    <row r="299" spans="1:54" ht="15" customHeight="1" x14ac:dyDescent="0.25">
      <c r="A299" s="40">
        <v>17848</v>
      </c>
      <c r="B299" s="40" t="s">
        <v>74</v>
      </c>
      <c r="C299" s="40" t="s">
        <v>1479</v>
      </c>
      <c r="D299" s="40" t="s">
        <v>1480</v>
      </c>
      <c r="E299" s="40">
        <v>18</v>
      </c>
      <c r="F299" s="40" t="s">
        <v>53</v>
      </c>
      <c r="G299" s="40" t="s">
        <v>53</v>
      </c>
      <c r="H299" s="41" t="s">
        <v>638</v>
      </c>
      <c r="I299" s="65" t="s">
        <v>43</v>
      </c>
      <c r="J299" s="66" t="s">
        <v>44</v>
      </c>
      <c r="K299" s="67" t="s">
        <v>43</v>
      </c>
      <c r="L299" s="40">
        <v>1</v>
      </c>
      <c r="M299" s="40">
        <v>2</v>
      </c>
      <c r="N299" s="40">
        <v>2</v>
      </c>
      <c r="O299" s="40">
        <v>2</v>
      </c>
      <c r="P299" s="41">
        <v>2</v>
      </c>
      <c r="Q299" s="40">
        <v>3</v>
      </c>
      <c r="R299" s="40">
        <v>4</v>
      </c>
      <c r="S299" s="40">
        <v>3</v>
      </c>
      <c r="T299" s="40">
        <v>6</v>
      </c>
      <c r="U299" s="41">
        <v>4</v>
      </c>
      <c r="V299" s="40">
        <v>3</v>
      </c>
      <c r="W299" s="40">
        <v>5</v>
      </c>
      <c r="X299" s="40">
        <v>1</v>
      </c>
      <c r="Y299" s="41">
        <v>1</v>
      </c>
      <c r="Z299" s="40" t="s">
        <v>45</v>
      </c>
      <c r="AA299" s="40" t="s">
        <v>45</v>
      </c>
      <c r="AB299" s="40" t="s">
        <v>45</v>
      </c>
      <c r="AC299" s="40" t="s">
        <v>45</v>
      </c>
      <c r="AD299" s="40" t="s">
        <v>45</v>
      </c>
      <c r="AE299" s="40" t="s">
        <v>45</v>
      </c>
      <c r="AF299" s="40">
        <v>4</v>
      </c>
      <c r="AG299" s="41" t="s">
        <v>45</v>
      </c>
      <c r="AH299" s="40">
        <v>6</v>
      </c>
      <c r="AI299" s="40">
        <v>7</v>
      </c>
      <c r="AJ299" s="41">
        <v>6</v>
      </c>
      <c r="AK299" s="43" t="s">
        <v>670</v>
      </c>
      <c r="AL299" s="43" t="s">
        <v>47</v>
      </c>
      <c r="AM299" s="44">
        <f t="shared" si="29"/>
        <v>-1.8204960863583022</v>
      </c>
      <c r="AN299" s="44">
        <f t="shared" si="30"/>
        <v>-0.55133228101915355</v>
      </c>
      <c r="AO299" s="45">
        <f t="shared" si="31"/>
        <v>0</v>
      </c>
      <c r="AP299" s="46">
        <f t="shared" si="32"/>
        <v>0</v>
      </c>
      <c r="AQ299" s="44">
        <f>($AM$3*AM299+$AN$3*AN299+$AO$3*AO299+$AP$3*AP299)+$I$3*VLOOKUP(I299,COND!$A$2:$E$7,4,FALSE)+$J$3*VLOOKUP(J299,COND!$A$2:$C$7,2,FALSE)+$K$3*VLOOKUP(K299,COND!$A$2:$C$7,3,FALSE)+IF(AND($B$2&gt;0,$E299&lt;20),$B$2*25,0)</f>
        <v>42.901963019134328</v>
      </c>
      <c r="AR299" s="47">
        <f t="shared" si="33"/>
        <v>-0.27269414881507892</v>
      </c>
      <c r="AS299" s="45" t="str">
        <f t="shared" si="34"/>
        <v>CF</v>
      </c>
      <c r="AT299" s="45">
        <f>RANK(Batters[[#This Row],[zScore]],Batters[[#All],[zScore]])</f>
        <v>295</v>
      </c>
      <c r="AU299" s="45"/>
      <c r="AV299" s="45"/>
      <c r="AW299" s="45" t="str">
        <f t="shared" si="35"/>
        <v>Unlikely</v>
      </c>
      <c r="AX299" s="45"/>
      <c r="AY299" s="45" t="str">
        <f>INDEX(Table5[[#All],[Ovr]],MATCH(Batters[[#This Row],[PID]],Table5[[#All],[PID]],0))</f>
        <v/>
      </c>
      <c r="AZ299" s="45" t="str">
        <f>INDEX(Table5[[#All],[Rnd]],MATCH(Batters[[#This Row],[PID]],Table5[[#All],[PID]],0))</f>
        <v/>
      </c>
      <c r="BA299" s="45" t="str">
        <f>INDEX(Table5[[#All],[Pick]],MATCH(Batters[[#This Row],[PID]],Table5[[#All],[PID]],0))</f>
        <v/>
      </c>
      <c r="BB299" s="45" t="str">
        <f>INDEX(Table5[[#All],[Team]],MATCH(Batters[[#This Row],[PID]],Table5[[#All],[PID]],0))</f>
        <v/>
      </c>
    </row>
    <row r="300" spans="1:54" ht="15" customHeight="1" x14ac:dyDescent="0.25">
      <c r="A300" s="40">
        <v>20695</v>
      </c>
      <c r="B300" s="40" t="s">
        <v>74</v>
      </c>
      <c r="C300" s="40" t="s">
        <v>1450</v>
      </c>
      <c r="D300" s="40" t="s">
        <v>1451</v>
      </c>
      <c r="E300" s="40">
        <v>17</v>
      </c>
      <c r="F300" s="40" t="s">
        <v>42</v>
      </c>
      <c r="G300" s="40" t="s">
        <v>42</v>
      </c>
      <c r="H300" s="41" t="s">
        <v>638</v>
      </c>
      <c r="I300" s="65" t="s">
        <v>43</v>
      </c>
      <c r="J300" s="66" t="s">
        <v>43</v>
      </c>
      <c r="K300" s="67" t="s">
        <v>44</v>
      </c>
      <c r="L300" s="40">
        <v>1</v>
      </c>
      <c r="M300" s="40">
        <v>3</v>
      </c>
      <c r="N300" s="40">
        <v>2</v>
      </c>
      <c r="O300" s="40">
        <v>2</v>
      </c>
      <c r="P300" s="41">
        <v>1</v>
      </c>
      <c r="Q300" s="40">
        <v>3</v>
      </c>
      <c r="R300" s="40">
        <v>6</v>
      </c>
      <c r="S300" s="40">
        <v>2</v>
      </c>
      <c r="T300" s="40">
        <v>5</v>
      </c>
      <c r="U300" s="41">
        <v>4</v>
      </c>
      <c r="V300" s="40">
        <v>7</v>
      </c>
      <c r="W300" s="40">
        <v>8</v>
      </c>
      <c r="X300" s="40">
        <v>1</v>
      </c>
      <c r="Y300" s="41">
        <v>1</v>
      </c>
      <c r="Z300" s="40" t="s">
        <v>45</v>
      </c>
      <c r="AA300" s="40" t="s">
        <v>45</v>
      </c>
      <c r="AB300" s="40" t="s">
        <v>45</v>
      </c>
      <c r="AC300" s="40">
        <v>1</v>
      </c>
      <c r="AD300" s="40" t="s">
        <v>45</v>
      </c>
      <c r="AE300" s="40" t="s">
        <v>45</v>
      </c>
      <c r="AF300" s="40">
        <v>2</v>
      </c>
      <c r="AG300" s="41">
        <v>1</v>
      </c>
      <c r="AH300" s="40">
        <v>9</v>
      </c>
      <c r="AI300" s="40">
        <v>8</v>
      </c>
      <c r="AJ300" s="41">
        <v>9</v>
      </c>
      <c r="AK300" s="43" t="s">
        <v>654</v>
      </c>
      <c r="AL300" s="43" t="s">
        <v>635</v>
      </c>
      <c r="AM300" s="44">
        <f t="shared" si="29"/>
        <v>-1.8094525465566824</v>
      </c>
      <c r="AN300" s="44">
        <f t="shared" si="30"/>
        <v>-0.62198356581522896</v>
      </c>
      <c r="AO300" s="45">
        <f t="shared" si="31"/>
        <v>5</v>
      </c>
      <c r="AP300" s="46">
        <f t="shared" si="32"/>
        <v>0</v>
      </c>
      <c r="AQ300" s="44">
        <f>($AM$3*AM300+$AN$3*AN300+$AO$3*AO300+$AP$3*AP300)+$I$3*VLOOKUP(I300,COND!$A$2:$E$7,4,FALSE)+$J$3*VLOOKUP(J300,COND!$A$2:$C$7,2,FALSE)+$K$3*VLOOKUP(K300,COND!$A$2:$C$7,3,FALSE)+IF(AND($B$2&gt;0,$E300&lt;20),$B$2*25,0)</f>
        <v>42.888585288894916</v>
      </c>
      <c r="AR300" s="47">
        <f t="shared" si="33"/>
        <v>-0.27566008203422093</v>
      </c>
      <c r="AS300" s="45" t="str">
        <f t="shared" si="34"/>
        <v>3B</v>
      </c>
      <c r="AT300" s="45">
        <f>RANK(Batters[[#This Row],[zScore]],Batters[[#All],[zScore]])</f>
        <v>296</v>
      </c>
      <c r="AU300" s="45"/>
      <c r="AV300" s="45"/>
      <c r="AW300" s="45" t="str">
        <f t="shared" si="35"/>
        <v>Unlikely</v>
      </c>
      <c r="AX300" s="45"/>
      <c r="AY300" s="45" t="str">
        <f>INDEX(Table5[[#All],[Ovr]],MATCH(Batters[[#This Row],[PID]],Table5[[#All],[PID]],0))</f>
        <v/>
      </c>
      <c r="AZ300" s="45" t="str">
        <f>INDEX(Table5[[#All],[Rnd]],MATCH(Batters[[#This Row],[PID]],Table5[[#All],[PID]],0))</f>
        <v/>
      </c>
      <c r="BA300" s="45" t="str">
        <f>INDEX(Table5[[#All],[Pick]],MATCH(Batters[[#This Row],[PID]],Table5[[#All],[PID]],0))</f>
        <v/>
      </c>
      <c r="BB300" s="45" t="str">
        <f>INDEX(Table5[[#All],[Team]],MATCH(Batters[[#This Row],[PID]],Table5[[#All],[PID]],0))</f>
        <v/>
      </c>
    </row>
    <row r="301" spans="1:54" ht="15" customHeight="1" x14ac:dyDescent="0.25">
      <c r="A301" s="40">
        <v>18231</v>
      </c>
      <c r="B301" s="40" t="s">
        <v>69</v>
      </c>
      <c r="C301" s="40" t="s">
        <v>374</v>
      </c>
      <c r="D301" s="40" t="s">
        <v>1465</v>
      </c>
      <c r="E301" s="40">
        <v>18</v>
      </c>
      <c r="F301" s="40" t="s">
        <v>42</v>
      </c>
      <c r="G301" s="40" t="s">
        <v>42</v>
      </c>
      <c r="H301" s="41" t="s">
        <v>638</v>
      </c>
      <c r="I301" s="65" t="s">
        <v>43</v>
      </c>
      <c r="J301" s="66" t="s">
        <v>44</v>
      </c>
      <c r="K301" s="67" t="s">
        <v>44</v>
      </c>
      <c r="L301" s="40">
        <v>1</v>
      </c>
      <c r="M301" s="40">
        <v>2</v>
      </c>
      <c r="N301" s="40">
        <v>2</v>
      </c>
      <c r="O301" s="40">
        <v>1</v>
      </c>
      <c r="P301" s="41">
        <v>1</v>
      </c>
      <c r="Q301" s="40">
        <v>3</v>
      </c>
      <c r="R301" s="40">
        <v>7</v>
      </c>
      <c r="S301" s="40">
        <v>3</v>
      </c>
      <c r="T301" s="40">
        <v>5</v>
      </c>
      <c r="U301" s="41">
        <v>3</v>
      </c>
      <c r="V301" s="40">
        <v>7</v>
      </c>
      <c r="W301" s="40">
        <v>7</v>
      </c>
      <c r="X301" s="40">
        <v>1</v>
      </c>
      <c r="Y301" s="41">
        <v>1</v>
      </c>
      <c r="Z301" s="40" t="s">
        <v>45</v>
      </c>
      <c r="AA301" s="40" t="s">
        <v>45</v>
      </c>
      <c r="AB301" s="40" t="s">
        <v>45</v>
      </c>
      <c r="AC301" s="40">
        <v>2</v>
      </c>
      <c r="AD301" s="40" t="s">
        <v>45</v>
      </c>
      <c r="AE301" s="40" t="s">
        <v>45</v>
      </c>
      <c r="AF301" s="40" t="s">
        <v>45</v>
      </c>
      <c r="AG301" s="41" t="s">
        <v>45</v>
      </c>
      <c r="AH301" s="40">
        <v>1</v>
      </c>
      <c r="AI301" s="40">
        <v>3</v>
      </c>
      <c r="AJ301" s="41">
        <v>1</v>
      </c>
      <c r="AK301" s="43" t="s">
        <v>663</v>
      </c>
      <c r="AL301" s="43" t="s">
        <v>635</v>
      </c>
      <c r="AM301" s="44">
        <f t="shared" si="29"/>
        <v>-1.9502219761849671</v>
      </c>
      <c r="AN301" s="44">
        <f t="shared" si="30"/>
        <v>-0.52787853198970747</v>
      </c>
      <c r="AO301" s="45">
        <f t="shared" si="31"/>
        <v>0</v>
      </c>
      <c r="AP301" s="46">
        <f t="shared" si="32"/>
        <v>0</v>
      </c>
      <c r="AQ301" s="44">
        <f>($AM$3*AM301+$AN$3*AN301+$AO$3*AO301+$AP$3*AP301)+$I$3*VLOOKUP(I301,COND!$A$2:$E$7,4,FALSE)+$J$3*VLOOKUP(J301,COND!$A$2:$C$7,2,FALSE)+$K$3*VLOOKUP(K301,COND!$A$2:$C$7,3,FALSE)+IF(AND($B$2&gt;0,$E301&lt;20),$B$2*25,0)</f>
        <v>42.870435418505011</v>
      </c>
      <c r="AR301" s="47">
        <f t="shared" si="33"/>
        <v>-0.27968403098140099</v>
      </c>
      <c r="AS301" s="45" t="str">
        <f t="shared" si="34"/>
        <v>3B</v>
      </c>
      <c r="AT301" s="45">
        <f>RANK(Batters[[#This Row],[zScore]],Batters[[#All],[zScore]])</f>
        <v>297</v>
      </c>
      <c r="AU301" s="45"/>
      <c r="AV301" s="45"/>
      <c r="AW301" s="45" t="str">
        <f t="shared" si="35"/>
        <v>Unlikely</v>
      </c>
      <c r="AX301" s="45"/>
      <c r="AY301" s="45" t="str">
        <f>INDEX(Table5[[#All],[Ovr]],MATCH(Batters[[#This Row],[PID]],Table5[[#All],[PID]],0))</f>
        <v/>
      </c>
      <c r="AZ301" s="45" t="str">
        <f>INDEX(Table5[[#All],[Rnd]],MATCH(Batters[[#This Row],[PID]],Table5[[#All],[PID]],0))</f>
        <v/>
      </c>
      <c r="BA301" s="45" t="str">
        <f>INDEX(Table5[[#All],[Pick]],MATCH(Batters[[#This Row],[PID]],Table5[[#All],[PID]],0))</f>
        <v/>
      </c>
      <c r="BB301" s="45" t="str">
        <f>INDEX(Table5[[#All],[Team]],MATCH(Batters[[#This Row],[PID]],Table5[[#All],[PID]],0))</f>
        <v/>
      </c>
    </row>
    <row r="302" spans="1:54" ht="15" customHeight="1" x14ac:dyDescent="0.25">
      <c r="A302" s="40">
        <v>20342</v>
      </c>
      <c r="B302" s="40" t="s">
        <v>69</v>
      </c>
      <c r="C302" s="40" t="s">
        <v>974</v>
      </c>
      <c r="D302" s="40" t="s">
        <v>1243</v>
      </c>
      <c r="E302" s="40">
        <v>18</v>
      </c>
      <c r="F302" s="40" t="s">
        <v>62</v>
      </c>
      <c r="G302" s="40" t="s">
        <v>42</v>
      </c>
      <c r="H302" s="41" t="s">
        <v>634</v>
      </c>
      <c r="I302" s="65" t="s">
        <v>43</v>
      </c>
      <c r="J302" s="66" t="s">
        <v>47</v>
      </c>
      <c r="K302" s="67" t="s">
        <v>43</v>
      </c>
      <c r="L302" s="40">
        <v>1</v>
      </c>
      <c r="M302" s="40">
        <v>3</v>
      </c>
      <c r="N302" s="40">
        <v>4</v>
      </c>
      <c r="O302" s="40">
        <v>3</v>
      </c>
      <c r="P302" s="41">
        <v>1</v>
      </c>
      <c r="Q302" s="40">
        <v>2</v>
      </c>
      <c r="R302" s="40">
        <v>5</v>
      </c>
      <c r="S302" s="40">
        <v>7</v>
      </c>
      <c r="T302" s="40">
        <v>6</v>
      </c>
      <c r="U302" s="41">
        <v>1</v>
      </c>
      <c r="V302" s="40">
        <v>8</v>
      </c>
      <c r="W302" s="40">
        <v>8</v>
      </c>
      <c r="X302" s="40">
        <v>1</v>
      </c>
      <c r="Y302" s="41">
        <v>1</v>
      </c>
      <c r="Z302" s="40" t="s">
        <v>45</v>
      </c>
      <c r="AA302" s="40" t="s">
        <v>45</v>
      </c>
      <c r="AB302" s="40" t="s">
        <v>45</v>
      </c>
      <c r="AC302" s="40">
        <v>2</v>
      </c>
      <c r="AD302" s="40" t="s">
        <v>45</v>
      </c>
      <c r="AE302" s="40" t="s">
        <v>45</v>
      </c>
      <c r="AF302" s="40" t="s">
        <v>45</v>
      </c>
      <c r="AG302" s="41" t="s">
        <v>45</v>
      </c>
      <c r="AH302" s="40">
        <v>2</v>
      </c>
      <c r="AI302" s="40">
        <v>1</v>
      </c>
      <c r="AJ302" s="41">
        <v>2</v>
      </c>
      <c r="AK302" s="43" t="s">
        <v>644</v>
      </c>
      <c r="AL302" s="43" t="s">
        <v>47</v>
      </c>
      <c r="AM302" s="44">
        <f t="shared" si="29"/>
        <v>-1.5536200084992982</v>
      </c>
      <c r="AN302" s="44">
        <f t="shared" si="30"/>
        <v>-0.61063128095876917</v>
      </c>
      <c r="AO302" s="45">
        <f t="shared" si="31"/>
        <v>0</v>
      </c>
      <c r="AP302" s="46">
        <f t="shared" si="32"/>
        <v>0</v>
      </c>
      <c r="AQ302" s="44">
        <f>($AM$3*AM302+$AN$3*AN302+$AO$3*AO302+$AP$3*AP302)+$I$3*VLOOKUP(I302,COND!$A$2:$E$7,4,FALSE)+$J$3*VLOOKUP(J302,COND!$A$2:$C$7,2,FALSE)+$K$3*VLOOKUP(K302,COND!$A$2:$C$7,3,FALSE)+IF(AND($B$2&gt;0,$E302&lt;20),$B$2*25,0)</f>
        <v>42.817062627644844</v>
      </c>
      <c r="AR302" s="47">
        <f t="shared" si="33"/>
        <v>-0.29151713948168428</v>
      </c>
      <c r="AS302" s="45" t="str">
        <f t="shared" si="34"/>
        <v>3B</v>
      </c>
      <c r="AT302" s="45">
        <f>RANK(Batters[[#This Row],[zScore]],Batters[[#All],[zScore]])</f>
        <v>298</v>
      </c>
      <c r="AU302" s="45"/>
      <c r="AV302" s="45"/>
      <c r="AW302" s="45" t="str">
        <f t="shared" si="35"/>
        <v>Unlikely</v>
      </c>
      <c r="AX302" s="45"/>
      <c r="AY302" s="45">
        <f>INDEX(Table5[[#All],[Ovr]],MATCH(Batters[[#This Row],[PID]],Table5[[#All],[PID]],0))</f>
        <v>424</v>
      </c>
      <c r="AZ302" s="45" t="str">
        <f>INDEX(Table5[[#All],[Rnd]],MATCH(Batters[[#This Row],[PID]],Table5[[#All],[PID]],0))</f>
        <v>14</v>
      </c>
      <c r="BA302" s="45">
        <f>INDEX(Table5[[#All],[Pick]],MATCH(Batters[[#This Row],[PID]],Table5[[#All],[PID]],0))</f>
        <v>26</v>
      </c>
      <c r="BB302" s="45" t="str">
        <f>INDEX(Table5[[#All],[Team]],MATCH(Batters[[#This Row],[PID]],Table5[[#All],[PID]],0))</f>
        <v>Yuma Arroyos</v>
      </c>
    </row>
    <row r="303" spans="1:54" ht="15" customHeight="1" x14ac:dyDescent="0.25">
      <c r="A303" s="40">
        <v>18415</v>
      </c>
      <c r="B303" s="40" t="s">
        <v>69</v>
      </c>
      <c r="C303" s="40" t="s">
        <v>188</v>
      </c>
      <c r="D303" s="40" t="s">
        <v>1004</v>
      </c>
      <c r="E303" s="40">
        <v>18</v>
      </c>
      <c r="F303" s="40" t="s">
        <v>42</v>
      </c>
      <c r="G303" s="40" t="s">
        <v>42</v>
      </c>
      <c r="H303" s="41" t="s">
        <v>638</v>
      </c>
      <c r="I303" s="65" t="s">
        <v>43</v>
      </c>
      <c r="J303" s="66" t="s">
        <v>44</v>
      </c>
      <c r="K303" s="67" t="s">
        <v>47</v>
      </c>
      <c r="L303" s="40">
        <v>1</v>
      </c>
      <c r="M303" s="40">
        <v>2</v>
      </c>
      <c r="N303" s="40">
        <v>3</v>
      </c>
      <c r="O303" s="40">
        <v>2</v>
      </c>
      <c r="P303" s="41">
        <v>2</v>
      </c>
      <c r="Q303" s="40">
        <v>3</v>
      </c>
      <c r="R303" s="40">
        <v>3</v>
      </c>
      <c r="S303" s="40">
        <v>3</v>
      </c>
      <c r="T303" s="40">
        <v>5</v>
      </c>
      <c r="U303" s="41">
        <v>6</v>
      </c>
      <c r="V303" s="40">
        <v>7</v>
      </c>
      <c r="W303" s="40">
        <v>6</v>
      </c>
      <c r="X303" s="40">
        <v>2</v>
      </c>
      <c r="Y303" s="41">
        <v>1</v>
      </c>
      <c r="Z303" s="40" t="s">
        <v>45</v>
      </c>
      <c r="AA303" s="40" t="s">
        <v>45</v>
      </c>
      <c r="AB303" s="40" t="s">
        <v>45</v>
      </c>
      <c r="AC303" s="40">
        <v>3</v>
      </c>
      <c r="AD303" s="40" t="s">
        <v>45</v>
      </c>
      <c r="AE303" s="40" t="s">
        <v>45</v>
      </c>
      <c r="AF303" s="40" t="s">
        <v>45</v>
      </c>
      <c r="AG303" s="41" t="s">
        <v>45</v>
      </c>
      <c r="AH303" s="40">
        <v>4</v>
      </c>
      <c r="AI303" s="40">
        <v>6</v>
      </c>
      <c r="AJ303" s="41">
        <v>9</v>
      </c>
      <c r="AK303" s="43" t="s">
        <v>644</v>
      </c>
      <c r="AL303" s="43" t="s">
        <v>635</v>
      </c>
      <c r="AM303" s="44">
        <f t="shared" si="29"/>
        <v>-1.7374345923344008</v>
      </c>
      <c r="AN303" s="44">
        <f t="shared" si="30"/>
        <v>-0.61206903101327115</v>
      </c>
      <c r="AO303" s="45">
        <f t="shared" si="31"/>
        <v>2</v>
      </c>
      <c r="AP303" s="46">
        <f t="shared" si="32"/>
        <v>0</v>
      </c>
      <c r="AQ303" s="44">
        <f>($AM$3*AM303+$AN$3*AN303+$AO$3*AO303+$AP$3*AP303)+$I$3*VLOOKUP(I303,COND!$A$2:$E$7,4,FALSE)+$J$3*VLOOKUP(J303,COND!$A$2:$C$7,2,FALSE)+$K$3*VLOOKUP(K303,COND!$A$2:$C$7,3,FALSE)+IF(AND($B$2&gt;0,$E303&lt;20),$B$2*25,0)</f>
        <v>42.814761501940637</v>
      </c>
      <c r="AR303" s="47">
        <f t="shared" si="33"/>
        <v>-0.29202731460447323</v>
      </c>
      <c r="AS303" s="45" t="str">
        <f t="shared" si="34"/>
        <v>3B</v>
      </c>
      <c r="AT303" s="45">
        <f>RANK(Batters[[#This Row],[zScore]],Batters[[#All],[zScore]])</f>
        <v>299</v>
      </c>
      <c r="AU303" s="45"/>
      <c r="AV303" s="45"/>
      <c r="AW303" s="45" t="str">
        <f t="shared" si="35"/>
        <v>Unlikely</v>
      </c>
      <c r="AX303" s="45"/>
      <c r="AY303" s="45" t="str">
        <f>INDEX(Table5[[#All],[Ovr]],MATCH(Batters[[#This Row],[PID]],Table5[[#All],[PID]],0))</f>
        <v/>
      </c>
      <c r="AZ303" s="45" t="str">
        <f>INDEX(Table5[[#All],[Rnd]],MATCH(Batters[[#This Row],[PID]],Table5[[#All],[PID]],0))</f>
        <v/>
      </c>
      <c r="BA303" s="45" t="str">
        <f>INDEX(Table5[[#All],[Pick]],MATCH(Batters[[#This Row],[PID]],Table5[[#All],[PID]],0))</f>
        <v/>
      </c>
      <c r="BB303" s="45" t="str">
        <f>INDEX(Table5[[#All],[Team]],MATCH(Batters[[#This Row],[PID]],Table5[[#All],[PID]],0))</f>
        <v/>
      </c>
    </row>
    <row r="304" spans="1:54" ht="15" customHeight="1" x14ac:dyDescent="0.25">
      <c r="A304" s="40">
        <v>18210</v>
      </c>
      <c r="B304" s="40" t="s">
        <v>50</v>
      </c>
      <c r="C304" s="40" t="s">
        <v>1573</v>
      </c>
      <c r="D304" s="40" t="s">
        <v>1574</v>
      </c>
      <c r="E304" s="40">
        <v>18</v>
      </c>
      <c r="F304" s="40" t="s">
        <v>53</v>
      </c>
      <c r="G304" s="40" t="s">
        <v>42</v>
      </c>
      <c r="H304" s="41" t="s">
        <v>638</v>
      </c>
      <c r="I304" s="65" t="s">
        <v>43</v>
      </c>
      <c r="J304" s="66" t="s">
        <v>44</v>
      </c>
      <c r="K304" s="67" t="s">
        <v>43</v>
      </c>
      <c r="L304" s="40">
        <v>1</v>
      </c>
      <c r="M304" s="40">
        <v>2</v>
      </c>
      <c r="N304" s="40">
        <v>2</v>
      </c>
      <c r="O304" s="40">
        <v>1</v>
      </c>
      <c r="P304" s="41">
        <v>1</v>
      </c>
      <c r="Q304" s="40">
        <v>3</v>
      </c>
      <c r="R304" s="40">
        <v>4</v>
      </c>
      <c r="S304" s="40">
        <v>4</v>
      </c>
      <c r="T304" s="40">
        <v>5</v>
      </c>
      <c r="U304" s="41">
        <v>4</v>
      </c>
      <c r="V304" s="40">
        <v>4</v>
      </c>
      <c r="W304" s="40">
        <v>5</v>
      </c>
      <c r="X304" s="40">
        <v>1</v>
      </c>
      <c r="Y304" s="41">
        <v>1</v>
      </c>
      <c r="Z304" s="40" t="s">
        <v>45</v>
      </c>
      <c r="AA304" s="40" t="s">
        <v>45</v>
      </c>
      <c r="AB304" s="40" t="s">
        <v>45</v>
      </c>
      <c r="AC304" s="40" t="s">
        <v>45</v>
      </c>
      <c r="AD304" s="40" t="s">
        <v>45</v>
      </c>
      <c r="AE304" s="40">
        <v>2</v>
      </c>
      <c r="AF304" s="40" t="s">
        <v>45</v>
      </c>
      <c r="AG304" s="41" t="s">
        <v>45</v>
      </c>
      <c r="AH304" s="40">
        <v>2</v>
      </c>
      <c r="AI304" s="40">
        <v>3</v>
      </c>
      <c r="AJ304" s="41">
        <v>1</v>
      </c>
      <c r="AK304" s="43" t="s">
        <v>663</v>
      </c>
      <c r="AL304" s="43" t="s">
        <v>635</v>
      </c>
      <c r="AM304" s="44">
        <f t="shared" si="29"/>
        <v>-1.9502219761849671</v>
      </c>
      <c r="AN304" s="44">
        <f t="shared" si="30"/>
        <v>-0.55798033700483307</v>
      </c>
      <c r="AO304" s="45">
        <f t="shared" si="31"/>
        <v>0</v>
      </c>
      <c r="AP304" s="46">
        <f t="shared" si="32"/>
        <v>0</v>
      </c>
      <c r="AQ304" s="44">
        <f>($AM$3*AM304+$AN$3*AN304+$AO$3*AO304+$AP$3*AP304)+$I$3*VLOOKUP(I304,COND!$A$2:$E$7,4,FALSE)+$J$3*VLOOKUP(J304,COND!$A$2:$C$7,2,FALSE)+$K$3*VLOOKUP(K304,COND!$A$2:$C$7,3,FALSE)+IF(AND($B$2&gt;0,$E304&lt;20),$B$2*25,0)</f>
        <v>42.809213758323509</v>
      </c>
      <c r="AR304" s="47">
        <f t="shared" si="33"/>
        <v>-0.29325728686365732</v>
      </c>
      <c r="AS304" s="45" t="str">
        <f t="shared" si="34"/>
        <v>LF</v>
      </c>
      <c r="AT304" s="45">
        <f>RANK(Batters[[#This Row],[zScore]],Batters[[#All],[zScore]])</f>
        <v>300</v>
      </c>
      <c r="AU304" s="45"/>
      <c r="AV304" s="45"/>
      <c r="AW304" s="45" t="str">
        <f t="shared" si="35"/>
        <v>Unlikely</v>
      </c>
      <c r="AX304" s="45"/>
      <c r="AY304" s="45" t="str">
        <f>INDEX(Table5[[#All],[Ovr]],MATCH(Batters[[#This Row],[PID]],Table5[[#All],[PID]],0))</f>
        <v/>
      </c>
      <c r="AZ304" s="45" t="str">
        <f>INDEX(Table5[[#All],[Rnd]],MATCH(Batters[[#This Row],[PID]],Table5[[#All],[PID]],0))</f>
        <v/>
      </c>
      <c r="BA304" s="45" t="str">
        <f>INDEX(Table5[[#All],[Pick]],MATCH(Batters[[#This Row],[PID]],Table5[[#All],[PID]],0))</f>
        <v/>
      </c>
      <c r="BB304" s="45" t="str">
        <f>INDEX(Table5[[#All],[Team]],MATCH(Batters[[#This Row],[PID]],Table5[[#All],[PID]],0))</f>
        <v/>
      </c>
    </row>
    <row r="305" spans="1:54" ht="15" customHeight="1" x14ac:dyDescent="0.25">
      <c r="A305" s="40">
        <v>18235</v>
      </c>
      <c r="B305" s="40" t="s">
        <v>86</v>
      </c>
      <c r="C305" s="40" t="s">
        <v>721</v>
      </c>
      <c r="D305" s="40" t="s">
        <v>1436</v>
      </c>
      <c r="E305" s="40">
        <v>18</v>
      </c>
      <c r="F305" s="40" t="s">
        <v>42</v>
      </c>
      <c r="G305" s="40" t="s">
        <v>42</v>
      </c>
      <c r="H305" s="41" t="s">
        <v>638</v>
      </c>
      <c r="I305" s="65" t="s">
        <v>43</v>
      </c>
      <c r="J305" s="66" t="s">
        <v>47</v>
      </c>
      <c r="K305" s="67" t="s">
        <v>43</v>
      </c>
      <c r="L305" s="40">
        <v>1</v>
      </c>
      <c r="M305" s="40">
        <v>1</v>
      </c>
      <c r="N305" s="40">
        <v>2</v>
      </c>
      <c r="O305" s="40">
        <v>2</v>
      </c>
      <c r="P305" s="41">
        <v>1</v>
      </c>
      <c r="Q305" s="40">
        <v>3</v>
      </c>
      <c r="R305" s="40">
        <v>3</v>
      </c>
      <c r="S305" s="40">
        <v>4</v>
      </c>
      <c r="T305" s="40">
        <v>5</v>
      </c>
      <c r="U305" s="41">
        <v>4</v>
      </c>
      <c r="V305" s="40">
        <v>4</v>
      </c>
      <c r="W305" s="40">
        <v>5</v>
      </c>
      <c r="X305" s="40">
        <v>6</v>
      </c>
      <c r="Y305" s="41">
        <v>4</v>
      </c>
      <c r="Z305" s="40" t="s">
        <v>45</v>
      </c>
      <c r="AA305" s="40" t="s">
        <v>45</v>
      </c>
      <c r="AB305" s="40" t="s">
        <v>45</v>
      </c>
      <c r="AC305" s="40" t="s">
        <v>45</v>
      </c>
      <c r="AD305" s="40" t="s">
        <v>45</v>
      </c>
      <c r="AE305" s="40" t="s">
        <v>45</v>
      </c>
      <c r="AF305" s="40" t="s">
        <v>45</v>
      </c>
      <c r="AG305" s="41" t="s">
        <v>45</v>
      </c>
      <c r="AH305" s="40">
        <v>1</v>
      </c>
      <c r="AI305" s="40">
        <v>1</v>
      </c>
      <c r="AJ305" s="41">
        <v>1</v>
      </c>
      <c r="AK305" s="43" t="s">
        <v>644</v>
      </c>
      <c r="AL305" s="43" t="s">
        <v>47</v>
      </c>
      <c r="AM305" s="44">
        <f t="shared" si="29"/>
        <v>-1.9115723057940897</v>
      </c>
      <c r="AN305" s="44">
        <f t="shared" si="30"/>
        <v>-0.60904021662353647</v>
      </c>
      <c r="AO305" s="45">
        <f t="shared" si="31"/>
        <v>0</v>
      </c>
      <c r="AP305" s="46">
        <f t="shared" si="32"/>
        <v>0</v>
      </c>
      <c r="AQ305" s="44">
        <f>($AM$3*AM305+$AN$3*AN305+$AO$3*AO305+$AP$3*AP305)+$I$3*VLOOKUP(I305,COND!$A$2:$E$7,4,FALSE)+$J$3*VLOOKUP(J305,COND!$A$2:$C$7,2,FALSE)+$K$3*VLOOKUP(K305,COND!$A$2:$C$7,3,FALSE)+IF(AND($B$2&gt;0,$E305&lt;20),$B$2*25,0)</f>
        <v>42.800360169938152</v>
      </c>
      <c r="AR305" s="47">
        <f t="shared" si="33"/>
        <v>-0.29522018725339433</v>
      </c>
      <c r="AS305" s="45" t="str">
        <f t="shared" si="34"/>
        <v>DH</v>
      </c>
      <c r="AT305" s="45">
        <f>RANK(Batters[[#This Row],[zScore]],Batters[[#All],[zScore]])</f>
        <v>301</v>
      </c>
      <c r="AU305" s="45"/>
      <c r="AV305" s="45"/>
      <c r="AW305" s="45" t="str">
        <f t="shared" si="35"/>
        <v>Unlikely</v>
      </c>
      <c r="AX305" s="45"/>
      <c r="AY305" s="45" t="str">
        <f>INDEX(Table5[[#All],[Ovr]],MATCH(Batters[[#This Row],[PID]],Table5[[#All],[PID]],0))</f>
        <v/>
      </c>
      <c r="AZ305" s="45" t="str">
        <f>INDEX(Table5[[#All],[Rnd]],MATCH(Batters[[#This Row],[PID]],Table5[[#All],[PID]],0))</f>
        <v/>
      </c>
      <c r="BA305" s="45" t="str">
        <f>INDEX(Table5[[#All],[Pick]],MATCH(Batters[[#This Row],[PID]],Table5[[#All],[PID]],0))</f>
        <v/>
      </c>
      <c r="BB305" s="45" t="str">
        <f>INDEX(Table5[[#All],[Team]],MATCH(Batters[[#This Row],[PID]],Table5[[#All],[PID]],0))</f>
        <v/>
      </c>
    </row>
    <row r="306" spans="1:54" ht="15" customHeight="1" x14ac:dyDescent="0.25">
      <c r="A306" s="40">
        <v>18184</v>
      </c>
      <c r="B306" s="40" t="s">
        <v>87</v>
      </c>
      <c r="C306" s="40" t="s">
        <v>552</v>
      </c>
      <c r="D306" s="40" t="s">
        <v>717</v>
      </c>
      <c r="E306" s="40">
        <v>18</v>
      </c>
      <c r="F306" s="40" t="s">
        <v>62</v>
      </c>
      <c r="G306" s="40" t="s">
        <v>42</v>
      </c>
      <c r="H306" s="41" t="s">
        <v>639</v>
      </c>
      <c r="I306" s="65" t="s">
        <v>43</v>
      </c>
      <c r="J306" s="66" t="s">
        <v>43</v>
      </c>
      <c r="K306" s="67" t="s">
        <v>43</v>
      </c>
      <c r="L306" s="40">
        <v>1</v>
      </c>
      <c r="M306" s="40">
        <v>1</v>
      </c>
      <c r="N306" s="40">
        <v>2</v>
      </c>
      <c r="O306" s="40">
        <v>2</v>
      </c>
      <c r="P306" s="41">
        <v>1</v>
      </c>
      <c r="Q306" s="40">
        <v>3</v>
      </c>
      <c r="R306" s="40">
        <v>5</v>
      </c>
      <c r="S306" s="40">
        <v>4</v>
      </c>
      <c r="T306" s="40">
        <v>5</v>
      </c>
      <c r="U306" s="41">
        <v>2</v>
      </c>
      <c r="V306" s="40">
        <v>3</v>
      </c>
      <c r="W306" s="40">
        <v>2</v>
      </c>
      <c r="X306" s="40">
        <v>5</v>
      </c>
      <c r="Y306" s="41">
        <v>4</v>
      </c>
      <c r="Z306" s="40" t="s">
        <v>45</v>
      </c>
      <c r="AA306" s="40">
        <v>2</v>
      </c>
      <c r="AB306" s="40" t="s">
        <v>45</v>
      </c>
      <c r="AC306" s="40" t="s">
        <v>45</v>
      </c>
      <c r="AD306" s="40" t="s">
        <v>45</v>
      </c>
      <c r="AE306" s="40" t="s">
        <v>45</v>
      </c>
      <c r="AF306" s="40" t="s">
        <v>45</v>
      </c>
      <c r="AG306" s="41" t="s">
        <v>45</v>
      </c>
      <c r="AH306" s="40">
        <v>1</v>
      </c>
      <c r="AI306" s="40">
        <v>3</v>
      </c>
      <c r="AJ306" s="41">
        <v>2</v>
      </c>
      <c r="AK306" s="43" t="s">
        <v>644</v>
      </c>
      <c r="AL306" s="43"/>
      <c r="AM306" s="44">
        <f t="shared" si="29"/>
        <v>-1.9115723057940897</v>
      </c>
      <c r="AN306" s="44">
        <f t="shared" si="30"/>
        <v>-0.5869531370202965</v>
      </c>
      <c r="AO306" s="45">
        <f t="shared" si="31"/>
        <v>0</v>
      </c>
      <c r="AP306" s="46">
        <f t="shared" si="32"/>
        <v>0</v>
      </c>
      <c r="AQ306" s="44">
        <f>($AM$3*AM306+$AN$3*AN306+$AO$3*AO306+$AP$3*AP306)+$I$3*VLOOKUP(I306,COND!$A$2:$E$7,4,FALSE)+$J$3*VLOOKUP(J306,COND!$A$2:$C$7,2,FALSE)+$K$3*VLOOKUP(K306,COND!$A$2:$C$7,3,FALSE)+IF(AND($B$2&gt;0,$E306&lt;20),$B$2*25,0)</f>
        <v>42.765405125177033</v>
      </c>
      <c r="AR306" s="47">
        <f t="shared" si="33"/>
        <v>-0.30296995695110912</v>
      </c>
      <c r="AS306" s="45" t="str">
        <f t="shared" si="34"/>
        <v>1B</v>
      </c>
      <c r="AT306" s="45">
        <f>RANK(Batters[[#This Row],[zScore]],Batters[[#All],[zScore]])</f>
        <v>302</v>
      </c>
      <c r="AU306" s="45"/>
      <c r="AV306" s="45"/>
      <c r="AW306" s="45" t="str">
        <f t="shared" si="35"/>
        <v>Unlikely</v>
      </c>
      <c r="AX306" s="45"/>
      <c r="AY306" s="64" t="str">
        <f>INDEX(Table5[[#All],[Ovr]],MATCH(Batters[[#This Row],[PID]],Table5[[#All],[PID]],0))</f>
        <v/>
      </c>
      <c r="AZ306" s="64" t="str">
        <f>INDEX(Table5[[#All],[Rnd]],MATCH(Batters[[#This Row],[PID]],Table5[[#All],[PID]],0))</f>
        <v/>
      </c>
      <c r="BA306" s="64" t="str">
        <f>INDEX(Table5[[#All],[Pick]],MATCH(Batters[[#This Row],[PID]],Table5[[#All],[PID]],0))</f>
        <v/>
      </c>
      <c r="BB306" s="64" t="str">
        <f>INDEX(Table5[[#All],[Team]],MATCH(Batters[[#This Row],[PID]],Table5[[#All],[PID]],0))</f>
        <v/>
      </c>
    </row>
    <row r="307" spans="1:54" ht="15" customHeight="1" x14ac:dyDescent="0.25">
      <c r="A307" s="40">
        <v>20234</v>
      </c>
      <c r="B307" s="40" t="s">
        <v>72</v>
      </c>
      <c r="C307" s="40" t="s">
        <v>125</v>
      </c>
      <c r="D307" s="40" t="s">
        <v>1347</v>
      </c>
      <c r="E307" s="40">
        <v>21</v>
      </c>
      <c r="F307" s="40" t="s">
        <v>62</v>
      </c>
      <c r="G307" s="40" t="s">
        <v>42</v>
      </c>
      <c r="H307" s="41" t="s">
        <v>634</v>
      </c>
      <c r="I307" s="65" t="s">
        <v>43</v>
      </c>
      <c r="J307" s="66" t="s">
        <v>47</v>
      </c>
      <c r="K307" s="67" t="s">
        <v>43</v>
      </c>
      <c r="L307" s="40">
        <v>3</v>
      </c>
      <c r="M307" s="40">
        <v>4</v>
      </c>
      <c r="N307" s="40">
        <v>2</v>
      </c>
      <c r="O307" s="40">
        <v>3</v>
      </c>
      <c r="P307" s="41">
        <v>8</v>
      </c>
      <c r="Q307" s="40">
        <v>4</v>
      </c>
      <c r="R307" s="40">
        <v>4</v>
      </c>
      <c r="S307" s="40">
        <v>2</v>
      </c>
      <c r="T307" s="40">
        <v>4</v>
      </c>
      <c r="U307" s="41">
        <v>9</v>
      </c>
      <c r="V307" s="40">
        <v>8</v>
      </c>
      <c r="W307" s="40">
        <v>9</v>
      </c>
      <c r="X307" s="40">
        <v>1</v>
      </c>
      <c r="Y307" s="41">
        <v>1</v>
      </c>
      <c r="Z307" s="40" t="s">
        <v>45</v>
      </c>
      <c r="AA307" s="40" t="s">
        <v>45</v>
      </c>
      <c r="AB307" s="40" t="s">
        <v>45</v>
      </c>
      <c r="AC307" s="40" t="s">
        <v>45</v>
      </c>
      <c r="AD307" s="40">
        <v>5</v>
      </c>
      <c r="AE307" s="40" t="s">
        <v>45</v>
      </c>
      <c r="AF307" s="40" t="s">
        <v>45</v>
      </c>
      <c r="AG307" s="41" t="s">
        <v>45</v>
      </c>
      <c r="AH307" s="40">
        <v>3</v>
      </c>
      <c r="AI307" s="40">
        <v>5</v>
      </c>
      <c r="AJ307" s="41">
        <v>4</v>
      </c>
      <c r="AK307" s="43" t="s">
        <v>556</v>
      </c>
      <c r="AL307" s="43" t="s">
        <v>47</v>
      </c>
      <c r="AM307" s="44">
        <f t="shared" si="29"/>
        <v>-0.74345706580346438</v>
      </c>
      <c r="AN307" s="44">
        <f t="shared" si="30"/>
        <v>-0.29117533977412513</v>
      </c>
      <c r="AO307" s="45">
        <f t="shared" si="31"/>
        <v>0</v>
      </c>
      <c r="AP307" s="46">
        <f t="shared" si="32"/>
        <v>1</v>
      </c>
      <c r="AQ307" s="44">
        <f>($AM$3*AM307+$AN$3*AN307+$AO$3*AO307+$AP$3*AP307)+$I$3*VLOOKUP(I307,COND!$A$2:$E$7,4,FALSE)+$J$3*VLOOKUP(J307,COND!$A$2:$C$7,2,FALSE)+$K$3*VLOOKUP(K307,COND!$A$2:$C$7,3,FALSE)+IF(AND($B$2&gt;0,$E307&lt;20),$B$2*25,0)</f>
        <v>42.731550216130152</v>
      </c>
      <c r="AR307" s="47">
        <f t="shared" si="33"/>
        <v>-0.31047581912474981</v>
      </c>
      <c r="AS307" s="45" t="str">
        <f t="shared" si="34"/>
        <v>SS</v>
      </c>
      <c r="AT307" s="45">
        <f>RANK(Batters[[#This Row],[zScore]],Batters[[#All],[zScore]])</f>
        <v>303</v>
      </c>
      <c r="AU307" s="45"/>
      <c r="AV307" s="45"/>
      <c r="AW307" s="45" t="str">
        <f t="shared" si="35"/>
        <v>Unlikely</v>
      </c>
      <c r="AX307" s="45"/>
      <c r="AY307" s="45">
        <f>INDEX(Table5[[#All],[Ovr]],MATCH(Batters[[#This Row],[PID]],Table5[[#All],[PID]],0))</f>
        <v>103</v>
      </c>
      <c r="AZ307" s="45" t="str">
        <f>INDEX(Table5[[#All],[Rnd]],MATCH(Batters[[#This Row],[PID]],Table5[[#All],[PID]],0))</f>
        <v>4</v>
      </c>
      <c r="BA307" s="45">
        <f>INDEX(Table5[[#All],[Pick]],MATCH(Batters[[#This Row],[PID]],Table5[[#All],[PID]],0))</f>
        <v>3</v>
      </c>
      <c r="BB307" s="45" t="str">
        <f>INDEX(Table5[[#All],[Team]],MATCH(Batters[[#This Row],[PID]],Table5[[#All],[PID]],0))</f>
        <v>New Orleans Trendsetters</v>
      </c>
    </row>
    <row r="308" spans="1:54" ht="15" customHeight="1" x14ac:dyDescent="0.25">
      <c r="A308" s="40">
        <v>20340</v>
      </c>
      <c r="B308" s="40" t="s">
        <v>87</v>
      </c>
      <c r="C308" s="40" t="s">
        <v>1597</v>
      </c>
      <c r="D308" s="40" t="s">
        <v>424</v>
      </c>
      <c r="E308" s="40">
        <v>19</v>
      </c>
      <c r="F308" s="40" t="s">
        <v>42</v>
      </c>
      <c r="G308" s="40" t="s">
        <v>42</v>
      </c>
      <c r="H308" s="41" t="s">
        <v>638</v>
      </c>
      <c r="I308" s="65" t="s">
        <v>47</v>
      </c>
      <c r="J308" s="66" t="s">
        <v>43</v>
      </c>
      <c r="K308" s="67" t="s">
        <v>43</v>
      </c>
      <c r="L308" s="40">
        <v>1</v>
      </c>
      <c r="M308" s="40">
        <v>2</v>
      </c>
      <c r="N308" s="40">
        <v>4</v>
      </c>
      <c r="O308" s="40">
        <v>4</v>
      </c>
      <c r="P308" s="41">
        <v>1</v>
      </c>
      <c r="Q308" s="40">
        <v>2</v>
      </c>
      <c r="R308" s="40">
        <v>5</v>
      </c>
      <c r="S308" s="40">
        <v>6</v>
      </c>
      <c r="T308" s="40">
        <v>6</v>
      </c>
      <c r="U308" s="41">
        <v>3</v>
      </c>
      <c r="V308" s="40">
        <v>2</v>
      </c>
      <c r="W308" s="40">
        <v>4</v>
      </c>
      <c r="X308" s="40">
        <v>1</v>
      </c>
      <c r="Y308" s="41">
        <v>1</v>
      </c>
      <c r="Z308" s="40" t="s">
        <v>45</v>
      </c>
      <c r="AA308" s="40">
        <v>2</v>
      </c>
      <c r="AB308" s="40" t="s">
        <v>45</v>
      </c>
      <c r="AC308" s="40" t="s">
        <v>45</v>
      </c>
      <c r="AD308" s="40" t="s">
        <v>45</v>
      </c>
      <c r="AE308" s="40" t="s">
        <v>45</v>
      </c>
      <c r="AF308" s="40" t="s">
        <v>45</v>
      </c>
      <c r="AG308" s="41" t="s">
        <v>45</v>
      </c>
      <c r="AH308" s="40">
        <v>2</v>
      </c>
      <c r="AI308" s="40">
        <v>1</v>
      </c>
      <c r="AJ308" s="41">
        <v>1</v>
      </c>
      <c r="AK308" s="43" t="s">
        <v>548</v>
      </c>
      <c r="AL308" s="43" t="s">
        <v>47</v>
      </c>
      <c r="AM308" s="44">
        <f t="shared" si="29"/>
        <v>-1.5149703381084207</v>
      </c>
      <c r="AN308" s="44">
        <f t="shared" si="30"/>
        <v>-0.61366009534850374</v>
      </c>
      <c r="AO308" s="45">
        <f t="shared" si="31"/>
        <v>0</v>
      </c>
      <c r="AP308" s="46">
        <f t="shared" si="32"/>
        <v>0</v>
      </c>
      <c r="AQ308" s="44">
        <f>($AM$3*AM308+$AN$3*AN308+$AO$3*AO308+$AP$3*AP308)+$I$3*VLOOKUP(I308,COND!$A$2:$E$7,4,FALSE)+$J$3*VLOOKUP(J308,COND!$A$2:$C$7,2,FALSE)+$K$3*VLOOKUP(K308,COND!$A$2:$C$7,3,FALSE)+IF(AND($B$2&gt;0,$E308&lt;20),$B$2*25,0)</f>
        <v>42.70958182200711</v>
      </c>
      <c r="AR308" s="47">
        <f t="shared" si="33"/>
        <v>-0.31534636059439147</v>
      </c>
      <c r="AS308" s="45" t="str">
        <f t="shared" si="34"/>
        <v>1B</v>
      </c>
      <c r="AT308" s="45">
        <f>RANK(Batters[[#This Row],[zScore]],Batters[[#All],[zScore]])</f>
        <v>304</v>
      </c>
      <c r="AU308" s="45"/>
      <c r="AV308" s="45"/>
      <c r="AW308" s="45" t="str">
        <f t="shared" si="35"/>
        <v>Unlikely</v>
      </c>
      <c r="AX308" s="45"/>
      <c r="AY308" s="45" t="str">
        <f>INDEX(Table5[[#All],[Ovr]],MATCH(Batters[[#This Row],[PID]],Table5[[#All],[PID]],0))</f>
        <v/>
      </c>
      <c r="AZ308" s="45" t="str">
        <f>INDEX(Table5[[#All],[Rnd]],MATCH(Batters[[#This Row],[PID]],Table5[[#All],[PID]],0))</f>
        <v/>
      </c>
      <c r="BA308" s="45" t="str">
        <f>INDEX(Table5[[#All],[Pick]],MATCH(Batters[[#This Row],[PID]],Table5[[#All],[PID]],0))</f>
        <v/>
      </c>
      <c r="BB308" s="45" t="str">
        <f>INDEX(Table5[[#All],[Team]],MATCH(Batters[[#This Row],[PID]],Table5[[#All],[PID]],0))</f>
        <v/>
      </c>
    </row>
    <row r="309" spans="1:54" ht="15" customHeight="1" x14ac:dyDescent="0.25">
      <c r="A309" s="40">
        <v>18127</v>
      </c>
      <c r="B309" s="40" t="s">
        <v>66</v>
      </c>
      <c r="C309" s="40" t="s">
        <v>1040</v>
      </c>
      <c r="D309" s="40" t="s">
        <v>131</v>
      </c>
      <c r="E309" s="40">
        <v>21</v>
      </c>
      <c r="F309" s="40" t="s">
        <v>42</v>
      </c>
      <c r="G309" s="40" t="s">
        <v>42</v>
      </c>
      <c r="H309" s="41" t="s">
        <v>638</v>
      </c>
      <c r="I309" s="65" t="s">
        <v>43</v>
      </c>
      <c r="J309" s="66" t="s">
        <v>43</v>
      </c>
      <c r="K309" s="67" t="s">
        <v>43</v>
      </c>
      <c r="L309" s="40">
        <v>2</v>
      </c>
      <c r="M309" s="40">
        <v>3</v>
      </c>
      <c r="N309" s="40">
        <v>3</v>
      </c>
      <c r="O309" s="40">
        <v>3</v>
      </c>
      <c r="P309" s="41">
        <v>2</v>
      </c>
      <c r="Q309" s="40">
        <v>4</v>
      </c>
      <c r="R309" s="40">
        <v>4</v>
      </c>
      <c r="S309" s="40">
        <v>4</v>
      </c>
      <c r="T309" s="40">
        <v>5</v>
      </c>
      <c r="U309" s="41">
        <v>4</v>
      </c>
      <c r="V309" s="40">
        <v>8</v>
      </c>
      <c r="W309" s="40">
        <v>10</v>
      </c>
      <c r="X309" s="40">
        <v>1</v>
      </c>
      <c r="Y309" s="41">
        <v>1</v>
      </c>
      <c r="Z309" s="40" t="s">
        <v>45</v>
      </c>
      <c r="AA309" s="40" t="s">
        <v>45</v>
      </c>
      <c r="AB309" s="40" t="s">
        <v>45</v>
      </c>
      <c r="AC309" s="40" t="s">
        <v>45</v>
      </c>
      <c r="AD309" s="40" t="s">
        <v>45</v>
      </c>
      <c r="AE309" s="40" t="s">
        <v>45</v>
      </c>
      <c r="AF309" s="40" t="s">
        <v>45</v>
      </c>
      <c r="AG309" s="41">
        <v>6</v>
      </c>
      <c r="AH309" s="40">
        <v>4</v>
      </c>
      <c r="AI309" s="40">
        <v>5</v>
      </c>
      <c r="AJ309" s="41">
        <v>3</v>
      </c>
      <c r="AK309" s="43" t="s">
        <v>45</v>
      </c>
      <c r="AL309" s="43" t="s">
        <v>635</v>
      </c>
      <c r="AM309" s="44">
        <f t="shared" si="29"/>
        <v>-1.2741093265034418</v>
      </c>
      <c r="AN309" s="44">
        <f t="shared" si="30"/>
        <v>-0.23542450080215838</v>
      </c>
      <c r="AO309" s="45">
        <f t="shared" si="31"/>
        <v>0</v>
      </c>
      <c r="AP309" s="46">
        <f t="shared" si="32"/>
        <v>0.65</v>
      </c>
      <c r="AQ309" s="44">
        <f>($AM$3*AM309+$AN$3*AN309+$AO$3*AO309+$AP$3*AP309)+$I$3*VLOOKUP(I309,COND!$A$2:$E$7,4,FALSE)+$J$3*VLOOKUP(J309,COND!$A$2:$C$7,2,FALSE)+$K$3*VLOOKUP(K309,COND!$A$2:$C$7,3,FALSE)+IF(AND($B$2&gt;0,$E309&lt;20),$B$2*25,0)</f>
        <v>42.697495057723756</v>
      </c>
      <c r="AR309" s="47">
        <f t="shared" si="33"/>
        <v>-0.31802607793495519</v>
      </c>
      <c r="AS309" s="45" t="str">
        <f t="shared" si="34"/>
        <v>RF</v>
      </c>
      <c r="AT309" s="45">
        <f>RANK(Batters[[#This Row],[zScore]],Batters[[#All],[zScore]])</f>
        <v>305</v>
      </c>
      <c r="AU309" s="45"/>
      <c r="AV309" s="45"/>
      <c r="AW309" s="45" t="str">
        <f t="shared" si="35"/>
        <v>Unlikely</v>
      </c>
      <c r="AX309" s="45"/>
      <c r="AY309" s="45">
        <f>INDEX(Table5[[#All],[Ovr]],MATCH(Batters[[#This Row],[PID]],Table5[[#All],[PID]],0))</f>
        <v>517</v>
      </c>
      <c r="AZ309" s="45" t="str">
        <f>INDEX(Table5[[#All],[Rnd]],MATCH(Batters[[#This Row],[PID]],Table5[[#All],[PID]],0))</f>
        <v>17</v>
      </c>
      <c r="BA309" s="45">
        <f>INDEX(Table5[[#All],[Pick]],MATCH(Batters[[#This Row],[PID]],Table5[[#All],[PID]],0))</f>
        <v>29</v>
      </c>
      <c r="BB309" s="45" t="str">
        <f>INDEX(Table5[[#All],[Team]],MATCH(Batters[[#This Row],[PID]],Table5[[#All],[PID]],0))</f>
        <v>Havana Leones</v>
      </c>
    </row>
    <row r="310" spans="1:54" ht="15" customHeight="1" x14ac:dyDescent="0.25">
      <c r="A310" s="40">
        <v>18413</v>
      </c>
      <c r="B310" s="40" t="s">
        <v>86</v>
      </c>
      <c r="C310" s="40" t="s">
        <v>431</v>
      </c>
      <c r="D310" s="40" t="s">
        <v>1521</v>
      </c>
      <c r="E310" s="40">
        <v>18</v>
      </c>
      <c r="F310" s="40" t="s">
        <v>42</v>
      </c>
      <c r="G310" s="40" t="s">
        <v>42</v>
      </c>
      <c r="H310" s="41" t="s">
        <v>638</v>
      </c>
      <c r="I310" s="65" t="s">
        <v>47</v>
      </c>
      <c r="J310" s="66" t="s">
        <v>43</v>
      </c>
      <c r="K310" s="67" t="s">
        <v>44</v>
      </c>
      <c r="L310" s="40">
        <v>1</v>
      </c>
      <c r="M310" s="40">
        <v>2</v>
      </c>
      <c r="N310" s="40">
        <v>2</v>
      </c>
      <c r="O310" s="40">
        <v>2</v>
      </c>
      <c r="P310" s="41">
        <v>1</v>
      </c>
      <c r="Q310" s="40">
        <v>3</v>
      </c>
      <c r="R310" s="40">
        <v>4</v>
      </c>
      <c r="S310" s="40">
        <v>3</v>
      </c>
      <c r="T310" s="40">
        <v>5</v>
      </c>
      <c r="U310" s="41">
        <v>3</v>
      </c>
      <c r="V310" s="40">
        <v>5</v>
      </c>
      <c r="W310" s="40">
        <v>5</v>
      </c>
      <c r="X310" s="40">
        <v>7</v>
      </c>
      <c r="Y310" s="41">
        <v>6</v>
      </c>
      <c r="Z310" s="40">
        <v>2</v>
      </c>
      <c r="AA310" s="40" t="s">
        <v>45</v>
      </c>
      <c r="AB310" s="40" t="s">
        <v>45</v>
      </c>
      <c r="AC310" s="40" t="s">
        <v>45</v>
      </c>
      <c r="AD310" s="40" t="s">
        <v>45</v>
      </c>
      <c r="AE310" s="40" t="s">
        <v>45</v>
      </c>
      <c r="AF310" s="40" t="s">
        <v>45</v>
      </c>
      <c r="AG310" s="41" t="s">
        <v>45</v>
      </c>
      <c r="AH310" s="40">
        <v>1</v>
      </c>
      <c r="AI310" s="40">
        <v>1</v>
      </c>
      <c r="AJ310" s="41">
        <v>1</v>
      </c>
      <c r="AK310" s="43" t="s">
        <v>670</v>
      </c>
      <c r="AL310" s="43" t="s">
        <v>635</v>
      </c>
      <c r="AM310" s="44">
        <f t="shared" si="29"/>
        <v>-1.8605124261753858</v>
      </c>
      <c r="AN310" s="44">
        <f t="shared" si="30"/>
        <v>-0.6810581708458181</v>
      </c>
      <c r="AO310" s="45">
        <f t="shared" si="31"/>
        <v>0</v>
      </c>
      <c r="AP310" s="46">
        <f t="shared" si="32"/>
        <v>1.1000000000000001</v>
      </c>
      <c r="AQ310" s="44">
        <f>($AM$3*AM310+$AN$3*AN310+$AO$3*AO310+$AP$3*AP310)+$I$3*VLOOKUP(I310,COND!$A$2:$E$7,4,FALSE)+$J$3*VLOOKUP(J310,COND!$A$2:$C$7,2,FALSE)+$K$3*VLOOKUP(K310,COND!$A$2:$C$7,3,FALSE)+IF(AND($B$2&gt;0,$E310&lt;20),$B$2*25,0)</f>
        <v>42.666250707232635</v>
      </c>
      <c r="AR310" s="47">
        <f t="shared" si="33"/>
        <v>-0.32495316163104593</v>
      </c>
      <c r="AS310" s="45" t="str">
        <f t="shared" si="34"/>
        <v>C</v>
      </c>
      <c r="AT310" s="45">
        <f>RANK(Batters[[#This Row],[zScore]],Batters[[#All],[zScore]])</f>
        <v>306</v>
      </c>
      <c r="AU310" s="45"/>
      <c r="AV310" s="45"/>
      <c r="AW310" s="45" t="str">
        <f t="shared" si="35"/>
        <v>Unlikely</v>
      </c>
      <c r="AX310" s="45"/>
      <c r="AY310" s="45" t="str">
        <f>INDEX(Table5[[#All],[Ovr]],MATCH(Batters[[#This Row],[PID]],Table5[[#All],[PID]],0))</f>
        <v/>
      </c>
      <c r="AZ310" s="45" t="str">
        <f>INDEX(Table5[[#All],[Rnd]],MATCH(Batters[[#This Row],[PID]],Table5[[#All],[PID]],0))</f>
        <v/>
      </c>
      <c r="BA310" s="45" t="str">
        <f>INDEX(Table5[[#All],[Pick]],MATCH(Batters[[#This Row],[PID]],Table5[[#All],[PID]],0))</f>
        <v/>
      </c>
      <c r="BB310" s="45" t="str">
        <f>INDEX(Table5[[#All],[Team]],MATCH(Batters[[#This Row],[PID]],Table5[[#All],[PID]],0))</f>
        <v/>
      </c>
    </row>
    <row r="311" spans="1:54" ht="15" customHeight="1" x14ac:dyDescent="0.25">
      <c r="A311" s="40">
        <v>18139</v>
      </c>
      <c r="B311" s="40" t="s">
        <v>71</v>
      </c>
      <c r="C311" s="40" t="s">
        <v>135</v>
      </c>
      <c r="D311" s="40" t="s">
        <v>531</v>
      </c>
      <c r="E311" s="40">
        <v>21</v>
      </c>
      <c r="F311" s="40" t="s">
        <v>42</v>
      </c>
      <c r="G311" s="40" t="s">
        <v>42</v>
      </c>
      <c r="H311" s="41" t="s">
        <v>638</v>
      </c>
      <c r="I311" s="65" t="s">
        <v>43</v>
      </c>
      <c r="J311" s="66" t="s">
        <v>44</v>
      </c>
      <c r="K311" s="67" t="s">
        <v>47</v>
      </c>
      <c r="L311" s="40">
        <v>2</v>
      </c>
      <c r="M311" s="40">
        <v>3</v>
      </c>
      <c r="N311" s="40">
        <v>3</v>
      </c>
      <c r="O311" s="40">
        <v>3</v>
      </c>
      <c r="P311" s="41">
        <v>1</v>
      </c>
      <c r="Q311" s="40">
        <v>4</v>
      </c>
      <c r="R311" s="40">
        <v>5</v>
      </c>
      <c r="S311" s="40">
        <v>4</v>
      </c>
      <c r="T311" s="40">
        <v>5</v>
      </c>
      <c r="U311" s="41">
        <v>4</v>
      </c>
      <c r="V311" s="40">
        <v>3</v>
      </c>
      <c r="W311" s="40">
        <v>2</v>
      </c>
      <c r="X311" s="40">
        <v>1</v>
      </c>
      <c r="Y311" s="41">
        <v>1</v>
      </c>
      <c r="Z311" s="40" t="s">
        <v>45</v>
      </c>
      <c r="AA311" s="40" t="s">
        <v>45</v>
      </c>
      <c r="AB311" s="40">
        <v>4</v>
      </c>
      <c r="AC311" s="40" t="s">
        <v>45</v>
      </c>
      <c r="AD311" s="40" t="s">
        <v>45</v>
      </c>
      <c r="AE311" s="40" t="s">
        <v>45</v>
      </c>
      <c r="AF311" s="40" t="s">
        <v>45</v>
      </c>
      <c r="AG311" s="41" t="s">
        <v>45</v>
      </c>
      <c r="AH311" s="40">
        <v>3</v>
      </c>
      <c r="AI311" s="40">
        <v>2</v>
      </c>
      <c r="AJ311" s="41">
        <v>1</v>
      </c>
      <c r="AK311" s="43" t="s">
        <v>45</v>
      </c>
      <c r="AL311" s="43" t="s">
        <v>47</v>
      </c>
      <c r="AM311" s="44">
        <f t="shared" si="29"/>
        <v>-1.3141256663205254</v>
      </c>
      <c r="AN311" s="44">
        <f t="shared" si="30"/>
        <v>-0.18436462118345487</v>
      </c>
      <c r="AO311" s="45">
        <f t="shared" si="31"/>
        <v>0</v>
      </c>
      <c r="AP311" s="46">
        <f t="shared" si="32"/>
        <v>0</v>
      </c>
      <c r="AQ311" s="44">
        <f>($AM$3*AM311+$AN$3*AN311+$AO$3*AO311+$AP$3*AP311)+$I$3*VLOOKUP(I311,COND!$A$2:$E$7,4,FALSE)+$J$3*VLOOKUP(J311,COND!$A$2:$C$7,2,FALSE)+$K$3*VLOOKUP(K311,COND!$A$2:$C$7,3,FALSE)+IF(AND($B$2&gt;0,$E311&lt;20),$B$2*25,0)</f>
        <v>42.656211979166486</v>
      </c>
      <c r="AR311" s="47">
        <f t="shared" si="33"/>
        <v>-0.3271788154988155</v>
      </c>
      <c r="AS311" s="45" t="str">
        <f t="shared" si="34"/>
        <v>2B</v>
      </c>
      <c r="AT311" s="45">
        <f>RANK(Batters[[#This Row],[zScore]],Batters[[#All],[zScore]])</f>
        <v>307</v>
      </c>
      <c r="AU311" s="45"/>
      <c r="AV311" s="45"/>
      <c r="AW311" s="45" t="str">
        <f t="shared" si="35"/>
        <v>Unlikely</v>
      </c>
      <c r="AX311" s="45"/>
      <c r="AY311" s="45" t="str">
        <f>INDEX(Table5[[#All],[Ovr]],MATCH(Batters[[#This Row],[PID]],Table5[[#All],[PID]],0))</f>
        <v/>
      </c>
      <c r="AZ311" s="45" t="str">
        <f>INDEX(Table5[[#All],[Rnd]],MATCH(Batters[[#This Row],[PID]],Table5[[#All],[PID]],0))</f>
        <v/>
      </c>
      <c r="BA311" s="45" t="str">
        <f>INDEX(Table5[[#All],[Pick]],MATCH(Batters[[#This Row],[PID]],Table5[[#All],[PID]],0))</f>
        <v/>
      </c>
      <c r="BB311" s="45" t="str">
        <f>INDEX(Table5[[#All],[Team]],MATCH(Batters[[#This Row],[PID]],Table5[[#All],[PID]],0))</f>
        <v/>
      </c>
    </row>
    <row r="312" spans="1:54" ht="15" customHeight="1" x14ac:dyDescent="0.25">
      <c r="A312" s="40">
        <v>17856</v>
      </c>
      <c r="B312" s="40" t="s">
        <v>74</v>
      </c>
      <c r="C312" s="40" t="s">
        <v>142</v>
      </c>
      <c r="D312" s="40" t="s">
        <v>1500</v>
      </c>
      <c r="E312" s="40">
        <v>18</v>
      </c>
      <c r="F312" s="40" t="s">
        <v>42</v>
      </c>
      <c r="G312" s="40" t="s">
        <v>42</v>
      </c>
      <c r="H312" s="41" t="s">
        <v>638</v>
      </c>
      <c r="I312" s="65" t="s">
        <v>43</v>
      </c>
      <c r="J312" s="66" t="s">
        <v>44</v>
      </c>
      <c r="K312" s="67" t="s">
        <v>43</v>
      </c>
      <c r="L312" s="40">
        <v>1</v>
      </c>
      <c r="M312" s="40">
        <v>1</v>
      </c>
      <c r="N312" s="40">
        <v>2</v>
      </c>
      <c r="O312" s="40">
        <v>1</v>
      </c>
      <c r="P312" s="41">
        <v>1</v>
      </c>
      <c r="Q312" s="40">
        <v>3</v>
      </c>
      <c r="R312" s="40">
        <v>2</v>
      </c>
      <c r="S312" s="40">
        <v>3</v>
      </c>
      <c r="T312" s="40">
        <v>5</v>
      </c>
      <c r="U312" s="41">
        <v>5</v>
      </c>
      <c r="V312" s="40">
        <v>3</v>
      </c>
      <c r="W312" s="40">
        <v>6</v>
      </c>
      <c r="X312" s="40">
        <v>1</v>
      </c>
      <c r="Y312" s="41">
        <v>1</v>
      </c>
      <c r="Z312" s="40" t="s">
        <v>45</v>
      </c>
      <c r="AA312" s="40" t="s">
        <v>45</v>
      </c>
      <c r="AB312" s="40" t="s">
        <v>45</v>
      </c>
      <c r="AC312" s="40" t="s">
        <v>45</v>
      </c>
      <c r="AD312" s="40" t="s">
        <v>45</v>
      </c>
      <c r="AE312" s="40" t="s">
        <v>45</v>
      </c>
      <c r="AF312" s="40">
        <v>6</v>
      </c>
      <c r="AG312" s="41" t="s">
        <v>45</v>
      </c>
      <c r="AH312" s="40">
        <v>9</v>
      </c>
      <c r="AI312" s="40">
        <v>10</v>
      </c>
      <c r="AJ312" s="41">
        <v>8</v>
      </c>
      <c r="AK312" s="43" t="s">
        <v>670</v>
      </c>
      <c r="AL312" s="43" t="s">
        <v>635</v>
      </c>
      <c r="AM312" s="44">
        <f t="shared" si="29"/>
        <v>-2.0012818558036707</v>
      </c>
      <c r="AN312" s="44">
        <f t="shared" si="30"/>
        <v>-0.70314525044905818</v>
      </c>
      <c r="AO312" s="45">
        <f t="shared" si="31"/>
        <v>5</v>
      </c>
      <c r="AP312" s="46">
        <f t="shared" si="32"/>
        <v>0.75</v>
      </c>
      <c r="AQ312" s="44">
        <f>($AM$3*AM312+$AN$3*AN312+$AO$3*AO312+$AP$3*AP312)+$I$3*VLOOKUP(I312,COND!$A$2:$E$7,4,FALSE)+$J$3*VLOOKUP(J312,COND!$A$2:$C$7,2,FALSE)+$K$3*VLOOKUP(K312,COND!$A$2:$C$7,3,FALSE)+IF(AND($B$2&gt;0,$E312&lt;20),$B$2*25,0)</f>
        <v>42.645462142364266</v>
      </c>
      <c r="AR312" s="47">
        <f t="shared" si="33"/>
        <v>-0.32956212698002069</v>
      </c>
      <c r="AS312" s="45" t="str">
        <f t="shared" si="34"/>
        <v>CF</v>
      </c>
      <c r="AT312" s="45">
        <f>RANK(Batters[[#This Row],[zScore]],Batters[[#All],[zScore]])</f>
        <v>308</v>
      </c>
      <c r="AU312" s="45"/>
      <c r="AV312" s="45"/>
      <c r="AW312" s="45" t="str">
        <f t="shared" si="35"/>
        <v>Unlikely</v>
      </c>
      <c r="AX312" s="45"/>
      <c r="AY312" s="45">
        <f>INDEX(Table5[[#All],[Ovr]],MATCH(Batters[[#This Row],[PID]],Table5[[#All],[PID]],0))</f>
        <v>441</v>
      </c>
      <c r="AZ312" s="45" t="str">
        <f>INDEX(Table5[[#All],[Rnd]],MATCH(Batters[[#This Row],[PID]],Table5[[#All],[PID]],0))</f>
        <v>15</v>
      </c>
      <c r="BA312" s="45">
        <f>INDEX(Table5[[#All],[Pick]],MATCH(Batters[[#This Row],[PID]],Table5[[#All],[PID]],0))</f>
        <v>13</v>
      </c>
      <c r="BB312" s="45" t="str">
        <f>INDEX(Table5[[#All],[Team]],MATCH(Batters[[#This Row],[PID]],Table5[[#All],[PID]],0))</f>
        <v>Reno Zephyrs</v>
      </c>
    </row>
    <row r="313" spans="1:54" ht="15" customHeight="1" x14ac:dyDescent="0.25">
      <c r="A313" s="40">
        <v>20362</v>
      </c>
      <c r="B313" s="40" t="s">
        <v>86</v>
      </c>
      <c r="C313" s="40" t="s">
        <v>1324</v>
      </c>
      <c r="D313" s="40" t="s">
        <v>901</v>
      </c>
      <c r="E313" s="40">
        <v>17</v>
      </c>
      <c r="F313" s="40" t="s">
        <v>42</v>
      </c>
      <c r="G313" s="40" t="s">
        <v>42</v>
      </c>
      <c r="H313" s="41" t="s">
        <v>634</v>
      </c>
      <c r="I313" s="65" t="s">
        <v>43</v>
      </c>
      <c r="J313" s="66" t="s">
        <v>44</v>
      </c>
      <c r="K313" s="67" t="s">
        <v>44</v>
      </c>
      <c r="L313" s="40">
        <v>1</v>
      </c>
      <c r="M313" s="40">
        <v>2</v>
      </c>
      <c r="N313" s="40">
        <v>2</v>
      </c>
      <c r="O313" s="40">
        <v>3</v>
      </c>
      <c r="P313" s="41">
        <v>1</v>
      </c>
      <c r="Q313" s="40">
        <v>3</v>
      </c>
      <c r="R313" s="40">
        <v>4</v>
      </c>
      <c r="S313" s="40">
        <v>4</v>
      </c>
      <c r="T313" s="40">
        <v>6</v>
      </c>
      <c r="U313" s="41">
        <v>2</v>
      </c>
      <c r="V313" s="40">
        <v>6</v>
      </c>
      <c r="W313" s="40">
        <v>7</v>
      </c>
      <c r="X313" s="40">
        <v>7</v>
      </c>
      <c r="Y313" s="41">
        <v>5</v>
      </c>
      <c r="Z313" s="40" t="s">
        <v>45</v>
      </c>
      <c r="AA313" s="40" t="s">
        <v>45</v>
      </c>
      <c r="AB313" s="40" t="s">
        <v>45</v>
      </c>
      <c r="AC313" s="40" t="s">
        <v>45</v>
      </c>
      <c r="AD313" s="40" t="s">
        <v>45</v>
      </c>
      <c r="AE313" s="40" t="s">
        <v>45</v>
      </c>
      <c r="AF313" s="40" t="s">
        <v>45</v>
      </c>
      <c r="AG313" s="41" t="s">
        <v>45</v>
      </c>
      <c r="AH313" s="40">
        <v>5</v>
      </c>
      <c r="AI313" s="40">
        <v>5</v>
      </c>
      <c r="AJ313" s="41">
        <v>5</v>
      </c>
      <c r="AK313" s="43" t="s">
        <v>656</v>
      </c>
      <c r="AL313" s="43" t="s">
        <v>47</v>
      </c>
      <c r="AM313" s="44">
        <f t="shared" si="29"/>
        <v>-1.7708028761658048</v>
      </c>
      <c r="AN313" s="44">
        <f t="shared" si="30"/>
        <v>-0.54830346662941898</v>
      </c>
      <c r="AO313" s="45">
        <f t="shared" si="31"/>
        <v>0</v>
      </c>
      <c r="AP313" s="46">
        <f t="shared" si="32"/>
        <v>0</v>
      </c>
      <c r="AQ313" s="44">
        <f>($AM$3*AM313+$AN$3*AN313+$AO$3*AO313+$AP$3*AP313)+$I$3*VLOOKUP(I313,COND!$A$2:$E$7,4,FALSE)+$J$3*VLOOKUP(J313,COND!$A$2:$C$7,2,FALSE)+$K$3*VLOOKUP(K313,COND!$A$2:$C$7,3,FALSE)+IF(AND($B$2&gt;0,$E313&lt;20),$B$2*25,0)</f>
        <v>42.643278112830387</v>
      </c>
      <c r="AR313" s="47">
        <f t="shared" si="33"/>
        <v>-0.33004634109035125</v>
      </c>
      <c r="AS313" s="45" t="str">
        <f t="shared" si="34"/>
        <v>DH</v>
      </c>
      <c r="AT313" s="45">
        <f>RANK(Batters[[#This Row],[zScore]],Batters[[#All],[zScore]])</f>
        <v>309</v>
      </c>
      <c r="AU313" s="45"/>
      <c r="AV313" s="45"/>
      <c r="AW313" s="45" t="str">
        <f t="shared" si="35"/>
        <v>Unlikely</v>
      </c>
      <c r="AX313" s="45"/>
      <c r="AY313" s="45" t="str">
        <f>INDEX(Table5[[#All],[Ovr]],MATCH(Batters[[#This Row],[PID]],Table5[[#All],[PID]],0))</f>
        <v/>
      </c>
      <c r="AZ313" s="45" t="str">
        <f>INDEX(Table5[[#All],[Rnd]],MATCH(Batters[[#This Row],[PID]],Table5[[#All],[PID]],0))</f>
        <v/>
      </c>
      <c r="BA313" s="45" t="str">
        <f>INDEX(Table5[[#All],[Pick]],MATCH(Batters[[#This Row],[PID]],Table5[[#All],[PID]],0))</f>
        <v/>
      </c>
      <c r="BB313" s="45" t="str">
        <f>INDEX(Table5[[#All],[Team]],MATCH(Batters[[#This Row],[PID]],Table5[[#All],[PID]],0))</f>
        <v/>
      </c>
    </row>
    <row r="314" spans="1:54" ht="15" customHeight="1" x14ac:dyDescent="0.25">
      <c r="A314" s="40">
        <v>20816</v>
      </c>
      <c r="B314" s="40" t="s">
        <v>71</v>
      </c>
      <c r="C314" s="40" t="s">
        <v>380</v>
      </c>
      <c r="D314" s="40" t="s">
        <v>1703</v>
      </c>
      <c r="E314" s="40">
        <v>17</v>
      </c>
      <c r="F314" s="40" t="s">
        <v>42</v>
      </c>
      <c r="G314" s="40" t="s">
        <v>42</v>
      </c>
      <c r="H314" s="41" t="s">
        <v>647</v>
      </c>
      <c r="I314" s="65" t="s">
        <v>43</v>
      </c>
      <c r="J314" s="66" t="s">
        <v>47</v>
      </c>
      <c r="K314" s="67" t="s">
        <v>43</v>
      </c>
      <c r="L314" s="40">
        <v>1</v>
      </c>
      <c r="M314" s="40">
        <v>2</v>
      </c>
      <c r="N314" s="40">
        <v>2</v>
      </c>
      <c r="O314" s="40">
        <v>2</v>
      </c>
      <c r="P314" s="41">
        <v>1</v>
      </c>
      <c r="Q314" s="40">
        <v>3</v>
      </c>
      <c r="R314" s="40">
        <v>5</v>
      </c>
      <c r="S314" s="40">
        <v>2</v>
      </c>
      <c r="T314" s="40">
        <v>6</v>
      </c>
      <c r="U314" s="41">
        <v>3</v>
      </c>
      <c r="V314" s="40">
        <v>4</v>
      </c>
      <c r="W314" s="40">
        <v>2</v>
      </c>
      <c r="X314" s="40">
        <v>1</v>
      </c>
      <c r="Y314" s="41">
        <v>1</v>
      </c>
      <c r="Z314" s="40" t="s">
        <v>45</v>
      </c>
      <c r="AA314" s="40" t="s">
        <v>45</v>
      </c>
      <c r="AB314" s="40">
        <v>1</v>
      </c>
      <c r="AC314" s="40" t="s">
        <v>45</v>
      </c>
      <c r="AD314" s="40" t="s">
        <v>45</v>
      </c>
      <c r="AE314" s="40" t="s">
        <v>45</v>
      </c>
      <c r="AF314" s="40" t="s">
        <v>45</v>
      </c>
      <c r="AG314" s="41" t="s">
        <v>45</v>
      </c>
      <c r="AH314" s="40">
        <v>2</v>
      </c>
      <c r="AI314" s="40">
        <v>1</v>
      </c>
      <c r="AJ314" s="41">
        <v>1</v>
      </c>
      <c r="AK314" s="43" t="s">
        <v>654</v>
      </c>
      <c r="AL314" s="43"/>
      <c r="AM314" s="44">
        <f t="shared" si="29"/>
        <v>-1.8605124261753858</v>
      </c>
      <c r="AN314" s="44">
        <f t="shared" si="30"/>
        <v>-0.62335023524143496</v>
      </c>
      <c r="AO314" s="45">
        <f t="shared" si="31"/>
        <v>0</v>
      </c>
      <c r="AP314" s="46">
        <f t="shared" si="32"/>
        <v>0</v>
      </c>
      <c r="AQ314" s="44">
        <f>($AM$3*AM314+$AN$3*AN314+$AO$3*AO314+$AP$3*AP314)+$I$3*VLOOKUP(I314,COND!$A$2:$E$7,4,FALSE)+$J$3*VLOOKUP(J314,COND!$A$2:$C$7,2,FALSE)+$K$3*VLOOKUP(K314,COND!$A$2:$C$7,3,FALSE)+IF(AND($B$2&gt;0,$E314&lt;20),$B$2*25,0)</f>
        <v>42.633745934485248</v>
      </c>
      <c r="AR314" s="47">
        <f t="shared" si="33"/>
        <v>-0.3321596894610146</v>
      </c>
      <c r="AS314" s="45" t="str">
        <f t="shared" si="34"/>
        <v>2B</v>
      </c>
      <c r="AT314" s="45">
        <f>RANK(Batters[[#This Row],[zScore]],Batters[[#All],[zScore]])</f>
        <v>310</v>
      </c>
      <c r="AU314" s="45"/>
      <c r="AV314" s="45"/>
      <c r="AW314" s="45" t="str">
        <f t="shared" si="35"/>
        <v>Unlikely</v>
      </c>
      <c r="AX314" s="45"/>
      <c r="AY314" s="64" t="str">
        <f>INDEX(Table5[[#All],[Ovr]],MATCH(Batters[[#This Row],[PID]],Table5[[#All],[PID]],0))</f>
        <v/>
      </c>
      <c r="AZ314" s="64" t="str">
        <f>INDEX(Table5[[#All],[Rnd]],MATCH(Batters[[#This Row],[PID]],Table5[[#All],[PID]],0))</f>
        <v/>
      </c>
      <c r="BA314" s="64" t="str">
        <f>INDEX(Table5[[#All],[Pick]],MATCH(Batters[[#This Row],[PID]],Table5[[#All],[PID]],0))</f>
        <v/>
      </c>
      <c r="BB314" s="64" t="str">
        <f>INDEX(Table5[[#All],[Team]],MATCH(Batters[[#This Row],[PID]],Table5[[#All],[PID]],0))</f>
        <v/>
      </c>
    </row>
    <row r="315" spans="1:54" ht="15" customHeight="1" x14ac:dyDescent="0.25">
      <c r="A315" s="40">
        <v>18141</v>
      </c>
      <c r="B315" s="40" t="s">
        <v>87</v>
      </c>
      <c r="C315" s="40" t="s">
        <v>445</v>
      </c>
      <c r="D315" s="40" t="s">
        <v>156</v>
      </c>
      <c r="E315" s="40">
        <v>21</v>
      </c>
      <c r="F315" s="40" t="s">
        <v>53</v>
      </c>
      <c r="G315" s="40" t="s">
        <v>42</v>
      </c>
      <c r="H315" s="41" t="s">
        <v>638</v>
      </c>
      <c r="I315" s="65" t="s">
        <v>44</v>
      </c>
      <c r="J315" s="66" t="s">
        <v>43</v>
      </c>
      <c r="K315" s="67" t="s">
        <v>43</v>
      </c>
      <c r="L315" s="40">
        <v>1</v>
      </c>
      <c r="M315" s="40">
        <v>3</v>
      </c>
      <c r="N315" s="40">
        <v>4</v>
      </c>
      <c r="O315" s="40">
        <v>3</v>
      </c>
      <c r="P315" s="41">
        <v>1</v>
      </c>
      <c r="Q315" s="40">
        <v>4</v>
      </c>
      <c r="R315" s="40">
        <v>5</v>
      </c>
      <c r="S315" s="40">
        <v>5</v>
      </c>
      <c r="T315" s="40">
        <v>5</v>
      </c>
      <c r="U315" s="41">
        <v>2</v>
      </c>
      <c r="V315" s="40">
        <v>2</v>
      </c>
      <c r="W315" s="40">
        <v>2</v>
      </c>
      <c r="X315" s="40">
        <v>1</v>
      </c>
      <c r="Y315" s="41">
        <v>1</v>
      </c>
      <c r="Z315" s="40" t="s">
        <v>45</v>
      </c>
      <c r="AA315" s="40">
        <v>1</v>
      </c>
      <c r="AB315" s="40" t="s">
        <v>45</v>
      </c>
      <c r="AC315" s="40" t="s">
        <v>45</v>
      </c>
      <c r="AD315" s="40" t="s">
        <v>45</v>
      </c>
      <c r="AE315" s="40" t="s">
        <v>45</v>
      </c>
      <c r="AF315" s="40" t="s">
        <v>45</v>
      </c>
      <c r="AG315" s="41" t="s">
        <v>45</v>
      </c>
      <c r="AH315" s="40">
        <v>2</v>
      </c>
      <c r="AI315" s="40">
        <v>1</v>
      </c>
      <c r="AJ315" s="41">
        <v>2</v>
      </c>
      <c r="AK315" s="43" t="s">
        <v>45</v>
      </c>
      <c r="AL315" s="43" t="s">
        <v>635</v>
      </c>
      <c r="AM315" s="44">
        <f t="shared" si="29"/>
        <v>-1.5536200084992982</v>
      </c>
      <c r="AN315" s="44">
        <f t="shared" si="30"/>
        <v>-0.18133580679372027</v>
      </c>
      <c r="AO315" s="45">
        <f t="shared" si="31"/>
        <v>0</v>
      </c>
      <c r="AP315" s="46">
        <f t="shared" si="32"/>
        <v>0</v>
      </c>
      <c r="AQ315" s="44">
        <f>($AM$3*AM315+$AN$3*AN315+$AO$3*AO315+$AP$3*AP315)+$I$3*VLOOKUP(I315,COND!$A$2:$E$7,4,FALSE)+$J$3*VLOOKUP(J315,COND!$A$2:$C$7,2,FALSE)+$K$3*VLOOKUP(K315,COND!$A$2:$C$7,3,FALSE)+IF(AND($B$2&gt;0,$E315&lt;20),$B$2*25,0)</f>
        <v>42.518608317625429</v>
      </c>
      <c r="AR315" s="47">
        <f t="shared" si="33"/>
        <v>-0.35768647737689846</v>
      </c>
      <c r="AS315" s="45" t="str">
        <f t="shared" si="34"/>
        <v>1B</v>
      </c>
      <c r="AT315" s="45">
        <f>RANK(Batters[[#This Row],[zScore]],Batters[[#All],[zScore]])</f>
        <v>311</v>
      </c>
      <c r="AU315" s="45"/>
      <c r="AV315" s="45"/>
      <c r="AW315" s="45" t="str">
        <f t="shared" si="35"/>
        <v>Unlikely</v>
      </c>
      <c r="AX315" s="45"/>
      <c r="AY315" s="45" t="str">
        <f>INDEX(Table5[[#All],[Ovr]],MATCH(Batters[[#This Row],[PID]],Table5[[#All],[PID]],0))</f>
        <v/>
      </c>
      <c r="AZ315" s="45" t="str">
        <f>INDEX(Table5[[#All],[Rnd]],MATCH(Batters[[#This Row],[PID]],Table5[[#All],[PID]],0))</f>
        <v/>
      </c>
      <c r="BA315" s="45" t="str">
        <f>INDEX(Table5[[#All],[Pick]],MATCH(Batters[[#This Row],[PID]],Table5[[#All],[PID]],0))</f>
        <v/>
      </c>
      <c r="BB315" s="45" t="str">
        <f>INDEX(Table5[[#All],[Team]],MATCH(Batters[[#This Row],[PID]],Table5[[#All],[PID]],0))</f>
        <v/>
      </c>
    </row>
    <row r="316" spans="1:54" ht="15" customHeight="1" x14ac:dyDescent="0.25">
      <c r="A316" s="40">
        <v>16948</v>
      </c>
      <c r="B316" s="40" t="s">
        <v>50</v>
      </c>
      <c r="C316" s="40" t="s">
        <v>192</v>
      </c>
      <c r="D316" s="40" t="s">
        <v>562</v>
      </c>
      <c r="E316" s="40">
        <v>21</v>
      </c>
      <c r="F316" s="40" t="s">
        <v>53</v>
      </c>
      <c r="G316" s="40" t="s">
        <v>53</v>
      </c>
      <c r="H316" s="41" t="s">
        <v>638</v>
      </c>
      <c r="I316" s="65" t="s">
        <v>43</v>
      </c>
      <c r="J316" s="66" t="s">
        <v>44</v>
      </c>
      <c r="K316" s="67" t="s">
        <v>43</v>
      </c>
      <c r="L316" s="40">
        <v>2</v>
      </c>
      <c r="M316" s="40">
        <v>3</v>
      </c>
      <c r="N316" s="40">
        <v>2</v>
      </c>
      <c r="O316" s="40">
        <v>3</v>
      </c>
      <c r="P316" s="41">
        <v>2</v>
      </c>
      <c r="Q316" s="40">
        <v>4</v>
      </c>
      <c r="R316" s="40">
        <v>5</v>
      </c>
      <c r="S316" s="40">
        <v>4</v>
      </c>
      <c r="T316" s="40">
        <v>5</v>
      </c>
      <c r="U316" s="41">
        <v>4</v>
      </c>
      <c r="V316" s="40">
        <v>6</v>
      </c>
      <c r="W316" s="40">
        <v>8</v>
      </c>
      <c r="X316" s="40">
        <v>1</v>
      </c>
      <c r="Y316" s="41">
        <v>1</v>
      </c>
      <c r="Z316" s="40" t="s">
        <v>45</v>
      </c>
      <c r="AA316" s="40" t="s">
        <v>45</v>
      </c>
      <c r="AB316" s="40" t="s">
        <v>45</v>
      </c>
      <c r="AC316" s="40" t="s">
        <v>45</v>
      </c>
      <c r="AD316" s="40" t="s">
        <v>45</v>
      </c>
      <c r="AE316" s="40">
        <v>3</v>
      </c>
      <c r="AF316" s="40" t="s">
        <v>45</v>
      </c>
      <c r="AG316" s="41">
        <v>4</v>
      </c>
      <c r="AH316" s="40">
        <v>3</v>
      </c>
      <c r="AI316" s="40">
        <v>9</v>
      </c>
      <c r="AJ316" s="41">
        <v>3</v>
      </c>
      <c r="AK316" s="43" t="s">
        <v>45</v>
      </c>
      <c r="AL316" s="43" t="s">
        <v>47</v>
      </c>
      <c r="AM316" s="44">
        <f t="shared" si="29"/>
        <v>-1.3571708205273432</v>
      </c>
      <c r="AN316" s="44">
        <f t="shared" si="30"/>
        <v>-0.18436462118345487</v>
      </c>
      <c r="AO316" s="45">
        <f t="shared" si="31"/>
        <v>1</v>
      </c>
      <c r="AP316" s="46">
        <f t="shared" si="32"/>
        <v>0</v>
      </c>
      <c r="AQ316" s="44">
        <f>($AM$3*AM316+$AN$3*AN316+$AO$3*AO316+$AP$3*AP316)+$I$3*VLOOKUP(I316,COND!$A$2:$E$7,4,FALSE)+$J$3*VLOOKUP(J316,COND!$A$2:$C$7,2,FALSE)+$K$3*VLOOKUP(K316,COND!$A$2:$C$7,3,FALSE)+IF(AND($B$2&gt;0,$E316&lt;20),$B$2*25,0)</f>
        <v>42.518574130412475</v>
      </c>
      <c r="AR316" s="47">
        <f t="shared" si="33"/>
        <v>-0.35769405691309442</v>
      </c>
      <c r="AS316" s="45" t="str">
        <f t="shared" si="34"/>
        <v>RF</v>
      </c>
      <c r="AT316" s="45">
        <f>RANK(Batters[[#This Row],[zScore]],Batters[[#All],[zScore]])</f>
        <v>312</v>
      </c>
      <c r="AU316" s="45"/>
      <c r="AV316" s="45"/>
      <c r="AW316" s="45" t="str">
        <f t="shared" si="35"/>
        <v>Unlikely</v>
      </c>
      <c r="AX316" s="45"/>
      <c r="AY316" s="45">
        <f>INDEX(Table5[[#All],[Ovr]],MATCH(Batters[[#This Row],[PID]],Table5[[#All],[PID]],0))</f>
        <v>504</v>
      </c>
      <c r="AZ316" s="45" t="str">
        <f>INDEX(Table5[[#All],[Rnd]],MATCH(Batters[[#This Row],[PID]],Table5[[#All],[PID]],0))</f>
        <v>17</v>
      </c>
      <c r="BA316" s="45">
        <f>INDEX(Table5[[#All],[Pick]],MATCH(Batters[[#This Row],[PID]],Table5[[#All],[PID]],0))</f>
        <v>16</v>
      </c>
      <c r="BB316" s="45" t="str">
        <f>INDEX(Table5[[#All],[Team]],MATCH(Batters[[#This Row],[PID]],Table5[[#All],[PID]],0))</f>
        <v>San Antonio Calzones of Laredo</v>
      </c>
    </row>
    <row r="317" spans="1:54" ht="15" customHeight="1" x14ac:dyDescent="0.25">
      <c r="A317" s="40">
        <v>18332</v>
      </c>
      <c r="B317" s="40" t="s">
        <v>87</v>
      </c>
      <c r="C317" s="40" t="s">
        <v>1055</v>
      </c>
      <c r="D317" s="40" t="s">
        <v>1278</v>
      </c>
      <c r="E317" s="40">
        <v>18</v>
      </c>
      <c r="F317" s="40" t="s">
        <v>42</v>
      </c>
      <c r="G317" s="40" t="s">
        <v>42</v>
      </c>
      <c r="H317" s="41" t="s">
        <v>639</v>
      </c>
      <c r="I317" s="65" t="s">
        <v>44</v>
      </c>
      <c r="J317" s="66" t="s">
        <v>43</v>
      </c>
      <c r="K317" s="67" t="s">
        <v>43</v>
      </c>
      <c r="L317" s="40">
        <v>1</v>
      </c>
      <c r="M317" s="40">
        <v>2</v>
      </c>
      <c r="N317" s="40">
        <v>3</v>
      </c>
      <c r="O317" s="40">
        <v>2</v>
      </c>
      <c r="P317" s="41">
        <v>1</v>
      </c>
      <c r="Q317" s="40">
        <v>3</v>
      </c>
      <c r="R317" s="40">
        <v>4</v>
      </c>
      <c r="S317" s="40">
        <v>4</v>
      </c>
      <c r="T317" s="40">
        <v>5</v>
      </c>
      <c r="U317" s="41">
        <v>3</v>
      </c>
      <c r="V317" s="40">
        <v>2</v>
      </c>
      <c r="W317" s="40">
        <v>2</v>
      </c>
      <c r="X317" s="40">
        <v>3</v>
      </c>
      <c r="Y317" s="41">
        <v>4</v>
      </c>
      <c r="Z317" s="40" t="s">
        <v>45</v>
      </c>
      <c r="AA317" s="40">
        <v>1</v>
      </c>
      <c r="AB317" s="40" t="s">
        <v>45</v>
      </c>
      <c r="AC317" s="40" t="s">
        <v>45</v>
      </c>
      <c r="AD317" s="40" t="s">
        <v>45</v>
      </c>
      <c r="AE317" s="40" t="s">
        <v>45</v>
      </c>
      <c r="AF317" s="40" t="s">
        <v>45</v>
      </c>
      <c r="AG317" s="41" t="s">
        <v>45</v>
      </c>
      <c r="AH317" s="40">
        <v>1</v>
      </c>
      <c r="AI317" s="40">
        <v>3</v>
      </c>
      <c r="AJ317" s="41">
        <v>1</v>
      </c>
      <c r="AK317" s="43" t="s">
        <v>644</v>
      </c>
      <c r="AL317" s="43"/>
      <c r="AM317" s="44">
        <f t="shared" si="29"/>
        <v>-1.7774509321514844</v>
      </c>
      <c r="AN317" s="44">
        <f t="shared" si="30"/>
        <v>-0.59799667682191648</v>
      </c>
      <c r="AO317" s="45">
        <f t="shared" si="31"/>
        <v>0</v>
      </c>
      <c r="AP317" s="46">
        <f t="shared" si="32"/>
        <v>0</v>
      </c>
      <c r="AQ317" s="44">
        <f>($AM$3*AM317+$AN$3*AN317+$AO$3*AO317+$AP$3*AP317)+$I$3*VLOOKUP(I317,COND!$A$2:$E$7,4,FALSE)+$J$3*VLOOKUP(J317,COND!$A$2:$C$7,2,FALSE)+$K$3*VLOOKUP(K317,COND!$A$2:$C$7,3,FALSE)+IF(AND($B$2&gt;0,$E317&lt;20),$B$2*25,0)</f>
        <v>42.496294784921858</v>
      </c>
      <c r="AR317" s="47">
        <f t="shared" si="33"/>
        <v>-0.36263353840276341</v>
      </c>
      <c r="AS317" s="45" t="str">
        <f t="shared" si="34"/>
        <v>1B</v>
      </c>
      <c r="AT317" s="45">
        <f>RANK(Batters[[#This Row],[zScore]],Batters[[#All],[zScore]])</f>
        <v>313</v>
      </c>
      <c r="AU317" s="45"/>
      <c r="AV317" s="45"/>
      <c r="AW317" s="45" t="str">
        <f t="shared" si="35"/>
        <v>Unlikely</v>
      </c>
      <c r="AX317" s="45"/>
      <c r="AY317" s="64" t="str">
        <f>INDEX(Table5[[#All],[Ovr]],MATCH(Batters[[#This Row],[PID]],Table5[[#All],[PID]],0))</f>
        <v/>
      </c>
      <c r="AZ317" s="64" t="str">
        <f>INDEX(Table5[[#All],[Rnd]],MATCH(Batters[[#This Row],[PID]],Table5[[#All],[PID]],0))</f>
        <v/>
      </c>
      <c r="BA317" s="64" t="str">
        <f>INDEX(Table5[[#All],[Pick]],MATCH(Batters[[#This Row],[PID]],Table5[[#All],[PID]],0))</f>
        <v/>
      </c>
      <c r="BB317" s="64" t="str">
        <f>INDEX(Table5[[#All],[Team]],MATCH(Batters[[#This Row],[PID]],Table5[[#All],[PID]],0))</f>
        <v/>
      </c>
    </row>
    <row r="318" spans="1:54" ht="15" customHeight="1" x14ac:dyDescent="0.25">
      <c r="A318" s="40">
        <v>18425</v>
      </c>
      <c r="B318" s="40" t="s">
        <v>86</v>
      </c>
      <c r="C318" s="40" t="s">
        <v>524</v>
      </c>
      <c r="D318" s="40" t="s">
        <v>1563</v>
      </c>
      <c r="E318" s="40">
        <v>18</v>
      </c>
      <c r="F318" s="40" t="s">
        <v>42</v>
      </c>
      <c r="G318" s="40" t="s">
        <v>42</v>
      </c>
      <c r="H318" s="41" t="s">
        <v>638</v>
      </c>
      <c r="I318" s="65" t="s">
        <v>43</v>
      </c>
      <c r="J318" s="66" t="s">
        <v>47</v>
      </c>
      <c r="K318" s="67" t="s">
        <v>43</v>
      </c>
      <c r="L318" s="40">
        <v>1</v>
      </c>
      <c r="M318" s="40">
        <v>3</v>
      </c>
      <c r="N318" s="40">
        <v>3</v>
      </c>
      <c r="O318" s="40">
        <v>1</v>
      </c>
      <c r="P318" s="41">
        <v>1</v>
      </c>
      <c r="Q318" s="40">
        <v>3</v>
      </c>
      <c r="R318" s="40">
        <v>5</v>
      </c>
      <c r="S318" s="40">
        <v>4</v>
      </c>
      <c r="T318" s="40">
        <v>4</v>
      </c>
      <c r="U318" s="41">
        <v>3</v>
      </c>
      <c r="V318" s="40">
        <v>4</v>
      </c>
      <c r="W318" s="40">
        <v>4</v>
      </c>
      <c r="X318" s="40">
        <v>5</v>
      </c>
      <c r="Y318" s="41">
        <v>6</v>
      </c>
      <c r="Z318" s="40" t="s">
        <v>45</v>
      </c>
      <c r="AA318" s="40" t="s">
        <v>45</v>
      </c>
      <c r="AB318" s="40" t="s">
        <v>45</v>
      </c>
      <c r="AC318" s="40" t="s">
        <v>45</v>
      </c>
      <c r="AD318" s="40" t="s">
        <v>45</v>
      </c>
      <c r="AE318" s="40" t="s">
        <v>45</v>
      </c>
      <c r="AF318" s="40" t="s">
        <v>45</v>
      </c>
      <c r="AG318" s="41" t="s">
        <v>45</v>
      </c>
      <c r="AH318" s="40">
        <v>1</v>
      </c>
      <c r="AI318" s="40">
        <v>3</v>
      </c>
      <c r="AJ318" s="41">
        <v>3</v>
      </c>
      <c r="AK318" s="43" t="s">
        <v>644</v>
      </c>
      <c r="AL318" s="43" t="s">
        <v>47</v>
      </c>
      <c r="AM318" s="44">
        <f t="shared" si="29"/>
        <v>-1.8161006025423621</v>
      </c>
      <c r="AN318" s="44">
        <f t="shared" si="30"/>
        <v>-0.63664634721279401</v>
      </c>
      <c r="AO318" s="45">
        <f t="shared" si="31"/>
        <v>0</v>
      </c>
      <c r="AP318" s="46">
        <f t="shared" si="32"/>
        <v>0</v>
      </c>
      <c r="AQ318" s="44">
        <f>($AM$3*AM318+$AN$3*AN318+$AO$3*AO318+$AP$3*AP318)+$I$3*VLOOKUP(I318,COND!$A$2:$E$7,4,FALSE)+$J$3*VLOOKUP(J318,COND!$A$2:$C$7,2,FALSE)+$K$3*VLOOKUP(K318,COND!$A$2:$C$7,3,FALSE)+IF(AND($B$2&gt;0,$E318&lt;20),$B$2*25,0)</f>
        <v>42.478633773192236</v>
      </c>
      <c r="AR318" s="47">
        <f t="shared" si="33"/>
        <v>-0.36654910408058083</v>
      </c>
      <c r="AS318" s="45" t="str">
        <f t="shared" si="34"/>
        <v>DH</v>
      </c>
      <c r="AT318" s="45">
        <f>RANK(Batters[[#This Row],[zScore]],Batters[[#All],[zScore]])</f>
        <v>314</v>
      </c>
      <c r="AU318" s="45"/>
      <c r="AV318" s="45"/>
      <c r="AW318" s="45" t="str">
        <f t="shared" si="35"/>
        <v>Unlikely</v>
      </c>
      <c r="AX318" s="45"/>
      <c r="AY318" s="45" t="str">
        <f>INDEX(Table5[[#All],[Ovr]],MATCH(Batters[[#This Row],[PID]],Table5[[#All],[PID]],0))</f>
        <v/>
      </c>
      <c r="AZ318" s="45" t="str">
        <f>INDEX(Table5[[#All],[Rnd]],MATCH(Batters[[#This Row],[PID]],Table5[[#All],[PID]],0))</f>
        <v/>
      </c>
      <c r="BA318" s="45" t="str">
        <f>INDEX(Table5[[#All],[Pick]],MATCH(Batters[[#This Row],[PID]],Table5[[#All],[PID]],0))</f>
        <v/>
      </c>
      <c r="BB318" s="45" t="str">
        <f>INDEX(Table5[[#All],[Team]],MATCH(Batters[[#This Row],[PID]],Table5[[#All],[PID]],0))</f>
        <v/>
      </c>
    </row>
    <row r="319" spans="1:54" ht="15" customHeight="1" x14ac:dyDescent="0.25">
      <c r="A319" s="40">
        <v>13593</v>
      </c>
      <c r="B319" s="40" t="s">
        <v>72</v>
      </c>
      <c r="C319" s="40" t="s">
        <v>159</v>
      </c>
      <c r="D319" s="40" t="s">
        <v>1257</v>
      </c>
      <c r="E319" s="40">
        <v>18</v>
      </c>
      <c r="F319" s="40" t="s">
        <v>53</v>
      </c>
      <c r="G319" s="40" t="s">
        <v>42</v>
      </c>
      <c r="H319" s="41" t="s">
        <v>634</v>
      </c>
      <c r="I319" s="65" t="s">
        <v>43</v>
      </c>
      <c r="J319" s="66" t="s">
        <v>44</v>
      </c>
      <c r="K319" s="67" t="s">
        <v>43</v>
      </c>
      <c r="L319" s="40">
        <v>1</v>
      </c>
      <c r="M319" s="40">
        <v>2</v>
      </c>
      <c r="N319" s="40">
        <v>2</v>
      </c>
      <c r="O319" s="40">
        <v>2</v>
      </c>
      <c r="P319" s="41">
        <v>1</v>
      </c>
      <c r="Q319" s="40">
        <v>3</v>
      </c>
      <c r="R319" s="40">
        <v>4</v>
      </c>
      <c r="S319" s="40">
        <v>2</v>
      </c>
      <c r="T319" s="40">
        <v>5</v>
      </c>
      <c r="U319" s="41">
        <v>5</v>
      </c>
      <c r="V319" s="40">
        <v>6</v>
      </c>
      <c r="W319" s="40">
        <v>6</v>
      </c>
      <c r="X319" s="40">
        <v>1</v>
      </c>
      <c r="Y319" s="41">
        <v>1</v>
      </c>
      <c r="Z319" s="40" t="s">
        <v>45</v>
      </c>
      <c r="AA319" s="40" t="s">
        <v>45</v>
      </c>
      <c r="AB319" s="40" t="s">
        <v>45</v>
      </c>
      <c r="AC319" s="40" t="s">
        <v>45</v>
      </c>
      <c r="AD319" s="40">
        <v>6</v>
      </c>
      <c r="AE319" s="40" t="s">
        <v>45</v>
      </c>
      <c r="AF319" s="40" t="s">
        <v>45</v>
      </c>
      <c r="AG319" s="41" t="s">
        <v>45</v>
      </c>
      <c r="AH319" s="40">
        <v>9</v>
      </c>
      <c r="AI319" s="40">
        <v>5</v>
      </c>
      <c r="AJ319" s="41">
        <v>1</v>
      </c>
      <c r="AK319" s="43" t="s">
        <v>644</v>
      </c>
      <c r="AL319" s="43" t="s">
        <v>635</v>
      </c>
      <c r="AM319" s="44">
        <f t="shared" si="29"/>
        <v>-1.8605124261753858</v>
      </c>
      <c r="AN319" s="44">
        <f t="shared" si="30"/>
        <v>-0.68408698523555256</v>
      </c>
      <c r="AO319" s="45">
        <f t="shared" si="31"/>
        <v>1</v>
      </c>
      <c r="AP319" s="46">
        <f t="shared" si="32"/>
        <v>1</v>
      </c>
      <c r="AQ319" s="44">
        <f>($AM$3*AM319+$AN$3*AN319+$AO$3*AO319+$AP$3*AP319)+$I$3*VLOOKUP(I319,COND!$A$2:$E$7,4,FALSE)+$J$3*VLOOKUP(J319,COND!$A$2:$C$7,2,FALSE)+$K$3*VLOOKUP(K319,COND!$A$2:$C$7,3,FALSE)+IF(AND($B$2&gt;0,$E319&lt;20),$B$2*25,0)</f>
        <v>42.471571601222493</v>
      </c>
      <c r="AR319" s="47">
        <f t="shared" si="33"/>
        <v>-0.36811483534212508</v>
      </c>
      <c r="AS319" s="45" t="str">
        <f t="shared" si="34"/>
        <v>SS</v>
      </c>
      <c r="AT319" s="45">
        <f>RANK(Batters[[#This Row],[zScore]],Batters[[#All],[zScore]])</f>
        <v>315</v>
      </c>
      <c r="AU319" s="45"/>
      <c r="AV319" s="45"/>
      <c r="AW319" s="45" t="str">
        <f t="shared" si="35"/>
        <v>Unlikely</v>
      </c>
      <c r="AX319" s="45"/>
      <c r="AY319" s="45">
        <f>INDEX(Table5[[#All],[Ovr]],MATCH(Batters[[#This Row],[PID]],Table5[[#All],[PID]],0))</f>
        <v>381</v>
      </c>
      <c r="AZ319" s="45" t="str">
        <f>INDEX(Table5[[#All],[Rnd]],MATCH(Batters[[#This Row],[PID]],Table5[[#All],[PID]],0))</f>
        <v>13</v>
      </c>
      <c r="BA319" s="45">
        <f>INDEX(Table5[[#All],[Pick]],MATCH(Batters[[#This Row],[PID]],Table5[[#All],[PID]],0))</f>
        <v>13</v>
      </c>
      <c r="BB319" s="45" t="str">
        <f>INDEX(Table5[[#All],[Team]],MATCH(Batters[[#This Row],[PID]],Table5[[#All],[PID]],0))</f>
        <v>Reno Zephyrs</v>
      </c>
    </row>
    <row r="320" spans="1:54" ht="15" customHeight="1" x14ac:dyDescent="0.25">
      <c r="A320" s="40">
        <v>14002</v>
      </c>
      <c r="B320" s="40" t="s">
        <v>66</v>
      </c>
      <c r="C320" s="40" t="s">
        <v>698</v>
      </c>
      <c r="D320" s="40" t="s">
        <v>1702</v>
      </c>
      <c r="E320" s="40">
        <v>18</v>
      </c>
      <c r="F320" s="40" t="s">
        <v>53</v>
      </c>
      <c r="G320" s="40" t="s">
        <v>53</v>
      </c>
      <c r="H320" s="41" t="s">
        <v>647</v>
      </c>
      <c r="I320" s="65" t="s">
        <v>43</v>
      </c>
      <c r="J320" s="66" t="s">
        <v>43</v>
      </c>
      <c r="K320" s="67" t="s">
        <v>43</v>
      </c>
      <c r="L320" s="40">
        <v>1</v>
      </c>
      <c r="M320" s="40">
        <v>1</v>
      </c>
      <c r="N320" s="40">
        <v>2</v>
      </c>
      <c r="O320" s="40">
        <v>2</v>
      </c>
      <c r="P320" s="41">
        <v>2</v>
      </c>
      <c r="Q320" s="40">
        <v>3</v>
      </c>
      <c r="R320" s="40">
        <v>4</v>
      </c>
      <c r="S320" s="40">
        <v>3</v>
      </c>
      <c r="T320" s="40">
        <v>5</v>
      </c>
      <c r="U320" s="41">
        <v>4</v>
      </c>
      <c r="V320" s="40">
        <v>3</v>
      </c>
      <c r="W320" s="40">
        <v>6</v>
      </c>
      <c r="X320" s="40">
        <v>1</v>
      </c>
      <c r="Y320" s="41">
        <v>1</v>
      </c>
      <c r="Z320" s="40" t="s">
        <v>45</v>
      </c>
      <c r="AA320" s="40" t="s">
        <v>45</v>
      </c>
      <c r="AB320" s="40" t="s">
        <v>45</v>
      </c>
      <c r="AC320" s="40" t="s">
        <v>45</v>
      </c>
      <c r="AD320" s="40" t="s">
        <v>45</v>
      </c>
      <c r="AE320" s="40">
        <v>1</v>
      </c>
      <c r="AF320" s="40" t="s">
        <v>45</v>
      </c>
      <c r="AG320" s="41">
        <v>1</v>
      </c>
      <c r="AH320" s="40">
        <v>7</v>
      </c>
      <c r="AI320" s="40">
        <v>8</v>
      </c>
      <c r="AJ320" s="41">
        <v>6</v>
      </c>
      <c r="AK320" s="43" t="s">
        <v>573</v>
      </c>
      <c r="AL320" s="43"/>
      <c r="AM320" s="44">
        <f t="shared" si="29"/>
        <v>-1.871555965977006</v>
      </c>
      <c r="AN320" s="44">
        <f t="shared" si="30"/>
        <v>-0.64104183102873458</v>
      </c>
      <c r="AO320" s="45">
        <f t="shared" si="31"/>
        <v>2</v>
      </c>
      <c r="AP320" s="46">
        <f t="shared" si="32"/>
        <v>0</v>
      </c>
      <c r="AQ320" s="44">
        <f>($AM$3*AM320+$AN$3*AN320+$AO$3*AO320+$AP$3*AP320)+$I$3*VLOOKUP(I320,COND!$A$2:$E$7,4,FALSE)+$J$3*VLOOKUP(J320,COND!$A$2:$C$7,2,FALSE)+$K$3*VLOOKUP(K320,COND!$A$2:$C$7,3,FALSE)+IF(AND($B$2&gt;0,$E320&lt;20),$B$2*25,0)</f>
        <v>42.453675764390816</v>
      </c>
      <c r="AR320" s="47">
        <f t="shared" si="33"/>
        <v>-0.37208246333233846</v>
      </c>
      <c r="AS320" s="45" t="str">
        <f t="shared" si="34"/>
        <v>RF</v>
      </c>
      <c r="AT320" s="45">
        <f>RANK(Batters[[#This Row],[zScore]],Batters[[#All],[zScore]])</f>
        <v>316</v>
      </c>
      <c r="AU320" s="45"/>
      <c r="AV320" s="45"/>
      <c r="AW320" s="45" t="str">
        <f t="shared" si="35"/>
        <v>Unlikely</v>
      </c>
      <c r="AX320" s="45"/>
      <c r="AY320" s="64" t="str">
        <f>INDEX(Table5[[#All],[Ovr]],MATCH(Batters[[#This Row],[PID]],Table5[[#All],[PID]],0))</f>
        <v/>
      </c>
      <c r="AZ320" s="64" t="str">
        <f>INDEX(Table5[[#All],[Rnd]],MATCH(Batters[[#This Row],[PID]],Table5[[#All],[PID]],0))</f>
        <v/>
      </c>
      <c r="BA320" s="64" t="str">
        <f>INDEX(Table5[[#All],[Pick]],MATCH(Batters[[#This Row],[PID]],Table5[[#All],[PID]],0))</f>
        <v/>
      </c>
      <c r="BB320" s="64" t="str">
        <f>INDEX(Table5[[#All],[Team]],MATCH(Batters[[#This Row],[PID]],Table5[[#All],[PID]],0))</f>
        <v/>
      </c>
    </row>
    <row r="321" spans="1:54" ht="15" customHeight="1" x14ac:dyDescent="0.25">
      <c r="A321" s="40">
        <v>18342</v>
      </c>
      <c r="B321" s="40" t="s">
        <v>71</v>
      </c>
      <c r="C321" s="40" t="s">
        <v>532</v>
      </c>
      <c r="D321" s="40" t="s">
        <v>1095</v>
      </c>
      <c r="E321" s="40">
        <v>18</v>
      </c>
      <c r="F321" s="40" t="s">
        <v>42</v>
      </c>
      <c r="G321" s="40" t="s">
        <v>42</v>
      </c>
      <c r="H321" s="41" t="s">
        <v>639</v>
      </c>
      <c r="I321" s="65" t="s">
        <v>43</v>
      </c>
      <c r="J321" s="66" t="s">
        <v>44</v>
      </c>
      <c r="K321" s="67" t="s">
        <v>43</v>
      </c>
      <c r="L321" s="40">
        <v>1</v>
      </c>
      <c r="M321" s="40">
        <v>2</v>
      </c>
      <c r="N321" s="40">
        <v>2</v>
      </c>
      <c r="O321" s="40">
        <v>1</v>
      </c>
      <c r="P321" s="41">
        <v>2</v>
      </c>
      <c r="Q321" s="40">
        <v>4</v>
      </c>
      <c r="R321" s="40">
        <v>5</v>
      </c>
      <c r="S321" s="40">
        <v>2</v>
      </c>
      <c r="T321" s="40">
        <v>1</v>
      </c>
      <c r="U321" s="41">
        <v>7</v>
      </c>
      <c r="V321" s="40">
        <v>3</v>
      </c>
      <c r="W321" s="40">
        <v>1</v>
      </c>
      <c r="X321" s="40">
        <v>1</v>
      </c>
      <c r="Y321" s="41">
        <v>1</v>
      </c>
      <c r="Z321" s="40" t="s">
        <v>45</v>
      </c>
      <c r="AA321" s="40" t="s">
        <v>45</v>
      </c>
      <c r="AB321" s="40" t="s">
        <v>45</v>
      </c>
      <c r="AC321" s="40" t="s">
        <v>45</v>
      </c>
      <c r="AD321" s="40" t="s">
        <v>45</v>
      </c>
      <c r="AE321" s="40" t="s">
        <v>45</v>
      </c>
      <c r="AF321" s="40" t="s">
        <v>45</v>
      </c>
      <c r="AG321" s="41" t="s">
        <v>45</v>
      </c>
      <c r="AH321" s="40">
        <v>3</v>
      </c>
      <c r="AI321" s="40">
        <v>4</v>
      </c>
      <c r="AJ321" s="41">
        <v>5</v>
      </c>
      <c r="AK321" s="43" t="s">
        <v>663</v>
      </c>
      <c r="AL321" s="43"/>
      <c r="AM321" s="44">
        <f t="shared" si="29"/>
        <v>-1.9102056363678834</v>
      </c>
      <c r="AN321" s="44">
        <f t="shared" si="30"/>
        <v>-0.58927678981833176</v>
      </c>
      <c r="AO321" s="45">
        <f t="shared" si="31"/>
        <v>0</v>
      </c>
      <c r="AP321" s="46">
        <f t="shared" si="32"/>
        <v>0</v>
      </c>
      <c r="AQ321" s="44">
        <f>($AM$3*AM321+$AN$3*AN321+$AO$3*AO321+$AP$3*AP321)+$I$3*VLOOKUP(I321,COND!$A$2:$E$7,4,FALSE)+$J$3*VLOOKUP(J321,COND!$A$2:$C$7,2,FALSE)+$K$3*VLOOKUP(K321,COND!$A$2:$C$7,3,FALSE)+IF(AND($B$2&gt;0,$E321&lt;20),$B$2*25,0)</f>
        <v>42.437657958543227</v>
      </c>
      <c r="AR321" s="47">
        <f t="shared" si="33"/>
        <v>-0.37563371915906829</v>
      </c>
      <c r="AS321" s="45" t="str">
        <f t="shared" si="34"/>
        <v>DH</v>
      </c>
      <c r="AT321" s="45">
        <f>RANK(Batters[[#This Row],[zScore]],Batters[[#All],[zScore]])</f>
        <v>317</v>
      </c>
      <c r="AU321" s="45"/>
      <c r="AV321" s="45"/>
      <c r="AW321" s="45" t="str">
        <f t="shared" si="35"/>
        <v>Unlikely</v>
      </c>
      <c r="AX321" s="45"/>
      <c r="AY321" s="64">
        <f>INDEX(Table5[[#All],[Ovr]],MATCH(Batters[[#This Row],[PID]],Table5[[#All],[PID]],0))</f>
        <v>389</v>
      </c>
      <c r="AZ321" s="64" t="str">
        <f>INDEX(Table5[[#All],[Rnd]],MATCH(Batters[[#This Row],[PID]],Table5[[#All],[PID]],0))</f>
        <v>13</v>
      </c>
      <c r="BA321" s="64">
        <f>INDEX(Table5[[#All],[Pick]],MATCH(Batters[[#This Row],[PID]],Table5[[#All],[PID]],0))</f>
        <v>21</v>
      </c>
      <c r="BB321" s="64" t="str">
        <f>INDEX(Table5[[#All],[Team]],MATCH(Batters[[#This Row],[PID]],Table5[[#All],[PID]],0))</f>
        <v>Crystal Lake Sandgnats</v>
      </c>
    </row>
    <row r="322" spans="1:54" ht="15" customHeight="1" x14ac:dyDescent="0.25">
      <c r="A322" s="40">
        <v>20663</v>
      </c>
      <c r="B322" s="40" t="s">
        <v>86</v>
      </c>
      <c r="C322" s="40" t="s">
        <v>1542</v>
      </c>
      <c r="D322" s="40" t="s">
        <v>1320</v>
      </c>
      <c r="E322" s="40">
        <v>17</v>
      </c>
      <c r="F322" s="40" t="s">
        <v>42</v>
      </c>
      <c r="G322" s="40" t="s">
        <v>42</v>
      </c>
      <c r="H322" s="41" t="s">
        <v>638</v>
      </c>
      <c r="I322" s="65" t="s">
        <v>43</v>
      </c>
      <c r="J322" s="66" t="s">
        <v>44</v>
      </c>
      <c r="K322" s="67" t="s">
        <v>43</v>
      </c>
      <c r="L322" s="40">
        <v>1</v>
      </c>
      <c r="M322" s="40">
        <v>2</v>
      </c>
      <c r="N322" s="40">
        <v>2</v>
      </c>
      <c r="O322" s="40">
        <v>3</v>
      </c>
      <c r="P322" s="41">
        <v>1</v>
      </c>
      <c r="Q322" s="40">
        <v>3</v>
      </c>
      <c r="R322" s="40">
        <v>4</v>
      </c>
      <c r="S322" s="40">
        <v>3</v>
      </c>
      <c r="T322" s="40">
        <v>6</v>
      </c>
      <c r="U322" s="41">
        <v>3</v>
      </c>
      <c r="V322" s="40">
        <v>2</v>
      </c>
      <c r="W322" s="40">
        <v>2</v>
      </c>
      <c r="X322" s="40">
        <v>3</v>
      </c>
      <c r="Y322" s="41">
        <v>5</v>
      </c>
      <c r="Z322" s="40" t="s">
        <v>45</v>
      </c>
      <c r="AA322" s="40" t="s">
        <v>45</v>
      </c>
      <c r="AB322" s="40" t="s">
        <v>45</v>
      </c>
      <c r="AC322" s="40" t="s">
        <v>45</v>
      </c>
      <c r="AD322" s="40" t="s">
        <v>45</v>
      </c>
      <c r="AE322" s="40" t="s">
        <v>45</v>
      </c>
      <c r="AF322" s="40" t="s">
        <v>45</v>
      </c>
      <c r="AG322" s="41" t="s">
        <v>45</v>
      </c>
      <c r="AH322" s="40">
        <v>1</v>
      </c>
      <c r="AI322" s="40">
        <v>1</v>
      </c>
      <c r="AJ322" s="41">
        <v>1</v>
      </c>
      <c r="AK322" s="43" t="s">
        <v>644</v>
      </c>
      <c r="AL322" s="43" t="s">
        <v>47</v>
      </c>
      <c r="AM322" s="44">
        <f t="shared" si="29"/>
        <v>-1.7708028761658048</v>
      </c>
      <c r="AN322" s="44">
        <f t="shared" si="30"/>
        <v>-0.59134862083623696</v>
      </c>
      <c r="AO322" s="45">
        <f t="shared" si="31"/>
        <v>0</v>
      </c>
      <c r="AP322" s="46">
        <f t="shared" si="32"/>
        <v>0</v>
      </c>
      <c r="AQ322" s="44">
        <f>($AM$3*AM322+$AN$3*AN322+$AO$3*AO322+$AP$3*AP322)+$I$3*VLOOKUP(I322,COND!$A$2:$E$7,4,FALSE)+$J$3*VLOOKUP(J322,COND!$A$2:$C$7,2,FALSE)+$K$3*VLOOKUP(K322,COND!$A$2:$C$7,3,FALSE)+IF(AND($B$2&gt;0,$E322&lt;20),$B$2*25,0)</f>
        <v>42.426736262348577</v>
      </c>
      <c r="AR322" s="47">
        <f t="shared" si="33"/>
        <v>-0.3780551330292371</v>
      </c>
      <c r="AS322" s="45" t="str">
        <f t="shared" si="34"/>
        <v>DH</v>
      </c>
      <c r="AT322" s="45">
        <f>RANK(Batters[[#This Row],[zScore]],Batters[[#All],[zScore]])</f>
        <v>318</v>
      </c>
      <c r="AU322" s="45"/>
      <c r="AV322" s="45"/>
      <c r="AW322" s="45" t="str">
        <f t="shared" si="35"/>
        <v>Unlikely</v>
      </c>
      <c r="AX322" s="45"/>
      <c r="AY322" s="45" t="str">
        <f>INDEX(Table5[[#All],[Ovr]],MATCH(Batters[[#This Row],[PID]],Table5[[#All],[PID]],0))</f>
        <v/>
      </c>
      <c r="AZ322" s="45" t="str">
        <f>INDEX(Table5[[#All],[Rnd]],MATCH(Batters[[#This Row],[PID]],Table5[[#All],[PID]],0))</f>
        <v/>
      </c>
      <c r="BA322" s="45" t="str">
        <f>INDEX(Table5[[#All],[Pick]],MATCH(Batters[[#This Row],[PID]],Table5[[#All],[PID]],0))</f>
        <v/>
      </c>
      <c r="BB322" s="45" t="str">
        <f>INDEX(Table5[[#All],[Team]],MATCH(Batters[[#This Row],[PID]],Table5[[#All],[PID]],0))</f>
        <v/>
      </c>
    </row>
    <row r="323" spans="1:54" ht="15" customHeight="1" x14ac:dyDescent="0.25">
      <c r="A323" s="40">
        <v>20791</v>
      </c>
      <c r="B323" s="40" t="s">
        <v>71</v>
      </c>
      <c r="C323" s="40" t="s">
        <v>165</v>
      </c>
      <c r="D323" s="40" t="s">
        <v>696</v>
      </c>
      <c r="E323" s="40">
        <v>17</v>
      </c>
      <c r="F323" s="40" t="s">
        <v>42</v>
      </c>
      <c r="G323" s="40" t="s">
        <v>42</v>
      </c>
      <c r="H323" s="41" t="s">
        <v>638</v>
      </c>
      <c r="I323" s="65" t="s">
        <v>43</v>
      </c>
      <c r="J323" s="66" t="s">
        <v>44</v>
      </c>
      <c r="K323" s="67" t="s">
        <v>43</v>
      </c>
      <c r="L323" s="40">
        <v>1</v>
      </c>
      <c r="M323" s="40">
        <v>1</v>
      </c>
      <c r="N323" s="40">
        <v>2</v>
      </c>
      <c r="O323" s="40">
        <v>2</v>
      </c>
      <c r="P323" s="41">
        <v>1</v>
      </c>
      <c r="Q323" s="40">
        <v>3</v>
      </c>
      <c r="R323" s="40">
        <v>4</v>
      </c>
      <c r="S323" s="40">
        <v>3</v>
      </c>
      <c r="T323" s="40">
        <v>6</v>
      </c>
      <c r="U323" s="41">
        <v>3</v>
      </c>
      <c r="V323" s="40">
        <v>5</v>
      </c>
      <c r="W323" s="40">
        <v>4</v>
      </c>
      <c r="X323" s="40">
        <v>1</v>
      </c>
      <c r="Y323" s="41">
        <v>1</v>
      </c>
      <c r="Z323" s="40" t="s">
        <v>45</v>
      </c>
      <c r="AA323" s="40" t="s">
        <v>45</v>
      </c>
      <c r="AB323" s="40">
        <v>2</v>
      </c>
      <c r="AC323" s="40" t="s">
        <v>45</v>
      </c>
      <c r="AD323" s="40">
        <v>1</v>
      </c>
      <c r="AE323" s="40">
        <v>1</v>
      </c>
      <c r="AF323" s="40" t="s">
        <v>45</v>
      </c>
      <c r="AG323" s="41" t="s">
        <v>45</v>
      </c>
      <c r="AH323" s="40">
        <v>7</v>
      </c>
      <c r="AI323" s="40">
        <v>2</v>
      </c>
      <c r="AJ323" s="41">
        <v>2</v>
      </c>
      <c r="AK323" s="43" t="s">
        <v>644</v>
      </c>
      <c r="AL323" s="43" t="s">
        <v>47</v>
      </c>
      <c r="AM323" s="44">
        <f t="shared" si="29"/>
        <v>-1.9115723057940897</v>
      </c>
      <c r="AN323" s="44">
        <f t="shared" si="30"/>
        <v>-0.59134862083623696</v>
      </c>
      <c r="AO323" s="45">
        <f t="shared" si="31"/>
        <v>0</v>
      </c>
      <c r="AP323" s="46">
        <f t="shared" si="32"/>
        <v>0</v>
      </c>
      <c r="AQ323" s="44">
        <f>($AM$3*AM323+$AN$3*AN323+$AO$3*AO323+$AP$3*AP323)+$I$3*VLOOKUP(I323,COND!$A$2:$E$7,4,FALSE)+$J$3*VLOOKUP(J323,COND!$A$2:$C$7,2,FALSE)+$K$3*VLOOKUP(K323,COND!$A$2:$C$7,3,FALSE)+IF(AND($B$2&gt;0,$E323&lt;20),$B$2*25,0)</f>
        <v>42.412659319385746</v>
      </c>
      <c r="AR323" s="47">
        <f t="shared" si="33"/>
        <v>-0.38117608643540035</v>
      </c>
      <c r="AS323" s="45" t="str">
        <f t="shared" si="34"/>
        <v>2B</v>
      </c>
      <c r="AT323" s="45">
        <f>RANK(Batters[[#This Row],[zScore]],Batters[[#All],[zScore]])</f>
        <v>319</v>
      </c>
      <c r="AU323" s="45"/>
      <c r="AV323" s="45"/>
      <c r="AW323" s="45" t="str">
        <f t="shared" si="35"/>
        <v>Unlikely</v>
      </c>
      <c r="AX323" s="45"/>
      <c r="AY323" s="45" t="str">
        <f>INDEX(Table5[[#All],[Ovr]],MATCH(Batters[[#This Row],[PID]],Table5[[#All],[PID]],0))</f>
        <v/>
      </c>
      <c r="AZ323" s="45" t="str">
        <f>INDEX(Table5[[#All],[Rnd]],MATCH(Batters[[#This Row],[PID]],Table5[[#All],[PID]],0))</f>
        <v/>
      </c>
      <c r="BA323" s="45" t="str">
        <f>INDEX(Table5[[#All],[Pick]],MATCH(Batters[[#This Row],[PID]],Table5[[#All],[PID]],0))</f>
        <v/>
      </c>
      <c r="BB323" s="45" t="str">
        <f>INDEX(Table5[[#All],[Team]],MATCH(Batters[[#This Row],[PID]],Table5[[#All],[PID]],0))</f>
        <v/>
      </c>
    </row>
    <row r="324" spans="1:54" ht="15" customHeight="1" x14ac:dyDescent="0.25">
      <c r="A324" s="40">
        <v>20821</v>
      </c>
      <c r="B324" s="40" t="s">
        <v>66</v>
      </c>
      <c r="C324" s="40" t="s">
        <v>1301</v>
      </c>
      <c r="D324" s="40" t="s">
        <v>133</v>
      </c>
      <c r="E324" s="40">
        <v>17</v>
      </c>
      <c r="F324" s="40" t="s">
        <v>53</v>
      </c>
      <c r="G324" s="40" t="s">
        <v>53</v>
      </c>
      <c r="H324" s="41" t="s">
        <v>638</v>
      </c>
      <c r="I324" s="65" t="s">
        <v>43</v>
      </c>
      <c r="J324" s="66" t="s">
        <v>43</v>
      </c>
      <c r="K324" s="67" t="s">
        <v>43</v>
      </c>
      <c r="L324" s="40">
        <v>1</v>
      </c>
      <c r="M324" s="40">
        <v>1</v>
      </c>
      <c r="N324" s="40">
        <v>2</v>
      </c>
      <c r="O324" s="40">
        <v>1</v>
      </c>
      <c r="P324" s="41">
        <v>1</v>
      </c>
      <c r="Q324" s="40">
        <v>3</v>
      </c>
      <c r="R324" s="40">
        <v>2</v>
      </c>
      <c r="S324" s="40">
        <v>5</v>
      </c>
      <c r="T324" s="40">
        <v>5</v>
      </c>
      <c r="U324" s="41">
        <v>3</v>
      </c>
      <c r="V324" s="40">
        <v>7</v>
      </c>
      <c r="W324" s="40">
        <v>7</v>
      </c>
      <c r="X324" s="40">
        <v>1</v>
      </c>
      <c r="Y324" s="41">
        <v>1</v>
      </c>
      <c r="Z324" s="40" t="s">
        <v>45</v>
      </c>
      <c r="AA324" s="40" t="s">
        <v>45</v>
      </c>
      <c r="AB324" s="40" t="s">
        <v>45</v>
      </c>
      <c r="AC324" s="40" t="s">
        <v>45</v>
      </c>
      <c r="AD324" s="40" t="s">
        <v>45</v>
      </c>
      <c r="AE324" s="40">
        <v>1</v>
      </c>
      <c r="AF324" s="40" t="s">
        <v>45</v>
      </c>
      <c r="AG324" s="41">
        <v>1</v>
      </c>
      <c r="AH324" s="40">
        <v>6</v>
      </c>
      <c r="AI324" s="40">
        <v>2</v>
      </c>
      <c r="AJ324" s="41">
        <v>1</v>
      </c>
      <c r="AK324" s="43" t="s">
        <v>573</v>
      </c>
      <c r="AL324" s="43" t="s">
        <v>635</v>
      </c>
      <c r="AM324" s="44">
        <f t="shared" si="29"/>
        <v>-2.0012818558036707</v>
      </c>
      <c r="AN324" s="44">
        <f t="shared" si="30"/>
        <v>-0.61705494203542199</v>
      </c>
      <c r="AO324" s="45">
        <f t="shared" si="31"/>
        <v>0</v>
      </c>
      <c r="AP324" s="46">
        <f t="shared" si="32"/>
        <v>0</v>
      </c>
      <c r="AQ324" s="44">
        <f>($AM$3*AM324+$AN$3*AN324+$AO$3*AO324+$AP$3*AP324)+$I$3*VLOOKUP(I324,COND!$A$2:$E$7,4,FALSE)+$J$3*VLOOKUP(J324,COND!$A$2:$C$7,2,FALSE)+$K$3*VLOOKUP(K324,COND!$A$2:$C$7,3,FALSE)+IF(AND($B$2&gt;0,$E324&lt;20),$B$2*25,0)</f>
        <v>42.395212509994565</v>
      </c>
      <c r="AR324" s="47">
        <f t="shared" si="33"/>
        <v>-0.38504416200691199</v>
      </c>
      <c r="AS324" s="45" t="str">
        <f t="shared" si="34"/>
        <v>RF</v>
      </c>
      <c r="AT324" s="45">
        <f>RANK(Batters[[#This Row],[zScore]],Batters[[#All],[zScore]])</f>
        <v>320</v>
      </c>
      <c r="AU324" s="45"/>
      <c r="AV324" s="45"/>
      <c r="AW324" s="45" t="str">
        <f t="shared" si="35"/>
        <v>Unlikely</v>
      </c>
      <c r="AX324" s="45"/>
      <c r="AY324" s="45">
        <f>INDEX(Table5[[#All],[Ovr]],MATCH(Batters[[#This Row],[PID]],Table5[[#All],[PID]],0))</f>
        <v>404</v>
      </c>
      <c r="AZ324" s="45" t="str">
        <f>INDEX(Table5[[#All],[Rnd]],MATCH(Batters[[#This Row],[PID]],Table5[[#All],[PID]],0))</f>
        <v>14</v>
      </c>
      <c r="BA324" s="45">
        <f>INDEX(Table5[[#All],[Pick]],MATCH(Batters[[#This Row],[PID]],Table5[[#All],[PID]],0))</f>
        <v>6</v>
      </c>
      <c r="BB324" s="45" t="str">
        <f>INDEX(Table5[[#All],[Team]],MATCH(Batters[[#This Row],[PID]],Table5[[#All],[PID]],0))</f>
        <v>Manchester Maulers</v>
      </c>
    </row>
    <row r="325" spans="1:54" ht="15" customHeight="1" x14ac:dyDescent="0.25">
      <c r="A325" s="40">
        <v>18259</v>
      </c>
      <c r="B325" s="40" t="s">
        <v>86</v>
      </c>
      <c r="C325" s="40" t="s">
        <v>367</v>
      </c>
      <c r="D325" s="40" t="s">
        <v>1558</v>
      </c>
      <c r="E325" s="40">
        <v>18</v>
      </c>
      <c r="F325" s="40" t="s">
        <v>53</v>
      </c>
      <c r="G325" s="40" t="s">
        <v>42</v>
      </c>
      <c r="H325" s="41" t="s">
        <v>638</v>
      </c>
      <c r="I325" s="65" t="s">
        <v>43</v>
      </c>
      <c r="J325" s="66" t="s">
        <v>47</v>
      </c>
      <c r="K325" s="67" t="s">
        <v>43</v>
      </c>
      <c r="L325" s="40">
        <v>1</v>
      </c>
      <c r="M325" s="40">
        <v>1</v>
      </c>
      <c r="N325" s="40">
        <v>2</v>
      </c>
      <c r="O325" s="40">
        <v>2</v>
      </c>
      <c r="P325" s="41">
        <v>1</v>
      </c>
      <c r="Q325" s="40">
        <v>3</v>
      </c>
      <c r="R325" s="40">
        <v>3</v>
      </c>
      <c r="S325" s="40">
        <v>4</v>
      </c>
      <c r="T325" s="40">
        <v>5</v>
      </c>
      <c r="U325" s="41">
        <v>3</v>
      </c>
      <c r="V325" s="40">
        <v>3</v>
      </c>
      <c r="W325" s="40">
        <v>2</v>
      </c>
      <c r="X325" s="40">
        <v>5</v>
      </c>
      <c r="Y325" s="41">
        <v>5</v>
      </c>
      <c r="Z325" s="40" t="s">
        <v>45</v>
      </c>
      <c r="AA325" s="40" t="s">
        <v>45</v>
      </c>
      <c r="AB325" s="40" t="s">
        <v>45</v>
      </c>
      <c r="AC325" s="40" t="s">
        <v>45</v>
      </c>
      <c r="AD325" s="40" t="s">
        <v>45</v>
      </c>
      <c r="AE325" s="40" t="s">
        <v>45</v>
      </c>
      <c r="AF325" s="40" t="s">
        <v>45</v>
      </c>
      <c r="AG325" s="41" t="s">
        <v>45</v>
      </c>
      <c r="AH325" s="40">
        <v>1</v>
      </c>
      <c r="AI325" s="40">
        <v>5</v>
      </c>
      <c r="AJ325" s="41">
        <v>3</v>
      </c>
      <c r="AK325" s="43" t="s">
        <v>644</v>
      </c>
      <c r="AL325" s="43" t="s">
        <v>635</v>
      </c>
      <c r="AM325" s="44">
        <f t="shared" ref="AM325:AM388" si="36">($L$3*(L325-$Q$1)/$Q$2+$M$3*(M325-$R$1)/$R$2+$N$3*(N325-$S$1)/$S$2+$O$3*(O325-$T$1)/$T$2+$P$3*(P325-$U$1)/$U$2)/(SUM($L$3:$P$3))</f>
        <v>-1.9115723057940897</v>
      </c>
      <c r="AN325" s="44">
        <f t="shared" ref="AN325:AN388" si="37">($L$3*(Q325-$Q$1)/$Q$2+$M$3*(R325-$R$1)/$R$2+$N$3*(S325-$S$1)/$S$2+$O$3*(T325-$T$1)/$T$2+$P$3*(U325-$U$1)/$U$2)/(SUM($L$3:$P$3))</f>
        <v>-0.64905655644061999</v>
      </c>
      <c r="AO325" s="45">
        <f t="shared" ref="AO325:AO388" si="38">IF(AVERAGE(AH325:AI325)&gt;9,1,0)+IF(AVERAGE(AH325:AI325)&gt;7,1,0)+IF(AH325&gt;7,1,0)+IF(AI325&gt;7,1,0)+IF(AJ325&gt;8,1,0)+IF(AJ325&gt;6,1,0)</f>
        <v>0</v>
      </c>
      <c r="AP325" s="46">
        <f t="shared" ref="AP325:AP388" si="39">MIN(2,IF(OR(Z325="-",X325&lt;5),0,1+IF(Y325&gt;7,0.35,IF(Y325&gt;5,0.1,0))+IF(Z325&gt;7,1+IF(X325&gt;7,0.25,0),IF(Z325&gt;4,0.5+IF(X325&gt;7,0.25,0),0+IF(X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</v>
      </c>
      <c r="AQ325" s="44">
        <f>($AM$3*AM325+$AN$3*AN325+$AO$3*AO325+$AP$3*AP325)+$I$3*VLOOKUP(I325,COND!$A$2:$E$7,4,FALSE)+$J$3*VLOOKUP(J325,COND!$A$2:$C$7,2,FALSE)+$K$3*VLOOKUP(K325,COND!$A$2:$C$7,3,FALSE)+IF(AND($B$2&gt;0,$E325&lt;20),$B$2*25,0)</f>
        <v>42.320164092133155</v>
      </c>
      <c r="AR325" s="47">
        <f t="shared" ref="AR325:AR388" si="40">STANDARDIZE(AQ325,AVERAGE($AQ$5:$AQ$534),STDEVP($AQ$5:$AQ$534))</f>
        <v>-0.40168290352701208</v>
      </c>
      <c r="AS325" s="45" t="str">
        <f t="shared" ref="AS325:AS388" si="41">IF(AND(Z325&lt;&gt;"-",Y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DH</v>
      </c>
      <c r="AT325" s="45">
        <f>RANK(Batters[[#This Row],[zScore]],Batters[[#All],[zScore]])</f>
        <v>321</v>
      </c>
      <c r="AU325" s="45"/>
      <c r="AV325" s="45"/>
      <c r="AW325" s="45" t="str">
        <f t="shared" ref="AW325:AW388" si="42">IF(AND($Q325&gt;=6,AVERAGE($S325:$T325)&gt;=6),"Likely",IF(OR($Q325&gt;6,AND($Q325=6,AVERAGE($S325:$T325)&gt;=3),AND($Q325&gt;=5,AVERAGE($S325:$T325)&gt;=5),AVERAGE($Q325,$S325:$T325)&gt;5),"Possible","Unlikely"))</f>
        <v>Unlikely</v>
      </c>
      <c r="AX325" s="45"/>
      <c r="AY325" s="45" t="str">
        <f>INDEX(Table5[[#All],[Ovr]],MATCH(Batters[[#This Row],[PID]],Table5[[#All],[PID]],0))</f>
        <v/>
      </c>
      <c r="AZ325" s="45" t="str">
        <f>INDEX(Table5[[#All],[Rnd]],MATCH(Batters[[#This Row],[PID]],Table5[[#All],[PID]],0))</f>
        <v/>
      </c>
      <c r="BA325" s="45" t="str">
        <f>INDEX(Table5[[#All],[Pick]],MATCH(Batters[[#This Row],[PID]],Table5[[#All],[PID]],0))</f>
        <v/>
      </c>
      <c r="BB325" s="45" t="str">
        <f>INDEX(Table5[[#All],[Team]],MATCH(Batters[[#This Row],[PID]],Table5[[#All],[PID]],0))</f>
        <v/>
      </c>
    </row>
    <row r="326" spans="1:54" ht="15" customHeight="1" x14ac:dyDescent="0.25">
      <c r="A326" s="40">
        <v>17798</v>
      </c>
      <c r="B326" s="40" t="s">
        <v>71</v>
      </c>
      <c r="C326" s="40" t="s">
        <v>1481</v>
      </c>
      <c r="D326" s="40" t="s">
        <v>1482</v>
      </c>
      <c r="E326" s="40">
        <v>21</v>
      </c>
      <c r="F326" s="40" t="s">
        <v>42</v>
      </c>
      <c r="G326" s="40" t="s">
        <v>42</v>
      </c>
      <c r="H326" s="41" t="s">
        <v>638</v>
      </c>
      <c r="I326" s="65" t="s">
        <v>43</v>
      </c>
      <c r="J326" s="66" t="s">
        <v>47</v>
      </c>
      <c r="K326" s="67" t="s">
        <v>43</v>
      </c>
      <c r="L326" s="40">
        <v>3</v>
      </c>
      <c r="M326" s="40">
        <v>4</v>
      </c>
      <c r="N326" s="40">
        <v>2</v>
      </c>
      <c r="O326" s="40">
        <v>3</v>
      </c>
      <c r="P326" s="41">
        <v>3</v>
      </c>
      <c r="Q326" s="40">
        <v>4</v>
      </c>
      <c r="R326" s="40">
        <v>5</v>
      </c>
      <c r="S326" s="40">
        <v>2</v>
      </c>
      <c r="T326" s="40">
        <v>5</v>
      </c>
      <c r="U326" s="41">
        <v>5</v>
      </c>
      <c r="V326" s="40">
        <v>4</v>
      </c>
      <c r="W326" s="40">
        <v>2</v>
      </c>
      <c r="X326" s="40">
        <v>1</v>
      </c>
      <c r="Y326" s="41">
        <v>1</v>
      </c>
      <c r="Z326" s="40" t="s">
        <v>45</v>
      </c>
      <c r="AA326" s="40" t="s">
        <v>45</v>
      </c>
      <c r="AB326" s="40">
        <v>1</v>
      </c>
      <c r="AC326" s="40" t="s">
        <v>45</v>
      </c>
      <c r="AD326" s="40" t="s">
        <v>45</v>
      </c>
      <c r="AE326" s="40" t="s">
        <v>45</v>
      </c>
      <c r="AF326" s="40" t="s">
        <v>45</v>
      </c>
      <c r="AG326" s="41" t="s">
        <v>45</v>
      </c>
      <c r="AH326" s="40">
        <v>8</v>
      </c>
      <c r="AI326" s="40">
        <v>8</v>
      </c>
      <c r="AJ326" s="41">
        <v>10</v>
      </c>
      <c r="AK326" s="43" t="s">
        <v>45</v>
      </c>
      <c r="AL326" s="43" t="s">
        <v>47</v>
      </c>
      <c r="AM326" s="44">
        <f t="shared" si="36"/>
        <v>-0.94353876488888166</v>
      </c>
      <c r="AN326" s="44">
        <f t="shared" si="37"/>
        <v>-0.31047126941417441</v>
      </c>
      <c r="AO326" s="45">
        <f t="shared" si="38"/>
        <v>5</v>
      </c>
      <c r="AP326" s="46">
        <f t="shared" si="39"/>
        <v>0</v>
      </c>
      <c r="AQ326" s="44">
        <f>($AM$3*AM326+$AN$3*AN326+$AO$3*AO326+$AP$3*AP326)+$I$3*VLOOKUP(I326,COND!$A$2:$E$7,4,FALSE)+$J$3*VLOOKUP(J326,COND!$A$2:$C$7,2,FALSE)+$K$3*VLOOKUP(K326,COND!$A$2:$C$7,3,FALSE)+IF(AND($B$2&gt;0,$E326&lt;20),$B$2*25,0)</f>
        <v>42.313324223874353</v>
      </c>
      <c r="AR326" s="47">
        <f t="shared" si="40"/>
        <v>-0.40319934855320694</v>
      </c>
      <c r="AS326" s="45" t="str">
        <f t="shared" si="41"/>
        <v>2B</v>
      </c>
      <c r="AT326" s="45">
        <f>RANK(Batters[[#This Row],[zScore]],Batters[[#All],[zScore]])</f>
        <v>322</v>
      </c>
      <c r="AU326" s="45"/>
      <c r="AV326" s="45"/>
      <c r="AW326" s="45" t="str">
        <f t="shared" si="42"/>
        <v>Unlikely</v>
      </c>
      <c r="AX326" s="45"/>
      <c r="AY326" s="45">
        <f>INDEX(Table5[[#All],[Ovr]],MATCH(Batters[[#This Row],[PID]],Table5[[#All],[PID]],0))</f>
        <v>431</v>
      </c>
      <c r="AZ326" s="45" t="str">
        <f>INDEX(Table5[[#All],[Rnd]],MATCH(Batters[[#This Row],[PID]],Table5[[#All],[PID]],0))</f>
        <v>15</v>
      </c>
      <c r="BA326" s="45">
        <f>INDEX(Table5[[#All],[Pick]],MATCH(Batters[[#This Row],[PID]],Table5[[#All],[PID]],0))</f>
        <v>3</v>
      </c>
      <c r="BB326" s="45" t="str">
        <f>INDEX(Table5[[#All],[Team]],MATCH(Batters[[#This Row],[PID]],Table5[[#All],[PID]],0))</f>
        <v>New Orleans Trendsetters</v>
      </c>
    </row>
    <row r="327" spans="1:54" ht="15" customHeight="1" x14ac:dyDescent="0.25">
      <c r="A327" s="40">
        <v>20251</v>
      </c>
      <c r="B327" s="40" t="s">
        <v>86</v>
      </c>
      <c r="C327" s="40" t="s">
        <v>376</v>
      </c>
      <c r="D327" s="40" t="s">
        <v>1321</v>
      </c>
      <c r="E327" s="40">
        <v>22</v>
      </c>
      <c r="F327" s="40" t="s">
        <v>42</v>
      </c>
      <c r="G327" s="40" t="s">
        <v>42</v>
      </c>
      <c r="H327" s="41" t="s">
        <v>634</v>
      </c>
      <c r="I327" s="65" t="s">
        <v>43</v>
      </c>
      <c r="J327" s="66" t="s">
        <v>47</v>
      </c>
      <c r="K327" s="67" t="s">
        <v>47</v>
      </c>
      <c r="L327" s="40">
        <v>1</v>
      </c>
      <c r="M327" s="40">
        <v>5</v>
      </c>
      <c r="N327" s="40">
        <v>4</v>
      </c>
      <c r="O327" s="40">
        <v>6</v>
      </c>
      <c r="P327" s="41">
        <v>1</v>
      </c>
      <c r="Q327" s="40">
        <v>3</v>
      </c>
      <c r="R327" s="40">
        <v>7</v>
      </c>
      <c r="S327" s="40">
        <v>4</v>
      </c>
      <c r="T327" s="40">
        <v>7</v>
      </c>
      <c r="U327" s="41">
        <v>3</v>
      </c>
      <c r="V327" s="40">
        <v>2</v>
      </c>
      <c r="W327" s="40">
        <v>2</v>
      </c>
      <c r="X327" s="40">
        <v>4</v>
      </c>
      <c r="Y327" s="41">
        <v>6</v>
      </c>
      <c r="Z327" s="40">
        <v>3</v>
      </c>
      <c r="AA327" s="40" t="s">
        <v>45</v>
      </c>
      <c r="AB327" s="40" t="s">
        <v>45</v>
      </c>
      <c r="AC327" s="40" t="s">
        <v>45</v>
      </c>
      <c r="AD327" s="40" t="s">
        <v>45</v>
      </c>
      <c r="AE327" s="40" t="s">
        <v>45</v>
      </c>
      <c r="AF327" s="40" t="s">
        <v>45</v>
      </c>
      <c r="AG327" s="41" t="s">
        <v>45</v>
      </c>
      <c r="AH327" s="40">
        <v>2</v>
      </c>
      <c r="AI327" s="40">
        <v>3</v>
      </c>
      <c r="AJ327" s="41">
        <v>1</v>
      </c>
      <c r="AK327" s="43" t="s">
        <v>548</v>
      </c>
      <c r="AL327" s="43" t="s">
        <v>47</v>
      </c>
      <c r="AM327" s="44">
        <f t="shared" si="36"/>
        <v>-1.1823715992331483</v>
      </c>
      <c r="AN327" s="44">
        <f t="shared" si="37"/>
        <v>-0.26539793794664401</v>
      </c>
      <c r="AO327" s="45">
        <f t="shared" si="38"/>
        <v>0</v>
      </c>
      <c r="AP327" s="46">
        <f t="shared" si="39"/>
        <v>0</v>
      </c>
      <c r="AQ327" s="44">
        <f>($AM$3*AM327+$AN$3*AN327+$AO$3*AO327+$AP$3*AP327)+$I$3*VLOOKUP(I327,COND!$A$2:$E$7,4,FALSE)+$J$3*VLOOKUP(J327,COND!$A$2:$C$7,2,FALSE)+$K$3*VLOOKUP(K327,COND!$A$2:$C$7,3,FALSE)+IF(AND($B$2&gt;0,$E327&lt;20),$B$2*25,0)</f>
        <v>42.296987584716959</v>
      </c>
      <c r="AR327" s="47">
        <f t="shared" si="40"/>
        <v>-0.40682129187983368</v>
      </c>
      <c r="AS327" s="45" t="str">
        <f t="shared" si="41"/>
        <v>C</v>
      </c>
      <c r="AT327" s="45">
        <f>RANK(Batters[[#This Row],[zScore]],Batters[[#All],[zScore]])</f>
        <v>323</v>
      </c>
      <c r="AU327" s="45"/>
      <c r="AV327" s="45"/>
      <c r="AW327" s="45" t="str">
        <f t="shared" si="42"/>
        <v>Unlikely</v>
      </c>
      <c r="AX327" s="45"/>
      <c r="AY327" s="45">
        <f>INDEX(Table5[[#All],[Ovr]],MATCH(Batters[[#This Row],[PID]],Table5[[#All],[PID]],0))</f>
        <v>377</v>
      </c>
      <c r="AZ327" s="45" t="str">
        <f>INDEX(Table5[[#All],[Rnd]],MATCH(Batters[[#This Row],[PID]],Table5[[#All],[PID]],0))</f>
        <v>13</v>
      </c>
      <c r="BA327" s="45">
        <f>INDEX(Table5[[#All],[Pick]],MATCH(Batters[[#This Row],[PID]],Table5[[#All],[PID]],0))</f>
        <v>9</v>
      </c>
      <c r="BB327" s="45" t="str">
        <f>INDEX(Table5[[#All],[Team]],MATCH(Batters[[#This Row],[PID]],Table5[[#All],[PID]],0))</f>
        <v>Scottish Claymores</v>
      </c>
    </row>
    <row r="328" spans="1:54" ht="15" customHeight="1" x14ac:dyDescent="0.25">
      <c r="A328" s="40">
        <v>13578</v>
      </c>
      <c r="B328" s="40" t="s">
        <v>50</v>
      </c>
      <c r="C328" s="40" t="s">
        <v>1363</v>
      </c>
      <c r="D328" s="40" t="s">
        <v>1179</v>
      </c>
      <c r="E328" s="40">
        <v>18</v>
      </c>
      <c r="F328" s="40" t="s">
        <v>53</v>
      </c>
      <c r="G328" s="40" t="s">
        <v>53</v>
      </c>
      <c r="H328" s="41" t="s">
        <v>639</v>
      </c>
      <c r="I328" s="65" t="s">
        <v>47</v>
      </c>
      <c r="J328" s="66" t="s">
        <v>43</v>
      </c>
      <c r="K328" s="67" t="s">
        <v>43</v>
      </c>
      <c r="L328" s="40">
        <v>1</v>
      </c>
      <c r="M328" s="40">
        <v>1</v>
      </c>
      <c r="N328" s="40">
        <v>2</v>
      </c>
      <c r="O328" s="40">
        <v>2</v>
      </c>
      <c r="P328" s="41">
        <v>1</v>
      </c>
      <c r="Q328" s="40">
        <v>3</v>
      </c>
      <c r="R328" s="40">
        <v>3</v>
      </c>
      <c r="S328" s="40">
        <v>4</v>
      </c>
      <c r="T328" s="40">
        <v>5</v>
      </c>
      <c r="U328" s="41">
        <v>3</v>
      </c>
      <c r="V328" s="40">
        <v>4</v>
      </c>
      <c r="W328" s="40">
        <v>7</v>
      </c>
      <c r="X328" s="40">
        <v>1</v>
      </c>
      <c r="Y328" s="41">
        <v>1</v>
      </c>
      <c r="Z328" s="40" t="s">
        <v>45</v>
      </c>
      <c r="AA328" s="40" t="s">
        <v>45</v>
      </c>
      <c r="AB328" s="40" t="s">
        <v>45</v>
      </c>
      <c r="AC328" s="40" t="s">
        <v>45</v>
      </c>
      <c r="AD328" s="40" t="s">
        <v>45</v>
      </c>
      <c r="AE328" s="40">
        <v>1</v>
      </c>
      <c r="AF328" s="40" t="s">
        <v>45</v>
      </c>
      <c r="AG328" s="41" t="s">
        <v>45</v>
      </c>
      <c r="AH328" s="40">
        <v>4</v>
      </c>
      <c r="AI328" s="40">
        <v>5</v>
      </c>
      <c r="AJ328" s="41">
        <v>5</v>
      </c>
      <c r="AK328" s="43" t="s">
        <v>45</v>
      </c>
      <c r="AL328" s="43"/>
      <c r="AM328" s="44">
        <f t="shared" si="36"/>
        <v>-1.9115723057940897</v>
      </c>
      <c r="AN328" s="44">
        <f t="shared" si="37"/>
        <v>-0.64905655644061999</v>
      </c>
      <c r="AO328" s="45">
        <f t="shared" si="38"/>
        <v>0</v>
      </c>
      <c r="AP328" s="46">
        <f t="shared" si="39"/>
        <v>0</v>
      </c>
      <c r="AQ328" s="44">
        <f>($AM$3*AM328+$AN$3*AN328+$AO$3*AO328+$AP$3*AP328)+$I$3*VLOOKUP(I328,COND!$A$2:$E$7,4,FALSE)+$J$3*VLOOKUP(J328,COND!$A$2:$C$7,2,FALSE)+$K$3*VLOOKUP(K328,COND!$A$2:$C$7,3,FALSE)+IF(AND($B$2&gt;0,$E328&lt;20),$B$2*25,0)</f>
        <v>42.245164092133152</v>
      </c>
      <c r="AR328" s="47">
        <f t="shared" si="40"/>
        <v>-0.41831091047996377</v>
      </c>
      <c r="AS328" s="45" t="str">
        <f t="shared" si="41"/>
        <v>LF</v>
      </c>
      <c r="AT328" s="45">
        <f>RANK(Batters[[#This Row],[zScore]],Batters[[#All],[zScore]])</f>
        <v>324</v>
      </c>
      <c r="AU328" s="45"/>
      <c r="AV328" s="45"/>
      <c r="AW328" s="45" t="str">
        <f t="shared" si="42"/>
        <v>Unlikely</v>
      </c>
      <c r="AX328" s="45"/>
      <c r="AY328" s="64" t="str">
        <f>INDEX(Table5[[#All],[Ovr]],MATCH(Batters[[#This Row],[PID]],Table5[[#All],[PID]],0))</f>
        <v/>
      </c>
      <c r="AZ328" s="64" t="str">
        <f>INDEX(Table5[[#All],[Rnd]],MATCH(Batters[[#This Row],[PID]],Table5[[#All],[PID]],0))</f>
        <v/>
      </c>
      <c r="BA328" s="64" t="str">
        <f>INDEX(Table5[[#All],[Pick]],MATCH(Batters[[#This Row],[PID]],Table5[[#All],[PID]],0))</f>
        <v/>
      </c>
      <c r="BB328" s="64" t="str">
        <f>INDEX(Table5[[#All],[Team]],MATCH(Batters[[#This Row],[PID]],Table5[[#All],[PID]],0))</f>
        <v/>
      </c>
    </row>
    <row r="329" spans="1:54" ht="15" customHeight="1" x14ac:dyDescent="0.25">
      <c r="A329" s="40">
        <v>20547</v>
      </c>
      <c r="B329" s="40" t="s">
        <v>69</v>
      </c>
      <c r="C329" s="40" t="s">
        <v>1638</v>
      </c>
      <c r="D329" s="40" t="s">
        <v>1639</v>
      </c>
      <c r="E329" s="40">
        <v>17</v>
      </c>
      <c r="F329" s="40" t="s">
        <v>53</v>
      </c>
      <c r="G329" s="40" t="s">
        <v>42</v>
      </c>
      <c r="H329" s="41" t="s">
        <v>638</v>
      </c>
      <c r="I329" s="65" t="s">
        <v>43</v>
      </c>
      <c r="J329" s="66" t="s">
        <v>43</v>
      </c>
      <c r="K329" s="67" t="s">
        <v>43</v>
      </c>
      <c r="L329" s="40">
        <v>1</v>
      </c>
      <c r="M329" s="40">
        <v>2</v>
      </c>
      <c r="N329" s="40">
        <v>2</v>
      </c>
      <c r="O329" s="40">
        <v>3</v>
      </c>
      <c r="P329" s="41">
        <v>2</v>
      </c>
      <c r="Q329" s="40">
        <v>3</v>
      </c>
      <c r="R329" s="40">
        <v>4</v>
      </c>
      <c r="S329" s="40">
        <v>2</v>
      </c>
      <c r="T329" s="40">
        <v>6</v>
      </c>
      <c r="U329" s="41">
        <v>4</v>
      </c>
      <c r="V329" s="40">
        <v>9</v>
      </c>
      <c r="W329" s="40">
        <v>9</v>
      </c>
      <c r="X329" s="40">
        <v>2</v>
      </c>
      <c r="Y329" s="41">
        <v>1</v>
      </c>
      <c r="Z329" s="40" t="s">
        <v>45</v>
      </c>
      <c r="AA329" s="40" t="s">
        <v>45</v>
      </c>
      <c r="AB329" s="40" t="s">
        <v>45</v>
      </c>
      <c r="AC329" s="40">
        <v>2</v>
      </c>
      <c r="AD329" s="40" t="s">
        <v>45</v>
      </c>
      <c r="AE329" s="40" t="s">
        <v>45</v>
      </c>
      <c r="AF329" s="40" t="s">
        <v>45</v>
      </c>
      <c r="AG329" s="41">
        <v>1</v>
      </c>
      <c r="AH329" s="40">
        <v>2</v>
      </c>
      <c r="AI329" s="40">
        <v>1</v>
      </c>
      <c r="AJ329" s="41">
        <v>1</v>
      </c>
      <c r="AK329" s="43" t="s">
        <v>654</v>
      </c>
      <c r="AL329" s="43"/>
      <c r="AM329" s="44">
        <f t="shared" si="36"/>
        <v>-1.7307865363487211</v>
      </c>
      <c r="AN329" s="44">
        <f t="shared" si="37"/>
        <v>-0.63439377504305494</v>
      </c>
      <c r="AO329" s="45">
        <f t="shared" si="38"/>
        <v>0</v>
      </c>
      <c r="AP329" s="46">
        <f t="shared" si="39"/>
        <v>0</v>
      </c>
      <c r="AQ329" s="44">
        <f>($AM$3*AM329+$AN$3*AN329+$AO$3*AO329+$AP$3*AP329)+$I$3*VLOOKUP(I329,COND!$A$2:$E$7,4,FALSE)+$J$3*VLOOKUP(J329,COND!$A$2:$C$7,2,FALSE)+$K$3*VLOOKUP(K329,COND!$A$2:$C$7,3,FALSE)+IF(AND($B$2&gt;0,$E329&lt;20),$B$2*25,0)</f>
        <v>42.214196045848468</v>
      </c>
      <c r="AR329" s="47">
        <f t="shared" si="40"/>
        <v>-0.4251767356658443</v>
      </c>
      <c r="AS329" s="45" t="str">
        <f t="shared" si="41"/>
        <v>3B</v>
      </c>
      <c r="AT329" s="45">
        <f>RANK(Batters[[#This Row],[zScore]],Batters[[#All],[zScore]])</f>
        <v>325</v>
      </c>
      <c r="AU329" s="45"/>
      <c r="AV329" s="45"/>
      <c r="AW329" s="45" t="str">
        <f t="shared" si="42"/>
        <v>Unlikely</v>
      </c>
      <c r="AX329" s="45"/>
      <c r="AY329" s="64" t="str">
        <f>INDEX(Table5[[#All],[Ovr]],MATCH(Batters[[#This Row],[PID]],Table5[[#All],[PID]],0))</f>
        <v/>
      </c>
      <c r="AZ329" s="64" t="str">
        <f>INDEX(Table5[[#All],[Rnd]],MATCH(Batters[[#This Row],[PID]],Table5[[#All],[PID]],0))</f>
        <v/>
      </c>
      <c r="BA329" s="64" t="str">
        <f>INDEX(Table5[[#All],[Pick]],MATCH(Batters[[#This Row],[PID]],Table5[[#All],[PID]],0))</f>
        <v/>
      </c>
      <c r="BB329" s="64" t="str">
        <f>INDEX(Table5[[#All],[Team]],MATCH(Batters[[#This Row],[PID]],Table5[[#All],[PID]],0))</f>
        <v/>
      </c>
    </row>
    <row r="330" spans="1:54" ht="15" customHeight="1" x14ac:dyDescent="0.25">
      <c r="A330" s="40">
        <v>20667</v>
      </c>
      <c r="B330" s="40" t="s">
        <v>69</v>
      </c>
      <c r="C330" s="40" t="s">
        <v>1415</v>
      </c>
      <c r="D330" s="40" t="s">
        <v>1416</v>
      </c>
      <c r="E330" s="40">
        <v>18</v>
      </c>
      <c r="F330" s="40" t="s">
        <v>42</v>
      </c>
      <c r="G330" s="40" t="s">
        <v>42</v>
      </c>
      <c r="H330" s="41" t="s">
        <v>638</v>
      </c>
      <c r="I330" s="65" t="s">
        <v>44</v>
      </c>
      <c r="J330" s="66" t="s">
        <v>44</v>
      </c>
      <c r="K330" s="67" t="s">
        <v>43</v>
      </c>
      <c r="L330" s="40">
        <v>1</v>
      </c>
      <c r="M330" s="40">
        <v>3</v>
      </c>
      <c r="N330" s="40">
        <v>2</v>
      </c>
      <c r="O330" s="40">
        <v>3</v>
      </c>
      <c r="P330" s="41">
        <v>1</v>
      </c>
      <c r="Q330" s="40">
        <v>3</v>
      </c>
      <c r="R330" s="40">
        <v>4</v>
      </c>
      <c r="S330" s="40">
        <v>4</v>
      </c>
      <c r="T330" s="40">
        <v>5</v>
      </c>
      <c r="U330" s="41">
        <v>3</v>
      </c>
      <c r="V330" s="40">
        <v>8</v>
      </c>
      <c r="W330" s="40">
        <v>8</v>
      </c>
      <c r="X330" s="40">
        <v>2</v>
      </c>
      <c r="Y330" s="41">
        <v>1</v>
      </c>
      <c r="Z330" s="40" t="s">
        <v>45</v>
      </c>
      <c r="AA330" s="40" t="s">
        <v>45</v>
      </c>
      <c r="AB330" s="40" t="s">
        <v>45</v>
      </c>
      <c r="AC330" s="40">
        <v>2</v>
      </c>
      <c r="AD330" s="40" t="s">
        <v>45</v>
      </c>
      <c r="AE330" s="40" t="s">
        <v>45</v>
      </c>
      <c r="AF330" s="40" t="s">
        <v>45</v>
      </c>
      <c r="AG330" s="41" t="s">
        <v>45</v>
      </c>
      <c r="AH330" s="40">
        <v>3</v>
      </c>
      <c r="AI330" s="40">
        <v>3</v>
      </c>
      <c r="AJ330" s="41">
        <v>3</v>
      </c>
      <c r="AK330" s="43" t="s">
        <v>644</v>
      </c>
      <c r="AL330" s="43" t="s">
        <v>635</v>
      </c>
      <c r="AM330" s="44">
        <f t="shared" si="36"/>
        <v>-1.7197429965471014</v>
      </c>
      <c r="AN330" s="44">
        <f t="shared" si="37"/>
        <v>-0.59799667682191648</v>
      </c>
      <c r="AO330" s="45">
        <f t="shared" si="38"/>
        <v>0</v>
      </c>
      <c r="AP330" s="46">
        <f t="shared" si="39"/>
        <v>0</v>
      </c>
      <c r="AQ330" s="44">
        <f>($AM$3*AM330+$AN$3*AN330+$AO$3*AO330+$AP$3*AP330)+$I$3*VLOOKUP(I330,COND!$A$2:$E$7,4,FALSE)+$J$3*VLOOKUP(J330,COND!$A$2:$C$7,2,FALSE)+$K$3*VLOOKUP(K330,COND!$A$2:$C$7,3,FALSE)+IF(AND($B$2&gt;0,$E330&lt;20),$B$2*25,0)</f>
        <v>42.202065578482291</v>
      </c>
      <c r="AR330" s="47">
        <f t="shared" si="40"/>
        <v>-0.42786614227527542</v>
      </c>
      <c r="AS330" s="45" t="str">
        <f t="shared" si="41"/>
        <v>3B</v>
      </c>
      <c r="AT330" s="45">
        <f>RANK(Batters[[#This Row],[zScore]],Batters[[#All],[zScore]])</f>
        <v>326</v>
      </c>
      <c r="AU330" s="45"/>
      <c r="AV330" s="45"/>
      <c r="AW330" s="45" t="str">
        <f t="shared" si="42"/>
        <v>Unlikely</v>
      </c>
      <c r="AX330" s="45"/>
      <c r="AY330" s="45" t="str">
        <f>INDEX(Table5[[#All],[Ovr]],MATCH(Batters[[#This Row],[PID]],Table5[[#All],[PID]],0))</f>
        <v/>
      </c>
      <c r="AZ330" s="45" t="str">
        <f>INDEX(Table5[[#All],[Rnd]],MATCH(Batters[[#This Row],[PID]],Table5[[#All],[PID]],0))</f>
        <v/>
      </c>
      <c r="BA330" s="45" t="str">
        <f>INDEX(Table5[[#All],[Pick]],MATCH(Batters[[#This Row],[PID]],Table5[[#All],[PID]],0))</f>
        <v/>
      </c>
      <c r="BB330" s="45" t="str">
        <f>INDEX(Table5[[#All],[Team]],MATCH(Batters[[#This Row],[PID]],Table5[[#All],[PID]],0))</f>
        <v/>
      </c>
    </row>
    <row r="331" spans="1:54" ht="15" customHeight="1" x14ac:dyDescent="0.25">
      <c r="A331" s="40">
        <v>20915</v>
      </c>
      <c r="B331" s="40" t="s">
        <v>87</v>
      </c>
      <c r="C331" s="40" t="s">
        <v>166</v>
      </c>
      <c r="D331" s="40" t="s">
        <v>1691</v>
      </c>
      <c r="E331" s="40">
        <v>17</v>
      </c>
      <c r="F331" s="40" t="s">
        <v>42</v>
      </c>
      <c r="G331" s="40" t="s">
        <v>42</v>
      </c>
      <c r="H331" s="41" t="s">
        <v>639</v>
      </c>
      <c r="I331" s="65" t="s">
        <v>43</v>
      </c>
      <c r="J331" s="66" t="s">
        <v>43</v>
      </c>
      <c r="K331" s="67" t="s">
        <v>43</v>
      </c>
      <c r="L331" s="40">
        <v>1</v>
      </c>
      <c r="M331" s="40">
        <v>1</v>
      </c>
      <c r="N331" s="40">
        <v>2</v>
      </c>
      <c r="O331" s="40">
        <v>1</v>
      </c>
      <c r="P331" s="41">
        <v>1</v>
      </c>
      <c r="Q331" s="40">
        <v>3</v>
      </c>
      <c r="R331" s="40">
        <v>4</v>
      </c>
      <c r="S331" s="40">
        <v>3</v>
      </c>
      <c r="T331" s="40">
        <v>5</v>
      </c>
      <c r="U331" s="41">
        <v>4</v>
      </c>
      <c r="V331" s="40">
        <v>2</v>
      </c>
      <c r="W331" s="40">
        <v>1</v>
      </c>
      <c r="X331" s="40">
        <v>1</v>
      </c>
      <c r="Y331" s="41">
        <v>1</v>
      </c>
      <c r="Z331" s="40" t="s">
        <v>45</v>
      </c>
      <c r="AA331" s="40">
        <v>1</v>
      </c>
      <c r="AB331" s="40" t="s">
        <v>45</v>
      </c>
      <c r="AC331" s="40" t="s">
        <v>45</v>
      </c>
      <c r="AD331" s="40" t="s">
        <v>45</v>
      </c>
      <c r="AE331" s="40" t="s">
        <v>45</v>
      </c>
      <c r="AF331" s="40" t="s">
        <v>45</v>
      </c>
      <c r="AG331" s="41" t="s">
        <v>45</v>
      </c>
      <c r="AH331" s="40">
        <v>2</v>
      </c>
      <c r="AI331" s="40">
        <v>4</v>
      </c>
      <c r="AJ331" s="41">
        <v>4</v>
      </c>
      <c r="AK331" s="43" t="s">
        <v>644</v>
      </c>
      <c r="AL331" s="43"/>
      <c r="AM331" s="44">
        <f t="shared" si="36"/>
        <v>-2.0012818558036707</v>
      </c>
      <c r="AN331" s="44">
        <f t="shared" si="37"/>
        <v>-0.64104183102873458</v>
      </c>
      <c r="AO331" s="45">
        <f t="shared" si="38"/>
        <v>0</v>
      </c>
      <c r="AP331" s="46">
        <f t="shared" si="39"/>
        <v>0</v>
      </c>
      <c r="AQ331" s="44">
        <f>($AM$3*AM331+$AN$3*AN331+$AO$3*AO331+$AP$3*AP331)+$I$3*VLOOKUP(I331,COND!$A$2:$E$7,4,FALSE)+$J$3*VLOOKUP(J331,COND!$A$2:$C$7,2,FALSE)+$K$3*VLOOKUP(K331,COND!$A$2:$C$7,3,FALSE)+IF(AND($B$2&gt;0,$E331&lt;20),$B$2*25,0)</f>
        <v>42.107369842074817</v>
      </c>
      <c r="AR331" s="47">
        <f t="shared" si="40"/>
        <v>-0.44886082712058595</v>
      </c>
      <c r="AS331" s="45" t="str">
        <f t="shared" si="41"/>
        <v>1B</v>
      </c>
      <c r="AT331" s="45">
        <f>RANK(Batters[[#This Row],[zScore]],Batters[[#All],[zScore]])</f>
        <v>327</v>
      </c>
      <c r="AU331" s="45"/>
      <c r="AV331" s="45"/>
      <c r="AW331" s="45" t="str">
        <f t="shared" si="42"/>
        <v>Unlikely</v>
      </c>
      <c r="AX331" s="45"/>
      <c r="AY331" s="64" t="str">
        <f>INDEX(Table5[[#All],[Ovr]],MATCH(Batters[[#This Row],[PID]],Table5[[#All],[PID]],0))</f>
        <v/>
      </c>
      <c r="AZ331" s="64" t="str">
        <f>INDEX(Table5[[#All],[Rnd]],MATCH(Batters[[#This Row],[PID]],Table5[[#All],[PID]],0))</f>
        <v/>
      </c>
      <c r="BA331" s="64" t="str">
        <f>INDEX(Table5[[#All],[Pick]],MATCH(Batters[[#This Row],[PID]],Table5[[#All],[PID]],0))</f>
        <v/>
      </c>
      <c r="BB331" s="64" t="str">
        <f>INDEX(Table5[[#All],[Team]],MATCH(Batters[[#This Row],[PID]],Table5[[#All],[PID]],0))</f>
        <v/>
      </c>
    </row>
    <row r="332" spans="1:54" ht="15" customHeight="1" x14ac:dyDescent="0.25">
      <c r="A332" s="40">
        <v>20914</v>
      </c>
      <c r="B332" s="40" t="s">
        <v>86</v>
      </c>
      <c r="C332" s="40" t="s">
        <v>1510</v>
      </c>
      <c r="D332" s="40" t="s">
        <v>1511</v>
      </c>
      <c r="E332" s="40">
        <v>18</v>
      </c>
      <c r="F332" s="40" t="s">
        <v>53</v>
      </c>
      <c r="G332" s="40" t="s">
        <v>42</v>
      </c>
      <c r="H332" s="41" t="s">
        <v>638</v>
      </c>
      <c r="I332" s="65" t="s">
        <v>43</v>
      </c>
      <c r="J332" s="66" t="s">
        <v>43</v>
      </c>
      <c r="K332" s="67" t="s">
        <v>43</v>
      </c>
      <c r="L332" s="40">
        <v>1</v>
      </c>
      <c r="M332" s="40">
        <v>1</v>
      </c>
      <c r="N332" s="40">
        <v>2</v>
      </c>
      <c r="O332" s="40">
        <v>2</v>
      </c>
      <c r="P332" s="41">
        <v>1</v>
      </c>
      <c r="Q332" s="40">
        <v>3</v>
      </c>
      <c r="R332" s="40">
        <v>3</v>
      </c>
      <c r="S332" s="40">
        <v>3</v>
      </c>
      <c r="T332" s="40">
        <v>6</v>
      </c>
      <c r="U332" s="41">
        <v>3</v>
      </c>
      <c r="V332" s="40">
        <v>4</v>
      </c>
      <c r="W332" s="40">
        <v>5</v>
      </c>
      <c r="X332" s="40">
        <v>5</v>
      </c>
      <c r="Y332" s="41">
        <v>6</v>
      </c>
      <c r="Z332" s="40" t="s">
        <v>45</v>
      </c>
      <c r="AA332" s="40">
        <v>1</v>
      </c>
      <c r="AB332" s="40" t="s">
        <v>45</v>
      </c>
      <c r="AC332" s="40" t="s">
        <v>45</v>
      </c>
      <c r="AD332" s="40" t="s">
        <v>45</v>
      </c>
      <c r="AE332" s="40" t="s">
        <v>45</v>
      </c>
      <c r="AF332" s="40" t="s">
        <v>45</v>
      </c>
      <c r="AG332" s="41" t="s">
        <v>45</v>
      </c>
      <c r="AH332" s="40">
        <v>1</v>
      </c>
      <c r="AI332" s="40">
        <v>1</v>
      </c>
      <c r="AJ332" s="41">
        <v>2</v>
      </c>
      <c r="AK332" s="43" t="s">
        <v>670</v>
      </c>
      <c r="AL332" s="43" t="s">
        <v>47</v>
      </c>
      <c r="AM332" s="44">
        <f t="shared" si="36"/>
        <v>-1.9115723057940897</v>
      </c>
      <c r="AN332" s="44">
        <f t="shared" si="37"/>
        <v>-0.64240850045494047</v>
      </c>
      <c r="AO332" s="45">
        <f t="shared" si="38"/>
        <v>0</v>
      </c>
      <c r="AP332" s="46">
        <f t="shared" si="39"/>
        <v>0</v>
      </c>
      <c r="AQ332" s="44">
        <f>($AM$3*AM332+$AN$3*AN332+$AO$3*AO332+$AP$3*AP332)+$I$3*VLOOKUP(I332,COND!$A$2:$E$7,4,FALSE)+$J$3*VLOOKUP(J332,COND!$A$2:$C$7,2,FALSE)+$K$3*VLOOKUP(K332,COND!$A$2:$C$7,3,FALSE)+IF(AND($B$2&gt;0,$E332&lt;20),$B$2*25,0)</f>
        <v>42.099940763961307</v>
      </c>
      <c r="AR332" s="47">
        <f t="shared" si="40"/>
        <v>-0.45050790395425888</v>
      </c>
      <c r="AS332" s="45" t="str">
        <f t="shared" si="41"/>
        <v>1B</v>
      </c>
      <c r="AT332" s="45">
        <f>RANK(Batters[[#This Row],[zScore]],Batters[[#All],[zScore]])</f>
        <v>328</v>
      </c>
      <c r="AU332" s="45"/>
      <c r="AV332" s="45"/>
      <c r="AW332" s="45" t="str">
        <f t="shared" si="42"/>
        <v>Unlikely</v>
      </c>
      <c r="AX332" s="45"/>
      <c r="AY332" s="45" t="str">
        <f>INDEX(Table5[[#All],[Ovr]],MATCH(Batters[[#This Row],[PID]],Table5[[#All],[PID]],0))</f>
        <v/>
      </c>
      <c r="AZ332" s="45" t="str">
        <f>INDEX(Table5[[#All],[Rnd]],MATCH(Batters[[#This Row],[PID]],Table5[[#All],[PID]],0))</f>
        <v/>
      </c>
      <c r="BA332" s="45" t="str">
        <f>INDEX(Table5[[#All],[Pick]],MATCH(Batters[[#This Row],[PID]],Table5[[#All],[PID]],0))</f>
        <v/>
      </c>
      <c r="BB332" s="45" t="str">
        <f>INDEX(Table5[[#All],[Team]],MATCH(Batters[[#This Row],[PID]],Table5[[#All],[PID]],0))</f>
        <v/>
      </c>
    </row>
    <row r="333" spans="1:54" ht="15" customHeight="1" x14ac:dyDescent="0.25">
      <c r="A333" s="40">
        <v>20365</v>
      </c>
      <c r="B333" s="40" t="s">
        <v>87</v>
      </c>
      <c r="C333" s="40" t="s">
        <v>1736</v>
      </c>
      <c r="D333" s="40" t="s">
        <v>1737</v>
      </c>
      <c r="E333" s="40">
        <v>19</v>
      </c>
      <c r="F333" s="40" t="s">
        <v>53</v>
      </c>
      <c r="G333" s="40" t="s">
        <v>53</v>
      </c>
      <c r="H333" s="41" t="s">
        <v>647</v>
      </c>
      <c r="I333" s="65" t="s">
        <v>47</v>
      </c>
      <c r="J333" s="66" t="s">
        <v>43</v>
      </c>
      <c r="K333" s="67" t="s">
        <v>44</v>
      </c>
      <c r="L333" s="40">
        <v>1</v>
      </c>
      <c r="M333" s="40">
        <v>2</v>
      </c>
      <c r="N333" s="40">
        <v>2</v>
      </c>
      <c r="O333" s="40">
        <v>2</v>
      </c>
      <c r="P333" s="41">
        <v>1</v>
      </c>
      <c r="Q333" s="40">
        <v>3</v>
      </c>
      <c r="R333" s="40">
        <v>4</v>
      </c>
      <c r="S333" s="40">
        <v>3</v>
      </c>
      <c r="T333" s="40">
        <v>5</v>
      </c>
      <c r="U333" s="41">
        <v>4</v>
      </c>
      <c r="V333" s="40">
        <v>3</v>
      </c>
      <c r="W333" s="40">
        <v>1</v>
      </c>
      <c r="X333" s="40">
        <v>1</v>
      </c>
      <c r="Y333" s="41">
        <v>1</v>
      </c>
      <c r="Z333" s="40" t="s">
        <v>45</v>
      </c>
      <c r="AA333" s="40">
        <v>1</v>
      </c>
      <c r="AB333" s="40" t="s">
        <v>45</v>
      </c>
      <c r="AC333" s="40" t="s">
        <v>45</v>
      </c>
      <c r="AD333" s="40" t="s">
        <v>45</v>
      </c>
      <c r="AE333" s="40" t="s">
        <v>45</v>
      </c>
      <c r="AF333" s="40" t="s">
        <v>45</v>
      </c>
      <c r="AG333" s="41" t="s">
        <v>45</v>
      </c>
      <c r="AH333" s="40">
        <v>3</v>
      </c>
      <c r="AI333" s="40">
        <v>1</v>
      </c>
      <c r="AJ333" s="41">
        <v>2</v>
      </c>
      <c r="AK333" s="43" t="s">
        <v>45</v>
      </c>
      <c r="AL333" s="43"/>
      <c r="AM333" s="44">
        <f t="shared" si="36"/>
        <v>-1.8605124261753858</v>
      </c>
      <c r="AN333" s="44">
        <f t="shared" si="37"/>
        <v>-0.64104183102873458</v>
      </c>
      <c r="AO333" s="45">
        <f t="shared" si="38"/>
        <v>0</v>
      </c>
      <c r="AP333" s="46">
        <f t="shared" si="39"/>
        <v>0</v>
      </c>
      <c r="AQ333" s="44">
        <f>($AM$3*AM333+$AN$3*AN333+$AO$3*AO333+$AP$3*AP333)+$I$3*VLOOKUP(I333,COND!$A$2:$E$7,4,FALSE)+$J$3*VLOOKUP(J333,COND!$A$2:$C$7,2,FALSE)+$K$3*VLOOKUP(K333,COND!$A$2:$C$7,3,FALSE)+IF(AND($B$2&gt;0,$E333&lt;20),$B$2*25,0)</f>
        <v>42.046446785037645</v>
      </c>
      <c r="AR333" s="47">
        <f t="shared" si="40"/>
        <v>-0.46236788066737439</v>
      </c>
      <c r="AS333" s="45" t="str">
        <f t="shared" si="41"/>
        <v>1B</v>
      </c>
      <c r="AT333" s="45">
        <f>RANK(Batters[[#This Row],[zScore]],Batters[[#All],[zScore]])</f>
        <v>329</v>
      </c>
      <c r="AU333" s="45"/>
      <c r="AV333" s="45"/>
      <c r="AW333" s="45" t="str">
        <f t="shared" si="42"/>
        <v>Unlikely</v>
      </c>
      <c r="AX333" s="45"/>
      <c r="AY333" s="64" t="str">
        <f>INDEX(Table5[[#All],[Ovr]],MATCH(Batters[[#This Row],[PID]],Table5[[#All],[PID]],0))</f>
        <v/>
      </c>
      <c r="AZ333" s="64" t="str">
        <f>INDEX(Table5[[#All],[Rnd]],MATCH(Batters[[#This Row],[PID]],Table5[[#All],[PID]],0))</f>
        <v/>
      </c>
      <c r="BA333" s="64" t="str">
        <f>INDEX(Table5[[#All],[Pick]],MATCH(Batters[[#This Row],[PID]],Table5[[#All],[PID]],0))</f>
        <v/>
      </c>
      <c r="BB333" s="64" t="str">
        <f>INDEX(Table5[[#All],[Team]],MATCH(Batters[[#This Row],[PID]],Table5[[#All],[PID]],0))</f>
        <v/>
      </c>
    </row>
    <row r="334" spans="1:54" ht="15" customHeight="1" x14ac:dyDescent="0.25">
      <c r="A334" s="40">
        <v>20798</v>
      </c>
      <c r="B334" s="40" t="s">
        <v>50</v>
      </c>
      <c r="C334" s="40" t="s">
        <v>139</v>
      </c>
      <c r="D334" s="40" t="s">
        <v>1408</v>
      </c>
      <c r="E334" s="40">
        <v>17</v>
      </c>
      <c r="F334" s="40" t="s">
        <v>53</v>
      </c>
      <c r="G334" s="40" t="s">
        <v>42</v>
      </c>
      <c r="H334" s="41" t="s">
        <v>638</v>
      </c>
      <c r="I334" s="65" t="s">
        <v>43</v>
      </c>
      <c r="J334" s="66" t="s">
        <v>44</v>
      </c>
      <c r="K334" s="67" t="s">
        <v>43</v>
      </c>
      <c r="L334" s="40">
        <v>1</v>
      </c>
      <c r="M334" s="40">
        <v>3</v>
      </c>
      <c r="N334" s="40">
        <v>2</v>
      </c>
      <c r="O334" s="40">
        <v>2</v>
      </c>
      <c r="P334" s="41">
        <v>1</v>
      </c>
      <c r="Q334" s="40">
        <v>3</v>
      </c>
      <c r="R334" s="40">
        <v>5</v>
      </c>
      <c r="S334" s="40">
        <v>2</v>
      </c>
      <c r="T334" s="40">
        <v>6</v>
      </c>
      <c r="U334" s="41">
        <v>3</v>
      </c>
      <c r="V334" s="40">
        <v>5</v>
      </c>
      <c r="W334" s="40">
        <v>7</v>
      </c>
      <c r="X334" s="40">
        <v>1</v>
      </c>
      <c r="Y334" s="41">
        <v>1</v>
      </c>
      <c r="Z334" s="40" t="s">
        <v>45</v>
      </c>
      <c r="AA334" s="40" t="s">
        <v>45</v>
      </c>
      <c r="AB334" s="40" t="s">
        <v>45</v>
      </c>
      <c r="AC334" s="40" t="s">
        <v>45</v>
      </c>
      <c r="AD334" s="40" t="s">
        <v>45</v>
      </c>
      <c r="AE334" s="40">
        <v>1</v>
      </c>
      <c r="AF334" s="40" t="s">
        <v>45</v>
      </c>
      <c r="AG334" s="41" t="s">
        <v>45</v>
      </c>
      <c r="AH334" s="40">
        <v>2</v>
      </c>
      <c r="AI334" s="40">
        <v>4</v>
      </c>
      <c r="AJ334" s="41">
        <v>5</v>
      </c>
      <c r="AK334" s="43" t="s">
        <v>644</v>
      </c>
      <c r="AL334" s="43" t="s">
        <v>47</v>
      </c>
      <c r="AM334" s="44">
        <f t="shared" si="36"/>
        <v>-1.8094525465566824</v>
      </c>
      <c r="AN334" s="44">
        <f t="shared" si="37"/>
        <v>-0.62335023524143496</v>
      </c>
      <c r="AO334" s="45">
        <f t="shared" si="38"/>
        <v>0</v>
      </c>
      <c r="AP334" s="46">
        <f t="shared" si="39"/>
        <v>0</v>
      </c>
      <c r="AQ334" s="44">
        <f>($AM$3*AM334+$AN$3*AN334+$AO$3*AO334+$AP$3*AP334)+$I$3*VLOOKUP(I334,COND!$A$2:$E$7,4,FALSE)+$J$3*VLOOKUP(J334,COND!$A$2:$C$7,2,FALSE)+$K$3*VLOOKUP(K334,COND!$A$2:$C$7,3,FALSE)+IF(AND($B$2&gt;0,$E334&lt;20),$B$2*25,0)</f>
        <v>42.038851922447108</v>
      </c>
      <c r="AR334" s="47">
        <f t="shared" si="40"/>
        <v>-0.46405171304020315</v>
      </c>
      <c r="AS334" s="45" t="str">
        <f t="shared" si="41"/>
        <v>LF</v>
      </c>
      <c r="AT334" s="45">
        <f>RANK(Batters[[#This Row],[zScore]],Batters[[#All],[zScore]])</f>
        <v>330</v>
      </c>
      <c r="AU334" s="45"/>
      <c r="AV334" s="45"/>
      <c r="AW334" s="45" t="str">
        <f t="shared" si="42"/>
        <v>Unlikely</v>
      </c>
      <c r="AX334" s="45"/>
      <c r="AY334" s="45" t="str">
        <f>INDEX(Table5[[#All],[Ovr]],MATCH(Batters[[#This Row],[PID]],Table5[[#All],[PID]],0))</f>
        <v/>
      </c>
      <c r="AZ334" s="45" t="str">
        <f>INDEX(Table5[[#All],[Rnd]],MATCH(Batters[[#This Row],[PID]],Table5[[#All],[PID]],0))</f>
        <v/>
      </c>
      <c r="BA334" s="45" t="str">
        <f>INDEX(Table5[[#All],[Pick]],MATCH(Batters[[#This Row],[PID]],Table5[[#All],[PID]],0))</f>
        <v/>
      </c>
      <c r="BB334" s="45" t="str">
        <f>INDEX(Table5[[#All],[Team]],MATCH(Batters[[#This Row],[PID]],Table5[[#All],[PID]],0))</f>
        <v/>
      </c>
    </row>
    <row r="335" spans="1:54" ht="15" customHeight="1" x14ac:dyDescent="0.25">
      <c r="A335" s="40">
        <v>18341</v>
      </c>
      <c r="B335" s="40" t="s">
        <v>86</v>
      </c>
      <c r="C335" s="40" t="s">
        <v>1373</v>
      </c>
      <c r="D335" s="40" t="s">
        <v>1081</v>
      </c>
      <c r="E335" s="40">
        <v>18</v>
      </c>
      <c r="F335" s="40" t="s">
        <v>62</v>
      </c>
      <c r="G335" s="40" t="s">
        <v>42</v>
      </c>
      <c r="H335" s="41" t="s">
        <v>638</v>
      </c>
      <c r="I335" s="65" t="s">
        <v>43</v>
      </c>
      <c r="J335" s="66" t="s">
        <v>43</v>
      </c>
      <c r="K335" s="67" t="s">
        <v>43</v>
      </c>
      <c r="L335" s="40">
        <v>1</v>
      </c>
      <c r="M335" s="40">
        <v>3</v>
      </c>
      <c r="N335" s="40">
        <v>2</v>
      </c>
      <c r="O335" s="40">
        <v>1</v>
      </c>
      <c r="P335" s="41">
        <v>1</v>
      </c>
      <c r="Q335" s="40">
        <v>3</v>
      </c>
      <c r="R335" s="40">
        <v>4</v>
      </c>
      <c r="S335" s="40">
        <v>4</v>
      </c>
      <c r="T335" s="40">
        <v>4</v>
      </c>
      <c r="U335" s="41">
        <v>4</v>
      </c>
      <c r="V335" s="40">
        <v>1</v>
      </c>
      <c r="W335" s="40">
        <v>1</v>
      </c>
      <c r="X335" s="40">
        <v>3</v>
      </c>
      <c r="Y335" s="41">
        <v>6</v>
      </c>
      <c r="Z335" s="40" t="s">
        <v>45</v>
      </c>
      <c r="AA335" s="40" t="s">
        <v>45</v>
      </c>
      <c r="AB335" s="40" t="s">
        <v>45</v>
      </c>
      <c r="AC335" s="40" t="s">
        <v>45</v>
      </c>
      <c r="AD335" s="40" t="s">
        <v>45</v>
      </c>
      <c r="AE335" s="40" t="s">
        <v>45</v>
      </c>
      <c r="AF335" s="40" t="s">
        <v>45</v>
      </c>
      <c r="AG335" s="41" t="s">
        <v>45</v>
      </c>
      <c r="AH335" s="40">
        <v>2</v>
      </c>
      <c r="AI335" s="40">
        <v>1</v>
      </c>
      <c r="AJ335" s="41">
        <v>2</v>
      </c>
      <c r="AK335" s="43" t="s">
        <v>644</v>
      </c>
      <c r="AL335" s="43" t="s">
        <v>635</v>
      </c>
      <c r="AM335" s="44">
        <f t="shared" si="36"/>
        <v>-1.8991620965662634</v>
      </c>
      <c r="AN335" s="44">
        <f t="shared" si="37"/>
        <v>-0.64768988701441399</v>
      </c>
      <c r="AO335" s="45">
        <f t="shared" si="38"/>
        <v>0</v>
      </c>
      <c r="AP335" s="46">
        <f t="shared" si="39"/>
        <v>0</v>
      </c>
      <c r="AQ335" s="44">
        <f>($AM$3*AM335+$AN$3*AN335+$AO$3*AO335+$AP$3*AP335)+$I$3*VLOOKUP(I335,COND!$A$2:$E$7,4,FALSE)+$J$3*VLOOKUP(J335,COND!$A$2:$C$7,2,FALSE)+$K$3*VLOOKUP(K335,COND!$A$2:$C$7,3,FALSE)+IF(AND($B$2&gt;0,$E335&lt;20),$B$2*25,0)</f>
        <v>42.037805146170406</v>
      </c>
      <c r="AR335" s="47">
        <f t="shared" si="40"/>
        <v>-0.46428379041629897</v>
      </c>
      <c r="AS335" s="45" t="str">
        <f t="shared" si="41"/>
        <v>DH</v>
      </c>
      <c r="AT335" s="45">
        <f>RANK(Batters[[#This Row],[zScore]],Batters[[#All],[zScore]])</f>
        <v>331</v>
      </c>
      <c r="AU335" s="45"/>
      <c r="AV335" s="45"/>
      <c r="AW335" s="45" t="str">
        <f t="shared" si="42"/>
        <v>Unlikely</v>
      </c>
      <c r="AX335" s="45"/>
      <c r="AY335" s="45" t="str">
        <f>INDEX(Table5[[#All],[Ovr]],MATCH(Batters[[#This Row],[PID]],Table5[[#All],[PID]],0))</f>
        <v/>
      </c>
      <c r="AZ335" s="45" t="str">
        <f>INDEX(Table5[[#All],[Rnd]],MATCH(Batters[[#This Row],[PID]],Table5[[#All],[PID]],0))</f>
        <v/>
      </c>
      <c r="BA335" s="45" t="str">
        <f>INDEX(Table5[[#All],[Pick]],MATCH(Batters[[#This Row],[PID]],Table5[[#All],[PID]],0))</f>
        <v/>
      </c>
      <c r="BB335" s="45" t="str">
        <f>INDEX(Table5[[#All],[Team]],MATCH(Batters[[#This Row],[PID]],Table5[[#All],[PID]],0))</f>
        <v/>
      </c>
    </row>
    <row r="336" spans="1:54" ht="15" customHeight="1" x14ac:dyDescent="0.25">
      <c r="A336" s="40">
        <v>7327</v>
      </c>
      <c r="B336" s="40" t="s">
        <v>66</v>
      </c>
      <c r="C336" s="40" t="s">
        <v>826</v>
      </c>
      <c r="D336" s="40" t="s">
        <v>827</v>
      </c>
      <c r="E336" s="40">
        <v>22</v>
      </c>
      <c r="F336" s="40" t="s">
        <v>53</v>
      </c>
      <c r="G336" s="40" t="s">
        <v>42</v>
      </c>
      <c r="H336" s="41" t="s">
        <v>638</v>
      </c>
      <c r="I336" s="65" t="s">
        <v>43</v>
      </c>
      <c r="J336" s="66" t="s">
        <v>44</v>
      </c>
      <c r="K336" s="67" t="s">
        <v>44</v>
      </c>
      <c r="L336" s="40">
        <v>3</v>
      </c>
      <c r="M336" s="40">
        <v>4</v>
      </c>
      <c r="N336" s="40">
        <v>4</v>
      </c>
      <c r="O336" s="40">
        <v>4</v>
      </c>
      <c r="P336" s="41">
        <v>5</v>
      </c>
      <c r="Q336" s="40">
        <v>4</v>
      </c>
      <c r="R336" s="40">
        <v>4</v>
      </c>
      <c r="S336" s="40">
        <v>4</v>
      </c>
      <c r="T336" s="40">
        <v>5</v>
      </c>
      <c r="U336" s="41">
        <v>5</v>
      </c>
      <c r="V336" s="40">
        <v>2</v>
      </c>
      <c r="W336" s="40">
        <v>6</v>
      </c>
      <c r="X336" s="40">
        <v>1</v>
      </c>
      <c r="Y336" s="41">
        <v>1</v>
      </c>
      <c r="Z336" s="40" t="s">
        <v>45</v>
      </c>
      <c r="AA336" s="40" t="s">
        <v>45</v>
      </c>
      <c r="AB336" s="40" t="s">
        <v>45</v>
      </c>
      <c r="AC336" s="40" t="s">
        <v>45</v>
      </c>
      <c r="AD336" s="40" t="s">
        <v>45</v>
      </c>
      <c r="AE336" s="40" t="s">
        <v>45</v>
      </c>
      <c r="AF336" s="40">
        <v>1</v>
      </c>
      <c r="AG336" s="41">
        <v>4</v>
      </c>
      <c r="AH336" s="40">
        <v>3</v>
      </c>
      <c r="AI336" s="40">
        <v>1</v>
      </c>
      <c r="AJ336" s="41">
        <v>1</v>
      </c>
      <c r="AK336" s="43" t="s">
        <v>45</v>
      </c>
      <c r="AL336" s="43" t="s">
        <v>47</v>
      </c>
      <c r="AM336" s="44">
        <f t="shared" si="36"/>
        <v>-0.60767354719733069</v>
      </c>
      <c r="AN336" s="44">
        <f t="shared" si="37"/>
        <v>-0.19540816098507491</v>
      </c>
      <c r="AO336" s="45">
        <f t="shared" si="38"/>
        <v>0</v>
      </c>
      <c r="AP336" s="46">
        <f t="shared" si="39"/>
        <v>0</v>
      </c>
      <c r="AQ336" s="44">
        <f>($AM$3*AM336+$AN$3*AN336+$AO$3*AO336+$AP$3*AP336)+$I$3*VLOOKUP(I336,COND!$A$2:$E$7,4,FALSE)+$J$3*VLOOKUP(J336,COND!$A$2:$C$7,2,FALSE)+$K$3*VLOOKUP(K336,COND!$A$2:$C$7,3,FALSE)+IF(AND($B$2&gt;0,$E336&lt;20),$B$2*25,0)</f>
        <v>41.994334713459367</v>
      </c>
      <c r="AR336" s="47">
        <f t="shared" si="40"/>
        <v>-0.47392147918119171</v>
      </c>
      <c r="AS336" s="45" t="str">
        <f t="shared" si="41"/>
        <v>RF</v>
      </c>
      <c r="AT336" s="45">
        <f>RANK(Batters[[#This Row],[zScore]],Batters[[#All],[zScore]])</f>
        <v>332</v>
      </c>
      <c r="AU336" s="45"/>
      <c r="AV336" s="45"/>
      <c r="AW336" s="45" t="str">
        <f t="shared" si="42"/>
        <v>Unlikely</v>
      </c>
      <c r="AX336" s="45"/>
      <c r="AY336" s="45" t="str">
        <f>INDEX(Table5[[#All],[Ovr]],MATCH(Batters[[#This Row],[PID]],Table5[[#All],[PID]],0))</f>
        <v/>
      </c>
      <c r="AZ336" s="45" t="str">
        <f>INDEX(Table5[[#All],[Rnd]],MATCH(Batters[[#This Row],[PID]],Table5[[#All],[PID]],0))</f>
        <v/>
      </c>
      <c r="BA336" s="45" t="str">
        <f>INDEX(Table5[[#All],[Pick]],MATCH(Batters[[#This Row],[PID]],Table5[[#All],[PID]],0))</f>
        <v/>
      </c>
      <c r="BB336" s="45" t="str">
        <f>INDEX(Table5[[#All],[Team]],MATCH(Batters[[#This Row],[PID]],Table5[[#All],[PID]],0))</f>
        <v/>
      </c>
    </row>
    <row r="337" spans="1:54" ht="15" customHeight="1" x14ac:dyDescent="0.25">
      <c r="A337" s="40">
        <v>20593</v>
      </c>
      <c r="B337" s="40" t="s">
        <v>72</v>
      </c>
      <c r="C337" s="40" t="s">
        <v>142</v>
      </c>
      <c r="D337" s="40" t="s">
        <v>1644</v>
      </c>
      <c r="E337" s="40">
        <v>18</v>
      </c>
      <c r="F337" s="40" t="s">
        <v>53</v>
      </c>
      <c r="G337" s="40" t="s">
        <v>42</v>
      </c>
      <c r="H337" s="41" t="s">
        <v>638</v>
      </c>
      <c r="I337" s="65" t="s">
        <v>43</v>
      </c>
      <c r="J337" s="66" t="s">
        <v>44</v>
      </c>
      <c r="K337" s="67" t="s">
        <v>43</v>
      </c>
      <c r="L337" s="40">
        <v>1</v>
      </c>
      <c r="M337" s="40">
        <v>2</v>
      </c>
      <c r="N337" s="40">
        <v>2</v>
      </c>
      <c r="O337" s="40">
        <v>2</v>
      </c>
      <c r="P337" s="41">
        <v>1</v>
      </c>
      <c r="Q337" s="40">
        <v>3</v>
      </c>
      <c r="R337" s="40">
        <v>4</v>
      </c>
      <c r="S337" s="40">
        <v>3</v>
      </c>
      <c r="T337" s="40">
        <v>5</v>
      </c>
      <c r="U337" s="41">
        <v>4</v>
      </c>
      <c r="V337" s="40">
        <v>4</v>
      </c>
      <c r="W337" s="40">
        <v>5</v>
      </c>
      <c r="X337" s="40">
        <v>1</v>
      </c>
      <c r="Y337" s="41">
        <v>1</v>
      </c>
      <c r="Z337" s="40" t="s">
        <v>45</v>
      </c>
      <c r="AA337" s="40" t="s">
        <v>45</v>
      </c>
      <c r="AB337" s="40">
        <v>1</v>
      </c>
      <c r="AC337" s="40">
        <v>1</v>
      </c>
      <c r="AD337" s="40">
        <v>1</v>
      </c>
      <c r="AE337" s="40" t="s">
        <v>45</v>
      </c>
      <c r="AF337" s="40" t="s">
        <v>45</v>
      </c>
      <c r="AG337" s="41" t="s">
        <v>45</v>
      </c>
      <c r="AH337" s="40">
        <v>4</v>
      </c>
      <c r="AI337" s="40">
        <v>6</v>
      </c>
      <c r="AJ337" s="41">
        <v>7</v>
      </c>
      <c r="AK337" s="43" t="s">
        <v>644</v>
      </c>
      <c r="AL337" s="43"/>
      <c r="AM337" s="44">
        <f t="shared" si="36"/>
        <v>-1.8605124261753858</v>
      </c>
      <c r="AN337" s="44">
        <f t="shared" si="37"/>
        <v>-0.64104183102873458</v>
      </c>
      <c r="AO337" s="45">
        <f t="shared" si="38"/>
        <v>1</v>
      </c>
      <c r="AP337" s="46">
        <f t="shared" si="39"/>
        <v>0</v>
      </c>
      <c r="AQ337" s="44">
        <f>($AM$3*AM337+$AN$3*AN337+$AO$3*AO337+$AP$3*AP337)+$I$3*VLOOKUP(I337,COND!$A$2:$E$7,4,FALSE)+$J$3*VLOOKUP(J337,COND!$A$2:$C$7,2,FALSE)+$K$3*VLOOKUP(K337,COND!$A$2:$C$7,3,FALSE)+IF(AND($B$2&gt;0,$E337&lt;20),$B$2*25,0)</f>
        <v>41.988113451704315</v>
      </c>
      <c r="AR337" s="47">
        <f t="shared" si="40"/>
        <v>-0.47530077496411338</v>
      </c>
      <c r="AS337" s="45" t="str">
        <f t="shared" si="41"/>
        <v>2B</v>
      </c>
      <c r="AT337" s="45">
        <f>RANK(Batters[[#This Row],[zScore]],Batters[[#All],[zScore]])</f>
        <v>333</v>
      </c>
      <c r="AU337" s="45"/>
      <c r="AV337" s="45"/>
      <c r="AW337" s="45" t="str">
        <f t="shared" si="42"/>
        <v>Unlikely</v>
      </c>
      <c r="AX337" s="45"/>
      <c r="AY337" s="64" t="str">
        <f>INDEX(Table5[[#All],[Ovr]],MATCH(Batters[[#This Row],[PID]],Table5[[#All],[PID]],0))</f>
        <v/>
      </c>
      <c r="AZ337" s="64" t="str">
        <f>INDEX(Table5[[#All],[Rnd]],MATCH(Batters[[#This Row],[PID]],Table5[[#All],[PID]],0))</f>
        <v/>
      </c>
      <c r="BA337" s="64" t="str">
        <f>INDEX(Table5[[#All],[Pick]],MATCH(Batters[[#This Row],[PID]],Table5[[#All],[PID]],0))</f>
        <v/>
      </c>
      <c r="BB337" s="64" t="str">
        <f>INDEX(Table5[[#All],[Team]],MATCH(Batters[[#This Row],[PID]],Table5[[#All],[PID]],0))</f>
        <v/>
      </c>
    </row>
    <row r="338" spans="1:54" ht="15" customHeight="1" x14ac:dyDescent="0.25">
      <c r="A338" s="40">
        <v>18366</v>
      </c>
      <c r="B338" s="40" t="s">
        <v>86</v>
      </c>
      <c r="C338" s="40" t="s">
        <v>176</v>
      </c>
      <c r="D338" s="40" t="s">
        <v>720</v>
      </c>
      <c r="E338" s="40">
        <v>18</v>
      </c>
      <c r="F338" s="40" t="s">
        <v>42</v>
      </c>
      <c r="G338" s="40" t="s">
        <v>42</v>
      </c>
      <c r="H338" s="41" t="s">
        <v>634</v>
      </c>
      <c r="I338" s="65" t="s">
        <v>43</v>
      </c>
      <c r="J338" s="66" t="s">
        <v>44</v>
      </c>
      <c r="K338" s="67" t="s">
        <v>43</v>
      </c>
      <c r="L338" s="40">
        <v>1</v>
      </c>
      <c r="M338" s="40">
        <v>2</v>
      </c>
      <c r="N338" s="40">
        <v>2</v>
      </c>
      <c r="O338" s="40">
        <v>2</v>
      </c>
      <c r="P338" s="41">
        <v>1</v>
      </c>
      <c r="Q338" s="40">
        <v>3</v>
      </c>
      <c r="R338" s="40">
        <v>5</v>
      </c>
      <c r="S338" s="40">
        <v>3</v>
      </c>
      <c r="T338" s="40">
        <v>5</v>
      </c>
      <c r="U338" s="41">
        <v>3</v>
      </c>
      <c r="V338" s="40">
        <v>4</v>
      </c>
      <c r="W338" s="40">
        <v>3</v>
      </c>
      <c r="X338" s="40">
        <v>5</v>
      </c>
      <c r="Y338" s="41">
        <v>5</v>
      </c>
      <c r="Z338" s="40" t="s">
        <v>45</v>
      </c>
      <c r="AA338" s="40" t="s">
        <v>45</v>
      </c>
      <c r="AB338" s="40" t="s">
        <v>45</v>
      </c>
      <c r="AC338" s="40" t="s">
        <v>45</v>
      </c>
      <c r="AD338" s="40" t="s">
        <v>45</v>
      </c>
      <c r="AE338" s="40" t="s">
        <v>45</v>
      </c>
      <c r="AF338" s="40" t="s">
        <v>45</v>
      </c>
      <c r="AG338" s="41" t="s">
        <v>45</v>
      </c>
      <c r="AH338" s="40">
        <v>1</v>
      </c>
      <c r="AI338" s="40">
        <v>1</v>
      </c>
      <c r="AJ338" s="41">
        <v>1</v>
      </c>
      <c r="AK338" s="43" t="s">
        <v>644</v>
      </c>
      <c r="AL338" s="43" t="s">
        <v>635</v>
      </c>
      <c r="AM338" s="44">
        <f t="shared" si="36"/>
        <v>-1.8605124261753858</v>
      </c>
      <c r="AN338" s="44">
        <f t="shared" si="37"/>
        <v>-0.62999829122711448</v>
      </c>
      <c r="AO338" s="45">
        <f t="shared" si="38"/>
        <v>0</v>
      </c>
      <c r="AP338" s="46">
        <f t="shared" si="39"/>
        <v>0</v>
      </c>
      <c r="AQ338" s="44">
        <f>($AM$3*AM338+$AN$3*AN338+$AO$3*AO338+$AP$3*AP338)+$I$3*VLOOKUP(I338,COND!$A$2:$E$7,4,FALSE)+$J$3*VLOOKUP(J338,COND!$A$2:$C$7,2,FALSE)+$K$3*VLOOKUP(K338,COND!$A$2:$C$7,3,FALSE)+IF(AND($B$2&gt;0,$E338&lt;20),$B$2*25,0)</f>
        <v>41.953969262657083</v>
      </c>
      <c r="AR338" s="47">
        <f t="shared" si="40"/>
        <v>-0.48287077246918347</v>
      </c>
      <c r="AS338" s="45" t="str">
        <f t="shared" si="41"/>
        <v>DH</v>
      </c>
      <c r="AT338" s="45">
        <f>RANK(Batters[[#This Row],[zScore]],Batters[[#All],[zScore]])</f>
        <v>334</v>
      </c>
      <c r="AU338" s="45"/>
      <c r="AV338" s="45"/>
      <c r="AW338" s="45" t="str">
        <f t="shared" si="42"/>
        <v>Unlikely</v>
      </c>
      <c r="AX338" s="45"/>
      <c r="AY338" s="45" t="str">
        <f>INDEX(Table5[[#All],[Ovr]],MATCH(Batters[[#This Row],[PID]],Table5[[#All],[PID]],0))</f>
        <v/>
      </c>
      <c r="AZ338" s="45" t="str">
        <f>INDEX(Table5[[#All],[Rnd]],MATCH(Batters[[#This Row],[PID]],Table5[[#All],[PID]],0))</f>
        <v/>
      </c>
      <c r="BA338" s="45" t="str">
        <f>INDEX(Table5[[#All],[Pick]],MATCH(Batters[[#This Row],[PID]],Table5[[#All],[PID]],0))</f>
        <v/>
      </c>
      <c r="BB338" s="45" t="str">
        <f>INDEX(Table5[[#All],[Team]],MATCH(Batters[[#This Row],[PID]],Table5[[#All],[PID]],0))</f>
        <v/>
      </c>
    </row>
    <row r="339" spans="1:54" ht="15" customHeight="1" x14ac:dyDescent="0.25">
      <c r="A339" s="40">
        <v>20229</v>
      </c>
      <c r="B339" s="40" t="s">
        <v>50</v>
      </c>
      <c r="C339" s="40" t="s">
        <v>354</v>
      </c>
      <c r="D339" s="40" t="s">
        <v>523</v>
      </c>
      <c r="E339" s="40">
        <v>22</v>
      </c>
      <c r="F339" s="40" t="s">
        <v>42</v>
      </c>
      <c r="G339" s="40" t="s">
        <v>42</v>
      </c>
      <c r="H339" s="41" t="s">
        <v>634</v>
      </c>
      <c r="I339" s="65" t="s">
        <v>43</v>
      </c>
      <c r="J339" s="66" t="s">
        <v>43</v>
      </c>
      <c r="K339" s="67" t="s">
        <v>43</v>
      </c>
      <c r="L339" s="40">
        <v>2</v>
      </c>
      <c r="M339" s="40">
        <v>4</v>
      </c>
      <c r="N339" s="40">
        <v>7</v>
      </c>
      <c r="O339" s="40">
        <v>4</v>
      </c>
      <c r="P339" s="41">
        <v>2</v>
      </c>
      <c r="Q339" s="40">
        <v>3</v>
      </c>
      <c r="R339" s="40">
        <v>5</v>
      </c>
      <c r="S339" s="40">
        <v>8</v>
      </c>
      <c r="T339" s="40">
        <v>5</v>
      </c>
      <c r="U339" s="41">
        <v>2</v>
      </c>
      <c r="V339" s="40">
        <v>3</v>
      </c>
      <c r="W339" s="40">
        <v>5</v>
      </c>
      <c r="X339" s="40">
        <v>1</v>
      </c>
      <c r="Y339" s="41">
        <v>1</v>
      </c>
      <c r="Z339" s="40" t="s">
        <v>45</v>
      </c>
      <c r="AA339" s="40" t="s">
        <v>45</v>
      </c>
      <c r="AB339" s="40" t="s">
        <v>45</v>
      </c>
      <c r="AC339" s="40" t="s">
        <v>45</v>
      </c>
      <c r="AD339" s="40" t="s">
        <v>45</v>
      </c>
      <c r="AE339" s="40">
        <v>4</v>
      </c>
      <c r="AF339" s="40" t="s">
        <v>45</v>
      </c>
      <c r="AG339" s="41">
        <v>1</v>
      </c>
      <c r="AH339" s="40">
        <v>5</v>
      </c>
      <c r="AI339" s="40">
        <v>4</v>
      </c>
      <c r="AJ339" s="41">
        <v>3</v>
      </c>
      <c r="AK339" s="43" t="s">
        <v>1281</v>
      </c>
      <c r="AL339" s="43" t="s">
        <v>47</v>
      </c>
      <c r="AM339" s="44">
        <f t="shared" si="36"/>
        <v>-0.80109392077955133</v>
      </c>
      <c r="AN339" s="44">
        <f t="shared" si="37"/>
        <v>-0.25470716092469042</v>
      </c>
      <c r="AO339" s="45">
        <f t="shared" si="38"/>
        <v>0</v>
      </c>
      <c r="AP339" s="46">
        <f t="shared" si="39"/>
        <v>0</v>
      </c>
      <c r="AQ339" s="44">
        <f>($AM$3*AM339+$AN$3*AN339+$AO$3*AO339+$AP$3*AP339)+$I$3*VLOOKUP(I339,COND!$A$2:$E$7,4,FALSE)+$J$3*VLOOKUP(J339,COND!$A$2:$C$7,2,FALSE)+$K$3*VLOOKUP(K339,COND!$A$2:$C$7,3,FALSE)+IF(AND($B$2&gt;0,$E339&lt;20),$B$2*25,0)</f>
        <v>41.863404676825759</v>
      </c>
      <c r="AR339" s="47">
        <f t="shared" si="40"/>
        <v>-0.50294955330777524</v>
      </c>
      <c r="AS339" s="45" t="str">
        <f t="shared" si="41"/>
        <v>LF</v>
      </c>
      <c r="AT339" s="45">
        <f>RANK(Batters[[#This Row],[zScore]],Batters[[#All],[zScore]])</f>
        <v>335</v>
      </c>
      <c r="AU339" s="45"/>
      <c r="AV339" s="45"/>
      <c r="AW339" s="45" t="str">
        <f t="shared" si="42"/>
        <v>Possible</v>
      </c>
      <c r="AX339" s="45"/>
      <c r="AY339" s="45">
        <f>INDEX(Table5[[#All],[Ovr]],MATCH(Batters[[#This Row],[PID]],Table5[[#All],[PID]],0))</f>
        <v>311</v>
      </c>
      <c r="AZ339" s="45" t="str">
        <f>INDEX(Table5[[#All],[Rnd]],MATCH(Batters[[#This Row],[PID]],Table5[[#All],[PID]],0))</f>
        <v>11</v>
      </c>
      <c r="BA339" s="45">
        <f>INDEX(Table5[[#All],[Pick]],MATCH(Batters[[#This Row],[PID]],Table5[[#All],[PID]],0))</f>
        <v>3</v>
      </c>
      <c r="BB339" s="45" t="str">
        <f>INDEX(Table5[[#All],[Team]],MATCH(Batters[[#This Row],[PID]],Table5[[#All],[PID]],0))</f>
        <v>New Orleans Trendsetters</v>
      </c>
    </row>
    <row r="340" spans="1:54" ht="15" customHeight="1" x14ac:dyDescent="0.25">
      <c r="A340" s="40">
        <v>20872</v>
      </c>
      <c r="B340" s="40" t="s">
        <v>71</v>
      </c>
      <c r="C340" s="40" t="s">
        <v>1425</v>
      </c>
      <c r="D340" s="40" t="s">
        <v>131</v>
      </c>
      <c r="E340" s="40">
        <v>18</v>
      </c>
      <c r="F340" s="40" t="s">
        <v>42</v>
      </c>
      <c r="G340" s="40" t="s">
        <v>42</v>
      </c>
      <c r="H340" s="41" t="s">
        <v>638</v>
      </c>
      <c r="I340" s="65" t="s">
        <v>43</v>
      </c>
      <c r="J340" s="66" t="s">
        <v>43</v>
      </c>
      <c r="K340" s="67" t="s">
        <v>43</v>
      </c>
      <c r="L340" s="40">
        <v>1</v>
      </c>
      <c r="M340" s="40">
        <v>2</v>
      </c>
      <c r="N340" s="40">
        <v>2</v>
      </c>
      <c r="O340" s="40">
        <v>1</v>
      </c>
      <c r="P340" s="41">
        <v>1</v>
      </c>
      <c r="Q340" s="40">
        <v>3</v>
      </c>
      <c r="R340" s="40">
        <v>5</v>
      </c>
      <c r="S340" s="40">
        <v>3</v>
      </c>
      <c r="T340" s="40">
        <v>4</v>
      </c>
      <c r="U340" s="41">
        <v>3</v>
      </c>
      <c r="V340" s="40">
        <v>5</v>
      </c>
      <c r="W340" s="40">
        <v>4</v>
      </c>
      <c r="X340" s="40">
        <v>1</v>
      </c>
      <c r="Y340" s="41">
        <v>1</v>
      </c>
      <c r="Z340" s="40" t="s">
        <v>45</v>
      </c>
      <c r="AA340" s="40" t="s">
        <v>45</v>
      </c>
      <c r="AB340" s="40">
        <v>2</v>
      </c>
      <c r="AC340" s="40" t="s">
        <v>45</v>
      </c>
      <c r="AD340" s="40" t="s">
        <v>45</v>
      </c>
      <c r="AE340" s="40">
        <v>1</v>
      </c>
      <c r="AF340" s="40" t="s">
        <v>45</v>
      </c>
      <c r="AG340" s="41" t="s">
        <v>45</v>
      </c>
      <c r="AH340" s="40">
        <v>9</v>
      </c>
      <c r="AI340" s="40">
        <v>7</v>
      </c>
      <c r="AJ340" s="41">
        <v>9</v>
      </c>
      <c r="AK340" s="43" t="s">
        <v>644</v>
      </c>
      <c r="AL340" s="43" t="s">
        <v>47</v>
      </c>
      <c r="AM340" s="44">
        <f t="shared" si="36"/>
        <v>-1.9502219761849671</v>
      </c>
      <c r="AN340" s="44">
        <f t="shared" si="37"/>
        <v>-0.71970784123669562</v>
      </c>
      <c r="AO340" s="45">
        <f t="shared" si="38"/>
        <v>4</v>
      </c>
      <c r="AP340" s="46">
        <f t="shared" si="39"/>
        <v>0</v>
      </c>
      <c r="AQ340" s="44">
        <f>($AM$3*AM340+$AN$3*AN340+$AO$3*AO340+$AP$3*AP340)+$I$3*VLOOKUP(I340,COND!$A$2:$E$7,4,FALSE)+$J$3*VLOOKUP(J340,COND!$A$2:$C$7,2,FALSE)+$K$3*VLOOKUP(K340,COND!$A$2:$C$7,3,FALSE)+IF(AND($B$2&gt;0,$E340&lt;20),$B$2*25,0)</f>
        <v>41.835150374207821</v>
      </c>
      <c r="AR340" s="47">
        <f t="shared" si="40"/>
        <v>-0.5092137231795334</v>
      </c>
      <c r="AS340" s="45" t="str">
        <f t="shared" si="41"/>
        <v>2B</v>
      </c>
      <c r="AT340" s="45">
        <f>RANK(Batters[[#This Row],[zScore]],Batters[[#All],[zScore]])</f>
        <v>336</v>
      </c>
      <c r="AU340" s="45"/>
      <c r="AV340" s="45"/>
      <c r="AW340" s="45" t="str">
        <f t="shared" si="42"/>
        <v>Unlikely</v>
      </c>
      <c r="AX340" s="45"/>
      <c r="AY340" s="45">
        <f>INDEX(Table5[[#All],[Ovr]],MATCH(Batters[[#This Row],[PID]],Table5[[#All],[PID]],0))</f>
        <v>501</v>
      </c>
      <c r="AZ340" s="45" t="str">
        <f>INDEX(Table5[[#All],[Rnd]],MATCH(Batters[[#This Row],[PID]],Table5[[#All],[PID]],0))</f>
        <v>17</v>
      </c>
      <c r="BA340" s="45">
        <f>INDEX(Table5[[#All],[Pick]],MATCH(Batters[[#This Row],[PID]],Table5[[#All],[PID]],0))</f>
        <v>13</v>
      </c>
      <c r="BB340" s="45" t="str">
        <f>INDEX(Table5[[#All],[Team]],MATCH(Batters[[#This Row],[PID]],Table5[[#All],[PID]],0))</f>
        <v>Reno Zephyrs</v>
      </c>
    </row>
    <row r="341" spans="1:54" ht="15" customHeight="1" x14ac:dyDescent="0.25">
      <c r="A341" s="40">
        <v>20948</v>
      </c>
      <c r="B341" s="40" t="s">
        <v>69</v>
      </c>
      <c r="C341" s="40" t="s">
        <v>1433</v>
      </c>
      <c r="D341" s="40" t="s">
        <v>761</v>
      </c>
      <c r="E341" s="40">
        <v>17</v>
      </c>
      <c r="F341" s="40" t="s">
        <v>42</v>
      </c>
      <c r="G341" s="40" t="s">
        <v>42</v>
      </c>
      <c r="H341" s="41" t="s">
        <v>638</v>
      </c>
      <c r="I341" s="65" t="s">
        <v>43</v>
      </c>
      <c r="J341" s="66" t="s">
        <v>44</v>
      </c>
      <c r="K341" s="67" t="s">
        <v>43</v>
      </c>
      <c r="L341" s="40">
        <v>1</v>
      </c>
      <c r="M341" s="40">
        <v>1</v>
      </c>
      <c r="N341" s="40">
        <v>2</v>
      </c>
      <c r="O341" s="40">
        <v>2</v>
      </c>
      <c r="P341" s="41">
        <v>1</v>
      </c>
      <c r="Q341" s="40">
        <v>3</v>
      </c>
      <c r="R341" s="40">
        <v>4</v>
      </c>
      <c r="S341" s="40">
        <v>3</v>
      </c>
      <c r="T341" s="40">
        <v>5</v>
      </c>
      <c r="U341" s="41">
        <v>4</v>
      </c>
      <c r="V341" s="40">
        <v>7</v>
      </c>
      <c r="W341" s="40">
        <v>7</v>
      </c>
      <c r="X341" s="40">
        <v>1</v>
      </c>
      <c r="Y341" s="41">
        <v>1</v>
      </c>
      <c r="Z341" s="40" t="s">
        <v>45</v>
      </c>
      <c r="AA341" s="40" t="s">
        <v>45</v>
      </c>
      <c r="AB341" s="40">
        <v>2</v>
      </c>
      <c r="AC341" s="40">
        <v>2</v>
      </c>
      <c r="AD341" s="40">
        <v>1</v>
      </c>
      <c r="AE341" s="40" t="s">
        <v>45</v>
      </c>
      <c r="AF341" s="40" t="s">
        <v>45</v>
      </c>
      <c r="AG341" s="41" t="s">
        <v>45</v>
      </c>
      <c r="AH341" s="40">
        <v>7</v>
      </c>
      <c r="AI341" s="40">
        <v>7</v>
      </c>
      <c r="AJ341" s="41">
        <v>4</v>
      </c>
      <c r="AK341" s="43" t="s">
        <v>644</v>
      </c>
      <c r="AL341" s="43" t="s">
        <v>635</v>
      </c>
      <c r="AM341" s="44">
        <f t="shared" si="36"/>
        <v>-1.9115723057940897</v>
      </c>
      <c r="AN341" s="44">
        <f t="shared" si="37"/>
        <v>-0.64104183102873458</v>
      </c>
      <c r="AO341" s="45">
        <f t="shared" si="38"/>
        <v>0</v>
      </c>
      <c r="AP341" s="46">
        <f t="shared" si="39"/>
        <v>0</v>
      </c>
      <c r="AQ341" s="44">
        <f>($AM$3*AM341+$AN$3*AN341+$AO$3*AO341+$AP$3*AP341)+$I$3*VLOOKUP(I341,COND!$A$2:$E$7,4,FALSE)+$J$3*VLOOKUP(J341,COND!$A$2:$C$7,2,FALSE)+$K$3*VLOOKUP(K341,COND!$A$2:$C$7,3,FALSE)+IF(AND($B$2&gt;0,$E341&lt;20),$B$2*25,0)</f>
        <v>41.816340797075775</v>
      </c>
      <c r="AR341" s="47">
        <f t="shared" si="40"/>
        <v>-0.51338393357064982</v>
      </c>
      <c r="AS341" s="45" t="str">
        <f t="shared" si="41"/>
        <v>2B</v>
      </c>
      <c r="AT341" s="45">
        <f>RANK(Batters[[#This Row],[zScore]],Batters[[#All],[zScore]])</f>
        <v>337</v>
      </c>
      <c r="AU341" s="45"/>
      <c r="AV341" s="45"/>
      <c r="AW341" s="45" t="str">
        <f t="shared" si="42"/>
        <v>Unlikely</v>
      </c>
      <c r="AX341" s="45"/>
      <c r="AY341" s="45" t="str">
        <f>INDEX(Table5[[#All],[Ovr]],MATCH(Batters[[#This Row],[PID]],Table5[[#All],[PID]],0))</f>
        <v/>
      </c>
      <c r="AZ341" s="45" t="str">
        <f>INDEX(Table5[[#All],[Rnd]],MATCH(Batters[[#This Row],[PID]],Table5[[#All],[PID]],0))</f>
        <v/>
      </c>
      <c r="BA341" s="45" t="str">
        <f>INDEX(Table5[[#All],[Pick]],MATCH(Batters[[#This Row],[PID]],Table5[[#All],[PID]],0))</f>
        <v/>
      </c>
      <c r="BB341" s="45" t="str">
        <f>INDEX(Table5[[#All],[Team]],MATCH(Batters[[#This Row],[PID]],Table5[[#All],[PID]],0))</f>
        <v/>
      </c>
    </row>
    <row r="342" spans="1:54" ht="15" customHeight="1" x14ac:dyDescent="0.25">
      <c r="A342" s="40">
        <v>20888</v>
      </c>
      <c r="B342" s="40" t="s">
        <v>86</v>
      </c>
      <c r="C342" s="40" t="s">
        <v>209</v>
      </c>
      <c r="D342" s="40" t="s">
        <v>687</v>
      </c>
      <c r="E342" s="40">
        <v>17</v>
      </c>
      <c r="F342" s="40" t="s">
        <v>42</v>
      </c>
      <c r="G342" s="40" t="s">
        <v>42</v>
      </c>
      <c r="H342" s="41" t="s">
        <v>638</v>
      </c>
      <c r="I342" s="65" t="s">
        <v>43</v>
      </c>
      <c r="J342" s="66" t="s">
        <v>43</v>
      </c>
      <c r="K342" s="67" t="s">
        <v>44</v>
      </c>
      <c r="L342" s="40">
        <v>1</v>
      </c>
      <c r="M342" s="40">
        <v>1</v>
      </c>
      <c r="N342" s="40">
        <v>2</v>
      </c>
      <c r="O342" s="40">
        <v>2</v>
      </c>
      <c r="P342" s="41">
        <v>1</v>
      </c>
      <c r="Q342" s="40">
        <v>3</v>
      </c>
      <c r="R342" s="40">
        <v>4</v>
      </c>
      <c r="S342" s="40">
        <v>3</v>
      </c>
      <c r="T342" s="40">
        <v>5</v>
      </c>
      <c r="U342" s="41">
        <v>4</v>
      </c>
      <c r="V342" s="40">
        <v>3</v>
      </c>
      <c r="W342" s="40">
        <v>3</v>
      </c>
      <c r="X342" s="40">
        <v>4</v>
      </c>
      <c r="Y342" s="41">
        <v>5</v>
      </c>
      <c r="Z342" s="40" t="s">
        <v>45</v>
      </c>
      <c r="AA342" s="40" t="s">
        <v>45</v>
      </c>
      <c r="AB342" s="40" t="s">
        <v>45</v>
      </c>
      <c r="AC342" s="40" t="s">
        <v>45</v>
      </c>
      <c r="AD342" s="40" t="s">
        <v>45</v>
      </c>
      <c r="AE342" s="40" t="s">
        <v>45</v>
      </c>
      <c r="AF342" s="40" t="s">
        <v>45</v>
      </c>
      <c r="AG342" s="41" t="s">
        <v>45</v>
      </c>
      <c r="AH342" s="40">
        <v>3</v>
      </c>
      <c r="AI342" s="40">
        <v>2</v>
      </c>
      <c r="AJ342" s="41">
        <v>1</v>
      </c>
      <c r="AK342" s="43" t="s">
        <v>670</v>
      </c>
      <c r="AL342" s="43" t="s">
        <v>47</v>
      </c>
      <c r="AM342" s="44">
        <f t="shared" si="36"/>
        <v>-1.9115723057940897</v>
      </c>
      <c r="AN342" s="44">
        <f t="shared" si="37"/>
        <v>-0.64104183102873458</v>
      </c>
      <c r="AO342" s="45">
        <f t="shared" si="38"/>
        <v>0</v>
      </c>
      <c r="AP342" s="46">
        <f t="shared" si="39"/>
        <v>0</v>
      </c>
      <c r="AQ342" s="44">
        <f>($AM$3*AM342+$AN$3*AN342+$AO$3*AO342+$AP$3*AP342)+$I$3*VLOOKUP(I342,COND!$A$2:$E$7,4,FALSE)+$J$3*VLOOKUP(J342,COND!$A$2:$C$7,2,FALSE)+$K$3*VLOOKUP(K342,COND!$A$2:$C$7,3,FALSE)+IF(AND($B$2&gt;0,$E342&lt;20),$B$2*25,0)</f>
        <v>41.816340797075775</v>
      </c>
      <c r="AR342" s="47">
        <f t="shared" si="40"/>
        <v>-0.51338393357064982</v>
      </c>
      <c r="AS342" s="45" t="str">
        <f t="shared" si="41"/>
        <v>DH</v>
      </c>
      <c r="AT342" s="45">
        <f>RANK(Batters[[#This Row],[zScore]],Batters[[#All],[zScore]])</f>
        <v>337</v>
      </c>
      <c r="AU342" s="45"/>
      <c r="AV342" s="45"/>
      <c r="AW342" s="45" t="str">
        <f t="shared" si="42"/>
        <v>Unlikely</v>
      </c>
      <c r="AX342" s="45"/>
      <c r="AY342" s="45" t="str">
        <f>INDEX(Table5[[#All],[Ovr]],MATCH(Batters[[#This Row],[PID]],Table5[[#All],[PID]],0))</f>
        <v/>
      </c>
      <c r="AZ342" s="45" t="str">
        <f>INDEX(Table5[[#All],[Rnd]],MATCH(Batters[[#This Row],[PID]],Table5[[#All],[PID]],0))</f>
        <v/>
      </c>
      <c r="BA342" s="45" t="str">
        <f>INDEX(Table5[[#All],[Pick]],MATCH(Batters[[#This Row],[PID]],Table5[[#All],[PID]],0))</f>
        <v/>
      </c>
      <c r="BB342" s="45" t="str">
        <f>INDEX(Table5[[#All],[Team]],MATCH(Batters[[#This Row],[PID]],Table5[[#All],[PID]],0))</f>
        <v/>
      </c>
    </row>
    <row r="343" spans="1:54" ht="15" customHeight="1" x14ac:dyDescent="0.25">
      <c r="A343" s="40">
        <v>18128</v>
      </c>
      <c r="B343" s="40" t="s">
        <v>71</v>
      </c>
      <c r="C343" s="40" t="s">
        <v>1234</v>
      </c>
      <c r="D343" s="40" t="s">
        <v>1235</v>
      </c>
      <c r="E343" s="40">
        <v>21</v>
      </c>
      <c r="F343" s="40" t="s">
        <v>42</v>
      </c>
      <c r="G343" s="40" t="s">
        <v>42</v>
      </c>
      <c r="H343" s="41" t="s">
        <v>634</v>
      </c>
      <c r="I343" s="65" t="s">
        <v>43</v>
      </c>
      <c r="J343" s="66" t="s">
        <v>44</v>
      </c>
      <c r="K343" s="67" t="s">
        <v>43</v>
      </c>
      <c r="L343" s="40">
        <v>2</v>
      </c>
      <c r="M343" s="40">
        <v>3</v>
      </c>
      <c r="N343" s="40">
        <v>2</v>
      </c>
      <c r="O343" s="40">
        <v>3</v>
      </c>
      <c r="P343" s="41">
        <v>2</v>
      </c>
      <c r="Q343" s="40">
        <v>4</v>
      </c>
      <c r="R343" s="40">
        <v>3</v>
      </c>
      <c r="S343" s="40">
        <v>3</v>
      </c>
      <c r="T343" s="40">
        <v>6</v>
      </c>
      <c r="U343" s="41">
        <v>4</v>
      </c>
      <c r="V343" s="40">
        <v>4</v>
      </c>
      <c r="W343" s="40">
        <v>2</v>
      </c>
      <c r="X343" s="40">
        <v>1</v>
      </c>
      <c r="Y343" s="41">
        <v>1</v>
      </c>
      <c r="Z343" s="40" t="s">
        <v>45</v>
      </c>
      <c r="AA343" s="40" t="s">
        <v>45</v>
      </c>
      <c r="AB343" s="40">
        <v>6</v>
      </c>
      <c r="AC343" s="40" t="s">
        <v>45</v>
      </c>
      <c r="AD343" s="40" t="s">
        <v>45</v>
      </c>
      <c r="AE343" s="40" t="s">
        <v>45</v>
      </c>
      <c r="AF343" s="40" t="s">
        <v>45</v>
      </c>
      <c r="AG343" s="41" t="s">
        <v>45</v>
      </c>
      <c r="AH343" s="40">
        <v>6</v>
      </c>
      <c r="AI343" s="40">
        <v>4</v>
      </c>
      <c r="AJ343" s="41">
        <v>2</v>
      </c>
      <c r="AK343" s="43" t="s">
        <v>45</v>
      </c>
      <c r="AL343" s="43" t="s">
        <v>47</v>
      </c>
      <c r="AM343" s="44">
        <f t="shared" si="36"/>
        <v>-1.3571708205273432</v>
      </c>
      <c r="AN343" s="44">
        <f t="shared" si="37"/>
        <v>-0.27983632443518225</v>
      </c>
      <c r="AO343" s="45">
        <f t="shared" si="38"/>
        <v>0</v>
      </c>
      <c r="AP343" s="46">
        <f t="shared" si="39"/>
        <v>0.6</v>
      </c>
      <c r="AQ343" s="44">
        <f>($AM$3*AM343+$AN$3*AN343+$AO$3*AO343+$AP$3*AP343)+$I$3*VLOOKUP(I343,COND!$A$2:$E$7,4,FALSE)+$J$3*VLOOKUP(J343,COND!$A$2:$C$7,2,FALSE)+$K$3*VLOOKUP(K343,COND!$A$2:$C$7,3,FALSE)+IF(AND($B$2&gt;0,$E343&lt;20),$B$2*25,0)</f>
        <v>41.806247024725081</v>
      </c>
      <c r="AR343" s="47">
        <f t="shared" si="40"/>
        <v>-0.51562179112836759</v>
      </c>
      <c r="AS343" s="45" t="str">
        <f t="shared" si="41"/>
        <v>2B</v>
      </c>
      <c r="AT343" s="45">
        <f>RANK(Batters[[#This Row],[zScore]],Batters[[#All],[zScore]])</f>
        <v>339</v>
      </c>
      <c r="AU343" s="45"/>
      <c r="AV343" s="45"/>
      <c r="AW343" s="45" t="str">
        <f t="shared" si="42"/>
        <v>Unlikely</v>
      </c>
      <c r="AX343" s="45"/>
      <c r="AY343" s="45">
        <f>INDEX(Table5[[#All],[Ovr]],MATCH(Batters[[#This Row],[PID]],Table5[[#All],[PID]],0))</f>
        <v>394</v>
      </c>
      <c r="AZ343" s="45" t="str">
        <f>INDEX(Table5[[#All],[Rnd]],MATCH(Batters[[#This Row],[PID]],Table5[[#All],[PID]],0))</f>
        <v>13</v>
      </c>
      <c r="BA343" s="45">
        <f>INDEX(Table5[[#All],[Pick]],MATCH(Batters[[#This Row],[PID]],Table5[[#All],[PID]],0))</f>
        <v>26</v>
      </c>
      <c r="BB343" s="45" t="str">
        <f>INDEX(Table5[[#All],[Team]],MATCH(Batters[[#This Row],[PID]],Table5[[#All],[PID]],0))</f>
        <v>Yuma Arroyos</v>
      </c>
    </row>
    <row r="344" spans="1:54" ht="15" customHeight="1" x14ac:dyDescent="0.25">
      <c r="A344" s="40">
        <v>18255</v>
      </c>
      <c r="B344" s="40" t="s">
        <v>69</v>
      </c>
      <c r="C344" s="40" t="s">
        <v>141</v>
      </c>
      <c r="D344" s="40" t="s">
        <v>1581</v>
      </c>
      <c r="E344" s="40">
        <v>18</v>
      </c>
      <c r="F344" s="40" t="s">
        <v>42</v>
      </c>
      <c r="G344" s="40" t="s">
        <v>42</v>
      </c>
      <c r="H344" s="41" t="s">
        <v>638</v>
      </c>
      <c r="I344" s="65" t="s">
        <v>43</v>
      </c>
      <c r="J344" s="66" t="s">
        <v>47</v>
      </c>
      <c r="K344" s="67" t="s">
        <v>43</v>
      </c>
      <c r="L344" s="40">
        <v>1</v>
      </c>
      <c r="M344" s="40">
        <v>1</v>
      </c>
      <c r="N344" s="40">
        <v>2</v>
      </c>
      <c r="O344" s="40">
        <v>1</v>
      </c>
      <c r="P344" s="41">
        <v>1</v>
      </c>
      <c r="Q344" s="40">
        <v>2</v>
      </c>
      <c r="R344" s="40">
        <v>6</v>
      </c>
      <c r="S344" s="40">
        <v>6</v>
      </c>
      <c r="T344" s="40">
        <v>5</v>
      </c>
      <c r="U344" s="41">
        <v>2</v>
      </c>
      <c r="V344" s="40">
        <v>10</v>
      </c>
      <c r="W344" s="40">
        <v>10</v>
      </c>
      <c r="X344" s="40">
        <v>1</v>
      </c>
      <c r="Y344" s="41">
        <v>1</v>
      </c>
      <c r="Z344" s="40" t="s">
        <v>45</v>
      </c>
      <c r="AA344" s="40" t="s">
        <v>45</v>
      </c>
      <c r="AB344" s="40" t="s">
        <v>45</v>
      </c>
      <c r="AC344" s="40">
        <v>2</v>
      </c>
      <c r="AD344" s="40" t="s">
        <v>45</v>
      </c>
      <c r="AE344" s="40" t="s">
        <v>45</v>
      </c>
      <c r="AF344" s="40" t="s">
        <v>45</v>
      </c>
      <c r="AG344" s="41" t="s">
        <v>45</v>
      </c>
      <c r="AH344" s="40">
        <v>1</v>
      </c>
      <c r="AI344" s="40">
        <v>1</v>
      </c>
      <c r="AJ344" s="41">
        <v>1</v>
      </c>
      <c r="AK344" s="43" t="s">
        <v>554</v>
      </c>
      <c r="AL344" s="43" t="s">
        <v>635</v>
      </c>
      <c r="AM344" s="44">
        <f t="shared" si="36"/>
        <v>-2.0012818558036707</v>
      </c>
      <c r="AN344" s="44">
        <f t="shared" si="37"/>
        <v>-0.69232610555646479</v>
      </c>
      <c r="AO344" s="45">
        <f t="shared" si="38"/>
        <v>0</v>
      </c>
      <c r="AP344" s="46">
        <f t="shared" si="39"/>
        <v>0</v>
      </c>
      <c r="AQ344" s="44">
        <f>($AM$3*AM344+$AN$3*AN344+$AO$3*AO344+$AP$3*AP344)+$I$3*VLOOKUP(I344,COND!$A$2:$E$7,4,FALSE)+$J$3*VLOOKUP(J344,COND!$A$2:$C$7,2,FALSE)+$K$3*VLOOKUP(K344,COND!$A$2:$C$7,3,FALSE)+IF(AND($B$2&gt;0,$E344&lt;20),$B$2*25,0)</f>
        <v>41.791958547742055</v>
      </c>
      <c r="AR344" s="47">
        <f t="shared" si="40"/>
        <v>-0.51878964305664543</v>
      </c>
      <c r="AS344" s="45" t="str">
        <f t="shared" si="41"/>
        <v>3B</v>
      </c>
      <c r="AT344" s="45">
        <f>RANK(Batters[[#This Row],[zScore]],Batters[[#All],[zScore]])</f>
        <v>340</v>
      </c>
      <c r="AU344" s="45"/>
      <c r="AV344" s="45"/>
      <c r="AW344" s="45" t="str">
        <f t="shared" si="42"/>
        <v>Unlikely</v>
      </c>
      <c r="AX344" s="45"/>
      <c r="AY344" s="45">
        <f>INDEX(Table5[[#All],[Ovr]],MATCH(Batters[[#This Row],[PID]],Table5[[#All],[PID]],0))</f>
        <v>487</v>
      </c>
      <c r="AZ344" s="45" t="str">
        <f>INDEX(Table5[[#All],[Rnd]],MATCH(Batters[[#This Row],[PID]],Table5[[#All],[PID]],0))</f>
        <v>16</v>
      </c>
      <c r="BA344" s="45">
        <f>INDEX(Table5[[#All],[Pick]],MATCH(Batters[[#This Row],[PID]],Table5[[#All],[PID]],0))</f>
        <v>29</v>
      </c>
      <c r="BB344" s="45" t="str">
        <f>INDEX(Table5[[#All],[Team]],MATCH(Batters[[#This Row],[PID]],Table5[[#All],[PID]],0))</f>
        <v>Havana Leones</v>
      </c>
    </row>
    <row r="345" spans="1:54" ht="15" customHeight="1" x14ac:dyDescent="0.25">
      <c r="A345" s="40">
        <v>20373</v>
      </c>
      <c r="B345" s="40" t="s">
        <v>74</v>
      </c>
      <c r="C345" s="40" t="s">
        <v>134</v>
      </c>
      <c r="D345" s="40" t="s">
        <v>149</v>
      </c>
      <c r="E345" s="40">
        <v>17</v>
      </c>
      <c r="F345" s="40" t="s">
        <v>62</v>
      </c>
      <c r="G345" s="40" t="s">
        <v>42</v>
      </c>
      <c r="H345" s="41" t="s">
        <v>638</v>
      </c>
      <c r="I345" s="65" t="s">
        <v>43</v>
      </c>
      <c r="J345" s="66" t="s">
        <v>47</v>
      </c>
      <c r="K345" s="67" t="s">
        <v>43</v>
      </c>
      <c r="L345" s="40">
        <v>1</v>
      </c>
      <c r="M345" s="40">
        <v>2</v>
      </c>
      <c r="N345" s="40">
        <v>2</v>
      </c>
      <c r="O345" s="40">
        <v>2</v>
      </c>
      <c r="P345" s="41">
        <v>1</v>
      </c>
      <c r="Q345" s="40">
        <v>3</v>
      </c>
      <c r="R345" s="40">
        <v>4</v>
      </c>
      <c r="S345" s="40">
        <v>2</v>
      </c>
      <c r="T345" s="40">
        <v>5</v>
      </c>
      <c r="U345" s="41">
        <v>4</v>
      </c>
      <c r="V345" s="40">
        <v>7</v>
      </c>
      <c r="W345" s="40">
        <v>10</v>
      </c>
      <c r="X345" s="40">
        <v>1</v>
      </c>
      <c r="Y345" s="41">
        <v>1</v>
      </c>
      <c r="Z345" s="40" t="s">
        <v>45</v>
      </c>
      <c r="AA345" s="40" t="s">
        <v>45</v>
      </c>
      <c r="AB345" s="40" t="s">
        <v>45</v>
      </c>
      <c r="AC345" s="40">
        <v>1</v>
      </c>
      <c r="AD345" s="40">
        <v>1</v>
      </c>
      <c r="AE345" s="40" t="s">
        <v>45</v>
      </c>
      <c r="AF345" s="40">
        <v>2</v>
      </c>
      <c r="AG345" s="41" t="s">
        <v>45</v>
      </c>
      <c r="AH345" s="40">
        <v>8</v>
      </c>
      <c r="AI345" s="40">
        <v>7</v>
      </c>
      <c r="AJ345" s="41">
        <v>5</v>
      </c>
      <c r="AK345" s="43" t="s">
        <v>670</v>
      </c>
      <c r="AL345" s="43" t="s">
        <v>47</v>
      </c>
      <c r="AM345" s="44">
        <f t="shared" si="36"/>
        <v>-1.8605124261753858</v>
      </c>
      <c r="AN345" s="44">
        <f t="shared" si="37"/>
        <v>-0.72410332505263597</v>
      </c>
      <c r="AO345" s="45">
        <f t="shared" si="38"/>
        <v>2</v>
      </c>
      <c r="AP345" s="46">
        <f t="shared" si="39"/>
        <v>0</v>
      </c>
      <c r="AQ345" s="44">
        <f>($AM$3*AM345+$AN$3*AN345+$AO$3*AO345+$AP$3*AP345)+$I$3*VLOOKUP(I345,COND!$A$2:$E$7,4,FALSE)+$J$3*VLOOKUP(J345,COND!$A$2:$C$7,2,FALSE)+$K$3*VLOOKUP(K345,COND!$A$2:$C$7,3,FALSE)+IF(AND($B$2&gt;0,$E345&lt;20),$B$2*25,0)</f>
        <v>41.758042190084161</v>
      </c>
      <c r="AR345" s="47">
        <f t="shared" si="40"/>
        <v>-0.52630912880270186</v>
      </c>
      <c r="AS345" s="45" t="str">
        <f t="shared" si="41"/>
        <v>SS</v>
      </c>
      <c r="AT345" s="45">
        <f>RANK(Batters[[#This Row],[zScore]],Batters[[#All],[zScore]])</f>
        <v>341</v>
      </c>
      <c r="AU345" s="45"/>
      <c r="AV345" s="45"/>
      <c r="AW345" s="45" t="str">
        <f t="shared" si="42"/>
        <v>Unlikely</v>
      </c>
      <c r="AX345" s="45"/>
      <c r="AY345" s="45" t="str">
        <f>INDEX(Table5[[#All],[Ovr]],MATCH(Batters[[#This Row],[PID]],Table5[[#All],[PID]],0))</f>
        <v/>
      </c>
      <c r="AZ345" s="45" t="str">
        <f>INDEX(Table5[[#All],[Rnd]],MATCH(Batters[[#This Row],[PID]],Table5[[#All],[PID]],0))</f>
        <v/>
      </c>
      <c r="BA345" s="45" t="str">
        <f>INDEX(Table5[[#All],[Pick]],MATCH(Batters[[#This Row],[PID]],Table5[[#All],[PID]],0))</f>
        <v/>
      </c>
      <c r="BB345" s="45" t="str">
        <f>INDEX(Table5[[#All],[Team]],MATCH(Batters[[#This Row],[PID]],Table5[[#All],[PID]],0))</f>
        <v/>
      </c>
    </row>
    <row r="346" spans="1:54" ht="15" customHeight="1" x14ac:dyDescent="0.25">
      <c r="A346" s="40">
        <v>20233</v>
      </c>
      <c r="B346" s="40" t="s">
        <v>87</v>
      </c>
      <c r="C346" s="40" t="s">
        <v>172</v>
      </c>
      <c r="D346" s="40" t="s">
        <v>1525</v>
      </c>
      <c r="E346" s="40">
        <v>22</v>
      </c>
      <c r="F346" s="40" t="s">
        <v>53</v>
      </c>
      <c r="G346" s="40" t="s">
        <v>53</v>
      </c>
      <c r="H346" s="41" t="s">
        <v>638</v>
      </c>
      <c r="I346" s="65" t="s">
        <v>43</v>
      </c>
      <c r="J346" s="66" t="s">
        <v>47</v>
      </c>
      <c r="K346" s="67" t="s">
        <v>44</v>
      </c>
      <c r="L346" s="40">
        <v>2</v>
      </c>
      <c r="M346" s="40">
        <v>5</v>
      </c>
      <c r="N346" s="40">
        <v>4</v>
      </c>
      <c r="O346" s="40">
        <v>3</v>
      </c>
      <c r="P346" s="41">
        <v>2</v>
      </c>
      <c r="Q346" s="40">
        <v>3</v>
      </c>
      <c r="R346" s="40">
        <v>6</v>
      </c>
      <c r="S346" s="40">
        <v>6</v>
      </c>
      <c r="T346" s="40">
        <v>5</v>
      </c>
      <c r="U346" s="41">
        <v>4</v>
      </c>
      <c r="V346" s="40">
        <v>6</v>
      </c>
      <c r="W346" s="40">
        <v>7</v>
      </c>
      <c r="X346" s="40">
        <v>1</v>
      </c>
      <c r="Y346" s="41">
        <v>1</v>
      </c>
      <c r="Z346" s="40" t="s">
        <v>45</v>
      </c>
      <c r="AA346" s="40">
        <v>4</v>
      </c>
      <c r="AB346" s="40" t="s">
        <v>45</v>
      </c>
      <c r="AC346" s="40" t="s">
        <v>45</v>
      </c>
      <c r="AD346" s="40" t="s">
        <v>45</v>
      </c>
      <c r="AE346" s="40">
        <v>2</v>
      </c>
      <c r="AF346" s="40" t="s">
        <v>45</v>
      </c>
      <c r="AG346" s="41">
        <v>2</v>
      </c>
      <c r="AH346" s="40">
        <v>6</v>
      </c>
      <c r="AI346" s="40">
        <v>8</v>
      </c>
      <c r="AJ346" s="41">
        <v>8</v>
      </c>
      <c r="AK346" s="43" t="s">
        <v>45</v>
      </c>
      <c r="AL346" s="43" t="s">
        <v>635</v>
      </c>
      <c r="AM346" s="44">
        <f t="shared" si="36"/>
        <v>-1.0889280732421334</v>
      </c>
      <c r="AN346" s="44">
        <f t="shared" si="37"/>
        <v>-0.2897375897196231</v>
      </c>
      <c r="AO346" s="45">
        <f t="shared" si="38"/>
        <v>2</v>
      </c>
      <c r="AP346" s="46">
        <f t="shared" si="39"/>
        <v>0</v>
      </c>
      <c r="AQ346" s="44">
        <f>($AM$3*AM346+$AN$3*AN346+$AO$3*AO346+$AP$3*AP346)+$I$3*VLOOKUP(I346,COND!$A$2:$E$7,4,FALSE)+$J$3*VLOOKUP(J346,COND!$A$2:$C$7,2,FALSE)+$K$3*VLOOKUP(K346,COND!$A$2:$C$7,3,FALSE)+IF(AND($B$2&gt;0,$E346&lt;20),$B$2*25,0)</f>
        <v>41.747589449373642</v>
      </c>
      <c r="AR346" s="47">
        <f t="shared" si="40"/>
        <v>-0.5286265720721941</v>
      </c>
      <c r="AS346" s="45" t="str">
        <f t="shared" si="41"/>
        <v>RF</v>
      </c>
      <c r="AT346" s="45">
        <f>RANK(Batters[[#This Row],[zScore]],Batters[[#All],[zScore]])</f>
        <v>342</v>
      </c>
      <c r="AU346" s="45"/>
      <c r="AV346" s="45"/>
      <c r="AW346" s="45" t="str">
        <f t="shared" si="42"/>
        <v>Unlikely</v>
      </c>
      <c r="AX346" s="45"/>
      <c r="AY346" s="45">
        <f>INDEX(Table5[[#All],[Ovr]],MATCH(Batters[[#This Row],[PID]],Table5[[#All],[PID]],0))</f>
        <v>223</v>
      </c>
      <c r="AZ346" s="45" t="str">
        <f>INDEX(Table5[[#All],[Rnd]],MATCH(Batters[[#This Row],[PID]],Table5[[#All],[PID]],0))</f>
        <v>8</v>
      </c>
      <c r="BA346" s="45">
        <f>INDEX(Table5[[#All],[Pick]],MATCH(Batters[[#This Row],[PID]],Table5[[#All],[PID]],0))</f>
        <v>5</v>
      </c>
      <c r="BB346" s="45" t="str">
        <f>INDEX(Table5[[#All],[Team]],MATCH(Batters[[#This Row],[PID]],Table5[[#All],[PID]],0))</f>
        <v>Okinawa Shisa</v>
      </c>
    </row>
    <row r="347" spans="1:54" ht="15" customHeight="1" x14ac:dyDescent="0.25">
      <c r="A347" s="40">
        <v>18391</v>
      </c>
      <c r="B347" s="40" t="s">
        <v>74</v>
      </c>
      <c r="C347" s="40" t="s">
        <v>775</v>
      </c>
      <c r="D347" s="40" t="s">
        <v>1604</v>
      </c>
      <c r="E347" s="40">
        <v>18</v>
      </c>
      <c r="F347" s="40" t="s">
        <v>42</v>
      </c>
      <c r="G347" s="40" t="s">
        <v>42</v>
      </c>
      <c r="H347" s="41" t="s">
        <v>638</v>
      </c>
      <c r="I347" s="65" t="s">
        <v>43</v>
      </c>
      <c r="J347" s="66" t="s">
        <v>43</v>
      </c>
      <c r="K347" s="67" t="s">
        <v>44</v>
      </c>
      <c r="L347" s="40">
        <v>1</v>
      </c>
      <c r="M347" s="40">
        <v>2</v>
      </c>
      <c r="N347" s="40">
        <v>2</v>
      </c>
      <c r="O347" s="40">
        <v>2</v>
      </c>
      <c r="P347" s="41">
        <v>2</v>
      </c>
      <c r="Q347" s="40">
        <v>3</v>
      </c>
      <c r="R347" s="40">
        <v>4</v>
      </c>
      <c r="S347" s="40">
        <v>2</v>
      </c>
      <c r="T347" s="40">
        <v>5</v>
      </c>
      <c r="U347" s="41">
        <v>4</v>
      </c>
      <c r="V347" s="40">
        <v>4</v>
      </c>
      <c r="W347" s="40">
        <v>6</v>
      </c>
      <c r="X347" s="40">
        <v>1</v>
      </c>
      <c r="Y347" s="41">
        <v>1</v>
      </c>
      <c r="Z347" s="40" t="s">
        <v>45</v>
      </c>
      <c r="AA347" s="40" t="s">
        <v>45</v>
      </c>
      <c r="AB347" s="40" t="s">
        <v>45</v>
      </c>
      <c r="AC347" s="40" t="s">
        <v>45</v>
      </c>
      <c r="AD347" s="40" t="s">
        <v>45</v>
      </c>
      <c r="AE347" s="40" t="s">
        <v>45</v>
      </c>
      <c r="AF347" s="40">
        <v>5</v>
      </c>
      <c r="AG347" s="41" t="s">
        <v>45</v>
      </c>
      <c r="AH347" s="40">
        <v>8</v>
      </c>
      <c r="AI347" s="40">
        <v>4</v>
      </c>
      <c r="AJ347" s="41">
        <v>4</v>
      </c>
      <c r="AK347" s="43" t="s">
        <v>670</v>
      </c>
      <c r="AL347" s="43" t="s">
        <v>47</v>
      </c>
      <c r="AM347" s="44">
        <f t="shared" si="36"/>
        <v>-1.8204960863583022</v>
      </c>
      <c r="AN347" s="44">
        <f t="shared" si="37"/>
        <v>-0.72410332505263597</v>
      </c>
      <c r="AO347" s="45">
        <f t="shared" si="38"/>
        <v>1</v>
      </c>
      <c r="AP347" s="46">
        <f t="shared" si="39"/>
        <v>0.75</v>
      </c>
      <c r="AQ347" s="44">
        <f>($AM$3*AM347+$AN$3*AN347+$AO$3*AO347+$AP$3*AP347)+$I$3*VLOOKUP(I347,COND!$A$2:$E$7,4,FALSE)+$J$3*VLOOKUP(J347,COND!$A$2:$C$7,2,FALSE)+$K$3*VLOOKUP(K347,COND!$A$2:$C$7,3,FALSE)+IF(AND($B$2&gt;0,$E347&lt;20),$B$2*25,0)</f>
        <v>41.745377157399204</v>
      </c>
      <c r="AR347" s="47">
        <f t="shared" si="40"/>
        <v>-0.52911705215663285</v>
      </c>
      <c r="AS347" s="45" t="str">
        <f t="shared" si="41"/>
        <v>CF</v>
      </c>
      <c r="AT347" s="45">
        <f>RANK(Batters[[#This Row],[zScore]],Batters[[#All],[zScore]])</f>
        <v>343</v>
      </c>
      <c r="AU347" s="45"/>
      <c r="AV347" s="45"/>
      <c r="AW347" s="45" t="str">
        <f t="shared" si="42"/>
        <v>Unlikely</v>
      </c>
      <c r="AX347" s="45"/>
      <c r="AY347" s="45" t="str">
        <f>INDEX(Table5[[#All],[Ovr]],MATCH(Batters[[#This Row],[PID]],Table5[[#All],[PID]],0))</f>
        <v/>
      </c>
      <c r="AZ347" s="45" t="str">
        <f>INDEX(Table5[[#All],[Rnd]],MATCH(Batters[[#This Row],[PID]],Table5[[#All],[PID]],0))</f>
        <v/>
      </c>
      <c r="BA347" s="45" t="str">
        <f>INDEX(Table5[[#All],[Pick]],MATCH(Batters[[#This Row],[PID]],Table5[[#All],[PID]],0))</f>
        <v/>
      </c>
      <c r="BB347" s="45" t="str">
        <f>INDEX(Table5[[#All],[Team]],MATCH(Batters[[#This Row],[PID]],Table5[[#All],[PID]],0))</f>
        <v/>
      </c>
    </row>
    <row r="348" spans="1:54" ht="15" customHeight="1" x14ac:dyDescent="0.25">
      <c r="A348" s="40">
        <v>20249</v>
      </c>
      <c r="B348" s="40" t="s">
        <v>87</v>
      </c>
      <c r="C348" s="40" t="s">
        <v>911</v>
      </c>
      <c r="D348" s="40" t="s">
        <v>1549</v>
      </c>
      <c r="E348" s="40">
        <v>21</v>
      </c>
      <c r="F348" s="40" t="s">
        <v>42</v>
      </c>
      <c r="G348" s="40" t="s">
        <v>42</v>
      </c>
      <c r="H348" s="41" t="s">
        <v>638</v>
      </c>
      <c r="I348" s="65" t="s">
        <v>44</v>
      </c>
      <c r="J348" s="66" t="s">
        <v>44</v>
      </c>
      <c r="K348" s="67" t="s">
        <v>43</v>
      </c>
      <c r="L348" s="40">
        <v>1</v>
      </c>
      <c r="M348" s="40">
        <v>7</v>
      </c>
      <c r="N348" s="40">
        <v>4</v>
      </c>
      <c r="O348" s="40">
        <v>4</v>
      </c>
      <c r="P348" s="41">
        <v>2</v>
      </c>
      <c r="Q348" s="40">
        <v>3</v>
      </c>
      <c r="R348" s="40">
        <v>8</v>
      </c>
      <c r="S348" s="40">
        <v>5</v>
      </c>
      <c r="T348" s="40">
        <v>5</v>
      </c>
      <c r="U348" s="41">
        <v>3</v>
      </c>
      <c r="V348" s="40">
        <v>5</v>
      </c>
      <c r="W348" s="40">
        <v>5</v>
      </c>
      <c r="X348" s="40">
        <v>7</v>
      </c>
      <c r="Y348" s="41">
        <v>5</v>
      </c>
      <c r="Z348" s="40">
        <v>4</v>
      </c>
      <c r="AA348" s="40">
        <v>3</v>
      </c>
      <c r="AB348" s="40" t="s">
        <v>45</v>
      </c>
      <c r="AC348" s="40" t="s">
        <v>45</v>
      </c>
      <c r="AD348" s="40" t="s">
        <v>45</v>
      </c>
      <c r="AE348" s="40" t="s">
        <v>45</v>
      </c>
      <c r="AF348" s="40" t="s">
        <v>45</v>
      </c>
      <c r="AG348" s="41" t="s">
        <v>45</v>
      </c>
      <c r="AH348" s="40">
        <v>2</v>
      </c>
      <c r="AI348" s="40">
        <v>2</v>
      </c>
      <c r="AJ348" s="41">
        <v>1</v>
      </c>
      <c r="AK348" s="43" t="s">
        <v>45</v>
      </c>
      <c r="AL348" s="43" t="s">
        <v>47</v>
      </c>
      <c r="AM348" s="44">
        <f t="shared" si="36"/>
        <v>-1.2196546001978199</v>
      </c>
      <c r="AN348" s="44">
        <f t="shared" si="37"/>
        <v>-0.310695664323201</v>
      </c>
      <c r="AO348" s="45">
        <f t="shared" si="38"/>
        <v>0</v>
      </c>
      <c r="AP348" s="46">
        <f t="shared" si="39"/>
        <v>1</v>
      </c>
      <c r="AQ348" s="44">
        <f>($AM$3*AM348+$AN$3*AN348+$AO$3*AO348+$AP$3*AP348)+$I$3*VLOOKUP(I348,COND!$A$2:$E$7,4,FALSE)+$J$3*VLOOKUP(J348,COND!$A$2:$C$7,2,FALSE)+$K$3*VLOOKUP(K348,COND!$A$2:$C$7,3,FALSE)+IF(AND($B$2&gt;0,$E348&lt;20),$B$2*25,0)</f>
        <v>41.699686568101804</v>
      </c>
      <c r="AR348" s="47">
        <f t="shared" si="40"/>
        <v>-0.53924696464358768</v>
      </c>
      <c r="AS348" s="45" t="str">
        <f t="shared" si="41"/>
        <v>C</v>
      </c>
      <c r="AT348" s="45">
        <f>RANK(Batters[[#This Row],[zScore]],Batters[[#All],[zScore]])</f>
        <v>344</v>
      </c>
      <c r="AU348" s="45"/>
      <c r="AV348" s="45"/>
      <c r="AW348" s="45" t="str">
        <f t="shared" si="42"/>
        <v>Unlikely</v>
      </c>
      <c r="AX348" s="45"/>
      <c r="AY348" s="45">
        <f>INDEX(Table5[[#All],[Ovr]],MATCH(Batters[[#This Row],[PID]],Table5[[#All],[PID]],0))</f>
        <v>523</v>
      </c>
      <c r="AZ348" s="45" t="str">
        <f>INDEX(Table5[[#All],[Rnd]],MATCH(Batters[[#This Row],[PID]],Table5[[#All],[PID]],0))</f>
        <v>18</v>
      </c>
      <c r="BA348" s="45">
        <f>INDEX(Table5[[#All],[Pick]],MATCH(Batters[[#This Row],[PID]],Table5[[#All],[PID]],0))</f>
        <v>5</v>
      </c>
      <c r="BB348" s="45" t="str">
        <f>INDEX(Table5[[#All],[Team]],MATCH(Batters[[#This Row],[PID]],Table5[[#All],[PID]],0))</f>
        <v>Okinawa Shisa</v>
      </c>
    </row>
    <row r="349" spans="1:54" ht="15" customHeight="1" x14ac:dyDescent="0.25">
      <c r="A349" s="40">
        <v>18169</v>
      </c>
      <c r="B349" s="40" t="s">
        <v>66</v>
      </c>
      <c r="C349" s="40" t="s">
        <v>367</v>
      </c>
      <c r="D349" s="40" t="s">
        <v>1225</v>
      </c>
      <c r="E349" s="40">
        <v>21</v>
      </c>
      <c r="F349" s="40" t="s">
        <v>53</v>
      </c>
      <c r="G349" s="40" t="s">
        <v>42</v>
      </c>
      <c r="H349" s="41" t="s">
        <v>634</v>
      </c>
      <c r="I349" s="65" t="s">
        <v>43</v>
      </c>
      <c r="J349" s="66" t="s">
        <v>43</v>
      </c>
      <c r="K349" s="67" t="s">
        <v>44</v>
      </c>
      <c r="L349" s="40">
        <v>2</v>
      </c>
      <c r="M349" s="40">
        <v>3</v>
      </c>
      <c r="N349" s="40">
        <v>3</v>
      </c>
      <c r="O349" s="40">
        <v>4</v>
      </c>
      <c r="P349" s="41">
        <v>1</v>
      </c>
      <c r="Q349" s="40">
        <v>3</v>
      </c>
      <c r="R349" s="40">
        <v>6</v>
      </c>
      <c r="S349" s="40">
        <v>5</v>
      </c>
      <c r="T349" s="40">
        <v>6</v>
      </c>
      <c r="U349" s="41">
        <v>3</v>
      </c>
      <c r="V349" s="40">
        <v>6</v>
      </c>
      <c r="W349" s="40">
        <v>8</v>
      </c>
      <c r="X349" s="40">
        <v>1</v>
      </c>
      <c r="Y349" s="41">
        <v>1</v>
      </c>
      <c r="Z349" s="40" t="s">
        <v>45</v>
      </c>
      <c r="AA349" s="40" t="s">
        <v>45</v>
      </c>
      <c r="AB349" s="40" t="s">
        <v>45</v>
      </c>
      <c r="AC349" s="40" t="s">
        <v>45</v>
      </c>
      <c r="AD349" s="40" t="s">
        <v>45</v>
      </c>
      <c r="AE349" s="40" t="s">
        <v>45</v>
      </c>
      <c r="AF349" s="40" t="s">
        <v>45</v>
      </c>
      <c r="AG349" s="41">
        <v>6</v>
      </c>
      <c r="AH349" s="40">
        <v>9</v>
      </c>
      <c r="AI349" s="40">
        <v>6</v>
      </c>
      <c r="AJ349" s="41">
        <v>6</v>
      </c>
      <c r="AK349" s="43" t="s">
        <v>45</v>
      </c>
      <c r="AL349" s="43" t="s">
        <v>635</v>
      </c>
      <c r="AM349" s="44">
        <f t="shared" si="36"/>
        <v>-1.2244161163109442</v>
      </c>
      <c r="AN349" s="44">
        <f t="shared" si="37"/>
        <v>-0.32310587355102699</v>
      </c>
      <c r="AO349" s="45">
        <f t="shared" si="38"/>
        <v>2</v>
      </c>
      <c r="AP349" s="46">
        <f t="shared" si="39"/>
        <v>0.65</v>
      </c>
      <c r="AQ349" s="44">
        <f>($AM$3*AM349+$AN$3*AN349+$AO$3*AO349+$AP$3*AP349)+$I$3*VLOOKUP(I349,COND!$A$2:$E$7,4,FALSE)+$J$3*VLOOKUP(J349,COND!$A$2:$C$7,2,FALSE)+$K$3*VLOOKUP(K349,COND!$A$2:$C$7,3,FALSE)+IF(AND($B$2&gt;0,$E349&lt;20),$B$2*25,0)</f>
        <v>41.683621239089916</v>
      </c>
      <c r="AR349" s="47">
        <f t="shared" si="40"/>
        <v>-0.54280875667706907</v>
      </c>
      <c r="AS349" s="45" t="str">
        <f t="shared" si="41"/>
        <v>RF</v>
      </c>
      <c r="AT349" s="45">
        <f>RANK(Batters[[#This Row],[zScore]],Batters[[#All],[zScore]])</f>
        <v>345</v>
      </c>
      <c r="AU349" s="45"/>
      <c r="AV349" s="45"/>
      <c r="AW349" s="45" t="str">
        <f t="shared" si="42"/>
        <v>Unlikely</v>
      </c>
      <c r="AX349" s="45"/>
      <c r="AY349" s="45">
        <f>INDEX(Table5[[#All],[Ovr]],MATCH(Batters[[#This Row],[PID]],Table5[[#All],[PID]],0))</f>
        <v>297</v>
      </c>
      <c r="AZ349" s="45" t="str">
        <f>INDEX(Table5[[#All],[Rnd]],MATCH(Batters[[#This Row],[PID]],Table5[[#All],[PID]],0))</f>
        <v>10</v>
      </c>
      <c r="BA349" s="45">
        <f>INDEX(Table5[[#All],[Pick]],MATCH(Batters[[#This Row],[PID]],Table5[[#All],[PID]],0))</f>
        <v>19</v>
      </c>
      <c r="BB349" s="45" t="str">
        <f>INDEX(Table5[[#All],[Team]],MATCH(Batters[[#This Row],[PID]],Table5[[#All],[PID]],0))</f>
        <v>Kalamazoo Badgers</v>
      </c>
    </row>
    <row r="350" spans="1:54" ht="15" customHeight="1" x14ac:dyDescent="0.25">
      <c r="A350" s="40">
        <v>18346</v>
      </c>
      <c r="B350" s="40" t="s">
        <v>50</v>
      </c>
      <c r="C350" s="40" t="s">
        <v>806</v>
      </c>
      <c r="D350" s="40" t="s">
        <v>1650</v>
      </c>
      <c r="E350" s="40">
        <v>18</v>
      </c>
      <c r="F350" s="40" t="s">
        <v>42</v>
      </c>
      <c r="G350" s="40" t="s">
        <v>42</v>
      </c>
      <c r="H350" s="41" t="s">
        <v>639</v>
      </c>
      <c r="I350" s="65" t="s">
        <v>43</v>
      </c>
      <c r="J350" s="66" t="s">
        <v>43</v>
      </c>
      <c r="K350" s="67" t="s">
        <v>43</v>
      </c>
      <c r="L350" s="40">
        <v>1</v>
      </c>
      <c r="M350" s="40">
        <v>2</v>
      </c>
      <c r="N350" s="40">
        <v>2</v>
      </c>
      <c r="O350" s="40">
        <v>2</v>
      </c>
      <c r="P350" s="41">
        <v>1</v>
      </c>
      <c r="Q350" s="40">
        <v>3</v>
      </c>
      <c r="R350" s="40">
        <v>3</v>
      </c>
      <c r="S350" s="40">
        <v>3</v>
      </c>
      <c r="T350" s="40">
        <v>5</v>
      </c>
      <c r="U350" s="41">
        <v>4</v>
      </c>
      <c r="V350" s="40">
        <v>4</v>
      </c>
      <c r="W350" s="40">
        <v>7</v>
      </c>
      <c r="X350" s="40">
        <v>1</v>
      </c>
      <c r="Y350" s="41">
        <v>1</v>
      </c>
      <c r="Z350" s="40" t="s">
        <v>45</v>
      </c>
      <c r="AA350" s="40" t="s">
        <v>45</v>
      </c>
      <c r="AB350" s="40" t="s">
        <v>45</v>
      </c>
      <c r="AC350" s="40" t="s">
        <v>45</v>
      </c>
      <c r="AD350" s="40" t="s">
        <v>45</v>
      </c>
      <c r="AE350" s="40">
        <v>1</v>
      </c>
      <c r="AF350" s="40" t="s">
        <v>45</v>
      </c>
      <c r="AG350" s="41" t="s">
        <v>45</v>
      </c>
      <c r="AH350" s="40">
        <v>5</v>
      </c>
      <c r="AI350" s="40">
        <v>7</v>
      </c>
      <c r="AJ350" s="41">
        <v>8</v>
      </c>
      <c r="AK350" s="43" t="s">
        <v>644</v>
      </c>
      <c r="AL350" s="43"/>
      <c r="AM350" s="44">
        <f t="shared" si="36"/>
        <v>-1.8605124261753858</v>
      </c>
      <c r="AN350" s="44">
        <f t="shared" si="37"/>
        <v>-0.69210171064743797</v>
      </c>
      <c r="AO350" s="45">
        <f t="shared" si="38"/>
        <v>1</v>
      </c>
      <c r="AP350" s="46">
        <f t="shared" si="39"/>
        <v>0</v>
      </c>
      <c r="AQ350" s="44">
        <f>($AM$3*AM350+$AN$3*AN350+$AO$3*AO350+$AP$3*AP350)+$I$3*VLOOKUP(I350,COND!$A$2:$E$7,4,FALSE)+$J$3*VLOOKUP(J350,COND!$A$2:$C$7,2,FALSE)+$K$3*VLOOKUP(K350,COND!$A$2:$C$7,3,FALSE)+IF(AND($B$2&gt;0,$E350&lt;20),$B$2*25,0)</f>
        <v>41.675394896279869</v>
      </c>
      <c r="AR350" s="47">
        <f t="shared" si="40"/>
        <v>-0.54463259248297347</v>
      </c>
      <c r="AS350" s="45" t="str">
        <f t="shared" si="41"/>
        <v>LF</v>
      </c>
      <c r="AT350" s="45">
        <f>RANK(Batters[[#This Row],[zScore]],Batters[[#All],[zScore]])</f>
        <v>346</v>
      </c>
      <c r="AU350" s="45"/>
      <c r="AV350" s="45"/>
      <c r="AW350" s="45" t="str">
        <f t="shared" si="42"/>
        <v>Unlikely</v>
      </c>
      <c r="AX350" s="45"/>
      <c r="AY350" s="64" t="str">
        <f>INDEX(Table5[[#All],[Ovr]],MATCH(Batters[[#This Row],[PID]],Table5[[#All],[PID]],0))</f>
        <v/>
      </c>
      <c r="AZ350" s="64" t="str">
        <f>INDEX(Table5[[#All],[Rnd]],MATCH(Batters[[#This Row],[PID]],Table5[[#All],[PID]],0))</f>
        <v/>
      </c>
      <c r="BA350" s="64" t="str">
        <f>INDEX(Table5[[#All],[Pick]],MATCH(Batters[[#This Row],[PID]],Table5[[#All],[PID]],0))</f>
        <v/>
      </c>
      <c r="BB350" s="64" t="str">
        <f>INDEX(Table5[[#All],[Team]],MATCH(Batters[[#This Row],[PID]],Table5[[#All],[PID]],0))</f>
        <v/>
      </c>
    </row>
    <row r="351" spans="1:54" ht="15" customHeight="1" x14ac:dyDescent="0.25">
      <c r="A351" s="40">
        <v>6275</v>
      </c>
      <c r="B351" s="40" t="s">
        <v>86</v>
      </c>
      <c r="C351" s="40" t="s">
        <v>128</v>
      </c>
      <c r="D351" s="40" t="s">
        <v>856</v>
      </c>
      <c r="E351" s="40">
        <v>22</v>
      </c>
      <c r="F351" s="40" t="s">
        <v>53</v>
      </c>
      <c r="G351" s="40" t="s">
        <v>42</v>
      </c>
      <c r="H351" s="41" t="s">
        <v>634</v>
      </c>
      <c r="I351" s="65" t="s">
        <v>43</v>
      </c>
      <c r="J351" s="66" t="s">
        <v>47</v>
      </c>
      <c r="K351" s="67" t="s">
        <v>47</v>
      </c>
      <c r="L351" s="40">
        <v>2</v>
      </c>
      <c r="M351" s="40">
        <v>3</v>
      </c>
      <c r="N351" s="40">
        <v>2</v>
      </c>
      <c r="O351" s="40">
        <v>3</v>
      </c>
      <c r="P351" s="41">
        <v>3</v>
      </c>
      <c r="Q351" s="40">
        <v>4</v>
      </c>
      <c r="R351" s="40">
        <v>4</v>
      </c>
      <c r="S351" s="40">
        <v>3</v>
      </c>
      <c r="T351" s="40">
        <v>4</v>
      </c>
      <c r="U351" s="41">
        <v>4</v>
      </c>
      <c r="V351" s="40">
        <v>1</v>
      </c>
      <c r="W351" s="40">
        <v>1</v>
      </c>
      <c r="X351" s="40">
        <v>5</v>
      </c>
      <c r="Y351" s="41">
        <v>6</v>
      </c>
      <c r="Z351" s="40">
        <v>2</v>
      </c>
      <c r="AA351" s="40" t="s">
        <v>45</v>
      </c>
      <c r="AB351" s="40" t="s">
        <v>45</v>
      </c>
      <c r="AC351" s="40" t="s">
        <v>45</v>
      </c>
      <c r="AD351" s="40" t="s">
        <v>45</v>
      </c>
      <c r="AE351" s="40" t="s">
        <v>45</v>
      </c>
      <c r="AF351" s="40" t="s">
        <v>45</v>
      </c>
      <c r="AG351" s="41" t="s">
        <v>45</v>
      </c>
      <c r="AH351" s="40">
        <v>1</v>
      </c>
      <c r="AI351" s="40">
        <v>1</v>
      </c>
      <c r="AJ351" s="41">
        <v>1</v>
      </c>
      <c r="AK351" s="43" t="s">
        <v>45</v>
      </c>
      <c r="AL351" s="43" t="s">
        <v>635</v>
      </c>
      <c r="AM351" s="44">
        <f t="shared" si="36"/>
        <v>-1.31715448071026</v>
      </c>
      <c r="AN351" s="44">
        <f t="shared" si="37"/>
        <v>-0.40819554483564086</v>
      </c>
      <c r="AO351" s="45">
        <f t="shared" si="38"/>
        <v>0</v>
      </c>
      <c r="AP351" s="46">
        <f t="shared" si="39"/>
        <v>1.1000000000000001</v>
      </c>
      <c r="AQ351" s="44">
        <f>($AM$3*AM351+$AN$3*AN351+$AO$3*AO351+$AP$3*AP351)+$I$3*VLOOKUP(I351,COND!$A$2:$E$7,4,FALSE)+$J$3*VLOOKUP(J351,COND!$A$2:$C$7,2,FALSE)+$K$3*VLOOKUP(K351,COND!$A$2:$C$7,3,FALSE)+IF(AND($B$2&gt;0,$E351&lt;20),$B$2*25,0)</f>
        <v>41.669938013901287</v>
      </c>
      <c r="AR351" s="47">
        <f t="shared" si="40"/>
        <v>-0.54584242019140661</v>
      </c>
      <c r="AS351" s="45" t="str">
        <f t="shared" si="41"/>
        <v>C</v>
      </c>
      <c r="AT351" s="45">
        <f>RANK(Batters[[#This Row],[zScore]],Batters[[#All],[zScore]])</f>
        <v>347</v>
      </c>
      <c r="AU351" s="45"/>
      <c r="AV351" s="45"/>
      <c r="AW351" s="45" t="str">
        <f t="shared" si="42"/>
        <v>Unlikely</v>
      </c>
      <c r="AX351" s="45"/>
      <c r="AY351" s="45" t="str">
        <f>INDEX(Table5[[#All],[Ovr]],MATCH(Batters[[#This Row],[PID]],Table5[[#All],[PID]],0))</f>
        <v/>
      </c>
      <c r="AZ351" s="45" t="str">
        <f>INDEX(Table5[[#All],[Rnd]],MATCH(Batters[[#This Row],[PID]],Table5[[#All],[PID]],0))</f>
        <v/>
      </c>
      <c r="BA351" s="45" t="str">
        <f>INDEX(Table5[[#All],[Pick]],MATCH(Batters[[#This Row],[PID]],Table5[[#All],[PID]],0))</f>
        <v/>
      </c>
      <c r="BB351" s="45" t="str">
        <f>INDEX(Table5[[#All],[Team]],MATCH(Batters[[#This Row],[PID]],Table5[[#All],[PID]],0))</f>
        <v/>
      </c>
    </row>
    <row r="352" spans="1:54" ht="15" customHeight="1" x14ac:dyDescent="0.25">
      <c r="A352" s="40">
        <v>15320</v>
      </c>
      <c r="B352" s="40" t="s">
        <v>72</v>
      </c>
      <c r="C352" s="40" t="s">
        <v>197</v>
      </c>
      <c r="D352" s="40" t="s">
        <v>734</v>
      </c>
      <c r="E352" s="40">
        <v>18</v>
      </c>
      <c r="F352" s="40" t="s">
        <v>42</v>
      </c>
      <c r="G352" s="40" t="s">
        <v>42</v>
      </c>
      <c r="H352" s="41" t="s">
        <v>638</v>
      </c>
      <c r="I352" s="65" t="s">
        <v>44</v>
      </c>
      <c r="J352" s="66" t="s">
        <v>47</v>
      </c>
      <c r="K352" s="67" t="s">
        <v>43</v>
      </c>
      <c r="L352" s="40">
        <v>1</v>
      </c>
      <c r="M352" s="40">
        <v>2</v>
      </c>
      <c r="N352" s="40">
        <v>2</v>
      </c>
      <c r="O352" s="40">
        <v>2</v>
      </c>
      <c r="P352" s="41">
        <v>1</v>
      </c>
      <c r="Q352" s="40">
        <v>3</v>
      </c>
      <c r="R352" s="40">
        <v>3</v>
      </c>
      <c r="S352" s="40">
        <v>3</v>
      </c>
      <c r="T352" s="40">
        <v>5</v>
      </c>
      <c r="U352" s="41">
        <v>4</v>
      </c>
      <c r="V352" s="40">
        <v>5</v>
      </c>
      <c r="W352" s="40">
        <v>5</v>
      </c>
      <c r="X352" s="40">
        <v>1</v>
      </c>
      <c r="Y352" s="41">
        <v>1</v>
      </c>
      <c r="Z352" s="40" t="s">
        <v>45</v>
      </c>
      <c r="AA352" s="40">
        <v>1</v>
      </c>
      <c r="AB352" s="40" t="s">
        <v>45</v>
      </c>
      <c r="AC352" s="40" t="s">
        <v>45</v>
      </c>
      <c r="AD352" s="40">
        <v>2</v>
      </c>
      <c r="AE352" s="40" t="s">
        <v>45</v>
      </c>
      <c r="AF352" s="40" t="s">
        <v>45</v>
      </c>
      <c r="AG352" s="41" t="s">
        <v>45</v>
      </c>
      <c r="AH352" s="40">
        <v>3</v>
      </c>
      <c r="AI352" s="40">
        <v>4</v>
      </c>
      <c r="AJ352" s="41">
        <v>5</v>
      </c>
      <c r="AK352" s="43" t="s">
        <v>644</v>
      </c>
      <c r="AL352" s="43" t="s">
        <v>47</v>
      </c>
      <c r="AM352" s="44">
        <f t="shared" si="36"/>
        <v>-1.8605124261753858</v>
      </c>
      <c r="AN352" s="44">
        <f t="shared" si="37"/>
        <v>-0.69210171064743797</v>
      </c>
      <c r="AO352" s="45">
        <f t="shared" si="38"/>
        <v>0</v>
      </c>
      <c r="AP352" s="46">
        <f t="shared" si="39"/>
        <v>0</v>
      </c>
      <c r="AQ352" s="44">
        <f>($AM$3*AM352+$AN$3*AN352+$AO$3*AO352+$AP$3*AP352)+$I$3*VLOOKUP(I352,COND!$A$2:$E$7,4,FALSE)+$J$3*VLOOKUP(J352,COND!$A$2:$C$7,2,FALSE)+$K$3*VLOOKUP(K352,COND!$A$2:$C$7,3,FALSE)+IF(AND($B$2&gt;0,$E352&lt;20),$B$2*25,0)</f>
        <v>41.658728229613203</v>
      </c>
      <c r="AR352" s="47">
        <f t="shared" si="40"/>
        <v>-0.54832770513918461</v>
      </c>
      <c r="AS352" s="45" t="str">
        <f t="shared" si="41"/>
        <v>SS</v>
      </c>
      <c r="AT352" s="45">
        <f>RANK(Batters[[#This Row],[zScore]],Batters[[#All],[zScore]])</f>
        <v>348</v>
      </c>
      <c r="AU352" s="45"/>
      <c r="AV352" s="45"/>
      <c r="AW352" s="45" t="str">
        <f t="shared" si="42"/>
        <v>Unlikely</v>
      </c>
      <c r="AX352" s="45"/>
      <c r="AY352" s="45" t="str">
        <f>INDEX(Table5[[#All],[Ovr]],MATCH(Batters[[#This Row],[PID]],Table5[[#All],[PID]],0))</f>
        <v/>
      </c>
      <c r="AZ352" s="45" t="str">
        <f>INDEX(Table5[[#All],[Rnd]],MATCH(Batters[[#This Row],[PID]],Table5[[#All],[PID]],0))</f>
        <v/>
      </c>
      <c r="BA352" s="45" t="str">
        <f>INDEX(Table5[[#All],[Pick]],MATCH(Batters[[#This Row],[PID]],Table5[[#All],[PID]],0))</f>
        <v/>
      </c>
      <c r="BB352" s="45" t="str">
        <f>INDEX(Table5[[#All],[Team]],MATCH(Batters[[#This Row],[PID]],Table5[[#All],[PID]],0))</f>
        <v/>
      </c>
    </row>
    <row r="353" spans="1:54" ht="15" customHeight="1" x14ac:dyDescent="0.25">
      <c r="A353" s="40">
        <v>18444</v>
      </c>
      <c r="B353" s="40" t="s">
        <v>87</v>
      </c>
      <c r="C353" s="40" t="s">
        <v>182</v>
      </c>
      <c r="D353" s="40" t="s">
        <v>1710</v>
      </c>
      <c r="E353" s="40">
        <v>18</v>
      </c>
      <c r="F353" s="40" t="s">
        <v>42</v>
      </c>
      <c r="G353" s="40" t="s">
        <v>42</v>
      </c>
      <c r="H353" s="41" t="s">
        <v>647</v>
      </c>
      <c r="I353" s="65" t="s">
        <v>43</v>
      </c>
      <c r="J353" s="66" t="s">
        <v>44</v>
      </c>
      <c r="K353" s="67" t="s">
        <v>47</v>
      </c>
      <c r="L353" s="40">
        <v>1</v>
      </c>
      <c r="M353" s="40">
        <v>2</v>
      </c>
      <c r="N353" s="40">
        <v>2</v>
      </c>
      <c r="O353" s="40">
        <v>2</v>
      </c>
      <c r="P353" s="41">
        <v>1</v>
      </c>
      <c r="Q353" s="40">
        <v>3</v>
      </c>
      <c r="R353" s="40">
        <v>4</v>
      </c>
      <c r="S353" s="40">
        <v>3</v>
      </c>
      <c r="T353" s="40">
        <v>5</v>
      </c>
      <c r="U353" s="41">
        <v>3</v>
      </c>
      <c r="V353" s="40">
        <v>1</v>
      </c>
      <c r="W353" s="40">
        <v>1</v>
      </c>
      <c r="X353" s="40">
        <v>2</v>
      </c>
      <c r="Y353" s="41">
        <v>3</v>
      </c>
      <c r="Z353" s="40" t="s">
        <v>45</v>
      </c>
      <c r="AA353" s="40">
        <v>1</v>
      </c>
      <c r="AB353" s="40" t="s">
        <v>45</v>
      </c>
      <c r="AC353" s="40" t="s">
        <v>45</v>
      </c>
      <c r="AD353" s="40" t="s">
        <v>45</v>
      </c>
      <c r="AE353" s="40" t="s">
        <v>45</v>
      </c>
      <c r="AF353" s="40" t="s">
        <v>45</v>
      </c>
      <c r="AG353" s="41" t="s">
        <v>45</v>
      </c>
      <c r="AH353" s="40">
        <v>2</v>
      </c>
      <c r="AI353" s="40">
        <v>3</v>
      </c>
      <c r="AJ353" s="41">
        <v>1</v>
      </c>
      <c r="AK353" s="43" t="s">
        <v>644</v>
      </c>
      <c r="AL353" s="43"/>
      <c r="AM353" s="44">
        <f t="shared" si="36"/>
        <v>-1.8605124261753858</v>
      </c>
      <c r="AN353" s="44">
        <f t="shared" si="37"/>
        <v>-0.6810581708458181</v>
      </c>
      <c r="AO353" s="45">
        <f t="shared" si="38"/>
        <v>0</v>
      </c>
      <c r="AP353" s="46">
        <f t="shared" si="39"/>
        <v>0</v>
      </c>
      <c r="AQ353" s="44">
        <f>($AM$3*AM353+$AN$3*AN353+$AO$3*AO353+$AP$3*AP353)+$I$3*VLOOKUP(I353,COND!$A$2:$E$7,4,FALSE)+$J$3*VLOOKUP(J353,COND!$A$2:$C$7,2,FALSE)+$K$3*VLOOKUP(K353,COND!$A$2:$C$7,3,FALSE)+IF(AND($B$2&gt;0,$E353&lt;20),$B$2*25,0)</f>
        <v>41.641250707232643</v>
      </c>
      <c r="AR353" s="47">
        <f t="shared" si="40"/>
        <v>-0.55220258998804195</v>
      </c>
      <c r="AS353" s="45" t="str">
        <f t="shared" si="41"/>
        <v>1B</v>
      </c>
      <c r="AT353" s="45">
        <f>RANK(Batters[[#This Row],[zScore]],Batters[[#All],[zScore]])</f>
        <v>349</v>
      </c>
      <c r="AU353" s="45"/>
      <c r="AV353" s="45"/>
      <c r="AW353" s="45" t="str">
        <f t="shared" si="42"/>
        <v>Unlikely</v>
      </c>
      <c r="AX353" s="45"/>
      <c r="AY353" s="64" t="str">
        <f>INDEX(Table5[[#All],[Ovr]],MATCH(Batters[[#This Row],[PID]],Table5[[#All],[PID]],0))</f>
        <v/>
      </c>
      <c r="AZ353" s="64" t="str">
        <f>INDEX(Table5[[#All],[Rnd]],MATCH(Batters[[#This Row],[PID]],Table5[[#All],[PID]],0))</f>
        <v/>
      </c>
      <c r="BA353" s="64" t="str">
        <f>INDEX(Table5[[#All],[Pick]],MATCH(Batters[[#This Row],[PID]],Table5[[#All],[PID]],0))</f>
        <v/>
      </c>
      <c r="BB353" s="64" t="str">
        <f>INDEX(Table5[[#All],[Team]],MATCH(Batters[[#This Row],[PID]],Table5[[#All],[PID]],0))</f>
        <v/>
      </c>
    </row>
    <row r="354" spans="1:54" ht="15" customHeight="1" x14ac:dyDescent="0.25">
      <c r="A354" s="40">
        <v>16926</v>
      </c>
      <c r="B354" s="40" t="s">
        <v>74</v>
      </c>
      <c r="C354" s="40" t="s">
        <v>831</v>
      </c>
      <c r="D354" s="40" t="s">
        <v>1108</v>
      </c>
      <c r="E354" s="40">
        <v>21</v>
      </c>
      <c r="F354" s="40" t="s">
        <v>62</v>
      </c>
      <c r="G354" s="40" t="s">
        <v>42</v>
      </c>
      <c r="H354" s="41" t="s">
        <v>638</v>
      </c>
      <c r="I354" s="65" t="s">
        <v>43</v>
      </c>
      <c r="J354" s="66" t="s">
        <v>47</v>
      </c>
      <c r="K354" s="67" t="s">
        <v>43</v>
      </c>
      <c r="L354" s="40">
        <v>1</v>
      </c>
      <c r="M354" s="40">
        <v>3</v>
      </c>
      <c r="N354" s="40">
        <v>2</v>
      </c>
      <c r="O354" s="40">
        <v>2</v>
      </c>
      <c r="P354" s="41">
        <v>2</v>
      </c>
      <c r="Q354" s="40">
        <v>4</v>
      </c>
      <c r="R354" s="40">
        <v>4</v>
      </c>
      <c r="S354" s="40">
        <v>3</v>
      </c>
      <c r="T354" s="40">
        <v>4</v>
      </c>
      <c r="U354" s="41">
        <v>5</v>
      </c>
      <c r="V354" s="40">
        <v>5</v>
      </c>
      <c r="W354" s="40">
        <v>8</v>
      </c>
      <c r="X354" s="40">
        <v>1</v>
      </c>
      <c r="Y354" s="41">
        <v>1</v>
      </c>
      <c r="Z354" s="40" t="s">
        <v>45</v>
      </c>
      <c r="AA354" s="40" t="s">
        <v>45</v>
      </c>
      <c r="AB354" s="40" t="s">
        <v>45</v>
      </c>
      <c r="AC354" s="40" t="s">
        <v>45</v>
      </c>
      <c r="AD354" s="40" t="s">
        <v>45</v>
      </c>
      <c r="AE354" s="40">
        <v>7</v>
      </c>
      <c r="AF354" s="40">
        <v>6</v>
      </c>
      <c r="AG354" s="41" t="s">
        <v>45</v>
      </c>
      <c r="AH354" s="40">
        <v>8</v>
      </c>
      <c r="AI354" s="40">
        <v>6</v>
      </c>
      <c r="AJ354" s="41">
        <v>6</v>
      </c>
      <c r="AK354" s="43" t="s">
        <v>45</v>
      </c>
      <c r="AL354" s="43"/>
      <c r="AM354" s="44">
        <f t="shared" si="36"/>
        <v>-1.7694362067395988</v>
      </c>
      <c r="AN354" s="44">
        <f t="shared" si="37"/>
        <v>-0.36817920501855744</v>
      </c>
      <c r="AO354" s="45">
        <f t="shared" si="38"/>
        <v>1</v>
      </c>
      <c r="AP354" s="46">
        <f t="shared" si="39"/>
        <v>0.75</v>
      </c>
      <c r="AQ354" s="44">
        <f>($AM$3*AM354+$AN$3*AN354+$AO$3*AO354+$AP$3*AP354)+$I$3*VLOOKUP(I354,COND!$A$2:$E$7,4,FALSE)+$J$3*VLOOKUP(J354,COND!$A$2:$C$7,2,FALSE)+$K$3*VLOOKUP(K354,COND!$A$2:$C$7,3,FALSE)+IF(AND($B$2&gt;0,$E354&lt;20),$B$2*25,0)</f>
        <v>41.621572585770018</v>
      </c>
      <c r="AR354" s="47">
        <f t="shared" si="40"/>
        <v>-0.55656536252806277</v>
      </c>
      <c r="AS354" s="45" t="str">
        <f t="shared" si="41"/>
        <v>LF</v>
      </c>
      <c r="AT354" s="45">
        <f>RANK(Batters[[#This Row],[zScore]],Batters[[#All],[zScore]])</f>
        <v>350</v>
      </c>
      <c r="AU354" s="45"/>
      <c r="AV354" s="45"/>
      <c r="AW354" s="45" t="str">
        <f t="shared" si="42"/>
        <v>Unlikely</v>
      </c>
      <c r="AX354" s="45"/>
      <c r="AY354" s="64">
        <f>INDEX(Table5[[#All],[Ovr]],MATCH(Batters[[#This Row],[PID]],Table5[[#All],[PID]],0))</f>
        <v>488</v>
      </c>
      <c r="AZ354" s="64" t="str">
        <f>INDEX(Table5[[#All],[Rnd]],MATCH(Batters[[#This Row],[PID]],Table5[[#All],[PID]],0))</f>
        <v>16</v>
      </c>
      <c r="BA354" s="64">
        <f>INDEX(Table5[[#All],[Pick]],MATCH(Batters[[#This Row],[PID]],Table5[[#All],[PID]],0))</f>
        <v>30</v>
      </c>
      <c r="BB354" s="64" t="str">
        <f>INDEX(Table5[[#All],[Team]],MATCH(Batters[[#This Row],[PID]],Table5[[#All],[PID]],0))</f>
        <v>Florida Farstriders</v>
      </c>
    </row>
    <row r="355" spans="1:54" ht="15" customHeight="1" x14ac:dyDescent="0.25">
      <c r="A355" s="40">
        <v>12660</v>
      </c>
      <c r="B355" s="40" t="s">
        <v>87</v>
      </c>
      <c r="C355" s="40" t="s">
        <v>178</v>
      </c>
      <c r="D355" s="40" t="s">
        <v>1657</v>
      </c>
      <c r="E355" s="40">
        <v>18</v>
      </c>
      <c r="F355" s="40" t="s">
        <v>42</v>
      </c>
      <c r="G355" s="40" t="s">
        <v>42</v>
      </c>
      <c r="H355" s="41" t="s">
        <v>639</v>
      </c>
      <c r="I355" s="65" t="s">
        <v>43</v>
      </c>
      <c r="J355" s="66" t="s">
        <v>43</v>
      </c>
      <c r="K355" s="67" t="s">
        <v>43</v>
      </c>
      <c r="L355" s="40">
        <v>1</v>
      </c>
      <c r="M355" s="40">
        <v>1</v>
      </c>
      <c r="N355" s="40">
        <v>2</v>
      </c>
      <c r="O355" s="40">
        <v>2</v>
      </c>
      <c r="P355" s="41">
        <v>1</v>
      </c>
      <c r="Q355" s="40">
        <v>3</v>
      </c>
      <c r="R355" s="40">
        <v>3</v>
      </c>
      <c r="S355" s="40">
        <v>3</v>
      </c>
      <c r="T355" s="40">
        <v>6</v>
      </c>
      <c r="U355" s="41">
        <v>2</v>
      </c>
      <c r="V355" s="40">
        <v>2</v>
      </c>
      <c r="W355" s="40">
        <v>1</v>
      </c>
      <c r="X355" s="40">
        <v>3</v>
      </c>
      <c r="Y355" s="41">
        <v>5</v>
      </c>
      <c r="Z355" s="40" t="s">
        <v>45</v>
      </c>
      <c r="AA355" s="40">
        <v>1</v>
      </c>
      <c r="AB355" s="40" t="s">
        <v>45</v>
      </c>
      <c r="AC355" s="40" t="s">
        <v>45</v>
      </c>
      <c r="AD355" s="40" t="s">
        <v>45</v>
      </c>
      <c r="AE355" s="40" t="s">
        <v>45</v>
      </c>
      <c r="AF355" s="40" t="s">
        <v>45</v>
      </c>
      <c r="AG355" s="41" t="s">
        <v>45</v>
      </c>
      <c r="AH355" s="40">
        <v>1</v>
      </c>
      <c r="AI355" s="40">
        <v>2</v>
      </c>
      <c r="AJ355" s="41">
        <v>1</v>
      </c>
      <c r="AK355" s="43" t="s">
        <v>573</v>
      </c>
      <c r="AL355" s="43"/>
      <c r="AM355" s="44">
        <f t="shared" si="36"/>
        <v>-1.9115723057940897</v>
      </c>
      <c r="AN355" s="44">
        <f t="shared" si="37"/>
        <v>-0.68242484027202388</v>
      </c>
      <c r="AO355" s="45">
        <f t="shared" si="38"/>
        <v>0</v>
      </c>
      <c r="AP355" s="46">
        <f t="shared" si="39"/>
        <v>0</v>
      </c>
      <c r="AQ355" s="44">
        <f>($AM$3*AM355+$AN$3*AN355+$AO$3*AO355+$AP$3*AP355)+$I$3*VLOOKUP(I355,COND!$A$2:$E$7,4,FALSE)+$J$3*VLOOKUP(J355,COND!$A$2:$C$7,2,FALSE)+$K$3*VLOOKUP(K355,COND!$A$2:$C$7,3,FALSE)+IF(AND($B$2&gt;0,$E355&lt;20),$B$2*25,0)</f>
        <v>41.619744686156302</v>
      </c>
      <c r="AR355" s="47">
        <f t="shared" si="40"/>
        <v>-0.55697062022787813</v>
      </c>
      <c r="AS355" s="45" t="str">
        <f t="shared" si="41"/>
        <v>1B</v>
      </c>
      <c r="AT355" s="45">
        <f>RANK(Batters[[#This Row],[zScore]],Batters[[#All],[zScore]])</f>
        <v>351</v>
      </c>
      <c r="AU355" s="45"/>
      <c r="AV355" s="45"/>
      <c r="AW355" s="45" t="str">
        <f t="shared" si="42"/>
        <v>Unlikely</v>
      </c>
      <c r="AX355" s="45"/>
      <c r="AY355" s="64" t="str">
        <f>INDEX(Table5[[#All],[Ovr]],MATCH(Batters[[#This Row],[PID]],Table5[[#All],[PID]],0))</f>
        <v/>
      </c>
      <c r="AZ355" s="64" t="str">
        <f>INDEX(Table5[[#All],[Rnd]],MATCH(Batters[[#This Row],[PID]],Table5[[#All],[PID]],0))</f>
        <v/>
      </c>
      <c r="BA355" s="64" t="str">
        <f>INDEX(Table5[[#All],[Pick]],MATCH(Batters[[#This Row],[PID]],Table5[[#All],[PID]],0))</f>
        <v/>
      </c>
      <c r="BB355" s="64" t="str">
        <f>INDEX(Table5[[#All],[Team]],MATCH(Batters[[#This Row],[PID]],Table5[[#All],[PID]],0))</f>
        <v/>
      </c>
    </row>
    <row r="356" spans="1:54" ht="15" customHeight="1" x14ac:dyDescent="0.25">
      <c r="A356" s="40">
        <v>15962</v>
      </c>
      <c r="B356" s="40" t="s">
        <v>86</v>
      </c>
      <c r="C356" s="40" t="s">
        <v>1489</v>
      </c>
      <c r="D356" s="40" t="s">
        <v>800</v>
      </c>
      <c r="E356" s="40">
        <v>18</v>
      </c>
      <c r="F356" s="40" t="s">
        <v>62</v>
      </c>
      <c r="G356" s="40" t="s">
        <v>42</v>
      </c>
      <c r="H356" s="41" t="s">
        <v>638</v>
      </c>
      <c r="I356" s="65" t="s">
        <v>43</v>
      </c>
      <c r="J356" s="66" t="s">
        <v>43</v>
      </c>
      <c r="K356" s="67" t="s">
        <v>43</v>
      </c>
      <c r="L356" s="40">
        <v>1</v>
      </c>
      <c r="M356" s="40">
        <v>2</v>
      </c>
      <c r="N356" s="40">
        <v>2</v>
      </c>
      <c r="O356" s="40">
        <v>2</v>
      </c>
      <c r="P356" s="41">
        <v>1</v>
      </c>
      <c r="Q356" s="40">
        <v>3</v>
      </c>
      <c r="R356" s="40">
        <v>3</v>
      </c>
      <c r="S356" s="40">
        <v>4</v>
      </c>
      <c r="T356" s="40">
        <v>5</v>
      </c>
      <c r="U356" s="41">
        <v>2</v>
      </c>
      <c r="V356" s="40">
        <v>2</v>
      </c>
      <c r="W356" s="40">
        <v>2</v>
      </c>
      <c r="X356" s="40">
        <v>3</v>
      </c>
      <c r="Y356" s="41">
        <v>7</v>
      </c>
      <c r="Z356" s="40" t="s">
        <v>45</v>
      </c>
      <c r="AA356" s="40" t="s">
        <v>45</v>
      </c>
      <c r="AB356" s="40" t="s">
        <v>45</v>
      </c>
      <c r="AC356" s="40" t="s">
        <v>45</v>
      </c>
      <c r="AD356" s="40" t="s">
        <v>45</v>
      </c>
      <c r="AE356" s="40" t="s">
        <v>45</v>
      </c>
      <c r="AF356" s="40" t="s">
        <v>45</v>
      </c>
      <c r="AG356" s="41" t="s">
        <v>45</v>
      </c>
      <c r="AH356" s="40">
        <v>2</v>
      </c>
      <c r="AI356" s="40">
        <v>6</v>
      </c>
      <c r="AJ356" s="41">
        <v>5</v>
      </c>
      <c r="AK356" s="43" t="s">
        <v>644</v>
      </c>
      <c r="AL356" s="43" t="s">
        <v>47</v>
      </c>
      <c r="AM356" s="44">
        <f t="shared" si="36"/>
        <v>-1.8605124261753858</v>
      </c>
      <c r="AN356" s="44">
        <f t="shared" si="37"/>
        <v>-0.6890728962577034</v>
      </c>
      <c r="AO356" s="45">
        <f t="shared" si="38"/>
        <v>0</v>
      </c>
      <c r="AP356" s="46">
        <f t="shared" si="39"/>
        <v>0</v>
      </c>
      <c r="AQ356" s="44">
        <f>($AM$3*AM356+$AN$3*AN356+$AO$3*AO356+$AP$3*AP356)+$I$3*VLOOKUP(I356,COND!$A$2:$E$7,4,FALSE)+$J$3*VLOOKUP(J356,COND!$A$2:$C$7,2,FALSE)+$K$3*VLOOKUP(K356,COND!$A$2:$C$7,3,FALSE)+IF(AND($B$2&gt;0,$E356&lt;20),$B$2*25,0)</f>
        <v>41.545074002290022</v>
      </c>
      <c r="AR356" s="47">
        <f t="shared" si="40"/>
        <v>-0.57352561556801307</v>
      </c>
      <c r="AS356" s="45" t="str">
        <f t="shared" si="41"/>
        <v>DH</v>
      </c>
      <c r="AT356" s="45">
        <f>RANK(Batters[[#This Row],[zScore]],Batters[[#All],[zScore]])</f>
        <v>352</v>
      </c>
      <c r="AU356" s="45"/>
      <c r="AV356" s="45"/>
      <c r="AW356" s="45" t="str">
        <f t="shared" si="42"/>
        <v>Unlikely</v>
      </c>
      <c r="AX356" s="45"/>
      <c r="AY356" s="45" t="str">
        <f>INDEX(Table5[[#All],[Ovr]],MATCH(Batters[[#This Row],[PID]],Table5[[#All],[PID]],0))</f>
        <v/>
      </c>
      <c r="AZ356" s="45" t="str">
        <f>INDEX(Table5[[#All],[Rnd]],MATCH(Batters[[#This Row],[PID]],Table5[[#All],[PID]],0))</f>
        <v/>
      </c>
      <c r="BA356" s="45" t="str">
        <f>INDEX(Table5[[#All],[Pick]],MATCH(Batters[[#This Row],[PID]],Table5[[#All],[PID]],0))</f>
        <v/>
      </c>
      <c r="BB356" s="45" t="str">
        <f>INDEX(Table5[[#All],[Team]],MATCH(Batters[[#This Row],[PID]],Table5[[#All],[PID]],0))</f>
        <v/>
      </c>
    </row>
    <row r="357" spans="1:54" ht="15" customHeight="1" x14ac:dyDescent="0.25">
      <c r="A357" s="40">
        <v>1117</v>
      </c>
      <c r="B357" s="40" t="s">
        <v>71</v>
      </c>
      <c r="C357" s="40" t="s">
        <v>128</v>
      </c>
      <c r="D357" s="40" t="s">
        <v>1564</v>
      </c>
      <c r="E357" s="40">
        <v>18</v>
      </c>
      <c r="F357" s="40" t="s">
        <v>42</v>
      </c>
      <c r="G357" s="40" t="s">
        <v>42</v>
      </c>
      <c r="H357" s="41" t="s">
        <v>638</v>
      </c>
      <c r="I357" s="65" t="s">
        <v>43</v>
      </c>
      <c r="J357" s="66" t="s">
        <v>43</v>
      </c>
      <c r="K357" s="67" t="s">
        <v>43</v>
      </c>
      <c r="L357" s="40">
        <v>1</v>
      </c>
      <c r="M357" s="40">
        <v>1</v>
      </c>
      <c r="N357" s="40">
        <v>2</v>
      </c>
      <c r="O357" s="40">
        <v>2</v>
      </c>
      <c r="P357" s="41">
        <v>1</v>
      </c>
      <c r="Q357" s="40">
        <v>3</v>
      </c>
      <c r="R357" s="40">
        <v>3</v>
      </c>
      <c r="S357" s="40">
        <v>4</v>
      </c>
      <c r="T357" s="40">
        <v>5</v>
      </c>
      <c r="U357" s="41">
        <v>2</v>
      </c>
      <c r="V357" s="40">
        <v>5</v>
      </c>
      <c r="W357" s="40">
        <v>5</v>
      </c>
      <c r="X357" s="40">
        <v>1</v>
      </c>
      <c r="Y357" s="41">
        <v>1</v>
      </c>
      <c r="Z357" s="40" t="s">
        <v>45</v>
      </c>
      <c r="AA357" s="40" t="s">
        <v>45</v>
      </c>
      <c r="AB357" s="40">
        <v>2</v>
      </c>
      <c r="AC357" s="40" t="s">
        <v>45</v>
      </c>
      <c r="AD357" s="40" t="s">
        <v>45</v>
      </c>
      <c r="AE357" s="40" t="s">
        <v>45</v>
      </c>
      <c r="AF357" s="40" t="s">
        <v>45</v>
      </c>
      <c r="AG357" s="41" t="s">
        <v>45</v>
      </c>
      <c r="AH357" s="40">
        <v>1</v>
      </c>
      <c r="AI357" s="40">
        <v>5</v>
      </c>
      <c r="AJ357" s="41">
        <v>6</v>
      </c>
      <c r="AK357" s="43" t="s">
        <v>556</v>
      </c>
      <c r="AL357" s="43" t="s">
        <v>47</v>
      </c>
      <c r="AM357" s="44">
        <f t="shared" si="36"/>
        <v>-1.9115723057940897</v>
      </c>
      <c r="AN357" s="44">
        <f t="shared" si="37"/>
        <v>-0.6890728962577034</v>
      </c>
      <c r="AO357" s="45">
        <f t="shared" si="38"/>
        <v>0</v>
      </c>
      <c r="AP357" s="46">
        <f t="shared" si="39"/>
        <v>0</v>
      </c>
      <c r="AQ357" s="44">
        <f>($AM$3*AM357+$AN$3*AN357+$AO$3*AO357+$AP$3*AP357)+$I$3*VLOOKUP(I357,COND!$A$2:$E$7,4,FALSE)+$J$3*VLOOKUP(J357,COND!$A$2:$C$7,2,FALSE)+$K$3*VLOOKUP(K357,COND!$A$2:$C$7,3,FALSE)+IF(AND($B$2&gt;0,$E357&lt;20),$B$2*25,0)</f>
        <v>41.539968014328153</v>
      </c>
      <c r="AR357" s="47">
        <f t="shared" si="40"/>
        <v>-0.57465764761243499</v>
      </c>
      <c r="AS357" s="45" t="str">
        <f t="shared" si="41"/>
        <v>2B</v>
      </c>
      <c r="AT357" s="45">
        <f>RANK(Batters[[#This Row],[zScore]],Batters[[#All],[zScore]])</f>
        <v>353</v>
      </c>
      <c r="AU357" s="45"/>
      <c r="AV357" s="45"/>
      <c r="AW357" s="45" t="str">
        <f t="shared" si="42"/>
        <v>Unlikely</v>
      </c>
      <c r="AX357" s="45"/>
      <c r="AY357" s="45" t="str">
        <f>INDEX(Table5[[#All],[Ovr]],MATCH(Batters[[#This Row],[PID]],Table5[[#All],[PID]],0))</f>
        <v/>
      </c>
      <c r="AZ357" s="45" t="str">
        <f>INDEX(Table5[[#All],[Rnd]],MATCH(Batters[[#This Row],[PID]],Table5[[#All],[PID]],0))</f>
        <v/>
      </c>
      <c r="BA357" s="45" t="str">
        <f>INDEX(Table5[[#All],[Pick]],MATCH(Batters[[#This Row],[PID]],Table5[[#All],[PID]],0))</f>
        <v/>
      </c>
      <c r="BB357" s="45" t="str">
        <f>INDEX(Table5[[#All],[Team]],MATCH(Batters[[#This Row],[PID]],Table5[[#All],[PID]],0))</f>
        <v/>
      </c>
    </row>
    <row r="358" spans="1:54" ht="15" customHeight="1" x14ac:dyDescent="0.25">
      <c r="A358" s="40">
        <v>20416</v>
      </c>
      <c r="B358" s="40" t="s">
        <v>71</v>
      </c>
      <c r="C358" s="40" t="s">
        <v>1113</v>
      </c>
      <c r="D358" s="40" t="s">
        <v>1608</v>
      </c>
      <c r="E358" s="40">
        <v>18</v>
      </c>
      <c r="F358" s="40" t="s">
        <v>42</v>
      </c>
      <c r="G358" s="40" t="s">
        <v>42</v>
      </c>
      <c r="H358" s="41" t="s">
        <v>638</v>
      </c>
      <c r="I358" s="65" t="s">
        <v>43</v>
      </c>
      <c r="J358" s="66" t="s">
        <v>43</v>
      </c>
      <c r="K358" s="67" t="s">
        <v>43</v>
      </c>
      <c r="L358" s="40">
        <v>1</v>
      </c>
      <c r="M358" s="40">
        <v>2</v>
      </c>
      <c r="N358" s="40">
        <v>2</v>
      </c>
      <c r="O358" s="40">
        <v>3</v>
      </c>
      <c r="P358" s="41">
        <v>1</v>
      </c>
      <c r="Q358" s="40">
        <v>3</v>
      </c>
      <c r="R358" s="40">
        <v>3</v>
      </c>
      <c r="S358" s="40">
        <v>3</v>
      </c>
      <c r="T358" s="40">
        <v>5</v>
      </c>
      <c r="U358" s="41">
        <v>3</v>
      </c>
      <c r="V358" s="40">
        <v>5</v>
      </c>
      <c r="W358" s="40">
        <v>3</v>
      </c>
      <c r="X358" s="40">
        <v>1</v>
      </c>
      <c r="Y358" s="41">
        <v>1</v>
      </c>
      <c r="Z358" s="40" t="s">
        <v>45</v>
      </c>
      <c r="AA358" s="40" t="s">
        <v>45</v>
      </c>
      <c r="AB358" s="40">
        <v>2</v>
      </c>
      <c r="AC358" s="40" t="s">
        <v>45</v>
      </c>
      <c r="AD358" s="40">
        <v>1</v>
      </c>
      <c r="AE358" s="40" t="s">
        <v>45</v>
      </c>
      <c r="AF358" s="40" t="s">
        <v>45</v>
      </c>
      <c r="AG358" s="41" t="s">
        <v>45</v>
      </c>
      <c r="AH358" s="40">
        <v>7</v>
      </c>
      <c r="AI358" s="40">
        <v>8</v>
      </c>
      <c r="AJ358" s="41">
        <v>7</v>
      </c>
      <c r="AK358" s="43" t="s">
        <v>644</v>
      </c>
      <c r="AL358" s="43" t="s">
        <v>47</v>
      </c>
      <c r="AM358" s="44">
        <f t="shared" si="36"/>
        <v>-1.7708028761658048</v>
      </c>
      <c r="AN358" s="44">
        <f t="shared" si="37"/>
        <v>-0.73211805046452161</v>
      </c>
      <c r="AO358" s="45">
        <f t="shared" si="38"/>
        <v>3</v>
      </c>
      <c r="AP358" s="46">
        <f t="shared" si="39"/>
        <v>0</v>
      </c>
      <c r="AQ358" s="44">
        <f>($AM$3*AM358+$AN$3*AN358+$AO$3*AO358+$AP$3*AP358)+$I$3*VLOOKUP(I358,COND!$A$2:$E$7,4,FALSE)+$J$3*VLOOKUP(J358,COND!$A$2:$C$7,2,FALSE)+$K$3*VLOOKUP(K358,COND!$A$2:$C$7,3,FALSE)+IF(AND($B$2&gt;0,$E358&lt;20),$B$2*25,0)</f>
        <v>41.537503106809162</v>
      </c>
      <c r="AR358" s="47">
        <f t="shared" si="40"/>
        <v>-0.57520413427062389</v>
      </c>
      <c r="AS358" s="45" t="str">
        <f t="shared" si="41"/>
        <v>2B</v>
      </c>
      <c r="AT358" s="45">
        <f>RANK(Batters[[#This Row],[zScore]],Batters[[#All],[zScore]])</f>
        <v>354</v>
      </c>
      <c r="AU358" s="45"/>
      <c r="AV358" s="45"/>
      <c r="AW358" s="45" t="str">
        <f t="shared" si="42"/>
        <v>Unlikely</v>
      </c>
      <c r="AX358" s="45"/>
      <c r="AY358" s="45" t="str">
        <f>INDEX(Table5[[#All],[Ovr]],MATCH(Batters[[#This Row],[PID]],Table5[[#All],[PID]],0))</f>
        <v/>
      </c>
      <c r="AZ358" s="45" t="str">
        <f>INDEX(Table5[[#All],[Rnd]],MATCH(Batters[[#This Row],[PID]],Table5[[#All],[PID]],0))</f>
        <v/>
      </c>
      <c r="BA358" s="45" t="str">
        <f>INDEX(Table5[[#All],[Pick]],MATCH(Batters[[#This Row],[PID]],Table5[[#All],[PID]],0))</f>
        <v/>
      </c>
      <c r="BB358" s="45" t="str">
        <f>INDEX(Table5[[#All],[Team]],MATCH(Batters[[#This Row],[PID]],Table5[[#All],[PID]],0))</f>
        <v/>
      </c>
    </row>
    <row r="359" spans="1:54" ht="15" customHeight="1" x14ac:dyDescent="0.25">
      <c r="A359" s="40">
        <v>20887</v>
      </c>
      <c r="B359" s="40" t="s">
        <v>71</v>
      </c>
      <c r="C359" s="40" t="s">
        <v>1429</v>
      </c>
      <c r="D359" s="40" t="s">
        <v>203</v>
      </c>
      <c r="E359" s="40">
        <v>16</v>
      </c>
      <c r="F359" s="40" t="s">
        <v>42</v>
      </c>
      <c r="G359" s="40" t="s">
        <v>42</v>
      </c>
      <c r="H359" s="41" t="s">
        <v>638</v>
      </c>
      <c r="I359" s="65" t="s">
        <v>43</v>
      </c>
      <c r="J359" s="66" t="s">
        <v>43</v>
      </c>
      <c r="K359" s="67" t="s">
        <v>43</v>
      </c>
      <c r="L359" s="40">
        <v>1</v>
      </c>
      <c r="M359" s="40">
        <v>2</v>
      </c>
      <c r="N359" s="40">
        <v>3</v>
      </c>
      <c r="O359" s="40">
        <v>2</v>
      </c>
      <c r="P359" s="41">
        <v>1</v>
      </c>
      <c r="Q359" s="40">
        <v>2</v>
      </c>
      <c r="R359" s="40">
        <v>6</v>
      </c>
      <c r="S359" s="40">
        <v>6</v>
      </c>
      <c r="T359" s="40">
        <v>5</v>
      </c>
      <c r="U359" s="41">
        <v>2</v>
      </c>
      <c r="V359" s="40">
        <v>6</v>
      </c>
      <c r="W359" s="40">
        <v>6</v>
      </c>
      <c r="X359" s="40">
        <v>6</v>
      </c>
      <c r="Y359" s="41">
        <v>6</v>
      </c>
      <c r="Z359" s="40" t="s">
        <v>45</v>
      </c>
      <c r="AA359" s="40" t="s">
        <v>45</v>
      </c>
      <c r="AB359" s="40">
        <v>1</v>
      </c>
      <c r="AC359" s="40" t="s">
        <v>45</v>
      </c>
      <c r="AD359" s="40" t="s">
        <v>45</v>
      </c>
      <c r="AE359" s="40" t="s">
        <v>45</v>
      </c>
      <c r="AF359" s="40" t="s">
        <v>45</v>
      </c>
      <c r="AG359" s="41" t="s">
        <v>45</v>
      </c>
      <c r="AH359" s="40">
        <v>1</v>
      </c>
      <c r="AI359" s="40">
        <v>2</v>
      </c>
      <c r="AJ359" s="41">
        <v>1</v>
      </c>
      <c r="AK359" s="43" t="s">
        <v>644</v>
      </c>
      <c r="AL359" s="43" t="s">
        <v>47</v>
      </c>
      <c r="AM359" s="44">
        <f t="shared" si="36"/>
        <v>-1.7774509321514844</v>
      </c>
      <c r="AN359" s="44">
        <f t="shared" si="37"/>
        <v>-0.69232610555646479</v>
      </c>
      <c r="AO359" s="45">
        <f t="shared" si="38"/>
        <v>0</v>
      </c>
      <c r="AP359" s="46">
        <f t="shared" si="39"/>
        <v>0</v>
      </c>
      <c r="AQ359" s="44">
        <f>($AM$3*AM359+$AN$3*AN359+$AO$3*AO359+$AP$3*AP359)+$I$3*VLOOKUP(I359,COND!$A$2:$E$7,4,FALSE)+$J$3*VLOOKUP(J359,COND!$A$2:$C$7,2,FALSE)+$K$3*VLOOKUP(K359,COND!$A$2:$C$7,3,FALSE)+IF(AND($B$2&gt;0,$E359&lt;20),$B$2*25,0)</f>
        <v>41.514341640107276</v>
      </c>
      <c r="AR359" s="47">
        <f t="shared" si="40"/>
        <v>-0.58033918799541739</v>
      </c>
      <c r="AS359" s="45" t="str">
        <f t="shared" si="41"/>
        <v>2B</v>
      </c>
      <c r="AT359" s="45">
        <f>RANK(Batters[[#This Row],[zScore]],Batters[[#All],[zScore]])</f>
        <v>355</v>
      </c>
      <c r="AU359" s="45"/>
      <c r="AV359" s="45"/>
      <c r="AW359" s="45" t="str">
        <f t="shared" si="42"/>
        <v>Unlikely</v>
      </c>
      <c r="AX359" s="45"/>
      <c r="AY359" s="45" t="str">
        <f>INDEX(Table5[[#All],[Ovr]],MATCH(Batters[[#This Row],[PID]],Table5[[#All],[PID]],0))</f>
        <v/>
      </c>
      <c r="AZ359" s="45" t="str">
        <f>INDEX(Table5[[#All],[Rnd]],MATCH(Batters[[#This Row],[PID]],Table5[[#All],[PID]],0))</f>
        <v/>
      </c>
      <c r="BA359" s="45" t="str">
        <f>INDEX(Table5[[#All],[Pick]],MATCH(Batters[[#This Row],[PID]],Table5[[#All],[PID]],0))</f>
        <v/>
      </c>
      <c r="BB359" s="45" t="str">
        <f>INDEX(Table5[[#All],[Team]],MATCH(Batters[[#This Row],[PID]],Table5[[#All],[PID]],0))</f>
        <v/>
      </c>
    </row>
    <row r="360" spans="1:54" ht="15" customHeight="1" x14ac:dyDescent="0.25">
      <c r="A360" s="40">
        <v>18377</v>
      </c>
      <c r="B360" s="40" t="s">
        <v>87</v>
      </c>
      <c r="C360" s="40" t="s">
        <v>1668</v>
      </c>
      <c r="D360" s="40" t="s">
        <v>397</v>
      </c>
      <c r="E360" s="40">
        <v>18</v>
      </c>
      <c r="F360" s="40" t="s">
        <v>42</v>
      </c>
      <c r="G360" s="40" t="s">
        <v>42</v>
      </c>
      <c r="H360" s="41" t="s">
        <v>639</v>
      </c>
      <c r="I360" s="65" t="s">
        <v>43</v>
      </c>
      <c r="J360" s="66" t="s">
        <v>43</v>
      </c>
      <c r="K360" s="67" t="s">
        <v>43</v>
      </c>
      <c r="L360" s="40">
        <v>1</v>
      </c>
      <c r="M360" s="40">
        <v>2</v>
      </c>
      <c r="N360" s="40">
        <v>2</v>
      </c>
      <c r="O360" s="40">
        <v>2</v>
      </c>
      <c r="P360" s="41">
        <v>1</v>
      </c>
      <c r="Q360" s="40">
        <v>3</v>
      </c>
      <c r="R360" s="40">
        <v>3</v>
      </c>
      <c r="S360" s="40">
        <v>3</v>
      </c>
      <c r="T360" s="40">
        <v>5</v>
      </c>
      <c r="U360" s="41">
        <v>4</v>
      </c>
      <c r="V360" s="40">
        <v>2</v>
      </c>
      <c r="W360" s="40">
        <v>1</v>
      </c>
      <c r="X360" s="40">
        <v>3</v>
      </c>
      <c r="Y360" s="41">
        <v>3</v>
      </c>
      <c r="Z360" s="40" t="s">
        <v>45</v>
      </c>
      <c r="AA360" s="40">
        <v>1</v>
      </c>
      <c r="AB360" s="40" t="s">
        <v>45</v>
      </c>
      <c r="AC360" s="40" t="s">
        <v>45</v>
      </c>
      <c r="AD360" s="40" t="s">
        <v>45</v>
      </c>
      <c r="AE360" s="40" t="s">
        <v>45</v>
      </c>
      <c r="AF360" s="40" t="s">
        <v>45</v>
      </c>
      <c r="AG360" s="41" t="s">
        <v>45</v>
      </c>
      <c r="AH360" s="40">
        <v>1</v>
      </c>
      <c r="AI360" s="40">
        <v>2</v>
      </c>
      <c r="AJ360" s="41">
        <v>2</v>
      </c>
      <c r="AK360" s="43" t="s">
        <v>659</v>
      </c>
      <c r="AL360" s="43"/>
      <c r="AM360" s="44">
        <f t="shared" si="36"/>
        <v>-1.8605124261753858</v>
      </c>
      <c r="AN360" s="44">
        <f t="shared" si="37"/>
        <v>-0.69210171064743797</v>
      </c>
      <c r="AO360" s="45">
        <f t="shared" si="38"/>
        <v>0</v>
      </c>
      <c r="AP360" s="46">
        <f t="shared" si="39"/>
        <v>0</v>
      </c>
      <c r="AQ360" s="44">
        <f>($AM$3*AM360+$AN$3*AN360+$AO$3*AO360+$AP$3*AP360)+$I$3*VLOOKUP(I360,COND!$A$2:$E$7,4,FALSE)+$J$3*VLOOKUP(J360,COND!$A$2:$C$7,2,FALSE)+$K$3*VLOOKUP(K360,COND!$A$2:$C$7,3,FALSE)+IF(AND($B$2&gt;0,$E360&lt;20),$B$2*25,0)</f>
        <v>41.508728229613205</v>
      </c>
      <c r="AR360" s="47">
        <f t="shared" si="40"/>
        <v>-0.58158371904508643</v>
      </c>
      <c r="AS360" s="45" t="str">
        <f t="shared" si="41"/>
        <v>1B</v>
      </c>
      <c r="AT360" s="45">
        <f>RANK(Batters[[#This Row],[zScore]],Batters[[#All],[zScore]])</f>
        <v>356</v>
      </c>
      <c r="AU360" s="45"/>
      <c r="AV360" s="45"/>
      <c r="AW360" s="45" t="str">
        <f t="shared" si="42"/>
        <v>Unlikely</v>
      </c>
      <c r="AX360" s="45"/>
      <c r="AY360" s="64" t="str">
        <f>INDEX(Table5[[#All],[Ovr]],MATCH(Batters[[#This Row],[PID]],Table5[[#All],[PID]],0))</f>
        <v/>
      </c>
      <c r="AZ360" s="64" t="str">
        <f>INDEX(Table5[[#All],[Rnd]],MATCH(Batters[[#This Row],[PID]],Table5[[#All],[PID]],0))</f>
        <v/>
      </c>
      <c r="BA360" s="64" t="str">
        <f>INDEX(Table5[[#All],[Pick]],MATCH(Batters[[#This Row],[PID]],Table5[[#All],[PID]],0))</f>
        <v/>
      </c>
      <c r="BB360" s="64" t="str">
        <f>INDEX(Table5[[#All],[Team]],MATCH(Batters[[#This Row],[PID]],Table5[[#All],[PID]],0))</f>
        <v/>
      </c>
    </row>
    <row r="361" spans="1:54" ht="15" customHeight="1" x14ac:dyDescent="0.25">
      <c r="A361" s="40">
        <v>1128</v>
      </c>
      <c r="B361" s="40" t="s">
        <v>69</v>
      </c>
      <c r="C361" s="40" t="s">
        <v>190</v>
      </c>
      <c r="D361" s="40" t="s">
        <v>696</v>
      </c>
      <c r="E361" s="40">
        <v>18</v>
      </c>
      <c r="F361" s="40" t="s">
        <v>42</v>
      </c>
      <c r="G361" s="40" t="s">
        <v>42</v>
      </c>
      <c r="H361" s="41" t="s">
        <v>639</v>
      </c>
      <c r="I361" s="65" t="s">
        <v>47</v>
      </c>
      <c r="J361" s="66" t="s">
        <v>47</v>
      </c>
      <c r="K361" s="67" t="s">
        <v>43</v>
      </c>
      <c r="L361" s="40">
        <v>1</v>
      </c>
      <c r="M361" s="40">
        <v>1</v>
      </c>
      <c r="N361" s="40">
        <v>2</v>
      </c>
      <c r="O361" s="40">
        <v>1</v>
      </c>
      <c r="P361" s="41">
        <v>1</v>
      </c>
      <c r="Q361" s="40">
        <v>3</v>
      </c>
      <c r="R361" s="40">
        <v>3</v>
      </c>
      <c r="S361" s="40">
        <v>4</v>
      </c>
      <c r="T361" s="40">
        <v>4</v>
      </c>
      <c r="U361" s="41">
        <v>3</v>
      </c>
      <c r="V361" s="40">
        <v>5</v>
      </c>
      <c r="W361" s="40">
        <v>2</v>
      </c>
      <c r="X361" s="40">
        <v>1</v>
      </c>
      <c r="Y361" s="41">
        <v>1</v>
      </c>
      <c r="Z361" s="40" t="s">
        <v>45</v>
      </c>
      <c r="AA361" s="40" t="s">
        <v>45</v>
      </c>
      <c r="AB361" s="40" t="s">
        <v>45</v>
      </c>
      <c r="AC361" s="40">
        <v>2</v>
      </c>
      <c r="AD361" s="40" t="s">
        <v>45</v>
      </c>
      <c r="AE361" s="40" t="s">
        <v>45</v>
      </c>
      <c r="AF361" s="40" t="s">
        <v>45</v>
      </c>
      <c r="AG361" s="41" t="s">
        <v>45</v>
      </c>
      <c r="AH361" s="40">
        <v>1</v>
      </c>
      <c r="AI361" s="40">
        <v>1</v>
      </c>
      <c r="AJ361" s="41">
        <v>1</v>
      </c>
      <c r="AK361" s="43" t="s">
        <v>644</v>
      </c>
      <c r="AL361" s="43"/>
      <c r="AM361" s="44">
        <f t="shared" si="36"/>
        <v>-2.0012818558036707</v>
      </c>
      <c r="AN361" s="44">
        <f t="shared" si="37"/>
        <v>-0.73876610645020102</v>
      </c>
      <c r="AO361" s="45">
        <f t="shared" si="38"/>
        <v>0</v>
      </c>
      <c r="AP361" s="46">
        <f t="shared" si="39"/>
        <v>0</v>
      </c>
      <c r="AQ361" s="44">
        <f>($AM$3*AM361+$AN$3*AN361+$AO$3*AO361+$AP$3*AP361)+$I$3*VLOOKUP(I361,COND!$A$2:$E$7,4,FALSE)+$J$3*VLOOKUP(J361,COND!$A$2:$C$7,2,FALSE)+$K$3*VLOOKUP(K361,COND!$A$2:$C$7,3,FALSE)+IF(AND($B$2&gt;0,$E361&lt;20),$B$2*25,0)</f>
        <v>41.459678537017219</v>
      </c>
      <c r="AR361" s="47">
        <f t="shared" si="40"/>
        <v>-0.59245836743876867</v>
      </c>
      <c r="AS361" s="45" t="str">
        <f t="shared" si="41"/>
        <v>3B</v>
      </c>
      <c r="AT361" s="45">
        <f>RANK(Batters[[#This Row],[zScore]],Batters[[#All],[zScore]])</f>
        <v>357</v>
      </c>
      <c r="AU361" s="45"/>
      <c r="AV361" s="45"/>
      <c r="AW361" s="45" t="str">
        <f t="shared" si="42"/>
        <v>Unlikely</v>
      </c>
      <c r="AX361" s="45"/>
      <c r="AY361" s="64" t="str">
        <f>INDEX(Table5[[#All],[Ovr]],MATCH(Batters[[#This Row],[PID]],Table5[[#All],[PID]],0))</f>
        <v/>
      </c>
      <c r="AZ361" s="64" t="str">
        <f>INDEX(Table5[[#All],[Rnd]],MATCH(Batters[[#This Row],[PID]],Table5[[#All],[PID]],0))</f>
        <v/>
      </c>
      <c r="BA361" s="64" t="str">
        <f>INDEX(Table5[[#All],[Pick]],MATCH(Batters[[#This Row],[PID]],Table5[[#All],[PID]],0))</f>
        <v/>
      </c>
      <c r="BB361" s="64" t="str">
        <f>INDEX(Table5[[#All],[Team]],MATCH(Batters[[#This Row],[PID]],Table5[[#All],[PID]],0))</f>
        <v/>
      </c>
    </row>
    <row r="362" spans="1:54" ht="15" customHeight="1" x14ac:dyDescent="0.25">
      <c r="A362" s="40">
        <v>20592</v>
      </c>
      <c r="B362" s="40" t="s">
        <v>69</v>
      </c>
      <c r="C362" s="40" t="s">
        <v>1507</v>
      </c>
      <c r="D362" s="40" t="s">
        <v>1508</v>
      </c>
      <c r="E362" s="40">
        <v>17</v>
      </c>
      <c r="F362" s="40" t="s">
        <v>42</v>
      </c>
      <c r="G362" s="40" t="s">
        <v>42</v>
      </c>
      <c r="H362" s="41" t="s">
        <v>638</v>
      </c>
      <c r="I362" s="65" t="s">
        <v>43</v>
      </c>
      <c r="J362" s="66" t="s">
        <v>47</v>
      </c>
      <c r="K362" s="67" t="s">
        <v>43</v>
      </c>
      <c r="L362" s="40">
        <v>1</v>
      </c>
      <c r="M362" s="40">
        <v>3</v>
      </c>
      <c r="N362" s="40">
        <v>2</v>
      </c>
      <c r="O362" s="40">
        <v>2</v>
      </c>
      <c r="P362" s="41">
        <v>1</v>
      </c>
      <c r="Q362" s="40">
        <v>3</v>
      </c>
      <c r="R362" s="40">
        <v>4</v>
      </c>
      <c r="S362" s="40">
        <v>2</v>
      </c>
      <c r="T362" s="40">
        <v>5</v>
      </c>
      <c r="U362" s="41">
        <v>4</v>
      </c>
      <c r="V362" s="40">
        <v>9</v>
      </c>
      <c r="W362" s="40">
        <v>8</v>
      </c>
      <c r="X362" s="40">
        <v>1</v>
      </c>
      <c r="Y362" s="41">
        <v>1</v>
      </c>
      <c r="Z362" s="40" t="s">
        <v>45</v>
      </c>
      <c r="AA362" s="40" t="s">
        <v>45</v>
      </c>
      <c r="AB362" s="40" t="s">
        <v>45</v>
      </c>
      <c r="AC362" s="40">
        <v>2</v>
      </c>
      <c r="AD362" s="40" t="s">
        <v>45</v>
      </c>
      <c r="AE362" s="40" t="s">
        <v>45</v>
      </c>
      <c r="AF362" s="40" t="s">
        <v>45</v>
      </c>
      <c r="AG362" s="41" t="s">
        <v>45</v>
      </c>
      <c r="AH362" s="40">
        <v>2</v>
      </c>
      <c r="AI362" s="40">
        <v>4</v>
      </c>
      <c r="AJ362" s="41">
        <v>4</v>
      </c>
      <c r="AK362" s="43" t="s">
        <v>644</v>
      </c>
      <c r="AL362" s="43" t="s">
        <v>47</v>
      </c>
      <c r="AM362" s="44">
        <f t="shared" si="36"/>
        <v>-1.8094525465566824</v>
      </c>
      <c r="AN362" s="44">
        <f t="shared" si="37"/>
        <v>-0.72410332505263597</v>
      </c>
      <c r="AO362" s="45">
        <f t="shared" si="38"/>
        <v>0</v>
      </c>
      <c r="AP362" s="46">
        <f t="shared" si="39"/>
        <v>0</v>
      </c>
      <c r="AQ362" s="44">
        <f>($AM$3*AM362+$AN$3*AN362+$AO$3*AO362+$AP$3*AP362)+$I$3*VLOOKUP(I362,COND!$A$2:$E$7,4,FALSE)+$J$3*VLOOKUP(J362,COND!$A$2:$C$7,2,FALSE)+$K$3*VLOOKUP(K362,COND!$A$2:$C$7,3,FALSE)+IF(AND($B$2&gt;0,$E362&lt;20),$B$2*25,0)</f>
        <v>41.429814844712702</v>
      </c>
      <c r="AR362" s="47">
        <f t="shared" si="40"/>
        <v>-0.59907934988250588</v>
      </c>
      <c r="AS362" s="45" t="str">
        <f t="shared" si="41"/>
        <v>3B</v>
      </c>
      <c r="AT362" s="45">
        <f>RANK(Batters[[#This Row],[zScore]],Batters[[#All],[zScore]])</f>
        <v>358</v>
      </c>
      <c r="AU362" s="45"/>
      <c r="AV362" s="45"/>
      <c r="AW362" s="45" t="str">
        <f t="shared" si="42"/>
        <v>Unlikely</v>
      </c>
      <c r="AX362" s="45"/>
      <c r="AY362" s="45" t="str">
        <f>INDEX(Table5[[#All],[Ovr]],MATCH(Batters[[#This Row],[PID]],Table5[[#All],[PID]],0))</f>
        <v/>
      </c>
      <c r="AZ362" s="45" t="str">
        <f>INDEX(Table5[[#All],[Rnd]],MATCH(Batters[[#This Row],[PID]],Table5[[#All],[PID]],0))</f>
        <v/>
      </c>
      <c r="BA362" s="45" t="str">
        <f>INDEX(Table5[[#All],[Pick]],MATCH(Batters[[#This Row],[PID]],Table5[[#All],[PID]],0))</f>
        <v/>
      </c>
      <c r="BB362" s="45" t="str">
        <f>INDEX(Table5[[#All],[Team]],MATCH(Batters[[#This Row],[PID]],Table5[[#All],[PID]],0))</f>
        <v/>
      </c>
    </row>
    <row r="363" spans="1:54" ht="15" customHeight="1" x14ac:dyDescent="0.25">
      <c r="A363" s="40">
        <v>20772</v>
      </c>
      <c r="B363" s="40" t="s">
        <v>72</v>
      </c>
      <c r="C363" s="40" t="s">
        <v>1591</v>
      </c>
      <c r="D363" s="40" t="s">
        <v>723</v>
      </c>
      <c r="E363" s="40">
        <v>18</v>
      </c>
      <c r="F363" s="40" t="s">
        <v>53</v>
      </c>
      <c r="G363" s="40" t="s">
        <v>42</v>
      </c>
      <c r="H363" s="41" t="s">
        <v>638</v>
      </c>
      <c r="I363" s="65" t="s">
        <v>43</v>
      </c>
      <c r="J363" s="66" t="s">
        <v>47</v>
      </c>
      <c r="K363" s="67" t="s">
        <v>43</v>
      </c>
      <c r="L363" s="40">
        <v>1</v>
      </c>
      <c r="M363" s="40">
        <v>1</v>
      </c>
      <c r="N363" s="40">
        <v>2</v>
      </c>
      <c r="O363" s="40">
        <v>3</v>
      </c>
      <c r="P363" s="41">
        <v>1</v>
      </c>
      <c r="Q363" s="40">
        <v>3</v>
      </c>
      <c r="R363" s="40">
        <v>3</v>
      </c>
      <c r="S363" s="40">
        <v>2</v>
      </c>
      <c r="T363" s="40">
        <v>6</v>
      </c>
      <c r="U363" s="41">
        <v>3</v>
      </c>
      <c r="V363" s="40">
        <v>7</v>
      </c>
      <c r="W363" s="40">
        <v>7</v>
      </c>
      <c r="X363" s="40">
        <v>1</v>
      </c>
      <c r="Y363" s="41">
        <v>1</v>
      </c>
      <c r="Z363" s="40" t="s">
        <v>45</v>
      </c>
      <c r="AA363" s="40" t="s">
        <v>45</v>
      </c>
      <c r="AB363" s="40">
        <v>1</v>
      </c>
      <c r="AC363" s="40" t="s">
        <v>45</v>
      </c>
      <c r="AD363" s="40">
        <v>2</v>
      </c>
      <c r="AE363" s="40" t="s">
        <v>45</v>
      </c>
      <c r="AF363" s="40" t="s">
        <v>45</v>
      </c>
      <c r="AG363" s="41" t="s">
        <v>45</v>
      </c>
      <c r="AH363" s="40">
        <v>7</v>
      </c>
      <c r="AI363" s="40">
        <v>6</v>
      </c>
      <c r="AJ363" s="41">
        <v>3</v>
      </c>
      <c r="AK363" s="43" t="s">
        <v>644</v>
      </c>
      <c r="AL363" s="43" t="s">
        <v>635</v>
      </c>
      <c r="AM363" s="44">
        <f t="shared" si="36"/>
        <v>-1.8218627557845084</v>
      </c>
      <c r="AN363" s="44">
        <f t="shared" si="37"/>
        <v>-0.72546999447884186</v>
      </c>
      <c r="AO363" s="45">
        <f t="shared" si="38"/>
        <v>0</v>
      </c>
      <c r="AP363" s="46">
        <f t="shared" si="39"/>
        <v>0</v>
      </c>
      <c r="AQ363" s="44">
        <f>($AM$3*AM363+$AN$3*AN363+$AO$3*AO363+$AP$3*AP363)+$I$3*VLOOKUP(I363,COND!$A$2:$E$7,4,FALSE)+$J$3*VLOOKUP(J363,COND!$A$2:$C$7,2,FALSE)+$K$3*VLOOKUP(K363,COND!$A$2:$C$7,3,FALSE)+IF(AND($B$2&gt;0,$E363&lt;20),$B$2*25,0)</f>
        <v>41.412173790675446</v>
      </c>
      <c r="AR363" s="47">
        <f t="shared" si="40"/>
        <v>-0.6029904908050242</v>
      </c>
      <c r="AS363" s="45" t="str">
        <f t="shared" si="41"/>
        <v>SS</v>
      </c>
      <c r="AT363" s="45">
        <f>RANK(Batters[[#This Row],[zScore]],Batters[[#All],[zScore]])</f>
        <v>359</v>
      </c>
      <c r="AU363" s="45"/>
      <c r="AV363" s="45"/>
      <c r="AW363" s="45" t="str">
        <f t="shared" si="42"/>
        <v>Unlikely</v>
      </c>
      <c r="AX363" s="45"/>
      <c r="AY363" s="45" t="str">
        <f>INDEX(Table5[[#All],[Ovr]],MATCH(Batters[[#This Row],[PID]],Table5[[#All],[PID]],0))</f>
        <v/>
      </c>
      <c r="AZ363" s="45" t="str">
        <f>INDEX(Table5[[#All],[Rnd]],MATCH(Batters[[#This Row],[PID]],Table5[[#All],[PID]],0))</f>
        <v/>
      </c>
      <c r="BA363" s="45" t="str">
        <f>INDEX(Table5[[#All],[Pick]],MATCH(Batters[[#This Row],[PID]],Table5[[#All],[PID]],0))</f>
        <v/>
      </c>
      <c r="BB363" s="45" t="str">
        <f>INDEX(Table5[[#All],[Team]],MATCH(Batters[[#This Row],[PID]],Table5[[#All],[PID]],0))</f>
        <v/>
      </c>
    </row>
    <row r="364" spans="1:54" ht="15" customHeight="1" x14ac:dyDescent="0.25">
      <c r="A364" s="40">
        <v>20341</v>
      </c>
      <c r="B364" s="40" t="s">
        <v>71</v>
      </c>
      <c r="C364" s="40" t="s">
        <v>756</v>
      </c>
      <c r="D364" s="40" t="s">
        <v>1476</v>
      </c>
      <c r="E364" s="40">
        <v>17</v>
      </c>
      <c r="F364" s="40" t="s">
        <v>62</v>
      </c>
      <c r="G364" s="40" t="s">
        <v>42</v>
      </c>
      <c r="H364" s="41" t="s">
        <v>638</v>
      </c>
      <c r="I364" s="65" t="s">
        <v>43</v>
      </c>
      <c r="J364" s="66" t="s">
        <v>44</v>
      </c>
      <c r="K364" s="67" t="s">
        <v>44</v>
      </c>
      <c r="L364" s="40">
        <v>1</v>
      </c>
      <c r="M364" s="40">
        <v>3</v>
      </c>
      <c r="N364" s="40">
        <v>3</v>
      </c>
      <c r="O364" s="40">
        <v>3</v>
      </c>
      <c r="P364" s="41">
        <v>1</v>
      </c>
      <c r="Q364" s="40">
        <v>2</v>
      </c>
      <c r="R364" s="40">
        <v>5</v>
      </c>
      <c r="S364" s="40">
        <v>6</v>
      </c>
      <c r="T364" s="40">
        <v>6</v>
      </c>
      <c r="U364" s="41">
        <v>2</v>
      </c>
      <c r="V364" s="40">
        <v>5</v>
      </c>
      <c r="W364" s="40">
        <v>3</v>
      </c>
      <c r="X364" s="40">
        <v>1</v>
      </c>
      <c r="Y364" s="41">
        <v>1</v>
      </c>
      <c r="Z364" s="40" t="s">
        <v>45</v>
      </c>
      <c r="AA364" s="40" t="s">
        <v>45</v>
      </c>
      <c r="AB364" s="40">
        <v>2</v>
      </c>
      <c r="AC364" s="40" t="s">
        <v>45</v>
      </c>
      <c r="AD364" s="40" t="s">
        <v>45</v>
      </c>
      <c r="AE364" s="40" t="s">
        <v>45</v>
      </c>
      <c r="AF364" s="40" t="s">
        <v>45</v>
      </c>
      <c r="AG364" s="41" t="s">
        <v>45</v>
      </c>
      <c r="AH364" s="40">
        <v>4</v>
      </c>
      <c r="AI364" s="40">
        <v>4</v>
      </c>
      <c r="AJ364" s="41">
        <v>2</v>
      </c>
      <c r="AK364" s="43" t="s">
        <v>548</v>
      </c>
      <c r="AL364" s="43" t="s">
        <v>635</v>
      </c>
      <c r="AM364" s="44">
        <f t="shared" si="36"/>
        <v>-1.6366815025231998</v>
      </c>
      <c r="AN364" s="44">
        <f t="shared" si="37"/>
        <v>-0.65367643516558727</v>
      </c>
      <c r="AO364" s="45">
        <f t="shared" si="38"/>
        <v>0</v>
      </c>
      <c r="AP364" s="46">
        <f t="shared" si="39"/>
        <v>0</v>
      </c>
      <c r="AQ364" s="44">
        <f>($AM$3*AM364+$AN$3*AN364+$AO$3*AO364+$AP$3*AP364)+$I$3*VLOOKUP(I364,COND!$A$2:$E$7,4,FALSE)+$J$3*VLOOKUP(J364,COND!$A$2:$C$7,2,FALSE)+$K$3*VLOOKUP(K364,COND!$A$2:$C$7,3,FALSE)+IF(AND($B$2&gt;0,$E364&lt;20),$B$2*25,0)</f>
        <v>41.392214627760637</v>
      </c>
      <c r="AR364" s="47">
        <f t="shared" si="40"/>
        <v>-0.60741557213465791</v>
      </c>
      <c r="AS364" s="45" t="str">
        <f t="shared" si="41"/>
        <v>2B</v>
      </c>
      <c r="AT364" s="45">
        <f>RANK(Batters[[#This Row],[zScore]],Batters[[#All],[zScore]])</f>
        <v>360</v>
      </c>
      <c r="AU364" s="45"/>
      <c r="AV364" s="45"/>
      <c r="AW364" s="45" t="str">
        <f t="shared" si="42"/>
        <v>Unlikely</v>
      </c>
      <c r="AX364" s="45"/>
      <c r="AY364" s="45" t="str">
        <f>INDEX(Table5[[#All],[Ovr]],MATCH(Batters[[#This Row],[PID]],Table5[[#All],[PID]],0))</f>
        <v/>
      </c>
      <c r="AZ364" s="45" t="str">
        <f>INDEX(Table5[[#All],[Rnd]],MATCH(Batters[[#This Row],[PID]],Table5[[#All],[PID]],0))</f>
        <v/>
      </c>
      <c r="BA364" s="45" t="str">
        <f>INDEX(Table5[[#All],[Pick]],MATCH(Batters[[#This Row],[PID]],Table5[[#All],[PID]],0))</f>
        <v/>
      </c>
      <c r="BB364" s="45" t="str">
        <f>INDEX(Table5[[#All],[Team]],MATCH(Batters[[#This Row],[PID]],Table5[[#All],[PID]],0))</f>
        <v/>
      </c>
    </row>
    <row r="365" spans="1:54" ht="15" customHeight="1" x14ac:dyDescent="0.25">
      <c r="A365" s="40">
        <v>12904</v>
      </c>
      <c r="B365" s="40" t="s">
        <v>69</v>
      </c>
      <c r="C365" s="40" t="s">
        <v>176</v>
      </c>
      <c r="D365" s="40" t="s">
        <v>1424</v>
      </c>
      <c r="E365" s="40">
        <v>21</v>
      </c>
      <c r="F365" s="40" t="s">
        <v>42</v>
      </c>
      <c r="G365" s="40" t="s">
        <v>42</v>
      </c>
      <c r="H365" s="41" t="s">
        <v>638</v>
      </c>
      <c r="I365" s="65" t="s">
        <v>43</v>
      </c>
      <c r="J365" s="66" t="s">
        <v>44</v>
      </c>
      <c r="K365" s="67" t="s">
        <v>44</v>
      </c>
      <c r="L365" s="40">
        <v>1</v>
      </c>
      <c r="M365" s="40">
        <v>2</v>
      </c>
      <c r="N365" s="40">
        <v>2</v>
      </c>
      <c r="O365" s="40">
        <v>2</v>
      </c>
      <c r="P365" s="41">
        <v>1</v>
      </c>
      <c r="Q365" s="40">
        <v>4</v>
      </c>
      <c r="R365" s="40">
        <v>4</v>
      </c>
      <c r="S365" s="40">
        <v>4</v>
      </c>
      <c r="T365" s="40">
        <v>5</v>
      </c>
      <c r="U365" s="41">
        <v>4</v>
      </c>
      <c r="V365" s="40">
        <v>6</v>
      </c>
      <c r="W365" s="40">
        <v>5</v>
      </c>
      <c r="X365" s="40">
        <v>1</v>
      </c>
      <c r="Y365" s="41">
        <v>1</v>
      </c>
      <c r="Z365" s="40" t="s">
        <v>45</v>
      </c>
      <c r="AA365" s="40" t="s">
        <v>45</v>
      </c>
      <c r="AB365" s="40" t="s">
        <v>45</v>
      </c>
      <c r="AC365" s="40">
        <v>3</v>
      </c>
      <c r="AD365" s="40">
        <v>1</v>
      </c>
      <c r="AE365" s="40" t="s">
        <v>45</v>
      </c>
      <c r="AF365" s="40" t="s">
        <v>45</v>
      </c>
      <c r="AG365" s="41" t="s">
        <v>45</v>
      </c>
      <c r="AH365" s="40">
        <v>6</v>
      </c>
      <c r="AI365" s="40">
        <v>6</v>
      </c>
      <c r="AJ365" s="41">
        <v>3</v>
      </c>
      <c r="AK365" s="43" t="s">
        <v>643</v>
      </c>
      <c r="AL365" s="43" t="s">
        <v>47</v>
      </c>
      <c r="AM365" s="44">
        <f t="shared" si="36"/>
        <v>-1.8605124261753858</v>
      </c>
      <c r="AN365" s="44">
        <f t="shared" si="37"/>
        <v>-0.23542450080215838</v>
      </c>
      <c r="AO365" s="45">
        <f t="shared" si="38"/>
        <v>0</v>
      </c>
      <c r="AP365" s="46">
        <f t="shared" si="39"/>
        <v>0</v>
      </c>
      <c r="AQ365" s="44">
        <f>($AM$3*AM365+$AN$3*AN365+$AO$3*AO365+$AP$3*AP365)+$I$3*VLOOKUP(I365,COND!$A$2:$E$7,4,FALSE)+$J$3*VLOOKUP(J365,COND!$A$2:$C$7,2,FALSE)+$K$3*VLOOKUP(K365,COND!$A$2:$C$7,3,FALSE)+IF(AND($B$2&gt;0,$E365&lt;20),$B$2*25,0)</f>
        <v>41.388854747756554</v>
      </c>
      <c r="AR365" s="47">
        <f t="shared" si="40"/>
        <v>-0.60816048024224434</v>
      </c>
      <c r="AS365" s="45" t="str">
        <f t="shared" si="41"/>
        <v>3B</v>
      </c>
      <c r="AT365" s="45">
        <f>RANK(Batters[[#This Row],[zScore]],Batters[[#All],[zScore]])</f>
        <v>361</v>
      </c>
      <c r="AU365" s="45"/>
      <c r="AV365" s="45"/>
      <c r="AW365" s="45" t="str">
        <f t="shared" si="42"/>
        <v>Unlikely</v>
      </c>
      <c r="AX365" s="45"/>
      <c r="AY365" s="45">
        <f>INDEX(Table5[[#All],[Ovr]],MATCH(Batters[[#This Row],[PID]],Table5[[#All],[PID]],0))</f>
        <v>391</v>
      </c>
      <c r="AZ365" s="45" t="str">
        <f>INDEX(Table5[[#All],[Rnd]],MATCH(Batters[[#This Row],[PID]],Table5[[#All],[PID]],0))</f>
        <v>13</v>
      </c>
      <c r="BA365" s="45">
        <f>INDEX(Table5[[#All],[Pick]],MATCH(Batters[[#This Row],[PID]],Table5[[#All],[PID]],0))</f>
        <v>23</v>
      </c>
      <c r="BB365" s="45" t="str">
        <f>INDEX(Table5[[#All],[Team]],MATCH(Batters[[#This Row],[PID]],Table5[[#All],[PID]],0))</f>
        <v>Shin Seiki Evas</v>
      </c>
    </row>
    <row r="366" spans="1:54" ht="15" customHeight="1" x14ac:dyDescent="0.25">
      <c r="A366" s="40">
        <v>18092</v>
      </c>
      <c r="B366" s="40" t="s">
        <v>69</v>
      </c>
      <c r="C366" s="40" t="s">
        <v>176</v>
      </c>
      <c r="D366" s="40" t="s">
        <v>1254</v>
      </c>
      <c r="E366" s="40">
        <v>21</v>
      </c>
      <c r="F366" s="40" t="s">
        <v>42</v>
      </c>
      <c r="G366" s="40" t="s">
        <v>42</v>
      </c>
      <c r="H366" s="41" t="s">
        <v>634</v>
      </c>
      <c r="I366" s="65" t="s">
        <v>43</v>
      </c>
      <c r="J366" s="66" t="s">
        <v>43</v>
      </c>
      <c r="K366" s="67" t="s">
        <v>43</v>
      </c>
      <c r="L366" s="40">
        <v>2</v>
      </c>
      <c r="M366" s="40">
        <v>2</v>
      </c>
      <c r="N366" s="40">
        <v>3</v>
      </c>
      <c r="O366" s="40">
        <v>3</v>
      </c>
      <c r="P366" s="41">
        <v>1</v>
      </c>
      <c r="Q366" s="40">
        <v>3</v>
      </c>
      <c r="R366" s="40">
        <v>5</v>
      </c>
      <c r="S366" s="40">
        <v>5</v>
      </c>
      <c r="T366" s="40">
        <v>6</v>
      </c>
      <c r="U366" s="41">
        <v>3</v>
      </c>
      <c r="V366" s="40">
        <v>5</v>
      </c>
      <c r="W366" s="40">
        <v>7</v>
      </c>
      <c r="X366" s="40">
        <v>1</v>
      </c>
      <c r="Y366" s="41">
        <v>1</v>
      </c>
      <c r="Z366" s="40" t="s">
        <v>45</v>
      </c>
      <c r="AA366" s="40" t="s">
        <v>45</v>
      </c>
      <c r="AB366" s="40" t="s">
        <v>45</v>
      </c>
      <c r="AC366" s="40">
        <v>4</v>
      </c>
      <c r="AD366" s="40" t="s">
        <v>45</v>
      </c>
      <c r="AE366" s="40" t="s">
        <v>45</v>
      </c>
      <c r="AF366" s="40">
        <v>3</v>
      </c>
      <c r="AG366" s="41" t="s">
        <v>45</v>
      </c>
      <c r="AH366" s="40">
        <v>10</v>
      </c>
      <c r="AI366" s="40">
        <v>9</v>
      </c>
      <c r="AJ366" s="41">
        <v>10</v>
      </c>
      <c r="AK366" s="43" t="s">
        <v>45</v>
      </c>
      <c r="AL366" s="43" t="s">
        <v>47</v>
      </c>
      <c r="AM366" s="44">
        <f t="shared" si="36"/>
        <v>-1.3651855459392288</v>
      </c>
      <c r="AN366" s="44">
        <f t="shared" si="37"/>
        <v>-0.3741657531697305</v>
      </c>
      <c r="AO366" s="45">
        <f t="shared" si="38"/>
        <v>6</v>
      </c>
      <c r="AP366" s="46">
        <f t="shared" si="39"/>
        <v>0</v>
      </c>
      <c r="AQ366" s="44">
        <f>($AM$3*AM366+$AN$3*AN366+$AO$3*AO366+$AP$3*AP366)+$I$3*VLOOKUP(I366,COND!$A$2:$E$7,4,FALSE)+$J$3*VLOOKUP(J366,COND!$A$2:$C$7,2,FALSE)+$K$3*VLOOKUP(K366,COND!$A$2:$C$7,3,FALSE)+IF(AND($B$2&gt;0,$E366&lt;20),$B$2*25,0)</f>
        <v>41.373492407369312</v>
      </c>
      <c r="AR366" s="47">
        <f t="shared" si="40"/>
        <v>-0.61156641494587971</v>
      </c>
      <c r="AS366" s="45" t="str">
        <f t="shared" si="41"/>
        <v>3B</v>
      </c>
      <c r="AT366" s="45">
        <f>RANK(Batters[[#This Row],[zScore]],Batters[[#All],[zScore]])</f>
        <v>362</v>
      </c>
      <c r="AU366" s="45"/>
      <c r="AV366" s="45"/>
      <c r="AW366" s="45" t="str">
        <f t="shared" si="42"/>
        <v>Unlikely</v>
      </c>
      <c r="AX366" s="45"/>
      <c r="AY366" s="45">
        <f>INDEX(Table5[[#All],[Ovr]],MATCH(Batters[[#This Row],[PID]],Table5[[#All],[PID]],0))</f>
        <v>286</v>
      </c>
      <c r="AZ366" s="45" t="str">
        <f>INDEX(Table5[[#All],[Rnd]],MATCH(Batters[[#This Row],[PID]],Table5[[#All],[PID]],0))</f>
        <v>10</v>
      </c>
      <c r="BA366" s="45">
        <f>INDEX(Table5[[#All],[Pick]],MATCH(Batters[[#This Row],[PID]],Table5[[#All],[PID]],0))</f>
        <v>8</v>
      </c>
      <c r="BB366" s="45" t="str">
        <f>INDEX(Table5[[#All],[Team]],MATCH(Batters[[#This Row],[PID]],Table5[[#All],[PID]],0))</f>
        <v>London Underground</v>
      </c>
    </row>
    <row r="367" spans="1:54" ht="15" customHeight="1" x14ac:dyDescent="0.25">
      <c r="A367" s="40">
        <v>20822</v>
      </c>
      <c r="B367" s="40" t="s">
        <v>74</v>
      </c>
      <c r="C367" s="40" t="s">
        <v>135</v>
      </c>
      <c r="D367" s="40" t="s">
        <v>1659</v>
      </c>
      <c r="E367" s="40">
        <v>16</v>
      </c>
      <c r="F367" s="40" t="s">
        <v>62</v>
      </c>
      <c r="G367" s="40" t="s">
        <v>42</v>
      </c>
      <c r="H367" s="41" t="s">
        <v>639</v>
      </c>
      <c r="I367" s="65" t="s">
        <v>43</v>
      </c>
      <c r="J367" s="66" t="s">
        <v>47</v>
      </c>
      <c r="K367" s="67" t="s">
        <v>43</v>
      </c>
      <c r="L367" s="40">
        <v>1</v>
      </c>
      <c r="M367" s="40">
        <v>1</v>
      </c>
      <c r="N367" s="40">
        <v>2</v>
      </c>
      <c r="O367" s="40">
        <v>1</v>
      </c>
      <c r="P367" s="41">
        <v>1</v>
      </c>
      <c r="Q367" s="40">
        <v>3</v>
      </c>
      <c r="R367" s="40">
        <v>4</v>
      </c>
      <c r="S367" s="40">
        <v>3</v>
      </c>
      <c r="T367" s="40">
        <v>4</v>
      </c>
      <c r="U367" s="41">
        <v>4</v>
      </c>
      <c r="V367" s="40">
        <v>5</v>
      </c>
      <c r="W367" s="40">
        <v>5</v>
      </c>
      <c r="X367" s="40">
        <v>1</v>
      </c>
      <c r="Y367" s="41">
        <v>1</v>
      </c>
      <c r="Z367" s="40" t="s">
        <v>45</v>
      </c>
      <c r="AA367" s="40" t="s">
        <v>45</v>
      </c>
      <c r="AB367" s="40">
        <v>1</v>
      </c>
      <c r="AC367" s="40">
        <v>1</v>
      </c>
      <c r="AD367" s="40">
        <v>1</v>
      </c>
      <c r="AE367" s="40" t="s">
        <v>45</v>
      </c>
      <c r="AF367" s="40">
        <v>1</v>
      </c>
      <c r="AG367" s="41" t="s">
        <v>45</v>
      </c>
      <c r="AH367" s="40">
        <v>3</v>
      </c>
      <c r="AI367" s="40">
        <v>2</v>
      </c>
      <c r="AJ367" s="41">
        <v>3</v>
      </c>
      <c r="AK367" s="43" t="s">
        <v>644</v>
      </c>
      <c r="AL367" s="43"/>
      <c r="AM367" s="44">
        <f t="shared" si="36"/>
        <v>-2.0012818558036707</v>
      </c>
      <c r="AN367" s="44">
        <f t="shared" si="37"/>
        <v>-0.7307513810383155</v>
      </c>
      <c r="AO367" s="45">
        <f t="shared" si="38"/>
        <v>0</v>
      </c>
      <c r="AP367" s="46">
        <f t="shared" si="39"/>
        <v>0</v>
      </c>
      <c r="AQ367" s="44">
        <f>($AM$3*AM367+$AN$3*AN367+$AO$3*AO367+$AP$3*AP367)+$I$3*VLOOKUP(I367,COND!$A$2:$E$7,4,FALSE)+$J$3*VLOOKUP(J367,COND!$A$2:$C$7,2,FALSE)+$K$3*VLOOKUP(K367,COND!$A$2:$C$7,3,FALSE)+IF(AND($B$2&gt;0,$E367&lt;20),$B$2*25,0)</f>
        <v>41.330855241959846</v>
      </c>
      <c r="AR367" s="47">
        <f t="shared" si="40"/>
        <v>-0.62101936271764957</v>
      </c>
      <c r="AS367" s="45" t="str">
        <f t="shared" si="41"/>
        <v>2B</v>
      </c>
      <c r="AT367" s="45">
        <f>RANK(Batters[[#This Row],[zScore]],Batters[[#All],[zScore]])</f>
        <v>363</v>
      </c>
      <c r="AU367" s="45"/>
      <c r="AV367" s="45"/>
      <c r="AW367" s="45" t="str">
        <f t="shared" si="42"/>
        <v>Unlikely</v>
      </c>
      <c r="AX367" s="45"/>
      <c r="AY367" s="64" t="str">
        <f>INDEX(Table5[[#All],[Ovr]],MATCH(Batters[[#This Row],[PID]],Table5[[#All],[PID]],0))</f>
        <v/>
      </c>
      <c r="AZ367" s="64" t="str">
        <f>INDEX(Table5[[#All],[Rnd]],MATCH(Batters[[#This Row],[PID]],Table5[[#All],[PID]],0))</f>
        <v/>
      </c>
      <c r="BA367" s="64" t="str">
        <f>INDEX(Table5[[#All],[Pick]],MATCH(Batters[[#This Row],[PID]],Table5[[#All],[PID]],0))</f>
        <v/>
      </c>
      <c r="BB367" s="64" t="str">
        <f>INDEX(Table5[[#All],[Team]],MATCH(Batters[[#This Row],[PID]],Table5[[#All],[PID]],0))</f>
        <v/>
      </c>
    </row>
    <row r="368" spans="1:54" ht="15" customHeight="1" x14ac:dyDescent="0.25">
      <c r="A368" s="40">
        <v>21020</v>
      </c>
      <c r="B368" s="40" t="s">
        <v>50</v>
      </c>
      <c r="C368" s="40" t="s">
        <v>139</v>
      </c>
      <c r="D368" s="40" t="s">
        <v>1653</v>
      </c>
      <c r="E368" s="40">
        <v>17</v>
      </c>
      <c r="F368" s="40" t="s">
        <v>42</v>
      </c>
      <c r="G368" s="40" t="s">
        <v>42</v>
      </c>
      <c r="H368" s="41" t="s">
        <v>639</v>
      </c>
      <c r="I368" s="65" t="s">
        <v>43</v>
      </c>
      <c r="J368" s="66" t="s">
        <v>44</v>
      </c>
      <c r="K368" s="67" t="s">
        <v>43</v>
      </c>
      <c r="L368" s="40">
        <v>1</v>
      </c>
      <c r="M368" s="40">
        <v>2</v>
      </c>
      <c r="N368" s="40">
        <v>2</v>
      </c>
      <c r="O368" s="40">
        <v>1</v>
      </c>
      <c r="P368" s="41">
        <v>1</v>
      </c>
      <c r="Q368" s="40">
        <v>3</v>
      </c>
      <c r="R368" s="40">
        <v>4</v>
      </c>
      <c r="S368" s="40">
        <v>4</v>
      </c>
      <c r="T368" s="40">
        <v>4</v>
      </c>
      <c r="U368" s="41">
        <v>3</v>
      </c>
      <c r="V368" s="40">
        <v>5</v>
      </c>
      <c r="W368" s="40">
        <v>6</v>
      </c>
      <c r="X368" s="40">
        <v>1</v>
      </c>
      <c r="Y368" s="41">
        <v>1</v>
      </c>
      <c r="Z368" s="40" t="s">
        <v>45</v>
      </c>
      <c r="AA368" s="40" t="s">
        <v>45</v>
      </c>
      <c r="AB368" s="40" t="s">
        <v>45</v>
      </c>
      <c r="AC368" s="40" t="s">
        <v>45</v>
      </c>
      <c r="AD368" s="40" t="s">
        <v>45</v>
      </c>
      <c r="AE368" s="40">
        <v>2</v>
      </c>
      <c r="AF368" s="40">
        <v>1</v>
      </c>
      <c r="AG368" s="41">
        <v>1</v>
      </c>
      <c r="AH368" s="40">
        <v>3</v>
      </c>
      <c r="AI368" s="40">
        <v>3</v>
      </c>
      <c r="AJ368" s="41">
        <v>1</v>
      </c>
      <c r="AK368" s="43" t="s">
        <v>670</v>
      </c>
      <c r="AL368" s="43"/>
      <c r="AM368" s="44">
        <f t="shared" si="36"/>
        <v>-1.9502219761849671</v>
      </c>
      <c r="AN368" s="44">
        <f t="shared" si="37"/>
        <v>-0.68770622683149762</v>
      </c>
      <c r="AO368" s="45">
        <f t="shared" si="38"/>
        <v>0</v>
      </c>
      <c r="AP368" s="46">
        <f t="shared" si="39"/>
        <v>0</v>
      </c>
      <c r="AQ368" s="44">
        <f>($AM$3*AM368+$AN$3*AN368+$AO$3*AO368+$AP$3*AP368)+$I$3*VLOOKUP(I368,COND!$A$2:$E$7,4,FALSE)+$J$3*VLOOKUP(J368,COND!$A$2:$C$7,2,FALSE)+$K$3*VLOOKUP(K368,COND!$A$2:$C$7,3,FALSE)+IF(AND($B$2&gt;0,$E368&lt;20),$B$2*25,0)</f>
        <v>41.252503080403528</v>
      </c>
      <c r="AR368" s="47">
        <f t="shared" si="40"/>
        <v>-0.63839056654614545</v>
      </c>
      <c r="AS368" s="45" t="str">
        <f t="shared" si="41"/>
        <v>LF</v>
      </c>
      <c r="AT368" s="45">
        <f>RANK(Batters[[#This Row],[zScore]],Batters[[#All],[zScore]])</f>
        <v>364</v>
      </c>
      <c r="AU368" s="45"/>
      <c r="AV368" s="45"/>
      <c r="AW368" s="45" t="str">
        <f t="shared" si="42"/>
        <v>Unlikely</v>
      </c>
      <c r="AX368" s="45"/>
      <c r="AY368" s="64" t="str">
        <f>INDEX(Table5[[#All],[Ovr]],MATCH(Batters[[#This Row],[PID]],Table5[[#All],[PID]],0))</f>
        <v/>
      </c>
      <c r="AZ368" s="64" t="str">
        <f>INDEX(Table5[[#All],[Rnd]],MATCH(Batters[[#This Row],[PID]],Table5[[#All],[PID]],0))</f>
        <v/>
      </c>
      <c r="BA368" s="64" t="str">
        <f>INDEX(Table5[[#All],[Pick]],MATCH(Batters[[#This Row],[PID]],Table5[[#All],[PID]],0))</f>
        <v/>
      </c>
      <c r="BB368" s="64" t="str">
        <f>INDEX(Table5[[#All],[Team]],MATCH(Batters[[#This Row],[PID]],Table5[[#All],[PID]],0))</f>
        <v/>
      </c>
    </row>
    <row r="369" spans="1:54" ht="15" customHeight="1" x14ac:dyDescent="0.25">
      <c r="A369" s="40">
        <v>21014</v>
      </c>
      <c r="B369" s="40" t="s">
        <v>86</v>
      </c>
      <c r="C369" s="40" t="s">
        <v>125</v>
      </c>
      <c r="D369" s="40" t="s">
        <v>1516</v>
      </c>
      <c r="E369" s="40">
        <v>19</v>
      </c>
      <c r="F369" s="40" t="s">
        <v>62</v>
      </c>
      <c r="G369" s="40" t="s">
        <v>42</v>
      </c>
      <c r="H369" s="41" t="s">
        <v>638</v>
      </c>
      <c r="I369" s="65" t="s">
        <v>43</v>
      </c>
      <c r="J369" s="66" t="s">
        <v>44</v>
      </c>
      <c r="K369" s="67" t="s">
        <v>43</v>
      </c>
      <c r="L369" s="40">
        <v>1</v>
      </c>
      <c r="M369" s="40">
        <v>1</v>
      </c>
      <c r="N369" s="40">
        <v>2</v>
      </c>
      <c r="O369" s="40">
        <v>1</v>
      </c>
      <c r="P369" s="41">
        <v>1</v>
      </c>
      <c r="Q369" s="40">
        <v>3</v>
      </c>
      <c r="R369" s="40">
        <v>3</v>
      </c>
      <c r="S369" s="40">
        <v>3</v>
      </c>
      <c r="T369" s="40">
        <v>4</v>
      </c>
      <c r="U369" s="41">
        <v>4</v>
      </c>
      <c r="V369" s="40">
        <v>4</v>
      </c>
      <c r="W369" s="40">
        <v>4</v>
      </c>
      <c r="X369" s="40">
        <v>5</v>
      </c>
      <c r="Y369" s="41">
        <v>7</v>
      </c>
      <c r="Z369" s="40">
        <v>2</v>
      </c>
      <c r="AA369" s="40" t="s">
        <v>45</v>
      </c>
      <c r="AB369" s="40" t="s">
        <v>45</v>
      </c>
      <c r="AC369" s="40" t="s">
        <v>45</v>
      </c>
      <c r="AD369" s="40" t="s">
        <v>45</v>
      </c>
      <c r="AE369" s="40" t="s">
        <v>45</v>
      </c>
      <c r="AF369" s="40" t="s">
        <v>45</v>
      </c>
      <c r="AG369" s="41" t="s">
        <v>45</v>
      </c>
      <c r="AH369" s="40">
        <v>3</v>
      </c>
      <c r="AI369" s="40">
        <v>2</v>
      </c>
      <c r="AJ369" s="41">
        <v>3</v>
      </c>
      <c r="AK369" s="43" t="s">
        <v>654</v>
      </c>
      <c r="AL369" s="43" t="s">
        <v>47</v>
      </c>
      <c r="AM369" s="44">
        <f t="shared" si="36"/>
        <v>-2.0012818558036707</v>
      </c>
      <c r="AN369" s="44">
        <f t="shared" si="37"/>
        <v>-0.781811260657019</v>
      </c>
      <c r="AO369" s="45">
        <f t="shared" si="38"/>
        <v>0</v>
      </c>
      <c r="AP369" s="46">
        <f t="shared" si="39"/>
        <v>1.1000000000000001</v>
      </c>
      <c r="AQ369" s="44">
        <f>($AM$3*AM369+$AN$3*AN369+$AO$3*AO369+$AP$3*AP369)+$I$3*VLOOKUP(I369,COND!$A$2:$E$7,4,FALSE)+$J$3*VLOOKUP(J369,COND!$A$2:$C$7,2,FALSE)+$K$3*VLOOKUP(K369,COND!$A$2:$C$7,3,FALSE)+IF(AND($B$2&gt;0,$E369&lt;20),$B$2*25,0)</f>
        <v>41.218136686535402</v>
      </c>
      <c r="AR369" s="47">
        <f t="shared" si="40"/>
        <v>-0.64600982836197274</v>
      </c>
      <c r="AS369" s="45" t="str">
        <f t="shared" si="41"/>
        <v>C</v>
      </c>
      <c r="AT369" s="45">
        <f>RANK(Batters[[#This Row],[zScore]],Batters[[#All],[zScore]])</f>
        <v>365</v>
      </c>
      <c r="AU369" s="45"/>
      <c r="AV369" s="45"/>
      <c r="AW369" s="45" t="str">
        <f t="shared" si="42"/>
        <v>Unlikely</v>
      </c>
      <c r="AX369" s="45"/>
      <c r="AY369" s="45">
        <f>INDEX(Table5[[#All],[Ovr]],MATCH(Batters[[#This Row],[PID]],Table5[[#All],[PID]],0))</f>
        <v>249</v>
      </c>
      <c r="AZ369" s="45" t="str">
        <f>INDEX(Table5[[#All],[Rnd]],MATCH(Batters[[#This Row],[PID]],Table5[[#All],[PID]],0))</f>
        <v>9</v>
      </c>
      <c r="BA369" s="45">
        <f>INDEX(Table5[[#All],[Pick]],MATCH(Batters[[#This Row],[PID]],Table5[[#All],[PID]],0))</f>
        <v>1</v>
      </c>
      <c r="BB369" s="45" t="str">
        <f>INDEX(Table5[[#All],[Team]],MATCH(Batters[[#This Row],[PID]],Table5[[#All],[PID]],0))</f>
        <v>Arlington Bureaucrats</v>
      </c>
    </row>
    <row r="370" spans="1:54" ht="15" customHeight="1" x14ac:dyDescent="0.25">
      <c r="A370" s="40">
        <v>18360</v>
      </c>
      <c r="B370" s="40" t="s">
        <v>74</v>
      </c>
      <c r="C370" s="40" t="s">
        <v>337</v>
      </c>
      <c r="D370" s="40" t="s">
        <v>1656</v>
      </c>
      <c r="E370" s="40">
        <v>18</v>
      </c>
      <c r="F370" s="40" t="s">
        <v>42</v>
      </c>
      <c r="G370" s="40" t="s">
        <v>53</v>
      </c>
      <c r="H370" s="41" t="s">
        <v>639</v>
      </c>
      <c r="I370" s="65" t="s">
        <v>44</v>
      </c>
      <c r="J370" s="66" t="s">
        <v>44</v>
      </c>
      <c r="K370" s="67" t="s">
        <v>43</v>
      </c>
      <c r="L370" s="40">
        <v>1</v>
      </c>
      <c r="M370" s="40">
        <v>2</v>
      </c>
      <c r="N370" s="40">
        <v>2</v>
      </c>
      <c r="O370" s="40">
        <v>2</v>
      </c>
      <c r="P370" s="41">
        <v>1</v>
      </c>
      <c r="Q370" s="40">
        <v>3</v>
      </c>
      <c r="R370" s="40">
        <v>4</v>
      </c>
      <c r="S370" s="40">
        <v>2</v>
      </c>
      <c r="T370" s="40">
        <v>5</v>
      </c>
      <c r="U370" s="41">
        <v>4</v>
      </c>
      <c r="V370" s="40">
        <v>3</v>
      </c>
      <c r="W370" s="40">
        <v>4</v>
      </c>
      <c r="X370" s="40">
        <v>1</v>
      </c>
      <c r="Y370" s="41">
        <v>1</v>
      </c>
      <c r="Z370" s="40" t="s">
        <v>45</v>
      </c>
      <c r="AA370" s="40" t="s">
        <v>45</v>
      </c>
      <c r="AB370" s="40" t="s">
        <v>45</v>
      </c>
      <c r="AC370" s="40" t="s">
        <v>45</v>
      </c>
      <c r="AD370" s="40" t="s">
        <v>45</v>
      </c>
      <c r="AE370" s="40" t="s">
        <v>45</v>
      </c>
      <c r="AF370" s="40">
        <v>1</v>
      </c>
      <c r="AG370" s="41" t="s">
        <v>45</v>
      </c>
      <c r="AH370" s="40">
        <v>6</v>
      </c>
      <c r="AI370" s="40">
        <v>9</v>
      </c>
      <c r="AJ370" s="41">
        <v>8</v>
      </c>
      <c r="AK370" s="43" t="s">
        <v>556</v>
      </c>
      <c r="AL370" s="43"/>
      <c r="AM370" s="44">
        <f t="shared" si="36"/>
        <v>-1.8605124261753858</v>
      </c>
      <c r="AN370" s="44">
        <f t="shared" si="37"/>
        <v>-0.72410332505263597</v>
      </c>
      <c r="AO370" s="45">
        <f t="shared" si="38"/>
        <v>3</v>
      </c>
      <c r="AP370" s="46">
        <f t="shared" si="39"/>
        <v>0</v>
      </c>
      <c r="AQ370" s="44">
        <f>($AM$3*AM370+$AN$3*AN370+$AO$3*AO370+$AP$3*AP370)+$I$3*VLOOKUP(I370,COND!$A$2:$E$7,4,FALSE)+$J$3*VLOOKUP(J370,COND!$A$2:$C$7,2,FALSE)+$K$3*VLOOKUP(K370,COND!$A$2:$C$7,3,FALSE)+IF(AND($B$2&gt;0,$E370&lt;20),$B$2*25,0)</f>
        <v>41.174708856750826</v>
      </c>
      <c r="AR370" s="47">
        <f t="shared" si="40"/>
        <v>-0.65563807177009958</v>
      </c>
      <c r="AS370" s="45" t="str">
        <f t="shared" si="41"/>
        <v>CF</v>
      </c>
      <c r="AT370" s="45">
        <f>RANK(Batters[[#This Row],[zScore]],Batters[[#All],[zScore]])</f>
        <v>366</v>
      </c>
      <c r="AU370" s="45"/>
      <c r="AV370" s="45"/>
      <c r="AW370" s="45" t="str">
        <f t="shared" si="42"/>
        <v>Unlikely</v>
      </c>
      <c r="AX370" s="45"/>
      <c r="AY370" s="64" t="str">
        <f>INDEX(Table5[[#All],[Ovr]],MATCH(Batters[[#This Row],[PID]],Table5[[#All],[PID]],0))</f>
        <v/>
      </c>
      <c r="AZ370" s="64" t="str">
        <f>INDEX(Table5[[#All],[Rnd]],MATCH(Batters[[#This Row],[PID]],Table5[[#All],[PID]],0))</f>
        <v/>
      </c>
      <c r="BA370" s="64" t="str">
        <f>INDEX(Table5[[#All],[Pick]],MATCH(Batters[[#This Row],[PID]],Table5[[#All],[PID]],0))</f>
        <v/>
      </c>
      <c r="BB370" s="64" t="str">
        <f>INDEX(Table5[[#All],[Team]],MATCH(Batters[[#This Row],[PID]],Table5[[#All],[PID]],0))</f>
        <v/>
      </c>
    </row>
    <row r="371" spans="1:54" ht="15" customHeight="1" x14ac:dyDescent="0.25">
      <c r="A371" s="40">
        <v>18432</v>
      </c>
      <c r="B371" s="40" t="s">
        <v>86</v>
      </c>
      <c r="C371" s="40" t="s">
        <v>1527</v>
      </c>
      <c r="D371" s="40" t="s">
        <v>961</v>
      </c>
      <c r="E371" s="40">
        <v>18</v>
      </c>
      <c r="F371" s="40" t="s">
        <v>62</v>
      </c>
      <c r="G371" s="40" t="s">
        <v>42</v>
      </c>
      <c r="H371" s="41" t="s">
        <v>638</v>
      </c>
      <c r="I371" s="65" t="s">
        <v>43</v>
      </c>
      <c r="J371" s="66" t="s">
        <v>47</v>
      </c>
      <c r="K371" s="67" t="s">
        <v>47</v>
      </c>
      <c r="L371" s="40">
        <v>1</v>
      </c>
      <c r="M371" s="40">
        <v>2</v>
      </c>
      <c r="N371" s="40">
        <v>2</v>
      </c>
      <c r="O371" s="40">
        <v>2</v>
      </c>
      <c r="P371" s="41">
        <v>1</v>
      </c>
      <c r="Q371" s="40">
        <v>3</v>
      </c>
      <c r="R371" s="40">
        <v>4</v>
      </c>
      <c r="S371" s="40">
        <v>3</v>
      </c>
      <c r="T371" s="40">
        <v>4</v>
      </c>
      <c r="U371" s="41">
        <v>3</v>
      </c>
      <c r="V371" s="40">
        <v>2</v>
      </c>
      <c r="W371" s="40">
        <v>2</v>
      </c>
      <c r="X371" s="40">
        <v>4</v>
      </c>
      <c r="Y371" s="41">
        <v>7</v>
      </c>
      <c r="Z371" s="40" t="s">
        <v>45</v>
      </c>
      <c r="AA371" s="40" t="s">
        <v>45</v>
      </c>
      <c r="AB371" s="40" t="s">
        <v>45</v>
      </c>
      <c r="AC371" s="40" t="s">
        <v>45</v>
      </c>
      <c r="AD371" s="40" t="s">
        <v>45</v>
      </c>
      <c r="AE371" s="40" t="s">
        <v>45</v>
      </c>
      <c r="AF371" s="40" t="s">
        <v>45</v>
      </c>
      <c r="AG371" s="41" t="s">
        <v>45</v>
      </c>
      <c r="AH371" s="40">
        <v>3</v>
      </c>
      <c r="AI371" s="40">
        <v>3</v>
      </c>
      <c r="AJ371" s="41">
        <v>5</v>
      </c>
      <c r="AK371" s="43" t="s">
        <v>654</v>
      </c>
      <c r="AL371" s="43" t="s">
        <v>635</v>
      </c>
      <c r="AM371" s="44">
        <f t="shared" si="36"/>
        <v>-1.8605124261753858</v>
      </c>
      <c r="AN371" s="44">
        <f t="shared" si="37"/>
        <v>-0.77076772085539913</v>
      </c>
      <c r="AO371" s="45">
        <f t="shared" si="38"/>
        <v>0</v>
      </c>
      <c r="AP371" s="46">
        <f t="shared" si="39"/>
        <v>0</v>
      </c>
      <c r="AQ371" s="44">
        <f>($AM$3*AM371+$AN$3*AN371+$AO$3*AO371+$AP$3*AP371)+$I$3*VLOOKUP(I371,COND!$A$2:$E$7,4,FALSE)+$J$3*VLOOKUP(J371,COND!$A$2:$C$7,2,FALSE)+$K$3*VLOOKUP(K371,COND!$A$2:$C$7,3,FALSE)+IF(AND($B$2&gt;0,$E371&lt;20),$B$2*25,0)</f>
        <v>41.164736107117676</v>
      </c>
      <c r="AR371" s="47">
        <f t="shared" si="40"/>
        <v>-0.65784909777330036</v>
      </c>
      <c r="AS371" s="45" t="str">
        <f t="shared" si="41"/>
        <v>DH</v>
      </c>
      <c r="AT371" s="45">
        <f>RANK(Batters[[#This Row],[zScore]],Batters[[#All],[zScore]])</f>
        <v>367</v>
      </c>
      <c r="AU371" s="45"/>
      <c r="AV371" s="45"/>
      <c r="AW371" s="45" t="str">
        <f t="shared" si="42"/>
        <v>Unlikely</v>
      </c>
      <c r="AX371" s="45"/>
      <c r="AY371" s="45" t="str">
        <f>INDEX(Table5[[#All],[Ovr]],MATCH(Batters[[#This Row],[PID]],Table5[[#All],[PID]],0))</f>
        <v/>
      </c>
      <c r="AZ371" s="45" t="str">
        <f>INDEX(Table5[[#All],[Rnd]],MATCH(Batters[[#This Row],[PID]],Table5[[#All],[PID]],0))</f>
        <v/>
      </c>
      <c r="BA371" s="45" t="str">
        <f>INDEX(Table5[[#All],[Pick]],MATCH(Batters[[#This Row],[PID]],Table5[[#All],[PID]],0))</f>
        <v/>
      </c>
      <c r="BB371" s="45" t="str">
        <f>INDEX(Table5[[#All],[Team]],MATCH(Batters[[#This Row],[PID]],Table5[[#All],[PID]],0))</f>
        <v/>
      </c>
    </row>
    <row r="372" spans="1:54" ht="15" customHeight="1" x14ac:dyDescent="0.25">
      <c r="A372" s="40">
        <v>21038</v>
      </c>
      <c r="B372" s="40" t="s">
        <v>86</v>
      </c>
      <c r="C372" s="40" t="s">
        <v>1084</v>
      </c>
      <c r="D372" s="40" t="s">
        <v>1488</v>
      </c>
      <c r="E372" s="40">
        <v>18</v>
      </c>
      <c r="F372" s="40" t="s">
        <v>42</v>
      </c>
      <c r="G372" s="40" t="s">
        <v>42</v>
      </c>
      <c r="H372" s="41" t="s">
        <v>638</v>
      </c>
      <c r="I372" s="65" t="s">
        <v>43</v>
      </c>
      <c r="J372" s="66" t="s">
        <v>47</v>
      </c>
      <c r="K372" s="67" t="s">
        <v>43</v>
      </c>
      <c r="L372" s="40">
        <v>1</v>
      </c>
      <c r="M372" s="40">
        <v>3</v>
      </c>
      <c r="N372" s="40">
        <v>2</v>
      </c>
      <c r="O372" s="40">
        <v>2</v>
      </c>
      <c r="P372" s="41">
        <v>1</v>
      </c>
      <c r="Q372" s="40">
        <v>2</v>
      </c>
      <c r="R372" s="40">
        <v>7</v>
      </c>
      <c r="S372" s="40">
        <v>3</v>
      </c>
      <c r="T372" s="40">
        <v>5</v>
      </c>
      <c r="U372" s="41">
        <v>3</v>
      </c>
      <c r="V372" s="40">
        <v>8</v>
      </c>
      <c r="W372" s="40">
        <v>7</v>
      </c>
      <c r="X372" s="40">
        <v>8</v>
      </c>
      <c r="Y372" s="41">
        <v>5</v>
      </c>
      <c r="Z372" s="40">
        <v>2</v>
      </c>
      <c r="AA372" s="40" t="s">
        <v>45</v>
      </c>
      <c r="AB372" s="40" t="s">
        <v>45</v>
      </c>
      <c r="AC372" s="40" t="s">
        <v>45</v>
      </c>
      <c r="AD372" s="40" t="s">
        <v>45</v>
      </c>
      <c r="AE372" s="40" t="s">
        <v>45</v>
      </c>
      <c r="AF372" s="40" t="s">
        <v>45</v>
      </c>
      <c r="AG372" s="41" t="s">
        <v>45</v>
      </c>
      <c r="AH372" s="40">
        <v>1</v>
      </c>
      <c r="AI372" s="40">
        <v>1</v>
      </c>
      <c r="AJ372" s="41">
        <v>1</v>
      </c>
      <c r="AK372" s="43" t="s">
        <v>659</v>
      </c>
      <c r="AL372" s="43" t="s">
        <v>635</v>
      </c>
      <c r="AM372" s="44">
        <f t="shared" si="36"/>
        <v>-1.8094525465566824</v>
      </c>
      <c r="AN372" s="44">
        <f t="shared" si="37"/>
        <v>-0.85043436819238238</v>
      </c>
      <c r="AO372" s="45">
        <f t="shared" si="38"/>
        <v>0</v>
      </c>
      <c r="AP372" s="46">
        <f t="shared" si="39"/>
        <v>1.25</v>
      </c>
      <c r="AQ372" s="44">
        <f>($AM$3*AM372+$AN$3*AN372+$AO$3*AO372+$AP$3*AP372)+$I$3*VLOOKUP(I372,COND!$A$2:$E$7,4,FALSE)+$J$3*VLOOKUP(J372,COND!$A$2:$C$7,2,FALSE)+$K$3*VLOOKUP(K372,COND!$A$2:$C$7,3,FALSE)+IF(AND($B$2&gt;0,$E372&lt;20),$B$2*25,0)</f>
        <v>41.163842327035745</v>
      </c>
      <c r="AR372" s="47">
        <f t="shared" si="40"/>
        <v>-0.65804725485885718</v>
      </c>
      <c r="AS372" s="45" t="str">
        <f t="shared" si="41"/>
        <v>C</v>
      </c>
      <c r="AT372" s="45">
        <f>RANK(Batters[[#This Row],[zScore]],Batters[[#All],[zScore]])</f>
        <v>368</v>
      </c>
      <c r="AU372" s="45"/>
      <c r="AV372" s="45"/>
      <c r="AW372" s="45" t="str">
        <f t="shared" si="42"/>
        <v>Unlikely</v>
      </c>
      <c r="AX372" s="45"/>
      <c r="AY372" s="45">
        <f>INDEX(Table5[[#All],[Ovr]],MATCH(Batters[[#This Row],[PID]],Table5[[#All],[PID]],0))</f>
        <v>591</v>
      </c>
      <c r="AZ372" s="45" t="str">
        <f>INDEX(Table5[[#All],[Rnd]],MATCH(Batters[[#This Row],[PID]],Table5[[#All],[PID]],0))</f>
        <v>20</v>
      </c>
      <c r="BA372" s="45">
        <f>INDEX(Table5[[#All],[Pick]],MATCH(Batters[[#This Row],[PID]],Table5[[#All],[PID]],0))</f>
        <v>13</v>
      </c>
      <c r="BB372" s="45" t="str">
        <f>INDEX(Table5[[#All],[Team]],MATCH(Batters[[#This Row],[PID]],Table5[[#All],[PID]],0))</f>
        <v>Reno Zephyrs</v>
      </c>
    </row>
    <row r="373" spans="1:54" ht="15" customHeight="1" x14ac:dyDescent="0.25">
      <c r="A373" s="40">
        <v>18096</v>
      </c>
      <c r="B373" s="40" t="s">
        <v>71</v>
      </c>
      <c r="C373" s="40" t="s">
        <v>439</v>
      </c>
      <c r="D373" s="40" t="s">
        <v>1226</v>
      </c>
      <c r="E373" s="40">
        <v>21</v>
      </c>
      <c r="F373" s="40" t="s">
        <v>42</v>
      </c>
      <c r="G373" s="40" t="s">
        <v>42</v>
      </c>
      <c r="H373" s="41" t="s">
        <v>634</v>
      </c>
      <c r="I373" s="65" t="s">
        <v>43</v>
      </c>
      <c r="J373" s="66" t="s">
        <v>43</v>
      </c>
      <c r="K373" s="67" t="s">
        <v>43</v>
      </c>
      <c r="L373" s="40">
        <v>2</v>
      </c>
      <c r="M373" s="40">
        <v>2</v>
      </c>
      <c r="N373" s="40">
        <v>2</v>
      </c>
      <c r="O373" s="40">
        <v>3</v>
      </c>
      <c r="P373" s="41">
        <v>1</v>
      </c>
      <c r="Q373" s="40">
        <v>4</v>
      </c>
      <c r="R373" s="40">
        <v>4</v>
      </c>
      <c r="S373" s="40">
        <v>3</v>
      </c>
      <c r="T373" s="40">
        <v>5</v>
      </c>
      <c r="U373" s="41">
        <v>3</v>
      </c>
      <c r="V373" s="40">
        <v>6</v>
      </c>
      <c r="W373" s="40">
        <v>4</v>
      </c>
      <c r="X373" s="40">
        <v>1</v>
      </c>
      <c r="Y373" s="41">
        <v>1</v>
      </c>
      <c r="Z373" s="40" t="s">
        <v>45</v>
      </c>
      <c r="AA373" s="40" t="s">
        <v>45</v>
      </c>
      <c r="AB373" s="40">
        <v>6</v>
      </c>
      <c r="AC373" s="40" t="s">
        <v>45</v>
      </c>
      <c r="AD373" s="40">
        <v>4</v>
      </c>
      <c r="AE373" s="40" t="s">
        <v>45</v>
      </c>
      <c r="AF373" s="40" t="s">
        <v>45</v>
      </c>
      <c r="AG373" s="41" t="s">
        <v>45</v>
      </c>
      <c r="AH373" s="40">
        <v>4</v>
      </c>
      <c r="AI373" s="40">
        <v>5</v>
      </c>
      <c r="AJ373" s="41">
        <v>4</v>
      </c>
      <c r="AK373" s="43" t="s">
        <v>1197</v>
      </c>
      <c r="AL373" s="43" t="s">
        <v>635</v>
      </c>
      <c r="AM373" s="44">
        <f t="shared" si="36"/>
        <v>-1.4482470399631302</v>
      </c>
      <c r="AN373" s="44">
        <f t="shared" si="37"/>
        <v>-0.35850233464314329</v>
      </c>
      <c r="AO373" s="45">
        <f t="shared" si="38"/>
        <v>0</v>
      </c>
      <c r="AP373" s="46">
        <f t="shared" si="39"/>
        <v>0.6</v>
      </c>
      <c r="AQ373" s="44">
        <f>($AM$3*AM373+$AN$3*AN373+$AO$3*AO373+$AP$3*AP373)+$I$3*VLOOKUP(I373,COND!$A$2:$E$7,4,FALSE)+$J$3*VLOOKUP(J373,COND!$A$2:$C$7,2,FALSE)+$K$3*VLOOKUP(K373,COND!$A$2:$C$7,3,FALSE)+IF(AND($B$2&gt;0,$E373&lt;20),$B$2*25,0)</f>
        <v>41.153147280285964</v>
      </c>
      <c r="AR373" s="47">
        <f t="shared" si="40"/>
        <v>-0.66041841901509046</v>
      </c>
      <c r="AS373" s="45" t="str">
        <f t="shared" si="41"/>
        <v>2B</v>
      </c>
      <c r="AT373" s="45">
        <f>RANK(Batters[[#This Row],[zScore]],Batters[[#All],[zScore]])</f>
        <v>369</v>
      </c>
      <c r="AU373" s="45"/>
      <c r="AV373" s="45"/>
      <c r="AW373" s="45" t="str">
        <f t="shared" si="42"/>
        <v>Unlikely</v>
      </c>
      <c r="AX373" s="45"/>
      <c r="AY373" s="45">
        <f>INDEX(Table5[[#All],[Ovr]],MATCH(Batters[[#This Row],[PID]],Table5[[#All],[PID]],0))</f>
        <v>369</v>
      </c>
      <c r="AZ373" s="45" t="str">
        <f>INDEX(Table5[[#All],[Rnd]],MATCH(Batters[[#This Row],[PID]],Table5[[#All],[PID]],0))</f>
        <v>13</v>
      </c>
      <c r="BA373" s="45">
        <f>INDEX(Table5[[#All],[Pick]],MATCH(Batters[[#This Row],[PID]],Table5[[#All],[PID]],0))</f>
        <v>1</v>
      </c>
      <c r="BB373" s="45" t="str">
        <f>INDEX(Table5[[#All],[Team]],MATCH(Batters[[#This Row],[PID]],Table5[[#All],[PID]],0))</f>
        <v>Yuma Arroyos</v>
      </c>
    </row>
    <row r="374" spans="1:54" ht="15" customHeight="1" x14ac:dyDescent="0.25">
      <c r="A374" s="40">
        <v>18125</v>
      </c>
      <c r="B374" s="40" t="s">
        <v>50</v>
      </c>
      <c r="C374" s="40" t="s">
        <v>337</v>
      </c>
      <c r="D374" s="40" t="s">
        <v>1484</v>
      </c>
      <c r="E374" s="40">
        <v>21</v>
      </c>
      <c r="F374" s="40" t="s">
        <v>53</v>
      </c>
      <c r="G374" s="40" t="s">
        <v>42</v>
      </c>
      <c r="H374" s="41" t="s">
        <v>638</v>
      </c>
      <c r="I374" s="65" t="s">
        <v>43</v>
      </c>
      <c r="J374" s="66" t="s">
        <v>44</v>
      </c>
      <c r="K374" s="67" t="s">
        <v>43</v>
      </c>
      <c r="L374" s="40">
        <v>2</v>
      </c>
      <c r="M374" s="40">
        <v>2</v>
      </c>
      <c r="N374" s="40">
        <v>3</v>
      </c>
      <c r="O374" s="40">
        <v>3</v>
      </c>
      <c r="P374" s="41">
        <v>1</v>
      </c>
      <c r="Q374" s="40">
        <v>4</v>
      </c>
      <c r="R374" s="40">
        <v>3</v>
      </c>
      <c r="S374" s="40">
        <v>4</v>
      </c>
      <c r="T374" s="40">
        <v>5</v>
      </c>
      <c r="U374" s="41">
        <v>3</v>
      </c>
      <c r="V374" s="40">
        <v>5</v>
      </c>
      <c r="W374" s="40">
        <v>7</v>
      </c>
      <c r="X374" s="40">
        <v>1</v>
      </c>
      <c r="Y374" s="41">
        <v>1</v>
      </c>
      <c r="Z374" s="40" t="s">
        <v>45</v>
      </c>
      <c r="AA374" s="40" t="s">
        <v>45</v>
      </c>
      <c r="AB374" s="40" t="s">
        <v>45</v>
      </c>
      <c r="AC374" s="40" t="s">
        <v>45</v>
      </c>
      <c r="AD374" s="40" t="s">
        <v>45</v>
      </c>
      <c r="AE374" s="40">
        <v>5</v>
      </c>
      <c r="AF374" s="40">
        <v>1</v>
      </c>
      <c r="AG374" s="41" t="s">
        <v>45</v>
      </c>
      <c r="AH374" s="40">
        <v>9</v>
      </c>
      <c r="AI374" s="40">
        <v>7</v>
      </c>
      <c r="AJ374" s="41">
        <v>7</v>
      </c>
      <c r="AK374" s="43" t="s">
        <v>45</v>
      </c>
      <c r="AL374" s="43" t="s">
        <v>47</v>
      </c>
      <c r="AM374" s="44">
        <f t="shared" si="36"/>
        <v>-1.3651855459392288</v>
      </c>
      <c r="AN374" s="44">
        <f t="shared" si="37"/>
        <v>-0.3265007202379453</v>
      </c>
      <c r="AO374" s="45">
        <f t="shared" si="38"/>
        <v>3</v>
      </c>
      <c r="AP374" s="46">
        <f t="shared" si="39"/>
        <v>0</v>
      </c>
      <c r="AQ374" s="44">
        <f>($AM$3*AM374+$AN$3*AN374+$AO$3*AO374+$AP$3*AP374)+$I$3*VLOOKUP(I374,COND!$A$2:$E$7,4,FALSE)+$J$3*VLOOKUP(J374,COND!$A$2:$C$7,2,FALSE)+$K$3*VLOOKUP(K374,COND!$A$2:$C$7,3,FALSE)+IF(AND($B$2&gt;0,$E374&lt;20),$B$2*25,0)</f>
        <v>41.145472802550735</v>
      </c>
      <c r="AR374" s="47">
        <f t="shared" si="40"/>
        <v>-0.66211990260364584</v>
      </c>
      <c r="AS374" s="45" t="str">
        <f t="shared" si="41"/>
        <v>LF</v>
      </c>
      <c r="AT374" s="45">
        <f>RANK(Batters[[#This Row],[zScore]],Batters[[#All],[zScore]])</f>
        <v>370</v>
      </c>
      <c r="AU374" s="45"/>
      <c r="AV374" s="45"/>
      <c r="AW374" s="45" t="str">
        <f t="shared" si="42"/>
        <v>Unlikely</v>
      </c>
      <c r="AX374" s="45"/>
      <c r="AY374" s="45" t="str">
        <f>INDEX(Table5[[#All],[Ovr]],MATCH(Batters[[#This Row],[PID]],Table5[[#All],[PID]],0))</f>
        <v/>
      </c>
      <c r="AZ374" s="45" t="str">
        <f>INDEX(Table5[[#All],[Rnd]],MATCH(Batters[[#This Row],[PID]],Table5[[#All],[PID]],0))</f>
        <v/>
      </c>
      <c r="BA374" s="45" t="str">
        <f>INDEX(Table5[[#All],[Pick]],MATCH(Batters[[#This Row],[PID]],Table5[[#All],[PID]],0))</f>
        <v/>
      </c>
      <c r="BB374" s="45" t="str">
        <f>INDEX(Table5[[#All],[Team]],MATCH(Batters[[#This Row],[PID]],Table5[[#All],[PID]],0))</f>
        <v/>
      </c>
    </row>
    <row r="375" spans="1:54" ht="15" customHeight="1" x14ac:dyDescent="0.25">
      <c r="A375" s="40">
        <v>20466</v>
      </c>
      <c r="B375" s="40" t="s">
        <v>71</v>
      </c>
      <c r="C375" s="40" t="s">
        <v>1711</v>
      </c>
      <c r="D375" s="40" t="s">
        <v>1712</v>
      </c>
      <c r="E375" s="40">
        <v>17</v>
      </c>
      <c r="F375" s="40" t="s">
        <v>42</v>
      </c>
      <c r="G375" s="40" t="s">
        <v>42</v>
      </c>
      <c r="H375" s="41" t="s">
        <v>647</v>
      </c>
      <c r="I375" s="65" t="s">
        <v>47</v>
      </c>
      <c r="J375" s="66" t="s">
        <v>43</v>
      </c>
      <c r="K375" s="67" t="s">
        <v>44</v>
      </c>
      <c r="L375" s="40">
        <v>1</v>
      </c>
      <c r="M375" s="40">
        <v>3</v>
      </c>
      <c r="N375" s="40">
        <v>2</v>
      </c>
      <c r="O375" s="40">
        <v>2</v>
      </c>
      <c r="P375" s="41">
        <v>2</v>
      </c>
      <c r="Q375" s="40">
        <v>3</v>
      </c>
      <c r="R375" s="40">
        <v>4</v>
      </c>
      <c r="S375" s="40">
        <v>2</v>
      </c>
      <c r="T375" s="40">
        <v>4</v>
      </c>
      <c r="U375" s="41">
        <v>5</v>
      </c>
      <c r="V375" s="40">
        <v>2</v>
      </c>
      <c r="W375" s="40">
        <v>1</v>
      </c>
      <c r="X375" s="40">
        <v>1</v>
      </c>
      <c r="Y375" s="41">
        <v>1</v>
      </c>
      <c r="Z375" s="40" t="s">
        <v>45</v>
      </c>
      <c r="AA375" s="40" t="s">
        <v>45</v>
      </c>
      <c r="AB375" s="40">
        <v>1</v>
      </c>
      <c r="AC375" s="40" t="s">
        <v>45</v>
      </c>
      <c r="AD375" s="40" t="s">
        <v>45</v>
      </c>
      <c r="AE375" s="40" t="s">
        <v>45</v>
      </c>
      <c r="AF375" s="40" t="s">
        <v>45</v>
      </c>
      <c r="AG375" s="41" t="s">
        <v>45</v>
      </c>
      <c r="AH375" s="40">
        <v>8</v>
      </c>
      <c r="AI375" s="40">
        <v>8</v>
      </c>
      <c r="AJ375" s="41">
        <v>7</v>
      </c>
      <c r="AK375" s="43" t="s">
        <v>644</v>
      </c>
      <c r="AL375" s="43"/>
      <c r="AM375" s="44">
        <f t="shared" si="36"/>
        <v>-1.7694362067395988</v>
      </c>
      <c r="AN375" s="44">
        <f t="shared" si="37"/>
        <v>-0.77379653524513359</v>
      </c>
      <c r="AO375" s="45">
        <f t="shared" si="38"/>
        <v>4</v>
      </c>
      <c r="AP375" s="46">
        <f t="shared" si="39"/>
        <v>0</v>
      </c>
      <c r="AQ375" s="44">
        <f>($AM$3*AM375+$AN$3*AN375+$AO$3*AO375+$AP$3*AP375)+$I$3*VLOOKUP(I375,COND!$A$2:$E$7,4,FALSE)+$J$3*VLOOKUP(J375,COND!$A$2:$C$7,2,FALSE)+$K$3*VLOOKUP(K375,COND!$A$2:$C$7,3,FALSE)+IF(AND($B$2&gt;0,$E375&lt;20),$B$2*25,0)</f>
        <v>41.129164623051096</v>
      </c>
      <c r="AR375" s="47">
        <f t="shared" si="40"/>
        <v>-0.66573553623177872</v>
      </c>
      <c r="AS375" s="45" t="str">
        <f t="shared" si="41"/>
        <v>2B</v>
      </c>
      <c r="AT375" s="45">
        <f>RANK(Batters[[#This Row],[zScore]],Batters[[#All],[zScore]])</f>
        <v>371</v>
      </c>
      <c r="AU375" s="45"/>
      <c r="AV375" s="45"/>
      <c r="AW375" s="45" t="str">
        <f t="shared" si="42"/>
        <v>Unlikely</v>
      </c>
      <c r="AX375" s="45"/>
      <c r="AY375" s="64" t="str">
        <f>INDEX(Table5[[#All],[Ovr]],MATCH(Batters[[#This Row],[PID]],Table5[[#All],[PID]],0))</f>
        <v/>
      </c>
      <c r="AZ375" s="64" t="str">
        <f>INDEX(Table5[[#All],[Rnd]],MATCH(Batters[[#This Row],[PID]],Table5[[#All],[PID]],0))</f>
        <v/>
      </c>
      <c r="BA375" s="64" t="str">
        <f>INDEX(Table5[[#All],[Pick]],MATCH(Batters[[#This Row],[PID]],Table5[[#All],[PID]],0))</f>
        <v/>
      </c>
      <c r="BB375" s="64" t="str">
        <f>INDEX(Table5[[#All],[Team]],MATCH(Batters[[#This Row],[PID]],Table5[[#All],[PID]],0))</f>
        <v/>
      </c>
    </row>
    <row r="376" spans="1:54" ht="15" customHeight="1" x14ac:dyDescent="0.25">
      <c r="A376" s="40">
        <v>20767</v>
      </c>
      <c r="B376" s="40" t="s">
        <v>69</v>
      </c>
      <c r="C376" s="40" t="s">
        <v>136</v>
      </c>
      <c r="D376" s="40" t="s">
        <v>1601</v>
      </c>
      <c r="E376" s="40">
        <v>17</v>
      </c>
      <c r="F376" s="40" t="s">
        <v>53</v>
      </c>
      <c r="G376" s="40" t="s">
        <v>42</v>
      </c>
      <c r="H376" s="41" t="s">
        <v>638</v>
      </c>
      <c r="I376" s="65" t="s">
        <v>47</v>
      </c>
      <c r="J376" s="66" t="s">
        <v>43</v>
      </c>
      <c r="K376" s="67" t="s">
        <v>43</v>
      </c>
      <c r="L376" s="40">
        <v>1</v>
      </c>
      <c r="M376" s="40">
        <v>1</v>
      </c>
      <c r="N376" s="40">
        <v>2</v>
      </c>
      <c r="O376" s="40">
        <v>1</v>
      </c>
      <c r="P376" s="41">
        <v>2</v>
      </c>
      <c r="Q376" s="40">
        <v>3</v>
      </c>
      <c r="R376" s="40">
        <v>3</v>
      </c>
      <c r="S376" s="40">
        <v>3</v>
      </c>
      <c r="T376" s="40">
        <v>4</v>
      </c>
      <c r="U376" s="41">
        <v>5</v>
      </c>
      <c r="V376" s="40">
        <v>10</v>
      </c>
      <c r="W376" s="40">
        <v>9</v>
      </c>
      <c r="X376" s="40">
        <v>1</v>
      </c>
      <c r="Y376" s="41">
        <v>1</v>
      </c>
      <c r="Z376" s="40" t="s">
        <v>45</v>
      </c>
      <c r="AA376" s="40" t="s">
        <v>45</v>
      </c>
      <c r="AB376" s="40" t="s">
        <v>45</v>
      </c>
      <c r="AC376" s="40">
        <v>2</v>
      </c>
      <c r="AD376" s="40" t="s">
        <v>45</v>
      </c>
      <c r="AE376" s="40" t="s">
        <v>45</v>
      </c>
      <c r="AF376" s="40" t="s">
        <v>45</v>
      </c>
      <c r="AG376" s="41" t="s">
        <v>45</v>
      </c>
      <c r="AH376" s="40">
        <v>2</v>
      </c>
      <c r="AI376" s="40">
        <v>4</v>
      </c>
      <c r="AJ376" s="41">
        <v>2</v>
      </c>
      <c r="AK376" s="43" t="s">
        <v>644</v>
      </c>
      <c r="AL376" s="43" t="s">
        <v>635</v>
      </c>
      <c r="AM376" s="44">
        <f t="shared" si="36"/>
        <v>-1.961265515986587</v>
      </c>
      <c r="AN376" s="44">
        <f t="shared" si="37"/>
        <v>-0.74179492083993548</v>
      </c>
      <c r="AO376" s="45">
        <f t="shared" si="38"/>
        <v>0</v>
      </c>
      <c r="AP376" s="46">
        <f t="shared" si="39"/>
        <v>0</v>
      </c>
      <c r="AQ376" s="44">
        <f>($AM$3*AM376+$AN$3*AN376+$AO$3*AO376+$AP$3*AP376)+$I$3*VLOOKUP(I376,COND!$A$2:$E$7,4,FALSE)+$J$3*VLOOKUP(J376,COND!$A$2:$C$7,2,FALSE)+$K$3*VLOOKUP(K376,COND!$A$2:$C$7,3,FALSE)+IF(AND($B$2&gt;0,$E376&lt;20),$B$2*25,0)</f>
        <v>41.127334398322112</v>
      </c>
      <c r="AR376" s="47">
        <f t="shared" si="40"/>
        <v>-0.66614130942536542</v>
      </c>
      <c r="AS376" s="45" t="str">
        <f t="shared" si="41"/>
        <v>3B</v>
      </c>
      <c r="AT376" s="45">
        <f>RANK(Batters[[#This Row],[zScore]],Batters[[#All],[zScore]])</f>
        <v>372</v>
      </c>
      <c r="AU376" s="45"/>
      <c r="AV376" s="45"/>
      <c r="AW376" s="45" t="str">
        <f t="shared" si="42"/>
        <v>Unlikely</v>
      </c>
      <c r="AX376" s="45"/>
      <c r="AY376" s="45" t="str">
        <f>INDEX(Table5[[#All],[Ovr]],MATCH(Batters[[#This Row],[PID]],Table5[[#All],[PID]],0))</f>
        <v/>
      </c>
      <c r="AZ376" s="45" t="str">
        <f>INDEX(Table5[[#All],[Rnd]],MATCH(Batters[[#This Row],[PID]],Table5[[#All],[PID]],0))</f>
        <v/>
      </c>
      <c r="BA376" s="45" t="str">
        <f>INDEX(Table5[[#All],[Pick]],MATCH(Batters[[#This Row],[PID]],Table5[[#All],[PID]],0))</f>
        <v/>
      </c>
      <c r="BB376" s="45" t="str">
        <f>INDEX(Table5[[#All],[Team]],MATCH(Batters[[#This Row],[PID]],Table5[[#All],[PID]],0))</f>
        <v/>
      </c>
    </row>
    <row r="377" spans="1:54" ht="15" customHeight="1" x14ac:dyDescent="0.25">
      <c r="A377" s="40">
        <v>18192</v>
      </c>
      <c r="B377" s="40" t="s">
        <v>66</v>
      </c>
      <c r="C377" s="40" t="s">
        <v>746</v>
      </c>
      <c r="D377" s="40" t="s">
        <v>662</v>
      </c>
      <c r="E377" s="40">
        <v>18</v>
      </c>
      <c r="F377" s="40" t="s">
        <v>53</v>
      </c>
      <c r="G377" s="40" t="s">
        <v>53</v>
      </c>
      <c r="H377" s="41" t="s">
        <v>639</v>
      </c>
      <c r="I377" s="65" t="s">
        <v>43</v>
      </c>
      <c r="J377" s="66" t="s">
        <v>43</v>
      </c>
      <c r="K377" s="67" t="s">
        <v>43</v>
      </c>
      <c r="L377" s="40">
        <v>1</v>
      </c>
      <c r="M377" s="40">
        <v>2</v>
      </c>
      <c r="N377" s="40">
        <v>2</v>
      </c>
      <c r="O377" s="40">
        <v>1</v>
      </c>
      <c r="P377" s="41">
        <v>1</v>
      </c>
      <c r="Q377" s="40">
        <v>3</v>
      </c>
      <c r="R377" s="40">
        <v>4</v>
      </c>
      <c r="S377" s="40">
        <v>2</v>
      </c>
      <c r="T377" s="40">
        <v>5</v>
      </c>
      <c r="U377" s="41">
        <v>4</v>
      </c>
      <c r="V377" s="40">
        <v>6</v>
      </c>
      <c r="W377" s="40">
        <v>9</v>
      </c>
      <c r="X377" s="40">
        <v>1</v>
      </c>
      <c r="Y377" s="41">
        <v>1</v>
      </c>
      <c r="Z377" s="40" t="s">
        <v>45</v>
      </c>
      <c r="AA377" s="40" t="s">
        <v>45</v>
      </c>
      <c r="AB377" s="40" t="s">
        <v>45</v>
      </c>
      <c r="AC377" s="40" t="s">
        <v>45</v>
      </c>
      <c r="AD377" s="40" t="s">
        <v>45</v>
      </c>
      <c r="AE377" s="40">
        <v>1</v>
      </c>
      <c r="AF377" s="40" t="s">
        <v>45</v>
      </c>
      <c r="AG377" s="41">
        <v>3</v>
      </c>
      <c r="AH377" s="40">
        <v>6</v>
      </c>
      <c r="AI377" s="40">
        <v>5</v>
      </c>
      <c r="AJ377" s="41">
        <v>2</v>
      </c>
      <c r="AK377" s="43" t="s">
        <v>644</v>
      </c>
      <c r="AL377" s="43"/>
      <c r="AM377" s="44">
        <f t="shared" si="36"/>
        <v>-1.9502219761849671</v>
      </c>
      <c r="AN377" s="44">
        <f t="shared" si="37"/>
        <v>-0.72410332505263597</v>
      </c>
      <c r="AO377" s="45">
        <f t="shared" si="38"/>
        <v>0</v>
      </c>
      <c r="AP377" s="46">
        <f t="shared" si="39"/>
        <v>0</v>
      </c>
      <c r="AQ377" s="44">
        <f>($AM$3*AM377+$AN$3*AN377+$AO$3*AO377+$AP$3*AP377)+$I$3*VLOOKUP(I377,COND!$A$2:$E$7,4,FALSE)+$J$3*VLOOKUP(J377,COND!$A$2:$C$7,2,FALSE)+$K$3*VLOOKUP(K377,COND!$A$2:$C$7,3,FALSE)+IF(AND($B$2&gt;0,$E377&lt;20),$B$2*25,0)</f>
        <v>41.115737901749867</v>
      </c>
      <c r="AR377" s="47">
        <f t="shared" si="40"/>
        <v>-0.66871233110047434</v>
      </c>
      <c r="AS377" s="45" t="str">
        <f t="shared" si="41"/>
        <v>RF</v>
      </c>
      <c r="AT377" s="45">
        <f>RANK(Batters[[#This Row],[zScore]],Batters[[#All],[zScore]])</f>
        <v>373</v>
      </c>
      <c r="AU377" s="45"/>
      <c r="AV377" s="45"/>
      <c r="AW377" s="45" t="str">
        <f t="shared" si="42"/>
        <v>Unlikely</v>
      </c>
      <c r="AX377" s="45"/>
      <c r="AY377" s="64" t="str">
        <f>INDEX(Table5[[#All],[Ovr]],MATCH(Batters[[#This Row],[PID]],Table5[[#All],[PID]],0))</f>
        <v/>
      </c>
      <c r="AZ377" s="64" t="str">
        <f>INDEX(Table5[[#All],[Rnd]],MATCH(Batters[[#This Row],[PID]],Table5[[#All],[PID]],0))</f>
        <v/>
      </c>
      <c r="BA377" s="64" t="str">
        <f>INDEX(Table5[[#All],[Pick]],MATCH(Batters[[#This Row],[PID]],Table5[[#All],[PID]],0))</f>
        <v/>
      </c>
      <c r="BB377" s="64" t="str">
        <f>INDEX(Table5[[#All],[Team]],MATCH(Batters[[#This Row],[PID]],Table5[[#All],[PID]],0))</f>
        <v/>
      </c>
    </row>
    <row r="378" spans="1:54" ht="15" customHeight="1" x14ac:dyDescent="0.25">
      <c r="A378" s="40">
        <v>18285</v>
      </c>
      <c r="B378" s="40" t="s">
        <v>86</v>
      </c>
      <c r="C378" s="40" t="s">
        <v>1273</v>
      </c>
      <c r="D378" s="40" t="s">
        <v>736</v>
      </c>
      <c r="E378" s="40">
        <v>21</v>
      </c>
      <c r="F378" s="40" t="s">
        <v>42</v>
      </c>
      <c r="G378" s="40" t="s">
        <v>42</v>
      </c>
      <c r="H378" s="41" t="s">
        <v>634</v>
      </c>
      <c r="I378" s="65" t="s">
        <v>43</v>
      </c>
      <c r="J378" s="66" t="s">
        <v>43</v>
      </c>
      <c r="K378" s="67" t="s">
        <v>43</v>
      </c>
      <c r="L378" s="40">
        <v>3</v>
      </c>
      <c r="M378" s="40">
        <v>4</v>
      </c>
      <c r="N378" s="40">
        <v>3</v>
      </c>
      <c r="O378" s="40">
        <v>3</v>
      </c>
      <c r="P378" s="41">
        <v>2</v>
      </c>
      <c r="Q378" s="40">
        <v>4</v>
      </c>
      <c r="R378" s="40">
        <v>4</v>
      </c>
      <c r="S378" s="40">
        <v>3</v>
      </c>
      <c r="T378" s="40">
        <v>5</v>
      </c>
      <c r="U378" s="41">
        <v>4</v>
      </c>
      <c r="V378" s="40">
        <v>2</v>
      </c>
      <c r="W378" s="40">
        <v>3</v>
      </c>
      <c r="X378" s="40">
        <v>4</v>
      </c>
      <c r="Y378" s="41">
        <v>8</v>
      </c>
      <c r="Z378" s="40">
        <v>2</v>
      </c>
      <c r="AA378" s="40" t="s">
        <v>45</v>
      </c>
      <c r="AB378" s="40" t="s">
        <v>45</v>
      </c>
      <c r="AC378" s="40" t="s">
        <v>45</v>
      </c>
      <c r="AD378" s="40" t="s">
        <v>45</v>
      </c>
      <c r="AE378" s="40" t="s">
        <v>45</v>
      </c>
      <c r="AF378" s="40" t="s">
        <v>45</v>
      </c>
      <c r="AG378" s="41" t="s">
        <v>45</v>
      </c>
      <c r="AH378" s="40">
        <v>2</v>
      </c>
      <c r="AI378" s="40">
        <v>3</v>
      </c>
      <c r="AJ378" s="41">
        <v>1</v>
      </c>
      <c r="AK378" s="43" t="s">
        <v>45</v>
      </c>
      <c r="AL378" s="43" t="s">
        <v>47</v>
      </c>
      <c r="AM378" s="44">
        <f t="shared" si="36"/>
        <v>-0.90049361068206368</v>
      </c>
      <c r="AN378" s="44">
        <f t="shared" si="37"/>
        <v>-0.31848599482605983</v>
      </c>
      <c r="AO378" s="45">
        <f t="shared" si="38"/>
        <v>0</v>
      </c>
      <c r="AP378" s="46">
        <f t="shared" si="39"/>
        <v>0</v>
      </c>
      <c r="AQ378" s="44">
        <f>($AM$3*AM378+$AN$3*AN378+$AO$3*AO378+$AP$3*AP378)+$I$3*VLOOKUP(I378,COND!$A$2:$E$7,4,FALSE)+$J$3*VLOOKUP(J378,COND!$A$2:$C$7,2,FALSE)+$K$3*VLOOKUP(K378,COND!$A$2:$C$7,3,FALSE)+IF(AND($B$2&gt;0,$E378&lt;20),$B$2*25,0)</f>
        <v>41.088118701019077</v>
      </c>
      <c r="AR378" s="47">
        <f t="shared" si="40"/>
        <v>-0.67483569459096138</v>
      </c>
      <c r="AS378" s="45" t="str">
        <f t="shared" si="41"/>
        <v>C</v>
      </c>
      <c r="AT378" s="45">
        <f>RANK(Batters[[#This Row],[zScore]],Batters[[#All],[zScore]])</f>
        <v>374</v>
      </c>
      <c r="AU378" s="45"/>
      <c r="AV378" s="45"/>
      <c r="AW378" s="45" t="str">
        <f t="shared" si="42"/>
        <v>Unlikely</v>
      </c>
      <c r="AX378" s="45"/>
      <c r="AY378" s="45">
        <f>INDEX(Table5[[#All],[Ovr]],MATCH(Batters[[#This Row],[PID]],Table5[[#All],[PID]],0))</f>
        <v>489</v>
      </c>
      <c r="AZ378" s="45" t="str">
        <f>INDEX(Table5[[#All],[Rnd]],MATCH(Batters[[#This Row],[PID]],Table5[[#All],[PID]],0))</f>
        <v>17</v>
      </c>
      <c r="BA378" s="45">
        <f>INDEX(Table5[[#All],[Pick]],MATCH(Batters[[#This Row],[PID]],Table5[[#All],[PID]],0))</f>
        <v>1</v>
      </c>
      <c r="BB378" s="45" t="str">
        <f>INDEX(Table5[[#All],[Team]],MATCH(Batters[[#This Row],[PID]],Table5[[#All],[PID]],0))</f>
        <v>Yuma Arroyos</v>
      </c>
    </row>
    <row r="379" spans="1:54" ht="15" customHeight="1" x14ac:dyDescent="0.25">
      <c r="A379" s="40">
        <v>21044</v>
      </c>
      <c r="B379" s="40" t="s">
        <v>50</v>
      </c>
      <c r="C379" s="40" t="s">
        <v>341</v>
      </c>
      <c r="D379" s="40" t="s">
        <v>1609</v>
      </c>
      <c r="E379" s="40">
        <v>18</v>
      </c>
      <c r="F379" s="40" t="s">
        <v>62</v>
      </c>
      <c r="G379" s="40" t="s">
        <v>42</v>
      </c>
      <c r="H379" s="41" t="s">
        <v>638</v>
      </c>
      <c r="I379" s="65" t="s">
        <v>43</v>
      </c>
      <c r="J379" s="66" t="s">
        <v>44</v>
      </c>
      <c r="K379" s="67" t="s">
        <v>43</v>
      </c>
      <c r="L379" s="40">
        <v>1</v>
      </c>
      <c r="M379" s="40">
        <v>1</v>
      </c>
      <c r="N379" s="40">
        <v>3</v>
      </c>
      <c r="O379" s="40">
        <v>3</v>
      </c>
      <c r="P379" s="41">
        <v>1</v>
      </c>
      <c r="Q379" s="40">
        <v>2</v>
      </c>
      <c r="R379" s="40">
        <v>4</v>
      </c>
      <c r="S379" s="40">
        <v>6</v>
      </c>
      <c r="T379" s="40">
        <v>6</v>
      </c>
      <c r="U379" s="41">
        <v>2</v>
      </c>
      <c r="V379" s="40">
        <v>4</v>
      </c>
      <c r="W379" s="40">
        <v>5</v>
      </c>
      <c r="X379" s="40">
        <v>1</v>
      </c>
      <c r="Y379" s="41">
        <v>1</v>
      </c>
      <c r="Z379" s="40" t="s">
        <v>45</v>
      </c>
      <c r="AA379" s="40" t="s">
        <v>45</v>
      </c>
      <c r="AB379" s="40" t="s">
        <v>45</v>
      </c>
      <c r="AC379" s="40" t="s">
        <v>45</v>
      </c>
      <c r="AD379" s="40" t="s">
        <v>45</v>
      </c>
      <c r="AE379" s="40">
        <v>1</v>
      </c>
      <c r="AF379" s="40" t="s">
        <v>45</v>
      </c>
      <c r="AG379" s="41" t="s">
        <v>45</v>
      </c>
      <c r="AH379" s="40">
        <v>7</v>
      </c>
      <c r="AI379" s="40">
        <v>2</v>
      </c>
      <c r="AJ379" s="41">
        <v>1</v>
      </c>
      <c r="AK379" s="43" t="s">
        <v>659</v>
      </c>
      <c r="AL379" s="43" t="s">
        <v>47</v>
      </c>
      <c r="AM379" s="44">
        <f t="shared" si="36"/>
        <v>-1.738801261760607</v>
      </c>
      <c r="AN379" s="44">
        <f t="shared" si="37"/>
        <v>-0.70473631478429066</v>
      </c>
      <c r="AO379" s="45">
        <f t="shared" si="38"/>
        <v>0</v>
      </c>
      <c r="AP379" s="46">
        <f t="shared" si="39"/>
        <v>0</v>
      </c>
      <c r="AQ379" s="44">
        <f>($AM$3*AM379+$AN$3*AN379+$AO$3*AO379+$AP$3*AP379)+$I$3*VLOOKUP(I379,COND!$A$2:$E$7,4,FALSE)+$J$3*VLOOKUP(J379,COND!$A$2:$C$7,2,FALSE)+$K$3*VLOOKUP(K379,COND!$A$2:$C$7,3,FALSE)+IF(AND($B$2&gt;0,$E379&lt;20),$B$2*25,0)</f>
        <v>41.069284096412453</v>
      </c>
      <c r="AR379" s="47">
        <f t="shared" si="40"/>
        <v>-0.67901145374236183</v>
      </c>
      <c r="AS379" s="45" t="str">
        <f t="shared" si="41"/>
        <v>LF</v>
      </c>
      <c r="AT379" s="45">
        <f>RANK(Batters[[#This Row],[zScore]],Batters[[#All],[zScore]])</f>
        <v>375</v>
      </c>
      <c r="AU379" s="45"/>
      <c r="AV379" s="45"/>
      <c r="AW379" s="45" t="str">
        <f t="shared" si="42"/>
        <v>Unlikely</v>
      </c>
      <c r="AX379" s="45"/>
      <c r="AY379" s="45" t="str">
        <f>INDEX(Table5[[#All],[Ovr]],MATCH(Batters[[#This Row],[PID]],Table5[[#All],[PID]],0))</f>
        <v/>
      </c>
      <c r="AZ379" s="45" t="str">
        <f>INDEX(Table5[[#All],[Rnd]],MATCH(Batters[[#This Row],[PID]],Table5[[#All],[PID]],0))</f>
        <v/>
      </c>
      <c r="BA379" s="45" t="str">
        <f>INDEX(Table5[[#All],[Pick]],MATCH(Batters[[#This Row],[PID]],Table5[[#All],[PID]],0))</f>
        <v/>
      </c>
      <c r="BB379" s="45" t="str">
        <f>INDEX(Table5[[#All],[Team]],MATCH(Batters[[#This Row],[PID]],Table5[[#All],[PID]],0))</f>
        <v/>
      </c>
    </row>
    <row r="380" spans="1:54" ht="15" customHeight="1" x14ac:dyDescent="0.25">
      <c r="A380" s="40">
        <v>20337</v>
      </c>
      <c r="B380" s="40" t="s">
        <v>86</v>
      </c>
      <c r="C380" s="40" t="s">
        <v>996</v>
      </c>
      <c r="D380" s="40" t="s">
        <v>1223</v>
      </c>
      <c r="E380" s="40">
        <v>17</v>
      </c>
      <c r="F380" s="40" t="s">
        <v>42</v>
      </c>
      <c r="G380" s="40" t="s">
        <v>42</v>
      </c>
      <c r="H380" s="41" t="s">
        <v>634</v>
      </c>
      <c r="I380" s="65" t="s">
        <v>43</v>
      </c>
      <c r="J380" s="66" t="s">
        <v>44</v>
      </c>
      <c r="K380" s="67" t="s">
        <v>43</v>
      </c>
      <c r="L380" s="40">
        <v>1</v>
      </c>
      <c r="M380" s="40">
        <v>2</v>
      </c>
      <c r="N380" s="40">
        <v>3</v>
      </c>
      <c r="O380" s="40">
        <v>4</v>
      </c>
      <c r="P380" s="41">
        <v>1</v>
      </c>
      <c r="Q380" s="40">
        <v>2</v>
      </c>
      <c r="R380" s="40">
        <v>3</v>
      </c>
      <c r="S380" s="40">
        <v>6</v>
      </c>
      <c r="T380" s="40">
        <v>7</v>
      </c>
      <c r="U380" s="41">
        <v>1</v>
      </c>
      <c r="V380" s="40">
        <v>5</v>
      </c>
      <c r="W380" s="40">
        <v>5</v>
      </c>
      <c r="X380" s="40">
        <v>6</v>
      </c>
      <c r="Y380" s="41">
        <v>5</v>
      </c>
      <c r="Z380" s="40" t="s">
        <v>45</v>
      </c>
      <c r="AA380" s="40" t="s">
        <v>45</v>
      </c>
      <c r="AB380" s="40" t="s">
        <v>45</v>
      </c>
      <c r="AC380" s="40" t="s">
        <v>45</v>
      </c>
      <c r="AD380" s="40" t="s">
        <v>45</v>
      </c>
      <c r="AE380" s="40" t="s">
        <v>45</v>
      </c>
      <c r="AF380" s="40" t="s">
        <v>45</v>
      </c>
      <c r="AG380" s="41" t="s">
        <v>45</v>
      </c>
      <c r="AH380" s="40">
        <v>3</v>
      </c>
      <c r="AI380" s="40">
        <v>4</v>
      </c>
      <c r="AJ380" s="41">
        <v>3</v>
      </c>
      <c r="AK380" s="43" t="s">
        <v>654</v>
      </c>
      <c r="AL380" s="43" t="s">
        <v>47</v>
      </c>
      <c r="AM380" s="44">
        <f t="shared" si="36"/>
        <v>-1.5980318321323224</v>
      </c>
      <c r="AN380" s="44">
        <f t="shared" si="37"/>
        <v>-0.70610298421049678</v>
      </c>
      <c r="AO380" s="45">
        <f t="shared" si="38"/>
        <v>0</v>
      </c>
      <c r="AP380" s="46">
        <f t="shared" si="39"/>
        <v>0</v>
      </c>
      <c r="AQ380" s="44">
        <f>($AM$3*AM380+$AN$3*AN380+$AO$3*AO380+$AP$3*AP380)+$I$3*VLOOKUP(I380,COND!$A$2:$E$7,4,FALSE)+$J$3*VLOOKUP(J380,COND!$A$2:$C$7,2,FALSE)+$K$3*VLOOKUP(K380,COND!$A$2:$C$7,3,FALSE)+IF(AND($B$2&gt;0,$E380&lt;20),$B$2*25,0)</f>
        <v>41.066961006260804</v>
      </c>
      <c r="AR380" s="47">
        <f t="shared" si="40"/>
        <v>-0.6795264985316144</v>
      </c>
      <c r="AS380" s="45" t="str">
        <f t="shared" si="41"/>
        <v>DH</v>
      </c>
      <c r="AT380" s="45">
        <f>RANK(Batters[[#This Row],[zScore]],Batters[[#All],[zScore]])</f>
        <v>376</v>
      </c>
      <c r="AU380" s="45"/>
      <c r="AV380" s="45"/>
      <c r="AW380" s="45" t="str">
        <f t="shared" si="42"/>
        <v>Unlikely</v>
      </c>
      <c r="AX380" s="45"/>
      <c r="AY380" s="45" t="str">
        <f>INDEX(Table5[[#All],[Ovr]],MATCH(Batters[[#This Row],[PID]],Table5[[#All],[PID]],0))</f>
        <v/>
      </c>
      <c r="AZ380" s="45" t="str">
        <f>INDEX(Table5[[#All],[Rnd]],MATCH(Batters[[#This Row],[PID]],Table5[[#All],[PID]],0))</f>
        <v/>
      </c>
      <c r="BA380" s="45" t="str">
        <f>INDEX(Table5[[#All],[Pick]],MATCH(Batters[[#This Row],[PID]],Table5[[#All],[PID]],0))</f>
        <v/>
      </c>
      <c r="BB380" s="45" t="str">
        <f>INDEX(Table5[[#All],[Team]],MATCH(Batters[[#This Row],[PID]],Table5[[#All],[PID]],0))</f>
        <v/>
      </c>
    </row>
    <row r="381" spans="1:54" ht="15" customHeight="1" x14ac:dyDescent="0.25">
      <c r="A381" s="40">
        <v>17945</v>
      </c>
      <c r="B381" s="40" t="s">
        <v>86</v>
      </c>
      <c r="C381" s="40" t="s">
        <v>182</v>
      </c>
      <c r="D381" s="40" t="s">
        <v>1509</v>
      </c>
      <c r="E381" s="40">
        <v>18</v>
      </c>
      <c r="F381" s="40" t="s">
        <v>62</v>
      </c>
      <c r="G381" s="40" t="s">
        <v>42</v>
      </c>
      <c r="H381" s="41" t="s">
        <v>638</v>
      </c>
      <c r="I381" s="65" t="s">
        <v>43</v>
      </c>
      <c r="J381" s="66" t="s">
        <v>43</v>
      </c>
      <c r="K381" s="67" t="s">
        <v>43</v>
      </c>
      <c r="L381" s="40">
        <v>1</v>
      </c>
      <c r="M381" s="40">
        <v>2</v>
      </c>
      <c r="N381" s="40">
        <v>2</v>
      </c>
      <c r="O381" s="40">
        <v>2</v>
      </c>
      <c r="P381" s="41">
        <v>1</v>
      </c>
      <c r="Q381" s="40">
        <v>3</v>
      </c>
      <c r="R381" s="40">
        <v>4</v>
      </c>
      <c r="S381" s="40">
        <v>3</v>
      </c>
      <c r="T381" s="40">
        <v>4</v>
      </c>
      <c r="U381" s="41">
        <v>4</v>
      </c>
      <c r="V381" s="40">
        <v>3</v>
      </c>
      <c r="W381" s="40">
        <v>4</v>
      </c>
      <c r="X381" s="40">
        <v>5</v>
      </c>
      <c r="Y381" s="41">
        <v>4</v>
      </c>
      <c r="Z381" s="40" t="s">
        <v>45</v>
      </c>
      <c r="AA381" s="40" t="s">
        <v>45</v>
      </c>
      <c r="AB381" s="40" t="s">
        <v>45</v>
      </c>
      <c r="AC381" s="40" t="s">
        <v>45</v>
      </c>
      <c r="AD381" s="40" t="s">
        <v>45</v>
      </c>
      <c r="AE381" s="40" t="s">
        <v>45</v>
      </c>
      <c r="AF381" s="40" t="s">
        <v>45</v>
      </c>
      <c r="AG381" s="41" t="s">
        <v>45</v>
      </c>
      <c r="AH381" s="40">
        <v>1</v>
      </c>
      <c r="AI381" s="40">
        <v>2</v>
      </c>
      <c r="AJ381" s="41">
        <v>3</v>
      </c>
      <c r="AK381" s="43" t="s">
        <v>644</v>
      </c>
      <c r="AL381" s="43" t="s">
        <v>47</v>
      </c>
      <c r="AM381" s="44">
        <f t="shared" si="36"/>
        <v>-1.8605124261753858</v>
      </c>
      <c r="AN381" s="44">
        <f t="shared" si="37"/>
        <v>-0.7307513810383155</v>
      </c>
      <c r="AO381" s="45">
        <f t="shared" si="38"/>
        <v>0</v>
      </c>
      <c r="AP381" s="46">
        <f t="shared" si="39"/>
        <v>0</v>
      </c>
      <c r="AQ381" s="44">
        <f>($AM$3*AM381+$AN$3*AN381+$AO$3*AO381+$AP$3*AP381)+$I$3*VLOOKUP(I381,COND!$A$2:$E$7,4,FALSE)+$J$3*VLOOKUP(J381,COND!$A$2:$C$7,2,FALSE)+$K$3*VLOOKUP(K381,COND!$A$2:$C$7,3,FALSE)+IF(AND($B$2&gt;0,$E381&lt;20),$B$2*25,0)</f>
        <v>41.044932184922672</v>
      </c>
      <c r="AR381" s="47">
        <f t="shared" si="40"/>
        <v>-0.68441043712329153</v>
      </c>
      <c r="AS381" s="45" t="str">
        <f t="shared" si="41"/>
        <v>DH</v>
      </c>
      <c r="AT381" s="45">
        <f>RANK(Batters[[#This Row],[zScore]],Batters[[#All],[zScore]])</f>
        <v>377</v>
      </c>
      <c r="AU381" s="45"/>
      <c r="AV381" s="45"/>
      <c r="AW381" s="45" t="str">
        <f t="shared" si="42"/>
        <v>Unlikely</v>
      </c>
      <c r="AX381" s="45"/>
      <c r="AY381" s="45" t="str">
        <f>INDEX(Table5[[#All],[Ovr]],MATCH(Batters[[#This Row],[PID]],Table5[[#All],[PID]],0))</f>
        <v/>
      </c>
      <c r="AZ381" s="45" t="str">
        <f>INDEX(Table5[[#All],[Rnd]],MATCH(Batters[[#This Row],[PID]],Table5[[#All],[PID]],0))</f>
        <v/>
      </c>
      <c r="BA381" s="45" t="str">
        <f>INDEX(Table5[[#All],[Pick]],MATCH(Batters[[#This Row],[PID]],Table5[[#All],[PID]],0))</f>
        <v/>
      </c>
      <c r="BB381" s="45" t="str">
        <f>INDEX(Table5[[#All],[Team]],MATCH(Batters[[#This Row],[PID]],Table5[[#All],[PID]],0))</f>
        <v/>
      </c>
    </row>
    <row r="382" spans="1:54" ht="15" customHeight="1" x14ac:dyDescent="0.25">
      <c r="A382" s="40">
        <v>17767</v>
      </c>
      <c r="B382" s="40" t="s">
        <v>71</v>
      </c>
      <c r="C382" s="40" t="s">
        <v>208</v>
      </c>
      <c r="D382" s="40" t="s">
        <v>1253</v>
      </c>
      <c r="E382" s="40">
        <v>21</v>
      </c>
      <c r="F382" s="40" t="s">
        <v>42</v>
      </c>
      <c r="G382" s="40" t="s">
        <v>42</v>
      </c>
      <c r="H382" s="41" t="s">
        <v>634</v>
      </c>
      <c r="I382" s="65" t="s">
        <v>43</v>
      </c>
      <c r="J382" s="66" t="s">
        <v>43</v>
      </c>
      <c r="K382" s="67" t="s">
        <v>43</v>
      </c>
      <c r="L382" s="40">
        <v>2</v>
      </c>
      <c r="M382" s="40">
        <v>4</v>
      </c>
      <c r="N382" s="40">
        <v>2</v>
      </c>
      <c r="O382" s="40">
        <v>2</v>
      </c>
      <c r="P382" s="41">
        <v>2</v>
      </c>
      <c r="Q382" s="40">
        <v>4</v>
      </c>
      <c r="R382" s="40">
        <v>4</v>
      </c>
      <c r="S382" s="40">
        <v>3</v>
      </c>
      <c r="T382" s="40">
        <v>4</v>
      </c>
      <c r="U382" s="41">
        <v>5</v>
      </c>
      <c r="V382" s="40">
        <v>6</v>
      </c>
      <c r="W382" s="40">
        <v>4</v>
      </c>
      <c r="X382" s="40">
        <v>1</v>
      </c>
      <c r="Y382" s="41">
        <v>1</v>
      </c>
      <c r="Z382" s="40" t="s">
        <v>45</v>
      </c>
      <c r="AA382" s="40" t="s">
        <v>45</v>
      </c>
      <c r="AB382" s="40">
        <v>6</v>
      </c>
      <c r="AC382" s="40" t="s">
        <v>45</v>
      </c>
      <c r="AD382" s="40" t="s">
        <v>45</v>
      </c>
      <c r="AE382" s="40" t="s">
        <v>45</v>
      </c>
      <c r="AF382" s="40" t="s">
        <v>45</v>
      </c>
      <c r="AG382" s="41" t="s">
        <v>45</v>
      </c>
      <c r="AH382" s="40">
        <v>3</v>
      </c>
      <c r="AI382" s="40">
        <v>1</v>
      </c>
      <c r="AJ382" s="41">
        <v>3</v>
      </c>
      <c r="AK382" s="43" t="s">
        <v>45</v>
      </c>
      <c r="AL382" s="43" t="s">
        <v>47</v>
      </c>
      <c r="AM382" s="44">
        <f t="shared" si="36"/>
        <v>-1.3958204909182206</v>
      </c>
      <c r="AN382" s="44">
        <f t="shared" si="37"/>
        <v>-0.36817920501855744</v>
      </c>
      <c r="AO382" s="45">
        <f t="shared" si="38"/>
        <v>0</v>
      </c>
      <c r="AP382" s="46">
        <f t="shared" si="39"/>
        <v>0.6</v>
      </c>
      <c r="AQ382" s="44">
        <f>($AM$3*AM382+$AN$3*AN382+$AO$3*AO382+$AP$3*AP382)+$I$3*VLOOKUP(I382,COND!$A$2:$E$7,4,FALSE)+$J$3*VLOOKUP(J382,COND!$A$2:$C$7,2,FALSE)+$K$3*VLOOKUP(K382,COND!$A$2:$C$7,3,FALSE)+IF(AND($B$2&gt;0,$E382&lt;20),$B$2*25,0)</f>
        <v>41.042267490685489</v>
      </c>
      <c r="AR382" s="47">
        <f t="shared" si="40"/>
        <v>-0.68500121784733625</v>
      </c>
      <c r="AS382" s="45" t="str">
        <f t="shared" si="41"/>
        <v>2B</v>
      </c>
      <c r="AT382" s="45">
        <f>RANK(Batters[[#This Row],[zScore]],Batters[[#All],[zScore]])</f>
        <v>378</v>
      </c>
      <c r="AU382" s="45"/>
      <c r="AV382" s="45"/>
      <c r="AW382" s="45" t="str">
        <f t="shared" si="42"/>
        <v>Unlikely</v>
      </c>
      <c r="AX382" s="45"/>
      <c r="AY382" s="45">
        <f>INDEX(Table5[[#All],[Ovr]],MATCH(Batters[[#This Row],[PID]],Table5[[#All],[PID]],0))</f>
        <v>454</v>
      </c>
      <c r="AZ382" s="45" t="str">
        <f>INDEX(Table5[[#All],[Rnd]],MATCH(Batters[[#This Row],[PID]],Table5[[#All],[PID]],0))</f>
        <v>15</v>
      </c>
      <c r="BA382" s="45">
        <f>INDEX(Table5[[#All],[Pick]],MATCH(Batters[[#This Row],[PID]],Table5[[#All],[PID]],0))</f>
        <v>26</v>
      </c>
      <c r="BB382" s="45" t="str">
        <f>INDEX(Table5[[#All],[Team]],MATCH(Batters[[#This Row],[PID]],Table5[[#All],[PID]],0))</f>
        <v>Yuma Arroyos</v>
      </c>
    </row>
    <row r="383" spans="1:54" ht="15" customHeight="1" x14ac:dyDescent="0.25">
      <c r="A383" s="40">
        <v>17572</v>
      </c>
      <c r="B383" s="40" t="s">
        <v>86</v>
      </c>
      <c r="C383" s="40" t="s">
        <v>391</v>
      </c>
      <c r="D383" s="40" t="s">
        <v>1405</v>
      </c>
      <c r="E383" s="40">
        <v>18</v>
      </c>
      <c r="F383" s="40" t="s">
        <v>42</v>
      </c>
      <c r="G383" s="40" t="s">
        <v>42</v>
      </c>
      <c r="H383" s="41" t="s">
        <v>638</v>
      </c>
      <c r="I383" s="65" t="s">
        <v>44</v>
      </c>
      <c r="J383" s="66" t="s">
        <v>43</v>
      </c>
      <c r="K383" s="67" t="s">
        <v>43</v>
      </c>
      <c r="L383" s="40">
        <v>1</v>
      </c>
      <c r="M383" s="40">
        <v>1</v>
      </c>
      <c r="N383" s="40">
        <v>2</v>
      </c>
      <c r="O383" s="40">
        <v>1</v>
      </c>
      <c r="P383" s="41">
        <v>1</v>
      </c>
      <c r="Q383" s="40">
        <v>3</v>
      </c>
      <c r="R383" s="40">
        <v>5</v>
      </c>
      <c r="S383" s="40">
        <v>3</v>
      </c>
      <c r="T383" s="40">
        <v>3</v>
      </c>
      <c r="U383" s="41">
        <v>3</v>
      </c>
      <c r="V383" s="40">
        <v>4</v>
      </c>
      <c r="W383" s="40">
        <v>4</v>
      </c>
      <c r="X383" s="40">
        <v>7</v>
      </c>
      <c r="Y383" s="41">
        <v>7</v>
      </c>
      <c r="Z383" s="40">
        <v>2</v>
      </c>
      <c r="AA383" s="40" t="s">
        <v>45</v>
      </c>
      <c r="AB383" s="40" t="s">
        <v>45</v>
      </c>
      <c r="AC383" s="40" t="s">
        <v>45</v>
      </c>
      <c r="AD383" s="40" t="s">
        <v>45</v>
      </c>
      <c r="AE383" s="40" t="s">
        <v>45</v>
      </c>
      <c r="AF383" s="40" t="s">
        <v>45</v>
      </c>
      <c r="AG383" s="41" t="s">
        <v>45</v>
      </c>
      <c r="AH383" s="40">
        <v>1</v>
      </c>
      <c r="AI383" s="40">
        <v>1</v>
      </c>
      <c r="AJ383" s="41">
        <v>1</v>
      </c>
      <c r="AK383" s="43" t="s">
        <v>670</v>
      </c>
      <c r="AL383" s="43" t="s">
        <v>635</v>
      </c>
      <c r="AM383" s="44">
        <f t="shared" si="36"/>
        <v>-2.0012818558036707</v>
      </c>
      <c r="AN383" s="44">
        <f t="shared" si="37"/>
        <v>-0.80941739124627676</v>
      </c>
      <c r="AO383" s="45">
        <f t="shared" si="38"/>
        <v>0</v>
      </c>
      <c r="AP383" s="46">
        <f t="shared" si="39"/>
        <v>1.1000000000000001</v>
      </c>
      <c r="AQ383" s="44">
        <f>($AM$3*AM383+$AN$3*AN383+$AO$3*AO383+$AP$3*AP383)+$I$3*VLOOKUP(I383,COND!$A$2:$E$7,4,FALSE)+$J$3*VLOOKUP(J383,COND!$A$2:$C$7,2,FALSE)+$K$3*VLOOKUP(K383,COND!$A$2:$C$7,3,FALSE)+IF(AND($B$2&gt;0,$E383&lt;20),$B$2*25,0)</f>
        <v>41.036863119464314</v>
      </c>
      <c r="AR383" s="47">
        <f t="shared" si="40"/>
        <v>-0.68619940347722996</v>
      </c>
      <c r="AS383" s="45" t="str">
        <f t="shared" si="41"/>
        <v>C</v>
      </c>
      <c r="AT383" s="45">
        <f>RANK(Batters[[#This Row],[zScore]],Batters[[#All],[zScore]])</f>
        <v>379</v>
      </c>
      <c r="AU383" s="45"/>
      <c r="AV383" s="45"/>
      <c r="AW383" s="45" t="str">
        <f t="shared" si="42"/>
        <v>Unlikely</v>
      </c>
      <c r="AX383" s="45"/>
      <c r="AY383" s="45">
        <f>INDEX(Table5[[#All],[Ovr]],MATCH(Batters[[#This Row],[PID]],Table5[[#All],[PID]],0))</f>
        <v>291</v>
      </c>
      <c r="AZ383" s="45" t="str">
        <f>INDEX(Table5[[#All],[Rnd]],MATCH(Batters[[#This Row],[PID]],Table5[[#All],[PID]],0))</f>
        <v>10</v>
      </c>
      <c r="BA383" s="45">
        <f>INDEX(Table5[[#All],[Pick]],MATCH(Batters[[#This Row],[PID]],Table5[[#All],[PID]],0))</f>
        <v>13</v>
      </c>
      <c r="BB383" s="45" t="str">
        <f>INDEX(Table5[[#All],[Team]],MATCH(Batters[[#This Row],[PID]],Table5[[#All],[PID]],0))</f>
        <v>Reno Zephyrs</v>
      </c>
    </row>
    <row r="384" spans="1:54" ht="15" customHeight="1" x14ac:dyDescent="0.25">
      <c r="A384" s="40">
        <v>17576</v>
      </c>
      <c r="B384" s="40" t="s">
        <v>50</v>
      </c>
      <c r="C384" s="40" t="s">
        <v>1653</v>
      </c>
      <c r="D384" s="40" t="s">
        <v>387</v>
      </c>
      <c r="E384" s="40">
        <v>18</v>
      </c>
      <c r="F384" s="40" t="s">
        <v>42</v>
      </c>
      <c r="G384" s="40" t="s">
        <v>42</v>
      </c>
      <c r="H384" s="41" t="s">
        <v>639</v>
      </c>
      <c r="I384" s="65" t="s">
        <v>43</v>
      </c>
      <c r="J384" s="66" t="s">
        <v>43</v>
      </c>
      <c r="K384" s="67" t="s">
        <v>43</v>
      </c>
      <c r="L384" s="40">
        <v>1</v>
      </c>
      <c r="M384" s="40">
        <v>1</v>
      </c>
      <c r="N384" s="40">
        <v>2</v>
      </c>
      <c r="O384" s="40">
        <v>1</v>
      </c>
      <c r="P384" s="41">
        <v>1</v>
      </c>
      <c r="Q384" s="40">
        <v>3</v>
      </c>
      <c r="R384" s="40">
        <v>4</v>
      </c>
      <c r="S384" s="40">
        <v>3</v>
      </c>
      <c r="T384" s="40">
        <v>4</v>
      </c>
      <c r="U384" s="41">
        <v>4</v>
      </c>
      <c r="V384" s="40">
        <v>7</v>
      </c>
      <c r="W384" s="40">
        <v>7</v>
      </c>
      <c r="X384" s="40">
        <v>1</v>
      </c>
      <c r="Y384" s="41">
        <v>1</v>
      </c>
      <c r="Z384" s="40" t="s">
        <v>45</v>
      </c>
      <c r="AA384" s="40" t="s">
        <v>45</v>
      </c>
      <c r="AB384" s="40" t="s">
        <v>45</v>
      </c>
      <c r="AC384" s="40" t="s">
        <v>45</v>
      </c>
      <c r="AD384" s="40" t="s">
        <v>45</v>
      </c>
      <c r="AE384" s="40">
        <v>1</v>
      </c>
      <c r="AF384" s="40" t="s">
        <v>45</v>
      </c>
      <c r="AG384" s="41" t="s">
        <v>45</v>
      </c>
      <c r="AH384" s="40">
        <v>7</v>
      </c>
      <c r="AI384" s="40">
        <v>3</v>
      </c>
      <c r="AJ384" s="41">
        <v>2</v>
      </c>
      <c r="AK384" s="43" t="s">
        <v>644</v>
      </c>
      <c r="AL384" s="43"/>
      <c r="AM384" s="44">
        <f t="shared" si="36"/>
        <v>-2.0012818558036707</v>
      </c>
      <c r="AN384" s="44">
        <f t="shared" si="37"/>
        <v>-0.7307513810383155</v>
      </c>
      <c r="AO384" s="45">
        <f t="shared" si="38"/>
        <v>0</v>
      </c>
      <c r="AP384" s="46">
        <f t="shared" si="39"/>
        <v>0</v>
      </c>
      <c r="AQ384" s="44">
        <f>($AM$3*AM384+$AN$3*AN384+$AO$3*AO384+$AP$3*AP384)+$I$3*VLOOKUP(I384,COND!$A$2:$E$7,4,FALSE)+$J$3*VLOOKUP(J384,COND!$A$2:$C$7,2,FALSE)+$K$3*VLOOKUP(K384,COND!$A$2:$C$7,3,FALSE)+IF(AND($B$2&gt;0,$E384&lt;20),$B$2*25,0)</f>
        <v>41.030855241959848</v>
      </c>
      <c r="AR384" s="47">
        <f t="shared" si="40"/>
        <v>-0.68753139052945311</v>
      </c>
      <c r="AS384" s="45" t="str">
        <f t="shared" si="41"/>
        <v>LF</v>
      </c>
      <c r="AT384" s="45">
        <f>RANK(Batters[[#This Row],[zScore]],Batters[[#All],[zScore]])</f>
        <v>380</v>
      </c>
      <c r="AU384" s="45"/>
      <c r="AV384" s="45"/>
      <c r="AW384" s="45" t="str">
        <f t="shared" si="42"/>
        <v>Unlikely</v>
      </c>
      <c r="AX384" s="45"/>
      <c r="AY384" s="64" t="str">
        <f>INDEX(Table5[[#All],[Ovr]],MATCH(Batters[[#This Row],[PID]],Table5[[#All],[PID]],0))</f>
        <v/>
      </c>
      <c r="AZ384" s="64" t="str">
        <f>INDEX(Table5[[#All],[Rnd]],MATCH(Batters[[#This Row],[PID]],Table5[[#All],[PID]],0))</f>
        <v/>
      </c>
      <c r="BA384" s="64" t="str">
        <f>INDEX(Table5[[#All],[Pick]],MATCH(Batters[[#This Row],[PID]],Table5[[#All],[PID]],0))</f>
        <v/>
      </c>
      <c r="BB384" s="64" t="str">
        <f>INDEX(Table5[[#All],[Team]],MATCH(Batters[[#This Row],[PID]],Table5[[#All],[PID]],0))</f>
        <v/>
      </c>
    </row>
    <row r="385" spans="1:54" ht="15" customHeight="1" x14ac:dyDescent="0.25">
      <c r="A385" s="40">
        <v>20838</v>
      </c>
      <c r="B385" s="40" t="s">
        <v>87</v>
      </c>
      <c r="C385" s="40" t="s">
        <v>167</v>
      </c>
      <c r="D385" s="40" t="s">
        <v>772</v>
      </c>
      <c r="E385" s="40">
        <v>17</v>
      </c>
      <c r="F385" s="40" t="s">
        <v>53</v>
      </c>
      <c r="G385" s="40" t="s">
        <v>42</v>
      </c>
      <c r="H385" s="41" t="s">
        <v>647</v>
      </c>
      <c r="I385" s="65" t="s">
        <v>43</v>
      </c>
      <c r="J385" s="66" t="s">
        <v>43</v>
      </c>
      <c r="K385" s="67" t="s">
        <v>43</v>
      </c>
      <c r="L385" s="40">
        <v>1</v>
      </c>
      <c r="M385" s="40">
        <v>2</v>
      </c>
      <c r="N385" s="40">
        <v>2</v>
      </c>
      <c r="O385" s="40">
        <v>2</v>
      </c>
      <c r="P385" s="41">
        <v>1</v>
      </c>
      <c r="Q385" s="40">
        <v>3</v>
      </c>
      <c r="R385" s="40">
        <v>3</v>
      </c>
      <c r="S385" s="40">
        <v>3</v>
      </c>
      <c r="T385" s="40">
        <v>5</v>
      </c>
      <c r="U385" s="41">
        <v>3</v>
      </c>
      <c r="V385" s="40">
        <v>2</v>
      </c>
      <c r="W385" s="40">
        <v>1</v>
      </c>
      <c r="X385" s="40">
        <v>2</v>
      </c>
      <c r="Y385" s="41">
        <v>4</v>
      </c>
      <c r="Z385" s="40" t="s">
        <v>45</v>
      </c>
      <c r="AA385" s="40">
        <v>1</v>
      </c>
      <c r="AB385" s="40" t="s">
        <v>45</v>
      </c>
      <c r="AC385" s="40" t="s">
        <v>45</v>
      </c>
      <c r="AD385" s="40" t="s">
        <v>45</v>
      </c>
      <c r="AE385" s="40" t="s">
        <v>45</v>
      </c>
      <c r="AF385" s="40" t="s">
        <v>45</v>
      </c>
      <c r="AG385" s="41" t="s">
        <v>45</v>
      </c>
      <c r="AH385" s="40">
        <v>3</v>
      </c>
      <c r="AI385" s="40">
        <v>3</v>
      </c>
      <c r="AJ385" s="41">
        <v>5</v>
      </c>
      <c r="AK385" s="43" t="s">
        <v>556</v>
      </c>
      <c r="AL385" s="43"/>
      <c r="AM385" s="44">
        <f t="shared" si="36"/>
        <v>-1.8605124261753858</v>
      </c>
      <c r="AN385" s="44">
        <f t="shared" si="37"/>
        <v>-0.73211805046452161</v>
      </c>
      <c r="AO385" s="45">
        <f t="shared" si="38"/>
        <v>0</v>
      </c>
      <c r="AP385" s="46">
        <f t="shared" si="39"/>
        <v>0</v>
      </c>
      <c r="AQ385" s="44">
        <f>($AM$3*AM385+$AN$3*AN385+$AO$3*AO385+$AP$3*AP385)+$I$3*VLOOKUP(I385,COND!$A$2:$E$7,4,FALSE)+$J$3*VLOOKUP(J385,COND!$A$2:$C$7,2,FALSE)+$K$3*VLOOKUP(K385,COND!$A$2:$C$7,3,FALSE)+IF(AND($B$2&gt;0,$E385&lt;20),$B$2*25,0)</f>
        <v>41.0285321518082</v>
      </c>
      <c r="AR385" s="47">
        <f t="shared" si="40"/>
        <v>-0.68804643531870568</v>
      </c>
      <c r="AS385" s="45" t="str">
        <f t="shared" si="41"/>
        <v>1B</v>
      </c>
      <c r="AT385" s="45">
        <f>RANK(Batters[[#This Row],[zScore]],Batters[[#All],[zScore]])</f>
        <v>381</v>
      </c>
      <c r="AU385" s="45"/>
      <c r="AV385" s="45"/>
      <c r="AW385" s="45" t="str">
        <f t="shared" si="42"/>
        <v>Unlikely</v>
      </c>
      <c r="AX385" s="45"/>
      <c r="AY385" s="64" t="str">
        <f>INDEX(Table5[[#All],[Ovr]],MATCH(Batters[[#This Row],[PID]],Table5[[#All],[PID]],0))</f>
        <v/>
      </c>
      <c r="AZ385" s="64" t="str">
        <f>INDEX(Table5[[#All],[Rnd]],MATCH(Batters[[#This Row],[PID]],Table5[[#All],[PID]],0))</f>
        <v/>
      </c>
      <c r="BA385" s="64" t="str">
        <f>INDEX(Table5[[#All],[Pick]],MATCH(Batters[[#This Row],[PID]],Table5[[#All],[PID]],0))</f>
        <v/>
      </c>
      <c r="BB385" s="64" t="str">
        <f>INDEX(Table5[[#All],[Team]],MATCH(Batters[[#This Row],[PID]],Table5[[#All],[PID]],0))</f>
        <v/>
      </c>
    </row>
    <row r="386" spans="1:54" ht="15" customHeight="1" x14ac:dyDescent="0.25">
      <c r="A386" s="40">
        <v>21091</v>
      </c>
      <c r="B386" s="40" t="s">
        <v>71</v>
      </c>
      <c r="C386" s="40" t="s">
        <v>146</v>
      </c>
      <c r="D386" s="40" t="s">
        <v>1683</v>
      </c>
      <c r="E386" s="40">
        <v>18</v>
      </c>
      <c r="F386" s="40" t="s">
        <v>42</v>
      </c>
      <c r="G386" s="40" t="s">
        <v>42</v>
      </c>
      <c r="H386" s="41" t="s">
        <v>639</v>
      </c>
      <c r="I386" s="65" t="s">
        <v>43</v>
      </c>
      <c r="J386" s="66" t="s">
        <v>43</v>
      </c>
      <c r="K386" s="67" t="s">
        <v>43</v>
      </c>
      <c r="L386" s="40">
        <v>1</v>
      </c>
      <c r="M386" s="40">
        <v>1</v>
      </c>
      <c r="N386" s="40">
        <v>2</v>
      </c>
      <c r="O386" s="40">
        <v>1</v>
      </c>
      <c r="P386" s="41">
        <v>1</v>
      </c>
      <c r="Q386" s="40">
        <v>3</v>
      </c>
      <c r="R386" s="40">
        <v>4</v>
      </c>
      <c r="S386" s="40">
        <v>2</v>
      </c>
      <c r="T386" s="40">
        <v>4</v>
      </c>
      <c r="U386" s="41">
        <v>6</v>
      </c>
      <c r="V386" s="40">
        <v>3</v>
      </c>
      <c r="W386" s="40">
        <v>2</v>
      </c>
      <c r="X386" s="40">
        <v>1</v>
      </c>
      <c r="Y386" s="41">
        <v>1</v>
      </c>
      <c r="Z386" s="40" t="s">
        <v>45</v>
      </c>
      <c r="AA386" s="40" t="s">
        <v>45</v>
      </c>
      <c r="AB386" s="40">
        <v>1</v>
      </c>
      <c r="AC386" s="40" t="s">
        <v>45</v>
      </c>
      <c r="AD386" s="40">
        <v>1</v>
      </c>
      <c r="AE386" s="40" t="s">
        <v>45</v>
      </c>
      <c r="AF386" s="40" t="s">
        <v>45</v>
      </c>
      <c r="AG386" s="41" t="s">
        <v>45</v>
      </c>
      <c r="AH386" s="40">
        <v>4</v>
      </c>
      <c r="AI386" s="40">
        <v>2</v>
      </c>
      <c r="AJ386" s="41">
        <v>2</v>
      </c>
      <c r="AK386" s="43" t="s">
        <v>670</v>
      </c>
      <c r="AL386" s="43"/>
      <c r="AM386" s="44">
        <f t="shared" si="36"/>
        <v>-2.0012818558036707</v>
      </c>
      <c r="AN386" s="44">
        <f t="shared" si="37"/>
        <v>-0.73378019542805017</v>
      </c>
      <c r="AO386" s="45">
        <f t="shared" si="38"/>
        <v>0</v>
      </c>
      <c r="AP386" s="46">
        <f t="shared" si="39"/>
        <v>0</v>
      </c>
      <c r="AQ386" s="44">
        <f>($AM$3*AM386+$AN$3*AN386+$AO$3*AO386+$AP$3*AP386)+$I$3*VLOOKUP(I386,COND!$A$2:$E$7,4,FALSE)+$J$3*VLOOKUP(J386,COND!$A$2:$C$7,2,FALSE)+$K$3*VLOOKUP(K386,COND!$A$2:$C$7,3,FALSE)+IF(AND($B$2&gt;0,$E386&lt;20),$B$2*25,0)</f>
        <v>40.994509469283031</v>
      </c>
      <c r="AR386" s="47">
        <f t="shared" si="40"/>
        <v>-0.69558949400652648</v>
      </c>
      <c r="AS386" s="45" t="str">
        <f t="shared" si="41"/>
        <v>2B</v>
      </c>
      <c r="AT386" s="45">
        <f>RANK(Batters[[#This Row],[zScore]],Batters[[#All],[zScore]])</f>
        <v>382</v>
      </c>
      <c r="AU386" s="45"/>
      <c r="AV386" s="45"/>
      <c r="AW386" s="45" t="str">
        <f t="shared" si="42"/>
        <v>Unlikely</v>
      </c>
      <c r="AX386" s="45"/>
      <c r="AY386" s="64">
        <f>INDEX(Table5[[#All],[Ovr]],MATCH(Batters[[#This Row],[PID]],Table5[[#All],[PID]],0))</f>
        <v>580</v>
      </c>
      <c r="AZ386" s="64" t="str">
        <f>INDEX(Table5[[#All],[Rnd]],MATCH(Batters[[#This Row],[PID]],Table5[[#All],[PID]],0))</f>
        <v>20</v>
      </c>
      <c r="BA386" s="64">
        <f>INDEX(Table5[[#All],[Pick]],MATCH(Batters[[#This Row],[PID]],Table5[[#All],[PID]],0))</f>
        <v>2</v>
      </c>
      <c r="BB386" s="64" t="str">
        <f>INDEX(Table5[[#All],[Team]],MATCH(Batters[[#This Row],[PID]],Table5[[#All],[PID]],0))</f>
        <v>Charleston Statesmen</v>
      </c>
    </row>
    <row r="387" spans="1:54" ht="15" customHeight="1" x14ac:dyDescent="0.25">
      <c r="A387" s="40">
        <v>20793</v>
      </c>
      <c r="B387" s="40" t="s">
        <v>66</v>
      </c>
      <c r="C387" s="40" t="s">
        <v>144</v>
      </c>
      <c r="D387" s="40" t="s">
        <v>149</v>
      </c>
      <c r="E387" s="40">
        <v>16</v>
      </c>
      <c r="F387" s="40" t="s">
        <v>42</v>
      </c>
      <c r="G387" s="40" t="s">
        <v>42</v>
      </c>
      <c r="H387" s="41" t="s">
        <v>639</v>
      </c>
      <c r="I387" s="65" t="s">
        <v>43</v>
      </c>
      <c r="J387" s="66" t="s">
        <v>44</v>
      </c>
      <c r="K387" s="67" t="s">
        <v>43</v>
      </c>
      <c r="L387" s="40">
        <v>1</v>
      </c>
      <c r="M387" s="40">
        <v>1</v>
      </c>
      <c r="N387" s="40">
        <v>2</v>
      </c>
      <c r="O387" s="40">
        <v>2</v>
      </c>
      <c r="P387" s="41">
        <v>1</v>
      </c>
      <c r="Q387" s="40">
        <v>3</v>
      </c>
      <c r="R387" s="40">
        <v>4</v>
      </c>
      <c r="S387" s="40">
        <v>2</v>
      </c>
      <c r="T387" s="40">
        <v>5</v>
      </c>
      <c r="U387" s="41">
        <v>4</v>
      </c>
      <c r="V387" s="40">
        <v>9</v>
      </c>
      <c r="W387" s="40">
        <v>9</v>
      </c>
      <c r="X387" s="40">
        <v>1</v>
      </c>
      <c r="Y387" s="41">
        <v>1</v>
      </c>
      <c r="Z387" s="40" t="s">
        <v>45</v>
      </c>
      <c r="AA387" s="40" t="s">
        <v>45</v>
      </c>
      <c r="AB387" s="40" t="s">
        <v>45</v>
      </c>
      <c r="AC387" s="40">
        <v>2</v>
      </c>
      <c r="AD387" s="40" t="s">
        <v>45</v>
      </c>
      <c r="AE387" s="40" t="s">
        <v>45</v>
      </c>
      <c r="AF387" s="40">
        <v>1</v>
      </c>
      <c r="AG387" s="41">
        <v>1</v>
      </c>
      <c r="AH387" s="40">
        <v>8</v>
      </c>
      <c r="AI387" s="40">
        <v>3</v>
      </c>
      <c r="AJ387" s="41">
        <v>4</v>
      </c>
      <c r="AK387" s="43" t="s">
        <v>644</v>
      </c>
      <c r="AL387" s="43"/>
      <c r="AM387" s="44">
        <f t="shared" si="36"/>
        <v>-1.9115723057940897</v>
      </c>
      <c r="AN387" s="44">
        <f t="shared" si="37"/>
        <v>-0.72410332505263597</v>
      </c>
      <c r="AO387" s="45">
        <f t="shared" si="38"/>
        <v>1</v>
      </c>
      <c r="AP387" s="46">
        <f t="shared" si="39"/>
        <v>0</v>
      </c>
      <c r="AQ387" s="44">
        <f>($AM$3*AM387+$AN$3*AN387+$AO$3*AO387+$AP$3*AP387)+$I$3*VLOOKUP(I387,COND!$A$2:$E$7,4,FALSE)+$J$3*VLOOKUP(J387,COND!$A$2:$C$7,2,FALSE)+$K$3*VLOOKUP(K387,COND!$A$2:$C$7,3,FALSE)+IF(AND($B$2&gt;0,$E387&lt;20),$B$2*25,0)</f>
        <v>40.986269535455627</v>
      </c>
      <c r="AR387" s="47">
        <f t="shared" si="40"/>
        <v>-0.69741634303284561</v>
      </c>
      <c r="AS387" s="45" t="str">
        <f t="shared" si="41"/>
        <v>3B</v>
      </c>
      <c r="AT387" s="45">
        <f>RANK(Batters[[#This Row],[zScore]],Batters[[#All],[zScore]])</f>
        <v>383</v>
      </c>
      <c r="AU387" s="45"/>
      <c r="AV387" s="45"/>
      <c r="AW387" s="45" t="str">
        <f t="shared" si="42"/>
        <v>Unlikely</v>
      </c>
      <c r="AX387" s="45"/>
      <c r="AY387" s="64" t="str">
        <f>INDEX(Table5[[#All],[Ovr]],MATCH(Batters[[#This Row],[PID]],Table5[[#All],[PID]],0))</f>
        <v/>
      </c>
      <c r="AZ387" s="64" t="str">
        <f>INDEX(Table5[[#All],[Rnd]],MATCH(Batters[[#This Row],[PID]],Table5[[#All],[PID]],0))</f>
        <v/>
      </c>
      <c r="BA387" s="64" t="str">
        <f>INDEX(Table5[[#All],[Pick]],MATCH(Batters[[#This Row],[PID]],Table5[[#All],[PID]],0))</f>
        <v/>
      </c>
      <c r="BB387" s="64" t="str">
        <f>INDEX(Table5[[#All],[Team]],MATCH(Batters[[#This Row],[PID]],Table5[[#All],[PID]],0))</f>
        <v/>
      </c>
    </row>
    <row r="388" spans="1:54" ht="15" customHeight="1" x14ac:dyDescent="0.25">
      <c r="A388" s="40">
        <v>21024</v>
      </c>
      <c r="B388" s="40" t="s">
        <v>87</v>
      </c>
      <c r="C388" s="40" t="s">
        <v>1550</v>
      </c>
      <c r="D388" s="40" t="s">
        <v>1551</v>
      </c>
      <c r="E388" s="40">
        <v>17</v>
      </c>
      <c r="F388" s="40" t="s">
        <v>42</v>
      </c>
      <c r="G388" s="40" t="s">
        <v>42</v>
      </c>
      <c r="H388" s="41" t="s">
        <v>638</v>
      </c>
      <c r="I388" s="65" t="s">
        <v>43</v>
      </c>
      <c r="J388" s="66" t="s">
        <v>44</v>
      </c>
      <c r="K388" s="67" t="s">
        <v>44</v>
      </c>
      <c r="L388" s="40">
        <v>1</v>
      </c>
      <c r="M388" s="40">
        <v>2</v>
      </c>
      <c r="N388" s="40">
        <v>3</v>
      </c>
      <c r="O388" s="40">
        <v>2</v>
      </c>
      <c r="P388" s="41">
        <v>1</v>
      </c>
      <c r="Q388" s="40">
        <v>2</v>
      </c>
      <c r="R388" s="40">
        <v>6</v>
      </c>
      <c r="S388" s="40">
        <v>6</v>
      </c>
      <c r="T388" s="40">
        <v>5</v>
      </c>
      <c r="U388" s="41">
        <v>2</v>
      </c>
      <c r="V388" s="40">
        <v>3</v>
      </c>
      <c r="W388" s="40">
        <v>6</v>
      </c>
      <c r="X388" s="40">
        <v>1</v>
      </c>
      <c r="Y388" s="41">
        <v>1</v>
      </c>
      <c r="Z388" s="40" t="s">
        <v>45</v>
      </c>
      <c r="AA388" s="40">
        <v>2</v>
      </c>
      <c r="AB388" s="40" t="s">
        <v>45</v>
      </c>
      <c r="AC388" s="40" t="s">
        <v>45</v>
      </c>
      <c r="AD388" s="40" t="s">
        <v>45</v>
      </c>
      <c r="AE388" s="40">
        <v>1</v>
      </c>
      <c r="AF388" s="40" t="s">
        <v>45</v>
      </c>
      <c r="AG388" s="41">
        <v>1</v>
      </c>
      <c r="AH388" s="40">
        <v>4</v>
      </c>
      <c r="AI388" s="40">
        <v>5</v>
      </c>
      <c r="AJ388" s="41">
        <v>4</v>
      </c>
      <c r="AK388" s="43" t="s">
        <v>654</v>
      </c>
      <c r="AL388" s="43" t="s">
        <v>635</v>
      </c>
      <c r="AM388" s="44">
        <f t="shared" si="36"/>
        <v>-1.7774509321514844</v>
      </c>
      <c r="AN388" s="44">
        <f t="shared" si="37"/>
        <v>-0.69232610555646479</v>
      </c>
      <c r="AO388" s="45">
        <f t="shared" si="38"/>
        <v>0</v>
      </c>
      <c r="AP388" s="46">
        <f t="shared" si="39"/>
        <v>0</v>
      </c>
      <c r="AQ388" s="44">
        <f>($AM$3*AM388+$AN$3*AN388+$AO$3*AO388+$AP$3*AP388)+$I$3*VLOOKUP(I388,COND!$A$2:$E$7,4,FALSE)+$J$3*VLOOKUP(J388,COND!$A$2:$C$7,2,FALSE)+$K$3*VLOOKUP(K388,COND!$A$2:$C$7,3,FALSE)+IF(AND($B$2&gt;0,$E388&lt;20),$B$2*25,0)</f>
        <v>40.914341640107267</v>
      </c>
      <c r="AR388" s="47">
        <f t="shared" si="40"/>
        <v>-0.71336324361902781</v>
      </c>
      <c r="AS388" s="45" t="str">
        <f t="shared" si="41"/>
        <v>RF</v>
      </c>
      <c r="AT388" s="45">
        <f>RANK(Batters[[#This Row],[zScore]],Batters[[#All],[zScore]])</f>
        <v>384</v>
      </c>
      <c r="AU388" s="45"/>
      <c r="AV388" s="45"/>
      <c r="AW388" s="45" t="str">
        <f t="shared" si="42"/>
        <v>Unlikely</v>
      </c>
      <c r="AX388" s="45"/>
      <c r="AY388" s="45">
        <f>INDEX(Table5[[#All],[Ovr]],MATCH(Batters[[#This Row],[PID]],Table5[[#All],[PID]],0))</f>
        <v>511</v>
      </c>
      <c r="AZ388" s="45" t="str">
        <f>INDEX(Table5[[#All],[Rnd]],MATCH(Batters[[#This Row],[PID]],Table5[[#All],[PID]],0))</f>
        <v>17</v>
      </c>
      <c r="BA388" s="45">
        <f>INDEX(Table5[[#All],[Pick]],MATCH(Batters[[#This Row],[PID]],Table5[[#All],[PID]],0))</f>
        <v>23</v>
      </c>
      <c r="BB388" s="45" t="str">
        <f>INDEX(Table5[[#All],[Team]],MATCH(Batters[[#This Row],[PID]],Table5[[#All],[PID]],0))</f>
        <v>Shin Seiki Evas</v>
      </c>
    </row>
    <row r="389" spans="1:54" ht="15" customHeight="1" x14ac:dyDescent="0.25">
      <c r="A389" s="40">
        <v>18024</v>
      </c>
      <c r="B389" s="40" t="s">
        <v>72</v>
      </c>
      <c r="C389" s="40" t="s">
        <v>123</v>
      </c>
      <c r="D389" s="40" t="s">
        <v>687</v>
      </c>
      <c r="E389" s="40">
        <v>21</v>
      </c>
      <c r="F389" s="40" t="s">
        <v>42</v>
      </c>
      <c r="G389" s="40" t="s">
        <v>42</v>
      </c>
      <c r="H389" s="41" t="s">
        <v>638</v>
      </c>
      <c r="I389" s="65" t="s">
        <v>44</v>
      </c>
      <c r="J389" s="66" t="s">
        <v>44</v>
      </c>
      <c r="K389" s="67" t="s">
        <v>43</v>
      </c>
      <c r="L389" s="40">
        <v>2</v>
      </c>
      <c r="M389" s="40">
        <v>3</v>
      </c>
      <c r="N389" s="40">
        <v>2</v>
      </c>
      <c r="O389" s="40">
        <v>3</v>
      </c>
      <c r="P389" s="41">
        <v>2</v>
      </c>
      <c r="Q389" s="40">
        <v>4</v>
      </c>
      <c r="R389" s="40">
        <v>4</v>
      </c>
      <c r="S389" s="40">
        <v>2</v>
      </c>
      <c r="T389" s="40">
        <v>5</v>
      </c>
      <c r="U389" s="41">
        <v>5</v>
      </c>
      <c r="V389" s="40">
        <v>4</v>
      </c>
      <c r="W389" s="40">
        <v>3</v>
      </c>
      <c r="X389" s="40">
        <v>1</v>
      </c>
      <c r="Y389" s="41">
        <v>1</v>
      </c>
      <c r="Z389" s="40" t="s">
        <v>45</v>
      </c>
      <c r="AA389" s="40" t="s">
        <v>45</v>
      </c>
      <c r="AB389" s="40">
        <v>2</v>
      </c>
      <c r="AC389" s="40" t="s">
        <v>45</v>
      </c>
      <c r="AD389" s="40">
        <v>4</v>
      </c>
      <c r="AE389" s="40" t="s">
        <v>45</v>
      </c>
      <c r="AF389" s="40" t="s">
        <v>45</v>
      </c>
      <c r="AG389" s="41" t="s">
        <v>45</v>
      </c>
      <c r="AH389" s="40">
        <v>8</v>
      </c>
      <c r="AI389" s="40">
        <v>8</v>
      </c>
      <c r="AJ389" s="41">
        <v>9</v>
      </c>
      <c r="AK389" s="43" t="s">
        <v>45</v>
      </c>
      <c r="AL389" s="43" t="s">
        <v>47</v>
      </c>
      <c r="AM389" s="44">
        <f t="shared" ref="AM389:AM452" si="43">($L$3*(L389-$Q$1)/$Q$2+$M$3*(M389-$R$1)/$R$2+$N$3*(N389-$S$1)/$S$2+$O$3*(O389-$T$1)/$T$2+$P$3*(P389-$U$1)/$U$2)/(SUM($L$3:$P$3))</f>
        <v>-1.3571708205273432</v>
      </c>
      <c r="AN389" s="44">
        <f t="shared" ref="AN389:AN452" si="44">($L$3*(Q389-$Q$1)/$Q$2+$M$3*(R389-$R$1)/$R$2+$N$3*(S389-$S$1)/$S$2+$O$3*(T389-$T$1)/$T$2+$P$3*(U389-$U$1)/$U$2)/(SUM($L$3:$P$3))</f>
        <v>-0.36153114903287792</v>
      </c>
      <c r="AO389" s="45">
        <f t="shared" ref="AO389:AO452" si="45">IF(AVERAGE(AH389:AI389)&gt;9,1,0)+IF(AVERAGE(AH389:AI389)&gt;7,1,0)+IF(AH389&gt;7,1,0)+IF(AI389&gt;7,1,0)+IF(AJ389&gt;8,1,0)+IF(AJ389&gt;6,1,0)</f>
        <v>5</v>
      </c>
      <c r="AP389" s="46">
        <f t="shared" ref="AP389:AP452" si="46">MIN(2,IF(OR(Z389="-",X389&lt;5),0,1+IF(Y389&gt;7,0.35,IF(Y389&gt;5,0.1,0))+IF(Z389&gt;7,1+IF(X389&gt;7,0.25,0),IF(Z389&gt;4,0.5+IF(X389&gt;7,0.25,0),0+IF(X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</v>
      </c>
      <c r="AQ389" s="44">
        <f>($AM$3*AM389+$AN$3*AN389+$AO$3*AO389+$AP$3*AP389)+$I$3*VLOOKUP(I389,COND!$A$2:$E$7,4,FALSE)+$J$3*VLOOKUP(J389,COND!$A$2:$C$7,2,FALSE)+$K$3*VLOOKUP(K389,COND!$A$2:$C$7,3,FALSE)+IF(AND($B$2&gt;0,$E389&lt;20),$B$2*25,0)</f>
        <v>40.909242462886063</v>
      </c>
      <c r="AR389" s="47">
        <f t="shared" ref="AR389:AR452" si="47">STANDARDIZE(AQ389,AVERAGE($AQ$5:$AQ$534),STDEVP($AQ$5:$AQ$534))</f>
        <v>-0.71449376567620804</v>
      </c>
      <c r="AS389" s="45" t="str">
        <f t="shared" ref="AS389:AS452" si="48">IF(AND(Z389&lt;&gt;"-",Y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SS</v>
      </c>
      <c r="AT389" s="45">
        <f>RANK(Batters[[#This Row],[zScore]],Batters[[#All],[zScore]])</f>
        <v>385</v>
      </c>
      <c r="AU389" s="45"/>
      <c r="AV389" s="45"/>
      <c r="AW389" s="45" t="str">
        <f t="shared" ref="AW389:AW452" si="49">IF(AND($Q389&gt;=6,AVERAGE($S389:$T389)&gt;=6),"Likely",IF(OR($Q389&gt;6,AND($Q389=6,AVERAGE($S389:$T389)&gt;=3),AND($Q389&gt;=5,AVERAGE($S389:$T389)&gt;=5),AVERAGE($Q389,$S389:$T389)&gt;5),"Possible","Unlikely"))</f>
        <v>Unlikely</v>
      </c>
      <c r="AX389" s="45"/>
      <c r="AY389" s="45">
        <f>INDEX(Table5[[#All],[Ovr]],MATCH(Batters[[#This Row],[PID]],Table5[[#All],[PID]],0))</f>
        <v>422</v>
      </c>
      <c r="AZ389" s="45" t="str">
        <f>INDEX(Table5[[#All],[Rnd]],MATCH(Batters[[#This Row],[PID]],Table5[[#All],[PID]],0))</f>
        <v>14</v>
      </c>
      <c r="BA389" s="45">
        <f>INDEX(Table5[[#All],[Pick]],MATCH(Batters[[#This Row],[PID]],Table5[[#All],[PID]],0))</f>
        <v>24</v>
      </c>
      <c r="BB389" s="45" t="str">
        <f>INDEX(Table5[[#All],[Team]],MATCH(Batters[[#This Row],[PID]],Table5[[#All],[PID]],0))</f>
        <v>Aurora Borealis</v>
      </c>
    </row>
    <row r="390" spans="1:54" ht="15" customHeight="1" x14ac:dyDescent="0.25">
      <c r="A390" s="40">
        <v>18294</v>
      </c>
      <c r="B390" s="40" t="s">
        <v>72</v>
      </c>
      <c r="C390" s="40" t="s">
        <v>1282</v>
      </c>
      <c r="D390" s="40" t="s">
        <v>1283</v>
      </c>
      <c r="E390" s="40">
        <v>21</v>
      </c>
      <c r="F390" s="40" t="s">
        <v>42</v>
      </c>
      <c r="G390" s="40" t="s">
        <v>42</v>
      </c>
      <c r="H390" s="41" t="s">
        <v>634</v>
      </c>
      <c r="I390" s="65" t="s">
        <v>43</v>
      </c>
      <c r="J390" s="66" t="s">
        <v>43</v>
      </c>
      <c r="K390" s="67" t="s">
        <v>43</v>
      </c>
      <c r="L390" s="40">
        <v>2</v>
      </c>
      <c r="M390" s="40">
        <v>4</v>
      </c>
      <c r="N390" s="40">
        <v>4</v>
      </c>
      <c r="O390" s="40">
        <v>3</v>
      </c>
      <c r="P390" s="41">
        <v>1</v>
      </c>
      <c r="Q390" s="40">
        <v>3</v>
      </c>
      <c r="R390" s="40">
        <v>4</v>
      </c>
      <c r="S390" s="40">
        <v>6</v>
      </c>
      <c r="T390" s="40">
        <v>5</v>
      </c>
      <c r="U390" s="41">
        <v>3</v>
      </c>
      <c r="V390" s="40">
        <v>6</v>
      </c>
      <c r="W390" s="40">
        <v>5</v>
      </c>
      <c r="X390" s="40">
        <v>1</v>
      </c>
      <c r="Y390" s="41">
        <v>1</v>
      </c>
      <c r="Z390" s="40" t="s">
        <v>45</v>
      </c>
      <c r="AA390" s="40" t="s">
        <v>45</v>
      </c>
      <c r="AB390" s="40" t="s">
        <v>45</v>
      </c>
      <c r="AC390" s="40" t="s">
        <v>45</v>
      </c>
      <c r="AD390" s="40">
        <v>6</v>
      </c>
      <c r="AE390" s="40" t="s">
        <v>45</v>
      </c>
      <c r="AF390" s="40" t="s">
        <v>45</v>
      </c>
      <c r="AG390" s="41" t="s">
        <v>45</v>
      </c>
      <c r="AH390" s="40">
        <v>8</v>
      </c>
      <c r="AI390" s="40">
        <v>2</v>
      </c>
      <c r="AJ390" s="41">
        <v>2</v>
      </c>
      <c r="AK390" s="43" t="s">
        <v>643</v>
      </c>
      <c r="AL390" s="43" t="s">
        <v>47</v>
      </c>
      <c r="AM390" s="44">
        <f t="shared" si="43"/>
        <v>-1.1800042926779204</v>
      </c>
      <c r="AN390" s="44">
        <f t="shared" si="44"/>
        <v>-0.43187368877411353</v>
      </c>
      <c r="AO390" s="45">
        <f t="shared" si="45"/>
        <v>1</v>
      </c>
      <c r="AP390" s="46">
        <f t="shared" si="46"/>
        <v>1</v>
      </c>
      <c r="AQ390" s="44">
        <f>($AM$3*AM390+$AN$3*AN390+$AO$3*AO390+$AP$3*AP390)+$I$3*VLOOKUP(I390,COND!$A$2:$E$7,4,FALSE)+$J$3*VLOOKUP(J390,COND!$A$2:$C$7,2,FALSE)+$K$3*VLOOKUP(K390,COND!$A$2:$C$7,3,FALSE)+IF(AND($B$2&gt;0,$E390&lt;20),$B$2*25,0)</f>
        <v>40.866181972109516</v>
      </c>
      <c r="AR390" s="47">
        <f t="shared" si="47"/>
        <v>-0.72404056754327351</v>
      </c>
      <c r="AS390" s="45" t="str">
        <f t="shared" si="48"/>
        <v>SS</v>
      </c>
      <c r="AT390" s="45">
        <f>RANK(Batters[[#This Row],[zScore]],Batters[[#All],[zScore]])</f>
        <v>386</v>
      </c>
      <c r="AU390" s="45"/>
      <c r="AV390" s="45"/>
      <c r="AW390" s="45" t="str">
        <f t="shared" si="49"/>
        <v>Unlikely</v>
      </c>
      <c r="AX390" s="45"/>
      <c r="AY390" s="45">
        <f>INDEX(Table5[[#All],[Ovr]],MATCH(Batters[[#This Row],[PID]],Table5[[#All],[PID]],0))</f>
        <v>213</v>
      </c>
      <c r="AZ390" s="45" t="str">
        <f>INDEX(Table5[[#All],[Rnd]],MATCH(Batters[[#This Row],[PID]],Table5[[#All],[PID]],0))</f>
        <v>7</v>
      </c>
      <c r="BA390" s="45">
        <f>INDEX(Table5[[#All],[Pick]],MATCH(Batters[[#This Row],[PID]],Table5[[#All],[PID]],0))</f>
        <v>25</v>
      </c>
      <c r="BB390" s="45" t="str">
        <f>INDEX(Table5[[#All],[Team]],MATCH(Batters[[#This Row],[PID]],Table5[[#All],[PID]],0))</f>
        <v>Toyama Wind Dancers</v>
      </c>
    </row>
    <row r="391" spans="1:54" ht="15" customHeight="1" x14ac:dyDescent="0.25">
      <c r="A391" s="40">
        <v>17573</v>
      </c>
      <c r="B391" s="40" t="s">
        <v>86</v>
      </c>
      <c r="C391" s="40" t="s">
        <v>210</v>
      </c>
      <c r="D391" s="40" t="s">
        <v>1407</v>
      </c>
      <c r="E391" s="40">
        <v>18</v>
      </c>
      <c r="F391" s="40" t="s">
        <v>42</v>
      </c>
      <c r="G391" s="40" t="s">
        <v>42</v>
      </c>
      <c r="H391" s="41" t="s">
        <v>638</v>
      </c>
      <c r="I391" s="65" t="s">
        <v>43</v>
      </c>
      <c r="J391" s="66" t="s">
        <v>47</v>
      </c>
      <c r="K391" s="67" t="s">
        <v>43</v>
      </c>
      <c r="L391" s="40">
        <v>1</v>
      </c>
      <c r="M391" s="40">
        <v>1</v>
      </c>
      <c r="N391" s="40">
        <v>2</v>
      </c>
      <c r="O391" s="40">
        <v>1</v>
      </c>
      <c r="P391" s="41">
        <v>1</v>
      </c>
      <c r="Q391" s="40">
        <v>3</v>
      </c>
      <c r="R391" s="40">
        <v>4</v>
      </c>
      <c r="S391" s="40">
        <v>3</v>
      </c>
      <c r="T391" s="40">
        <v>4</v>
      </c>
      <c r="U391" s="41">
        <v>3</v>
      </c>
      <c r="V391" s="40">
        <v>4</v>
      </c>
      <c r="W391" s="40">
        <v>4</v>
      </c>
      <c r="X391" s="40">
        <v>7</v>
      </c>
      <c r="Y391" s="41">
        <v>6</v>
      </c>
      <c r="Z391" s="40" t="s">
        <v>45</v>
      </c>
      <c r="AA391" s="40" t="s">
        <v>45</v>
      </c>
      <c r="AB391" s="40" t="s">
        <v>45</v>
      </c>
      <c r="AC391" s="40" t="s">
        <v>45</v>
      </c>
      <c r="AD391" s="40" t="s">
        <v>45</v>
      </c>
      <c r="AE391" s="40" t="s">
        <v>45</v>
      </c>
      <c r="AF391" s="40" t="s">
        <v>45</v>
      </c>
      <c r="AG391" s="41" t="s">
        <v>45</v>
      </c>
      <c r="AH391" s="40">
        <v>1</v>
      </c>
      <c r="AI391" s="40">
        <v>1</v>
      </c>
      <c r="AJ391" s="41">
        <v>3</v>
      </c>
      <c r="AK391" s="43" t="s">
        <v>659</v>
      </c>
      <c r="AL391" s="43" t="s">
        <v>47</v>
      </c>
      <c r="AM391" s="44">
        <f t="shared" si="43"/>
        <v>-2.0012818558036707</v>
      </c>
      <c r="AN391" s="44">
        <f t="shared" si="44"/>
        <v>-0.77076772085539913</v>
      </c>
      <c r="AO391" s="45">
        <f t="shared" si="45"/>
        <v>0</v>
      </c>
      <c r="AP391" s="46">
        <f t="shared" si="46"/>
        <v>0</v>
      </c>
      <c r="AQ391" s="44">
        <f>($AM$3*AM391+$AN$3*AN391+$AO$3*AO391+$AP$3*AP391)+$I$3*VLOOKUP(I391,COND!$A$2:$E$7,4,FALSE)+$J$3*VLOOKUP(J391,COND!$A$2:$C$7,2,FALSE)+$K$3*VLOOKUP(K391,COND!$A$2:$C$7,3,FALSE)+IF(AND($B$2&gt;0,$E391&lt;20),$B$2*25,0)</f>
        <v>40.850659164154848</v>
      </c>
      <c r="AR391" s="47">
        <f t="shared" si="47"/>
        <v>-0.72748207899126727</v>
      </c>
      <c r="AS391" s="45" t="str">
        <f t="shared" si="48"/>
        <v>DH</v>
      </c>
      <c r="AT391" s="45">
        <f>RANK(Batters[[#This Row],[zScore]],Batters[[#All],[zScore]])</f>
        <v>387</v>
      </c>
      <c r="AU391" s="45"/>
      <c r="AV391" s="45"/>
      <c r="AW391" s="45" t="str">
        <f t="shared" si="49"/>
        <v>Unlikely</v>
      </c>
      <c r="AX391" s="45"/>
      <c r="AY391" s="45" t="str">
        <f>INDEX(Table5[[#All],[Ovr]],MATCH(Batters[[#This Row],[PID]],Table5[[#All],[PID]],0))</f>
        <v/>
      </c>
      <c r="AZ391" s="45" t="str">
        <f>INDEX(Table5[[#All],[Rnd]],MATCH(Batters[[#This Row],[PID]],Table5[[#All],[PID]],0))</f>
        <v/>
      </c>
      <c r="BA391" s="45" t="str">
        <f>INDEX(Table5[[#All],[Pick]],MATCH(Batters[[#This Row],[PID]],Table5[[#All],[PID]],0))</f>
        <v/>
      </c>
      <c r="BB391" s="45" t="str">
        <f>INDEX(Table5[[#All],[Team]],MATCH(Batters[[#This Row],[PID]],Table5[[#All],[PID]],0))</f>
        <v/>
      </c>
    </row>
    <row r="392" spans="1:54" ht="15" customHeight="1" x14ac:dyDescent="0.25">
      <c r="A392" s="40">
        <v>12045</v>
      </c>
      <c r="B392" s="40" t="s">
        <v>66</v>
      </c>
      <c r="C392" s="40" t="s">
        <v>142</v>
      </c>
      <c r="D392" s="40" t="s">
        <v>808</v>
      </c>
      <c r="E392" s="40">
        <v>22</v>
      </c>
      <c r="F392" s="40" t="s">
        <v>53</v>
      </c>
      <c r="G392" s="40" t="s">
        <v>53</v>
      </c>
      <c r="H392" s="41" t="s">
        <v>638</v>
      </c>
      <c r="I392" s="65" t="s">
        <v>43</v>
      </c>
      <c r="J392" s="66" t="s">
        <v>43</v>
      </c>
      <c r="K392" s="67" t="s">
        <v>44</v>
      </c>
      <c r="L392" s="40">
        <v>2</v>
      </c>
      <c r="M392" s="40">
        <v>2</v>
      </c>
      <c r="N392" s="40">
        <v>3</v>
      </c>
      <c r="O392" s="40">
        <v>2</v>
      </c>
      <c r="P392" s="41">
        <v>1</v>
      </c>
      <c r="Q392" s="40">
        <v>4</v>
      </c>
      <c r="R392" s="40">
        <v>4</v>
      </c>
      <c r="S392" s="40">
        <v>4</v>
      </c>
      <c r="T392" s="40">
        <v>4</v>
      </c>
      <c r="U392" s="41">
        <v>3</v>
      </c>
      <c r="V392" s="40">
        <v>8</v>
      </c>
      <c r="W392" s="40">
        <v>9</v>
      </c>
      <c r="X392" s="40">
        <v>1</v>
      </c>
      <c r="Y392" s="41">
        <v>1</v>
      </c>
      <c r="Z392" s="40" t="s">
        <v>45</v>
      </c>
      <c r="AA392" s="40" t="s">
        <v>45</v>
      </c>
      <c r="AB392" s="40" t="s">
        <v>45</v>
      </c>
      <c r="AC392" s="40" t="s">
        <v>45</v>
      </c>
      <c r="AD392" s="40" t="s">
        <v>45</v>
      </c>
      <c r="AE392" s="40" t="s">
        <v>45</v>
      </c>
      <c r="AF392" s="40" t="s">
        <v>45</v>
      </c>
      <c r="AG392" s="41">
        <v>6</v>
      </c>
      <c r="AH392" s="40">
        <v>4</v>
      </c>
      <c r="AI392" s="40">
        <v>2</v>
      </c>
      <c r="AJ392" s="41">
        <v>1</v>
      </c>
      <c r="AK392" s="43" t="s">
        <v>45</v>
      </c>
      <c r="AL392" s="43" t="s">
        <v>47</v>
      </c>
      <c r="AM392" s="44">
        <f t="shared" si="43"/>
        <v>-1.4548950959488096</v>
      </c>
      <c r="AN392" s="44">
        <f t="shared" si="44"/>
        <v>-0.36515039062882282</v>
      </c>
      <c r="AO392" s="45">
        <f t="shared" si="45"/>
        <v>0</v>
      </c>
      <c r="AP392" s="46">
        <f t="shared" si="46"/>
        <v>0.65</v>
      </c>
      <c r="AQ392" s="44">
        <f>($AM$3*AM392+$AN$3*AN392+$AO$3*AO392+$AP$3*AP392)+$I$3*VLOOKUP(I392,COND!$A$2:$E$7,4,FALSE)+$J$3*VLOOKUP(J392,COND!$A$2:$C$7,2,FALSE)+$K$3*VLOOKUP(K392,COND!$A$2:$C$7,3,FALSE)+IF(AND($B$2&gt;0,$E392&lt;20),$B$2*25,0)</f>
        <v>40.822705802859247</v>
      </c>
      <c r="AR392" s="47">
        <f t="shared" si="47"/>
        <v>-0.73367952813768877</v>
      </c>
      <c r="AS392" s="45" t="str">
        <f t="shared" si="48"/>
        <v>RF</v>
      </c>
      <c r="AT392" s="45">
        <f>RANK(Batters[[#This Row],[zScore]],Batters[[#All],[zScore]])</f>
        <v>388</v>
      </c>
      <c r="AU392" s="45"/>
      <c r="AV392" s="45"/>
      <c r="AW392" s="45" t="str">
        <f t="shared" si="49"/>
        <v>Unlikely</v>
      </c>
      <c r="AX392" s="45"/>
      <c r="AY392" s="45" t="str">
        <f>INDEX(Table5[[#All],[Ovr]],MATCH(Batters[[#This Row],[PID]],Table5[[#All],[PID]],0))</f>
        <v/>
      </c>
      <c r="AZ392" s="45" t="str">
        <f>INDEX(Table5[[#All],[Rnd]],MATCH(Batters[[#This Row],[PID]],Table5[[#All],[PID]],0))</f>
        <v/>
      </c>
      <c r="BA392" s="45" t="str">
        <f>INDEX(Table5[[#All],[Pick]],MATCH(Batters[[#This Row],[PID]],Table5[[#All],[PID]],0))</f>
        <v/>
      </c>
      <c r="BB392" s="45" t="str">
        <f>INDEX(Table5[[#All],[Team]],MATCH(Batters[[#This Row],[PID]],Table5[[#All],[PID]],0))</f>
        <v/>
      </c>
    </row>
    <row r="393" spans="1:54" ht="15" customHeight="1" x14ac:dyDescent="0.25">
      <c r="A393" s="40">
        <v>18269</v>
      </c>
      <c r="B393" s="40" t="s">
        <v>87</v>
      </c>
      <c r="C393" s="40" t="s">
        <v>124</v>
      </c>
      <c r="D393" s="40" t="s">
        <v>131</v>
      </c>
      <c r="E393" s="40">
        <v>18</v>
      </c>
      <c r="F393" s="40" t="s">
        <v>62</v>
      </c>
      <c r="G393" s="40" t="s">
        <v>42</v>
      </c>
      <c r="H393" s="41" t="s">
        <v>647</v>
      </c>
      <c r="I393" s="65" t="s">
        <v>43</v>
      </c>
      <c r="J393" s="66" t="s">
        <v>43</v>
      </c>
      <c r="K393" s="67" t="s">
        <v>47</v>
      </c>
      <c r="L393" s="40">
        <v>1</v>
      </c>
      <c r="M393" s="40">
        <v>2</v>
      </c>
      <c r="N393" s="40">
        <v>2</v>
      </c>
      <c r="O393" s="40">
        <v>2</v>
      </c>
      <c r="P393" s="41">
        <v>1</v>
      </c>
      <c r="Q393" s="40">
        <v>3</v>
      </c>
      <c r="R393" s="40">
        <v>3</v>
      </c>
      <c r="S393" s="40">
        <v>2</v>
      </c>
      <c r="T393" s="40">
        <v>5</v>
      </c>
      <c r="U393" s="41">
        <v>4</v>
      </c>
      <c r="V393" s="40">
        <v>2</v>
      </c>
      <c r="W393" s="40">
        <v>2</v>
      </c>
      <c r="X393" s="40">
        <v>5</v>
      </c>
      <c r="Y393" s="41">
        <v>4</v>
      </c>
      <c r="Z393" s="40" t="s">
        <v>45</v>
      </c>
      <c r="AA393" s="40">
        <v>1</v>
      </c>
      <c r="AB393" s="40" t="s">
        <v>45</v>
      </c>
      <c r="AC393" s="40" t="s">
        <v>45</v>
      </c>
      <c r="AD393" s="40" t="s">
        <v>45</v>
      </c>
      <c r="AE393" s="40" t="s">
        <v>45</v>
      </c>
      <c r="AF393" s="40" t="s">
        <v>45</v>
      </c>
      <c r="AG393" s="41" t="s">
        <v>45</v>
      </c>
      <c r="AH393" s="40">
        <v>1</v>
      </c>
      <c r="AI393" s="40">
        <v>1</v>
      </c>
      <c r="AJ393" s="41">
        <v>1</v>
      </c>
      <c r="AK393" s="43" t="s">
        <v>644</v>
      </c>
      <c r="AL393" s="43"/>
      <c r="AM393" s="44">
        <f t="shared" si="43"/>
        <v>-1.8605124261753858</v>
      </c>
      <c r="AN393" s="44">
        <f t="shared" si="44"/>
        <v>-0.77516320467133948</v>
      </c>
      <c r="AO393" s="45">
        <f t="shared" si="45"/>
        <v>0</v>
      </c>
      <c r="AP393" s="46">
        <f t="shared" si="46"/>
        <v>0</v>
      </c>
      <c r="AQ393" s="44">
        <f>($AM$3*AM393+$AN$3*AN393+$AO$3*AO393+$AP$3*AP393)+$I$3*VLOOKUP(I393,COND!$A$2:$E$7,4,FALSE)+$J$3*VLOOKUP(J393,COND!$A$2:$C$7,2,FALSE)+$K$3*VLOOKUP(K393,COND!$A$2:$C$7,3,FALSE)+IF(AND($B$2&gt;0,$E393&lt;20),$B$2*25,0)</f>
        <v>40.811990301326389</v>
      </c>
      <c r="AR393" s="47">
        <f t="shared" si="47"/>
        <v>-0.73605522725759154</v>
      </c>
      <c r="AS393" s="45" t="str">
        <f t="shared" si="48"/>
        <v>1B</v>
      </c>
      <c r="AT393" s="45">
        <f>RANK(Batters[[#This Row],[zScore]],Batters[[#All],[zScore]])</f>
        <v>389</v>
      </c>
      <c r="AU393" s="45"/>
      <c r="AV393" s="45"/>
      <c r="AW393" s="45" t="str">
        <f t="shared" si="49"/>
        <v>Unlikely</v>
      </c>
      <c r="AX393" s="45"/>
      <c r="AY393" s="64" t="str">
        <f>INDEX(Table5[[#All],[Ovr]],MATCH(Batters[[#This Row],[PID]],Table5[[#All],[PID]],0))</f>
        <v/>
      </c>
      <c r="AZ393" s="64" t="str">
        <f>INDEX(Table5[[#All],[Rnd]],MATCH(Batters[[#This Row],[PID]],Table5[[#All],[PID]],0))</f>
        <v/>
      </c>
      <c r="BA393" s="64" t="str">
        <f>INDEX(Table5[[#All],[Pick]],MATCH(Batters[[#This Row],[PID]],Table5[[#All],[PID]],0))</f>
        <v/>
      </c>
      <c r="BB393" s="64" t="str">
        <f>INDEX(Table5[[#All],[Team]],MATCH(Batters[[#This Row],[PID]],Table5[[#All],[PID]],0))</f>
        <v/>
      </c>
    </row>
    <row r="394" spans="1:54" ht="15" customHeight="1" x14ac:dyDescent="0.25">
      <c r="A394" s="40">
        <v>18026</v>
      </c>
      <c r="B394" s="40" t="s">
        <v>74</v>
      </c>
      <c r="C394" s="40" t="s">
        <v>698</v>
      </c>
      <c r="D394" s="40" t="s">
        <v>1437</v>
      </c>
      <c r="E394" s="40">
        <v>21</v>
      </c>
      <c r="F394" s="40" t="s">
        <v>53</v>
      </c>
      <c r="G394" s="40" t="s">
        <v>53</v>
      </c>
      <c r="H394" s="41" t="s">
        <v>638</v>
      </c>
      <c r="I394" s="65" t="s">
        <v>43</v>
      </c>
      <c r="J394" s="66" t="s">
        <v>43</v>
      </c>
      <c r="K394" s="67" t="s">
        <v>43</v>
      </c>
      <c r="L394" s="40">
        <v>2</v>
      </c>
      <c r="M394" s="40">
        <v>2</v>
      </c>
      <c r="N394" s="40">
        <v>2</v>
      </c>
      <c r="O394" s="40">
        <v>2</v>
      </c>
      <c r="P394" s="41">
        <v>1</v>
      </c>
      <c r="Q394" s="40">
        <v>4</v>
      </c>
      <c r="R394" s="40">
        <v>3</v>
      </c>
      <c r="S394" s="40">
        <v>4</v>
      </c>
      <c r="T394" s="40">
        <v>4</v>
      </c>
      <c r="U394" s="41">
        <v>3</v>
      </c>
      <c r="V394" s="40">
        <v>6</v>
      </c>
      <c r="W394" s="40">
        <v>8</v>
      </c>
      <c r="X394" s="40">
        <v>1</v>
      </c>
      <c r="Y394" s="41">
        <v>1</v>
      </c>
      <c r="Z394" s="40" t="s">
        <v>45</v>
      </c>
      <c r="AA394" s="40" t="s">
        <v>45</v>
      </c>
      <c r="AB394" s="40" t="s">
        <v>45</v>
      </c>
      <c r="AC394" s="40" t="s">
        <v>45</v>
      </c>
      <c r="AD394" s="40" t="s">
        <v>45</v>
      </c>
      <c r="AE394" s="40" t="s">
        <v>45</v>
      </c>
      <c r="AF394" s="40">
        <v>6</v>
      </c>
      <c r="AG394" s="41">
        <v>3</v>
      </c>
      <c r="AH394" s="40">
        <v>9</v>
      </c>
      <c r="AI394" s="40">
        <v>3</v>
      </c>
      <c r="AJ394" s="41">
        <v>1</v>
      </c>
      <c r="AK394" s="43" t="s">
        <v>45</v>
      </c>
      <c r="AL394" s="43" t="s">
        <v>635</v>
      </c>
      <c r="AM394" s="44">
        <f t="shared" si="43"/>
        <v>-1.5379565899727115</v>
      </c>
      <c r="AN394" s="44">
        <f t="shared" si="44"/>
        <v>-0.41621027024752627</v>
      </c>
      <c r="AO394" s="45">
        <f t="shared" si="45"/>
        <v>1</v>
      </c>
      <c r="AP394" s="46">
        <f t="shared" si="46"/>
        <v>0.75</v>
      </c>
      <c r="AQ394" s="44">
        <f>($AM$3*AM394+$AN$3*AN394+$AO$3*AO394+$AP$3*AP394)+$I$3*VLOOKUP(I394,COND!$A$2:$E$7,4,FALSE)+$J$3*VLOOKUP(J394,COND!$A$2:$C$7,2,FALSE)+$K$3*VLOOKUP(K394,COND!$A$2:$C$7,3,FALSE)+IF(AND($B$2&gt;0,$E394&lt;20),$B$2*25,0)</f>
        <v>40.76834776469908</v>
      </c>
      <c r="AR394" s="47">
        <f t="shared" si="47"/>
        <v>-0.74573107262403593</v>
      </c>
      <c r="AS394" s="45" t="str">
        <f t="shared" si="48"/>
        <v>CF</v>
      </c>
      <c r="AT394" s="45">
        <f>RANK(Batters[[#This Row],[zScore]],Batters[[#All],[zScore]])</f>
        <v>390</v>
      </c>
      <c r="AU394" s="45"/>
      <c r="AV394" s="45"/>
      <c r="AW394" s="45" t="str">
        <f t="shared" si="49"/>
        <v>Unlikely</v>
      </c>
      <c r="AX394" s="45"/>
      <c r="AY394" s="45">
        <f>INDEX(Table5[[#All],[Ovr]],MATCH(Batters[[#This Row],[PID]],Table5[[#All],[PID]],0))</f>
        <v>314</v>
      </c>
      <c r="AZ394" s="45" t="str">
        <f>INDEX(Table5[[#All],[Rnd]],MATCH(Batters[[#This Row],[PID]],Table5[[#All],[PID]],0))</f>
        <v>11</v>
      </c>
      <c r="BA394" s="45">
        <f>INDEX(Table5[[#All],[Pick]],MATCH(Batters[[#This Row],[PID]],Table5[[#All],[PID]],0))</f>
        <v>6</v>
      </c>
      <c r="BB394" s="45" t="str">
        <f>INDEX(Table5[[#All],[Team]],MATCH(Batters[[#This Row],[PID]],Table5[[#All],[PID]],0))</f>
        <v>Manchester Maulers</v>
      </c>
    </row>
    <row r="395" spans="1:54" ht="15" customHeight="1" x14ac:dyDescent="0.25">
      <c r="A395" s="40">
        <v>17861</v>
      </c>
      <c r="B395" s="40" t="s">
        <v>87</v>
      </c>
      <c r="C395" s="40" t="s">
        <v>1690</v>
      </c>
      <c r="D395" s="40" t="s">
        <v>382</v>
      </c>
      <c r="E395" s="40">
        <v>18</v>
      </c>
      <c r="F395" s="40" t="s">
        <v>42</v>
      </c>
      <c r="G395" s="40" t="s">
        <v>42</v>
      </c>
      <c r="H395" s="41" t="s">
        <v>639</v>
      </c>
      <c r="I395" s="65" t="s">
        <v>47</v>
      </c>
      <c r="J395" s="66" t="s">
        <v>43</v>
      </c>
      <c r="K395" s="67" t="s">
        <v>43</v>
      </c>
      <c r="L395" s="40">
        <v>1</v>
      </c>
      <c r="M395" s="40">
        <v>1</v>
      </c>
      <c r="N395" s="40">
        <v>2</v>
      </c>
      <c r="O395" s="40">
        <v>1</v>
      </c>
      <c r="P395" s="41">
        <v>1</v>
      </c>
      <c r="Q395" s="40">
        <v>3</v>
      </c>
      <c r="R395" s="40">
        <v>3</v>
      </c>
      <c r="S395" s="40">
        <v>3</v>
      </c>
      <c r="T395" s="40">
        <v>5</v>
      </c>
      <c r="U395" s="41">
        <v>2</v>
      </c>
      <c r="V395" s="40">
        <v>4</v>
      </c>
      <c r="W395" s="40">
        <v>3</v>
      </c>
      <c r="X395" s="40">
        <v>4</v>
      </c>
      <c r="Y395" s="41">
        <v>4</v>
      </c>
      <c r="Z395" s="40" t="s">
        <v>45</v>
      </c>
      <c r="AA395" s="40">
        <v>2</v>
      </c>
      <c r="AB395" s="40" t="s">
        <v>45</v>
      </c>
      <c r="AC395" s="40" t="s">
        <v>45</v>
      </c>
      <c r="AD395" s="40" t="s">
        <v>45</v>
      </c>
      <c r="AE395" s="40" t="s">
        <v>45</v>
      </c>
      <c r="AF395" s="40" t="s">
        <v>45</v>
      </c>
      <c r="AG395" s="41" t="s">
        <v>45</v>
      </c>
      <c r="AH395" s="40">
        <v>1</v>
      </c>
      <c r="AI395" s="40">
        <v>2</v>
      </c>
      <c r="AJ395" s="41">
        <v>4</v>
      </c>
      <c r="AK395" s="43" t="s">
        <v>563</v>
      </c>
      <c r="AL395" s="43"/>
      <c r="AM395" s="44">
        <f t="shared" si="43"/>
        <v>-2.0012818558036707</v>
      </c>
      <c r="AN395" s="44">
        <f t="shared" si="44"/>
        <v>-0.77213439028160502</v>
      </c>
      <c r="AO395" s="45">
        <f t="shared" si="45"/>
        <v>0</v>
      </c>
      <c r="AP395" s="46">
        <f t="shared" si="46"/>
        <v>0</v>
      </c>
      <c r="AQ395" s="44">
        <f>($AM$3*AM395+$AN$3*AN395+$AO$3*AO395+$AP$3*AP395)+$I$3*VLOOKUP(I395,COND!$A$2:$E$7,4,FALSE)+$J$3*VLOOKUP(J395,COND!$A$2:$C$7,2,FALSE)+$K$3*VLOOKUP(K395,COND!$A$2:$C$7,3,FALSE)+IF(AND($B$2&gt;0,$E395&lt;20),$B$2*25,0)</f>
        <v>40.759259131040373</v>
      </c>
      <c r="AR395" s="47">
        <f t="shared" si="47"/>
        <v>-0.74774608413963317</v>
      </c>
      <c r="AS395" s="45" t="str">
        <f t="shared" si="48"/>
        <v>1B</v>
      </c>
      <c r="AT395" s="45">
        <f>RANK(Batters[[#This Row],[zScore]],Batters[[#All],[zScore]])</f>
        <v>391</v>
      </c>
      <c r="AU395" s="45"/>
      <c r="AV395" s="45"/>
      <c r="AW395" s="45" t="str">
        <f t="shared" si="49"/>
        <v>Unlikely</v>
      </c>
      <c r="AX395" s="45"/>
      <c r="AY395" s="64" t="str">
        <f>INDEX(Table5[[#All],[Ovr]],MATCH(Batters[[#This Row],[PID]],Table5[[#All],[PID]],0))</f>
        <v/>
      </c>
      <c r="AZ395" s="64" t="str">
        <f>INDEX(Table5[[#All],[Rnd]],MATCH(Batters[[#This Row],[PID]],Table5[[#All],[PID]],0))</f>
        <v/>
      </c>
      <c r="BA395" s="64" t="str">
        <f>INDEX(Table5[[#All],[Pick]],MATCH(Batters[[#This Row],[PID]],Table5[[#All],[PID]],0))</f>
        <v/>
      </c>
      <c r="BB395" s="64" t="str">
        <f>INDEX(Table5[[#All],[Team]],MATCH(Batters[[#This Row],[PID]],Table5[[#All],[PID]],0))</f>
        <v/>
      </c>
    </row>
    <row r="396" spans="1:54" ht="15" customHeight="1" x14ac:dyDescent="0.25">
      <c r="A396" s="40">
        <v>20638</v>
      </c>
      <c r="B396" s="40" t="s">
        <v>86</v>
      </c>
      <c r="C396" s="40" t="s">
        <v>1472</v>
      </c>
      <c r="D396" s="40" t="s">
        <v>1473</v>
      </c>
      <c r="E396" s="40">
        <v>18</v>
      </c>
      <c r="F396" s="40" t="s">
        <v>62</v>
      </c>
      <c r="G396" s="40" t="s">
        <v>42</v>
      </c>
      <c r="H396" s="41" t="s">
        <v>638</v>
      </c>
      <c r="I396" s="65" t="s">
        <v>43</v>
      </c>
      <c r="J396" s="66" t="s">
        <v>43</v>
      </c>
      <c r="K396" s="67" t="s">
        <v>43</v>
      </c>
      <c r="L396" s="40">
        <v>1</v>
      </c>
      <c r="M396" s="40">
        <v>3</v>
      </c>
      <c r="N396" s="40">
        <v>2</v>
      </c>
      <c r="O396" s="40">
        <v>2</v>
      </c>
      <c r="P396" s="41">
        <v>1</v>
      </c>
      <c r="Q396" s="40">
        <v>2</v>
      </c>
      <c r="R396" s="40">
        <v>5</v>
      </c>
      <c r="S396" s="40">
        <v>4</v>
      </c>
      <c r="T396" s="40">
        <v>5</v>
      </c>
      <c r="U396" s="41">
        <v>3</v>
      </c>
      <c r="V396" s="40">
        <v>8</v>
      </c>
      <c r="W396" s="40">
        <v>7</v>
      </c>
      <c r="X396" s="40">
        <v>8</v>
      </c>
      <c r="Y396" s="41">
        <v>6</v>
      </c>
      <c r="Z396" s="40">
        <v>2</v>
      </c>
      <c r="AA396" s="40" t="s">
        <v>45</v>
      </c>
      <c r="AB396" s="40" t="s">
        <v>45</v>
      </c>
      <c r="AC396" s="40" t="s">
        <v>45</v>
      </c>
      <c r="AD396" s="40" t="s">
        <v>45</v>
      </c>
      <c r="AE396" s="40" t="s">
        <v>45</v>
      </c>
      <c r="AF396" s="40" t="s">
        <v>45</v>
      </c>
      <c r="AG396" s="41" t="s">
        <v>45</v>
      </c>
      <c r="AH396" s="40">
        <v>2</v>
      </c>
      <c r="AI396" s="40">
        <v>1</v>
      </c>
      <c r="AJ396" s="41">
        <v>2</v>
      </c>
      <c r="AK396" s="43" t="s">
        <v>659</v>
      </c>
      <c r="AL396" s="43" t="s">
        <v>47</v>
      </c>
      <c r="AM396" s="44">
        <f t="shared" si="43"/>
        <v>-1.8094525465566824</v>
      </c>
      <c r="AN396" s="44">
        <f t="shared" si="44"/>
        <v>-0.86949263340588789</v>
      </c>
      <c r="AO396" s="45">
        <f t="shared" si="45"/>
        <v>0</v>
      </c>
      <c r="AP396" s="46">
        <f t="shared" si="46"/>
        <v>1.35</v>
      </c>
      <c r="AQ396" s="44">
        <f>($AM$3*AM396+$AN$3*AN396+$AO$3*AO396+$AP$3*AP396)+$I$3*VLOOKUP(I396,COND!$A$2:$E$7,4,FALSE)+$J$3*VLOOKUP(J396,COND!$A$2:$C$7,2,FALSE)+$K$3*VLOOKUP(K396,COND!$A$2:$C$7,3,FALSE)+IF(AND($B$2&gt;0,$E396&lt;20),$B$2*25,0)</f>
        <v>40.735143144473675</v>
      </c>
      <c r="AR396" s="47">
        <f t="shared" si="47"/>
        <v>-0.75309276137041103</v>
      </c>
      <c r="AS396" s="45" t="str">
        <f t="shared" si="48"/>
        <v>C</v>
      </c>
      <c r="AT396" s="45">
        <f>RANK(Batters[[#This Row],[zScore]],Batters[[#All],[zScore]])</f>
        <v>392</v>
      </c>
      <c r="AU396" s="45"/>
      <c r="AV396" s="45"/>
      <c r="AW396" s="45" t="str">
        <f t="shared" si="49"/>
        <v>Unlikely</v>
      </c>
      <c r="AX396" s="45"/>
      <c r="AY396" s="45" t="str">
        <f>INDEX(Table5[[#All],[Ovr]],MATCH(Batters[[#This Row],[PID]],Table5[[#All],[PID]],0))</f>
        <v/>
      </c>
      <c r="AZ396" s="45" t="str">
        <f>INDEX(Table5[[#All],[Rnd]],MATCH(Batters[[#This Row],[PID]],Table5[[#All],[PID]],0))</f>
        <v/>
      </c>
      <c r="BA396" s="45" t="str">
        <f>INDEX(Table5[[#All],[Pick]],MATCH(Batters[[#This Row],[PID]],Table5[[#All],[PID]],0))</f>
        <v/>
      </c>
      <c r="BB396" s="45" t="str">
        <f>INDEX(Table5[[#All],[Team]],MATCH(Batters[[#This Row],[PID]],Table5[[#All],[PID]],0))</f>
        <v/>
      </c>
    </row>
    <row r="397" spans="1:54" ht="15" customHeight="1" x14ac:dyDescent="0.25">
      <c r="A397" s="40">
        <v>20261</v>
      </c>
      <c r="B397" s="40" t="s">
        <v>50</v>
      </c>
      <c r="C397" s="40" t="s">
        <v>1244</v>
      </c>
      <c r="D397" s="40" t="s">
        <v>1245</v>
      </c>
      <c r="E397" s="40">
        <v>21</v>
      </c>
      <c r="F397" s="40" t="s">
        <v>42</v>
      </c>
      <c r="G397" s="40" t="s">
        <v>53</v>
      </c>
      <c r="H397" s="41" t="s">
        <v>634</v>
      </c>
      <c r="I397" s="65" t="s">
        <v>43</v>
      </c>
      <c r="J397" s="66" t="s">
        <v>43</v>
      </c>
      <c r="K397" s="67" t="s">
        <v>43</v>
      </c>
      <c r="L397" s="40">
        <v>2</v>
      </c>
      <c r="M397" s="40">
        <v>6</v>
      </c>
      <c r="N397" s="40">
        <v>3</v>
      </c>
      <c r="O397" s="40">
        <v>3</v>
      </c>
      <c r="P397" s="41">
        <v>2</v>
      </c>
      <c r="Q397" s="40">
        <v>3</v>
      </c>
      <c r="R397" s="40">
        <v>7</v>
      </c>
      <c r="S397" s="40">
        <v>4</v>
      </c>
      <c r="T397" s="40">
        <v>5</v>
      </c>
      <c r="U397" s="41">
        <v>4</v>
      </c>
      <c r="V397" s="40">
        <v>4</v>
      </c>
      <c r="W397" s="40">
        <v>7</v>
      </c>
      <c r="X397" s="40">
        <v>1</v>
      </c>
      <c r="Y397" s="41">
        <v>1</v>
      </c>
      <c r="Z397" s="40" t="s">
        <v>45</v>
      </c>
      <c r="AA397" s="40" t="s">
        <v>45</v>
      </c>
      <c r="AB397" s="40" t="s">
        <v>45</v>
      </c>
      <c r="AC397" s="40" t="s">
        <v>45</v>
      </c>
      <c r="AD397" s="40" t="s">
        <v>45</v>
      </c>
      <c r="AE397" s="40">
        <v>2</v>
      </c>
      <c r="AF397" s="40" t="s">
        <v>45</v>
      </c>
      <c r="AG397" s="41">
        <v>6</v>
      </c>
      <c r="AH397" s="40">
        <v>7</v>
      </c>
      <c r="AI397" s="40">
        <v>6</v>
      </c>
      <c r="AJ397" s="41">
        <v>7</v>
      </c>
      <c r="AK397" s="43" t="s">
        <v>643</v>
      </c>
      <c r="AL397" s="43" t="s">
        <v>47</v>
      </c>
      <c r="AM397" s="44">
        <f t="shared" si="43"/>
        <v>-1.1209296876473314</v>
      </c>
      <c r="AN397" s="44">
        <f t="shared" si="44"/>
        <v>-0.4048006981487226</v>
      </c>
      <c r="AO397" s="45">
        <f t="shared" si="45"/>
        <v>1</v>
      </c>
      <c r="AP397" s="46">
        <f t="shared" si="46"/>
        <v>0.5</v>
      </c>
      <c r="AQ397" s="44">
        <f>($AM$3*AM397+$AN$3*AN397+$AO$3*AO397+$AP$3*AP397)+$I$3*VLOOKUP(I397,COND!$A$2:$E$7,4,FALSE)+$J$3*VLOOKUP(J397,COND!$A$2:$C$7,2,FALSE)+$K$3*VLOOKUP(K397,COND!$A$2:$C$7,3,FALSE)+IF(AND($B$2&gt;0,$E397&lt;20),$B$2*25,0)</f>
        <v>40.696965320117265</v>
      </c>
      <c r="AR397" s="47">
        <f t="shared" si="47"/>
        <v>-0.76155704308837013</v>
      </c>
      <c r="AS397" s="45" t="str">
        <f t="shared" si="48"/>
        <v>RF</v>
      </c>
      <c r="AT397" s="45">
        <f>RANK(Batters[[#This Row],[zScore]],Batters[[#All],[zScore]])</f>
        <v>393</v>
      </c>
      <c r="AU397" s="45"/>
      <c r="AV397" s="45"/>
      <c r="AW397" s="45" t="str">
        <f t="shared" si="49"/>
        <v>Unlikely</v>
      </c>
      <c r="AX397" s="45"/>
      <c r="AY397" s="45">
        <f>INDEX(Table5[[#All],[Ovr]],MATCH(Batters[[#This Row],[PID]],Table5[[#All],[PID]],0))</f>
        <v>353</v>
      </c>
      <c r="AZ397" s="45" t="str">
        <f>INDEX(Table5[[#All],[Rnd]],MATCH(Batters[[#This Row],[PID]],Table5[[#All],[PID]],0))</f>
        <v>12</v>
      </c>
      <c r="BA397" s="45">
        <f>INDEX(Table5[[#All],[Pick]],MATCH(Batters[[#This Row],[PID]],Table5[[#All],[PID]],0))</f>
        <v>15</v>
      </c>
      <c r="BB397" s="45" t="str">
        <f>INDEX(Table5[[#All],[Team]],MATCH(Batters[[#This Row],[PID]],Table5[[#All],[PID]],0))</f>
        <v>Kentucky Thoroughbreds</v>
      </c>
    </row>
    <row r="398" spans="1:54" ht="15" customHeight="1" x14ac:dyDescent="0.25">
      <c r="A398" s="40">
        <v>20937</v>
      </c>
      <c r="B398" s="40" t="s">
        <v>86</v>
      </c>
      <c r="C398" s="40" t="s">
        <v>1642</v>
      </c>
      <c r="D398" s="40" t="s">
        <v>1643</v>
      </c>
      <c r="E398" s="40">
        <v>18</v>
      </c>
      <c r="F398" s="40" t="s">
        <v>42</v>
      </c>
      <c r="G398" s="40" t="s">
        <v>42</v>
      </c>
      <c r="H398" s="41" t="s">
        <v>638</v>
      </c>
      <c r="I398" s="65" t="s">
        <v>43</v>
      </c>
      <c r="J398" s="66" t="s">
        <v>44</v>
      </c>
      <c r="K398" s="67" t="s">
        <v>43</v>
      </c>
      <c r="L398" s="40">
        <v>1</v>
      </c>
      <c r="M398" s="40">
        <v>1</v>
      </c>
      <c r="N398" s="40">
        <v>3</v>
      </c>
      <c r="O398" s="40">
        <v>3</v>
      </c>
      <c r="P398" s="41">
        <v>1</v>
      </c>
      <c r="Q398" s="40">
        <v>2</v>
      </c>
      <c r="R398" s="40">
        <v>5</v>
      </c>
      <c r="S398" s="40">
        <v>5</v>
      </c>
      <c r="T398" s="40">
        <v>6</v>
      </c>
      <c r="U398" s="41">
        <v>2</v>
      </c>
      <c r="V398" s="40">
        <v>2</v>
      </c>
      <c r="W398" s="40">
        <v>2</v>
      </c>
      <c r="X398" s="40">
        <v>4</v>
      </c>
      <c r="Y398" s="41">
        <v>4</v>
      </c>
      <c r="Z398" s="40" t="s">
        <v>45</v>
      </c>
      <c r="AA398" s="40" t="s">
        <v>45</v>
      </c>
      <c r="AB398" s="40" t="s">
        <v>45</v>
      </c>
      <c r="AC398" s="40" t="s">
        <v>45</v>
      </c>
      <c r="AD398" s="40" t="s">
        <v>45</v>
      </c>
      <c r="AE398" s="40" t="s">
        <v>45</v>
      </c>
      <c r="AF398" s="40" t="s">
        <v>45</v>
      </c>
      <c r="AG398" s="41" t="s">
        <v>45</v>
      </c>
      <c r="AH398" s="40">
        <v>3</v>
      </c>
      <c r="AI398" s="40">
        <v>2</v>
      </c>
      <c r="AJ398" s="41">
        <v>1</v>
      </c>
      <c r="AK398" s="43" t="s">
        <v>654</v>
      </c>
      <c r="AL398" s="43"/>
      <c r="AM398" s="44">
        <f t="shared" si="43"/>
        <v>-1.738801261760607</v>
      </c>
      <c r="AN398" s="44">
        <f t="shared" si="44"/>
        <v>-0.73673792918948877</v>
      </c>
      <c r="AO398" s="45">
        <f t="shared" si="45"/>
        <v>0</v>
      </c>
      <c r="AP398" s="46">
        <f t="shared" si="46"/>
        <v>0</v>
      </c>
      <c r="AQ398" s="44">
        <f>($AM$3*AM398+$AN$3*AN398+$AO$3*AO398+$AP$3*AP398)+$I$3*VLOOKUP(I398,COND!$A$2:$E$7,4,FALSE)+$J$3*VLOOKUP(J398,COND!$A$2:$C$7,2,FALSE)+$K$3*VLOOKUP(K398,COND!$A$2:$C$7,3,FALSE)+IF(AND($B$2&gt;0,$E398&lt;20),$B$2*25,0)</f>
        <v>40.685264723550077</v>
      </c>
      <c r="AR398" s="47">
        <f t="shared" si="47"/>
        <v>-0.7641511444360084</v>
      </c>
      <c r="AS398" s="45" t="str">
        <f t="shared" si="48"/>
        <v>DH</v>
      </c>
      <c r="AT398" s="45">
        <f>RANK(Batters[[#This Row],[zScore]],Batters[[#All],[zScore]])</f>
        <v>394</v>
      </c>
      <c r="AU398" s="45"/>
      <c r="AV398" s="45"/>
      <c r="AW398" s="45" t="str">
        <f t="shared" si="49"/>
        <v>Unlikely</v>
      </c>
      <c r="AX398" s="45"/>
      <c r="AY398" s="64" t="str">
        <f>INDEX(Table5[[#All],[Ovr]],MATCH(Batters[[#This Row],[PID]],Table5[[#All],[PID]],0))</f>
        <v/>
      </c>
      <c r="AZ398" s="64" t="str">
        <f>INDEX(Table5[[#All],[Rnd]],MATCH(Batters[[#This Row],[PID]],Table5[[#All],[PID]],0))</f>
        <v/>
      </c>
      <c r="BA398" s="64" t="str">
        <f>INDEX(Table5[[#All],[Pick]],MATCH(Batters[[#This Row],[PID]],Table5[[#All],[PID]],0))</f>
        <v/>
      </c>
      <c r="BB398" s="64" t="str">
        <f>INDEX(Table5[[#All],[Team]],MATCH(Batters[[#This Row],[PID]],Table5[[#All],[PID]],0))</f>
        <v/>
      </c>
    </row>
    <row r="399" spans="1:54" ht="15" customHeight="1" x14ac:dyDescent="0.25">
      <c r="A399" s="40">
        <v>18280</v>
      </c>
      <c r="B399" s="40" t="s">
        <v>72</v>
      </c>
      <c r="C399" s="40" t="s">
        <v>682</v>
      </c>
      <c r="D399" s="40" t="s">
        <v>608</v>
      </c>
      <c r="E399" s="40">
        <v>21</v>
      </c>
      <c r="F399" s="40" t="s">
        <v>53</v>
      </c>
      <c r="G399" s="40" t="s">
        <v>42</v>
      </c>
      <c r="H399" s="41" t="s">
        <v>634</v>
      </c>
      <c r="I399" s="65" t="s">
        <v>44</v>
      </c>
      <c r="J399" s="66" t="s">
        <v>44</v>
      </c>
      <c r="K399" s="67" t="s">
        <v>44</v>
      </c>
      <c r="L399" s="40">
        <v>2</v>
      </c>
      <c r="M399" s="40">
        <v>3</v>
      </c>
      <c r="N399" s="40">
        <v>3</v>
      </c>
      <c r="O399" s="40">
        <v>5</v>
      </c>
      <c r="P399" s="41">
        <v>2</v>
      </c>
      <c r="Q399" s="40">
        <v>3</v>
      </c>
      <c r="R399" s="40">
        <v>4</v>
      </c>
      <c r="S399" s="40">
        <v>5</v>
      </c>
      <c r="T399" s="40">
        <v>6</v>
      </c>
      <c r="U399" s="41">
        <v>4</v>
      </c>
      <c r="V399" s="40">
        <v>8</v>
      </c>
      <c r="W399" s="40">
        <v>7</v>
      </c>
      <c r="X399" s="40">
        <v>1</v>
      </c>
      <c r="Y399" s="41">
        <v>1</v>
      </c>
      <c r="Z399" s="40" t="s">
        <v>45</v>
      </c>
      <c r="AA399" s="40" t="s">
        <v>45</v>
      </c>
      <c r="AB399" s="40">
        <v>1</v>
      </c>
      <c r="AC399" s="40" t="s">
        <v>45</v>
      </c>
      <c r="AD399" s="40">
        <v>5</v>
      </c>
      <c r="AE399" s="40" t="s">
        <v>45</v>
      </c>
      <c r="AF399" s="40" t="s">
        <v>45</v>
      </c>
      <c r="AG399" s="41" t="s">
        <v>45</v>
      </c>
      <c r="AH399" s="40">
        <v>8</v>
      </c>
      <c r="AI399" s="40">
        <v>3</v>
      </c>
      <c r="AJ399" s="41">
        <v>1</v>
      </c>
      <c r="AK399" s="43" t="s">
        <v>643</v>
      </c>
      <c r="AL399" s="43" t="s">
        <v>47</v>
      </c>
      <c r="AM399" s="44">
        <f t="shared" si="43"/>
        <v>-1.0946902264842799</v>
      </c>
      <c r="AN399" s="44">
        <f t="shared" si="44"/>
        <v>-0.38520929297135054</v>
      </c>
      <c r="AO399" s="45">
        <f t="shared" si="45"/>
        <v>1</v>
      </c>
      <c r="AP399" s="46">
        <f t="shared" si="46"/>
        <v>1</v>
      </c>
      <c r="AQ399" s="44">
        <f>($AM$3*AM399+$AN$3*AN399+$AO$3*AO399+$AP$3*AP399)+$I$3*VLOOKUP(I399,COND!$A$2:$E$7,4,FALSE)+$J$3*VLOOKUP(J399,COND!$A$2:$C$7,2,FALSE)+$K$3*VLOOKUP(K399,COND!$A$2:$C$7,3,FALSE)+IF(AND($B$2&gt;0,$E399&lt;20),$B$2*25,0)</f>
        <v>40.684686128362031</v>
      </c>
      <c r="AR399" s="47">
        <f t="shared" si="47"/>
        <v>-0.76427942290013862</v>
      </c>
      <c r="AS399" s="45" t="str">
        <f t="shared" si="48"/>
        <v>SS</v>
      </c>
      <c r="AT399" s="45">
        <f>RANK(Batters[[#This Row],[zScore]],Batters[[#All],[zScore]])</f>
        <v>395</v>
      </c>
      <c r="AU399" s="45"/>
      <c r="AV399" s="45"/>
      <c r="AW399" s="45" t="str">
        <f t="shared" si="49"/>
        <v>Unlikely</v>
      </c>
      <c r="AX399" s="45"/>
      <c r="AY399" s="45">
        <f>INDEX(Table5[[#All],[Ovr]],MATCH(Batters[[#This Row],[PID]],Table5[[#All],[PID]],0))</f>
        <v>216</v>
      </c>
      <c r="AZ399" s="45" t="str">
        <f>INDEX(Table5[[#All],[Rnd]],MATCH(Batters[[#This Row],[PID]],Table5[[#All],[PID]],0))</f>
        <v>7</v>
      </c>
      <c r="BA399" s="45">
        <f>INDEX(Table5[[#All],[Pick]],MATCH(Batters[[#This Row],[PID]],Table5[[#All],[PID]],0))</f>
        <v>28</v>
      </c>
      <c r="BB399" s="45" t="str">
        <f>INDEX(Table5[[#All],[Team]],MATCH(Batters[[#This Row],[PID]],Table5[[#All],[PID]],0))</f>
        <v>San Juan Coqui</v>
      </c>
    </row>
    <row r="400" spans="1:54" ht="15" customHeight="1" x14ac:dyDescent="0.25">
      <c r="A400" s="40">
        <v>20993</v>
      </c>
      <c r="B400" s="40" t="s">
        <v>72</v>
      </c>
      <c r="C400" s="40" t="s">
        <v>183</v>
      </c>
      <c r="D400" s="40" t="s">
        <v>344</v>
      </c>
      <c r="E400" s="40">
        <v>18</v>
      </c>
      <c r="F400" s="40" t="s">
        <v>42</v>
      </c>
      <c r="G400" s="40" t="s">
        <v>42</v>
      </c>
      <c r="H400" s="41" t="s">
        <v>638</v>
      </c>
      <c r="I400" s="65" t="s">
        <v>47</v>
      </c>
      <c r="J400" s="66" t="s">
        <v>47</v>
      </c>
      <c r="K400" s="67" t="s">
        <v>43</v>
      </c>
      <c r="L400" s="40">
        <v>1</v>
      </c>
      <c r="M400" s="40">
        <v>2</v>
      </c>
      <c r="N400" s="40">
        <v>2</v>
      </c>
      <c r="O400" s="40">
        <v>2</v>
      </c>
      <c r="P400" s="41">
        <v>1</v>
      </c>
      <c r="Q400" s="40">
        <v>2</v>
      </c>
      <c r="R400" s="40">
        <v>5</v>
      </c>
      <c r="S400" s="40">
        <v>3</v>
      </c>
      <c r="T400" s="40">
        <v>6</v>
      </c>
      <c r="U400" s="41">
        <v>3</v>
      </c>
      <c r="V400" s="40">
        <v>6</v>
      </c>
      <c r="W400" s="40">
        <v>6</v>
      </c>
      <c r="X400" s="40">
        <v>1</v>
      </c>
      <c r="Y400" s="41">
        <v>1</v>
      </c>
      <c r="Z400" s="40" t="s">
        <v>45</v>
      </c>
      <c r="AA400" s="40" t="s">
        <v>45</v>
      </c>
      <c r="AB400" s="40" t="s">
        <v>45</v>
      </c>
      <c r="AC400" s="40">
        <v>1</v>
      </c>
      <c r="AD400" s="40">
        <v>3</v>
      </c>
      <c r="AE400" s="40" t="s">
        <v>45</v>
      </c>
      <c r="AF400" s="40" t="s">
        <v>45</v>
      </c>
      <c r="AG400" s="41" t="s">
        <v>45</v>
      </c>
      <c r="AH400" s="40">
        <v>9</v>
      </c>
      <c r="AI400" s="40">
        <v>8</v>
      </c>
      <c r="AJ400" s="41">
        <v>8</v>
      </c>
      <c r="AK400" s="43" t="s">
        <v>663</v>
      </c>
      <c r="AL400" s="43" t="s">
        <v>635</v>
      </c>
      <c r="AM400" s="44">
        <f t="shared" si="43"/>
        <v>-1.8605124261753858</v>
      </c>
      <c r="AN400" s="44">
        <f t="shared" si="44"/>
        <v>-0.86284457742020826</v>
      </c>
      <c r="AO400" s="45">
        <f t="shared" si="45"/>
        <v>4</v>
      </c>
      <c r="AP400" s="46">
        <f t="shared" si="46"/>
        <v>0</v>
      </c>
      <c r="AQ400" s="44">
        <f>($AM$3*AM400+$AN$3*AN400+$AO$3*AO400+$AP$3*AP400)+$I$3*VLOOKUP(I400,COND!$A$2:$E$7,4,FALSE)+$J$3*VLOOKUP(J400,COND!$A$2:$C$7,2,FALSE)+$K$3*VLOOKUP(K400,COND!$A$2:$C$7,3,FALSE)+IF(AND($B$2&gt;0,$E400&lt;20),$B$2*25,0)</f>
        <v>40.651480495006624</v>
      </c>
      <c r="AR400" s="47">
        <f t="shared" si="47"/>
        <v>-0.77164133626428355</v>
      </c>
      <c r="AS400" s="45" t="str">
        <f t="shared" si="48"/>
        <v>SS</v>
      </c>
      <c r="AT400" s="45">
        <f>RANK(Batters[[#This Row],[zScore]],Batters[[#All],[zScore]])</f>
        <v>396</v>
      </c>
      <c r="AU400" s="45"/>
      <c r="AV400" s="45"/>
      <c r="AW400" s="45" t="str">
        <f t="shared" si="49"/>
        <v>Unlikely</v>
      </c>
      <c r="AX400" s="45"/>
      <c r="AY400" s="45">
        <f>INDEX(Table5[[#All],[Ovr]],MATCH(Batters[[#This Row],[PID]],Table5[[#All],[PID]],0))</f>
        <v>582</v>
      </c>
      <c r="AZ400" s="45" t="str">
        <f>INDEX(Table5[[#All],[Rnd]],MATCH(Batters[[#This Row],[PID]],Table5[[#All],[PID]],0))</f>
        <v>20</v>
      </c>
      <c r="BA400" s="45">
        <f>INDEX(Table5[[#All],[Pick]],MATCH(Batters[[#This Row],[PID]],Table5[[#All],[PID]],0))</f>
        <v>4</v>
      </c>
      <c r="BB400" s="45" t="str">
        <f>INDEX(Table5[[#All],[Team]],MATCH(Batters[[#This Row],[PID]],Table5[[#All],[PID]],0))</f>
        <v>Tempe Knights</v>
      </c>
    </row>
    <row r="401" spans="1:54" ht="15" customHeight="1" x14ac:dyDescent="0.25">
      <c r="A401" s="40">
        <v>1278</v>
      </c>
      <c r="B401" s="40" t="s">
        <v>50</v>
      </c>
      <c r="C401" s="40" t="s">
        <v>370</v>
      </c>
      <c r="D401" s="40" t="s">
        <v>148</v>
      </c>
      <c r="E401" s="40">
        <v>18</v>
      </c>
      <c r="F401" s="40" t="s">
        <v>53</v>
      </c>
      <c r="G401" s="40" t="s">
        <v>53</v>
      </c>
      <c r="H401" s="41" t="s">
        <v>639</v>
      </c>
      <c r="I401" s="65" t="s">
        <v>43</v>
      </c>
      <c r="J401" s="66" t="s">
        <v>44</v>
      </c>
      <c r="K401" s="67" t="s">
        <v>43</v>
      </c>
      <c r="L401" s="40">
        <v>1</v>
      </c>
      <c r="M401" s="40">
        <v>1</v>
      </c>
      <c r="N401" s="40">
        <v>2</v>
      </c>
      <c r="O401" s="40">
        <v>1</v>
      </c>
      <c r="P401" s="41">
        <v>1</v>
      </c>
      <c r="Q401" s="40">
        <v>3</v>
      </c>
      <c r="R401" s="40">
        <v>3</v>
      </c>
      <c r="S401" s="40">
        <v>4</v>
      </c>
      <c r="T401" s="40">
        <v>4</v>
      </c>
      <c r="U401" s="41">
        <v>3</v>
      </c>
      <c r="V401" s="40">
        <v>3</v>
      </c>
      <c r="W401" s="40">
        <v>5</v>
      </c>
      <c r="X401" s="40">
        <v>1</v>
      </c>
      <c r="Y401" s="41">
        <v>1</v>
      </c>
      <c r="Z401" s="40" t="s">
        <v>45</v>
      </c>
      <c r="AA401" s="40" t="s">
        <v>45</v>
      </c>
      <c r="AB401" s="40" t="s">
        <v>45</v>
      </c>
      <c r="AC401" s="40" t="s">
        <v>45</v>
      </c>
      <c r="AD401" s="40" t="s">
        <v>45</v>
      </c>
      <c r="AE401" s="40">
        <v>1</v>
      </c>
      <c r="AF401" s="40" t="s">
        <v>45</v>
      </c>
      <c r="AG401" s="41" t="s">
        <v>45</v>
      </c>
      <c r="AH401" s="40">
        <v>7</v>
      </c>
      <c r="AI401" s="40">
        <v>5</v>
      </c>
      <c r="AJ401" s="41">
        <v>3</v>
      </c>
      <c r="AK401" s="43" t="s">
        <v>663</v>
      </c>
      <c r="AL401" s="43"/>
      <c r="AM401" s="44">
        <f t="shared" si="43"/>
        <v>-2.0012818558036707</v>
      </c>
      <c r="AN401" s="44">
        <f t="shared" si="44"/>
        <v>-0.73876610645020102</v>
      </c>
      <c r="AO401" s="45">
        <f t="shared" si="45"/>
        <v>0</v>
      </c>
      <c r="AP401" s="46">
        <f t="shared" si="46"/>
        <v>0</v>
      </c>
      <c r="AQ401" s="44">
        <f>($AM$3*AM401+$AN$3*AN401+$AO$3*AO401+$AP$3*AP401)+$I$3*VLOOKUP(I401,COND!$A$2:$E$7,4,FALSE)+$J$3*VLOOKUP(J401,COND!$A$2:$C$7,2,FALSE)+$K$3*VLOOKUP(K401,COND!$A$2:$C$7,3,FALSE)+IF(AND($B$2&gt;0,$E401&lt;20),$B$2*25,0)</f>
        <v>40.634678537017223</v>
      </c>
      <c r="AR401" s="47">
        <f t="shared" si="47"/>
        <v>-0.77536644392122944</v>
      </c>
      <c r="AS401" s="45" t="str">
        <f t="shared" si="48"/>
        <v>LF</v>
      </c>
      <c r="AT401" s="45">
        <f>RANK(Batters[[#This Row],[zScore]],Batters[[#All],[zScore]])</f>
        <v>397</v>
      </c>
      <c r="AU401" s="45"/>
      <c r="AV401" s="45"/>
      <c r="AW401" s="45" t="str">
        <f t="shared" si="49"/>
        <v>Unlikely</v>
      </c>
      <c r="AX401" s="45"/>
      <c r="AY401" s="64" t="str">
        <f>INDEX(Table5[[#All],[Ovr]],MATCH(Batters[[#This Row],[PID]],Table5[[#All],[PID]],0))</f>
        <v/>
      </c>
      <c r="AZ401" s="64" t="str">
        <f>INDEX(Table5[[#All],[Rnd]],MATCH(Batters[[#This Row],[PID]],Table5[[#All],[PID]],0))</f>
        <v/>
      </c>
      <c r="BA401" s="64" t="str">
        <f>INDEX(Table5[[#All],[Pick]],MATCH(Batters[[#This Row],[PID]],Table5[[#All],[PID]],0))</f>
        <v/>
      </c>
      <c r="BB401" s="64" t="str">
        <f>INDEX(Table5[[#All],[Team]],MATCH(Batters[[#This Row],[PID]],Table5[[#All],[PID]],0))</f>
        <v/>
      </c>
    </row>
    <row r="402" spans="1:54" ht="15" customHeight="1" x14ac:dyDescent="0.25">
      <c r="A402" s="40">
        <v>20987</v>
      </c>
      <c r="B402" s="40" t="s">
        <v>86</v>
      </c>
      <c r="C402" s="40" t="s">
        <v>370</v>
      </c>
      <c r="D402" s="40" t="s">
        <v>1594</v>
      </c>
      <c r="E402" s="40">
        <v>17</v>
      </c>
      <c r="F402" s="40" t="s">
        <v>42</v>
      </c>
      <c r="G402" s="40" t="s">
        <v>42</v>
      </c>
      <c r="H402" s="41" t="s">
        <v>638</v>
      </c>
      <c r="I402" s="65" t="s">
        <v>43</v>
      </c>
      <c r="J402" s="66" t="s">
        <v>44</v>
      </c>
      <c r="K402" s="67" t="s">
        <v>43</v>
      </c>
      <c r="L402" s="40">
        <v>1</v>
      </c>
      <c r="M402" s="40">
        <v>2</v>
      </c>
      <c r="N402" s="40">
        <v>2</v>
      </c>
      <c r="O402" s="40">
        <v>3</v>
      </c>
      <c r="P402" s="41">
        <v>1</v>
      </c>
      <c r="Q402" s="40">
        <v>2</v>
      </c>
      <c r="R402" s="40">
        <v>4</v>
      </c>
      <c r="S402" s="40">
        <v>4</v>
      </c>
      <c r="T402" s="40">
        <v>7</v>
      </c>
      <c r="U402" s="41">
        <v>3</v>
      </c>
      <c r="V402" s="40">
        <v>5</v>
      </c>
      <c r="W402" s="40">
        <v>4</v>
      </c>
      <c r="X402" s="40">
        <v>5</v>
      </c>
      <c r="Y402" s="41">
        <v>5</v>
      </c>
      <c r="Z402" s="40" t="s">
        <v>45</v>
      </c>
      <c r="AA402" s="40" t="s">
        <v>45</v>
      </c>
      <c r="AB402" s="40" t="s">
        <v>45</v>
      </c>
      <c r="AC402" s="40" t="s">
        <v>45</v>
      </c>
      <c r="AD402" s="40" t="s">
        <v>45</v>
      </c>
      <c r="AE402" s="40" t="s">
        <v>45</v>
      </c>
      <c r="AF402" s="40" t="s">
        <v>45</v>
      </c>
      <c r="AG402" s="41" t="s">
        <v>45</v>
      </c>
      <c r="AH402" s="40">
        <v>1</v>
      </c>
      <c r="AI402" s="40">
        <v>1</v>
      </c>
      <c r="AJ402" s="41">
        <v>3</v>
      </c>
      <c r="AK402" s="43" t="s">
        <v>644</v>
      </c>
      <c r="AL402" s="43" t="s">
        <v>47</v>
      </c>
      <c r="AM402" s="44">
        <f t="shared" si="43"/>
        <v>-1.7708028761658048</v>
      </c>
      <c r="AN402" s="44">
        <f t="shared" si="44"/>
        <v>-0.74113341300542923</v>
      </c>
      <c r="AO402" s="45">
        <f t="shared" si="45"/>
        <v>0</v>
      </c>
      <c r="AP402" s="46">
        <f t="shared" si="46"/>
        <v>0</v>
      </c>
      <c r="AQ402" s="44">
        <f>($AM$3*AM402+$AN$3*AN402+$AO$3*AO402+$AP$3*AP402)+$I$3*VLOOKUP(I402,COND!$A$2:$E$7,4,FALSE)+$J$3*VLOOKUP(J402,COND!$A$2:$C$7,2,FALSE)+$K$3*VLOOKUP(K402,COND!$A$2:$C$7,3,FALSE)+IF(AND($B$2&gt;0,$E402&lt;20),$B$2*25,0)</f>
        <v>40.62931875631827</v>
      </c>
      <c r="AR402" s="47">
        <f t="shared" si="47"/>
        <v>-0.77655474353094256</v>
      </c>
      <c r="AS402" s="45" t="str">
        <f t="shared" si="48"/>
        <v>DH</v>
      </c>
      <c r="AT402" s="45">
        <f>RANK(Batters[[#This Row],[zScore]],Batters[[#All],[zScore]])</f>
        <v>398</v>
      </c>
      <c r="AU402" s="45"/>
      <c r="AV402" s="45"/>
      <c r="AW402" s="45" t="str">
        <f t="shared" si="49"/>
        <v>Unlikely</v>
      </c>
      <c r="AX402" s="45"/>
      <c r="AY402" s="45" t="str">
        <f>INDEX(Table5[[#All],[Ovr]],MATCH(Batters[[#This Row],[PID]],Table5[[#All],[PID]],0))</f>
        <v/>
      </c>
      <c r="AZ402" s="45" t="str">
        <f>INDEX(Table5[[#All],[Rnd]],MATCH(Batters[[#This Row],[PID]],Table5[[#All],[PID]],0))</f>
        <v/>
      </c>
      <c r="BA402" s="45" t="str">
        <f>INDEX(Table5[[#All],[Pick]],MATCH(Batters[[#This Row],[PID]],Table5[[#All],[PID]],0))</f>
        <v/>
      </c>
      <c r="BB402" s="45" t="str">
        <f>INDEX(Table5[[#All],[Team]],MATCH(Batters[[#This Row],[PID]],Table5[[#All],[PID]],0))</f>
        <v/>
      </c>
    </row>
    <row r="403" spans="1:54" ht="15" customHeight="1" x14ac:dyDescent="0.25">
      <c r="A403" s="40">
        <v>10046</v>
      </c>
      <c r="B403" s="40" t="s">
        <v>69</v>
      </c>
      <c r="C403" s="40" t="s">
        <v>176</v>
      </c>
      <c r="D403" s="40" t="s">
        <v>879</v>
      </c>
      <c r="E403" s="40">
        <v>22</v>
      </c>
      <c r="F403" s="40" t="s">
        <v>53</v>
      </c>
      <c r="G403" s="40" t="s">
        <v>42</v>
      </c>
      <c r="H403" s="41" t="s">
        <v>638</v>
      </c>
      <c r="I403" s="65" t="s">
        <v>43</v>
      </c>
      <c r="J403" s="66" t="s">
        <v>44</v>
      </c>
      <c r="K403" s="67" t="s">
        <v>47</v>
      </c>
      <c r="L403" s="40">
        <v>2</v>
      </c>
      <c r="M403" s="40">
        <v>3</v>
      </c>
      <c r="N403" s="40">
        <v>2</v>
      </c>
      <c r="O403" s="40">
        <v>2</v>
      </c>
      <c r="P403" s="41">
        <v>3</v>
      </c>
      <c r="Q403" s="40">
        <v>4</v>
      </c>
      <c r="R403" s="40">
        <v>4</v>
      </c>
      <c r="S403" s="40">
        <v>3</v>
      </c>
      <c r="T403" s="40">
        <v>4</v>
      </c>
      <c r="U403" s="41">
        <v>5</v>
      </c>
      <c r="V403" s="40">
        <v>8</v>
      </c>
      <c r="W403" s="40">
        <v>7</v>
      </c>
      <c r="X403" s="40">
        <v>1</v>
      </c>
      <c r="Y403" s="41">
        <v>1</v>
      </c>
      <c r="Z403" s="40" t="s">
        <v>45</v>
      </c>
      <c r="AA403" s="40" t="s">
        <v>45</v>
      </c>
      <c r="AB403" s="40" t="s">
        <v>45</v>
      </c>
      <c r="AC403" s="40">
        <v>2</v>
      </c>
      <c r="AD403" s="40" t="s">
        <v>45</v>
      </c>
      <c r="AE403" s="40" t="s">
        <v>45</v>
      </c>
      <c r="AF403" s="40" t="s">
        <v>45</v>
      </c>
      <c r="AG403" s="41" t="s">
        <v>45</v>
      </c>
      <c r="AH403" s="40">
        <v>3</v>
      </c>
      <c r="AI403" s="40">
        <v>5</v>
      </c>
      <c r="AJ403" s="41">
        <v>7</v>
      </c>
      <c r="AK403" s="43" t="s">
        <v>45</v>
      </c>
      <c r="AL403" s="43" t="s">
        <v>635</v>
      </c>
      <c r="AM403" s="44">
        <f t="shared" si="43"/>
        <v>-1.406864030719841</v>
      </c>
      <c r="AN403" s="44">
        <f t="shared" si="44"/>
        <v>-0.36817920501855744</v>
      </c>
      <c r="AO403" s="45">
        <f t="shared" si="45"/>
        <v>1</v>
      </c>
      <c r="AP403" s="46">
        <f t="shared" si="46"/>
        <v>0</v>
      </c>
      <c r="AQ403" s="44">
        <f>($AM$3*AM403+$AN$3*AN403+$AO$3*AO403+$AP$3*AP403)+$I$3*VLOOKUP(I403,COND!$A$2:$E$7,4,FALSE)+$J$3*VLOOKUP(J403,COND!$A$2:$C$7,2,FALSE)+$K$3*VLOOKUP(K403,COND!$A$2:$C$7,3,FALSE)+IF(AND($B$2&gt;0,$E403&lt;20),$B$2*25,0)</f>
        <v>40.607829803371999</v>
      </c>
      <c r="AR403" s="47">
        <f t="shared" si="47"/>
        <v>-0.78131898965097235</v>
      </c>
      <c r="AS403" s="45" t="str">
        <f t="shared" si="48"/>
        <v>3B</v>
      </c>
      <c r="AT403" s="45">
        <f>RANK(Batters[[#This Row],[zScore]],Batters[[#All],[zScore]])</f>
        <v>399</v>
      </c>
      <c r="AU403" s="45"/>
      <c r="AV403" s="45"/>
      <c r="AW403" s="45" t="str">
        <f t="shared" si="49"/>
        <v>Unlikely</v>
      </c>
      <c r="AX403" s="45"/>
      <c r="AY403" s="45" t="str">
        <f>INDEX(Table5[[#All],[Ovr]],MATCH(Batters[[#This Row],[PID]],Table5[[#All],[PID]],0))</f>
        <v/>
      </c>
      <c r="AZ403" s="45" t="str">
        <f>INDEX(Table5[[#All],[Rnd]],MATCH(Batters[[#This Row],[PID]],Table5[[#All],[PID]],0))</f>
        <v/>
      </c>
      <c r="BA403" s="45" t="str">
        <f>INDEX(Table5[[#All],[Pick]],MATCH(Batters[[#This Row],[PID]],Table5[[#All],[PID]],0))</f>
        <v/>
      </c>
      <c r="BB403" s="45" t="str">
        <f>INDEX(Table5[[#All],[Team]],MATCH(Batters[[#This Row],[PID]],Table5[[#All],[PID]],0))</f>
        <v/>
      </c>
    </row>
    <row r="404" spans="1:54" ht="15" customHeight="1" x14ac:dyDescent="0.25">
      <c r="A404" s="40">
        <v>18152</v>
      </c>
      <c r="B404" s="40" t="s">
        <v>74</v>
      </c>
      <c r="C404" s="40" t="s">
        <v>764</v>
      </c>
      <c r="D404" s="40" t="s">
        <v>1233</v>
      </c>
      <c r="E404" s="40">
        <v>21</v>
      </c>
      <c r="F404" s="40" t="s">
        <v>42</v>
      </c>
      <c r="G404" s="40" t="s">
        <v>42</v>
      </c>
      <c r="H404" s="41" t="s">
        <v>634</v>
      </c>
      <c r="I404" s="65" t="s">
        <v>43</v>
      </c>
      <c r="J404" s="66" t="s">
        <v>43</v>
      </c>
      <c r="K404" s="67" t="s">
        <v>43</v>
      </c>
      <c r="L404" s="40">
        <v>2</v>
      </c>
      <c r="M404" s="40">
        <v>2</v>
      </c>
      <c r="N404" s="40">
        <v>2</v>
      </c>
      <c r="O404" s="40">
        <v>2</v>
      </c>
      <c r="P404" s="41">
        <v>4</v>
      </c>
      <c r="Q404" s="40">
        <v>4</v>
      </c>
      <c r="R404" s="40">
        <v>3</v>
      </c>
      <c r="S404" s="40">
        <v>2</v>
      </c>
      <c r="T404" s="40">
        <v>4</v>
      </c>
      <c r="U404" s="41">
        <v>5</v>
      </c>
      <c r="V404" s="40">
        <v>2</v>
      </c>
      <c r="W404" s="40">
        <v>6</v>
      </c>
      <c r="X404" s="40">
        <v>1</v>
      </c>
      <c r="Y404" s="41">
        <v>1</v>
      </c>
      <c r="Z404" s="40" t="s">
        <v>45</v>
      </c>
      <c r="AA404" s="40" t="s">
        <v>45</v>
      </c>
      <c r="AB404" s="40" t="s">
        <v>45</v>
      </c>
      <c r="AC404" s="40" t="s">
        <v>45</v>
      </c>
      <c r="AD404" s="40" t="s">
        <v>45</v>
      </c>
      <c r="AE404" s="40" t="s">
        <v>45</v>
      </c>
      <c r="AF404" s="40">
        <v>6</v>
      </c>
      <c r="AG404" s="41">
        <v>4</v>
      </c>
      <c r="AH404" s="40">
        <v>10</v>
      </c>
      <c r="AI404" s="40">
        <v>9</v>
      </c>
      <c r="AJ404" s="41">
        <v>10</v>
      </c>
      <c r="AK404" s="43" t="s">
        <v>45</v>
      </c>
      <c r="AL404" s="43" t="s">
        <v>47</v>
      </c>
      <c r="AM404" s="44">
        <f t="shared" si="43"/>
        <v>-1.417907570521461</v>
      </c>
      <c r="AN404" s="44">
        <f t="shared" si="44"/>
        <v>-0.5023005786611624</v>
      </c>
      <c r="AO404" s="45">
        <f t="shared" si="45"/>
        <v>6</v>
      </c>
      <c r="AP404" s="46">
        <f t="shared" si="46"/>
        <v>0.75</v>
      </c>
      <c r="AQ404" s="44">
        <f>($AM$3*AM404+$AN$3*AN404+$AO$3*AO404+$AP$3*AP404)+$I$3*VLOOKUP(I404,COND!$A$2:$E$7,4,FALSE)+$J$3*VLOOKUP(J404,COND!$A$2:$C$7,2,FALSE)+$K$3*VLOOKUP(K404,COND!$A$2:$C$7,3,FALSE)+IF(AND($B$2&gt;0,$E404&lt;20),$B$2*25,0)</f>
        <v>40.580602299013904</v>
      </c>
      <c r="AR404" s="47">
        <f t="shared" si="47"/>
        <v>-0.78735551140801108</v>
      </c>
      <c r="AS404" s="45" t="str">
        <f t="shared" si="48"/>
        <v>CF</v>
      </c>
      <c r="AT404" s="45">
        <f>RANK(Batters[[#This Row],[zScore]],Batters[[#All],[zScore]])</f>
        <v>400</v>
      </c>
      <c r="AU404" s="45"/>
      <c r="AV404" s="45"/>
      <c r="AW404" s="45" t="str">
        <f t="shared" si="49"/>
        <v>Unlikely</v>
      </c>
      <c r="AX404" s="45"/>
      <c r="AY404" s="45">
        <f>INDEX(Table5[[#All],[Ovr]],MATCH(Batters[[#This Row],[PID]],Table5[[#All],[PID]],0))</f>
        <v>121</v>
      </c>
      <c r="AZ404" s="45" t="str">
        <f>INDEX(Table5[[#All],[Rnd]],MATCH(Batters[[#This Row],[PID]],Table5[[#All],[PID]],0))</f>
        <v>4</v>
      </c>
      <c r="BA404" s="45">
        <f>INDEX(Table5[[#All],[Pick]],MATCH(Batters[[#This Row],[PID]],Table5[[#All],[PID]],0))</f>
        <v>21</v>
      </c>
      <c r="BB404" s="45" t="str">
        <f>INDEX(Table5[[#All],[Team]],MATCH(Batters[[#This Row],[PID]],Table5[[#All],[PID]],0))</f>
        <v>Havana Leones</v>
      </c>
    </row>
    <row r="405" spans="1:54" ht="15" customHeight="1" x14ac:dyDescent="0.25">
      <c r="A405" s="40">
        <v>20938</v>
      </c>
      <c r="B405" s="40" t="s">
        <v>86</v>
      </c>
      <c r="C405" s="40" t="s">
        <v>136</v>
      </c>
      <c r="D405" s="40" t="s">
        <v>157</v>
      </c>
      <c r="E405" s="40">
        <v>16</v>
      </c>
      <c r="F405" s="40" t="s">
        <v>42</v>
      </c>
      <c r="G405" s="40" t="s">
        <v>42</v>
      </c>
      <c r="H405" s="41" t="s">
        <v>647</v>
      </c>
      <c r="I405" s="65" t="s">
        <v>43</v>
      </c>
      <c r="J405" s="66" t="s">
        <v>43</v>
      </c>
      <c r="K405" s="67" t="s">
        <v>43</v>
      </c>
      <c r="L405" s="40">
        <v>1</v>
      </c>
      <c r="M405" s="40">
        <v>2</v>
      </c>
      <c r="N405" s="40">
        <v>2</v>
      </c>
      <c r="O405" s="40">
        <v>1</v>
      </c>
      <c r="P405" s="41">
        <v>1</v>
      </c>
      <c r="Q405" s="40">
        <v>3</v>
      </c>
      <c r="R405" s="40">
        <v>5</v>
      </c>
      <c r="S405" s="40">
        <v>3</v>
      </c>
      <c r="T405" s="40">
        <v>3</v>
      </c>
      <c r="U405" s="41">
        <v>4</v>
      </c>
      <c r="V405" s="40">
        <v>1</v>
      </c>
      <c r="W405" s="40">
        <v>1</v>
      </c>
      <c r="X405" s="40">
        <v>2</v>
      </c>
      <c r="Y405" s="41">
        <v>5</v>
      </c>
      <c r="Z405" s="40" t="s">
        <v>45</v>
      </c>
      <c r="AA405" s="40" t="s">
        <v>45</v>
      </c>
      <c r="AB405" s="40" t="s">
        <v>45</v>
      </c>
      <c r="AC405" s="40" t="s">
        <v>45</v>
      </c>
      <c r="AD405" s="40" t="s">
        <v>45</v>
      </c>
      <c r="AE405" s="40" t="s">
        <v>45</v>
      </c>
      <c r="AF405" s="40" t="s">
        <v>45</v>
      </c>
      <c r="AG405" s="41" t="s">
        <v>45</v>
      </c>
      <c r="AH405" s="40">
        <v>2</v>
      </c>
      <c r="AI405" s="40">
        <v>3</v>
      </c>
      <c r="AJ405" s="41">
        <v>1</v>
      </c>
      <c r="AK405" s="43" t="s">
        <v>644</v>
      </c>
      <c r="AL405" s="43"/>
      <c r="AM405" s="44">
        <f t="shared" si="43"/>
        <v>-1.9502219761849671</v>
      </c>
      <c r="AN405" s="44">
        <f t="shared" si="44"/>
        <v>-0.76940105142919324</v>
      </c>
      <c r="AO405" s="45">
        <f t="shared" si="45"/>
        <v>0</v>
      </c>
      <c r="AP405" s="46">
        <f t="shared" si="46"/>
        <v>0</v>
      </c>
      <c r="AQ405" s="44">
        <f>($AM$3*AM405+$AN$3*AN405+$AO$3*AO405+$AP$3*AP405)+$I$3*VLOOKUP(I405,COND!$A$2:$E$7,4,FALSE)+$J$3*VLOOKUP(J405,COND!$A$2:$C$7,2,FALSE)+$K$3*VLOOKUP(K405,COND!$A$2:$C$7,3,FALSE)+IF(AND($B$2&gt;0,$E405&lt;20),$B$2*25,0)</f>
        <v>40.572165185231185</v>
      </c>
      <c r="AR405" s="47">
        <f t="shared" si="47"/>
        <v>-0.78922607656323629</v>
      </c>
      <c r="AS405" s="45" t="str">
        <f t="shared" si="48"/>
        <v>DH</v>
      </c>
      <c r="AT405" s="45">
        <f>RANK(Batters[[#This Row],[zScore]],Batters[[#All],[zScore]])</f>
        <v>401</v>
      </c>
      <c r="AU405" s="45"/>
      <c r="AV405" s="45"/>
      <c r="AW405" s="45" t="str">
        <f t="shared" si="49"/>
        <v>Unlikely</v>
      </c>
      <c r="AX405" s="45"/>
      <c r="AY405" s="64" t="str">
        <f>INDEX(Table5[[#All],[Ovr]],MATCH(Batters[[#This Row],[PID]],Table5[[#All],[PID]],0))</f>
        <v/>
      </c>
      <c r="AZ405" s="64" t="str">
        <f>INDEX(Table5[[#All],[Rnd]],MATCH(Batters[[#This Row],[PID]],Table5[[#All],[PID]],0))</f>
        <v/>
      </c>
      <c r="BA405" s="64" t="str">
        <f>INDEX(Table5[[#All],[Pick]],MATCH(Batters[[#This Row],[PID]],Table5[[#All],[PID]],0))</f>
        <v/>
      </c>
      <c r="BB405" s="64" t="str">
        <f>INDEX(Table5[[#All],[Team]],MATCH(Batters[[#This Row],[PID]],Table5[[#All],[PID]],0))</f>
        <v/>
      </c>
    </row>
    <row r="406" spans="1:54" ht="15" customHeight="1" x14ac:dyDescent="0.25">
      <c r="A406" s="40">
        <v>17017</v>
      </c>
      <c r="B406" s="40" t="s">
        <v>50</v>
      </c>
      <c r="C406" s="40" t="s">
        <v>1479</v>
      </c>
      <c r="D406" s="40" t="s">
        <v>618</v>
      </c>
      <c r="E406" s="40">
        <v>21</v>
      </c>
      <c r="F406" s="40" t="s">
        <v>53</v>
      </c>
      <c r="G406" s="40" t="s">
        <v>53</v>
      </c>
      <c r="H406" s="41" t="s">
        <v>638</v>
      </c>
      <c r="I406" s="65" t="s">
        <v>43</v>
      </c>
      <c r="J406" s="66" t="s">
        <v>47</v>
      </c>
      <c r="K406" s="67" t="s">
        <v>43</v>
      </c>
      <c r="L406" s="40">
        <v>2</v>
      </c>
      <c r="M406" s="40">
        <v>5</v>
      </c>
      <c r="N406" s="40">
        <v>2</v>
      </c>
      <c r="O406" s="40">
        <v>3</v>
      </c>
      <c r="P406" s="41">
        <v>3</v>
      </c>
      <c r="Q406" s="40">
        <v>4</v>
      </c>
      <c r="R406" s="40">
        <v>5</v>
      </c>
      <c r="S406" s="40">
        <v>2</v>
      </c>
      <c r="T406" s="40">
        <v>4</v>
      </c>
      <c r="U406" s="41">
        <v>5</v>
      </c>
      <c r="V406" s="40">
        <v>1</v>
      </c>
      <c r="W406" s="40">
        <v>4</v>
      </c>
      <c r="X406" s="40">
        <v>1</v>
      </c>
      <c r="Y406" s="41">
        <v>1</v>
      </c>
      <c r="Z406" s="40" t="s">
        <v>45</v>
      </c>
      <c r="AA406" s="40" t="s">
        <v>45</v>
      </c>
      <c r="AB406" s="40" t="s">
        <v>45</v>
      </c>
      <c r="AC406" s="40" t="s">
        <v>45</v>
      </c>
      <c r="AD406" s="40" t="s">
        <v>45</v>
      </c>
      <c r="AE406" s="40">
        <v>2</v>
      </c>
      <c r="AF406" s="40" t="s">
        <v>45</v>
      </c>
      <c r="AG406" s="41" t="s">
        <v>45</v>
      </c>
      <c r="AH406" s="40">
        <v>4</v>
      </c>
      <c r="AI406" s="40">
        <v>9</v>
      </c>
      <c r="AJ406" s="41">
        <v>5</v>
      </c>
      <c r="AK406" s="43" t="s">
        <v>45</v>
      </c>
      <c r="AL406" s="43" t="s">
        <v>635</v>
      </c>
      <c r="AM406" s="44">
        <f t="shared" si="43"/>
        <v>-1.215034721472853</v>
      </c>
      <c r="AN406" s="44">
        <f t="shared" si="44"/>
        <v>-0.40018081942375544</v>
      </c>
      <c r="AO406" s="45">
        <f t="shared" si="45"/>
        <v>1</v>
      </c>
      <c r="AP406" s="46">
        <f t="shared" si="46"/>
        <v>0</v>
      </c>
      <c r="AQ406" s="44">
        <f>($AM$3*AM406+$AN$3*AN406+$AO$3*AO406+$AP$3*AP406)+$I$3*VLOOKUP(I406,COND!$A$2:$E$7,4,FALSE)+$J$3*VLOOKUP(J406,COND!$A$2:$C$7,2,FALSE)+$K$3*VLOOKUP(K406,COND!$A$2:$C$7,3,FALSE)+IF(AND($B$2&gt;0,$E406&lt;20),$B$2*25,0)</f>
        <v>40.542993361434313</v>
      </c>
      <c r="AR406" s="47">
        <f t="shared" si="47"/>
        <v>-0.79569366708223166</v>
      </c>
      <c r="AS406" s="45" t="str">
        <f t="shared" si="48"/>
        <v>LF</v>
      </c>
      <c r="AT406" s="45">
        <f>RANK(Batters[[#This Row],[zScore]],Batters[[#All],[zScore]])</f>
        <v>402</v>
      </c>
      <c r="AU406" s="45"/>
      <c r="AV406" s="45"/>
      <c r="AW406" s="45" t="str">
        <f t="shared" si="49"/>
        <v>Unlikely</v>
      </c>
      <c r="AX406" s="45"/>
      <c r="AY406" s="45">
        <f>INDEX(Table5[[#All],[Ovr]],MATCH(Batters[[#This Row],[PID]],Table5[[#All],[PID]],0))</f>
        <v>461</v>
      </c>
      <c r="AZ406" s="45" t="str">
        <f>INDEX(Table5[[#All],[Rnd]],MATCH(Batters[[#This Row],[PID]],Table5[[#All],[PID]],0))</f>
        <v>16</v>
      </c>
      <c r="BA406" s="45">
        <f>INDEX(Table5[[#All],[Pick]],MATCH(Batters[[#This Row],[PID]],Table5[[#All],[PID]],0))</f>
        <v>3</v>
      </c>
      <c r="BB406" s="45" t="str">
        <f>INDEX(Table5[[#All],[Team]],MATCH(Batters[[#This Row],[PID]],Table5[[#All],[PID]],0))</f>
        <v>New Orleans Trendsetters</v>
      </c>
    </row>
    <row r="407" spans="1:54" ht="15" customHeight="1" x14ac:dyDescent="0.25">
      <c r="A407" s="40">
        <v>20414</v>
      </c>
      <c r="B407" s="40" t="s">
        <v>86</v>
      </c>
      <c r="C407" s="40" t="s">
        <v>863</v>
      </c>
      <c r="D407" s="40" t="s">
        <v>1431</v>
      </c>
      <c r="E407" s="40">
        <v>18</v>
      </c>
      <c r="F407" s="40" t="s">
        <v>42</v>
      </c>
      <c r="G407" s="40" t="s">
        <v>42</v>
      </c>
      <c r="H407" s="41" t="s">
        <v>638</v>
      </c>
      <c r="I407" s="65" t="s">
        <v>43</v>
      </c>
      <c r="J407" s="66" t="s">
        <v>44</v>
      </c>
      <c r="K407" s="67" t="s">
        <v>44</v>
      </c>
      <c r="L407" s="40">
        <v>1</v>
      </c>
      <c r="M407" s="40">
        <v>2</v>
      </c>
      <c r="N407" s="40">
        <v>2</v>
      </c>
      <c r="O407" s="40">
        <v>3</v>
      </c>
      <c r="P407" s="41">
        <v>1</v>
      </c>
      <c r="Q407" s="40">
        <v>3</v>
      </c>
      <c r="R407" s="40">
        <v>3</v>
      </c>
      <c r="S407" s="40">
        <v>2</v>
      </c>
      <c r="T407" s="40">
        <v>6</v>
      </c>
      <c r="U407" s="41">
        <v>3</v>
      </c>
      <c r="V407" s="40">
        <v>4</v>
      </c>
      <c r="W407" s="40">
        <v>3</v>
      </c>
      <c r="X407" s="40">
        <v>3</v>
      </c>
      <c r="Y407" s="41">
        <v>3</v>
      </c>
      <c r="Z407" s="40" t="s">
        <v>45</v>
      </c>
      <c r="AA407" s="40" t="s">
        <v>45</v>
      </c>
      <c r="AB407" s="40" t="s">
        <v>45</v>
      </c>
      <c r="AC407" s="40" t="s">
        <v>45</v>
      </c>
      <c r="AD407" s="40" t="s">
        <v>45</v>
      </c>
      <c r="AE407" s="40" t="s">
        <v>45</v>
      </c>
      <c r="AF407" s="40" t="s">
        <v>45</v>
      </c>
      <c r="AG407" s="41" t="s">
        <v>45</v>
      </c>
      <c r="AH407" s="40">
        <v>3</v>
      </c>
      <c r="AI407" s="40">
        <v>4</v>
      </c>
      <c r="AJ407" s="41">
        <v>3</v>
      </c>
      <c r="AK407" s="43" t="s">
        <v>659</v>
      </c>
      <c r="AL407" s="43" t="s">
        <v>635</v>
      </c>
      <c r="AM407" s="44">
        <f t="shared" si="43"/>
        <v>-1.7708028761658048</v>
      </c>
      <c r="AN407" s="44">
        <f t="shared" si="44"/>
        <v>-0.72546999447884186</v>
      </c>
      <c r="AO407" s="45">
        <f t="shared" si="45"/>
        <v>0</v>
      </c>
      <c r="AP407" s="46">
        <f t="shared" si="46"/>
        <v>0</v>
      </c>
      <c r="AQ407" s="44">
        <f>($AM$3*AM407+$AN$3*AN407+$AO$3*AO407+$AP$3*AP407)+$I$3*VLOOKUP(I407,COND!$A$2:$E$7,4,FALSE)+$J$3*VLOOKUP(J407,COND!$A$2:$C$7,2,FALSE)+$K$3*VLOOKUP(K407,COND!$A$2:$C$7,3,FALSE)+IF(AND($B$2&gt;0,$E407&lt;20),$B$2*25,0)</f>
        <v>40.517279778637317</v>
      </c>
      <c r="AR407" s="47">
        <f t="shared" si="47"/>
        <v>-0.8013945421960148</v>
      </c>
      <c r="AS407" s="45" t="str">
        <f t="shared" si="48"/>
        <v>DH</v>
      </c>
      <c r="AT407" s="45">
        <f>RANK(Batters[[#This Row],[zScore]],Batters[[#All],[zScore]])</f>
        <v>403</v>
      </c>
      <c r="AU407" s="45"/>
      <c r="AV407" s="45"/>
      <c r="AW407" s="45" t="str">
        <f t="shared" si="49"/>
        <v>Unlikely</v>
      </c>
      <c r="AX407" s="45"/>
      <c r="AY407" s="45" t="str">
        <f>INDEX(Table5[[#All],[Ovr]],MATCH(Batters[[#This Row],[PID]],Table5[[#All],[PID]],0))</f>
        <v/>
      </c>
      <c r="AZ407" s="45" t="str">
        <f>INDEX(Table5[[#All],[Rnd]],MATCH(Batters[[#This Row],[PID]],Table5[[#All],[PID]],0))</f>
        <v/>
      </c>
      <c r="BA407" s="45" t="str">
        <f>INDEX(Table5[[#All],[Pick]],MATCH(Batters[[#This Row],[PID]],Table5[[#All],[PID]],0))</f>
        <v/>
      </c>
      <c r="BB407" s="45" t="str">
        <f>INDEX(Table5[[#All],[Team]],MATCH(Batters[[#This Row],[PID]],Table5[[#All],[PID]],0))</f>
        <v/>
      </c>
    </row>
    <row r="408" spans="1:54" ht="15" customHeight="1" x14ac:dyDescent="0.25">
      <c r="A408" s="40">
        <v>17774</v>
      </c>
      <c r="B408" s="40" t="s">
        <v>66</v>
      </c>
      <c r="C408" s="40" t="s">
        <v>1646</v>
      </c>
      <c r="D408" s="40" t="s">
        <v>557</v>
      </c>
      <c r="E408" s="40">
        <v>21</v>
      </c>
      <c r="F408" s="40" t="s">
        <v>53</v>
      </c>
      <c r="G408" s="40" t="s">
        <v>53</v>
      </c>
      <c r="H408" s="41" t="s">
        <v>638</v>
      </c>
      <c r="I408" s="65" t="s">
        <v>43</v>
      </c>
      <c r="J408" s="66" t="s">
        <v>43</v>
      </c>
      <c r="K408" s="67" t="s">
        <v>44</v>
      </c>
      <c r="L408" s="40">
        <v>2</v>
      </c>
      <c r="M408" s="40">
        <v>2</v>
      </c>
      <c r="N408" s="40">
        <v>3</v>
      </c>
      <c r="O408" s="40">
        <v>4</v>
      </c>
      <c r="P408" s="41">
        <v>1</v>
      </c>
      <c r="Q408" s="40">
        <v>3</v>
      </c>
      <c r="R408" s="40">
        <v>4</v>
      </c>
      <c r="S408" s="40">
        <v>5</v>
      </c>
      <c r="T408" s="40">
        <v>6</v>
      </c>
      <c r="U408" s="41">
        <v>3</v>
      </c>
      <c r="V408" s="40">
        <v>2</v>
      </c>
      <c r="W408" s="40">
        <v>4</v>
      </c>
      <c r="X408" s="40">
        <v>1</v>
      </c>
      <c r="Y408" s="41">
        <v>1</v>
      </c>
      <c r="Z408" s="40" t="s">
        <v>45</v>
      </c>
      <c r="AA408" s="40" t="s">
        <v>45</v>
      </c>
      <c r="AB408" s="40" t="s">
        <v>45</v>
      </c>
      <c r="AC408" s="40" t="s">
        <v>45</v>
      </c>
      <c r="AD408" s="40" t="s">
        <v>45</v>
      </c>
      <c r="AE408" s="40">
        <v>5</v>
      </c>
      <c r="AF408" s="40">
        <v>1</v>
      </c>
      <c r="AG408" s="41">
        <v>3</v>
      </c>
      <c r="AH408" s="40">
        <v>10</v>
      </c>
      <c r="AI408" s="40">
        <v>9</v>
      </c>
      <c r="AJ408" s="41">
        <v>10</v>
      </c>
      <c r="AK408" s="43" t="s">
        <v>643</v>
      </c>
      <c r="AL408" s="43"/>
      <c r="AM408" s="44">
        <f t="shared" si="43"/>
        <v>-1.2754759959296478</v>
      </c>
      <c r="AN408" s="44">
        <f t="shared" si="44"/>
        <v>-0.42522563278843395</v>
      </c>
      <c r="AO408" s="45">
        <f t="shared" si="45"/>
        <v>6</v>
      </c>
      <c r="AP408" s="46">
        <f t="shared" si="46"/>
        <v>0</v>
      </c>
      <c r="AQ408" s="44">
        <f>($AM$3*AM408+$AN$3*AN408+$AO$3*AO408+$AP$3*AP408)+$I$3*VLOOKUP(I408,COND!$A$2:$E$7,4,FALSE)+$J$3*VLOOKUP(J408,COND!$A$2:$C$7,2,FALSE)+$K$3*VLOOKUP(K408,COND!$A$2:$C$7,3,FALSE)+IF(AND($B$2&gt;0,$E408&lt;20),$B$2*25,0)</f>
        <v>40.469744806945826</v>
      </c>
      <c r="AR408" s="47">
        <f t="shared" si="47"/>
        <v>-0.81193336672660732</v>
      </c>
      <c r="AS408" s="45" t="str">
        <f t="shared" si="48"/>
        <v>LF</v>
      </c>
      <c r="AT408" s="45">
        <f>RANK(Batters[[#This Row],[zScore]],Batters[[#All],[zScore]])</f>
        <v>404</v>
      </c>
      <c r="AU408" s="45"/>
      <c r="AV408" s="45"/>
      <c r="AW408" s="45" t="str">
        <f t="shared" si="49"/>
        <v>Unlikely</v>
      </c>
      <c r="AX408" s="45"/>
      <c r="AY408" s="64">
        <f>INDEX(Table5[[#All],[Ovr]],MATCH(Batters[[#This Row],[PID]],Table5[[#All],[PID]],0))</f>
        <v>506</v>
      </c>
      <c r="AZ408" s="64" t="str">
        <f>INDEX(Table5[[#All],[Rnd]],MATCH(Batters[[#This Row],[PID]],Table5[[#All],[PID]],0))</f>
        <v>17</v>
      </c>
      <c r="BA408" s="64">
        <f>INDEX(Table5[[#All],[Pick]],MATCH(Batters[[#This Row],[PID]],Table5[[#All],[PID]],0))</f>
        <v>18</v>
      </c>
      <c r="BB408" s="64" t="str">
        <f>INDEX(Table5[[#All],[Team]],MATCH(Batters[[#This Row],[PID]],Table5[[#All],[PID]],0))</f>
        <v>Bakersfield Bears</v>
      </c>
    </row>
    <row r="409" spans="1:54" ht="15" customHeight="1" x14ac:dyDescent="0.25">
      <c r="A409" s="40">
        <v>17826</v>
      </c>
      <c r="B409" s="40" t="s">
        <v>86</v>
      </c>
      <c r="C409" s="40" t="s">
        <v>182</v>
      </c>
      <c r="D409" s="40" t="s">
        <v>1395</v>
      </c>
      <c r="E409" s="40">
        <v>18</v>
      </c>
      <c r="F409" s="40" t="s">
        <v>53</v>
      </c>
      <c r="G409" s="40" t="s">
        <v>42</v>
      </c>
      <c r="H409" s="41" t="s">
        <v>638</v>
      </c>
      <c r="I409" s="65" t="s">
        <v>43</v>
      </c>
      <c r="J409" s="66" t="s">
        <v>47</v>
      </c>
      <c r="K409" s="67" t="s">
        <v>47</v>
      </c>
      <c r="L409" s="40">
        <v>1</v>
      </c>
      <c r="M409" s="40">
        <v>1</v>
      </c>
      <c r="N409" s="40">
        <v>2</v>
      </c>
      <c r="O409" s="40">
        <v>2</v>
      </c>
      <c r="P409" s="41">
        <v>1</v>
      </c>
      <c r="Q409" s="40">
        <v>2</v>
      </c>
      <c r="R409" s="40">
        <v>3</v>
      </c>
      <c r="S409" s="40">
        <v>4</v>
      </c>
      <c r="T409" s="40">
        <v>6</v>
      </c>
      <c r="U409" s="41">
        <v>2</v>
      </c>
      <c r="V409" s="40">
        <v>2</v>
      </c>
      <c r="W409" s="40">
        <v>2</v>
      </c>
      <c r="X409" s="40">
        <v>7</v>
      </c>
      <c r="Y409" s="41">
        <v>6</v>
      </c>
      <c r="Z409" s="40">
        <v>2</v>
      </c>
      <c r="AA409" s="40" t="s">
        <v>45</v>
      </c>
      <c r="AB409" s="40" t="s">
        <v>45</v>
      </c>
      <c r="AC409" s="40" t="s">
        <v>45</v>
      </c>
      <c r="AD409" s="40" t="s">
        <v>45</v>
      </c>
      <c r="AE409" s="40" t="s">
        <v>45</v>
      </c>
      <c r="AF409" s="40" t="s">
        <v>45</v>
      </c>
      <c r="AG409" s="41" t="s">
        <v>45</v>
      </c>
      <c r="AH409" s="40">
        <v>1</v>
      </c>
      <c r="AI409" s="40">
        <v>2</v>
      </c>
      <c r="AJ409" s="41">
        <v>1</v>
      </c>
      <c r="AK409" s="43" t="s">
        <v>644</v>
      </c>
      <c r="AL409" s="43" t="s">
        <v>47</v>
      </c>
      <c r="AM409" s="44">
        <f t="shared" si="43"/>
        <v>-1.9115723057940897</v>
      </c>
      <c r="AN409" s="44">
        <f t="shared" si="44"/>
        <v>-0.92191918245079729</v>
      </c>
      <c r="AO409" s="45">
        <f t="shared" si="45"/>
        <v>0</v>
      </c>
      <c r="AP409" s="46">
        <f t="shared" si="46"/>
        <v>1.1000000000000001</v>
      </c>
      <c r="AQ409" s="44">
        <f>($AM$3*AM409+$AN$3*AN409+$AO$3*AO409+$AP$3*AP409)+$I$3*VLOOKUP(I409,COND!$A$2:$E$7,4,FALSE)+$J$3*VLOOKUP(J409,COND!$A$2:$C$7,2,FALSE)+$K$3*VLOOKUP(K409,COND!$A$2:$C$7,3,FALSE)+IF(AND($B$2&gt;0,$E409&lt;20),$B$2*25,0)</f>
        <v>40.445812580011022</v>
      </c>
      <c r="AR409" s="47">
        <f t="shared" si="47"/>
        <v>-0.81723930320489424</v>
      </c>
      <c r="AS409" s="45" t="str">
        <f t="shared" si="48"/>
        <v>C</v>
      </c>
      <c r="AT409" s="45">
        <f>RANK(Batters[[#This Row],[zScore]],Batters[[#All],[zScore]])</f>
        <v>405</v>
      </c>
      <c r="AU409" s="45"/>
      <c r="AV409" s="45"/>
      <c r="AW409" s="45" t="str">
        <f t="shared" si="49"/>
        <v>Unlikely</v>
      </c>
      <c r="AX409" s="45"/>
      <c r="AY409" s="45">
        <f>INDEX(Table5[[#All],[Ovr]],MATCH(Batters[[#This Row],[PID]],Table5[[#All],[PID]],0))</f>
        <v>321</v>
      </c>
      <c r="AZ409" s="45" t="str">
        <f>INDEX(Table5[[#All],[Rnd]],MATCH(Batters[[#This Row],[PID]],Table5[[#All],[PID]],0))</f>
        <v>11</v>
      </c>
      <c r="BA409" s="45">
        <f>INDEX(Table5[[#All],[Pick]],MATCH(Batters[[#This Row],[PID]],Table5[[#All],[PID]],0))</f>
        <v>13</v>
      </c>
      <c r="BB409" s="45" t="str">
        <f>INDEX(Table5[[#All],[Team]],MATCH(Batters[[#This Row],[PID]],Table5[[#All],[PID]],0))</f>
        <v>Reno Zephyrs</v>
      </c>
    </row>
    <row r="410" spans="1:54" ht="15" customHeight="1" x14ac:dyDescent="0.25">
      <c r="A410" s="40">
        <v>20225</v>
      </c>
      <c r="B410" s="40" t="s">
        <v>87</v>
      </c>
      <c r="C410" s="40" t="s">
        <v>798</v>
      </c>
      <c r="D410" s="40" t="s">
        <v>1393</v>
      </c>
      <c r="E410" s="40">
        <v>22</v>
      </c>
      <c r="F410" s="40" t="s">
        <v>42</v>
      </c>
      <c r="G410" s="40" t="s">
        <v>42</v>
      </c>
      <c r="H410" s="41" t="s">
        <v>638</v>
      </c>
      <c r="I410" s="65" t="s">
        <v>43</v>
      </c>
      <c r="J410" s="66" t="s">
        <v>43</v>
      </c>
      <c r="K410" s="67" t="s">
        <v>43</v>
      </c>
      <c r="L410" s="40">
        <v>1</v>
      </c>
      <c r="M410" s="40">
        <v>3</v>
      </c>
      <c r="N410" s="40">
        <v>5</v>
      </c>
      <c r="O410" s="40">
        <v>4</v>
      </c>
      <c r="P410" s="41">
        <v>1</v>
      </c>
      <c r="Q410" s="40">
        <v>3</v>
      </c>
      <c r="R410" s="40">
        <v>5</v>
      </c>
      <c r="S410" s="40">
        <v>6</v>
      </c>
      <c r="T410" s="40">
        <v>6</v>
      </c>
      <c r="U410" s="41">
        <v>1</v>
      </c>
      <c r="V410" s="40">
        <v>2</v>
      </c>
      <c r="W410" s="40">
        <v>4</v>
      </c>
      <c r="X410" s="40">
        <v>1</v>
      </c>
      <c r="Y410" s="41">
        <v>1</v>
      </c>
      <c r="Z410" s="40" t="s">
        <v>45</v>
      </c>
      <c r="AA410" s="40">
        <v>5</v>
      </c>
      <c r="AB410" s="40" t="s">
        <v>45</v>
      </c>
      <c r="AC410" s="40" t="s">
        <v>45</v>
      </c>
      <c r="AD410" s="40" t="s">
        <v>45</v>
      </c>
      <c r="AE410" s="40" t="s">
        <v>45</v>
      </c>
      <c r="AF410" s="40" t="s">
        <v>45</v>
      </c>
      <c r="AG410" s="41" t="s">
        <v>45</v>
      </c>
      <c r="AH410" s="40">
        <v>1</v>
      </c>
      <c r="AI410" s="40">
        <v>5</v>
      </c>
      <c r="AJ410" s="41">
        <v>3</v>
      </c>
      <c r="AK410" s="43" t="s">
        <v>45</v>
      </c>
      <c r="AL410" s="43" t="s">
        <v>47</v>
      </c>
      <c r="AM410" s="44">
        <f t="shared" si="43"/>
        <v>-1.3808489644658157</v>
      </c>
      <c r="AN410" s="44">
        <f t="shared" si="44"/>
        <v>-0.37113693877999582</v>
      </c>
      <c r="AO410" s="45">
        <f t="shared" si="45"/>
        <v>0</v>
      </c>
      <c r="AP410" s="46">
        <f t="shared" si="46"/>
        <v>0</v>
      </c>
      <c r="AQ410" s="44">
        <f>($AM$3*AM410+$AN$3*AN410+$AO$3*AO410+$AP$3*AP410)+$I$3*VLOOKUP(I410,COND!$A$2:$E$7,4,FALSE)+$J$3*VLOOKUP(J410,COND!$A$2:$C$7,2,FALSE)+$K$3*VLOOKUP(K410,COND!$A$2:$C$7,3,FALSE)+IF(AND($B$2&gt;0,$E410&lt;20),$B$2*25,0)</f>
        <v>40.408271838193471</v>
      </c>
      <c r="AR410" s="47">
        <f t="shared" si="47"/>
        <v>-0.82556233941771007</v>
      </c>
      <c r="AS410" s="45" t="str">
        <f t="shared" si="48"/>
        <v>1B</v>
      </c>
      <c r="AT410" s="45">
        <f>RANK(Batters[[#This Row],[zScore]],Batters[[#All],[zScore]])</f>
        <v>406</v>
      </c>
      <c r="AU410" s="45"/>
      <c r="AV410" s="45"/>
      <c r="AW410" s="45" t="str">
        <f t="shared" si="49"/>
        <v>Unlikely</v>
      </c>
      <c r="AX410" s="45"/>
      <c r="AY410" s="45">
        <f>INDEX(Table5[[#All],[Ovr]],MATCH(Batters[[#This Row],[PID]],Table5[[#All],[PID]],0))</f>
        <v>413</v>
      </c>
      <c r="AZ410" s="45" t="str">
        <f>INDEX(Table5[[#All],[Rnd]],MATCH(Batters[[#This Row],[PID]],Table5[[#All],[PID]],0))</f>
        <v>14</v>
      </c>
      <c r="BA410" s="45">
        <f>INDEX(Table5[[#All],[Pick]],MATCH(Batters[[#This Row],[PID]],Table5[[#All],[PID]],0))</f>
        <v>15</v>
      </c>
      <c r="BB410" s="45" t="str">
        <f>INDEX(Table5[[#All],[Team]],MATCH(Batters[[#This Row],[PID]],Table5[[#All],[PID]],0))</f>
        <v>Kentucky Thoroughbreds</v>
      </c>
    </row>
    <row r="411" spans="1:54" ht="15" customHeight="1" x14ac:dyDescent="0.25">
      <c r="A411" s="40">
        <v>20618</v>
      </c>
      <c r="B411" s="40" t="s">
        <v>72</v>
      </c>
      <c r="C411" s="40" t="s">
        <v>1567</v>
      </c>
      <c r="D411" s="40" t="s">
        <v>1568</v>
      </c>
      <c r="E411" s="40">
        <v>18</v>
      </c>
      <c r="F411" s="40" t="s">
        <v>42</v>
      </c>
      <c r="G411" s="40" t="s">
        <v>42</v>
      </c>
      <c r="H411" s="41" t="s">
        <v>638</v>
      </c>
      <c r="I411" s="65" t="s">
        <v>44</v>
      </c>
      <c r="J411" s="66" t="s">
        <v>43</v>
      </c>
      <c r="K411" s="67" t="s">
        <v>43</v>
      </c>
      <c r="L411" s="40">
        <v>1</v>
      </c>
      <c r="M411" s="40">
        <v>2</v>
      </c>
      <c r="N411" s="40">
        <v>2</v>
      </c>
      <c r="O411" s="40">
        <v>2</v>
      </c>
      <c r="P411" s="41">
        <v>1</v>
      </c>
      <c r="Q411" s="40">
        <v>3</v>
      </c>
      <c r="R411" s="40">
        <v>3</v>
      </c>
      <c r="S411" s="40">
        <v>2</v>
      </c>
      <c r="T411" s="40">
        <v>5</v>
      </c>
      <c r="U411" s="41">
        <v>4</v>
      </c>
      <c r="V411" s="40">
        <v>8</v>
      </c>
      <c r="W411" s="40">
        <v>7</v>
      </c>
      <c r="X411" s="40">
        <v>1</v>
      </c>
      <c r="Y411" s="41">
        <v>1</v>
      </c>
      <c r="Z411" s="40" t="s">
        <v>45</v>
      </c>
      <c r="AA411" s="40" t="s">
        <v>45</v>
      </c>
      <c r="AB411" s="40">
        <v>1</v>
      </c>
      <c r="AC411" s="40" t="s">
        <v>45</v>
      </c>
      <c r="AD411" s="40">
        <v>2</v>
      </c>
      <c r="AE411" s="40" t="s">
        <v>45</v>
      </c>
      <c r="AF411" s="40" t="s">
        <v>45</v>
      </c>
      <c r="AG411" s="41" t="s">
        <v>45</v>
      </c>
      <c r="AH411" s="40">
        <v>7</v>
      </c>
      <c r="AI411" s="40">
        <v>5</v>
      </c>
      <c r="AJ411" s="41">
        <v>4</v>
      </c>
      <c r="AK411" s="43" t="s">
        <v>556</v>
      </c>
      <c r="AL411" s="43" t="s">
        <v>47</v>
      </c>
      <c r="AM411" s="44">
        <f t="shared" si="43"/>
        <v>-1.8605124261753858</v>
      </c>
      <c r="AN411" s="44">
        <f t="shared" si="44"/>
        <v>-0.77516320467133948</v>
      </c>
      <c r="AO411" s="45">
        <f t="shared" si="45"/>
        <v>0</v>
      </c>
      <c r="AP411" s="46">
        <f t="shared" si="46"/>
        <v>0</v>
      </c>
      <c r="AQ411" s="44">
        <f>($AM$3*AM411+$AN$3*AN411+$AO$3*AO411+$AP$3*AP411)+$I$3*VLOOKUP(I411,COND!$A$2:$E$7,4,FALSE)+$J$3*VLOOKUP(J411,COND!$A$2:$C$7,2,FALSE)+$K$3*VLOOKUP(K411,COND!$A$2:$C$7,3,FALSE)+IF(AND($B$2&gt;0,$E411&lt;20),$B$2*25,0)</f>
        <v>40.361990301326387</v>
      </c>
      <c r="AR411" s="47">
        <f t="shared" si="47"/>
        <v>-0.83582326897529857</v>
      </c>
      <c r="AS411" s="45" t="str">
        <f t="shared" si="48"/>
        <v>SS</v>
      </c>
      <c r="AT411" s="45">
        <f>RANK(Batters[[#This Row],[zScore]],Batters[[#All],[zScore]])</f>
        <v>407</v>
      </c>
      <c r="AU411" s="45"/>
      <c r="AV411" s="45"/>
      <c r="AW411" s="45" t="str">
        <f t="shared" si="49"/>
        <v>Unlikely</v>
      </c>
      <c r="AX411" s="45"/>
      <c r="AY411" s="45" t="str">
        <f>INDEX(Table5[[#All],[Ovr]],MATCH(Batters[[#This Row],[PID]],Table5[[#All],[PID]],0))</f>
        <v/>
      </c>
      <c r="AZ411" s="45" t="str">
        <f>INDEX(Table5[[#All],[Rnd]],MATCH(Batters[[#This Row],[PID]],Table5[[#All],[PID]],0))</f>
        <v/>
      </c>
      <c r="BA411" s="45" t="str">
        <f>INDEX(Table5[[#All],[Pick]],MATCH(Batters[[#This Row],[PID]],Table5[[#All],[PID]],0))</f>
        <v/>
      </c>
      <c r="BB411" s="45" t="str">
        <f>INDEX(Table5[[#All],[Team]],MATCH(Batters[[#This Row],[PID]],Table5[[#All],[PID]],0))</f>
        <v/>
      </c>
    </row>
    <row r="412" spans="1:54" ht="15" customHeight="1" x14ac:dyDescent="0.25">
      <c r="A412" s="40">
        <v>18180</v>
      </c>
      <c r="B412" s="40" t="s">
        <v>87</v>
      </c>
      <c r="C412" s="40" t="s">
        <v>737</v>
      </c>
      <c r="D412" s="40" t="s">
        <v>1309</v>
      </c>
      <c r="E412" s="40">
        <v>18</v>
      </c>
      <c r="F412" s="40" t="s">
        <v>42</v>
      </c>
      <c r="G412" s="40" t="s">
        <v>42</v>
      </c>
      <c r="H412" s="41" t="s">
        <v>639</v>
      </c>
      <c r="I412" s="65" t="s">
        <v>43</v>
      </c>
      <c r="J412" s="66" t="s">
        <v>44</v>
      </c>
      <c r="K412" s="67" t="s">
        <v>43</v>
      </c>
      <c r="L412" s="40">
        <v>1</v>
      </c>
      <c r="M412" s="40">
        <v>1</v>
      </c>
      <c r="N412" s="40">
        <v>2</v>
      </c>
      <c r="O412" s="40">
        <v>1</v>
      </c>
      <c r="P412" s="41">
        <v>1</v>
      </c>
      <c r="Q412" s="40">
        <v>3</v>
      </c>
      <c r="R412" s="40">
        <v>2</v>
      </c>
      <c r="S412" s="40">
        <v>4</v>
      </c>
      <c r="T412" s="40">
        <v>4</v>
      </c>
      <c r="U412" s="41">
        <v>3</v>
      </c>
      <c r="V412" s="40">
        <v>6</v>
      </c>
      <c r="W412" s="40">
        <v>7</v>
      </c>
      <c r="X412" s="40">
        <v>1</v>
      </c>
      <c r="Y412" s="41">
        <v>1</v>
      </c>
      <c r="Z412" s="40" t="s">
        <v>45</v>
      </c>
      <c r="AA412" s="40">
        <v>3</v>
      </c>
      <c r="AB412" s="40" t="s">
        <v>45</v>
      </c>
      <c r="AC412" s="40">
        <v>1</v>
      </c>
      <c r="AD412" s="40" t="s">
        <v>45</v>
      </c>
      <c r="AE412" s="40" t="s">
        <v>45</v>
      </c>
      <c r="AF412" s="40" t="s">
        <v>45</v>
      </c>
      <c r="AG412" s="41">
        <v>1</v>
      </c>
      <c r="AH412" s="40">
        <v>7</v>
      </c>
      <c r="AI412" s="40">
        <v>6</v>
      </c>
      <c r="AJ412" s="41">
        <v>9</v>
      </c>
      <c r="AK412" s="43" t="s">
        <v>412</v>
      </c>
      <c r="AL412" s="43"/>
      <c r="AM412" s="44">
        <f t="shared" si="43"/>
        <v>-2.0012818558036707</v>
      </c>
      <c r="AN412" s="44">
        <f t="shared" si="44"/>
        <v>-0.78982598606890464</v>
      </c>
      <c r="AO412" s="45">
        <f t="shared" si="45"/>
        <v>2</v>
      </c>
      <c r="AP412" s="46">
        <f t="shared" si="46"/>
        <v>0</v>
      </c>
      <c r="AQ412" s="44">
        <f>($AM$3*AM412+$AN$3*AN412+$AO$3*AO412+$AP$3*AP412)+$I$3*VLOOKUP(I412,COND!$A$2:$E$7,4,FALSE)+$J$3*VLOOKUP(J412,COND!$A$2:$C$7,2,FALSE)+$K$3*VLOOKUP(K412,COND!$A$2:$C$7,3,FALSE)+IF(AND($B$2&gt;0,$E412&lt;20),$B$2*25,0)</f>
        <v>40.355293314926115</v>
      </c>
      <c r="AR412" s="47">
        <f t="shared" si="47"/>
        <v>-0.83730803612766569</v>
      </c>
      <c r="AS412" s="45" t="str">
        <f t="shared" si="48"/>
        <v>RF</v>
      </c>
      <c r="AT412" s="45">
        <f>RANK(Batters[[#This Row],[zScore]],Batters[[#All],[zScore]])</f>
        <v>408</v>
      </c>
      <c r="AU412" s="45"/>
      <c r="AV412" s="45"/>
      <c r="AW412" s="45" t="str">
        <f t="shared" si="49"/>
        <v>Unlikely</v>
      </c>
      <c r="AX412" s="45"/>
      <c r="AY412" s="64" t="str">
        <f>INDEX(Table5[[#All],[Ovr]],MATCH(Batters[[#This Row],[PID]],Table5[[#All],[PID]],0))</f>
        <v/>
      </c>
      <c r="AZ412" s="64" t="str">
        <f>INDEX(Table5[[#All],[Rnd]],MATCH(Batters[[#This Row],[PID]],Table5[[#All],[PID]],0))</f>
        <v/>
      </c>
      <c r="BA412" s="64" t="str">
        <f>INDEX(Table5[[#All],[Pick]],MATCH(Batters[[#This Row],[PID]],Table5[[#All],[PID]],0))</f>
        <v/>
      </c>
      <c r="BB412" s="64" t="str">
        <f>INDEX(Table5[[#All],[Team]],MATCH(Batters[[#This Row],[PID]],Table5[[#All],[PID]],0))</f>
        <v/>
      </c>
    </row>
    <row r="413" spans="1:54" ht="15" customHeight="1" x14ac:dyDescent="0.25">
      <c r="A413" s="40">
        <v>20847</v>
      </c>
      <c r="B413" s="40" t="s">
        <v>69</v>
      </c>
      <c r="C413" s="40" t="s">
        <v>169</v>
      </c>
      <c r="D413" s="40" t="s">
        <v>963</v>
      </c>
      <c r="E413" s="40">
        <v>17</v>
      </c>
      <c r="F413" s="40" t="s">
        <v>42</v>
      </c>
      <c r="G413" s="40" t="s">
        <v>42</v>
      </c>
      <c r="H413" s="41" t="s">
        <v>638</v>
      </c>
      <c r="I413" s="65" t="s">
        <v>43</v>
      </c>
      <c r="J413" s="66" t="s">
        <v>43</v>
      </c>
      <c r="K413" s="67" t="s">
        <v>44</v>
      </c>
      <c r="L413" s="40">
        <v>1</v>
      </c>
      <c r="M413" s="40">
        <v>2</v>
      </c>
      <c r="N413" s="40">
        <v>2</v>
      </c>
      <c r="O413" s="40">
        <v>2</v>
      </c>
      <c r="P413" s="41">
        <v>1</v>
      </c>
      <c r="Q413" s="40">
        <v>3</v>
      </c>
      <c r="R413" s="40">
        <v>4</v>
      </c>
      <c r="S413" s="40">
        <v>2</v>
      </c>
      <c r="T413" s="40">
        <v>5</v>
      </c>
      <c r="U413" s="41">
        <v>3</v>
      </c>
      <c r="V413" s="40">
        <v>8</v>
      </c>
      <c r="W413" s="40">
        <v>8</v>
      </c>
      <c r="X413" s="40">
        <v>1</v>
      </c>
      <c r="Y413" s="41">
        <v>1</v>
      </c>
      <c r="Z413" s="40" t="s">
        <v>45</v>
      </c>
      <c r="AA413" s="40" t="s">
        <v>45</v>
      </c>
      <c r="AB413" s="40" t="s">
        <v>45</v>
      </c>
      <c r="AC413" s="40">
        <v>1</v>
      </c>
      <c r="AD413" s="40" t="s">
        <v>45</v>
      </c>
      <c r="AE413" s="40" t="s">
        <v>45</v>
      </c>
      <c r="AF413" s="40" t="s">
        <v>45</v>
      </c>
      <c r="AG413" s="41" t="s">
        <v>45</v>
      </c>
      <c r="AH413" s="40">
        <v>3</v>
      </c>
      <c r="AI413" s="40">
        <v>3</v>
      </c>
      <c r="AJ413" s="41">
        <v>3</v>
      </c>
      <c r="AK413" s="43" t="s">
        <v>659</v>
      </c>
      <c r="AL413" s="43" t="s">
        <v>635</v>
      </c>
      <c r="AM413" s="44">
        <f t="shared" si="43"/>
        <v>-1.8605124261753858</v>
      </c>
      <c r="AN413" s="44">
        <f t="shared" si="44"/>
        <v>-0.76411966486971961</v>
      </c>
      <c r="AO413" s="45">
        <f t="shared" si="45"/>
        <v>0</v>
      </c>
      <c r="AP413" s="46">
        <f t="shared" si="46"/>
        <v>0</v>
      </c>
      <c r="AQ413" s="44">
        <f>($AM$3*AM413+$AN$3*AN413+$AO$3*AO413+$AP$3*AP413)+$I$3*VLOOKUP(I413,COND!$A$2:$E$7,4,FALSE)+$J$3*VLOOKUP(J413,COND!$A$2:$C$7,2,FALSE)+$K$3*VLOOKUP(K413,COND!$A$2:$C$7,3,FALSE)+IF(AND($B$2&gt;0,$E413&lt;20),$B$2*25,0)</f>
        <v>40.344512778945827</v>
      </c>
      <c r="AR413" s="47">
        <f t="shared" si="47"/>
        <v>-0.83969815382415602</v>
      </c>
      <c r="AS413" s="45" t="str">
        <f t="shared" si="48"/>
        <v>3B</v>
      </c>
      <c r="AT413" s="45">
        <f>RANK(Batters[[#This Row],[zScore]],Batters[[#All],[zScore]])</f>
        <v>409</v>
      </c>
      <c r="AU413" s="45"/>
      <c r="AV413" s="45"/>
      <c r="AW413" s="45" t="str">
        <f t="shared" si="49"/>
        <v>Unlikely</v>
      </c>
      <c r="AX413" s="45"/>
      <c r="AY413" s="45" t="str">
        <f>INDEX(Table5[[#All],[Ovr]],MATCH(Batters[[#This Row],[PID]],Table5[[#All],[PID]],0))</f>
        <v/>
      </c>
      <c r="AZ413" s="45" t="str">
        <f>INDEX(Table5[[#All],[Rnd]],MATCH(Batters[[#This Row],[PID]],Table5[[#All],[PID]],0))</f>
        <v/>
      </c>
      <c r="BA413" s="45" t="str">
        <f>INDEX(Table5[[#All],[Pick]],MATCH(Batters[[#This Row],[PID]],Table5[[#All],[PID]],0))</f>
        <v/>
      </c>
      <c r="BB413" s="45" t="str">
        <f>INDEX(Table5[[#All],[Team]],MATCH(Batters[[#This Row],[PID]],Table5[[#All],[PID]],0))</f>
        <v/>
      </c>
    </row>
    <row r="414" spans="1:54" ht="15" customHeight="1" x14ac:dyDescent="0.25">
      <c r="A414" s="40">
        <v>20990</v>
      </c>
      <c r="B414" s="40" t="s">
        <v>87</v>
      </c>
      <c r="C414" s="40" t="s">
        <v>1049</v>
      </c>
      <c r="D414" s="40" t="s">
        <v>1532</v>
      </c>
      <c r="E414" s="40">
        <v>16</v>
      </c>
      <c r="F414" s="40" t="s">
        <v>62</v>
      </c>
      <c r="G414" s="40" t="s">
        <v>42</v>
      </c>
      <c r="H414" s="41" t="s">
        <v>638</v>
      </c>
      <c r="I414" s="65" t="s">
        <v>43</v>
      </c>
      <c r="J414" s="66" t="s">
        <v>47</v>
      </c>
      <c r="K414" s="67" t="s">
        <v>47</v>
      </c>
      <c r="L414" s="40">
        <v>1</v>
      </c>
      <c r="M414" s="40">
        <v>1</v>
      </c>
      <c r="N414" s="40">
        <v>2</v>
      </c>
      <c r="O414" s="40">
        <v>2</v>
      </c>
      <c r="P414" s="41">
        <v>1</v>
      </c>
      <c r="Q414" s="40">
        <v>2</v>
      </c>
      <c r="R414" s="40">
        <v>3</v>
      </c>
      <c r="S414" s="40">
        <v>5</v>
      </c>
      <c r="T414" s="40">
        <v>6</v>
      </c>
      <c r="U414" s="41">
        <v>2</v>
      </c>
      <c r="V414" s="40">
        <v>2</v>
      </c>
      <c r="W414" s="40">
        <v>2</v>
      </c>
      <c r="X414" s="40">
        <v>1</v>
      </c>
      <c r="Y414" s="41">
        <v>1</v>
      </c>
      <c r="Z414" s="40" t="s">
        <v>45</v>
      </c>
      <c r="AA414" s="40">
        <v>2</v>
      </c>
      <c r="AB414" s="40" t="s">
        <v>45</v>
      </c>
      <c r="AC414" s="40" t="s">
        <v>45</v>
      </c>
      <c r="AD414" s="40" t="s">
        <v>45</v>
      </c>
      <c r="AE414" s="40" t="s">
        <v>45</v>
      </c>
      <c r="AF414" s="40" t="s">
        <v>45</v>
      </c>
      <c r="AG414" s="41" t="s">
        <v>45</v>
      </c>
      <c r="AH414" s="40">
        <v>4</v>
      </c>
      <c r="AI414" s="40">
        <v>2</v>
      </c>
      <c r="AJ414" s="41">
        <v>2</v>
      </c>
      <c r="AK414" s="43" t="s">
        <v>670</v>
      </c>
      <c r="AL414" s="43" t="s">
        <v>635</v>
      </c>
      <c r="AM414" s="44">
        <f t="shared" si="43"/>
        <v>-1.9115723057940897</v>
      </c>
      <c r="AN414" s="44">
        <f t="shared" si="44"/>
        <v>-0.83885768842689579</v>
      </c>
      <c r="AO414" s="45">
        <f t="shared" si="45"/>
        <v>0</v>
      </c>
      <c r="AP414" s="46">
        <f t="shared" si="46"/>
        <v>0</v>
      </c>
      <c r="AQ414" s="44">
        <f>($AM$3*AM414+$AN$3*AN414+$AO$3*AO414+$AP$3*AP414)+$I$3*VLOOKUP(I414,COND!$A$2:$E$7,4,FALSE)+$J$3*VLOOKUP(J414,COND!$A$2:$C$7,2,FALSE)+$K$3*VLOOKUP(K414,COND!$A$2:$C$7,3,FALSE)+IF(AND($B$2&gt;0,$E414&lt;20),$B$2*25,0)</f>
        <v>40.342550508297848</v>
      </c>
      <c r="AR414" s="47">
        <f t="shared" si="47"/>
        <v>-0.84013320249053158</v>
      </c>
      <c r="AS414" s="45" t="str">
        <f t="shared" si="48"/>
        <v>1B</v>
      </c>
      <c r="AT414" s="45">
        <f>RANK(Batters[[#This Row],[zScore]],Batters[[#All],[zScore]])</f>
        <v>410</v>
      </c>
      <c r="AU414" s="45"/>
      <c r="AV414" s="45"/>
      <c r="AW414" s="45" t="str">
        <f t="shared" si="49"/>
        <v>Unlikely</v>
      </c>
      <c r="AX414" s="45"/>
      <c r="AY414" s="45" t="str">
        <f>INDEX(Table5[[#All],[Ovr]],MATCH(Batters[[#This Row],[PID]],Table5[[#All],[PID]],0))</f>
        <v/>
      </c>
      <c r="AZ414" s="45" t="str">
        <f>INDEX(Table5[[#All],[Rnd]],MATCH(Batters[[#This Row],[PID]],Table5[[#All],[PID]],0))</f>
        <v/>
      </c>
      <c r="BA414" s="45" t="str">
        <f>INDEX(Table5[[#All],[Pick]],MATCH(Batters[[#This Row],[PID]],Table5[[#All],[PID]],0))</f>
        <v/>
      </c>
      <c r="BB414" s="45" t="str">
        <f>INDEX(Table5[[#All],[Team]],MATCH(Batters[[#This Row],[PID]],Table5[[#All],[PID]],0))</f>
        <v/>
      </c>
    </row>
    <row r="415" spans="1:54" ht="15" customHeight="1" x14ac:dyDescent="0.25">
      <c r="A415" s="40">
        <v>20974</v>
      </c>
      <c r="B415" s="40" t="s">
        <v>66</v>
      </c>
      <c r="C415" s="40" t="s">
        <v>418</v>
      </c>
      <c r="D415" s="40" t="s">
        <v>845</v>
      </c>
      <c r="E415" s="40">
        <v>17</v>
      </c>
      <c r="F415" s="40" t="s">
        <v>42</v>
      </c>
      <c r="G415" s="40" t="s">
        <v>53</v>
      </c>
      <c r="H415" s="41" t="s">
        <v>647</v>
      </c>
      <c r="I415" s="65" t="s">
        <v>43</v>
      </c>
      <c r="J415" s="66" t="s">
        <v>47</v>
      </c>
      <c r="K415" s="67" t="s">
        <v>43</v>
      </c>
      <c r="L415" s="40">
        <v>1</v>
      </c>
      <c r="M415" s="40">
        <v>2</v>
      </c>
      <c r="N415" s="40">
        <v>2</v>
      </c>
      <c r="O415" s="40">
        <v>1</v>
      </c>
      <c r="P415" s="41">
        <v>1</v>
      </c>
      <c r="Q415" s="40">
        <v>3</v>
      </c>
      <c r="R415" s="40">
        <v>4</v>
      </c>
      <c r="S415" s="40">
        <v>2</v>
      </c>
      <c r="T415" s="40">
        <v>4</v>
      </c>
      <c r="U415" s="41">
        <v>4</v>
      </c>
      <c r="V415" s="40">
        <v>2</v>
      </c>
      <c r="W415" s="40">
        <v>5</v>
      </c>
      <c r="X415" s="40">
        <v>1</v>
      </c>
      <c r="Y415" s="41">
        <v>1</v>
      </c>
      <c r="Z415" s="40" t="s">
        <v>45</v>
      </c>
      <c r="AA415" s="40" t="s">
        <v>45</v>
      </c>
      <c r="AB415" s="40" t="s">
        <v>45</v>
      </c>
      <c r="AC415" s="40" t="s">
        <v>45</v>
      </c>
      <c r="AD415" s="40" t="s">
        <v>45</v>
      </c>
      <c r="AE415" s="40">
        <v>1</v>
      </c>
      <c r="AF415" s="40" t="s">
        <v>45</v>
      </c>
      <c r="AG415" s="41">
        <v>1</v>
      </c>
      <c r="AH415" s="40">
        <v>3</v>
      </c>
      <c r="AI415" s="40">
        <v>1</v>
      </c>
      <c r="AJ415" s="41">
        <v>2</v>
      </c>
      <c r="AK415" s="43" t="s">
        <v>644</v>
      </c>
      <c r="AL415" s="43"/>
      <c r="AM415" s="44">
        <f t="shared" si="43"/>
        <v>-1.9502219761849671</v>
      </c>
      <c r="AN415" s="44">
        <f t="shared" si="44"/>
        <v>-0.813812875062217</v>
      </c>
      <c r="AO415" s="45">
        <f t="shared" si="45"/>
        <v>0</v>
      </c>
      <c r="AP415" s="46">
        <f t="shared" si="46"/>
        <v>0</v>
      </c>
      <c r="AQ415" s="44">
        <f>($AM$3*AM415+$AN$3*AN415+$AO$3*AO415+$AP$3*AP415)+$I$3*VLOOKUP(I415,COND!$A$2:$E$7,4,FALSE)+$J$3*VLOOKUP(J415,COND!$A$2:$C$7,2,FALSE)+$K$3*VLOOKUP(K415,COND!$A$2:$C$7,3,FALSE)+IF(AND($B$2&gt;0,$E415&lt;20),$B$2*25,0)</f>
        <v>40.339223301634902</v>
      </c>
      <c r="AR415" s="47">
        <f t="shared" si="47"/>
        <v>-0.84087086669753641</v>
      </c>
      <c r="AS415" s="45" t="str">
        <f t="shared" si="48"/>
        <v>LF</v>
      </c>
      <c r="AT415" s="45">
        <f>RANK(Batters[[#This Row],[zScore]],Batters[[#All],[zScore]])</f>
        <v>411</v>
      </c>
      <c r="AU415" s="45"/>
      <c r="AV415" s="45"/>
      <c r="AW415" s="45" t="str">
        <f t="shared" si="49"/>
        <v>Unlikely</v>
      </c>
      <c r="AX415" s="45"/>
      <c r="AY415" s="64" t="str">
        <f>INDEX(Table5[[#All],[Ovr]],MATCH(Batters[[#This Row],[PID]],Table5[[#All],[PID]],0))</f>
        <v/>
      </c>
      <c r="AZ415" s="64" t="str">
        <f>INDEX(Table5[[#All],[Rnd]],MATCH(Batters[[#This Row],[PID]],Table5[[#All],[PID]],0))</f>
        <v/>
      </c>
      <c r="BA415" s="64" t="str">
        <f>INDEX(Table5[[#All],[Pick]],MATCH(Batters[[#This Row],[PID]],Table5[[#All],[PID]],0))</f>
        <v/>
      </c>
      <c r="BB415" s="64" t="str">
        <f>INDEX(Table5[[#All],[Team]],MATCH(Batters[[#This Row],[PID]],Table5[[#All],[PID]],0))</f>
        <v/>
      </c>
    </row>
    <row r="416" spans="1:54" ht="15" customHeight="1" x14ac:dyDescent="0.25">
      <c r="A416" s="40">
        <v>18227</v>
      </c>
      <c r="B416" s="40" t="s">
        <v>87</v>
      </c>
      <c r="C416" s="40" t="s">
        <v>208</v>
      </c>
      <c r="D416" s="40" t="s">
        <v>344</v>
      </c>
      <c r="E416" s="40">
        <v>18</v>
      </c>
      <c r="F416" s="40" t="s">
        <v>42</v>
      </c>
      <c r="G416" s="40" t="s">
        <v>42</v>
      </c>
      <c r="H416" s="41" t="s">
        <v>647</v>
      </c>
      <c r="I416" s="65" t="s">
        <v>43</v>
      </c>
      <c r="J416" s="66" t="s">
        <v>47</v>
      </c>
      <c r="K416" s="67" t="s">
        <v>43</v>
      </c>
      <c r="L416" s="40">
        <v>1</v>
      </c>
      <c r="M416" s="40">
        <v>2</v>
      </c>
      <c r="N416" s="40">
        <v>2</v>
      </c>
      <c r="O416" s="40">
        <v>2</v>
      </c>
      <c r="P416" s="41">
        <v>1</v>
      </c>
      <c r="Q416" s="40">
        <v>3</v>
      </c>
      <c r="R416" s="40">
        <v>3</v>
      </c>
      <c r="S416" s="40">
        <v>2</v>
      </c>
      <c r="T416" s="40">
        <v>5</v>
      </c>
      <c r="U416" s="41">
        <v>3</v>
      </c>
      <c r="V416" s="40">
        <v>1</v>
      </c>
      <c r="W416" s="40">
        <v>1</v>
      </c>
      <c r="X416" s="40">
        <v>2</v>
      </c>
      <c r="Y416" s="41">
        <v>4</v>
      </c>
      <c r="Z416" s="40" t="s">
        <v>45</v>
      </c>
      <c r="AA416" s="40">
        <v>1</v>
      </c>
      <c r="AB416" s="40" t="s">
        <v>45</v>
      </c>
      <c r="AC416" s="40" t="s">
        <v>45</v>
      </c>
      <c r="AD416" s="40" t="s">
        <v>45</v>
      </c>
      <c r="AE416" s="40" t="s">
        <v>45</v>
      </c>
      <c r="AF416" s="40" t="s">
        <v>45</v>
      </c>
      <c r="AG416" s="41" t="s">
        <v>45</v>
      </c>
      <c r="AH416" s="40">
        <v>3</v>
      </c>
      <c r="AI416" s="40">
        <v>3</v>
      </c>
      <c r="AJ416" s="41">
        <v>1</v>
      </c>
      <c r="AK416" s="43" t="s">
        <v>644</v>
      </c>
      <c r="AL416" s="43"/>
      <c r="AM416" s="44">
        <f t="shared" si="43"/>
        <v>-1.8605124261753858</v>
      </c>
      <c r="AN416" s="44">
        <f t="shared" si="44"/>
        <v>-0.815179544488423</v>
      </c>
      <c r="AO416" s="45">
        <f t="shared" si="45"/>
        <v>0</v>
      </c>
      <c r="AP416" s="46">
        <f t="shared" si="46"/>
        <v>0</v>
      </c>
      <c r="AQ416" s="44">
        <f>($AM$3*AM416+$AN$3*AN416+$AO$3*AO416+$AP$3*AP416)+$I$3*VLOOKUP(I416,COND!$A$2:$E$7,4,FALSE)+$J$3*VLOOKUP(J416,COND!$A$2:$C$7,2,FALSE)+$K$3*VLOOKUP(K416,COND!$A$2:$C$7,3,FALSE)+IF(AND($B$2&gt;0,$E416&lt;20),$B$2*25,0)</f>
        <v>40.331794223521385</v>
      </c>
      <c r="AR416" s="47">
        <f t="shared" si="47"/>
        <v>-0.8425179435312109</v>
      </c>
      <c r="AS416" s="45" t="str">
        <f t="shared" si="48"/>
        <v>1B</v>
      </c>
      <c r="AT416" s="45">
        <f>RANK(Batters[[#This Row],[zScore]],Batters[[#All],[zScore]])</f>
        <v>412</v>
      </c>
      <c r="AU416" s="45"/>
      <c r="AV416" s="45"/>
      <c r="AW416" s="45" t="str">
        <f t="shared" si="49"/>
        <v>Unlikely</v>
      </c>
      <c r="AX416" s="45"/>
      <c r="AY416" s="64" t="str">
        <f>INDEX(Table5[[#All],[Ovr]],MATCH(Batters[[#This Row],[PID]],Table5[[#All],[PID]],0))</f>
        <v/>
      </c>
      <c r="AZ416" s="64" t="str">
        <f>INDEX(Table5[[#All],[Rnd]],MATCH(Batters[[#This Row],[PID]],Table5[[#All],[PID]],0))</f>
        <v/>
      </c>
      <c r="BA416" s="64" t="str">
        <f>INDEX(Table5[[#All],[Pick]],MATCH(Batters[[#This Row],[PID]],Table5[[#All],[PID]],0))</f>
        <v/>
      </c>
      <c r="BB416" s="64" t="str">
        <f>INDEX(Table5[[#All],[Team]],MATCH(Batters[[#This Row],[PID]],Table5[[#All],[PID]],0))</f>
        <v/>
      </c>
    </row>
    <row r="417" spans="1:54" ht="15" customHeight="1" x14ac:dyDescent="0.25">
      <c r="A417" s="40">
        <v>17978</v>
      </c>
      <c r="B417" s="40" t="s">
        <v>72</v>
      </c>
      <c r="C417" s="40" t="s">
        <v>1426</v>
      </c>
      <c r="D417" s="40" t="s">
        <v>679</v>
      </c>
      <c r="E417" s="40">
        <v>21</v>
      </c>
      <c r="F417" s="40" t="s">
        <v>53</v>
      </c>
      <c r="G417" s="40" t="s">
        <v>42</v>
      </c>
      <c r="H417" s="41" t="s">
        <v>638</v>
      </c>
      <c r="I417" s="65" t="s">
        <v>43</v>
      </c>
      <c r="J417" s="66" t="s">
        <v>44</v>
      </c>
      <c r="K417" s="67" t="s">
        <v>43</v>
      </c>
      <c r="L417" s="40">
        <v>2</v>
      </c>
      <c r="M417" s="40">
        <v>3</v>
      </c>
      <c r="N417" s="40">
        <v>2</v>
      </c>
      <c r="O417" s="40">
        <v>2</v>
      </c>
      <c r="P417" s="41">
        <v>2</v>
      </c>
      <c r="Q417" s="40">
        <v>4</v>
      </c>
      <c r="R417" s="40">
        <v>4</v>
      </c>
      <c r="S417" s="40">
        <v>2</v>
      </c>
      <c r="T417" s="40">
        <v>4</v>
      </c>
      <c r="U417" s="41">
        <v>4</v>
      </c>
      <c r="V417" s="40">
        <v>4</v>
      </c>
      <c r="W417" s="40">
        <v>6</v>
      </c>
      <c r="X417" s="40">
        <v>1</v>
      </c>
      <c r="Y417" s="41">
        <v>1</v>
      </c>
      <c r="Z417" s="40" t="s">
        <v>45</v>
      </c>
      <c r="AA417" s="40" t="s">
        <v>45</v>
      </c>
      <c r="AB417" s="40" t="s">
        <v>45</v>
      </c>
      <c r="AC417" s="40" t="s">
        <v>45</v>
      </c>
      <c r="AD417" s="40">
        <v>5</v>
      </c>
      <c r="AE417" s="40">
        <v>2</v>
      </c>
      <c r="AF417" s="40">
        <v>1</v>
      </c>
      <c r="AG417" s="41" t="s">
        <v>45</v>
      </c>
      <c r="AH417" s="40">
        <v>9</v>
      </c>
      <c r="AI417" s="40">
        <v>8</v>
      </c>
      <c r="AJ417" s="41">
        <v>7</v>
      </c>
      <c r="AK417" s="43" t="s">
        <v>45</v>
      </c>
      <c r="AL417" s="43" t="s">
        <v>47</v>
      </c>
      <c r="AM417" s="44">
        <f t="shared" si="43"/>
        <v>-1.4468803705369244</v>
      </c>
      <c r="AN417" s="44">
        <f t="shared" si="44"/>
        <v>-0.49125703885954242</v>
      </c>
      <c r="AO417" s="45">
        <f t="shared" si="45"/>
        <v>4</v>
      </c>
      <c r="AP417" s="46">
        <f t="shared" si="46"/>
        <v>1</v>
      </c>
      <c r="AQ417" s="44">
        <f>($AM$3*AM417+$AN$3*AN417+$AO$3*AO417+$AP$3*AP417)+$I$3*VLOOKUP(I417,COND!$A$2:$E$7,4,FALSE)+$J$3*VLOOKUP(J417,COND!$A$2:$C$7,2,FALSE)+$K$3*VLOOKUP(K417,COND!$A$2:$C$7,3,FALSE)+IF(AND($B$2&gt;0,$E417&lt;20),$B$2*25,0)</f>
        <v>40.326894163298462</v>
      </c>
      <c r="AR417" s="47">
        <f t="shared" si="47"/>
        <v>-0.84360432000396601</v>
      </c>
      <c r="AS417" s="45" t="str">
        <f t="shared" si="48"/>
        <v>SS</v>
      </c>
      <c r="AT417" s="45">
        <f>RANK(Batters[[#This Row],[zScore]],Batters[[#All],[zScore]])</f>
        <v>413</v>
      </c>
      <c r="AU417" s="45"/>
      <c r="AV417" s="45"/>
      <c r="AW417" s="45" t="str">
        <f t="shared" si="49"/>
        <v>Unlikely</v>
      </c>
      <c r="AX417" s="45"/>
      <c r="AY417" s="45">
        <f>INDEX(Table5[[#All],[Ovr]],MATCH(Batters[[#This Row],[PID]],Table5[[#All],[PID]],0))</f>
        <v>565</v>
      </c>
      <c r="AZ417" s="45" t="str">
        <f>INDEX(Table5[[#All],[Rnd]],MATCH(Batters[[#This Row],[PID]],Table5[[#All],[PID]],0))</f>
        <v>19</v>
      </c>
      <c r="BA417" s="45">
        <f>INDEX(Table5[[#All],[Pick]],MATCH(Batters[[#This Row],[PID]],Table5[[#All],[PID]],0))</f>
        <v>17</v>
      </c>
      <c r="BB417" s="45" t="str">
        <f>INDEX(Table5[[#All],[Team]],MATCH(Batters[[#This Row],[PID]],Table5[[#All],[PID]],0))</f>
        <v>Madison Malts</v>
      </c>
    </row>
    <row r="418" spans="1:54" ht="15" customHeight="1" x14ac:dyDescent="0.25">
      <c r="A418" s="40">
        <v>12851</v>
      </c>
      <c r="B418" s="40" t="s">
        <v>74</v>
      </c>
      <c r="C418" s="40" t="s">
        <v>179</v>
      </c>
      <c r="D418" s="40" t="s">
        <v>1084</v>
      </c>
      <c r="E418" s="40">
        <v>18</v>
      </c>
      <c r="F418" s="40" t="s">
        <v>62</v>
      </c>
      <c r="G418" s="40" t="s">
        <v>42</v>
      </c>
      <c r="H418" s="41" t="s">
        <v>639</v>
      </c>
      <c r="I418" s="65" t="s">
        <v>44</v>
      </c>
      <c r="J418" s="66" t="s">
        <v>43</v>
      </c>
      <c r="K418" s="67" t="s">
        <v>43</v>
      </c>
      <c r="L418" s="40">
        <v>1</v>
      </c>
      <c r="M418" s="40">
        <v>1</v>
      </c>
      <c r="N418" s="40">
        <v>2</v>
      </c>
      <c r="O418" s="40">
        <v>1</v>
      </c>
      <c r="P418" s="41">
        <v>1</v>
      </c>
      <c r="Q418" s="40">
        <v>3</v>
      </c>
      <c r="R418" s="40">
        <v>4</v>
      </c>
      <c r="S418" s="40">
        <v>2</v>
      </c>
      <c r="T418" s="40">
        <v>4</v>
      </c>
      <c r="U418" s="41">
        <v>3</v>
      </c>
      <c r="V418" s="40">
        <v>5</v>
      </c>
      <c r="W418" s="40">
        <v>9</v>
      </c>
      <c r="X418" s="40">
        <v>1</v>
      </c>
      <c r="Y418" s="41">
        <v>1</v>
      </c>
      <c r="Z418" s="40" t="s">
        <v>45</v>
      </c>
      <c r="AA418" s="40" t="s">
        <v>45</v>
      </c>
      <c r="AB418" s="40">
        <v>1</v>
      </c>
      <c r="AC418" s="40">
        <v>1</v>
      </c>
      <c r="AD418" s="40" t="s">
        <v>45</v>
      </c>
      <c r="AE418" s="40" t="s">
        <v>45</v>
      </c>
      <c r="AF418" s="40">
        <v>5</v>
      </c>
      <c r="AG418" s="41" t="s">
        <v>45</v>
      </c>
      <c r="AH418" s="40">
        <v>8</v>
      </c>
      <c r="AI418" s="40">
        <v>6</v>
      </c>
      <c r="AJ418" s="41">
        <v>5</v>
      </c>
      <c r="AK418" s="43" t="s">
        <v>657</v>
      </c>
      <c r="AL418" s="43"/>
      <c r="AM418" s="44">
        <f t="shared" si="43"/>
        <v>-2.0012818558036707</v>
      </c>
      <c r="AN418" s="44">
        <f t="shared" si="44"/>
        <v>-0.85382921487930052</v>
      </c>
      <c r="AO418" s="45">
        <f t="shared" si="45"/>
        <v>1</v>
      </c>
      <c r="AP418" s="46">
        <f t="shared" si="46"/>
        <v>0.75</v>
      </c>
      <c r="AQ418" s="44">
        <f>($AM$3*AM418+$AN$3*AN418+$AO$3*AO418+$AP$3*AP418)+$I$3*VLOOKUP(I418,COND!$A$2:$E$7,4,FALSE)+$J$3*VLOOKUP(J418,COND!$A$2:$C$7,2,FALSE)+$K$3*VLOOKUP(K418,COND!$A$2:$C$7,3,FALSE)+IF(AND($B$2&gt;0,$E418&lt;20),$B$2*25,0)</f>
        <v>40.32058790253469</v>
      </c>
      <c r="AR418" s="47">
        <f t="shared" si="47"/>
        <v>-0.84500246064166096</v>
      </c>
      <c r="AS418" s="45" t="str">
        <f t="shared" si="48"/>
        <v>2B</v>
      </c>
      <c r="AT418" s="45">
        <f>RANK(Batters[[#This Row],[zScore]],Batters[[#All],[zScore]])</f>
        <v>414</v>
      </c>
      <c r="AU418" s="45"/>
      <c r="AV418" s="45"/>
      <c r="AW418" s="45" t="str">
        <f t="shared" si="49"/>
        <v>Unlikely</v>
      </c>
      <c r="AX418" s="45"/>
      <c r="AY418" s="64" t="str">
        <f>INDEX(Table5[[#All],[Ovr]],MATCH(Batters[[#This Row],[PID]],Table5[[#All],[PID]],0))</f>
        <v/>
      </c>
      <c r="AZ418" s="64" t="str">
        <f>INDEX(Table5[[#All],[Rnd]],MATCH(Batters[[#This Row],[PID]],Table5[[#All],[PID]],0))</f>
        <v/>
      </c>
      <c r="BA418" s="64" t="str">
        <f>INDEX(Table5[[#All],[Pick]],MATCH(Batters[[#This Row],[PID]],Table5[[#All],[PID]],0))</f>
        <v/>
      </c>
      <c r="BB418" s="64" t="str">
        <f>INDEX(Table5[[#All],[Team]],MATCH(Batters[[#This Row],[PID]],Table5[[#All],[PID]],0))</f>
        <v/>
      </c>
    </row>
    <row r="419" spans="1:54" ht="15" customHeight="1" x14ac:dyDescent="0.25">
      <c r="A419" s="40">
        <v>18412</v>
      </c>
      <c r="B419" s="40" t="s">
        <v>86</v>
      </c>
      <c r="C419" s="40" t="s">
        <v>1496</v>
      </c>
      <c r="D419" s="40" t="s">
        <v>1497</v>
      </c>
      <c r="E419" s="40">
        <v>18</v>
      </c>
      <c r="F419" s="40" t="s">
        <v>42</v>
      </c>
      <c r="G419" s="40" t="s">
        <v>42</v>
      </c>
      <c r="H419" s="41" t="s">
        <v>638</v>
      </c>
      <c r="I419" s="65" t="s">
        <v>43</v>
      </c>
      <c r="J419" s="66" t="s">
        <v>47</v>
      </c>
      <c r="K419" s="67" t="s">
        <v>43</v>
      </c>
      <c r="L419" s="40">
        <v>1</v>
      </c>
      <c r="M419" s="40">
        <v>2</v>
      </c>
      <c r="N419" s="40">
        <v>3</v>
      </c>
      <c r="O419" s="40">
        <v>1</v>
      </c>
      <c r="P419" s="41">
        <v>1</v>
      </c>
      <c r="Q419" s="40">
        <v>3</v>
      </c>
      <c r="R419" s="40">
        <v>5</v>
      </c>
      <c r="S419" s="40">
        <v>4</v>
      </c>
      <c r="T419" s="40">
        <v>2</v>
      </c>
      <c r="U419" s="41">
        <v>3</v>
      </c>
      <c r="V419" s="40">
        <v>3</v>
      </c>
      <c r="W419" s="40">
        <v>3</v>
      </c>
      <c r="X419" s="40">
        <v>4</v>
      </c>
      <c r="Y419" s="41">
        <v>4</v>
      </c>
      <c r="Z419" s="40" t="s">
        <v>45</v>
      </c>
      <c r="AA419" s="40" t="s">
        <v>45</v>
      </c>
      <c r="AB419" s="40" t="s">
        <v>45</v>
      </c>
      <c r="AC419" s="40" t="s">
        <v>45</v>
      </c>
      <c r="AD419" s="40" t="s">
        <v>45</v>
      </c>
      <c r="AE419" s="40" t="s">
        <v>45</v>
      </c>
      <c r="AF419" s="40" t="s">
        <v>45</v>
      </c>
      <c r="AG419" s="41" t="s">
        <v>45</v>
      </c>
      <c r="AH419" s="40">
        <v>1</v>
      </c>
      <c r="AI419" s="40">
        <v>1</v>
      </c>
      <c r="AJ419" s="41">
        <v>1</v>
      </c>
      <c r="AK419" s="43" t="s">
        <v>644</v>
      </c>
      <c r="AL419" s="43" t="s">
        <v>47</v>
      </c>
      <c r="AM419" s="44">
        <f t="shared" si="43"/>
        <v>-1.8671604821610654</v>
      </c>
      <c r="AN419" s="44">
        <f t="shared" si="44"/>
        <v>-0.81606544723195629</v>
      </c>
      <c r="AO419" s="45">
        <f t="shared" si="45"/>
        <v>0</v>
      </c>
      <c r="AP419" s="46">
        <f t="shared" si="46"/>
        <v>0</v>
      </c>
      <c r="AQ419" s="44">
        <f>($AM$3*AM419+$AN$3*AN419+$AO$3*AO419+$AP$3*AP419)+$I$3*VLOOKUP(I419,COND!$A$2:$E$7,4,FALSE)+$J$3*VLOOKUP(J419,COND!$A$2:$C$7,2,FALSE)+$K$3*VLOOKUP(K419,COND!$A$2:$C$7,3,FALSE)+IF(AND($B$2&gt;0,$E419&lt;20),$B$2*25,0)</f>
        <v>40.320498585000422</v>
      </c>
      <c r="AR419" s="47">
        <f t="shared" si="47"/>
        <v>-0.84502226294273874</v>
      </c>
      <c r="AS419" s="45" t="str">
        <f t="shared" si="48"/>
        <v>DH</v>
      </c>
      <c r="AT419" s="45">
        <f>RANK(Batters[[#This Row],[zScore]],Batters[[#All],[zScore]])</f>
        <v>415</v>
      </c>
      <c r="AU419" s="45"/>
      <c r="AV419" s="45"/>
      <c r="AW419" s="45" t="str">
        <f t="shared" si="49"/>
        <v>Unlikely</v>
      </c>
      <c r="AX419" s="45"/>
      <c r="AY419" s="45" t="str">
        <f>INDEX(Table5[[#All],[Ovr]],MATCH(Batters[[#This Row],[PID]],Table5[[#All],[PID]],0))</f>
        <v/>
      </c>
      <c r="AZ419" s="45" t="str">
        <f>INDEX(Table5[[#All],[Rnd]],MATCH(Batters[[#This Row],[PID]],Table5[[#All],[PID]],0))</f>
        <v/>
      </c>
      <c r="BA419" s="45" t="str">
        <f>INDEX(Table5[[#All],[Pick]],MATCH(Batters[[#This Row],[PID]],Table5[[#All],[PID]],0))</f>
        <v/>
      </c>
      <c r="BB419" s="45" t="str">
        <f>INDEX(Table5[[#All],[Team]],MATCH(Batters[[#This Row],[PID]],Table5[[#All],[PID]],0))</f>
        <v/>
      </c>
    </row>
    <row r="420" spans="1:54" ht="15" customHeight="1" x14ac:dyDescent="0.25">
      <c r="A420" s="40">
        <v>17830</v>
      </c>
      <c r="B420" s="40" t="s">
        <v>69</v>
      </c>
      <c r="C420" s="40" t="s">
        <v>1493</v>
      </c>
      <c r="D420" s="40" t="s">
        <v>952</v>
      </c>
      <c r="E420" s="40">
        <v>18</v>
      </c>
      <c r="F420" s="40" t="s">
        <v>62</v>
      </c>
      <c r="G420" s="40" t="s">
        <v>42</v>
      </c>
      <c r="H420" s="41" t="s">
        <v>638</v>
      </c>
      <c r="I420" s="65" t="s">
        <v>44</v>
      </c>
      <c r="J420" s="66" t="s">
        <v>43</v>
      </c>
      <c r="K420" s="67" t="s">
        <v>43</v>
      </c>
      <c r="L420" s="40">
        <v>1</v>
      </c>
      <c r="M420" s="40">
        <v>1</v>
      </c>
      <c r="N420" s="40">
        <v>2</v>
      </c>
      <c r="O420" s="40">
        <v>1</v>
      </c>
      <c r="P420" s="41">
        <v>1</v>
      </c>
      <c r="Q420" s="40">
        <v>3</v>
      </c>
      <c r="R420" s="40">
        <v>4</v>
      </c>
      <c r="S420" s="40">
        <v>3</v>
      </c>
      <c r="T420" s="40">
        <v>3</v>
      </c>
      <c r="U420" s="41">
        <v>5</v>
      </c>
      <c r="V420" s="40">
        <v>10</v>
      </c>
      <c r="W420" s="40">
        <v>9</v>
      </c>
      <c r="X420" s="40">
        <v>1</v>
      </c>
      <c r="Y420" s="41">
        <v>1</v>
      </c>
      <c r="Z420" s="40" t="s">
        <v>45</v>
      </c>
      <c r="AA420" s="40" t="s">
        <v>45</v>
      </c>
      <c r="AB420" s="40">
        <v>2</v>
      </c>
      <c r="AC420" s="40">
        <v>3</v>
      </c>
      <c r="AD420" s="40">
        <v>1</v>
      </c>
      <c r="AE420" s="40" t="s">
        <v>45</v>
      </c>
      <c r="AF420" s="40" t="s">
        <v>45</v>
      </c>
      <c r="AG420" s="41" t="s">
        <v>45</v>
      </c>
      <c r="AH420" s="40">
        <v>4</v>
      </c>
      <c r="AI420" s="40">
        <v>7</v>
      </c>
      <c r="AJ420" s="41">
        <v>4</v>
      </c>
      <c r="AK420" s="43" t="s">
        <v>657</v>
      </c>
      <c r="AL420" s="43" t="s">
        <v>47</v>
      </c>
      <c r="AM420" s="44">
        <f t="shared" si="43"/>
        <v>-2.0012818558036707</v>
      </c>
      <c r="AN420" s="44">
        <f t="shared" si="44"/>
        <v>-0.78044459123081322</v>
      </c>
      <c r="AO420" s="45">
        <f t="shared" si="45"/>
        <v>0</v>
      </c>
      <c r="AP420" s="46">
        <f t="shared" si="46"/>
        <v>0</v>
      </c>
      <c r="AQ420" s="44">
        <f>($AM$3*AM420+$AN$3*AN420+$AO$3*AO420+$AP$3*AP420)+$I$3*VLOOKUP(I420,COND!$A$2:$E$7,4,FALSE)+$J$3*VLOOKUP(J420,COND!$A$2:$C$7,2,FALSE)+$K$3*VLOOKUP(K420,COND!$A$2:$C$7,3,FALSE)+IF(AND($B$2&gt;0,$E420&lt;20),$B$2*25,0)</f>
        <v>40.284536719649878</v>
      </c>
      <c r="AR420" s="47">
        <f t="shared" si="47"/>
        <v>-0.85299525157060452</v>
      </c>
      <c r="AS420" s="45" t="str">
        <f t="shared" si="48"/>
        <v>3B</v>
      </c>
      <c r="AT420" s="45">
        <f>RANK(Batters[[#This Row],[zScore]],Batters[[#All],[zScore]])</f>
        <v>416</v>
      </c>
      <c r="AU420" s="45"/>
      <c r="AV420" s="45"/>
      <c r="AW420" s="45" t="str">
        <f t="shared" si="49"/>
        <v>Unlikely</v>
      </c>
      <c r="AX420" s="45"/>
      <c r="AY420" s="45" t="str">
        <f>INDEX(Table5[[#All],[Ovr]],MATCH(Batters[[#This Row],[PID]],Table5[[#All],[PID]],0))</f>
        <v/>
      </c>
      <c r="AZ420" s="45" t="str">
        <f>INDEX(Table5[[#All],[Rnd]],MATCH(Batters[[#This Row],[PID]],Table5[[#All],[PID]],0))</f>
        <v/>
      </c>
      <c r="BA420" s="45" t="str">
        <f>INDEX(Table5[[#All],[Pick]],MATCH(Batters[[#This Row],[PID]],Table5[[#All],[PID]],0))</f>
        <v/>
      </c>
      <c r="BB420" s="45" t="str">
        <f>INDEX(Table5[[#All],[Team]],MATCH(Batters[[#This Row],[PID]],Table5[[#All],[PID]],0))</f>
        <v/>
      </c>
    </row>
    <row r="421" spans="1:54" ht="15" customHeight="1" x14ac:dyDescent="0.25">
      <c r="A421" s="40">
        <v>8360</v>
      </c>
      <c r="B421" s="40" t="s">
        <v>72</v>
      </c>
      <c r="C421" s="40" t="s">
        <v>698</v>
      </c>
      <c r="D421" s="40" t="s">
        <v>725</v>
      </c>
      <c r="E421" s="40">
        <v>21</v>
      </c>
      <c r="F421" s="40" t="s">
        <v>42</v>
      </c>
      <c r="G421" s="40" t="s">
        <v>42</v>
      </c>
      <c r="H421" s="41" t="s">
        <v>638</v>
      </c>
      <c r="I421" s="65" t="s">
        <v>43</v>
      </c>
      <c r="J421" s="66" t="s">
        <v>43</v>
      </c>
      <c r="K421" s="67" t="s">
        <v>43</v>
      </c>
      <c r="L421" s="40">
        <v>1</v>
      </c>
      <c r="M421" s="40">
        <v>2</v>
      </c>
      <c r="N421" s="40">
        <v>2</v>
      </c>
      <c r="O421" s="40">
        <v>2</v>
      </c>
      <c r="P421" s="41">
        <v>1</v>
      </c>
      <c r="Q421" s="40">
        <v>4</v>
      </c>
      <c r="R421" s="40">
        <v>4</v>
      </c>
      <c r="S421" s="40">
        <v>2</v>
      </c>
      <c r="T421" s="40">
        <v>4</v>
      </c>
      <c r="U421" s="41">
        <v>4</v>
      </c>
      <c r="V421" s="40">
        <v>8</v>
      </c>
      <c r="W421" s="40">
        <v>7</v>
      </c>
      <c r="X421" s="40">
        <v>1</v>
      </c>
      <c r="Y421" s="41">
        <v>1</v>
      </c>
      <c r="Z421" s="40" t="s">
        <v>45</v>
      </c>
      <c r="AA421" s="40" t="s">
        <v>45</v>
      </c>
      <c r="AB421" s="40">
        <v>3</v>
      </c>
      <c r="AC421" s="40">
        <v>2</v>
      </c>
      <c r="AD421" s="40">
        <v>5</v>
      </c>
      <c r="AE421" s="40" t="s">
        <v>45</v>
      </c>
      <c r="AF421" s="40" t="s">
        <v>45</v>
      </c>
      <c r="AG421" s="41" t="s">
        <v>45</v>
      </c>
      <c r="AH421" s="40">
        <v>7</v>
      </c>
      <c r="AI421" s="40">
        <v>7</v>
      </c>
      <c r="AJ421" s="41">
        <v>9</v>
      </c>
      <c r="AK421" s="43" t="s">
        <v>643</v>
      </c>
      <c r="AL421" s="43" t="s">
        <v>635</v>
      </c>
      <c r="AM421" s="44">
        <f t="shared" si="43"/>
        <v>-1.8605124261753858</v>
      </c>
      <c r="AN421" s="44">
        <f t="shared" si="44"/>
        <v>-0.49125703885954242</v>
      </c>
      <c r="AO421" s="45">
        <f t="shared" si="45"/>
        <v>2</v>
      </c>
      <c r="AP421" s="46">
        <f t="shared" si="46"/>
        <v>1</v>
      </c>
      <c r="AQ421" s="44">
        <f>($AM$3*AM421+$AN$3*AN421+$AO$3*AO421+$AP$3*AP421)+$I$3*VLOOKUP(I421,COND!$A$2:$E$7,4,FALSE)+$J$3*VLOOKUP(J421,COND!$A$2:$C$7,2,FALSE)+$K$3*VLOOKUP(K421,COND!$A$2:$C$7,3,FALSE)+IF(AND($B$2&gt;0,$E421&lt;20),$B$2*25,0)</f>
        <v>40.252197624401283</v>
      </c>
      <c r="AR421" s="47">
        <f t="shared" si="47"/>
        <v>-0.86016504757921497</v>
      </c>
      <c r="AS421" s="45" t="str">
        <f t="shared" si="48"/>
        <v>SS</v>
      </c>
      <c r="AT421" s="45">
        <f>RANK(Batters[[#This Row],[zScore]],Batters[[#All],[zScore]])</f>
        <v>417</v>
      </c>
      <c r="AU421" s="45"/>
      <c r="AV421" s="45"/>
      <c r="AW421" s="45" t="str">
        <f t="shared" si="49"/>
        <v>Unlikely</v>
      </c>
      <c r="AX421" s="45"/>
      <c r="AY421" s="45">
        <f>INDEX(Table5[[#All],[Ovr]],MATCH(Batters[[#This Row],[PID]],Table5[[#All],[PID]],0))</f>
        <v>379</v>
      </c>
      <c r="AZ421" s="45" t="str">
        <f>INDEX(Table5[[#All],[Rnd]],MATCH(Batters[[#This Row],[PID]],Table5[[#All],[PID]],0))</f>
        <v>13</v>
      </c>
      <c r="BA421" s="45">
        <f>INDEX(Table5[[#All],[Pick]],MATCH(Batters[[#This Row],[PID]],Table5[[#All],[PID]],0))</f>
        <v>11</v>
      </c>
      <c r="BB421" s="45" t="str">
        <f>INDEX(Table5[[#All],[Team]],MATCH(Batters[[#This Row],[PID]],Table5[[#All],[PID]],0))</f>
        <v>Duluth Warriors</v>
      </c>
    </row>
    <row r="422" spans="1:54" ht="15" customHeight="1" x14ac:dyDescent="0.25">
      <c r="A422" s="40">
        <v>20912</v>
      </c>
      <c r="B422" s="40" t="s">
        <v>87</v>
      </c>
      <c r="C422" s="40" t="s">
        <v>159</v>
      </c>
      <c r="D422" s="40" t="s">
        <v>1495</v>
      </c>
      <c r="E422" s="40">
        <v>18</v>
      </c>
      <c r="F422" s="40" t="s">
        <v>53</v>
      </c>
      <c r="G422" s="40" t="s">
        <v>42</v>
      </c>
      <c r="H422" s="41" t="s">
        <v>639</v>
      </c>
      <c r="I422" s="65" t="s">
        <v>43</v>
      </c>
      <c r="J422" s="66" t="s">
        <v>43</v>
      </c>
      <c r="K422" s="67" t="s">
        <v>43</v>
      </c>
      <c r="L422" s="40">
        <v>1</v>
      </c>
      <c r="M422" s="40">
        <v>2</v>
      </c>
      <c r="N422" s="40">
        <v>2</v>
      </c>
      <c r="O422" s="40">
        <v>2</v>
      </c>
      <c r="P422" s="41">
        <v>1</v>
      </c>
      <c r="Q422" s="40">
        <v>2</v>
      </c>
      <c r="R422" s="40">
        <v>5</v>
      </c>
      <c r="S422" s="40">
        <v>4</v>
      </c>
      <c r="T422" s="40">
        <v>5</v>
      </c>
      <c r="U422" s="41">
        <v>2</v>
      </c>
      <c r="V422" s="40">
        <v>4</v>
      </c>
      <c r="W422" s="40">
        <v>4</v>
      </c>
      <c r="X422" s="40">
        <v>5</v>
      </c>
      <c r="Y422" s="41">
        <v>9</v>
      </c>
      <c r="Z422" s="40">
        <v>2</v>
      </c>
      <c r="AA422" s="40">
        <v>1</v>
      </c>
      <c r="AB422" s="40" t="s">
        <v>45</v>
      </c>
      <c r="AC422" s="40" t="s">
        <v>45</v>
      </c>
      <c r="AD422" s="40" t="s">
        <v>45</v>
      </c>
      <c r="AE422" s="40" t="s">
        <v>45</v>
      </c>
      <c r="AF422" s="40" t="s">
        <v>45</v>
      </c>
      <c r="AG422" s="41" t="s">
        <v>45</v>
      </c>
      <c r="AH422" s="40">
        <v>1</v>
      </c>
      <c r="AI422" s="40">
        <v>1</v>
      </c>
      <c r="AJ422" s="41">
        <v>1</v>
      </c>
      <c r="AK422" s="43" t="s">
        <v>644</v>
      </c>
      <c r="AL422" s="43"/>
      <c r="AM422" s="44">
        <f t="shared" si="43"/>
        <v>-1.8605124261753858</v>
      </c>
      <c r="AN422" s="44">
        <f t="shared" si="44"/>
        <v>-0.90950897322297131</v>
      </c>
      <c r="AO422" s="45">
        <f t="shared" si="45"/>
        <v>0</v>
      </c>
      <c r="AP422" s="46">
        <f t="shared" si="46"/>
        <v>1.35</v>
      </c>
      <c r="AQ422" s="44">
        <f>($AM$3*AM422+$AN$3*AN422+$AO$3*AO422+$AP$3*AP422)+$I$3*VLOOKUP(I422,COND!$A$2:$E$7,4,FALSE)+$J$3*VLOOKUP(J422,COND!$A$2:$C$7,2,FALSE)+$K$3*VLOOKUP(K422,COND!$A$2:$C$7,3,FALSE)+IF(AND($B$2&gt;0,$E422&lt;20),$B$2*25,0)</f>
        <v>40.249841078706808</v>
      </c>
      <c r="AR422" s="47">
        <f t="shared" si="47"/>
        <v>-0.86068750968845065</v>
      </c>
      <c r="AS422" s="45" t="str">
        <f t="shared" si="48"/>
        <v>C</v>
      </c>
      <c r="AT422" s="45">
        <f>RANK(Batters[[#This Row],[zScore]],Batters[[#All],[zScore]])</f>
        <v>418</v>
      </c>
      <c r="AU422" s="45"/>
      <c r="AV422" s="45"/>
      <c r="AW422" s="45" t="str">
        <f t="shared" si="49"/>
        <v>Unlikely</v>
      </c>
      <c r="AX422" s="45"/>
      <c r="AY422" s="64" t="str">
        <f>INDEX(Table5[[#All],[Ovr]],MATCH(Batters[[#This Row],[PID]],Table5[[#All],[PID]],0))</f>
        <v/>
      </c>
      <c r="AZ422" s="64" t="str">
        <f>INDEX(Table5[[#All],[Rnd]],MATCH(Batters[[#This Row],[PID]],Table5[[#All],[PID]],0))</f>
        <v/>
      </c>
      <c r="BA422" s="64" t="str">
        <f>INDEX(Table5[[#All],[Pick]],MATCH(Batters[[#This Row],[PID]],Table5[[#All],[PID]],0))</f>
        <v/>
      </c>
      <c r="BB422" s="64" t="str">
        <f>INDEX(Table5[[#All],[Team]],MATCH(Batters[[#This Row],[PID]],Table5[[#All],[PID]],0))</f>
        <v/>
      </c>
    </row>
    <row r="423" spans="1:54" ht="15" customHeight="1" x14ac:dyDescent="0.25">
      <c r="A423" s="40">
        <v>18386</v>
      </c>
      <c r="B423" s="40" t="s">
        <v>50</v>
      </c>
      <c r="C423" s="40" t="s">
        <v>1752</v>
      </c>
      <c r="D423" s="40" t="s">
        <v>969</v>
      </c>
      <c r="E423" s="40">
        <v>18</v>
      </c>
      <c r="F423" s="40" t="s">
        <v>42</v>
      </c>
      <c r="G423" s="40" t="s">
        <v>42</v>
      </c>
      <c r="H423" s="41" t="s">
        <v>647</v>
      </c>
      <c r="I423" s="65" t="s">
        <v>43</v>
      </c>
      <c r="J423" s="66" t="s">
        <v>44</v>
      </c>
      <c r="K423" s="67" t="s">
        <v>43</v>
      </c>
      <c r="L423" s="40">
        <v>1</v>
      </c>
      <c r="M423" s="40">
        <v>1</v>
      </c>
      <c r="N423" s="40">
        <v>2</v>
      </c>
      <c r="O423" s="40">
        <v>2</v>
      </c>
      <c r="P423" s="41">
        <v>1</v>
      </c>
      <c r="Q423" s="40">
        <v>3</v>
      </c>
      <c r="R423" s="40">
        <v>3</v>
      </c>
      <c r="S423" s="40">
        <v>2</v>
      </c>
      <c r="T423" s="40">
        <v>5</v>
      </c>
      <c r="U423" s="41">
        <v>4</v>
      </c>
      <c r="V423" s="40">
        <v>1</v>
      </c>
      <c r="W423" s="40">
        <v>5</v>
      </c>
      <c r="X423" s="40">
        <v>1</v>
      </c>
      <c r="Y423" s="41">
        <v>1</v>
      </c>
      <c r="Z423" s="40" t="s">
        <v>45</v>
      </c>
      <c r="AA423" s="40" t="s">
        <v>45</v>
      </c>
      <c r="AB423" s="40" t="s">
        <v>45</v>
      </c>
      <c r="AC423" s="40" t="s">
        <v>45</v>
      </c>
      <c r="AD423" s="40" t="s">
        <v>45</v>
      </c>
      <c r="AE423" s="40" t="s">
        <v>45</v>
      </c>
      <c r="AF423" s="40" t="s">
        <v>45</v>
      </c>
      <c r="AG423" s="41" t="s">
        <v>45</v>
      </c>
      <c r="AH423" s="40">
        <v>5</v>
      </c>
      <c r="AI423" s="40">
        <v>5</v>
      </c>
      <c r="AJ423" s="41">
        <v>2</v>
      </c>
      <c r="AK423" s="43" t="s">
        <v>573</v>
      </c>
      <c r="AL423" s="43"/>
      <c r="AM423" s="44">
        <f t="shared" si="43"/>
        <v>-1.9115723057940897</v>
      </c>
      <c r="AN423" s="44">
        <f t="shared" si="44"/>
        <v>-0.77516320467133948</v>
      </c>
      <c r="AO423" s="45">
        <f t="shared" si="45"/>
        <v>0</v>
      </c>
      <c r="AP423" s="46">
        <f t="shared" si="46"/>
        <v>0</v>
      </c>
      <c r="AQ423" s="44">
        <f>($AM$3*AM423+$AN$3*AN423+$AO$3*AO423+$AP$3*AP423)+$I$3*VLOOKUP(I423,COND!$A$2:$E$7,4,FALSE)+$J$3*VLOOKUP(J423,COND!$A$2:$C$7,2,FALSE)+$K$3*VLOOKUP(K423,COND!$A$2:$C$7,3,FALSE)+IF(AND($B$2&gt;0,$E423&lt;20),$B$2*25,0)</f>
        <v>40.206884313364519</v>
      </c>
      <c r="AR423" s="47">
        <f t="shared" si="47"/>
        <v>-0.87021131492562231</v>
      </c>
      <c r="AS423" s="45" t="str">
        <f t="shared" si="48"/>
        <v>DH</v>
      </c>
      <c r="AT423" s="45">
        <f>RANK(Batters[[#This Row],[zScore]],Batters[[#All],[zScore]])</f>
        <v>419</v>
      </c>
      <c r="AU423" s="45"/>
      <c r="AV423" s="45"/>
      <c r="AW423" s="45" t="str">
        <f t="shared" si="49"/>
        <v>Unlikely</v>
      </c>
      <c r="AX423" s="45"/>
      <c r="AY423" s="64" t="str">
        <f>INDEX(Table5[[#All],[Ovr]],MATCH(Batters[[#This Row],[PID]],Table5[[#All],[PID]],0))</f>
        <v/>
      </c>
      <c r="AZ423" s="64" t="str">
        <f>INDEX(Table5[[#All],[Rnd]],MATCH(Batters[[#This Row],[PID]],Table5[[#All],[PID]],0))</f>
        <v/>
      </c>
      <c r="BA423" s="64" t="str">
        <f>INDEX(Table5[[#All],[Pick]],MATCH(Batters[[#This Row],[PID]],Table5[[#All],[PID]],0))</f>
        <v/>
      </c>
      <c r="BB423" s="64" t="str">
        <f>INDEX(Table5[[#All],[Team]],MATCH(Batters[[#This Row],[PID]],Table5[[#All],[PID]],0))</f>
        <v/>
      </c>
    </row>
    <row r="424" spans="1:54" ht="15" customHeight="1" x14ac:dyDescent="0.25">
      <c r="A424" s="40">
        <v>20223</v>
      </c>
      <c r="B424" s="40" t="s">
        <v>86</v>
      </c>
      <c r="C424" s="40" t="s">
        <v>154</v>
      </c>
      <c r="D424" s="40" t="s">
        <v>148</v>
      </c>
      <c r="E424" s="40">
        <v>22</v>
      </c>
      <c r="F424" s="40" t="s">
        <v>42</v>
      </c>
      <c r="G424" s="40" t="s">
        <v>42</v>
      </c>
      <c r="H424" s="41" t="s">
        <v>634</v>
      </c>
      <c r="I424" s="65" t="s">
        <v>43</v>
      </c>
      <c r="J424" s="66" t="s">
        <v>47</v>
      </c>
      <c r="K424" s="67" t="s">
        <v>43</v>
      </c>
      <c r="L424" s="40">
        <v>1</v>
      </c>
      <c r="M424" s="40">
        <v>7</v>
      </c>
      <c r="N424" s="40">
        <v>6</v>
      </c>
      <c r="O424" s="40">
        <v>5</v>
      </c>
      <c r="P424" s="41">
        <v>1</v>
      </c>
      <c r="Q424" s="40">
        <v>2</v>
      </c>
      <c r="R424" s="40">
        <v>8</v>
      </c>
      <c r="S424" s="40">
        <v>7</v>
      </c>
      <c r="T424" s="40">
        <v>6</v>
      </c>
      <c r="U424" s="41">
        <v>2</v>
      </c>
      <c r="V424" s="40">
        <v>3</v>
      </c>
      <c r="W424" s="40">
        <v>3</v>
      </c>
      <c r="X424" s="40">
        <v>4</v>
      </c>
      <c r="Y424" s="41">
        <v>6</v>
      </c>
      <c r="Z424" s="40">
        <v>4</v>
      </c>
      <c r="AA424" s="40" t="s">
        <v>45</v>
      </c>
      <c r="AB424" s="40" t="s">
        <v>45</v>
      </c>
      <c r="AC424" s="40" t="s">
        <v>45</v>
      </c>
      <c r="AD424" s="40" t="s">
        <v>45</v>
      </c>
      <c r="AE424" s="40" t="s">
        <v>45</v>
      </c>
      <c r="AF424" s="40" t="s">
        <v>45</v>
      </c>
      <c r="AG424" s="41" t="s">
        <v>45</v>
      </c>
      <c r="AH424" s="40">
        <v>3</v>
      </c>
      <c r="AI424" s="40">
        <v>1</v>
      </c>
      <c r="AJ424" s="41">
        <v>1</v>
      </c>
      <c r="AK424" s="43" t="s">
        <v>643</v>
      </c>
      <c r="AL424" s="43" t="s">
        <v>47</v>
      </c>
      <c r="AM424" s="44">
        <f t="shared" si="43"/>
        <v>-1.0038384019575193</v>
      </c>
      <c r="AN424" s="44">
        <f t="shared" si="44"/>
        <v>-0.41743530228557529</v>
      </c>
      <c r="AO424" s="45">
        <f t="shared" si="45"/>
        <v>0</v>
      </c>
      <c r="AP424" s="46">
        <f t="shared" si="46"/>
        <v>0</v>
      </c>
      <c r="AQ424" s="44">
        <f>($AM$3*AM424+$AN$3*AN424+$AO$3*AO424+$AP$3*AP424)+$I$3*VLOOKUP(I424,COND!$A$2:$E$7,4,FALSE)+$J$3*VLOOKUP(J424,COND!$A$2:$C$7,2,FALSE)+$K$3*VLOOKUP(K424,COND!$A$2:$C$7,3,FALSE)+IF(AND($B$2&gt;0,$E424&lt;20),$B$2*25,0)</f>
        <v>40.190392532377345</v>
      </c>
      <c r="AR424" s="47">
        <f t="shared" si="47"/>
        <v>-0.87386765424457269</v>
      </c>
      <c r="AS424" s="45" t="str">
        <f t="shared" si="48"/>
        <v>C</v>
      </c>
      <c r="AT424" s="45">
        <f>RANK(Batters[[#This Row],[zScore]],Batters[[#All],[zScore]])</f>
        <v>420</v>
      </c>
      <c r="AU424" s="45"/>
      <c r="AV424" s="45"/>
      <c r="AW424" s="45" t="str">
        <f t="shared" si="49"/>
        <v>Unlikely</v>
      </c>
      <c r="AX424" s="45"/>
      <c r="AY424" s="45">
        <f>INDEX(Table5[[#All],[Ovr]],MATCH(Batters[[#This Row],[PID]],Table5[[#All],[PID]],0))</f>
        <v>197</v>
      </c>
      <c r="AZ424" s="45" t="str">
        <f>INDEX(Table5[[#All],[Rnd]],MATCH(Batters[[#This Row],[PID]],Table5[[#All],[PID]],0))</f>
        <v>7</v>
      </c>
      <c r="BA424" s="45">
        <f>INDEX(Table5[[#All],[Pick]],MATCH(Batters[[#This Row],[PID]],Table5[[#All],[PID]],0))</f>
        <v>9</v>
      </c>
      <c r="BB424" s="45" t="str">
        <f>INDEX(Table5[[#All],[Team]],MATCH(Batters[[#This Row],[PID]],Table5[[#All],[PID]],0))</f>
        <v>Scottish Claymores</v>
      </c>
    </row>
    <row r="425" spans="1:54" ht="15" customHeight="1" x14ac:dyDescent="0.25">
      <c r="A425" s="40">
        <v>18107</v>
      </c>
      <c r="B425" s="40" t="s">
        <v>69</v>
      </c>
      <c r="C425" s="40" t="s">
        <v>366</v>
      </c>
      <c r="D425" s="40" t="s">
        <v>1588</v>
      </c>
      <c r="E425" s="40">
        <v>21</v>
      </c>
      <c r="F425" s="40" t="s">
        <v>42</v>
      </c>
      <c r="G425" s="40" t="s">
        <v>42</v>
      </c>
      <c r="H425" s="41" t="s">
        <v>638</v>
      </c>
      <c r="I425" s="65" t="s">
        <v>43</v>
      </c>
      <c r="J425" s="66" t="s">
        <v>43</v>
      </c>
      <c r="K425" s="67" t="s">
        <v>43</v>
      </c>
      <c r="L425" s="40">
        <v>2</v>
      </c>
      <c r="M425" s="40">
        <v>2</v>
      </c>
      <c r="N425" s="40">
        <v>2</v>
      </c>
      <c r="O425" s="40">
        <v>2</v>
      </c>
      <c r="P425" s="41">
        <v>3</v>
      </c>
      <c r="Q425" s="40">
        <v>4</v>
      </c>
      <c r="R425" s="40">
        <v>4</v>
      </c>
      <c r="S425" s="40">
        <v>2</v>
      </c>
      <c r="T425" s="40">
        <v>4</v>
      </c>
      <c r="U425" s="41">
        <v>5</v>
      </c>
      <c r="V425" s="40">
        <v>9</v>
      </c>
      <c r="W425" s="40">
        <v>10</v>
      </c>
      <c r="X425" s="40">
        <v>1</v>
      </c>
      <c r="Y425" s="41">
        <v>1</v>
      </c>
      <c r="Z425" s="40" t="s">
        <v>45</v>
      </c>
      <c r="AA425" s="40" t="s">
        <v>45</v>
      </c>
      <c r="AB425" s="40" t="s">
        <v>45</v>
      </c>
      <c r="AC425" s="40">
        <v>5</v>
      </c>
      <c r="AD425" s="40" t="s">
        <v>45</v>
      </c>
      <c r="AE425" s="40" t="s">
        <v>45</v>
      </c>
      <c r="AF425" s="40" t="s">
        <v>45</v>
      </c>
      <c r="AG425" s="41" t="s">
        <v>45</v>
      </c>
      <c r="AH425" s="40">
        <v>3</v>
      </c>
      <c r="AI425" s="40">
        <v>5</v>
      </c>
      <c r="AJ425" s="41">
        <v>3</v>
      </c>
      <c r="AK425" s="43" t="s">
        <v>45</v>
      </c>
      <c r="AL425" s="43" t="s">
        <v>47</v>
      </c>
      <c r="AM425" s="44">
        <f t="shared" si="43"/>
        <v>-1.4579239103385446</v>
      </c>
      <c r="AN425" s="44">
        <f t="shared" si="44"/>
        <v>-0.451240699042459</v>
      </c>
      <c r="AO425" s="45">
        <f t="shared" si="45"/>
        <v>0</v>
      </c>
      <c r="AP425" s="46">
        <f t="shared" si="46"/>
        <v>0.75</v>
      </c>
      <c r="AQ425" s="44">
        <f>($AM$3*AM425+$AN$3*AN425+$AO$3*AO425+$AP$3*AP425)+$I$3*VLOOKUP(I425,COND!$A$2:$E$7,4,FALSE)+$J$3*VLOOKUP(J425,COND!$A$2:$C$7,2,FALSE)+$K$3*VLOOKUP(K425,COND!$A$2:$C$7,3,FALSE)+IF(AND($B$2&gt;0,$E425&lt;20),$B$2*25,0)</f>
        <v>40.189319220456639</v>
      </c>
      <c r="AR425" s="47">
        <f t="shared" si="47"/>
        <v>-0.87410561475230841</v>
      </c>
      <c r="AS425" s="45" t="str">
        <f t="shared" si="48"/>
        <v>3B</v>
      </c>
      <c r="AT425" s="45">
        <f>RANK(Batters[[#This Row],[zScore]],Batters[[#All],[zScore]])</f>
        <v>421</v>
      </c>
      <c r="AU425" s="45"/>
      <c r="AV425" s="45"/>
      <c r="AW425" s="45" t="str">
        <f t="shared" si="49"/>
        <v>Unlikely</v>
      </c>
      <c r="AX425" s="45"/>
      <c r="AY425" s="45" t="str">
        <f>INDEX(Table5[[#All],[Ovr]],MATCH(Batters[[#This Row],[PID]],Table5[[#All],[PID]],0))</f>
        <v/>
      </c>
      <c r="AZ425" s="45" t="str">
        <f>INDEX(Table5[[#All],[Rnd]],MATCH(Batters[[#This Row],[PID]],Table5[[#All],[PID]],0))</f>
        <v/>
      </c>
      <c r="BA425" s="45" t="str">
        <f>INDEX(Table5[[#All],[Pick]],MATCH(Batters[[#This Row],[PID]],Table5[[#All],[PID]],0))</f>
        <v/>
      </c>
      <c r="BB425" s="45" t="str">
        <f>INDEX(Table5[[#All],[Team]],MATCH(Batters[[#This Row],[PID]],Table5[[#All],[PID]],0))</f>
        <v/>
      </c>
    </row>
    <row r="426" spans="1:54" ht="15" customHeight="1" x14ac:dyDescent="0.25">
      <c r="A426" s="40">
        <v>18101</v>
      </c>
      <c r="B426" s="40" t="s">
        <v>86</v>
      </c>
      <c r="C426" s="40" t="s">
        <v>389</v>
      </c>
      <c r="D426" s="40" t="s">
        <v>1402</v>
      </c>
      <c r="E426" s="40">
        <v>21</v>
      </c>
      <c r="F426" s="40" t="s">
        <v>42</v>
      </c>
      <c r="G426" s="40" t="s">
        <v>42</v>
      </c>
      <c r="H426" s="41" t="s">
        <v>638</v>
      </c>
      <c r="I426" s="65" t="s">
        <v>43</v>
      </c>
      <c r="J426" s="66" t="s">
        <v>43</v>
      </c>
      <c r="K426" s="67" t="s">
        <v>43</v>
      </c>
      <c r="L426" s="40">
        <v>2</v>
      </c>
      <c r="M426" s="40">
        <v>3</v>
      </c>
      <c r="N426" s="40">
        <v>2</v>
      </c>
      <c r="O426" s="40">
        <v>1</v>
      </c>
      <c r="P426" s="41">
        <v>4</v>
      </c>
      <c r="Q426" s="40">
        <v>4</v>
      </c>
      <c r="R426" s="40">
        <v>5</v>
      </c>
      <c r="S426" s="40">
        <v>2</v>
      </c>
      <c r="T426" s="40">
        <v>2</v>
      </c>
      <c r="U426" s="41">
        <v>7</v>
      </c>
      <c r="V426" s="40">
        <v>5</v>
      </c>
      <c r="W426" s="40">
        <v>5</v>
      </c>
      <c r="X426" s="40">
        <v>6</v>
      </c>
      <c r="Y426" s="41">
        <v>6</v>
      </c>
      <c r="Z426" s="40">
        <v>3</v>
      </c>
      <c r="AA426" s="40" t="s">
        <v>45</v>
      </c>
      <c r="AB426" s="40" t="s">
        <v>45</v>
      </c>
      <c r="AC426" s="40" t="s">
        <v>45</v>
      </c>
      <c r="AD426" s="40" t="s">
        <v>45</v>
      </c>
      <c r="AE426" s="40" t="s">
        <v>45</v>
      </c>
      <c r="AF426" s="40" t="s">
        <v>45</v>
      </c>
      <c r="AG426" s="41" t="s">
        <v>45</v>
      </c>
      <c r="AH426" s="40">
        <v>5</v>
      </c>
      <c r="AI426" s="40">
        <v>8</v>
      </c>
      <c r="AJ426" s="41">
        <v>6</v>
      </c>
      <c r="AK426" s="43" t="s">
        <v>45</v>
      </c>
      <c r="AL426" s="43" t="s">
        <v>635</v>
      </c>
      <c r="AM426" s="44">
        <f t="shared" si="43"/>
        <v>-1.4565572409123384</v>
      </c>
      <c r="AN426" s="44">
        <f t="shared" si="44"/>
        <v>-0.49956723980875062</v>
      </c>
      <c r="AO426" s="45">
        <f t="shared" si="45"/>
        <v>1</v>
      </c>
      <c r="AP426" s="46">
        <f t="shared" si="46"/>
        <v>1.1000000000000001</v>
      </c>
      <c r="AQ426" s="44">
        <f>($AM$3*AM426+$AN$3*AN426+$AO$3*AO426+$AP$3*AP426)+$I$3*VLOOKUP(I426,COND!$A$2:$E$7,4,FALSE)+$J$3*VLOOKUP(J426,COND!$A$2:$C$7,2,FALSE)+$K$3*VLOOKUP(K426,COND!$A$2:$C$7,3,FALSE)+IF(AND($B$2&gt;0,$E426&lt;20),$B$2*25,0)</f>
        <v>40.126204064870421</v>
      </c>
      <c r="AR426" s="47">
        <f t="shared" si="47"/>
        <v>-0.88809867136463128</v>
      </c>
      <c r="AS426" s="45" t="str">
        <f t="shared" si="48"/>
        <v>C</v>
      </c>
      <c r="AT426" s="45">
        <f>RANK(Batters[[#This Row],[zScore]],Batters[[#All],[zScore]])</f>
        <v>422</v>
      </c>
      <c r="AU426" s="45"/>
      <c r="AV426" s="45"/>
      <c r="AW426" s="45" t="str">
        <f t="shared" si="49"/>
        <v>Unlikely</v>
      </c>
      <c r="AX426" s="45"/>
      <c r="AY426" s="45">
        <f>INDEX(Table5[[#All],[Ovr]],MATCH(Batters[[#This Row],[PID]],Table5[[#All],[PID]],0))</f>
        <v>445</v>
      </c>
      <c r="AZ426" s="45" t="str">
        <f>INDEX(Table5[[#All],[Rnd]],MATCH(Batters[[#This Row],[PID]],Table5[[#All],[PID]],0))</f>
        <v>15</v>
      </c>
      <c r="BA426" s="45">
        <f>INDEX(Table5[[#All],[Pick]],MATCH(Batters[[#This Row],[PID]],Table5[[#All],[PID]],0))</f>
        <v>17</v>
      </c>
      <c r="BB426" s="45" t="str">
        <f>INDEX(Table5[[#All],[Team]],MATCH(Batters[[#This Row],[PID]],Table5[[#All],[PID]],0))</f>
        <v>Madison Malts</v>
      </c>
    </row>
    <row r="427" spans="1:54" ht="15" customHeight="1" x14ac:dyDescent="0.25">
      <c r="A427" s="40">
        <v>17814</v>
      </c>
      <c r="B427" s="40" t="s">
        <v>86</v>
      </c>
      <c r="C427" s="40" t="s">
        <v>988</v>
      </c>
      <c r="D427" s="40" t="s">
        <v>989</v>
      </c>
      <c r="E427" s="40">
        <v>22</v>
      </c>
      <c r="F427" s="40" t="s">
        <v>42</v>
      </c>
      <c r="G427" s="40" t="s">
        <v>42</v>
      </c>
      <c r="H427" s="41" t="s">
        <v>634</v>
      </c>
      <c r="I427" s="65" t="s">
        <v>43</v>
      </c>
      <c r="J427" s="66" t="s">
        <v>43</v>
      </c>
      <c r="K427" s="67" t="s">
        <v>43</v>
      </c>
      <c r="L427" s="40">
        <v>3</v>
      </c>
      <c r="M427" s="40">
        <v>4</v>
      </c>
      <c r="N427" s="40">
        <v>3</v>
      </c>
      <c r="O427" s="40">
        <v>4</v>
      </c>
      <c r="P427" s="41">
        <v>1</v>
      </c>
      <c r="Q427" s="40">
        <v>3</v>
      </c>
      <c r="R427" s="40">
        <v>5</v>
      </c>
      <c r="S427" s="40">
        <v>4</v>
      </c>
      <c r="T427" s="40">
        <v>6</v>
      </c>
      <c r="U427" s="41">
        <v>2</v>
      </c>
      <c r="V427" s="40">
        <v>3</v>
      </c>
      <c r="W427" s="40">
        <v>4</v>
      </c>
      <c r="X427" s="40">
        <v>5</v>
      </c>
      <c r="Y427" s="41">
        <v>7</v>
      </c>
      <c r="Z427" s="40">
        <v>2</v>
      </c>
      <c r="AA427" s="40" t="s">
        <v>45</v>
      </c>
      <c r="AB427" s="40" t="s">
        <v>45</v>
      </c>
      <c r="AC427" s="40" t="s">
        <v>45</v>
      </c>
      <c r="AD427" s="40" t="s">
        <v>45</v>
      </c>
      <c r="AE427" s="40" t="s">
        <v>45</v>
      </c>
      <c r="AF427" s="40" t="s">
        <v>45</v>
      </c>
      <c r="AG427" s="41" t="s">
        <v>45</v>
      </c>
      <c r="AH427" s="40">
        <v>1</v>
      </c>
      <c r="AI427" s="40">
        <v>5</v>
      </c>
      <c r="AJ427" s="41">
        <v>2</v>
      </c>
      <c r="AK427" s="43" t="s">
        <v>45</v>
      </c>
      <c r="AL427" s="43" t="s">
        <v>47</v>
      </c>
      <c r="AM427" s="44">
        <f t="shared" si="43"/>
        <v>-0.85080040048956596</v>
      </c>
      <c r="AN427" s="44">
        <f t="shared" si="44"/>
        <v>-0.49724358701071553</v>
      </c>
      <c r="AO427" s="45">
        <f t="shared" si="45"/>
        <v>0</v>
      </c>
      <c r="AP427" s="46">
        <f t="shared" si="46"/>
        <v>1.1000000000000001</v>
      </c>
      <c r="AQ427" s="44">
        <f>($AM$3*AM427+$AN$3*AN427+$AO$3*AO427+$AP$3*AP427)+$I$3*VLOOKUP(I427,COND!$A$2:$E$7,4,FALSE)+$J$3*VLOOKUP(J427,COND!$A$2:$C$7,2,FALSE)+$K$3*VLOOKUP(K427,COND!$A$2:$C$7,3,FALSE)+IF(AND($B$2&gt;0,$E427&lt;20),$B$2*25,0)</f>
        <v>40.047996915822459</v>
      </c>
      <c r="AR427" s="47">
        <f t="shared" si="47"/>
        <v>-0.90543772493983132</v>
      </c>
      <c r="AS427" s="45" t="str">
        <f t="shared" si="48"/>
        <v>C</v>
      </c>
      <c r="AT427" s="45">
        <f>RANK(Batters[[#This Row],[zScore]],Batters[[#All],[zScore]])</f>
        <v>423</v>
      </c>
      <c r="AU427" s="45"/>
      <c r="AV427" s="45"/>
      <c r="AW427" s="45" t="str">
        <f t="shared" si="49"/>
        <v>Unlikely</v>
      </c>
      <c r="AX427" s="45"/>
      <c r="AY427" s="45">
        <f>INDEX(Table5[[#All],[Ovr]],MATCH(Batters[[#This Row],[PID]],Table5[[#All],[PID]],0))</f>
        <v>380</v>
      </c>
      <c r="AZ427" s="45" t="str">
        <f>INDEX(Table5[[#All],[Rnd]],MATCH(Batters[[#This Row],[PID]],Table5[[#All],[PID]],0))</f>
        <v>13</v>
      </c>
      <c r="BA427" s="45">
        <f>INDEX(Table5[[#All],[Pick]],MATCH(Batters[[#This Row],[PID]],Table5[[#All],[PID]],0))</f>
        <v>12</v>
      </c>
      <c r="BB427" s="45" t="str">
        <f>INDEX(Table5[[#All],[Team]],MATCH(Batters[[#This Row],[PID]],Table5[[#All],[PID]],0))</f>
        <v>Palm Springs Codgers</v>
      </c>
    </row>
    <row r="428" spans="1:54" ht="15" customHeight="1" x14ac:dyDescent="0.25">
      <c r="A428" s="40">
        <v>21063</v>
      </c>
      <c r="B428" s="40" t="s">
        <v>87</v>
      </c>
      <c r="C428" s="40" t="s">
        <v>123</v>
      </c>
      <c r="D428" s="40" t="s">
        <v>177</v>
      </c>
      <c r="E428" s="40">
        <v>17</v>
      </c>
      <c r="F428" s="40" t="s">
        <v>53</v>
      </c>
      <c r="G428" s="40" t="s">
        <v>42</v>
      </c>
      <c r="H428" s="41" t="s">
        <v>647</v>
      </c>
      <c r="I428" s="65" t="s">
        <v>43</v>
      </c>
      <c r="J428" s="66" t="s">
        <v>43</v>
      </c>
      <c r="K428" s="67" t="s">
        <v>43</v>
      </c>
      <c r="L428" s="40">
        <v>1</v>
      </c>
      <c r="M428" s="40">
        <v>1</v>
      </c>
      <c r="N428" s="40">
        <v>2</v>
      </c>
      <c r="O428" s="40">
        <v>1</v>
      </c>
      <c r="P428" s="41">
        <v>1</v>
      </c>
      <c r="Q428" s="40">
        <v>3</v>
      </c>
      <c r="R428" s="40">
        <v>4</v>
      </c>
      <c r="S428" s="40">
        <v>2</v>
      </c>
      <c r="T428" s="40">
        <v>4</v>
      </c>
      <c r="U428" s="41">
        <v>4</v>
      </c>
      <c r="V428" s="40">
        <v>4</v>
      </c>
      <c r="W428" s="40">
        <v>4</v>
      </c>
      <c r="X428" s="40">
        <v>5</v>
      </c>
      <c r="Y428" s="41">
        <v>5</v>
      </c>
      <c r="Z428" s="40" t="s">
        <v>45</v>
      </c>
      <c r="AA428" s="40">
        <v>3</v>
      </c>
      <c r="AB428" s="40" t="s">
        <v>45</v>
      </c>
      <c r="AC428" s="40" t="s">
        <v>45</v>
      </c>
      <c r="AD428" s="40" t="s">
        <v>45</v>
      </c>
      <c r="AE428" s="40" t="s">
        <v>45</v>
      </c>
      <c r="AF428" s="40" t="s">
        <v>45</v>
      </c>
      <c r="AG428" s="41" t="s">
        <v>45</v>
      </c>
      <c r="AH428" s="40">
        <v>2</v>
      </c>
      <c r="AI428" s="40">
        <v>1</v>
      </c>
      <c r="AJ428" s="41">
        <v>1</v>
      </c>
      <c r="AK428" s="43" t="s">
        <v>644</v>
      </c>
      <c r="AL428" s="43"/>
      <c r="AM428" s="44">
        <f t="shared" si="43"/>
        <v>-2.0012818558036707</v>
      </c>
      <c r="AN428" s="44">
        <f t="shared" si="44"/>
        <v>-0.813812875062217</v>
      </c>
      <c r="AO428" s="45">
        <f t="shared" si="45"/>
        <v>0</v>
      </c>
      <c r="AP428" s="46">
        <f t="shared" si="46"/>
        <v>0</v>
      </c>
      <c r="AQ428" s="44">
        <f>($AM$3*AM428+$AN$3*AN428+$AO$3*AO428+$AP$3*AP428)+$I$3*VLOOKUP(I428,COND!$A$2:$E$7,4,FALSE)+$J$3*VLOOKUP(J428,COND!$A$2:$C$7,2,FALSE)+$K$3*VLOOKUP(K428,COND!$A$2:$C$7,3,FALSE)+IF(AND($B$2&gt;0,$E428&lt;20),$B$2*25,0)</f>
        <v>40.034117313673029</v>
      </c>
      <c r="AR428" s="47">
        <f t="shared" si="47"/>
        <v>-0.90851492655376354</v>
      </c>
      <c r="AS428" s="45" t="str">
        <f t="shared" si="48"/>
        <v>1B</v>
      </c>
      <c r="AT428" s="45">
        <f>RANK(Batters[[#This Row],[zScore]],Batters[[#All],[zScore]])</f>
        <v>424</v>
      </c>
      <c r="AU428" s="45"/>
      <c r="AV428" s="45"/>
      <c r="AW428" s="45" t="str">
        <f t="shared" si="49"/>
        <v>Unlikely</v>
      </c>
      <c r="AX428" s="45"/>
      <c r="AY428" s="64" t="str">
        <f>INDEX(Table5[[#All],[Ovr]],MATCH(Batters[[#This Row],[PID]],Table5[[#All],[PID]],0))</f>
        <v/>
      </c>
      <c r="AZ428" s="64" t="str">
        <f>INDEX(Table5[[#All],[Rnd]],MATCH(Batters[[#This Row],[PID]],Table5[[#All],[PID]],0))</f>
        <v/>
      </c>
      <c r="BA428" s="64" t="str">
        <f>INDEX(Table5[[#All],[Pick]],MATCH(Batters[[#This Row],[PID]],Table5[[#All],[PID]],0))</f>
        <v/>
      </c>
      <c r="BB428" s="64" t="str">
        <f>INDEX(Table5[[#All],[Team]],MATCH(Batters[[#This Row],[PID]],Table5[[#All],[PID]],0))</f>
        <v/>
      </c>
    </row>
    <row r="429" spans="1:54" ht="15" customHeight="1" x14ac:dyDescent="0.25">
      <c r="A429" s="40">
        <v>17588</v>
      </c>
      <c r="B429" s="40" t="s">
        <v>71</v>
      </c>
      <c r="C429" s="40" t="s">
        <v>155</v>
      </c>
      <c r="D429" s="40" t="s">
        <v>875</v>
      </c>
      <c r="E429" s="40">
        <v>18</v>
      </c>
      <c r="F429" s="40" t="s">
        <v>42</v>
      </c>
      <c r="G429" s="40" t="s">
        <v>42</v>
      </c>
      <c r="H429" s="41" t="s">
        <v>638</v>
      </c>
      <c r="I429" s="65" t="s">
        <v>43</v>
      </c>
      <c r="J429" s="66" t="s">
        <v>44</v>
      </c>
      <c r="K429" s="67" t="s">
        <v>43</v>
      </c>
      <c r="L429" s="40">
        <v>1</v>
      </c>
      <c r="M429" s="40">
        <v>1</v>
      </c>
      <c r="N429" s="40">
        <v>2</v>
      </c>
      <c r="O429" s="40">
        <v>1</v>
      </c>
      <c r="P429" s="41">
        <v>1</v>
      </c>
      <c r="Q429" s="40">
        <v>3</v>
      </c>
      <c r="R429" s="40">
        <v>5</v>
      </c>
      <c r="S429" s="40">
        <v>2</v>
      </c>
      <c r="T429" s="40">
        <v>4</v>
      </c>
      <c r="U429" s="41">
        <v>3</v>
      </c>
      <c r="V429" s="40">
        <v>7</v>
      </c>
      <c r="W429" s="40">
        <v>5</v>
      </c>
      <c r="X429" s="40">
        <v>1</v>
      </c>
      <c r="Y429" s="41">
        <v>1</v>
      </c>
      <c r="Z429" s="40" t="s">
        <v>45</v>
      </c>
      <c r="AA429" s="40" t="s">
        <v>45</v>
      </c>
      <c r="AB429" s="40">
        <v>4</v>
      </c>
      <c r="AC429" s="40" t="s">
        <v>45</v>
      </c>
      <c r="AD429" s="40">
        <v>2</v>
      </c>
      <c r="AE429" s="40" t="s">
        <v>45</v>
      </c>
      <c r="AF429" s="40" t="s">
        <v>45</v>
      </c>
      <c r="AG429" s="41" t="s">
        <v>45</v>
      </c>
      <c r="AH429" s="40">
        <v>8</v>
      </c>
      <c r="AI429" s="40">
        <v>6</v>
      </c>
      <c r="AJ429" s="41">
        <v>5</v>
      </c>
      <c r="AK429" s="43" t="s">
        <v>563</v>
      </c>
      <c r="AL429" s="43" t="s">
        <v>47</v>
      </c>
      <c r="AM429" s="44">
        <f t="shared" si="43"/>
        <v>-2.0012818558036707</v>
      </c>
      <c r="AN429" s="44">
        <f t="shared" si="44"/>
        <v>-0.80276933526059713</v>
      </c>
      <c r="AO429" s="45">
        <f t="shared" si="45"/>
        <v>1</v>
      </c>
      <c r="AP429" s="46">
        <f t="shared" si="46"/>
        <v>0</v>
      </c>
      <c r="AQ429" s="44">
        <f>($AM$3*AM429+$AN$3*AN429+$AO$3*AO429+$AP$3*AP429)+$I$3*VLOOKUP(I429,COND!$A$2:$E$7,4,FALSE)+$J$3*VLOOKUP(J429,COND!$A$2:$C$7,2,FALSE)+$K$3*VLOOKUP(K429,COND!$A$2:$C$7,3,FALSE)+IF(AND($B$2&gt;0,$E429&lt;20),$B$2*25,0)</f>
        <v>40.033306457959135</v>
      </c>
      <c r="AR429" s="47">
        <f t="shared" si="47"/>
        <v>-0.90869469874640973</v>
      </c>
      <c r="AS429" s="45" t="str">
        <f t="shared" si="48"/>
        <v>2B</v>
      </c>
      <c r="AT429" s="45">
        <f>RANK(Batters[[#This Row],[zScore]],Batters[[#All],[zScore]])</f>
        <v>425</v>
      </c>
      <c r="AU429" s="45"/>
      <c r="AV429" s="45"/>
      <c r="AW429" s="45" t="str">
        <f t="shared" si="49"/>
        <v>Unlikely</v>
      </c>
      <c r="AX429" s="45"/>
      <c r="AY429" s="45" t="str">
        <f>INDEX(Table5[[#All],[Ovr]],MATCH(Batters[[#This Row],[PID]],Table5[[#All],[PID]],0))</f>
        <v/>
      </c>
      <c r="AZ429" s="45" t="str">
        <f>INDEX(Table5[[#All],[Rnd]],MATCH(Batters[[#This Row],[PID]],Table5[[#All],[PID]],0))</f>
        <v/>
      </c>
      <c r="BA429" s="45" t="str">
        <f>INDEX(Table5[[#All],[Pick]],MATCH(Batters[[#This Row],[PID]],Table5[[#All],[PID]],0))</f>
        <v/>
      </c>
      <c r="BB429" s="45" t="str">
        <f>INDEX(Table5[[#All],[Team]],MATCH(Batters[[#This Row],[PID]],Table5[[#All],[PID]],0))</f>
        <v/>
      </c>
    </row>
    <row r="430" spans="1:54" ht="15" customHeight="1" x14ac:dyDescent="0.25">
      <c r="A430" s="40">
        <v>18028</v>
      </c>
      <c r="B430" s="40" t="s">
        <v>66</v>
      </c>
      <c r="C430" s="40" t="s">
        <v>166</v>
      </c>
      <c r="D430" s="40" t="s">
        <v>1264</v>
      </c>
      <c r="E430" s="40">
        <v>21</v>
      </c>
      <c r="F430" s="40" t="s">
        <v>53</v>
      </c>
      <c r="G430" s="40" t="s">
        <v>53</v>
      </c>
      <c r="H430" s="41" t="s">
        <v>638</v>
      </c>
      <c r="I430" s="65" t="s">
        <v>43</v>
      </c>
      <c r="J430" s="66" t="s">
        <v>44</v>
      </c>
      <c r="K430" s="67" t="s">
        <v>43</v>
      </c>
      <c r="L430" s="40">
        <v>2</v>
      </c>
      <c r="M430" s="40">
        <v>2</v>
      </c>
      <c r="N430" s="40">
        <v>2</v>
      </c>
      <c r="O430" s="40">
        <v>2</v>
      </c>
      <c r="P430" s="41">
        <v>1</v>
      </c>
      <c r="Q430" s="40">
        <v>4</v>
      </c>
      <c r="R430" s="40">
        <v>3</v>
      </c>
      <c r="S430" s="40">
        <v>3</v>
      </c>
      <c r="T430" s="40">
        <v>4</v>
      </c>
      <c r="U430" s="41">
        <v>4</v>
      </c>
      <c r="V430" s="40">
        <v>8</v>
      </c>
      <c r="W430" s="40">
        <v>10</v>
      </c>
      <c r="X430" s="40">
        <v>1</v>
      </c>
      <c r="Y430" s="41">
        <v>1</v>
      </c>
      <c r="Z430" s="40" t="s">
        <v>45</v>
      </c>
      <c r="AA430" s="40" t="s">
        <v>45</v>
      </c>
      <c r="AB430" s="40" t="s">
        <v>45</v>
      </c>
      <c r="AC430" s="40" t="s">
        <v>45</v>
      </c>
      <c r="AD430" s="40" t="s">
        <v>45</v>
      </c>
      <c r="AE430" s="40">
        <v>4</v>
      </c>
      <c r="AF430" s="40">
        <v>1</v>
      </c>
      <c r="AG430" s="41">
        <v>7</v>
      </c>
      <c r="AH430" s="40">
        <v>9</v>
      </c>
      <c r="AI430" s="40">
        <v>6</v>
      </c>
      <c r="AJ430" s="41">
        <v>4</v>
      </c>
      <c r="AK430" s="43" t="s">
        <v>45</v>
      </c>
      <c r="AL430" s="43" t="s">
        <v>47</v>
      </c>
      <c r="AM430" s="44">
        <f t="shared" si="43"/>
        <v>-1.5379565899727115</v>
      </c>
      <c r="AN430" s="44">
        <f t="shared" si="44"/>
        <v>-0.45925542445434431</v>
      </c>
      <c r="AO430" s="45">
        <f t="shared" si="45"/>
        <v>2</v>
      </c>
      <c r="AP430" s="46">
        <f t="shared" si="46"/>
        <v>0.65</v>
      </c>
      <c r="AQ430" s="44">
        <f>($AM$3*AM430+$AN$3*AN430+$AO$3*AO430+$AP$3*AP430)+$I$3*VLOOKUP(I430,COND!$A$2:$E$7,4,FALSE)+$J$3*VLOOKUP(J430,COND!$A$2:$C$7,2,FALSE)+$K$3*VLOOKUP(K430,COND!$A$2:$C$7,3,FALSE)+IF(AND($B$2&gt;0,$E430&lt;20),$B$2*25,0)</f>
        <v>40.01847258088393</v>
      </c>
      <c r="AR430" s="47">
        <f t="shared" si="47"/>
        <v>-0.91198346956168608</v>
      </c>
      <c r="AS430" s="45" t="str">
        <f t="shared" si="48"/>
        <v>RF</v>
      </c>
      <c r="AT430" s="45">
        <f>RANK(Batters[[#This Row],[zScore]],Batters[[#All],[zScore]])</f>
        <v>426</v>
      </c>
      <c r="AU430" s="45"/>
      <c r="AV430" s="45"/>
      <c r="AW430" s="45" t="str">
        <f t="shared" si="49"/>
        <v>Unlikely</v>
      </c>
      <c r="AX430" s="45"/>
      <c r="AY430" s="45" t="str">
        <f>INDEX(Table5[[#All],[Ovr]],MATCH(Batters[[#This Row],[PID]],Table5[[#All],[PID]],0))</f>
        <v/>
      </c>
      <c r="AZ430" s="45" t="str">
        <f>INDEX(Table5[[#All],[Rnd]],MATCH(Batters[[#This Row],[PID]],Table5[[#All],[PID]],0))</f>
        <v/>
      </c>
      <c r="BA430" s="45" t="str">
        <f>INDEX(Table5[[#All],[Pick]],MATCH(Batters[[#This Row],[PID]],Table5[[#All],[PID]],0))</f>
        <v/>
      </c>
      <c r="BB430" s="45" t="str">
        <f>INDEX(Table5[[#All],[Team]],MATCH(Batters[[#This Row],[PID]],Table5[[#All],[PID]],0))</f>
        <v/>
      </c>
    </row>
    <row r="431" spans="1:54" ht="15" customHeight="1" x14ac:dyDescent="0.25">
      <c r="A431" s="40">
        <v>20589</v>
      </c>
      <c r="B431" s="40" t="s">
        <v>87</v>
      </c>
      <c r="C431" s="40" t="s">
        <v>1678</v>
      </c>
      <c r="D431" s="40" t="s">
        <v>1679</v>
      </c>
      <c r="E431" s="40">
        <v>16</v>
      </c>
      <c r="F431" s="40" t="s">
        <v>53</v>
      </c>
      <c r="G431" s="40" t="s">
        <v>42</v>
      </c>
      <c r="H431" s="41" t="s">
        <v>639</v>
      </c>
      <c r="I431" s="65" t="s">
        <v>43</v>
      </c>
      <c r="J431" s="66" t="s">
        <v>43</v>
      </c>
      <c r="K431" s="67" t="s">
        <v>43</v>
      </c>
      <c r="L431" s="40">
        <v>1</v>
      </c>
      <c r="M431" s="40">
        <v>3</v>
      </c>
      <c r="N431" s="40">
        <v>2</v>
      </c>
      <c r="O431" s="40">
        <v>3</v>
      </c>
      <c r="P431" s="41">
        <v>1</v>
      </c>
      <c r="Q431" s="40">
        <v>2</v>
      </c>
      <c r="R431" s="40">
        <v>5</v>
      </c>
      <c r="S431" s="40">
        <v>4</v>
      </c>
      <c r="T431" s="40">
        <v>6</v>
      </c>
      <c r="U431" s="41">
        <v>2</v>
      </c>
      <c r="V431" s="40">
        <v>4</v>
      </c>
      <c r="W431" s="40">
        <v>3</v>
      </c>
      <c r="X431" s="40">
        <v>4</v>
      </c>
      <c r="Y431" s="41">
        <v>5</v>
      </c>
      <c r="Z431" s="40" t="s">
        <v>45</v>
      </c>
      <c r="AA431" s="40">
        <v>1</v>
      </c>
      <c r="AB431" s="40" t="s">
        <v>45</v>
      </c>
      <c r="AC431" s="40" t="s">
        <v>45</v>
      </c>
      <c r="AD431" s="40" t="s">
        <v>45</v>
      </c>
      <c r="AE431" s="40" t="s">
        <v>45</v>
      </c>
      <c r="AF431" s="40" t="s">
        <v>45</v>
      </c>
      <c r="AG431" s="41" t="s">
        <v>45</v>
      </c>
      <c r="AH431" s="40">
        <v>2</v>
      </c>
      <c r="AI431" s="40">
        <v>1</v>
      </c>
      <c r="AJ431" s="41">
        <v>1</v>
      </c>
      <c r="AK431" s="43" t="s">
        <v>644</v>
      </c>
      <c r="AL431" s="43"/>
      <c r="AM431" s="44">
        <f t="shared" si="43"/>
        <v>-1.7197429965471014</v>
      </c>
      <c r="AN431" s="44">
        <f t="shared" si="44"/>
        <v>-0.81979942321339028</v>
      </c>
      <c r="AO431" s="45">
        <f t="shared" si="45"/>
        <v>0</v>
      </c>
      <c r="AP431" s="46">
        <f t="shared" si="46"/>
        <v>0</v>
      </c>
      <c r="AQ431" s="44">
        <f>($AM$3*AM431+$AN$3*AN431+$AO$3*AO431+$AP$3*AP431)+$I$3*VLOOKUP(I431,COND!$A$2:$E$7,4,FALSE)+$J$3*VLOOKUP(J431,COND!$A$2:$C$7,2,FALSE)+$K$3*VLOOKUP(K431,COND!$A$2:$C$7,3,FALSE)+IF(AND($B$2&gt;0,$E431&lt;20),$B$2*25,0)</f>
        <v>39.990432621784606</v>
      </c>
      <c r="AR431" s="47">
        <f t="shared" si="47"/>
        <v>-0.91820011802653978</v>
      </c>
      <c r="AS431" s="45" t="str">
        <f t="shared" si="48"/>
        <v>1B</v>
      </c>
      <c r="AT431" s="45">
        <f>RANK(Batters[[#This Row],[zScore]],Batters[[#All],[zScore]])</f>
        <v>427</v>
      </c>
      <c r="AU431" s="45"/>
      <c r="AV431" s="45"/>
      <c r="AW431" s="45" t="str">
        <f t="shared" si="49"/>
        <v>Unlikely</v>
      </c>
      <c r="AX431" s="45"/>
      <c r="AY431" s="64" t="str">
        <f>INDEX(Table5[[#All],[Ovr]],MATCH(Batters[[#This Row],[PID]],Table5[[#All],[PID]],0))</f>
        <v/>
      </c>
      <c r="AZ431" s="64" t="str">
        <f>INDEX(Table5[[#All],[Rnd]],MATCH(Batters[[#This Row],[PID]],Table5[[#All],[PID]],0))</f>
        <v/>
      </c>
      <c r="BA431" s="64" t="str">
        <f>INDEX(Table5[[#All],[Pick]],MATCH(Batters[[#This Row],[PID]],Table5[[#All],[PID]],0))</f>
        <v/>
      </c>
      <c r="BB431" s="64" t="str">
        <f>INDEX(Table5[[#All],[Team]],MATCH(Batters[[#This Row],[PID]],Table5[[#All],[PID]],0))</f>
        <v/>
      </c>
    </row>
    <row r="432" spans="1:54" ht="15" customHeight="1" x14ac:dyDescent="0.25">
      <c r="A432" s="40">
        <v>17788</v>
      </c>
      <c r="B432" s="40" t="s">
        <v>50</v>
      </c>
      <c r="C432" s="40" t="s">
        <v>672</v>
      </c>
      <c r="D432" s="40" t="s">
        <v>1389</v>
      </c>
      <c r="E432" s="40">
        <v>21</v>
      </c>
      <c r="F432" s="40" t="s">
        <v>42</v>
      </c>
      <c r="G432" s="40" t="s">
        <v>42</v>
      </c>
      <c r="H432" s="41" t="s">
        <v>638</v>
      </c>
      <c r="I432" s="65" t="s">
        <v>44</v>
      </c>
      <c r="J432" s="66" t="s">
        <v>44</v>
      </c>
      <c r="K432" s="67" t="s">
        <v>43</v>
      </c>
      <c r="L432" s="40">
        <v>2</v>
      </c>
      <c r="M432" s="40">
        <v>4</v>
      </c>
      <c r="N432" s="40">
        <v>3</v>
      </c>
      <c r="O432" s="40">
        <v>2</v>
      </c>
      <c r="P432" s="41">
        <v>1</v>
      </c>
      <c r="Q432" s="40">
        <v>3</v>
      </c>
      <c r="R432" s="40">
        <v>6</v>
      </c>
      <c r="S432" s="40">
        <v>5</v>
      </c>
      <c r="T432" s="40">
        <v>5</v>
      </c>
      <c r="U432" s="41">
        <v>3</v>
      </c>
      <c r="V432" s="40">
        <v>5</v>
      </c>
      <c r="W432" s="40">
        <v>6</v>
      </c>
      <c r="X432" s="40">
        <v>1</v>
      </c>
      <c r="Y432" s="41">
        <v>1</v>
      </c>
      <c r="Z432" s="40" t="s">
        <v>45</v>
      </c>
      <c r="AA432" s="40" t="s">
        <v>45</v>
      </c>
      <c r="AB432" s="40" t="s">
        <v>45</v>
      </c>
      <c r="AC432" s="40" t="s">
        <v>45</v>
      </c>
      <c r="AD432" s="40" t="s">
        <v>45</v>
      </c>
      <c r="AE432" s="40">
        <v>2</v>
      </c>
      <c r="AF432" s="40" t="s">
        <v>45</v>
      </c>
      <c r="AG432" s="41">
        <v>1</v>
      </c>
      <c r="AH432" s="40">
        <v>5</v>
      </c>
      <c r="AI432" s="40">
        <v>9</v>
      </c>
      <c r="AJ432" s="41">
        <v>9</v>
      </c>
      <c r="AK432" s="43" t="s">
        <v>45</v>
      </c>
      <c r="AL432" s="43" t="s">
        <v>635</v>
      </c>
      <c r="AM432" s="44">
        <f t="shared" si="43"/>
        <v>-1.3527753367114028</v>
      </c>
      <c r="AN432" s="44">
        <f t="shared" si="44"/>
        <v>-0.41281542356060796</v>
      </c>
      <c r="AO432" s="45">
        <f t="shared" si="45"/>
        <v>3</v>
      </c>
      <c r="AP432" s="46">
        <f t="shared" si="46"/>
        <v>0</v>
      </c>
      <c r="AQ432" s="44">
        <f>($AM$3*AM432+$AN$3*AN432+$AO$3*AO432+$AP$3*AP432)+$I$3*VLOOKUP(I432,COND!$A$2:$E$7,4,FALSE)+$J$3*VLOOKUP(J432,COND!$A$2:$C$7,2,FALSE)+$K$3*VLOOKUP(K432,COND!$A$2:$C$7,3,FALSE)+IF(AND($B$2&gt;0,$E432&lt;20),$B$2*25,0)</f>
        <v>39.960937383601561</v>
      </c>
      <c r="AR432" s="47">
        <f t="shared" si="47"/>
        <v>-0.92473941170102814</v>
      </c>
      <c r="AS432" s="45" t="str">
        <f t="shared" si="48"/>
        <v>LF</v>
      </c>
      <c r="AT432" s="45">
        <f>RANK(Batters[[#This Row],[zScore]],Batters[[#All],[zScore]])</f>
        <v>428</v>
      </c>
      <c r="AU432" s="45"/>
      <c r="AV432" s="45"/>
      <c r="AW432" s="45" t="str">
        <f t="shared" si="49"/>
        <v>Unlikely</v>
      </c>
      <c r="AX432" s="45"/>
      <c r="AY432" s="45">
        <f>INDEX(Table5[[#All],[Ovr]],MATCH(Batters[[#This Row],[PID]],Table5[[#All],[PID]],0))</f>
        <v>414</v>
      </c>
      <c r="AZ432" s="45" t="str">
        <f>INDEX(Table5[[#All],[Rnd]],MATCH(Batters[[#This Row],[PID]],Table5[[#All],[PID]],0))</f>
        <v>14</v>
      </c>
      <c r="BA432" s="45">
        <f>INDEX(Table5[[#All],[Pick]],MATCH(Batters[[#This Row],[PID]],Table5[[#All],[PID]],0))</f>
        <v>16</v>
      </c>
      <c r="BB432" s="45" t="str">
        <f>INDEX(Table5[[#All],[Team]],MATCH(Batters[[#This Row],[PID]],Table5[[#All],[PID]],0))</f>
        <v>San Antonio Calzones of Laredo</v>
      </c>
    </row>
    <row r="433" spans="1:54" ht="15" customHeight="1" x14ac:dyDescent="0.25">
      <c r="A433" s="40">
        <v>17825</v>
      </c>
      <c r="B433" s="40" t="s">
        <v>50</v>
      </c>
      <c r="C433" s="40" t="s">
        <v>1030</v>
      </c>
      <c r="D433" s="40" t="s">
        <v>448</v>
      </c>
      <c r="E433" s="40">
        <v>18</v>
      </c>
      <c r="F433" s="40" t="s">
        <v>42</v>
      </c>
      <c r="G433" s="40" t="s">
        <v>42</v>
      </c>
      <c r="H433" s="41" t="s">
        <v>638</v>
      </c>
      <c r="I433" s="65" t="s">
        <v>43</v>
      </c>
      <c r="J433" s="66" t="s">
        <v>44</v>
      </c>
      <c r="K433" s="67" t="s">
        <v>43</v>
      </c>
      <c r="L433" s="40">
        <v>1</v>
      </c>
      <c r="M433" s="40">
        <v>1</v>
      </c>
      <c r="N433" s="40">
        <v>2</v>
      </c>
      <c r="O433" s="40">
        <v>1</v>
      </c>
      <c r="P433" s="41">
        <v>1</v>
      </c>
      <c r="Q433" s="40">
        <v>3</v>
      </c>
      <c r="R433" s="40">
        <v>4</v>
      </c>
      <c r="S433" s="40">
        <v>2</v>
      </c>
      <c r="T433" s="40">
        <v>4</v>
      </c>
      <c r="U433" s="41">
        <v>4</v>
      </c>
      <c r="V433" s="40">
        <v>3</v>
      </c>
      <c r="W433" s="40">
        <v>6</v>
      </c>
      <c r="X433" s="40">
        <v>1</v>
      </c>
      <c r="Y433" s="41">
        <v>1</v>
      </c>
      <c r="Z433" s="40" t="s">
        <v>45</v>
      </c>
      <c r="AA433" s="40" t="s">
        <v>45</v>
      </c>
      <c r="AB433" s="40">
        <v>1</v>
      </c>
      <c r="AC433" s="40" t="s">
        <v>45</v>
      </c>
      <c r="AD433" s="40" t="s">
        <v>45</v>
      </c>
      <c r="AE433" s="40">
        <v>5</v>
      </c>
      <c r="AF433" s="40" t="s">
        <v>45</v>
      </c>
      <c r="AG433" s="41">
        <v>1</v>
      </c>
      <c r="AH433" s="40">
        <v>6</v>
      </c>
      <c r="AI433" s="40">
        <v>7</v>
      </c>
      <c r="AJ433" s="41">
        <v>8</v>
      </c>
      <c r="AK433" s="43" t="s">
        <v>644</v>
      </c>
      <c r="AL433" s="43" t="s">
        <v>47</v>
      </c>
      <c r="AM433" s="44">
        <f t="shared" si="43"/>
        <v>-2.0012818558036707</v>
      </c>
      <c r="AN433" s="44">
        <f t="shared" si="44"/>
        <v>-0.813812875062217</v>
      </c>
      <c r="AO433" s="45">
        <f t="shared" si="45"/>
        <v>1</v>
      </c>
      <c r="AP433" s="46">
        <f t="shared" si="46"/>
        <v>0</v>
      </c>
      <c r="AQ433" s="44">
        <f>($AM$3*AM433+$AN$3*AN433+$AO$3*AO433+$AP$3*AP433)+$I$3*VLOOKUP(I433,COND!$A$2:$E$7,4,FALSE)+$J$3*VLOOKUP(J433,COND!$A$2:$C$7,2,FALSE)+$K$3*VLOOKUP(K433,COND!$A$2:$C$7,3,FALSE)+IF(AND($B$2&gt;0,$E433&lt;20),$B$2*25,0)</f>
        <v>39.900783980339696</v>
      </c>
      <c r="AR433" s="47">
        <f t="shared" si="47"/>
        <v>-0.93807582780345422</v>
      </c>
      <c r="AS433" s="45" t="str">
        <f t="shared" si="48"/>
        <v>2B</v>
      </c>
      <c r="AT433" s="45">
        <f>RANK(Batters[[#This Row],[zScore]],Batters[[#All],[zScore]])</f>
        <v>429</v>
      </c>
      <c r="AU433" s="45"/>
      <c r="AV433" s="45"/>
      <c r="AW433" s="45" t="str">
        <f t="shared" si="49"/>
        <v>Unlikely</v>
      </c>
      <c r="AX433" s="45"/>
      <c r="AY433" s="45" t="str">
        <f>INDEX(Table5[[#All],[Ovr]],MATCH(Batters[[#This Row],[PID]],Table5[[#All],[PID]],0))</f>
        <v/>
      </c>
      <c r="AZ433" s="45" t="str">
        <f>INDEX(Table5[[#All],[Rnd]],MATCH(Batters[[#This Row],[PID]],Table5[[#All],[PID]],0))</f>
        <v/>
      </c>
      <c r="BA433" s="45" t="str">
        <f>INDEX(Table5[[#All],[Pick]],MATCH(Batters[[#This Row],[PID]],Table5[[#All],[PID]],0))</f>
        <v/>
      </c>
      <c r="BB433" s="45" t="str">
        <f>INDEX(Table5[[#All],[Team]],MATCH(Batters[[#This Row],[PID]],Table5[[#All],[PID]],0))</f>
        <v/>
      </c>
    </row>
    <row r="434" spans="1:54" ht="15" customHeight="1" x14ac:dyDescent="0.25">
      <c r="A434" s="40">
        <v>376</v>
      </c>
      <c r="B434" s="40" t="s">
        <v>69</v>
      </c>
      <c r="C434" s="40" t="s">
        <v>339</v>
      </c>
      <c r="D434" s="40" t="s">
        <v>137</v>
      </c>
      <c r="E434" s="40">
        <v>18</v>
      </c>
      <c r="F434" s="40" t="s">
        <v>53</v>
      </c>
      <c r="G434" s="40" t="s">
        <v>42</v>
      </c>
      <c r="H434" s="41" t="s">
        <v>639</v>
      </c>
      <c r="I434" s="65" t="s">
        <v>43</v>
      </c>
      <c r="J434" s="66" t="s">
        <v>44</v>
      </c>
      <c r="K434" s="67" t="s">
        <v>43</v>
      </c>
      <c r="L434" s="40">
        <v>1</v>
      </c>
      <c r="M434" s="40">
        <v>1</v>
      </c>
      <c r="N434" s="40">
        <v>2</v>
      </c>
      <c r="O434" s="40">
        <v>1</v>
      </c>
      <c r="P434" s="41">
        <v>1</v>
      </c>
      <c r="Q434" s="40">
        <v>3</v>
      </c>
      <c r="R434" s="40">
        <v>3</v>
      </c>
      <c r="S434" s="40">
        <v>4</v>
      </c>
      <c r="T434" s="40">
        <v>3</v>
      </c>
      <c r="U434" s="41">
        <v>3</v>
      </c>
      <c r="V434" s="40">
        <v>6</v>
      </c>
      <c r="W434" s="40">
        <v>5</v>
      </c>
      <c r="X434" s="40">
        <v>1</v>
      </c>
      <c r="Y434" s="41">
        <v>1</v>
      </c>
      <c r="Z434" s="40" t="s">
        <v>45</v>
      </c>
      <c r="AA434" s="40" t="s">
        <v>45</v>
      </c>
      <c r="AB434" s="40" t="s">
        <v>45</v>
      </c>
      <c r="AC434" s="40">
        <v>1</v>
      </c>
      <c r="AD434" s="40" t="s">
        <v>45</v>
      </c>
      <c r="AE434" s="40" t="s">
        <v>45</v>
      </c>
      <c r="AF434" s="40" t="s">
        <v>45</v>
      </c>
      <c r="AG434" s="41" t="s">
        <v>45</v>
      </c>
      <c r="AH434" s="40">
        <v>6</v>
      </c>
      <c r="AI434" s="40">
        <v>8</v>
      </c>
      <c r="AJ434" s="41">
        <v>8</v>
      </c>
      <c r="AK434" s="43" t="s">
        <v>644</v>
      </c>
      <c r="AL434" s="43"/>
      <c r="AM434" s="44">
        <f t="shared" si="43"/>
        <v>-2.0012818558036707</v>
      </c>
      <c r="AN434" s="44">
        <f t="shared" si="44"/>
        <v>-0.82847565645978216</v>
      </c>
      <c r="AO434" s="45">
        <f t="shared" si="45"/>
        <v>2</v>
      </c>
      <c r="AP434" s="46">
        <f t="shared" si="46"/>
        <v>0</v>
      </c>
      <c r="AQ434" s="44">
        <f>($AM$3*AM434+$AN$3*AN434+$AO$3*AO434+$AP$3*AP434)+$I$3*VLOOKUP(I434,COND!$A$2:$E$7,4,FALSE)+$J$3*VLOOKUP(J434,COND!$A$2:$C$7,2,FALSE)+$K$3*VLOOKUP(K434,COND!$A$2:$C$7,3,FALSE)+IF(AND($B$2&gt;0,$E434&lt;20),$B$2*25,0)</f>
        <v>39.891497270235583</v>
      </c>
      <c r="AR434" s="47">
        <f t="shared" si="47"/>
        <v>-0.94013475420587078</v>
      </c>
      <c r="AS434" s="45" t="str">
        <f t="shared" si="48"/>
        <v>3B</v>
      </c>
      <c r="AT434" s="45">
        <f>RANK(Batters[[#This Row],[zScore]],Batters[[#All],[zScore]])</f>
        <v>430</v>
      </c>
      <c r="AU434" s="45"/>
      <c r="AV434" s="45"/>
      <c r="AW434" s="45" t="str">
        <f t="shared" si="49"/>
        <v>Unlikely</v>
      </c>
      <c r="AX434" s="45"/>
      <c r="AY434" s="64" t="str">
        <f>INDEX(Table5[[#All],[Ovr]],MATCH(Batters[[#This Row],[PID]],Table5[[#All],[PID]],0))</f>
        <v/>
      </c>
      <c r="AZ434" s="64" t="str">
        <f>INDEX(Table5[[#All],[Rnd]],MATCH(Batters[[#This Row],[PID]],Table5[[#All],[PID]],0))</f>
        <v/>
      </c>
      <c r="BA434" s="64" t="str">
        <f>INDEX(Table5[[#All],[Pick]],MATCH(Batters[[#This Row],[PID]],Table5[[#All],[PID]],0))</f>
        <v/>
      </c>
      <c r="BB434" s="64" t="str">
        <f>INDEX(Table5[[#All],[Team]],MATCH(Batters[[#This Row],[PID]],Table5[[#All],[PID]],0))</f>
        <v/>
      </c>
    </row>
    <row r="435" spans="1:54" ht="15" customHeight="1" x14ac:dyDescent="0.25">
      <c r="A435" s="40">
        <v>18090</v>
      </c>
      <c r="B435" s="40" t="s">
        <v>50</v>
      </c>
      <c r="C435" s="40" t="s">
        <v>1046</v>
      </c>
      <c r="D435" s="40" t="s">
        <v>662</v>
      </c>
      <c r="E435" s="40">
        <v>21</v>
      </c>
      <c r="F435" s="40" t="s">
        <v>42</v>
      </c>
      <c r="G435" s="40" t="s">
        <v>42</v>
      </c>
      <c r="H435" s="41" t="s">
        <v>638</v>
      </c>
      <c r="I435" s="65" t="s">
        <v>44</v>
      </c>
      <c r="J435" s="66" t="s">
        <v>44</v>
      </c>
      <c r="K435" s="67" t="s">
        <v>43</v>
      </c>
      <c r="L435" s="40">
        <v>2</v>
      </c>
      <c r="M435" s="40">
        <v>2</v>
      </c>
      <c r="N435" s="40">
        <v>3</v>
      </c>
      <c r="O435" s="40">
        <v>2</v>
      </c>
      <c r="P435" s="41">
        <v>1</v>
      </c>
      <c r="Q435" s="40">
        <v>4</v>
      </c>
      <c r="R435" s="40">
        <v>3</v>
      </c>
      <c r="S435" s="40">
        <v>4</v>
      </c>
      <c r="T435" s="40">
        <v>4</v>
      </c>
      <c r="U435" s="41">
        <v>4</v>
      </c>
      <c r="V435" s="40">
        <v>6</v>
      </c>
      <c r="W435" s="40">
        <v>6</v>
      </c>
      <c r="X435" s="40">
        <v>1</v>
      </c>
      <c r="Y435" s="41">
        <v>1</v>
      </c>
      <c r="Z435" s="40" t="s">
        <v>45</v>
      </c>
      <c r="AA435" s="40" t="s">
        <v>45</v>
      </c>
      <c r="AB435" s="40" t="s">
        <v>45</v>
      </c>
      <c r="AC435" s="40" t="s">
        <v>45</v>
      </c>
      <c r="AD435" s="40" t="s">
        <v>45</v>
      </c>
      <c r="AE435" s="40">
        <v>2</v>
      </c>
      <c r="AF435" s="40" t="s">
        <v>45</v>
      </c>
      <c r="AG435" s="41" t="s">
        <v>45</v>
      </c>
      <c r="AH435" s="40">
        <v>2</v>
      </c>
      <c r="AI435" s="40">
        <v>1</v>
      </c>
      <c r="AJ435" s="41">
        <v>1</v>
      </c>
      <c r="AK435" s="43" t="s">
        <v>45</v>
      </c>
      <c r="AL435" s="43" t="s">
        <v>635</v>
      </c>
      <c r="AM435" s="44">
        <f t="shared" si="43"/>
        <v>-1.4548950959488096</v>
      </c>
      <c r="AN435" s="44">
        <f t="shared" si="44"/>
        <v>-0.37619393043044286</v>
      </c>
      <c r="AO435" s="45">
        <f t="shared" si="45"/>
        <v>0</v>
      </c>
      <c r="AP435" s="46">
        <f t="shared" si="46"/>
        <v>0</v>
      </c>
      <c r="AQ435" s="44">
        <f>($AM$3*AM435+$AN$3*AN435+$AO$3*AO435+$AP$3*AP435)+$I$3*VLOOKUP(I435,COND!$A$2:$E$7,4,FALSE)+$J$3*VLOOKUP(J435,COND!$A$2:$C$7,2,FALSE)+$K$3*VLOOKUP(K435,COND!$A$2:$C$7,3,FALSE)+IF(AND($B$2&gt;0,$E435&lt;20),$B$2*25,0)</f>
        <v>39.890183325239803</v>
      </c>
      <c r="AR435" s="47">
        <f t="shared" si="47"/>
        <v>-0.94042606469287893</v>
      </c>
      <c r="AS435" s="45" t="str">
        <f t="shared" si="48"/>
        <v>LF</v>
      </c>
      <c r="AT435" s="45">
        <f>RANK(Batters[[#This Row],[zScore]],Batters[[#All],[zScore]])</f>
        <v>431</v>
      </c>
      <c r="AU435" s="45"/>
      <c r="AV435" s="45"/>
      <c r="AW435" s="45" t="str">
        <f t="shared" si="49"/>
        <v>Unlikely</v>
      </c>
      <c r="AX435" s="45"/>
      <c r="AY435" s="45" t="str">
        <f>INDEX(Table5[[#All],[Ovr]],MATCH(Batters[[#This Row],[PID]],Table5[[#All],[PID]],0))</f>
        <v/>
      </c>
      <c r="AZ435" s="45" t="str">
        <f>INDEX(Table5[[#All],[Rnd]],MATCH(Batters[[#This Row],[PID]],Table5[[#All],[PID]],0))</f>
        <v/>
      </c>
      <c r="BA435" s="45" t="str">
        <f>INDEX(Table5[[#All],[Pick]],MATCH(Batters[[#This Row],[PID]],Table5[[#All],[PID]],0))</f>
        <v/>
      </c>
      <c r="BB435" s="45" t="str">
        <f>INDEX(Table5[[#All],[Team]],MATCH(Batters[[#This Row],[PID]],Table5[[#All],[PID]],0))</f>
        <v/>
      </c>
    </row>
    <row r="436" spans="1:54" ht="15" customHeight="1" x14ac:dyDescent="0.25">
      <c r="A436" s="40">
        <v>17770</v>
      </c>
      <c r="B436" s="40" t="s">
        <v>69</v>
      </c>
      <c r="C436" s="40" t="s">
        <v>1541</v>
      </c>
      <c r="D436" s="40" t="s">
        <v>568</v>
      </c>
      <c r="E436" s="40">
        <v>21</v>
      </c>
      <c r="F436" s="40" t="s">
        <v>42</v>
      </c>
      <c r="G436" s="40" t="s">
        <v>42</v>
      </c>
      <c r="H436" s="41" t="s">
        <v>638</v>
      </c>
      <c r="I436" s="65" t="s">
        <v>43</v>
      </c>
      <c r="J436" s="66" t="s">
        <v>43</v>
      </c>
      <c r="K436" s="67" t="s">
        <v>43</v>
      </c>
      <c r="L436" s="40">
        <v>1</v>
      </c>
      <c r="M436" s="40">
        <v>3</v>
      </c>
      <c r="N436" s="40">
        <v>3</v>
      </c>
      <c r="O436" s="40">
        <v>3</v>
      </c>
      <c r="P436" s="41">
        <v>1</v>
      </c>
      <c r="Q436" s="40">
        <v>3</v>
      </c>
      <c r="R436" s="40">
        <v>5</v>
      </c>
      <c r="S436" s="40">
        <v>5</v>
      </c>
      <c r="T436" s="40">
        <v>6</v>
      </c>
      <c r="U436" s="41">
        <v>2</v>
      </c>
      <c r="V436" s="40">
        <v>7</v>
      </c>
      <c r="W436" s="40">
        <v>7</v>
      </c>
      <c r="X436" s="40">
        <v>1</v>
      </c>
      <c r="Y436" s="41">
        <v>1</v>
      </c>
      <c r="Z436" s="40" t="s">
        <v>45</v>
      </c>
      <c r="AA436" s="40" t="s">
        <v>45</v>
      </c>
      <c r="AB436" s="40" t="s">
        <v>45</v>
      </c>
      <c r="AC436" s="40">
        <v>4</v>
      </c>
      <c r="AD436" s="40" t="s">
        <v>45</v>
      </c>
      <c r="AE436" s="40" t="s">
        <v>45</v>
      </c>
      <c r="AF436" s="40" t="s">
        <v>45</v>
      </c>
      <c r="AG436" s="41" t="s">
        <v>45</v>
      </c>
      <c r="AH436" s="40">
        <v>5</v>
      </c>
      <c r="AI436" s="40">
        <v>5</v>
      </c>
      <c r="AJ436" s="41">
        <v>6</v>
      </c>
      <c r="AK436" s="43" t="s">
        <v>45</v>
      </c>
      <c r="AL436" s="43" t="s">
        <v>635</v>
      </c>
      <c r="AM436" s="44">
        <f t="shared" si="43"/>
        <v>-1.6366815025231998</v>
      </c>
      <c r="AN436" s="44">
        <f t="shared" si="44"/>
        <v>-0.41418209298681402</v>
      </c>
      <c r="AO436" s="45">
        <f t="shared" si="45"/>
        <v>0</v>
      </c>
      <c r="AP436" s="46">
        <f t="shared" si="46"/>
        <v>0</v>
      </c>
      <c r="AQ436" s="44">
        <f>($AM$3*AM436+$AN$3*AN436+$AO$3*AO436+$AP$3*AP436)+$I$3*VLOOKUP(I436,COND!$A$2:$E$7,4,FALSE)+$J$3*VLOOKUP(J436,COND!$A$2:$C$7,2,FALSE)+$K$3*VLOOKUP(K436,COND!$A$2:$C$7,3,FALSE)+IF(AND($B$2&gt;0,$E436&lt;20),$B$2*25,0)</f>
        <v>39.866146733905907</v>
      </c>
      <c r="AR436" s="47">
        <f t="shared" si="47"/>
        <v>-0.94575513946388245</v>
      </c>
      <c r="AS436" s="45" t="str">
        <f t="shared" si="48"/>
        <v>3B</v>
      </c>
      <c r="AT436" s="45">
        <f>RANK(Batters[[#This Row],[zScore]],Batters[[#All],[zScore]])</f>
        <v>432</v>
      </c>
      <c r="AU436" s="45"/>
      <c r="AV436" s="45"/>
      <c r="AW436" s="45" t="str">
        <f t="shared" si="49"/>
        <v>Unlikely</v>
      </c>
      <c r="AX436" s="45"/>
      <c r="AY436" s="45" t="str">
        <f>INDEX(Table5[[#All],[Ovr]],MATCH(Batters[[#This Row],[PID]],Table5[[#All],[PID]],0))</f>
        <v/>
      </c>
      <c r="AZ436" s="45" t="str">
        <f>INDEX(Table5[[#All],[Rnd]],MATCH(Batters[[#This Row],[PID]],Table5[[#All],[PID]],0))</f>
        <v/>
      </c>
      <c r="BA436" s="45" t="str">
        <f>INDEX(Table5[[#All],[Pick]],MATCH(Batters[[#This Row],[PID]],Table5[[#All],[PID]],0))</f>
        <v/>
      </c>
      <c r="BB436" s="45" t="str">
        <f>INDEX(Table5[[#All],[Team]],MATCH(Batters[[#This Row],[PID]],Table5[[#All],[PID]],0))</f>
        <v/>
      </c>
    </row>
    <row r="437" spans="1:54" ht="15" customHeight="1" x14ac:dyDescent="0.25">
      <c r="A437" s="40">
        <v>17834</v>
      </c>
      <c r="B437" s="40" t="s">
        <v>71</v>
      </c>
      <c r="C437" s="40" t="s">
        <v>1373</v>
      </c>
      <c r="D437" s="40" t="s">
        <v>382</v>
      </c>
      <c r="E437" s="40">
        <v>18</v>
      </c>
      <c r="F437" s="40" t="s">
        <v>53</v>
      </c>
      <c r="G437" s="40" t="s">
        <v>42</v>
      </c>
      <c r="H437" s="41" t="s">
        <v>639</v>
      </c>
      <c r="I437" s="65" t="s">
        <v>43</v>
      </c>
      <c r="J437" s="66" t="s">
        <v>43</v>
      </c>
      <c r="K437" s="67" t="s">
        <v>43</v>
      </c>
      <c r="L437" s="40">
        <v>1</v>
      </c>
      <c r="M437" s="40">
        <v>1</v>
      </c>
      <c r="N437" s="40">
        <v>2</v>
      </c>
      <c r="O437" s="40">
        <v>2</v>
      </c>
      <c r="P437" s="41">
        <v>1</v>
      </c>
      <c r="Q437" s="40">
        <v>3</v>
      </c>
      <c r="R437" s="40">
        <v>2</v>
      </c>
      <c r="S437" s="40">
        <v>3</v>
      </c>
      <c r="T437" s="40">
        <v>4</v>
      </c>
      <c r="U437" s="41">
        <v>4</v>
      </c>
      <c r="V437" s="40">
        <v>5</v>
      </c>
      <c r="W437" s="40">
        <v>4</v>
      </c>
      <c r="X437" s="40">
        <v>1</v>
      </c>
      <c r="Y437" s="41">
        <v>1</v>
      </c>
      <c r="Z437" s="40" t="s">
        <v>45</v>
      </c>
      <c r="AA437" s="40" t="s">
        <v>45</v>
      </c>
      <c r="AB437" s="40">
        <v>3</v>
      </c>
      <c r="AC437" s="40" t="s">
        <v>45</v>
      </c>
      <c r="AD437" s="40" t="s">
        <v>45</v>
      </c>
      <c r="AE437" s="40" t="s">
        <v>45</v>
      </c>
      <c r="AF437" s="40" t="s">
        <v>45</v>
      </c>
      <c r="AG437" s="41" t="s">
        <v>45</v>
      </c>
      <c r="AH437" s="40">
        <v>7</v>
      </c>
      <c r="AI437" s="40">
        <v>6</v>
      </c>
      <c r="AJ437" s="41">
        <v>4</v>
      </c>
      <c r="AK437" s="43" t="s">
        <v>644</v>
      </c>
      <c r="AL437" s="43"/>
      <c r="AM437" s="44">
        <f t="shared" si="43"/>
        <v>-1.9115723057940897</v>
      </c>
      <c r="AN437" s="44">
        <f t="shared" si="44"/>
        <v>-0.83287114027572251</v>
      </c>
      <c r="AO437" s="45">
        <f t="shared" si="45"/>
        <v>0</v>
      </c>
      <c r="AP437" s="46">
        <f t="shared" si="46"/>
        <v>0</v>
      </c>
      <c r="AQ437" s="44">
        <f>($AM$3*AM437+$AN$3*AN437+$AO$3*AO437+$AP$3*AP437)+$I$3*VLOOKUP(I437,COND!$A$2:$E$7,4,FALSE)+$J$3*VLOOKUP(J437,COND!$A$2:$C$7,2,FALSE)+$K$3*VLOOKUP(K437,COND!$A$2:$C$7,3,FALSE)+IF(AND($B$2&gt;0,$E437&lt;20),$B$2*25,0)</f>
        <v>39.814389086111923</v>
      </c>
      <c r="AR437" s="47">
        <f t="shared" si="47"/>
        <v>-0.95723015982903925</v>
      </c>
      <c r="AS437" s="45" t="str">
        <f t="shared" si="48"/>
        <v>2B</v>
      </c>
      <c r="AT437" s="45">
        <f>RANK(Batters[[#This Row],[zScore]],Batters[[#All],[zScore]])</f>
        <v>433</v>
      </c>
      <c r="AU437" s="45"/>
      <c r="AV437" s="45"/>
      <c r="AW437" s="45" t="str">
        <f t="shared" si="49"/>
        <v>Unlikely</v>
      </c>
      <c r="AX437" s="45"/>
      <c r="AY437" s="64" t="str">
        <f>INDEX(Table5[[#All],[Ovr]],MATCH(Batters[[#This Row],[PID]],Table5[[#All],[PID]],0))</f>
        <v/>
      </c>
      <c r="AZ437" s="64" t="str">
        <f>INDEX(Table5[[#All],[Rnd]],MATCH(Batters[[#This Row],[PID]],Table5[[#All],[PID]],0))</f>
        <v/>
      </c>
      <c r="BA437" s="64" t="str">
        <f>INDEX(Table5[[#All],[Pick]],MATCH(Batters[[#This Row],[PID]],Table5[[#All],[PID]],0))</f>
        <v/>
      </c>
      <c r="BB437" s="64" t="str">
        <f>INDEX(Table5[[#All],[Team]],MATCH(Batters[[#This Row],[PID]],Table5[[#All],[PID]],0))</f>
        <v/>
      </c>
    </row>
    <row r="438" spans="1:54" ht="15" customHeight="1" x14ac:dyDescent="0.25">
      <c r="A438" s="40">
        <v>18359</v>
      </c>
      <c r="B438" s="40" t="s">
        <v>71</v>
      </c>
      <c r="C438" s="40" t="s">
        <v>906</v>
      </c>
      <c r="D438" s="40" t="s">
        <v>776</v>
      </c>
      <c r="E438" s="40">
        <v>18</v>
      </c>
      <c r="F438" s="40" t="s">
        <v>42</v>
      </c>
      <c r="G438" s="40" t="s">
        <v>42</v>
      </c>
      <c r="H438" s="41" t="s">
        <v>647</v>
      </c>
      <c r="I438" s="65" t="s">
        <v>43</v>
      </c>
      <c r="J438" s="66" t="s">
        <v>47</v>
      </c>
      <c r="K438" s="67" t="s">
        <v>44</v>
      </c>
      <c r="L438" s="40">
        <v>1</v>
      </c>
      <c r="M438" s="40">
        <v>1</v>
      </c>
      <c r="N438" s="40">
        <v>2</v>
      </c>
      <c r="O438" s="40">
        <v>2</v>
      </c>
      <c r="P438" s="41">
        <v>1</v>
      </c>
      <c r="Q438" s="40">
        <v>3</v>
      </c>
      <c r="R438" s="40">
        <v>2</v>
      </c>
      <c r="S438" s="40">
        <v>3</v>
      </c>
      <c r="T438" s="40">
        <v>4</v>
      </c>
      <c r="U438" s="41">
        <v>4</v>
      </c>
      <c r="V438" s="40">
        <v>7</v>
      </c>
      <c r="W438" s="40">
        <v>5</v>
      </c>
      <c r="X438" s="40">
        <v>1</v>
      </c>
      <c r="Y438" s="41">
        <v>1</v>
      </c>
      <c r="Z438" s="40" t="s">
        <v>45</v>
      </c>
      <c r="AA438" s="40" t="s">
        <v>45</v>
      </c>
      <c r="AB438" s="40" t="s">
        <v>45</v>
      </c>
      <c r="AC438" s="40" t="s">
        <v>45</v>
      </c>
      <c r="AD438" s="40" t="s">
        <v>45</v>
      </c>
      <c r="AE438" s="40" t="s">
        <v>45</v>
      </c>
      <c r="AF438" s="40" t="s">
        <v>45</v>
      </c>
      <c r="AG438" s="41" t="s">
        <v>45</v>
      </c>
      <c r="AH438" s="40">
        <v>3</v>
      </c>
      <c r="AI438" s="40">
        <v>5</v>
      </c>
      <c r="AJ438" s="41">
        <v>4</v>
      </c>
      <c r="AK438" s="43" t="s">
        <v>45</v>
      </c>
      <c r="AL438" s="43"/>
      <c r="AM438" s="44">
        <f t="shared" si="43"/>
        <v>-1.9115723057940897</v>
      </c>
      <c r="AN438" s="44">
        <f t="shared" si="44"/>
        <v>-0.83287114027572251</v>
      </c>
      <c r="AO438" s="45">
        <f t="shared" si="45"/>
        <v>0</v>
      </c>
      <c r="AP438" s="46">
        <f t="shared" si="46"/>
        <v>0</v>
      </c>
      <c r="AQ438" s="44">
        <f>($AM$3*AM438+$AN$3*AN438+$AO$3*AO438+$AP$3*AP438)+$I$3*VLOOKUP(I438,COND!$A$2:$E$7,4,FALSE)+$J$3*VLOOKUP(J438,COND!$A$2:$C$7,2,FALSE)+$K$3*VLOOKUP(K438,COND!$A$2:$C$7,3,FALSE)+IF(AND($B$2&gt;0,$E438&lt;20),$B$2*25,0)</f>
        <v>39.814389086111916</v>
      </c>
      <c r="AR438" s="47">
        <f t="shared" si="47"/>
        <v>-0.95723015982904092</v>
      </c>
      <c r="AS438" s="45" t="str">
        <f t="shared" si="48"/>
        <v>DH</v>
      </c>
      <c r="AT438" s="45">
        <f>RANK(Batters[[#This Row],[zScore]],Batters[[#All],[zScore]])</f>
        <v>434</v>
      </c>
      <c r="AU438" s="45"/>
      <c r="AV438" s="45"/>
      <c r="AW438" s="45" t="str">
        <f t="shared" si="49"/>
        <v>Unlikely</v>
      </c>
      <c r="AX438" s="45"/>
      <c r="AY438" s="64" t="str">
        <f>INDEX(Table5[[#All],[Ovr]],MATCH(Batters[[#This Row],[PID]],Table5[[#All],[PID]],0))</f>
        <v/>
      </c>
      <c r="AZ438" s="64" t="str">
        <f>INDEX(Table5[[#All],[Rnd]],MATCH(Batters[[#This Row],[PID]],Table5[[#All],[PID]],0))</f>
        <v/>
      </c>
      <c r="BA438" s="64" t="str">
        <f>INDEX(Table5[[#All],[Pick]],MATCH(Batters[[#This Row],[PID]],Table5[[#All],[PID]],0))</f>
        <v/>
      </c>
      <c r="BB438" s="64" t="str">
        <f>INDEX(Table5[[#All],[Team]],MATCH(Batters[[#This Row],[PID]],Table5[[#All],[PID]],0))</f>
        <v/>
      </c>
    </row>
    <row r="439" spans="1:54" ht="15" customHeight="1" x14ac:dyDescent="0.25">
      <c r="A439" s="40">
        <v>13519</v>
      </c>
      <c r="B439" s="40" t="s">
        <v>87</v>
      </c>
      <c r="C439" s="40" t="s">
        <v>190</v>
      </c>
      <c r="D439" s="40" t="s">
        <v>696</v>
      </c>
      <c r="E439" s="40">
        <v>18</v>
      </c>
      <c r="F439" s="40" t="s">
        <v>42</v>
      </c>
      <c r="G439" s="40" t="s">
        <v>42</v>
      </c>
      <c r="H439" s="41" t="s">
        <v>647</v>
      </c>
      <c r="I439" s="65" t="s">
        <v>43</v>
      </c>
      <c r="J439" s="66" t="s">
        <v>47</v>
      </c>
      <c r="K439" s="67" t="s">
        <v>43</v>
      </c>
      <c r="L439" s="40">
        <v>1</v>
      </c>
      <c r="M439" s="40">
        <v>1</v>
      </c>
      <c r="N439" s="40">
        <v>2</v>
      </c>
      <c r="O439" s="40">
        <v>1</v>
      </c>
      <c r="P439" s="41">
        <v>1</v>
      </c>
      <c r="Q439" s="40">
        <v>4</v>
      </c>
      <c r="R439" s="40">
        <v>2</v>
      </c>
      <c r="S439" s="40">
        <v>2</v>
      </c>
      <c r="T439" s="40">
        <v>1</v>
      </c>
      <c r="U439" s="41">
        <v>4</v>
      </c>
      <c r="V439" s="40">
        <v>6</v>
      </c>
      <c r="W439" s="40">
        <v>1</v>
      </c>
      <c r="X439" s="40">
        <v>1</v>
      </c>
      <c r="Y439" s="41">
        <v>1</v>
      </c>
      <c r="Z439" s="40" t="s">
        <v>45</v>
      </c>
      <c r="AA439" s="40">
        <v>1</v>
      </c>
      <c r="AB439" s="40" t="s">
        <v>45</v>
      </c>
      <c r="AC439" s="40" t="s">
        <v>45</v>
      </c>
      <c r="AD439" s="40" t="s">
        <v>45</v>
      </c>
      <c r="AE439" s="40" t="s">
        <v>45</v>
      </c>
      <c r="AF439" s="40" t="s">
        <v>45</v>
      </c>
      <c r="AG439" s="41" t="s">
        <v>45</v>
      </c>
      <c r="AH439" s="40">
        <v>1</v>
      </c>
      <c r="AI439" s="40">
        <v>1</v>
      </c>
      <c r="AJ439" s="41">
        <v>1</v>
      </c>
      <c r="AK439" s="43" t="s">
        <v>573</v>
      </c>
      <c r="AL439" s="43"/>
      <c r="AM439" s="44">
        <f t="shared" si="43"/>
        <v>-2.0012818558036707</v>
      </c>
      <c r="AN439" s="44">
        <f t="shared" si="44"/>
        <v>-0.86250544812569241</v>
      </c>
      <c r="AO439" s="45">
        <f t="shared" si="45"/>
        <v>0</v>
      </c>
      <c r="AP439" s="46">
        <f t="shared" si="46"/>
        <v>0</v>
      </c>
      <c r="AQ439" s="44">
        <f>($AM$3*AM439+$AN$3*AN439+$AO$3*AO439+$AP$3*AP439)+$I$3*VLOOKUP(I439,COND!$A$2:$E$7,4,FALSE)+$J$3*VLOOKUP(J439,COND!$A$2:$C$7,2,FALSE)+$K$3*VLOOKUP(K439,COND!$A$2:$C$7,3,FALSE)+IF(AND($B$2&gt;0,$E439&lt;20),$B$2*25,0)</f>
        <v>39.749806436911328</v>
      </c>
      <c r="AR439" s="47">
        <f t="shared" si="47"/>
        <v>-0.97154856969500591</v>
      </c>
      <c r="AS439" s="45" t="str">
        <f t="shared" si="48"/>
        <v>1B</v>
      </c>
      <c r="AT439" s="45">
        <f>RANK(Batters[[#This Row],[zScore]],Batters[[#All],[zScore]])</f>
        <v>435</v>
      </c>
      <c r="AU439" s="45"/>
      <c r="AV439" s="45"/>
      <c r="AW439" s="45" t="str">
        <f t="shared" si="49"/>
        <v>Unlikely</v>
      </c>
      <c r="AX439" s="45"/>
      <c r="AY439" s="64" t="str">
        <f>INDEX(Table5[[#All],[Ovr]],MATCH(Batters[[#This Row],[PID]],Table5[[#All],[PID]],0))</f>
        <v/>
      </c>
      <c r="AZ439" s="64" t="str">
        <f>INDEX(Table5[[#All],[Rnd]],MATCH(Batters[[#This Row],[PID]],Table5[[#All],[PID]],0))</f>
        <v/>
      </c>
      <c r="BA439" s="64" t="str">
        <f>INDEX(Table5[[#All],[Pick]],MATCH(Batters[[#This Row],[PID]],Table5[[#All],[PID]],0))</f>
        <v/>
      </c>
      <c r="BB439" s="64" t="str">
        <f>INDEX(Table5[[#All],[Team]],MATCH(Batters[[#This Row],[PID]],Table5[[#All],[PID]],0))</f>
        <v/>
      </c>
    </row>
    <row r="440" spans="1:54" ht="15" customHeight="1" x14ac:dyDescent="0.25">
      <c r="A440" s="40">
        <v>20689</v>
      </c>
      <c r="B440" s="40" t="s">
        <v>86</v>
      </c>
      <c r="C440" s="40" t="s">
        <v>1663</v>
      </c>
      <c r="D440" s="40" t="s">
        <v>1664</v>
      </c>
      <c r="E440" s="40">
        <v>17</v>
      </c>
      <c r="F440" s="40" t="s">
        <v>53</v>
      </c>
      <c r="G440" s="40" t="s">
        <v>42</v>
      </c>
      <c r="H440" s="41" t="s">
        <v>639</v>
      </c>
      <c r="I440" s="65" t="s">
        <v>43</v>
      </c>
      <c r="J440" s="66" t="s">
        <v>44</v>
      </c>
      <c r="K440" s="67" t="s">
        <v>43</v>
      </c>
      <c r="L440" s="40">
        <v>1</v>
      </c>
      <c r="M440" s="40">
        <v>2</v>
      </c>
      <c r="N440" s="40">
        <v>2</v>
      </c>
      <c r="O440" s="40">
        <v>2</v>
      </c>
      <c r="P440" s="41">
        <v>1</v>
      </c>
      <c r="Q440" s="40">
        <v>3</v>
      </c>
      <c r="R440" s="40">
        <v>4</v>
      </c>
      <c r="S440" s="40">
        <v>2</v>
      </c>
      <c r="T440" s="40">
        <v>4</v>
      </c>
      <c r="U440" s="41">
        <v>4</v>
      </c>
      <c r="V440" s="40">
        <v>3</v>
      </c>
      <c r="W440" s="40">
        <v>3</v>
      </c>
      <c r="X440" s="40">
        <v>4</v>
      </c>
      <c r="Y440" s="41">
        <v>5</v>
      </c>
      <c r="Z440" s="40" t="s">
        <v>45</v>
      </c>
      <c r="AA440" s="40" t="s">
        <v>45</v>
      </c>
      <c r="AB440" s="40" t="s">
        <v>45</v>
      </c>
      <c r="AC440" s="40" t="s">
        <v>45</v>
      </c>
      <c r="AD440" s="40" t="s">
        <v>45</v>
      </c>
      <c r="AE440" s="40" t="s">
        <v>45</v>
      </c>
      <c r="AF440" s="40" t="s">
        <v>45</v>
      </c>
      <c r="AG440" s="41" t="s">
        <v>45</v>
      </c>
      <c r="AH440" s="40">
        <v>1</v>
      </c>
      <c r="AI440" s="40">
        <v>1</v>
      </c>
      <c r="AJ440" s="41">
        <v>1</v>
      </c>
      <c r="AK440" s="43" t="s">
        <v>663</v>
      </c>
      <c r="AL440" s="43"/>
      <c r="AM440" s="44">
        <f t="shared" si="43"/>
        <v>-1.8605124261753858</v>
      </c>
      <c r="AN440" s="44">
        <f t="shared" si="44"/>
        <v>-0.813812875062217</v>
      </c>
      <c r="AO440" s="45">
        <f t="shared" si="45"/>
        <v>0</v>
      </c>
      <c r="AP440" s="46">
        <f t="shared" si="46"/>
        <v>0</v>
      </c>
      <c r="AQ440" s="44">
        <f>($AM$3*AM440+$AN$3*AN440+$AO$3*AO440+$AP$3*AP440)+$I$3*VLOOKUP(I440,COND!$A$2:$E$7,4,FALSE)+$J$3*VLOOKUP(J440,COND!$A$2:$C$7,2,FALSE)+$K$3*VLOOKUP(K440,COND!$A$2:$C$7,3,FALSE)+IF(AND($B$2&gt;0,$E440&lt;20),$B$2*25,0)</f>
        <v>39.748194256635855</v>
      </c>
      <c r="AR440" s="47">
        <f t="shared" si="47"/>
        <v>-0.97190600095940549</v>
      </c>
      <c r="AS440" s="45" t="str">
        <f t="shared" si="48"/>
        <v>DH</v>
      </c>
      <c r="AT440" s="45">
        <f>RANK(Batters[[#This Row],[zScore]],Batters[[#All],[zScore]])</f>
        <v>436</v>
      </c>
      <c r="AU440" s="45"/>
      <c r="AV440" s="45"/>
      <c r="AW440" s="45" t="str">
        <f t="shared" si="49"/>
        <v>Unlikely</v>
      </c>
      <c r="AX440" s="45"/>
      <c r="AY440" s="64" t="str">
        <f>INDEX(Table5[[#All],[Ovr]],MATCH(Batters[[#This Row],[PID]],Table5[[#All],[PID]],0))</f>
        <v/>
      </c>
      <c r="AZ440" s="64" t="str">
        <f>INDEX(Table5[[#All],[Rnd]],MATCH(Batters[[#This Row],[PID]],Table5[[#All],[PID]],0))</f>
        <v/>
      </c>
      <c r="BA440" s="64" t="str">
        <f>INDEX(Table5[[#All],[Pick]],MATCH(Batters[[#This Row],[PID]],Table5[[#All],[PID]],0))</f>
        <v/>
      </c>
      <c r="BB440" s="64" t="str">
        <f>INDEX(Table5[[#All],[Team]],MATCH(Batters[[#This Row],[PID]],Table5[[#All],[PID]],0))</f>
        <v/>
      </c>
    </row>
    <row r="441" spans="1:54" ht="15" customHeight="1" x14ac:dyDescent="0.25">
      <c r="A441" s="40">
        <v>20284</v>
      </c>
      <c r="B441" s="40" t="s">
        <v>72</v>
      </c>
      <c r="C441" s="40" t="s">
        <v>1413</v>
      </c>
      <c r="D441" s="40" t="s">
        <v>1414</v>
      </c>
      <c r="E441" s="40">
        <v>21</v>
      </c>
      <c r="F441" s="40" t="s">
        <v>62</v>
      </c>
      <c r="G441" s="40" t="s">
        <v>42</v>
      </c>
      <c r="H441" s="41" t="s">
        <v>638</v>
      </c>
      <c r="I441" s="65" t="s">
        <v>43</v>
      </c>
      <c r="J441" s="66" t="s">
        <v>43</v>
      </c>
      <c r="K441" s="67" t="s">
        <v>43</v>
      </c>
      <c r="L441" s="40">
        <v>1</v>
      </c>
      <c r="M441" s="40">
        <v>3</v>
      </c>
      <c r="N441" s="40">
        <v>3</v>
      </c>
      <c r="O441" s="40">
        <v>4</v>
      </c>
      <c r="P441" s="41">
        <v>1</v>
      </c>
      <c r="Q441" s="40">
        <v>3</v>
      </c>
      <c r="R441" s="40">
        <v>4</v>
      </c>
      <c r="S441" s="40">
        <v>4</v>
      </c>
      <c r="T441" s="40">
        <v>6</v>
      </c>
      <c r="U441" s="41">
        <v>3</v>
      </c>
      <c r="V441" s="40">
        <v>6</v>
      </c>
      <c r="W441" s="40">
        <v>6</v>
      </c>
      <c r="X441" s="40">
        <v>1</v>
      </c>
      <c r="Y441" s="41">
        <v>1</v>
      </c>
      <c r="Z441" s="40" t="s">
        <v>45</v>
      </c>
      <c r="AA441" s="40" t="s">
        <v>45</v>
      </c>
      <c r="AB441" s="40">
        <v>3</v>
      </c>
      <c r="AC441" s="40">
        <v>3</v>
      </c>
      <c r="AD441" s="40">
        <v>5</v>
      </c>
      <c r="AE441" s="40" t="s">
        <v>45</v>
      </c>
      <c r="AF441" s="40" t="s">
        <v>45</v>
      </c>
      <c r="AG441" s="41">
        <v>3</v>
      </c>
      <c r="AH441" s="40">
        <v>4</v>
      </c>
      <c r="AI441" s="40">
        <v>2</v>
      </c>
      <c r="AJ441" s="41">
        <v>1</v>
      </c>
      <c r="AK441" s="43" t="s">
        <v>45</v>
      </c>
      <c r="AL441" s="43" t="s">
        <v>635</v>
      </c>
      <c r="AM441" s="44">
        <f t="shared" si="43"/>
        <v>-1.546971952513619</v>
      </c>
      <c r="AN441" s="44">
        <f t="shared" si="44"/>
        <v>-0.50828712681233545</v>
      </c>
      <c r="AO441" s="45">
        <f t="shared" si="45"/>
        <v>0</v>
      </c>
      <c r="AP441" s="46">
        <f t="shared" si="46"/>
        <v>1</v>
      </c>
      <c r="AQ441" s="44">
        <f>($AM$3*AM441+$AN$3*AN441+$AO$3*AO441+$AP$3*AP441)+$I$3*VLOOKUP(I441,COND!$A$2:$E$7,4,FALSE)+$J$3*VLOOKUP(J441,COND!$A$2:$C$7,2,FALSE)+$K$3*VLOOKUP(K441,COND!$A$2:$C$7,3,FALSE)+IF(AND($B$2&gt;0,$E441&lt;20),$B$2*25,0)</f>
        <v>39.74585728300061</v>
      </c>
      <c r="AR441" s="47">
        <f t="shared" si="47"/>
        <v>-0.972424123810815</v>
      </c>
      <c r="AS441" s="45" t="str">
        <f t="shared" si="48"/>
        <v>SS</v>
      </c>
      <c r="AT441" s="45">
        <f>RANK(Batters[[#This Row],[zScore]],Batters[[#All],[zScore]])</f>
        <v>437</v>
      </c>
      <c r="AU441" s="45"/>
      <c r="AV441" s="45"/>
      <c r="AW441" s="45" t="str">
        <f t="shared" si="49"/>
        <v>Unlikely</v>
      </c>
      <c r="AX441" s="45"/>
      <c r="AY441" s="45" t="str">
        <f>INDEX(Table5[[#All],[Ovr]],MATCH(Batters[[#This Row],[PID]],Table5[[#All],[PID]],0))</f>
        <v/>
      </c>
      <c r="AZ441" s="45" t="str">
        <f>INDEX(Table5[[#All],[Rnd]],MATCH(Batters[[#This Row],[PID]],Table5[[#All],[PID]],0))</f>
        <v/>
      </c>
      <c r="BA441" s="45" t="str">
        <f>INDEX(Table5[[#All],[Pick]],MATCH(Batters[[#This Row],[PID]],Table5[[#All],[PID]],0))</f>
        <v/>
      </c>
      <c r="BB441" s="45" t="str">
        <f>INDEX(Table5[[#All],[Team]],MATCH(Batters[[#This Row],[PID]],Table5[[#All],[PID]],0))</f>
        <v/>
      </c>
    </row>
    <row r="442" spans="1:54" ht="15" customHeight="1" x14ac:dyDescent="0.25">
      <c r="A442" s="40">
        <v>20647</v>
      </c>
      <c r="B442" s="40" t="s">
        <v>72</v>
      </c>
      <c r="C442" s="40" t="s">
        <v>1543</v>
      </c>
      <c r="D442" s="40" t="s">
        <v>1544</v>
      </c>
      <c r="E442" s="40">
        <v>18</v>
      </c>
      <c r="F442" s="40" t="s">
        <v>42</v>
      </c>
      <c r="G442" s="40" t="s">
        <v>42</v>
      </c>
      <c r="H442" s="41" t="s">
        <v>638</v>
      </c>
      <c r="I442" s="65" t="s">
        <v>47</v>
      </c>
      <c r="J442" s="66" t="s">
        <v>43</v>
      </c>
      <c r="K442" s="67" t="s">
        <v>43</v>
      </c>
      <c r="L442" s="40">
        <v>1</v>
      </c>
      <c r="M442" s="40">
        <v>3</v>
      </c>
      <c r="N442" s="40">
        <v>2</v>
      </c>
      <c r="O442" s="40">
        <v>3</v>
      </c>
      <c r="P442" s="41">
        <v>1</v>
      </c>
      <c r="Q442" s="40">
        <v>2</v>
      </c>
      <c r="R442" s="40">
        <v>5</v>
      </c>
      <c r="S442" s="40">
        <v>3</v>
      </c>
      <c r="T442" s="40">
        <v>6</v>
      </c>
      <c r="U442" s="41">
        <v>3</v>
      </c>
      <c r="V442" s="40">
        <v>6</v>
      </c>
      <c r="W442" s="40">
        <v>6</v>
      </c>
      <c r="X442" s="40">
        <v>1</v>
      </c>
      <c r="Y442" s="41">
        <v>1</v>
      </c>
      <c r="Z442" s="40" t="s">
        <v>45</v>
      </c>
      <c r="AA442" s="40" t="s">
        <v>45</v>
      </c>
      <c r="AB442" s="40" t="s">
        <v>45</v>
      </c>
      <c r="AC442" s="40">
        <v>1</v>
      </c>
      <c r="AD442" s="40">
        <v>2</v>
      </c>
      <c r="AE442" s="40" t="s">
        <v>45</v>
      </c>
      <c r="AF442" s="40" t="s">
        <v>45</v>
      </c>
      <c r="AG442" s="41" t="s">
        <v>45</v>
      </c>
      <c r="AH442" s="40">
        <v>3</v>
      </c>
      <c r="AI442" s="40">
        <v>1</v>
      </c>
      <c r="AJ442" s="41">
        <v>1</v>
      </c>
      <c r="AK442" s="43" t="s">
        <v>663</v>
      </c>
      <c r="AL442" s="43" t="s">
        <v>635</v>
      </c>
      <c r="AM442" s="44">
        <f t="shared" si="43"/>
        <v>-1.7197429965471014</v>
      </c>
      <c r="AN442" s="44">
        <f t="shared" si="44"/>
        <v>-0.86284457742020826</v>
      </c>
      <c r="AO442" s="45">
        <f t="shared" si="45"/>
        <v>0</v>
      </c>
      <c r="AP442" s="46">
        <f t="shared" si="46"/>
        <v>0</v>
      </c>
      <c r="AQ442" s="44">
        <f>($AM$3*AM442+$AN$3*AN442+$AO$3*AO442+$AP$3*AP442)+$I$3*VLOOKUP(I442,COND!$A$2:$E$7,4,FALSE)+$J$3*VLOOKUP(J442,COND!$A$2:$C$7,2,FALSE)+$K$3*VLOOKUP(K442,COND!$A$2:$C$7,3,FALSE)+IF(AND($B$2&gt;0,$E442&lt;20),$B$2*25,0)</f>
        <v>39.698890771302786</v>
      </c>
      <c r="AR442" s="47">
        <f t="shared" si="47"/>
        <v>-0.98283691691837893</v>
      </c>
      <c r="AS442" s="45" t="str">
        <f t="shared" si="48"/>
        <v>SS</v>
      </c>
      <c r="AT442" s="45">
        <f>RANK(Batters[[#This Row],[zScore]],Batters[[#All],[zScore]])</f>
        <v>438</v>
      </c>
      <c r="AU442" s="45"/>
      <c r="AV442" s="45"/>
      <c r="AW442" s="45" t="str">
        <f t="shared" si="49"/>
        <v>Unlikely</v>
      </c>
      <c r="AX442" s="45"/>
      <c r="AY442" s="45" t="str">
        <f>INDEX(Table5[[#All],[Ovr]],MATCH(Batters[[#This Row],[PID]],Table5[[#All],[PID]],0))</f>
        <v/>
      </c>
      <c r="AZ442" s="45" t="str">
        <f>INDEX(Table5[[#All],[Rnd]],MATCH(Batters[[#This Row],[PID]],Table5[[#All],[PID]],0))</f>
        <v/>
      </c>
      <c r="BA442" s="45" t="str">
        <f>INDEX(Table5[[#All],[Pick]],MATCH(Batters[[#This Row],[PID]],Table5[[#All],[PID]],0))</f>
        <v/>
      </c>
      <c r="BB442" s="45" t="str">
        <f>INDEX(Table5[[#All],[Team]],MATCH(Batters[[#This Row],[PID]],Table5[[#All],[PID]],0))</f>
        <v/>
      </c>
    </row>
    <row r="443" spans="1:54" ht="15" customHeight="1" x14ac:dyDescent="0.25">
      <c r="A443" s="40">
        <v>20541</v>
      </c>
      <c r="B443" s="40" t="s">
        <v>71</v>
      </c>
      <c r="C443" s="40" t="s">
        <v>169</v>
      </c>
      <c r="D443" s="40" t="s">
        <v>1557</v>
      </c>
      <c r="E443" s="40">
        <v>18</v>
      </c>
      <c r="F443" s="40" t="s">
        <v>62</v>
      </c>
      <c r="G443" s="40" t="s">
        <v>42</v>
      </c>
      <c r="H443" s="41" t="s">
        <v>638</v>
      </c>
      <c r="I443" s="65" t="s">
        <v>43</v>
      </c>
      <c r="J443" s="66" t="s">
        <v>43</v>
      </c>
      <c r="K443" s="67" t="s">
        <v>44</v>
      </c>
      <c r="L443" s="40">
        <v>1</v>
      </c>
      <c r="M443" s="40">
        <v>3</v>
      </c>
      <c r="N443" s="40">
        <v>3</v>
      </c>
      <c r="O443" s="40">
        <v>3</v>
      </c>
      <c r="P443" s="41">
        <v>1</v>
      </c>
      <c r="Q443" s="40">
        <v>2</v>
      </c>
      <c r="R443" s="40">
        <v>5</v>
      </c>
      <c r="S443" s="40">
        <v>4</v>
      </c>
      <c r="T443" s="40">
        <v>6</v>
      </c>
      <c r="U443" s="41">
        <v>2</v>
      </c>
      <c r="V443" s="40">
        <v>3</v>
      </c>
      <c r="W443" s="40">
        <v>2</v>
      </c>
      <c r="X443" s="40">
        <v>1</v>
      </c>
      <c r="Y443" s="41">
        <v>1</v>
      </c>
      <c r="Z443" s="40" t="s">
        <v>45</v>
      </c>
      <c r="AA443" s="40" t="s">
        <v>45</v>
      </c>
      <c r="AB443" s="40">
        <v>2</v>
      </c>
      <c r="AC443" s="40" t="s">
        <v>45</v>
      </c>
      <c r="AD443" s="40" t="s">
        <v>45</v>
      </c>
      <c r="AE443" s="40">
        <v>1</v>
      </c>
      <c r="AF443" s="40" t="s">
        <v>45</v>
      </c>
      <c r="AG443" s="41" t="s">
        <v>45</v>
      </c>
      <c r="AH443" s="40">
        <v>3</v>
      </c>
      <c r="AI443" s="40">
        <v>3</v>
      </c>
      <c r="AJ443" s="41">
        <v>2</v>
      </c>
      <c r="AK443" s="43" t="s">
        <v>654</v>
      </c>
      <c r="AL443" s="43" t="s">
        <v>47</v>
      </c>
      <c r="AM443" s="44">
        <f t="shared" si="43"/>
        <v>-1.6366815025231998</v>
      </c>
      <c r="AN443" s="44">
        <f t="shared" si="44"/>
        <v>-0.81979942321339028</v>
      </c>
      <c r="AO443" s="45">
        <f t="shared" si="45"/>
        <v>0</v>
      </c>
      <c r="AP443" s="46">
        <f t="shared" si="46"/>
        <v>0</v>
      </c>
      <c r="AQ443" s="44">
        <f>($AM$3*AM443+$AN$3*AN443+$AO$3*AO443+$AP$3*AP443)+$I$3*VLOOKUP(I443,COND!$A$2:$E$7,4,FALSE)+$J$3*VLOOKUP(J443,COND!$A$2:$C$7,2,FALSE)+$K$3*VLOOKUP(K443,COND!$A$2:$C$7,3,FALSE)+IF(AND($B$2&gt;0,$E443&lt;20),$B$2*25,0)</f>
        <v>39.698738771186996</v>
      </c>
      <c r="AR443" s="47">
        <f t="shared" si="47"/>
        <v>-0.98287061637147499</v>
      </c>
      <c r="AS443" s="45" t="str">
        <f t="shared" si="48"/>
        <v>2B</v>
      </c>
      <c r="AT443" s="45">
        <f>RANK(Batters[[#This Row],[zScore]],Batters[[#All],[zScore]])</f>
        <v>439</v>
      </c>
      <c r="AU443" s="45"/>
      <c r="AV443" s="45"/>
      <c r="AW443" s="45" t="str">
        <f t="shared" si="49"/>
        <v>Unlikely</v>
      </c>
      <c r="AX443" s="45"/>
      <c r="AY443" s="45" t="str">
        <f>INDEX(Table5[[#All],[Ovr]],MATCH(Batters[[#This Row],[PID]],Table5[[#All],[PID]],0))</f>
        <v/>
      </c>
      <c r="AZ443" s="45" t="str">
        <f>INDEX(Table5[[#All],[Rnd]],MATCH(Batters[[#This Row],[PID]],Table5[[#All],[PID]],0))</f>
        <v/>
      </c>
      <c r="BA443" s="45" t="str">
        <f>INDEX(Table5[[#All],[Pick]],MATCH(Batters[[#This Row],[PID]],Table5[[#All],[PID]],0))</f>
        <v/>
      </c>
      <c r="BB443" s="45" t="str">
        <f>INDEX(Table5[[#All],[Team]],MATCH(Batters[[#This Row],[PID]],Table5[[#All],[PID]],0))</f>
        <v/>
      </c>
    </row>
    <row r="444" spans="1:54" ht="15" customHeight="1" x14ac:dyDescent="0.25">
      <c r="A444" s="40">
        <v>20862</v>
      </c>
      <c r="B444" s="40" t="s">
        <v>86</v>
      </c>
      <c r="C444" s="40" t="s">
        <v>1050</v>
      </c>
      <c r="D444" s="40" t="s">
        <v>1498</v>
      </c>
      <c r="E444" s="40">
        <v>18</v>
      </c>
      <c r="F444" s="40" t="s">
        <v>53</v>
      </c>
      <c r="G444" s="40" t="s">
        <v>42</v>
      </c>
      <c r="H444" s="41" t="s">
        <v>638</v>
      </c>
      <c r="I444" s="65" t="s">
        <v>43</v>
      </c>
      <c r="J444" s="66" t="s">
        <v>44</v>
      </c>
      <c r="K444" s="67" t="s">
        <v>43</v>
      </c>
      <c r="L444" s="40">
        <v>1</v>
      </c>
      <c r="M444" s="40">
        <v>2</v>
      </c>
      <c r="N444" s="40">
        <v>2</v>
      </c>
      <c r="O444" s="40">
        <v>2</v>
      </c>
      <c r="P444" s="41">
        <v>1</v>
      </c>
      <c r="Q444" s="40">
        <v>2</v>
      </c>
      <c r="R444" s="40">
        <v>5</v>
      </c>
      <c r="S444" s="40">
        <v>4</v>
      </c>
      <c r="T444" s="40">
        <v>6</v>
      </c>
      <c r="U444" s="41">
        <v>2</v>
      </c>
      <c r="V444" s="40">
        <v>3</v>
      </c>
      <c r="W444" s="40">
        <v>3</v>
      </c>
      <c r="X444" s="40">
        <v>4</v>
      </c>
      <c r="Y444" s="41">
        <v>9</v>
      </c>
      <c r="Z444" s="40">
        <v>2</v>
      </c>
      <c r="AA444" s="40">
        <v>1</v>
      </c>
      <c r="AB444" s="40" t="s">
        <v>45</v>
      </c>
      <c r="AC444" s="40" t="s">
        <v>45</v>
      </c>
      <c r="AD444" s="40" t="s">
        <v>45</v>
      </c>
      <c r="AE444" s="40" t="s">
        <v>45</v>
      </c>
      <c r="AF444" s="40" t="s">
        <v>45</v>
      </c>
      <c r="AG444" s="41" t="s">
        <v>45</v>
      </c>
      <c r="AH444" s="40">
        <v>3</v>
      </c>
      <c r="AI444" s="40">
        <v>3</v>
      </c>
      <c r="AJ444" s="41">
        <v>1</v>
      </c>
      <c r="AK444" s="43" t="s">
        <v>659</v>
      </c>
      <c r="AL444" s="43" t="s">
        <v>47</v>
      </c>
      <c r="AM444" s="44">
        <f t="shared" si="43"/>
        <v>-1.8605124261753858</v>
      </c>
      <c r="AN444" s="44">
        <f t="shared" si="44"/>
        <v>-0.81979942321339028</v>
      </c>
      <c r="AO444" s="45">
        <f t="shared" si="45"/>
        <v>0</v>
      </c>
      <c r="AP444" s="46">
        <f t="shared" si="46"/>
        <v>0</v>
      </c>
      <c r="AQ444" s="44">
        <f>($AM$3*AM444+$AN$3*AN444+$AO$3*AO444+$AP$3*AP444)+$I$3*VLOOKUP(I444,COND!$A$2:$E$7,4,FALSE)+$J$3*VLOOKUP(J444,COND!$A$2:$C$7,2,FALSE)+$K$3*VLOOKUP(K444,COND!$A$2:$C$7,3,FALSE)+IF(AND($B$2&gt;0,$E444&lt;20),$B$2*25,0)</f>
        <v>39.676355678821778</v>
      </c>
      <c r="AR444" s="47">
        <f t="shared" si="47"/>
        <v>-0.98783309924450668</v>
      </c>
      <c r="AS444" s="45" t="str">
        <f t="shared" si="48"/>
        <v>C</v>
      </c>
      <c r="AT444" s="45">
        <f>RANK(Batters[[#This Row],[zScore]],Batters[[#All],[zScore]])</f>
        <v>440</v>
      </c>
      <c r="AU444" s="45"/>
      <c r="AV444" s="45"/>
      <c r="AW444" s="45" t="str">
        <f t="shared" si="49"/>
        <v>Unlikely</v>
      </c>
      <c r="AX444" s="45"/>
      <c r="AY444" s="45">
        <f>INDEX(Table5[[#All],[Ovr]],MATCH(Batters[[#This Row],[PID]],Table5[[#All],[PID]],0))</f>
        <v>351</v>
      </c>
      <c r="AZ444" s="45" t="str">
        <f>INDEX(Table5[[#All],[Rnd]],MATCH(Batters[[#This Row],[PID]],Table5[[#All],[PID]],0))</f>
        <v>12</v>
      </c>
      <c r="BA444" s="45">
        <f>INDEX(Table5[[#All],[Pick]],MATCH(Batters[[#This Row],[PID]],Table5[[#All],[PID]],0))</f>
        <v>13</v>
      </c>
      <c r="BB444" s="45" t="str">
        <f>INDEX(Table5[[#All],[Team]],MATCH(Batters[[#This Row],[PID]],Table5[[#All],[PID]],0))</f>
        <v>Reno Zephyrs</v>
      </c>
    </row>
    <row r="445" spans="1:54" ht="15" customHeight="1" x14ac:dyDescent="0.25">
      <c r="A445" s="40">
        <v>20231</v>
      </c>
      <c r="B445" s="40" t="s">
        <v>66</v>
      </c>
      <c r="C445" s="40" t="s">
        <v>396</v>
      </c>
      <c r="D445" s="40" t="s">
        <v>320</v>
      </c>
      <c r="E445" s="40">
        <v>22</v>
      </c>
      <c r="F445" s="40" t="s">
        <v>42</v>
      </c>
      <c r="G445" s="40" t="s">
        <v>42</v>
      </c>
      <c r="H445" s="41" t="s">
        <v>638</v>
      </c>
      <c r="I445" s="65" t="s">
        <v>43</v>
      </c>
      <c r="J445" s="66" t="s">
        <v>43</v>
      </c>
      <c r="K445" s="67" t="s">
        <v>43</v>
      </c>
      <c r="L445" s="40">
        <v>2</v>
      </c>
      <c r="M445" s="40">
        <v>3</v>
      </c>
      <c r="N445" s="40">
        <v>4</v>
      </c>
      <c r="O445" s="40">
        <v>4</v>
      </c>
      <c r="P445" s="41">
        <v>1</v>
      </c>
      <c r="Q445" s="40">
        <v>3</v>
      </c>
      <c r="R445" s="40">
        <v>3</v>
      </c>
      <c r="S445" s="40">
        <v>5</v>
      </c>
      <c r="T445" s="40">
        <v>6</v>
      </c>
      <c r="U445" s="41">
        <v>3</v>
      </c>
      <c r="V445" s="40">
        <v>4</v>
      </c>
      <c r="W445" s="40">
        <v>6</v>
      </c>
      <c r="X445" s="40">
        <v>1</v>
      </c>
      <c r="Y445" s="41">
        <v>1</v>
      </c>
      <c r="Z445" s="40" t="s">
        <v>45</v>
      </c>
      <c r="AA445" s="40" t="s">
        <v>45</v>
      </c>
      <c r="AB445" s="40" t="s">
        <v>45</v>
      </c>
      <c r="AC445" s="40" t="s">
        <v>45</v>
      </c>
      <c r="AD445" s="40" t="s">
        <v>45</v>
      </c>
      <c r="AE445" s="40">
        <v>2</v>
      </c>
      <c r="AF445" s="40">
        <v>1</v>
      </c>
      <c r="AG445" s="41">
        <v>5</v>
      </c>
      <c r="AH445" s="40">
        <v>4</v>
      </c>
      <c r="AI445" s="40">
        <v>4</v>
      </c>
      <c r="AJ445" s="41">
        <v>5</v>
      </c>
      <c r="AK445" s="43" t="s">
        <v>45</v>
      </c>
      <c r="AL445" s="43" t="s">
        <v>47</v>
      </c>
      <c r="AM445" s="44">
        <f t="shared" si="43"/>
        <v>-1.1413546222870428</v>
      </c>
      <c r="AN445" s="44">
        <f t="shared" si="44"/>
        <v>-0.4762855124071374</v>
      </c>
      <c r="AO445" s="45">
        <f t="shared" si="45"/>
        <v>0</v>
      </c>
      <c r="AP445" s="46">
        <f t="shared" si="46"/>
        <v>0.5</v>
      </c>
      <c r="AQ445" s="44">
        <f>($AM$3*AM445+$AN$3*AN445+$AO$3*AO445+$AP$3*AP445)+$I$3*VLOOKUP(I445,COND!$A$2:$E$7,4,FALSE)+$J$3*VLOOKUP(J445,COND!$A$2:$C$7,2,FALSE)+$K$3*VLOOKUP(K445,COND!$A$2:$C$7,3,FALSE)+IF(AND($B$2&gt;0,$E445&lt;20),$B$2*25,0)</f>
        <v>39.670438388885643</v>
      </c>
      <c r="AR445" s="47">
        <f t="shared" si="47"/>
        <v>-0.98914500242051595</v>
      </c>
      <c r="AS445" s="45" t="str">
        <f t="shared" si="48"/>
        <v>RF</v>
      </c>
      <c r="AT445" s="45">
        <f>RANK(Batters[[#This Row],[zScore]],Batters[[#All],[zScore]])</f>
        <v>441</v>
      </c>
      <c r="AU445" s="45"/>
      <c r="AV445" s="45"/>
      <c r="AW445" s="45" t="str">
        <f t="shared" si="49"/>
        <v>Unlikely</v>
      </c>
      <c r="AX445" s="45"/>
      <c r="AY445" s="45" t="str">
        <f>INDEX(Table5[[#All],[Ovr]],MATCH(Batters[[#This Row],[PID]],Table5[[#All],[PID]],0))</f>
        <v/>
      </c>
      <c r="AZ445" s="45" t="str">
        <f>INDEX(Table5[[#All],[Rnd]],MATCH(Batters[[#This Row],[PID]],Table5[[#All],[PID]],0))</f>
        <v/>
      </c>
      <c r="BA445" s="45" t="str">
        <f>INDEX(Table5[[#All],[Pick]],MATCH(Batters[[#This Row],[PID]],Table5[[#All],[PID]],0))</f>
        <v/>
      </c>
      <c r="BB445" s="45" t="str">
        <f>INDEX(Table5[[#All],[Team]],MATCH(Batters[[#This Row],[PID]],Table5[[#All],[PID]],0))</f>
        <v/>
      </c>
    </row>
    <row r="446" spans="1:54" ht="15" customHeight="1" x14ac:dyDescent="0.25">
      <c r="A446" s="40">
        <v>18006</v>
      </c>
      <c r="B446" s="40" t="s">
        <v>66</v>
      </c>
      <c r="C446" s="40" t="s">
        <v>370</v>
      </c>
      <c r="D446" s="40" t="s">
        <v>696</v>
      </c>
      <c r="E446" s="40">
        <v>21</v>
      </c>
      <c r="F446" s="40" t="s">
        <v>42</v>
      </c>
      <c r="G446" s="40" t="s">
        <v>42</v>
      </c>
      <c r="H446" s="41" t="s">
        <v>638</v>
      </c>
      <c r="I446" s="65" t="s">
        <v>43</v>
      </c>
      <c r="J446" s="66" t="s">
        <v>47</v>
      </c>
      <c r="K446" s="67" t="s">
        <v>43</v>
      </c>
      <c r="L446" s="40">
        <v>1</v>
      </c>
      <c r="M446" s="40">
        <v>2</v>
      </c>
      <c r="N446" s="40">
        <v>3</v>
      </c>
      <c r="O446" s="40">
        <v>1</v>
      </c>
      <c r="P446" s="41">
        <v>1</v>
      </c>
      <c r="Q446" s="40">
        <v>3</v>
      </c>
      <c r="R446" s="40">
        <v>5</v>
      </c>
      <c r="S446" s="40">
        <v>5</v>
      </c>
      <c r="T446" s="40">
        <v>4</v>
      </c>
      <c r="U446" s="41">
        <v>4</v>
      </c>
      <c r="V446" s="40">
        <v>3</v>
      </c>
      <c r="W446" s="40">
        <v>7</v>
      </c>
      <c r="X446" s="40">
        <v>1</v>
      </c>
      <c r="Y446" s="41">
        <v>1</v>
      </c>
      <c r="Z446" s="40" t="s">
        <v>45</v>
      </c>
      <c r="AA446" s="40" t="s">
        <v>45</v>
      </c>
      <c r="AB446" s="40" t="s">
        <v>45</v>
      </c>
      <c r="AC446" s="40" t="s">
        <v>45</v>
      </c>
      <c r="AD446" s="40" t="s">
        <v>45</v>
      </c>
      <c r="AE446" s="40" t="s">
        <v>45</v>
      </c>
      <c r="AF446" s="40" t="s">
        <v>45</v>
      </c>
      <c r="AG446" s="41">
        <v>6</v>
      </c>
      <c r="AH446" s="40">
        <v>9</v>
      </c>
      <c r="AI446" s="40">
        <v>2</v>
      </c>
      <c r="AJ446" s="41">
        <v>1</v>
      </c>
      <c r="AK446" s="43" t="s">
        <v>45</v>
      </c>
      <c r="AL446" s="43" t="s">
        <v>635</v>
      </c>
      <c r="AM446" s="44">
        <f t="shared" si="43"/>
        <v>-1.8671604821610654</v>
      </c>
      <c r="AN446" s="44">
        <f t="shared" si="44"/>
        <v>-0.51356851337180909</v>
      </c>
      <c r="AO446" s="45">
        <f t="shared" si="45"/>
        <v>1</v>
      </c>
      <c r="AP446" s="46">
        <f t="shared" si="46"/>
        <v>0.5</v>
      </c>
      <c r="AQ446" s="44">
        <f>($AM$3*AM446+$AN$3*AN446+$AO$3*AO446+$AP$3*AP446)+$I$3*VLOOKUP(I446,COND!$A$2:$E$7,4,FALSE)+$J$3*VLOOKUP(J446,COND!$A$2:$C$7,2,FALSE)+$K$3*VLOOKUP(K446,COND!$A$2:$C$7,3,FALSE)+IF(AND($B$2&gt;0,$E446&lt;20),$B$2*25,0)</f>
        <v>39.617128457988855</v>
      </c>
      <c r="AR446" s="47">
        <f t="shared" si="47"/>
        <v>-1.0009641744420243</v>
      </c>
      <c r="AS446" s="45" t="str">
        <f t="shared" si="48"/>
        <v>RF</v>
      </c>
      <c r="AT446" s="45">
        <f>RANK(Batters[[#This Row],[zScore]],Batters[[#All],[zScore]])</f>
        <v>442</v>
      </c>
      <c r="AU446" s="45"/>
      <c r="AV446" s="45"/>
      <c r="AW446" s="45" t="str">
        <f t="shared" si="49"/>
        <v>Unlikely</v>
      </c>
      <c r="AX446" s="45"/>
      <c r="AY446" s="45">
        <f>INDEX(Table5[[#All],[Ovr]],MATCH(Batters[[#This Row],[PID]],Table5[[#All],[PID]],0))</f>
        <v>439</v>
      </c>
      <c r="AZ446" s="45" t="str">
        <f>INDEX(Table5[[#All],[Rnd]],MATCH(Batters[[#This Row],[PID]],Table5[[#All],[PID]],0))</f>
        <v>15</v>
      </c>
      <c r="BA446" s="45">
        <f>INDEX(Table5[[#All],[Pick]],MATCH(Batters[[#This Row],[PID]],Table5[[#All],[PID]],0))</f>
        <v>11</v>
      </c>
      <c r="BB446" s="45" t="str">
        <f>INDEX(Table5[[#All],[Team]],MATCH(Batters[[#This Row],[PID]],Table5[[#All],[PID]],0))</f>
        <v>Duluth Warriors</v>
      </c>
    </row>
    <row r="447" spans="1:54" ht="15" customHeight="1" x14ac:dyDescent="0.25">
      <c r="A447" s="40">
        <v>18078</v>
      </c>
      <c r="B447" s="40" t="s">
        <v>69</v>
      </c>
      <c r="C447" s="40" t="s">
        <v>174</v>
      </c>
      <c r="D447" s="40" t="s">
        <v>1361</v>
      </c>
      <c r="E447" s="40">
        <v>21</v>
      </c>
      <c r="F447" s="40" t="s">
        <v>42</v>
      </c>
      <c r="G447" s="40" t="s">
        <v>42</v>
      </c>
      <c r="H447" s="41" t="s">
        <v>634</v>
      </c>
      <c r="I447" s="65" t="s">
        <v>43</v>
      </c>
      <c r="J447" s="66" t="s">
        <v>44</v>
      </c>
      <c r="K447" s="67" t="s">
        <v>43</v>
      </c>
      <c r="L447" s="40">
        <v>2</v>
      </c>
      <c r="M447" s="40">
        <v>3</v>
      </c>
      <c r="N447" s="40">
        <v>3</v>
      </c>
      <c r="O447" s="40">
        <v>2</v>
      </c>
      <c r="P447" s="41">
        <v>1</v>
      </c>
      <c r="Q447" s="40">
        <v>3</v>
      </c>
      <c r="R447" s="40">
        <v>4</v>
      </c>
      <c r="S447" s="40">
        <v>5</v>
      </c>
      <c r="T447" s="40">
        <v>5</v>
      </c>
      <c r="U447" s="41">
        <v>4</v>
      </c>
      <c r="V447" s="40">
        <v>10</v>
      </c>
      <c r="W447" s="40">
        <v>9</v>
      </c>
      <c r="X447" s="40">
        <v>1</v>
      </c>
      <c r="Y447" s="41">
        <v>1</v>
      </c>
      <c r="Z447" s="40" t="s">
        <v>45</v>
      </c>
      <c r="AA447" s="40" t="s">
        <v>45</v>
      </c>
      <c r="AB447" s="40" t="s">
        <v>45</v>
      </c>
      <c r="AC447" s="40">
        <v>6</v>
      </c>
      <c r="AD447" s="40" t="s">
        <v>45</v>
      </c>
      <c r="AE447" s="40" t="s">
        <v>45</v>
      </c>
      <c r="AF447" s="40" t="s">
        <v>45</v>
      </c>
      <c r="AG447" s="41" t="s">
        <v>45</v>
      </c>
      <c r="AH447" s="40">
        <v>3</v>
      </c>
      <c r="AI447" s="40">
        <v>2</v>
      </c>
      <c r="AJ447" s="41">
        <v>1</v>
      </c>
      <c r="AK447" s="43" t="s">
        <v>45</v>
      </c>
      <c r="AL447" s="43" t="s">
        <v>47</v>
      </c>
      <c r="AM447" s="44">
        <f t="shared" si="43"/>
        <v>-1.4038352163301062</v>
      </c>
      <c r="AN447" s="44">
        <f t="shared" si="44"/>
        <v>-0.47491884298093157</v>
      </c>
      <c r="AO447" s="45">
        <f t="shared" si="45"/>
        <v>0</v>
      </c>
      <c r="AP447" s="46">
        <f t="shared" si="46"/>
        <v>0.75</v>
      </c>
      <c r="AQ447" s="44">
        <f>($AM$3*AM447+$AN$3*AN447+$AO$3*AO447+$AP$3*AP447)+$I$3*VLOOKUP(I447,COND!$A$2:$E$7,4,FALSE)+$J$3*VLOOKUP(J447,COND!$A$2:$C$7,2,FALSE)+$K$3*VLOOKUP(K447,COND!$A$2:$C$7,3,FALSE)+IF(AND($B$2&gt;0,$E447&lt;20),$B$2*25,0)</f>
        <v>39.610590362595808</v>
      </c>
      <c r="AR447" s="47">
        <f t="shared" si="47"/>
        <v>-1.0024137143840863</v>
      </c>
      <c r="AS447" s="45" t="str">
        <f t="shared" si="48"/>
        <v>3B</v>
      </c>
      <c r="AT447" s="45">
        <f>RANK(Batters[[#This Row],[zScore]],Batters[[#All],[zScore]])</f>
        <v>443</v>
      </c>
      <c r="AU447" s="45"/>
      <c r="AV447" s="45"/>
      <c r="AW447" s="45" t="str">
        <f t="shared" si="49"/>
        <v>Unlikely</v>
      </c>
      <c r="AX447" s="45"/>
      <c r="AY447" s="45" t="str">
        <f>INDEX(Table5[[#All],[Ovr]],MATCH(Batters[[#This Row],[PID]],Table5[[#All],[PID]],0))</f>
        <v/>
      </c>
      <c r="AZ447" s="45" t="str">
        <f>INDEX(Table5[[#All],[Rnd]],MATCH(Batters[[#This Row],[PID]],Table5[[#All],[PID]],0))</f>
        <v/>
      </c>
      <c r="BA447" s="45" t="str">
        <f>INDEX(Table5[[#All],[Pick]],MATCH(Batters[[#This Row],[PID]],Table5[[#All],[PID]],0))</f>
        <v/>
      </c>
      <c r="BB447" s="45" t="str">
        <f>INDEX(Table5[[#All],[Team]],MATCH(Batters[[#This Row],[PID]],Table5[[#All],[PID]],0))</f>
        <v/>
      </c>
    </row>
    <row r="448" spans="1:54" ht="15" customHeight="1" x14ac:dyDescent="0.25">
      <c r="A448" s="40">
        <v>20869</v>
      </c>
      <c r="B448" s="40" t="s">
        <v>50</v>
      </c>
      <c r="C448" s="40" t="s">
        <v>336</v>
      </c>
      <c r="D448" s="40" t="s">
        <v>1705</v>
      </c>
      <c r="E448" s="40">
        <v>18</v>
      </c>
      <c r="F448" s="40" t="s">
        <v>53</v>
      </c>
      <c r="G448" s="40" t="s">
        <v>53</v>
      </c>
      <c r="H448" s="41" t="s">
        <v>647</v>
      </c>
      <c r="I448" s="65" t="s">
        <v>43</v>
      </c>
      <c r="J448" s="66" t="s">
        <v>44</v>
      </c>
      <c r="K448" s="67" t="s">
        <v>43</v>
      </c>
      <c r="L448" s="40">
        <v>1</v>
      </c>
      <c r="M448" s="40">
        <v>1</v>
      </c>
      <c r="N448" s="40">
        <v>2</v>
      </c>
      <c r="O448" s="40">
        <v>1</v>
      </c>
      <c r="P448" s="41">
        <v>1</v>
      </c>
      <c r="Q448" s="40">
        <v>3</v>
      </c>
      <c r="R448" s="40">
        <v>3</v>
      </c>
      <c r="S448" s="40">
        <v>2</v>
      </c>
      <c r="T448" s="40">
        <v>4</v>
      </c>
      <c r="U448" s="41">
        <v>5</v>
      </c>
      <c r="V448" s="40">
        <v>8</v>
      </c>
      <c r="W448" s="40">
        <v>9</v>
      </c>
      <c r="X448" s="40">
        <v>1</v>
      </c>
      <c r="Y448" s="41">
        <v>1</v>
      </c>
      <c r="Z448" s="40" t="s">
        <v>45</v>
      </c>
      <c r="AA448" s="40">
        <v>1</v>
      </c>
      <c r="AB448" s="40" t="s">
        <v>45</v>
      </c>
      <c r="AC448" s="40" t="s">
        <v>45</v>
      </c>
      <c r="AD448" s="40" t="s">
        <v>45</v>
      </c>
      <c r="AE448" s="40">
        <v>1</v>
      </c>
      <c r="AF448" s="40" t="s">
        <v>45</v>
      </c>
      <c r="AG448" s="41">
        <v>1</v>
      </c>
      <c r="AH448" s="40">
        <v>3</v>
      </c>
      <c r="AI448" s="40">
        <v>1</v>
      </c>
      <c r="AJ448" s="41">
        <v>1</v>
      </c>
      <c r="AK448" s="43" t="s">
        <v>644</v>
      </c>
      <c r="AL448" s="43"/>
      <c r="AM448" s="44">
        <f t="shared" si="43"/>
        <v>-2.0012818558036707</v>
      </c>
      <c r="AN448" s="44">
        <f t="shared" si="44"/>
        <v>-0.82485641486383698</v>
      </c>
      <c r="AO448" s="45">
        <f t="shared" si="45"/>
        <v>0</v>
      </c>
      <c r="AP448" s="46">
        <f t="shared" si="46"/>
        <v>0</v>
      </c>
      <c r="AQ448" s="44">
        <f>($AM$3*AM448+$AN$3*AN448+$AO$3*AO448+$AP$3*AP448)+$I$3*VLOOKUP(I448,COND!$A$2:$E$7,4,FALSE)+$J$3*VLOOKUP(J448,COND!$A$2:$C$7,2,FALSE)+$K$3*VLOOKUP(K448,COND!$A$2:$C$7,3,FALSE)+IF(AND($B$2&gt;0,$E448&lt;20),$B$2*25,0)</f>
        <v>39.601594836053593</v>
      </c>
      <c r="AR448" s="47">
        <f t="shared" si="47"/>
        <v>-1.0044080834226117</v>
      </c>
      <c r="AS448" s="45" t="str">
        <f t="shared" si="48"/>
        <v>RF</v>
      </c>
      <c r="AT448" s="45">
        <f>RANK(Batters[[#This Row],[zScore]],Batters[[#All],[zScore]])</f>
        <v>444</v>
      </c>
      <c r="AU448" s="45"/>
      <c r="AV448" s="45"/>
      <c r="AW448" s="45" t="str">
        <f t="shared" si="49"/>
        <v>Unlikely</v>
      </c>
      <c r="AX448" s="45"/>
      <c r="AY448" s="64" t="str">
        <f>INDEX(Table5[[#All],[Ovr]],MATCH(Batters[[#This Row],[PID]],Table5[[#All],[PID]],0))</f>
        <v/>
      </c>
      <c r="AZ448" s="64" t="str">
        <f>INDEX(Table5[[#All],[Rnd]],MATCH(Batters[[#This Row],[PID]],Table5[[#All],[PID]],0))</f>
        <v/>
      </c>
      <c r="BA448" s="64" t="str">
        <f>INDEX(Table5[[#All],[Pick]],MATCH(Batters[[#This Row],[PID]],Table5[[#All],[PID]],0))</f>
        <v/>
      </c>
      <c r="BB448" s="64" t="str">
        <f>INDEX(Table5[[#All],[Team]],MATCH(Batters[[#This Row],[PID]],Table5[[#All],[PID]],0))</f>
        <v/>
      </c>
    </row>
    <row r="449" spans="1:54" ht="15" customHeight="1" x14ac:dyDescent="0.25">
      <c r="A449" s="40">
        <v>17570</v>
      </c>
      <c r="B449" s="40" t="s">
        <v>74</v>
      </c>
      <c r="C449" s="40" t="s">
        <v>293</v>
      </c>
      <c r="D449" s="40" t="s">
        <v>1686</v>
      </c>
      <c r="E449" s="40">
        <v>18</v>
      </c>
      <c r="F449" s="40" t="s">
        <v>42</v>
      </c>
      <c r="G449" s="40" t="s">
        <v>42</v>
      </c>
      <c r="H449" s="41" t="s">
        <v>639</v>
      </c>
      <c r="I449" s="65" t="s">
        <v>44</v>
      </c>
      <c r="J449" s="66" t="s">
        <v>44</v>
      </c>
      <c r="K449" s="67" t="s">
        <v>43</v>
      </c>
      <c r="L449" s="40">
        <v>1</v>
      </c>
      <c r="M449" s="40">
        <v>1</v>
      </c>
      <c r="N449" s="40">
        <v>2</v>
      </c>
      <c r="O449" s="40">
        <v>1</v>
      </c>
      <c r="P449" s="41">
        <v>1</v>
      </c>
      <c r="Q449" s="40">
        <v>3</v>
      </c>
      <c r="R449" s="40">
        <v>4</v>
      </c>
      <c r="S449" s="40">
        <v>2</v>
      </c>
      <c r="T449" s="40">
        <v>4</v>
      </c>
      <c r="U449" s="41">
        <v>4</v>
      </c>
      <c r="V449" s="40">
        <v>2</v>
      </c>
      <c r="W449" s="40">
        <v>5</v>
      </c>
      <c r="X449" s="40">
        <v>1</v>
      </c>
      <c r="Y449" s="41">
        <v>1</v>
      </c>
      <c r="Z449" s="40" t="s">
        <v>45</v>
      </c>
      <c r="AA449" s="40" t="s">
        <v>45</v>
      </c>
      <c r="AB449" s="40" t="s">
        <v>45</v>
      </c>
      <c r="AC449" s="40" t="s">
        <v>45</v>
      </c>
      <c r="AD449" s="40" t="s">
        <v>45</v>
      </c>
      <c r="AE449" s="40" t="s">
        <v>45</v>
      </c>
      <c r="AF449" s="40">
        <v>1</v>
      </c>
      <c r="AG449" s="41">
        <v>2</v>
      </c>
      <c r="AH449" s="40">
        <v>7</v>
      </c>
      <c r="AI449" s="40">
        <v>3</v>
      </c>
      <c r="AJ449" s="41">
        <v>1</v>
      </c>
      <c r="AK449" s="43" t="s">
        <v>644</v>
      </c>
      <c r="AL449" s="43"/>
      <c r="AM449" s="44">
        <f t="shared" si="43"/>
        <v>-2.0012818558036707</v>
      </c>
      <c r="AN449" s="44">
        <f t="shared" si="44"/>
        <v>-0.813812875062217</v>
      </c>
      <c r="AO449" s="45">
        <f t="shared" si="45"/>
        <v>0</v>
      </c>
      <c r="AP449" s="46">
        <f t="shared" si="46"/>
        <v>0</v>
      </c>
      <c r="AQ449" s="44">
        <f>($AM$3*AM449+$AN$3*AN449+$AO$3*AO449+$AP$3*AP449)+$I$3*VLOOKUP(I449,COND!$A$2:$E$7,4,FALSE)+$J$3*VLOOKUP(J449,COND!$A$2:$C$7,2,FALSE)+$K$3*VLOOKUP(K449,COND!$A$2:$C$7,3,FALSE)+IF(AND($B$2&gt;0,$E449&lt;20),$B$2*25,0)</f>
        <v>39.584117313673026</v>
      </c>
      <c r="AR449" s="47">
        <f t="shared" si="47"/>
        <v>-1.0082829682714705</v>
      </c>
      <c r="AS449" s="45" t="str">
        <f t="shared" si="48"/>
        <v>DH</v>
      </c>
      <c r="AT449" s="45">
        <f>RANK(Batters[[#This Row],[zScore]],Batters[[#All],[zScore]])</f>
        <v>445</v>
      </c>
      <c r="AU449" s="45"/>
      <c r="AV449" s="45"/>
      <c r="AW449" s="45" t="str">
        <f t="shared" si="49"/>
        <v>Unlikely</v>
      </c>
      <c r="AX449" s="45"/>
      <c r="AY449" s="64" t="str">
        <f>INDEX(Table5[[#All],[Ovr]],MATCH(Batters[[#This Row],[PID]],Table5[[#All],[PID]],0))</f>
        <v/>
      </c>
      <c r="AZ449" s="64" t="str">
        <f>INDEX(Table5[[#All],[Rnd]],MATCH(Batters[[#This Row],[PID]],Table5[[#All],[PID]],0))</f>
        <v/>
      </c>
      <c r="BA449" s="64" t="str">
        <f>INDEX(Table5[[#All],[Pick]],MATCH(Batters[[#This Row],[PID]],Table5[[#All],[PID]],0))</f>
        <v/>
      </c>
      <c r="BB449" s="64" t="str">
        <f>INDEX(Table5[[#All],[Team]],MATCH(Batters[[#This Row],[PID]],Table5[[#All],[PID]],0))</f>
        <v/>
      </c>
    </row>
    <row r="450" spans="1:54" ht="15" customHeight="1" x14ac:dyDescent="0.25">
      <c r="A450" s="40">
        <v>18115</v>
      </c>
      <c r="B450" s="40" t="s">
        <v>50</v>
      </c>
      <c r="C450" s="40" t="s">
        <v>353</v>
      </c>
      <c r="D450" s="40" t="s">
        <v>161</v>
      </c>
      <c r="E450" s="40">
        <v>21</v>
      </c>
      <c r="F450" s="40" t="s">
        <v>53</v>
      </c>
      <c r="G450" s="40" t="s">
        <v>53</v>
      </c>
      <c r="H450" s="41" t="s">
        <v>638</v>
      </c>
      <c r="I450" s="65" t="s">
        <v>43</v>
      </c>
      <c r="J450" s="66" t="s">
        <v>43</v>
      </c>
      <c r="K450" s="67" t="s">
        <v>43</v>
      </c>
      <c r="L450" s="40">
        <v>2</v>
      </c>
      <c r="M450" s="40">
        <v>2</v>
      </c>
      <c r="N450" s="40">
        <v>3</v>
      </c>
      <c r="O450" s="40">
        <v>4</v>
      </c>
      <c r="P450" s="41">
        <v>1</v>
      </c>
      <c r="Q450" s="40">
        <v>3</v>
      </c>
      <c r="R450" s="40">
        <v>5</v>
      </c>
      <c r="S450" s="40">
        <v>5</v>
      </c>
      <c r="T450" s="40">
        <v>5</v>
      </c>
      <c r="U450" s="41">
        <v>3</v>
      </c>
      <c r="V450" s="40">
        <v>5</v>
      </c>
      <c r="W450" s="40">
        <v>6</v>
      </c>
      <c r="X450" s="40">
        <v>1</v>
      </c>
      <c r="Y450" s="41">
        <v>1</v>
      </c>
      <c r="Z450" s="40" t="s">
        <v>45</v>
      </c>
      <c r="AA450" s="40" t="s">
        <v>45</v>
      </c>
      <c r="AB450" s="40" t="s">
        <v>45</v>
      </c>
      <c r="AC450" s="40" t="s">
        <v>45</v>
      </c>
      <c r="AD450" s="40" t="s">
        <v>45</v>
      </c>
      <c r="AE450" s="40">
        <v>1</v>
      </c>
      <c r="AF450" s="40" t="s">
        <v>45</v>
      </c>
      <c r="AG450" s="41" t="s">
        <v>45</v>
      </c>
      <c r="AH450" s="40">
        <v>4</v>
      </c>
      <c r="AI450" s="40">
        <v>7</v>
      </c>
      <c r="AJ450" s="41">
        <v>7</v>
      </c>
      <c r="AK450" s="43" t="s">
        <v>45</v>
      </c>
      <c r="AL450" s="43"/>
      <c r="AM450" s="44">
        <f t="shared" si="43"/>
        <v>-1.2754759959296478</v>
      </c>
      <c r="AN450" s="44">
        <f t="shared" si="44"/>
        <v>-0.46387530317931153</v>
      </c>
      <c r="AO450" s="45">
        <f t="shared" si="45"/>
        <v>1</v>
      </c>
      <c r="AP450" s="46">
        <f t="shared" si="46"/>
        <v>0</v>
      </c>
      <c r="AQ450" s="44">
        <f>($AM$3*AM450+$AN$3*AN450+$AO$3*AO450+$AP$3*AP450)+$I$3*VLOOKUP(I450,COND!$A$2:$E$7,4,FALSE)+$J$3*VLOOKUP(J450,COND!$A$2:$C$7,2,FALSE)+$K$3*VLOOKUP(K450,COND!$A$2:$C$7,3,FALSE)+IF(AND($B$2&gt;0,$E450&lt;20),$B$2*25,0)</f>
        <v>39.472615428921962</v>
      </c>
      <c r="AR450" s="47">
        <f t="shared" si="47"/>
        <v>-1.033003689803575</v>
      </c>
      <c r="AS450" s="45" t="str">
        <f t="shared" si="48"/>
        <v>LF</v>
      </c>
      <c r="AT450" s="45">
        <f>RANK(Batters[[#This Row],[zScore]],Batters[[#All],[zScore]])</f>
        <v>446</v>
      </c>
      <c r="AU450" s="45"/>
      <c r="AV450" s="45"/>
      <c r="AW450" s="45" t="str">
        <f t="shared" si="49"/>
        <v>Unlikely</v>
      </c>
      <c r="AX450" s="45"/>
      <c r="AY450" s="64">
        <f>INDEX(Table5[[#All],[Ovr]],MATCH(Batters[[#This Row],[PID]],Table5[[#All],[PID]],0))</f>
        <v>494</v>
      </c>
      <c r="AZ450" s="64" t="str">
        <f>INDEX(Table5[[#All],[Rnd]],MATCH(Batters[[#This Row],[PID]],Table5[[#All],[PID]],0))</f>
        <v>17</v>
      </c>
      <c r="BA450" s="64">
        <f>INDEX(Table5[[#All],[Pick]],MATCH(Batters[[#This Row],[PID]],Table5[[#All],[PID]],0))</f>
        <v>6</v>
      </c>
      <c r="BB450" s="64" t="str">
        <f>INDEX(Table5[[#All],[Team]],MATCH(Batters[[#This Row],[PID]],Table5[[#All],[PID]],0))</f>
        <v>Manchester Maulers</v>
      </c>
    </row>
    <row r="451" spans="1:54" ht="15" customHeight="1" x14ac:dyDescent="0.25">
      <c r="A451" s="40">
        <v>13320</v>
      </c>
      <c r="B451" s="40" t="s">
        <v>74</v>
      </c>
      <c r="C451" s="40" t="s">
        <v>1570</v>
      </c>
      <c r="D451" s="40" t="s">
        <v>1571</v>
      </c>
      <c r="E451" s="40">
        <v>21</v>
      </c>
      <c r="F451" s="40" t="s">
        <v>42</v>
      </c>
      <c r="G451" s="40" t="s">
        <v>42</v>
      </c>
      <c r="H451" s="41" t="s">
        <v>638</v>
      </c>
      <c r="I451" s="65" t="s">
        <v>43</v>
      </c>
      <c r="J451" s="66" t="s">
        <v>44</v>
      </c>
      <c r="K451" s="67" t="s">
        <v>43</v>
      </c>
      <c r="L451" s="40">
        <v>2</v>
      </c>
      <c r="M451" s="40">
        <v>2</v>
      </c>
      <c r="N451" s="40">
        <v>2</v>
      </c>
      <c r="O451" s="40">
        <v>2</v>
      </c>
      <c r="P451" s="41">
        <v>4</v>
      </c>
      <c r="Q451" s="40">
        <v>4</v>
      </c>
      <c r="R451" s="40">
        <v>3</v>
      </c>
      <c r="S451" s="40">
        <v>2</v>
      </c>
      <c r="T451" s="40">
        <v>4</v>
      </c>
      <c r="U451" s="41">
        <v>5</v>
      </c>
      <c r="V451" s="40">
        <v>3</v>
      </c>
      <c r="W451" s="40">
        <v>6</v>
      </c>
      <c r="X451" s="40">
        <v>1</v>
      </c>
      <c r="Y451" s="41">
        <v>1</v>
      </c>
      <c r="Z451" s="40" t="s">
        <v>45</v>
      </c>
      <c r="AA451" s="40" t="s">
        <v>45</v>
      </c>
      <c r="AB451" s="40">
        <v>1</v>
      </c>
      <c r="AC451" s="40" t="s">
        <v>45</v>
      </c>
      <c r="AD451" s="40" t="s">
        <v>45</v>
      </c>
      <c r="AE451" s="40" t="s">
        <v>45</v>
      </c>
      <c r="AF451" s="40">
        <v>5</v>
      </c>
      <c r="AG451" s="41" t="s">
        <v>45</v>
      </c>
      <c r="AH451" s="40">
        <v>8</v>
      </c>
      <c r="AI451" s="40">
        <v>3</v>
      </c>
      <c r="AJ451" s="41">
        <v>3</v>
      </c>
      <c r="AK451" s="43" t="s">
        <v>45</v>
      </c>
      <c r="AL451" s="43" t="s">
        <v>47</v>
      </c>
      <c r="AM451" s="44">
        <f t="shared" si="43"/>
        <v>-1.417907570521461</v>
      </c>
      <c r="AN451" s="44">
        <f t="shared" si="44"/>
        <v>-0.5023005786611624</v>
      </c>
      <c r="AO451" s="45">
        <f t="shared" si="45"/>
        <v>1</v>
      </c>
      <c r="AP451" s="46">
        <f t="shared" si="46"/>
        <v>0.75</v>
      </c>
      <c r="AQ451" s="44">
        <f>($AM$3*AM451+$AN$3*AN451+$AO$3*AO451+$AP$3*AP451)+$I$3*VLOOKUP(I451,COND!$A$2:$E$7,4,FALSE)+$J$3*VLOOKUP(J451,COND!$A$2:$C$7,2,FALSE)+$K$3*VLOOKUP(K451,COND!$A$2:$C$7,3,FALSE)+IF(AND($B$2&gt;0,$E451&lt;20),$B$2*25,0)</f>
        <v>39.447268965680571</v>
      </c>
      <c r="AR451" s="47">
        <f t="shared" si="47"/>
        <v>-1.0386231720303827</v>
      </c>
      <c r="AS451" s="45" t="str">
        <f t="shared" si="48"/>
        <v>2B</v>
      </c>
      <c r="AT451" s="45">
        <f>RANK(Batters[[#This Row],[zScore]],Batters[[#All],[zScore]])</f>
        <v>447</v>
      </c>
      <c r="AU451" s="45"/>
      <c r="AV451" s="45"/>
      <c r="AW451" s="45" t="str">
        <f t="shared" si="49"/>
        <v>Unlikely</v>
      </c>
      <c r="AX451" s="45"/>
      <c r="AY451" s="45" t="str">
        <f>INDEX(Table5[[#All],[Ovr]],MATCH(Batters[[#This Row],[PID]],Table5[[#All],[PID]],0))</f>
        <v/>
      </c>
      <c r="AZ451" s="45" t="str">
        <f>INDEX(Table5[[#All],[Rnd]],MATCH(Batters[[#This Row],[PID]],Table5[[#All],[PID]],0))</f>
        <v/>
      </c>
      <c r="BA451" s="45" t="str">
        <f>INDEX(Table5[[#All],[Pick]],MATCH(Batters[[#This Row],[PID]],Table5[[#All],[PID]],0))</f>
        <v/>
      </c>
      <c r="BB451" s="45" t="str">
        <f>INDEX(Table5[[#All],[Team]],MATCH(Batters[[#This Row],[PID]],Table5[[#All],[PID]],0))</f>
        <v/>
      </c>
    </row>
    <row r="452" spans="1:54" ht="15" customHeight="1" x14ac:dyDescent="0.25">
      <c r="A452" s="40">
        <v>20940</v>
      </c>
      <c r="B452" s="40" t="s">
        <v>87</v>
      </c>
      <c r="C452" s="40" t="s">
        <v>702</v>
      </c>
      <c r="D452" s="40" t="s">
        <v>1748</v>
      </c>
      <c r="E452" s="40">
        <v>18</v>
      </c>
      <c r="F452" s="40" t="s">
        <v>53</v>
      </c>
      <c r="G452" s="40" t="s">
        <v>42</v>
      </c>
      <c r="H452" s="41" t="s">
        <v>647</v>
      </c>
      <c r="I452" s="65" t="s">
        <v>43</v>
      </c>
      <c r="J452" s="66" t="s">
        <v>47</v>
      </c>
      <c r="K452" s="67" t="s">
        <v>47</v>
      </c>
      <c r="L452" s="40">
        <v>1</v>
      </c>
      <c r="M452" s="40">
        <v>2</v>
      </c>
      <c r="N452" s="40">
        <v>2</v>
      </c>
      <c r="O452" s="40">
        <v>2</v>
      </c>
      <c r="P452" s="41">
        <v>1</v>
      </c>
      <c r="Q452" s="40">
        <v>2</v>
      </c>
      <c r="R452" s="40">
        <v>4</v>
      </c>
      <c r="S452" s="40">
        <v>3</v>
      </c>
      <c r="T452" s="40">
        <v>6</v>
      </c>
      <c r="U452" s="41">
        <v>3</v>
      </c>
      <c r="V452" s="40">
        <v>3</v>
      </c>
      <c r="W452" s="40">
        <v>2</v>
      </c>
      <c r="X452" s="40">
        <v>1</v>
      </c>
      <c r="Y452" s="41">
        <v>1</v>
      </c>
      <c r="Z452" s="40" t="s">
        <v>45</v>
      </c>
      <c r="AA452" s="40">
        <v>2</v>
      </c>
      <c r="AB452" s="40" t="s">
        <v>45</v>
      </c>
      <c r="AC452" s="40" t="s">
        <v>45</v>
      </c>
      <c r="AD452" s="40" t="s">
        <v>45</v>
      </c>
      <c r="AE452" s="40" t="s">
        <v>45</v>
      </c>
      <c r="AF452" s="40" t="s">
        <v>45</v>
      </c>
      <c r="AG452" s="41" t="s">
        <v>45</v>
      </c>
      <c r="AH452" s="40">
        <v>2</v>
      </c>
      <c r="AI452" s="40">
        <v>3</v>
      </c>
      <c r="AJ452" s="41">
        <v>2</v>
      </c>
      <c r="AK452" s="43" t="s">
        <v>644</v>
      </c>
      <c r="AL452" s="43"/>
      <c r="AM452" s="44">
        <f t="shared" si="43"/>
        <v>-1.8605124261753858</v>
      </c>
      <c r="AN452" s="44">
        <f t="shared" si="44"/>
        <v>-0.91390445703891177</v>
      </c>
      <c r="AO452" s="45">
        <f t="shared" si="45"/>
        <v>0</v>
      </c>
      <c r="AP452" s="46">
        <f t="shared" si="46"/>
        <v>0</v>
      </c>
      <c r="AQ452" s="44">
        <f>($AM$3*AM452+$AN$3*AN452+$AO$3*AO452+$AP$3*AP452)+$I$3*VLOOKUP(I452,COND!$A$2:$E$7,4,FALSE)+$J$3*VLOOKUP(J452,COND!$A$2:$C$7,2,FALSE)+$K$3*VLOOKUP(K452,COND!$A$2:$C$7,3,FALSE)+IF(AND($B$2&gt;0,$E452&lt;20),$B$2*25,0)</f>
        <v>39.447095272915519</v>
      </c>
      <c r="AR452" s="47">
        <f t="shared" si="47"/>
        <v>-1.038661680890449</v>
      </c>
      <c r="AS452" s="45" t="str">
        <f t="shared" si="48"/>
        <v>1B</v>
      </c>
      <c r="AT452" s="45">
        <f>RANK(Batters[[#This Row],[zScore]],Batters[[#All],[zScore]])</f>
        <v>448</v>
      </c>
      <c r="AU452" s="45"/>
      <c r="AV452" s="45"/>
      <c r="AW452" s="45" t="str">
        <f t="shared" si="49"/>
        <v>Unlikely</v>
      </c>
      <c r="AX452" s="45"/>
      <c r="AY452" s="64" t="str">
        <f>INDEX(Table5[[#All],[Ovr]],MATCH(Batters[[#This Row],[PID]],Table5[[#All],[PID]],0))</f>
        <v/>
      </c>
      <c r="AZ452" s="64" t="str">
        <f>INDEX(Table5[[#All],[Rnd]],MATCH(Batters[[#This Row],[PID]],Table5[[#All],[PID]],0))</f>
        <v/>
      </c>
      <c r="BA452" s="64" t="str">
        <f>INDEX(Table5[[#All],[Pick]],MATCH(Batters[[#This Row],[PID]],Table5[[#All],[PID]],0))</f>
        <v/>
      </c>
      <c r="BB452" s="64" t="str">
        <f>INDEX(Table5[[#All],[Team]],MATCH(Batters[[#This Row],[PID]],Table5[[#All],[PID]],0))</f>
        <v/>
      </c>
    </row>
    <row r="453" spans="1:54" ht="15" customHeight="1" x14ac:dyDescent="0.25">
      <c r="A453" s="40">
        <v>20717</v>
      </c>
      <c r="B453" s="40" t="s">
        <v>87</v>
      </c>
      <c r="C453" s="40" t="s">
        <v>146</v>
      </c>
      <c r="D453" s="40" t="s">
        <v>194</v>
      </c>
      <c r="E453" s="40">
        <v>18</v>
      </c>
      <c r="F453" s="40" t="s">
        <v>42</v>
      </c>
      <c r="G453" s="40" t="s">
        <v>42</v>
      </c>
      <c r="H453" s="41" t="s">
        <v>639</v>
      </c>
      <c r="I453" s="65" t="s">
        <v>43</v>
      </c>
      <c r="J453" s="66" t="s">
        <v>43</v>
      </c>
      <c r="K453" s="67" t="s">
        <v>43</v>
      </c>
      <c r="L453" s="40">
        <v>1</v>
      </c>
      <c r="M453" s="40">
        <v>2</v>
      </c>
      <c r="N453" s="40">
        <v>2</v>
      </c>
      <c r="O453" s="40">
        <v>1</v>
      </c>
      <c r="P453" s="41">
        <v>1</v>
      </c>
      <c r="Q453" s="40">
        <v>3</v>
      </c>
      <c r="R453" s="40">
        <v>3</v>
      </c>
      <c r="S453" s="40">
        <v>2</v>
      </c>
      <c r="T453" s="40">
        <v>4</v>
      </c>
      <c r="U453" s="41">
        <v>4</v>
      </c>
      <c r="V453" s="40">
        <v>6</v>
      </c>
      <c r="W453" s="40">
        <v>6</v>
      </c>
      <c r="X453" s="40">
        <v>1</v>
      </c>
      <c r="Y453" s="41">
        <v>1</v>
      </c>
      <c r="Z453" s="40" t="s">
        <v>45</v>
      </c>
      <c r="AA453" s="40">
        <v>2</v>
      </c>
      <c r="AB453" s="40" t="s">
        <v>45</v>
      </c>
      <c r="AC453" s="40">
        <v>1</v>
      </c>
      <c r="AD453" s="40" t="s">
        <v>45</v>
      </c>
      <c r="AE453" s="40" t="s">
        <v>45</v>
      </c>
      <c r="AF453" s="40" t="s">
        <v>45</v>
      </c>
      <c r="AG453" s="41" t="s">
        <v>45</v>
      </c>
      <c r="AH453" s="40">
        <v>4</v>
      </c>
      <c r="AI453" s="40">
        <v>4</v>
      </c>
      <c r="AJ453" s="41">
        <v>3</v>
      </c>
      <c r="AK453" s="43" t="s">
        <v>644</v>
      </c>
      <c r="AL453" s="43"/>
      <c r="AM453" s="44">
        <f t="shared" ref="AM453:AM516" si="50">($L$3*(L453-$Q$1)/$Q$2+$M$3*(M453-$R$1)/$R$2+$N$3*(N453-$S$1)/$S$2+$O$3*(O453-$T$1)/$T$2+$P$3*(P453-$U$1)/$U$2)/(SUM($L$3:$P$3))</f>
        <v>-1.9502219761849671</v>
      </c>
      <c r="AN453" s="44">
        <f t="shared" ref="AN453:AN516" si="51">($L$3*(Q453-$Q$1)/$Q$2+$M$3*(R453-$R$1)/$R$2+$N$3*(S453-$S$1)/$S$2+$O$3*(T453-$T$1)/$T$2+$P$3*(U453-$U$1)/$U$2)/(SUM($L$3:$P$3))</f>
        <v>-0.8648727546809204</v>
      </c>
      <c r="AO453" s="45">
        <f t="shared" ref="AO453:AO516" si="52">IF(AVERAGE(AH453:AI453)&gt;9,1,0)+IF(AVERAGE(AH453:AI453)&gt;7,1,0)+IF(AH453&gt;7,1,0)+IF(AI453&gt;7,1,0)+IF(AJ453&gt;8,1,0)+IF(AJ453&gt;6,1,0)</f>
        <v>0</v>
      </c>
      <c r="AP453" s="46">
        <f t="shared" ref="AP453:AP516" si="53">MIN(2,IF(OR(Z453="-",X453&lt;5),0,1+IF(Y453&gt;7,0.35,IF(Y453&gt;5,0.1,0))+IF(Z453&gt;7,1+IF(X453&gt;7,0.25,0),IF(Z453&gt;4,0.5+IF(X453&gt;7,0.25,0),0+IF(X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0</v>
      </c>
      <c r="AQ453" s="44">
        <f>($AM$3*AM453+$AN$3*AN453+$AO$3*AO453+$AP$3*AP453)+$I$3*VLOOKUP(I453,COND!$A$2:$E$7,4,FALSE)+$J$3*VLOOKUP(J453,COND!$A$2:$C$7,2,FALSE)+$K$3*VLOOKUP(K453,COND!$A$2:$C$7,3,FALSE)+IF(AND($B$2&gt;0,$E453&lt;20),$B$2*25,0)</f>
        <v>39.426504746210455</v>
      </c>
      <c r="AR453" s="47">
        <f t="shared" ref="AR453:AR516" si="54">STANDARDIZE(AQ453,AVERAGE($AQ$5:$AQ$534),STDEVP($AQ$5:$AQ$534))</f>
        <v>-1.0432267398400052</v>
      </c>
      <c r="AS453" s="45" t="str">
        <f t="shared" ref="AS453:AS516" si="55">IF(AND(Z453&lt;&gt;"-",Y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1B</v>
      </c>
      <c r="AT453" s="45">
        <f>RANK(Batters[[#This Row],[zScore]],Batters[[#All],[zScore]])</f>
        <v>449</v>
      </c>
      <c r="AU453" s="45"/>
      <c r="AV453" s="45"/>
      <c r="AW453" s="45" t="str">
        <f t="shared" ref="AW453:AW516" si="56">IF(AND($Q453&gt;=6,AVERAGE($S453:$T453)&gt;=6),"Likely",IF(OR($Q453&gt;6,AND($Q453=6,AVERAGE($S453:$T453)&gt;=3),AND($Q453&gt;=5,AVERAGE($S453:$T453)&gt;=5),AVERAGE($Q453,$S453:$T453)&gt;5),"Possible","Unlikely"))</f>
        <v>Unlikely</v>
      </c>
      <c r="AX453" s="45"/>
      <c r="AY453" s="64" t="str">
        <f>INDEX(Table5[[#All],[Ovr]],MATCH(Batters[[#This Row],[PID]],Table5[[#All],[PID]],0))</f>
        <v/>
      </c>
      <c r="AZ453" s="64" t="str">
        <f>INDEX(Table5[[#All],[Rnd]],MATCH(Batters[[#This Row],[PID]],Table5[[#All],[PID]],0))</f>
        <v/>
      </c>
      <c r="BA453" s="64" t="str">
        <f>INDEX(Table5[[#All],[Pick]],MATCH(Batters[[#This Row],[PID]],Table5[[#All],[PID]],0))</f>
        <v/>
      </c>
      <c r="BB453" s="64" t="str">
        <f>INDEX(Table5[[#All],[Team]],MATCH(Batters[[#This Row],[PID]],Table5[[#All],[PID]],0))</f>
        <v/>
      </c>
    </row>
    <row r="454" spans="1:54" ht="15" customHeight="1" x14ac:dyDescent="0.25">
      <c r="A454" s="40">
        <v>18124</v>
      </c>
      <c r="B454" s="40" t="s">
        <v>86</v>
      </c>
      <c r="C454" s="40" t="s">
        <v>368</v>
      </c>
      <c r="D454" s="40" t="s">
        <v>1323</v>
      </c>
      <c r="E454" s="40">
        <v>21</v>
      </c>
      <c r="F454" s="40" t="s">
        <v>62</v>
      </c>
      <c r="G454" s="40" t="s">
        <v>42</v>
      </c>
      <c r="H454" s="41" t="s">
        <v>634</v>
      </c>
      <c r="I454" s="65" t="s">
        <v>44</v>
      </c>
      <c r="J454" s="66" t="s">
        <v>44</v>
      </c>
      <c r="K454" s="67" t="s">
        <v>44</v>
      </c>
      <c r="L454" s="40">
        <v>2</v>
      </c>
      <c r="M454" s="40">
        <v>3</v>
      </c>
      <c r="N454" s="40">
        <v>3</v>
      </c>
      <c r="O454" s="40">
        <v>3</v>
      </c>
      <c r="P454" s="41">
        <v>1</v>
      </c>
      <c r="Q454" s="40">
        <v>3</v>
      </c>
      <c r="R454" s="40">
        <v>3</v>
      </c>
      <c r="S454" s="40">
        <v>6</v>
      </c>
      <c r="T454" s="40">
        <v>6</v>
      </c>
      <c r="U454" s="41">
        <v>3</v>
      </c>
      <c r="V454" s="40">
        <v>2</v>
      </c>
      <c r="W454" s="40">
        <v>2</v>
      </c>
      <c r="X454" s="40">
        <v>4</v>
      </c>
      <c r="Y454" s="41">
        <v>8</v>
      </c>
      <c r="Z454" s="40">
        <v>2</v>
      </c>
      <c r="AA454" s="40" t="s">
        <v>45</v>
      </c>
      <c r="AB454" s="40" t="s">
        <v>45</v>
      </c>
      <c r="AC454" s="40" t="s">
        <v>45</v>
      </c>
      <c r="AD454" s="40" t="s">
        <v>45</v>
      </c>
      <c r="AE454" s="40" t="s">
        <v>45</v>
      </c>
      <c r="AF454" s="40" t="s">
        <v>45</v>
      </c>
      <c r="AG454" s="41" t="s">
        <v>45</v>
      </c>
      <c r="AH454" s="40">
        <v>1</v>
      </c>
      <c r="AI454" s="40">
        <v>1</v>
      </c>
      <c r="AJ454" s="41">
        <v>2</v>
      </c>
      <c r="AK454" s="43" t="s">
        <v>643</v>
      </c>
      <c r="AL454" s="43" t="s">
        <v>47</v>
      </c>
      <c r="AM454" s="44">
        <f t="shared" si="50"/>
        <v>-1.3141256663205254</v>
      </c>
      <c r="AN454" s="44">
        <f t="shared" si="51"/>
        <v>-0.39322401838323595</v>
      </c>
      <c r="AO454" s="45">
        <f t="shared" si="52"/>
        <v>0</v>
      </c>
      <c r="AP454" s="46">
        <f t="shared" si="53"/>
        <v>0</v>
      </c>
      <c r="AQ454" s="44">
        <f>($AM$3*AM454+$AN$3*AN454+$AO$3*AO454+$AP$3*AP454)+$I$3*VLOOKUP(I454,COND!$A$2:$E$7,4,FALSE)+$J$3*VLOOKUP(J454,COND!$A$2:$C$7,2,FALSE)+$K$3*VLOOKUP(K454,COND!$A$2:$C$7,3,FALSE)+IF(AND($B$2&gt;0,$E454&lt;20),$B$2*25,0)</f>
        <v>39.399899212769114</v>
      </c>
      <c r="AR454" s="47">
        <f t="shared" si="54"/>
        <v>-1.0491253664406666</v>
      </c>
      <c r="AS454" s="45" t="str">
        <f t="shared" si="55"/>
        <v>C</v>
      </c>
      <c r="AT454" s="45">
        <f>RANK(Batters[[#This Row],[zScore]],Batters[[#All],[zScore]])</f>
        <v>450</v>
      </c>
      <c r="AU454" s="45"/>
      <c r="AV454" s="45"/>
      <c r="AW454" s="45" t="str">
        <f t="shared" si="56"/>
        <v>Unlikely</v>
      </c>
      <c r="AX454" s="45"/>
      <c r="AY454" s="45">
        <f>INDEX(Table5[[#All],[Ovr]],MATCH(Batters[[#This Row],[PID]],Table5[[#All],[PID]],0))</f>
        <v>416</v>
      </c>
      <c r="AZ454" s="45" t="str">
        <f>INDEX(Table5[[#All],[Rnd]],MATCH(Batters[[#This Row],[PID]],Table5[[#All],[PID]],0))</f>
        <v>14</v>
      </c>
      <c r="BA454" s="45">
        <f>INDEX(Table5[[#All],[Pick]],MATCH(Batters[[#This Row],[PID]],Table5[[#All],[PID]],0))</f>
        <v>18</v>
      </c>
      <c r="BB454" s="45" t="str">
        <f>INDEX(Table5[[#All],[Team]],MATCH(Batters[[#This Row],[PID]],Table5[[#All],[PID]],0))</f>
        <v>Bakersfield Bears</v>
      </c>
    </row>
    <row r="455" spans="1:54" ht="15" customHeight="1" x14ac:dyDescent="0.25">
      <c r="A455" s="40">
        <v>20797</v>
      </c>
      <c r="B455" s="40" t="s">
        <v>72</v>
      </c>
      <c r="C455" s="40" t="s">
        <v>336</v>
      </c>
      <c r="D455" s="40" t="s">
        <v>1533</v>
      </c>
      <c r="E455" s="40">
        <v>18</v>
      </c>
      <c r="F455" s="40" t="s">
        <v>53</v>
      </c>
      <c r="G455" s="40" t="s">
        <v>42</v>
      </c>
      <c r="H455" s="41" t="s">
        <v>638</v>
      </c>
      <c r="I455" s="65" t="s">
        <v>43</v>
      </c>
      <c r="J455" s="66" t="s">
        <v>44</v>
      </c>
      <c r="K455" s="67" t="s">
        <v>44</v>
      </c>
      <c r="L455" s="40">
        <v>1</v>
      </c>
      <c r="M455" s="40">
        <v>1</v>
      </c>
      <c r="N455" s="40">
        <v>2</v>
      </c>
      <c r="O455" s="40">
        <v>2</v>
      </c>
      <c r="P455" s="41">
        <v>1</v>
      </c>
      <c r="Q455" s="40">
        <v>3</v>
      </c>
      <c r="R455" s="40">
        <v>2</v>
      </c>
      <c r="S455" s="40">
        <v>2</v>
      </c>
      <c r="T455" s="40">
        <v>5</v>
      </c>
      <c r="U455" s="41">
        <v>4</v>
      </c>
      <c r="V455" s="40">
        <v>8</v>
      </c>
      <c r="W455" s="40">
        <v>7</v>
      </c>
      <c r="X455" s="40">
        <v>1</v>
      </c>
      <c r="Y455" s="41">
        <v>1</v>
      </c>
      <c r="Z455" s="40" t="s">
        <v>45</v>
      </c>
      <c r="AA455" s="40" t="s">
        <v>45</v>
      </c>
      <c r="AB455" s="40">
        <v>2</v>
      </c>
      <c r="AC455" s="40">
        <v>1</v>
      </c>
      <c r="AD455" s="40">
        <v>2</v>
      </c>
      <c r="AE455" s="40">
        <v>1</v>
      </c>
      <c r="AF455" s="40">
        <v>2</v>
      </c>
      <c r="AG455" s="41" t="s">
        <v>45</v>
      </c>
      <c r="AH455" s="40">
        <v>7</v>
      </c>
      <c r="AI455" s="40">
        <v>2</v>
      </c>
      <c r="AJ455" s="41">
        <v>1</v>
      </c>
      <c r="AK455" s="43" t="s">
        <v>644</v>
      </c>
      <c r="AL455" s="43" t="s">
        <v>635</v>
      </c>
      <c r="AM455" s="44">
        <f t="shared" si="50"/>
        <v>-1.9115723057940897</v>
      </c>
      <c r="AN455" s="44">
        <f t="shared" si="51"/>
        <v>-0.8262230842900431</v>
      </c>
      <c r="AO455" s="45">
        <f t="shared" si="52"/>
        <v>0</v>
      </c>
      <c r="AP455" s="46">
        <f t="shared" si="53"/>
        <v>0</v>
      </c>
      <c r="AQ455" s="44">
        <f>($AM$3*AM455+$AN$3*AN455+$AO$3*AO455+$AP$3*AP455)+$I$3*VLOOKUP(I455,COND!$A$2:$E$7,4,FALSE)+$J$3*VLOOKUP(J455,COND!$A$2:$C$7,2,FALSE)+$K$3*VLOOKUP(K455,COND!$A$2:$C$7,3,FALSE)+IF(AND($B$2&gt;0,$E455&lt;20),$B$2*25,0)</f>
        <v>39.294165757940078</v>
      </c>
      <c r="AR455" s="47">
        <f t="shared" si="54"/>
        <v>-1.0725671880680898</v>
      </c>
      <c r="AS455" s="45" t="str">
        <f t="shared" si="55"/>
        <v>2B</v>
      </c>
      <c r="AT455" s="45">
        <f>RANK(Batters[[#This Row],[zScore]],Batters[[#All],[zScore]])</f>
        <v>451</v>
      </c>
      <c r="AU455" s="45"/>
      <c r="AV455" s="45"/>
      <c r="AW455" s="45" t="str">
        <f t="shared" si="56"/>
        <v>Unlikely</v>
      </c>
      <c r="AX455" s="45"/>
      <c r="AY455" s="45" t="str">
        <f>INDEX(Table5[[#All],[Ovr]],MATCH(Batters[[#This Row],[PID]],Table5[[#All],[PID]],0))</f>
        <v/>
      </c>
      <c r="AZ455" s="45" t="str">
        <f>INDEX(Table5[[#All],[Rnd]],MATCH(Batters[[#This Row],[PID]],Table5[[#All],[PID]],0))</f>
        <v/>
      </c>
      <c r="BA455" s="45" t="str">
        <f>INDEX(Table5[[#All],[Pick]],MATCH(Batters[[#This Row],[PID]],Table5[[#All],[PID]],0))</f>
        <v/>
      </c>
      <c r="BB455" s="45" t="str">
        <f>INDEX(Table5[[#All],[Team]],MATCH(Batters[[#This Row],[PID]],Table5[[#All],[PID]],0))</f>
        <v/>
      </c>
    </row>
    <row r="456" spans="1:54" ht="15" customHeight="1" x14ac:dyDescent="0.25">
      <c r="A456" s="40">
        <v>21049</v>
      </c>
      <c r="B456" s="40" t="s">
        <v>71</v>
      </c>
      <c r="C456" s="40" t="s">
        <v>1454</v>
      </c>
      <c r="D456" s="40" t="s">
        <v>1455</v>
      </c>
      <c r="E456" s="40">
        <v>17</v>
      </c>
      <c r="F456" s="40" t="s">
        <v>62</v>
      </c>
      <c r="G456" s="40" t="s">
        <v>42</v>
      </c>
      <c r="H456" s="41" t="s">
        <v>638</v>
      </c>
      <c r="I456" s="65" t="s">
        <v>43</v>
      </c>
      <c r="J456" s="66" t="s">
        <v>43</v>
      </c>
      <c r="K456" s="67" t="s">
        <v>43</v>
      </c>
      <c r="L456" s="40">
        <v>1</v>
      </c>
      <c r="M456" s="40">
        <v>2</v>
      </c>
      <c r="N456" s="40">
        <v>2</v>
      </c>
      <c r="O456" s="40">
        <v>2</v>
      </c>
      <c r="P456" s="41">
        <v>1</v>
      </c>
      <c r="Q456" s="40">
        <v>2</v>
      </c>
      <c r="R456" s="40">
        <v>7</v>
      </c>
      <c r="S456" s="40">
        <v>2</v>
      </c>
      <c r="T456" s="40">
        <v>5</v>
      </c>
      <c r="U456" s="41">
        <v>4</v>
      </c>
      <c r="V456" s="40">
        <v>6</v>
      </c>
      <c r="W456" s="40">
        <v>9</v>
      </c>
      <c r="X456" s="40">
        <v>1</v>
      </c>
      <c r="Y456" s="41">
        <v>1</v>
      </c>
      <c r="Z456" s="40" t="s">
        <v>45</v>
      </c>
      <c r="AA456" s="40" t="s">
        <v>45</v>
      </c>
      <c r="AB456" s="40">
        <v>2</v>
      </c>
      <c r="AC456" s="40" t="s">
        <v>45</v>
      </c>
      <c r="AD456" s="40">
        <v>2</v>
      </c>
      <c r="AE456" s="40" t="s">
        <v>45</v>
      </c>
      <c r="AF456" s="40">
        <v>1</v>
      </c>
      <c r="AG456" s="41">
        <v>2</v>
      </c>
      <c r="AH456" s="40">
        <v>8</v>
      </c>
      <c r="AI456" s="40">
        <v>6</v>
      </c>
      <c r="AJ456" s="41">
        <v>5</v>
      </c>
      <c r="AK456" s="43" t="s">
        <v>644</v>
      </c>
      <c r="AL456" s="43" t="s">
        <v>635</v>
      </c>
      <c r="AM456" s="44">
        <f t="shared" si="50"/>
        <v>-1.8605124261753858</v>
      </c>
      <c r="AN456" s="44">
        <f t="shared" si="51"/>
        <v>-0.89347952239920025</v>
      </c>
      <c r="AO456" s="45">
        <f t="shared" si="52"/>
        <v>1</v>
      </c>
      <c r="AP456" s="46">
        <f t="shared" si="53"/>
        <v>0</v>
      </c>
      <c r="AQ456" s="44">
        <f>($AM$3*AM456+$AN$3*AN456+$AO$3*AO456+$AP$3*AP456)+$I$3*VLOOKUP(I456,COND!$A$2:$E$7,4,FALSE)+$J$3*VLOOKUP(J456,COND!$A$2:$C$7,2,FALSE)+$K$3*VLOOKUP(K456,COND!$A$2:$C$7,3,FALSE)+IF(AND($B$2&gt;0,$E456&lt;20),$B$2*25,0)</f>
        <v>39.258861155258728</v>
      </c>
      <c r="AR456" s="47">
        <f t="shared" si="54"/>
        <v>-1.0803944571195119</v>
      </c>
      <c r="AS456" s="45" t="str">
        <f t="shared" si="55"/>
        <v>2B</v>
      </c>
      <c r="AT456" s="45">
        <f>RANK(Batters[[#This Row],[zScore]],Batters[[#All],[zScore]])</f>
        <v>452</v>
      </c>
      <c r="AU456" s="45"/>
      <c r="AV456" s="45"/>
      <c r="AW456" s="45" t="str">
        <f t="shared" si="56"/>
        <v>Unlikely</v>
      </c>
      <c r="AX456" s="45"/>
      <c r="AY456" s="45" t="str">
        <f>INDEX(Table5[[#All],[Ovr]],MATCH(Batters[[#This Row],[PID]],Table5[[#All],[PID]],0))</f>
        <v/>
      </c>
      <c r="AZ456" s="45" t="str">
        <f>INDEX(Table5[[#All],[Rnd]],MATCH(Batters[[#This Row],[PID]],Table5[[#All],[PID]],0))</f>
        <v/>
      </c>
      <c r="BA456" s="45" t="str">
        <f>INDEX(Table5[[#All],[Pick]],MATCH(Batters[[#This Row],[PID]],Table5[[#All],[PID]],0))</f>
        <v/>
      </c>
      <c r="BB456" s="45" t="str">
        <f>INDEX(Table5[[#All],[Team]],MATCH(Batters[[#This Row],[PID]],Table5[[#All],[PID]],0))</f>
        <v/>
      </c>
    </row>
    <row r="457" spans="1:54" ht="15" customHeight="1" x14ac:dyDescent="0.25">
      <c r="A457" s="40">
        <v>20463</v>
      </c>
      <c r="B457" s="40" t="s">
        <v>86</v>
      </c>
      <c r="C457" s="40" t="s">
        <v>1560</v>
      </c>
      <c r="D457" s="40" t="s">
        <v>1561</v>
      </c>
      <c r="E457" s="40">
        <v>18</v>
      </c>
      <c r="F457" s="40" t="s">
        <v>42</v>
      </c>
      <c r="G457" s="40" t="s">
        <v>42</v>
      </c>
      <c r="H457" s="41" t="s">
        <v>638</v>
      </c>
      <c r="I457" s="65" t="s">
        <v>43</v>
      </c>
      <c r="J457" s="66" t="s">
        <v>44</v>
      </c>
      <c r="K457" s="67" t="s">
        <v>43</v>
      </c>
      <c r="L457" s="40">
        <v>1</v>
      </c>
      <c r="M457" s="40">
        <v>1</v>
      </c>
      <c r="N457" s="40">
        <v>2</v>
      </c>
      <c r="O457" s="40">
        <v>2</v>
      </c>
      <c r="P457" s="41">
        <v>1</v>
      </c>
      <c r="Q457" s="40">
        <v>3</v>
      </c>
      <c r="R457" s="40">
        <v>3</v>
      </c>
      <c r="S457" s="40">
        <v>2</v>
      </c>
      <c r="T457" s="40">
        <v>5</v>
      </c>
      <c r="U457" s="41">
        <v>2</v>
      </c>
      <c r="V457" s="40">
        <v>3</v>
      </c>
      <c r="W457" s="40">
        <v>3</v>
      </c>
      <c r="X457" s="40">
        <v>4</v>
      </c>
      <c r="Y457" s="41">
        <v>5</v>
      </c>
      <c r="Z457" s="40" t="s">
        <v>45</v>
      </c>
      <c r="AA457" s="40" t="s">
        <v>45</v>
      </c>
      <c r="AB457" s="40" t="s">
        <v>45</v>
      </c>
      <c r="AC457" s="40" t="s">
        <v>45</v>
      </c>
      <c r="AD457" s="40" t="s">
        <v>45</v>
      </c>
      <c r="AE457" s="40" t="s">
        <v>45</v>
      </c>
      <c r="AF457" s="40" t="s">
        <v>45</v>
      </c>
      <c r="AG457" s="41" t="s">
        <v>45</v>
      </c>
      <c r="AH457" s="40">
        <v>1</v>
      </c>
      <c r="AI457" s="40">
        <v>1</v>
      </c>
      <c r="AJ457" s="41">
        <v>1</v>
      </c>
      <c r="AK457" s="43" t="s">
        <v>548</v>
      </c>
      <c r="AL457" s="43" t="s">
        <v>635</v>
      </c>
      <c r="AM457" s="44">
        <f t="shared" si="50"/>
        <v>-1.9115723057940897</v>
      </c>
      <c r="AN457" s="44">
        <f t="shared" si="51"/>
        <v>-0.85519588430550642</v>
      </c>
      <c r="AO457" s="45">
        <f t="shared" si="52"/>
        <v>0</v>
      </c>
      <c r="AP457" s="46">
        <f t="shared" si="53"/>
        <v>0</v>
      </c>
      <c r="AQ457" s="44">
        <f>($AM$3*AM457+$AN$3*AN457+$AO$3*AO457+$AP$3*AP457)+$I$3*VLOOKUP(I457,COND!$A$2:$E$7,4,FALSE)+$J$3*VLOOKUP(J457,COND!$A$2:$C$7,2,FALSE)+$K$3*VLOOKUP(K457,COND!$A$2:$C$7,3,FALSE)+IF(AND($B$2&gt;0,$E457&lt;20),$B$2*25,0)</f>
        <v>39.246492157754517</v>
      </c>
      <c r="AR457" s="47">
        <f t="shared" si="54"/>
        <v>-1.0831367474728595</v>
      </c>
      <c r="AS457" s="45" t="str">
        <f t="shared" si="55"/>
        <v>DH</v>
      </c>
      <c r="AT457" s="45">
        <f>RANK(Batters[[#This Row],[zScore]],Batters[[#All],[zScore]])</f>
        <v>453</v>
      </c>
      <c r="AU457" s="45"/>
      <c r="AV457" s="45"/>
      <c r="AW457" s="45" t="str">
        <f t="shared" si="56"/>
        <v>Unlikely</v>
      </c>
      <c r="AX457" s="45"/>
      <c r="AY457" s="45" t="str">
        <f>INDEX(Table5[[#All],[Ovr]],MATCH(Batters[[#This Row],[PID]],Table5[[#All],[PID]],0))</f>
        <v/>
      </c>
      <c r="AZ457" s="45" t="str">
        <f>INDEX(Table5[[#All],[Rnd]],MATCH(Batters[[#This Row],[PID]],Table5[[#All],[PID]],0))</f>
        <v/>
      </c>
      <c r="BA457" s="45" t="str">
        <f>INDEX(Table5[[#All],[Pick]],MATCH(Batters[[#This Row],[PID]],Table5[[#All],[PID]],0))</f>
        <v/>
      </c>
      <c r="BB457" s="45" t="str">
        <f>INDEX(Table5[[#All],[Team]],MATCH(Batters[[#This Row],[PID]],Table5[[#All],[PID]],0))</f>
        <v/>
      </c>
    </row>
    <row r="458" spans="1:54" ht="15" customHeight="1" x14ac:dyDescent="0.25">
      <c r="A458" s="40">
        <v>16906</v>
      </c>
      <c r="B458" s="40" t="s">
        <v>69</v>
      </c>
      <c r="C458" s="40" t="s">
        <v>425</v>
      </c>
      <c r="D458" s="40" t="s">
        <v>855</v>
      </c>
      <c r="E458" s="40">
        <v>21</v>
      </c>
      <c r="F458" s="40" t="s">
        <v>53</v>
      </c>
      <c r="G458" s="40" t="s">
        <v>42</v>
      </c>
      <c r="H458" s="41" t="s">
        <v>638</v>
      </c>
      <c r="I458" s="65" t="s">
        <v>43</v>
      </c>
      <c r="J458" s="66" t="s">
        <v>44</v>
      </c>
      <c r="K458" s="67" t="s">
        <v>44</v>
      </c>
      <c r="L458" s="40">
        <v>1</v>
      </c>
      <c r="M458" s="40">
        <v>2</v>
      </c>
      <c r="N458" s="40">
        <v>2</v>
      </c>
      <c r="O458" s="40">
        <v>1</v>
      </c>
      <c r="P458" s="41">
        <v>2</v>
      </c>
      <c r="Q458" s="40">
        <v>4</v>
      </c>
      <c r="R458" s="40">
        <v>4</v>
      </c>
      <c r="S458" s="40">
        <v>4</v>
      </c>
      <c r="T458" s="40">
        <v>3</v>
      </c>
      <c r="U458" s="41">
        <v>4</v>
      </c>
      <c r="V458" s="40">
        <v>9</v>
      </c>
      <c r="W458" s="40">
        <v>8</v>
      </c>
      <c r="X458" s="40">
        <v>1</v>
      </c>
      <c r="Y458" s="41">
        <v>1</v>
      </c>
      <c r="Z458" s="40" t="s">
        <v>45</v>
      </c>
      <c r="AA458" s="40" t="s">
        <v>45</v>
      </c>
      <c r="AB458" s="40" t="s">
        <v>45</v>
      </c>
      <c r="AC458" s="40">
        <v>3</v>
      </c>
      <c r="AD458" s="40" t="s">
        <v>45</v>
      </c>
      <c r="AE458" s="40" t="s">
        <v>45</v>
      </c>
      <c r="AF458" s="40" t="s">
        <v>45</v>
      </c>
      <c r="AG458" s="41" t="s">
        <v>45</v>
      </c>
      <c r="AH458" s="40">
        <v>3</v>
      </c>
      <c r="AI458" s="40">
        <v>2</v>
      </c>
      <c r="AJ458" s="41">
        <v>1</v>
      </c>
      <c r="AK458" s="43" t="s">
        <v>45</v>
      </c>
      <c r="AL458" s="43" t="s">
        <v>47</v>
      </c>
      <c r="AM458" s="44">
        <f t="shared" si="50"/>
        <v>-1.9102056363678834</v>
      </c>
      <c r="AN458" s="44">
        <f t="shared" si="51"/>
        <v>-0.41484360082132044</v>
      </c>
      <c r="AO458" s="45">
        <f t="shared" si="52"/>
        <v>0</v>
      </c>
      <c r="AP458" s="46">
        <f t="shared" si="53"/>
        <v>0</v>
      </c>
      <c r="AQ458" s="44">
        <f>($AM$3*AM458+$AN$3*AN458+$AO$3*AO458+$AP$3*AP458)+$I$3*VLOOKUP(I458,COND!$A$2:$E$7,4,FALSE)+$J$3*VLOOKUP(J458,COND!$A$2:$C$7,2,FALSE)+$K$3*VLOOKUP(K458,COND!$A$2:$C$7,3,FALSE)+IF(AND($B$2&gt;0,$E458&lt;20),$B$2*25,0)</f>
        <v>39.23085622650737</v>
      </c>
      <c r="AR458" s="47">
        <f t="shared" si="54"/>
        <v>-1.0866033391194383</v>
      </c>
      <c r="AS458" s="45" t="str">
        <f t="shared" si="55"/>
        <v>3B</v>
      </c>
      <c r="AT458" s="45">
        <f>RANK(Batters[[#This Row],[zScore]],Batters[[#All],[zScore]])</f>
        <v>454</v>
      </c>
      <c r="AU458" s="45"/>
      <c r="AV458" s="45"/>
      <c r="AW458" s="45" t="str">
        <f t="shared" si="56"/>
        <v>Unlikely</v>
      </c>
      <c r="AX458" s="45"/>
      <c r="AY458" s="45" t="str">
        <f>INDEX(Table5[[#All],[Ovr]],MATCH(Batters[[#This Row],[PID]],Table5[[#All],[PID]],0))</f>
        <v/>
      </c>
      <c r="AZ458" s="45" t="str">
        <f>INDEX(Table5[[#All],[Rnd]],MATCH(Batters[[#This Row],[PID]],Table5[[#All],[PID]],0))</f>
        <v/>
      </c>
      <c r="BA458" s="45" t="str">
        <f>INDEX(Table5[[#All],[Pick]],MATCH(Batters[[#This Row],[PID]],Table5[[#All],[PID]],0))</f>
        <v/>
      </c>
      <c r="BB458" s="45" t="str">
        <f>INDEX(Table5[[#All],[Team]],MATCH(Batters[[#This Row],[PID]],Table5[[#All],[PID]],0))</f>
        <v/>
      </c>
    </row>
    <row r="459" spans="1:54" ht="15" customHeight="1" x14ac:dyDescent="0.25">
      <c r="A459" s="40">
        <v>14426</v>
      </c>
      <c r="B459" s="40" t="s">
        <v>87</v>
      </c>
      <c r="C459" s="40" t="s">
        <v>840</v>
      </c>
      <c r="D459" s="40" t="s">
        <v>550</v>
      </c>
      <c r="E459" s="40">
        <v>22</v>
      </c>
      <c r="F459" s="40" t="s">
        <v>53</v>
      </c>
      <c r="G459" s="40" t="s">
        <v>53</v>
      </c>
      <c r="H459" s="41" t="s">
        <v>639</v>
      </c>
      <c r="I459" s="65" t="s">
        <v>43</v>
      </c>
      <c r="J459" s="66" t="s">
        <v>43</v>
      </c>
      <c r="K459" s="67" t="s">
        <v>47</v>
      </c>
      <c r="L459" s="40">
        <v>3</v>
      </c>
      <c r="M459" s="40">
        <v>2</v>
      </c>
      <c r="N459" s="40">
        <v>2</v>
      </c>
      <c r="O459" s="40">
        <v>1</v>
      </c>
      <c r="P459" s="41">
        <v>3</v>
      </c>
      <c r="Q459" s="40">
        <v>5</v>
      </c>
      <c r="R459" s="40">
        <v>2</v>
      </c>
      <c r="S459" s="40">
        <v>2</v>
      </c>
      <c r="T459" s="40">
        <v>1</v>
      </c>
      <c r="U459" s="41">
        <v>5</v>
      </c>
      <c r="V459" s="40">
        <v>5</v>
      </c>
      <c r="W459" s="40">
        <v>3</v>
      </c>
      <c r="X459" s="40">
        <v>1</v>
      </c>
      <c r="Y459" s="41">
        <v>1</v>
      </c>
      <c r="Z459" s="40" t="s">
        <v>45</v>
      </c>
      <c r="AA459" s="40" t="s">
        <v>45</v>
      </c>
      <c r="AB459" s="40" t="s">
        <v>45</v>
      </c>
      <c r="AC459" s="40" t="s">
        <v>45</v>
      </c>
      <c r="AD459" s="40" t="s">
        <v>45</v>
      </c>
      <c r="AE459" s="40" t="s">
        <v>45</v>
      </c>
      <c r="AF459" s="40" t="s">
        <v>45</v>
      </c>
      <c r="AG459" s="41" t="s">
        <v>45</v>
      </c>
      <c r="AH459" s="40">
        <v>1</v>
      </c>
      <c r="AI459" s="40">
        <v>1</v>
      </c>
      <c r="AJ459" s="41">
        <v>1</v>
      </c>
      <c r="AK459" s="43" t="s">
        <v>45</v>
      </c>
      <c r="AL459" s="43"/>
      <c r="AM459" s="44">
        <f t="shared" si="50"/>
        <v>-1.2250776241454506</v>
      </c>
      <c r="AN459" s="44">
        <f t="shared" si="51"/>
        <v>-0.49993327210593436</v>
      </c>
      <c r="AO459" s="45">
        <f t="shared" si="52"/>
        <v>0</v>
      </c>
      <c r="AP459" s="46">
        <f t="shared" si="53"/>
        <v>0</v>
      </c>
      <c r="AQ459" s="44">
        <f>($AM$3*AM459+$AN$3*AN459+$AO$3*AO459+$AP$3*AP459)+$I$3*VLOOKUP(I459,COND!$A$2:$E$7,4,FALSE)+$J$3*VLOOKUP(J459,COND!$A$2:$C$7,2,FALSE)+$K$3*VLOOKUP(K459,COND!$A$2:$C$7,3,FALSE)+IF(AND($B$2&gt;0,$E459&lt;20),$B$2*25,0)</f>
        <v>39.178292972314239</v>
      </c>
      <c r="AR459" s="47">
        <f t="shared" si="54"/>
        <v>-1.09825696786868</v>
      </c>
      <c r="AS459" s="45" t="str">
        <f t="shared" si="55"/>
        <v>DH</v>
      </c>
      <c r="AT459" s="45">
        <f>RANK(Batters[[#This Row],[zScore]],Batters[[#All],[zScore]])</f>
        <v>455</v>
      </c>
      <c r="AU459" s="45"/>
      <c r="AV459" s="45"/>
      <c r="AW459" s="45" t="str">
        <f t="shared" si="56"/>
        <v>Unlikely</v>
      </c>
      <c r="AX459" s="45"/>
      <c r="AY459" s="64">
        <f>INDEX(Table5[[#All],[Ovr]],MATCH(Batters[[#This Row],[PID]],Table5[[#All],[PID]],0))</f>
        <v>573</v>
      </c>
      <c r="AZ459" s="64" t="str">
        <f>INDEX(Table5[[#All],[Rnd]],MATCH(Batters[[#This Row],[PID]],Table5[[#All],[PID]],0))</f>
        <v>19</v>
      </c>
      <c r="BA459" s="64">
        <f>INDEX(Table5[[#All],[Pick]],MATCH(Batters[[#This Row],[PID]],Table5[[#All],[PID]],0))</f>
        <v>25</v>
      </c>
      <c r="BB459" s="64" t="str">
        <f>INDEX(Table5[[#All],[Team]],MATCH(Batters[[#This Row],[PID]],Table5[[#All],[PID]],0))</f>
        <v>Toyama Wind Dancers</v>
      </c>
    </row>
    <row r="460" spans="1:54" ht="15" customHeight="1" x14ac:dyDescent="0.25">
      <c r="A460" s="40">
        <v>21071</v>
      </c>
      <c r="B460" s="40" t="s">
        <v>66</v>
      </c>
      <c r="C460" s="40" t="s">
        <v>210</v>
      </c>
      <c r="D460" s="40" t="s">
        <v>1654</v>
      </c>
      <c r="E460" s="40">
        <v>17</v>
      </c>
      <c r="F460" s="40" t="s">
        <v>42</v>
      </c>
      <c r="G460" s="40" t="s">
        <v>42</v>
      </c>
      <c r="H460" s="41" t="s">
        <v>639</v>
      </c>
      <c r="I460" s="65" t="s">
        <v>43</v>
      </c>
      <c r="J460" s="66" t="s">
        <v>43</v>
      </c>
      <c r="K460" s="67" t="s">
        <v>43</v>
      </c>
      <c r="L460" s="40">
        <v>1</v>
      </c>
      <c r="M460" s="40">
        <v>1</v>
      </c>
      <c r="N460" s="40">
        <v>3</v>
      </c>
      <c r="O460" s="40">
        <v>2</v>
      </c>
      <c r="P460" s="41">
        <v>1</v>
      </c>
      <c r="Q460" s="40">
        <v>2</v>
      </c>
      <c r="R460" s="40">
        <v>3</v>
      </c>
      <c r="S460" s="40">
        <v>5</v>
      </c>
      <c r="T460" s="40">
        <v>5</v>
      </c>
      <c r="U460" s="41">
        <v>3</v>
      </c>
      <c r="V460" s="40">
        <v>3</v>
      </c>
      <c r="W460" s="40">
        <v>5</v>
      </c>
      <c r="X460" s="40">
        <v>1</v>
      </c>
      <c r="Y460" s="41">
        <v>1</v>
      </c>
      <c r="Z460" s="40" t="s">
        <v>45</v>
      </c>
      <c r="AA460" s="40">
        <v>1</v>
      </c>
      <c r="AB460" s="40" t="s">
        <v>45</v>
      </c>
      <c r="AC460" s="40" t="s">
        <v>45</v>
      </c>
      <c r="AD460" s="40" t="s">
        <v>45</v>
      </c>
      <c r="AE460" s="40">
        <v>1</v>
      </c>
      <c r="AF460" s="40" t="s">
        <v>45</v>
      </c>
      <c r="AG460" s="41">
        <v>1</v>
      </c>
      <c r="AH460" s="40">
        <v>7</v>
      </c>
      <c r="AI460" s="40">
        <v>7</v>
      </c>
      <c r="AJ460" s="41">
        <v>4</v>
      </c>
      <c r="AK460" s="43" t="s">
        <v>644</v>
      </c>
      <c r="AL460" s="43"/>
      <c r="AM460" s="44">
        <f t="shared" si="50"/>
        <v>-1.828510811770188</v>
      </c>
      <c r="AN460" s="44">
        <f t="shared" si="51"/>
        <v>-0.88855089861939351</v>
      </c>
      <c r="AO460" s="45">
        <f t="shared" si="52"/>
        <v>0</v>
      </c>
      <c r="AP460" s="46">
        <f t="shared" si="53"/>
        <v>0</v>
      </c>
      <c r="AQ460" s="44">
        <f>($AM$3*AM460+$AN$3*AN460+$AO$3*AO460+$AP$3*AP460)+$I$3*VLOOKUP(I460,COND!$A$2:$E$7,4,FALSE)+$J$3*VLOOKUP(J460,COND!$A$2:$C$7,2,FALSE)+$K$3*VLOOKUP(K460,COND!$A$2:$C$7,3,FALSE)+IF(AND($B$2&gt;0,$E460&lt;20),$B$2*25,0)</f>
        <v>39.154538135390261</v>
      </c>
      <c r="AR460" s="47">
        <f t="shared" si="54"/>
        <v>-1.1035235757825215</v>
      </c>
      <c r="AS460" s="45" t="str">
        <f t="shared" si="55"/>
        <v>LF</v>
      </c>
      <c r="AT460" s="45">
        <f>RANK(Batters[[#This Row],[zScore]],Batters[[#All],[zScore]])</f>
        <v>456</v>
      </c>
      <c r="AU460" s="45"/>
      <c r="AV460" s="45"/>
      <c r="AW460" s="45" t="str">
        <f t="shared" si="56"/>
        <v>Unlikely</v>
      </c>
      <c r="AX460" s="45"/>
      <c r="AY460" s="64" t="str">
        <f>INDEX(Table5[[#All],[Ovr]],MATCH(Batters[[#This Row],[PID]],Table5[[#All],[PID]],0))</f>
        <v/>
      </c>
      <c r="AZ460" s="64" t="str">
        <f>INDEX(Table5[[#All],[Rnd]],MATCH(Batters[[#This Row],[PID]],Table5[[#All],[PID]],0))</f>
        <v/>
      </c>
      <c r="BA460" s="64" t="str">
        <f>INDEX(Table5[[#All],[Pick]],MATCH(Batters[[#This Row],[PID]],Table5[[#All],[PID]],0))</f>
        <v/>
      </c>
      <c r="BB460" s="64" t="str">
        <f>INDEX(Table5[[#All],[Team]],MATCH(Batters[[#This Row],[PID]],Table5[[#All],[PID]],0))</f>
        <v/>
      </c>
    </row>
    <row r="461" spans="1:54" ht="15" customHeight="1" x14ac:dyDescent="0.25">
      <c r="A461" s="40">
        <v>18036</v>
      </c>
      <c r="B461" s="40" t="s">
        <v>50</v>
      </c>
      <c r="C461" s="40" t="s">
        <v>615</v>
      </c>
      <c r="D461" s="40" t="s">
        <v>589</v>
      </c>
      <c r="E461" s="40">
        <v>21</v>
      </c>
      <c r="F461" s="40" t="s">
        <v>53</v>
      </c>
      <c r="G461" s="40" t="s">
        <v>53</v>
      </c>
      <c r="H461" s="41" t="s">
        <v>638</v>
      </c>
      <c r="I461" s="65" t="s">
        <v>43</v>
      </c>
      <c r="J461" s="66" t="s">
        <v>44</v>
      </c>
      <c r="K461" s="67" t="s">
        <v>43</v>
      </c>
      <c r="L461" s="40">
        <v>1</v>
      </c>
      <c r="M461" s="40">
        <v>3</v>
      </c>
      <c r="N461" s="40">
        <v>3</v>
      </c>
      <c r="O461" s="40">
        <v>3</v>
      </c>
      <c r="P461" s="41">
        <v>1</v>
      </c>
      <c r="Q461" s="40">
        <v>3</v>
      </c>
      <c r="R461" s="40">
        <v>4</v>
      </c>
      <c r="S461" s="40">
        <v>5</v>
      </c>
      <c r="T461" s="40">
        <v>6</v>
      </c>
      <c r="U461" s="41">
        <v>2</v>
      </c>
      <c r="V461" s="40">
        <v>4</v>
      </c>
      <c r="W461" s="40">
        <v>6</v>
      </c>
      <c r="X461" s="40">
        <v>1</v>
      </c>
      <c r="Y461" s="41">
        <v>1</v>
      </c>
      <c r="Z461" s="40" t="s">
        <v>45</v>
      </c>
      <c r="AA461" s="40" t="s">
        <v>45</v>
      </c>
      <c r="AB461" s="40" t="s">
        <v>45</v>
      </c>
      <c r="AC461" s="40" t="s">
        <v>45</v>
      </c>
      <c r="AD461" s="40" t="s">
        <v>45</v>
      </c>
      <c r="AE461" s="40">
        <v>2</v>
      </c>
      <c r="AF461" s="40" t="s">
        <v>45</v>
      </c>
      <c r="AG461" s="41">
        <v>1</v>
      </c>
      <c r="AH461" s="40">
        <v>6</v>
      </c>
      <c r="AI461" s="40">
        <v>7</v>
      </c>
      <c r="AJ461" s="41">
        <v>7</v>
      </c>
      <c r="AK461" s="43" t="s">
        <v>45</v>
      </c>
      <c r="AL461" s="43" t="s">
        <v>47</v>
      </c>
      <c r="AM461" s="44">
        <f t="shared" si="50"/>
        <v>-1.6366815025231998</v>
      </c>
      <c r="AN461" s="44">
        <f t="shared" si="51"/>
        <v>-0.46524197260551747</v>
      </c>
      <c r="AO461" s="45">
        <f t="shared" si="52"/>
        <v>1</v>
      </c>
      <c r="AP461" s="46">
        <f t="shared" si="53"/>
        <v>0</v>
      </c>
      <c r="AQ461" s="44">
        <f>($AM$3*AM461+$AN$3*AN461+$AO$3*AO461+$AP$3*AP461)+$I$3*VLOOKUP(I461,COND!$A$2:$E$7,4,FALSE)+$J$3*VLOOKUP(J461,COND!$A$2:$C$7,2,FALSE)+$K$3*VLOOKUP(K461,COND!$A$2:$C$7,3,FALSE)+IF(AND($B$2&gt;0,$E461&lt;20),$B$2*25,0)</f>
        <v>39.120094845148138</v>
      </c>
      <c r="AR461" s="47">
        <f t="shared" si="54"/>
        <v>-1.1111598860442353</v>
      </c>
      <c r="AS461" s="45" t="str">
        <f t="shared" si="55"/>
        <v>LF</v>
      </c>
      <c r="AT461" s="45">
        <f>RANK(Batters[[#This Row],[zScore]],Batters[[#All],[zScore]])</f>
        <v>457</v>
      </c>
      <c r="AU461" s="45"/>
      <c r="AV461" s="45"/>
      <c r="AW461" s="45" t="str">
        <f t="shared" si="56"/>
        <v>Unlikely</v>
      </c>
      <c r="AX461" s="45"/>
      <c r="AY461" s="45" t="str">
        <f>INDEX(Table5[[#All],[Ovr]],MATCH(Batters[[#This Row],[PID]],Table5[[#All],[PID]],0))</f>
        <v/>
      </c>
      <c r="AZ461" s="45" t="str">
        <f>INDEX(Table5[[#All],[Rnd]],MATCH(Batters[[#This Row],[PID]],Table5[[#All],[PID]],0))</f>
        <v/>
      </c>
      <c r="BA461" s="45" t="str">
        <f>INDEX(Table5[[#All],[Pick]],MATCH(Batters[[#This Row],[PID]],Table5[[#All],[PID]],0))</f>
        <v/>
      </c>
      <c r="BB461" s="45" t="str">
        <f>INDEX(Table5[[#All],[Team]],MATCH(Batters[[#This Row],[PID]],Table5[[#All],[PID]],0))</f>
        <v/>
      </c>
    </row>
    <row r="462" spans="1:54" ht="15" customHeight="1" x14ac:dyDescent="0.25">
      <c r="A462" s="40">
        <v>15605</v>
      </c>
      <c r="B462" s="40" t="s">
        <v>87</v>
      </c>
      <c r="C462" s="40" t="s">
        <v>664</v>
      </c>
      <c r="D462" s="40" t="s">
        <v>1485</v>
      </c>
      <c r="E462" s="40">
        <v>21</v>
      </c>
      <c r="F462" s="40" t="s">
        <v>53</v>
      </c>
      <c r="G462" s="40" t="s">
        <v>53</v>
      </c>
      <c r="H462" s="41" t="s">
        <v>638</v>
      </c>
      <c r="I462" s="65" t="s">
        <v>44</v>
      </c>
      <c r="J462" s="66" t="s">
        <v>43</v>
      </c>
      <c r="K462" s="67" t="s">
        <v>43</v>
      </c>
      <c r="L462" s="40">
        <v>1</v>
      </c>
      <c r="M462" s="40">
        <v>3</v>
      </c>
      <c r="N462" s="40">
        <v>3</v>
      </c>
      <c r="O462" s="40">
        <v>2</v>
      </c>
      <c r="P462" s="41">
        <v>1</v>
      </c>
      <c r="Q462" s="40">
        <v>3</v>
      </c>
      <c r="R462" s="40">
        <v>5</v>
      </c>
      <c r="S462" s="40">
        <v>5</v>
      </c>
      <c r="T462" s="40">
        <v>5</v>
      </c>
      <c r="U462" s="41">
        <v>3</v>
      </c>
      <c r="V462" s="40">
        <v>3</v>
      </c>
      <c r="W462" s="40">
        <v>1</v>
      </c>
      <c r="X462" s="40">
        <v>1</v>
      </c>
      <c r="Y462" s="41">
        <v>1</v>
      </c>
      <c r="Z462" s="40" t="s">
        <v>45</v>
      </c>
      <c r="AA462" s="40">
        <v>3</v>
      </c>
      <c r="AB462" s="40" t="s">
        <v>45</v>
      </c>
      <c r="AC462" s="40" t="s">
        <v>45</v>
      </c>
      <c r="AD462" s="40" t="s">
        <v>45</v>
      </c>
      <c r="AE462" s="40" t="s">
        <v>45</v>
      </c>
      <c r="AF462" s="40" t="s">
        <v>45</v>
      </c>
      <c r="AG462" s="41" t="s">
        <v>45</v>
      </c>
      <c r="AH462" s="40">
        <v>3</v>
      </c>
      <c r="AI462" s="40">
        <v>1</v>
      </c>
      <c r="AJ462" s="41">
        <v>1</v>
      </c>
      <c r="AK462" s="43" t="s">
        <v>643</v>
      </c>
      <c r="AL462" s="43" t="s">
        <v>635</v>
      </c>
      <c r="AM462" s="44">
        <f t="shared" si="50"/>
        <v>-1.726391052532781</v>
      </c>
      <c r="AN462" s="44">
        <f t="shared" si="51"/>
        <v>-0.46387530317931153</v>
      </c>
      <c r="AO462" s="45">
        <f t="shared" si="52"/>
        <v>0</v>
      </c>
      <c r="AP462" s="46">
        <f t="shared" si="53"/>
        <v>0</v>
      </c>
      <c r="AQ462" s="44">
        <f>($AM$3*AM462+$AN$3*AN462+$AO$3*AO462+$AP$3*AP462)+$I$3*VLOOKUP(I462,COND!$A$2:$E$7,4,FALSE)+$J$3*VLOOKUP(J462,COND!$A$2:$C$7,2,FALSE)+$K$3*VLOOKUP(K462,COND!$A$2:$C$7,3,FALSE)+IF(AND($B$2&gt;0,$E462&lt;20),$B$2*25,0)</f>
        <v>39.110857256594983</v>
      </c>
      <c r="AR462" s="47">
        <f t="shared" si="54"/>
        <v>-1.1132079218667736</v>
      </c>
      <c r="AS462" s="45" t="str">
        <f t="shared" si="55"/>
        <v>1B</v>
      </c>
      <c r="AT462" s="45">
        <f>RANK(Batters[[#This Row],[zScore]],Batters[[#All],[zScore]])</f>
        <v>458</v>
      </c>
      <c r="AU462" s="45"/>
      <c r="AV462" s="45"/>
      <c r="AW462" s="45" t="str">
        <f t="shared" si="56"/>
        <v>Unlikely</v>
      </c>
      <c r="AX462" s="45"/>
      <c r="AY462" s="45" t="str">
        <f>INDEX(Table5[[#All],[Ovr]],MATCH(Batters[[#This Row],[PID]],Table5[[#All],[PID]],0))</f>
        <v/>
      </c>
      <c r="AZ462" s="45" t="str">
        <f>INDEX(Table5[[#All],[Rnd]],MATCH(Batters[[#This Row],[PID]],Table5[[#All],[PID]],0))</f>
        <v/>
      </c>
      <c r="BA462" s="45" t="str">
        <f>INDEX(Table5[[#All],[Pick]],MATCH(Batters[[#This Row],[PID]],Table5[[#All],[PID]],0))</f>
        <v/>
      </c>
      <c r="BB462" s="45" t="str">
        <f>INDEX(Table5[[#All],[Team]],MATCH(Batters[[#This Row],[PID]],Table5[[#All],[PID]],0))</f>
        <v/>
      </c>
    </row>
    <row r="463" spans="1:54" ht="15" customHeight="1" x14ac:dyDescent="0.25">
      <c r="A463" s="40">
        <v>18121</v>
      </c>
      <c r="B463" s="40" t="s">
        <v>74</v>
      </c>
      <c r="C463" s="40" t="s">
        <v>163</v>
      </c>
      <c r="D463" s="40" t="s">
        <v>1452</v>
      </c>
      <c r="E463" s="40">
        <v>21</v>
      </c>
      <c r="F463" s="40" t="s">
        <v>53</v>
      </c>
      <c r="G463" s="40" t="s">
        <v>42</v>
      </c>
      <c r="H463" s="41" t="s">
        <v>638</v>
      </c>
      <c r="I463" s="65" t="s">
        <v>44</v>
      </c>
      <c r="J463" s="66" t="s">
        <v>43</v>
      </c>
      <c r="K463" s="67" t="s">
        <v>47</v>
      </c>
      <c r="L463" s="40">
        <v>2</v>
      </c>
      <c r="M463" s="40">
        <v>2</v>
      </c>
      <c r="N463" s="40">
        <v>3</v>
      </c>
      <c r="O463" s="40">
        <v>3</v>
      </c>
      <c r="P463" s="41">
        <v>1</v>
      </c>
      <c r="Q463" s="40">
        <v>3</v>
      </c>
      <c r="R463" s="40">
        <v>4</v>
      </c>
      <c r="S463" s="40">
        <v>4</v>
      </c>
      <c r="T463" s="40">
        <v>5</v>
      </c>
      <c r="U463" s="41">
        <v>3</v>
      </c>
      <c r="V463" s="40">
        <v>4</v>
      </c>
      <c r="W463" s="40">
        <v>8</v>
      </c>
      <c r="X463" s="40">
        <v>1</v>
      </c>
      <c r="Y463" s="41">
        <v>1</v>
      </c>
      <c r="Z463" s="40" t="s">
        <v>45</v>
      </c>
      <c r="AA463" s="40" t="s">
        <v>45</v>
      </c>
      <c r="AB463" s="40" t="s">
        <v>45</v>
      </c>
      <c r="AC463" s="40" t="s">
        <v>45</v>
      </c>
      <c r="AD463" s="40" t="s">
        <v>45</v>
      </c>
      <c r="AE463" s="40" t="s">
        <v>45</v>
      </c>
      <c r="AF463" s="40">
        <v>6</v>
      </c>
      <c r="AG463" s="41" t="s">
        <v>45</v>
      </c>
      <c r="AH463" s="40">
        <v>9</v>
      </c>
      <c r="AI463" s="40">
        <v>9</v>
      </c>
      <c r="AJ463" s="41">
        <v>5</v>
      </c>
      <c r="AK463" s="43" t="s">
        <v>45</v>
      </c>
      <c r="AL463" s="43" t="s">
        <v>47</v>
      </c>
      <c r="AM463" s="44">
        <f t="shared" si="50"/>
        <v>-1.3651855459392288</v>
      </c>
      <c r="AN463" s="44">
        <f t="shared" si="51"/>
        <v>-0.59799667682191648</v>
      </c>
      <c r="AO463" s="45">
        <f t="shared" si="52"/>
        <v>3</v>
      </c>
      <c r="AP463" s="46">
        <f t="shared" si="53"/>
        <v>0.75</v>
      </c>
      <c r="AQ463" s="44">
        <f>($AM$3*AM463+$AN$3*AN463+$AO$3*AO463+$AP$3*AP463)+$I$3*VLOOKUP(I463,COND!$A$2:$E$7,4,FALSE)+$J$3*VLOOKUP(J463,COND!$A$2:$C$7,2,FALSE)+$K$3*VLOOKUP(K463,COND!$A$2:$C$7,3,FALSE)+IF(AND($B$2&gt;0,$E463&lt;20),$B$2*25,0)</f>
        <v>39.087521323543079</v>
      </c>
      <c r="AR463" s="47">
        <f t="shared" si="54"/>
        <v>-1.118381655960649</v>
      </c>
      <c r="AS463" s="45" t="str">
        <f t="shared" si="55"/>
        <v>CF</v>
      </c>
      <c r="AT463" s="45">
        <f>RANK(Batters[[#This Row],[zScore]],Batters[[#All],[zScore]])</f>
        <v>459</v>
      </c>
      <c r="AU463" s="45"/>
      <c r="AV463" s="45"/>
      <c r="AW463" s="45" t="str">
        <f t="shared" si="56"/>
        <v>Unlikely</v>
      </c>
      <c r="AX463" s="45"/>
      <c r="AY463" s="45">
        <f>INDEX(Table5[[#All],[Ovr]],MATCH(Batters[[#This Row],[PID]],Table5[[#All],[PID]],0))</f>
        <v>547</v>
      </c>
      <c r="AZ463" s="45" t="str">
        <f>INDEX(Table5[[#All],[Rnd]],MATCH(Batters[[#This Row],[PID]],Table5[[#All],[PID]],0))</f>
        <v>18</v>
      </c>
      <c r="BA463" s="45">
        <f>INDEX(Table5[[#All],[Pick]],MATCH(Batters[[#This Row],[PID]],Table5[[#All],[PID]],0))</f>
        <v>29</v>
      </c>
      <c r="BB463" s="45" t="str">
        <f>INDEX(Table5[[#All],[Team]],MATCH(Batters[[#This Row],[PID]],Table5[[#All],[PID]],0))</f>
        <v>Havana Leones</v>
      </c>
    </row>
    <row r="464" spans="1:54" ht="15" customHeight="1" x14ac:dyDescent="0.25">
      <c r="A464" s="40">
        <v>7309</v>
      </c>
      <c r="B464" s="40" t="s">
        <v>69</v>
      </c>
      <c r="C464" s="40" t="s">
        <v>777</v>
      </c>
      <c r="D464" s="40" t="s">
        <v>695</v>
      </c>
      <c r="E464" s="40">
        <v>22</v>
      </c>
      <c r="F464" s="40" t="s">
        <v>42</v>
      </c>
      <c r="G464" s="40" t="s">
        <v>42</v>
      </c>
      <c r="H464" s="41" t="s">
        <v>638</v>
      </c>
      <c r="I464" s="65" t="s">
        <v>43</v>
      </c>
      <c r="J464" s="66" t="s">
        <v>43</v>
      </c>
      <c r="K464" s="67" t="s">
        <v>47</v>
      </c>
      <c r="L464" s="40">
        <v>2</v>
      </c>
      <c r="M464" s="40">
        <v>4</v>
      </c>
      <c r="N464" s="40">
        <v>3</v>
      </c>
      <c r="O464" s="40">
        <v>3</v>
      </c>
      <c r="P464" s="41">
        <v>1</v>
      </c>
      <c r="Q464" s="40">
        <v>3</v>
      </c>
      <c r="R464" s="40">
        <v>4</v>
      </c>
      <c r="S464" s="40">
        <v>4</v>
      </c>
      <c r="T464" s="40">
        <v>5</v>
      </c>
      <c r="U464" s="41">
        <v>3</v>
      </c>
      <c r="V464" s="40">
        <v>9</v>
      </c>
      <c r="W464" s="40">
        <v>8</v>
      </c>
      <c r="X464" s="40">
        <v>1</v>
      </c>
      <c r="Y464" s="41">
        <v>1</v>
      </c>
      <c r="Z464" s="40" t="s">
        <v>45</v>
      </c>
      <c r="AA464" s="40" t="s">
        <v>45</v>
      </c>
      <c r="AB464" s="40" t="s">
        <v>45</v>
      </c>
      <c r="AC464" s="40">
        <v>5</v>
      </c>
      <c r="AD464" s="40" t="s">
        <v>45</v>
      </c>
      <c r="AE464" s="40" t="s">
        <v>45</v>
      </c>
      <c r="AF464" s="40" t="s">
        <v>45</v>
      </c>
      <c r="AG464" s="41" t="s">
        <v>45</v>
      </c>
      <c r="AH464" s="40">
        <v>9</v>
      </c>
      <c r="AI464" s="40">
        <v>6</v>
      </c>
      <c r="AJ464" s="41">
        <v>4</v>
      </c>
      <c r="AK464" s="43" t="s">
        <v>45</v>
      </c>
      <c r="AL464" s="43" t="s">
        <v>47</v>
      </c>
      <c r="AM464" s="44">
        <f t="shared" si="50"/>
        <v>-1.2630657867018216</v>
      </c>
      <c r="AN464" s="44">
        <f t="shared" si="51"/>
        <v>-0.59799667682191648</v>
      </c>
      <c r="AO464" s="45">
        <f t="shared" si="52"/>
        <v>2</v>
      </c>
      <c r="AP464" s="46">
        <f t="shared" si="53"/>
        <v>0.75</v>
      </c>
      <c r="AQ464" s="44">
        <f>($AM$3*AM464+$AN$3*AN464+$AO$3*AO464+$AP$3*AP464)+$I$3*VLOOKUP(I464,COND!$A$2:$E$7,4,FALSE)+$J$3*VLOOKUP(J464,COND!$A$2:$C$7,2,FALSE)+$K$3*VLOOKUP(K464,COND!$A$2:$C$7,3,FALSE)+IF(AND($B$2&gt;0,$E464&lt;20),$B$2*25,0)</f>
        <v>39.081066632800159</v>
      </c>
      <c r="AR464" s="47">
        <f t="shared" si="54"/>
        <v>-1.1198127045280146</v>
      </c>
      <c r="AS464" s="45" t="str">
        <f t="shared" si="55"/>
        <v>3B</v>
      </c>
      <c r="AT464" s="45">
        <f>RANK(Batters[[#This Row],[zScore]],Batters[[#All],[zScore]])</f>
        <v>460</v>
      </c>
      <c r="AU464" s="45"/>
      <c r="AV464" s="45"/>
      <c r="AW464" s="45" t="str">
        <f t="shared" si="56"/>
        <v>Unlikely</v>
      </c>
      <c r="AX464" s="45"/>
      <c r="AY464" s="45" t="str">
        <f>INDEX(Table5[[#All],[Ovr]],MATCH(Batters[[#This Row],[PID]],Table5[[#All],[PID]],0))</f>
        <v/>
      </c>
      <c r="AZ464" s="45" t="str">
        <f>INDEX(Table5[[#All],[Rnd]],MATCH(Batters[[#This Row],[PID]],Table5[[#All],[PID]],0))</f>
        <v/>
      </c>
      <c r="BA464" s="45" t="str">
        <f>INDEX(Table5[[#All],[Pick]],MATCH(Batters[[#This Row],[PID]],Table5[[#All],[PID]],0))</f>
        <v/>
      </c>
      <c r="BB464" s="45" t="str">
        <f>INDEX(Table5[[#All],[Team]],MATCH(Batters[[#This Row],[PID]],Table5[[#All],[PID]],0))</f>
        <v/>
      </c>
    </row>
    <row r="465" spans="1:54" ht="15" customHeight="1" x14ac:dyDescent="0.25">
      <c r="A465" s="40">
        <v>20537</v>
      </c>
      <c r="B465" s="40" t="s">
        <v>69</v>
      </c>
      <c r="C465" s="40" t="s">
        <v>1698</v>
      </c>
      <c r="D465" s="40" t="s">
        <v>1699</v>
      </c>
      <c r="E465" s="40">
        <v>18</v>
      </c>
      <c r="F465" s="40" t="s">
        <v>42</v>
      </c>
      <c r="G465" s="40" t="s">
        <v>42</v>
      </c>
      <c r="H465" s="41" t="s">
        <v>647</v>
      </c>
      <c r="I465" s="65" t="s">
        <v>43</v>
      </c>
      <c r="J465" s="66" t="s">
        <v>44</v>
      </c>
      <c r="K465" s="67" t="s">
        <v>43</v>
      </c>
      <c r="L465" s="40">
        <v>1</v>
      </c>
      <c r="M465" s="40">
        <v>2</v>
      </c>
      <c r="N465" s="40">
        <v>3</v>
      </c>
      <c r="O465" s="40">
        <v>3</v>
      </c>
      <c r="P465" s="41">
        <v>1</v>
      </c>
      <c r="Q465" s="40">
        <v>2</v>
      </c>
      <c r="R465" s="40">
        <v>4</v>
      </c>
      <c r="S465" s="40">
        <v>4</v>
      </c>
      <c r="T465" s="40">
        <v>6</v>
      </c>
      <c r="U465" s="41">
        <v>2</v>
      </c>
      <c r="V465" s="40">
        <v>5</v>
      </c>
      <c r="W465" s="40">
        <v>5</v>
      </c>
      <c r="X465" s="40">
        <v>5</v>
      </c>
      <c r="Y465" s="41">
        <v>3</v>
      </c>
      <c r="Z465" s="40" t="s">
        <v>45</v>
      </c>
      <c r="AA465" s="40" t="s">
        <v>45</v>
      </c>
      <c r="AB465" s="40" t="s">
        <v>45</v>
      </c>
      <c r="AC465" s="40">
        <v>1</v>
      </c>
      <c r="AD465" s="40" t="s">
        <v>45</v>
      </c>
      <c r="AE465" s="40" t="s">
        <v>45</v>
      </c>
      <c r="AF465" s="40" t="s">
        <v>45</v>
      </c>
      <c r="AG465" s="41" t="s">
        <v>45</v>
      </c>
      <c r="AH465" s="40">
        <v>4</v>
      </c>
      <c r="AI465" s="40">
        <v>2</v>
      </c>
      <c r="AJ465" s="41">
        <v>3</v>
      </c>
      <c r="AK465" s="43" t="s">
        <v>654</v>
      </c>
      <c r="AL465" s="43"/>
      <c r="AM465" s="44">
        <f t="shared" si="50"/>
        <v>-1.6877413821419032</v>
      </c>
      <c r="AN465" s="44">
        <f t="shared" si="51"/>
        <v>-0.87085930283209367</v>
      </c>
      <c r="AO465" s="45">
        <f t="shared" si="52"/>
        <v>0</v>
      </c>
      <c r="AP465" s="46">
        <f t="shared" si="53"/>
        <v>0</v>
      </c>
      <c r="AQ465" s="44">
        <f>($AM$3*AM465+$AN$3*AN465+$AO$3*AO465+$AP$3*AP465)+$I$3*VLOOKUP(I465,COND!$A$2:$E$7,4,FALSE)+$J$3*VLOOKUP(J465,COND!$A$2:$C$7,2,FALSE)+$K$3*VLOOKUP(K465,COND!$A$2:$C$7,3,FALSE)+IF(AND($B$2&gt;0,$E465&lt;20),$B$2*25,0)</f>
        <v>39.080914227800683</v>
      </c>
      <c r="AR465" s="47">
        <f t="shared" si="54"/>
        <v>-1.1198464937465606</v>
      </c>
      <c r="AS465" s="45" t="str">
        <f t="shared" si="55"/>
        <v>3B</v>
      </c>
      <c r="AT465" s="45">
        <f>RANK(Batters[[#This Row],[zScore]],Batters[[#All],[zScore]])</f>
        <v>461</v>
      </c>
      <c r="AU465" s="45"/>
      <c r="AV465" s="45"/>
      <c r="AW465" s="45" t="str">
        <f t="shared" si="56"/>
        <v>Unlikely</v>
      </c>
      <c r="AX465" s="45"/>
      <c r="AY465" s="64" t="str">
        <f>INDEX(Table5[[#All],[Ovr]],MATCH(Batters[[#This Row],[PID]],Table5[[#All],[PID]],0))</f>
        <v/>
      </c>
      <c r="AZ465" s="64" t="str">
        <f>INDEX(Table5[[#All],[Rnd]],MATCH(Batters[[#This Row],[PID]],Table5[[#All],[PID]],0))</f>
        <v/>
      </c>
      <c r="BA465" s="64" t="str">
        <f>INDEX(Table5[[#All],[Pick]],MATCH(Batters[[#This Row],[PID]],Table5[[#All],[PID]],0))</f>
        <v/>
      </c>
      <c r="BB465" s="64" t="str">
        <f>INDEX(Table5[[#All],[Team]],MATCH(Batters[[#This Row],[PID]],Table5[[#All],[PID]],0))</f>
        <v/>
      </c>
    </row>
    <row r="466" spans="1:54" ht="15" customHeight="1" x14ac:dyDescent="0.25">
      <c r="A466" s="40">
        <v>18429</v>
      </c>
      <c r="B466" s="40" t="s">
        <v>87</v>
      </c>
      <c r="C466" s="40" t="s">
        <v>1718</v>
      </c>
      <c r="D466" s="40" t="s">
        <v>653</v>
      </c>
      <c r="E466" s="40">
        <v>18</v>
      </c>
      <c r="F466" s="40" t="s">
        <v>53</v>
      </c>
      <c r="G466" s="40" t="s">
        <v>42</v>
      </c>
      <c r="H466" s="41" t="s">
        <v>647</v>
      </c>
      <c r="I466" s="65" t="s">
        <v>43</v>
      </c>
      <c r="J466" s="66" t="s">
        <v>43</v>
      </c>
      <c r="K466" s="67" t="s">
        <v>44</v>
      </c>
      <c r="L466" s="40">
        <v>2</v>
      </c>
      <c r="M466" s="40">
        <v>2</v>
      </c>
      <c r="N466" s="40">
        <v>2</v>
      </c>
      <c r="O466" s="40">
        <v>2</v>
      </c>
      <c r="P466" s="41">
        <v>1</v>
      </c>
      <c r="Q466" s="40">
        <v>3</v>
      </c>
      <c r="R466" s="40">
        <v>2</v>
      </c>
      <c r="S466" s="40">
        <v>2</v>
      </c>
      <c r="T466" s="40">
        <v>4</v>
      </c>
      <c r="U466" s="41">
        <v>5</v>
      </c>
      <c r="V466" s="40">
        <v>5</v>
      </c>
      <c r="W466" s="40">
        <v>3</v>
      </c>
      <c r="X466" s="40">
        <v>1</v>
      </c>
      <c r="Y466" s="41">
        <v>1</v>
      </c>
      <c r="Z466" s="40" t="s">
        <v>45</v>
      </c>
      <c r="AA466" s="40">
        <v>1</v>
      </c>
      <c r="AB466" s="40" t="s">
        <v>45</v>
      </c>
      <c r="AC466" s="40" t="s">
        <v>45</v>
      </c>
      <c r="AD466" s="40" t="s">
        <v>45</v>
      </c>
      <c r="AE466" s="40" t="s">
        <v>45</v>
      </c>
      <c r="AF466" s="40" t="s">
        <v>45</v>
      </c>
      <c r="AG466" s="41" t="s">
        <v>45</v>
      </c>
      <c r="AH466" s="40">
        <v>1</v>
      </c>
      <c r="AI466" s="40">
        <v>1</v>
      </c>
      <c r="AJ466" s="41">
        <v>1</v>
      </c>
      <c r="AK466" s="43" t="s">
        <v>659</v>
      </c>
      <c r="AL466" s="43"/>
      <c r="AM466" s="44">
        <f t="shared" si="50"/>
        <v>-1.5379565899727115</v>
      </c>
      <c r="AN466" s="44">
        <f t="shared" si="51"/>
        <v>-0.8759162944825406</v>
      </c>
      <c r="AO466" s="45">
        <f t="shared" si="52"/>
        <v>0</v>
      </c>
      <c r="AP466" s="46">
        <f t="shared" si="53"/>
        <v>0</v>
      </c>
      <c r="AQ466" s="44">
        <f>($AM$3*AM466+$AN$3*AN466+$AO$3*AO466+$AP$3*AP466)+$I$3*VLOOKUP(I466,COND!$A$2:$E$7,4,FALSE)+$J$3*VLOOKUP(J466,COND!$A$2:$C$7,2,FALSE)+$K$3*VLOOKUP(K466,COND!$A$2:$C$7,3,FALSE)+IF(AND($B$2&gt;0,$E466&lt;20),$B$2*25,0)</f>
        <v>39.035208807212243</v>
      </c>
      <c r="AR466" s="47">
        <f t="shared" si="54"/>
        <v>-1.1299796944309892</v>
      </c>
      <c r="AS466" s="45" t="str">
        <f t="shared" si="55"/>
        <v>1B</v>
      </c>
      <c r="AT466" s="45">
        <f>RANK(Batters[[#This Row],[zScore]],Batters[[#All],[zScore]])</f>
        <v>462</v>
      </c>
      <c r="AU466" s="45"/>
      <c r="AV466" s="45"/>
      <c r="AW466" s="45" t="str">
        <f t="shared" si="56"/>
        <v>Unlikely</v>
      </c>
      <c r="AX466" s="45"/>
      <c r="AY466" s="64" t="str">
        <f>INDEX(Table5[[#All],[Ovr]],MATCH(Batters[[#This Row],[PID]],Table5[[#All],[PID]],0))</f>
        <v/>
      </c>
      <c r="AZ466" s="64" t="str">
        <f>INDEX(Table5[[#All],[Rnd]],MATCH(Batters[[#This Row],[PID]],Table5[[#All],[PID]],0))</f>
        <v/>
      </c>
      <c r="BA466" s="64" t="str">
        <f>INDEX(Table5[[#All],[Pick]],MATCH(Batters[[#This Row],[PID]],Table5[[#All],[PID]],0))</f>
        <v/>
      </c>
      <c r="BB466" s="64" t="str">
        <f>INDEX(Table5[[#All],[Team]],MATCH(Batters[[#This Row],[PID]],Table5[[#All],[PID]],0))</f>
        <v/>
      </c>
    </row>
    <row r="467" spans="1:54" ht="15" customHeight="1" x14ac:dyDescent="0.25">
      <c r="A467" s="40">
        <v>9353</v>
      </c>
      <c r="B467" s="40" t="s">
        <v>86</v>
      </c>
      <c r="C467" s="40" t="s">
        <v>689</v>
      </c>
      <c r="D467" s="40" t="s">
        <v>970</v>
      </c>
      <c r="E467" s="40">
        <v>22</v>
      </c>
      <c r="F467" s="40" t="s">
        <v>42</v>
      </c>
      <c r="G467" s="40" t="s">
        <v>42</v>
      </c>
      <c r="H467" s="41" t="s">
        <v>634</v>
      </c>
      <c r="I467" s="65" t="s">
        <v>43</v>
      </c>
      <c r="J467" s="66" t="s">
        <v>44</v>
      </c>
      <c r="K467" s="67" t="s">
        <v>44</v>
      </c>
      <c r="L467" s="40">
        <v>1</v>
      </c>
      <c r="M467" s="40">
        <v>3</v>
      </c>
      <c r="N467" s="40">
        <v>3</v>
      </c>
      <c r="O467" s="40">
        <v>4</v>
      </c>
      <c r="P467" s="41">
        <v>1</v>
      </c>
      <c r="Q467" s="40">
        <v>3</v>
      </c>
      <c r="R467" s="40">
        <v>6</v>
      </c>
      <c r="S467" s="40">
        <v>4</v>
      </c>
      <c r="T467" s="40">
        <v>6</v>
      </c>
      <c r="U467" s="41">
        <v>2</v>
      </c>
      <c r="V467" s="40">
        <v>1</v>
      </c>
      <c r="W467" s="40">
        <v>1</v>
      </c>
      <c r="X467" s="40">
        <v>3</v>
      </c>
      <c r="Y467" s="41">
        <v>8</v>
      </c>
      <c r="Z467" s="40">
        <v>2</v>
      </c>
      <c r="AA467" s="40" t="s">
        <v>45</v>
      </c>
      <c r="AB467" s="40" t="s">
        <v>45</v>
      </c>
      <c r="AC467" s="40" t="s">
        <v>45</v>
      </c>
      <c r="AD467" s="40" t="s">
        <v>45</v>
      </c>
      <c r="AE467" s="40" t="s">
        <v>45</v>
      </c>
      <c r="AF467" s="40" t="s">
        <v>45</v>
      </c>
      <c r="AG467" s="41" t="s">
        <v>45</v>
      </c>
      <c r="AH467" s="40">
        <v>3</v>
      </c>
      <c r="AI467" s="40">
        <v>3</v>
      </c>
      <c r="AJ467" s="41">
        <v>1</v>
      </c>
      <c r="AK467" s="43" t="s">
        <v>45</v>
      </c>
      <c r="AL467" s="43" t="s">
        <v>47</v>
      </c>
      <c r="AM467" s="44">
        <f t="shared" si="50"/>
        <v>-1.546971952513619</v>
      </c>
      <c r="AN467" s="44">
        <f t="shared" si="51"/>
        <v>-0.44618370739201191</v>
      </c>
      <c r="AO467" s="45">
        <f t="shared" si="52"/>
        <v>0</v>
      </c>
      <c r="AP467" s="46">
        <f t="shared" si="53"/>
        <v>0</v>
      </c>
      <c r="AQ467" s="44">
        <f>($AM$3*AM467+$AN$3*AN467+$AO$3*AO467+$AP$3*AP467)+$I$3*VLOOKUP(I467,COND!$A$2:$E$7,4,FALSE)+$J$3*VLOOKUP(J467,COND!$A$2:$C$7,2,FALSE)+$K$3*VLOOKUP(K467,COND!$A$2:$C$7,3,FALSE)+IF(AND($B$2&gt;0,$E467&lt;20),$B$2*25,0)</f>
        <v>38.891098316044491</v>
      </c>
      <c r="AR467" s="47">
        <f t="shared" si="54"/>
        <v>-1.1619299644193966</v>
      </c>
      <c r="AS467" s="45" t="str">
        <f t="shared" si="55"/>
        <v>C</v>
      </c>
      <c r="AT467" s="45">
        <f>RANK(Batters[[#This Row],[zScore]],Batters[[#All],[zScore]])</f>
        <v>463</v>
      </c>
      <c r="AU467" s="45"/>
      <c r="AV467" s="45"/>
      <c r="AW467" s="45" t="str">
        <f t="shared" si="56"/>
        <v>Unlikely</v>
      </c>
      <c r="AX467" s="45"/>
      <c r="AY467" s="45" t="str">
        <f>INDEX(Table5[[#All],[Ovr]],MATCH(Batters[[#This Row],[PID]],Table5[[#All],[PID]],0))</f>
        <v/>
      </c>
      <c r="AZ467" s="45" t="str">
        <f>INDEX(Table5[[#All],[Rnd]],MATCH(Batters[[#This Row],[PID]],Table5[[#All],[PID]],0))</f>
        <v/>
      </c>
      <c r="BA467" s="45" t="str">
        <f>INDEX(Table5[[#All],[Pick]],MATCH(Batters[[#This Row],[PID]],Table5[[#All],[PID]],0))</f>
        <v/>
      </c>
      <c r="BB467" s="45" t="str">
        <f>INDEX(Table5[[#All],[Team]],MATCH(Batters[[#This Row],[PID]],Table5[[#All],[PID]],0))</f>
        <v/>
      </c>
    </row>
    <row r="468" spans="1:54" ht="15" customHeight="1" x14ac:dyDescent="0.25">
      <c r="A468" s="40">
        <v>18126</v>
      </c>
      <c r="B468" s="40" t="s">
        <v>50</v>
      </c>
      <c r="C468" s="40" t="s">
        <v>330</v>
      </c>
      <c r="D468" s="40" t="s">
        <v>1417</v>
      </c>
      <c r="E468" s="40">
        <v>21</v>
      </c>
      <c r="F468" s="40" t="s">
        <v>42</v>
      </c>
      <c r="G468" s="40" t="s">
        <v>53</v>
      </c>
      <c r="H468" s="41" t="s">
        <v>638</v>
      </c>
      <c r="I468" s="65" t="s">
        <v>43</v>
      </c>
      <c r="J468" s="66" t="s">
        <v>44</v>
      </c>
      <c r="K468" s="67" t="s">
        <v>43</v>
      </c>
      <c r="L468" s="40">
        <v>1</v>
      </c>
      <c r="M468" s="40">
        <v>2</v>
      </c>
      <c r="N468" s="40">
        <v>4</v>
      </c>
      <c r="O468" s="40">
        <v>3</v>
      </c>
      <c r="P468" s="41">
        <v>1</v>
      </c>
      <c r="Q468" s="40">
        <v>3</v>
      </c>
      <c r="R468" s="40">
        <v>4</v>
      </c>
      <c r="S468" s="40">
        <v>6</v>
      </c>
      <c r="T468" s="40">
        <v>5</v>
      </c>
      <c r="U468" s="41">
        <v>2</v>
      </c>
      <c r="V468" s="40">
        <v>4</v>
      </c>
      <c r="W468" s="40">
        <v>6</v>
      </c>
      <c r="X468" s="40">
        <v>1</v>
      </c>
      <c r="Y468" s="41">
        <v>1</v>
      </c>
      <c r="Z468" s="40" t="s">
        <v>45</v>
      </c>
      <c r="AA468" s="40" t="s">
        <v>45</v>
      </c>
      <c r="AB468" s="40" t="s">
        <v>45</v>
      </c>
      <c r="AC468" s="40" t="s">
        <v>45</v>
      </c>
      <c r="AD468" s="40" t="s">
        <v>45</v>
      </c>
      <c r="AE468" s="40">
        <v>2</v>
      </c>
      <c r="AF468" s="40" t="s">
        <v>45</v>
      </c>
      <c r="AG468" s="41">
        <v>1</v>
      </c>
      <c r="AH468" s="40">
        <v>6</v>
      </c>
      <c r="AI468" s="40">
        <v>4</v>
      </c>
      <c r="AJ468" s="41">
        <v>5</v>
      </c>
      <c r="AK468" s="43" t="s">
        <v>45</v>
      </c>
      <c r="AL468" s="43" t="s">
        <v>47</v>
      </c>
      <c r="AM468" s="44">
        <f t="shared" si="50"/>
        <v>-1.6046798881180016</v>
      </c>
      <c r="AN468" s="44">
        <f t="shared" si="51"/>
        <v>-0.47189002859119694</v>
      </c>
      <c r="AO468" s="45">
        <f t="shared" si="52"/>
        <v>0</v>
      </c>
      <c r="AP468" s="46">
        <f t="shared" si="53"/>
        <v>0</v>
      </c>
      <c r="AQ468" s="44">
        <f>($AM$3*AM468+$AN$3*AN468+$AO$3*AO468+$AP$3*AP468)+$I$3*VLOOKUP(I468,COND!$A$2:$E$7,4,FALSE)+$J$3*VLOOKUP(J468,COND!$A$2:$C$7,2,FALSE)+$K$3*VLOOKUP(K468,COND!$A$2:$C$7,3,FALSE)+IF(AND($B$2&gt;0,$E468&lt;20),$B$2*25,0)</f>
        <v>38.876851668093835</v>
      </c>
      <c r="AR468" s="47">
        <f t="shared" si="54"/>
        <v>-1.1650885425684603</v>
      </c>
      <c r="AS468" s="45" t="str">
        <f t="shared" si="55"/>
        <v>LF</v>
      </c>
      <c r="AT468" s="45">
        <f>RANK(Batters[[#This Row],[zScore]],Batters[[#All],[zScore]])</f>
        <v>464</v>
      </c>
      <c r="AU468" s="45"/>
      <c r="AV468" s="45"/>
      <c r="AW468" s="45" t="str">
        <f t="shared" si="56"/>
        <v>Unlikely</v>
      </c>
      <c r="AX468" s="45"/>
      <c r="AY468" s="45" t="str">
        <f>INDEX(Table5[[#All],[Ovr]],MATCH(Batters[[#This Row],[PID]],Table5[[#All],[PID]],0))</f>
        <v/>
      </c>
      <c r="AZ468" s="45" t="str">
        <f>INDEX(Table5[[#All],[Rnd]],MATCH(Batters[[#This Row],[PID]],Table5[[#All],[PID]],0))</f>
        <v/>
      </c>
      <c r="BA468" s="45" t="str">
        <f>INDEX(Table5[[#All],[Pick]],MATCH(Batters[[#This Row],[PID]],Table5[[#All],[PID]],0))</f>
        <v/>
      </c>
      <c r="BB468" s="45" t="str">
        <f>INDEX(Table5[[#All],[Team]],MATCH(Batters[[#This Row],[PID]],Table5[[#All],[PID]],0))</f>
        <v/>
      </c>
    </row>
    <row r="469" spans="1:54" ht="15" customHeight="1" x14ac:dyDescent="0.25">
      <c r="A469" s="40">
        <v>9736</v>
      </c>
      <c r="B469" s="40" t="s">
        <v>86</v>
      </c>
      <c r="C469" s="40" t="s">
        <v>367</v>
      </c>
      <c r="D469" s="40" t="s">
        <v>968</v>
      </c>
      <c r="E469" s="40">
        <v>22</v>
      </c>
      <c r="F469" s="40" t="s">
        <v>53</v>
      </c>
      <c r="G469" s="40" t="s">
        <v>53</v>
      </c>
      <c r="H469" s="41" t="s">
        <v>638</v>
      </c>
      <c r="I469" s="65" t="s">
        <v>47</v>
      </c>
      <c r="J469" s="66" t="s">
        <v>47</v>
      </c>
      <c r="K469" s="67" t="s">
        <v>43</v>
      </c>
      <c r="L469" s="40">
        <v>1</v>
      </c>
      <c r="M469" s="40">
        <v>3</v>
      </c>
      <c r="N469" s="40">
        <v>3</v>
      </c>
      <c r="O469" s="40">
        <v>4</v>
      </c>
      <c r="P469" s="41">
        <v>1</v>
      </c>
      <c r="Q469" s="40">
        <v>3</v>
      </c>
      <c r="R469" s="40">
        <v>4</v>
      </c>
      <c r="S469" s="40">
        <v>3</v>
      </c>
      <c r="T469" s="40">
        <v>6</v>
      </c>
      <c r="U469" s="41">
        <v>2</v>
      </c>
      <c r="V469" s="40">
        <v>3</v>
      </c>
      <c r="W469" s="40">
        <v>3</v>
      </c>
      <c r="X469" s="40">
        <v>5</v>
      </c>
      <c r="Y469" s="41">
        <v>3</v>
      </c>
      <c r="Z469" s="40">
        <v>1</v>
      </c>
      <c r="AA469" s="40" t="s">
        <v>45</v>
      </c>
      <c r="AB469" s="40" t="s">
        <v>45</v>
      </c>
      <c r="AC469" s="40" t="s">
        <v>45</v>
      </c>
      <c r="AD469" s="40" t="s">
        <v>45</v>
      </c>
      <c r="AE469" s="40" t="s">
        <v>45</v>
      </c>
      <c r="AF469" s="40" t="s">
        <v>45</v>
      </c>
      <c r="AG469" s="41" t="s">
        <v>45</v>
      </c>
      <c r="AH469" s="40">
        <v>1</v>
      </c>
      <c r="AI469" s="40">
        <v>1</v>
      </c>
      <c r="AJ469" s="41">
        <v>2</v>
      </c>
      <c r="AK469" s="43" t="s">
        <v>45</v>
      </c>
      <c r="AL469" s="43" t="s">
        <v>47</v>
      </c>
      <c r="AM469" s="44">
        <f t="shared" si="50"/>
        <v>-1.546971952513619</v>
      </c>
      <c r="AN469" s="44">
        <f t="shared" si="51"/>
        <v>-0.63136496065332037</v>
      </c>
      <c r="AO469" s="45">
        <f t="shared" si="52"/>
        <v>0</v>
      </c>
      <c r="AP469" s="46">
        <f t="shared" si="53"/>
        <v>1</v>
      </c>
      <c r="AQ469" s="44">
        <f>($AM$3*AM469+$AN$3*AN469+$AO$3*AO469+$AP$3*AP469)+$I$3*VLOOKUP(I469,COND!$A$2:$E$7,4,FALSE)+$J$3*VLOOKUP(J469,COND!$A$2:$C$7,2,FALSE)+$K$3*VLOOKUP(K469,COND!$A$2:$C$7,3,FALSE)+IF(AND($B$2&gt;0,$E469&lt;20),$B$2*25,0)</f>
        <v>38.793923276908792</v>
      </c>
      <c r="AR469" s="47">
        <f t="shared" si="54"/>
        <v>-1.1834743274380859</v>
      </c>
      <c r="AS469" s="45" t="str">
        <f t="shared" si="55"/>
        <v>C</v>
      </c>
      <c r="AT469" s="45">
        <f>RANK(Batters[[#This Row],[zScore]],Batters[[#All],[zScore]])</f>
        <v>465</v>
      </c>
      <c r="AU469" s="45"/>
      <c r="AV469" s="45"/>
      <c r="AW469" s="45" t="str">
        <f t="shared" si="56"/>
        <v>Unlikely</v>
      </c>
      <c r="AX469" s="45"/>
      <c r="AY469" s="45" t="str">
        <f>INDEX(Table5[[#All],[Ovr]],MATCH(Batters[[#This Row],[PID]],Table5[[#All],[PID]],0))</f>
        <v/>
      </c>
      <c r="AZ469" s="45" t="str">
        <f>INDEX(Table5[[#All],[Rnd]],MATCH(Batters[[#This Row],[PID]],Table5[[#All],[PID]],0))</f>
        <v/>
      </c>
      <c r="BA469" s="45" t="str">
        <f>INDEX(Table5[[#All],[Pick]],MATCH(Batters[[#This Row],[PID]],Table5[[#All],[PID]],0))</f>
        <v/>
      </c>
      <c r="BB469" s="45" t="str">
        <f>INDEX(Table5[[#All],[Team]],MATCH(Batters[[#This Row],[PID]],Table5[[#All],[PID]],0))</f>
        <v/>
      </c>
    </row>
    <row r="470" spans="1:54" ht="15" customHeight="1" x14ac:dyDescent="0.25">
      <c r="A470" s="40">
        <v>13341</v>
      </c>
      <c r="B470" s="40" t="s">
        <v>69</v>
      </c>
      <c r="C470" s="40" t="s">
        <v>336</v>
      </c>
      <c r="D470" s="40" t="s">
        <v>1505</v>
      </c>
      <c r="E470" s="40">
        <v>21</v>
      </c>
      <c r="F470" s="40" t="s">
        <v>42</v>
      </c>
      <c r="G470" s="40" t="s">
        <v>42</v>
      </c>
      <c r="H470" s="41" t="s">
        <v>638</v>
      </c>
      <c r="I470" s="65" t="s">
        <v>43</v>
      </c>
      <c r="J470" s="66" t="s">
        <v>43</v>
      </c>
      <c r="K470" s="67" t="s">
        <v>43</v>
      </c>
      <c r="L470" s="40">
        <v>1</v>
      </c>
      <c r="M470" s="40">
        <v>2</v>
      </c>
      <c r="N470" s="40">
        <v>2</v>
      </c>
      <c r="O470" s="40">
        <v>3</v>
      </c>
      <c r="P470" s="41">
        <v>1</v>
      </c>
      <c r="Q470" s="40">
        <v>3</v>
      </c>
      <c r="R470" s="40">
        <v>4</v>
      </c>
      <c r="S470" s="40">
        <v>3</v>
      </c>
      <c r="T470" s="40">
        <v>6</v>
      </c>
      <c r="U470" s="41">
        <v>3</v>
      </c>
      <c r="V470" s="40">
        <v>9</v>
      </c>
      <c r="W470" s="40">
        <v>9</v>
      </c>
      <c r="X470" s="40">
        <v>1</v>
      </c>
      <c r="Y470" s="41">
        <v>1</v>
      </c>
      <c r="Z470" s="40" t="s">
        <v>45</v>
      </c>
      <c r="AA470" s="40" t="s">
        <v>45</v>
      </c>
      <c r="AB470" s="40">
        <v>3</v>
      </c>
      <c r="AC470" s="40">
        <v>4</v>
      </c>
      <c r="AD470" s="40" t="s">
        <v>45</v>
      </c>
      <c r="AE470" s="40" t="s">
        <v>45</v>
      </c>
      <c r="AF470" s="40" t="s">
        <v>45</v>
      </c>
      <c r="AG470" s="41" t="s">
        <v>45</v>
      </c>
      <c r="AH470" s="40">
        <v>10</v>
      </c>
      <c r="AI470" s="40">
        <v>10</v>
      </c>
      <c r="AJ470" s="41">
        <v>10</v>
      </c>
      <c r="AK470" s="43" t="s">
        <v>45</v>
      </c>
      <c r="AL470" s="43" t="s">
        <v>47</v>
      </c>
      <c r="AM470" s="44">
        <f t="shared" si="50"/>
        <v>-1.7708028761658048</v>
      </c>
      <c r="AN470" s="44">
        <f t="shared" si="51"/>
        <v>-0.59134862083623696</v>
      </c>
      <c r="AO470" s="45">
        <f t="shared" si="52"/>
        <v>6</v>
      </c>
      <c r="AP470" s="46">
        <f t="shared" si="53"/>
        <v>0</v>
      </c>
      <c r="AQ470" s="44">
        <f>($AM$3*AM470+$AN$3*AN470+$AO$3*AO470+$AP$3*AP470)+$I$3*VLOOKUP(I470,COND!$A$2:$E$7,4,FALSE)+$J$3*VLOOKUP(J470,COND!$A$2:$C$7,2,FALSE)+$K$3*VLOOKUP(K470,COND!$A$2:$C$7,3,FALSE)+IF(AND($B$2&gt;0,$E470&lt;20),$B$2*25,0)</f>
        <v>38.726736262348581</v>
      </c>
      <c r="AR470" s="47">
        <f t="shared" si="54"/>
        <v>-1.1983701427081555</v>
      </c>
      <c r="AS470" s="45" t="str">
        <f t="shared" si="55"/>
        <v>3B</v>
      </c>
      <c r="AT470" s="45">
        <f>RANK(Batters[[#This Row],[zScore]],Batters[[#All],[zScore]])</f>
        <v>466</v>
      </c>
      <c r="AU470" s="45"/>
      <c r="AV470" s="45"/>
      <c r="AW470" s="45" t="str">
        <f t="shared" si="56"/>
        <v>Unlikely</v>
      </c>
      <c r="AX470" s="45"/>
      <c r="AY470" s="45" t="str">
        <f>INDEX(Table5[[#All],[Ovr]],MATCH(Batters[[#This Row],[PID]],Table5[[#All],[PID]],0))</f>
        <v/>
      </c>
      <c r="AZ470" s="45" t="str">
        <f>INDEX(Table5[[#All],[Rnd]],MATCH(Batters[[#This Row],[PID]],Table5[[#All],[PID]],0))</f>
        <v/>
      </c>
      <c r="BA470" s="45" t="str">
        <f>INDEX(Table5[[#All],[Pick]],MATCH(Batters[[#This Row],[PID]],Table5[[#All],[PID]],0))</f>
        <v/>
      </c>
      <c r="BB470" s="45" t="str">
        <f>INDEX(Table5[[#All],[Team]],MATCH(Batters[[#This Row],[PID]],Table5[[#All],[PID]],0))</f>
        <v/>
      </c>
    </row>
    <row r="471" spans="1:54" ht="15" customHeight="1" x14ac:dyDescent="0.25">
      <c r="A471" s="40">
        <v>16919</v>
      </c>
      <c r="B471" s="40" t="s">
        <v>72</v>
      </c>
      <c r="C471" s="40" t="s">
        <v>434</v>
      </c>
      <c r="D471" s="40" t="s">
        <v>1434</v>
      </c>
      <c r="E471" s="40">
        <v>21</v>
      </c>
      <c r="F471" s="40" t="s">
        <v>62</v>
      </c>
      <c r="G471" s="40" t="s">
        <v>42</v>
      </c>
      <c r="H471" s="41" t="s">
        <v>638</v>
      </c>
      <c r="I471" s="65" t="s">
        <v>43</v>
      </c>
      <c r="J471" s="66" t="s">
        <v>43</v>
      </c>
      <c r="K471" s="67" t="s">
        <v>43</v>
      </c>
      <c r="L471" s="40">
        <v>1</v>
      </c>
      <c r="M471" s="40">
        <v>2</v>
      </c>
      <c r="N471" s="40">
        <v>2</v>
      </c>
      <c r="O471" s="40">
        <v>2</v>
      </c>
      <c r="P471" s="41">
        <v>2</v>
      </c>
      <c r="Q471" s="40">
        <v>3</v>
      </c>
      <c r="R471" s="40">
        <v>5</v>
      </c>
      <c r="S471" s="40">
        <v>4</v>
      </c>
      <c r="T471" s="40">
        <v>4</v>
      </c>
      <c r="U471" s="41">
        <v>4</v>
      </c>
      <c r="V471" s="40">
        <v>9</v>
      </c>
      <c r="W471" s="40">
        <v>8</v>
      </c>
      <c r="X471" s="40">
        <v>1</v>
      </c>
      <c r="Y471" s="41">
        <v>1</v>
      </c>
      <c r="Z471" s="40" t="s">
        <v>45</v>
      </c>
      <c r="AA471" s="40" t="s">
        <v>45</v>
      </c>
      <c r="AB471" s="40" t="s">
        <v>45</v>
      </c>
      <c r="AC471" s="40" t="s">
        <v>45</v>
      </c>
      <c r="AD471" s="40">
        <v>7</v>
      </c>
      <c r="AE471" s="40" t="s">
        <v>45</v>
      </c>
      <c r="AF471" s="40" t="s">
        <v>45</v>
      </c>
      <c r="AG471" s="41" t="s">
        <v>45</v>
      </c>
      <c r="AH471" s="40">
        <v>2</v>
      </c>
      <c r="AI471" s="40">
        <v>2</v>
      </c>
      <c r="AJ471" s="41">
        <v>1</v>
      </c>
      <c r="AK471" s="43" t="s">
        <v>643</v>
      </c>
      <c r="AL471" s="43" t="s">
        <v>47</v>
      </c>
      <c r="AM471" s="44">
        <f t="shared" si="50"/>
        <v>-1.8204960863583022</v>
      </c>
      <c r="AN471" s="44">
        <f t="shared" si="51"/>
        <v>-0.59663000739571059</v>
      </c>
      <c r="AO471" s="45">
        <f t="shared" si="52"/>
        <v>0</v>
      </c>
      <c r="AP471" s="46">
        <f t="shared" si="53"/>
        <v>1</v>
      </c>
      <c r="AQ471" s="44">
        <f>($AM$3*AM471+$AN$3*AN471+$AO$3*AO471+$AP$3*AP471)+$I$3*VLOOKUP(I471,COND!$A$2:$E$7,4,FALSE)+$J$3*VLOOKUP(J471,COND!$A$2:$C$7,2,FALSE)+$K$3*VLOOKUP(K471,COND!$A$2:$C$7,3,FALSE)+IF(AND($B$2&gt;0,$E471&lt;20),$B$2*25,0)</f>
        <v>38.658390302615643</v>
      </c>
      <c r="AR471" s="47">
        <f t="shared" si="54"/>
        <v>-1.2135229039567608</v>
      </c>
      <c r="AS471" s="45" t="str">
        <f t="shared" si="55"/>
        <v>SS</v>
      </c>
      <c r="AT471" s="45">
        <f>RANK(Batters[[#This Row],[zScore]],Batters[[#All],[zScore]])</f>
        <v>467</v>
      </c>
      <c r="AU471" s="45"/>
      <c r="AV471" s="45"/>
      <c r="AW471" s="45" t="str">
        <f t="shared" si="56"/>
        <v>Unlikely</v>
      </c>
      <c r="AX471" s="45"/>
      <c r="AY471" s="45">
        <f>INDEX(Table5[[#All],[Ovr]],MATCH(Batters[[#This Row],[PID]],Table5[[#All],[PID]],0))</f>
        <v>518</v>
      </c>
      <c r="AZ471" s="45" t="str">
        <f>INDEX(Table5[[#All],[Rnd]],MATCH(Batters[[#This Row],[PID]],Table5[[#All],[PID]],0))</f>
        <v>17</v>
      </c>
      <c r="BA471" s="45">
        <f>INDEX(Table5[[#All],[Pick]],MATCH(Batters[[#This Row],[PID]],Table5[[#All],[PID]],0))</f>
        <v>30</v>
      </c>
      <c r="BB471" s="45" t="str">
        <f>INDEX(Table5[[#All],[Team]],MATCH(Batters[[#This Row],[PID]],Table5[[#All],[PID]],0))</f>
        <v>Florida Farstriders</v>
      </c>
    </row>
    <row r="472" spans="1:54" ht="15" customHeight="1" x14ac:dyDescent="0.25">
      <c r="A472" s="40">
        <v>18015</v>
      </c>
      <c r="B472" s="40" t="s">
        <v>69</v>
      </c>
      <c r="C472" s="40" t="s">
        <v>142</v>
      </c>
      <c r="D472" s="40" t="s">
        <v>368</v>
      </c>
      <c r="E472" s="40">
        <v>21</v>
      </c>
      <c r="F472" s="40" t="s">
        <v>42</v>
      </c>
      <c r="G472" s="40" t="s">
        <v>42</v>
      </c>
      <c r="H472" s="41" t="s">
        <v>638</v>
      </c>
      <c r="I472" s="65" t="s">
        <v>43</v>
      </c>
      <c r="J472" s="66" t="s">
        <v>44</v>
      </c>
      <c r="K472" s="67" t="s">
        <v>47</v>
      </c>
      <c r="L472" s="40">
        <v>1</v>
      </c>
      <c r="M472" s="40">
        <v>1</v>
      </c>
      <c r="N472" s="40">
        <v>3</v>
      </c>
      <c r="O472" s="40">
        <v>2</v>
      </c>
      <c r="P472" s="41">
        <v>1</v>
      </c>
      <c r="Q472" s="40">
        <v>3</v>
      </c>
      <c r="R472" s="40">
        <v>5</v>
      </c>
      <c r="S472" s="40">
        <v>5</v>
      </c>
      <c r="T472" s="40">
        <v>4</v>
      </c>
      <c r="U472" s="41">
        <v>4</v>
      </c>
      <c r="V472" s="40">
        <v>5</v>
      </c>
      <c r="W472" s="40">
        <v>5</v>
      </c>
      <c r="X472" s="40">
        <v>1</v>
      </c>
      <c r="Y472" s="41">
        <v>1</v>
      </c>
      <c r="Z472" s="40" t="s">
        <v>45</v>
      </c>
      <c r="AA472" s="40" t="s">
        <v>45</v>
      </c>
      <c r="AB472" s="40" t="s">
        <v>45</v>
      </c>
      <c r="AC472" s="40">
        <v>1</v>
      </c>
      <c r="AD472" s="40" t="s">
        <v>45</v>
      </c>
      <c r="AE472" s="40" t="s">
        <v>45</v>
      </c>
      <c r="AF472" s="40" t="s">
        <v>45</v>
      </c>
      <c r="AG472" s="41" t="s">
        <v>45</v>
      </c>
      <c r="AH472" s="40">
        <v>5</v>
      </c>
      <c r="AI472" s="40">
        <v>6</v>
      </c>
      <c r="AJ472" s="41">
        <v>3</v>
      </c>
      <c r="AK472" s="43" t="s">
        <v>45</v>
      </c>
      <c r="AL472" s="43" t="s">
        <v>635</v>
      </c>
      <c r="AM472" s="44">
        <f t="shared" si="50"/>
        <v>-1.828510811770188</v>
      </c>
      <c r="AN472" s="44">
        <f t="shared" si="51"/>
        <v>-0.51356851337180909</v>
      </c>
      <c r="AO472" s="45">
        <f t="shared" si="52"/>
        <v>0</v>
      </c>
      <c r="AP472" s="46">
        <f t="shared" si="53"/>
        <v>0</v>
      </c>
      <c r="AQ472" s="44">
        <f>($AM$3*AM472+$AN$3*AN472+$AO$3*AO472+$AP$3*AP472)+$I$3*VLOOKUP(I472,COND!$A$2:$E$7,4,FALSE)+$J$3*VLOOKUP(J472,COND!$A$2:$C$7,2,FALSE)+$K$3*VLOOKUP(K472,COND!$A$2:$C$7,3,FALSE)+IF(AND($B$2&gt;0,$E472&lt;20),$B$2*25,0)</f>
        <v>38.654326758361272</v>
      </c>
      <c r="AR472" s="47">
        <f t="shared" si="54"/>
        <v>-1.214423819184965</v>
      </c>
      <c r="AS472" s="45" t="str">
        <f t="shared" si="55"/>
        <v>3B</v>
      </c>
      <c r="AT472" s="45">
        <f>RANK(Batters[[#This Row],[zScore]],Batters[[#All],[zScore]])</f>
        <v>468</v>
      </c>
      <c r="AU472" s="45"/>
      <c r="AV472" s="45"/>
      <c r="AW472" s="45" t="str">
        <f t="shared" si="56"/>
        <v>Unlikely</v>
      </c>
      <c r="AX472" s="45"/>
      <c r="AY472" s="45">
        <f>INDEX(Table5[[#All],[Ovr]],MATCH(Batters[[#This Row],[PID]],Table5[[#All],[PID]],0))</f>
        <v>473</v>
      </c>
      <c r="AZ472" s="45" t="str">
        <f>INDEX(Table5[[#All],[Rnd]],MATCH(Batters[[#This Row],[PID]],Table5[[#All],[PID]],0))</f>
        <v>16</v>
      </c>
      <c r="BA472" s="45">
        <f>INDEX(Table5[[#All],[Pick]],MATCH(Batters[[#This Row],[PID]],Table5[[#All],[PID]],0))</f>
        <v>15</v>
      </c>
      <c r="BB472" s="45" t="str">
        <f>INDEX(Table5[[#All],[Team]],MATCH(Batters[[#This Row],[PID]],Table5[[#All],[PID]],0))</f>
        <v>Kentucky Thoroughbreds</v>
      </c>
    </row>
    <row r="473" spans="1:54" ht="15" customHeight="1" x14ac:dyDescent="0.25">
      <c r="A473" s="40">
        <v>20330</v>
      </c>
      <c r="B473" s="40" t="s">
        <v>87</v>
      </c>
      <c r="C473" s="40" t="s">
        <v>373</v>
      </c>
      <c r="D473" s="40" t="s">
        <v>1724</v>
      </c>
      <c r="E473" s="40">
        <v>18</v>
      </c>
      <c r="F473" s="40" t="s">
        <v>42</v>
      </c>
      <c r="G473" s="40" t="s">
        <v>42</v>
      </c>
      <c r="H473" s="41" t="s">
        <v>647</v>
      </c>
      <c r="I473" s="65" t="s">
        <v>43</v>
      </c>
      <c r="J473" s="66" t="s">
        <v>47</v>
      </c>
      <c r="K473" s="67" t="s">
        <v>43</v>
      </c>
      <c r="L473" s="40">
        <v>1</v>
      </c>
      <c r="M473" s="40">
        <v>1</v>
      </c>
      <c r="N473" s="40">
        <v>2</v>
      </c>
      <c r="O473" s="40">
        <v>2</v>
      </c>
      <c r="P473" s="41">
        <v>1</v>
      </c>
      <c r="Q473" s="40">
        <v>3</v>
      </c>
      <c r="R473" s="40">
        <v>3</v>
      </c>
      <c r="S473" s="40">
        <v>2</v>
      </c>
      <c r="T473" s="40">
        <v>3</v>
      </c>
      <c r="U473" s="41">
        <v>4</v>
      </c>
      <c r="V473" s="40">
        <v>4</v>
      </c>
      <c r="W473" s="40">
        <v>3</v>
      </c>
      <c r="X473" s="40">
        <v>1</v>
      </c>
      <c r="Y473" s="41">
        <v>1</v>
      </c>
      <c r="Z473" s="40" t="s">
        <v>45</v>
      </c>
      <c r="AA473" s="40" t="s">
        <v>45</v>
      </c>
      <c r="AB473" s="40" t="s">
        <v>45</v>
      </c>
      <c r="AC473" s="40" t="s">
        <v>45</v>
      </c>
      <c r="AD473" s="40" t="s">
        <v>45</v>
      </c>
      <c r="AE473" s="40" t="s">
        <v>45</v>
      </c>
      <c r="AF473" s="40" t="s">
        <v>45</v>
      </c>
      <c r="AG473" s="41" t="s">
        <v>45</v>
      </c>
      <c r="AH473" s="40">
        <v>1</v>
      </c>
      <c r="AI473" s="40">
        <v>1</v>
      </c>
      <c r="AJ473" s="41">
        <v>3</v>
      </c>
      <c r="AK473" s="43" t="s">
        <v>644</v>
      </c>
      <c r="AL473" s="43"/>
      <c r="AM473" s="44">
        <f t="shared" si="50"/>
        <v>-1.9115723057940897</v>
      </c>
      <c r="AN473" s="44">
        <f t="shared" si="51"/>
        <v>-0.95458230469050154</v>
      </c>
      <c r="AO473" s="45">
        <f t="shared" si="52"/>
        <v>0</v>
      </c>
      <c r="AP473" s="46">
        <f t="shared" si="53"/>
        <v>0</v>
      </c>
      <c r="AQ473" s="44">
        <f>($AM$3*AM473+$AN$3*AN473+$AO$3*AO473+$AP$3*AP473)+$I$3*VLOOKUP(I473,COND!$A$2:$E$7,4,FALSE)+$J$3*VLOOKUP(J473,COND!$A$2:$C$7,2,FALSE)+$K$3*VLOOKUP(K473,COND!$A$2:$C$7,3,FALSE)+IF(AND($B$2&gt;0,$E473&lt;20),$B$2*25,0)</f>
        <v>38.653855113134576</v>
      </c>
      <c r="AR473" s="47">
        <f t="shared" si="54"/>
        <v>-1.2145283861197496</v>
      </c>
      <c r="AS473" s="45" t="str">
        <f t="shared" si="55"/>
        <v>DH</v>
      </c>
      <c r="AT473" s="45">
        <f>RANK(Batters[[#This Row],[zScore]],Batters[[#All],[zScore]])</f>
        <v>469</v>
      </c>
      <c r="AU473" s="45"/>
      <c r="AV473" s="45"/>
      <c r="AW473" s="45" t="str">
        <f t="shared" si="56"/>
        <v>Unlikely</v>
      </c>
      <c r="AX473" s="45"/>
      <c r="AY473" s="64" t="str">
        <f>INDEX(Table5[[#All],[Ovr]],MATCH(Batters[[#This Row],[PID]],Table5[[#All],[PID]],0))</f>
        <v/>
      </c>
      <c r="AZ473" s="64" t="str">
        <f>INDEX(Table5[[#All],[Rnd]],MATCH(Batters[[#This Row],[PID]],Table5[[#All],[PID]],0))</f>
        <v/>
      </c>
      <c r="BA473" s="64" t="str">
        <f>INDEX(Table5[[#All],[Pick]],MATCH(Batters[[#This Row],[PID]],Table5[[#All],[PID]],0))</f>
        <v/>
      </c>
      <c r="BB473" s="64" t="str">
        <f>INDEX(Table5[[#All],[Team]],MATCH(Batters[[#This Row],[PID]],Table5[[#All],[PID]],0))</f>
        <v/>
      </c>
    </row>
    <row r="474" spans="1:54" ht="15" customHeight="1" x14ac:dyDescent="0.25">
      <c r="A474" s="40">
        <v>20443</v>
      </c>
      <c r="B474" s="40" t="s">
        <v>71</v>
      </c>
      <c r="C474" s="40" t="s">
        <v>1456</v>
      </c>
      <c r="D474" s="40" t="s">
        <v>608</v>
      </c>
      <c r="E474" s="40">
        <v>18</v>
      </c>
      <c r="F474" s="40" t="s">
        <v>42</v>
      </c>
      <c r="G474" s="40" t="s">
        <v>42</v>
      </c>
      <c r="H474" s="41" t="s">
        <v>638</v>
      </c>
      <c r="I474" s="65" t="s">
        <v>43</v>
      </c>
      <c r="J474" s="66" t="s">
        <v>47</v>
      </c>
      <c r="K474" s="67" t="s">
        <v>43</v>
      </c>
      <c r="L474" s="40">
        <v>1</v>
      </c>
      <c r="M474" s="40">
        <v>3</v>
      </c>
      <c r="N474" s="40">
        <v>2</v>
      </c>
      <c r="O474" s="40">
        <v>3</v>
      </c>
      <c r="P474" s="41">
        <v>1</v>
      </c>
      <c r="Q474" s="40">
        <v>2</v>
      </c>
      <c r="R474" s="40">
        <v>5</v>
      </c>
      <c r="S474" s="40">
        <v>2</v>
      </c>
      <c r="T474" s="40">
        <v>5</v>
      </c>
      <c r="U474" s="41">
        <v>3</v>
      </c>
      <c r="V474" s="40">
        <v>9</v>
      </c>
      <c r="W474" s="40">
        <v>9</v>
      </c>
      <c r="X474" s="40">
        <v>1</v>
      </c>
      <c r="Y474" s="41">
        <v>1</v>
      </c>
      <c r="Z474" s="40" t="s">
        <v>45</v>
      </c>
      <c r="AA474" s="40" t="s">
        <v>45</v>
      </c>
      <c r="AB474" s="40">
        <v>5</v>
      </c>
      <c r="AC474" s="40" t="s">
        <v>45</v>
      </c>
      <c r="AD474" s="40">
        <v>1</v>
      </c>
      <c r="AE474" s="40" t="s">
        <v>45</v>
      </c>
      <c r="AF474" s="40" t="s">
        <v>45</v>
      </c>
      <c r="AG474" s="41" t="s">
        <v>45</v>
      </c>
      <c r="AH474" s="40">
        <v>8</v>
      </c>
      <c r="AI474" s="40">
        <v>7</v>
      </c>
      <c r="AJ474" s="41">
        <v>6</v>
      </c>
      <c r="AK474" s="43" t="s">
        <v>644</v>
      </c>
      <c r="AL474" s="43" t="s">
        <v>635</v>
      </c>
      <c r="AM474" s="44">
        <f t="shared" si="50"/>
        <v>-1.7197429965471014</v>
      </c>
      <c r="AN474" s="44">
        <f t="shared" si="51"/>
        <v>-1.0356156214536909</v>
      </c>
      <c r="AO474" s="45">
        <f t="shared" si="52"/>
        <v>2</v>
      </c>
      <c r="AP474" s="46">
        <f t="shared" si="53"/>
        <v>0.6</v>
      </c>
      <c r="AQ474" s="44">
        <f>($AM$3*AM474+$AN$3*AN474+$AO$3*AO474+$AP$3*AP474)+$I$3*VLOOKUP(I474,COND!$A$2:$E$7,4,FALSE)+$J$3*VLOOKUP(J474,COND!$A$2:$C$7,2,FALSE)+$K$3*VLOOKUP(K474,COND!$A$2:$C$7,3,FALSE)+IF(AND($B$2&gt;0,$E474&lt;20),$B$2*25,0)</f>
        <v>38.63397157623433</v>
      </c>
      <c r="AR474" s="47">
        <f t="shared" si="54"/>
        <v>-1.2189367006507701</v>
      </c>
      <c r="AS474" s="45" t="str">
        <f t="shared" si="55"/>
        <v>2B</v>
      </c>
      <c r="AT474" s="45">
        <f>RANK(Batters[[#This Row],[zScore]],Batters[[#All],[zScore]])</f>
        <v>470</v>
      </c>
      <c r="AU474" s="45"/>
      <c r="AV474" s="45"/>
      <c r="AW474" s="45" t="str">
        <f t="shared" si="56"/>
        <v>Unlikely</v>
      </c>
      <c r="AX474" s="45"/>
      <c r="AY474" s="45" t="str">
        <f>INDEX(Table5[[#All],[Ovr]],MATCH(Batters[[#This Row],[PID]],Table5[[#All],[PID]],0))</f>
        <v/>
      </c>
      <c r="AZ474" s="45" t="str">
        <f>INDEX(Table5[[#All],[Rnd]],MATCH(Batters[[#This Row],[PID]],Table5[[#All],[PID]],0))</f>
        <v/>
      </c>
      <c r="BA474" s="45" t="str">
        <f>INDEX(Table5[[#All],[Pick]],MATCH(Batters[[#This Row],[PID]],Table5[[#All],[PID]],0))</f>
        <v/>
      </c>
      <c r="BB474" s="45" t="str">
        <f>INDEX(Table5[[#All],[Team]],MATCH(Batters[[#This Row],[PID]],Table5[[#All],[PID]],0))</f>
        <v/>
      </c>
    </row>
    <row r="475" spans="1:54" ht="15" customHeight="1" x14ac:dyDescent="0.25">
      <c r="A475" s="40">
        <v>20737</v>
      </c>
      <c r="B475" s="40" t="s">
        <v>86</v>
      </c>
      <c r="C475" s="40" t="s">
        <v>341</v>
      </c>
      <c r="D475" s="40" t="s">
        <v>540</v>
      </c>
      <c r="E475" s="40">
        <v>17</v>
      </c>
      <c r="F475" s="40" t="s">
        <v>53</v>
      </c>
      <c r="G475" s="40" t="s">
        <v>42</v>
      </c>
      <c r="H475" s="41" t="s">
        <v>638</v>
      </c>
      <c r="I475" s="65" t="s">
        <v>43</v>
      </c>
      <c r="J475" s="66" t="s">
        <v>44</v>
      </c>
      <c r="K475" s="67" t="s">
        <v>43</v>
      </c>
      <c r="L475" s="40">
        <v>1</v>
      </c>
      <c r="M475" s="40">
        <v>2</v>
      </c>
      <c r="N475" s="40">
        <v>2</v>
      </c>
      <c r="O475" s="40">
        <v>2</v>
      </c>
      <c r="P475" s="41">
        <v>1</v>
      </c>
      <c r="Q475" s="40">
        <v>2</v>
      </c>
      <c r="R475" s="40">
        <v>4</v>
      </c>
      <c r="S475" s="40">
        <v>4</v>
      </c>
      <c r="T475" s="40">
        <v>6</v>
      </c>
      <c r="U475" s="41">
        <v>1</v>
      </c>
      <c r="V475" s="40">
        <v>3</v>
      </c>
      <c r="W475" s="40">
        <v>3</v>
      </c>
      <c r="X475" s="40">
        <v>4</v>
      </c>
      <c r="Y475" s="41">
        <v>6</v>
      </c>
      <c r="Z475" s="40" t="s">
        <v>45</v>
      </c>
      <c r="AA475" s="40" t="s">
        <v>45</v>
      </c>
      <c r="AB475" s="40" t="s">
        <v>45</v>
      </c>
      <c r="AC475" s="40" t="s">
        <v>45</v>
      </c>
      <c r="AD475" s="40" t="s">
        <v>45</v>
      </c>
      <c r="AE475" s="40" t="s">
        <v>45</v>
      </c>
      <c r="AF475" s="40" t="s">
        <v>45</v>
      </c>
      <c r="AG475" s="41" t="s">
        <v>45</v>
      </c>
      <c r="AH475" s="40">
        <v>1</v>
      </c>
      <c r="AI475" s="40">
        <v>1</v>
      </c>
      <c r="AJ475" s="41">
        <v>1</v>
      </c>
      <c r="AK475" s="43" t="s">
        <v>644</v>
      </c>
      <c r="AL475" s="43" t="s">
        <v>635</v>
      </c>
      <c r="AM475" s="44">
        <f t="shared" si="50"/>
        <v>-1.8605124261753858</v>
      </c>
      <c r="AN475" s="44">
        <f t="shared" si="51"/>
        <v>-0.91087564264917709</v>
      </c>
      <c r="AO475" s="45">
        <f t="shared" si="52"/>
        <v>0</v>
      </c>
      <c r="AP475" s="46">
        <f t="shared" si="53"/>
        <v>0</v>
      </c>
      <c r="AQ475" s="44">
        <f>($AM$3*AM475+$AN$3*AN475+$AO$3*AO475+$AP$3*AP475)+$I$3*VLOOKUP(I475,COND!$A$2:$E$7,4,FALSE)+$J$3*VLOOKUP(J475,COND!$A$2:$C$7,2,FALSE)+$K$3*VLOOKUP(K475,COND!$A$2:$C$7,3,FALSE)+IF(AND($B$2&gt;0,$E475&lt;20),$B$2*25,0)</f>
        <v>38.583441045592338</v>
      </c>
      <c r="AR475" s="47">
        <f t="shared" si="54"/>
        <v>-1.2301396608487882</v>
      </c>
      <c r="AS475" s="45" t="str">
        <f t="shared" si="55"/>
        <v>DH</v>
      </c>
      <c r="AT475" s="45">
        <f>RANK(Batters[[#This Row],[zScore]],Batters[[#All],[zScore]])</f>
        <v>471</v>
      </c>
      <c r="AU475" s="45"/>
      <c r="AV475" s="45"/>
      <c r="AW475" s="45" t="str">
        <f t="shared" si="56"/>
        <v>Unlikely</v>
      </c>
      <c r="AX475" s="45"/>
      <c r="AY475" s="45" t="str">
        <f>INDEX(Table5[[#All],[Ovr]],MATCH(Batters[[#This Row],[PID]],Table5[[#All],[PID]],0))</f>
        <v/>
      </c>
      <c r="AZ475" s="45" t="str">
        <f>INDEX(Table5[[#All],[Rnd]],MATCH(Batters[[#This Row],[PID]],Table5[[#All],[PID]],0))</f>
        <v/>
      </c>
      <c r="BA475" s="45" t="str">
        <f>INDEX(Table5[[#All],[Pick]],MATCH(Batters[[#This Row],[PID]],Table5[[#All],[PID]],0))</f>
        <v/>
      </c>
      <c r="BB475" s="45" t="str">
        <f>INDEX(Table5[[#All],[Team]],MATCH(Batters[[#This Row],[PID]],Table5[[#All],[PID]],0))</f>
        <v/>
      </c>
    </row>
    <row r="476" spans="1:54" ht="15" customHeight="1" x14ac:dyDescent="0.25">
      <c r="A476" s="40">
        <v>17822</v>
      </c>
      <c r="B476" s="40" t="s">
        <v>71</v>
      </c>
      <c r="C476" s="40" t="s">
        <v>1619</v>
      </c>
      <c r="D476" s="40" t="s">
        <v>1620</v>
      </c>
      <c r="E476" s="40">
        <v>18</v>
      </c>
      <c r="F476" s="40" t="s">
        <v>42</v>
      </c>
      <c r="G476" s="40" t="s">
        <v>42</v>
      </c>
      <c r="H476" s="41" t="s">
        <v>638</v>
      </c>
      <c r="I476" s="65" t="s">
        <v>47</v>
      </c>
      <c r="J476" s="66" t="s">
        <v>47</v>
      </c>
      <c r="K476" s="67" t="s">
        <v>47</v>
      </c>
      <c r="L476" s="40">
        <v>1</v>
      </c>
      <c r="M476" s="40">
        <v>1</v>
      </c>
      <c r="N476" s="40">
        <v>2</v>
      </c>
      <c r="O476" s="40">
        <v>1</v>
      </c>
      <c r="P476" s="41">
        <v>2</v>
      </c>
      <c r="Q476" s="40">
        <v>3</v>
      </c>
      <c r="R476" s="40">
        <v>3</v>
      </c>
      <c r="S476" s="40">
        <v>2</v>
      </c>
      <c r="T476" s="40">
        <v>2</v>
      </c>
      <c r="U476" s="41">
        <v>5</v>
      </c>
      <c r="V476" s="40">
        <v>9</v>
      </c>
      <c r="W476" s="40">
        <v>8</v>
      </c>
      <c r="X476" s="40">
        <v>1</v>
      </c>
      <c r="Y476" s="41">
        <v>1</v>
      </c>
      <c r="Z476" s="40" t="s">
        <v>45</v>
      </c>
      <c r="AA476" s="40" t="s">
        <v>45</v>
      </c>
      <c r="AB476" s="40">
        <v>2</v>
      </c>
      <c r="AC476" s="40">
        <v>4</v>
      </c>
      <c r="AD476" s="40" t="s">
        <v>45</v>
      </c>
      <c r="AE476" s="40" t="s">
        <v>45</v>
      </c>
      <c r="AF476" s="40" t="s">
        <v>45</v>
      </c>
      <c r="AG476" s="41" t="s">
        <v>45</v>
      </c>
      <c r="AH476" s="40">
        <v>1</v>
      </c>
      <c r="AI476" s="40">
        <v>5</v>
      </c>
      <c r="AJ476" s="41">
        <v>3</v>
      </c>
      <c r="AK476" s="43" t="s">
        <v>644</v>
      </c>
      <c r="AL476" s="43" t="s">
        <v>635</v>
      </c>
      <c r="AM476" s="44">
        <f t="shared" si="50"/>
        <v>-1.961265515986587</v>
      </c>
      <c r="AN476" s="44">
        <f t="shared" si="51"/>
        <v>-1.0042755148829992</v>
      </c>
      <c r="AO476" s="45">
        <f t="shared" si="52"/>
        <v>0</v>
      </c>
      <c r="AP476" s="46">
        <f t="shared" si="53"/>
        <v>0</v>
      </c>
      <c r="AQ476" s="44">
        <f>($AM$3*AM476+$AN$3*AN476+$AO$3*AO476+$AP$3*AP476)+$I$3*VLOOKUP(I476,COND!$A$2:$E$7,4,FALSE)+$J$3*VLOOKUP(J476,COND!$A$2:$C$7,2,FALSE)+$K$3*VLOOKUP(K476,COND!$A$2:$C$7,3,FALSE)+IF(AND($B$2&gt;0,$E476&lt;20),$B$2*25,0)</f>
        <v>38.577567269805357</v>
      </c>
      <c r="AR476" s="47">
        <f t="shared" si="54"/>
        <v>-1.2314419166438013</v>
      </c>
      <c r="AS476" s="45" t="str">
        <f t="shared" si="55"/>
        <v>3B</v>
      </c>
      <c r="AT476" s="45">
        <f>RANK(Batters[[#This Row],[zScore]],Batters[[#All],[zScore]])</f>
        <v>472</v>
      </c>
      <c r="AU476" s="45"/>
      <c r="AV476" s="45"/>
      <c r="AW476" s="45" t="str">
        <f t="shared" si="56"/>
        <v>Unlikely</v>
      </c>
      <c r="AX476" s="45"/>
      <c r="AY476" s="45">
        <f>INDEX(Table5[[#All],[Ovr]],MATCH(Batters[[#This Row],[PID]],Table5[[#All],[PID]],0))</f>
        <v>604</v>
      </c>
      <c r="AZ476" s="45" t="str">
        <f>INDEX(Table5[[#All],[Rnd]],MATCH(Batters[[#This Row],[PID]],Table5[[#All],[PID]],0))</f>
        <v>20</v>
      </c>
      <c r="BA476" s="45">
        <f>INDEX(Table5[[#All],[Pick]],MATCH(Batters[[#This Row],[PID]],Table5[[#All],[PID]],0))</f>
        <v>26</v>
      </c>
      <c r="BB476" s="45" t="str">
        <f>INDEX(Table5[[#All],[Team]],MATCH(Batters[[#This Row],[PID]],Table5[[#All],[PID]],0))</f>
        <v>Aurora Borealis</v>
      </c>
    </row>
    <row r="477" spans="1:54" ht="15" customHeight="1" x14ac:dyDescent="0.25">
      <c r="A477" s="40">
        <v>18083</v>
      </c>
      <c r="B477" s="40" t="s">
        <v>66</v>
      </c>
      <c r="C477" s="40" t="s">
        <v>731</v>
      </c>
      <c r="D477" s="40" t="s">
        <v>1589</v>
      </c>
      <c r="E477" s="40">
        <v>21</v>
      </c>
      <c r="F477" s="40" t="s">
        <v>62</v>
      </c>
      <c r="G477" s="40" t="s">
        <v>42</v>
      </c>
      <c r="H477" s="41" t="s">
        <v>638</v>
      </c>
      <c r="I477" s="65" t="s">
        <v>47</v>
      </c>
      <c r="J477" s="66" t="s">
        <v>47</v>
      </c>
      <c r="K477" s="67" t="s">
        <v>43</v>
      </c>
      <c r="L477" s="40">
        <v>2</v>
      </c>
      <c r="M477" s="40">
        <v>2</v>
      </c>
      <c r="N477" s="40">
        <v>3</v>
      </c>
      <c r="O477" s="40">
        <v>2</v>
      </c>
      <c r="P477" s="41">
        <v>1</v>
      </c>
      <c r="Q477" s="40">
        <v>3</v>
      </c>
      <c r="R477" s="40">
        <v>3</v>
      </c>
      <c r="S477" s="40">
        <v>5</v>
      </c>
      <c r="T477" s="40">
        <v>4</v>
      </c>
      <c r="U477" s="41">
        <v>2</v>
      </c>
      <c r="V477" s="40">
        <v>6</v>
      </c>
      <c r="W477" s="40">
        <v>7</v>
      </c>
      <c r="X477" s="40">
        <v>1</v>
      </c>
      <c r="Y477" s="41">
        <v>1</v>
      </c>
      <c r="Z477" s="40" t="s">
        <v>45</v>
      </c>
      <c r="AA477" s="40" t="s">
        <v>45</v>
      </c>
      <c r="AB477" s="40" t="s">
        <v>45</v>
      </c>
      <c r="AC477" s="40">
        <v>2</v>
      </c>
      <c r="AD477" s="40" t="s">
        <v>45</v>
      </c>
      <c r="AE477" s="40" t="s">
        <v>45</v>
      </c>
      <c r="AF477" s="40">
        <v>2</v>
      </c>
      <c r="AG477" s="41">
        <v>5</v>
      </c>
      <c r="AH477" s="40">
        <v>10</v>
      </c>
      <c r="AI477" s="40">
        <v>10</v>
      </c>
      <c r="AJ477" s="41">
        <v>10</v>
      </c>
      <c r="AK477" s="43" t="s">
        <v>45</v>
      </c>
      <c r="AL477" s="43" t="s">
        <v>635</v>
      </c>
      <c r="AM477" s="44">
        <f t="shared" si="50"/>
        <v>-1.4548950959488096</v>
      </c>
      <c r="AN477" s="44">
        <f t="shared" si="51"/>
        <v>-0.69572095224338304</v>
      </c>
      <c r="AO477" s="45">
        <f t="shared" si="52"/>
        <v>6</v>
      </c>
      <c r="AP477" s="46">
        <f t="shared" si="53"/>
        <v>0.5</v>
      </c>
      <c r="AQ477" s="44">
        <f>($AM$3*AM477+$AN$3*AN477+$AO$3*AO477+$AP$3*AP477)+$I$3*VLOOKUP(I477,COND!$A$2:$E$7,4,FALSE)+$J$3*VLOOKUP(J477,COND!$A$2:$C$7,2,FALSE)+$K$3*VLOOKUP(K477,COND!$A$2:$C$7,3,FALSE)+IF(AND($B$2&gt;0,$E477&lt;20),$B$2*25,0)</f>
        <v>38.53085906348452</v>
      </c>
      <c r="AR477" s="47">
        <f t="shared" si="54"/>
        <v>-1.2417974417033046</v>
      </c>
      <c r="AS477" s="45" t="str">
        <f t="shared" si="55"/>
        <v>3B</v>
      </c>
      <c r="AT477" s="45">
        <f>RANK(Batters[[#This Row],[zScore]],Batters[[#All],[zScore]])</f>
        <v>473</v>
      </c>
      <c r="AU477" s="45"/>
      <c r="AV477" s="45"/>
      <c r="AW477" s="45" t="str">
        <f t="shared" si="56"/>
        <v>Unlikely</v>
      </c>
      <c r="AX477" s="45"/>
      <c r="AY477" s="45">
        <f>INDEX(Table5[[#All],[Ovr]],MATCH(Batters[[#This Row],[PID]],Table5[[#All],[PID]],0))</f>
        <v>572</v>
      </c>
      <c r="AZ477" s="45" t="str">
        <f>INDEX(Table5[[#All],[Rnd]],MATCH(Batters[[#This Row],[PID]],Table5[[#All],[PID]],0))</f>
        <v>19</v>
      </c>
      <c r="BA477" s="45">
        <f>INDEX(Table5[[#All],[Pick]],MATCH(Batters[[#This Row],[PID]],Table5[[#All],[PID]],0))</f>
        <v>24</v>
      </c>
      <c r="BB477" s="45" t="str">
        <f>INDEX(Table5[[#All],[Team]],MATCH(Batters[[#This Row],[PID]],Table5[[#All],[PID]],0))</f>
        <v>Aurora Borealis</v>
      </c>
    </row>
    <row r="478" spans="1:54" ht="15" customHeight="1" x14ac:dyDescent="0.25">
      <c r="A478" s="40">
        <v>18136</v>
      </c>
      <c r="B478" s="40" t="s">
        <v>66</v>
      </c>
      <c r="C478" s="40" t="s">
        <v>128</v>
      </c>
      <c r="D478" s="40" t="s">
        <v>173</v>
      </c>
      <c r="E478" s="40">
        <v>21</v>
      </c>
      <c r="F478" s="40" t="s">
        <v>42</v>
      </c>
      <c r="G478" s="40" t="s">
        <v>42</v>
      </c>
      <c r="H478" s="41" t="s">
        <v>638</v>
      </c>
      <c r="I478" s="65" t="s">
        <v>43</v>
      </c>
      <c r="J478" s="66" t="s">
        <v>47</v>
      </c>
      <c r="K478" s="67" t="s">
        <v>43</v>
      </c>
      <c r="L478" s="40">
        <v>2</v>
      </c>
      <c r="M478" s="40">
        <v>3</v>
      </c>
      <c r="N478" s="40">
        <v>2</v>
      </c>
      <c r="O478" s="40">
        <v>3</v>
      </c>
      <c r="P478" s="41">
        <v>1</v>
      </c>
      <c r="Q478" s="40">
        <v>3</v>
      </c>
      <c r="R478" s="40">
        <v>4</v>
      </c>
      <c r="S478" s="40">
        <v>5</v>
      </c>
      <c r="T478" s="40">
        <v>5</v>
      </c>
      <c r="U478" s="41">
        <v>2</v>
      </c>
      <c r="V478" s="40">
        <v>3</v>
      </c>
      <c r="W478" s="40">
        <v>8</v>
      </c>
      <c r="X478" s="40">
        <v>1</v>
      </c>
      <c r="Y478" s="41">
        <v>1</v>
      </c>
      <c r="Z478" s="40" t="s">
        <v>45</v>
      </c>
      <c r="AA478" s="40" t="s">
        <v>45</v>
      </c>
      <c r="AB478" s="40" t="s">
        <v>45</v>
      </c>
      <c r="AC478" s="40" t="s">
        <v>45</v>
      </c>
      <c r="AD478" s="40" t="s">
        <v>45</v>
      </c>
      <c r="AE478" s="40">
        <v>1</v>
      </c>
      <c r="AF478" s="40" t="s">
        <v>45</v>
      </c>
      <c r="AG478" s="41">
        <v>2</v>
      </c>
      <c r="AH478" s="40">
        <v>2</v>
      </c>
      <c r="AI478" s="40">
        <v>1</v>
      </c>
      <c r="AJ478" s="41">
        <v>3</v>
      </c>
      <c r="AK478" s="43" t="s">
        <v>45</v>
      </c>
      <c r="AL478" s="43" t="s">
        <v>635</v>
      </c>
      <c r="AM478" s="44">
        <f t="shared" si="50"/>
        <v>-1.3971871603444268</v>
      </c>
      <c r="AN478" s="44">
        <f t="shared" si="51"/>
        <v>-0.55495152261509839</v>
      </c>
      <c r="AO478" s="45">
        <f t="shared" si="52"/>
        <v>0</v>
      </c>
      <c r="AP478" s="46">
        <f t="shared" si="53"/>
        <v>0</v>
      </c>
      <c r="AQ478" s="44">
        <f>($AM$3*AM478+$AN$3*AN478+$AO$3*AO478+$AP$3*AP478)+$I$3*VLOOKUP(I478,COND!$A$2:$E$7,4,FALSE)+$J$3*VLOOKUP(J478,COND!$A$2:$C$7,2,FALSE)+$K$3*VLOOKUP(K478,COND!$A$2:$C$7,3,FALSE)+IF(AND($B$2&gt;0,$E478&lt;20),$B$2*25,0)</f>
        <v>38.500863012584375</v>
      </c>
      <c r="AR478" s="47">
        <f t="shared" si="54"/>
        <v>-1.2484477689423539</v>
      </c>
      <c r="AS478" s="45" t="str">
        <f t="shared" si="55"/>
        <v>RF</v>
      </c>
      <c r="AT478" s="45">
        <f>RANK(Batters[[#This Row],[zScore]],Batters[[#All],[zScore]])</f>
        <v>474</v>
      </c>
      <c r="AU478" s="45"/>
      <c r="AV478" s="45"/>
      <c r="AW478" s="45" t="str">
        <f t="shared" si="56"/>
        <v>Unlikely</v>
      </c>
      <c r="AX478" s="45"/>
      <c r="AY478" s="45" t="str">
        <f>INDEX(Table5[[#All],[Ovr]],MATCH(Batters[[#This Row],[PID]],Table5[[#All],[PID]],0))</f>
        <v/>
      </c>
      <c r="AZ478" s="45" t="str">
        <f>INDEX(Table5[[#All],[Rnd]],MATCH(Batters[[#This Row],[PID]],Table5[[#All],[PID]],0))</f>
        <v/>
      </c>
      <c r="BA478" s="45" t="str">
        <f>INDEX(Table5[[#All],[Pick]],MATCH(Batters[[#This Row],[PID]],Table5[[#All],[PID]],0))</f>
        <v/>
      </c>
      <c r="BB478" s="45" t="str">
        <f>INDEX(Table5[[#All],[Team]],MATCH(Batters[[#This Row],[PID]],Table5[[#All],[PID]],0))</f>
        <v/>
      </c>
    </row>
    <row r="479" spans="1:54" ht="15" customHeight="1" x14ac:dyDescent="0.25">
      <c r="A479" s="40">
        <v>16131</v>
      </c>
      <c r="B479" s="40" t="s">
        <v>86</v>
      </c>
      <c r="C479" s="40" t="s">
        <v>866</v>
      </c>
      <c r="D479" s="40" t="s">
        <v>668</v>
      </c>
      <c r="E479" s="40">
        <v>21</v>
      </c>
      <c r="F479" s="40" t="s">
        <v>42</v>
      </c>
      <c r="G479" s="40" t="s">
        <v>42</v>
      </c>
      <c r="H479" s="41" t="s">
        <v>634</v>
      </c>
      <c r="I479" s="65" t="s">
        <v>43</v>
      </c>
      <c r="J479" s="66" t="s">
        <v>43</v>
      </c>
      <c r="K479" s="67" t="s">
        <v>47</v>
      </c>
      <c r="L479" s="40">
        <v>2</v>
      </c>
      <c r="M479" s="40">
        <v>2</v>
      </c>
      <c r="N479" s="40">
        <v>3</v>
      </c>
      <c r="O479" s="40">
        <v>3</v>
      </c>
      <c r="P479" s="41">
        <v>1</v>
      </c>
      <c r="Q479" s="40">
        <v>3</v>
      </c>
      <c r="R479" s="40">
        <v>3</v>
      </c>
      <c r="S479" s="40">
        <v>4</v>
      </c>
      <c r="T479" s="40">
        <v>5</v>
      </c>
      <c r="U479" s="41">
        <v>3</v>
      </c>
      <c r="V479" s="40">
        <v>3</v>
      </c>
      <c r="W479" s="40">
        <v>3</v>
      </c>
      <c r="X479" s="40">
        <v>7</v>
      </c>
      <c r="Y479" s="41">
        <v>6</v>
      </c>
      <c r="Z479" s="40">
        <v>2</v>
      </c>
      <c r="AA479" s="40" t="s">
        <v>45</v>
      </c>
      <c r="AB479" s="40" t="s">
        <v>45</v>
      </c>
      <c r="AC479" s="40" t="s">
        <v>45</v>
      </c>
      <c r="AD479" s="40" t="s">
        <v>45</v>
      </c>
      <c r="AE479" s="40" t="s">
        <v>45</v>
      </c>
      <c r="AF479" s="40" t="s">
        <v>45</v>
      </c>
      <c r="AG479" s="41" t="s">
        <v>45</v>
      </c>
      <c r="AH479" s="40">
        <v>5</v>
      </c>
      <c r="AI479" s="40">
        <v>3</v>
      </c>
      <c r="AJ479" s="41">
        <v>3</v>
      </c>
      <c r="AK479" s="43" t="s">
        <v>643</v>
      </c>
      <c r="AL479" s="43" t="s">
        <v>635</v>
      </c>
      <c r="AM479" s="44">
        <f t="shared" si="50"/>
        <v>-1.3651855459392288</v>
      </c>
      <c r="AN479" s="44">
        <f t="shared" si="51"/>
        <v>-0.64905655644061999</v>
      </c>
      <c r="AO479" s="45">
        <f t="shared" si="52"/>
        <v>0</v>
      </c>
      <c r="AP479" s="46">
        <f t="shared" si="53"/>
        <v>1.1000000000000001</v>
      </c>
      <c r="AQ479" s="44">
        <f>($AM$3*AM479+$AN$3*AN479+$AO$3*AO479+$AP$3*AP479)+$I$3*VLOOKUP(I479,COND!$A$2:$E$7,4,FALSE)+$J$3*VLOOKUP(J479,COND!$A$2:$C$7,2,FALSE)+$K$3*VLOOKUP(K479,COND!$A$2:$C$7,3,FALSE)+IF(AND($B$2&gt;0,$E479&lt;20),$B$2*25,0)</f>
        <v>38.474802768118636</v>
      </c>
      <c r="AR479" s="47">
        <f t="shared" si="54"/>
        <v>-1.2542255012913126</v>
      </c>
      <c r="AS479" s="45" t="str">
        <f t="shared" si="55"/>
        <v>C</v>
      </c>
      <c r="AT479" s="45">
        <f>RANK(Batters[[#This Row],[zScore]],Batters[[#All],[zScore]])</f>
        <v>475</v>
      </c>
      <c r="AU479" s="45"/>
      <c r="AV479" s="45"/>
      <c r="AW479" s="45" t="str">
        <f t="shared" si="56"/>
        <v>Unlikely</v>
      </c>
      <c r="AX479" s="45"/>
      <c r="AY479" s="45">
        <f>INDEX(Table5[[#All],[Ovr]],MATCH(Batters[[#This Row],[PID]],Table5[[#All],[PID]],0))</f>
        <v>446</v>
      </c>
      <c r="AZ479" s="45" t="str">
        <f>INDEX(Table5[[#All],[Rnd]],MATCH(Batters[[#This Row],[PID]],Table5[[#All],[PID]],0))</f>
        <v>15</v>
      </c>
      <c r="BA479" s="45">
        <f>INDEX(Table5[[#All],[Pick]],MATCH(Batters[[#This Row],[PID]],Table5[[#All],[PID]],0))</f>
        <v>18</v>
      </c>
      <c r="BB479" s="45" t="str">
        <f>INDEX(Table5[[#All],[Team]],MATCH(Batters[[#This Row],[PID]],Table5[[#All],[PID]],0))</f>
        <v>Bakersfield Bears</v>
      </c>
    </row>
    <row r="480" spans="1:54" ht="15" customHeight="1" x14ac:dyDescent="0.25">
      <c r="A480" s="40">
        <v>10095</v>
      </c>
      <c r="B480" s="40" t="s">
        <v>86</v>
      </c>
      <c r="C480" s="40" t="s">
        <v>886</v>
      </c>
      <c r="D480" s="40" t="s">
        <v>887</v>
      </c>
      <c r="E480" s="40">
        <v>22</v>
      </c>
      <c r="F480" s="40" t="s">
        <v>42</v>
      </c>
      <c r="G480" s="40" t="s">
        <v>42</v>
      </c>
      <c r="H480" s="41" t="s">
        <v>638</v>
      </c>
      <c r="I480" s="65" t="s">
        <v>43</v>
      </c>
      <c r="J480" s="66" t="s">
        <v>47</v>
      </c>
      <c r="K480" s="67" t="s">
        <v>43</v>
      </c>
      <c r="L480" s="40">
        <v>2</v>
      </c>
      <c r="M480" s="40">
        <v>3</v>
      </c>
      <c r="N480" s="40">
        <v>2</v>
      </c>
      <c r="O480" s="40">
        <v>3</v>
      </c>
      <c r="P480" s="41">
        <v>1</v>
      </c>
      <c r="Q480" s="40">
        <v>3</v>
      </c>
      <c r="R480" s="40">
        <v>5</v>
      </c>
      <c r="S480" s="40">
        <v>3</v>
      </c>
      <c r="T480" s="40">
        <v>5</v>
      </c>
      <c r="U480" s="41">
        <v>2</v>
      </c>
      <c r="V480" s="40">
        <v>5</v>
      </c>
      <c r="W480" s="40">
        <v>6</v>
      </c>
      <c r="X480" s="40">
        <v>8</v>
      </c>
      <c r="Y480" s="41">
        <v>6</v>
      </c>
      <c r="Z480" s="40">
        <v>3</v>
      </c>
      <c r="AA480" s="40" t="s">
        <v>45</v>
      </c>
      <c r="AB480" s="40" t="s">
        <v>45</v>
      </c>
      <c r="AC480" s="40" t="s">
        <v>45</v>
      </c>
      <c r="AD480" s="40" t="s">
        <v>45</v>
      </c>
      <c r="AE480" s="40" t="s">
        <v>45</v>
      </c>
      <c r="AF480" s="40" t="s">
        <v>45</v>
      </c>
      <c r="AG480" s="41" t="s">
        <v>45</v>
      </c>
      <c r="AH480" s="40">
        <v>4</v>
      </c>
      <c r="AI480" s="40">
        <v>4</v>
      </c>
      <c r="AJ480" s="41">
        <v>4</v>
      </c>
      <c r="AK480" s="43" t="s">
        <v>45</v>
      </c>
      <c r="AL480" s="43" t="s">
        <v>47</v>
      </c>
      <c r="AM480" s="44">
        <f t="shared" si="50"/>
        <v>-1.3971871603444268</v>
      </c>
      <c r="AN480" s="44">
        <f t="shared" si="51"/>
        <v>-0.67001463104419801</v>
      </c>
      <c r="AO480" s="45">
        <f t="shared" si="52"/>
        <v>0</v>
      </c>
      <c r="AP480" s="46">
        <f t="shared" si="53"/>
        <v>1.35</v>
      </c>
      <c r="AQ480" s="44">
        <f>($AM$3*AM480+$AN$3*AN480+$AO$3*AO480+$AP$3*AP480)+$I$3*VLOOKUP(I480,COND!$A$2:$E$7,4,FALSE)+$J$3*VLOOKUP(J480,COND!$A$2:$C$7,2,FALSE)+$K$3*VLOOKUP(K480,COND!$A$2:$C$7,3,FALSE)+IF(AND($B$2&gt;0,$E480&lt;20),$B$2*25,0)</f>
        <v>38.470105711435181</v>
      </c>
      <c r="AR480" s="47">
        <f t="shared" si="54"/>
        <v>-1.2552668705071912</v>
      </c>
      <c r="AS480" s="45" t="str">
        <f t="shared" si="55"/>
        <v>C</v>
      </c>
      <c r="AT480" s="45">
        <f>RANK(Batters[[#This Row],[zScore]],Batters[[#All],[zScore]])</f>
        <v>476</v>
      </c>
      <c r="AU480" s="45"/>
      <c r="AV480" s="45"/>
      <c r="AW480" s="45" t="str">
        <f t="shared" si="56"/>
        <v>Unlikely</v>
      </c>
      <c r="AX480" s="45"/>
      <c r="AY480" s="45" t="str">
        <f>INDEX(Table5[[#All],[Ovr]],MATCH(Batters[[#This Row],[PID]],Table5[[#All],[PID]],0))</f>
        <v/>
      </c>
      <c r="AZ480" s="45" t="str">
        <f>INDEX(Table5[[#All],[Rnd]],MATCH(Batters[[#This Row],[PID]],Table5[[#All],[PID]],0))</f>
        <v/>
      </c>
      <c r="BA480" s="45" t="str">
        <f>INDEX(Table5[[#All],[Pick]],MATCH(Batters[[#This Row],[PID]],Table5[[#All],[PID]],0))</f>
        <v/>
      </c>
      <c r="BB480" s="45" t="str">
        <f>INDEX(Table5[[#All],[Team]],MATCH(Batters[[#This Row],[PID]],Table5[[#All],[PID]],0))</f>
        <v/>
      </c>
    </row>
    <row r="481" spans="1:54" ht="15" customHeight="1" x14ac:dyDescent="0.25">
      <c r="A481" s="40">
        <v>21037</v>
      </c>
      <c r="B481" s="40" t="s">
        <v>86</v>
      </c>
      <c r="C481" s="40" t="s">
        <v>139</v>
      </c>
      <c r="D481" s="40" t="s">
        <v>383</v>
      </c>
      <c r="E481" s="40">
        <v>17</v>
      </c>
      <c r="F481" s="40" t="s">
        <v>62</v>
      </c>
      <c r="G481" s="40" t="s">
        <v>42</v>
      </c>
      <c r="H481" s="41" t="s">
        <v>639</v>
      </c>
      <c r="I481" s="65" t="s">
        <v>43</v>
      </c>
      <c r="J481" s="66" t="s">
        <v>44</v>
      </c>
      <c r="K481" s="67" t="s">
        <v>43</v>
      </c>
      <c r="L481" s="40">
        <v>1</v>
      </c>
      <c r="M481" s="40">
        <v>1</v>
      </c>
      <c r="N481" s="40">
        <v>2</v>
      </c>
      <c r="O481" s="40">
        <v>2</v>
      </c>
      <c r="P481" s="41">
        <v>1</v>
      </c>
      <c r="Q481" s="40">
        <v>2</v>
      </c>
      <c r="R481" s="40">
        <v>3</v>
      </c>
      <c r="S481" s="40">
        <v>4</v>
      </c>
      <c r="T481" s="40">
        <v>6</v>
      </c>
      <c r="U481" s="41">
        <v>2</v>
      </c>
      <c r="V481" s="40">
        <v>2</v>
      </c>
      <c r="W481" s="40">
        <v>2</v>
      </c>
      <c r="X481" s="40">
        <v>3</v>
      </c>
      <c r="Y481" s="41">
        <v>6</v>
      </c>
      <c r="Z481" s="40" t="s">
        <v>45</v>
      </c>
      <c r="AA481" s="40" t="s">
        <v>45</v>
      </c>
      <c r="AB481" s="40" t="s">
        <v>45</v>
      </c>
      <c r="AC481" s="40" t="s">
        <v>45</v>
      </c>
      <c r="AD481" s="40" t="s">
        <v>45</v>
      </c>
      <c r="AE481" s="40" t="s">
        <v>45</v>
      </c>
      <c r="AF481" s="40" t="s">
        <v>45</v>
      </c>
      <c r="AG481" s="41" t="s">
        <v>45</v>
      </c>
      <c r="AH481" s="40">
        <v>1</v>
      </c>
      <c r="AI481" s="40">
        <v>1</v>
      </c>
      <c r="AJ481" s="41">
        <v>1</v>
      </c>
      <c r="AK481" s="43" t="s">
        <v>654</v>
      </c>
      <c r="AL481" s="43"/>
      <c r="AM481" s="44">
        <f t="shared" si="50"/>
        <v>-1.9115723057940897</v>
      </c>
      <c r="AN481" s="44">
        <f t="shared" si="51"/>
        <v>-0.92191918245079729</v>
      </c>
      <c r="AO481" s="45">
        <f t="shared" si="52"/>
        <v>0</v>
      </c>
      <c r="AP481" s="46">
        <f t="shared" si="53"/>
        <v>0</v>
      </c>
      <c r="AQ481" s="44">
        <f>($AM$3*AM481+$AN$3*AN481+$AO$3*AO481+$AP$3*AP481)+$I$3*VLOOKUP(I481,COND!$A$2:$E$7,4,FALSE)+$J$3*VLOOKUP(J481,COND!$A$2:$C$7,2,FALSE)+$K$3*VLOOKUP(K481,COND!$A$2:$C$7,3,FALSE)+IF(AND($B$2&gt;0,$E481&lt;20),$B$2*25,0)</f>
        <v>38.445812580011022</v>
      </c>
      <c r="AR481" s="47">
        <f t="shared" si="54"/>
        <v>-1.2606528219502562</v>
      </c>
      <c r="AS481" s="45" t="str">
        <f t="shared" si="55"/>
        <v>DH</v>
      </c>
      <c r="AT481" s="45">
        <f>RANK(Batters[[#This Row],[zScore]],Batters[[#All],[zScore]])</f>
        <v>477</v>
      </c>
      <c r="AU481" s="45"/>
      <c r="AV481" s="45"/>
      <c r="AW481" s="45" t="str">
        <f t="shared" si="56"/>
        <v>Unlikely</v>
      </c>
      <c r="AX481" s="45"/>
      <c r="AY481" s="64" t="str">
        <f>INDEX(Table5[[#All],[Ovr]],MATCH(Batters[[#This Row],[PID]],Table5[[#All],[PID]],0))</f>
        <v/>
      </c>
      <c r="AZ481" s="64" t="str">
        <f>INDEX(Table5[[#All],[Rnd]],MATCH(Batters[[#This Row],[PID]],Table5[[#All],[PID]],0))</f>
        <v/>
      </c>
      <c r="BA481" s="64" t="str">
        <f>INDEX(Table5[[#All],[Pick]],MATCH(Batters[[#This Row],[PID]],Table5[[#All],[PID]],0))</f>
        <v/>
      </c>
      <c r="BB481" s="64" t="str">
        <f>INDEX(Table5[[#All],[Team]],MATCH(Batters[[#This Row],[PID]],Table5[[#All],[PID]],0))</f>
        <v/>
      </c>
    </row>
    <row r="482" spans="1:54" ht="15" customHeight="1" x14ac:dyDescent="0.25">
      <c r="A482" s="40">
        <v>20204</v>
      </c>
      <c r="B482" s="40" t="s">
        <v>69</v>
      </c>
      <c r="C482" s="40" t="s">
        <v>324</v>
      </c>
      <c r="D482" s="40" t="s">
        <v>133</v>
      </c>
      <c r="E482" s="40">
        <v>22</v>
      </c>
      <c r="F482" s="40" t="s">
        <v>53</v>
      </c>
      <c r="G482" s="40" t="s">
        <v>42</v>
      </c>
      <c r="H482" s="41" t="s">
        <v>638</v>
      </c>
      <c r="I482" s="65" t="s">
        <v>43</v>
      </c>
      <c r="J482" s="66" t="s">
        <v>43</v>
      </c>
      <c r="K482" s="67" t="s">
        <v>43</v>
      </c>
      <c r="L482" s="40">
        <v>2</v>
      </c>
      <c r="M482" s="40">
        <v>3</v>
      </c>
      <c r="N482" s="40">
        <v>3</v>
      </c>
      <c r="O482" s="40">
        <v>3</v>
      </c>
      <c r="P482" s="41">
        <v>3</v>
      </c>
      <c r="Q482" s="40">
        <v>3</v>
      </c>
      <c r="R482" s="40">
        <v>4</v>
      </c>
      <c r="S482" s="40">
        <v>3</v>
      </c>
      <c r="T482" s="40">
        <v>5</v>
      </c>
      <c r="U482" s="41">
        <v>4</v>
      </c>
      <c r="V482" s="40">
        <v>9</v>
      </c>
      <c r="W482" s="40">
        <v>9</v>
      </c>
      <c r="X482" s="40">
        <v>1</v>
      </c>
      <c r="Y482" s="41">
        <v>1</v>
      </c>
      <c r="Z482" s="40" t="s">
        <v>45</v>
      </c>
      <c r="AA482" s="40" t="s">
        <v>45</v>
      </c>
      <c r="AB482" s="40" t="s">
        <v>45</v>
      </c>
      <c r="AC482" s="40">
        <v>5</v>
      </c>
      <c r="AD482" s="40" t="s">
        <v>45</v>
      </c>
      <c r="AE482" s="40">
        <v>3</v>
      </c>
      <c r="AF482" s="40">
        <v>2</v>
      </c>
      <c r="AG482" s="41" t="s">
        <v>45</v>
      </c>
      <c r="AH482" s="40">
        <v>8</v>
      </c>
      <c r="AI482" s="40">
        <v>7</v>
      </c>
      <c r="AJ482" s="41">
        <v>8</v>
      </c>
      <c r="AK482" s="43" t="s">
        <v>45</v>
      </c>
      <c r="AL482" s="43" t="s">
        <v>47</v>
      </c>
      <c r="AM482" s="44">
        <f t="shared" si="50"/>
        <v>-1.2340929866863586</v>
      </c>
      <c r="AN482" s="44">
        <f t="shared" si="51"/>
        <v>-0.64104183102873458</v>
      </c>
      <c r="AO482" s="45">
        <f t="shared" si="52"/>
        <v>3</v>
      </c>
      <c r="AP482" s="46">
        <f t="shared" si="53"/>
        <v>0.75</v>
      </c>
      <c r="AQ482" s="44">
        <f>($AM$3*AM482+$AN$3*AN482+$AO$3*AO482+$AP$3*AP482)+$I$3*VLOOKUP(I482,COND!$A$2:$E$7,4,FALSE)+$J$3*VLOOKUP(J482,COND!$A$2:$C$7,2,FALSE)+$K$3*VLOOKUP(K482,COND!$A$2:$C$7,3,FALSE)+IF(AND($B$2&gt;0,$E482&lt;20),$B$2*25,0)</f>
        <v>38.434088728986552</v>
      </c>
      <c r="AR482" s="47">
        <f t="shared" si="54"/>
        <v>-1.2632520789682595</v>
      </c>
      <c r="AS482" s="45" t="str">
        <f t="shared" si="55"/>
        <v>3B</v>
      </c>
      <c r="AT482" s="45">
        <f>RANK(Batters[[#This Row],[zScore]],Batters[[#All],[zScore]])</f>
        <v>478</v>
      </c>
      <c r="AU482" s="45"/>
      <c r="AV482" s="45"/>
      <c r="AW482" s="45" t="str">
        <f t="shared" si="56"/>
        <v>Unlikely</v>
      </c>
      <c r="AX482" s="45"/>
      <c r="AY482" s="45">
        <f>INDEX(Table5[[#All],[Ovr]],MATCH(Batters[[#This Row],[PID]],Table5[[#All],[PID]],0))</f>
        <v>602</v>
      </c>
      <c r="AZ482" s="45" t="str">
        <f>INDEX(Table5[[#All],[Rnd]],MATCH(Batters[[#This Row],[PID]],Table5[[#All],[PID]],0))</f>
        <v>20</v>
      </c>
      <c r="BA482" s="45">
        <f>INDEX(Table5[[#All],[Pick]],MATCH(Batters[[#This Row],[PID]],Table5[[#All],[PID]],0))</f>
        <v>24</v>
      </c>
      <c r="BB482" s="45" t="str">
        <f>INDEX(Table5[[#All],[Team]],MATCH(Batters[[#This Row],[PID]],Table5[[#All],[PID]],0))</f>
        <v>Aurora Borealis</v>
      </c>
    </row>
    <row r="483" spans="1:54" ht="15" customHeight="1" x14ac:dyDescent="0.25">
      <c r="A483" s="40">
        <v>20279</v>
      </c>
      <c r="B483" s="40" t="s">
        <v>86</v>
      </c>
      <c r="C483" s="40" t="s">
        <v>1580</v>
      </c>
      <c r="D483" s="40" t="s">
        <v>1175</v>
      </c>
      <c r="E483" s="40">
        <v>21</v>
      </c>
      <c r="F483" s="40" t="s">
        <v>42</v>
      </c>
      <c r="G483" s="40" t="s">
        <v>42</v>
      </c>
      <c r="H483" s="41" t="s">
        <v>638</v>
      </c>
      <c r="I483" s="65" t="s">
        <v>43</v>
      </c>
      <c r="J483" s="66" t="s">
        <v>44</v>
      </c>
      <c r="K483" s="67" t="s">
        <v>43</v>
      </c>
      <c r="L483" s="40">
        <v>1</v>
      </c>
      <c r="M483" s="40">
        <v>2</v>
      </c>
      <c r="N483" s="40">
        <v>3</v>
      </c>
      <c r="O483" s="40">
        <v>4</v>
      </c>
      <c r="P483" s="41">
        <v>1</v>
      </c>
      <c r="Q483" s="40">
        <v>3</v>
      </c>
      <c r="R483" s="40">
        <v>3</v>
      </c>
      <c r="S483" s="40">
        <v>4</v>
      </c>
      <c r="T483" s="40">
        <v>7</v>
      </c>
      <c r="U483" s="41">
        <v>2</v>
      </c>
      <c r="V483" s="40">
        <v>3</v>
      </c>
      <c r="W483" s="40">
        <v>3</v>
      </c>
      <c r="X483" s="40">
        <v>4</v>
      </c>
      <c r="Y483" s="41">
        <v>4</v>
      </c>
      <c r="Z483" s="40">
        <v>2</v>
      </c>
      <c r="AA483" s="40" t="s">
        <v>45</v>
      </c>
      <c r="AB483" s="40" t="s">
        <v>45</v>
      </c>
      <c r="AC483" s="40" t="s">
        <v>45</v>
      </c>
      <c r="AD483" s="40" t="s">
        <v>45</v>
      </c>
      <c r="AE483" s="40" t="s">
        <v>45</v>
      </c>
      <c r="AF483" s="40" t="s">
        <v>45</v>
      </c>
      <c r="AG483" s="41" t="s">
        <v>45</v>
      </c>
      <c r="AH483" s="40">
        <v>7</v>
      </c>
      <c r="AI483" s="40">
        <v>3</v>
      </c>
      <c r="AJ483" s="41">
        <v>4</v>
      </c>
      <c r="AK483" s="43" t="s">
        <v>45</v>
      </c>
      <c r="AL483" s="43" t="s">
        <v>47</v>
      </c>
      <c r="AM483" s="44">
        <f t="shared" si="50"/>
        <v>-1.5980318321323224</v>
      </c>
      <c r="AN483" s="44">
        <f t="shared" si="51"/>
        <v>-0.50965379623854146</v>
      </c>
      <c r="AO483" s="45">
        <f t="shared" si="52"/>
        <v>0</v>
      </c>
      <c r="AP483" s="46">
        <f t="shared" si="53"/>
        <v>0</v>
      </c>
      <c r="AQ483" s="44">
        <f>($AM$3*AM483+$AN$3*AN483+$AO$3*AO483+$AP$3*AP483)+$I$3*VLOOKUP(I483,COND!$A$2:$E$7,4,FALSE)+$J$3*VLOOKUP(J483,COND!$A$2:$C$7,2,FALSE)+$K$3*VLOOKUP(K483,COND!$A$2:$C$7,3,FALSE)+IF(AND($B$2&gt;0,$E483&lt;20),$B$2*25,0)</f>
        <v>38.424351261924272</v>
      </c>
      <c r="AR483" s="47">
        <f t="shared" si="54"/>
        <v>-1.2654109412351358</v>
      </c>
      <c r="AS483" s="45" t="str">
        <f t="shared" si="55"/>
        <v>C</v>
      </c>
      <c r="AT483" s="45">
        <f>RANK(Batters[[#This Row],[zScore]],Batters[[#All],[zScore]])</f>
        <v>479</v>
      </c>
      <c r="AU483" s="45"/>
      <c r="AV483" s="45"/>
      <c r="AW483" s="45" t="str">
        <f t="shared" si="56"/>
        <v>Unlikely</v>
      </c>
      <c r="AX483" s="45"/>
      <c r="AY483" s="45">
        <f>INDEX(Table5[[#All],[Ovr]],MATCH(Batters[[#This Row],[PID]],Table5[[#All],[PID]],0))</f>
        <v>606</v>
      </c>
      <c r="AZ483" s="45" t="str">
        <f>INDEX(Table5[[#All],[Rnd]],MATCH(Batters[[#This Row],[PID]],Table5[[#All],[PID]],0))</f>
        <v>20</v>
      </c>
      <c r="BA483" s="45">
        <f>INDEX(Table5[[#All],[Pick]],MATCH(Batters[[#This Row],[PID]],Table5[[#All],[PID]],0))</f>
        <v>28</v>
      </c>
      <c r="BB483" s="45" t="str">
        <f>INDEX(Table5[[#All],[Team]],MATCH(Batters[[#This Row],[PID]],Table5[[#All],[PID]],0))</f>
        <v>San Juan Coqui</v>
      </c>
    </row>
    <row r="484" spans="1:54" ht="15" customHeight="1" x14ac:dyDescent="0.25">
      <c r="A484" s="40">
        <v>21095</v>
      </c>
      <c r="B484" s="40" t="s">
        <v>74</v>
      </c>
      <c r="C484" s="40" t="s">
        <v>162</v>
      </c>
      <c r="D484" s="40" t="s">
        <v>441</v>
      </c>
      <c r="E484" s="40">
        <v>16</v>
      </c>
      <c r="F484" s="40" t="s">
        <v>42</v>
      </c>
      <c r="G484" s="40" t="s">
        <v>42</v>
      </c>
      <c r="H484" s="41" t="s">
        <v>638</v>
      </c>
      <c r="I484" s="65" t="s">
        <v>43</v>
      </c>
      <c r="J484" s="66" t="s">
        <v>47</v>
      </c>
      <c r="K484" s="67" t="s">
        <v>43</v>
      </c>
      <c r="L484" s="40">
        <v>1</v>
      </c>
      <c r="M484" s="40">
        <v>2</v>
      </c>
      <c r="N484" s="40">
        <v>2</v>
      </c>
      <c r="O484" s="40">
        <v>2</v>
      </c>
      <c r="P484" s="41">
        <v>1</v>
      </c>
      <c r="Q484" s="40">
        <v>2</v>
      </c>
      <c r="R484" s="40">
        <v>4</v>
      </c>
      <c r="S484" s="40">
        <v>3</v>
      </c>
      <c r="T484" s="40">
        <v>5</v>
      </c>
      <c r="U484" s="41">
        <v>2</v>
      </c>
      <c r="V484" s="40">
        <v>3</v>
      </c>
      <c r="W484" s="40">
        <v>5</v>
      </c>
      <c r="X484" s="40">
        <v>1</v>
      </c>
      <c r="Y484" s="41">
        <v>1</v>
      </c>
      <c r="Z484" s="40" t="s">
        <v>45</v>
      </c>
      <c r="AA484" s="40" t="s">
        <v>45</v>
      </c>
      <c r="AB484" s="40" t="s">
        <v>45</v>
      </c>
      <c r="AC484" s="40" t="s">
        <v>45</v>
      </c>
      <c r="AD484" s="40" t="s">
        <v>45</v>
      </c>
      <c r="AE484" s="40">
        <v>1</v>
      </c>
      <c r="AF484" s="40">
        <v>2</v>
      </c>
      <c r="AG484" s="41">
        <v>1</v>
      </c>
      <c r="AH484" s="40">
        <v>8</v>
      </c>
      <c r="AI484" s="40">
        <v>9</v>
      </c>
      <c r="AJ484" s="41">
        <v>9</v>
      </c>
      <c r="AK484" s="43" t="s">
        <v>644</v>
      </c>
      <c r="AL484" s="43" t="s">
        <v>47</v>
      </c>
      <c r="AM484" s="44">
        <f t="shared" si="50"/>
        <v>-1.8605124261753858</v>
      </c>
      <c r="AN484" s="44">
        <f t="shared" si="51"/>
        <v>-1.0436303468655763</v>
      </c>
      <c r="AO484" s="45">
        <f t="shared" si="52"/>
        <v>5</v>
      </c>
      <c r="AP484" s="46">
        <f t="shared" si="53"/>
        <v>0</v>
      </c>
      <c r="AQ484" s="44">
        <f>($AM$3*AM484+$AN$3*AN484+$AO$3*AO484+$AP$3*AP484)+$I$3*VLOOKUP(I484,COND!$A$2:$E$7,4,FALSE)+$J$3*VLOOKUP(J484,COND!$A$2:$C$7,2,FALSE)+$K$3*VLOOKUP(K484,COND!$A$2:$C$7,3,FALSE)+IF(AND($B$2&gt;0,$E484&lt;20),$B$2*25,0)</f>
        <v>38.423717928328884</v>
      </c>
      <c r="AR484" s="47">
        <f t="shared" si="54"/>
        <v>-1.2655513555741711</v>
      </c>
      <c r="AS484" s="45" t="str">
        <f t="shared" si="55"/>
        <v>CF</v>
      </c>
      <c r="AT484" s="45">
        <f>RANK(Batters[[#This Row],[zScore]],Batters[[#All],[zScore]])</f>
        <v>480</v>
      </c>
      <c r="AU484" s="45"/>
      <c r="AV484" s="45"/>
      <c r="AW484" s="45" t="str">
        <f t="shared" si="56"/>
        <v>Unlikely</v>
      </c>
      <c r="AX484" s="45"/>
      <c r="AY484" s="45">
        <f>INDEX(Table5[[#All],[Ovr]],MATCH(Batters[[#This Row],[PID]],Table5[[#All],[PID]],0))</f>
        <v>507</v>
      </c>
      <c r="AZ484" s="45" t="str">
        <f>INDEX(Table5[[#All],[Rnd]],MATCH(Batters[[#This Row],[PID]],Table5[[#All],[PID]],0))</f>
        <v>17</v>
      </c>
      <c r="BA484" s="45">
        <f>INDEX(Table5[[#All],[Pick]],MATCH(Batters[[#This Row],[PID]],Table5[[#All],[PID]],0))</f>
        <v>19</v>
      </c>
      <c r="BB484" s="45" t="str">
        <f>INDEX(Table5[[#All],[Team]],MATCH(Batters[[#This Row],[PID]],Table5[[#All],[PID]],0))</f>
        <v>Kalamazoo Badgers</v>
      </c>
    </row>
    <row r="485" spans="1:54" ht="15" customHeight="1" x14ac:dyDescent="0.25">
      <c r="A485" s="40">
        <v>2988</v>
      </c>
      <c r="B485" s="40" t="s">
        <v>87</v>
      </c>
      <c r="C485" s="40" t="s">
        <v>796</v>
      </c>
      <c r="D485" s="40" t="s">
        <v>896</v>
      </c>
      <c r="E485" s="40">
        <v>22</v>
      </c>
      <c r="F485" s="40" t="s">
        <v>53</v>
      </c>
      <c r="G485" s="40" t="s">
        <v>42</v>
      </c>
      <c r="H485" s="41" t="s">
        <v>638</v>
      </c>
      <c r="I485" s="65" t="s">
        <v>43</v>
      </c>
      <c r="J485" s="66" t="s">
        <v>47</v>
      </c>
      <c r="K485" s="67" t="s">
        <v>47</v>
      </c>
      <c r="L485" s="40">
        <v>2</v>
      </c>
      <c r="M485" s="40">
        <v>3</v>
      </c>
      <c r="N485" s="40">
        <v>3</v>
      </c>
      <c r="O485" s="40">
        <v>3</v>
      </c>
      <c r="P485" s="41">
        <v>3</v>
      </c>
      <c r="Q485" s="40">
        <v>3</v>
      </c>
      <c r="R485" s="40">
        <v>5</v>
      </c>
      <c r="S485" s="40">
        <v>3</v>
      </c>
      <c r="T485" s="40">
        <v>5</v>
      </c>
      <c r="U485" s="41">
        <v>4</v>
      </c>
      <c r="V485" s="40">
        <v>4</v>
      </c>
      <c r="W485" s="40">
        <v>5</v>
      </c>
      <c r="X485" s="40">
        <v>4</v>
      </c>
      <c r="Y485" s="41">
        <v>3</v>
      </c>
      <c r="Z485" s="40" t="s">
        <v>45</v>
      </c>
      <c r="AA485" s="40">
        <v>2</v>
      </c>
      <c r="AB485" s="40" t="s">
        <v>45</v>
      </c>
      <c r="AC485" s="40" t="s">
        <v>45</v>
      </c>
      <c r="AD485" s="40" t="s">
        <v>45</v>
      </c>
      <c r="AE485" s="40" t="s">
        <v>45</v>
      </c>
      <c r="AF485" s="40" t="s">
        <v>45</v>
      </c>
      <c r="AG485" s="41" t="s">
        <v>45</v>
      </c>
      <c r="AH485" s="40">
        <v>4</v>
      </c>
      <c r="AI485" s="40">
        <v>6</v>
      </c>
      <c r="AJ485" s="41">
        <v>3</v>
      </c>
      <c r="AK485" s="43" t="s">
        <v>45</v>
      </c>
      <c r="AL485" s="43" t="s">
        <v>635</v>
      </c>
      <c r="AM485" s="44">
        <f t="shared" si="50"/>
        <v>-1.2340929866863586</v>
      </c>
      <c r="AN485" s="44">
        <f t="shared" si="51"/>
        <v>-0.58998195141003107</v>
      </c>
      <c r="AO485" s="45">
        <f t="shared" si="52"/>
        <v>0</v>
      </c>
      <c r="AP485" s="46">
        <f t="shared" si="53"/>
        <v>0</v>
      </c>
      <c r="AQ485" s="44">
        <f>($AM$3*AM485+$AN$3*AN485+$AO$3*AO485+$AP$3*AP485)+$I$3*VLOOKUP(I485,COND!$A$2:$E$7,4,FALSE)+$J$3*VLOOKUP(J485,COND!$A$2:$C$7,2,FALSE)+$K$3*VLOOKUP(K485,COND!$A$2:$C$7,3,FALSE)+IF(AND($B$2&gt;0,$E485&lt;20),$B$2*25,0)</f>
        <v>38.396807284410997</v>
      </c>
      <c r="AR485" s="47">
        <f t="shared" si="54"/>
        <v>-1.2715176272298381</v>
      </c>
      <c r="AS485" s="45" t="str">
        <f t="shared" si="55"/>
        <v>1B</v>
      </c>
      <c r="AT485" s="45">
        <f>RANK(Batters[[#This Row],[zScore]],Batters[[#All],[zScore]])</f>
        <v>481</v>
      </c>
      <c r="AU485" s="45"/>
      <c r="AV485" s="45"/>
      <c r="AW485" s="45" t="str">
        <f t="shared" si="56"/>
        <v>Unlikely</v>
      </c>
      <c r="AX485" s="45"/>
      <c r="AY485" s="45" t="str">
        <f>INDEX(Table5[[#All],[Ovr]],MATCH(Batters[[#This Row],[PID]],Table5[[#All],[PID]],0))</f>
        <v/>
      </c>
      <c r="AZ485" s="45" t="str">
        <f>INDEX(Table5[[#All],[Rnd]],MATCH(Batters[[#This Row],[PID]],Table5[[#All],[PID]],0))</f>
        <v/>
      </c>
      <c r="BA485" s="45" t="str">
        <f>INDEX(Table5[[#All],[Pick]],MATCH(Batters[[#This Row],[PID]],Table5[[#All],[PID]],0))</f>
        <v/>
      </c>
      <c r="BB485" s="45" t="str">
        <f>INDEX(Table5[[#All],[Team]],MATCH(Batters[[#This Row],[PID]],Table5[[#All],[PID]],0))</f>
        <v/>
      </c>
    </row>
    <row r="486" spans="1:54" ht="15" customHeight="1" x14ac:dyDescent="0.25">
      <c r="A486" s="40">
        <v>12305</v>
      </c>
      <c r="B486" s="40" t="s">
        <v>50</v>
      </c>
      <c r="C486" s="40" t="s">
        <v>140</v>
      </c>
      <c r="D486" s="40" t="s">
        <v>1296</v>
      </c>
      <c r="E486" s="40">
        <v>21</v>
      </c>
      <c r="F486" s="40" t="s">
        <v>42</v>
      </c>
      <c r="G486" s="40" t="s">
        <v>42</v>
      </c>
      <c r="H486" s="41" t="s">
        <v>634</v>
      </c>
      <c r="I486" s="65" t="s">
        <v>43</v>
      </c>
      <c r="J486" s="66" t="s">
        <v>43</v>
      </c>
      <c r="K486" s="67" t="s">
        <v>43</v>
      </c>
      <c r="L486" s="40">
        <v>1</v>
      </c>
      <c r="M486" s="40">
        <v>2</v>
      </c>
      <c r="N486" s="40">
        <v>2</v>
      </c>
      <c r="O486" s="40">
        <v>2</v>
      </c>
      <c r="P486" s="41">
        <v>1</v>
      </c>
      <c r="Q486" s="40">
        <v>3</v>
      </c>
      <c r="R486" s="40">
        <v>3</v>
      </c>
      <c r="S486" s="40">
        <v>5</v>
      </c>
      <c r="T486" s="40">
        <v>4</v>
      </c>
      <c r="U486" s="41">
        <v>3</v>
      </c>
      <c r="V486" s="40">
        <v>2</v>
      </c>
      <c r="W486" s="40">
        <v>6</v>
      </c>
      <c r="X486" s="40">
        <v>1</v>
      </c>
      <c r="Y486" s="41">
        <v>1</v>
      </c>
      <c r="Z486" s="40" t="s">
        <v>45</v>
      </c>
      <c r="AA486" s="40" t="s">
        <v>45</v>
      </c>
      <c r="AB486" s="40" t="s">
        <v>45</v>
      </c>
      <c r="AC486" s="40" t="s">
        <v>45</v>
      </c>
      <c r="AD486" s="40" t="s">
        <v>45</v>
      </c>
      <c r="AE486" s="40">
        <v>5</v>
      </c>
      <c r="AF486" s="40">
        <v>6</v>
      </c>
      <c r="AG486" s="41" t="s">
        <v>45</v>
      </c>
      <c r="AH486" s="40">
        <v>10</v>
      </c>
      <c r="AI486" s="40">
        <v>7</v>
      </c>
      <c r="AJ486" s="41">
        <v>10</v>
      </c>
      <c r="AK486" s="43" t="s">
        <v>659</v>
      </c>
      <c r="AL486" s="43" t="s">
        <v>47</v>
      </c>
      <c r="AM486" s="44">
        <f t="shared" si="50"/>
        <v>-1.8605124261753858</v>
      </c>
      <c r="AN486" s="44">
        <f t="shared" si="51"/>
        <v>-0.65570461242629963</v>
      </c>
      <c r="AO486" s="45">
        <f t="shared" si="52"/>
        <v>4</v>
      </c>
      <c r="AP486" s="46">
        <f t="shared" si="53"/>
        <v>0.75</v>
      </c>
      <c r="AQ486" s="44">
        <f>($AM$3*AM486+$AN$3*AN486+$AO$3*AO486+$AP$3*AP486)+$I$3*VLOOKUP(I486,COND!$A$2:$E$7,4,FALSE)+$J$3*VLOOKUP(J486,COND!$A$2:$C$7,2,FALSE)+$K$3*VLOOKUP(K486,COND!$A$2:$C$7,3,FALSE)+IF(AND($B$2&gt;0,$E486&lt;20),$B$2*25,0)</f>
        <v>38.362160074933527</v>
      </c>
      <c r="AR486" s="47">
        <f t="shared" si="54"/>
        <v>-1.2791991477643943</v>
      </c>
      <c r="AS486" s="45" t="str">
        <f t="shared" si="55"/>
        <v>CF</v>
      </c>
      <c r="AT486" s="45">
        <f>RANK(Batters[[#This Row],[zScore]],Batters[[#All],[zScore]])</f>
        <v>482</v>
      </c>
      <c r="AU486" s="45"/>
      <c r="AV486" s="45"/>
      <c r="AW486" s="45" t="str">
        <f t="shared" si="56"/>
        <v>Unlikely</v>
      </c>
      <c r="AX486" s="45"/>
      <c r="AY486" s="45">
        <f>INDEX(Table5[[#All],[Ovr]],MATCH(Batters[[#This Row],[PID]],Table5[[#All],[PID]],0))</f>
        <v>323</v>
      </c>
      <c r="AZ486" s="45" t="str">
        <f>INDEX(Table5[[#All],[Rnd]],MATCH(Batters[[#This Row],[PID]],Table5[[#All],[PID]],0))</f>
        <v>11</v>
      </c>
      <c r="BA486" s="45">
        <f>INDEX(Table5[[#All],[Pick]],MATCH(Batters[[#This Row],[PID]],Table5[[#All],[PID]],0))</f>
        <v>15</v>
      </c>
      <c r="BB486" s="45" t="str">
        <f>INDEX(Table5[[#All],[Team]],MATCH(Batters[[#This Row],[PID]],Table5[[#All],[PID]],0))</f>
        <v>Kentucky Thoroughbreds</v>
      </c>
    </row>
    <row r="487" spans="1:54" ht="15" customHeight="1" x14ac:dyDescent="0.25">
      <c r="A487" s="40">
        <v>17761</v>
      </c>
      <c r="B487" s="40" t="s">
        <v>87</v>
      </c>
      <c r="C487" s="40" t="s">
        <v>757</v>
      </c>
      <c r="D487" s="40" t="s">
        <v>1462</v>
      </c>
      <c r="E487" s="40">
        <v>21</v>
      </c>
      <c r="F487" s="40" t="s">
        <v>42</v>
      </c>
      <c r="G487" s="40" t="s">
        <v>42</v>
      </c>
      <c r="H487" s="41" t="s">
        <v>638</v>
      </c>
      <c r="I487" s="65" t="s">
        <v>47</v>
      </c>
      <c r="J487" s="66" t="s">
        <v>43</v>
      </c>
      <c r="K487" s="67" t="s">
        <v>43</v>
      </c>
      <c r="L487" s="40">
        <v>1</v>
      </c>
      <c r="M487" s="40">
        <v>4</v>
      </c>
      <c r="N487" s="40">
        <v>2</v>
      </c>
      <c r="O487" s="40">
        <v>2</v>
      </c>
      <c r="P487" s="41">
        <v>1</v>
      </c>
      <c r="Q487" s="40">
        <v>3</v>
      </c>
      <c r="R487" s="40">
        <v>5</v>
      </c>
      <c r="S487" s="40">
        <v>4</v>
      </c>
      <c r="T487" s="40">
        <v>5</v>
      </c>
      <c r="U487" s="41">
        <v>2</v>
      </c>
      <c r="V487" s="40">
        <v>7</v>
      </c>
      <c r="W487" s="40">
        <v>6</v>
      </c>
      <c r="X487" s="40">
        <v>1</v>
      </c>
      <c r="Y487" s="41">
        <v>1</v>
      </c>
      <c r="Z487" s="40" t="s">
        <v>45</v>
      </c>
      <c r="AA487" s="40">
        <v>4</v>
      </c>
      <c r="AB487" s="40" t="s">
        <v>45</v>
      </c>
      <c r="AC487" s="40" t="s">
        <v>45</v>
      </c>
      <c r="AD487" s="40" t="s">
        <v>45</v>
      </c>
      <c r="AE487" s="40">
        <v>4</v>
      </c>
      <c r="AF487" s="40">
        <v>2</v>
      </c>
      <c r="AG487" s="41" t="s">
        <v>45</v>
      </c>
      <c r="AH487" s="40">
        <v>9</v>
      </c>
      <c r="AI487" s="40">
        <v>6</v>
      </c>
      <c r="AJ487" s="41">
        <v>4</v>
      </c>
      <c r="AK487" s="43" t="s">
        <v>45</v>
      </c>
      <c r="AL487" s="43" t="s">
        <v>47</v>
      </c>
      <c r="AM487" s="44">
        <f t="shared" si="50"/>
        <v>-1.758392666937979</v>
      </c>
      <c r="AN487" s="44">
        <f t="shared" si="51"/>
        <v>-0.5869531370202965</v>
      </c>
      <c r="AO487" s="45">
        <f t="shared" si="52"/>
        <v>2</v>
      </c>
      <c r="AP487" s="46">
        <f t="shared" si="53"/>
        <v>0</v>
      </c>
      <c r="AQ487" s="44">
        <f>($AM$3*AM487+$AN$3*AN487+$AO$3*AO487+$AP$3*AP487)+$I$3*VLOOKUP(I487,COND!$A$2:$E$7,4,FALSE)+$J$3*VLOOKUP(J487,COND!$A$2:$C$7,2,FALSE)+$K$3*VLOOKUP(K487,COND!$A$2:$C$7,3,FALSE)+IF(AND($B$2&gt;0,$E487&lt;20),$B$2*25,0)</f>
        <v>38.339056422395977</v>
      </c>
      <c r="AR487" s="47">
        <f t="shared" si="54"/>
        <v>-1.2843213836981668</v>
      </c>
      <c r="AS487" s="45" t="str">
        <f t="shared" si="55"/>
        <v>LF</v>
      </c>
      <c r="AT487" s="45">
        <f>RANK(Batters[[#This Row],[zScore]],Batters[[#All],[zScore]])</f>
        <v>483</v>
      </c>
      <c r="AU487" s="45"/>
      <c r="AV487" s="45"/>
      <c r="AW487" s="45" t="str">
        <f t="shared" si="56"/>
        <v>Unlikely</v>
      </c>
      <c r="AX487" s="45"/>
      <c r="AY487" s="45">
        <f>INDEX(Table5[[#All],[Ovr]],MATCH(Batters[[#This Row],[PID]],Table5[[#All],[PID]],0))</f>
        <v>365</v>
      </c>
      <c r="AZ487" s="45" t="str">
        <f>INDEX(Table5[[#All],[Rnd]],MATCH(Batters[[#This Row],[PID]],Table5[[#All],[PID]],0))</f>
        <v>12</v>
      </c>
      <c r="BA487" s="45">
        <f>INDEX(Table5[[#All],[Pick]],MATCH(Batters[[#This Row],[PID]],Table5[[#All],[PID]],0))</f>
        <v>27</v>
      </c>
      <c r="BB487" s="45" t="str">
        <f>INDEX(Table5[[#All],[Team]],MATCH(Batters[[#This Row],[PID]],Table5[[#All],[PID]],0))</f>
        <v>Neo-Tokyo Akira</v>
      </c>
    </row>
    <row r="488" spans="1:54" ht="15" customHeight="1" x14ac:dyDescent="0.25">
      <c r="A488" s="40">
        <v>17803</v>
      </c>
      <c r="B488" s="40" t="s">
        <v>74</v>
      </c>
      <c r="C488" s="40" t="s">
        <v>1611</v>
      </c>
      <c r="D488" s="40" t="s">
        <v>1612</v>
      </c>
      <c r="E488" s="40">
        <v>21</v>
      </c>
      <c r="F488" s="40" t="s">
        <v>42</v>
      </c>
      <c r="G488" s="40" t="s">
        <v>42</v>
      </c>
      <c r="H488" s="41" t="s">
        <v>638</v>
      </c>
      <c r="I488" s="65" t="s">
        <v>43</v>
      </c>
      <c r="J488" s="66" t="s">
        <v>43</v>
      </c>
      <c r="K488" s="67" t="s">
        <v>43</v>
      </c>
      <c r="L488" s="40">
        <v>2</v>
      </c>
      <c r="M488" s="40">
        <v>3</v>
      </c>
      <c r="N488" s="40">
        <v>2</v>
      </c>
      <c r="O488" s="40">
        <v>3</v>
      </c>
      <c r="P488" s="41">
        <v>2</v>
      </c>
      <c r="Q488" s="40">
        <v>3</v>
      </c>
      <c r="R488" s="40">
        <v>5</v>
      </c>
      <c r="S488" s="40">
        <v>3</v>
      </c>
      <c r="T488" s="40">
        <v>5</v>
      </c>
      <c r="U488" s="41">
        <v>3</v>
      </c>
      <c r="V488" s="40">
        <v>3</v>
      </c>
      <c r="W488" s="40">
        <v>4</v>
      </c>
      <c r="X488" s="40">
        <v>1</v>
      </c>
      <c r="Y488" s="41">
        <v>1</v>
      </c>
      <c r="Z488" s="40" t="s">
        <v>45</v>
      </c>
      <c r="AA488" s="40" t="s">
        <v>45</v>
      </c>
      <c r="AB488" s="40" t="s">
        <v>45</v>
      </c>
      <c r="AC488" s="40" t="s">
        <v>45</v>
      </c>
      <c r="AD488" s="40" t="s">
        <v>45</v>
      </c>
      <c r="AE488" s="40">
        <v>3</v>
      </c>
      <c r="AF488" s="40">
        <v>4</v>
      </c>
      <c r="AG488" s="41" t="s">
        <v>45</v>
      </c>
      <c r="AH488" s="40">
        <v>9</v>
      </c>
      <c r="AI488" s="40">
        <v>10</v>
      </c>
      <c r="AJ488" s="41">
        <v>9</v>
      </c>
      <c r="AK488" s="43" t="s">
        <v>45</v>
      </c>
      <c r="AL488" s="43" t="s">
        <v>47</v>
      </c>
      <c r="AM488" s="44">
        <f t="shared" si="50"/>
        <v>-1.3571708205273432</v>
      </c>
      <c r="AN488" s="44">
        <f t="shared" si="51"/>
        <v>-0.62999829122711448</v>
      </c>
      <c r="AO488" s="45">
        <f t="shared" si="52"/>
        <v>6</v>
      </c>
      <c r="AP488" s="46">
        <f t="shared" si="53"/>
        <v>0</v>
      </c>
      <c r="AQ488" s="44">
        <f>($AM$3*AM488+$AN$3*AN488+$AO$3*AO488+$AP$3*AP488)+$I$3*VLOOKUP(I488,COND!$A$2:$E$7,4,FALSE)+$J$3*VLOOKUP(J488,COND!$A$2:$C$7,2,FALSE)+$K$3*VLOOKUP(K488,COND!$A$2:$C$7,3,FALSE)+IF(AND($B$2&gt;0,$E488&lt;20),$B$2*25,0)</f>
        <v>38.304303423221896</v>
      </c>
      <c r="AR488" s="47">
        <f t="shared" si="54"/>
        <v>-1.2920263585235339</v>
      </c>
      <c r="AS488" s="45" t="str">
        <f t="shared" si="55"/>
        <v>CF</v>
      </c>
      <c r="AT488" s="45">
        <f>RANK(Batters[[#This Row],[zScore]],Batters[[#All],[zScore]])</f>
        <v>484</v>
      </c>
      <c r="AU488" s="45"/>
      <c r="AV488" s="45"/>
      <c r="AW488" s="45" t="str">
        <f t="shared" si="56"/>
        <v>Unlikely</v>
      </c>
      <c r="AX488" s="45"/>
      <c r="AY488" s="45">
        <f>INDEX(Table5[[#All],[Ovr]],MATCH(Batters[[#This Row],[PID]],Table5[[#All],[PID]],0))</f>
        <v>578</v>
      </c>
      <c r="AZ488" s="45" t="str">
        <f>INDEX(Table5[[#All],[Rnd]],MATCH(Batters[[#This Row],[PID]],Table5[[#All],[PID]],0))</f>
        <v>19</v>
      </c>
      <c r="BA488" s="45">
        <f>INDEX(Table5[[#All],[Pick]],MATCH(Batters[[#This Row],[PID]],Table5[[#All],[PID]],0))</f>
        <v>30</v>
      </c>
      <c r="BB488" s="45" t="str">
        <f>INDEX(Table5[[#All],[Team]],MATCH(Batters[[#This Row],[PID]],Table5[[#All],[PID]],0))</f>
        <v>Florida Farstriders</v>
      </c>
    </row>
    <row r="489" spans="1:54" ht="15" customHeight="1" x14ac:dyDescent="0.25">
      <c r="A489" s="40">
        <v>17972</v>
      </c>
      <c r="B489" s="40" t="s">
        <v>74</v>
      </c>
      <c r="C489" s="40" t="s">
        <v>1221</v>
      </c>
      <c r="D489" s="40" t="s">
        <v>672</v>
      </c>
      <c r="E489" s="40">
        <v>21</v>
      </c>
      <c r="F489" s="40" t="s">
        <v>42</v>
      </c>
      <c r="G489" s="40" t="s">
        <v>42</v>
      </c>
      <c r="H489" s="41" t="s">
        <v>634</v>
      </c>
      <c r="I489" s="65" t="s">
        <v>44</v>
      </c>
      <c r="J489" s="66" t="s">
        <v>44</v>
      </c>
      <c r="K489" s="67" t="s">
        <v>44</v>
      </c>
      <c r="L489" s="40">
        <v>1</v>
      </c>
      <c r="M489" s="40">
        <v>1</v>
      </c>
      <c r="N489" s="40">
        <v>3</v>
      </c>
      <c r="O489" s="40">
        <v>1</v>
      </c>
      <c r="P489" s="41">
        <v>1</v>
      </c>
      <c r="Q489" s="40">
        <v>3</v>
      </c>
      <c r="R489" s="40">
        <v>3</v>
      </c>
      <c r="S489" s="40">
        <v>5</v>
      </c>
      <c r="T489" s="40">
        <v>4</v>
      </c>
      <c r="U489" s="41">
        <v>3</v>
      </c>
      <c r="V489" s="40">
        <v>4</v>
      </c>
      <c r="W489" s="40">
        <v>6</v>
      </c>
      <c r="X489" s="40">
        <v>1</v>
      </c>
      <c r="Y489" s="41">
        <v>1</v>
      </c>
      <c r="Z489" s="40" t="s">
        <v>45</v>
      </c>
      <c r="AA489" s="40" t="s">
        <v>45</v>
      </c>
      <c r="AB489" s="40" t="s">
        <v>45</v>
      </c>
      <c r="AC489" s="40" t="s">
        <v>45</v>
      </c>
      <c r="AD489" s="40" t="s">
        <v>45</v>
      </c>
      <c r="AE489" s="40" t="s">
        <v>45</v>
      </c>
      <c r="AF489" s="40">
        <v>6</v>
      </c>
      <c r="AG489" s="41">
        <v>6</v>
      </c>
      <c r="AH489" s="40">
        <v>10</v>
      </c>
      <c r="AI489" s="40">
        <v>9</v>
      </c>
      <c r="AJ489" s="41">
        <v>7</v>
      </c>
      <c r="AK489" s="43" t="s">
        <v>643</v>
      </c>
      <c r="AL489" s="43" t="s">
        <v>635</v>
      </c>
      <c r="AM489" s="44">
        <f t="shared" si="50"/>
        <v>-1.9182203617797693</v>
      </c>
      <c r="AN489" s="44">
        <f t="shared" si="51"/>
        <v>-0.65570461242629963</v>
      </c>
      <c r="AO489" s="45">
        <f t="shared" si="52"/>
        <v>5</v>
      </c>
      <c r="AP489" s="46">
        <f t="shared" si="53"/>
        <v>1.25</v>
      </c>
      <c r="AQ489" s="44">
        <f>($AM$3*AM489+$AN$3*AN489+$AO$3*AO489+$AP$3*AP489)+$I$3*VLOOKUP(I489,COND!$A$2:$E$7,4,FALSE)+$J$3*VLOOKUP(J489,COND!$A$2:$C$7,2,FALSE)+$K$3*VLOOKUP(K489,COND!$A$2:$C$7,3,FALSE)+IF(AND($B$2&gt;0,$E489&lt;20),$B$2*25,0)</f>
        <v>38.273055948039755</v>
      </c>
      <c r="AR489" s="47">
        <f t="shared" si="54"/>
        <v>-1.2989541349847447</v>
      </c>
      <c r="AS489" s="45" t="str">
        <f t="shared" si="55"/>
        <v>CF</v>
      </c>
      <c r="AT489" s="45">
        <f>RANK(Batters[[#This Row],[zScore]],Batters[[#All],[zScore]])</f>
        <v>485</v>
      </c>
      <c r="AU489" s="45"/>
      <c r="AV489" s="45"/>
      <c r="AW489" s="45" t="str">
        <f t="shared" si="56"/>
        <v>Unlikely</v>
      </c>
      <c r="AX489" s="45"/>
      <c r="AY489" s="45">
        <f>INDEX(Table5[[#All],[Ovr]],MATCH(Batters[[#This Row],[PID]],Table5[[#All],[PID]],0))</f>
        <v>435</v>
      </c>
      <c r="AZ489" s="45" t="str">
        <f>INDEX(Table5[[#All],[Rnd]],MATCH(Batters[[#This Row],[PID]],Table5[[#All],[PID]],0))</f>
        <v>15</v>
      </c>
      <c r="BA489" s="45">
        <f>INDEX(Table5[[#All],[Pick]],MATCH(Batters[[#This Row],[PID]],Table5[[#All],[PID]],0))</f>
        <v>7</v>
      </c>
      <c r="BB489" s="45" t="str">
        <f>INDEX(Table5[[#All],[Team]],MATCH(Batters[[#This Row],[PID]],Table5[[#All],[PID]],0))</f>
        <v>Niihama-shi Ghosts</v>
      </c>
    </row>
    <row r="490" spans="1:54" ht="15" customHeight="1" x14ac:dyDescent="0.25">
      <c r="A490" s="40">
        <v>18279</v>
      </c>
      <c r="B490" s="40" t="s">
        <v>86</v>
      </c>
      <c r="C490" s="40" t="s">
        <v>174</v>
      </c>
      <c r="D490" s="40" t="s">
        <v>1432</v>
      </c>
      <c r="E490" s="40">
        <v>18</v>
      </c>
      <c r="F490" s="40" t="s">
        <v>42</v>
      </c>
      <c r="G490" s="40" t="s">
        <v>42</v>
      </c>
      <c r="H490" s="41" t="s">
        <v>638</v>
      </c>
      <c r="I490" s="65" t="s">
        <v>43</v>
      </c>
      <c r="J490" s="66" t="s">
        <v>43</v>
      </c>
      <c r="K490" s="67" t="s">
        <v>43</v>
      </c>
      <c r="L490" s="40">
        <v>1</v>
      </c>
      <c r="M490" s="40">
        <v>1</v>
      </c>
      <c r="N490" s="40">
        <v>2</v>
      </c>
      <c r="O490" s="40">
        <v>1</v>
      </c>
      <c r="P490" s="41">
        <v>1</v>
      </c>
      <c r="Q490" s="40">
        <v>2</v>
      </c>
      <c r="R490" s="40">
        <v>4</v>
      </c>
      <c r="S490" s="40">
        <v>4</v>
      </c>
      <c r="T490" s="40">
        <v>5</v>
      </c>
      <c r="U490" s="41">
        <v>2</v>
      </c>
      <c r="V490" s="40">
        <v>3</v>
      </c>
      <c r="W490" s="40">
        <v>2</v>
      </c>
      <c r="X490" s="40">
        <v>6</v>
      </c>
      <c r="Y490" s="41">
        <v>5</v>
      </c>
      <c r="Z490" s="40" t="s">
        <v>45</v>
      </c>
      <c r="AA490" s="40" t="s">
        <v>45</v>
      </c>
      <c r="AB490" s="40" t="s">
        <v>45</v>
      </c>
      <c r="AC490" s="40" t="s">
        <v>45</v>
      </c>
      <c r="AD490" s="40" t="s">
        <v>45</v>
      </c>
      <c r="AE490" s="40" t="s">
        <v>45</v>
      </c>
      <c r="AF490" s="40" t="s">
        <v>45</v>
      </c>
      <c r="AG490" s="41" t="s">
        <v>45</v>
      </c>
      <c r="AH490" s="40">
        <v>1</v>
      </c>
      <c r="AI490" s="40">
        <v>2</v>
      </c>
      <c r="AJ490" s="41">
        <v>1</v>
      </c>
      <c r="AK490" s="43" t="s">
        <v>659</v>
      </c>
      <c r="AL490" s="43" t="s">
        <v>47</v>
      </c>
      <c r="AM490" s="44">
        <f t="shared" si="50"/>
        <v>-2.0012818558036707</v>
      </c>
      <c r="AN490" s="44">
        <f t="shared" si="51"/>
        <v>-0.96056885284167481</v>
      </c>
      <c r="AO490" s="45">
        <f t="shared" si="52"/>
        <v>0</v>
      </c>
      <c r="AP490" s="46">
        <f t="shared" si="53"/>
        <v>0</v>
      </c>
      <c r="AQ490" s="44">
        <f>($AM$3*AM490+$AN$3*AN490+$AO$3*AO490+$AP$3*AP490)+$I$3*VLOOKUP(I490,COND!$A$2:$E$7,4,FALSE)+$J$3*VLOOKUP(J490,COND!$A$2:$C$7,2,FALSE)+$K$3*VLOOKUP(K490,COND!$A$2:$C$7,3,FALSE)+IF(AND($B$2&gt;0,$E490&lt;20),$B$2*25,0)</f>
        <v>38.273045580319533</v>
      </c>
      <c r="AR490" s="47">
        <f t="shared" si="54"/>
        <v>-1.2989564335783972</v>
      </c>
      <c r="AS490" s="45" t="str">
        <f t="shared" si="55"/>
        <v>DH</v>
      </c>
      <c r="AT490" s="45">
        <f>RANK(Batters[[#This Row],[zScore]],Batters[[#All],[zScore]])</f>
        <v>486</v>
      </c>
      <c r="AU490" s="45"/>
      <c r="AV490" s="45"/>
      <c r="AW490" s="45" t="str">
        <f t="shared" si="56"/>
        <v>Unlikely</v>
      </c>
      <c r="AX490" s="45"/>
      <c r="AY490" s="45" t="str">
        <f>INDEX(Table5[[#All],[Ovr]],MATCH(Batters[[#This Row],[PID]],Table5[[#All],[PID]],0))</f>
        <v/>
      </c>
      <c r="AZ490" s="45" t="str">
        <f>INDEX(Table5[[#All],[Rnd]],MATCH(Batters[[#This Row],[PID]],Table5[[#All],[PID]],0))</f>
        <v/>
      </c>
      <c r="BA490" s="45" t="str">
        <f>INDEX(Table5[[#All],[Pick]],MATCH(Batters[[#This Row],[PID]],Table5[[#All],[PID]],0))</f>
        <v/>
      </c>
      <c r="BB490" s="45" t="str">
        <f>INDEX(Table5[[#All],[Team]],MATCH(Batters[[#This Row],[PID]],Table5[[#All],[PID]],0))</f>
        <v/>
      </c>
    </row>
    <row r="491" spans="1:54" ht="15" customHeight="1" x14ac:dyDescent="0.25">
      <c r="A491" s="40">
        <v>18317</v>
      </c>
      <c r="B491" s="40" t="s">
        <v>50</v>
      </c>
      <c r="C491" s="40" t="s">
        <v>530</v>
      </c>
      <c r="D491" s="40" t="s">
        <v>1598</v>
      </c>
      <c r="E491" s="40">
        <v>21</v>
      </c>
      <c r="F491" s="40" t="s">
        <v>62</v>
      </c>
      <c r="G491" s="40" t="s">
        <v>53</v>
      </c>
      <c r="H491" s="41" t="s">
        <v>638</v>
      </c>
      <c r="I491" s="65" t="s">
        <v>44</v>
      </c>
      <c r="J491" s="66" t="s">
        <v>43</v>
      </c>
      <c r="K491" s="67" t="s">
        <v>47</v>
      </c>
      <c r="L491" s="40">
        <v>2</v>
      </c>
      <c r="M491" s="40">
        <v>3</v>
      </c>
      <c r="N491" s="40">
        <v>3</v>
      </c>
      <c r="O491" s="40">
        <v>4</v>
      </c>
      <c r="P491" s="41">
        <v>1</v>
      </c>
      <c r="Q491" s="40">
        <v>3</v>
      </c>
      <c r="R491" s="40">
        <v>4</v>
      </c>
      <c r="S491" s="40">
        <v>3</v>
      </c>
      <c r="T491" s="40">
        <v>6</v>
      </c>
      <c r="U491" s="41">
        <v>3</v>
      </c>
      <c r="V491" s="40">
        <v>6</v>
      </c>
      <c r="W491" s="40">
        <v>8</v>
      </c>
      <c r="X491" s="40">
        <v>1</v>
      </c>
      <c r="Y491" s="41">
        <v>1</v>
      </c>
      <c r="Z491" s="40" t="s">
        <v>45</v>
      </c>
      <c r="AA491" s="40" t="s">
        <v>45</v>
      </c>
      <c r="AB491" s="40" t="s">
        <v>45</v>
      </c>
      <c r="AC491" s="40" t="s">
        <v>45</v>
      </c>
      <c r="AD491" s="40" t="s">
        <v>45</v>
      </c>
      <c r="AE491" s="40">
        <v>6</v>
      </c>
      <c r="AF491" s="40">
        <v>2</v>
      </c>
      <c r="AG491" s="41">
        <v>2</v>
      </c>
      <c r="AH491" s="40">
        <v>9</v>
      </c>
      <c r="AI491" s="40">
        <v>6</v>
      </c>
      <c r="AJ491" s="41">
        <v>3</v>
      </c>
      <c r="AK491" s="43" t="s">
        <v>45</v>
      </c>
      <c r="AL491" s="43" t="s">
        <v>47</v>
      </c>
      <c r="AM491" s="44">
        <f t="shared" si="50"/>
        <v>-1.2244161163109442</v>
      </c>
      <c r="AN491" s="44">
        <f t="shared" si="51"/>
        <v>-0.59134862083623696</v>
      </c>
      <c r="AO491" s="45">
        <f t="shared" si="52"/>
        <v>2</v>
      </c>
      <c r="AP491" s="46">
        <f t="shared" si="53"/>
        <v>0</v>
      </c>
      <c r="AQ491" s="44">
        <f>($AM$3*AM491+$AN$3*AN491+$AO$3*AO491+$AP$3*AP491)+$I$3*VLOOKUP(I491,COND!$A$2:$E$7,4,FALSE)+$J$3*VLOOKUP(J491,COND!$A$2:$C$7,2,FALSE)+$K$3*VLOOKUP(K491,COND!$A$2:$C$7,3,FALSE)+IF(AND($B$2&gt;0,$E491&lt;20),$B$2*25,0)</f>
        <v>38.264708271667395</v>
      </c>
      <c r="AR491" s="47">
        <f t="shared" si="54"/>
        <v>-1.3008048712615525</v>
      </c>
      <c r="AS491" s="45" t="str">
        <f t="shared" si="55"/>
        <v>LF</v>
      </c>
      <c r="AT491" s="45">
        <f>RANK(Batters[[#This Row],[zScore]],Batters[[#All],[zScore]])</f>
        <v>487</v>
      </c>
      <c r="AU491" s="45"/>
      <c r="AV491" s="45"/>
      <c r="AW491" s="45" t="str">
        <f t="shared" si="56"/>
        <v>Unlikely</v>
      </c>
      <c r="AX491" s="45"/>
      <c r="AY491" s="45">
        <f>INDEX(Table5[[#All],[Ovr]],MATCH(Batters[[#This Row],[PID]],Table5[[#All],[PID]],0))</f>
        <v>588</v>
      </c>
      <c r="AZ491" s="45" t="str">
        <f>INDEX(Table5[[#All],[Rnd]],MATCH(Batters[[#This Row],[PID]],Table5[[#All],[PID]],0))</f>
        <v>20</v>
      </c>
      <c r="BA491" s="45">
        <f>INDEX(Table5[[#All],[Pick]],MATCH(Batters[[#This Row],[PID]],Table5[[#All],[PID]],0))</f>
        <v>10</v>
      </c>
      <c r="BB491" s="45" t="str">
        <f>INDEX(Table5[[#All],[Team]],MATCH(Batters[[#This Row],[PID]],Table5[[#All],[PID]],0))</f>
        <v>Hartford Harpoon</v>
      </c>
    </row>
    <row r="492" spans="1:54" ht="15" customHeight="1" x14ac:dyDescent="0.25">
      <c r="A492" s="40">
        <v>18131</v>
      </c>
      <c r="B492" s="40" t="s">
        <v>69</v>
      </c>
      <c r="C492" s="40" t="s">
        <v>180</v>
      </c>
      <c r="D492" s="40" t="s">
        <v>662</v>
      </c>
      <c r="E492" s="40">
        <v>21</v>
      </c>
      <c r="F492" s="40" t="s">
        <v>42</v>
      </c>
      <c r="G492" s="40" t="s">
        <v>42</v>
      </c>
      <c r="H492" s="41" t="s">
        <v>638</v>
      </c>
      <c r="I492" s="65" t="s">
        <v>44</v>
      </c>
      <c r="J492" s="66" t="s">
        <v>44</v>
      </c>
      <c r="K492" s="67" t="s">
        <v>43</v>
      </c>
      <c r="L492" s="40">
        <v>1</v>
      </c>
      <c r="M492" s="40">
        <v>2</v>
      </c>
      <c r="N492" s="40">
        <v>3</v>
      </c>
      <c r="O492" s="40">
        <v>2</v>
      </c>
      <c r="P492" s="41">
        <v>1</v>
      </c>
      <c r="Q492" s="40">
        <v>3</v>
      </c>
      <c r="R492" s="40">
        <v>4</v>
      </c>
      <c r="S492" s="40">
        <v>5</v>
      </c>
      <c r="T492" s="40">
        <v>4</v>
      </c>
      <c r="U492" s="41">
        <v>4</v>
      </c>
      <c r="V492" s="40">
        <v>7</v>
      </c>
      <c r="W492" s="40">
        <v>9</v>
      </c>
      <c r="X492" s="40">
        <v>1</v>
      </c>
      <c r="Y492" s="41">
        <v>1</v>
      </c>
      <c r="Z492" s="40" t="s">
        <v>45</v>
      </c>
      <c r="AA492" s="40" t="s">
        <v>45</v>
      </c>
      <c r="AB492" s="40" t="s">
        <v>45</v>
      </c>
      <c r="AC492" s="40">
        <v>6</v>
      </c>
      <c r="AD492" s="40" t="s">
        <v>45</v>
      </c>
      <c r="AE492" s="40" t="s">
        <v>45</v>
      </c>
      <c r="AF492" s="40" t="s">
        <v>45</v>
      </c>
      <c r="AG492" s="41">
        <v>3</v>
      </c>
      <c r="AH492" s="40">
        <v>9</v>
      </c>
      <c r="AI492" s="40">
        <v>5</v>
      </c>
      <c r="AJ492" s="41">
        <v>5</v>
      </c>
      <c r="AK492" s="43" t="s">
        <v>45</v>
      </c>
      <c r="AL492" s="43" t="s">
        <v>47</v>
      </c>
      <c r="AM492" s="44">
        <f t="shared" si="50"/>
        <v>-1.7774509321514844</v>
      </c>
      <c r="AN492" s="44">
        <f t="shared" si="51"/>
        <v>-0.5646283929905126</v>
      </c>
      <c r="AO492" s="45">
        <f t="shared" si="52"/>
        <v>1</v>
      </c>
      <c r="AP492" s="46">
        <f t="shared" si="53"/>
        <v>0.5</v>
      </c>
      <c r="AQ492" s="44">
        <f>($AM$3*AM492+$AN$3*AN492+$AO$3*AO492+$AP$3*AP492)+$I$3*VLOOKUP(I492,COND!$A$2:$E$7,4,FALSE)+$J$3*VLOOKUP(J492,COND!$A$2:$C$7,2,FALSE)+$K$3*VLOOKUP(K492,COND!$A$2:$C$7,3,FALSE)+IF(AND($B$2&gt;0,$E492&lt;20),$B$2*25,0)</f>
        <v>38.263380857565366</v>
      </c>
      <c r="AR492" s="47">
        <f t="shared" si="54"/>
        <v>-1.3010991679404589</v>
      </c>
      <c r="AS492" s="45" t="str">
        <f t="shared" si="55"/>
        <v>3B</v>
      </c>
      <c r="AT492" s="45">
        <f>RANK(Batters[[#This Row],[zScore]],Batters[[#All],[zScore]])</f>
        <v>488</v>
      </c>
      <c r="AU492" s="45"/>
      <c r="AV492" s="45"/>
      <c r="AW492" s="45" t="str">
        <f t="shared" si="56"/>
        <v>Unlikely</v>
      </c>
      <c r="AX492" s="45"/>
      <c r="AY492" s="45" t="str">
        <f>INDEX(Table5[[#All],[Ovr]],MATCH(Batters[[#This Row],[PID]],Table5[[#All],[PID]],0))</f>
        <v/>
      </c>
      <c r="AZ492" s="45" t="str">
        <f>INDEX(Table5[[#All],[Rnd]],MATCH(Batters[[#This Row],[PID]],Table5[[#All],[PID]],0))</f>
        <v/>
      </c>
      <c r="BA492" s="45" t="str">
        <f>INDEX(Table5[[#All],[Pick]],MATCH(Batters[[#This Row],[PID]],Table5[[#All],[PID]],0))</f>
        <v/>
      </c>
      <c r="BB492" s="45" t="str">
        <f>INDEX(Table5[[#All],[Team]],MATCH(Batters[[#This Row],[PID]],Table5[[#All],[PID]],0))</f>
        <v/>
      </c>
    </row>
    <row r="493" spans="1:54" ht="15" customHeight="1" x14ac:dyDescent="0.25">
      <c r="A493" s="40">
        <v>17850</v>
      </c>
      <c r="B493" s="40" t="s">
        <v>71</v>
      </c>
      <c r="C493" s="40" t="s">
        <v>1730</v>
      </c>
      <c r="D493" s="40" t="s">
        <v>1731</v>
      </c>
      <c r="E493" s="40">
        <v>18</v>
      </c>
      <c r="F493" s="40" t="s">
        <v>42</v>
      </c>
      <c r="G493" s="40" t="s">
        <v>42</v>
      </c>
      <c r="H493" s="41" t="s">
        <v>647</v>
      </c>
      <c r="I493" s="65" t="s">
        <v>43</v>
      </c>
      <c r="J493" s="66" t="s">
        <v>44</v>
      </c>
      <c r="K493" s="67" t="s">
        <v>43</v>
      </c>
      <c r="L493" s="40">
        <v>1</v>
      </c>
      <c r="M493" s="40">
        <v>1</v>
      </c>
      <c r="N493" s="40">
        <v>2</v>
      </c>
      <c r="O493" s="40">
        <v>1</v>
      </c>
      <c r="P493" s="41">
        <v>1</v>
      </c>
      <c r="Q493" s="40">
        <v>2</v>
      </c>
      <c r="R493" s="40">
        <v>5</v>
      </c>
      <c r="S493" s="40">
        <v>3</v>
      </c>
      <c r="T493" s="40">
        <v>5</v>
      </c>
      <c r="U493" s="41">
        <v>2</v>
      </c>
      <c r="V493" s="40">
        <v>5</v>
      </c>
      <c r="W493" s="40">
        <v>5</v>
      </c>
      <c r="X493" s="40">
        <v>1</v>
      </c>
      <c r="Y493" s="41">
        <v>1</v>
      </c>
      <c r="Z493" s="40" t="s">
        <v>45</v>
      </c>
      <c r="AA493" s="40" t="s">
        <v>45</v>
      </c>
      <c r="AB493" s="40">
        <v>1</v>
      </c>
      <c r="AC493" s="40" t="s">
        <v>45</v>
      </c>
      <c r="AD493" s="40" t="s">
        <v>45</v>
      </c>
      <c r="AE493" s="40" t="s">
        <v>45</v>
      </c>
      <c r="AF493" s="40" t="s">
        <v>45</v>
      </c>
      <c r="AG493" s="41">
        <v>1</v>
      </c>
      <c r="AH493" s="40">
        <v>8</v>
      </c>
      <c r="AI493" s="40">
        <v>8</v>
      </c>
      <c r="AJ493" s="41">
        <v>8</v>
      </c>
      <c r="AK493" s="43" t="s">
        <v>659</v>
      </c>
      <c r="AL493" s="43"/>
      <c r="AM493" s="44">
        <f t="shared" si="50"/>
        <v>-2.0012818558036707</v>
      </c>
      <c r="AN493" s="44">
        <f t="shared" si="51"/>
        <v>-0.99257046724687281</v>
      </c>
      <c r="AO493" s="45">
        <f t="shared" si="52"/>
        <v>4</v>
      </c>
      <c r="AP493" s="46">
        <f t="shared" si="53"/>
        <v>0</v>
      </c>
      <c r="AQ493" s="44">
        <f>($AM$3*AM493+$AN$3*AN493+$AO$3*AO493+$AP$3*AP493)+$I$3*VLOOKUP(I493,COND!$A$2:$E$7,4,FALSE)+$J$3*VLOOKUP(J493,COND!$A$2:$C$7,2,FALSE)+$K$3*VLOOKUP(K493,COND!$A$2:$C$7,3,FALSE)+IF(AND($B$2&gt;0,$E493&lt;20),$B$2*25,0)</f>
        <v>38.255692874123824</v>
      </c>
      <c r="AR493" s="47">
        <f t="shared" si="54"/>
        <v>-1.302803645835394</v>
      </c>
      <c r="AS493" s="45" t="str">
        <f t="shared" si="55"/>
        <v>2B</v>
      </c>
      <c r="AT493" s="45">
        <f>RANK(Batters[[#This Row],[zScore]],Batters[[#All],[zScore]])</f>
        <v>489</v>
      </c>
      <c r="AU493" s="45"/>
      <c r="AV493" s="45"/>
      <c r="AW493" s="45" t="str">
        <f t="shared" si="56"/>
        <v>Unlikely</v>
      </c>
      <c r="AX493" s="45"/>
      <c r="AY493" s="64" t="str">
        <f>INDEX(Table5[[#All],[Ovr]],MATCH(Batters[[#This Row],[PID]],Table5[[#All],[PID]],0))</f>
        <v/>
      </c>
      <c r="AZ493" s="64" t="str">
        <f>INDEX(Table5[[#All],[Rnd]],MATCH(Batters[[#This Row],[PID]],Table5[[#All],[PID]],0))</f>
        <v/>
      </c>
      <c r="BA493" s="64" t="str">
        <f>INDEX(Table5[[#All],[Pick]],MATCH(Batters[[#This Row],[PID]],Table5[[#All],[PID]],0))</f>
        <v/>
      </c>
      <c r="BB493" s="64" t="str">
        <f>INDEX(Table5[[#All],[Team]],MATCH(Batters[[#This Row],[PID]],Table5[[#All],[PID]],0))</f>
        <v/>
      </c>
    </row>
    <row r="494" spans="1:54" ht="15" customHeight="1" x14ac:dyDescent="0.25">
      <c r="A494" s="40">
        <v>20254</v>
      </c>
      <c r="B494" s="40" t="s">
        <v>69</v>
      </c>
      <c r="C494" s="40" t="s">
        <v>153</v>
      </c>
      <c r="D494" s="40" t="s">
        <v>156</v>
      </c>
      <c r="E494" s="40">
        <v>22</v>
      </c>
      <c r="F494" s="40" t="s">
        <v>62</v>
      </c>
      <c r="G494" s="40" t="s">
        <v>42</v>
      </c>
      <c r="H494" s="41" t="s">
        <v>638</v>
      </c>
      <c r="I494" s="65" t="s">
        <v>43</v>
      </c>
      <c r="J494" s="66" t="s">
        <v>43</v>
      </c>
      <c r="K494" s="67" t="s">
        <v>43</v>
      </c>
      <c r="L494" s="40">
        <v>2</v>
      </c>
      <c r="M494" s="40">
        <v>4</v>
      </c>
      <c r="N494" s="40">
        <v>3</v>
      </c>
      <c r="O494" s="40">
        <v>4</v>
      </c>
      <c r="P494" s="41">
        <v>1</v>
      </c>
      <c r="Q494" s="40">
        <v>3</v>
      </c>
      <c r="R494" s="40">
        <v>4</v>
      </c>
      <c r="S494" s="40">
        <v>4</v>
      </c>
      <c r="T494" s="40">
        <v>5</v>
      </c>
      <c r="U494" s="41">
        <v>3</v>
      </c>
      <c r="V494" s="40">
        <v>7</v>
      </c>
      <c r="W494" s="40">
        <v>7</v>
      </c>
      <c r="X494" s="40">
        <v>1</v>
      </c>
      <c r="Y494" s="41">
        <v>1</v>
      </c>
      <c r="Z494" s="40" t="s">
        <v>45</v>
      </c>
      <c r="AA494" s="40" t="s">
        <v>45</v>
      </c>
      <c r="AB494" s="40">
        <v>4</v>
      </c>
      <c r="AC494" s="40">
        <v>5</v>
      </c>
      <c r="AD494" s="40">
        <v>2</v>
      </c>
      <c r="AE494" s="40" t="s">
        <v>45</v>
      </c>
      <c r="AF494" s="40" t="s">
        <v>45</v>
      </c>
      <c r="AG494" s="41" t="s">
        <v>45</v>
      </c>
      <c r="AH494" s="40">
        <v>3</v>
      </c>
      <c r="AI494" s="40">
        <v>2</v>
      </c>
      <c r="AJ494" s="41">
        <v>1</v>
      </c>
      <c r="AK494" s="43" t="s">
        <v>1592</v>
      </c>
      <c r="AL494" s="43" t="s">
        <v>635</v>
      </c>
      <c r="AM494" s="44">
        <f t="shared" si="50"/>
        <v>-1.1733562366922408</v>
      </c>
      <c r="AN494" s="44">
        <f t="shared" si="51"/>
        <v>-0.59799667682191648</v>
      </c>
      <c r="AO494" s="45">
        <f t="shared" si="52"/>
        <v>0</v>
      </c>
      <c r="AP494" s="46">
        <f t="shared" si="53"/>
        <v>0.5</v>
      </c>
      <c r="AQ494" s="44">
        <f>($AM$3*AM494+$AN$3*AN494+$AO$3*AO494+$AP$3*AP494)+$I$3*VLOOKUP(I494,COND!$A$2:$E$7,4,FALSE)+$J$3*VLOOKUP(J494,COND!$A$2:$C$7,2,FALSE)+$K$3*VLOOKUP(K494,COND!$A$2:$C$7,3,FALSE)+IF(AND($B$2&gt;0,$E494&lt;20),$B$2*25,0)</f>
        <v>38.20670425446778</v>
      </c>
      <c r="AR494" s="47">
        <f t="shared" si="54"/>
        <v>-1.3136647539454762</v>
      </c>
      <c r="AS494" s="45" t="str">
        <f t="shared" si="55"/>
        <v>3B</v>
      </c>
      <c r="AT494" s="45">
        <f>RANK(Batters[[#This Row],[zScore]],Batters[[#All],[zScore]])</f>
        <v>490</v>
      </c>
      <c r="AU494" s="45"/>
      <c r="AV494" s="45"/>
      <c r="AW494" s="45" t="str">
        <f t="shared" si="56"/>
        <v>Unlikely</v>
      </c>
      <c r="AX494" s="45"/>
      <c r="AY494" s="45" t="str">
        <f>INDEX(Table5[[#All],[Ovr]],MATCH(Batters[[#This Row],[PID]],Table5[[#All],[PID]],0))</f>
        <v/>
      </c>
      <c r="AZ494" s="45" t="str">
        <f>INDEX(Table5[[#All],[Rnd]],MATCH(Batters[[#This Row],[PID]],Table5[[#All],[PID]],0))</f>
        <v/>
      </c>
      <c r="BA494" s="45" t="str">
        <f>INDEX(Table5[[#All],[Pick]],MATCH(Batters[[#This Row],[PID]],Table5[[#All],[PID]],0))</f>
        <v/>
      </c>
      <c r="BB494" s="45" t="str">
        <f>INDEX(Table5[[#All],[Team]],MATCH(Batters[[#This Row],[PID]],Table5[[#All],[PID]],0))</f>
        <v/>
      </c>
    </row>
    <row r="495" spans="1:54" ht="15" customHeight="1" x14ac:dyDescent="0.25">
      <c r="A495" s="40">
        <v>21039</v>
      </c>
      <c r="B495" s="40" t="s">
        <v>86</v>
      </c>
      <c r="C495" s="40" t="s">
        <v>874</v>
      </c>
      <c r="D495" s="40" t="s">
        <v>203</v>
      </c>
      <c r="E495" s="40">
        <v>18</v>
      </c>
      <c r="F495" s="40" t="s">
        <v>42</v>
      </c>
      <c r="G495" s="40" t="s">
        <v>42</v>
      </c>
      <c r="H495" s="41" t="s">
        <v>638</v>
      </c>
      <c r="I495" s="65" t="s">
        <v>43</v>
      </c>
      <c r="J495" s="66" t="s">
        <v>43</v>
      </c>
      <c r="K495" s="67" t="s">
        <v>47</v>
      </c>
      <c r="L495" s="40">
        <v>1</v>
      </c>
      <c r="M495" s="40">
        <v>2</v>
      </c>
      <c r="N495" s="40">
        <v>2</v>
      </c>
      <c r="O495" s="40">
        <v>2</v>
      </c>
      <c r="P495" s="41">
        <v>1</v>
      </c>
      <c r="Q495" s="40">
        <v>2</v>
      </c>
      <c r="R495" s="40">
        <v>4</v>
      </c>
      <c r="S495" s="40">
        <v>3</v>
      </c>
      <c r="T495" s="40">
        <v>6</v>
      </c>
      <c r="U495" s="41">
        <v>1</v>
      </c>
      <c r="V495" s="40">
        <v>2</v>
      </c>
      <c r="W495" s="40">
        <v>2</v>
      </c>
      <c r="X495" s="40">
        <v>3</v>
      </c>
      <c r="Y495" s="41">
        <v>6</v>
      </c>
      <c r="Z495" s="40" t="s">
        <v>45</v>
      </c>
      <c r="AA495" s="40" t="s">
        <v>45</v>
      </c>
      <c r="AB495" s="40" t="s">
        <v>45</v>
      </c>
      <c r="AC495" s="40" t="s">
        <v>45</v>
      </c>
      <c r="AD495" s="40" t="s">
        <v>45</v>
      </c>
      <c r="AE495" s="40" t="s">
        <v>45</v>
      </c>
      <c r="AF495" s="40" t="s">
        <v>45</v>
      </c>
      <c r="AG495" s="41" t="s">
        <v>45</v>
      </c>
      <c r="AH495" s="40">
        <v>2</v>
      </c>
      <c r="AI495" s="40">
        <v>1</v>
      </c>
      <c r="AJ495" s="41">
        <v>2</v>
      </c>
      <c r="AK495" s="43" t="s">
        <v>644</v>
      </c>
      <c r="AL495" s="43" t="s">
        <v>635</v>
      </c>
      <c r="AM495" s="44">
        <f t="shared" si="50"/>
        <v>-1.8605124261753858</v>
      </c>
      <c r="AN495" s="44">
        <f t="shared" si="51"/>
        <v>-0.99393713667307859</v>
      </c>
      <c r="AO495" s="45">
        <f t="shared" si="52"/>
        <v>0</v>
      </c>
      <c r="AP495" s="46">
        <f t="shared" si="53"/>
        <v>0</v>
      </c>
      <c r="AQ495" s="44">
        <f>($AM$3*AM495+$AN$3*AN495+$AO$3*AO495+$AP$3*AP495)+$I$3*VLOOKUP(I495,COND!$A$2:$E$7,4,FALSE)+$J$3*VLOOKUP(J495,COND!$A$2:$C$7,2,FALSE)+$K$3*VLOOKUP(K495,COND!$A$2:$C$7,3,FALSE)+IF(AND($B$2&gt;0,$E495&lt;20),$B$2*25,0)</f>
        <v>38.186703117305512</v>
      </c>
      <c r="AR495" s="47">
        <f t="shared" si="54"/>
        <v>-1.3180991412494911</v>
      </c>
      <c r="AS495" s="45" t="str">
        <f t="shared" si="55"/>
        <v>DH</v>
      </c>
      <c r="AT495" s="45">
        <f>RANK(Batters[[#This Row],[zScore]],Batters[[#All],[zScore]])</f>
        <v>491</v>
      </c>
      <c r="AU495" s="45"/>
      <c r="AV495" s="45"/>
      <c r="AW495" s="45" t="str">
        <f t="shared" si="56"/>
        <v>Unlikely</v>
      </c>
      <c r="AX495" s="45"/>
      <c r="AY495" s="45" t="str">
        <f>INDEX(Table5[[#All],[Ovr]],MATCH(Batters[[#This Row],[PID]],Table5[[#All],[PID]],0))</f>
        <v/>
      </c>
      <c r="AZ495" s="45" t="str">
        <f>INDEX(Table5[[#All],[Rnd]],MATCH(Batters[[#This Row],[PID]],Table5[[#All],[PID]],0))</f>
        <v/>
      </c>
      <c r="BA495" s="45" t="str">
        <f>INDEX(Table5[[#All],[Pick]],MATCH(Batters[[#This Row],[PID]],Table5[[#All],[PID]],0))</f>
        <v/>
      </c>
      <c r="BB495" s="45" t="str">
        <f>INDEX(Table5[[#All],[Team]],MATCH(Batters[[#This Row],[PID]],Table5[[#All],[PID]],0))</f>
        <v/>
      </c>
    </row>
    <row r="496" spans="1:54" ht="15" customHeight="1" x14ac:dyDescent="0.25">
      <c r="A496" s="40">
        <v>18137</v>
      </c>
      <c r="B496" s="40" t="s">
        <v>74</v>
      </c>
      <c r="C496" s="40" t="s">
        <v>1617</v>
      </c>
      <c r="D496" s="40" t="s">
        <v>1618</v>
      </c>
      <c r="E496" s="40">
        <v>21</v>
      </c>
      <c r="F496" s="40" t="s">
        <v>53</v>
      </c>
      <c r="G496" s="40" t="s">
        <v>53</v>
      </c>
      <c r="H496" s="41" t="s">
        <v>638</v>
      </c>
      <c r="I496" s="65" t="s">
        <v>43</v>
      </c>
      <c r="J496" s="66" t="s">
        <v>47</v>
      </c>
      <c r="K496" s="67" t="s">
        <v>43</v>
      </c>
      <c r="L496" s="40">
        <v>1</v>
      </c>
      <c r="M496" s="40">
        <v>3</v>
      </c>
      <c r="N496" s="40">
        <v>2</v>
      </c>
      <c r="O496" s="40">
        <v>2</v>
      </c>
      <c r="P496" s="41">
        <v>2</v>
      </c>
      <c r="Q496" s="40">
        <v>3</v>
      </c>
      <c r="R496" s="40">
        <v>4</v>
      </c>
      <c r="S496" s="40">
        <v>2</v>
      </c>
      <c r="T496" s="40">
        <v>5</v>
      </c>
      <c r="U496" s="41">
        <v>4</v>
      </c>
      <c r="V496" s="40">
        <v>7</v>
      </c>
      <c r="W496" s="40">
        <v>8</v>
      </c>
      <c r="X496" s="40">
        <v>1</v>
      </c>
      <c r="Y496" s="41">
        <v>1</v>
      </c>
      <c r="Z496" s="40" t="s">
        <v>45</v>
      </c>
      <c r="AA496" s="40" t="s">
        <v>45</v>
      </c>
      <c r="AB496" s="40" t="s">
        <v>45</v>
      </c>
      <c r="AC496" s="40" t="s">
        <v>45</v>
      </c>
      <c r="AD496" s="40" t="s">
        <v>45</v>
      </c>
      <c r="AE496" s="40" t="s">
        <v>45</v>
      </c>
      <c r="AF496" s="40">
        <v>6</v>
      </c>
      <c r="AG496" s="41" t="s">
        <v>45</v>
      </c>
      <c r="AH496" s="40">
        <v>10</v>
      </c>
      <c r="AI496" s="40">
        <v>9</v>
      </c>
      <c r="AJ496" s="41">
        <v>10</v>
      </c>
      <c r="AK496" s="43" t="s">
        <v>45</v>
      </c>
      <c r="AL496" s="43" t="s">
        <v>47</v>
      </c>
      <c r="AM496" s="44">
        <f t="shared" si="50"/>
        <v>-1.7694362067395988</v>
      </c>
      <c r="AN496" s="44">
        <f t="shared" si="51"/>
        <v>-0.72410332505263597</v>
      </c>
      <c r="AO496" s="45">
        <f t="shared" si="52"/>
        <v>6</v>
      </c>
      <c r="AP496" s="46">
        <f t="shared" si="53"/>
        <v>0.75</v>
      </c>
      <c r="AQ496" s="44">
        <f>($AM$3*AM496+$AN$3*AN496+$AO$3*AO496+$AP$3*AP496)+$I$3*VLOOKUP(I496,COND!$A$2:$E$7,4,FALSE)+$J$3*VLOOKUP(J496,COND!$A$2:$C$7,2,FALSE)+$K$3*VLOOKUP(K496,COND!$A$2:$C$7,3,FALSE)+IF(AND($B$2&gt;0,$E496&lt;20),$B$2*25,0)</f>
        <v>38.183816478694411</v>
      </c>
      <c r="AR496" s="47">
        <f t="shared" si="54"/>
        <v>-1.3187391285414387</v>
      </c>
      <c r="AS496" s="45" t="str">
        <f t="shared" si="55"/>
        <v>CF</v>
      </c>
      <c r="AT496" s="45">
        <f>RANK(Batters[[#This Row],[zScore]],Batters[[#All],[zScore]])</f>
        <v>492</v>
      </c>
      <c r="AU496" s="45"/>
      <c r="AV496" s="45"/>
      <c r="AW496" s="45" t="str">
        <f t="shared" si="56"/>
        <v>Unlikely</v>
      </c>
      <c r="AX496" s="45"/>
      <c r="AY496" s="45">
        <f>INDEX(Table5[[#All],[Ovr]],MATCH(Batters[[#This Row],[PID]],Table5[[#All],[PID]],0))</f>
        <v>576</v>
      </c>
      <c r="AZ496" s="45" t="str">
        <f>INDEX(Table5[[#All],[Rnd]],MATCH(Batters[[#This Row],[PID]],Table5[[#All],[PID]],0))</f>
        <v>19</v>
      </c>
      <c r="BA496" s="45">
        <f>INDEX(Table5[[#All],[Pick]],MATCH(Batters[[#This Row],[PID]],Table5[[#All],[PID]],0))</f>
        <v>28</v>
      </c>
      <c r="BB496" s="45" t="str">
        <f>INDEX(Table5[[#All],[Team]],MATCH(Batters[[#This Row],[PID]],Table5[[#All],[PID]],0))</f>
        <v>San Juan Coqui</v>
      </c>
    </row>
    <row r="497" spans="1:54" ht="15" customHeight="1" x14ac:dyDescent="0.25">
      <c r="A497" s="40">
        <v>20964</v>
      </c>
      <c r="B497" s="40" t="s">
        <v>86</v>
      </c>
      <c r="C497" s="40" t="s">
        <v>525</v>
      </c>
      <c r="D497" s="40" t="s">
        <v>1401</v>
      </c>
      <c r="E497" s="40">
        <v>18</v>
      </c>
      <c r="F497" s="40" t="s">
        <v>62</v>
      </c>
      <c r="G497" s="40" t="s">
        <v>42</v>
      </c>
      <c r="H497" s="41" t="s">
        <v>638</v>
      </c>
      <c r="I497" s="65" t="s">
        <v>43</v>
      </c>
      <c r="J497" s="66" t="s">
        <v>44</v>
      </c>
      <c r="K497" s="67" t="s">
        <v>43</v>
      </c>
      <c r="L497" s="40">
        <v>1</v>
      </c>
      <c r="M497" s="40">
        <v>3</v>
      </c>
      <c r="N497" s="40">
        <v>3</v>
      </c>
      <c r="O497" s="40">
        <v>2</v>
      </c>
      <c r="P497" s="41">
        <v>1</v>
      </c>
      <c r="Q497" s="40">
        <v>1</v>
      </c>
      <c r="R497" s="40">
        <v>8</v>
      </c>
      <c r="S497" s="40">
        <v>5</v>
      </c>
      <c r="T497" s="40">
        <v>6</v>
      </c>
      <c r="U497" s="41">
        <v>1</v>
      </c>
      <c r="V497" s="40">
        <v>2</v>
      </c>
      <c r="W497" s="40">
        <v>3</v>
      </c>
      <c r="X497" s="40">
        <v>4</v>
      </c>
      <c r="Y497" s="41">
        <v>4</v>
      </c>
      <c r="Z497" s="40" t="s">
        <v>45</v>
      </c>
      <c r="AA497" s="40" t="s">
        <v>45</v>
      </c>
      <c r="AB497" s="40" t="s">
        <v>45</v>
      </c>
      <c r="AC497" s="40" t="s">
        <v>45</v>
      </c>
      <c r="AD497" s="40" t="s">
        <v>45</v>
      </c>
      <c r="AE497" s="40" t="s">
        <v>45</v>
      </c>
      <c r="AF497" s="40" t="s">
        <v>45</v>
      </c>
      <c r="AG497" s="41" t="s">
        <v>45</v>
      </c>
      <c r="AH497" s="40">
        <v>1</v>
      </c>
      <c r="AI497" s="40">
        <v>1</v>
      </c>
      <c r="AJ497" s="41">
        <v>1</v>
      </c>
      <c r="AK497" s="43" t="s">
        <v>644</v>
      </c>
      <c r="AL497" s="43" t="s">
        <v>47</v>
      </c>
      <c r="AM497" s="44">
        <f t="shared" si="50"/>
        <v>-1.726391052532781</v>
      </c>
      <c r="AN497" s="44">
        <f t="shared" si="51"/>
        <v>-0.94613046635313625</v>
      </c>
      <c r="AO497" s="45">
        <f t="shared" si="52"/>
        <v>0</v>
      </c>
      <c r="AP497" s="46">
        <f t="shared" si="53"/>
        <v>0</v>
      </c>
      <c r="AQ497" s="44">
        <f>($AM$3*AM497+$AN$3*AN497+$AO$3*AO497+$AP$3*AP497)+$I$3*VLOOKUP(I497,COND!$A$2:$E$7,4,FALSE)+$J$3*VLOOKUP(J497,COND!$A$2:$C$7,2,FALSE)+$K$3*VLOOKUP(K497,COND!$A$2:$C$7,3,FALSE)+IF(AND($B$2&gt;0,$E497&lt;20),$B$2*25,0)</f>
        <v>38.173795298509084</v>
      </c>
      <c r="AR497" s="47">
        <f t="shared" si="54"/>
        <v>-1.320960891925417</v>
      </c>
      <c r="AS497" s="45" t="str">
        <f t="shared" si="55"/>
        <v>DH</v>
      </c>
      <c r="AT497" s="45">
        <f>RANK(Batters[[#This Row],[zScore]],Batters[[#All],[zScore]])</f>
        <v>493</v>
      </c>
      <c r="AU497" s="45"/>
      <c r="AV497" s="45"/>
      <c r="AW497" s="45" t="str">
        <f t="shared" si="56"/>
        <v>Unlikely</v>
      </c>
      <c r="AX497" s="45"/>
      <c r="AY497" s="45" t="str">
        <f>INDEX(Table5[[#All],[Ovr]],MATCH(Batters[[#This Row],[PID]],Table5[[#All],[PID]],0))</f>
        <v/>
      </c>
      <c r="AZ497" s="45" t="str">
        <f>INDEX(Table5[[#All],[Rnd]],MATCH(Batters[[#This Row],[PID]],Table5[[#All],[PID]],0))</f>
        <v/>
      </c>
      <c r="BA497" s="45" t="str">
        <f>INDEX(Table5[[#All],[Pick]],MATCH(Batters[[#This Row],[PID]],Table5[[#All],[PID]],0))</f>
        <v/>
      </c>
      <c r="BB497" s="45" t="str">
        <f>INDEX(Table5[[#All],[Team]],MATCH(Batters[[#This Row],[PID]],Table5[[#All],[PID]],0))</f>
        <v/>
      </c>
    </row>
    <row r="498" spans="1:54" ht="15" customHeight="1" x14ac:dyDescent="0.25">
      <c r="A498" s="40">
        <v>12827</v>
      </c>
      <c r="B498" s="40" t="s">
        <v>50</v>
      </c>
      <c r="C498" s="40" t="s">
        <v>1133</v>
      </c>
      <c r="D498" s="40" t="s">
        <v>1474</v>
      </c>
      <c r="E498" s="40">
        <v>21</v>
      </c>
      <c r="F498" s="40" t="s">
        <v>53</v>
      </c>
      <c r="G498" s="40" t="s">
        <v>42</v>
      </c>
      <c r="H498" s="41" t="s">
        <v>638</v>
      </c>
      <c r="I498" s="65" t="s">
        <v>43</v>
      </c>
      <c r="J498" s="66" t="s">
        <v>43</v>
      </c>
      <c r="K498" s="67" t="s">
        <v>43</v>
      </c>
      <c r="L498" s="40">
        <v>2</v>
      </c>
      <c r="M498" s="40">
        <v>2</v>
      </c>
      <c r="N498" s="40">
        <v>3</v>
      </c>
      <c r="O498" s="40">
        <v>3</v>
      </c>
      <c r="P498" s="41">
        <v>2</v>
      </c>
      <c r="Q498" s="40">
        <v>3</v>
      </c>
      <c r="R498" s="40">
        <v>4</v>
      </c>
      <c r="S498" s="40">
        <v>4</v>
      </c>
      <c r="T498" s="40">
        <v>5</v>
      </c>
      <c r="U498" s="41">
        <v>4</v>
      </c>
      <c r="V498" s="40">
        <v>4</v>
      </c>
      <c r="W498" s="40">
        <v>7</v>
      </c>
      <c r="X498" s="40">
        <v>1</v>
      </c>
      <c r="Y498" s="41">
        <v>1</v>
      </c>
      <c r="Z498" s="40" t="s">
        <v>45</v>
      </c>
      <c r="AA498" s="40">
        <v>2</v>
      </c>
      <c r="AB498" s="40" t="s">
        <v>45</v>
      </c>
      <c r="AC498" s="40" t="s">
        <v>45</v>
      </c>
      <c r="AD498" s="40" t="s">
        <v>45</v>
      </c>
      <c r="AE498" s="40">
        <v>3</v>
      </c>
      <c r="AF498" s="40" t="s">
        <v>45</v>
      </c>
      <c r="AG498" s="41" t="s">
        <v>45</v>
      </c>
      <c r="AH498" s="40">
        <v>4</v>
      </c>
      <c r="AI498" s="40">
        <v>4</v>
      </c>
      <c r="AJ498" s="41">
        <v>3</v>
      </c>
      <c r="AK498" s="43" t="s">
        <v>45</v>
      </c>
      <c r="AL498" s="43" t="s">
        <v>47</v>
      </c>
      <c r="AM498" s="44">
        <f t="shared" si="50"/>
        <v>-1.3251692061221452</v>
      </c>
      <c r="AN498" s="44">
        <f t="shared" si="51"/>
        <v>-0.55798033700483307</v>
      </c>
      <c r="AO498" s="45">
        <f t="shared" si="52"/>
        <v>0</v>
      </c>
      <c r="AP498" s="46">
        <f t="shared" si="53"/>
        <v>0</v>
      </c>
      <c r="AQ498" s="44">
        <f>($AM$3*AM498+$AN$3*AN498+$AO$3*AO498+$AP$3*AP498)+$I$3*VLOOKUP(I498,COND!$A$2:$E$7,4,FALSE)+$J$3*VLOOKUP(J498,COND!$A$2:$C$7,2,FALSE)+$K$3*VLOOKUP(K498,COND!$A$2:$C$7,3,FALSE)+IF(AND($B$2&gt;0,$E498&lt;20),$B$2*25,0)</f>
        <v>38.171719035329787</v>
      </c>
      <c r="AR498" s="47">
        <f t="shared" si="54"/>
        <v>-1.321421213506504</v>
      </c>
      <c r="AS498" s="45" t="str">
        <f t="shared" si="55"/>
        <v>LF</v>
      </c>
      <c r="AT498" s="45">
        <f>RANK(Batters[[#This Row],[zScore]],Batters[[#All],[zScore]])</f>
        <v>494</v>
      </c>
      <c r="AU498" s="45"/>
      <c r="AV498" s="45"/>
      <c r="AW498" s="45" t="str">
        <f t="shared" si="56"/>
        <v>Unlikely</v>
      </c>
      <c r="AX498" s="45"/>
      <c r="AY498" s="45" t="str">
        <f>INDEX(Table5[[#All],[Ovr]],MATCH(Batters[[#This Row],[PID]],Table5[[#All],[PID]],0))</f>
        <v/>
      </c>
      <c r="AZ498" s="45" t="str">
        <f>INDEX(Table5[[#All],[Rnd]],MATCH(Batters[[#This Row],[PID]],Table5[[#All],[PID]],0))</f>
        <v/>
      </c>
      <c r="BA498" s="45" t="str">
        <f>INDEX(Table5[[#All],[Pick]],MATCH(Batters[[#This Row],[PID]],Table5[[#All],[PID]],0))</f>
        <v/>
      </c>
      <c r="BB498" s="45" t="str">
        <f>INDEX(Table5[[#All],[Team]],MATCH(Batters[[#This Row],[PID]],Table5[[#All],[PID]],0))</f>
        <v/>
      </c>
    </row>
    <row r="499" spans="1:54" ht="15" customHeight="1" x14ac:dyDescent="0.25">
      <c r="A499" s="40">
        <v>12079</v>
      </c>
      <c r="B499" s="40" t="s">
        <v>87</v>
      </c>
      <c r="C499" s="40" t="s">
        <v>965</v>
      </c>
      <c r="D499" s="40" t="s">
        <v>966</v>
      </c>
      <c r="E499" s="40">
        <v>22</v>
      </c>
      <c r="F499" s="40" t="s">
        <v>42</v>
      </c>
      <c r="G499" s="40" t="s">
        <v>42</v>
      </c>
      <c r="H499" s="41" t="s">
        <v>639</v>
      </c>
      <c r="I499" s="65" t="s">
        <v>47</v>
      </c>
      <c r="J499" s="66" t="s">
        <v>47</v>
      </c>
      <c r="K499" s="67" t="s">
        <v>43</v>
      </c>
      <c r="L499" s="40">
        <v>1</v>
      </c>
      <c r="M499" s="40">
        <v>2</v>
      </c>
      <c r="N499" s="40">
        <v>3</v>
      </c>
      <c r="O499" s="40">
        <v>3</v>
      </c>
      <c r="P499" s="41">
        <v>1</v>
      </c>
      <c r="Q499" s="40">
        <v>3</v>
      </c>
      <c r="R499" s="40">
        <v>3</v>
      </c>
      <c r="S499" s="40">
        <v>4</v>
      </c>
      <c r="T499" s="40">
        <v>6</v>
      </c>
      <c r="U499" s="41">
        <v>2</v>
      </c>
      <c r="V499" s="40">
        <v>2</v>
      </c>
      <c r="W499" s="40">
        <v>2</v>
      </c>
      <c r="X499" s="40">
        <v>4</v>
      </c>
      <c r="Y499" s="41">
        <v>3</v>
      </c>
      <c r="Z499" s="40" t="s">
        <v>45</v>
      </c>
      <c r="AA499" s="40">
        <v>1</v>
      </c>
      <c r="AB499" s="40" t="s">
        <v>45</v>
      </c>
      <c r="AC499" s="40" t="s">
        <v>45</v>
      </c>
      <c r="AD499" s="40" t="s">
        <v>45</v>
      </c>
      <c r="AE499" s="40" t="s">
        <v>45</v>
      </c>
      <c r="AF499" s="40" t="s">
        <v>45</v>
      </c>
      <c r="AG499" s="41" t="s">
        <v>45</v>
      </c>
      <c r="AH499" s="40">
        <v>3</v>
      </c>
      <c r="AI499" s="40">
        <v>3</v>
      </c>
      <c r="AJ499" s="41">
        <v>4</v>
      </c>
      <c r="AK499" s="43" t="s">
        <v>45</v>
      </c>
      <c r="AL499" s="43"/>
      <c r="AM499" s="44">
        <f t="shared" si="50"/>
        <v>-1.6877413821419032</v>
      </c>
      <c r="AN499" s="44">
        <f t="shared" si="51"/>
        <v>-0.59936334624812238</v>
      </c>
      <c r="AO499" s="45">
        <f t="shared" si="52"/>
        <v>0</v>
      </c>
      <c r="AP499" s="46">
        <f t="shared" si="53"/>
        <v>0</v>
      </c>
      <c r="AQ499" s="44">
        <f>($AM$3*AM499+$AN$3*AN499+$AO$3*AO499+$AP$3*AP499)+$I$3*VLOOKUP(I499,COND!$A$2:$E$7,4,FALSE)+$J$3*VLOOKUP(J499,COND!$A$2:$C$7,2,FALSE)+$K$3*VLOOKUP(K499,COND!$A$2:$C$7,3,FALSE)+IF(AND($B$2&gt;0,$E499&lt;20),$B$2*25,0)</f>
        <v>38.163865706808338</v>
      </c>
      <c r="AR499" s="47">
        <f t="shared" si="54"/>
        <v>-1.3231623495232836</v>
      </c>
      <c r="AS499" s="45" t="str">
        <f t="shared" si="55"/>
        <v>1B</v>
      </c>
      <c r="AT499" s="45">
        <f>RANK(Batters[[#This Row],[zScore]],Batters[[#All],[zScore]])</f>
        <v>495</v>
      </c>
      <c r="AU499" s="45"/>
      <c r="AV499" s="45"/>
      <c r="AW499" s="45" t="str">
        <f t="shared" si="56"/>
        <v>Unlikely</v>
      </c>
      <c r="AX499" s="45"/>
      <c r="AY499" s="64" t="str">
        <f>INDEX(Table5[[#All],[Ovr]],MATCH(Batters[[#This Row],[PID]],Table5[[#All],[PID]],0))</f>
        <v/>
      </c>
      <c r="AZ499" s="64" t="str">
        <f>INDEX(Table5[[#All],[Rnd]],MATCH(Batters[[#This Row],[PID]],Table5[[#All],[PID]],0))</f>
        <v/>
      </c>
      <c r="BA499" s="64" t="str">
        <f>INDEX(Table5[[#All],[Pick]],MATCH(Batters[[#This Row],[PID]],Table5[[#All],[PID]],0))</f>
        <v/>
      </c>
      <c r="BB499" s="64" t="str">
        <f>INDEX(Table5[[#All],[Team]],MATCH(Batters[[#This Row],[PID]],Table5[[#All],[PID]],0))</f>
        <v/>
      </c>
    </row>
    <row r="500" spans="1:54" ht="15" customHeight="1" x14ac:dyDescent="0.25">
      <c r="A500" s="40">
        <v>15038</v>
      </c>
      <c r="B500" s="40" t="s">
        <v>66</v>
      </c>
      <c r="C500" s="40" t="s">
        <v>1032</v>
      </c>
      <c r="D500" s="40" t="s">
        <v>372</v>
      </c>
      <c r="E500" s="40">
        <v>21</v>
      </c>
      <c r="F500" s="40" t="s">
        <v>42</v>
      </c>
      <c r="G500" s="40" t="s">
        <v>42</v>
      </c>
      <c r="H500" s="41" t="s">
        <v>639</v>
      </c>
      <c r="I500" s="65" t="s">
        <v>43</v>
      </c>
      <c r="J500" s="66" t="s">
        <v>44</v>
      </c>
      <c r="K500" s="67" t="s">
        <v>47</v>
      </c>
      <c r="L500" s="40">
        <v>2</v>
      </c>
      <c r="M500" s="40">
        <v>2</v>
      </c>
      <c r="N500" s="40">
        <v>3</v>
      </c>
      <c r="O500" s="40">
        <v>3</v>
      </c>
      <c r="P500" s="41">
        <v>2</v>
      </c>
      <c r="Q500" s="40">
        <v>3</v>
      </c>
      <c r="R500" s="40">
        <v>3</v>
      </c>
      <c r="S500" s="40">
        <v>4</v>
      </c>
      <c r="T500" s="40">
        <v>6</v>
      </c>
      <c r="U500" s="41">
        <v>3</v>
      </c>
      <c r="V500" s="40">
        <v>2</v>
      </c>
      <c r="W500" s="40">
        <v>5</v>
      </c>
      <c r="X500" s="40">
        <v>1</v>
      </c>
      <c r="Y500" s="41">
        <v>1</v>
      </c>
      <c r="Z500" s="40" t="s">
        <v>45</v>
      </c>
      <c r="AA500" s="40" t="s">
        <v>45</v>
      </c>
      <c r="AB500" s="40" t="s">
        <v>45</v>
      </c>
      <c r="AC500" s="40" t="s">
        <v>45</v>
      </c>
      <c r="AD500" s="40" t="s">
        <v>45</v>
      </c>
      <c r="AE500" s="40">
        <v>1</v>
      </c>
      <c r="AF500" s="40" t="s">
        <v>45</v>
      </c>
      <c r="AG500" s="41">
        <v>1</v>
      </c>
      <c r="AH500" s="40">
        <v>5</v>
      </c>
      <c r="AI500" s="40">
        <v>3</v>
      </c>
      <c r="AJ500" s="41">
        <v>1</v>
      </c>
      <c r="AK500" s="43" t="s">
        <v>45</v>
      </c>
      <c r="AL500" s="43"/>
      <c r="AM500" s="44">
        <f t="shared" si="50"/>
        <v>-1.3251692061221452</v>
      </c>
      <c r="AN500" s="44">
        <f t="shared" si="51"/>
        <v>-0.55934700643103885</v>
      </c>
      <c r="AO500" s="45">
        <f t="shared" si="52"/>
        <v>0</v>
      </c>
      <c r="AP500" s="46">
        <f t="shared" si="53"/>
        <v>0</v>
      </c>
      <c r="AQ500" s="44">
        <f>($AM$3*AM500+$AN$3*AN500+$AO$3*AO500+$AP$3*AP500)+$I$3*VLOOKUP(I500,COND!$A$2:$E$7,4,FALSE)+$J$3*VLOOKUP(J500,COND!$A$2:$C$7,2,FALSE)+$K$3*VLOOKUP(K500,COND!$A$2:$C$7,3,FALSE)+IF(AND($B$2&gt;0,$E500&lt;20),$B$2*25,0)</f>
        <v>38.155319002215322</v>
      </c>
      <c r="AR500" s="47">
        <f t="shared" si="54"/>
        <v>-1.3250572117019166</v>
      </c>
      <c r="AS500" s="45" t="str">
        <f t="shared" si="55"/>
        <v>LF</v>
      </c>
      <c r="AT500" s="45">
        <f>RANK(Batters[[#This Row],[zScore]],Batters[[#All],[zScore]])</f>
        <v>496</v>
      </c>
      <c r="AU500" s="45"/>
      <c r="AV500" s="45"/>
      <c r="AW500" s="45" t="str">
        <f t="shared" si="56"/>
        <v>Unlikely</v>
      </c>
      <c r="AX500" s="45"/>
      <c r="AY500" s="64">
        <f>INDEX(Table5[[#All],[Ovr]],MATCH(Batters[[#This Row],[PID]],Table5[[#All],[PID]],0))</f>
        <v>605</v>
      </c>
      <c r="AZ500" s="64" t="str">
        <f>INDEX(Table5[[#All],[Rnd]],MATCH(Batters[[#This Row],[PID]],Table5[[#All],[PID]],0))</f>
        <v>20</v>
      </c>
      <c r="BA500" s="64">
        <f>INDEX(Table5[[#All],[Pick]],MATCH(Batters[[#This Row],[PID]],Table5[[#All],[PID]],0))</f>
        <v>27</v>
      </c>
      <c r="BB500" s="64" t="str">
        <f>INDEX(Table5[[#All],[Team]],MATCH(Batters[[#This Row],[PID]],Table5[[#All],[PID]],0))</f>
        <v>Neo-Tokyo Akira</v>
      </c>
    </row>
    <row r="501" spans="1:54" ht="15" customHeight="1" x14ac:dyDescent="0.25">
      <c r="A501" s="40">
        <v>15896</v>
      </c>
      <c r="B501" s="40" t="s">
        <v>72</v>
      </c>
      <c r="C501" s="40" t="s">
        <v>710</v>
      </c>
      <c r="D501" s="40" t="s">
        <v>1396</v>
      </c>
      <c r="E501" s="40">
        <v>18</v>
      </c>
      <c r="F501" s="40" t="s">
        <v>42</v>
      </c>
      <c r="G501" s="40" t="s">
        <v>42</v>
      </c>
      <c r="H501" s="41" t="s">
        <v>638</v>
      </c>
      <c r="I501" s="65" t="s">
        <v>44</v>
      </c>
      <c r="J501" s="66" t="s">
        <v>47</v>
      </c>
      <c r="K501" s="67" t="s">
        <v>43</v>
      </c>
      <c r="L501" s="40">
        <v>1</v>
      </c>
      <c r="M501" s="40">
        <v>2</v>
      </c>
      <c r="N501" s="40">
        <v>2</v>
      </c>
      <c r="O501" s="40">
        <v>1</v>
      </c>
      <c r="P501" s="41">
        <v>1</v>
      </c>
      <c r="Q501" s="40">
        <v>3</v>
      </c>
      <c r="R501" s="40">
        <v>4</v>
      </c>
      <c r="S501" s="40">
        <v>3</v>
      </c>
      <c r="T501" s="40">
        <v>1</v>
      </c>
      <c r="U501" s="41">
        <v>3</v>
      </c>
      <c r="V501" s="40">
        <v>9</v>
      </c>
      <c r="W501" s="40">
        <v>7</v>
      </c>
      <c r="X501" s="40">
        <v>1</v>
      </c>
      <c r="Y501" s="41">
        <v>1</v>
      </c>
      <c r="Z501" s="40" t="s">
        <v>45</v>
      </c>
      <c r="AA501" s="40" t="s">
        <v>45</v>
      </c>
      <c r="AB501" s="40" t="s">
        <v>45</v>
      </c>
      <c r="AC501" s="40" t="s">
        <v>45</v>
      </c>
      <c r="AD501" s="40">
        <v>4</v>
      </c>
      <c r="AE501" s="40" t="s">
        <v>45</v>
      </c>
      <c r="AF501" s="40" t="s">
        <v>45</v>
      </c>
      <c r="AG501" s="41" t="s">
        <v>45</v>
      </c>
      <c r="AH501" s="40">
        <v>7</v>
      </c>
      <c r="AI501" s="40">
        <v>8</v>
      </c>
      <c r="AJ501" s="41">
        <v>9</v>
      </c>
      <c r="AK501" s="43" t="s">
        <v>644</v>
      </c>
      <c r="AL501" s="43" t="s">
        <v>635</v>
      </c>
      <c r="AM501" s="44">
        <f t="shared" si="50"/>
        <v>-1.9502219761849671</v>
      </c>
      <c r="AN501" s="44">
        <f t="shared" si="51"/>
        <v>-1.0398963708841422</v>
      </c>
      <c r="AO501" s="45">
        <f t="shared" si="52"/>
        <v>4</v>
      </c>
      <c r="AP501" s="46">
        <f t="shared" si="53"/>
        <v>0</v>
      </c>
      <c r="AQ501" s="44">
        <f>($AM$3*AM501+$AN$3*AN501+$AO$3*AO501+$AP$3*AP501)+$I$3*VLOOKUP(I501,COND!$A$2:$E$7,4,FALSE)+$J$3*VLOOKUP(J501,COND!$A$2:$C$7,2,FALSE)+$K$3*VLOOKUP(K501,COND!$A$2:$C$7,3,FALSE)+IF(AND($B$2&gt;0,$E501&lt;20),$B$2*25,0)</f>
        <v>38.142888018438462</v>
      </c>
      <c r="AR501" s="47">
        <f t="shared" si="54"/>
        <v>-1.3278132448308986</v>
      </c>
      <c r="AS501" s="45" t="str">
        <f t="shared" si="55"/>
        <v>SS</v>
      </c>
      <c r="AT501" s="45">
        <f>RANK(Batters[[#This Row],[zScore]],Batters[[#All],[zScore]])</f>
        <v>497</v>
      </c>
      <c r="AU501" s="45"/>
      <c r="AV501" s="45"/>
      <c r="AW501" s="45" t="str">
        <f t="shared" si="56"/>
        <v>Unlikely</v>
      </c>
      <c r="AX501" s="45"/>
      <c r="AY501" s="45" t="str">
        <f>INDEX(Table5[[#All],[Ovr]],MATCH(Batters[[#This Row],[PID]],Table5[[#All],[PID]],0))</f>
        <v/>
      </c>
      <c r="AZ501" s="45" t="str">
        <f>INDEX(Table5[[#All],[Rnd]],MATCH(Batters[[#This Row],[PID]],Table5[[#All],[PID]],0))</f>
        <v/>
      </c>
      <c r="BA501" s="45" t="str">
        <f>INDEX(Table5[[#All],[Pick]],MATCH(Batters[[#This Row],[PID]],Table5[[#All],[PID]],0))</f>
        <v/>
      </c>
      <c r="BB501" s="45" t="str">
        <f>INDEX(Table5[[#All],[Team]],MATCH(Batters[[#This Row],[PID]],Table5[[#All],[PID]],0))</f>
        <v/>
      </c>
    </row>
    <row r="502" spans="1:54" ht="15" customHeight="1" x14ac:dyDescent="0.25">
      <c r="A502" s="40">
        <v>9530</v>
      </c>
      <c r="B502" s="40" t="s">
        <v>87</v>
      </c>
      <c r="C502" s="40" t="s">
        <v>148</v>
      </c>
      <c r="D502" s="40" t="s">
        <v>152</v>
      </c>
      <c r="E502" s="40">
        <v>22</v>
      </c>
      <c r="F502" s="40" t="s">
        <v>42</v>
      </c>
      <c r="G502" s="40" t="s">
        <v>42</v>
      </c>
      <c r="H502" s="41" t="s">
        <v>639</v>
      </c>
      <c r="I502" s="65" t="s">
        <v>43</v>
      </c>
      <c r="J502" s="66" t="s">
        <v>43</v>
      </c>
      <c r="K502" s="67" t="s">
        <v>43</v>
      </c>
      <c r="L502" s="40">
        <v>2</v>
      </c>
      <c r="M502" s="40">
        <v>1</v>
      </c>
      <c r="N502" s="40">
        <v>2</v>
      </c>
      <c r="O502" s="40">
        <v>1</v>
      </c>
      <c r="P502" s="41">
        <v>1</v>
      </c>
      <c r="Q502" s="40">
        <v>4</v>
      </c>
      <c r="R502" s="40">
        <v>2</v>
      </c>
      <c r="S502" s="40">
        <v>3</v>
      </c>
      <c r="T502" s="40">
        <v>3</v>
      </c>
      <c r="U502" s="41">
        <v>5</v>
      </c>
      <c r="V502" s="40">
        <v>2</v>
      </c>
      <c r="W502" s="40">
        <v>1</v>
      </c>
      <c r="X502" s="40">
        <v>1</v>
      </c>
      <c r="Y502" s="41">
        <v>1</v>
      </c>
      <c r="Z502" s="40" t="s">
        <v>45</v>
      </c>
      <c r="AA502" s="40">
        <v>1</v>
      </c>
      <c r="AB502" s="40" t="s">
        <v>45</v>
      </c>
      <c r="AC502" s="40" t="s">
        <v>45</v>
      </c>
      <c r="AD502" s="40" t="s">
        <v>45</v>
      </c>
      <c r="AE502" s="40" t="s">
        <v>45</v>
      </c>
      <c r="AF502" s="40" t="s">
        <v>45</v>
      </c>
      <c r="AG502" s="41" t="s">
        <v>45</v>
      </c>
      <c r="AH502" s="40">
        <v>1</v>
      </c>
      <c r="AI502" s="40">
        <v>1</v>
      </c>
      <c r="AJ502" s="41">
        <v>1</v>
      </c>
      <c r="AK502" s="43" t="s">
        <v>45</v>
      </c>
      <c r="AL502" s="43"/>
      <c r="AM502" s="44">
        <f t="shared" si="50"/>
        <v>-1.6787260196009959</v>
      </c>
      <c r="AN502" s="44">
        <f t="shared" si="51"/>
        <v>-0.56000851426554543</v>
      </c>
      <c r="AO502" s="45">
        <f t="shared" si="52"/>
        <v>0</v>
      </c>
      <c r="AP502" s="46">
        <f t="shared" si="53"/>
        <v>0</v>
      </c>
      <c r="AQ502" s="44">
        <f>($AM$3*AM502+$AN$3*AN502+$AO$3*AO502+$AP$3*AP502)+$I$3*VLOOKUP(I502,COND!$A$2:$E$7,4,FALSE)+$J$3*VLOOKUP(J502,COND!$A$2:$C$7,2,FALSE)+$K$3*VLOOKUP(K502,COND!$A$2:$C$7,3,FALSE)+IF(AND($B$2&gt;0,$E502&lt;20),$B$2*25,0)</f>
        <v>38.112025226853355</v>
      </c>
      <c r="AR502" s="47">
        <f t="shared" si="54"/>
        <v>-1.3346557343384271</v>
      </c>
      <c r="AS502" s="45" t="str">
        <f t="shared" si="55"/>
        <v>1B</v>
      </c>
      <c r="AT502" s="45">
        <f>RANK(Batters[[#This Row],[zScore]],Batters[[#All],[zScore]])</f>
        <v>498</v>
      </c>
      <c r="AU502" s="45"/>
      <c r="AV502" s="45"/>
      <c r="AW502" s="45" t="str">
        <f t="shared" si="56"/>
        <v>Unlikely</v>
      </c>
      <c r="AX502" s="45"/>
      <c r="AY502" s="64" t="str">
        <f>INDEX(Table5[[#All],[Ovr]],MATCH(Batters[[#This Row],[PID]],Table5[[#All],[PID]],0))</f>
        <v/>
      </c>
      <c r="AZ502" s="64" t="str">
        <f>INDEX(Table5[[#All],[Rnd]],MATCH(Batters[[#This Row],[PID]],Table5[[#All],[PID]],0))</f>
        <v/>
      </c>
      <c r="BA502" s="64" t="str">
        <f>INDEX(Table5[[#All],[Pick]],MATCH(Batters[[#This Row],[PID]],Table5[[#All],[PID]],0))</f>
        <v/>
      </c>
      <c r="BB502" s="64" t="str">
        <f>INDEX(Table5[[#All],[Team]],MATCH(Batters[[#This Row],[PID]],Table5[[#All],[PID]],0))</f>
        <v/>
      </c>
    </row>
    <row r="503" spans="1:54" ht="15" customHeight="1" x14ac:dyDescent="0.25">
      <c r="A503" s="40">
        <v>18151</v>
      </c>
      <c r="B503" s="40" t="s">
        <v>71</v>
      </c>
      <c r="C503" s="40" t="s">
        <v>371</v>
      </c>
      <c r="D503" s="40" t="s">
        <v>189</v>
      </c>
      <c r="E503" s="40">
        <v>21</v>
      </c>
      <c r="F503" s="40" t="s">
        <v>42</v>
      </c>
      <c r="G503" s="40" t="s">
        <v>42</v>
      </c>
      <c r="H503" s="41" t="s">
        <v>634</v>
      </c>
      <c r="I503" s="65" t="s">
        <v>43</v>
      </c>
      <c r="J503" s="66" t="s">
        <v>44</v>
      </c>
      <c r="K503" s="67" t="s">
        <v>43</v>
      </c>
      <c r="L503" s="40">
        <v>2</v>
      </c>
      <c r="M503" s="40">
        <v>3</v>
      </c>
      <c r="N503" s="40">
        <v>2</v>
      </c>
      <c r="O503" s="40">
        <v>3</v>
      </c>
      <c r="P503" s="41">
        <v>2</v>
      </c>
      <c r="Q503" s="40">
        <v>3</v>
      </c>
      <c r="R503" s="40">
        <v>4</v>
      </c>
      <c r="S503" s="40">
        <v>3</v>
      </c>
      <c r="T503" s="40">
        <v>5</v>
      </c>
      <c r="U503" s="41">
        <v>3</v>
      </c>
      <c r="V503" s="40">
        <v>9</v>
      </c>
      <c r="W503" s="40">
        <v>8</v>
      </c>
      <c r="X503" s="40">
        <v>1</v>
      </c>
      <c r="Y503" s="41">
        <v>1</v>
      </c>
      <c r="Z503" s="40" t="s">
        <v>45</v>
      </c>
      <c r="AA503" s="40" t="s">
        <v>45</v>
      </c>
      <c r="AB503" s="40">
        <v>6</v>
      </c>
      <c r="AC503" s="40">
        <v>5</v>
      </c>
      <c r="AD503" s="40">
        <v>3</v>
      </c>
      <c r="AE503" s="40" t="s">
        <v>45</v>
      </c>
      <c r="AF503" s="40" t="s">
        <v>45</v>
      </c>
      <c r="AG503" s="41" t="s">
        <v>45</v>
      </c>
      <c r="AH503" s="40">
        <v>8</v>
      </c>
      <c r="AI503" s="40">
        <v>7</v>
      </c>
      <c r="AJ503" s="41">
        <v>5</v>
      </c>
      <c r="AK503" s="43" t="s">
        <v>45</v>
      </c>
      <c r="AL503" s="43" t="s">
        <v>47</v>
      </c>
      <c r="AM503" s="44">
        <f t="shared" si="50"/>
        <v>-1.3571708205273432</v>
      </c>
      <c r="AN503" s="44">
        <f t="shared" si="51"/>
        <v>-0.6810581708458181</v>
      </c>
      <c r="AO503" s="45">
        <f t="shared" si="52"/>
        <v>2</v>
      </c>
      <c r="AP503" s="46">
        <f t="shared" si="53"/>
        <v>1.35</v>
      </c>
      <c r="AQ503" s="44">
        <f>($AM$3*AM503+$AN$3*AN503+$AO$3*AO503+$AP$3*AP503)+$I$3*VLOOKUP(I503,COND!$A$2:$E$7,4,FALSE)+$J$3*VLOOKUP(J503,COND!$A$2:$C$7,2,FALSE)+$K$3*VLOOKUP(K503,COND!$A$2:$C$7,3,FALSE)+IF(AND($B$2&gt;0,$E503&lt;20),$B$2*25,0)</f>
        <v>38.074918201130785</v>
      </c>
      <c r="AR503" s="47">
        <f t="shared" si="54"/>
        <v>-1.3428826127613367</v>
      </c>
      <c r="AS503" s="45" t="str">
        <f t="shared" si="55"/>
        <v>2B</v>
      </c>
      <c r="AT503" s="45">
        <f>RANK(Batters[[#This Row],[zScore]],Batters[[#All],[zScore]])</f>
        <v>499</v>
      </c>
      <c r="AU503" s="45"/>
      <c r="AV503" s="45"/>
      <c r="AW503" s="45" t="str">
        <f t="shared" si="56"/>
        <v>Unlikely</v>
      </c>
      <c r="AX503" s="45"/>
      <c r="AY503" s="45">
        <f>INDEX(Table5[[#All],[Ovr]],MATCH(Batters[[#This Row],[PID]],Table5[[#All],[PID]],0))</f>
        <v>549</v>
      </c>
      <c r="AZ503" s="45" t="str">
        <f>INDEX(Table5[[#All],[Rnd]],MATCH(Batters[[#This Row],[PID]],Table5[[#All],[PID]],0))</f>
        <v>19</v>
      </c>
      <c r="BA503" s="45">
        <f>INDEX(Table5[[#All],[Pick]],MATCH(Batters[[#This Row],[PID]],Table5[[#All],[PID]],0))</f>
        <v>1</v>
      </c>
      <c r="BB503" s="45" t="str">
        <f>INDEX(Table5[[#All],[Team]],MATCH(Batters[[#This Row],[PID]],Table5[[#All],[PID]],0))</f>
        <v>Yuma Arroyos</v>
      </c>
    </row>
    <row r="504" spans="1:54" ht="15" customHeight="1" x14ac:dyDescent="0.25">
      <c r="A504" s="40">
        <v>20922</v>
      </c>
      <c r="B504" s="40" t="s">
        <v>87</v>
      </c>
      <c r="C504" s="40" t="s">
        <v>179</v>
      </c>
      <c r="D504" s="40" t="s">
        <v>1011</v>
      </c>
      <c r="E504" s="40">
        <v>17</v>
      </c>
      <c r="F504" s="40" t="s">
        <v>53</v>
      </c>
      <c r="G504" s="40" t="s">
        <v>53</v>
      </c>
      <c r="H504" s="41" t="s">
        <v>647</v>
      </c>
      <c r="I504" s="65" t="s">
        <v>43</v>
      </c>
      <c r="J504" s="66" t="s">
        <v>43</v>
      </c>
      <c r="K504" s="67" t="s">
        <v>43</v>
      </c>
      <c r="L504" s="40">
        <v>1</v>
      </c>
      <c r="M504" s="40">
        <v>1</v>
      </c>
      <c r="N504" s="40">
        <v>2</v>
      </c>
      <c r="O504" s="40">
        <v>2</v>
      </c>
      <c r="P504" s="41">
        <v>1</v>
      </c>
      <c r="Q504" s="40">
        <v>2</v>
      </c>
      <c r="R504" s="40">
        <v>2</v>
      </c>
      <c r="S504" s="40">
        <v>5</v>
      </c>
      <c r="T504" s="40">
        <v>5</v>
      </c>
      <c r="U504" s="41">
        <v>2</v>
      </c>
      <c r="V504" s="40">
        <v>3</v>
      </c>
      <c r="W504" s="40">
        <v>1</v>
      </c>
      <c r="X504" s="40">
        <v>1</v>
      </c>
      <c r="Y504" s="41">
        <v>1</v>
      </c>
      <c r="Z504" s="40" t="s">
        <v>45</v>
      </c>
      <c r="AA504" s="40">
        <v>1</v>
      </c>
      <c r="AB504" s="40" t="s">
        <v>45</v>
      </c>
      <c r="AC504" s="40" t="s">
        <v>45</v>
      </c>
      <c r="AD504" s="40" t="s">
        <v>45</v>
      </c>
      <c r="AE504" s="40" t="s">
        <v>45</v>
      </c>
      <c r="AF504" s="40" t="s">
        <v>45</v>
      </c>
      <c r="AG504" s="41" t="s">
        <v>45</v>
      </c>
      <c r="AH504" s="40">
        <v>4</v>
      </c>
      <c r="AI504" s="40">
        <v>6</v>
      </c>
      <c r="AJ504" s="41">
        <v>3</v>
      </c>
      <c r="AK504" s="43" t="s">
        <v>663</v>
      </c>
      <c r="AL504" s="43"/>
      <c r="AM504" s="44">
        <f t="shared" si="50"/>
        <v>-1.9115723057940897</v>
      </c>
      <c r="AN504" s="44">
        <f t="shared" si="51"/>
        <v>-0.97962711805518032</v>
      </c>
      <c r="AO504" s="45">
        <f t="shared" si="52"/>
        <v>0</v>
      </c>
      <c r="AP504" s="46">
        <f t="shared" si="53"/>
        <v>0</v>
      </c>
      <c r="AQ504" s="44">
        <f>($AM$3*AM504+$AN$3*AN504+$AO$3*AO504+$AP$3*AP504)+$I$3*VLOOKUP(I504,COND!$A$2:$E$7,4,FALSE)+$J$3*VLOOKUP(J504,COND!$A$2:$C$7,2,FALSE)+$K$3*VLOOKUP(K504,COND!$A$2:$C$7,3,FALSE)+IF(AND($B$2&gt;0,$E504&lt;20),$B$2*25,0)</f>
        <v>38.053317352758427</v>
      </c>
      <c r="AR504" s="47">
        <f t="shared" si="54"/>
        <v>-1.347671666853673</v>
      </c>
      <c r="AS504" s="45" t="str">
        <f t="shared" si="55"/>
        <v>1B</v>
      </c>
      <c r="AT504" s="45">
        <f>RANK(Batters[[#This Row],[zScore]],Batters[[#All],[zScore]])</f>
        <v>500</v>
      </c>
      <c r="AU504" s="45"/>
      <c r="AV504" s="45"/>
      <c r="AW504" s="45" t="str">
        <f t="shared" si="56"/>
        <v>Unlikely</v>
      </c>
      <c r="AX504" s="45"/>
      <c r="AY504" s="64" t="str">
        <f>INDEX(Table5[[#All],[Ovr]],MATCH(Batters[[#This Row],[PID]],Table5[[#All],[PID]],0))</f>
        <v/>
      </c>
      <c r="AZ504" s="64" t="str">
        <f>INDEX(Table5[[#All],[Rnd]],MATCH(Batters[[#This Row],[PID]],Table5[[#All],[PID]],0))</f>
        <v/>
      </c>
      <c r="BA504" s="64" t="str">
        <f>INDEX(Table5[[#All],[Pick]],MATCH(Batters[[#This Row],[PID]],Table5[[#All],[PID]],0))</f>
        <v/>
      </c>
      <c r="BB504" s="64" t="str">
        <f>INDEX(Table5[[#All],[Team]],MATCH(Batters[[#This Row],[PID]],Table5[[#All],[PID]],0))</f>
        <v/>
      </c>
    </row>
    <row r="505" spans="1:54" ht="15" customHeight="1" x14ac:dyDescent="0.25">
      <c r="A505" s="40">
        <v>20387</v>
      </c>
      <c r="B505" s="40" t="s">
        <v>86</v>
      </c>
      <c r="C505" s="40" t="s">
        <v>914</v>
      </c>
      <c r="D505" s="40" t="s">
        <v>1514</v>
      </c>
      <c r="E505" s="40">
        <v>18</v>
      </c>
      <c r="F505" s="40" t="s">
        <v>42</v>
      </c>
      <c r="G505" s="40" t="s">
        <v>42</v>
      </c>
      <c r="H505" s="41" t="s">
        <v>638</v>
      </c>
      <c r="I505" s="65" t="s">
        <v>47</v>
      </c>
      <c r="J505" s="66" t="s">
        <v>47</v>
      </c>
      <c r="K505" s="67" t="s">
        <v>43</v>
      </c>
      <c r="L505" s="40">
        <v>1</v>
      </c>
      <c r="M505" s="40">
        <v>2</v>
      </c>
      <c r="N505" s="40">
        <v>2</v>
      </c>
      <c r="O505" s="40">
        <v>2</v>
      </c>
      <c r="P505" s="41">
        <v>1</v>
      </c>
      <c r="Q505" s="40">
        <v>2</v>
      </c>
      <c r="R505" s="40">
        <v>3</v>
      </c>
      <c r="S505" s="40">
        <v>2</v>
      </c>
      <c r="T505" s="40">
        <v>5</v>
      </c>
      <c r="U505" s="41">
        <v>3</v>
      </c>
      <c r="V505" s="40">
        <v>4</v>
      </c>
      <c r="W505" s="40">
        <v>5</v>
      </c>
      <c r="X505" s="40">
        <v>5</v>
      </c>
      <c r="Y505" s="41">
        <v>8</v>
      </c>
      <c r="Z505" s="40">
        <v>2</v>
      </c>
      <c r="AA505" s="40" t="s">
        <v>45</v>
      </c>
      <c r="AB505" s="40" t="s">
        <v>45</v>
      </c>
      <c r="AC505" s="40" t="s">
        <v>45</v>
      </c>
      <c r="AD505" s="40" t="s">
        <v>45</v>
      </c>
      <c r="AE505" s="40" t="s">
        <v>45</v>
      </c>
      <c r="AF505" s="40" t="s">
        <v>45</v>
      </c>
      <c r="AG505" s="41" t="s">
        <v>45</v>
      </c>
      <c r="AH505" s="40">
        <v>1</v>
      </c>
      <c r="AI505" s="40">
        <v>1</v>
      </c>
      <c r="AJ505" s="41">
        <v>1</v>
      </c>
      <c r="AK505" s="43" t="s">
        <v>644</v>
      </c>
      <c r="AL505" s="43" t="s">
        <v>47</v>
      </c>
      <c r="AM505" s="44">
        <f t="shared" si="50"/>
        <v>-1.8605124261753858</v>
      </c>
      <c r="AN505" s="44">
        <f t="shared" si="51"/>
        <v>-1.1377353806910979</v>
      </c>
      <c r="AO505" s="45">
        <f t="shared" si="52"/>
        <v>0</v>
      </c>
      <c r="AP505" s="46">
        <f t="shared" si="53"/>
        <v>1.35</v>
      </c>
      <c r="AQ505" s="44">
        <f>($AM$3*AM505+$AN$3*AN505+$AO$3*AO505+$AP$3*AP505)+$I$3*VLOOKUP(I505,COND!$A$2:$E$7,4,FALSE)+$J$3*VLOOKUP(J505,COND!$A$2:$C$7,2,FALSE)+$K$3*VLOOKUP(K505,COND!$A$2:$C$7,3,FALSE)+IF(AND($B$2&gt;0,$E505&lt;20),$B$2*25,0)</f>
        <v>38.036124189089286</v>
      </c>
      <c r="AR505" s="47">
        <f t="shared" si="54"/>
        <v>-1.3514835074541225</v>
      </c>
      <c r="AS505" s="45" t="str">
        <f t="shared" si="55"/>
        <v>C</v>
      </c>
      <c r="AT505" s="45">
        <f>RANK(Batters[[#This Row],[zScore]],Batters[[#All],[zScore]])</f>
        <v>501</v>
      </c>
      <c r="AU505" s="45"/>
      <c r="AV505" s="45"/>
      <c r="AW505" s="45" t="str">
        <f t="shared" si="56"/>
        <v>Unlikely</v>
      </c>
      <c r="AX505" s="45"/>
      <c r="AY505" s="45" t="str">
        <f>INDEX(Table5[[#All],[Ovr]],MATCH(Batters[[#This Row],[PID]],Table5[[#All],[PID]],0))</f>
        <v/>
      </c>
      <c r="AZ505" s="45" t="str">
        <f>INDEX(Table5[[#All],[Rnd]],MATCH(Batters[[#This Row],[PID]],Table5[[#All],[PID]],0))</f>
        <v/>
      </c>
      <c r="BA505" s="45" t="str">
        <f>INDEX(Table5[[#All],[Pick]],MATCH(Batters[[#This Row],[PID]],Table5[[#All],[PID]],0))</f>
        <v/>
      </c>
      <c r="BB505" s="45" t="str">
        <f>INDEX(Table5[[#All],[Team]],MATCH(Batters[[#This Row],[PID]],Table5[[#All],[PID]],0))</f>
        <v/>
      </c>
    </row>
    <row r="506" spans="1:54" ht="15" customHeight="1" x14ac:dyDescent="0.25">
      <c r="A506" s="40">
        <v>7285</v>
      </c>
      <c r="B506" s="40" t="s">
        <v>86</v>
      </c>
      <c r="C506" s="40" t="s">
        <v>986</v>
      </c>
      <c r="D506" s="40" t="s">
        <v>987</v>
      </c>
      <c r="E506" s="40">
        <v>22</v>
      </c>
      <c r="F506" s="40" t="s">
        <v>42</v>
      </c>
      <c r="G506" s="40" t="s">
        <v>42</v>
      </c>
      <c r="H506" s="41" t="s">
        <v>634</v>
      </c>
      <c r="I506" s="65" t="s">
        <v>43</v>
      </c>
      <c r="J506" s="66" t="s">
        <v>44</v>
      </c>
      <c r="K506" s="67" t="s">
        <v>43</v>
      </c>
      <c r="L506" s="40">
        <v>2</v>
      </c>
      <c r="M506" s="40">
        <v>4</v>
      </c>
      <c r="N506" s="40">
        <v>4</v>
      </c>
      <c r="O506" s="40">
        <v>5</v>
      </c>
      <c r="P506" s="41">
        <v>1</v>
      </c>
      <c r="Q506" s="40">
        <v>3</v>
      </c>
      <c r="R506" s="40">
        <v>4</v>
      </c>
      <c r="S506" s="40">
        <v>4</v>
      </c>
      <c r="T506" s="40">
        <v>6</v>
      </c>
      <c r="U506" s="41">
        <v>2</v>
      </c>
      <c r="V506" s="40">
        <v>2</v>
      </c>
      <c r="W506" s="40">
        <v>3</v>
      </c>
      <c r="X506" s="40">
        <v>4</v>
      </c>
      <c r="Y506" s="41">
        <v>8</v>
      </c>
      <c r="Z506" s="40" t="s">
        <v>45</v>
      </c>
      <c r="AA506" s="40" t="s">
        <v>45</v>
      </c>
      <c r="AB506" s="40" t="s">
        <v>45</v>
      </c>
      <c r="AC506" s="40" t="s">
        <v>45</v>
      </c>
      <c r="AD506" s="40" t="s">
        <v>45</v>
      </c>
      <c r="AE506" s="40" t="s">
        <v>45</v>
      </c>
      <c r="AF506" s="40" t="s">
        <v>45</v>
      </c>
      <c r="AG506" s="41" t="s">
        <v>45</v>
      </c>
      <c r="AH506" s="40">
        <v>1</v>
      </c>
      <c r="AI506" s="40">
        <v>2</v>
      </c>
      <c r="AJ506" s="41">
        <v>2</v>
      </c>
      <c r="AK506" s="43" t="s">
        <v>45</v>
      </c>
      <c r="AL506" s="43" t="s">
        <v>47</v>
      </c>
      <c r="AM506" s="44">
        <f t="shared" si="50"/>
        <v>-1.0005851926587581</v>
      </c>
      <c r="AN506" s="44">
        <f t="shared" si="51"/>
        <v>-0.54830346662941898</v>
      </c>
      <c r="AO506" s="45">
        <f t="shared" si="52"/>
        <v>0</v>
      </c>
      <c r="AP506" s="46">
        <f t="shared" si="53"/>
        <v>0</v>
      </c>
      <c r="AQ506" s="44">
        <f>($AM$3*AM506+$AN$3*AN506+$AO$3*AO506+$AP$3*AP506)+$I$3*VLOOKUP(I506,COND!$A$2:$E$7,4,FALSE)+$J$3*VLOOKUP(J506,COND!$A$2:$C$7,2,FALSE)+$K$3*VLOOKUP(K506,COND!$A$2:$C$7,3,FALSE)+IF(AND($B$2&gt;0,$E506&lt;20),$B$2*25,0)</f>
        <v>38.020299881181096</v>
      </c>
      <c r="AR506" s="47">
        <f t="shared" si="54"/>
        <v>-1.3549918634797626</v>
      </c>
      <c r="AS506" s="45" t="str">
        <f t="shared" si="55"/>
        <v>DH</v>
      </c>
      <c r="AT506" s="45">
        <f>RANK(Batters[[#This Row],[zScore]],Batters[[#All],[zScore]])</f>
        <v>502</v>
      </c>
      <c r="AU506" s="45"/>
      <c r="AV506" s="45"/>
      <c r="AW506" s="45" t="str">
        <f t="shared" si="56"/>
        <v>Unlikely</v>
      </c>
      <c r="AX506" s="45"/>
      <c r="AY506" s="45" t="str">
        <f>INDEX(Table5[[#All],[Ovr]],MATCH(Batters[[#This Row],[PID]],Table5[[#All],[PID]],0))</f>
        <v/>
      </c>
      <c r="AZ506" s="45" t="str">
        <f>INDEX(Table5[[#All],[Rnd]],MATCH(Batters[[#This Row],[PID]],Table5[[#All],[PID]],0))</f>
        <v/>
      </c>
      <c r="BA506" s="45" t="str">
        <f>INDEX(Table5[[#All],[Pick]],MATCH(Batters[[#This Row],[PID]],Table5[[#All],[PID]],0))</f>
        <v/>
      </c>
      <c r="BB506" s="45" t="str">
        <f>INDEX(Table5[[#All],[Team]],MATCH(Batters[[#This Row],[PID]],Table5[[#All],[PID]],0))</f>
        <v/>
      </c>
    </row>
    <row r="507" spans="1:54" ht="15" customHeight="1" x14ac:dyDescent="0.25">
      <c r="A507" s="40">
        <v>18343</v>
      </c>
      <c r="B507" s="40" t="s">
        <v>71</v>
      </c>
      <c r="C507" s="40" t="s">
        <v>1512</v>
      </c>
      <c r="D507" s="40" t="s">
        <v>1513</v>
      </c>
      <c r="E507" s="40">
        <v>18</v>
      </c>
      <c r="F507" s="40" t="s">
        <v>62</v>
      </c>
      <c r="G507" s="40" t="s">
        <v>42</v>
      </c>
      <c r="H507" s="41" t="s">
        <v>638</v>
      </c>
      <c r="I507" s="65" t="s">
        <v>43</v>
      </c>
      <c r="J507" s="66" t="s">
        <v>43</v>
      </c>
      <c r="K507" s="67" t="s">
        <v>43</v>
      </c>
      <c r="L507" s="40">
        <v>1</v>
      </c>
      <c r="M507" s="40">
        <v>2</v>
      </c>
      <c r="N507" s="40">
        <v>2</v>
      </c>
      <c r="O507" s="40">
        <v>2</v>
      </c>
      <c r="P507" s="41">
        <v>1</v>
      </c>
      <c r="Q507" s="40">
        <v>2</v>
      </c>
      <c r="R507" s="40">
        <v>4</v>
      </c>
      <c r="S507" s="40">
        <v>2</v>
      </c>
      <c r="T507" s="40">
        <v>6</v>
      </c>
      <c r="U507" s="41">
        <v>3</v>
      </c>
      <c r="V507" s="40">
        <v>7</v>
      </c>
      <c r="W507" s="40">
        <v>7</v>
      </c>
      <c r="X507" s="40">
        <v>1</v>
      </c>
      <c r="Y507" s="41">
        <v>1</v>
      </c>
      <c r="Z507" s="40" t="s">
        <v>45</v>
      </c>
      <c r="AA507" s="40" t="s">
        <v>45</v>
      </c>
      <c r="AB507" s="40">
        <v>3</v>
      </c>
      <c r="AC507" s="40" t="s">
        <v>45</v>
      </c>
      <c r="AD507" s="40" t="s">
        <v>45</v>
      </c>
      <c r="AE507" s="40" t="s">
        <v>45</v>
      </c>
      <c r="AF507" s="40" t="s">
        <v>45</v>
      </c>
      <c r="AG507" s="41" t="s">
        <v>45</v>
      </c>
      <c r="AH507" s="40">
        <v>8</v>
      </c>
      <c r="AI507" s="40">
        <v>5</v>
      </c>
      <c r="AJ507" s="41">
        <v>3</v>
      </c>
      <c r="AK507" s="43" t="s">
        <v>644</v>
      </c>
      <c r="AL507" s="43" t="s">
        <v>47</v>
      </c>
      <c r="AM507" s="44">
        <f t="shared" si="50"/>
        <v>-1.8605124261753858</v>
      </c>
      <c r="AN507" s="44">
        <f t="shared" si="51"/>
        <v>-0.99696595106281316</v>
      </c>
      <c r="AO507" s="45">
        <f t="shared" si="52"/>
        <v>1</v>
      </c>
      <c r="AP507" s="46">
        <f t="shared" si="53"/>
        <v>0</v>
      </c>
      <c r="AQ507" s="44">
        <f>($AM$3*AM507+$AN$3*AN507+$AO$3*AO507+$AP$3*AP507)+$I$3*VLOOKUP(I507,COND!$A$2:$E$7,4,FALSE)+$J$3*VLOOKUP(J507,COND!$A$2:$C$7,2,FALSE)+$K$3*VLOOKUP(K507,COND!$A$2:$C$7,3,FALSE)+IF(AND($B$2&gt;0,$E507&lt;20),$B$2*25,0)</f>
        <v>38.017024011295369</v>
      </c>
      <c r="AR507" s="47">
        <f t="shared" si="54"/>
        <v>-1.3557181459762537</v>
      </c>
      <c r="AS507" s="45" t="str">
        <f t="shared" si="55"/>
        <v>2B</v>
      </c>
      <c r="AT507" s="45">
        <f>RANK(Batters[[#This Row],[zScore]],Batters[[#All],[zScore]])</f>
        <v>503</v>
      </c>
      <c r="AU507" s="45"/>
      <c r="AV507" s="45"/>
      <c r="AW507" s="45" t="str">
        <f t="shared" si="56"/>
        <v>Unlikely</v>
      </c>
      <c r="AX507" s="45"/>
      <c r="AY507" s="45" t="str">
        <f>INDEX(Table5[[#All],[Ovr]],MATCH(Batters[[#This Row],[PID]],Table5[[#All],[PID]],0))</f>
        <v/>
      </c>
      <c r="AZ507" s="45" t="str">
        <f>INDEX(Table5[[#All],[Rnd]],MATCH(Batters[[#This Row],[PID]],Table5[[#All],[PID]],0))</f>
        <v/>
      </c>
      <c r="BA507" s="45" t="str">
        <f>INDEX(Table5[[#All],[Pick]],MATCH(Batters[[#This Row],[PID]],Table5[[#All],[PID]],0))</f>
        <v/>
      </c>
      <c r="BB507" s="45" t="str">
        <f>INDEX(Table5[[#All],[Team]],MATCH(Batters[[#This Row],[PID]],Table5[[#All],[PID]],0))</f>
        <v/>
      </c>
    </row>
    <row r="508" spans="1:54" ht="15" customHeight="1" x14ac:dyDescent="0.25">
      <c r="A508" s="40">
        <v>17574</v>
      </c>
      <c r="B508" s="40" t="s">
        <v>86</v>
      </c>
      <c r="C508" s="40" t="s">
        <v>180</v>
      </c>
      <c r="D508" s="40" t="s">
        <v>1404</v>
      </c>
      <c r="E508" s="40">
        <v>18</v>
      </c>
      <c r="F508" s="40" t="s">
        <v>42</v>
      </c>
      <c r="G508" s="40" t="s">
        <v>42</v>
      </c>
      <c r="H508" s="41" t="s">
        <v>638</v>
      </c>
      <c r="I508" s="65" t="s">
        <v>43</v>
      </c>
      <c r="J508" s="66" t="s">
        <v>47</v>
      </c>
      <c r="K508" s="67" t="s">
        <v>43</v>
      </c>
      <c r="L508" s="40">
        <v>1</v>
      </c>
      <c r="M508" s="40">
        <v>1</v>
      </c>
      <c r="N508" s="40">
        <v>2</v>
      </c>
      <c r="O508" s="40">
        <v>1</v>
      </c>
      <c r="P508" s="41">
        <v>1</v>
      </c>
      <c r="Q508" s="40">
        <v>2</v>
      </c>
      <c r="R508" s="40">
        <v>3</v>
      </c>
      <c r="S508" s="40">
        <v>3</v>
      </c>
      <c r="T508" s="40">
        <v>5</v>
      </c>
      <c r="U508" s="41">
        <v>2</v>
      </c>
      <c r="V508" s="40">
        <v>4</v>
      </c>
      <c r="W508" s="40">
        <v>3</v>
      </c>
      <c r="X508" s="40">
        <v>7</v>
      </c>
      <c r="Y508" s="41">
        <v>5</v>
      </c>
      <c r="Z508" s="40">
        <v>2</v>
      </c>
      <c r="AA508" s="40" t="s">
        <v>45</v>
      </c>
      <c r="AB508" s="40" t="s">
        <v>45</v>
      </c>
      <c r="AC508" s="40" t="s">
        <v>45</v>
      </c>
      <c r="AD508" s="40" t="s">
        <v>45</v>
      </c>
      <c r="AE508" s="40" t="s">
        <v>45</v>
      </c>
      <c r="AF508" s="40" t="s">
        <v>45</v>
      </c>
      <c r="AG508" s="41" t="s">
        <v>45</v>
      </c>
      <c r="AH508" s="40">
        <v>3</v>
      </c>
      <c r="AI508" s="40">
        <v>7</v>
      </c>
      <c r="AJ508" s="41">
        <v>5</v>
      </c>
      <c r="AK508" s="43" t="s">
        <v>659</v>
      </c>
      <c r="AL508" s="43" t="s">
        <v>47</v>
      </c>
      <c r="AM508" s="44">
        <f t="shared" si="50"/>
        <v>-2.0012818558036707</v>
      </c>
      <c r="AN508" s="44">
        <f t="shared" si="51"/>
        <v>-1.0946902264842799</v>
      </c>
      <c r="AO508" s="45">
        <f t="shared" si="52"/>
        <v>0</v>
      </c>
      <c r="AP508" s="46">
        <f t="shared" si="53"/>
        <v>1</v>
      </c>
      <c r="AQ508" s="44">
        <f>($AM$3*AM508+$AN$3*AN508+$AO$3*AO508+$AP$3*AP508)+$I$3*VLOOKUP(I508,COND!$A$2:$E$7,4,FALSE)+$J$3*VLOOKUP(J508,COND!$A$2:$C$7,2,FALSE)+$K$3*VLOOKUP(K508,COND!$A$2:$C$7,3,FALSE)+IF(AND($B$2&gt;0,$E508&lt;20),$B$2*25,0)</f>
        <v>37.963589096608274</v>
      </c>
      <c r="AR508" s="47">
        <f t="shared" si="54"/>
        <v>-1.3675650277488851</v>
      </c>
      <c r="AS508" s="45" t="str">
        <f t="shared" si="55"/>
        <v>C</v>
      </c>
      <c r="AT508" s="45">
        <f>RANK(Batters[[#This Row],[zScore]],Batters[[#All],[zScore]])</f>
        <v>504</v>
      </c>
      <c r="AU508" s="45"/>
      <c r="AV508" s="45"/>
      <c r="AW508" s="45" t="str">
        <f t="shared" si="56"/>
        <v>Unlikely</v>
      </c>
      <c r="AX508" s="45"/>
      <c r="AY508" s="45" t="str">
        <f>INDEX(Table5[[#All],[Ovr]],MATCH(Batters[[#This Row],[PID]],Table5[[#All],[PID]],0))</f>
        <v/>
      </c>
      <c r="AZ508" s="45" t="str">
        <f>INDEX(Table5[[#All],[Rnd]],MATCH(Batters[[#This Row],[PID]],Table5[[#All],[PID]],0))</f>
        <v/>
      </c>
      <c r="BA508" s="45" t="str">
        <f>INDEX(Table5[[#All],[Pick]],MATCH(Batters[[#This Row],[PID]],Table5[[#All],[PID]],0))</f>
        <v/>
      </c>
      <c r="BB508" s="45" t="str">
        <f>INDEX(Table5[[#All],[Team]],MATCH(Batters[[#This Row],[PID]],Table5[[#All],[PID]],0))</f>
        <v/>
      </c>
    </row>
    <row r="509" spans="1:54" ht="15" customHeight="1" x14ac:dyDescent="0.25">
      <c r="A509" s="40">
        <v>17046</v>
      </c>
      <c r="B509" s="40" t="s">
        <v>86</v>
      </c>
      <c r="C509" s="40" t="s">
        <v>1439</v>
      </c>
      <c r="D509" s="40" t="s">
        <v>1440</v>
      </c>
      <c r="E509" s="40">
        <v>21</v>
      </c>
      <c r="F509" s="40" t="s">
        <v>42</v>
      </c>
      <c r="G509" s="40" t="s">
        <v>42</v>
      </c>
      <c r="H509" s="41" t="s">
        <v>638</v>
      </c>
      <c r="I509" s="65" t="s">
        <v>43</v>
      </c>
      <c r="J509" s="66" t="s">
        <v>43</v>
      </c>
      <c r="K509" s="67" t="s">
        <v>44</v>
      </c>
      <c r="L509" s="40">
        <v>1</v>
      </c>
      <c r="M509" s="40">
        <v>2</v>
      </c>
      <c r="N509" s="40">
        <v>3</v>
      </c>
      <c r="O509" s="40">
        <v>2</v>
      </c>
      <c r="P509" s="41">
        <v>1</v>
      </c>
      <c r="Q509" s="40">
        <v>3</v>
      </c>
      <c r="R509" s="40">
        <v>5</v>
      </c>
      <c r="S509" s="40">
        <v>4</v>
      </c>
      <c r="T509" s="40">
        <v>5</v>
      </c>
      <c r="U509" s="41">
        <v>3</v>
      </c>
      <c r="V509" s="40">
        <v>2</v>
      </c>
      <c r="W509" s="40">
        <v>3</v>
      </c>
      <c r="X509" s="40">
        <v>4</v>
      </c>
      <c r="Y509" s="41">
        <v>6</v>
      </c>
      <c r="Z509" s="40">
        <v>2</v>
      </c>
      <c r="AA509" s="40" t="s">
        <v>45</v>
      </c>
      <c r="AB509" s="40" t="s">
        <v>45</v>
      </c>
      <c r="AC509" s="40" t="s">
        <v>45</v>
      </c>
      <c r="AD509" s="40" t="s">
        <v>45</v>
      </c>
      <c r="AE509" s="40" t="s">
        <v>45</v>
      </c>
      <c r="AF509" s="40" t="s">
        <v>45</v>
      </c>
      <c r="AG509" s="41" t="s">
        <v>45</v>
      </c>
      <c r="AH509" s="40">
        <v>1</v>
      </c>
      <c r="AI509" s="40">
        <v>1</v>
      </c>
      <c r="AJ509" s="41">
        <v>1</v>
      </c>
      <c r="AK509" s="43" t="s">
        <v>45</v>
      </c>
      <c r="AL509" s="43" t="s">
        <v>635</v>
      </c>
      <c r="AM509" s="44">
        <f t="shared" si="50"/>
        <v>-1.7774509321514844</v>
      </c>
      <c r="AN509" s="44">
        <f t="shared" si="51"/>
        <v>-0.54693679720321298</v>
      </c>
      <c r="AO509" s="45">
        <f t="shared" si="52"/>
        <v>0</v>
      </c>
      <c r="AP509" s="46">
        <f t="shared" si="53"/>
        <v>0</v>
      </c>
      <c r="AQ509" s="44">
        <f>($AM$3*AM509+$AN$3*AN509+$AO$3*AO509+$AP$3*AP509)+$I$3*VLOOKUP(I509,COND!$A$2:$E$7,4,FALSE)+$J$3*VLOOKUP(J509,COND!$A$2:$C$7,2,FALSE)+$K$3*VLOOKUP(K509,COND!$A$2:$C$7,3,FALSE)+IF(AND($B$2&gt;0,$E509&lt;20),$B$2*25,0)</f>
        <v>37.959013340346296</v>
      </c>
      <c r="AR509" s="47">
        <f t="shared" si="54"/>
        <v>-1.3685795038414077</v>
      </c>
      <c r="AS509" s="45" t="str">
        <f t="shared" si="55"/>
        <v>C</v>
      </c>
      <c r="AT509" s="45">
        <f>RANK(Batters[[#This Row],[zScore]],Batters[[#All],[zScore]])</f>
        <v>505</v>
      </c>
      <c r="AU509" s="45"/>
      <c r="AV509" s="45"/>
      <c r="AW509" s="45" t="str">
        <f t="shared" si="56"/>
        <v>Unlikely</v>
      </c>
      <c r="AX509" s="45"/>
      <c r="AY509" s="45" t="str">
        <f>INDEX(Table5[[#All],[Ovr]],MATCH(Batters[[#This Row],[PID]],Table5[[#All],[PID]],0))</f>
        <v/>
      </c>
      <c r="AZ509" s="45" t="str">
        <f>INDEX(Table5[[#All],[Rnd]],MATCH(Batters[[#This Row],[PID]],Table5[[#All],[PID]],0))</f>
        <v/>
      </c>
      <c r="BA509" s="45" t="str">
        <f>INDEX(Table5[[#All],[Pick]],MATCH(Batters[[#This Row],[PID]],Table5[[#All],[PID]],0))</f>
        <v/>
      </c>
      <c r="BB509" s="45" t="str">
        <f>INDEX(Table5[[#All],[Team]],MATCH(Batters[[#This Row],[PID]],Table5[[#All],[PID]],0))</f>
        <v/>
      </c>
    </row>
    <row r="510" spans="1:54" ht="15" customHeight="1" x14ac:dyDescent="0.25">
      <c r="A510" s="40">
        <v>17792</v>
      </c>
      <c r="B510" s="40" t="s">
        <v>50</v>
      </c>
      <c r="C510" s="40" t="s">
        <v>1444</v>
      </c>
      <c r="D510" s="40" t="s">
        <v>520</v>
      </c>
      <c r="E510" s="40">
        <v>21</v>
      </c>
      <c r="F510" s="40" t="s">
        <v>42</v>
      </c>
      <c r="G510" s="40" t="s">
        <v>42</v>
      </c>
      <c r="H510" s="41" t="s">
        <v>638</v>
      </c>
      <c r="I510" s="65" t="s">
        <v>43</v>
      </c>
      <c r="J510" s="66" t="s">
        <v>44</v>
      </c>
      <c r="K510" s="67" t="s">
        <v>43</v>
      </c>
      <c r="L510" s="40">
        <v>1</v>
      </c>
      <c r="M510" s="40">
        <v>3</v>
      </c>
      <c r="N510" s="40">
        <v>3</v>
      </c>
      <c r="O510" s="40">
        <v>2</v>
      </c>
      <c r="P510" s="41">
        <v>1</v>
      </c>
      <c r="Q510" s="40">
        <v>3</v>
      </c>
      <c r="R510" s="40">
        <v>5</v>
      </c>
      <c r="S510" s="40">
        <v>5</v>
      </c>
      <c r="T510" s="40">
        <v>4</v>
      </c>
      <c r="U510" s="41">
        <v>2</v>
      </c>
      <c r="V510" s="40">
        <v>3</v>
      </c>
      <c r="W510" s="40">
        <v>6</v>
      </c>
      <c r="X510" s="40">
        <v>1</v>
      </c>
      <c r="Y510" s="41">
        <v>1</v>
      </c>
      <c r="Z510" s="40" t="s">
        <v>45</v>
      </c>
      <c r="AA510" s="40" t="s">
        <v>45</v>
      </c>
      <c r="AB510" s="40" t="s">
        <v>45</v>
      </c>
      <c r="AC510" s="40" t="s">
        <v>45</v>
      </c>
      <c r="AD510" s="40" t="s">
        <v>45</v>
      </c>
      <c r="AE510" s="40">
        <v>6</v>
      </c>
      <c r="AF510" s="40">
        <v>2</v>
      </c>
      <c r="AG510" s="41" t="s">
        <v>45</v>
      </c>
      <c r="AH510" s="40">
        <v>9</v>
      </c>
      <c r="AI510" s="40">
        <v>6</v>
      </c>
      <c r="AJ510" s="41">
        <v>7</v>
      </c>
      <c r="AK510" s="43" t="s">
        <v>45</v>
      </c>
      <c r="AL510" s="43" t="s">
        <v>47</v>
      </c>
      <c r="AM510" s="44">
        <f t="shared" si="50"/>
        <v>-1.726391052532781</v>
      </c>
      <c r="AN510" s="44">
        <f t="shared" si="51"/>
        <v>-0.59360119300597602</v>
      </c>
      <c r="AO510" s="45">
        <f t="shared" si="52"/>
        <v>3</v>
      </c>
      <c r="AP510" s="46">
        <f t="shared" si="53"/>
        <v>0</v>
      </c>
      <c r="AQ510" s="44">
        <f>($AM$3*AM510+$AN$3*AN510+$AO$3*AO510+$AP$3*AP510)+$I$3*VLOOKUP(I510,COND!$A$2:$E$7,4,FALSE)+$J$3*VLOOKUP(J510,COND!$A$2:$C$7,2,FALSE)+$K$3*VLOOKUP(K510,COND!$A$2:$C$7,3,FALSE)+IF(AND($B$2&gt;0,$E510&lt;20),$B$2*25,0)</f>
        <v>37.904146578675011</v>
      </c>
      <c r="AR510" s="47">
        <f t="shared" si="54"/>
        <v>-1.3807438357688215</v>
      </c>
      <c r="AS510" s="45" t="str">
        <f t="shared" si="55"/>
        <v>LF</v>
      </c>
      <c r="AT510" s="45">
        <f>RANK(Batters[[#This Row],[zScore]],Batters[[#All],[zScore]])</f>
        <v>506</v>
      </c>
      <c r="AU510" s="45"/>
      <c r="AV510" s="45"/>
      <c r="AW510" s="45" t="str">
        <f t="shared" si="56"/>
        <v>Unlikely</v>
      </c>
      <c r="AX510" s="45"/>
      <c r="AY510" s="45" t="str">
        <f>INDEX(Table5[[#All],[Ovr]],MATCH(Batters[[#This Row],[PID]],Table5[[#All],[PID]],0))</f>
        <v/>
      </c>
      <c r="AZ510" s="45" t="str">
        <f>INDEX(Table5[[#All],[Rnd]],MATCH(Batters[[#This Row],[PID]],Table5[[#All],[PID]],0))</f>
        <v/>
      </c>
      <c r="BA510" s="45" t="str">
        <f>INDEX(Table5[[#All],[Pick]],MATCH(Batters[[#This Row],[PID]],Table5[[#All],[PID]],0))</f>
        <v/>
      </c>
      <c r="BB510" s="45" t="str">
        <f>INDEX(Table5[[#All],[Team]],MATCH(Batters[[#This Row],[PID]],Table5[[#All],[PID]],0))</f>
        <v/>
      </c>
    </row>
    <row r="511" spans="1:54" ht="15" customHeight="1" x14ac:dyDescent="0.25">
      <c r="A511" s="40">
        <v>13724</v>
      </c>
      <c r="B511" s="40" t="s">
        <v>69</v>
      </c>
      <c r="C511" s="40" t="s">
        <v>975</v>
      </c>
      <c r="D511" s="40" t="s">
        <v>976</v>
      </c>
      <c r="E511" s="40">
        <v>22</v>
      </c>
      <c r="F511" s="40" t="s">
        <v>42</v>
      </c>
      <c r="G511" s="40" t="s">
        <v>42</v>
      </c>
      <c r="H511" s="41" t="s">
        <v>638</v>
      </c>
      <c r="I511" s="65" t="s">
        <v>43</v>
      </c>
      <c r="J511" s="66" t="s">
        <v>43</v>
      </c>
      <c r="K511" s="67" t="s">
        <v>47</v>
      </c>
      <c r="L511" s="40">
        <v>2</v>
      </c>
      <c r="M511" s="40">
        <v>2</v>
      </c>
      <c r="N511" s="40">
        <v>3</v>
      </c>
      <c r="O511" s="40">
        <v>3</v>
      </c>
      <c r="P511" s="41">
        <v>1</v>
      </c>
      <c r="Q511" s="40">
        <v>3</v>
      </c>
      <c r="R511" s="40">
        <v>3</v>
      </c>
      <c r="S511" s="40">
        <v>5</v>
      </c>
      <c r="T511" s="40">
        <v>5</v>
      </c>
      <c r="U511" s="41">
        <v>2</v>
      </c>
      <c r="V511" s="40">
        <v>10</v>
      </c>
      <c r="W511" s="40">
        <v>8</v>
      </c>
      <c r="X511" s="40">
        <v>1</v>
      </c>
      <c r="Y511" s="41">
        <v>1</v>
      </c>
      <c r="Z511" s="40" t="s">
        <v>45</v>
      </c>
      <c r="AA511" s="40">
        <v>2</v>
      </c>
      <c r="AB511" s="40" t="s">
        <v>45</v>
      </c>
      <c r="AC511" s="40">
        <v>3</v>
      </c>
      <c r="AD511" s="40" t="s">
        <v>45</v>
      </c>
      <c r="AE511" s="40" t="s">
        <v>45</v>
      </c>
      <c r="AF511" s="40" t="s">
        <v>45</v>
      </c>
      <c r="AG511" s="41">
        <v>1</v>
      </c>
      <c r="AH511" s="40">
        <v>4</v>
      </c>
      <c r="AI511" s="40">
        <v>2</v>
      </c>
      <c r="AJ511" s="41">
        <v>3</v>
      </c>
      <c r="AK511" s="43" t="s">
        <v>45</v>
      </c>
      <c r="AL511" s="43" t="s">
        <v>47</v>
      </c>
      <c r="AM511" s="44">
        <f t="shared" si="50"/>
        <v>-1.3651855459392288</v>
      </c>
      <c r="AN511" s="44">
        <f t="shared" si="51"/>
        <v>-0.6060114022338019</v>
      </c>
      <c r="AO511" s="45">
        <f t="shared" si="52"/>
        <v>0</v>
      </c>
      <c r="AP511" s="46">
        <f t="shared" si="53"/>
        <v>0</v>
      </c>
      <c r="AQ511" s="44">
        <f>($AM$3*AM511+$AN$3*AN511+$AO$3*AO511+$AP$3*AP511)+$I$3*VLOOKUP(I511,COND!$A$2:$E$7,4,FALSE)+$J$3*VLOOKUP(J511,COND!$A$2:$C$7,2,FALSE)+$K$3*VLOOKUP(K511,COND!$A$2:$C$7,3,FALSE)+IF(AND($B$2&gt;0,$E511&lt;20),$B$2*25,0)</f>
        <v>37.891344618600456</v>
      </c>
      <c r="AR511" s="47">
        <f t="shared" si="54"/>
        <v>-1.3835821168505693</v>
      </c>
      <c r="AS511" s="45" t="str">
        <f t="shared" si="55"/>
        <v>3B</v>
      </c>
      <c r="AT511" s="45">
        <f>RANK(Batters[[#This Row],[zScore]],Batters[[#All],[zScore]])</f>
        <v>507</v>
      </c>
      <c r="AU511" s="45"/>
      <c r="AV511" s="45"/>
      <c r="AW511" s="45" t="str">
        <f t="shared" si="56"/>
        <v>Unlikely</v>
      </c>
      <c r="AX511" s="45"/>
      <c r="AY511" s="45" t="str">
        <f>INDEX(Table5[[#All],[Ovr]],MATCH(Batters[[#This Row],[PID]],Table5[[#All],[PID]],0))</f>
        <v/>
      </c>
      <c r="AZ511" s="45" t="str">
        <f>INDEX(Table5[[#All],[Rnd]],MATCH(Batters[[#This Row],[PID]],Table5[[#All],[PID]],0))</f>
        <v/>
      </c>
      <c r="BA511" s="45" t="str">
        <f>INDEX(Table5[[#All],[Pick]],MATCH(Batters[[#This Row],[PID]],Table5[[#All],[PID]],0))</f>
        <v/>
      </c>
      <c r="BB511" s="45" t="str">
        <f>INDEX(Table5[[#All],[Team]],MATCH(Batters[[#This Row],[PID]],Table5[[#All],[PID]],0))</f>
        <v/>
      </c>
    </row>
    <row r="512" spans="1:54" ht="15" customHeight="1" x14ac:dyDescent="0.25">
      <c r="A512" s="40">
        <v>17998</v>
      </c>
      <c r="B512" s="40" t="s">
        <v>72</v>
      </c>
      <c r="C512" s="40" t="s">
        <v>145</v>
      </c>
      <c r="D512" s="40" t="s">
        <v>131</v>
      </c>
      <c r="E512" s="40">
        <v>21</v>
      </c>
      <c r="F512" s="40" t="s">
        <v>42</v>
      </c>
      <c r="G512" s="40" t="s">
        <v>42</v>
      </c>
      <c r="H512" s="41" t="s">
        <v>634</v>
      </c>
      <c r="I512" s="65" t="s">
        <v>43</v>
      </c>
      <c r="J512" s="66" t="s">
        <v>47</v>
      </c>
      <c r="K512" s="67" t="s">
        <v>43</v>
      </c>
      <c r="L512" s="40">
        <v>1</v>
      </c>
      <c r="M512" s="40">
        <v>1</v>
      </c>
      <c r="N512" s="40">
        <v>2</v>
      </c>
      <c r="O512" s="40">
        <v>2</v>
      </c>
      <c r="P512" s="41">
        <v>1</v>
      </c>
      <c r="Q512" s="40">
        <v>3</v>
      </c>
      <c r="R512" s="40">
        <v>4</v>
      </c>
      <c r="S512" s="40">
        <v>3</v>
      </c>
      <c r="T512" s="40">
        <v>4</v>
      </c>
      <c r="U512" s="41">
        <v>3</v>
      </c>
      <c r="V512" s="40">
        <v>5</v>
      </c>
      <c r="W512" s="40">
        <v>6</v>
      </c>
      <c r="X512" s="40">
        <v>1</v>
      </c>
      <c r="Y512" s="41">
        <v>1</v>
      </c>
      <c r="Z512" s="40" t="s">
        <v>45</v>
      </c>
      <c r="AA512" s="40">
        <v>6</v>
      </c>
      <c r="AB512" s="40" t="s">
        <v>45</v>
      </c>
      <c r="AC512" s="40" t="s">
        <v>45</v>
      </c>
      <c r="AD512" s="40">
        <v>6</v>
      </c>
      <c r="AE512" s="40" t="s">
        <v>45</v>
      </c>
      <c r="AF512" s="40" t="s">
        <v>45</v>
      </c>
      <c r="AG512" s="41" t="s">
        <v>45</v>
      </c>
      <c r="AH512" s="40">
        <v>10</v>
      </c>
      <c r="AI512" s="40">
        <v>9</v>
      </c>
      <c r="AJ512" s="41">
        <v>9</v>
      </c>
      <c r="AK512" s="43" t="s">
        <v>45</v>
      </c>
      <c r="AL512" s="43" t="s">
        <v>635</v>
      </c>
      <c r="AM512" s="44">
        <f t="shared" si="50"/>
        <v>-1.9115723057940897</v>
      </c>
      <c r="AN512" s="44">
        <f t="shared" si="51"/>
        <v>-0.77076772085539913</v>
      </c>
      <c r="AO512" s="45">
        <f t="shared" si="52"/>
        <v>6</v>
      </c>
      <c r="AP512" s="46">
        <f t="shared" si="53"/>
        <v>1</v>
      </c>
      <c r="AQ512" s="44">
        <f>($AM$3*AM512+$AN$3*AN512+$AO$3*AO512+$AP$3*AP512)+$I$3*VLOOKUP(I512,COND!$A$2:$E$7,4,FALSE)+$J$3*VLOOKUP(J512,COND!$A$2:$C$7,2,FALSE)+$K$3*VLOOKUP(K512,COND!$A$2:$C$7,3,FALSE)+IF(AND($B$2&gt;0,$E512&lt;20),$B$2*25,0)</f>
        <v>37.859630119155803</v>
      </c>
      <c r="AR512" s="47">
        <f t="shared" si="54"/>
        <v>-1.3906134357475701</v>
      </c>
      <c r="AS512" s="45" t="str">
        <f t="shared" si="55"/>
        <v>SS</v>
      </c>
      <c r="AT512" s="45">
        <f>RANK(Batters[[#This Row],[zScore]],Batters[[#All],[zScore]])</f>
        <v>508</v>
      </c>
      <c r="AU512" s="45"/>
      <c r="AV512" s="45"/>
      <c r="AW512" s="45" t="str">
        <f t="shared" si="56"/>
        <v>Unlikely</v>
      </c>
      <c r="AX512" s="45"/>
      <c r="AY512" s="45">
        <f>INDEX(Table5[[#All],[Ovr]],MATCH(Batters[[#This Row],[PID]],Table5[[#All],[PID]],0))</f>
        <v>475</v>
      </c>
      <c r="AZ512" s="45" t="str">
        <f>INDEX(Table5[[#All],[Rnd]],MATCH(Batters[[#This Row],[PID]],Table5[[#All],[PID]],0))</f>
        <v>16</v>
      </c>
      <c r="BA512" s="45">
        <f>INDEX(Table5[[#All],[Pick]],MATCH(Batters[[#This Row],[PID]],Table5[[#All],[PID]],0))</f>
        <v>17</v>
      </c>
      <c r="BB512" s="45" t="str">
        <f>INDEX(Table5[[#All],[Team]],MATCH(Batters[[#This Row],[PID]],Table5[[#All],[PID]],0))</f>
        <v>Madison Malts</v>
      </c>
    </row>
    <row r="513" spans="1:54" ht="15" customHeight="1" x14ac:dyDescent="0.25">
      <c r="A513" s="40">
        <v>15983</v>
      </c>
      <c r="B513" s="40" t="s">
        <v>72</v>
      </c>
      <c r="C513" s="40" t="s">
        <v>1538</v>
      </c>
      <c r="D513" s="40" t="s">
        <v>998</v>
      </c>
      <c r="E513" s="40">
        <v>21</v>
      </c>
      <c r="F513" s="40" t="s">
        <v>53</v>
      </c>
      <c r="G513" s="40" t="s">
        <v>42</v>
      </c>
      <c r="H513" s="41" t="s">
        <v>638</v>
      </c>
      <c r="I513" s="65" t="s">
        <v>43</v>
      </c>
      <c r="J513" s="66" t="s">
        <v>43</v>
      </c>
      <c r="K513" s="67" t="s">
        <v>43</v>
      </c>
      <c r="L513" s="40">
        <v>2</v>
      </c>
      <c r="M513" s="40">
        <v>2</v>
      </c>
      <c r="N513" s="40">
        <v>3</v>
      </c>
      <c r="O513" s="40">
        <v>3</v>
      </c>
      <c r="P513" s="41">
        <v>1</v>
      </c>
      <c r="Q513" s="40">
        <v>3</v>
      </c>
      <c r="R513" s="40">
        <v>4</v>
      </c>
      <c r="S513" s="40">
        <v>3</v>
      </c>
      <c r="T513" s="40">
        <v>5</v>
      </c>
      <c r="U513" s="41">
        <v>3</v>
      </c>
      <c r="V513" s="40">
        <v>6</v>
      </c>
      <c r="W513" s="40">
        <v>5</v>
      </c>
      <c r="X513" s="40">
        <v>1</v>
      </c>
      <c r="Y513" s="41">
        <v>1</v>
      </c>
      <c r="Z513" s="40" t="s">
        <v>45</v>
      </c>
      <c r="AA513" s="40" t="s">
        <v>45</v>
      </c>
      <c r="AB513" s="40" t="s">
        <v>45</v>
      </c>
      <c r="AC513" s="40" t="s">
        <v>45</v>
      </c>
      <c r="AD513" s="40">
        <v>7</v>
      </c>
      <c r="AE513" s="40" t="s">
        <v>45</v>
      </c>
      <c r="AF513" s="40" t="s">
        <v>45</v>
      </c>
      <c r="AG513" s="41" t="s">
        <v>45</v>
      </c>
      <c r="AH513" s="40">
        <v>8</v>
      </c>
      <c r="AI513" s="40">
        <v>5</v>
      </c>
      <c r="AJ513" s="41">
        <v>4</v>
      </c>
      <c r="AK513" s="43" t="s">
        <v>643</v>
      </c>
      <c r="AL513" s="43" t="s">
        <v>47</v>
      </c>
      <c r="AM513" s="44">
        <f t="shared" si="50"/>
        <v>-1.3651855459392288</v>
      </c>
      <c r="AN513" s="44">
        <f t="shared" si="51"/>
        <v>-0.6810581708458181</v>
      </c>
      <c r="AO513" s="45">
        <f t="shared" si="52"/>
        <v>1</v>
      </c>
      <c r="AP513" s="46">
        <f t="shared" si="53"/>
        <v>1</v>
      </c>
      <c r="AQ513" s="44">
        <f>($AM$3*AM513+$AN$3*AN513+$AO$3*AO513+$AP$3*AP513)+$I$3*VLOOKUP(I513,COND!$A$2:$E$7,4,FALSE)+$J$3*VLOOKUP(J513,COND!$A$2:$C$7,2,FALSE)+$K$3*VLOOKUP(K513,COND!$A$2:$C$7,3,FALSE)+IF(AND($B$2&gt;0,$E513&lt;20),$B$2*25,0)</f>
        <v>37.857450061922925</v>
      </c>
      <c r="AR513" s="47">
        <f t="shared" si="54"/>
        <v>-1.3910967691719185</v>
      </c>
      <c r="AS513" s="45" t="str">
        <f t="shared" si="55"/>
        <v>SS</v>
      </c>
      <c r="AT513" s="45">
        <f>RANK(Batters[[#This Row],[zScore]],Batters[[#All],[zScore]])</f>
        <v>509</v>
      </c>
      <c r="AU513" s="45"/>
      <c r="AV513" s="45"/>
      <c r="AW513" s="45" t="str">
        <f t="shared" si="56"/>
        <v>Unlikely</v>
      </c>
      <c r="AX513" s="45"/>
      <c r="AY513" s="45" t="str">
        <f>INDEX(Table5[[#All],[Ovr]],MATCH(Batters[[#This Row],[PID]],Table5[[#All],[PID]],0))</f>
        <v/>
      </c>
      <c r="AZ513" s="45" t="str">
        <f>INDEX(Table5[[#All],[Rnd]],MATCH(Batters[[#This Row],[PID]],Table5[[#All],[PID]],0))</f>
        <v/>
      </c>
      <c r="BA513" s="45" t="str">
        <f>INDEX(Table5[[#All],[Pick]],MATCH(Batters[[#This Row],[PID]],Table5[[#All],[PID]],0))</f>
        <v/>
      </c>
      <c r="BB513" s="45" t="str">
        <f>INDEX(Table5[[#All],[Team]],MATCH(Batters[[#This Row],[PID]],Table5[[#All],[PID]],0))</f>
        <v/>
      </c>
    </row>
    <row r="514" spans="1:54" ht="15" customHeight="1" x14ac:dyDescent="0.25">
      <c r="A514" s="40">
        <v>20947</v>
      </c>
      <c r="B514" s="40" t="s">
        <v>71</v>
      </c>
      <c r="C514" s="40" t="s">
        <v>650</v>
      </c>
      <c r="D514" s="40" t="s">
        <v>1662</v>
      </c>
      <c r="E514" s="40">
        <v>18</v>
      </c>
      <c r="F514" s="40" t="s">
        <v>42</v>
      </c>
      <c r="G514" s="40" t="s">
        <v>42</v>
      </c>
      <c r="H514" s="41" t="s">
        <v>639</v>
      </c>
      <c r="I514" s="65" t="s">
        <v>43</v>
      </c>
      <c r="J514" s="66" t="s">
        <v>44</v>
      </c>
      <c r="K514" s="67" t="s">
        <v>43</v>
      </c>
      <c r="L514" s="40">
        <v>1</v>
      </c>
      <c r="M514" s="40">
        <v>2</v>
      </c>
      <c r="N514" s="40">
        <v>2</v>
      </c>
      <c r="O514" s="40">
        <v>2</v>
      </c>
      <c r="P514" s="41">
        <v>1</v>
      </c>
      <c r="Q514" s="40">
        <v>2</v>
      </c>
      <c r="R514" s="40">
        <v>5</v>
      </c>
      <c r="S514" s="40">
        <v>4</v>
      </c>
      <c r="T514" s="40">
        <v>4</v>
      </c>
      <c r="U514" s="41">
        <v>2</v>
      </c>
      <c r="V514" s="40">
        <v>3</v>
      </c>
      <c r="W514" s="40">
        <v>2</v>
      </c>
      <c r="X514" s="40">
        <v>1</v>
      </c>
      <c r="Y514" s="41">
        <v>1</v>
      </c>
      <c r="Z514" s="40" t="s">
        <v>45</v>
      </c>
      <c r="AA514" s="40" t="s">
        <v>45</v>
      </c>
      <c r="AB514" s="40">
        <v>1</v>
      </c>
      <c r="AC514" s="40" t="s">
        <v>45</v>
      </c>
      <c r="AD514" s="40" t="s">
        <v>45</v>
      </c>
      <c r="AE514" s="40" t="s">
        <v>45</v>
      </c>
      <c r="AF514" s="40" t="s">
        <v>45</v>
      </c>
      <c r="AG514" s="41" t="s">
        <v>45</v>
      </c>
      <c r="AH514" s="40">
        <v>9</v>
      </c>
      <c r="AI514" s="40">
        <v>6</v>
      </c>
      <c r="AJ514" s="41">
        <v>2</v>
      </c>
      <c r="AK514" s="43" t="s">
        <v>573</v>
      </c>
      <c r="AL514" s="43"/>
      <c r="AM514" s="44">
        <f t="shared" si="50"/>
        <v>-1.8605124261753858</v>
      </c>
      <c r="AN514" s="44">
        <f t="shared" si="51"/>
        <v>-0.99921852323255234</v>
      </c>
      <c r="AO514" s="45">
        <f t="shared" si="52"/>
        <v>2</v>
      </c>
      <c r="AP514" s="46">
        <f t="shared" si="53"/>
        <v>0</v>
      </c>
      <c r="AQ514" s="44">
        <f>($AM$3*AM514+$AN$3*AN514+$AO$3*AO514+$AP$3*AP514)+$I$3*VLOOKUP(I514,COND!$A$2:$E$7,4,FALSE)+$J$3*VLOOKUP(J514,COND!$A$2:$C$7,2,FALSE)+$K$3*VLOOKUP(K514,COND!$A$2:$C$7,3,FALSE)+IF(AND($B$2&gt;0,$E514&lt;20),$B$2*25,0)</f>
        <v>37.856659811925169</v>
      </c>
      <c r="AR514" s="47">
        <f t="shared" si="54"/>
        <v>-1.3912719729380152</v>
      </c>
      <c r="AS514" s="45" t="str">
        <f t="shared" si="55"/>
        <v>2B</v>
      </c>
      <c r="AT514" s="45">
        <f>RANK(Batters[[#This Row],[zScore]],Batters[[#All],[zScore]])</f>
        <v>510</v>
      </c>
      <c r="AU514" s="45"/>
      <c r="AV514" s="45"/>
      <c r="AW514" s="45" t="str">
        <f t="shared" si="56"/>
        <v>Unlikely</v>
      </c>
      <c r="AX514" s="45"/>
      <c r="AY514" s="64" t="str">
        <f>INDEX(Table5[[#All],[Ovr]],MATCH(Batters[[#This Row],[PID]],Table5[[#All],[PID]],0))</f>
        <v/>
      </c>
      <c r="AZ514" s="64" t="str">
        <f>INDEX(Table5[[#All],[Rnd]],MATCH(Batters[[#This Row],[PID]],Table5[[#All],[PID]],0))</f>
        <v/>
      </c>
      <c r="BA514" s="64" t="str">
        <f>INDEX(Table5[[#All],[Pick]],MATCH(Batters[[#This Row],[PID]],Table5[[#All],[PID]],0))</f>
        <v/>
      </c>
      <c r="BB514" s="64" t="str">
        <f>INDEX(Table5[[#All],[Team]],MATCH(Batters[[#This Row],[PID]],Table5[[#All],[PID]],0))</f>
        <v/>
      </c>
    </row>
    <row r="515" spans="1:54" ht="15" customHeight="1" x14ac:dyDescent="0.25">
      <c r="A515" s="40">
        <v>12897</v>
      </c>
      <c r="B515" s="40" t="s">
        <v>71</v>
      </c>
      <c r="C515" s="40" t="s">
        <v>1075</v>
      </c>
      <c r="D515" s="40" t="s">
        <v>334</v>
      </c>
      <c r="E515" s="40">
        <v>21</v>
      </c>
      <c r="F515" s="40" t="s">
        <v>42</v>
      </c>
      <c r="G515" s="40" t="s">
        <v>42</v>
      </c>
      <c r="H515" s="41" t="s">
        <v>638</v>
      </c>
      <c r="I515" s="65" t="s">
        <v>43</v>
      </c>
      <c r="J515" s="66" t="s">
        <v>47</v>
      </c>
      <c r="K515" s="67" t="s">
        <v>47</v>
      </c>
      <c r="L515" s="40">
        <v>2</v>
      </c>
      <c r="M515" s="40">
        <v>2</v>
      </c>
      <c r="N515" s="40">
        <v>3</v>
      </c>
      <c r="O515" s="40">
        <v>3</v>
      </c>
      <c r="P515" s="41">
        <v>1</v>
      </c>
      <c r="Q515" s="40">
        <v>3</v>
      </c>
      <c r="R515" s="40">
        <v>3</v>
      </c>
      <c r="S515" s="40">
        <v>4</v>
      </c>
      <c r="T515" s="40">
        <v>5</v>
      </c>
      <c r="U515" s="41">
        <v>3</v>
      </c>
      <c r="V515" s="40">
        <v>4</v>
      </c>
      <c r="W515" s="40">
        <v>2</v>
      </c>
      <c r="X515" s="40">
        <v>1</v>
      </c>
      <c r="Y515" s="41">
        <v>1</v>
      </c>
      <c r="Z515" s="40" t="s">
        <v>45</v>
      </c>
      <c r="AA515" s="40" t="s">
        <v>45</v>
      </c>
      <c r="AB515" s="40">
        <v>4</v>
      </c>
      <c r="AC515" s="40" t="s">
        <v>45</v>
      </c>
      <c r="AD515" s="40" t="s">
        <v>45</v>
      </c>
      <c r="AE515" s="40">
        <v>3</v>
      </c>
      <c r="AF515" s="40" t="s">
        <v>45</v>
      </c>
      <c r="AG515" s="41" t="s">
        <v>45</v>
      </c>
      <c r="AH515" s="40">
        <v>8</v>
      </c>
      <c r="AI515" s="40">
        <v>6</v>
      </c>
      <c r="AJ515" s="41">
        <v>6</v>
      </c>
      <c r="AK515" s="43" t="s">
        <v>45</v>
      </c>
      <c r="AL515" s="43" t="s">
        <v>47</v>
      </c>
      <c r="AM515" s="44">
        <f t="shared" si="50"/>
        <v>-1.3651855459392288</v>
      </c>
      <c r="AN515" s="44">
        <f t="shared" si="51"/>
        <v>-0.64905655644061999</v>
      </c>
      <c r="AO515" s="45">
        <f t="shared" si="52"/>
        <v>1</v>
      </c>
      <c r="AP515" s="46">
        <f t="shared" si="53"/>
        <v>0</v>
      </c>
      <c r="AQ515" s="44">
        <f>($AM$3*AM515+$AN$3*AN515+$AO$3*AO515+$AP$3*AP515)+$I$3*VLOOKUP(I515,COND!$A$2:$E$7,4,FALSE)+$J$3*VLOOKUP(J515,COND!$A$2:$C$7,2,FALSE)+$K$3*VLOOKUP(K515,COND!$A$2:$C$7,3,FALSE)+IF(AND($B$2&gt;0,$E515&lt;20),$B$2*25,0)</f>
        <v>37.84146943478531</v>
      </c>
      <c r="AR515" s="47">
        <f t="shared" si="54"/>
        <v>-1.3946397822273422</v>
      </c>
      <c r="AS515" s="45" t="str">
        <f t="shared" si="55"/>
        <v>2B</v>
      </c>
      <c r="AT515" s="45">
        <f>RANK(Batters[[#This Row],[zScore]],Batters[[#All],[zScore]])</f>
        <v>511</v>
      </c>
      <c r="AU515" s="45"/>
      <c r="AV515" s="45"/>
      <c r="AW515" s="45" t="str">
        <f t="shared" si="56"/>
        <v>Unlikely</v>
      </c>
      <c r="AX515" s="45"/>
      <c r="AY515" s="45" t="str">
        <f>INDEX(Table5[[#All],[Ovr]],MATCH(Batters[[#This Row],[PID]],Table5[[#All],[PID]],0))</f>
        <v/>
      </c>
      <c r="AZ515" s="45" t="str">
        <f>INDEX(Table5[[#All],[Rnd]],MATCH(Batters[[#This Row],[PID]],Table5[[#All],[PID]],0))</f>
        <v/>
      </c>
      <c r="BA515" s="45" t="str">
        <f>INDEX(Table5[[#All],[Pick]],MATCH(Batters[[#This Row],[PID]],Table5[[#All],[PID]],0))</f>
        <v/>
      </c>
      <c r="BB515" s="45" t="str">
        <f>INDEX(Table5[[#All],[Team]],MATCH(Batters[[#This Row],[PID]],Table5[[#All],[PID]],0))</f>
        <v/>
      </c>
    </row>
    <row r="516" spans="1:54" ht="15" customHeight="1" x14ac:dyDescent="0.25">
      <c r="A516" s="40">
        <v>13247</v>
      </c>
      <c r="B516" s="40" t="s">
        <v>86</v>
      </c>
      <c r="C516" s="40" t="s">
        <v>183</v>
      </c>
      <c r="D516" s="40" t="s">
        <v>1566</v>
      </c>
      <c r="E516" s="40">
        <v>18</v>
      </c>
      <c r="F516" s="40" t="s">
        <v>42</v>
      </c>
      <c r="G516" s="40" t="s">
        <v>42</v>
      </c>
      <c r="H516" s="41" t="s">
        <v>638</v>
      </c>
      <c r="I516" s="65" t="s">
        <v>44</v>
      </c>
      <c r="J516" s="66" t="s">
        <v>44</v>
      </c>
      <c r="K516" s="67" t="s">
        <v>43</v>
      </c>
      <c r="L516" s="40">
        <v>1</v>
      </c>
      <c r="M516" s="40">
        <v>1</v>
      </c>
      <c r="N516" s="40">
        <v>2</v>
      </c>
      <c r="O516" s="40">
        <v>1</v>
      </c>
      <c r="P516" s="41">
        <v>1</v>
      </c>
      <c r="Q516" s="40">
        <v>2</v>
      </c>
      <c r="R516" s="40">
        <v>3</v>
      </c>
      <c r="S516" s="40">
        <v>4</v>
      </c>
      <c r="T516" s="40">
        <v>5</v>
      </c>
      <c r="U516" s="41">
        <v>1</v>
      </c>
      <c r="V516" s="40">
        <v>2</v>
      </c>
      <c r="W516" s="40">
        <v>1</v>
      </c>
      <c r="X516" s="40">
        <v>6</v>
      </c>
      <c r="Y516" s="41">
        <v>6</v>
      </c>
      <c r="Z516" s="40">
        <v>2</v>
      </c>
      <c r="AA516" s="40" t="s">
        <v>45</v>
      </c>
      <c r="AB516" s="40" t="s">
        <v>45</v>
      </c>
      <c r="AC516" s="40" t="s">
        <v>45</v>
      </c>
      <c r="AD516" s="40" t="s">
        <v>45</v>
      </c>
      <c r="AE516" s="40" t="s">
        <v>45</v>
      </c>
      <c r="AF516" s="40" t="s">
        <v>45</v>
      </c>
      <c r="AG516" s="41" t="s">
        <v>45</v>
      </c>
      <c r="AH516" s="40">
        <v>1</v>
      </c>
      <c r="AI516" s="40">
        <v>5</v>
      </c>
      <c r="AJ516" s="41">
        <v>4</v>
      </c>
      <c r="AK516" s="43" t="s">
        <v>548</v>
      </c>
      <c r="AL516" s="43" t="s">
        <v>635</v>
      </c>
      <c r="AM516" s="44">
        <f t="shared" si="50"/>
        <v>-2.0012818558036707</v>
      </c>
      <c r="AN516" s="44">
        <f t="shared" si="51"/>
        <v>-1.0516450722774617</v>
      </c>
      <c r="AO516" s="45">
        <f t="shared" si="52"/>
        <v>0</v>
      </c>
      <c r="AP516" s="46">
        <f t="shared" si="53"/>
        <v>1.1000000000000001</v>
      </c>
      <c r="AQ516" s="44">
        <f>($AM$3*AM516+$AN$3*AN516+$AO$3*AO516+$AP$3*AP516)+$I$3*VLOOKUP(I516,COND!$A$2:$E$7,4,FALSE)+$J$3*VLOOKUP(J516,COND!$A$2:$C$7,2,FALSE)+$K$3*VLOOKUP(K516,COND!$A$2:$C$7,3,FALSE)+IF(AND($B$2&gt;0,$E516&lt;20),$B$2*25,0)</f>
        <v>37.83013094709009</v>
      </c>
      <c r="AR516" s="47">
        <f t="shared" si="54"/>
        <v>-1.3971536015904364</v>
      </c>
      <c r="AS516" s="45" t="str">
        <f t="shared" si="55"/>
        <v>C</v>
      </c>
      <c r="AT516" s="45">
        <f>RANK(Batters[[#This Row],[zScore]],Batters[[#All],[zScore]])</f>
        <v>512</v>
      </c>
      <c r="AU516" s="45"/>
      <c r="AV516" s="45"/>
      <c r="AW516" s="45" t="str">
        <f t="shared" si="56"/>
        <v>Unlikely</v>
      </c>
      <c r="AX516" s="45"/>
      <c r="AY516" s="45" t="str">
        <f>INDEX(Table5[[#All],[Ovr]],MATCH(Batters[[#This Row],[PID]],Table5[[#All],[PID]],0))</f>
        <v/>
      </c>
      <c r="AZ516" s="45" t="str">
        <f>INDEX(Table5[[#All],[Rnd]],MATCH(Batters[[#This Row],[PID]],Table5[[#All],[PID]],0))</f>
        <v/>
      </c>
      <c r="BA516" s="45" t="str">
        <f>INDEX(Table5[[#All],[Pick]],MATCH(Batters[[#This Row],[PID]],Table5[[#All],[PID]],0))</f>
        <v/>
      </c>
      <c r="BB516" s="45" t="str">
        <f>INDEX(Table5[[#All],[Team]],MATCH(Batters[[#This Row],[PID]],Table5[[#All],[PID]],0))</f>
        <v/>
      </c>
    </row>
    <row r="517" spans="1:54" ht="15" customHeight="1" x14ac:dyDescent="0.25">
      <c r="A517" s="40">
        <v>17756</v>
      </c>
      <c r="B517" s="40" t="s">
        <v>87</v>
      </c>
      <c r="C517" s="40" t="s">
        <v>864</v>
      </c>
      <c r="D517" s="40" t="s">
        <v>1539</v>
      </c>
      <c r="E517" s="40">
        <v>21</v>
      </c>
      <c r="F517" s="40" t="s">
        <v>53</v>
      </c>
      <c r="G517" s="40" t="s">
        <v>42</v>
      </c>
      <c r="H517" s="41" t="s">
        <v>638</v>
      </c>
      <c r="I517" s="65" t="s">
        <v>47</v>
      </c>
      <c r="J517" s="66" t="s">
        <v>43</v>
      </c>
      <c r="K517" s="67" t="s">
        <v>43</v>
      </c>
      <c r="L517" s="40">
        <v>2</v>
      </c>
      <c r="M517" s="40">
        <v>2</v>
      </c>
      <c r="N517" s="40">
        <v>3</v>
      </c>
      <c r="O517" s="40">
        <v>2</v>
      </c>
      <c r="P517" s="41">
        <v>1</v>
      </c>
      <c r="Q517" s="40">
        <v>3</v>
      </c>
      <c r="R517" s="40">
        <v>4</v>
      </c>
      <c r="S517" s="40">
        <v>5</v>
      </c>
      <c r="T517" s="40">
        <v>4</v>
      </c>
      <c r="U517" s="41">
        <v>3</v>
      </c>
      <c r="V517" s="40">
        <v>9</v>
      </c>
      <c r="W517" s="40">
        <v>9</v>
      </c>
      <c r="X517" s="40">
        <v>1</v>
      </c>
      <c r="Y517" s="41">
        <v>1</v>
      </c>
      <c r="Z517" s="40" t="s">
        <v>45</v>
      </c>
      <c r="AA517" s="40">
        <v>7</v>
      </c>
      <c r="AB517" s="40" t="s">
        <v>45</v>
      </c>
      <c r="AC517" s="40">
        <v>1</v>
      </c>
      <c r="AD517" s="40" t="s">
        <v>45</v>
      </c>
      <c r="AE517" s="40" t="s">
        <v>45</v>
      </c>
      <c r="AF517" s="40" t="s">
        <v>45</v>
      </c>
      <c r="AG517" s="41" t="s">
        <v>45</v>
      </c>
      <c r="AH517" s="40">
        <v>1</v>
      </c>
      <c r="AI517" s="40">
        <v>1</v>
      </c>
      <c r="AJ517" s="41">
        <v>1</v>
      </c>
      <c r="AK517" s="43" t="s">
        <v>45</v>
      </c>
      <c r="AL517" s="43" t="s">
        <v>635</v>
      </c>
      <c r="AM517" s="44">
        <f t="shared" ref="AM517:AM580" si="57">($L$3*(L517-$Q$1)/$Q$2+$M$3*(M517-$R$1)/$R$2+$N$3*(N517-$S$1)/$S$2+$O$3*(O517-$T$1)/$T$2+$P$3*(P517-$U$1)/$U$2)/(SUM($L$3:$P$3))</f>
        <v>-1.4548950959488096</v>
      </c>
      <c r="AN517" s="44">
        <f t="shared" ref="AN517:AN580" si="58">($L$3*(Q517-$Q$1)/$Q$2+$M$3*(R517-$R$1)/$R$2+$N$3*(S517-$S$1)/$S$2+$O$3*(T517-$T$1)/$T$2+$P$3*(U517-$U$1)/$U$2)/(SUM($L$3:$P$3))</f>
        <v>-0.60464473280759601</v>
      </c>
      <c r="AO517" s="45">
        <f t="shared" ref="AO517:AO580" si="59">IF(AVERAGE(AH517:AI517)&gt;9,1,0)+IF(AVERAGE(AH517:AI517)&gt;7,1,0)+IF(AH517&gt;7,1,0)+IF(AI517&gt;7,1,0)+IF(AJ517&gt;8,1,0)+IF(AJ517&gt;6,1,0)</f>
        <v>0</v>
      </c>
      <c r="AP517" s="46">
        <f t="shared" ref="AP517:AP580" si="60">MIN(2,IF(OR(Z517="-",X517&lt;5),0,1+IF(Y517&gt;7,0.35,IF(Y517&gt;5,0.1,0))+IF(Z517&gt;7,1+IF(X517&gt;7,0.25,0),IF(Z517&gt;4,0.5+IF(X517&gt;7,0.25,0),0+IF(X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44">
        <f>($AM$3*AM517+$AN$3*AN517+$AO$3*AO517+$AP$3*AP517)+$I$3*VLOOKUP(I517,COND!$A$2:$E$7,4,FALSE)+$J$3*VLOOKUP(J517,COND!$A$2:$C$7,2,FALSE)+$K$3*VLOOKUP(K517,COND!$A$2:$C$7,3,FALSE)+IF(AND($B$2&gt;0,$E517&lt;20),$B$2*25,0)</f>
        <v>37.823773696713964</v>
      </c>
      <c r="AR517" s="47">
        <f t="shared" ref="AR517:AR580" si="61">STANDARDIZE(AQ517,AVERAGE($AQ$5:$AQ$534),STDEVP($AQ$5:$AQ$534))</f>
        <v>-1.3985630469698482</v>
      </c>
      <c r="AS517" s="45" t="str">
        <f t="shared" ref="AS517:AS580" si="62">IF(AND(Z517&lt;&gt;"-",Y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1B</v>
      </c>
      <c r="AT517" s="45">
        <f>RANK(Batters[[#This Row],[zScore]],Batters[[#All],[zScore]])</f>
        <v>513</v>
      </c>
      <c r="AU517" s="45"/>
      <c r="AV517" s="45"/>
      <c r="AW517" s="45" t="str">
        <f t="shared" ref="AW517:AW580" si="63">IF(AND($Q517&gt;=6,AVERAGE($S517:$T517)&gt;=6),"Likely",IF(OR($Q517&gt;6,AND($Q517=6,AVERAGE($S517:$T517)&gt;=3),AND($Q517&gt;=5,AVERAGE($S517:$T517)&gt;=5),AVERAGE($Q517,$S517:$T517)&gt;5),"Possible","Unlikely"))</f>
        <v>Unlikely</v>
      </c>
      <c r="AX517" s="45"/>
      <c r="AY517" s="45" t="str">
        <f>INDEX(Table5[[#All],[Ovr]],MATCH(Batters[[#This Row],[PID]],Table5[[#All],[PID]],0))</f>
        <v/>
      </c>
      <c r="AZ517" s="45" t="str">
        <f>INDEX(Table5[[#All],[Rnd]],MATCH(Batters[[#This Row],[PID]],Table5[[#All],[PID]],0))</f>
        <v/>
      </c>
      <c r="BA517" s="45" t="str">
        <f>INDEX(Table5[[#All],[Pick]],MATCH(Batters[[#This Row],[PID]],Table5[[#All],[PID]],0))</f>
        <v/>
      </c>
      <c r="BB517" s="45" t="str">
        <f>INDEX(Table5[[#All],[Team]],MATCH(Batters[[#This Row],[PID]],Table5[[#All],[PID]],0))</f>
        <v/>
      </c>
    </row>
    <row r="518" spans="1:54" ht="15" customHeight="1" x14ac:dyDescent="0.25">
      <c r="A518" s="40">
        <v>6814</v>
      </c>
      <c r="B518" s="40" t="s">
        <v>86</v>
      </c>
      <c r="C518" s="40" t="s">
        <v>724</v>
      </c>
      <c r="D518" s="40" t="s">
        <v>393</v>
      </c>
      <c r="E518" s="40">
        <v>22</v>
      </c>
      <c r="F518" s="40" t="s">
        <v>42</v>
      </c>
      <c r="G518" s="40" t="s">
        <v>42</v>
      </c>
      <c r="H518" s="41" t="s">
        <v>638</v>
      </c>
      <c r="I518" s="65" t="s">
        <v>43</v>
      </c>
      <c r="J518" s="66" t="s">
        <v>44</v>
      </c>
      <c r="K518" s="67" t="s">
        <v>47</v>
      </c>
      <c r="L518" s="40">
        <v>3</v>
      </c>
      <c r="M518" s="40">
        <v>4</v>
      </c>
      <c r="N518" s="40">
        <v>3</v>
      </c>
      <c r="O518" s="40">
        <v>4</v>
      </c>
      <c r="P518" s="41">
        <v>1</v>
      </c>
      <c r="Q518" s="40">
        <v>3</v>
      </c>
      <c r="R518" s="40">
        <v>4</v>
      </c>
      <c r="S518" s="40">
        <v>3</v>
      </c>
      <c r="T518" s="40">
        <v>6</v>
      </c>
      <c r="U518" s="41">
        <v>3</v>
      </c>
      <c r="V518" s="40">
        <v>2</v>
      </c>
      <c r="W518" s="40">
        <v>3</v>
      </c>
      <c r="X518" s="40">
        <v>5</v>
      </c>
      <c r="Y518" s="41">
        <v>5</v>
      </c>
      <c r="Z518" s="40" t="s">
        <v>45</v>
      </c>
      <c r="AA518" s="40" t="s">
        <v>45</v>
      </c>
      <c r="AB518" s="40" t="s">
        <v>45</v>
      </c>
      <c r="AC518" s="40" t="s">
        <v>45</v>
      </c>
      <c r="AD518" s="40" t="s">
        <v>45</v>
      </c>
      <c r="AE518" s="40" t="s">
        <v>45</v>
      </c>
      <c r="AF518" s="40" t="s">
        <v>45</v>
      </c>
      <c r="AG518" s="41" t="s">
        <v>45</v>
      </c>
      <c r="AH518" s="40">
        <v>1</v>
      </c>
      <c r="AI518" s="40">
        <v>1</v>
      </c>
      <c r="AJ518" s="41">
        <v>1</v>
      </c>
      <c r="AK518" s="43" t="s">
        <v>45</v>
      </c>
      <c r="AL518" s="43" t="s">
        <v>635</v>
      </c>
      <c r="AM518" s="44">
        <f t="shared" si="57"/>
        <v>-0.85080040048956596</v>
      </c>
      <c r="AN518" s="44">
        <f t="shared" si="58"/>
        <v>-0.59134862083623696</v>
      </c>
      <c r="AO518" s="45">
        <f t="shared" si="59"/>
        <v>0</v>
      </c>
      <c r="AP518" s="46">
        <f t="shared" si="60"/>
        <v>0</v>
      </c>
      <c r="AQ518" s="44">
        <f>($AM$3*AM518+$AN$3*AN518+$AO$3*AO518+$AP$3*AP518)+$I$3*VLOOKUP(I518,COND!$A$2:$E$7,4,FALSE)+$J$3*VLOOKUP(J518,COND!$A$2:$C$7,2,FALSE)+$K$3*VLOOKUP(K518,COND!$A$2:$C$7,3,FALSE)+IF(AND($B$2&gt;0,$E518&lt;20),$B$2*25,0)</f>
        <v>37.818736509916199</v>
      </c>
      <c r="AR518" s="47">
        <f t="shared" si="61"/>
        <v>-1.3996798253311353</v>
      </c>
      <c r="AS518" s="45" t="str">
        <f t="shared" si="62"/>
        <v>DH</v>
      </c>
      <c r="AT518" s="45">
        <f>RANK(Batters[[#This Row],[zScore]],Batters[[#All],[zScore]])</f>
        <v>514</v>
      </c>
      <c r="AU518" s="45"/>
      <c r="AV518" s="45"/>
      <c r="AW518" s="45" t="str">
        <f t="shared" si="63"/>
        <v>Unlikely</v>
      </c>
      <c r="AX518" s="45"/>
      <c r="AY518" s="45" t="str">
        <f>INDEX(Table5[[#All],[Ovr]],MATCH(Batters[[#This Row],[PID]],Table5[[#All],[PID]],0))</f>
        <v/>
      </c>
      <c r="AZ518" s="45" t="str">
        <f>INDEX(Table5[[#All],[Rnd]],MATCH(Batters[[#This Row],[PID]],Table5[[#All],[PID]],0))</f>
        <v/>
      </c>
      <c r="BA518" s="45" t="str">
        <f>INDEX(Table5[[#All],[Pick]],MATCH(Batters[[#This Row],[PID]],Table5[[#All],[PID]],0))</f>
        <v/>
      </c>
      <c r="BB518" s="45" t="str">
        <f>INDEX(Table5[[#All],[Team]],MATCH(Batters[[#This Row],[PID]],Table5[[#All],[PID]],0))</f>
        <v/>
      </c>
    </row>
    <row r="519" spans="1:54" ht="15" customHeight="1" x14ac:dyDescent="0.25">
      <c r="A519" s="40">
        <v>18064</v>
      </c>
      <c r="B519" s="40" t="s">
        <v>66</v>
      </c>
      <c r="C519" s="40" t="s">
        <v>328</v>
      </c>
      <c r="D519" s="40" t="s">
        <v>898</v>
      </c>
      <c r="E519" s="40">
        <v>22</v>
      </c>
      <c r="F519" s="40" t="s">
        <v>42</v>
      </c>
      <c r="G519" s="40" t="s">
        <v>53</v>
      </c>
      <c r="H519" s="41" t="s">
        <v>638</v>
      </c>
      <c r="I519" s="65" t="s">
        <v>44</v>
      </c>
      <c r="J519" s="66" t="s">
        <v>44</v>
      </c>
      <c r="K519" s="67" t="s">
        <v>43</v>
      </c>
      <c r="L519" s="40">
        <v>2</v>
      </c>
      <c r="M519" s="40">
        <v>2</v>
      </c>
      <c r="N519" s="40">
        <v>3</v>
      </c>
      <c r="O519" s="40">
        <v>2</v>
      </c>
      <c r="P519" s="41">
        <v>1</v>
      </c>
      <c r="Q519" s="40">
        <v>3</v>
      </c>
      <c r="R519" s="40">
        <v>4</v>
      </c>
      <c r="S519" s="40">
        <v>5</v>
      </c>
      <c r="T519" s="40">
        <v>4</v>
      </c>
      <c r="U519" s="41">
        <v>3</v>
      </c>
      <c r="V519" s="40">
        <v>8</v>
      </c>
      <c r="W519" s="40">
        <v>9</v>
      </c>
      <c r="X519" s="40">
        <v>1</v>
      </c>
      <c r="Y519" s="41">
        <v>1</v>
      </c>
      <c r="Z519" s="40" t="s">
        <v>45</v>
      </c>
      <c r="AA519" s="40">
        <v>3</v>
      </c>
      <c r="AB519" s="40" t="s">
        <v>45</v>
      </c>
      <c r="AC519" s="40" t="s">
        <v>45</v>
      </c>
      <c r="AD519" s="40" t="s">
        <v>45</v>
      </c>
      <c r="AE519" s="40" t="s">
        <v>45</v>
      </c>
      <c r="AF519" s="40" t="s">
        <v>45</v>
      </c>
      <c r="AG519" s="41">
        <v>5</v>
      </c>
      <c r="AH519" s="40">
        <v>2</v>
      </c>
      <c r="AI519" s="40">
        <v>3</v>
      </c>
      <c r="AJ519" s="41">
        <v>2</v>
      </c>
      <c r="AK519" s="43" t="s">
        <v>45</v>
      </c>
      <c r="AL519" s="43" t="s">
        <v>47</v>
      </c>
      <c r="AM519" s="44">
        <f t="shared" si="57"/>
        <v>-1.4548950959488096</v>
      </c>
      <c r="AN519" s="44">
        <f t="shared" si="58"/>
        <v>-0.60464473280759601</v>
      </c>
      <c r="AO519" s="45">
        <f t="shared" si="59"/>
        <v>0</v>
      </c>
      <c r="AP519" s="46">
        <f t="shared" si="60"/>
        <v>0.65</v>
      </c>
      <c r="AQ519" s="44">
        <f>($AM$3*AM519+$AN$3*AN519+$AO$3*AO519+$AP$3*AP519)+$I$3*VLOOKUP(I519,COND!$A$2:$E$7,4,FALSE)+$J$3*VLOOKUP(J519,COND!$A$2:$C$7,2,FALSE)+$K$3*VLOOKUP(K519,COND!$A$2:$C$7,3,FALSE)+IF(AND($B$2&gt;0,$E519&lt;20),$B$2*25,0)</f>
        <v>37.798773696713965</v>
      </c>
      <c r="AR519" s="47">
        <f t="shared" si="61"/>
        <v>-1.4041057159541648</v>
      </c>
      <c r="AS519" s="45" t="str">
        <f t="shared" si="62"/>
        <v>RF</v>
      </c>
      <c r="AT519" s="45">
        <f>RANK(Batters[[#This Row],[zScore]],Batters[[#All],[zScore]])</f>
        <v>515</v>
      </c>
      <c r="AU519" s="45"/>
      <c r="AV519" s="45"/>
      <c r="AW519" s="45" t="str">
        <f t="shared" si="63"/>
        <v>Unlikely</v>
      </c>
      <c r="AX519" s="45"/>
      <c r="AY519" s="45" t="str">
        <f>INDEX(Table5[[#All],[Ovr]],MATCH(Batters[[#This Row],[PID]],Table5[[#All],[PID]],0))</f>
        <v/>
      </c>
      <c r="AZ519" s="45" t="str">
        <f>INDEX(Table5[[#All],[Rnd]],MATCH(Batters[[#This Row],[PID]],Table5[[#All],[PID]],0))</f>
        <v/>
      </c>
      <c r="BA519" s="45" t="str">
        <f>INDEX(Table5[[#All],[Pick]],MATCH(Batters[[#This Row],[PID]],Table5[[#All],[PID]],0))</f>
        <v/>
      </c>
      <c r="BB519" s="45" t="str">
        <f>INDEX(Table5[[#All],[Team]],MATCH(Batters[[#This Row],[PID]],Table5[[#All],[PID]],0))</f>
        <v/>
      </c>
    </row>
    <row r="520" spans="1:54" ht="15" customHeight="1" x14ac:dyDescent="0.25">
      <c r="A520" s="40">
        <v>15134</v>
      </c>
      <c r="B520" s="40" t="s">
        <v>87</v>
      </c>
      <c r="C520" s="40" t="s">
        <v>918</v>
      </c>
      <c r="D520" s="40" t="s">
        <v>919</v>
      </c>
      <c r="E520" s="40">
        <v>22</v>
      </c>
      <c r="F520" s="40" t="s">
        <v>62</v>
      </c>
      <c r="G520" s="40" t="s">
        <v>42</v>
      </c>
      <c r="H520" s="41" t="s">
        <v>639</v>
      </c>
      <c r="I520" s="65" t="s">
        <v>43</v>
      </c>
      <c r="J520" s="66" t="s">
        <v>43</v>
      </c>
      <c r="K520" s="67" t="s">
        <v>43</v>
      </c>
      <c r="L520" s="40">
        <v>2</v>
      </c>
      <c r="M520" s="40">
        <v>3</v>
      </c>
      <c r="N520" s="40">
        <v>3</v>
      </c>
      <c r="O520" s="40">
        <v>3</v>
      </c>
      <c r="P520" s="41">
        <v>1</v>
      </c>
      <c r="Q520" s="40">
        <v>3</v>
      </c>
      <c r="R520" s="40">
        <v>5</v>
      </c>
      <c r="S520" s="40">
        <v>3</v>
      </c>
      <c r="T520" s="40">
        <v>5</v>
      </c>
      <c r="U520" s="41">
        <v>4</v>
      </c>
      <c r="V520" s="40">
        <v>2</v>
      </c>
      <c r="W520" s="40">
        <v>2</v>
      </c>
      <c r="X520" s="40">
        <v>3</v>
      </c>
      <c r="Y520" s="41">
        <v>5</v>
      </c>
      <c r="Z520" s="40" t="s">
        <v>45</v>
      </c>
      <c r="AA520" s="40">
        <v>1</v>
      </c>
      <c r="AB520" s="40" t="s">
        <v>45</v>
      </c>
      <c r="AC520" s="40" t="s">
        <v>45</v>
      </c>
      <c r="AD520" s="40" t="s">
        <v>45</v>
      </c>
      <c r="AE520" s="40" t="s">
        <v>45</v>
      </c>
      <c r="AF520" s="40" t="s">
        <v>45</v>
      </c>
      <c r="AG520" s="41" t="s">
        <v>45</v>
      </c>
      <c r="AH520" s="40">
        <v>1</v>
      </c>
      <c r="AI520" s="40">
        <v>1</v>
      </c>
      <c r="AJ520" s="41">
        <v>1</v>
      </c>
      <c r="AK520" s="43" t="s">
        <v>45</v>
      </c>
      <c r="AL520" s="43"/>
      <c r="AM520" s="44">
        <f t="shared" si="57"/>
        <v>-1.3141256663205254</v>
      </c>
      <c r="AN520" s="44">
        <f t="shared" si="58"/>
        <v>-0.58998195141003107</v>
      </c>
      <c r="AO520" s="45">
        <f t="shared" si="59"/>
        <v>0</v>
      </c>
      <c r="AP520" s="46">
        <f t="shared" si="60"/>
        <v>0</v>
      </c>
      <c r="AQ520" s="44">
        <f>($AM$3*AM520+$AN$3*AN520+$AO$3*AO520+$AP$3*AP520)+$I$3*VLOOKUP(I520,COND!$A$2:$E$7,4,FALSE)+$J$3*VLOOKUP(J520,COND!$A$2:$C$7,2,FALSE)+$K$3*VLOOKUP(K520,COND!$A$2:$C$7,3,FALSE)+IF(AND($B$2&gt;0,$E520&lt;20),$B$2*25,0)</f>
        <v>37.788804016447571</v>
      </c>
      <c r="AR520" s="47">
        <f t="shared" si="61"/>
        <v>-1.4063160614580088</v>
      </c>
      <c r="AS520" s="45" t="str">
        <f t="shared" si="62"/>
        <v>1B</v>
      </c>
      <c r="AT520" s="45">
        <f>RANK(Batters[[#This Row],[zScore]],Batters[[#All],[zScore]])</f>
        <v>516</v>
      </c>
      <c r="AU520" s="45"/>
      <c r="AV520" s="45"/>
      <c r="AW520" s="45" t="str">
        <f t="shared" si="63"/>
        <v>Unlikely</v>
      </c>
      <c r="AX520" s="45"/>
      <c r="AY520" s="64" t="str">
        <f>INDEX(Table5[[#All],[Ovr]],MATCH(Batters[[#This Row],[PID]],Table5[[#All],[PID]],0))</f>
        <v/>
      </c>
      <c r="AZ520" s="64" t="str">
        <f>INDEX(Table5[[#All],[Rnd]],MATCH(Batters[[#This Row],[PID]],Table5[[#All],[PID]],0))</f>
        <v/>
      </c>
      <c r="BA520" s="64" t="str">
        <f>INDEX(Table5[[#All],[Pick]],MATCH(Batters[[#This Row],[PID]],Table5[[#All],[PID]],0))</f>
        <v/>
      </c>
      <c r="BB520" s="64" t="str">
        <f>INDEX(Table5[[#All],[Team]],MATCH(Batters[[#This Row],[PID]],Table5[[#All],[PID]],0))</f>
        <v/>
      </c>
    </row>
    <row r="521" spans="1:54" ht="15" customHeight="1" x14ac:dyDescent="0.25">
      <c r="A521" s="40">
        <v>18089</v>
      </c>
      <c r="B521" s="40" t="s">
        <v>50</v>
      </c>
      <c r="C521" s="40" t="s">
        <v>1595</v>
      </c>
      <c r="D521" s="40" t="s">
        <v>1596</v>
      </c>
      <c r="E521" s="40">
        <v>21</v>
      </c>
      <c r="F521" s="40" t="s">
        <v>53</v>
      </c>
      <c r="G521" s="40" t="s">
        <v>53</v>
      </c>
      <c r="H521" s="41" t="s">
        <v>638</v>
      </c>
      <c r="I521" s="65" t="s">
        <v>43</v>
      </c>
      <c r="J521" s="66" t="s">
        <v>44</v>
      </c>
      <c r="K521" s="67" t="s">
        <v>43</v>
      </c>
      <c r="L521" s="40">
        <v>2</v>
      </c>
      <c r="M521" s="40">
        <v>2</v>
      </c>
      <c r="N521" s="40">
        <v>3</v>
      </c>
      <c r="O521" s="40">
        <v>2</v>
      </c>
      <c r="P521" s="41">
        <v>1</v>
      </c>
      <c r="Q521" s="40">
        <v>3</v>
      </c>
      <c r="R521" s="40">
        <v>3</v>
      </c>
      <c r="S521" s="40">
        <v>5</v>
      </c>
      <c r="T521" s="40">
        <v>5</v>
      </c>
      <c r="U521" s="41">
        <v>3</v>
      </c>
      <c r="V521" s="40">
        <v>4</v>
      </c>
      <c r="W521" s="40">
        <v>5</v>
      </c>
      <c r="X521" s="40">
        <v>1</v>
      </c>
      <c r="Y521" s="41">
        <v>1</v>
      </c>
      <c r="Z521" s="40" t="s">
        <v>45</v>
      </c>
      <c r="AA521" s="40" t="s">
        <v>45</v>
      </c>
      <c r="AB521" s="40" t="s">
        <v>45</v>
      </c>
      <c r="AC521" s="40" t="s">
        <v>45</v>
      </c>
      <c r="AD521" s="40" t="s">
        <v>45</v>
      </c>
      <c r="AE521" s="40">
        <v>2</v>
      </c>
      <c r="AF521" s="40" t="s">
        <v>45</v>
      </c>
      <c r="AG521" s="41" t="s">
        <v>45</v>
      </c>
      <c r="AH521" s="40">
        <v>3</v>
      </c>
      <c r="AI521" s="40">
        <v>5</v>
      </c>
      <c r="AJ521" s="41">
        <v>2</v>
      </c>
      <c r="AK521" s="43" t="s">
        <v>45</v>
      </c>
      <c r="AL521" s="43" t="s">
        <v>47</v>
      </c>
      <c r="AM521" s="44">
        <f t="shared" si="57"/>
        <v>-1.4548950959488096</v>
      </c>
      <c r="AN521" s="44">
        <f t="shared" si="58"/>
        <v>-0.56599506241671849</v>
      </c>
      <c r="AO521" s="45">
        <f t="shared" si="59"/>
        <v>0</v>
      </c>
      <c r="AP521" s="46">
        <f t="shared" si="60"/>
        <v>0</v>
      </c>
      <c r="AQ521" s="44">
        <f>($AM$3*AM521+$AN$3*AN521+$AO$3*AO521+$AP$3*AP521)+$I$3*VLOOKUP(I521,COND!$A$2:$E$7,4,FALSE)+$J$3*VLOOKUP(J521,COND!$A$2:$C$7,2,FALSE)+$K$3*VLOOKUP(K521,COND!$A$2:$C$7,3,FALSE)+IF(AND($B$2&gt;0,$E521&lt;20),$B$2*25,0)</f>
        <v>37.762569741404498</v>
      </c>
      <c r="AR521" s="47">
        <f t="shared" si="61"/>
        <v>-1.4121323775623003</v>
      </c>
      <c r="AS521" s="45" t="str">
        <f t="shared" si="62"/>
        <v>LF</v>
      </c>
      <c r="AT521" s="45">
        <f>RANK(Batters[[#This Row],[zScore]],Batters[[#All],[zScore]])</f>
        <v>517</v>
      </c>
      <c r="AU521" s="45"/>
      <c r="AV521" s="45"/>
      <c r="AW521" s="45" t="str">
        <f t="shared" si="63"/>
        <v>Unlikely</v>
      </c>
      <c r="AX521" s="45"/>
      <c r="AY521" s="45" t="str">
        <f>INDEX(Table5[[#All],[Ovr]],MATCH(Batters[[#This Row],[PID]],Table5[[#All],[PID]],0))</f>
        <v/>
      </c>
      <c r="AZ521" s="45" t="str">
        <f>INDEX(Table5[[#All],[Rnd]],MATCH(Batters[[#This Row],[PID]],Table5[[#All],[PID]],0))</f>
        <v/>
      </c>
      <c r="BA521" s="45" t="str">
        <f>INDEX(Table5[[#All],[Pick]],MATCH(Batters[[#This Row],[PID]],Table5[[#All],[PID]],0))</f>
        <v/>
      </c>
      <c r="BB521" s="45" t="str">
        <f>INDEX(Table5[[#All],[Team]],MATCH(Batters[[#This Row],[PID]],Table5[[#All],[PID]],0))</f>
        <v/>
      </c>
    </row>
    <row r="522" spans="1:54" ht="15" customHeight="1" x14ac:dyDescent="0.25">
      <c r="A522" s="40">
        <v>17768</v>
      </c>
      <c r="B522" s="40" t="s">
        <v>72</v>
      </c>
      <c r="C522" s="40" t="s">
        <v>1261</v>
      </c>
      <c r="D522" s="40" t="s">
        <v>1340</v>
      </c>
      <c r="E522" s="40">
        <v>21</v>
      </c>
      <c r="F522" s="40" t="s">
        <v>42</v>
      </c>
      <c r="G522" s="40" t="s">
        <v>42</v>
      </c>
      <c r="H522" s="41" t="s">
        <v>634</v>
      </c>
      <c r="I522" s="65" t="s">
        <v>44</v>
      </c>
      <c r="J522" s="66" t="s">
        <v>43</v>
      </c>
      <c r="K522" s="67" t="s">
        <v>43</v>
      </c>
      <c r="L522" s="40">
        <v>2</v>
      </c>
      <c r="M522" s="40">
        <v>3</v>
      </c>
      <c r="N522" s="40">
        <v>2</v>
      </c>
      <c r="O522" s="40">
        <v>3</v>
      </c>
      <c r="P522" s="41">
        <v>2</v>
      </c>
      <c r="Q522" s="40">
        <v>3</v>
      </c>
      <c r="R522" s="40">
        <v>5</v>
      </c>
      <c r="S522" s="40">
        <v>2</v>
      </c>
      <c r="T522" s="40">
        <v>5</v>
      </c>
      <c r="U522" s="41">
        <v>3</v>
      </c>
      <c r="V522" s="40">
        <v>6</v>
      </c>
      <c r="W522" s="40">
        <v>6</v>
      </c>
      <c r="X522" s="40">
        <v>1</v>
      </c>
      <c r="Y522" s="41">
        <v>1</v>
      </c>
      <c r="Z522" s="40" t="s">
        <v>45</v>
      </c>
      <c r="AA522" s="40" t="s">
        <v>45</v>
      </c>
      <c r="AB522" s="40">
        <v>7</v>
      </c>
      <c r="AC522" s="40" t="s">
        <v>45</v>
      </c>
      <c r="AD522" s="40">
        <v>5</v>
      </c>
      <c r="AE522" s="40" t="s">
        <v>45</v>
      </c>
      <c r="AF522" s="40" t="s">
        <v>45</v>
      </c>
      <c r="AG522" s="41" t="s">
        <v>45</v>
      </c>
      <c r="AH522" s="40">
        <v>7</v>
      </c>
      <c r="AI522" s="40">
        <v>6</v>
      </c>
      <c r="AJ522" s="41">
        <v>5</v>
      </c>
      <c r="AK522" s="43" t="s">
        <v>643</v>
      </c>
      <c r="AL522" s="43" t="s">
        <v>47</v>
      </c>
      <c r="AM522" s="44">
        <f t="shared" si="57"/>
        <v>-1.3571708205273432</v>
      </c>
      <c r="AN522" s="44">
        <f t="shared" si="58"/>
        <v>-0.7130597852510161</v>
      </c>
      <c r="AO522" s="45">
        <f t="shared" si="59"/>
        <v>0</v>
      </c>
      <c r="AP522" s="46">
        <f t="shared" si="60"/>
        <v>1.6</v>
      </c>
      <c r="AQ522" s="44">
        <f>($AM$3*AM522+$AN$3*AN522+$AO$3*AO522+$AP$3*AP522)+$I$3*VLOOKUP(I522,COND!$A$2:$E$7,4,FALSE)+$J$3*VLOOKUP(J522,COND!$A$2:$C$7,2,FALSE)+$K$3*VLOOKUP(K522,COND!$A$2:$C$7,3,FALSE)+IF(AND($B$2&gt;0,$E522&lt;20),$B$2*25,0)</f>
        <v>37.757565494935072</v>
      </c>
      <c r="AR522" s="47">
        <f t="shared" si="61"/>
        <v>-1.4132418528301389</v>
      </c>
      <c r="AS522" s="45" t="str">
        <f t="shared" si="62"/>
        <v>2B</v>
      </c>
      <c r="AT522" s="45">
        <f>RANK(Batters[[#This Row],[zScore]],Batters[[#All],[zScore]])</f>
        <v>518</v>
      </c>
      <c r="AU522" s="45"/>
      <c r="AV522" s="45"/>
      <c r="AW522" s="45" t="str">
        <f t="shared" si="63"/>
        <v>Unlikely</v>
      </c>
      <c r="AX522" s="45"/>
      <c r="AY522" s="45">
        <f>INDEX(Table5[[#All],[Ovr]],MATCH(Batters[[#This Row],[PID]],Table5[[#All],[PID]],0))</f>
        <v>577</v>
      </c>
      <c r="AZ522" s="45" t="str">
        <f>INDEX(Table5[[#All],[Rnd]],MATCH(Batters[[#This Row],[PID]],Table5[[#All],[PID]],0))</f>
        <v>19</v>
      </c>
      <c r="BA522" s="45">
        <f>INDEX(Table5[[#All],[Pick]],MATCH(Batters[[#This Row],[PID]],Table5[[#All],[PID]],0))</f>
        <v>29</v>
      </c>
      <c r="BB522" s="45" t="str">
        <f>INDEX(Table5[[#All],[Team]],MATCH(Batters[[#This Row],[PID]],Table5[[#All],[PID]],0))</f>
        <v>Havana Leones</v>
      </c>
    </row>
    <row r="523" spans="1:54" ht="15" customHeight="1" x14ac:dyDescent="0.25">
      <c r="A523" s="40">
        <v>20252</v>
      </c>
      <c r="B523" s="40" t="s">
        <v>87</v>
      </c>
      <c r="C523" s="40" t="s">
        <v>1458</v>
      </c>
      <c r="D523" s="40" t="s">
        <v>1459</v>
      </c>
      <c r="E523" s="40">
        <v>23</v>
      </c>
      <c r="F523" s="40" t="s">
        <v>42</v>
      </c>
      <c r="G523" s="40" t="s">
        <v>42</v>
      </c>
      <c r="H523" s="41" t="s">
        <v>638</v>
      </c>
      <c r="I523" s="65" t="s">
        <v>43</v>
      </c>
      <c r="J523" s="66" t="s">
        <v>47</v>
      </c>
      <c r="K523" s="67" t="s">
        <v>47</v>
      </c>
      <c r="L523" s="40">
        <v>2</v>
      </c>
      <c r="M523" s="40">
        <v>3</v>
      </c>
      <c r="N523" s="40">
        <v>3</v>
      </c>
      <c r="O523" s="40">
        <v>4</v>
      </c>
      <c r="P523" s="41">
        <v>2</v>
      </c>
      <c r="Q523" s="40">
        <v>3</v>
      </c>
      <c r="R523" s="40">
        <v>3</v>
      </c>
      <c r="S523" s="40">
        <v>4</v>
      </c>
      <c r="T523" s="40">
        <v>5</v>
      </c>
      <c r="U523" s="41">
        <v>3</v>
      </c>
      <c r="V523" s="40">
        <v>4</v>
      </c>
      <c r="W523" s="40">
        <v>2</v>
      </c>
      <c r="X523" s="40">
        <v>1</v>
      </c>
      <c r="Y523" s="41">
        <v>1</v>
      </c>
      <c r="Z523" s="40" t="s">
        <v>45</v>
      </c>
      <c r="AA523" s="40">
        <v>5</v>
      </c>
      <c r="AB523" s="40" t="s">
        <v>45</v>
      </c>
      <c r="AC523" s="40" t="s">
        <v>45</v>
      </c>
      <c r="AD523" s="40" t="s">
        <v>45</v>
      </c>
      <c r="AE523" s="40" t="s">
        <v>45</v>
      </c>
      <c r="AF523" s="40" t="s">
        <v>45</v>
      </c>
      <c r="AG523" s="41" t="s">
        <v>45</v>
      </c>
      <c r="AH523" s="40">
        <v>3</v>
      </c>
      <c r="AI523" s="40">
        <v>1</v>
      </c>
      <c r="AJ523" s="41">
        <v>1</v>
      </c>
      <c r="AK523" s="43" t="s">
        <v>1460</v>
      </c>
      <c r="AL523" s="43" t="s">
        <v>635</v>
      </c>
      <c r="AM523" s="44">
        <f t="shared" si="57"/>
        <v>-1.1843997764938607</v>
      </c>
      <c r="AN523" s="44">
        <f t="shared" si="58"/>
        <v>-0.64905655644061999</v>
      </c>
      <c r="AO523" s="45">
        <f t="shared" si="59"/>
        <v>0</v>
      </c>
      <c r="AP523" s="46">
        <f t="shared" si="60"/>
        <v>0</v>
      </c>
      <c r="AQ523" s="44">
        <f>($AM$3*AM523+$AN$3*AN523+$AO$3*AO523+$AP$3*AP523)+$I$3*VLOOKUP(I523,COND!$A$2:$E$7,4,FALSE)+$J$3*VLOOKUP(J523,COND!$A$2:$C$7,2,FALSE)+$K$3*VLOOKUP(K523,COND!$A$2:$C$7,3,FALSE)+IF(AND($B$2&gt;0,$E523&lt;20),$B$2*25,0)</f>
        <v>37.692881345063171</v>
      </c>
      <c r="AR523" s="47">
        <f t="shared" si="61"/>
        <v>-1.427582766081015</v>
      </c>
      <c r="AS523" s="45" t="str">
        <f t="shared" si="62"/>
        <v>1B</v>
      </c>
      <c r="AT523" s="45">
        <f>RANK(Batters[[#This Row],[zScore]],Batters[[#All],[zScore]])</f>
        <v>519</v>
      </c>
      <c r="AU523" s="45"/>
      <c r="AV523" s="45"/>
      <c r="AW523" s="45" t="str">
        <f t="shared" si="63"/>
        <v>Unlikely</v>
      </c>
      <c r="AX523" s="45"/>
      <c r="AY523" s="45">
        <f>INDEX(Table5[[#All],[Ovr]],MATCH(Batters[[#This Row],[PID]],Table5[[#All],[PID]],0))</f>
        <v>434</v>
      </c>
      <c r="AZ523" s="45" t="str">
        <f>INDEX(Table5[[#All],[Rnd]],MATCH(Batters[[#This Row],[PID]],Table5[[#All],[PID]],0))</f>
        <v>15</v>
      </c>
      <c r="BA523" s="45">
        <f>INDEX(Table5[[#All],[Pick]],MATCH(Batters[[#This Row],[PID]],Table5[[#All],[PID]],0))</f>
        <v>6</v>
      </c>
      <c r="BB523" s="45" t="str">
        <f>INDEX(Table5[[#All],[Team]],MATCH(Batters[[#This Row],[PID]],Table5[[#All],[PID]],0))</f>
        <v>Manchester Maulers</v>
      </c>
    </row>
    <row r="524" spans="1:54" ht="15" customHeight="1" x14ac:dyDescent="0.25">
      <c r="A524" s="40">
        <v>9422</v>
      </c>
      <c r="B524" s="40" t="s">
        <v>86</v>
      </c>
      <c r="C524" s="40" t="s">
        <v>142</v>
      </c>
      <c r="D524" s="40" t="s">
        <v>331</v>
      </c>
      <c r="E524" s="40">
        <v>22</v>
      </c>
      <c r="F524" s="40" t="s">
        <v>42</v>
      </c>
      <c r="G524" s="40" t="s">
        <v>42</v>
      </c>
      <c r="H524" s="41" t="s">
        <v>638</v>
      </c>
      <c r="I524" s="65" t="s">
        <v>43</v>
      </c>
      <c r="J524" s="66" t="s">
        <v>43</v>
      </c>
      <c r="K524" s="67" t="s">
        <v>43</v>
      </c>
      <c r="L524" s="40">
        <v>2</v>
      </c>
      <c r="M524" s="40">
        <v>3</v>
      </c>
      <c r="N524" s="40">
        <v>2</v>
      </c>
      <c r="O524" s="40">
        <v>3</v>
      </c>
      <c r="P524" s="41">
        <v>1</v>
      </c>
      <c r="Q524" s="40">
        <v>3</v>
      </c>
      <c r="R524" s="40">
        <v>4</v>
      </c>
      <c r="S524" s="40">
        <v>3</v>
      </c>
      <c r="T524" s="40">
        <v>5</v>
      </c>
      <c r="U524" s="41">
        <v>3</v>
      </c>
      <c r="V524" s="40">
        <v>8</v>
      </c>
      <c r="W524" s="40">
        <v>8</v>
      </c>
      <c r="X524" s="40">
        <v>7</v>
      </c>
      <c r="Y524" s="41">
        <v>5</v>
      </c>
      <c r="Z524" s="40">
        <v>2</v>
      </c>
      <c r="AA524" s="40">
        <v>1</v>
      </c>
      <c r="AB524" s="40" t="s">
        <v>45</v>
      </c>
      <c r="AC524" s="40" t="s">
        <v>45</v>
      </c>
      <c r="AD524" s="40" t="s">
        <v>45</v>
      </c>
      <c r="AE524" s="40" t="s">
        <v>45</v>
      </c>
      <c r="AF524" s="40" t="s">
        <v>45</v>
      </c>
      <c r="AG524" s="41" t="s">
        <v>45</v>
      </c>
      <c r="AH524" s="40">
        <v>1</v>
      </c>
      <c r="AI524" s="40">
        <v>1</v>
      </c>
      <c r="AJ524" s="41">
        <v>1</v>
      </c>
      <c r="AK524" s="43" t="s">
        <v>45</v>
      </c>
      <c r="AL524" s="43" t="s">
        <v>47</v>
      </c>
      <c r="AM524" s="44">
        <f t="shared" si="57"/>
        <v>-1.3971871603444268</v>
      </c>
      <c r="AN524" s="44">
        <f t="shared" si="58"/>
        <v>-0.6810581708458181</v>
      </c>
      <c r="AO524" s="45">
        <f t="shared" si="59"/>
        <v>0</v>
      </c>
      <c r="AP524" s="46">
        <f t="shared" si="60"/>
        <v>1</v>
      </c>
      <c r="AQ524" s="44">
        <f>($AM$3*AM524+$AN$3*AN524+$AO$3*AO524+$AP$3*AP524)+$I$3*VLOOKUP(I524,COND!$A$2:$E$7,4,FALSE)+$J$3*VLOOKUP(J524,COND!$A$2:$C$7,2,FALSE)+$K$3*VLOOKUP(K524,COND!$A$2:$C$7,3,FALSE)+IF(AND($B$2&gt;0,$E524&lt;20),$B$2*25,0)</f>
        <v>37.687583233815744</v>
      </c>
      <c r="AR524" s="47">
        <f t="shared" si="61"/>
        <v>-1.4287573931564779</v>
      </c>
      <c r="AS524" s="45" t="str">
        <f t="shared" si="62"/>
        <v>C</v>
      </c>
      <c r="AT524" s="45">
        <f>RANK(Batters[[#This Row],[zScore]],Batters[[#All],[zScore]])</f>
        <v>520</v>
      </c>
      <c r="AU524" s="45"/>
      <c r="AV524" s="45"/>
      <c r="AW524" s="45" t="str">
        <f t="shared" si="63"/>
        <v>Unlikely</v>
      </c>
      <c r="AX524" s="45"/>
      <c r="AY524" s="45" t="str">
        <f>INDEX(Table5[[#All],[Ovr]],MATCH(Batters[[#This Row],[PID]],Table5[[#All],[PID]],0))</f>
        <v/>
      </c>
      <c r="AZ524" s="45" t="str">
        <f>INDEX(Table5[[#All],[Rnd]],MATCH(Batters[[#This Row],[PID]],Table5[[#All],[PID]],0))</f>
        <v/>
      </c>
      <c r="BA524" s="45" t="str">
        <f>INDEX(Table5[[#All],[Pick]],MATCH(Batters[[#This Row],[PID]],Table5[[#All],[PID]],0))</f>
        <v/>
      </c>
      <c r="BB524" s="45" t="str">
        <f>INDEX(Table5[[#All],[Team]],MATCH(Batters[[#This Row],[PID]],Table5[[#All],[PID]],0))</f>
        <v/>
      </c>
    </row>
    <row r="525" spans="1:54" ht="15" customHeight="1" x14ac:dyDescent="0.25">
      <c r="A525" s="40">
        <v>12137</v>
      </c>
      <c r="B525" s="40" t="s">
        <v>50</v>
      </c>
      <c r="C525" s="40" t="s">
        <v>1606</v>
      </c>
      <c r="D525" s="40" t="s">
        <v>385</v>
      </c>
      <c r="E525" s="40">
        <v>21</v>
      </c>
      <c r="F525" s="40" t="s">
        <v>62</v>
      </c>
      <c r="G525" s="40" t="s">
        <v>42</v>
      </c>
      <c r="H525" s="41" t="s">
        <v>638</v>
      </c>
      <c r="I525" s="65" t="s">
        <v>43</v>
      </c>
      <c r="J525" s="66" t="s">
        <v>43</v>
      </c>
      <c r="K525" s="67" t="s">
        <v>43</v>
      </c>
      <c r="L525" s="40">
        <v>1</v>
      </c>
      <c r="M525" s="40">
        <v>3</v>
      </c>
      <c r="N525" s="40">
        <v>3</v>
      </c>
      <c r="O525" s="40">
        <v>2</v>
      </c>
      <c r="P525" s="41">
        <v>1</v>
      </c>
      <c r="Q525" s="40">
        <v>3</v>
      </c>
      <c r="R525" s="40">
        <v>4</v>
      </c>
      <c r="S525" s="40">
        <v>4</v>
      </c>
      <c r="T525" s="40">
        <v>5</v>
      </c>
      <c r="U525" s="41">
        <v>3</v>
      </c>
      <c r="V525" s="40">
        <v>8</v>
      </c>
      <c r="W525" s="40">
        <v>5</v>
      </c>
      <c r="X525" s="40">
        <v>1</v>
      </c>
      <c r="Y525" s="41">
        <v>1</v>
      </c>
      <c r="Z525" s="40" t="s">
        <v>45</v>
      </c>
      <c r="AA525" s="40" t="s">
        <v>45</v>
      </c>
      <c r="AB525" s="40" t="s">
        <v>45</v>
      </c>
      <c r="AC525" s="40" t="s">
        <v>45</v>
      </c>
      <c r="AD525" s="40" t="s">
        <v>45</v>
      </c>
      <c r="AE525" s="40">
        <v>2</v>
      </c>
      <c r="AF525" s="40" t="s">
        <v>45</v>
      </c>
      <c r="AG525" s="41" t="s">
        <v>45</v>
      </c>
      <c r="AH525" s="40">
        <v>5</v>
      </c>
      <c r="AI525" s="40">
        <v>3</v>
      </c>
      <c r="AJ525" s="41">
        <v>6</v>
      </c>
      <c r="AK525" s="43" t="s">
        <v>45</v>
      </c>
      <c r="AL525" s="43" t="s">
        <v>635</v>
      </c>
      <c r="AM525" s="44">
        <f t="shared" si="57"/>
        <v>-1.726391052532781</v>
      </c>
      <c r="AN525" s="44">
        <f t="shared" si="58"/>
        <v>-0.59799667682191648</v>
      </c>
      <c r="AO525" s="45">
        <f t="shared" si="59"/>
        <v>0</v>
      </c>
      <c r="AP525" s="46">
        <f t="shared" si="60"/>
        <v>0</v>
      </c>
      <c r="AQ525" s="44">
        <f>($AM$3*AM525+$AN$3*AN525+$AO$3*AO525+$AP$3*AP525)+$I$3*VLOOKUP(I525,COND!$A$2:$E$7,4,FALSE)+$J$3*VLOOKUP(J525,COND!$A$2:$C$7,2,FALSE)+$K$3*VLOOKUP(K525,COND!$A$2:$C$7,3,FALSE)+IF(AND($B$2&gt;0,$E525&lt;20),$B$2*25,0)</f>
        <v>37.651400772883726</v>
      </c>
      <c r="AR525" s="47">
        <f t="shared" si="61"/>
        <v>-1.4367792893158442</v>
      </c>
      <c r="AS525" s="45" t="str">
        <f t="shared" si="62"/>
        <v>LF</v>
      </c>
      <c r="AT525" s="45">
        <f>RANK(Batters[[#This Row],[zScore]],Batters[[#All],[zScore]])</f>
        <v>521</v>
      </c>
      <c r="AU525" s="45"/>
      <c r="AV525" s="45"/>
      <c r="AW525" s="45" t="str">
        <f t="shared" si="63"/>
        <v>Unlikely</v>
      </c>
      <c r="AX525" s="45"/>
      <c r="AY525" s="45" t="str">
        <f>INDEX(Table5[[#All],[Ovr]],MATCH(Batters[[#This Row],[PID]],Table5[[#All],[PID]],0))</f>
        <v/>
      </c>
      <c r="AZ525" s="45" t="str">
        <f>INDEX(Table5[[#All],[Rnd]],MATCH(Batters[[#This Row],[PID]],Table5[[#All],[PID]],0))</f>
        <v/>
      </c>
      <c r="BA525" s="45" t="str">
        <f>INDEX(Table5[[#All],[Pick]],MATCH(Batters[[#This Row],[PID]],Table5[[#All],[PID]],0))</f>
        <v/>
      </c>
      <c r="BB525" s="45" t="str">
        <f>INDEX(Table5[[#All],[Team]],MATCH(Batters[[#This Row],[PID]],Table5[[#All],[PID]],0))</f>
        <v/>
      </c>
    </row>
    <row r="526" spans="1:54" ht="15" customHeight="1" x14ac:dyDescent="0.25">
      <c r="A526" s="40">
        <v>17039</v>
      </c>
      <c r="B526" s="40" t="s">
        <v>87</v>
      </c>
      <c r="C526" s="40" t="s">
        <v>1244</v>
      </c>
      <c r="D526" s="40" t="s">
        <v>1435</v>
      </c>
      <c r="E526" s="40">
        <v>21</v>
      </c>
      <c r="F526" s="40" t="s">
        <v>42</v>
      </c>
      <c r="G526" s="40" t="s">
        <v>42</v>
      </c>
      <c r="H526" s="41" t="s">
        <v>638</v>
      </c>
      <c r="I526" s="65" t="s">
        <v>44</v>
      </c>
      <c r="J526" s="66" t="s">
        <v>44</v>
      </c>
      <c r="K526" s="67" t="s">
        <v>43</v>
      </c>
      <c r="L526" s="40">
        <v>2</v>
      </c>
      <c r="M526" s="40">
        <v>3</v>
      </c>
      <c r="N526" s="40">
        <v>3</v>
      </c>
      <c r="O526" s="40">
        <v>2</v>
      </c>
      <c r="P526" s="41">
        <v>2</v>
      </c>
      <c r="Q526" s="40">
        <v>3</v>
      </c>
      <c r="R526" s="40">
        <v>4</v>
      </c>
      <c r="S526" s="40">
        <v>5</v>
      </c>
      <c r="T526" s="40">
        <v>4</v>
      </c>
      <c r="U526" s="41">
        <v>4</v>
      </c>
      <c r="V526" s="40">
        <v>2</v>
      </c>
      <c r="W526" s="40">
        <v>1</v>
      </c>
      <c r="X526" s="40">
        <v>3</v>
      </c>
      <c r="Y526" s="41">
        <v>4</v>
      </c>
      <c r="Z526" s="40" t="s">
        <v>45</v>
      </c>
      <c r="AA526" s="40">
        <v>1</v>
      </c>
      <c r="AB526" s="40" t="s">
        <v>45</v>
      </c>
      <c r="AC526" s="40" t="s">
        <v>45</v>
      </c>
      <c r="AD526" s="40" t="s">
        <v>45</v>
      </c>
      <c r="AE526" s="40" t="s">
        <v>45</v>
      </c>
      <c r="AF526" s="40" t="s">
        <v>45</v>
      </c>
      <c r="AG526" s="41" t="s">
        <v>45</v>
      </c>
      <c r="AH526" s="40">
        <v>1</v>
      </c>
      <c r="AI526" s="40">
        <v>1</v>
      </c>
      <c r="AJ526" s="41">
        <v>1</v>
      </c>
      <c r="AK526" s="43" t="s">
        <v>45</v>
      </c>
      <c r="AL526" s="43" t="s">
        <v>635</v>
      </c>
      <c r="AM526" s="44">
        <f t="shared" si="57"/>
        <v>-1.3638188765130226</v>
      </c>
      <c r="AN526" s="44">
        <f t="shared" si="58"/>
        <v>-0.5646283929905126</v>
      </c>
      <c r="AO526" s="45">
        <f t="shared" si="59"/>
        <v>0</v>
      </c>
      <c r="AP526" s="46">
        <f t="shared" si="60"/>
        <v>0</v>
      </c>
      <c r="AQ526" s="44">
        <f>($AM$3*AM526+$AN$3*AN526+$AO$3*AO526+$AP$3*AP526)+$I$3*VLOOKUP(I526,COND!$A$2:$E$7,4,FALSE)+$J$3*VLOOKUP(J526,COND!$A$2:$C$7,2,FALSE)+$K$3*VLOOKUP(K526,COND!$A$2:$C$7,3,FALSE)+IF(AND($B$2&gt;0,$E526&lt;20),$B$2*25,0)</f>
        <v>37.638077396462549</v>
      </c>
      <c r="AR526" s="47">
        <f t="shared" si="61"/>
        <v>-1.4397331719260857</v>
      </c>
      <c r="AS526" s="45" t="str">
        <f t="shared" si="62"/>
        <v>1B</v>
      </c>
      <c r="AT526" s="45">
        <f>RANK(Batters[[#This Row],[zScore]],Batters[[#All],[zScore]])</f>
        <v>522</v>
      </c>
      <c r="AU526" s="45"/>
      <c r="AV526" s="45"/>
      <c r="AW526" s="45" t="str">
        <f t="shared" si="63"/>
        <v>Unlikely</v>
      </c>
      <c r="AX526" s="45"/>
      <c r="AY526" s="45" t="str">
        <f>INDEX(Table5[[#All],[Ovr]],MATCH(Batters[[#This Row],[PID]],Table5[[#All],[PID]],0))</f>
        <v/>
      </c>
      <c r="AZ526" s="45" t="str">
        <f>INDEX(Table5[[#All],[Rnd]],MATCH(Batters[[#This Row],[PID]],Table5[[#All],[PID]],0))</f>
        <v/>
      </c>
      <c r="BA526" s="45" t="str">
        <f>INDEX(Table5[[#All],[Pick]],MATCH(Batters[[#This Row],[PID]],Table5[[#All],[PID]],0))</f>
        <v/>
      </c>
      <c r="BB526" s="45" t="str">
        <f>INDEX(Table5[[#All],[Team]],MATCH(Batters[[#This Row],[PID]],Table5[[#All],[PID]],0))</f>
        <v/>
      </c>
    </row>
    <row r="527" spans="1:54" ht="15" customHeight="1" x14ac:dyDescent="0.25">
      <c r="A527" s="40">
        <v>18301</v>
      </c>
      <c r="B527" s="40" t="s">
        <v>74</v>
      </c>
      <c r="C527" s="40" t="s">
        <v>1599</v>
      </c>
      <c r="D527" s="40" t="s">
        <v>1600</v>
      </c>
      <c r="E527" s="40">
        <v>21</v>
      </c>
      <c r="F527" s="40" t="s">
        <v>53</v>
      </c>
      <c r="G527" s="40" t="s">
        <v>53</v>
      </c>
      <c r="H527" s="41" t="s">
        <v>638</v>
      </c>
      <c r="I527" s="65" t="s">
        <v>43</v>
      </c>
      <c r="J527" s="66" t="s">
        <v>43</v>
      </c>
      <c r="K527" s="67" t="s">
        <v>43</v>
      </c>
      <c r="L527" s="40">
        <v>3</v>
      </c>
      <c r="M527" s="40">
        <v>3</v>
      </c>
      <c r="N527" s="40">
        <v>3</v>
      </c>
      <c r="O527" s="40">
        <v>3</v>
      </c>
      <c r="P527" s="41">
        <v>1</v>
      </c>
      <c r="Q527" s="40">
        <v>3</v>
      </c>
      <c r="R527" s="40">
        <v>3</v>
      </c>
      <c r="S527" s="40">
        <v>4</v>
      </c>
      <c r="T527" s="40">
        <v>5</v>
      </c>
      <c r="U527" s="41">
        <v>3</v>
      </c>
      <c r="V527" s="40">
        <v>4</v>
      </c>
      <c r="W527" s="40">
        <v>7</v>
      </c>
      <c r="X527" s="40">
        <v>1</v>
      </c>
      <c r="Y527" s="41">
        <v>1</v>
      </c>
      <c r="Z527" s="40" t="s">
        <v>45</v>
      </c>
      <c r="AA527" s="40" t="s">
        <v>45</v>
      </c>
      <c r="AB527" s="40" t="s">
        <v>45</v>
      </c>
      <c r="AC527" s="40" t="s">
        <v>45</v>
      </c>
      <c r="AD527" s="40" t="s">
        <v>45</v>
      </c>
      <c r="AE527" s="40" t="s">
        <v>45</v>
      </c>
      <c r="AF527" s="40">
        <v>2</v>
      </c>
      <c r="AG527" s="41">
        <v>3</v>
      </c>
      <c r="AH527" s="40">
        <v>9</v>
      </c>
      <c r="AI527" s="40">
        <v>8</v>
      </c>
      <c r="AJ527" s="41">
        <v>6</v>
      </c>
      <c r="AK527" s="43" t="s">
        <v>45</v>
      </c>
      <c r="AL527" s="43" t="s">
        <v>47</v>
      </c>
      <c r="AM527" s="44">
        <f t="shared" si="57"/>
        <v>-0.99156983011785049</v>
      </c>
      <c r="AN527" s="44">
        <f t="shared" si="58"/>
        <v>-0.64905655644061999</v>
      </c>
      <c r="AO527" s="45">
        <f t="shared" si="59"/>
        <v>3</v>
      </c>
      <c r="AP527" s="46">
        <f t="shared" si="60"/>
        <v>0</v>
      </c>
      <c r="AQ527" s="44">
        <f>($AM$3*AM527+$AN$3*AN527+$AO$3*AO527+$AP$3*AP527)+$I$3*VLOOKUP(I527,COND!$A$2:$E$7,4,FALSE)+$J$3*VLOOKUP(J527,COND!$A$2:$C$7,2,FALSE)+$K$3*VLOOKUP(K527,COND!$A$2:$C$7,3,FALSE)+IF(AND($B$2&gt;0,$E527&lt;20),$B$2*25,0)</f>
        <v>37.612164339700776</v>
      </c>
      <c r="AR527" s="47">
        <f t="shared" si="61"/>
        <v>-1.4454782717661787</v>
      </c>
      <c r="AS527" s="45" t="str">
        <f t="shared" si="62"/>
        <v>RF</v>
      </c>
      <c r="AT527" s="45">
        <f>RANK(Batters[[#This Row],[zScore]],Batters[[#All],[zScore]])</f>
        <v>523</v>
      </c>
      <c r="AU527" s="45"/>
      <c r="AV527" s="45"/>
      <c r="AW527" s="45" t="str">
        <f t="shared" si="63"/>
        <v>Unlikely</v>
      </c>
      <c r="AX527" s="45"/>
      <c r="AY527" s="45" t="str">
        <f>INDEX(Table5[[#All],[Ovr]],MATCH(Batters[[#This Row],[PID]],Table5[[#All],[PID]],0))</f>
        <v/>
      </c>
      <c r="AZ527" s="45" t="str">
        <f>INDEX(Table5[[#All],[Rnd]],MATCH(Batters[[#This Row],[PID]],Table5[[#All],[PID]],0))</f>
        <v/>
      </c>
      <c r="BA527" s="45" t="str">
        <f>INDEX(Table5[[#All],[Pick]],MATCH(Batters[[#This Row],[PID]],Table5[[#All],[PID]],0))</f>
        <v/>
      </c>
      <c r="BB527" s="45" t="str">
        <f>INDEX(Table5[[#All],[Team]],MATCH(Batters[[#This Row],[PID]],Table5[[#All],[PID]],0))</f>
        <v/>
      </c>
    </row>
    <row r="528" spans="1:54" ht="15" customHeight="1" x14ac:dyDescent="0.25">
      <c r="A528" s="40">
        <v>10306</v>
      </c>
      <c r="B528" s="40" t="s">
        <v>66</v>
      </c>
      <c r="C528" s="40" t="s">
        <v>150</v>
      </c>
      <c r="D528" s="40" t="s">
        <v>970</v>
      </c>
      <c r="E528" s="40">
        <v>21</v>
      </c>
      <c r="F528" s="40" t="s">
        <v>42</v>
      </c>
      <c r="G528" s="40" t="s">
        <v>42</v>
      </c>
      <c r="H528" s="41" t="s">
        <v>639</v>
      </c>
      <c r="I528" s="65" t="s">
        <v>43</v>
      </c>
      <c r="J528" s="66" t="s">
        <v>43</v>
      </c>
      <c r="K528" s="67" t="s">
        <v>47</v>
      </c>
      <c r="L528" s="40">
        <v>1</v>
      </c>
      <c r="M528" s="40">
        <v>2</v>
      </c>
      <c r="N528" s="40">
        <v>3</v>
      </c>
      <c r="O528" s="40">
        <v>2</v>
      </c>
      <c r="P528" s="41">
        <v>2</v>
      </c>
      <c r="Q528" s="40">
        <v>3</v>
      </c>
      <c r="R528" s="40">
        <v>3</v>
      </c>
      <c r="S528" s="40">
        <v>4</v>
      </c>
      <c r="T528" s="40">
        <v>4</v>
      </c>
      <c r="U528" s="41">
        <v>5</v>
      </c>
      <c r="V528" s="40">
        <v>4</v>
      </c>
      <c r="W528" s="40">
        <v>8</v>
      </c>
      <c r="X528" s="40">
        <v>1</v>
      </c>
      <c r="Y528" s="41">
        <v>1</v>
      </c>
      <c r="Z528" s="40" t="s">
        <v>45</v>
      </c>
      <c r="AA528" s="40" t="s">
        <v>45</v>
      </c>
      <c r="AB528" s="40" t="s">
        <v>45</v>
      </c>
      <c r="AC528" s="40" t="s">
        <v>45</v>
      </c>
      <c r="AD528" s="40" t="s">
        <v>45</v>
      </c>
      <c r="AE528" s="40" t="s">
        <v>45</v>
      </c>
      <c r="AF528" s="40" t="s">
        <v>45</v>
      </c>
      <c r="AG528" s="41">
        <v>2</v>
      </c>
      <c r="AH528" s="40">
        <v>9</v>
      </c>
      <c r="AI528" s="40">
        <v>6</v>
      </c>
      <c r="AJ528" s="41">
        <v>4</v>
      </c>
      <c r="AK528" s="43" t="s">
        <v>45</v>
      </c>
      <c r="AL528" s="43"/>
      <c r="AM528" s="44">
        <f t="shared" si="57"/>
        <v>-1.7374345923344008</v>
      </c>
      <c r="AN528" s="44">
        <f t="shared" si="58"/>
        <v>-0.65873342681603408</v>
      </c>
      <c r="AO528" s="45">
        <f t="shared" si="59"/>
        <v>2</v>
      </c>
      <c r="AP528" s="46">
        <f t="shared" si="60"/>
        <v>0</v>
      </c>
      <c r="AQ528" s="44">
        <f>($AM$3*AM528+$AN$3*AN528+$AO$3*AO528+$AP$3*AP528)+$I$3*VLOOKUP(I528,COND!$A$2:$E$7,4,FALSE)+$J$3*VLOOKUP(J528,COND!$A$2:$C$7,2,FALSE)+$K$3*VLOOKUP(K528,COND!$A$2:$C$7,3,FALSE)+IF(AND($B$2&gt;0,$E528&lt;20),$B$2*25,0)</f>
        <v>37.554788752307488</v>
      </c>
      <c r="AR528" s="47">
        <f t="shared" si="61"/>
        <v>-1.4581988273142488</v>
      </c>
      <c r="AS528" s="45" t="str">
        <f t="shared" si="62"/>
        <v>RF</v>
      </c>
      <c r="AT528" s="45">
        <f>RANK(Batters[[#This Row],[zScore]],Batters[[#All],[zScore]])</f>
        <v>524</v>
      </c>
      <c r="AU528" s="45"/>
      <c r="AV528" s="45"/>
      <c r="AW528" s="45" t="str">
        <f t="shared" si="63"/>
        <v>Unlikely</v>
      </c>
      <c r="AX528" s="45"/>
      <c r="AY528" s="64" t="str">
        <f>INDEX(Table5[[#All],[Ovr]],MATCH(Batters[[#This Row],[PID]],Table5[[#All],[PID]],0))</f>
        <v/>
      </c>
      <c r="AZ528" s="64" t="str">
        <f>INDEX(Table5[[#All],[Rnd]],MATCH(Batters[[#This Row],[PID]],Table5[[#All],[PID]],0))</f>
        <v/>
      </c>
      <c r="BA528" s="64" t="str">
        <f>INDEX(Table5[[#All],[Pick]],MATCH(Batters[[#This Row],[PID]],Table5[[#All],[PID]],0))</f>
        <v/>
      </c>
      <c r="BB528" s="64" t="str">
        <f>INDEX(Table5[[#All],[Team]],MATCH(Batters[[#This Row],[PID]],Table5[[#All],[PID]],0))</f>
        <v/>
      </c>
    </row>
    <row r="529" spans="1:54" ht="15" customHeight="1" x14ac:dyDescent="0.25">
      <c r="A529" s="40">
        <v>20907</v>
      </c>
      <c r="B529" s="40" t="s">
        <v>87</v>
      </c>
      <c r="C529" s="40" t="s">
        <v>208</v>
      </c>
      <c r="D529" s="40" t="s">
        <v>1704</v>
      </c>
      <c r="E529" s="40">
        <v>18</v>
      </c>
      <c r="F529" s="40" t="s">
        <v>53</v>
      </c>
      <c r="G529" s="40" t="s">
        <v>53</v>
      </c>
      <c r="H529" s="41" t="s">
        <v>647</v>
      </c>
      <c r="I529" s="65" t="s">
        <v>43</v>
      </c>
      <c r="J529" s="66" t="s">
        <v>43</v>
      </c>
      <c r="K529" s="67" t="s">
        <v>47</v>
      </c>
      <c r="L529" s="40">
        <v>1</v>
      </c>
      <c r="M529" s="40">
        <v>1</v>
      </c>
      <c r="N529" s="40">
        <v>2</v>
      </c>
      <c r="O529" s="40">
        <v>1</v>
      </c>
      <c r="P529" s="41">
        <v>1</v>
      </c>
      <c r="Q529" s="40">
        <v>3</v>
      </c>
      <c r="R529" s="40">
        <v>2</v>
      </c>
      <c r="S529" s="40">
        <v>2</v>
      </c>
      <c r="T529" s="40">
        <v>3</v>
      </c>
      <c r="U529" s="41">
        <v>3</v>
      </c>
      <c r="V529" s="40">
        <v>4</v>
      </c>
      <c r="W529" s="40">
        <v>4</v>
      </c>
      <c r="X529" s="40">
        <v>1</v>
      </c>
      <c r="Y529" s="41">
        <v>1</v>
      </c>
      <c r="Z529" s="40" t="s">
        <v>45</v>
      </c>
      <c r="AA529" s="40" t="s">
        <v>45</v>
      </c>
      <c r="AB529" s="40" t="s">
        <v>45</v>
      </c>
      <c r="AC529" s="40" t="s">
        <v>45</v>
      </c>
      <c r="AD529" s="40" t="s">
        <v>45</v>
      </c>
      <c r="AE529" s="40" t="s">
        <v>45</v>
      </c>
      <c r="AF529" s="40" t="s">
        <v>45</v>
      </c>
      <c r="AG529" s="41" t="s">
        <v>45</v>
      </c>
      <c r="AH529" s="40">
        <v>1</v>
      </c>
      <c r="AI529" s="40">
        <v>5</v>
      </c>
      <c r="AJ529" s="41">
        <v>3</v>
      </c>
      <c r="AK529" s="43" t="s">
        <v>644</v>
      </c>
      <c r="AL529" s="43"/>
      <c r="AM529" s="44">
        <f t="shared" si="57"/>
        <v>-2.0012818558036707</v>
      </c>
      <c r="AN529" s="44">
        <f t="shared" si="58"/>
        <v>-1.0456585241262888</v>
      </c>
      <c r="AO529" s="45">
        <f t="shared" si="59"/>
        <v>0</v>
      </c>
      <c r="AP529" s="46">
        <f t="shared" si="60"/>
        <v>0</v>
      </c>
      <c r="AQ529" s="44">
        <f>($AM$3*AM529+$AN$3*AN529+$AO$3*AO529+$AP$3*AP529)+$I$3*VLOOKUP(I529,COND!$A$2:$E$7,4,FALSE)+$J$3*VLOOKUP(J529,COND!$A$2:$C$7,2,FALSE)+$K$3*VLOOKUP(K529,COND!$A$2:$C$7,3,FALSE)+IF(AND($B$2&gt;0,$E529&lt;20),$B$2*25,0)</f>
        <v>37.551969524904166</v>
      </c>
      <c r="AR529" s="47">
        <f t="shared" si="61"/>
        <v>-1.4588238690857738</v>
      </c>
      <c r="AS529" s="45" t="str">
        <f t="shared" si="62"/>
        <v>DH</v>
      </c>
      <c r="AT529" s="45">
        <f>RANK(Batters[[#This Row],[zScore]],Batters[[#All],[zScore]])</f>
        <v>525</v>
      </c>
      <c r="AU529" s="45"/>
      <c r="AV529" s="45"/>
      <c r="AW529" s="45" t="str">
        <f t="shared" si="63"/>
        <v>Unlikely</v>
      </c>
      <c r="AX529" s="45"/>
      <c r="AY529" s="64" t="str">
        <f>INDEX(Table5[[#All],[Ovr]],MATCH(Batters[[#This Row],[PID]],Table5[[#All],[PID]],0))</f>
        <v/>
      </c>
      <c r="AZ529" s="64" t="str">
        <f>INDEX(Table5[[#All],[Rnd]],MATCH(Batters[[#This Row],[PID]],Table5[[#All],[PID]],0))</f>
        <v/>
      </c>
      <c r="BA529" s="64" t="str">
        <f>INDEX(Table5[[#All],[Pick]],MATCH(Batters[[#This Row],[PID]],Table5[[#All],[PID]],0))</f>
        <v/>
      </c>
      <c r="BB529" s="64" t="str">
        <f>INDEX(Table5[[#All],[Team]],MATCH(Batters[[#This Row],[PID]],Table5[[#All],[PID]],0))</f>
        <v/>
      </c>
    </row>
    <row r="530" spans="1:54" ht="15" customHeight="1" x14ac:dyDescent="0.25">
      <c r="A530" s="40">
        <v>20281</v>
      </c>
      <c r="B530" s="40" t="s">
        <v>87</v>
      </c>
      <c r="C530" s="40" t="s">
        <v>180</v>
      </c>
      <c r="D530" s="40" t="s">
        <v>1675</v>
      </c>
      <c r="E530" s="40">
        <v>21</v>
      </c>
      <c r="F530" s="40" t="s">
        <v>42</v>
      </c>
      <c r="G530" s="40" t="s">
        <v>42</v>
      </c>
      <c r="H530" s="41" t="s">
        <v>639</v>
      </c>
      <c r="I530" s="65" t="s">
        <v>44</v>
      </c>
      <c r="J530" s="66" t="s">
        <v>43</v>
      </c>
      <c r="K530" s="67" t="s">
        <v>43</v>
      </c>
      <c r="L530" s="40">
        <v>1</v>
      </c>
      <c r="M530" s="40">
        <v>3</v>
      </c>
      <c r="N530" s="40">
        <v>3</v>
      </c>
      <c r="O530" s="40">
        <v>3</v>
      </c>
      <c r="P530" s="41">
        <v>2</v>
      </c>
      <c r="Q530" s="40">
        <v>3</v>
      </c>
      <c r="R530" s="40">
        <v>4</v>
      </c>
      <c r="S530" s="40">
        <v>4</v>
      </c>
      <c r="T530" s="40">
        <v>5</v>
      </c>
      <c r="U530" s="41">
        <v>3</v>
      </c>
      <c r="V530" s="40">
        <v>2</v>
      </c>
      <c r="W530" s="40">
        <v>2</v>
      </c>
      <c r="X530" s="40">
        <v>1</v>
      </c>
      <c r="Y530" s="41">
        <v>1</v>
      </c>
      <c r="Z530" s="40" t="s">
        <v>45</v>
      </c>
      <c r="AA530" s="40">
        <v>4</v>
      </c>
      <c r="AB530" s="40" t="s">
        <v>45</v>
      </c>
      <c r="AC530" s="40" t="s">
        <v>45</v>
      </c>
      <c r="AD530" s="40" t="s">
        <v>45</v>
      </c>
      <c r="AE530" s="40" t="s">
        <v>45</v>
      </c>
      <c r="AF530" s="40" t="s">
        <v>45</v>
      </c>
      <c r="AG530" s="41" t="s">
        <v>45</v>
      </c>
      <c r="AH530" s="40">
        <v>4</v>
      </c>
      <c r="AI530" s="40">
        <v>1</v>
      </c>
      <c r="AJ530" s="41">
        <v>1</v>
      </c>
      <c r="AK530" s="43" t="s">
        <v>45</v>
      </c>
      <c r="AL530" s="43"/>
      <c r="AM530" s="44">
        <f t="shared" si="57"/>
        <v>-1.5966651627061161</v>
      </c>
      <c r="AN530" s="44">
        <f t="shared" si="58"/>
        <v>-0.59799667682191648</v>
      </c>
      <c r="AO530" s="45">
        <f t="shared" si="59"/>
        <v>0</v>
      </c>
      <c r="AP530" s="46">
        <f t="shared" si="60"/>
        <v>0</v>
      </c>
      <c r="AQ530" s="44">
        <f>($AM$3*AM530+$AN$3*AN530+$AO$3*AO530+$AP$3*AP530)+$I$3*VLOOKUP(I530,COND!$A$2:$E$7,4,FALSE)+$J$3*VLOOKUP(J530,COND!$A$2:$C$7,2,FALSE)+$K$3*VLOOKUP(K530,COND!$A$2:$C$7,3,FALSE)+IF(AND($B$2&gt;0,$E530&lt;20),$B$2*25,0)</f>
        <v>37.51437336186639</v>
      </c>
      <c r="AR530" s="47">
        <f t="shared" si="61"/>
        <v>-1.4671591925577261</v>
      </c>
      <c r="AS530" s="45" t="str">
        <f t="shared" si="62"/>
        <v>1B</v>
      </c>
      <c r="AT530" s="45">
        <f>RANK(Batters[[#This Row],[zScore]],Batters[[#All],[zScore]])</f>
        <v>526</v>
      </c>
      <c r="AU530" s="45"/>
      <c r="AV530" s="45"/>
      <c r="AW530" s="45" t="str">
        <f t="shared" si="63"/>
        <v>Unlikely</v>
      </c>
      <c r="AX530" s="45"/>
      <c r="AY530" s="64" t="str">
        <f>INDEX(Table5[[#All],[Ovr]],MATCH(Batters[[#This Row],[PID]],Table5[[#All],[PID]],0))</f>
        <v/>
      </c>
      <c r="AZ530" s="64" t="str">
        <f>INDEX(Table5[[#All],[Rnd]],MATCH(Batters[[#This Row],[PID]],Table5[[#All],[PID]],0))</f>
        <v/>
      </c>
      <c r="BA530" s="64" t="str">
        <f>INDEX(Table5[[#All],[Pick]],MATCH(Batters[[#This Row],[PID]],Table5[[#All],[PID]],0))</f>
        <v/>
      </c>
      <c r="BB530" s="64" t="str">
        <f>INDEX(Table5[[#All],[Team]],MATCH(Batters[[#This Row],[PID]],Table5[[#All],[PID]],0))</f>
        <v/>
      </c>
    </row>
    <row r="531" spans="1:54" ht="15" customHeight="1" x14ac:dyDescent="0.25">
      <c r="A531" s="40">
        <v>16888</v>
      </c>
      <c r="B531" s="40" t="s">
        <v>86</v>
      </c>
      <c r="C531" s="40" t="s">
        <v>655</v>
      </c>
      <c r="D531" s="40" t="s">
        <v>1438</v>
      </c>
      <c r="E531" s="40">
        <v>21</v>
      </c>
      <c r="F531" s="40" t="s">
        <v>53</v>
      </c>
      <c r="G531" s="40" t="s">
        <v>42</v>
      </c>
      <c r="H531" s="41" t="s">
        <v>638</v>
      </c>
      <c r="I531" s="65" t="s">
        <v>43</v>
      </c>
      <c r="J531" s="66" t="s">
        <v>47</v>
      </c>
      <c r="K531" s="67" t="s">
        <v>47</v>
      </c>
      <c r="L531" s="40">
        <v>1</v>
      </c>
      <c r="M531" s="40">
        <v>3</v>
      </c>
      <c r="N531" s="40">
        <v>2</v>
      </c>
      <c r="O531" s="40">
        <v>1</v>
      </c>
      <c r="P531" s="41">
        <v>1</v>
      </c>
      <c r="Q531" s="40">
        <v>3</v>
      </c>
      <c r="R531" s="40">
        <v>4</v>
      </c>
      <c r="S531" s="40">
        <v>3</v>
      </c>
      <c r="T531" s="40">
        <v>4</v>
      </c>
      <c r="U531" s="41">
        <v>3</v>
      </c>
      <c r="V531" s="40">
        <v>2</v>
      </c>
      <c r="W531" s="40">
        <v>4</v>
      </c>
      <c r="X531" s="40">
        <v>6</v>
      </c>
      <c r="Y531" s="41">
        <v>8</v>
      </c>
      <c r="Z531" s="40">
        <v>3</v>
      </c>
      <c r="AA531" s="40" t="s">
        <v>45</v>
      </c>
      <c r="AB531" s="40" t="s">
        <v>45</v>
      </c>
      <c r="AC531" s="40" t="s">
        <v>45</v>
      </c>
      <c r="AD531" s="40" t="s">
        <v>45</v>
      </c>
      <c r="AE531" s="40" t="s">
        <v>45</v>
      </c>
      <c r="AF531" s="40" t="s">
        <v>45</v>
      </c>
      <c r="AG531" s="41" t="s">
        <v>45</v>
      </c>
      <c r="AH531" s="40">
        <v>1</v>
      </c>
      <c r="AI531" s="40">
        <v>2</v>
      </c>
      <c r="AJ531" s="41">
        <v>1</v>
      </c>
      <c r="AK531" s="43" t="s">
        <v>45</v>
      </c>
      <c r="AL531" s="43" t="s">
        <v>47</v>
      </c>
      <c r="AM531" s="44">
        <f t="shared" si="57"/>
        <v>-1.8991620965662634</v>
      </c>
      <c r="AN531" s="44">
        <f t="shared" si="58"/>
        <v>-0.77076772085539913</v>
      </c>
      <c r="AO531" s="45">
        <f t="shared" si="59"/>
        <v>0</v>
      </c>
      <c r="AP531" s="46">
        <f t="shared" si="60"/>
        <v>1.35</v>
      </c>
      <c r="AQ531" s="44">
        <f>($AM$3*AM531+$AN$3*AN531+$AO$3*AO531+$AP$3*AP531)+$I$3*VLOOKUP(I531,COND!$A$2:$E$7,4,FALSE)+$J$3*VLOOKUP(J531,COND!$A$2:$C$7,2,FALSE)+$K$3*VLOOKUP(K531,COND!$A$2:$C$7,3,FALSE)+IF(AND($B$2&gt;0,$E531&lt;20),$B$2*25,0)</f>
        <v>37.510871140078585</v>
      </c>
      <c r="AR531" s="47">
        <f t="shared" si="61"/>
        <v>-1.4679356588009047</v>
      </c>
      <c r="AS531" s="45" t="str">
        <f t="shared" si="62"/>
        <v>C</v>
      </c>
      <c r="AT531" s="45">
        <f>RANK(Batters[[#This Row],[zScore]],Batters[[#All],[zScore]])</f>
        <v>527</v>
      </c>
      <c r="AU531" s="45"/>
      <c r="AV531" s="45"/>
      <c r="AW531" s="45" t="str">
        <f t="shared" si="63"/>
        <v>Unlikely</v>
      </c>
      <c r="AX531" s="45"/>
      <c r="AY531" s="45" t="str">
        <f>INDEX(Table5[[#All],[Ovr]],MATCH(Batters[[#This Row],[PID]],Table5[[#All],[PID]],0))</f>
        <v/>
      </c>
      <c r="AZ531" s="45" t="str">
        <f>INDEX(Table5[[#All],[Rnd]],MATCH(Batters[[#This Row],[PID]],Table5[[#All],[PID]],0))</f>
        <v/>
      </c>
      <c r="BA531" s="45" t="str">
        <f>INDEX(Table5[[#All],[Pick]],MATCH(Batters[[#This Row],[PID]],Table5[[#All],[PID]],0))</f>
        <v/>
      </c>
      <c r="BB531" s="45" t="str">
        <f>INDEX(Table5[[#All],[Team]],MATCH(Batters[[#This Row],[PID]],Table5[[#All],[PID]],0))</f>
        <v/>
      </c>
    </row>
    <row r="532" spans="1:54" ht="15" customHeight="1" x14ac:dyDescent="0.25">
      <c r="A532" s="40">
        <v>14060</v>
      </c>
      <c r="B532" s="40" t="s">
        <v>50</v>
      </c>
      <c r="C532" s="40" t="s">
        <v>1453</v>
      </c>
      <c r="D532" s="40" t="s">
        <v>733</v>
      </c>
      <c r="E532" s="40">
        <v>21</v>
      </c>
      <c r="F532" s="40" t="s">
        <v>53</v>
      </c>
      <c r="G532" s="40" t="s">
        <v>42</v>
      </c>
      <c r="H532" s="41" t="s">
        <v>638</v>
      </c>
      <c r="I532" s="65" t="s">
        <v>43</v>
      </c>
      <c r="J532" s="66" t="s">
        <v>44</v>
      </c>
      <c r="K532" s="67" t="s">
        <v>43</v>
      </c>
      <c r="L532" s="40">
        <v>1</v>
      </c>
      <c r="M532" s="40">
        <v>2</v>
      </c>
      <c r="N532" s="40">
        <v>2</v>
      </c>
      <c r="O532" s="40">
        <v>2</v>
      </c>
      <c r="P532" s="41">
        <v>1</v>
      </c>
      <c r="Q532" s="40">
        <v>3</v>
      </c>
      <c r="R532" s="40">
        <v>4</v>
      </c>
      <c r="S532" s="40">
        <v>4</v>
      </c>
      <c r="T532" s="40">
        <v>5</v>
      </c>
      <c r="U532" s="41">
        <v>3</v>
      </c>
      <c r="V532" s="40">
        <v>5</v>
      </c>
      <c r="W532" s="40">
        <v>9</v>
      </c>
      <c r="X532" s="40">
        <v>1</v>
      </c>
      <c r="Y532" s="41">
        <v>1</v>
      </c>
      <c r="Z532" s="40" t="s">
        <v>45</v>
      </c>
      <c r="AA532" s="40" t="s">
        <v>45</v>
      </c>
      <c r="AB532" s="40" t="s">
        <v>45</v>
      </c>
      <c r="AC532" s="40" t="s">
        <v>45</v>
      </c>
      <c r="AD532" s="40" t="s">
        <v>45</v>
      </c>
      <c r="AE532" s="40">
        <v>2</v>
      </c>
      <c r="AF532" s="40" t="s">
        <v>45</v>
      </c>
      <c r="AG532" s="41" t="s">
        <v>45</v>
      </c>
      <c r="AH532" s="40">
        <v>8</v>
      </c>
      <c r="AI532" s="40">
        <v>6</v>
      </c>
      <c r="AJ532" s="41">
        <v>5</v>
      </c>
      <c r="AK532" s="43" t="s">
        <v>45</v>
      </c>
      <c r="AL532" s="43" t="s">
        <v>635</v>
      </c>
      <c r="AM532" s="44">
        <f t="shared" si="57"/>
        <v>-1.8605124261753858</v>
      </c>
      <c r="AN532" s="44">
        <f t="shared" si="58"/>
        <v>-0.59799667682191648</v>
      </c>
      <c r="AO532" s="45">
        <f t="shared" si="59"/>
        <v>1</v>
      </c>
      <c r="AP532" s="46">
        <f t="shared" si="60"/>
        <v>0</v>
      </c>
      <c r="AQ532" s="44">
        <f>($AM$3*AM532+$AN$3*AN532+$AO$3*AO532+$AP$3*AP532)+$I$3*VLOOKUP(I532,COND!$A$2:$E$7,4,FALSE)+$J$3*VLOOKUP(J532,COND!$A$2:$C$7,2,FALSE)+$K$3*VLOOKUP(K532,COND!$A$2:$C$7,3,FALSE)+IF(AND($B$2&gt;0,$E532&lt;20),$B$2*25,0)</f>
        <v>37.50465530218613</v>
      </c>
      <c r="AR532" s="47">
        <f t="shared" si="61"/>
        <v>-1.4693137520768269</v>
      </c>
      <c r="AS532" s="45" t="str">
        <f t="shared" si="62"/>
        <v>LF</v>
      </c>
      <c r="AT532" s="45">
        <f>RANK(Batters[[#This Row],[zScore]],Batters[[#All],[zScore]])</f>
        <v>528</v>
      </c>
      <c r="AU532" s="45"/>
      <c r="AV532" s="45"/>
      <c r="AW532" s="45" t="str">
        <f t="shared" si="63"/>
        <v>Unlikely</v>
      </c>
      <c r="AX532" s="45"/>
      <c r="AY532" s="45" t="str">
        <f>INDEX(Table5[[#All],[Ovr]],MATCH(Batters[[#This Row],[PID]],Table5[[#All],[PID]],0))</f>
        <v/>
      </c>
      <c r="AZ532" s="45" t="str">
        <f>INDEX(Table5[[#All],[Rnd]],MATCH(Batters[[#This Row],[PID]],Table5[[#All],[PID]],0))</f>
        <v/>
      </c>
      <c r="BA532" s="45" t="str">
        <f>INDEX(Table5[[#All],[Pick]],MATCH(Batters[[#This Row],[PID]],Table5[[#All],[PID]],0))</f>
        <v/>
      </c>
      <c r="BB532" s="45" t="str">
        <f>INDEX(Table5[[#All],[Team]],MATCH(Batters[[#This Row],[PID]],Table5[[#All],[PID]],0))</f>
        <v/>
      </c>
    </row>
    <row r="533" spans="1:54" ht="15" customHeight="1" x14ac:dyDescent="0.25">
      <c r="A533" s="40">
        <v>17811</v>
      </c>
      <c r="B533" s="40" t="s">
        <v>86</v>
      </c>
      <c r="C533" s="40" t="s">
        <v>1578</v>
      </c>
      <c r="D533" s="40" t="s">
        <v>1579</v>
      </c>
      <c r="E533" s="40">
        <v>21</v>
      </c>
      <c r="F533" s="40" t="s">
        <v>42</v>
      </c>
      <c r="G533" s="40" t="s">
        <v>42</v>
      </c>
      <c r="H533" s="41" t="s">
        <v>638</v>
      </c>
      <c r="I533" s="65" t="s">
        <v>43</v>
      </c>
      <c r="J533" s="66" t="s">
        <v>47</v>
      </c>
      <c r="K533" s="67" t="s">
        <v>43</v>
      </c>
      <c r="L533" s="40">
        <v>3</v>
      </c>
      <c r="M533" s="40">
        <v>3</v>
      </c>
      <c r="N533" s="40">
        <v>2</v>
      </c>
      <c r="O533" s="40">
        <v>4</v>
      </c>
      <c r="P533" s="41">
        <v>1</v>
      </c>
      <c r="Q533" s="40">
        <v>3</v>
      </c>
      <c r="R533" s="40">
        <v>3</v>
      </c>
      <c r="S533" s="40">
        <v>3</v>
      </c>
      <c r="T533" s="40">
        <v>6</v>
      </c>
      <c r="U533" s="41">
        <v>3</v>
      </c>
      <c r="V533" s="40">
        <v>2</v>
      </c>
      <c r="W533" s="40">
        <v>3</v>
      </c>
      <c r="X533" s="40">
        <v>4</v>
      </c>
      <c r="Y533" s="41">
        <v>9</v>
      </c>
      <c r="Z533" s="40">
        <v>2</v>
      </c>
      <c r="AA533" s="40" t="s">
        <v>45</v>
      </c>
      <c r="AB533" s="40" t="s">
        <v>45</v>
      </c>
      <c r="AC533" s="40" t="s">
        <v>45</v>
      </c>
      <c r="AD533" s="40" t="s">
        <v>45</v>
      </c>
      <c r="AE533" s="40" t="s">
        <v>45</v>
      </c>
      <c r="AF533" s="40" t="s">
        <v>45</v>
      </c>
      <c r="AG533" s="41" t="s">
        <v>45</v>
      </c>
      <c r="AH533" s="40">
        <v>1</v>
      </c>
      <c r="AI533" s="40">
        <v>1</v>
      </c>
      <c r="AJ533" s="41">
        <v>1</v>
      </c>
      <c r="AK533" s="43" t="s">
        <v>45</v>
      </c>
      <c r="AL533" s="43" t="s">
        <v>47</v>
      </c>
      <c r="AM533" s="44">
        <f t="shared" si="57"/>
        <v>-0.98492177413217086</v>
      </c>
      <c r="AN533" s="44">
        <f t="shared" si="58"/>
        <v>-0.64240850045494047</v>
      </c>
      <c r="AO533" s="45">
        <f t="shared" si="59"/>
        <v>0</v>
      </c>
      <c r="AP533" s="46">
        <f t="shared" si="60"/>
        <v>0</v>
      </c>
      <c r="AQ533" s="44">
        <f>($AM$3*AM533+$AN$3*AN533+$AO$3*AO533+$AP$3*AP533)+$I$3*VLOOKUP(I533,COND!$A$2:$E$7,4,FALSE)+$J$3*VLOOKUP(J533,COND!$A$2:$C$7,2,FALSE)+$K$3*VLOOKUP(K533,COND!$A$2:$C$7,3,FALSE)+IF(AND($B$2&gt;0,$E533&lt;20),$B$2*25,0)</f>
        <v>37.492605817127497</v>
      </c>
      <c r="AR533" s="47">
        <f t="shared" si="61"/>
        <v>-1.4719852043612858</v>
      </c>
      <c r="AS533" s="45" t="str">
        <f t="shared" si="62"/>
        <v>C</v>
      </c>
      <c r="AT533" s="45">
        <f>RANK(Batters[[#This Row],[zScore]],Batters[[#All],[zScore]])</f>
        <v>529</v>
      </c>
      <c r="AU533" s="45"/>
      <c r="AV533" s="45"/>
      <c r="AW533" s="45" t="str">
        <f t="shared" si="63"/>
        <v>Unlikely</v>
      </c>
      <c r="AX533" s="45"/>
      <c r="AY533" s="45" t="str">
        <f>INDEX(Table5[[#All],[Ovr]],MATCH(Batters[[#This Row],[PID]],Table5[[#All],[PID]],0))</f>
        <v/>
      </c>
      <c r="AZ533" s="45" t="str">
        <f>INDEX(Table5[[#All],[Rnd]],MATCH(Batters[[#This Row],[PID]],Table5[[#All],[PID]],0))</f>
        <v/>
      </c>
      <c r="BA533" s="45" t="str">
        <f>INDEX(Table5[[#All],[Pick]],MATCH(Batters[[#This Row],[PID]],Table5[[#All],[PID]],0))</f>
        <v/>
      </c>
      <c r="BB533" s="45" t="str">
        <f>INDEX(Table5[[#All],[Team]],MATCH(Batters[[#This Row],[PID]],Table5[[#All],[PID]],0))</f>
        <v/>
      </c>
    </row>
    <row r="534" spans="1:54" ht="15" customHeight="1" x14ac:dyDescent="0.25">
      <c r="A534" s="40">
        <v>12899</v>
      </c>
      <c r="B534" s="40" t="s">
        <v>87</v>
      </c>
      <c r="C534" s="40" t="s">
        <v>704</v>
      </c>
      <c r="D534" s="40" t="s">
        <v>564</v>
      </c>
      <c r="E534" s="40">
        <v>22</v>
      </c>
      <c r="F534" s="40" t="s">
        <v>42</v>
      </c>
      <c r="G534" s="40" t="s">
        <v>42</v>
      </c>
      <c r="H534" s="41" t="s">
        <v>639</v>
      </c>
      <c r="I534" s="65" t="s">
        <v>47</v>
      </c>
      <c r="J534" s="66" t="s">
        <v>43</v>
      </c>
      <c r="K534" s="67" t="s">
        <v>43</v>
      </c>
      <c r="L534" s="40">
        <v>2</v>
      </c>
      <c r="M534" s="40">
        <v>3</v>
      </c>
      <c r="N534" s="40">
        <v>3</v>
      </c>
      <c r="O534" s="40">
        <v>3</v>
      </c>
      <c r="P534" s="41">
        <v>1</v>
      </c>
      <c r="Q534" s="40">
        <v>3</v>
      </c>
      <c r="R534" s="40">
        <v>4</v>
      </c>
      <c r="S534" s="40">
        <v>4</v>
      </c>
      <c r="T534" s="40">
        <v>5</v>
      </c>
      <c r="U534" s="41">
        <v>2</v>
      </c>
      <c r="V534" s="40">
        <v>3</v>
      </c>
      <c r="W534" s="40">
        <v>2</v>
      </c>
      <c r="X534" s="40">
        <v>5</v>
      </c>
      <c r="Y534" s="41">
        <v>4</v>
      </c>
      <c r="Z534" s="40" t="s">
        <v>45</v>
      </c>
      <c r="AA534" s="40">
        <v>1</v>
      </c>
      <c r="AB534" s="40" t="s">
        <v>45</v>
      </c>
      <c r="AC534" s="40" t="s">
        <v>45</v>
      </c>
      <c r="AD534" s="40" t="s">
        <v>45</v>
      </c>
      <c r="AE534" s="40" t="s">
        <v>45</v>
      </c>
      <c r="AF534" s="40" t="s">
        <v>45</v>
      </c>
      <c r="AG534" s="41" t="s">
        <v>45</v>
      </c>
      <c r="AH534" s="40">
        <v>1</v>
      </c>
      <c r="AI534" s="40">
        <v>4</v>
      </c>
      <c r="AJ534" s="41">
        <v>5</v>
      </c>
      <c r="AK534" s="43" t="s">
        <v>45</v>
      </c>
      <c r="AL534" s="43"/>
      <c r="AM534" s="44">
        <f t="shared" si="57"/>
        <v>-1.3141256663205254</v>
      </c>
      <c r="AN534" s="44">
        <f t="shared" si="58"/>
        <v>-0.6380130166389999</v>
      </c>
      <c r="AO534" s="45">
        <f t="shared" si="59"/>
        <v>0</v>
      </c>
      <c r="AP534" s="46">
        <f t="shared" si="60"/>
        <v>0</v>
      </c>
      <c r="AQ534" s="44">
        <f>($AM$3*AM534+$AN$3*AN534+$AO$3*AO534+$AP$3*AP534)+$I$3*VLOOKUP(I534,COND!$A$2:$E$7,4,FALSE)+$J$3*VLOOKUP(J534,COND!$A$2:$C$7,2,FALSE)+$K$3*VLOOKUP(K534,COND!$A$2:$C$7,3,FALSE)+IF(AND($B$2&gt;0,$E534&lt;20),$B$2*25,0)</f>
        <v>37.437431233699947</v>
      </c>
      <c r="AR534" s="47">
        <f t="shared" si="61"/>
        <v>-1.4842177824527458</v>
      </c>
      <c r="AS534" s="45" t="str">
        <f t="shared" si="62"/>
        <v>1B</v>
      </c>
      <c r="AT534" s="45">
        <f>RANK(Batters[[#This Row],[zScore]],Batters[[#All],[zScore]])</f>
        <v>530</v>
      </c>
      <c r="AU534" s="45"/>
      <c r="AV534" s="45"/>
      <c r="AW534" s="45" t="str">
        <f t="shared" si="63"/>
        <v>Unlikely</v>
      </c>
      <c r="AX534" s="45"/>
      <c r="AY534" s="64" t="str">
        <f>INDEX(Table5[[#All],[Ovr]],MATCH(Batters[[#This Row],[PID]],Table5[[#All],[PID]],0))</f>
        <v/>
      </c>
      <c r="AZ534" s="64" t="str">
        <f>INDEX(Table5[[#All],[Rnd]],MATCH(Batters[[#This Row],[PID]],Table5[[#All],[PID]],0))</f>
        <v/>
      </c>
      <c r="BA534" s="64" t="str">
        <f>INDEX(Table5[[#All],[Pick]],MATCH(Batters[[#This Row],[PID]],Table5[[#All],[PID]],0))</f>
        <v/>
      </c>
      <c r="BB534" s="64" t="str">
        <f>INDEX(Table5[[#All],[Team]],MATCH(Batters[[#This Row],[PID]],Table5[[#All],[PID]],0))</f>
        <v/>
      </c>
    </row>
    <row r="535" spans="1:54" ht="15" customHeight="1" x14ac:dyDescent="0.25">
      <c r="A535" s="40">
        <v>21043</v>
      </c>
      <c r="B535" s="40" t="s">
        <v>72</v>
      </c>
      <c r="C535" s="40" t="s">
        <v>128</v>
      </c>
      <c r="D535" s="40" t="s">
        <v>648</v>
      </c>
      <c r="E535" s="40">
        <v>16</v>
      </c>
      <c r="F535" s="40" t="s">
        <v>62</v>
      </c>
      <c r="G535" s="40" t="s">
        <v>42</v>
      </c>
      <c r="H535" s="41" t="s">
        <v>639</v>
      </c>
      <c r="I535" s="65" t="s">
        <v>43</v>
      </c>
      <c r="J535" s="66" t="s">
        <v>43</v>
      </c>
      <c r="K535" s="67" t="s">
        <v>43</v>
      </c>
      <c r="L535" s="40">
        <v>1</v>
      </c>
      <c r="M535" s="40">
        <v>1</v>
      </c>
      <c r="N535" s="40">
        <v>2</v>
      </c>
      <c r="O535" s="40">
        <v>2</v>
      </c>
      <c r="P535" s="41">
        <v>1</v>
      </c>
      <c r="Q535" s="40">
        <v>2</v>
      </c>
      <c r="R535" s="40">
        <v>4</v>
      </c>
      <c r="S535" s="40">
        <v>2</v>
      </c>
      <c r="T535" s="40">
        <v>5</v>
      </c>
      <c r="U535" s="41">
        <v>3</v>
      </c>
      <c r="V535" s="40">
        <v>6</v>
      </c>
      <c r="W535" s="40">
        <v>5</v>
      </c>
      <c r="X535" s="40">
        <v>1</v>
      </c>
      <c r="Y535" s="41">
        <v>1</v>
      </c>
      <c r="Z535" s="40" t="s">
        <v>45</v>
      </c>
      <c r="AA535" s="40" t="s">
        <v>45</v>
      </c>
      <c r="AB535" s="40" t="s">
        <v>45</v>
      </c>
      <c r="AC535" s="40" t="s">
        <v>45</v>
      </c>
      <c r="AD535" s="40">
        <v>1</v>
      </c>
      <c r="AE535" s="40" t="s">
        <v>45</v>
      </c>
      <c r="AF535" s="40" t="s">
        <v>45</v>
      </c>
      <c r="AG535" s="41" t="s">
        <v>45</v>
      </c>
      <c r="AH535" s="40">
        <v>9</v>
      </c>
      <c r="AI535" s="40">
        <v>9</v>
      </c>
      <c r="AJ535" s="41">
        <v>7</v>
      </c>
      <c r="AK535" s="43" t="s">
        <v>659</v>
      </c>
      <c r="AL535" s="43"/>
      <c r="AM535" s="44">
        <f t="shared" si="57"/>
        <v>-1.9115723057940897</v>
      </c>
      <c r="AN535" s="44">
        <f t="shared" si="58"/>
        <v>-1.0866755010723943</v>
      </c>
      <c r="AO535" s="45">
        <f t="shared" si="59"/>
        <v>4</v>
      </c>
      <c r="AP535" s="46">
        <f t="shared" si="60"/>
        <v>0</v>
      </c>
      <c r="AQ535" s="44">
        <f>($AM$3*AM535+$AN$3*AN535+$AO$3*AO535+$AP$3*AP535)+$I$3*VLOOKUP(I535,COND!$A$2:$E$7,4,FALSE)+$J$3*VLOOKUP(J535,COND!$A$2:$C$7,2,FALSE)+$K$3*VLOOKUP(K535,COND!$A$2:$C$7,3,FALSE)+IF(AND($B$2&gt;0,$E535&lt;20),$B$2*25,0)</f>
        <v>37.435403423218524</v>
      </c>
      <c r="AR535" s="47">
        <f t="shared" si="61"/>
        <v>-1.484667361743204</v>
      </c>
      <c r="AS535" s="45" t="str">
        <f t="shared" si="62"/>
        <v>SS</v>
      </c>
      <c r="AT535" s="45">
        <f>RANK(Batters[[#This Row],[zScore]],Batters[[#All],[zScore]])</f>
        <v>531</v>
      </c>
      <c r="AU535" s="45"/>
      <c r="AV535" s="45"/>
      <c r="AW535" s="45" t="str">
        <f t="shared" si="63"/>
        <v>Unlikely</v>
      </c>
      <c r="AX535" s="45"/>
      <c r="AY535" s="64" t="str">
        <f>INDEX(Table5[[#All],[Ovr]],MATCH(Batters[[#This Row],[PID]],Table5[[#All],[PID]],0))</f>
        <v/>
      </c>
      <c r="AZ535" s="64" t="str">
        <f>INDEX(Table5[[#All],[Rnd]],MATCH(Batters[[#This Row],[PID]],Table5[[#All],[PID]],0))</f>
        <v/>
      </c>
      <c r="BA535" s="64" t="str">
        <f>INDEX(Table5[[#All],[Pick]],MATCH(Batters[[#This Row],[PID]],Table5[[#All],[PID]],0))</f>
        <v/>
      </c>
      <c r="BB535" s="64" t="str">
        <f>INDEX(Table5[[#All],[Team]],MATCH(Batters[[#This Row],[PID]],Table5[[#All],[PID]],0))</f>
        <v/>
      </c>
    </row>
    <row r="536" spans="1:54" ht="15" customHeight="1" x14ac:dyDescent="0.25">
      <c r="A536" s="40">
        <v>9684</v>
      </c>
      <c r="B536" s="40" t="s">
        <v>86</v>
      </c>
      <c r="C536" s="40" t="s">
        <v>134</v>
      </c>
      <c r="D536" s="40" t="s">
        <v>786</v>
      </c>
      <c r="E536" s="40">
        <v>22</v>
      </c>
      <c r="F536" s="40" t="s">
        <v>62</v>
      </c>
      <c r="G536" s="40" t="s">
        <v>42</v>
      </c>
      <c r="H536" s="41" t="s">
        <v>638</v>
      </c>
      <c r="I536" s="65" t="s">
        <v>47</v>
      </c>
      <c r="J536" s="66" t="s">
        <v>43</v>
      </c>
      <c r="K536" s="67" t="s">
        <v>43</v>
      </c>
      <c r="L536" s="40">
        <v>2</v>
      </c>
      <c r="M536" s="40">
        <v>3</v>
      </c>
      <c r="N536" s="40">
        <v>3</v>
      </c>
      <c r="O536" s="40">
        <v>3</v>
      </c>
      <c r="P536" s="41">
        <v>2</v>
      </c>
      <c r="Q536" s="40">
        <v>3</v>
      </c>
      <c r="R536" s="40">
        <v>4</v>
      </c>
      <c r="S536" s="40">
        <v>3</v>
      </c>
      <c r="T536" s="40">
        <v>5</v>
      </c>
      <c r="U536" s="41">
        <v>4</v>
      </c>
      <c r="V536" s="40">
        <v>3</v>
      </c>
      <c r="W536" s="40">
        <v>3</v>
      </c>
      <c r="X536" s="40">
        <v>4</v>
      </c>
      <c r="Y536" s="41">
        <v>4</v>
      </c>
      <c r="Z536" s="40" t="s">
        <v>45</v>
      </c>
      <c r="AA536" s="40" t="s">
        <v>45</v>
      </c>
      <c r="AB536" s="40" t="s">
        <v>45</v>
      </c>
      <c r="AC536" s="40" t="s">
        <v>45</v>
      </c>
      <c r="AD536" s="40" t="s">
        <v>45</v>
      </c>
      <c r="AE536" s="40" t="s">
        <v>45</v>
      </c>
      <c r="AF536" s="40" t="s">
        <v>45</v>
      </c>
      <c r="AG536" s="41" t="s">
        <v>45</v>
      </c>
      <c r="AH536" s="40">
        <v>1</v>
      </c>
      <c r="AI536" s="40">
        <v>1</v>
      </c>
      <c r="AJ536" s="41">
        <v>1</v>
      </c>
      <c r="AK536" s="43" t="s">
        <v>45</v>
      </c>
      <c r="AL536" s="43" t="s">
        <v>47</v>
      </c>
      <c r="AM536" s="44">
        <f t="shared" si="57"/>
        <v>-1.2741093265034418</v>
      </c>
      <c r="AN536" s="44">
        <f t="shared" si="58"/>
        <v>-0.64104183102873458</v>
      </c>
      <c r="AO536" s="45">
        <f t="shared" si="59"/>
        <v>0</v>
      </c>
      <c r="AP536" s="46">
        <f t="shared" si="60"/>
        <v>0</v>
      </c>
      <c r="AQ536" s="44">
        <f>($AM$3*AM536+$AN$3*AN536+$AO$3*AO536+$AP$3*AP536)+$I$3*VLOOKUP(I536,COND!$A$2:$E$7,4,FALSE)+$J$3*VLOOKUP(J536,COND!$A$2:$C$7,2,FALSE)+$K$3*VLOOKUP(K536,COND!$A$2:$C$7,3,FALSE)+IF(AND($B$2&gt;0,$E536&lt;20),$B$2*25,0)</f>
        <v>37.405087095004838</v>
      </c>
      <c r="AR536" s="47">
        <f t="shared" si="61"/>
        <v>-1.4913886966275389</v>
      </c>
      <c r="AS536" s="45" t="str">
        <f t="shared" si="62"/>
        <v>DH</v>
      </c>
      <c r="AT536" s="45">
        <f>RANK(Batters[[#This Row],[zScore]],Batters[[#All],[zScore]])</f>
        <v>532</v>
      </c>
      <c r="AU536" s="45"/>
      <c r="AV536" s="45"/>
      <c r="AW536" s="45" t="str">
        <f t="shared" si="63"/>
        <v>Unlikely</v>
      </c>
      <c r="AX536" s="45"/>
      <c r="AY536" s="45" t="str">
        <f>INDEX(Table5[[#All],[Ovr]],MATCH(Batters[[#This Row],[PID]],Table5[[#All],[PID]],0))</f>
        <v/>
      </c>
      <c r="AZ536" s="45" t="str">
        <f>INDEX(Table5[[#All],[Rnd]],MATCH(Batters[[#This Row],[PID]],Table5[[#All],[PID]],0))</f>
        <v/>
      </c>
      <c r="BA536" s="45" t="str">
        <f>INDEX(Table5[[#All],[Pick]],MATCH(Batters[[#This Row],[PID]],Table5[[#All],[PID]],0))</f>
        <v/>
      </c>
      <c r="BB536" s="45" t="str">
        <f>INDEX(Table5[[#All],[Team]],MATCH(Batters[[#This Row],[PID]],Table5[[#All],[PID]],0))</f>
        <v/>
      </c>
    </row>
    <row r="537" spans="1:54" ht="15" customHeight="1" x14ac:dyDescent="0.25">
      <c r="A537" s="40">
        <v>10478</v>
      </c>
      <c r="B537" s="40" t="s">
        <v>86</v>
      </c>
      <c r="C537" s="40" t="s">
        <v>136</v>
      </c>
      <c r="D537" s="40" t="s">
        <v>964</v>
      </c>
      <c r="E537" s="40">
        <v>22</v>
      </c>
      <c r="F537" s="40" t="s">
        <v>42</v>
      </c>
      <c r="G537" s="40" t="s">
        <v>42</v>
      </c>
      <c r="H537" s="41" t="s">
        <v>638</v>
      </c>
      <c r="I537" s="65" t="s">
        <v>43</v>
      </c>
      <c r="J537" s="66" t="s">
        <v>44</v>
      </c>
      <c r="K537" s="67" t="s">
        <v>43</v>
      </c>
      <c r="L537" s="40">
        <v>2</v>
      </c>
      <c r="M537" s="40">
        <v>3</v>
      </c>
      <c r="N537" s="40">
        <v>3</v>
      </c>
      <c r="O537" s="40">
        <v>3</v>
      </c>
      <c r="P537" s="41">
        <v>1</v>
      </c>
      <c r="Q537" s="40">
        <v>3</v>
      </c>
      <c r="R537" s="40">
        <v>4</v>
      </c>
      <c r="S537" s="40">
        <v>4</v>
      </c>
      <c r="T537" s="40">
        <v>5</v>
      </c>
      <c r="U537" s="41">
        <v>3</v>
      </c>
      <c r="V537" s="40">
        <v>2</v>
      </c>
      <c r="W537" s="40">
        <v>3</v>
      </c>
      <c r="X537" s="40">
        <v>5</v>
      </c>
      <c r="Y537" s="41">
        <v>7</v>
      </c>
      <c r="Z537" s="40" t="s">
        <v>45</v>
      </c>
      <c r="AA537" s="40" t="s">
        <v>45</v>
      </c>
      <c r="AB537" s="40" t="s">
        <v>45</v>
      </c>
      <c r="AC537" s="40" t="s">
        <v>45</v>
      </c>
      <c r="AD537" s="40" t="s">
        <v>45</v>
      </c>
      <c r="AE537" s="40" t="s">
        <v>45</v>
      </c>
      <c r="AF537" s="40" t="s">
        <v>45</v>
      </c>
      <c r="AG537" s="41" t="s">
        <v>45</v>
      </c>
      <c r="AH537" s="40">
        <v>2</v>
      </c>
      <c r="AI537" s="40">
        <v>1</v>
      </c>
      <c r="AJ537" s="41">
        <v>1</v>
      </c>
      <c r="AK537" s="43" t="s">
        <v>45</v>
      </c>
      <c r="AL537" s="43" t="s">
        <v>47</v>
      </c>
      <c r="AM537" s="44">
        <f t="shared" si="57"/>
        <v>-1.3141256663205254</v>
      </c>
      <c r="AN537" s="44">
        <f t="shared" si="58"/>
        <v>-0.59799667682191648</v>
      </c>
      <c r="AO537" s="45">
        <f t="shared" si="59"/>
        <v>0</v>
      </c>
      <c r="AP537" s="46">
        <f t="shared" si="60"/>
        <v>0</v>
      </c>
      <c r="AQ537" s="44">
        <f>($AM$3*AM537+$AN$3*AN537+$AO$3*AO537+$AP$3*AP537)+$I$3*VLOOKUP(I537,COND!$A$2:$E$7,4,FALSE)+$J$3*VLOOKUP(J537,COND!$A$2:$C$7,2,FALSE)+$K$3*VLOOKUP(K537,COND!$A$2:$C$7,3,FALSE)+IF(AND($B$2&gt;0,$E537&lt;20),$B$2*25,0)</f>
        <v>37.392627311504953</v>
      </c>
      <c r="AR537" s="47">
        <f t="shared" si="61"/>
        <v>-1.4941511148497837</v>
      </c>
      <c r="AS537" s="45" t="str">
        <f t="shared" si="62"/>
        <v>DH</v>
      </c>
      <c r="AT537" s="45">
        <f>RANK(Batters[[#This Row],[zScore]],Batters[[#All],[zScore]])</f>
        <v>533</v>
      </c>
      <c r="AU537" s="45"/>
      <c r="AV537" s="45"/>
      <c r="AW537" s="45" t="str">
        <f t="shared" si="63"/>
        <v>Unlikely</v>
      </c>
      <c r="AX537" s="45"/>
      <c r="AY537" s="45" t="str">
        <f>INDEX(Table5[[#All],[Ovr]],MATCH(Batters[[#This Row],[PID]],Table5[[#All],[PID]],0))</f>
        <v/>
      </c>
      <c r="AZ537" s="45" t="str">
        <f>INDEX(Table5[[#All],[Rnd]],MATCH(Batters[[#This Row],[PID]],Table5[[#All],[PID]],0))</f>
        <v/>
      </c>
      <c r="BA537" s="45" t="str">
        <f>INDEX(Table5[[#All],[Pick]],MATCH(Batters[[#This Row],[PID]],Table5[[#All],[PID]],0))</f>
        <v/>
      </c>
      <c r="BB537" s="45" t="str">
        <f>INDEX(Table5[[#All],[Team]],MATCH(Batters[[#This Row],[PID]],Table5[[#All],[PID]],0))</f>
        <v/>
      </c>
    </row>
    <row r="538" spans="1:54" ht="15" customHeight="1" x14ac:dyDescent="0.25">
      <c r="A538" s="40">
        <v>7078</v>
      </c>
      <c r="B538" s="40" t="s">
        <v>86</v>
      </c>
      <c r="C538" s="40" t="s">
        <v>616</v>
      </c>
      <c r="D538" s="40" t="s">
        <v>723</v>
      </c>
      <c r="E538" s="40">
        <v>22</v>
      </c>
      <c r="F538" s="40" t="s">
        <v>62</v>
      </c>
      <c r="G538" s="40" t="s">
        <v>42</v>
      </c>
      <c r="H538" s="41" t="s">
        <v>638</v>
      </c>
      <c r="I538" s="65" t="s">
        <v>43</v>
      </c>
      <c r="J538" s="66" t="s">
        <v>44</v>
      </c>
      <c r="K538" s="67" t="s">
        <v>43</v>
      </c>
      <c r="L538" s="40">
        <v>2</v>
      </c>
      <c r="M538" s="40">
        <v>3</v>
      </c>
      <c r="N538" s="40">
        <v>3</v>
      </c>
      <c r="O538" s="40">
        <v>4</v>
      </c>
      <c r="P538" s="41">
        <v>1</v>
      </c>
      <c r="Q538" s="40">
        <v>3</v>
      </c>
      <c r="R538" s="40">
        <v>3</v>
      </c>
      <c r="S538" s="40">
        <v>4</v>
      </c>
      <c r="T538" s="40">
        <v>6</v>
      </c>
      <c r="U538" s="41">
        <v>2</v>
      </c>
      <c r="V538" s="40">
        <v>2</v>
      </c>
      <c r="W538" s="40">
        <v>2</v>
      </c>
      <c r="X538" s="40">
        <v>4</v>
      </c>
      <c r="Y538" s="41">
        <v>8</v>
      </c>
      <c r="Z538" s="40">
        <v>2</v>
      </c>
      <c r="AA538" s="40" t="s">
        <v>45</v>
      </c>
      <c r="AB538" s="40" t="s">
        <v>45</v>
      </c>
      <c r="AC538" s="40" t="s">
        <v>45</v>
      </c>
      <c r="AD538" s="40" t="s">
        <v>45</v>
      </c>
      <c r="AE538" s="40" t="s">
        <v>45</v>
      </c>
      <c r="AF538" s="40" t="s">
        <v>45</v>
      </c>
      <c r="AG538" s="41" t="s">
        <v>45</v>
      </c>
      <c r="AH538" s="40">
        <v>2</v>
      </c>
      <c r="AI538" s="40">
        <v>1</v>
      </c>
      <c r="AJ538" s="41">
        <v>1</v>
      </c>
      <c r="AK538" s="43" t="s">
        <v>45</v>
      </c>
      <c r="AL538" s="43" t="s">
        <v>47</v>
      </c>
      <c r="AM538" s="44">
        <f t="shared" si="57"/>
        <v>-1.2244161163109442</v>
      </c>
      <c r="AN538" s="44">
        <f t="shared" si="58"/>
        <v>-0.59936334624812238</v>
      </c>
      <c r="AO538" s="45">
        <f t="shared" si="59"/>
        <v>0</v>
      </c>
      <c r="AP538" s="46">
        <f t="shared" si="60"/>
        <v>0</v>
      </c>
      <c r="AQ538" s="44">
        <f>($AM$3*AM538+$AN$3*AN538+$AO$3*AO538+$AP$3*AP538)+$I$3*VLOOKUP(I538,COND!$A$2:$E$7,4,FALSE)+$J$3*VLOOKUP(J538,COND!$A$2:$C$7,2,FALSE)+$K$3*VLOOKUP(K538,COND!$A$2:$C$7,3,FALSE)+IF(AND($B$2&gt;0,$E538&lt;20),$B$2*25,0)</f>
        <v>37.385198233391435</v>
      </c>
      <c r="AR538" s="47">
        <f t="shared" si="61"/>
        <v>-1.4957981916834582</v>
      </c>
      <c r="AS538" s="45" t="str">
        <f t="shared" si="62"/>
        <v>C</v>
      </c>
      <c r="AT538" s="45">
        <f>RANK(Batters[[#This Row],[zScore]],Batters[[#All],[zScore]])</f>
        <v>534</v>
      </c>
      <c r="AU538" s="45"/>
      <c r="AV538" s="45"/>
      <c r="AW538" s="45" t="str">
        <f t="shared" si="63"/>
        <v>Unlikely</v>
      </c>
      <c r="AX538" s="45"/>
      <c r="AY538" s="45" t="str">
        <f>INDEX(Table5[[#All],[Ovr]],MATCH(Batters[[#This Row],[PID]],Table5[[#All],[PID]],0))</f>
        <v/>
      </c>
      <c r="AZ538" s="45" t="str">
        <f>INDEX(Table5[[#All],[Rnd]],MATCH(Batters[[#This Row],[PID]],Table5[[#All],[PID]],0))</f>
        <v/>
      </c>
      <c r="BA538" s="45" t="str">
        <f>INDEX(Table5[[#All],[Pick]],MATCH(Batters[[#This Row],[PID]],Table5[[#All],[PID]],0))</f>
        <v/>
      </c>
      <c r="BB538" s="45" t="str">
        <f>INDEX(Table5[[#All],[Team]],MATCH(Batters[[#This Row],[PID]],Table5[[#All],[PID]],0))</f>
        <v/>
      </c>
    </row>
    <row r="539" spans="1:54" ht="15" customHeight="1" x14ac:dyDescent="0.25">
      <c r="A539" s="40">
        <v>17569</v>
      </c>
      <c r="B539" s="40" t="s">
        <v>86</v>
      </c>
      <c r="C539" s="40" t="s">
        <v>142</v>
      </c>
      <c r="D539" s="40" t="s">
        <v>1647</v>
      </c>
      <c r="E539" s="40">
        <v>18</v>
      </c>
      <c r="F539" s="40" t="s">
        <v>42</v>
      </c>
      <c r="G539" s="40" t="s">
        <v>42</v>
      </c>
      <c r="H539" s="41" t="s">
        <v>638</v>
      </c>
      <c r="I539" s="65" t="s">
        <v>43</v>
      </c>
      <c r="J539" s="66" t="s">
        <v>43</v>
      </c>
      <c r="K539" s="67" t="s">
        <v>44</v>
      </c>
      <c r="L539" s="40">
        <v>1</v>
      </c>
      <c r="M539" s="40">
        <v>1</v>
      </c>
      <c r="N539" s="40">
        <v>2</v>
      </c>
      <c r="O539" s="40">
        <v>1</v>
      </c>
      <c r="P539" s="41">
        <v>1</v>
      </c>
      <c r="Q539" s="40">
        <v>2</v>
      </c>
      <c r="R539" s="40">
        <v>4</v>
      </c>
      <c r="S539" s="40">
        <v>3</v>
      </c>
      <c r="T539" s="40">
        <v>4</v>
      </c>
      <c r="U539" s="41">
        <v>3</v>
      </c>
      <c r="V539" s="40">
        <v>6</v>
      </c>
      <c r="W539" s="40">
        <v>6</v>
      </c>
      <c r="X539" s="40">
        <v>7</v>
      </c>
      <c r="Y539" s="41">
        <v>5</v>
      </c>
      <c r="Z539" s="40">
        <v>2</v>
      </c>
      <c r="AA539" s="40" t="s">
        <v>45</v>
      </c>
      <c r="AB539" s="40" t="s">
        <v>45</v>
      </c>
      <c r="AC539" s="40" t="s">
        <v>45</v>
      </c>
      <c r="AD539" s="40" t="s">
        <v>45</v>
      </c>
      <c r="AE539" s="40" t="s">
        <v>45</v>
      </c>
      <c r="AF539" s="40" t="s">
        <v>45</v>
      </c>
      <c r="AG539" s="41" t="s">
        <v>45</v>
      </c>
      <c r="AH539" s="40">
        <v>1</v>
      </c>
      <c r="AI539" s="40">
        <v>2</v>
      </c>
      <c r="AJ539" s="41">
        <v>3</v>
      </c>
      <c r="AK539" s="43" t="s">
        <v>654</v>
      </c>
      <c r="AL539" s="43"/>
      <c r="AM539" s="44">
        <f t="shared" si="57"/>
        <v>-2.0012818558036707</v>
      </c>
      <c r="AN539" s="44">
        <f t="shared" si="58"/>
        <v>-1.0933235570580737</v>
      </c>
      <c r="AO539" s="45">
        <f t="shared" si="59"/>
        <v>0</v>
      </c>
      <c r="AP539" s="46">
        <f t="shared" si="60"/>
        <v>1</v>
      </c>
      <c r="AQ539" s="44">
        <f>($AM$3*AM539+$AN$3*AN539+$AO$3*AO539+$AP$3*AP539)+$I$3*VLOOKUP(I539,COND!$A$2:$E$7,4,FALSE)+$J$3*VLOOKUP(J539,COND!$A$2:$C$7,2,FALSE)+$K$3*VLOOKUP(K539,COND!$A$2:$C$7,3,FALSE)+IF(AND($B$2&gt;0,$E539&lt;20),$B$2*25,0)</f>
        <v>37.379989129722745</v>
      </c>
      <c r="AR539" s="47">
        <f t="shared" si="61"/>
        <v>-1.4969530851770798</v>
      </c>
      <c r="AS539" s="45" t="str">
        <f t="shared" si="62"/>
        <v>C</v>
      </c>
      <c r="AT539" s="45">
        <f>RANK(Batters[[#This Row],[zScore]],Batters[[#All],[zScore]])</f>
        <v>535</v>
      </c>
      <c r="AU539" s="45"/>
      <c r="AV539" s="45"/>
      <c r="AW539" s="45" t="str">
        <f t="shared" si="63"/>
        <v>Unlikely</v>
      </c>
      <c r="AX539" s="45"/>
      <c r="AY539" s="64" t="str">
        <f>INDEX(Table5[[#All],[Ovr]],MATCH(Batters[[#This Row],[PID]],Table5[[#All],[PID]],0))</f>
        <v/>
      </c>
      <c r="AZ539" s="64" t="str">
        <f>INDEX(Table5[[#All],[Rnd]],MATCH(Batters[[#This Row],[PID]],Table5[[#All],[PID]],0))</f>
        <v/>
      </c>
      <c r="BA539" s="64" t="str">
        <f>INDEX(Table5[[#All],[Pick]],MATCH(Batters[[#This Row],[PID]],Table5[[#All],[PID]],0))</f>
        <v/>
      </c>
      <c r="BB539" s="64" t="str">
        <f>INDEX(Table5[[#All],[Team]],MATCH(Batters[[#This Row],[PID]],Table5[[#All],[PID]],0))</f>
        <v/>
      </c>
    </row>
    <row r="540" spans="1:54" ht="15" customHeight="1" x14ac:dyDescent="0.25">
      <c r="A540" s="40">
        <v>20788</v>
      </c>
      <c r="B540" s="40" t="s">
        <v>86</v>
      </c>
      <c r="C540" s="40" t="s">
        <v>1429</v>
      </c>
      <c r="D540" s="40" t="s">
        <v>1471</v>
      </c>
      <c r="E540" s="40">
        <v>17</v>
      </c>
      <c r="F540" s="40" t="s">
        <v>42</v>
      </c>
      <c r="G540" s="40" t="s">
        <v>42</v>
      </c>
      <c r="H540" s="41" t="s">
        <v>638</v>
      </c>
      <c r="I540" s="65" t="s">
        <v>43</v>
      </c>
      <c r="J540" s="66" t="s">
        <v>43</v>
      </c>
      <c r="K540" s="67" t="s">
        <v>43</v>
      </c>
      <c r="L540" s="40">
        <v>1</v>
      </c>
      <c r="M540" s="40">
        <v>2</v>
      </c>
      <c r="N540" s="40">
        <v>2</v>
      </c>
      <c r="O540" s="40">
        <v>2</v>
      </c>
      <c r="P540" s="41">
        <v>1</v>
      </c>
      <c r="Q540" s="40">
        <v>2</v>
      </c>
      <c r="R540" s="40">
        <v>4</v>
      </c>
      <c r="S540" s="40">
        <v>2</v>
      </c>
      <c r="T540" s="40">
        <v>6</v>
      </c>
      <c r="U540" s="41">
        <v>2</v>
      </c>
      <c r="V540" s="40">
        <v>3</v>
      </c>
      <c r="W540" s="40">
        <v>3</v>
      </c>
      <c r="X540" s="40">
        <v>5</v>
      </c>
      <c r="Y540" s="41">
        <v>7</v>
      </c>
      <c r="Z540" s="40" t="s">
        <v>45</v>
      </c>
      <c r="AA540" s="40" t="s">
        <v>45</v>
      </c>
      <c r="AB540" s="40" t="s">
        <v>45</v>
      </c>
      <c r="AC540" s="40" t="s">
        <v>45</v>
      </c>
      <c r="AD540" s="40" t="s">
        <v>45</v>
      </c>
      <c r="AE540" s="40" t="s">
        <v>45</v>
      </c>
      <c r="AF540" s="40" t="s">
        <v>45</v>
      </c>
      <c r="AG540" s="41" t="s">
        <v>45</v>
      </c>
      <c r="AH540" s="40">
        <v>2</v>
      </c>
      <c r="AI540" s="40">
        <v>2</v>
      </c>
      <c r="AJ540" s="41">
        <v>2</v>
      </c>
      <c r="AK540" s="43" t="s">
        <v>670</v>
      </c>
      <c r="AL540" s="43" t="s">
        <v>47</v>
      </c>
      <c r="AM540" s="44">
        <f t="shared" si="57"/>
        <v>-1.8605124261753858</v>
      </c>
      <c r="AN540" s="44">
        <f t="shared" si="58"/>
        <v>-1.0369822908798967</v>
      </c>
      <c r="AO540" s="45">
        <f t="shared" si="59"/>
        <v>0</v>
      </c>
      <c r="AP540" s="46">
        <f t="shared" si="60"/>
        <v>0</v>
      </c>
      <c r="AQ540" s="44">
        <f>($AM$3*AM540+$AN$3*AN540+$AO$3*AO540+$AP$3*AP540)+$I$3*VLOOKUP(I540,COND!$A$2:$E$7,4,FALSE)+$J$3*VLOOKUP(J540,COND!$A$2:$C$7,2,FALSE)+$K$3*VLOOKUP(K540,COND!$A$2:$C$7,3,FALSE)+IF(AND($B$2&gt;0,$E540&lt;20),$B$2*25,0)</f>
        <v>37.3701612668237</v>
      </c>
      <c r="AR540" s="47">
        <f t="shared" si="61"/>
        <v>-1.4991319888119858</v>
      </c>
      <c r="AS540" s="45" t="str">
        <f t="shared" si="62"/>
        <v>DH</v>
      </c>
      <c r="AT540" s="45">
        <f>RANK(Batters[[#This Row],[zScore]],Batters[[#All],[zScore]])</f>
        <v>536</v>
      </c>
      <c r="AU540" s="45"/>
      <c r="AV540" s="45"/>
      <c r="AW540" s="45" t="str">
        <f t="shared" si="63"/>
        <v>Unlikely</v>
      </c>
      <c r="AX540" s="45"/>
      <c r="AY540" s="45" t="str">
        <f>INDEX(Table5[[#All],[Ovr]],MATCH(Batters[[#This Row],[PID]],Table5[[#All],[PID]],0))</f>
        <v/>
      </c>
      <c r="AZ540" s="45" t="str">
        <f>INDEX(Table5[[#All],[Rnd]],MATCH(Batters[[#This Row],[PID]],Table5[[#All],[PID]],0))</f>
        <v/>
      </c>
      <c r="BA540" s="45" t="str">
        <f>INDEX(Table5[[#All],[Pick]],MATCH(Batters[[#This Row],[PID]],Table5[[#All],[PID]],0))</f>
        <v/>
      </c>
      <c r="BB540" s="45" t="str">
        <f>INDEX(Table5[[#All],[Team]],MATCH(Batters[[#This Row],[PID]],Table5[[#All],[PID]],0))</f>
        <v/>
      </c>
    </row>
    <row r="541" spans="1:54" ht="15" customHeight="1" x14ac:dyDescent="0.25">
      <c r="A541" s="40">
        <v>18177</v>
      </c>
      <c r="B541" s="40" t="s">
        <v>87</v>
      </c>
      <c r="C541" s="40" t="s">
        <v>650</v>
      </c>
      <c r="D541" s="40" t="s">
        <v>734</v>
      </c>
      <c r="E541" s="40">
        <v>18</v>
      </c>
      <c r="F541" s="40" t="s">
        <v>42</v>
      </c>
      <c r="G541" s="40" t="s">
        <v>42</v>
      </c>
      <c r="H541" s="41" t="s">
        <v>647</v>
      </c>
      <c r="I541" s="65" t="s">
        <v>43</v>
      </c>
      <c r="J541" s="66" t="s">
        <v>44</v>
      </c>
      <c r="K541" s="67" t="s">
        <v>43</v>
      </c>
      <c r="L541" s="40">
        <v>1</v>
      </c>
      <c r="M541" s="40">
        <v>1</v>
      </c>
      <c r="N541" s="40">
        <v>2</v>
      </c>
      <c r="O541" s="40">
        <v>1</v>
      </c>
      <c r="P541" s="41">
        <v>1</v>
      </c>
      <c r="Q541" s="40">
        <v>2</v>
      </c>
      <c r="R541" s="40">
        <v>3</v>
      </c>
      <c r="S541" s="40">
        <v>3</v>
      </c>
      <c r="T541" s="40">
        <v>5</v>
      </c>
      <c r="U541" s="41">
        <v>4</v>
      </c>
      <c r="V541" s="40">
        <v>4</v>
      </c>
      <c r="W541" s="40">
        <v>3</v>
      </c>
      <c r="X541" s="40">
        <v>4</v>
      </c>
      <c r="Y541" s="41">
        <v>2</v>
      </c>
      <c r="Z541" s="40" t="s">
        <v>45</v>
      </c>
      <c r="AA541" s="40">
        <v>1</v>
      </c>
      <c r="AB541" s="40" t="s">
        <v>45</v>
      </c>
      <c r="AC541" s="40" t="s">
        <v>45</v>
      </c>
      <c r="AD541" s="40" t="s">
        <v>45</v>
      </c>
      <c r="AE541" s="40" t="s">
        <v>45</v>
      </c>
      <c r="AF541" s="40" t="s">
        <v>45</v>
      </c>
      <c r="AG541" s="41" t="s">
        <v>45</v>
      </c>
      <c r="AH541" s="40">
        <v>1</v>
      </c>
      <c r="AI541" s="40">
        <v>1</v>
      </c>
      <c r="AJ541" s="41">
        <v>1</v>
      </c>
      <c r="AK541" s="43" t="s">
        <v>573</v>
      </c>
      <c r="AL541" s="43"/>
      <c r="AM541" s="44">
        <f t="shared" si="57"/>
        <v>-2.0012818558036707</v>
      </c>
      <c r="AN541" s="44">
        <f t="shared" si="58"/>
        <v>-1.0146575468501129</v>
      </c>
      <c r="AO541" s="45">
        <f t="shared" si="59"/>
        <v>0</v>
      </c>
      <c r="AP541" s="46">
        <f t="shared" si="60"/>
        <v>0</v>
      </c>
      <c r="AQ541" s="44">
        <f>($AM$3*AM541+$AN$3*AN541+$AO$3*AO541+$AP$3*AP541)+$I$3*VLOOKUP(I541,COND!$A$2:$E$7,4,FALSE)+$J$3*VLOOKUP(J541,COND!$A$2:$C$7,2,FALSE)+$K$3*VLOOKUP(K541,COND!$A$2:$C$7,3,FALSE)+IF(AND($B$2&gt;0,$E541&lt;20),$B$2*25,0)</f>
        <v>37.323981252218275</v>
      </c>
      <c r="AR541" s="47">
        <f t="shared" si="61"/>
        <v>-1.5093704101979379</v>
      </c>
      <c r="AS541" s="45" t="str">
        <f t="shared" si="62"/>
        <v>1B</v>
      </c>
      <c r="AT541" s="45">
        <f>RANK(Batters[[#This Row],[zScore]],Batters[[#All],[zScore]])</f>
        <v>537</v>
      </c>
      <c r="AU541" s="45"/>
      <c r="AV541" s="45"/>
      <c r="AW541" s="45" t="str">
        <f t="shared" si="63"/>
        <v>Unlikely</v>
      </c>
      <c r="AX541" s="45"/>
      <c r="AY541" s="64" t="str">
        <f>INDEX(Table5[[#All],[Ovr]],MATCH(Batters[[#This Row],[PID]],Table5[[#All],[PID]],0))</f>
        <v/>
      </c>
      <c r="AZ541" s="64" t="str">
        <f>INDEX(Table5[[#All],[Rnd]],MATCH(Batters[[#This Row],[PID]],Table5[[#All],[PID]],0))</f>
        <v/>
      </c>
      <c r="BA541" s="64" t="str">
        <f>INDEX(Table5[[#All],[Pick]],MATCH(Batters[[#This Row],[PID]],Table5[[#All],[PID]],0))</f>
        <v/>
      </c>
      <c r="BB541" s="64" t="str">
        <f>INDEX(Table5[[#All],[Team]],MATCH(Batters[[#This Row],[PID]],Table5[[#All],[PID]],0))</f>
        <v/>
      </c>
    </row>
    <row r="542" spans="1:54" ht="15" customHeight="1" x14ac:dyDescent="0.25">
      <c r="A542" s="40">
        <v>18249</v>
      </c>
      <c r="B542" s="40" t="s">
        <v>86</v>
      </c>
      <c r="C542" s="40" t="s">
        <v>130</v>
      </c>
      <c r="D542" s="40" t="s">
        <v>1674</v>
      </c>
      <c r="E542" s="40">
        <v>18</v>
      </c>
      <c r="F542" s="40" t="s">
        <v>42</v>
      </c>
      <c r="G542" s="40" t="s">
        <v>42</v>
      </c>
      <c r="H542" s="41" t="s">
        <v>639</v>
      </c>
      <c r="I542" s="65" t="s">
        <v>43</v>
      </c>
      <c r="J542" s="66" t="s">
        <v>43</v>
      </c>
      <c r="K542" s="67" t="s">
        <v>43</v>
      </c>
      <c r="L542" s="40">
        <v>1</v>
      </c>
      <c r="M542" s="40">
        <v>2</v>
      </c>
      <c r="N542" s="40">
        <v>2</v>
      </c>
      <c r="O542" s="40">
        <v>2</v>
      </c>
      <c r="P542" s="41">
        <v>1</v>
      </c>
      <c r="Q542" s="40">
        <v>2</v>
      </c>
      <c r="R542" s="40">
        <v>4</v>
      </c>
      <c r="S542" s="40">
        <v>3</v>
      </c>
      <c r="T542" s="40">
        <v>5</v>
      </c>
      <c r="U542" s="41">
        <v>2</v>
      </c>
      <c r="V542" s="40">
        <v>2</v>
      </c>
      <c r="W542" s="40">
        <v>2</v>
      </c>
      <c r="X542" s="40">
        <v>3</v>
      </c>
      <c r="Y542" s="41">
        <v>9</v>
      </c>
      <c r="Z542" s="40">
        <v>2</v>
      </c>
      <c r="AA542" s="40" t="s">
        <v>45</v>
      </c>
      <c r="AB542" s="40" t="s">
        <v>45</v>
      </c>
      <c r="AC542" s="40" t="s">
        <v>45</v>
      </c>
      <c r="AD542" s="40" t="s">
        <v>45</v>
      </c>
      <c r="AE542" s="40" t="s">
        <v>45</v>
      </c>
      <c r="AF542" s="40" t="s">
        <v>45</v>
      </c>
      <c r="AG542" s="41" t="s">
        <v>45</v>
      </c>
      <c r="AH542" s="40">
        <v>1</v>
      </c>
      <c r="AI542" s="40">
        <v>5</v>
      </c>
      <c r="AJ542" s="41">
        <v>4</v>
      </c>
      <c r="AK542" s="43" t="s">
        <v>659</v>
      </c>
      <c r="AL542" s="43"/>
      <c r="AM542" s="44">
        <f t="shared" si="57"/>
        <v>-1.8605124261753858</v>
      </c>
      <c r="AN542" s="44">
        <f t="shared" si="58"/>
        <v>-1.0436303468655763</v>
      </c>
      <c r="AO542" s="45">
        <f t="shared" si="59"/>
        <v>0</v>
      </c>
      <c r="AP542" s="46">
        <f t="shared" si="60"/>
        <v>0</v>
      </c>
      <c r="AQ542" s="44">
        <f>($AM$3*AM542+$AN$3*AN542+$AO$3*AO542+$AP$3*AP542)+$I$3*VLOOKUP(I542,COND!$A$2:$E$7,4,FALSE)+$J$3*VLOOKUP(J542,COND!$A$2:$C$7,2,FALSE)+$K$3*VLOOKUP(K542,COND!$A$2:$C$7,3,FALSE)+IF(AND($B$2&gt;0,$E542&lt;20),$B$2*25,0)</f>
        <v>37.290384594995544</v>
      </c>
      <c r="AR542" s="47">
        <f t="shared" si="61"/>
        <v>-1.5168190161965442</v>
      </c>
      <c r="AS542" s="45" t="str">
        <f t="shared" si="62"/>
        <v>C</v>
      </c>
      <c r="AT542" s="45">
        <f>RANK(Batters[[#This Row],[zScore]],Batters[[#All],[zScore]])</f>
        <v>538</v>
      </c>
      <c r="AU542" s="45"/>
      <c r="AV542" s="45"/>
      <c r="AW542" s="45" t="str">
        <f t="shared" si="63"/>
        <v>Unlikely</v>
      </c>
      <c r="AX542" s="45"/>
      <c r="AY542" s="64" t="str">
        <f>INDEX(Table5[[#All],[Ovr]],MATCH(Batters[[#This Row],[PID]],Table5[[#All],[PID]],0))</f>
        <v/>
      </c>
      <c r="AZ542" s="64" t="str">
        <f>INDEX(Table5[[#All],[Rnd]],MATCH(Batters[[#This Row],[PID]],Table5[[#All],[PID]],0))</f>
        <v/>
      </c>
      <c r="BA542" s="64" t="str">
        <f>INDEX(Table5[[#All],[Pick]],MATCH(Batters[[#This Row],[PID]],Table5[[#All],[PID]],0))</f>
        <v/>
      </c>
      <c r="BB542" s="64" t="str">
        <f>INDEX(Table5[[#All],[Team]],MATCH(Batters[[#This Row],[PID]],Table5[[#All],[PID]],0))</f>
        <v/>
      </c>
    </row>
    <row r="543" spans="1:54" ht="15" customHeight="1" x14ac:dyDescent="0.25">
      <c r="A543" s="40">
        <v>9429</v>
      </c>
      <c r="B543" s="40" t="s">
        <v>87</v>
      </c>
      <c r="C543" s="40" t="s">
        <v>139</v>
      </c>
      <c r="D543" s="40" t="s">
        <v>982</v>
      </c>
      <c r="E543" s="40">
        <v>22</v>
      </c>
      <c r="F543" s="40" t="s">
        <v>62</v>
      </c>
      <c r="G543" s="40" t="s">
        <v>42</v>
      </c>
      <c r="H543" s="41" t="s">
        <v>639</v>
      </c>
      <c r="I543" s="65" t="s">
        <v>43</v>
      </c>
      <c r="J543" s="66" t="s">
        <v>47</v>
      </c>
      <c r="K543" s="67" t="s">
        <v>47</v>
      </c>
      <c r="L543" s="40">
        <v>2</v>
      </c>
      <c r="M543" s="40">
        <v>3</v>
      </c>
      <c r="N543" s="40">
        <v>3</v>
      </c>
      <c r="O543" s="40">
        <v>4</v>
      </c>
      <c r="P543" s="41">
        <v>1</v>
      </c>
      <c r="Q543" s="40">
        <v>3</v>
      </c>
      <c r="R543" s="40">
        <v>3</v>
      </c>
      <c r="S543" s="40">
        <v>3</v>
      </c>
      <c r="T543" s="40">
        <v>6</v>
      </c>
      <c r="U543" s="41">
        <v>2</v>
      </c>
      <c r="V543" s="40">
        <v>2</v>
      </c>
      <c r="W543" s="40">
        <v>1</v>
      </c>
      <c r="X543" s="40">
        <v>2</v>
      </c>
      <c r="Y543" s="41">
        <v>5</v>
      </c>
      <c r="Z543" s="40" t="s">
        <v>45</v>
      </c>
      <c r="AA543" s="40">
        <v>1</v>
      </c>
      <c r="AB543" s="40" t="s">
        <v>45</v>
      </c>
      <c r="AC543" s="40" t="s">
        <v>45</v>
      </c>
      <c r="AD543" s="40" t="s">
        <v>45</v>
      </c>
      <c r="AE543" s="40" t="s">
        <v>45</v>
      </c>
      <c r="AF543" s="40" t="s">
        <v>45</v>
      </c>
      <c r="AG543" s="41" t="s">
        <v>45</v>
      </c>
      <c r="AH543" s="40">
        <v>1</v>
      </c>
      <c r="AI543" s="40">
        <v>1</v>
      </c>
      <c r="AJ543" s="41">
        <v>1</v>
      </c>
      <c r="AK543" s="43" t="s">
        <v>45</v>
      </c>
      <c r="AL543" s="43"/>
      <c r="AM543" s="44">
        <f t="shared" si="57"/>
        <v>-1.2244161163109442</v>
      </c>
      <c r="AN543" s="44">
        <f t="shared" si="58"/>
        <v>-0.68242484027202388</v>
      </c>
      <c r="AO543" s="45">
        <f t="shared" si="59"/>
        <v>0</v>
      </c>
      <c r="AP543" s="46">
        <f t="shared" si="60"/>
        <v>0</v>
      </c>
      <c r="AQ543" s="44">
        <f>($AM$3*AM543+$AN$3*AN543+$AO$3*AO543+$AP$3*AP543)+$I$3*VLOOKUP(I543,COND!$A$2:$E$7,4,FALSE)+$J$3*VLOOKUP(J543,COND!$A$2:$C$7,2,FALSE)+$K$3*VLOOKUP(K543,COND!$A$2:$C$7,3,FALSE)+IF(AND($B$2&gt;0,$E543&lt;20),$B$2*25,0)</f>
        <v>37.288460305104621</v>
      </c>
      <c r="AR543" s="47">
        <f t="shared" si="61"/>
        <v>-1.5172456442723543</v>
      </c>
      <c r="AS543" s="45" t="str">
        <f t="shared" si="62"/>
        <v>1B</v>
      </c>
      <c r="AT543" s="45">
        <f>RANK(Batters[[#This Row],[zScore]],Batters[[#All],[zScore]])</f>
        <v>539</v>
      </c>
      <c r="AU543" s="45"/>
      <c r="AV543" s="45"/>
      <c r="AW543" s="45" t="str">
        <f t="shared" si="63"/>
        <v>Unlikely</v>
      </c>
      <c r="AX543" s="45"/>
      <c r="AY543" s="64" t="str">
        <f>INDEX(Table5[[#All],[Ovr]],MATCH(Batters[[#This Row],[PID]],Table5[[#All],[PID]],0))</f>
        <v/>
      </c>
      <c r="AZ543" s="64" t="str">
        <f>INDEX(Table5[[#All],[Rnd]],MATCH(Batters[[#This Row],[PID]],Table5[[#All],[PID]],0))</f>
        <v/>
      </c>
      <c r="BA543" s="64" t="str">
        <f>INDEX(Table5[[#All],[Pick]],MATCH(Batters[[#This Row],[PID]],Table5[[#All],[PID]],0))</f>
        <v/>
      </c>
      <c r="BB543" s="64" t="str">
        <f>INDEX(Table5[[#All],[Team]],MATCH(Batters[[#This Row],[PID]],Table5[[#All],[PID]],0))</f>
        <v/>
      </c>
    </row>
    <row r="544" spans="1:54" ht="15" customHeight="1" x14ac:dyDescent="0.25">
      <c r="A544" s="40">
        <v>18038</v>
      </c>
      <c r="B544" s="40" t="s">
        <v>74</v>
      </c>
      <c r="C544" s="40" t="s">
        <v>367</v>
      </c>
      <c r="D544" s="40" t="s">
        <v>1562</v>
      </c>
      <c r="E544" s="40">
        <v>21</v>
      </c>
      <c r="F544" s="40" t="s">
        <v>53</v>
      </c>
      <c r="G544" s="40" t="s">
        <v>42</v>
      </c>
      <c r="H544" s="41" t="s">
        <v>638</v>
      </c>
      <c r="I544" s="65" t="s">
        <v>43</v>
      </c>
      <c r="J544" s="66" t="s">
        <v>44</v>
      </c>
      <c r="K544" s="67" t="s">
        <v>47</v>
      </c>
      <c r="L544" s="40">
        <v>1</v>
      </c>
      <c r="M544" s="40">
        <v>1</v>
      </c>
      <c r="N544" s="40">
        <v>2</v>
      </c>
      <c r="O544" s="40">
        <v>2</v>
      </c>
      <c r="P544" s="41">
        <v>1</v>
      </c>
      <c r="Q544" s="40">
        <v>3</v>
      </c>
      <c r="R544" s="40">
        <v>3</v>
      </c>
      <c r="S544" s="40">
        <v>3</v>
      </c>
      <c r="T544" s="40">
        <v>5</v>
      </c>
      <c r="U544" s="41">
        <v>3</v>
      </c>
      <c r="V544" s="40">
        <v>5</v>
      </c>
      <c r="W544" s="40">
        <v>8</v>
      </c>
      <c r="X544" s="40">
        <v>1</v>
      </c>
      <c r="Y544" s="41">
        <v>1</v>
      </c>
      <c r="Z544" s="40" t="s">
        <v>45</v>
      </c>
      <c r="AA544" s="40" t="s">
        <v>45</v>
      </c>
      <c r="AB544" s="40" t="s">
        <v>45</v>
      </c>
      <c r="AC544" s="40" t="s">
        <v>45</v>
      </c>
      <c r="AD544" s="40" t="s">
        <v>45</v>
      </c>
      <c r="AE544" s="40" t="s">
        <v>45</v>
      </c>
      <c r="AF544" s="40">
        <v>5</v>
      </c>
      <c r="AG544" s="41" t="s">
        <v>45</v>
      </c>
      <c r="AH544" s="40">
        <v>8</v>
      </c>
      <c r="AI544" s="40">
        <v>7</v>
      </c>
      <c r="AJ544" s="41">
        <v>7</v>
      </c>
      <c r="AK544" s="43" t="s">
        <v>45</v>
      </c>
      <c r="AL544" s="43" t="s">
        <v>47</v>
      </c>
      <c r="AM544" s="44">
        <f t="shared" si="57"/>
        <v>-1.9115723057940897</v>
      </c>
      <c r="AN544" s="44">
        <f t="shared" si="58"/>
        <v>-0.73211805046452161</v>
      </c>
      <c r="AO544" s="45">
        <f t="shared" si="59"/>
        <v>3</v>
      </c>
      <c r="AP544" s="46">
        <f t="shared" si="60"/>
        <v>0.75</v>
      </c>
      <c r="AQ544" s="44">
        <f>($AM$3*AM544+$AN$3*AN544+$AO$3*AO544+$AP$3*AP544)+$I$3*VLOOKUP(I544,COND!$A$2:$E$7,4,FALSE)+$J$3*VLOOKUP(J544,COND!$A$2:$C$7,2,FALSE)+$K$3*VLOOKUP(K544,COND!$A$2:$C$7,3,FALSE)+IF(AND($B$2&gt;0,$E544&lt;20),$B$2*25,0)</f>
        <v>37.273426163846338</v>
      </c>
      <c r="AR544" s="47">
        <f t="shared" si="61"/>
        <v>-1.5205788150106796</v>
      </c>
      <c r="AS544" s="45" t="str">
        <f t="shared" si="62"/>
        <v>CF</v>
      </c>
      <c r="AT544" s="45">
        <f>RANK(Batters[[#This Row],[zScore]],Batters[[#All],[zScore]])</f>
        <v>540</v>
      </c>
      <c r="AU544" s="45"/>
      <c r="AV544" s="45"/>
      <c r="AW544" s="45" t="str">
        <f t="shared" si="63"/>
        <v>Unlikely</v>
      </c>
      <c r="AX544" s="45"/>
      <c r="AY544" s="45" t="str">
        <f>INDEX(Table5[[#All],[Ovr]],MATCH(Batters[[#This Row],[PID]],Table5[[#All],[PID]],0))</f>
        <v/>
      </c>
      <c r="AZ544" s="45" t="str">
        <f>INDEX(Table5[[#All],[Rnd]],MATCH(Batters[[#This Row],[PID]],Table5[[#All],[PID]],0))</f>
        <v/>
      </c>
      <c r="BA544" s="45" t="str">
        <f>INDEX(Table5[[#All],[Pick]],MATCH(Batters[[#This Row],[PID]],Table5[[#All],[PID]],0))</f>
        <v/>
      </c>
      <c r="BB544" s="45" t="str">
        <f>INDEX(Table5[[#All],[Team]],MATCH(Batters[[#This Row],[PID]],Table5[[#All],[PID]],0))</f>
        <v/>
      </c>
    </row>
    <row r="545" spans="1:54" ht="15" customHeight="1" x14ac:dyDescent="0.25">
      <c r="A545" s="40">
        <v>12960</v>
      </c>
      <c r="B545" s="40" t="s">
        <v>86</v>
      </c>
      <c r="C545" s="40" t="s">
        <v>526</v>
      </c>
      <c r="D545" s="40" t="s">
        <v>612</v>
      </c>
      <c r="E545" s="40">
        <v>22</v>
      </c>
      <c r="F545" s="40" t="s">
        <v>42</v>
      </c>
      <c r="G545" s="40" t="s">
        <v>42</v>
      </c>
      <c r="H545" s="41" t="s">
        <v>638</v>
      </c>
      <c r="I545" s="65" t="s">
        <v>44</v>
      </c>
      <c r="J545" s="66" t="s">
        <v>44</v>
      </c>
      <c r="K545" s="67" t="s">
        <v>43</v>
      </c>
      <c r="L545" s="40">
        <v>2</v>
      </c>
      <c r="M545" s="40">
        <v>3</v>
      </c>
      <c r="N545" s="40">
        <v>3</v>
      </c>
      <c r="O545" s="40">
        <v>2</v>
      </c>
      <c r="P545" s="41">
        <v>1</v>
      </c>
      <c r="Q545" s="40">
        <v>3</v>
      </c>
      <c r="R545" s="40">
        <v>4</v>
      </c>
      <c r="S545" s="40">
        <v>4</v>
      </c>
      <c r="T545" s="40">
        <v>5</v>
      </c>
      <c r="U545" s="41">
        <v>3</v>
      </c>
      <c r="V545" s="40">
        <v>4</v>
      </c>
      <c r="W545" s="40">
        <v>5</v>
      </c>
      <c r="X545" s="40">
        <v>6</v>
      </c>
      <c r="Y545" s="41">
        <v>6</v>
      </c>
      <c r="Z545" s="40" t="s">
        <v>45</v>
      </c>
      <c r="AA545" s="40" t="s">
        <v>45</v>
      </c>
      <c r="AB545" s="40" t="s">
        <v>45</v>
      </c>
      <c r="AC545" s="40" t="s">
        <v>45</v>
      </c>
      <c r="AD545" s="40" t="s">
        <v>45</v>
      </c>
      <c r="AE545" s="40" t="s">
        <v>45</v>
      </c>
      <c r="AF545" s="40" t="s">
        <v>45</v>
      </c>
      <c r="AG545" s="41" t="s">
        <v>45</v>
      </c>
      <c r="AH545" s="40">
        <v>1</v>
      </c>
      <c r="AI545" s="40">
        <v>3</v>
      </c>
      <c r="AJ545" s="41">
        <v>1</v>
      </c>
      <c r="AK545" s="43" t="s">
        <v>45</v>
      </c>
      <c r="AL545" s="43" t="s">
        <v>47</v>
      </c>
      <c r="AM545" s="44">
        <f t="shared" si="57"/>
        <v>-1.4038352163301062</v>
      </c>
      <c r="AN545" s="44">
        <f t="shared" si="58"/>
        <v>-0.59799667682191648</v>
      </c>
      <c r="AO545" s="45">
        <f t="shared" si="59"/>
        <v>0</v>
      </c>
      <c r="AP545" s="46">
        <f t="shared" si="60"/>
        <v>0</v>
      </c>
      <c r="AQ545" s="44">
        <f>($AM$3*AM545+$AN$3*AN545+$AO$3*AO545+$AP$3*AP545)+$I$3*VLOOKUP(I545,COND!$A$2:$E$7,4,FALSE)+$J$3*VLOOKUP(J545,COND!$A$2:$C$7,2,FALSE)+$K$3*VLOOKUP(K545,COND!$A$2:$C$7,3,FALSE)+IF(AND($B$2&gt;0,$E545&lt;20),$B$2*25,0)</f>
        <v>37.233656356503992</v>
      </c>
      <c r="AR545" s="47">
        <f t="shared" si="61"/>
        <v>-1.5293960501174269</v>
      </c>
      <c r="AS545" s="45" t="str">
        <f t="shared" si="62"/>
        <v>DH</v>
      </c>
      <c r="AT545" s="45">
        <f>RANK(Batters[[#This Row],[zScore]],Batters[[#All],[zScore]])</f>
        <v>541</v>
      </c>
      <c r="AU545" s="45"/>
      <c r="AV545" s="45"/>
      <c r="AW545" s="45" t="str">
        <f t="shared" si="63"/>
        <v>Unlikely</v>
      </c>
      <c r="AX545" s="45"/>
      <c r="AY545" s="45" t="str">
        <f>INDEX(Table5[[#All],[Ovr]],MATCH(Batters[[#This Row],[PID]],Table5[[#All],[PID]],0))</f>
        <v/>
      </c>
      <c r="AZ545" s="45" t="str">
        <f>INDEX(Table5[[#All],[Rnd]],MATCH(Batters[[#This Row],[PID]],Table5[[#All],[PID]],0))</f>
        <v/>
      </c>
      <c r="BA545" s="45" t="str">
        <f>INDEX(Table5[[#All],[Pick]],MATCH(Batters[[#This Row],[PID]],Table5[[#All],[PID]],0))</f>
        <v/>
      </c>
      <c r="BB545" s="45" t="str">
        <f>INDEX(Table5[[#All],[Team]],MATCH(Batters[[#This Row],[PID]],Table5[[#All],[PID]],0))</f>
        <v/>
      </c>
    </row>
    <row r="546" spans="1:54" ht="15" customHeight="1" x14ac:dyDescent="0.25">
      <c r="A546" s="40">
        <v>12208</v>
      </c>
      <c r="B546" s="40" t="s">
        <v>87</v>
      </c>
      <c r="C546" s="40" t="s">
        <v>169</v>
      </c>
      <c r="D546" s="40" t="s">
        <v>161</v>
      </c>
      <c r="E546" s="40">
        <v>22</v>
      </c>
      <c r="F546" s="40" t="s">
        <v>42</v>
      </c>
      <c r="G546" s="40" t="s">
        <v>42</v>
      </c>
      <c r="H546" s="41" t="s">
        <v>638</v>
      </c>
      <c r="I546" s="65" t="s">
        <v>44</v>
      </c>
      <c r="J546" s="66" t="s">
        <v>47</v>
      </c>
      <c r="K546" s="67" t="s">
        <v>43</v>
      </c>
      <c r="L546" s="40">
        <v>2</v>
      </c>
      <c r="M546" s="40">
        <v>3</v>
      </c>
      <c r="N546" s="40">
        <v>3</v>
      </c>
      <c r="O546" s="40">
        <v>3</v>
      </c>
      <c r="P546" s="41">
        <v>1</v>
      </c>
      <c r="Q546" s="40">
        <v>3</v>
      </c>
      <c r="R546" s="40">
        <v>3</v>
      </c>
      <c r="S546" s="40">
        <v>4</v>
      </c>
      <c r="T546" s="40">
        <v>5</v>
      </c>
      <c r="U546" s="41">
        <v>3</v>
      </c>
      <c r="V546" s="40">
        <v>9</v>
      </c>
      <c r="W546" s="40">
        <v>7</v>
      </c>
      <c r="X546" s="40">
        <v>1</v>
      </c>
      <c r="Y546" s="41">
        <v>1</v>
      </c>
      <c r="Z546" s="40" t="s">
        <v>45</v>
      </c>
      <c r="AA546" s="40">
        <v>7</v>
      </c>
      <c r="AB546" s="40" t="s">
        <v>45</v>
      </c>
      <c r="AC546" s="40" t="s">
        <v>45</v>
      </c>
      <c r="AD546" s="40" t="s">
        <v>45</v>
      </c>
      <c r="AE546" s="40" t="s">
        <v>45</v>
      </c>
      <c r="AF546" s="40" t="s">
        <v>45</v>
      </c>
      <c r="AG546" s="41" t="s">
        <v>45</v>
      </c>
      <c r="AH546" s="40">
        <v>2</v>
      </c>
      <c r="AI546" s="40">
        <v>1</v>
      </c>
      <c r="AJ546" s="41">
        <v>1</v>
      </c>
      <c r="AK546" s="43" t="s">
        <v>45</v>
      </c>
      <c r="AL546" s="43"/>
      <c r="AM546" s="44">
        <f t="shared" si="57"/>
        <v>-1.3141256663205254</v>
      </c>
      <c r="AN546" s="44">
        <f t="shared" si="58"/>
        <v>-0.64905655644061999</v>
      </c>
      <c r="AO546" s="45">
        <f t="shared" si="59"/>
        <v>0</v>
      </c>
      <c r="AP546" s="46">
        <f t="shared" si="60"/>
        <v>0</v>
      </c>
      <c r="AQ546" s="44">
        <f>($AM$3*AM546+$AN$3*AN546+$AO$3*AO546+$AP$3*AP546)+$I$3*VLOOKUP(I546,COND!$A$2:$E$7,4,FALSE)+$J$3*VLOOKUP(J546,COND!$A$2:$C$7,2,FALSE)+$K$3*VLOOKUP(K546,COND!$A$2:$C$7,3,FALSE)+IF(AND($B$2&gt;0,$E546&lt;20),$B$2*25,0)</f>
        <v>37.229908756080505</v>
      </c>
      <c r="AR546" s="47">
        <f t="shared" si="61"/>
        <v>-1.5302269184627419</v>
      </c>
      <c r="AS546" s="45" t="str">
        <f t="shared" si="62"/>
        <v>1B</v>
      </c>
      <c r="AT546" s="45">
        <f>RANK(Batters[[#This Row],[zScore]],Batters[[#All],[zScore]])</f>
        <v>542</v>
      </c>
      <c r="AU546" s="45"/>
      <c r="AV546" s="45"/>
      <c r="AW546" s="45" t="str">
        <f t="shared" si="63"/>
        <v>Unlikely</v>
      </c>
      <c r="AX546" s="45"/>
      <c r="AY546" s="64" t="str">
        <f>INDEX(Table5[[#All],[Ovr]],MATCH(Batters[[#This Row],[PID]],Table5[[#All],[PID]],0))</f>
        <v/>
      </c>
      <c r="AZ546" s="64" t="str">
        <f>INDEX(Table5[[#All],[Rnd]],MATCH(Batters[[#This Row],[PID]],Table5[[#All],[PID]],0))</f>
        <v/>
      </c>
      <c r="BA546" s="64" t="str">
        <f>INDEX(Table5[[#All],[Pick]],MATCH(Batters[[#This Row],[PID]],Table5[[#All],[PID]],0))</f>
        <v/>
      </c>
      <c r="BB546" s="64" t="str">
        <f>INDEX(Table5[[#All],[Team]],MATCH(Batters[[#This Row],[PID]],Table5[[#All],[PID]],0))</f>
        <v/>
      </c>
    </row>
    <row r="547" spans="1:54" ht="15" customHeight="1" x14ac:dyDescent="0.25">
      <c r="A547" s="40">
        <v>12928</v>
      </c>
      <c r="B547" s="40" t="s">
        <v>86</v>
      </c>
      <c r="C547" s="40" t="s">
        <v>1552</v>
      </c>
      <c r="D547" s="40" t="s">
        <v>1553</v>
      </c>
      <c r="E547" s="40">
        <v>18</v>
      </c>
      <c r="F547" s="40" t="s">
        <v>42</v>
      </c>
      <c r="G547" s="40" t="s">
        <v>42</v>
      </c>
      <c r="H547" s="41" t="s">
        <v>638</v>
      </c>
      <c r="I547" s="65" t="s">
        <v>44</v>
      </c>
      <c r="J547" s="66" t="s">
        <v>44</v>
      </c>
      <c r="K547" s="67" t="s">
        <v>43</v>
      </c>
      <c r="L547" s="40">
        <v>1</v>
      </c>
      <c r="M547" s="40">
        <v>1</v>
      </c>
      <c r="N547" s="40">
        <v>2</v>
      </c>
      <c r="O547" s="40">
        <v>1</v>
      </c>
      <c r="P547" s="41">
        <v>1</v>
      </c>
      <c r="Q547" s="40">
        <v>2</v>
      </c>
      <c r="R547" s="40">
        <v>3</v>
      </c>
      <c r="S547" s="40">
        <v>4</v>
      </c>
      <c r="T547" s="40">
        <v>5</v>
      </c>
      <c r="U547" s="41">
        <v>2</v>
      </c>
      <c r="V547" s="40">
        <v>4</v>
      </c>
      <c r="W547" s="40">
        <v>4</v>
      </c>
      <c r="X547" s="40">
        <v>6</v>
      </c>
      <c r="Y547" s="41">
        <v>7</v>
      </c>
      <c r="Z547" s="40" t="s">
        <v>45</v>
      </c>
      <c r="AA547" s="40" t="s">
        <v>45</v>
      </c>
      <c r="AB547" s="40" t="s">
        <v>45</v>
      </c>
      <c r="AC547" s="40" t="s">
        <v>45</v>
      </c>
      <c r="AD547" s="40" t="s">
        <v>45</v>
      </c>
      <c r="AE547" s="40" t="s">
        <v>45</v>
      </c>
      <c r="AF547" s="40" t="s">
        <v>45</v>
      </c>
      <c r="AG547" s="41" t="s">
        <v>45</v>
      </c>
      <c r="AH547" s="40">
        <v>1</v>
      </c>
      <c r="AI547" s="40">
        <v>1</v>
      </c>
      <c r="AJ547" s="41">
        <v>3</v>
      </c>
      <c r="AK547" s="43" t="s">
        <v>657</v>
      </c>
      <c r="AL547" s="43" t="s">
        <v>47</v>
      </c>
      <c r="AM547" s="44">
        <f t="shared" si="57"/>
        <v>-2.0012818558036707</v>
      </c>
      <c r="AN547" s="44">
        <f t="shared" si="58"/>
        <v>-1.0116287324603783</v>
      </c>
      <c r="AO547" s="45">
        <f t="shared" si="59"/>
        <v>0</v>
      </c>
      <c r="AP547" s="46">
        <f t="shared" si="60"/>
        <v>0</v>
      </c>
      <c r="AQ547" s="44">
        <f>($AM$3*AM547+$AN$3*AN547+$AO$3*AO547+$AP$3*AP547)+$I$3*VLOOKUP(I547,COND!$A$2:$E$7,4,FALSE)+$J$3*VLOOKUP(J547,COND!$A$2:$C$7,2,FALSE)+$K$3*VLOOKUP(K547,COND!$A$2:$C$7,3,FALSE)+IF(AND($B$2&gt;0,$E547&lt;20),$B$2*25,0)</f>
        <v>37.210327024895093</v>
      </c>
      <c r="AR547" s="47">
        <f t="shared" si="61"/>
        <v>-1.5345683206267664</v>
      </c>
      <c r="AS547" s="45" t="str">
        <f t="shared" si="62"/>
        <v>DH</v>
      </c>
      <c r="AT547" s="45">
        <f>RANK(Batters[[#This Row],[zScore]],Batters[[#All],[zScore]])</f>
        <v>543</v>
      </c>
      <c r="AU547" s="45"/>
      <c r="AV547" s="45"/>
      <c r="AW547" s="45" t="str">
        <f t="shared" si="63"/>
        <v>Unlikely</v>
      </c>
      <c r="AX547" s="45"/>
      <c r="AY547" s="45" t="str">
        <f>INDEX(Table5[[#All],[Ovr]],MATCH(Batters[[#This Row],[PID]],Table5[[#All],[PID]],0))</f>
        <v/>
      </c>
      <c r="AZ547" s="45" t="str">
        <f>INDEX(Table5[[#All],[Rnd]],MATCH(Batters[[#This Row],[PID]],Table5[[#All],[PID]],0))</f>
        <v/>
      </c>
      <c r="BA547" s="45" t="str">
        <f>INDEX(Table5[[#All],[Pick]],MATCH(Batters[[#This Row],[PID]],Table5[[#All],[PID]],0))</f>
        <v/>
      </c>
      <c r="BB547" s="45" t="str">
        <f>INDEX(Table5[[#All],[Team]],MATCH(Batters[[#This Row],[PID]],Table5[[#All],[PID]],0))</f>
        <v/>
      </c>
    </row>
    <row r="548" spans="1:54" ht="15" customHeight="1" x14ac:dyDescent="0.25">
      <c r="A548" s="40">
        <v>20205</v>
      </c>
      <c r="B548" s="40" t="s">
        <v>66</v>
      </c>
      <c r="C548" s="40" t="s">
        <v>1642</v>
      </c>
      <c r="D548" s="40" t="s">
        <v>1143</v>
      </c>
      <c r="E548" s="40">
        <v>22</v>
      </c>
      <c r="F548" s="40" t="s">
        <v>42</v>
      </c>
      <c r="G548" s="40" t="s">
        <v>42</v>
      </c>
      <c r="H548" s="41" t="s">
        <v>638</v>
      </c>
      <c r="I548" s="65" t="s">
        <v>44</v>
      </c>
      <c r="J548" s="66" t="s">
        <v>43</v>
      </c>
      <c r="K548" s="67" t="s">
        <v>43</v>
      </c>
      <c r="L548" s="40">
        <v>2</v>
      </c>
      <c r="M548" s="40">
        <v>3</v>
      </c>
      <c r="N548" s="40">
        <v>3</v>
      </c>
      <c r="O548" s="40">
        <v>3</v>
      </c>
      <c r="P548" s="41">
        <v>4</v>
      </c>
      <c r="Q548" s="40">
        <v>3</v>
      </c>
      <c r="R548" s="40">
        <v>3</v>
      </c>
      <c r="S548" s="40">
        <v>3</v>
      </c>
      <c r="T548" s="40">
        <v>4</v>
      </c>
      <c r="U548" s="41">
        <v>5</v>
      </c>
      <c r="V548" s="40">
        <v>5</v>
      </c>
      <c r="W548" s="40">
        <v>6</v>
      </c>
      <c r="X548" s="40">
        <v>1</v>
      </c>
      <c r="Y548" s="41">
        <v>1</v>
      </c>
      <c r="Z548" s="40" t="s">
        <v>45</v>
      </c>
      <c r="AA548" s="40">
        <v>4</v>
      </c>
      <c r="AB548" s="40" t="s">
        <v>45</v>
      </c>
      <c r="AC548" s="40">
        <v>1</v>
      </c>
      <c r="AD548" s="40" t="s">
        <v>45</v>
      </c>
      <c r="AE548" s="40">
        <v>4</v>
      </c>
      <c r="AF548" s="40">
        <v>2</v>
      </c>
      <c r="AG548" s="41">
        <v>5</v>
      </c>
      <c r="AH548" s="40">
        <v>9</v>
      </c>
      <c r="AI548" s="40">
        <v>10</v>
      </c>
      <c r="AJ548" s="41">
        <v>8</v>
      </c>
      <c r="AK548" s="43" t="s">
        <v>45</v>
      </c>
      <c r="AL548" s="43"/>
      <c r="AM548" s="44">
        <f t="shared" si="57"/>
        <v>-1.1940766468692749</v>
      </c>
      <c r="AN548" s="44">
        <f t="shared" si="58"/>
        <v>-0.74179492083993548</v>
      </c>
      <c r="AO548" s="45">
        <f t="shared" si="59"/>
        <v>5</v>
      </c>
      <c r="AP548" s="46">
        <f t="shared" si="60"/>
        <v>0.5</v>
      </c>
      <c r="AQ548" s="44">
        <f>($AM$3*AM548+$AN$3*AN548+$AO$3*AO548+$AP$3*AP548)+$I$3*VLOOKUP(I548,COND!$A$2:$E$7,4,FALSE)+$J$3*VLOOKUP(J548,COND!$A$2:$C$7,2,FALSE)+$K$3*VLOOKUP(K548,COND!$A$2:$C$7,3,FALSE)+IF(AND($B$2&gt;0,$E548&lt;20),$B$2*25,0)</f>
        <v>37.162386618567183</v>
      </c>
      <c r="AR548" s="47">
        <f t="shared" si="61"/>
        <v>-1.545197032756737</v>
      </c>
      <c r="AS548" s="45" t="str">
        <f t="shared" si="62"/>
        <v>RF</v>
      </c>
      <c r="AT548" s="45">
        <f>RANK(Batters[[#This Row],[zScore]],Batters[[#All],[zScore]])</f>
        <v>544</v>
      </c>
      <c r="AU548" s="45"/>
      <c r="AV548" s="45"/>
      <c r="AW548" s="45" t="str">
        <f t="shared" si="63"/>
        <v>Unlikely</v>
      </c>
      <c r="AX548" s="45"/>
      <c r="AY548" s="64" t="str">
        <f>INDEX(Table5[[#All],[Ovr]],MATCH(Batters[[#This Row],[PID]],Table5[[#All],[PID]],0))</f>
        <v/>
      </c>
      <c r="AZ548" s="64" t="str">
        <f>INDEX(Table5[[#All],[Rnd]],MATCH(Batters[[#This Row],[PID]],Table5[[#All],[PID]],0))</f>
        <v/>
      </c>
      <c r="BA548" s="64" t="str">
        <f>INDEX(Table5[[#All],[Pick]],MATCH(Batters[[#This Row],[PID]],Table5[[#All],[PID]],0))</f>
        <v/>
      </c>
      <c r="BB548" s="64" t="str">
        <f>INDEX(Table5[[#All],[Team]],MATCH(Batters[[#This Row],[PID]],Table5[[#All],[PID]],0))</f>
        <v/>
      </c>
    </row>
    <row r="549" spans="1:54" ht="15" customHeight="1" x14ac:dyDescent="0.25">
      <c r="A549" s="40">
        <v>12687</v>
      </c>
      <c r="B549" s="40" t="s">
        <v>87</v>
      </c>
      <c r="C549" s="40" t="s">
        <v>1692</v>
      </c>
      <c r="D549" s="40" t="s">
        <v>1107</v>
      </c>
      <c r="E549" s="40">
        <v>21</v>
      </c>
      <c r="F549" s="40" t="s">
        <v>42</v>
      </c>
      <c r="G549" s="40" t="s">
        <v>42</v>
      </c>
      <c r="H549" s="41" t="s">
        <v>639</v>
      </c>
      <c r="I549" s="65" t="s">
        <v>43</v>
      </c>
      <c r="J549" s="66" t="s">
        <v>43</v>
      </c>
      <c r="K549" s="67" t="s">
        <v>43</v>
      </c>
      <c r="L549" s="40">
        <v>2</v>
      </c>
      <c r="M549" s="40">
        <v>3</v>
      </c>
      <c r="N549" s="40">
        <v>2</v>
      </c>
      <c r="O549" s="40">
        <v>3</v>
      </c>
      <c r="P549" s="41">
        <v>2</v>
      </c>
      <c r="Q549" s="40">
        <v>3</v>
      </c>
      <c r="R549" s="40">
        <v>3</v>
      </c>
      <c r="S549" s="40">
        <v>3</v>
      </c>
      <c r="T549" s="40">
        <v>6</v>
      </c>
      <c r="U549" s="41">
        <v>3</v>
      </c>
      <c r="V549" s="40">
        <v>6</v>
      </c>
      <c r="W549" s="40">
        <v>5</v>
      </c>
      <c r="X549" s="40">
        <v>5</v>
      </c>
      <c r="Y549" s="41">
        <v>5</v>
      </c>
      <c r="Z549" s="40" t="s">
        <v>45</v>
      </c>
      <c r="AA549" s="40">
        <v>2</v>
      </c>
      <c r="AB549" s="40" t="s">
        <v>45</v>
      </c>
      <c r="AC549" s="40" t="s">
        <v>45</v>
      </c>
      <c r="AD549" s="40" t="s">
        <v>45</v>
      </c>
      <c r="AE549" s="40" t="s">
        <v>45</v>
      </c>
      <c r="AF549" s="40" t="s">
        <v>45</v>
      </c>
      <c r="AG549" s="41" t="s">
        <v>45</v>
      </c>
      <c r="AH549" s="40">
        <v>1</v>
      </c>
      <c r="AI549" s="40">
        <v>5</v>
      </c>
      <c r="AJ549" s="41">
        <v>1</v>
      </c>
      <c r="AK549" s="43" t="s">
        <v>643</v>
      </c>
      <c r="AL549" s="43"/>
      <c r="AM549" s="44">
        <f t="shared" si="57"/>
        <v>-1.3571708205273432</v>
      </c>
      <c r="AN549" s="44">
        <f t="shared" si="58"/>
        <v>-0.64240850045494047</v>
      </c>
      <c r="AO549" s="45">
        <f t="shared" si="59"/>
        <v>0</v>
      </c>
      <c r="AP549" s="46">
        <f t="shared" si="60"/>
        <v>0</v>
      </c>
      <c r="AQ549" s="44">
        <f>($AM$3*AM549+$AN$3*AN549+$AO$3*AO549+$AP$3*AP549)+$I$3*VLOOKUP(I549,COND!$A$2:$E$7,4,FALSE)+$J$3*VLOOKUP(J549,COND!$A$2:$C$7,2,FALSE)+$K$3*VLOOKUP(K549,COND!$A$2:$C$7,3,FALSE)+IF(AND($B$2&gt;0,$E549&lt;20),$B$2*25,0)</f>
        <v>37.155380912487985</v>
      </c>
      <c r="AR549" s="47">
        <f t="shared" si="61"/>
        <v>-1.5467502451486737</v>
      </c>
      <c r="AS549" s="45" t="str">
        <f t="shared" si="62"/>
        <v>1B</v>
      </c>
      <c r="AT549" s="45">
        <f>RANK(Batters[[#This Row],[zScore]],Batters[[#All],[zScore]])</f>
        <v>545</v>
      </c>
      <c r="AU549" s="45"/>
      <c r="AV549" s="45"/>
      <c r="AW549" s="45" t="str">
        <f t="shared" si="63"/>
        <v>Unlikely</v>
      </c>
      <c r="AX549" s="45"/>
      <c r="AY549" s="64" t="str">
        <f>INDEX(Table5[[#All],[Ovr]],MATCH(Batters[[#This Row],[PID]],Table5[[#All],[PID]],0))</f>
        <v/>
      </c>
      <c r="AZ549" s="64" t="str">
        <f>INDEX(Table5[[#All],[Rnd]],MATCH(Batters[[#This Row],[PID]],Table5[[#All],[PID]],0))</f>
        <v/>
      </c>
      <c r="BA549" s="64" t="str">
        <f>INDEX(Table5[[#All],[Pick]],MATCH(Batters[[#This Row],[PID]],Table5[[#All],[PID]],0))</f>
        <v/>
      </c>
      <c r="BB549" s="64" t="str">
        <f>INDEX(Table5[[#All],[Team]],MATCH(Batters[[#This Row],[PID]],Table5[[#All],[PID]],0))</f>
        <v/>
      </c>
    </row>
    <row r="550" spans="1:54" ht="15" customHeight="1" x14ac:dyDescent="0.25">
      <c r="A550" s="40">
        <v>20439</v>
      </c>
      <c r="B550" s="40" t="s">
        <v>87</v>
      </c>
      <c r="C550" s="40" t="s">
        <v>1764</v>
      </c>
      <c r="D550" s="40" t="s">
        <v>842</v>
      </c>
      <c r="E550" s="40">
        <v>18</v>
      </c>
      <c r="F550" s="40" t="s">
        <v>42</v>
      </c>
      <c r="G550" s="40" t="s">
        <v>42</v>
      </c>
      <c r="H550" s="41" t="s">
        <v>647</v>
      </c>
      <c r="I550" s="65" t="s">
        <v>43</v>
      </c>
      <c r="J550" s="66" t="s">
        <v>44</v>
      </c>
      <c r="K550" s="67" t="s">
        <v>47</v>
      </c>
      <c r="L550" s="40">
        <v>1</v>
      </c>
      <c r="M550" s="40">
        <v>1</v>
      </c>
      <c r="N550" s="40">
        <v>2</v>
      </c>
      <c r="O550" s="40">
        <v>2</v>
      </c>
      <c r="P550" s="41">
        <v>1</v>
      </c>
      <c r="Q550" s="40">
        <v>2</v>
      </c>
      <c r="R550" s="40">
        <v>3</v>
      </c>
      <c r="S550" s="40">
        <v>3</v>
      </c>
      <c r="T550" s="40">
        <v>5</v>
      </c>
      <c r="U550" s="41">
        <v>3</v>
      </c>
      <c r="V550" s="40">
        <v>5</v>
      </c>
      <c r="W550" s="40">
        <v>5</v>
      </c>
      <c r="X550" s="40">
        <v>6</v>
      </c>
      <c r="Y550" s="41">
        <v>4</v>
      </c>
      <c r="Z550" s="40" t="s">
        <v>45</v>
      </c>
      <c r="AA550" s="40">
        <v>1</v>
      </c>
      <c r="AB550" s="40" t="s">
        <v>45</v>
      </c>
      <c r="AC550" s="40" t="s">
        <v>45</v>
      </c>
      <c r="AD550" s="40" t="s">
        <v>45</v>
      </c>
      <c r="AE550" s="40" t="s">
        <v>45</v>
      </c>
      <c r="AF550" s="40" t="s">
        <v>45</v>
      </c>
      <c r="AG550" s="41" t="s">
        <v>45</v>
      </c>
      <c r="AH550" s="40">
        <v>1</v>
      </c>
      <c r="AI550" s="40">
        <v>2</v>
      </c>
      <c r="AJ550" s="41">
        <v>1</v>
      </c>
      <c r="AK550" s="43" t="s">
        <v>573</v>
      </c>
      <c r="AL550" s="43"/>
      <c r="AM550" s="44">
        <f t="shared" si="57"/>
        <v>-1.9115723057940897</v>
      </c>
      <c r="AN550" s="44">
        <f t="shared" si="58"/>
        <v>-1.0546738866671965</v>
      </c>
      <c r="AO550" s="45">
        <f t="shared" si="59"/>
        <v>0</v>
      </c>
      <c r="AP550" s="46">
        <f t="shared" si="60"/>
        <v>0</v>
      </c>
      <c r="AQ550" s="44">
        <f>($AM$3*AM550+$AN$3*AN550+$AO$3*AO550+$AP$3*AP550)+$I$3*VLOOKUP(I550,COND!$A$2:$E$7,4,FALSE)+$J$3*VLOOKUP(J550,COND!$A$2:$C$7,2,FALSE)+$K$3*VLOOKUP(K550,COND!$A$2:$C$7,3,FALSE)+IF(AND($B$2&gt;0,$E550&lt;20),$B$2*25,0)</f>
        <v>37.152756129414229</v>
      </c>
      <c r="AR550" s="47">
        <f t="shared" si="61"/>
        <v>-1.5473321772980122</v>
      </c>
      <c r="AS550" s="45" t="str">
        <f t="shared" si="62"/>
        <v>1B</v>
      </c>
      <c r="AT550" s="45">
        <f>RANK(Batters[[#This Row],[zScore]],Batters[[#All],[zScore]])</f>
        <v>546</v>
      </c>
      <c r="AU550" s="45"/>
      <c r="AV550" s="45"/>
      <c r="AW550" s="45" t="str">
        <f t="shared" si="63"/>
        <v>Unlikely</v>
      </c>
      <c r="AX550" s="45"/>
      <c r="AY550" s="64" t="str">
        <f>INDEX(Table5[[#All],[Ovr]],MATCH(Batters[[#This Row],[PID]],Table5[[#All],[PID]],0))</f>
        <v/>
      </c>
      <c r="AZ550" s="64" t="str">
        <f>INDEX(Table5[[#All],[Rnd]],MATCH(Batters[[#This Row],[PID]],Table5[[#All],[PID]],0))</f>
        <v/>
      </c>
      <c r="BA550" s="64" t="str">
        <f>INDEX(Table5[[#All],[Pick]],MATCH(Batters[[#This Row],[PID]],Table5[[#All],[PID]],0))</f>
        <v/>
      </c>
      <c r="BB550" s="64" t="str">
        <f>INDEX(Table5[[#All],[Team]],MATCH(Batters[[#This Row],[PID]],Table5[[#All],[PID]],0))</f>
        <v/>
      </c>
    </row>
    <row r="551" spans="1:54" ht="15" customHeight="1" x14ac:dyDescent="0.25">
      <c r="A551" s="40">
        <v>12156</v>
      </c>
      <c r="B551" s="40" t="s">
        <v>72</v>
      </c>
      <c r="C551" s="40" t="s">
        <v>552</v>
      </c>
      <c r="D551" s="40" t="s">
        <v>885</v>
      </c>
      <c r="E551" s="40">
        <v>22</v>
      </c>
      <c r="F551" s="40" t="s">
        <v>42</v>
      </c>
      <c r="G551" s="40" t="s">
        <v>42</v>
      </c>
      <c r="H551" s="41" t="s">
        <v>638</v>
      </c>
      <c r="I551" s="65" t="s">
        <v>43</v>
      </c>
      <c r="J551" s="66" t="s">
        <v>44</v>
      </c>
      <c r="K551" s="67" t="s">
        <v>43</v>
      </c>
      <c r="L551" s="40">
        <v>1</v>
      </c>
      <c r="M551" s="40">
        <v>3</v>
      </c>
      <c r="N551" s="40">
        <v>2</v>
      </c>
      <c r="O551" s="40">
        <v>2</v>
      </c>
      <c r="P551" s="41">
        <v>1</v>
      </c>
      <c r="Q551" s="40">
        <v>3</v>
      </c>
      <c r="R551" s="40">
        <v>4</v>
      </c>
      <c r="S551" s="40">
        <v>3</v>
      </c>
      <c r="T551" s="40">
        <v>4</v>
      </c>
      <c r="U551" s="41">
        <v>3</v>
      </c>
      <c r="V551" s="40">
        <v>7</v>
      </c>
      <c r="W551" s="40">
        <v>6</v>
      </c>
      <c r="X551" s="40">
        <v>1</v>
      </c>
      <c r="Y551" s="41">
        <v>1</v>
      </c>
      <c r="Z551" s="40" t="s">
        <v>45</v>
      </c>
      <c r="AA551" s="40" t="s">
        <v>45</v>
      </c>
      <c r="AB551" s="40" t="s">
        <v>45</v>
      </c>
      <c r="AC551" s="40" t="s">
        <v>45</v>
      </c>
      <c r="AD551" s="40">
        <v>5</v>
      </c>
      <c r="AE551" s="40">
        <v>1</v>
      </c>
      <c r="AF551" s="40">
        <v>1</v>
      </c>
      <c r="AG551" s="41" t="s">
        <v>45</v>
      </c>
      <c r="AH551" s="40">
        <v>10</v>
      </c>
      <c r="AI551" s="40">
        <v>9</v>
      </c>
      <c r="AJ551" s="41">
        <v>8</v>
      </c>
      <c r="AK551" s="43" t="s">
        <v>45</v>
      </c>
      <c r="AL551" s="43" t="s">
        <v>47</v>
      </c>
      <c r="AM551" s="44">
        <f t="shared" si="57"/>
        <v>-1.8094525465566824</v>
      </c>
      <c r="AN551" s="44">
        <f t="shared" si="58"/>
        <v>-0.77076772085539913</v>
      </c>
      <c r="AO551" s="45">
        <f t="shared" si="59"/>
        <v>5</v>
      </c>
      <c r="AP551" s="46">
        <f t="shared" si="60"/>
        <v>1</v>
      </c>
      <c r="AQ551" s="44">
        <f>($AM$3*AM551+$AN$3*AN551+$AO$3*AO551+$AP$3*AP551)+$I$3*VLOOKUP(I551,COND!$A$2:$E$7,4,FALSE)+$J$3*VLOOKUP(J551,COND!$A$2:$C$7,2,FALSE)+$K$3*VLOOKUP(K551,COND!$A$2:$C$7,3,FALSE)+IF(AND($B$2&gt;0,$E551&lt;20),$B$2*25,0)</f>
        <v>37.103175428412875</v>
      </c>
      <c r="AR551" s="47">
        <f t="shared" si="61"/>
        <v>-1.5583245538444481</v>
      </c>
      <c r="AS551" s="45" t="str">
        <f t="shared" si="62"/>
        <v>SS</v>
      </c>
      <c r="AT551" s="45">
        <f>RANK(Batters[[#This Row],[zScore]],Batters[[#All],[zScore]])</f>
        <v>547</v>
      </c>
      <c r="AU551" s="45"/>
      <c r="AV551" s="45"/>
      <c r="AW551" s="45" t="str">
        <f t="shared" si="63"/>
        <v>Unlikely</v>
      </c>
      <c r="AX551" s="45"/>
      <c r="AY551" s="45" t="str">
        <f>INDEX(Table5[[#All],[Ovr]],MATCH(Batters[[#This Row],[PID]],Table5[[#All],[PID]],0))</f>
        <v/>
      </c>
      <c r="AZ551" s="45" t="str">
        <f>INDEX(Table5[[#All],[Rnd]],MATCH(Batters[[#This Row],[PID]],Table5[[#All],[PID]],0))</f>
        <v/>
      </c>
      <c r="BA551" s="45" t="str">
        <f>INDEX(Table5[[#All],[Pick]],MATCH(Batters[[#This Row],[PID]],Table5[[#All],[PID]],0))</f>
        <v/>
      </c>
      <c r="BB551" s="45" t="str">
        <f>INDEX(Table5[[#All],[Team]],MATCH(Batters[[#This Row],[PID]],Table5[[#All],[PID]],0))</f>
        <v/>
      </c>
    </row>
    <row r="552" spans="1:54" ht="15" customHeight="1" x14ac:dyDescent="0.25">
      <c r="A552" s="40">
        <v>8091</v>
      </c>
      <c r="B552" s="40" t="s">
        <v>66</v>
      </c>
      <c r="C552" s="40" t="s">
        <v>376</v>
      </c>
      <c r="D552" s="40" t="s">
        <v>133</v>
      </c>
      <c r="E552" s="40">
        <v>22</v>
      </c>
      <c r="F552" s="40" t="s">
        <v>53</v>
      </c>
      <c r="G552" s="40" t="s">
        <v>53</v>
      </c>
      <c r="H552" s="41" t="s">
        <v>639</v>
      </c>
      <c r="I552" s="65" t="s">
        <v>44</v>
      </c>
      <c r="J552" s="66" t="s">
        <v>44</v>
      </c>
      <c r="K552" s="67" t="s">
        <v>43</v>
      </c>
      <c r="L552" s="40">
        <v>2</v>
      </c>
      <c r="M552" s="40">
        <v>2</v>
      </c>
      <c r="N552" s="40">
        <v>2</v>
      </c>
      <c r="O552" s="40">
        <v>3</v>
      </c>
      <c r="P552" s="41">
        <v>1</v>
      </c>
      <c r="Q552" s="40">
        <v>3</v>
      </c>
      <c r="R552" s="40">
        <v>3</v>
      </c>
      <c r="S552" s="40">
        <v>4</v>
      </c>
      <c r="T552" s="40">
        <v>5</v>
      </c>
      <c r="U552" s="41">
        <v>4</v>
      </c>
      <c r="V552" s="40">
        <v>4</v>
      </c>
      <c r="W552" s="40">
        <v>7</v>
      </c>
      <c r="X552" s="40">
        <v>1</v>
      </c>
      <c r="Y552" s="41">
        <v>1</v>
      </c>
      <c r="Z552" s="40" t="s">
        <v>45</v>
      </c>
      <c r="AA552" s="40" t="s">
        <v>45</v>
      </c>
      <c r="AB552" s="40" t="s">
        <v>45</v>
      </c>
      <c r="AC552" s="40" t="s">
        <v>45</v>
      </c>
      <c r="AD552" s="40" t="s">
        <v>45</v>
      </c>
      <c r="AE552" s="40">
        <v>1</v>
      </c>
      <c r="AF552" s="40" t="s">
        <v>45</v>
      </c>
      <c r="AG552" s="41">
        <v>2</v>
      </c>
      <c r="AH552" s="40">
        <v>2</v>
      </c>
      <c r="AI552" s="40">
        <v>6</v>
      </c>
      <c r="AJ552" s="41">
        <v>4</v>
      </c>
      <c r="AK552" s="43" t="s">
        <v>45</v>
      </c>
      <c r="AL552" s="43"/>
      <c r="AM552" s="44">
        <f t="shared" si="57"/>
        <v>-1.4482470399631302</v>
      </c>
      <c r="AN552" s="44">
        <f t="shared" si="58"/>
        <v>-0.60904021662353647</v>
      </c>
      <c r="AO552" s="45">
        <f t="shared" si="59"/>
        <v>0</v>
      </c>
      <c r="AP552" s="46">
        <f t="shared" si="60"/>
        <v>0</v>
      </c>
      <c r="AQ552" s="44">
        <f>($AM$3*AM552+$AN$3*AN552+$AO$3*AO552+$AP$3*AP552)+$I$3*VLOOKUP(I552,COND!$A$2:$E$7,4,FALSE)+$J$3*VLOOKUP(J552,COND!$A$2:$C$7,2,FALSE)+$K$3*VLOOKUP(K552,COND!$A$2:$C$7,3,FALSE)+IF(AND($B$2&gt;0,$E552&lt;20),$B$2*25,0)</f>
        <v>37.096692696521245</v>
      </c>
      <c r="AR552" s="47">
        <f t="shared" si="61"/>
        <v>-1.5597618193240235</v>
      </c>
      <c r="AS552" s="45" t="str">
        <f t="shared" si="62"/>
        <v>RF</v>
      </c>
      <c r="AT552" s="45">
        <f>RANK(Batters[[#This Row],[zScore]],Batters[[#All],[zScore]])</f>
        <v>548</v>
      </c>
      <c r="AU552" s="45"/>
      <c r="AV552" s="45"/>
      <c r="AW552" s="45" t="str">
        <f t="shared" si="63"/>
        <v>Unlikely</v>
      </c>
      <c r="AX552" s="45"/>
      <c r="AY552" s="64" t="str">
        <f>INDEX(Table5[[#All],[Ovr]],MATCH(Batters[[#This Row],[PID]],Table5[[#All],[PID]],0))</f>
        <v/>
      </c>
      <c r="AZ552" s="64" t="str">
        <f>INDEX(Table5[[#All],[Rnd]],MATCH(Batters[[#This Row],[PID]],Table5[[#All],[PID]],0))</f>
        <v/>
      </c>
      <c r="BA552" s="64" t="str">
        <f>INDEX(Table5[[#All],[Pick]],MATCH(Batters[[#This Row],[PID]],Table5[[#All],[PID]],0))</f>
        <v/>
      </c>
      <c r="BB552" s="64" t="str">
        <f>INDEX(Table5[[#All],[Team]],MATCH(Batters[[#This Row],[PID]],Table5[[#All],[PID]],0))</f>
        <v/>
      </c>
    </row>
    <row r="553" spans="1:54" ht="15" customHeight="1" x14ac:dyDescent="0.25">
      <c r="A553" s="40">
        <v>20891</v>
      </c>
      <c r="B553" s="40" t="s">
        <v>71</v>
      </c>
      <c r="C553" s="40" t="s">
        <v>815</v>
      </c>
      <c r="D553" s="40" t="s">
        <v>156</v>
      </c>
      <c r="E553" s="40">
        <v>18</v>
      </c>
      <c r="F553" s="40" t="s">
        <v>42</v>
      </c>
      <c r="G553" s="40" t="s">
        <v>42</v>
      </c>
      <c r="H553" s="41" t="s">
        <v>638</v>
      </c>
      <c r="I553" s="65" t="s">
        <v>43</v>
      </c>
      <c r="J553" s="66" t="s">
        <v>44</v>
      </c>
      <c r="K553" s="67" t="s">
        <v>44</v>
      </c>
      <c r="L553" s="40">
        <v>1</v>
      </c>
      <c r="M553" s="40">
        <v>1</v>
      </c>
      <c r="N553" s="40">
        <v>2</v>
      </c>
      <c r="O553" s="40">
        <v>2</v>
      </c>
      <c r="P553" s="41">
        <v>1</v>
      </c>
      <c r="Q553" s="40">
        <v>2</v>
      </c>
      <c r="R553" s="40">
        <v>4</v>
      </c>
      <c r="S553" s="40">
        <v>4</v>
      </c>
      <c r="T553" s="40">
        <v>4</v>
      </c>
      <c r="U553" s="41">
        <v>3</v>
      </c>
      <c r="V553" s="40">
        <v>2</v>
      </c>
      <c r="W553" s="40">
        <v>2</v>
      </c>
      <c r="X553" s="40">
        <v>1</v>
      </c>
      <c r="Y553" s="41">
        <v>1</v>
      </c>
      <c r="Z553" s="40" t="s">
        <v>45</v>
      </c>
      <c r="AA553" s="40" t="s">
        <v>45</v>
      </c>
      <c r="AB553" s="40">
        <v>2</v>
      </c>
      <c r="AC553" s="40" t="s">
        <v>45</v>
      </c>
      <c r="AD553" s="40" t="s">
        <v>45</v>
      </c>
      <c r="AE553" s="40">
        <v>1</v>
      </c>
      <c r="AF553" s="40" t="s">
        <v>45</v>
      </c>
      <c r="AG553" s="41" t="s">
        <v>45</v>
      </c>
      <c r="AH553" s="40">
        <v>5</v>
      </c>
      <c r="AI553" s="40">
        <v>1</v>
      </c>
      <c r="AJ553" s="41">
        <v>1</v>
      </c>
      <c r="AK553" s="43" t="s">
        <v>654</v>
      </c>
      <c r="AL553" s="43" t="s">
        <v>635</v>
      </c>
      <c r="AM553" s="44">
        <f t="shared" si="57"/>
        <v>-1.9115723057940897</v>
      </c>
      <c r="AN553" s="44">
        <f t="shared" si="58"/>
        <v>-1.0102620630341723</v>
      </c>
      <c r="AO553" s="45">
        <f t="shared" si="59"/>
        <v>0</v>
      </c>
      <c r="AP553" s="46">
        <f t="shared" si="60"/>
        <v>0</v>
      </c>
      <c r="AQ553" s="44">
        <f>($AM$3*AM553+$AN$3*AN553+$AO$3*AO553+$AP$3*AP553)+$I$3*VLOOKUP(I553,COND!$A$2:$E$7,4,FALSE)+$J$3*VLOOKUP(J553,COND!$A$2:$C$7,2,FALSE)+$K$3*VLOOKUP(K553,COND!$A$2:$C$7,3,FALSE)+IF(AND($B$2&gt;0,$E553&lt;20),$B$2*25,0)</f>
        <v>37.085698013010528</v>
      </c>
      <c r="AR553" s="47">
        <f t="shared" si="61"/>
        <v>-1.5621994149755127</v>
      </c>
      <c r="AS553" s="45" t="str">
        <f t="shared" si="62"/>
        <v>2B</v>
      </c>
      <c r="AT553" s="45">
        <f>RANK(Batters[[#This Row],[zScore]],Batters[[#All],[zScore]])</f>
        <v>549</v>
      </c>
      <c r="AU553" s="45"/>
      <c r="AV553" s="45"/>
      <c r="AW553" s="45" t="str">
        <f t="shared" si="63"/>
        <v>Unlikely</v>
      </c>
      <c r="AX553" s="45"/>
      <c r="AY553" s="45" t="str">
        <f>INDEX(Table5[[#All],[Ovr]],MATCH(Batters[[#This Row],[PID]],Table5[[#All],[PID]],0))</f>
        <v/>
      </c>
      <c r="AZ553" s="45" t="str">
        <f>INDEX(Table5[[#All],[Rnd]],MATCH(Batters[[#This Row],[PID]],Table5[[#All],[PID]],0))</f>
        <v/>
      </c>
      <c r="BA553" s="45" t="str">
        <f>INDEX(Table5[[#All],[Pick]],MATCH(Batters[[#This Row],[PID]],Table5[[#All],[PID]],0))</f>
        <v/>
      </c>
      <c r="BB553" s="45" t="str">
        <f>INDEX(Table5[[#All],[Team]],MATCH(Batters[[#This Row],[PID]],Table5[[#All],[PID]],0))</f>
        <v/>
      </c>
    </row>
    <row r="554" spans="1:54" ht="15" customHeight="1" x14ac:dyDescent="0.25">
      <c r="A554" s="40">
        <v>17782</v>
      </c>
      <c r="B554" s="40" t="s">
        <v>87</v>
      </c>
      <c r="C554" s="40" t="s">
        <v>762</v>
      </c>
      <c r="D554" s="40" t="s">
        <v>686</v>
      </c>
      <c r="E554" s="40">
        <v>22</v>
      </c>
      <c r="F554" s="40" t="s">
        <v>42</v>
      </c>
      <c r="G554" s="40" t="s">
        <v>42</v>
      </c>
      <c r="H554" s="41" t="s">
        <v>638</v>
      </c>
      <c r="I554" s="65" t="s">
        <v>43</v>
      </c>
      <c r="J554" s="66" t="s">
        <v>43</v>
      </c>
      <c r="K554" s="67" t="s">
        <v>43</v>
      </c>
      <c r="L554" s="40">
        <v>2</v>
      </c>
      <c r="M554" s="40">
        <v>2</v>
      </c>
      <c r="N554" s="40">
        <v>3</v>
      </c>
      <c r="O554" s="40">
        <v>3</v>
      </c>
      <c r="P554" s="41">
        <v>1</v>
      </c>
      <c r="Q554" s="40">
        <v>3</v>
      </c>
      <c r="R554" s="40">
        <v>3</v>
      </c>
      <c r="S554" s="40">
        <v>4</v>
      </c>
      <c r="T554" s="40">
        <v>5</v>
      </c>
      <c r="U554" s="41">
        <v>3</v>
      </c>
      <c r="V554" s="40">
        <v>3</v>
      </c>
      <c r="W554" s="40">
        <v>4</v>
      </c>
      <c r="X554" s="40">
        <v>1</v>
      </c>
      <c r="Y554" s="41">
        <v>1</v>
      </c>
      <c r="Z554" s="40" t="s">
        <v>45</v>
      </c>
      <c r="AA554" s="40">
        <v>6</v>
      </c>
      <c r="AB554" s="40" t="s">
        <v>45</v>
      </c>
      <c r="AC554" s="40" t="s">
        <v>45</v>
      </c>
      <c r="AD554" s="40" t="s">
        <v>45</v>
      </c>
      <c r="AE554" s="40" t="s">
        <v>45</v>
      </c>
      <c r="AF554" s="40" t="s">
        <v>45</v>
      </c>
      <c r="AG554" s="41" t="s">
        <v>45</v>
      </c>
      <c r="AH554" s="40">
        <v>2</v>
      </c>
      <c r="AI554" s="40">
        <v>1</v>
      </c>
      <c r="AJ554" s="41">
        <v>2</v>
      </c>
      <c r="AK554" s="43" t="s">
        <v>45</v>
      </c>
      <c r="AL554" s="43" t="s">
        <v>635</v>
      </c>
      <c r="AM554" s="44">
        <f t="shared" si="57"/>
        <v>-1.3651855459392288</v>
      </c>
      <c r="AN554" s="44">
        <f t="shared" si="58"/>
        <v>-0.64905655644061999</v>
      </c>
      <c r="AO554" s="45">
        <f t="shared" si="59"/>
        <v>0</v>
      </c>
      <c r="AP554" s="46">
        <f t="shared" si="60"/>
        <v>0</v>
      </c>
      <c r="AQ554" s="44">
        <f>($AM$3*AM554+$AN$3*AN554+$AO$3*AO554+$AP$3*AP554)+$I$3*VLOOKUP(I554,COND!$A$2:$E$7,4,FALSE)+$J$3*VLOOKUP(J554,COND!$A$2:$C$7,2,FALSE)+$K$3*VLOOKUP(K554,COND!$A$2:$C$7,3,FALSE)+IF(AND($B$2&gt;0,$E554&lt;20),$B$2*25,0)</f>
        <v>37.074802768118637</v>
      </c>
      <c r="AR554" s="47">
        <f t="shared" si="61"/>
        <v>-1.5646149644130656</v>
      </c>
      <c r="AS554" s="45" t="str">
        <f t="shared" si="62"/>
        <v>1B</v>
      </c>
      <c r="AT554" s="45">
        <f>RANK(Batters[[#This Row],[zScore]],Batters[[#All],[zScore]])</f>
        <v>550</v>
      </c>
      <c r="AU554" s="45"/>
      <c r="AV554" s="45"/>
      <c r="AW554" s="45" t="str">
        <f t="shared" si="63"/>
        <v>Unlikely</v>
      </c>
      <c r="AX554" s="45"/>
      <c r="AY554" s="45" t="str">
        <f>INDEX(Table5[[#All],[Ovr]],MATCH(Batters[[#This Row],[PID]],Table5[[#All],[PID]],0))</f>
        <v/>
      </c>
      <c r="AZ554" s="45" t="str">
        <f>INDEX(Table5[[#All],[Rnd]],MATCH(Batters[[#This Row],[PID]],Table5[[#All],[PID]],0))</f>
        <v/>
      </c>
      <c r="BA554" s="45" t="str">
        <f>INDEX(Table5[[#All],[Pick]],MATCH(Batters[[#This Row],[PID]],Table5[[#All],[PID]],0))</f>
        <v/>
      </c>
      <c r="BB554" s="45" t="str">
        <f>INDEX(Table5[[#All],[Team]],MATCH(Batters[[#This Row],[PID]],Table5[[#All],[PID]],0))</f>
        <v/>
      </c>
    </row>
    <row r="555" spans="1:54" ht="15" customHeight="1" x14ac:dyDescent="0.25">
      <c r="A555" s="40">
        <v>10529</v>
      </c>
      <c r="B555" s="40" t="s">
        <v>86</v>
      </c>
      <c r="C555" s="40" t="s">
        <v>123</v>
      </c>
      <c r="D555" s="40" t="s">
        <v>835</v>
      </c>
      <c r="E555" s="40">
        <v>22</v>
      </c>
      <c r="F555" s="40" t="s">
        <v>42</v>
      </c>
      <c r="G555" s="40" t="s">
        <v>42</v>
      </c>
      <c r="H555" s="41" t="s">
        <v>638</v>
      </c>
      <c r="I555" s="65" t="s">
        <v>43</v>
      </c>
      <c r="J555" s="66" t="s">
        <v>44</v>
      </c>
      <c r="K555" s="67" t="s">
        <v>43</v>
      </c>
      <c r="L555" s="40">
        <v>2</v>
      </c>
      <c r="M555" s="40">
        <v>2</v>
      </c>
      <c r="N555" s="40">
        <v>3</v>
      </c>
      <c r="O555" s="40">
        <v>3</v>
      </c>
      <c r="P555" s="41">
        <v>1</v>
      </c>
      <c r="Q555" s="40">
        <v>3</v>
      </c>
      <c r="R555" s="40">
        <v>3</v>
      </c>
      <c r="S555" s="40">
        <v>4</v>
      </c>
      <c r="T555" s="40">
        <v>4</v>
      </c>
      <c r="U555" s="41">
        <v>3</v>
      </c>
      <c r="V555" s="40">
        <v>3</v>
      </c>
      <c r="W555" s="40">
        <v>4</v>
      </c>
      <c r="X555" s="40">
        <v>8</v>
      </c>
      <c r="Y555" s="41">
        <v>7</v>
      </c>
      <c r="Z555" s="40">
        <v>3</v>
      </c>
      <c r="AA555" s="40" t="s">
        <v>45</v>
      </c>
      <c r="AB555" s="40" t="s">
        <v>45</v>
      </c>
      <c r="AC555" s="40" t="s">
        <v>45</v>
      </c>
      <c r="AD555" s="40" t="s">
        <v>45</v>
      </c>
      <c r="AE555" s="40" t="s">
        <v>45</v>
      </c>
      <c r="AF555" s="40" t="s">
        <v>45</v>
      </c>
      <c r="AG555" s="41" t="s">
        <v>45</v>
      </c>
      <c r="AH555" s="40">
        <v>1</v>
      </c>
      <c r="AI555" s="40">
        <v>1</v>
      </c>
      <c r="AJ555" s="41">
        <v>1</v>
      </c>
      <c r="AK555" s="43" t="s">
        <v>45</v>
      </c>
      <c r="AL555" s="43" t="s">
        <v>47</v>
      </c>
      <c r="AM555" s="44">
        <f t="shared" si="57"/>
        <v>-1.3651855459392288</v>
      </c>
      <c r="AN555" s="44">
        <f t="shared" si="58"/>
        <v>-0.73876610645020102</v>
      </c>
      <c r="AO555" s="45">
        <f t="shared" si="59"/>
        <v>0</v>
      </c>
      <c r="AP555" s="46">
        <f t="shared" si="60"/>
        <v>1.35</v>
      </c>
      <c r="AQ555" s="44">
        <f>($AM$3*AM555+$AN$3*AN555+$AO$3*AO555+$AP$3*AP555)+$I$3*VLOOKUP(I555,COND!$A$2:$E$7,4,FALSE)+$J$3*VLOOKUP(J555,COND!$A$2:$C$7,2,FALSE)+$K$3*VLOOKUP(K555,COND!$A$2:$C$7,3,FALSE)+IF(AND($B$2&gt;0,$E555&lt;20),$B$2*25,0)</f>
        <v>37.048288168003666</v>
      </c>
      <c r="AR555" s="47">
        <f t="shared" si="61"/>
        <v>-1.5704934304806186</v>
      </c>
      <c r="AS555" s="45" t="str">
        <f t="shared" si="62"/>
        <v>C</v>
      </c>
      <c r="AT555" s="45">
        <f>RANK(Batters[[#This Row],[zScore]],Batters[[#All],[zScore]])</f>
        <v>551</v>
      </c>
      <c r="AU555" s="45"/>
      <c r="AV555" s="45"/>
      <c r="AW555" s="45" t="str">
        <f t="shared" si="63"/>
        <v>Unlikely</v>
      </c>
      <c r="AX555" s="45"/>
      <c r="AY555" s="45" t="str">
        <f>INDEX(Table5[[#All],[Ovr]],MATCH(Batters[[#This Row],[PID]],Table5[[#All],[PID]],0))</f>
        <v/>
      </c>
      <c r="AZ555" s="45" t="str">
        <f>INDEX(Table5[[#All],[Rnd]],MATCH(Batters[[#This Row],[PID]],Table5[[#All],[PID]],0))</f>
        <v/>
      </c>
      <c r="BA555" s="45" t="str">
        <f>INDEX(Table5[[#All],[Pick]],MATCH(Batters[[#This Row],[PID]],Table5[[#All],[PID]],0))</f>
        <v/>
      </c>
      <c r="BB555" s="45" t="str">
        <f>INDEX(Table5[[#All],[Team]],MATCH(Batters[[#This Row],[PID]],Table5[[#All],[PID]],0))</f>
        <v/>
      </c>
    </row>
    <row r="556" spans="1:54" ht="15" customHeight="1" x14ac:dyDescent="0.25">
      <c r="A556" s="40">
        <v>18020</v>
      </c>
      <c r="B556" s="40" t="s">
        <v>69</v>
      </c>
      <c r="C556" s="40" t="s">
        <v>1554</v>
      </c>
      <c r="D556" s="40" t="s">
        <v>1555</v>
      </c>
      <c r="E556" s="40">
        <v>21</v>
      </c>
      <c r="F556" s="40" t="s">
        <v>42</v>
      </c>
      <c r="G556" s="40" t="s">
        <v>42</v>
      </c>
      <c r="H556" s="41" t="s">
        <v>638</v>
      </c>
      <c r="I556" s="65" t="s">
        <v>44</v>
      </c>
      <c r="J556" s="66" t="s">
        <v>44</v>
      </c>
      <c r="K556" s="67" t="s">
        <v>44</v>
      </c>
      <c r="L556" s="40">
        <v>1</v>
      </c>
      <c r="M556" s="40">
        <v>1</v>
      </c>
      <c r="N556" s="40">
        <v>2</v>
      </c>
      <c r="O556" s="40">
        <v>1</v>
      </c>
      <c r="P556" s="41">
        <v>1</v>
      </c>
      <c r="Q556" s="40">
        <v>3</v>
      </c>
      <c r="R556" s="40">
        <v>3</v>
      </c>
      <c r="S556" s="40">
        <v>4</v>
      </c>
      <c r="T556" s="40">
        <v>5</v>
      </c>
      <c r="U556" s="41">
        <v>3</v>
      </c>
      <c r="V556" s="40">
        <v>10</v>
      </c>
      <c r="W556" s="40">
        <v>10</v>
      </c>
      <c r="X556" s="40">
        <v>1</v>
      </c>
      <c r="Y556" s="41">
        <v>1</v>
      </c>
      <c r="Z556" s="40" t="s">
        <v>45</v>
      </c>
      <c r="AA556" s="40" t="s">
        <v>45</v>
      </c>
      <c r="AB556" s="40" t="s">
        <v>45</v>
      </c>
      <c r="AC556" s="40">
        <v>5</v>
      </c>
      <c r="AD556" s="40" t="s">
        <v>45</v>
      </c>
      <c r="AE556" s="40" t="s">
        <v>45</v>
      </c>
      <c r="AF556" s="40" t="s">
        <v>45</v>
      </c>
      <c r="AG556" s="41" t="s">
        <v>45</v>
      </c>
      <c r="AH556" s="40">
        <v>7</v>
      </c>
      <c r="AI556" s="40">
        <v>6</v>
      </c>
      <c r="AJ556" s="41">
        <v>2</v>
      </c>
      <c r="AK556" s="43" t="s">
        <v>45</v>
      </c>
      <c r="AL556" s="43" t="s">
        <v>635</v>
      </c>
      <c r="AM556" s="44">
        <f t="shared" si="57"/>
        <v>-2.0012818558036707</v>
      </c>
      <c r="AN556" s="44">
        <f t="shared" si="58"/>
        <v>-0.64905655644061999</v>
      </c>
      <c r="AO556" s="45">
        <f t="shared" si="59"/>
        <v>0</v>
      </c>
      <c r="AP556" s="46">
        <f t="shared" si="60"/>
        <v>0.75</v>
      </c>
      <c r="AQ556" s="44">
        <f>($AM$3*AM556+$AN$3*AN556+$AO$3*AO556+$AP$3*AP556)+$I$3*VLOOKUP(I556,COND!$A$2:$E$7,4,FALSE)+$J$3*VLOOKUP(J556,COND!$A$2:$C$7,2,FALSE)+$K$3*VLOOKUP(K556,COND!$A$2:$C$7,3,FALSE)+IF(AND($B$2&gt;0,$E556&lt;20),$B$2*25,0)</f>
        <v>37.011193137132196</v>
      </c>
      <c r="AR556" s="47">
        <f t="shared" si="61"/>
        <v>-1.5787176495639617</v>
      </c>
      <c r="AS556" s="45" t="str">
        <f t="shared" si="62"/>
        <v>3B</v>
      </c>
      <c r="AT556" s="45">
        <f>RANK(Batters[[#This Row],[zScore]],Batters[[#All],[zScore]])</f>
        <v>552</v>
      </c>
      <c r="AU556" s="45"/>
      <c r="AV556" s="45"/>
      <c r="AW556" s="45" t="str">
        <f t="shared" si="63"/>
        <v>Unlikely</v>
      </c>
      <c r="AX556" s="45"/>
      <c r="AY556" s="45">
        <f>INDEX(Table5[[#All],[Ovr]],MATCH(Batters[[#This Row],[PID]],Table5[[#All],[PID]],0))</f>
        <v>533</v>
      </c>
      <c r="AZ556" s="45" t="str">
        <f>INDEX(Table5[[#All],[Rnd]],MATCH(Batters[[#This Row],[PID]],Table5[[#All],[PID]],0))</f>
        <v>18</v>
      </c>
      <c r="BA556" s="45">
        <f>INDEX(Table5[[#All],[Pick]],MATCH(Batters[[#This Row],[PID]],Table5[[#All],[PID]],0))</f>
        <v>15</v>
      </c>
      <c r="BB556" s="45" t="str">
        <f>INDEX(Table5[[#All],[Team]],MATCH(Batters[[#This Row],[PID]],Table5[[#All],[PID]],0))</f>
        <v>Kentucky Thoroughbreds</v>
      </c>
    </row>
    <row r="557" spans="1:54" ht="15" customHeight="1" x14ac:dyDescent="0.25">
      <c r="A557" s="40">
        <v>1100</v>
      </c>
      <c r="B557" s="40" t="s">
        <v>71</v>
      </c>
      <c r="C557" s="40" t="s">
        <v>180</v>
      </c>
      <c r="D557" s="40" t="s">
        <v>818</v>
      </c>
      <c r="E557" s="40">
        <v>18</v>
      </c>
      <c r="F557" s="40" t="s">
        <v>53</v>
      </c>
      <c r="G557" s="40" t="s">
        <v>42</v>
      </c>
      <c r="H557" s="41" t="s">
        <v>647</v>
      </c>
      <c r="I557" s="65" t="s">
        <v>43</v>
      </c>
      <c r="J557" s="66" t="s">
        <v>44</v>
      </c>
      <c r="K557" s="67" t="s">
        <v>43</v>
      </c>
      <c r="L557" s="40">
        <v>1</v>
      </c>
      <c r="M557" s="40">
        <v>1</v>
      </c>
      <c r="N557" s="40">
        <v>2</v>
      </c>
      <c r="O557" s="40">
        <v>1</v>
      </c>
      <c r="P557" s="41">
        <v>1</v>
      </c>
      <c r="Q557" s="40">
        <v>2</v>
      </c>
      <c r="R557" s="40">
        <v>3</v>
      </c>
      <c r="S557" s="40">
        <v>3</v>
      </c>
      <c r="T557" s="40">
        <v>5</v>
      </c>
      <c r="U557" s="41">
        <v>3</v>
      </c>
      <c r="V557" s="40">
        <v>2</v>
      </c>
      <c r="W557" s="40">
        <v>1</v>
      </c>
      <c r="X557" s="40">
        <v>1</v>
      </c>
      <c r="Y557" s="41">
        <v>1</v>
      </c>
      <c r="Z557" s="40" t="s">
        <v>45</v>
      </c>
      <c r="AA557" s="40" t="s">
        <v>45</v>
      </c>
      <c r="AB557" s="40">
        <v>1</v>
      </c>
      <c r="AC557" s="40" t="s">
        <v>45</v>
      </c>
      <c r="AD557" s="40" t="s">
        <v>45</v>
      </c>
      <c r="AE557" s="40" t="s">
        <v>45</v>
      </c>
      <c r="AF557" s="40" t="s">
        <v>45</v>
      </c>
      <c r="AG557" s="41" t="s">
        <v>45</v>
      </c>
      <c r="AH557" s="40">
        <v>8</v>
      </c>
      <c r="AI557" s="40">
        <v>4</v>
      </c>
      <c r="AJ557" s="41">
        <v>2</v>
      </c>
      <c r="AK557" s="43" t="s">
        <v>573</v>
      </c>
      <c r="AL557" s="43"/>
      <c r="AM557" s="44">
        <f t="shared" si="57"/>
        <v>-2.0012818558036707</v>
      </c>
      <c r="AN557" s="44">
        <f t="shared" si="58"/>
        <v>-1.0546738866671965</v>
      </c>
      <c r="AO557" s="45">
        <f t="shared" si="59"/>
        <v>1</v>
      </c>
      <c r="AP557" s="46">
        <f t="shared" si="60"/>
        <v>0</v>
      </c>
      <c r="AQ557" s="44">
        <f>($AM$3*AM557+$AN$3*AN557+$AO$3*AO557+$AP$3*AP557)+$I$3*VLOOKUP(I557,COND!$A$2:$E$7,4,FALSE)+$J$3*VLOOKUP(J557,COND!$A$2:$C$7,2,FALSE)+$K$3*VLOOKUP(K557,COND!$A$2:$C$7,3,FALSE)+IF(AND($B$2&gt;0,$E557&lt;20),$B$2*25,0)</f>
        <v>37.010451841079941</v>
      </c>
      <c r="AR557" s="47">
        <f t="shared" si="61"/>
        <v>-1.5788819999094428</v>
      </c>
      <c r="AS557" s="45" t="str">
        <f t="shared" si="62"/>
        <v>2B</v>
      </c>
      <c r="AT557" s="45">
        <f>RANK(Batters[[#This Row],[zScore]],Batters[[#All],[zScore]])</f>
        <v>553</v>
      </c>
      <c r="AU557" s="45"/>
      <c r="AV557" s="45"/>
      <c r="AW557" s="45" t="str">
        <f t="shared" si="63"/>
        <v>Unlikely</v>
      </c>
      <c r="AX557" s="45"/>
      <c r="AY557" s="64" t="str">
        <f>INDEX(Table5[[#All],[Ovr]],MATCH(Batters[[#This Row],[PID]],Table5[[#All],[PID]],0))</f>
        <v/>
      </c>
      <c r="AZ557" s="64" t="str">
        <f>INDEX(Table5[[#All],[Rnd]],MATCH(Batters[[#This Row],[PID]],Table5[[#All],[PID]],0))</f>
        <v/>
      </c>
      <c r="BA557" s="64" t="str">
        <f>INDEX(Table5[[#All],[Pick]],MATCH(Batters[[#This Row],[PID]],Table5[[#All],[PID]],0))</f>
        <v/>
      </c>
      <c r="BB557" s="64" t="str">
        <f>INDEX(Table5[[#All],[Team]],MATCH(Batters[[#This Row],[PID]],Table5[[#All],[PID]],0))</f>
        <v/>
      </c>
    </row>
    <row r="558" spans="1:54" ht="15" customHeight="1" x14ac:dyDescent="0.25">
      <c r="A558" s="40">
        <v>18029</v>
      </c>
      <c r="B558" s="40" t="s">
        <v>86</v>
      </c>
      <c r="C558" s="40" t="s">
        <v>880</v>
      </c>
      <c r="D558" s="40" t="s">
        <v>1488</v>
      </c>
      <c r="E558" s="40">
        <v>21</v>
      </c>
      <c r="F558" s="40" t="s">
        <v>42</v>
      </c>
      <c r="G558" s="40" t="s">
        <v>42</v>
      </c>
      <c r="H558" s="41" t="s">
        <v>638</v>
      </c>
      <c r="I558" s="65" t="s">
        <v>47</v>
      </c>
      <c r="J558" s="66" t="s">
        <v>43</v>
      </c>
      <c r="K558" s="67" t="s">
        <v>43</v>
      </c>
      <c r="L558" s="40">
        <v>1</v>
      </c>
      <c r="M558" s="40">
        <v>5</v>
      </c>
      <c r="N558" s="40">
        <v>2</v>
      </c>
      <c r="O558" s="40">
        <v>1</v>
      </c>
      <c r="P558" s="41">
        <v>1</v>
      </c>
      <c r="Q558" s="40">
        <v>3</v>
      </c>
      <c r="R558" s="40">
        <v>5</v>
      </c>
      <c r="S558" s="40">
        <v>3</v>
      </c>
      <c r="T558" s="40">
        <v>5</v>
      </c>
      <c r="U558" s="41">
        <v>2</v>
      </c>
      <c r="V558" s="40">
        <v>3</v>
      </c>
      <c r="W558" s="40">
        <v>3</v>
      </c>
      <c r="X558" s="40">
        <v>6</v>
      </c>
      <c r="Y558" s="41">
        <v>9</v>
      </c>
      <c r="Z558" s="40" t="s">
        <v>45</v>
      </c>
      <c r="AA558" s="40" t="s">
        <v>45</v>
      </c>
      <c r="AB558" s="40" t="s">
        <v>45</v>
      </c>
      <c r="AC558" s="40" t="s">
        <v>45</v>
      </c>
      <c r="AD558" s="40" t="s">
        <v>45</v>
      </c>
      <c r="AE558" s="40" t="s">
        <v>45</v>
      </c>
      <c r="AF558" s="40" t="s">
        <v>45</v>
      </c>
      <c r="AG558" s="41" t="s">
        <v>45</v>
      </c>
      <c r="AH558" s="40">
        <v>2</v>
      </c>
      <c r="AI558" s="40">
        <v>3</v>
      </c>
      <c r="AJ558" s="41">
        <v>2</v>
      </c>
      <c r="AK558" s="43" t="s">
        <v>45</v>
      </c>
      <c r="AL558" s="43" t="s">
        <v>47</v>
      </c>
      <c r="AM558" s="44">
        <f t="shared" si="57"/>
        <v>-1.7970423373288567</v>
      </c>
      <c r="AN558" s="44">
        <f t="shared" si="58"/>
        <v>-0.67001463104419801</v>
      </c>
      <c r="AO558" s="45">
        <f t="shared" si="59"/>
        <v>0</v>
      </c>
      <c r="AP558" s="46">
        <f t="shared" si="60"/>
        <v>0</v>
      </c>
      <c r="AQ558" s="44">
        <f>($AM$3*AM558+$AN$3*AN558+$AO$3*AO558+$AP$3*AP558)+$I$3*VLOOKUP(I558,COND!$A$2:$E$7,4,FALSE)+$J$3*VLOOKUP(J558,COND!$A$2:$C$7,2,FALSE)+$K$3*VLOOKUP(K558,COND!$A$2:$C$7,3,FALSE)+IF(AND($B$2&gt;0,$E558&lt;20),$B$2*25,0)</f>
        <v>37.005120193736737</v>
      </c>
      <c r="AR558" s="47">
        <f t="shared" si="61"/>
        <v>-1.5800640621640227</v>
      </c>
      <c r="AS558" s="45" t="str">
        <f t="shared" si="62"/>
        <v>DH</v>
      </c>
      <c r="AT558" s="45">
        <f>RANK(Batters[[#This Row],[zScore]],Batters[[#All],[zScore]])</f>
        <v>554</v>
      </c>
      <c r="AU558" s="45"/>
      <c r="AV558" s="45"/>
      <c r="AW558" s="45" t="str">
        <f t="shared" si="63"/>
        <v>Unlikely</v>
      </c>
      <c r="AX558" s="45"/>
      <c r="AY558" s="45" t="str">
        <f>INDEX(Table5[[#All],[Ovr]],MATCH(Batters[[#This Row],[PID]],Table5[[#All],[PID]],0))</f>
        <v/>
      </c>
      <c r="AZ558" s="45" t="str">
        <f>INDEX(Table5[[#All],[Rnd]],MATCH(Batters[[#This Row],[PID]],Table5[[#All],[PID]],0))</f>
        <v/>
      </c>
      <c r="BA558" s="45" t="str">
        <f>INDEX(Table5[[#All],[Pick]],MATCH(Batters[[#This Row],[PID]],Table5[[#All],[PID]],0))</f>
        <v/>
      </c>
      <c r="BB558" s="45" t="str">
        <f>INDEX(Table5[[#All],[Team]],MATCH(Batters[[#This Row],[PID]],Table5[[#All],[PID]],0))</f>
        <v/>
      </c>
    </row>
    <row r="559" spans="1:54" ht="15" customHeight="1" x14ac:dyDescent="0.25">
      <c r="A559" s="40">
        <v>18437</v>
      </c>
      <c r="B559" s="40" t="s">
        <v>86</v>
      </c>
      <c r="C559" s="40" t="s">
        <v>1653</v>
      </c>
      <c r="D559" s="40" t="s">
        <v>1658</v>
      </c>
      <c r="E559" s="40">
        <v>18</v>
      </c>
      <c r="F559" s="40" t="s">
        <v>42</v>
      </c>
      <c r="G559" s="40" t="s">
        <v>42</v>
      </c>
      <c r="H559" s="41" t="s">
        <v>639</v>
      </c>
      <c r="I559" s="65" t="s">
        <v>43</v>
      </c>
      <c r="J559" s="66" t="s">
        <v>47</v>
      </c>
      <c r="K559" s="67" t="s">
        <v>43</v>
      </c>
      <c r="L559" s="40">
        <v>1</v>
      </c>
      <c r="M559" s="40">
        <v>2</v>
      </c>
      <c r="N559" s="40">
        <v>2</v>
      </c>
      <c r="O559" s="40">
        <v>2</v>
      </c>
      <c r="P559" s="41">
        <v>1</v>
      </c>
      <c r="Q559" s="40">
        <v>2</v>
      </c>
      <c r="R559" s="40">
        <v>3</v>
      </c>
      <c r="S559" s="40">
        <v>3</v>
      </c>
      <c r="T559" s="40">
        <v>5</v>
      </c>
      <c r="U559" s="41">
        <v>2</v>
      </c>
      <c r="V559" s="40">
        <v>1</v>
      </c>
      <c r="W559" s="40">
        <v>2</v>
      </c>
      <c r="X559" s="40">
        <v>3</v>
      </c>
      <c r="Y559" s="41">
        <v>6</v>
      </c>
      <c r="Z559" s="40" t="s">
        <v>45</v>
      </c>
      <c r="AA559" s="40" t="s">
        <v>45</v>
      </c>
      <c r="AB559" s="40" t="s">
        <v>45</v>
      </c>
      <c r="AC559" s="40" t="s">
        <v>45</v>
      </c>
      <c r="AD559" s="40" t="s">
        <v>45</v>
      </c>
      <c r="AE559" s="40" t="s">
        <v>45</v>
      </c>
      <c r="AF559" s="40" t="s">
        <v>45</v>
      </c>
      <c r="AG559" s="41" t="s">
        <v>45</v>
      </c>
      <c r="AH559" s="40">
        <v>1</v>
      </c>
      <c r="AI559" s="40">
        <v>3</v>
      </c>
      <c r="AJ559" s="41">
        <v>1</v>
      </c>
      <c r="AK559" s="43" t="s">
        <v>548</v>
      </c>
      <c r="AL559" s="43"/>
      <c r="AM559" s="44">
        <f t="shared" si="57"/>
        <v>-1.8605124261753858</v>
      </c>
      <c r="AN559" s="44">
        <f t="shared" si="58"/>
        <v>-1.0946902264842799</v>
      </c>
      <c r="AO559" s="45">
        <f t="shared" si="59"/>
        <v>0</v>
      </c>
      <c r="AP559" s="46">
        <f t="shared" si="60"/>
        <v>0</v>
      </c>
      <c r="AQ559" s="44">
        <f>($AM$3*AM559+$AN$3*AN559+$AO$3*AO559+$AP$3*AP559)+$I$3*VLOOKUP(I559,COND!$A$2:$E$7,4,FALSE)+$J$3*VLOOKUP(J559,COND!$A$2:$C$7,2,FALSE)+$K$3*VLOOKUP(K559,COND!$A$2:$C$7,3,FALSE)+IF(AND($B$2&gt;0,$E559&lt;20),$B$2*25,0)</f>
        <v>36.977666039571105</v>
      </c>
      <c r="AR559" s="47">
        <f t="shared" si="61"/>
        <v>-1.5861508337154029</v>
      </c>
      <c r="AS559" s="45" t="str">
        <f t="shared" si="62"/>
        <v>DH</v>
      </c>
      <c r="AT559" s="45">
        <f>RANK(Batters[[#This Row],[zScore]],Batters[[#All],[zScore]])</f>
        <v>555</v>
      </c>
      <c r="AU559" s="45"/>
      <c r="AV559" s="45"/>
      <c r="AW559" s="45" t="str">
        <f t="shared" si="63"/>
        <v>Unlikely</v>
      </c>
      <c r="AX559" s="45"/>
      <c r="AY559" s="64" t="str">
        <f>INDEX(Table5[[#All],[Ovr]],MATCH(Batters[[#This Row],[PID]],Table5[[#All],[PID]],0))</f>
        <v/>
      </c>
      <c r="AZ559" s="64" t="str">
        <f>INDEX(Table5[[#All],[Rnd]],MATCH(Batters[[#This Row],[PID]],Table5[[#All],[PID]],0))</f>
        <v/>
      </c>
      <c r="BA559" s="64" t="str">
        <f>INDEX(Table5[[#All],[Pick]],MATCH(Batters[[#This Row],[PID]],Table5[[#All],[PID]],0))</f>
        <v/>
      </c>
      <c r="BB559" s="64" t="str">
        <f>INDEX(Table5[[#All],[Team]],MATCH(Batters[[#This Row],[PID]],Table5[[#All],[PID]],0))</f>
        <v/>
      </c>
    </row>
    <row r="560" spans="1:54" ht="30" x14ac:dyDescent="0.25">
      <c r="A560" s="40">
        <v>11926</v>
      </c>
      <c r="B560" s="40" t="s">
        <v>86</v>
      </c>
      <c r="C560" s="40" t="s">
        <v>192</v>
      </c>
      <c r="D560" s="40" t="s">
        <v>967</v>
      </c>
      <c r="E560" s="40">
        <v>22</v>
      </c>
      <c r="F560" s="40" t="s">
        <v>42</v>
      </c>
      <c r="G560" s="40" t="s">
        <v>42</v>
      </c>
      <c r="H560" s="41" t="s">
        <v>638</v>
      </c>
      <c r="I560" s="65" t="s">
        <v>43</v>
      </c>
      <c r="J560" s="66" t="s">
        <v>44</v>
      </c>
      <c r="K560" s="67" t="s">
        <v>43</v>
      </c>
      <c r="L560" s="40">
        <v>2</v>
      </c>
      <c r="M560" s="40">
        <v>3</v>
      </c>
      <c r="N560" s="40">
        <v>2</v>
      </c>
      <c r="O560" s="40">
        <v>2</v>
      </c>
      <c r="P560" s="41">
        <v>1</v>
      </c>
      <c r="Q560" s="40">
        <v>3</v>
      </c>
      <c r="R560" s="40">
        <v>4</v>
      </c>
      <c r="S560" s="40">
        <v>4</v>
      </c>
      <c r="T560" s="40">
        <v>5</v>
      </c>
      <c r="U560" s="41">
        <v>2</v>
      </c>
      <c r="V560" s="40">
        <v>3</v>
      </c>
      <c r="W560" s="40">
        <v>3</v>
      </c>
      <c r="X560" s="40">
        <v>6</v>
      </c>
      <c r="Y560" s="41">
        <v>5</v>
      </c>
      <c r="Z560" s="40" t="s">
        <v>45</v>
      </c>
      <c r="AA560" s="40" t="s">
        <v>45</v>
      </c>
      <c r="AB560" s="40" t="s">
        <v>45</v>
      </c>
      <c r="AC560" s="40" t="s">
        <v>45</v>
      </c>
      <c r="AD560" s="40" t="s">
        <v>45</v>
      </c>
      <c r="AE560" s="40" t="s">
        <v>45</v>
      </c>
      <c r="AF560" s="40" t="s">
        <v>45</v>
      </c>
      <c r="AG560" s="41" t="s">
        <v>45</v>
      </c>
      <c r="AH560" s="40">
        <v>2</v>
      </c>
      <c r="AI560" s="40">
        <v>5</v>
      </c>
      <c r="AJ560" s="41">
        <v>4</v>
      </c>
      <c r="AK560" s="43" t="s">
        <v>45</v>
      </c>
      <c r="AL560" s="43" t="s">
        <v>47</v>
      </c>
      <c r="AM560" s="44">
        <f t="shared" si="57"/>
        <v>-1.4868967103540081</v>
      </c>
      <c r="AN560" s="44">
        <f t="shared" si="58"/>
        <v>-0.6380130166389999</v>
      </c>
      <c r="AO560" s="45">
        <f t="shared" si="59"/>
        <v>0</v>
      </c>
      <c r="AP560" s="46">
        <f t="shared" si="60"/>
        <v>0</v>
      </c>
      <c r="AQ560" s="44">
        <f>($AM$3*AM560+$AN$3*AN560+$AO$3*AO560+$AP$3*AP560)+$I$3*VLOOKUP(I560,COND!$A$2:$E$7,4,FALSE)+$J$3*VLOOKUP(J560,COND!$A$2:$C$7,2,FALSE)+$K$3*VLOOKUP(K560,COND!$A$2:$C$7,3,FALSE)+IF(AND($B$2&gt;0,$E560&lt;20),$B$2*25,0)</f>
        <v>36.8951541292966</v>
      </c>
      <c r="AR560" s="47">
        <f t="shared" si="61"/>
        <v>-1.6044442819520128</v>
      </c>
      <c r="AS560" s="45" t="str">
        <f t="shared" si="62"/>
        <v>DH</v>
      </c>
      <c r="AT560" s="45">
        <f>RANK(Batters[[#This Row],[zScore]],Batters[[#All],[zScore]])</f>
        <v>556</v>
      </c>
      <c r="AU560" s="45"/>
      <c r="AV560" s="45"/>
      <c r="AW560" s="45" t="str">
        <f t="shared" si="63"/>
        <v>Unlikely</v>
      </c>
      <c r="AX560" s="45"/>
      <c r="AY560" s="45" t="str">
        <f>INDEX(Table5[[#All],[Ovr]],MATCH(Batters[[#This Row],[PID]],Table5[[#All],[PID]],0))</f>
        <v/>
      </c>
      <c r="AZ560" s="45" t="str">
        <f>INDEX(Table5[[#All],[Rnd]],MATCH(Batters[[#This Row],[PID]],Table5[[#All],[PID]],0))</f>
        <v/>
      </c>
      <c r="BA560" s="45" t="str">
        <f>INDEX(Table5[[#All],[Pick]],MATCH(Batters[[#This Row],[PID]],Table5[[#All],[PID]],0))</f>
        <v/>
      </c>
      <c r="BB560" s="45" t="str">
        <f>INDEX(Table5[[#All],[Team]],MATCH(Batters[[#This Row],[PID]],Table5[[#All],[PID]],0))</f>
        <v/>
      </c>
    </row>
    <row r="561" spans="1:54" ht="30" x14ac:dyDescent="0.25">
      <c r="A561" s="40">
        <v>18079</v>
      </c>
      <c r="B561" s="40" t="s">
        <v>50</v>
      </c>
      <c r="C561" s="40" t="s">
        <v>193</v>
      </c>
      <c r="D561" s="40" t="s">
        <v>1501</v>
      </c>
      <c r="E561" s="40">
        <v>21</v>
      </c>
      <c r="F561" s="40" t="s">
        <v>42</v>
      </c>
      <c r="G561" s="40" t="s">
        <v>42</v>
      </c>
      <c r="H561" s="41" t="s">
        <v>638</v>
      </c>
      <c r="I561" s="65" t="s">
        <v>43</v>
      </c>
      <c r="J561" s="66" t="s">
        <v>47</v>
      </c>
      <c r="K561" s="67" t="s">
        <v>43</v>
      </c>
      <c r="L561" s="40">
        <v>2</v>
      </c>
      <c r="M561" s="40">
        <v>2</v>
      </c>
      <c r="N561" s="40">
        <v>2</v>
      </c>
      <c r="O561" s="40">
        <v>3</v>
      </c>
      <c r="P561" s="41">
        <v>1</v>
      </c>
      <c r="Q561" s="40">
        <v>3</v>
      </c>
      <c r="R561" s="40">
        <v>4</v>
      </c>
      <c r="S561" s="40">
        <v>2</v>
      </c>
      <c r="T561" s="40">
        <v>5</v>
      </c>
      <c r="U561" s="41">
        <v>4</v>
      </c>
      <c r="V561" s="40">
        <v>8</v>
      </c>
      <c r="W561" s="40">
        <v>10</v>
      </c>
      <c r="X561" s="40">
        <v>1</v>
      </c>
      <c r="Y561" s="41">
        <v>1</v>
      </c>
      <c r="Z561" s="40" t="s">
        <v>45</v>
      </c>
      <c r="AA561" s="40" t="s">
        <v>45</v>
      </c>
      <c r="AB561" s="40" t="s">
        <v>45</v>
      </c>
      <c r="AC561" s="40" t="s">
        <v>45</v>
      </c>
      <c r="AD561" s="40">
        <v>1</v>
      </c>
      <c r="AE561" s="40">
        <v>9</v>
      </c>
      <c r="AF561" s="40">
        <v>2</v>
      </c>
      <c r="AG561" s="41" t="s">
        <v>45</v>
      </c>
      <c r="AH561" s="40">
        <v>9</v>
      </c>
      <c r="AI561" s="40">
        <v>3</v>
      </c>
      <c r="AJ561" s="41">
        <v>5</v>
      </c>
      <c r="AK561" s="43" t="s">
        <v>45</v>
      </c>
      <c r="AL561" s="43" t="s">
        <v>47</v>
      </c>
      <c r="AM561" s="44">
        <f t="shared" si="57"/>
        <v>-1.4482470399631302</v>
      </c>
      <c r="AN561" s="44">
        <f t="shared" si="58"/>
        <v>-0.72410332505263597</v>
      </c>
      <c r="AO561" s="45">
        <f t="shared" si="59"/>
        <v>1</v>
      </c>
      <c r="AP561" s="46">
        <f t="shared" si="60"/>
        <v>0.25</v>
      </c>
      <c r="AQ561" s="44">
        <f>($AM$3*AM561+$AN$3*AN561+$AO$3*AO561+$AP$3*AP561)+$I$3*VLOOKUP(I561,COND!$A$2:$E$7,4,FALSE)+$J$3*VLOOKUP(J561,COND!$A$2:$C$7,2,FALSE)+$K$3*VLOOKUP(K561,COND!$A$2:$C$7,3,FALSE)+IF(AND($B$2&gt;0,$E561&lt;20),$B$2*25,0)</f>
        <v>36.882602062038721</v>
      </c>
      <c r="AR561" s="47">
        <f t="shared" si="61"/>
        <v>-1.607227160107185</v>
      </c>
      <c r="AS561" s="45" t="str">
        <f t="shared" si="62"/>
        <v>SS</v>
      </c>
      <c r="AT561" s="45">
        <f>RANK(Batters[[#This Row],[zScore]],Batters[[#All],[zScore]])</f>
        <v>557</v>
      </c>
      <c r="AU561" s="45"/>
      <c r="AV561" s="45"/>
      <c r="AW561" s="45" t="str">
        <f t="shared" si="63"/>
        <v>Unlikely</v>
      </c>
      <c r="AX561" s="45"/>
      <c r="AY561" s="45" t="str">
        <f>INDEX(Table5[[#All],[Ovr]],MATCH(Batters[[#This Row],[PID]],Table5[[#All],[PID]],0))</f>
        <v/>
      </c>
      <c r="AZ561" s="45" t="str">
        <f>INDEX(Table5[[#All],[Rnd]],MATCH(Batters[[#This Row],[PID]],Table5[[#All],[PID]],0))</f>
        <v/>
      </c>
      <c r="BA561" s="45" t="str">
        <f>INDEX(Table5[[#All],[Pick]],MATCH(Batters[[#This Row],[PID]],Table5[[#All],[PID]],0))</f>
        <v/>
      </c>
      <c r="BB561" s="45" t="str">
        <f>INDEX(Table5[[#All],[Team]],MATCH(Batters[[#This Row],[PID]],Table5[[#All],[PID]],0))</f>
        <v/>
      </c>
    </row>
    <row r="562" spans="1:54" ht="30" x14ac:dyDescent="0.25">
      <c r="A562" s="40">
        <v>7227</v>
      </c>
      <c r="B562" s="40" t="s">
        <v>72</v>
      </c>
      <c r="C562" s="40" t="s">
        <v>401</v>
      </c>
      <c r="D562" s="40" t="s">
        <v>1011</v>
      </c>
      <c r="E562" s="40">
        <v>21</v>
      </c>
      <c r="F562" s="40" t="s">
        <v>42</v>
      </c>
      <c r="G562" s="40" t="s">
        <v>42</v>
      </c>
      <c r="H562" s="41" t="s">
        <v>638</v>
      </c>
      <c r="I562" s="65" t="s">
        <v>43</v>
      </c>
      <c r="J562" s="66" t="s">
        <v>47</v>
      </c>
      <c r="K562" s="67" t="s">
        <v>43</v>
      </c>
      <c r="L562" s="40">
        <v>1</v>
      </c>
      <c r="M562" s="40">
        <v>1</v>
      </c>
      <c r="N562" s="40">
        <v>2</v>
      </c>
      <c r="O562" s="40">
        <v>2</v>
      </c>
      <c r="P562" s="41">
        <v>1</v>
      </c>
      <c r="Q562" s="40">
        <v>3</v>
      </c>
      <c r="R562" s="40">
        <v>3</v>
      </c>
      <c r="S562" s="40">
        <v>2</v>
      </c>
      <c r="T562" s="40">
        <v>5</v>
      </c>
      <c r="U562" s="41">
        <v>3</v>
      </c>
      <c r="V562" s="40">
        <v>6</v>
      </c>
      <c r="W562" s="40">
        <v>5</v>
      </c>
      <c r="X562" s="40">
        <v>1</v>
      </c>
      <c r="Y562" s="41">
        <v>1</v>
      </c>
      <c r="Z562" s="40" t="s">
        <v>45</v>
      </c>
      <c r="AA562" s="40" t="s">
        <v>45</v>
      </c>
      <c r="AB562" s="40" t="s">
        <v>45</v>
      </c>
      <c r="AC562" s="40" t="s">
        <v>45</v>
      </c>
      <c r="AD562" s="40">
        <v>5</v>
      </c>
      <c r="AE562" s="40" t="s">
        <v>45</v>
      </c>
      <c r="AF562" s="40" t="s">
        <v>45</v>
      </c>
      <c r="AG562" s="41" t="s">
        <v>45</v>
      </c>
      <c r="AH562" s="40">
        <v>8</v>
      </c>
      <c r="AI562" s="40">
        <v>8</v>
      </c>
      <c r="AJ562" s="41">
        <v>5</v>
      </c>
      <c r="AK562" s="43" t="s">
        <v>643</v>
      </c>
      <c r="AL562" s="43" t="s">
        <v>47</v>
      </c>
      <c r="AM562" s="44">
        <f t="shared" si="57"/>
        <v>-1.9115723057940897</v>
      </c>
      <c r="AN562" s="44">
        <f t="shared" si="58"/>
        <v>-0.815179544488423</v>
      </c>
      <c r="AO562" s="45">
        <f t="shared" si="59"/>
        <v>3</v>
      </c>
      <c r="AP562" s="46">
        <f t="shared" si="60"/>
        <v>1</v>
      </c>
      <c r="AQ562" s="44">
        <f>($AM$3*AM562+$AN$3*AN562+$AO$3*AO562+$AP$3*AP562)+$I$3*VLOOKUP(I562,COND!$A$2:$E$7,4,FALSE)+$J$3*VLOOKUP(J562,COND!$A$2:$C$7,2,FALSE)+$K$3*VLOOKUP(K562,COND!$A$2:$C$7,3,FALSE)+IF(AND($B$2&gt;0,$E562&lt;20),$B$2*25,0)</f>
        <v>36.826688235559516</v>
      </c>
      <c r="AR562" s="47">
        <f t="shared" si="61"/>
        <v>-1.619623633380016</v>
      </c>
      <c r="AS562" s="45" t="str">
        <f t="shared" si="62"/>
        <v>SS</v>
      </c>
      <c r="AT562" s="45">
        <f>RANK(Batters[[#This Row],[zScore]],Batters[[#All],[zScore]])</f>
        <v>558</v>
      </c>
      <c r="AU562" s="45"/>
      <c r="AV562" s="45"/>
      <c r="AW562" s="45" t="str">
        <f t="shared" si="63"/>
        <v>Unlikely</v>
      </c>
      <c r="AX562" s="45"/>
      <c r="AY562" s="45" t="str">
        <f>INDEX(Table5[[#All],[Ovr]],MATCH(Batters[[#This Row],[PID]],Table5[[#All],[PID]],0))</f>
        <v/>
      </c>
      <c r="AZ562" s="45" t="str">
        <f>INDEX(Table5[[#All],[Rnd]],MATCH(Batters[[#This Row],[PID]],Table5[[#All],[PID]],0))</f>
        <v/>
      </c>
      <c r="BA562" s="45" t="str">
        <f>INDEX(Table5[[#All],[Pick]],MATCH(Batters[[#This Row],[PID]],Table5[[#All],[PID]],0))</f>
        <v/>
      </c>
      <c r="BB562" s="45" t="str">
        <f>INDEX(Table5[[#All],[Team]],MATCH(Batters[[#This Row],[PID]],Table5[[#All],[PID]],0))</f>
        <v/>
      </c>
    </row>
    <row r="563" spans="1:54" ht="30" x14ac:dyDescent="0.25">
      <c r="A563" s="40">
        <v>18292</v>
      </c>
      <c r="B563" s="40" t="s">
        <v>71</v>
      </c>
      <c r="C563" s="40" t="s">
        <v>641</v>
      </c>
      <c r="D563" s="40" t="s">
        <v>1199</v>
      </c>
      <c r="E563" s="40">
        <v>21</v>
      </c>
      <c r="F563" s="40" t="s">
        <v>42</v>
      </c>
      <c r="G563" s="40" t="s">
        <v>42</v>
      </c>
      <c r="H563" s="41" t="s">
        <v>638</v>
      </c>
      <c r="I563" s="65" t="s">
        <v>43</v>
      </c>
      <c r="J563" s="66" t="s">
        <v>44</v>
      </c>
      <c r="K563" s="67" t="s">
        <v>43</v>
      </c>
      <c r="L563" s="40">
        <v>2</v>
      </c>
      <c r="M563" s="40">
        <v>4</v>
      </c>
      <c r="N563" s="40">
        <v>2</v>
      </c>
      <c r="O563" s="40">
        <v>3</v>
      </c>
      <c r="P563" s="41">
        <v>2</v>
      </c>
      <c r="Q563" s="40">
        <v>3</v>
      </c>
      <c r="R563" s="40">
        <v>5</v>
      </c>
      <c r="S563" s="40">
        <v>2</v>
      </c>
      <c r="T563" s="40">
        <v>5</v>
      </c>
      <c r="U563" s="41">
        <v>4</v>
      </c>
      <c r="V563" s="40">
        <v>2</v>
      </c>
      <c r="W563" s="40">
        <v>1</v>
      </c>
      <c r="X563" s="40">
        <v>1</v>
      </c>
      <c r="Y563" s="41">
        <v>1</v>
      </c>
      <c r="Z563" s="40" t="s">
        <v>45</v>
      </c>
      <c r="AA563" s="40" t="s">
        <v>45</v>
      </c>
      <c r="AB563" s="40">
        <v>4</v>
      </c>
      <c r="AC563" s="40" t="s">
        <v>45</v>
      </c>
      <c r="AD563" s="40" t="s">
        <v>45</v>
      </c>
      <c r="AE563" s="40" t="s">
        <v>45</v>
      </c>
      <c r="AF563" s="40" t="s">
        <v>45</v>
      </c>
      <c r="AG563" s="41" t="s">
        <v>45</v>
      </c>
      <c r="AH563" s="40">
        <v>8</v>
      </c>
      <c r="AI563" s="40">
        <v>7</v>
      </c>
      <c r="AJ563" s="41">
        <v>5</v>
      </c>
      <c r="AK563" s="43" t="s">
        <v>45</v>
      </c>
      <c r="AL563" s="43" t="s">
        <v>47</v>
      </c>
      <c r="AM563" s="44">
        <f t="shared" si="57"/>
        <v>-1.3061109409086398</v>
      </c>
      <c r="AN563" s="44">
        <f t="shared" si="58"/>
        <v>-0.67304344543393257</v>
      </c>
      <c r="AO563" s="45">
        <f t="shared" si="59"/>
        <v>2</v>
      </c>
      <c r="AP563" s="46">
        <f t="shared" si="60"/>
        <v>0</v>
      </c>
      <c r="AQ563" s="44">
        <f>($AM$3*AM563+$AN$3*AN563+$AO$3*AO563+$AP$3*AP563)+$I$3*VLOOKUP(I563,COND!$A$2:$E$7,4,FALSE)+$J$3*VLOOKUP(J563,COND!$A$2:$C$7,2,FALSE)+$K$3*VLOOKUP(K563,COND!$A$2:$C$7,3,FALSE)+IF(AND($B$2&gt;0,$E563&lt;20),$B$2*25,0)</f>
        <v>36.826200894035281</v>
      </c>
      <c r="AR563" s="47">
        <f t="shared" si="61"/>
        <v>-1.6197316802900616</v>
      </c>
      <c r="AS563" s="45" t="str">
        <f t="shared" si="62"/>
        <v>2B</v>
      </c>
      <c r="AT563" s="45">
        <f>RANK(Batters[[#This Row],[zScore]],Batters[[#All],[zScore]])</f>
        <v>559</v>
      </c>
      <c r="AU563" s="45"/>
      <c r="AV563" s="45"/>
      <c r="AW563" s="45" t="str">
        <f t="shared" si="63"/>
        <v>Unlikely</v>
      </c>
      <c r="AX563" s="45"/>
      <c r="AY563" s="45" t="str">
        <f>INDEX(Table5[[#All],[Ovr]],MATCH(Batters[[#This Row],[PID]],Table5[[#All],[PID]],0))</f>
        <v/>
      </c>
      <c r="AZ563" s="45" t="str">
        <f>INDEX(Table5[[#All],[Rnd]],MATCH(Batters[[#This Row],[PID]],Table5[[#All],[PID]],0))</f>
        <v/>
      </c>
      <c r="BA563" s="45" t="str">
        <f>INDEX(Table5[[#All],[Pick]],MATCH(Batters[[#This Row],[PID]],Table5[[#All],[PID]],0))</f>
        <v/>
      </c>
      <c r="BB563" s="45" t="str">
        <f>INDEX(Table5[[#All],[Team]],MATCH(Batters[[#This Row],[PID]],Table5[[#All],[PID]],0))</f>
        <v/>
      </c>
    </row>
    <row r="564" spans="1:54" ht="30" x14ac:dyDescent="0.25">
      <c r="A564" s="40">
        <v>16561</v>
      </c>
      <c r="B564" s="40" t="s">
        <v>71</v>
      </c>
      <c r="C564" s="40" t="s">
        <v>931</v>
      </c>
      <c r="D564" s="40" t="s">
        <v>844</v>
      </c>
      <c r="E564" s="40">
        <v>22</v>
      </c>
      <c r="F564" s="40" t="s">
        <v>42</v>
      </c>
      <c r="G564" s="40" t="s">
        <v>42</v>
      </c>
      <c r="H564" s="41" t="s">
        <v>639</v>
      </c>
      <c r="I564" s="65" t="s">
        <v>43</v>
      </c>
      <c r="J564" s="66" t="s">
        <v>44</v>
      </c>
      <c r="K564" s="67" t="s">
        <v>43</v>
      </c>
      <c r="L564" s="40">
        <v>1</v>
      </c>
      <c r="M564" s="40">
        <v>2</v>
      </c>
      <c r="N564" s="40">
        <v>2</v>
      </c>
      <c r="O564" s="40">
        <v>3</v>
      </c>
      <c r="P564" s="41">
        <v>1</v>
      </c>
      <c r="Q564" s="40">
        <v>3</v>
      </c>
      <c r="R564" s="40">
        <v>3</v>
      </c>
      <c r="S564" s="40">
        <v>3</v>
      </c>
      <c r="T564" s="40">
        <v>6</v>
      </c>
      <c r="U564" s="41">
        <v>3</v>
      </c>
      <c r="V564" s="40">
        <v>3</v>
      </c>
      <c r="W564" s="40">
        <v>4</v>
      </c>
      <c r="X564" s="40">
        <v>1</v>
      </c>
      <c r="Y564" s="41">
        <v>1</v>
      </c>
      <c r="Z564" s="40" t="s">
        <v>45</v>
      </c>
      <c r="AA564" s="40" t="s">
        <v>45</v>
      </c>
      <c r="AB564" s="40">
        <v>1</v>
      </c>
      <c r="AC564" s="40" t="s">
        <v>45</v>
      </c>
      <c r="AD564" s="40" t="s">
        <v>45</v>
      </c>
      <c r="AE564" s="40">
        <v>2</v>
      </c>
      <c r="AF564" s="40" t="s">
        <v>45</v>
      </c>
      <c r="AG564" s="41" t="s">
        <v>45</v>
      </c>
      <c r="AH564" s="40">
        <v>3</v>
      </c>
      <c r="AI564" s="40">
        <v>2</v>
      </c>
      <c r="AJ564" s="41">
        <v>2</v>
      </c>
      <c r="AK564" s="43" t="s">
        <v>45</v>
      </c>
      <c r="AL564" s="43"/>
      <c r="AM564" s="44">
        <f t="shared" si="57"/>
        <v>-1.7708028761658048</v>
      </c>
      <c r="AN564" s="44">
        <f t="shared" si="58"/>
        <v>-0.64240850045494047</v>
      </c>
      <c r="AO564" s="45">
        <f t="shared" si="59"/>
        <v>0</v>
      </c>
      <c r="AP564" s="46">
        <f t="shared" si="60"/>
        <v>0</v>
      </c>
      <c r="AQ564" s="44">
        <f>($AM$3*AM564+$AN$3*AN564+$AO$3*AO564+$AP$3*AP564)+$I$3*VLOOKUP(I564,COND!$A$2:$E$7,4,FALSE)+$J$3*VLOOKUP(J564,COND!$A$2:$C$7,2,FALSE)+$K$3*VLOOKUP(K564,COND!$A$2:$C$7,3,FALSE)+IF(AND($B$2&gt;0,$E564&lt;20),$B$2*25,0)</f>
        <v>36.814017706924133</v>
      </c>
      <c r="AR564" s="47">
        <f t="shared" si="61"/>
        <v>-1.6224327752233054</v>
      </c>
      <c r="AS564" s="45" t="str">
        <f t="shared" si="62"/>
        <v>2B</v>
      </c>
      <c r="AT564" s="45">
        <f>RANK(Batters[[#This Row],[zScore]],Batters[[#All],[zScore]])</f>
        <v>560</v>
      </c>
      <c r="AU564" s="45"/>
      <c r="AV564" s="45"/>
      <c r="AW564" s="45" t="str">
        <f t="shared" si="63"/>
        <v>Unlikely</v>
      </c>
      <c r="AX564" s="45"/>
      <c r="AY564" s="64" t="str">
        <f>INDEX(Table5[[#All],[Ovr]],MATCH(Batters[[#This Row],[PID]],Table5[[#All],[PID]],0))</f>
        <v/>
      </c>
      <c r="AZ564" s="64" t="str">
        <f>INDEX(Table5[[#All],[Rnd]],MATCH(Batters[[#This Row],[PID]],Table5[[#All],[PID]],0))</f>
        <v/>
      </c>
      <c r="BA564" s="64" t="str">
        <f>INDEX(Table5[[#All],[Pick]],MATCH(Batters[[#This Row],[PID]],Table5[[#All],[PID]],0))</f>
        <v/>
      </c>
      <c r="BB564" s="64" t="str">
        <f>INDEX(Table5[[#All],[Team]],MATCH(Batters[[#This Row],[PID]],Table5[[#All],[PID]],0))</f>
        <v/>
      </c>
    </row>
    <row r="565" spans="1:54" ht="30" x14ac:dyDescent="0.25">
      <c r="A565" s="40">
        <v>12408</v>
      </c>
      <c r="B565" s="40" t="s">
        <v>72</v>
      </c>
      <c r="C565" s="40" t="s">
        <v>1429</v>
      </c>
      <c r="D565" s="40" t="s">
        <v>1430</v>
      </c>
      <c r="E565" s="40">
        <v>21</v>
      </c>
      <c r="F565" s="40" t="s">
        <v>42</v>
      </c>
      <c r="G565" s="40" t="s">
        <v>42</v>
      </c>
      <c r="H565" s="41" t="s">
        <v>638</v>
      </c>
      <c r="I565" s="65" t="s">
        <v>44</v>
      </c>
      <c r="J565" s="66" t="s">
        <v>44</v>
      </c>
      <c r="K565" s="67" t="s">
        <v>43</v>
      </c>
      <c r="L565" s="40">
        <v>1</v>
      </c>
      <c r="M565" s="40">
        <v>3</v>
      </c>
      <c r="N565" s="40">
        <v>2</v>
      </c>
      <c r="O565" s="40">
        <v>2</v>
      </c>
      <c r="P565" s="41">
        <v>1</v>
      </c>
      <c r="Q565" s="40">
        <v>3</v>
      </c>
      <c r="R565" s="40">
        <v>4</v>
      </c>
      <c r="S565" s="40">
        <v>3</v>
      </c>
      <c r="T565" s="40">
        <v>4</v>
      </c>
      <c r="U565" s="41">
        <v>3</v>
      </c>
      <c r="V565" s="40">
        <v>5</v>
      </c>
      <c r="W565" s="40">
        <v>4</v>
      </c>
      <c r="X565" s="40">
        <v>1</v>
      </c>
      <c r="Y565" s="41">
        <v>1</v>
      </c>
      <c r="Z565" s="40" t="s">
        <v>45</v>
      </c>
      <c r="AA565" s="40" t="s">
        <v>45</v>
      </c>
      <c r="AB565" s="40" t="s">
        <v>45</v>
      </c>
      <c r="AC565" s="40" t="s">
        <v>45</v>
      </c>
      <c r="AD565" s="40">
        <v>5</v>
      </c>
      <c r="AE565" s="40" t="s">
        <v>45</v>
      </c>
      <c r="AF565" s="40" t="s">
        <v>45</v>
      </c>
      <c r="AG565" s="41" t="s">
        <v>45</v>
      </c>
      <c r="AH565" s="40">
        <v>7</v>
      </c>
      <c r="AI565" s="40">
        <v>9</v>
      </c>
      <c r="AJ565" s="41">
        <v>10</v>
      </c>
      <c r="AK565" s="43" t="s">
        <v>680</v>
      </c>
      <c r="AL565" s="43" t="s">
        <v>47</v>
      </c>
      <c r="AM565" s="44">
        <f t="shared" si="57"/>
        <v>-1.8094525465566824</v>
      </c>
      <c r="AN565" s="44">
        <f t="shared" si="58"/>
        <v>-0.77076772085539913</v>
      </c>
      <c r="AO565" s="45">
        <f t="shared" si="59"/>
        <v>4</v>
      </c>
      <c r="AP565" s="46">
        <f t="shared" si="60"/>
        <v>1</v>
      </c>
      <c r="AQ565" s="44">
        <f>($AM$3*AM565+$AN$3*AN565+$AO$3*AO565+$AP$3*AP565)+$I$3*VLOOKUP(I565,COND!$A$2:$E$7,4,FALSE)+$J$3*VLOOKUP(J565,COND!$A$2:$C$7,2,FALSE)+$K$3*VLOOKUP(K565,COND!$A$2:$C$7,3,FALSE)+IF(AND($B$2&gt;0,$E565&lt;20),$B$2*25,0)</f>
        <v>36.786508761746205</v>
      </c>
      <c r="AR565" s="47">
        <f t="shared" si="61"/>
        <v>-1.6285316943124646</v>
      </c>
      <c r="AS565" s="45" t="str">
        <f t="shared" si="62"/>
        <v>SS</v>
      </c>
      <c r="AT565" s="45">
        <f>RANK(Batters[[#This Row],[zScore]],Batters[[#All],[zScore]])</f>
        <v>561</v>
      </c>
      <c r="AU565" s="45"/>
      <c r="AV565" s="45"/>
      <c r="AW565" s="45" t="str">
        <f t="shared" si="63"/>
        <v>Unlikely</v>
      </c>
      <c r="AX565" s="45"/>
      <c r="AY565" s="45" t="str">
        <f>INDEX(Table5[[#All],[Ovr]],MATCH(Batters[[#This Row],[PID]],Table5[[#All],[PID]],0))</f>
        <v/>
      </c>
      <c r="AZ565" s="45" t="str">
        <f>INDEX(Table5[[#All],[Rnd]],MATCH(Batters[[#This Row],[PID]],Table5[[#All],[PID]],0))</f>
        <v/>
      </c>
      <c r="BA565" s="45" t="str">
        <f>INDEX(Table5[[#All],[Pick]],MATCH(Batters[[#This Row],[PID]],Table5[[#All],[PID]],0))</f>
        <v/>
      </c>
      <c r="BB565" s="45" t="str">
        <f>INDEX(Table5[[#All],[Team]],MATCH(Batters[[#This Row],[PID]],Table5[[#All],[PID]],0))</f>
        <v/>
      </c>
    </row>
    <row r="566" spans="1:54" ht="30" x14ac:dyDescent="0.25">
      <c r="A566" s="40">
        <v>18065</v>
      </c>
      <c r="B566" s="40" t="s">
        <v>86</v>
      </c>
      <c r="C566" s="40" t="s">
        <v>128</v>
      </c>
      <c r="D566" s="40" t="s">
        <v>713</v>
      </c>
      <c r="E566" s="40">
        <v>21</v>
      </c>
      <c r="F566" s="40" t="s">
        <v>62</v>
      </c>
      <c r="G566" s="40" t="s">
        <v>42</v>
      </c>
      <c r="H566" s="41" t="s">
        <v>638</v>
      </c>
      <c r="I566" s="65" t="s">
        <v>43</v>
      </c>
      <c r="J566" s="66" t="s">
        <v>43</v>
      </c>
      <c r="K566" s="67" t="s">
        <v>44</v>
      </c>
      <c r="L566" s="40">
        <v>2</v>
      </c>
      <c r="M566" s="40">
        <v>2</v>
      </c>
      <c r="N566" s="40">
        <v>3</v>
      </c>
      <c r="O566" s="40">
        <v>2</v>
      </c>
      <c r="P566" s="41">
        <v>1</v>
      </c>
      <c r="Q566" s="40">
        <v>3</v>
      </c>
      <c r="R566" s="40">
        <v>3</v>
      </c>
      <c r="S566" s="40">
        <v>4</v>
      </c>
      <c r="T566" s="40">
        <v>5</v>
      </c>
      <c r="U566" s="41">
        <v>3</v>
      </c>
      <c r="V566" s="40">
        <v>3</v>
      </c>
      <c r="W566" s="40">
        <v>3</v>
      </c>
      <c r="X566" s="40">
        <v>5</v>
      </c>
      <c r="Y566" s="41">
        <v>7</v>
      </c>
      <c r="Z566" s="40" t="s">
        <v>45</v>
      </c>
      <c r="AA566" s="40" t="s">
        <v>45</v>
      </c>
      <c r="AB566" s="40" t="s">
        <v>45</v>
      </c>
      <c r="AC566" s="40" t="s">
        <v>45</v>
      </c>
      <c r="AD566" s="40" t="s">
        <v>45</v>
      </c>
      <c r="AE566" s="40" t="s">
        <v>45</v>
      </c>
      <c r="AF566" s="40" t="s">
        <v>45</v>
      </c>
      <c r="AG566" s="41" t="s">
        <v>45</v>
      </c>
      <c r="AH566" s="40">
        <v>1</v>
      </c>
      <c r="AI566" s="40">
        <v>2</v>
      </c>
      <c r="AJ566" s="41">
        <v>1</v>
      </c>
      <c r="AK566" s="43" t="s">
        <v>45</v>
      </c>
      <c r="AL566" s="43" t="s">
        <v>47</v>
      </c>
      <c r="AM566" s="44">
        <f t="shared" si="57"/>
        <v>-1.4548950959488096</v>
      </c>
      <c r="AN566" s="44">
        <f t="shared" si="58"/>
        <v>-0.64905655644061999</v>
      </c>
      <c r="AO566" s="45">
        <f t="shared" si="59"/>
        <v>0</v>
      </c>
      <c r="AP566" s="46">
        <f t="shared" si="60"/>
        <v>0</v>
      </c>
      <c r="AQ566" s="44">
        <f>($AM$3*AM566+$AN$3*AN566+$AO$3*AO566+$AP$3*AP566)+$I$3*VLOOKUP(I566,COND!$A$2:$E$7,4,FALSE)+$J$3*VLOOKUP(J566,COND!$A$2:$C$7,2,FALSE)+$K$3*VLOOKUP(K566,COND!$A$2:$C$7,3,FALSE)+IF(AND($B$2&gt;0,$E566&lt;20),$B$2*25,0)</f>
        <v>36.765831813117678</v>
      </c>
      <c r="AR566" s="47">
        <f t="shared" si="61"/>
        <v>-1.6331159135866107</v>
      </c>
      <c r="AS566" s="45" t="str">
        <f t="shared" si="62"/>
        <v>DH</v>
      </c>
      <c r="AT566" s="45">
        <f>RANK(Batters[[#This Row],[zScore]],Batters[[#All],[zScore]])</f>
        <v>562</v>
      </c>
      <c r="AU566" s="45"/>
      <c r="AV566" s="45"/>
      <c r="AW566" s="45" t="str">
        <f t="shared" si="63"/>
        <v>Unlikely</v>
      </c>
      <c r="AX566" s="45"/>
      <c r="AY566" s="45" t="str">
        <f>INDEX(Table5[[#All],[Ovr]],MATCH(Batters[[#This Row],[PID]],Table5[[#All],[PID]],0))</f>
        <v/>
      </c>
      <c r="AZ566" s="45" t="str">
        <f>INDEX(Table5[[#All],[Rnd]],MATCH(Batters[[#This Row],[PID]],Table5[[#All],[PID]],0))</f>
        <v/>
      </c>
      <c r="BA566" s="45" t="str">
        <f>INDEX(Table5[[#All],[Pick]],MATCH(Batters[[#This Row],[PID]],Table5[[#All],[PID]],0))</f>
        <v/>
      </c>
      <c r="BB566" s="45" t="str">
        <f>INDEX(Table5[[#All],[Team]],MATCH(Batters[[#This Row],[PID]],Table5[[#All],[PID]],0))</f>
        <v/>
      </c>
    </row>
    <row r="567" spans="1:54" ht="30" x14ac:dyDescent="0.25">
      <c r="A567" s="40">
        <v>16907</v>
      </c>
      <c r="B567" s="40" t="s">
        <v>86</v>
      </c>
      <c r="C567" s="40" t="s">
        <v>187</v>
      </c>
      <c r="D567" s="40" t="s">
        <v>1545</v>
      </c>
      <c r="E567" s="40">
        <v>21</v>
      </c>
      <c r="F567" s="40" t="s">
        <v>53</v>
      </c>
      <c r="G567" s="40" t="s">
        <v>42</v>
      </c>
      <c r="H567" s="41" t="s">
        <v>638</v>
      </c>
      <c r="I567" s="65" t="s">
        <v>43</v>
      </c>
      <c r="J567" s="66" t="s">
        <v>44</v>
      </c>
      <c r="K567" s="67" t="s">
        <v>43</v>
      </c>
      <c r="L567" s="40">
        <v>1</v>
      </c>
      <c r="M567" s="40">
        <v>1</v>
      </c>
      <c r="N567" s="40">
        <v>3</v>
      </c>
      <c r="O567" s="40">
        <v>2</v>
      </c>
      <c r="P567" s="41">
        <v>1</v>
      </c>
      <c r="Q567" s="40">
        <v>3</v>
      </c>
      <c r="R567" s="40">
        <v>3</v>
      </c>
      <c r="S567" s="40">
        <v>4</v>
      </c>
      <c r="T567" s="40">
        <v>5</v>
      </c>
      <c r="U567" s="41">
        <v>3</v>
      </c>
      <c r="V567" s="40">
        <v>3</v>
      </c>
      <c r="W567" s="40">
        <v>3</v>
      </c>
      <c r="X567" s="40">
        <v>5</v>
      </c>
      <c r="Y567" s="41">
        <v>4</v>
      </c>
      <c r="Z567" s="40" t="s">
        <v>45</v>
      </c>
      <c r="AA567" s="40" t="s">
        <v>45</v>
      </c>
      <c r="AB567" s="40" t="s">
        <v>45</v>
      </c>
      <c r="AC567" s="40" t="s">
        <v>45</v>
      </c>
      <c r="AD567" s="40" t="s">
        <v>45</v>
      </c>
      <c r="AE567" s="40" t="s">
        <v>45</v>
      </c>
      <c r="AF567" s="40" t="s">
        <v>45</v>
      </c>
      <c r="AG567" s="41" t="s">
        <v>45</v>
      </c>
      <c r="AH567" s="40">
        <v>1</v>
      </c>
      <c r="AI567" s="40">
        <v>2</v>
      </c>
      <c r="AJ567" s="41">
        <v>3</v>
      </c>
      <c r="AK567" s="43" t="s">
        <v>643</v>
      </c>
      <c r="AL567" s="43" t="s">
        <v>635</v>
      </c>
      <c r="AM567" s="44">
        <f t="shared" si="57"/>
        <v>-1.828510811770188</v>
      </c>
      <c r="AN567" s="44">
        <f t="shared" si="58"/>
        <v>-0.64905655644061999</v>
      </c>
      <c r="AO567" s="45">
        <f t="shared" si="59"/>
        <v>0</v>
      </c>
      <c r="AP567" s="46">
        <f t="shared" si="60"/>
        <v>0</v>
      </c>
      <c r="AQ567" s="44">
        <f>($AM$3*AM567+$AN$3*AN567+$AO$3*AO567+$AP$3*AP567)+$I$3*VLOOKUP(I567,COND!$A$2:$E$7,4,FALSE)+$J$3*VLOOKUP(J567,COND!$A$2:$C$7,2,FALSE)+$K$3*VLOOKUP(K567,COND!$A$2:$C$7,3,FALSE)+IF(AND($B$2&gt;0,$E567&lt;20),$B$2*25,0)</f>
        <v>36.72847024153554</v>
      </c>
      <c r="AR567" s="47">
        <f t="shared" si="61"/>
        <v>-1.6413992265471571</v>
      </c>
      <c r="AS567" s="45" t="str">
        <f t="shared" si="62"/>
        <v>DH</v>
      </c>
      <c r="AT567" s="45">
        <f>RANK(Batters[[#This Row],[zScore]],Batters[[#All],[zScore]])</f>
        <v>563</v>
      </c>
      <c r="AU567" s="45"/>
      <c r="AV567" s="45"/>
      <c r="AW567" s="45" t="str">
        <f t="shared" si="63"/>
        <v>Unlikely</v>
      </c>
      <c r="AX567" s="45"/>
      <c r="AY567" s="45" t="str">
        <f>INDEX(Table5[[#All],[Ovr]],MATCH(Batters[[#This Row],[PID]],Table5[[#All],[PID]],0))</f>
        <v/>
      </c>
      <c r="AZ567" s="45" t="str">
        <f>INDEX(Table5[[#All],[Rnd]],MATCH(Batters[[#This Row],[PID]],Table5[[#All],[PID]],0))</f>
        <v/>
      </c>
      <c r="BA567" s="45" t="str">
        <f>INDEX(Table5[[#All],[Pick]],MATCH(Batters[[#This Row],[PID]],Table5[[#All],[PID]],0))</f>
        <v/>
      </c>
      <c r="BB567" s="45" t="str">
        <f>INDEX(Table5[[#All],[Team]],MATCH(Batters[[#This Row],[PID]],Table5[[#All],[PID]],0))</f>
        <v/>
      </c>
    </row>
    <row r="568" spans="1:54" ht="30" x14ac:dyDescent="0.25">
      <c r="A568" s="40">
        <v>12143</v>
      </c>
      <c r="B568" s="40" t="s">
        <v>87</v>
      </c>
      <c r="C568" s="40" t="s">
        <v>146</v>
      </c>
      <c r="D568" s="40" t="s">
        <v>711</v>
      </c>
      <c r="E568" s="40">
        <v>22</v>
      </c>
      <c r="F568" s="40" t="s">
        <v>53</v>
      </c>
      <c r="G568" s="40" t="s">
        <v>53</v>
      </c>
      <c r="H568" s="41" t="s">
        <v>638</v>
      </c>
      <c r="I568" s="65" t="s">
        <v>43</v>
      </c>
      <c r="J568" s="66" t="s">
        <v>43</v>
      </c>
      <c r="K568" s="67" t="s">
        <v>43</v>
      </c>
      <c r="L568" s="40">
        <v>1</v>
      </c>
      <c r="M568" s="40">
        <v>3</v>
      </c>
      <c r="N568" s="40">
        <v>2</v>
      </c>
      <c r="O568" s="40">
        <v>1</v>
      </c>
      <c r="P568" s="41">
        <v>1</v>
      </c>
      <c r="Q568" s="40">
        <v>3</v>
      </c>
      <c r="R568" s="40">
        <v>4</v>
      </c>
      <c r="S568" s="40">
        <v>4</v>
      </c>
      <c r="T568" s="40">
        <v>4</v>
      </c>
      <c r="U568" s="41">
        <v>3</v>
      </c>
      <c r="V568" s="40">
        <v>3</v>
      </c>
      <c r="W568" s="40">
        <v>5</v>
      </c>
      <c r="X568" s="40">
        <v>1</v>
      </c>
      <c r="Y568" s="41">
        <v>1</v>
      </c>
      <c r="Z568" s="40" t="s">
        <v>45</v>
      </c>
      <c r="AA568" s="40">
        <v>3</v>
      </c>
      <c r="AB568" s="40" t="s">
        <v>45</v>
      </c>
      <c r="AC568" s="40" t="s">
        <v>45</v>
      </c>
      <c r="AD568" s="40" t="s">
        <v>45</v>
      </c>
      <c r="AE568" s="40" t="s">
        <v>45</v>
      </c>
      <c r="AF568" s="40" t="s">
        <v>45</v>
      </c>
      <c r="AG568" s="41">
        <v>1</v>
      </c>
      <c r="AH568" s="40">
        <v>8</v>
      </c>
      <c r="AI568" s="40">
        <v>2</v>
      </c>
      <c r="AJ568" s="41">
        <v>1</v>
      </c>
      <c r="AK568" s="43" t="s">
        <v>45</v>
      </c>
      <c r="AL568" s="43" t="s">
        <v>47</v>
      </c>
      <c r="AM568" s="44">
        <f t="shared" si="57"/>
        <v>-1.8991620965662634</v>
      </c>
      <c r="AN568" s="44">
        <f t="shared" si="58"/>
        <v>-0.68770622683149762</v>
      </c>
      <c r="AO568" s="45">
        <f t="shared" si="59"/>
        <v>1</v>
      </c>
      <c r="AP568" s="46">
        <f t="shared" si="60"/>
        <v>0</v>
      </c>
      <c r="AQ568" s="44">
        <f>($AM$3*AM568+$AN$3*AN568+$AO$3*AO568+$AP$3*AP568)+$I$3*VLOOKUP(I568,COND!$A$2:$E$7,4,FALSE)+$J$3*VLOOKUP(J568,COND!$A$2:$C$7,2,FALSE)+$K$3*VLOOKUP(K568,COND!$A$2:$C$7,3,FALSE)+IF(AND($B$2&gt;0,$E568&lt;20),$B$2*25,0)</f>
        <v>36.724275735032066</v>
      </c>
      <c r="AR568" s="47">
        <f t="shared" si="61"/>
        <v>-1.6423291769912098</v>
      </c>
      <c r="AS568" s="45" t="str">
        <f t="shared" si="62"/>
        <v>1B</v>
      </c>
      <c r="AT568" s="45">
        <f>RANK(Batters[[#This Row],[zScore]],Batters[[#All],[zScore]])</f>
        <v>564</v>
      </c>
      <c r="AU568" s="45"/>
      <c r="AV568" s="45"/>
      <c r="AW568" s="45" t="str">
        <f t="shared" si="63"/>
        <v>Unlikely</v>
      </c>
      <c r="AX568" s="45"/>
      <c r="AY568" s="45" t="str">
        <f>INDEX(Table5[[#All],[Ovr]],MATCH(Batters[[#This Row],[PID]],Table5[[#All],[PID]],0))</f>
        <v/>
      </c>
      <c r="AZ568" s="45" t="str">
        <f>INDEX(Table5[[#All],[Rnd]],MATCH(Batters[[#This Row],[PID]],Table5[[#All],[PID]],0))</f>
        <v/>
      </c>
      <c r="BA568" s="45" t="str">
        <f>INDEX(Table5[[#All],[Pick]],MATCH(Batters[[#This Row],[PID]],Table5[[#All],[PID]],0))</f>
        <v/>
      </c>
      <c r="BB568" s="45" t="str">
        <f>INDEX(Table5[[#All],[Team]],MATCH(Batters[[#This Row],[PID]],Table5[[#All],[PID]],0))</f>
        <v/>
      </c>
    </row>
    <row r="569" spans="1:54" ht="30" x14ac:dyDescent="0.25">
      <c r="A569" s="40">
        <v>16896</v>
      </c>
      <c r="B569" s="40" t="s">
        <v>87</v>
      </c>
      <c r="C569" s="40" t="s">
        <v>189</v>
      </c>
      <c r="D569" s="40" t="s">
        <v>1407</v>
      </c>
      <c r="E569" s="40">
        <v>21</v>
      </c>
      <c r="F569" s="40" t="s">
        <v>42</v>
      </c>
      <c r="G569" s="40" t="s">
        <v>53</v>
      </c>
      <c r="H569" s="41" t="s">
        <v>647</v>
      </c>
      <c r="I569" s="65" t="s">
        <v>43</v>
      </c>
      <c r="J569" s="66" t="s">
        <v>43</v>
      </c>
      <c r="K569" s="67" t="s">
        <v>47</v>
      </c>
      <c r="L569" s="40">
        <v>1</v>
      </c>
      <c r="M569" s="40">
        <v>1</v>
      </c>
      <c r="N569" s="40">
        <v>3</v>
      </c>
      <c r="O569" s="40">
        <v>2</v>
      </c>
      <c r="P569" s="41">
        <v>1</v>
      </c>
      <c r="Q569" s="40">
        <v>3</v>
      </c>
      <c r="R569" s="40">
        <v>2</v>
      </c>
      <c r="S569" s="40">
        <v>4</v>
      </c>
      <c r="T569" s="40">
        <v>5</v>
      </c>
      <c r="U569" s="41">
        <v>3</v>
      </c>
      <c r="V569" s="40">
        <v>2</v>
      </c>
      <c r="W569" s="40">
        <v>5</v>
      </c>
      <c r="X569" s="40">
        <v>1</v>
      </c>
      <c r="Y569" s="41">
        <v>1</v>
      </c>
      <c r="Z569" s="40" t="s">
        <v>45</v>
      </c>
      <c r="AA569" s="40" t="s">
        <v>45</v>
      </c>
      <c r="AB569" s="40" t="s">
        <v>45</v>
      </c>
      <c r="AC569" s="40" t="s">
        <v>45</v>
      </c>
      <c r="AD569" s="40" t="s">
        <v>45</v>
      </c>
      <c r="AE569" s="40" t="s">
        <v>45</v>
      </c>
      <c r="AF569" s="40" t="s">
        <v>45</v>
      </c>
      <c r="AG569" s="41" t="s">
        <v>45</v>
      </c>
      <c r="AH569" s="40">
        <v>1</v>
      </c>
      <c r="AI569" s="40">
        <v>3</v>
      </c>
      <c r="AJ569" s="41">
        <v>1</v>
      </c>
      <c r="AK569" s="43" t="s">
        <v>643</v>
      </c>
      <c r="AL569" s="43"/>
      <c r="AM569" s="44">
        <f t="shared" si="57"/>
        <v>-1.828510811770188</v>
      </c>
      <c r="AN569" s="44">
        <f t="shared" si="58"/>
        <v>-0.70011643605932361</v>
      </c>
      <c r="AO569" s="45">
        <f t="shared" si="59"/>
        <v>0</v>
      </c>
      <c r="AP569" s="46">
        <f t="shared" si="60"/>
        <v>0</v>
      </c>
      <c r="AQ569" s="44">
        <f>($AM$3*AM569+$AN$3*AN569+$AO$3*AO569+$AP$3*AP569)+$I$3*VLOOKUP(I569,COND!$A$2:$E$7,4,FALSE)+$J$3*VLOOKUP(J569,COND!$A$2:$C$7,2,FALSE)+$K$3*VLOOKUP(K569,COND!$A$2:$C$7,3,FALSE)+IF(AND($B$2&gt;0,$E569&lt;20),$B$2*25,0)</f>
        <v>36.715751686111105</v>
      </c>
      <c r="AR569" s="47">
        <f t="shared" si="61"/>
        <v>-1.6442190162542103</v>
      </c>
      <c r="AS569" s="45" t="str">
        <f t="shared" si="62"/>
        <v>DH</v>
      </c>
      <c r="AT569" s="45">
        <f>RANK(Batters[[#This Row],[zScore]],Batters[[#All],[zScore]])</f>
        <v>565</v>
      </c>
      <c r="AU569" s="45"/>
      <c r="AV569" s="45"/>
      <c r="AW569" s="45" t="str">
        <f t="shared" si="63"/>
        <v>Unlikely</v>
      </c>
      <c r="AX569" s="45"/>
      <c r="AY569" s="64" t="str">
        <f>INDEX(Table5[[#All],[Ovr]],MATCH(Batters[[#This Row],[PID]],Table5[[#All],[PID]],0))</f>
        <v/>
      </c>
      <c r="AZ569" s="64" t="str">
        <f>INDEX(Table5[[#All],[Rnd]],MATCH(Batters[[#This Row],[PID]],Table5[[#All],[PID]],0))</f>
        <v/>
      </c>
      <c r="BA569" s="64" t="str">
        <f>INDEX(Table5[[#All],[Pick]],MATCH(Batters[[#This Row],[PID]],Table5[[#All],[PID]],0))</f>
        <v/>
      </c>
      <c r="BB569" s="64" t="str">
        <f>INDEX(Table5[[#All],[Team]],MATCH(Batters[[#This Row],[PID]],Table5[[#All],[PID]],0))</f>
        <v/>
      </c>
    </row>
    <row r="570" spans="1:54" ht="30" x14ac:dyDescent="0.25">
      <c r="A570" s="40">
        <v>17780</v>
      </c>
      <c r="B570" s="40" t="s">
        <v>50</v>
      </c>
      <c r="C570" s="40" t="s">
        <v>1063</v>
      </c>
      <c r="D570" s="40" t="s">
        <v>1112</v>
      </c>
      <c r="E570" s="40">
        <v>21</v>
      </c>
      <c r="F570" s="40" t="s">
        <v>53</v>
      </c>
      <c r="G570" s="40" t="s">
        <v>42</v>
      </c>
      <c r="H570" s="41" t="s">
        <v>639</v>
      </c>
      <c r="I570" s="65" t="s">
        <v>43</v>
      </c>
      <c r="J570" s="66" t="s">
        <v>43</v>
      </c>
      <c r="K570" s="67" t="s">
        <v>43</v>
      </c>
      <c r="L570" s="40">
        <v>2</v>
      </c>
      <c r="M570" s="40">
        <v>3</v>
      </c>
      <c r="N570" s="40">
        <v>3</v>
      </c>
      <c r="O570" s="40">
        <v>3</v>
      </c>
      <c r="P570" s="41">
        <v>2</v>
      </c>
      <c r="Q570" s="40">
        <v>3</v>
      </c>
      <c r="R570" s="40">
        <v>4</v>
      </c>
      <c r="S570" s="40">
        <v>3</v>
      </c>
      <c r="T570" s="40">
        <v>5</v>
      </c>
      <c r="U570" s="41">
        <v>3</v>
      </c>
      <c r="V570" s="40">
        <v>3</v>
      </c>
      <c r="W570" s="40">
        <v>4</v>
      </c>
      <c r="X570" s="40">
        <v>5</v>
      </c>
      <c r="Y570" s="41">
        <v>6</v>
      </c>
      <c r="Z570" s="40" t="s">
        <v>45</v>
      </c>
      <c r="AA570" s="40" t="s">
        <v>45</v>
      </c>
      <c r="AB570" s="40" t="s">
        <v>45</v>
      </c>
      <c r="AC570" s="40" t="s">
        <v>45</v>
      </c>
      <c r="AD570" s="40" t="s">
        <v>45</v>
      </c>
      <c r="AE570" s="40">
        <v>2</v>
      </c>
      <c r="AF570" s="40" t="s">
        <v>45</v>
      </c>
      <c r="AG570" s="41" t="s">
        <v>45</v>
      </c>
      <c r="AH570" s="40">
        <v>1</v>
      </c>
      <c r="AI570" s="40">
        <v>1</v>
      </c>
      <c r="AJ570" s="41">
        <v>2</v>
      </c>
      <c r="AK570" s="43" t="s">
        <v>45</v>
      </c>
      <c r="AL570" s="43"/>
      <c r="AM570" s="44">
        <f t="shared" si="57"/>
        <v>-1.2741093265034418</v>
      </c>
      <c r="AN570" s="44">
        <f t="shared" si="58"/>
        <v>-0.6810581708458181</v>
      </c>
      <c r="AO570" s="45">
        <f t="shared" si="59"/>
        <v>0</v>
      </c>
      <c r="AP570" s="46">
        <f t="shared" si="60"/>
        <v>0</v>
      </c>
      <c r="AQ570" s="44">
        <f>($AM$3*AM570+$AN$3*AN570+$AO$3*AO570+$AP$3*AP570)+$I$3*VLOOKUP(I570,COND!$A$2:$E$7,4,FALSE)+$J$3*VLOOKUP(J570,COND!$A$2:$C$7,2,FALSE)+$K$3*VLOOKUP(K570,COND!$A$2:$C$7,3,FALSE)+IF(AND($B$2&gt;0,$E570&lt;20),$B$2*25,0)</f>
        <v>36.699891017199839</v>
      </c>
      <c r="AR570" s="47">
        <f t="shared" si="61"/>
        <v>-1.6477354337600101</v>
      </c>
      <c r="AS570" s="45" t="str">
        <f t="shared" si="62"/>
        <v>LF</v>
      </c>
      <c r="AT570" s="45">
        <f>RANK(Batters[[#This Row],[zScore]],Batters[[#All],[zScore]])</f>
        <v>566</v>
      </c>
      <c r="AU570" s="45"/>
      <c r="AV570" s="45"/>
      <c r="AW570" s="45" t="str">
        <f t="shared" si="63"/>
        <v>Unlikely</v>
      </c>
      <c r="AX570" s="45"/>
      <c r="AY570" s="64" t="str">
        <f>INDEX(Table5[[#All],[Ovr]],MATCH(Batters[[#This Row],[PID]],Table5[[#All],[PID]],0))</f>
        <v/>
      </c>
      <c r="AZ570" s="64" t="str">
        <f>INDEX(Table5[[#All],[Rnd]],MATCH(Batters[[#This Row],[PID]],Table5[[#All],[PID]],0))</f>
        <v/>
      </c>
      <c r="BA570" s="64" t="str">
        <f>INDEX(Table5[[#All],[Pick]],MATCH(Batters[[#This Row],[PID]],Table5[[#All],[PID]],0))</f>
        <v/>
      </c>
      <c r="BB570" s="64" t="str">
        <f>INDEX(Table5[[#All],[Team]],MATCH(Batters[[#This Row],[PID]],Table5[[#All],[PID]],0))</f>
        <v/>
      </c>
    </row>
    <row r="571" spans="1:54" ht="30" x14ac:dyDescent="0.25">
      <c r="A571" s="40">
        <v>17971</v>
      </c>
      <c r="B571" s="40" t="s">
        <v>86</v>
      </c>
      <c r="C571" s="40" t="s">
        <v>178</v>
      </c>
      <c r="D571" s="40" t="s">
        <v>1534</v>
      </c>
      <c r="E571" s="40">
        <v>21</v>
      </c>
      <c r="F571" s="40" t="s">
        <v>42</v>
      </c>
      <c r="G571" s="40" t="s">
        <v>42</v>
      </c>
      <c r="H571" s="41" t="s">
        <v>638</v>
      </c>
      <c r="I571" s="65" t="s">
        <v>43</v>
      </c>
      <c r="J571" s="66" t="s">
        <v>43</v>
      </c>
      <c r="K571" s="67" t="s">
        <v>43</v>
      </c>
      <c r="L571" s="40">
        <v>2</v>
      </c>
      <c r="M571" s="40">
        <v>2</v>
      </c>
      <c r="N571" s="40">
        <v>2</v>
      </c>
      <c r="O571" s="40">
        <v>1</v>
      </c>
      <c r="P571" s="41">
        <v>2</v>
      </c>
      <c r="Q571" s="40">
        <v>3</v>
      </c>
      <c r="R571" s="40">
        <v>4</v>
      </c>
      <c r="S571" s="40">
        <v>3</v>
      </c>
      <c r="T571" s="40">
        <v>4</v>
      </c>
      <c r="U571" s="41">
        <v>3</v>
      </c>
      <c r="V571" s="40">
        <v>5</v>
      </c>
      <c r="W571" s="40">
        <v>5</v>
      </c>
      <c r="X571" s="40">
        <v>6</v>
      </c>
      <c r="Y571" s="41">
        <v>6</v>
      </c>
      <c r="Z571" s="40">
        <v>2</v>
      </c>
      <c r="AA571" s="40" t="s">
        <v>45</v>
      </c>
      <c r="AB571" s="40" t="s">
        <v>45</v>
      </c>
      <c r="AC571" s="40" t="s">
        <v>45</v>
      </c>
      <c r="AD571" s="40" t="s">
        <v>45</v>
      </c>
      <c r="AE571" s="40" t="s">
        <v>45</v>
      </c>
      <c r="AF571" s="40" t="s">
        <v>45</v>
      </c>
      <c r="AG571" s="41" t="s">
        <v>45</v>
      </c>
      <c r="AH571" s="40">
        <v>1</v>
      </c>
      <c r="AI571" s="40">
        <v>1</v>
      </c>
      <c r="AJ571" s="41">
        <v>1</v>
      </c>
      <c r="AK571" s="43" t="s">
        <v>45</v>
      </c>
      <c r="AL571" s="43" t="s">
        <v>635</v>
      </c>
      <c r="AM571" s="44">
        <f t="shared" si="57"/>
        <v>-1.5876498001652086</v>
      </c>
      <c r="AN571" s="44">
        <f t="shared" si="58"/>
        <v>-0.77076772085539913</v>
      </c>
      <c r="AO571" s="45">
        <f t="shared" si="59"/>
        <v>0</v>
      </c>
      <c r="AP571" s="46">
        <f t="shared" si="60"/>
        <v>1.1000000000000001</v>
      </c>
      <c r="AQ571" s="44">
        <f>($AM$3*AM571+$AN$3*AN571+$AO$3*AO571+$AP$3*AP571)+$I$3*VLOOKUP(I571,COND!$A$2:$E$7,4,FALSE)+$J$3*VLOOKUP(J571,COND!$A$2:$C$7,2,FALSE)+$K$3*VLOOKUP(K571,COND!$A$2:$C$7,3,FALSE)+IF(AND($B$2&gt;0,$E571&lt;20),$B$2*25,0)</f>
        <v>36.692022369718686</v>
      </c>
      <c r="AR571" s="47">
        <f t="shared" si="61"/>
        <v>-1.6494799660937027</v>
      </c>
      <c r="AS571" s="45" t="str">
        <f t="shared" si="62"/>
        <v>C</v>
      </c>
      <c r="AT571" s="45">
        <f>RANK(Batters[[#This Row],[zScore]],Batters[[#All],[zScore]])</f>
        <v>567</v>
      </c>
      <c r="AU571" s="45"/>
      <c r="AV571" s="45"/>
      <c r="AW571" s="45" t="str">
        <f t="shared" si="63"/>
        <v>Unlikely</v>
      </c>
      <c r="AX571" s="45"/>
      <c r="AY571" s="45" t="str">
        <f>INDEX(Table5[[#All],[Ovr]],MATCH(Batters[[#This Row],[PID]],Table5[[#All],[PID]],0))</f>
        <v/>
      </c>
      <c r="AZ571" s="45" t="str">
        <f>INDEX(Table5[[#All],[Rnd]],MATCH(Batters[[#This Row],[PID]],Table5[[#All],[PID]],0))</f>
        <v/>
      </c>
      <c r="BA571" s="45" t="str">
        <f>INDEX(Table5[[#All],[Pick]],MATCH(Batters[[#This Row],[PID]],Table5[[#All],[PID]],0))</f>
        <v/>
      </c>
      <c r="BB571" s="45" t="str">
        <f>INDEX(Table5[[#All],[Team]],MATCH(Batters[[#This Row],[PID]],Table5[[#All],[PID]],0))</f>
        <v/>
      </c>
    </row>
    <row r="572" spans="1:54" ht="30" x14ac:dyDescent="0.25">
      <c r="A572" s="40">
        <v>20612</v>
      </c>
      <c r="B572" s="40" t="s">
        <v>87</v>
      </c>
      <c r="C572" s="40" t="s">
        <v>1727</v>
      </c>
      <c r="D572" s="40" t="s">
        <v>1728</v>
      </c>
      <c r="E572" s="40">
        <v>18</v>
      </c>
      <c r="F572" s="40" t="s">
        <v>42</v>
      </c>
      <c r="G572" s="40" t="s">
        <v>42</v>
      </c>
      <c r="H572" s="41" t="s">
        <v>647</v>
      </c>
      <c r="I572" s="65" t="s">
        <v>43</v>
      </c>
      <c r="J572" s="66" t="s">
        <v>43</v>
      </c>
      <c r="K572" s="67" t="s">
        <v>43</v>
      </c>
      <c r="L572" s="40">
        <v>1</v>
      </c>
      <c r="M572" s="40">
        <v>2</v>
      </c>
      <c r="N572" s="40">
        <v>2</v>
      </c>
      <c r="O572" s="40">
        <v>3</v>
      </c>
      <c r="P572" s="41">
        <v>1</v>
      </c>
      <c r="Q572" s="40">
        <v>2</v>
      </c>
      <c r="R572" s="40">
        <v>3</v>
      </c>
      <c r="S572" s="40">
        <v>3</v>
      </c>
      <c r="T572" s="40">
        <v>5</v>
      </c>
      <c r="U572" s="41">
        <v>2</v>
      </c>
      <c r="V572" s="40">
        <v>3</v>
      </c>
      <c r="W572" s="40">
        <v>4</v>
      </c>
      <c r="X572" s="40">
        <v>4</v>
      </c>
      <c r="Y572" s="41">
        <v>5</v>
      </c>
      <c r="Z572" s="40" t="s">
        <v>45</v>
      </c>
      <c r="AA572" s="40">
        <v>1</v>
      </c>
      <c r="AB572" s="40" t="s">
        <v>45</v>
      </c>
      <c r="AC572" s="40" t="s">
        <v>45</v>
      </c>
      <c r="AD572" s="40" t="s">
        <v>45</v>
      </c>
      <c r="AE572" s="40" t="s">
        <v>45</v>
      </c>
      <c r="AF572" s="40" t="s">
        <v>45</v>
      </c>
      <c r="AG572" s="41" t="s">
        <v>45</v>
      </c>
      <c r="AH572" s="40">
        <v>1</v>
      </c>
      <c r="AI572" s="40">
        <v>1</v>
      </c>
      <c r="AJ572" s="41">
        <v>1</v>
      </c>
      <c r="AK572" s="43" t="s">
        <v>644</v>
      </c>
      <c r="AL572" s="43"/>
      <c r="AM572" s="44">
        <f t="shared" si="57"/>
        <v>-1.7708028761658048</v>
      </c>
      <c r="AN572" s="44">
        <f t="shared" si="58"/>
        <v>-1.0946902264842799</v>
      </c>
      <c r="AO572" s="45">
        <f t="shared" si="59"/>
        <v>0</v>
      </c>
      <c r="AP572" s="46">
        <f t="shared" si="60"/>
        <v>0</v>
      </c>
      <c r="AQ572" s="44">
        <f>($AM$3*AM572+$AN$3*AN572+$AO$3*AO572+$AP$3*AP572)+$I$3*VLOOKUP(I572,COND!$A$2:$E$7,4,FALSE)+$J$3*VLOOKUP(J572,COND!$A$2:$C$7,2,FALSE)+$K$3*VLOOKUP(K572,COND!$A$2:$C$7,3,FALSE)+IF(AND($B$2&gt;0,$E572&lt;20),$B$2*25,0)</f>
        <v>36.686636994572062</v>
      </c>
      <c r="AR572" s="47">
        <f t="shared" si="61"/>
        <v>-1.6506739401654666</v>
      </c>
      <c r="AS572" s="45" t="str">
        <f t="shared" si="62"/>
        <v>1B</v>
      </c>
      <c r="AT572" s="45">
        <f>RANK(Batters[[#This Row],[zScore]],Batters[[#All],[zScore]])</f>
        <v>568</v>
      </c>
      <c r="AU572" s="45"/>
      <c r="AV572" s="45"/>
      <c r="AW572" s="45" t="str">
        <f t="shared" si="63"/>
        <v>Unlikely</v>
      </c>
      <c r="AX572" s="45"/>
      <c r="AY572" s="64" t="str">
        <f>INDEX(Table5[[#All],[Ovr]],MATCH(Batters[[#This Row],[PID]],Table5[[#All],[PID]],0))</f>
        <v/>
      </c>
      <c r="AZ572" s="64" t="str">
        <f>INDEX(Table5[[#All],[Rnd]],MATCH(Batters[[#This Row],[PID]],Table5[[#All],[PID]],0))</f>
        <v/>
      </c>
      <c r="BA572" s="64" t="str">
        <f>INDEX(Table5[[#All],[Pick]],MATCH(Batters[[#This Row],[PID]],Table5[[#All],[PID]],0))</f>
        <v/>
      </c>
      <c r="BB572" s="64" t="str">
        <f>INDEX(Table5[[#All],[Team]],MATCH(Batters[[#This Row],[PID]],Table5[[#All],[PID]],0))</f>
        <v/>
      </c>
    </row>
    <row r="573" spans="1:54" ht="30" x14ac:dyDescent="0.25">
      <c r="A573" s="40">
        <v>17987</v>
      </c>
      <c r="B573" s="40" t="s">
        <v>50</v>
      </c>
      <c r="C573" s="40" t="s">
        <v>130</v>
      </c>
      <c r="D573" s="40" t="s">
        <v>1546</v>
      </c>
      <c r="E573" s="40">
        <v>21</v>
      </c>
      <c r="F573" s="40" t="s">
        <v>42</v>
      </c>
      <c r="G573" s="40" t="s">
        <v>42</v>
      </c>
      <c r="H573" s="41" t="s">
        <v>638</v>
      </c>
      <c r="I573" s="65" t="s">
        <v>44</v>
      </c>
      <c r="J573" s="66" t="s">
        <v>47</v>
      </c>
      <c r="K573" s="67" t="s">
        <v>47</v>
      </c>
      <c r="L573" s="40">
        <v>1</v>
      </c>
      <c r="M573" s="40">
        <v>3</v>
      </c>
      <c r="N573" s="40">
        <v>2</v>
      </c>
      <c r="O573" s="40">
        <v>3</v>
      </c>
      <c r="P573" s="41">
        <v>1</v>
      </c>
      <c r="Q573" s="40">
        <v>3</v>
      </c>
      <c r="R573" s="40">
        <v>4</v>
      </c>
      <c r="S573" s="40">
        <v>3</v>
      </c>
      <c r="T573" s="40">
        <v>5</v>
      </c>
      <c r="U573" s="41">
        <v>2</v>
      </c>
      <c r="V573" s="40">
        <v>3</v>
      </c>
      <c r="W573" s="40">
        <v>5</v>
      </c>
      <c r="X573" s="40">
        <v>1</v>
      </c>
      <c r="Y573" s="41">
        <v>1</v>
      </c>
      <c r="Z573" s="40" t="s">
        <v>45</v>
      </c>
      <c r="AA573" s="40" t="s">
        <v>45</v>
      </c>
      <c r="AB573" s="40" t="s">
        <v>45</v>
      </c>
      <c r="AC573" s="40" t="s">
        <v>45</v>
      </c>
      <c r="AD573" s="40" t="s">
        <v>45</v>
      </c>
      <c r="AE573" s="40">
        <v>7</v>
      </c>
      <c r="AF573" s="40">
        <v>1</v>
      </c>
      <c r="AG573" s="41" t="s">
        <v>45</v>
      </c>
      <c r="AH573" s="40">
        <v>7</v>
      </c>
      <c r="AI573" s="40">
        <v>6</v>
      </c>
      <c r="AJ573" s="41">
        <v>6</v>
      </c>
      <c r="AK573" s="43" t="s">
        <v>45</v>
      </c>
      <c r="AL573" s="43" t="s">
        <v>47</v>
      </c>
      <c r="AM573" s="44">
        <f t="shared" si="57"/>
        <v>-1.7197429965471014</v>
      </c>
      <c r="AN573" s="44">
        <f t="shared" si="58"/>
        <v>-0.72107451066290151</v>
      </c>
      <c r="AO573" s="45">
        <f t="shared" si="59"/>
        <v>0</v>
      </c>
      <c r="AP573" s="46">
        <f t="shared" si="60"/>
        <v>0</v>
      </c>
      <c r="AQ573" s="44">
        <f>($AM$3*AM573+$AN$3*AN573+$AO$3*AO573+$AP$3*AP573)+$I$3*VLOOKUP(I573,COND!$A$2:$E$7,4,FALSE)+$J$3*VLOOKUP(J573,COND!$A$2:$C$7,2,FALSE)+$K$3*VLOOKUP(K573,COND!$A$2:$C$7,3,FALSE)+IF(AND($B$2&gt;0,$E573&lt;20),$B$2*25,0)</f>
        <v>36.625131572390472</v>
      </c>
      <c r="AR573" s="47">
        <f t="shared" si="61"/>
        <v>-1.6643101080011955</v>
      </c>
      <c r="AS573" s="45" t="str">
        <f t="shared" si="62"/>
        <v>LF</v>
      </c>
      <c r="AT573" s="45">
        <f>RANK(Batters[[#This Row],[zScore]],Batters[[#All],[zScore]])</f>
        <v>569</v>
      </c>
      <c r="AU573" s="45"/>
      <c r="AV573" s="45"/>
      <c r="AW573" s="45" t="str">
        <f t="shared" si="63"/>
        <v>Unlikely</v>
      </c>
      <c r="AX573" s="45"/>
      <c r="AY573" s="45" t="str">
        <f>INDEX(Table5[[#All],[Ovr]],MATCH(Batters[[#This Row],[PID]],Table5[[#All],[PID]],0))</f>
        <v/>
      </c>
      <c r="AZ573" s="45" t="str">
        <f>INDEX(Table5[[#All],[Rnd]],MATCH(Batters[[#This Row],[PID]],Table5[[#All],[PID]],0))</f>
        <v/>
      </c>
      <c r="BA573" s="45" t="str">
        <f>INDEX(Table5[[#All],[Pick]],MATCH(Batters[[#This Row],[PID]],Table5[[#All],[PID]],0))</f>
        <v/>
      </c>
      <c r="BB573" s="45" t="str">
        <f>INDEX(Table5[[#All],[Team]],MATCH(Batters[[#This Row],[PID]],Table5[[#All],[PID]],0))</f>
        <v/>
      </c>
    </row>
    <row r="574" spans="1:54" ht="30" x14ac:dyDescent="0.25">
      <c r="A574" s="40">
        <v>10339</v>
      </c>
      <c r="B574" s="40" t="s">
        <v>69</v>
      </c>
      <c r="C574" s="40" t="s">
        <v>859</v>
      </c>
      <c r="D574" s="40" t="s">
        <v>608</v>
      </c>
      <c r="E574" s="40">
        <v>22</v>
      </c>
      <c r="F574" s="40" t="s">
        <v>42</v>
      </c>
      <c r="G574" s="40" t="s">
        <v>42</v>
      </c>
      <c r="H574" s="41" t="s">
        <v>638</v>
      </c>
      <c r="I574" s="65" t="s">
        <v>43</v>
      </c>
      <c r="J574" s="66" t="s">
        <v>44</v>
      </c>
      <c r="K574" s="67" t="s">
        <v>47</v>
      </c>
      <c r="L574" s="40">
        <v>2</v>
      </c>
      <c r="M574" s="40">
        <v>3</v>
      </c>
      <c r="N574" s="40">
        <v>3</v>
      </c>
      <c r="O574" s="40">
        <v>3</v>
      </c>
      <c r="P574" s="41">
        <v>1</v>
      </c>
      <c r="Q574" s="40">
        <v>3</v>
      </c>
      <c r="R574" s="40">
        <v>4</v>
      </c>
      <c r="S574" s="40">
        <v>4</v>
      </c>
      <c r="T574" s="40">
        <v>4</v>
      </c>
      <c r="U574" s="41">
        <v>3</v>
      </c>
      <c r="V574" s="40">
        <v>10</v>
      </c>
      <c r="W574" s="40">
        <v>9</v>
      </c>
      <c r="X574" s="40">
        <v>1</v>
      </c>
      <c r="Y574" s="41">
        <v>1</v>
      </c>
      <c r="Z574" s="40" t="s">
        <v>45</v>
      </c>
      <c r="AA574" s="40" t="s">
        <v>45</v>
      </c>
      <c r="AB574" s="40">
        <v>2</v>
      </c>
      <c r="AC574" s="40">
        <v>4</v>
      </c>
      <c r="AD574" s="40" t="s">
        <v>45</v>
      </c>
      <c r="AE574" s="40" t="s">
        <v>45</v>
      </c>
      <c r="AF574" s="40" t="s">
        <v>45</v>
      </c>
      <c r="AG574" s="41" t="s">
        <v>45</v>
      </c>
      <c r="AH574" s="40">
        <v>3</v>
      </c>
      <c r="AI574" s="40">
        <v>2</v>
      </c>
      <c r="AJ574" s="41">
        <v>1</v>
      </c>
      <c r="AK574" s="43" t="s">
        <v>45</v>
      </c>
      <c r="AL574" s="43" t="s">
        <v>635</v>
      </c>
      <c r="AM574" s="44">
        <f t="shared" si="57"/>
        <v>-1.3141256663205254</v>
      </c>
      <c r="AN574" s="44">
        <f t="shared" si="58"/>
        <v>-0.68770622683149762</v>
      </c>
      <c r="AO574" s="45">
        <f t="shared" si="59"/>
        <v>0</v>
      </c>
      <c r="AP574" s="46">
        <f t="shared" si="60"/>
        <v>0</v>
      </c>
      <c r="AQ574" s="44">
        <f>($AM$3*AM574+$AN$3*AN574+$AO$3*AO574+$AP$3*AP574)+$I$3*VLOOKUP(I574,COND!$A$2:$E$7,4,FALSE)+$J$3*VLOOKUP(J574,COND!$A$2:$C$7,2,FALSE)+$K$3*VLOOKUP(K574,COND!$A$2:$C$7,3,FALSE)+IF(AND($B$2&gt;0,$E574&lt;20),$B$2*25,0)</f>
        <v>36.616112711389974</v>
      </c>
      <c r="AR574" s="47">
        <f t="shared" si="61"/>
        <v>-1.6663096504468489</v>
      </c>
      <c r="AS574" s="45" t="str">
        <f t="shared" si="62"/>
        <v>3B</v>
      </c>
      <c r="AT574" s="45">
        <f>RANK(Batters[[#This Row],[zScore]],Batters[[#All],[zScore]])</f>
        <v>570</v>
      </c>
      <c r="AU574" s="45"/>
      <c r="AV574" s="45"/>
      <c r="AW574" s="45" t="str">
        <f t="shared" si="63"/>
        <v>Unlikely</v>
      </c>
      <c r="AX574" s="45"/>
      <c r="AY574" s="45" t="str">
        <f>INDEX(Table5[[#All],[Ovr]],MATCH(Batters[[#This Row],[PID]],Table5[[#All],[PID]],0))</f>
        <v/>
      </c>
      <c r="AZ574" s="45" t="str">
        <f>INDEX(Table5[[#All],[Rnd]],MATCH(Batters[[#This Row],[PID]],Table5[[#All],[PID]],0))</f>
        <v/>
      </c>
      <c r="BA574" s="45" t="str">
        <f>INDEX(Table5[[#All],[Pick]],MATCH(Batters[[#This Row],[PID]],Table5[[#All],[PID]],0))</f>
        <v/>
      </c>
      <c r="BB574" s="45" t="str">
        <f>INDEX(Table5[[#All],[Team]],MATCH(Batters[[#This Row],[PID]],Table5[[#All],[PID]],0))</f>
        <v/>
      </c>
    </row>
    <row r="575" spans="1:54" ht="30" x14ac:dyDescent="0.25">
      <c r="A575" s="40">
        <v>17970</v>
      </c>
      <c r="B575" s="40" t="s">
        <v>50</v>
      </c>
      <c r="C575" s="40" t="s">
        <v>444</v>
      </c>
      <c r="D575" s="40" t="s">
        <v>446</v>
      </c>
      <c r="E575" s="40">
        <v>21</v>
      </c>
      <c r="F575" s="40" t="s">
        <v>42</v>
      </c>
      <c r="G575" s="40" t="s">
        <v>42</v>
      </c>
      <c r="H575" s="41" t="s">
        <v>638</v>
      </c>
      <c r="I575" s="65" t="s">
        <v>43</v>
      </c>
      <c r="J575" s="66" t="s">
        <v>47</v>
      </c>
      <c r="K575" s="67" t="s">
        <v>44</v>
      </c>
      <c r="L575" s="40">
        <v>1</v>
      </c>
      <c r="M575" s="40">
        <v>1</v>
      </c>
      <c r="N575" s="40">
        <v>2</v>
      </c>
      <c r="O575" s="40">
        <v>2</v>
      </c>
      <c r="P575" s="41">
        <v>1</v>
      </c>
      <c r="Q575" s="40">
        <v>3</v>
      </c>
      <c r="R575" s="40">
        <v>3</v>
      </c>
      <c r="S575" s="40">
        <v>4</v>
      </c>
      <c r="T575" s="40">
        <v>5</v>
      </c>
      <c r="U575" s="41">
        <v>2</v>
      </c>
      <c r="V575" s="40">
        <v>6</v>
      </c>
      <c r="W575" s="40">
        <v>9</v>
      </c>
      <c r="X575" s="40">
        <v>1</v>
      </c>
      <c r="Y575" s="41">
        <v>1</v>
      </c>
      <c r="Z575" s="40" t="s">
        <v>45</v>
      </c>
      <c r="AA575" s="40" t="s">
        <v>45</v>
      </c>
      <c r="AB575" s="40" t="s">
        <v>45</v>
      </c>
      <c r="AC575" s="40" t="s">
        <v>45</v>
      </c>
      <c r="AD575" s="40" t="s">
        <v>45</v>
      </c>
      <c r="AE575" s="40">
        <v>2</v>
      </c>
      <c r="AF575" s="40" t="s">
        <v>45</v>
      </c>
      <c r="AG575" s="41" t="s">
        <v>45</v>
      </c>
      <c r="AH575" s="40">
        <v>1</v>
      </c>
      <c r="AI575" s="40">
        <v>3</v>
      </c>
      <c r="AJ575" s="41">
        <v>3</v>
      </c>
      <c r="AK575" s="43" t="s">
        <v>45</v>
      </c>
      <c r="AL575" s="43" t="s">
        <v>47</v>
      </c>
      <c r="AM575" s="44">
        <f t="shared" si="57"/>
        <v>-1.9115723057940897</v>
      </c>
      <c r="AN575" s="44">
        <f t="shared" si="58"/>
        <v>-0.6890728962577034</v>
      </c>
      <c r="AO575" s="45">
        <f t="shared" si="59"/>
        <v>0</v>
      </c>
      <c r="AP575" s="46">
        <f t="shared" si="60"/>
        <v>0</v>
      </c>
      <c r="AQ575" s="44">
        <f>($AM$3*AM575+$AN$3*AN575+$AO$3*AO575+$AP$3*AP575)+$I$3*VLOOKUP(I575,COND!$A$2:$E$7,4,FALSE)+$J$3*VLOOKUP(J575,COND!$A$2:$C$7,2,FALSE)+$K$3*VLOOKUP(K575,COND!$A$2:$C$7,3,FALSE)+IF(AND($B$2&gt;0,$E575&lt;20),$B$2*25,0)</f>
        <v>36.539968014328153</v>
      </c>
      <c r="AR575" s="47">
        <f t="shared" si="61"/>
        <v>-1.6831914444758396</v>
      </c>
      <c r="AS575" s="45" t="str">
        <f t="shared" si="62"/>
        <v>LF</v>
      </c>
      <c r="AT575" s="45">
        <f>RANK(Batters[[#This Row],[zScore]],Batters[[#All],[zScore]])</f>
        <v>571</v>
      </c>
      <c r="AU575" s="45"/>
      <c r="AV575" s="45"/>
      <c r="AW575" s="45" t="str">
        <f t="shared" si="63"/>
        <v>Unlikely</v>
      </c>
      <c r="AX575" s="45"/>
      <c r="AY575" s="45" t="str">
        <f>INDEX(Table5[[#All],[Ovr]],MATCH(Batters[[#This Row],[PID]],Table5[[#All],[PID]],0))</f>
        <v/>
      </c>
      <c r="AZ575" s="45" t="str">
        <f>INDEX(Table5[[#All],[Rnd]],MATCH(Batters[[#This Row],[PID]],Table5[[#All],[PID]],0))</f>
        <v/>
      </c>
      <c r="BA575" s="45" t="str">
        <f>INDEX(Table5[[#All],[Pick]],MATCH(Batters[[#This Row],[PID]],Table5[[#All],[PID]],0))</f>
        <v/>
      </c>
      <c r="BB575" s="45" t="str">
        <f>INDEX(Table5[[#All],[Team]],MATCH(Batters[[#This Row],[PID]],Table5[[#All],[PID]],0))</f>
        <v/>
      </c>
    </row>
    <row r="576" spans="1:54" ht="30" x14ac:dyDescent="0.25">
      <c r="A576" s="40">
        <v>15619</v>
      </c>
      <c r="B576" s="40" t="s">
        <v>66</v>
      </c>
      <c r="C576" s="40" t="s">
        <v>545</v>
      </c>
      <c r="D576" s="40" t="s">
        <v>652</v>
      </c>
      <c r="E576" s="40">
        <v>21</v>
      </c>
      <c r="F576" s="40" t="s">
        <v>42</v>
      </c>
      <c r="G576" s="40" t="s">
        <v>42</v>
      </c>
      <c r="H576" s="41" t="s">
        <v>639</v>
      </c>
      <c r="I576" s="65" t="s">
        <v>43</v>
      </c>
      <c r="J576" s="66" t="s">
        <v>44</v>
      </c>
      <c r="K576" s="67" t="s">
        <v>47</v>
      </c>
      <c r="L576" s="40">
        <v>1</v>
      </c>
      <c r="M576" s="40">
        <v>2</v>
      </c>
      <c r="N576" s="40">
        <v>2</v>
      </c>
      <c r="O576" s="40">
        <v>2</v>
      </c>
      <c r="P576" s="41">
        <v>3</v>
      </c>
      <c r="Q576" s="40">
        <v>3</v>
      </c>
      <c r="R576" s="40">
        <v>4</v>
      </c>
      <c r="S576" s="40">
        <v>3</v>
      </c>
      <c r="T576" s="40">
        <v>4</v>
      </c>
      <c r="U576" s="41">
        <v>5</v>
      </c>
      <c r="V576" s="40">
        <v>7</v>
      </c>
      <c r="W576" s="40">
        <v>8</v>
      </c>
      <c r="X576" s="40">
        <v>1</v>
      </c>
      <c r="Y576" s="41">
        <v>1</v>
      </c>
      <c r="Z576" s="40" t="s">
        <v>45</v>
      </c>
      <c r="AA576" s="40" t="s">
        <v>45</v>
      </c>
      <c r="AB576" s="40" t="s">
        <v>45</v>
      </c>
      <c r="AC576" s="40" t="s">
        <v>45</v>
      </c>
      <c r="AD576" s="40" t="s">
        <v>45</v>
      </c>
      <c r="AE576" s="40" t="s">
        <v>45</v>
      </c>
      <c r="AF576" s="40" t="s">
        <v>45</v>
      </c>
      <c r="AG576" s="41">
        <v>2</v>
      </c>
      <c r="AH576" s="40">
        <v>2</v>
      </c>
      <c r="AI576" s="40">
        <v>3</v>
      </c>
      <c r="AJ576" s="41">
        <v>1</v>
      </c>
      <c r="AK576" s="43" t="s">
        <v>643</v>
      </c>
      <c r="AL576" s="43"/>
      <c r="AM576" s="44">
        <f t="shared" si="57"/>
        <v>-1.780479746541219</v>
      </c>
      <c r="AN576" s="44">
        <f t="shared" si="58"/>
        <v>-0.69073504122123208</v>
      </c>
      <c r="AO576" s="45">
        <f t="shared" si="59"/>
        <v>0</v>
      </c>
      <c r="AP576" s="46">
        <f t="shared" si="60"/>
        <v>0</v>
      </c>
      <c r="AQ576" s="44">
        <f>($AM$3*AM576+$AN$3*AN576+$AO$3*AO576+$AP$3*AP576)+$I$3*VLOOKUP(I576,COND!$A$2:$E$7,4,FALSE)+$J$3*VLOOKUP(J576,COND!$A$2:$C$7,2,FALSE)+$K$3*VLOOKUP(K576,COND!$A$2:$C$7,3,FALSE)+IF(AND($B$2&gt;0,$E576&lt;20),$B$2*25,0)</f>
        <v>36.533131530691094</v>
      </c>
      <c r="AR576" s="47">
        <f t="shared" si="61"/>
        <v>-1.6847071391085164</v>
      </c>
      <c r="AS576" s="45" t="str">
        <f t="shared" si="62"/>
        <v>RF</v>
      </c>
      <c r="AT576" s="45">
        <f>RANK(Batters[[#This Row],[zScore]],Batters[[#All],[zScore]])</f>
        <v>572</v>
      </c>
      <c r="AU576" s="45"/>
      <c r="AV576" s="45"/>
      <c r="AW576" s="45" t="str">
        <f t="shared" si="63"/>
        <v>Unlikely</v>
      </c>
      <c r="AX576" s="45"/>
      <c r="AY576" s="64" t="str">
        <f>INDEX(Table5[[#All],[Ovr]],MATCH(Batters[[#This Row],[PID]],Table5[[#All],[PID]],0))</f>
        <v/>
      </c>
      <c r="AZ576" s="64" t="str">
        <f>INDEX(Table5[[#All],[Rnd]],MATCH(Batters[[#This Row],[PID]],Table5[[#All],[PID]],0))</f>
        <v/>
      </c>
      <c r="BA576" s="64" t="str">
        <f>INDEX(Table5[[#All],[Pick]],MATCH(Batters[[#This Row],[PID]],Table5[[#All],[PID]],0))</f>
        <v/>
      </c>
      <c r="BB576" s="64" t="str">
        <f>INDEX(Table5[[#All],[Team]],MATCH(Batters[[#This Row],[PID]],Table5[[#All],[PID]],0))</f>
        <v/>
      </c>
    </row>
    <row r="577" spans="1:54" ht="30" x14ac:dyDescent="0.25">
      <c r="A577" s="40">
        <v>9644</v>
      </c>
      <c r="B577" s="40" t="s">
        <v>69</v>
      </c>
      <c r="C577" s="40" t="s">
        <v>129</v>
      </c>
      <c r="D577" s="40" t="s">
        <v>662</v>
      </c>
      <c r="E577" s="40">
        <v>22</v>
      </c>
      <c r="F577" s="40" t="s">
        <v>42</v>
      </c>
      <c r="G577" s="40" t="s">
        <v>42</v>
      </c>
      <c r="H577" s="41" t="s">
        <v>638</v>
      </c>
      <c r="I577" s="65" t="s">
        <v>43</v>
      </c>
      <c r="J577" s="66" t="s">
        <v>47</v>
      </c>
      <c r="K577" s="67" t="s">
        <v>43</v>
      </c>
      <c r="L577" s="40">
        <v>1</v>
      </c>
      <c r="M577" s="40">
        <v>2</v>
      </c>
      <c r="N577" s="40">
        <v>2</v>
      </c>
      <c r="O577" s="40">
        <v>2</v>
      </c>
      <c r="P577" s="41">
        <v>1</v>
      </c>
      <c r="Q577" s="40">
        <v>3</v>
      </c>
      <c r="R577" s="40">
        <v>3</v>
      </c>
      <c r="S577" s="40">
        <v>4</v>
      </c>
      <c r="T577" s="40">
        <v>4</v>
      </c>
      <c r="U577" s="41">
        <v>2</v>
      </c>
      <c r="V577" s="40">
        <v>10</v>
      </c>
      <c r="W577" s="40">
        <v>10</v>
      </c>
      <c r="X577" s="40">
        <v>1</v>
      </c>
      <c r="Y577" s="41">
        <v>1</v>
      </c>
      <c r="Z577" s="40" t="s">
        <v>45</v>
      </c>
      <c r="AA577" s="40" t="s">
        <v>45</v>
      </c>
      <c r="AB577" s="40">
        <v>1</v>
      </c>
      <c r="AC577" s="40">
        <v>7</v>
      </c>
      <c r="AD577" s="40" t="s">
        <v>45</v>
      </c>
      <c r="AE577" s="40" t="s">
        <v>45</v>
      </c>
      <c r="AF577" s="40" t="s">
        <v>45</v>
      </c>
      <c r="AG577" s="41" t="s">
        <v>45</v>
      </c>
      <c r="AH577" s="40">
        <v>2</v>
      </c>
      <c r="AI577" s="40">
        <v>3</v>
      </c>
      <c r="AJ577" s="41">
        <v>1</v>
      </c>
      <c r="AK577" s="43" t="s">
        <v>45</v>
      </c>
      <c r="AL577" s="43" t="s">
        <v>47</v>
      </c>
      <c r="AM577" s="44">
        <f t="shared" si="57"/>
        <v>-1.8605124261753858</v>
      </c>
      <c r="AN577" s="44">
        <f t="shared" si="58"/>
        <v>-0.77878244626728443</v>
      </c>
      <c r="AO577" s="45">
        <f t="shared" si="59"/>
        <v>0</v>
      </c>
      <c r="AP577" s="46">
        <f t="shared" si="60"/>
        <v>0.75</v>
      </c>
      <c r="AQ577" s="44">
        <f>($AM$3*AM577+$AN$3*AN577+$AO$3*AO577+$AP$3*AP577)+$I$3*VLOOKUP(I577,COND!$A$2:$E$7,4,FALSE)+$J$3*VLOOKUP(J577,COND!$A$2:$C$7,2,FALSE)+$K$3*VLOOKUP(K577,COND!$A$2:$C$7,3,FALSE)+IF(AND($B$2&gt;0,$E577&lt;20),$B$2*25,0)</f>
        <v>36.51855940217505</v>
      </c>
      <c r="AR577" s="47">
        <f t="shared" si="61"/>
        <v>-1.6879378784989705</v>
      </c>
      <c r="AS577" s="45" t="str">
        <f t="shared" si="62"/>
        <v>3B</v>
      </c>
      <c r="AT577" s="45">
        <f>RANK(Batters[[#This Row],[zScore]],Batters[[#All],[zScore]])</f>
        <v>573</v>
      </c>
      <c r="AU577" s="45"/>
      <c r="AV577" s="45"/>
      <c r="AW577" s="45" t="str">
        <f t="shared" si="63"/>
        <v>Unlikely</v>
      </c>
      <c r="AX577" s="45"/>
      <c r="AY577" s="45" t="str">
        <f>INDEX(Table5[[#All],[Ovr]],MATCH(Batters[[#This Row],[PID]],Table5[[#All],[PID]],0))</f>
        <v/>
      </c>
      <c r="AZ577" s="45" t="str">
        <f>INDEX(Table5[[#All],[Rnd]],MATCH(Batters[[#This Row],[PID]],Table5[[#All],[PID]],0))</f>
        <v/>
      </c>
      <c r="BA577" s="45" t="str">
        <f>INDEX(Table5[[#All],[Pick]],MATCH(Batters[[#This Row],[PID]],Table5[[#All],[PID]],0))</f>
        <v/>
      </c>
      <c r="BB577" s="45" t="str">
        <f>INDEX(Table5[[#All],[Team]],MATCH(Batters[[#This Row],[PID]],Table5[[#All],[PID]],0))</f>
        <v/>
      </c>
    </row>
    <row r="578" spans="1:54" ht="30" x14ac:dyDescent="0.25">
      <c r="A578" s="40">
        <v>20512</v>
      </c>
      <c r="B578" s="40" t="s">
        <v>86</v>
      </c>
      <c r="C578" s="40" t="s">
        <v>1676</v>
      </c>
      <c r="D578" s="40" t="s">
        <v>1677</v>
      </c>
      <c r="E578" s="40">
        <v>18</v>
      </c>
      <c r="F578" s="40" t="s">
        <v>42</v>
      </c>
      <c r="G578" s="40" t="s">
        <v>42</v>
      </c>
      <c r="H578" s="41" t="s">
        <v>639</v>
      </c>
      <c r="I578" s="65" t="s">
        <v>43</v>
      </c>
      <c r="J578" s="66" t="s">
        <v>44</v>
      </c>
      <c r="K578" s="67" t="s">
        <v>43</v>
      </c>
      <c r="L578" s="40">
        <v>1</v>
      </c>
      <c r="M578" s="40">
        <v>2</v>
      </c>
      <c r="N578" s="40">
        <v>2</v>
      </c>
      <c r="O578" s="40">
        <v>2</v>
      </c>
      <c r="P578" s="41">
        <v>1</v>
      </c>
      <c r="Q578" s="40">
        <v>2</v>
      </c>
      <c r="R578" s="40">
        <v>5</v>
      </c>
      <c r="S578" s="40">
        <v>2</v>
      </c>
      <c r="T578" s="40">
        <v>4</v>
      </c>
      <c r="U578" s="41">
        <v>4</v>
      </c>
      <c r="V578" s="40">
        <v>2</v>
      </c>
      <c r="W578" s="40">
        <v>3</v>
      </c>
      <c r="X578" s="40">
        <v>4</v>
      </c>
      <c r="Y578" s="41">
        <v>4</v>
      </c>
      <c r="Z578" s="40" t="s">
        <v>45</v>
      </c>
      <c r="AA578" s="40" t="s">
        <v>45</v>
      </c>
      <c r="AB578" s="40" t="s">
        <v>45</v>
      </c>
      <c r="AC578" s="40" t="s">
        <v>45</v>
      </c>
      <c r="AD578" s="40" t="s">
        <v>45</v>
      </c>
      <c r="AE578" s="40" t="s">
        <v>45</v>
      </c>
      <c r="AF578" s="40" t="s">
        <v>45</v>
      </c>
      <c r="AG578" s="41" t="s">
        <v>45</v>
      </c>
      <c r="AH578" s="40">
        <v>1</v>
      </c>
      <c r="AI578" s="40">
        <v>1</v>
      </c>
      <c r="AJ578" s="41">
        <v>1</v>
      </c>
      <c r="AK578" s="43" t="s">
        <v>670</v>
      </c>
      <c r="AL578" s="43"/>
      <c r="AM578" s="44">
        <f t="shared" si="57"/>
        <v>-1.8605124261753858</v>
      </c>
      <c r="AN578" s="44">
        <f t="shared" si="58"/>
        <v>-1.0853088316461883</v>
      </c>
      <c r="AO578" s="45">
        <f t="shared" si="59"/>
        <v>0</v>
      </c>
      <c r="AP578" s="46">
        <f t="shared" si="60"/>
        <v>0</v>
      </c>
      <c r="AQ578" s="44">
        <f>($AM$3*AM578+$AN$3*AN578+$AO$3*AO578+$AP$3*AP578)+$I$3*VLOOKUP(I578,COND!$A$2:$E$7,4,FALSE)+$J$3*VLOOKUP(J578,COND!$A$2:$C$7,2,FALSE)+$K$3*VLOOKUP(K578,COND!$A$2:$C$7,3,FALSE)+IF(AND($B$2&gt;0,$E578&lt;20),$B$2*25,0)</f>
        <v>36.490242777628197</v>
      </c>
      <c r="AR578" s="47">
        <f t="shared" si="61"/>
        <v>-1.6942158655636264</v>
      </c>
      <c r="AS578" s="45" t="str">
        <f t="shared" si="62"/>
        <v>DH</v>
      </c>
      <c r="AT578" s="45">
        <f>RANK(Batters[[#This Row],[zScore]],Batters[[#All],[zScore]])</f>
        <v>574</v>
      </c>
      <c r="AU578" s="45"/>
      <c r="AV578" s="45"/>
      <c r="AW578" s="45" t="str">
        <f t="shared" si="63"/>
        <v>Unlikely</v>
      </c>
      <c r="AX578" s="45"/>
      <c r="AY578" s="64" t="str">
        <f>INDEX(Table5[[#All],[Ovr]],MATCH(Batters[[#This Row],[PID]],Table5[[#All],[PID]],0))</f>
        <v/>
      </c>
      <c r="AZ578" s="64" t="str">
        <f>INDEX(Table5[[#All],[Rnd]],MATCH(Batters[[#This Row],[PID]],Table5[[#All],[PID]],0))</f>
        <v/>
      </c>
      <c r="BA578" s="64" t="str">
        <f>INDEX(Table5[[#All],[Pick]],MATCH(Batters[[#This Row],[PID]],Table5[[#All],[PID]],0))</f>
        <v/>
      </c>
      <c r="BB578" s="64" t="str">
        <f>INDEX(Table5[[#All],[Team]],MATCH(Batters[[#This Row],[PID]],Table5[[#All],[PID]],0))</f>
        <v/>
      </c>
    </row>
    <row r="579" spans="1:54" ht="30" x14ac:dyDescent="0.25">
      <c r="A579" s="40">
        <v>9434</v>
      </c>
      <c r="B579" s="40" t="s">
        <v>86</v>
      </c>
      <c r="C579" s="40" t="s">
        <v>427</v>
      </c>
      <c r="D579" s="40" t="s">
        <v>909</v>
      </c>
      <c r="E579" s="40">
        <v>22</v>
      </c>
      <c r="F579" s="40" t="s">
        <v>42</v>
      </c>
      <c r="G579" s="40" t="s">
        <v>42</v>
      </c>
      <c r="H579" s="41" t="s">
        <v>638</v>
      </c>
      <c r="I579" s="65" t="s">
        <v>43</v>
      </c>
      <c r="J579" s="66" t="s">
        <v>47</v>
      </c>
      <c r="K579" s="67" t="s">
        <v>47</v>
      </c>
      <c r="L579" s="40">
        <v>2</v>
      </c>
      <c r="M579" s="40">
        <v>3</v>
      </c>
      <c r="N579" s="40">
        <v>2</v>
      </c>
      <c r="O579" s="40">
        <v>2</v>
      </c>
      <c r="P579" s="41">
        <v>1</v>
      </c>
      <c r="Q579" s="40">
        <v>3</v>
      </c>
      <c r="R579" s="40">
        <v>4</v>
      </c>
      <c r="S579" s="40">
        <v>3</v>
      </c>
      <c r="T579" s="40">
        <v>3</v>
      </c>
      <c r="U579" s="41">
        <v>3</v>
      </c>
      <c r="V579" s="40">
        <v>8</v>
      </c>
      <c r="W579" s="40">
        <v>8</v>
      </c>
      <c r="X579" s="40">
        <v>9</v>
      </c>
      <c r="Y579" s="41">
        <v>7</v>
      </c>
      <c r="Z579" s="40">
        <v>4</v>
      </c>
      <c r="AA579" s="40" t="s">
        <v>45</v>
      </c>
      <c r="AB579" s="40" t="s">
        <v>45</v>
      </c>
      <c r="AC579" s="40">
        <v>1</v>
      </c>
      <c r="AD579" s="40" t="s">
        <v>45</v>
      </c>
      <c r="AE579" s="40" t="s">
        <v>45</v>
      </c>
      <c r="AF579" s="40" t="s">
        <v>45</v>
      </c>
      <c r="AG579" s="41" t="s">
        <v>45</v>
      </c>
      <c r="AH579" s="40">
        <v>3</v>
      </c>
      <c r="AI579" s="40">
        <v>2</v>
      </c>
      <c r="AJ579" s="41">
        <v>1</v>
      </c>
      <c r="AK579" s="43" t="s">
        <v>45</v>
      </c>
      <c r="AL579" s="43" t="s">
        <v>47</v>
      </c>
      <c r="AM579" s="44">
        <f t="shared" si="57"/>
        <v>-1.4868967103540081</v>
      </c>
      <c r="AN579" s="44">
        <f t="shared" si="58"/>
        <v>-0.86047727086498016</v>
      </c>
      <c r="AO579" s="45">
        <f t="shared" si="59"/>
        <v>0</v>
      </c>
      <c r="AP579" s="46">
        <f t="shared" si="60"/>
        <v>1.35</v>
      </c>
      <c r="AQ579" s="44">
        <f>($AM$3*AM579+$AN$3*AN579+$AO$3*AO579+$AP$3*AP579)+$I$3*VLOOKUP(I579,COND!$A$2:$E$7,4,FALSE)+$J$3*VLOOKUP(J579,COND!$A$2:$C$7,2,FALSE)+$K$3*VLOOKUP(K579,COND!$A$2:$C$7,3,FALSE)+IF(AND($B$2&gt;0,$E579&lt;20),$B$2*25,0)</f>
        <v>36.475583078584833</v>
      </c>
      <c r="AR579" s="47">
        <f t="shared" si="61"/>
        <v>-1.6974660199319094</v>
      </c>
      <c r="AS579" s="45" t="str">
        <f t="shared" si="62"/>
        <v>C</v>
      </c>
      <c r="AT579" s="45">
        <f>RANK(Batters[[#This Row],[zScore]],Batters[[#All],[zScore]])</f>
        <v>575</v>
      </c>
      <c r="AU579" s="45"/>
      <c r="AV579" s="45"/>
      <c r="AW579" s="45" t="str">
        <f t="shared" si="63"/>
        <v>Unlikely</v>
      </c>
      <c r="AX579" s="45"/>
      <c r="AY579" s="45" t="str">
        <f>INDEX(Table5[[#All],[Ovr]],MATCH(Batters[[#This Row],[PID]],Table5[[#All],[PID]],0))</f>
        <v/>
      </c>
      <c r="AZ579" s="45" t="str">
        <f>INDEX(Table5[[#All],[Rnd]],MATCH(Batters[[#This Row],[PID]],Table5[[#All],[PID]],0))</f>
        <v/>
      </c>
      <c r="BA579" s="45" t="str">
        <f>INDEX(Table5[[#All],[Pick]],MATCH(Batters[[#This Row],[PID]],Table5[[#All],[PID]],0))</f>
        <v/>
      </c>
      <c r="BB579" s="45" t="str">
        <f>INDEX(Table5[[#All],[Team]],MATCH(Batters[[#This Row],[PID]],Table5[[#All],[PID]],0))</f>
        <v/>
      </c>
    </row>
    <row r="580" spans="1:54" ht="30" x14ac:dyDescent="0.25">
      <c r="A580" s="40">
        <v>20599</v>
      </c>
      <c r="B580" s="40" t="s">
        <v>71</v>
      </c>
      <c r="C580" s="40" t="s">
        <v>1767</v>
      </c>
      <c r="D580" s="40" t="s">
        <v>1385</v>
      </c>
      <c r="E580" s="40">
        <v>18</v>
      </c>
      <c r="F580" s="40" t="s">
        <v>42</v>
      </c>
      <c r="G580" s="40" t="s">
        <v>42</v>
      </c>
      <c r="H580" s="41" t="s">
        <v>647</v>
      </c>
      <c r="I580" s="65" t="s">
        <v>43</v>
      </c>
      <c r="J580" s="66" t="s">
        <v>44</v>
      </c>
      <c r="K580" s="67" t="s">
        <v>43</v>
      </c>
      <c r="L580" s="40">
        <v>1</v>
      </c>
      <c r="M580" s="40">
        <v>2</v>
      </c>
      <c r="N580" s="40">
        <v>2</v>
      </c>
      <c r="O580" s="40">
        <v>2</v>
      </c>
      <c r="P580" s="41">
        <v>1</v>
      </c>
      <c r="Q580" s="40">
        <v>2</v>
      </c>
      <c r="R580" s="40">
        <v>4</v>
      </c>
      <c r="S580" s="40">
        <v>2</v>
      </c>
      <c r="T580" s="40">
        <v>5</v>
      </c>
      <c r="U580" s="41">
        <v>3</v>
      </c>
      <c r="V580" s="40">
        <v>3</v>
      </c>
      <c r="W580" s="40">
        <v>2</v>
      </c>
      <c r="X580" s="40">
        <v>1</v>
      </c>
      <c r="Y580" s="41">
        <v>1</v>
      </c>
      <c r="Z580" s="40" t="s">
        <v>45</v>
      </c>
      <c r="AA580" s="40" t="s">
        <v>45</v>
      </c>
      <c r="AB580" s="40">
        <v>1</v>
      </c>
      <c r="AC580" s="40" t="s">
        <v>45</v>
      </c>
      <c r="AD580" s="40" t="s">
        <v>45</v>
      </c>
      <c r="AE580" s="40">
        <v>1</v>
      </c>
      <c r="AF580" s="40" t="s">
        <v>45</v>
      </c>
      <c r="AG580" s="41" t="s">
        <v>45</v>
      </c>
      <c r="AH580" s="40">
        <v>7</v>
      </c>
      <c r="AI580" s="40">
        <v>5</v>
      </c>
      <c r="AJ580" s="41">
        <v>5</v>
      </c>
      <c r="AK580" s="43" t="s">
        <v>670</v>
      </c>
      <c r="AL580" s="43"/>
      <c r="AM580" s="44">
        <f t="shared" si="57"/>
        <v>-1.8605124261753858</v>
      </c>
      <c r="AN580" s="44">
        <f t="shared" si="58"/>
        <v>-1.0866755010723943</v>
      </c>
      <c r="AO580" s="45">
        <f t="shared" si="59"/>
        <v>0</v>
      </c>
      <c r="AP580" s="46">
        <f t="shared" si="60"/>
        <v>0</v>
      </c>
      <c r="AQ580" s="44">
        <f>($AM$3*AM580+$AN$3*AN580+$AO$3*AO580+$AP$3*AP580)+$I$3*VLOOKUP(I580,COND!$A$2:$E$7,4,FALSE)+$J$3*VLOOKUP(J580,COND!$A$2:$C$7,2,FALSE)+$K$3*VLOOKUP(K580,COND!$A$2:$C$7,3,FALSE)+IF(AND($B$2&gt;0,$E580&lt;20),$B$2*25,0)</f>
        <v>36.473842744513732</v>
      </c>
      <c r="AR580" s="47">
        <f t="shared" si="61"/>
        <v>-1.697851863759039</v>
      </c>
      <c r="AS580" s="45" t="str">
        <f t="shared" si="62"/>
        <v>2B</v>
      </c>
      <c r="AT580" s="45">
        <f>RANK(Batters[[#This Row],[zScore]],Batters[[#All],[zScore]])</f>
        <v>576</v>
      </c>
      <c r="AU580" s="45"/>
      <c r="AV580" s="45"/>
      <c r="AW580" s="45" t="str">
        <f t="shared" si="63"/>
        <v>Unlikely</v>
      </c>
      <c r="AX580" s="45"/>
      <c r="AY580" s="64" t="str">
        <f>INDEX(Table5[[#All],[Ovr]],MATCH(Batters[[#This Row],[PID]],Table5[[#All],[PID]],0))</f>
        <v/>
      </c>
      <c r="AZ580" s="64" t="str">
        <f>INDEX(Table5[[#All],[Rnd]],MATCH(Batters[[#This Row],[PID]],Table5[[#All],[PID]],0))</f>
        <v/>
      </c>
      <c r="BA580" s="64" t="str">
        <f>INDEX(Table5[[#All],[Pick]],MATCH(Batters[[#This Row],[PID]],Table5[[#All],[PID]],0))</f>
        <v/>
      </c>
      <c r="BB580" s="64" t="str">
        <f>INDEX(Table5[[#All],[Team]],MATCH(Batters[[#This Row],[PID]],Table5[[#All],[PID]],0))</f>
        <v/>
      </c>
    </row>
    <row r="581" spans="1:54" ht="30" x14ac:dyDescent="0.25">
      <c r="A581" s="40">
        <v>21064</v>
      </c>
      <c r="B581" s="40" t="s">
        <v>86</v>
      </c>
      <c r="C581" s="40" t="s">
        <v>130</v>
      </c>
      <c r="D581" s="40" t="s">
        <v>1695</v>
      </c>
      <c r="E581" s="40">
        <v>17</v>
      </c>
      <c r="F581" s="40" t="s">
        <v>62</v>
      </c>
      <c r="G581" s="40" t="s">
        <v>42</v>
      </c>
      <c r="H581" s="41" t="s">
        <v>639</v>
      </c>
      <c r="I581" s="65" t="s">
        <v>43</v>
      </c>
      <c r="J581" s="66" t="s">
        <v>47</v>
      </c>
      <c r="K581" s="67" t="s">
        <v>43</v>
      </c>
      <c r="L581" s="40">
        <v>1</v>
      </c>
      <c r="M581" s="40">
        <v>1</v>
      </c>
      <c r="N581" s="40">
        <v>2</v>
      </c>
      <c r="O581" s="40">
        <v>2</v>
      </c>
      <c r="P581" s="41">
        <v>1</v>
      </c>
      <c r="Q581" s="40">
        <v>2</v>
      </c>
      <c r="R581" s="40">
        <v>3</v>
      </c>
      <c r="S581" s="40">
        <v>2</v>
      </c>
      <c r="T581" s="40">
        <v>5</v>
      </c>
      <c r="U581" s="41">
        <v>3</v>
      </c>
      <c r="V581" s="40">
        <v>5</v>
      </c>
      <c r="W581" s="40">
        <v>4</v>
      </c>
      <c r="X581" s="40">
        <v>5</v>
      </c>
      <c r="Y581" s="41">
        <v>5</v>
      </c>
      <c r="Z581" s="40" t="s">
        <v>45</v>
      </c>
      <c r="AA581" s="40" t="s">
        <v>45</v>
      </c>
      <c r="AB581" s="40" t="s">
        <v>45</v>
      </c>
      <c r="AC581" s="40" t="s">
        <v>45</v>
      </c>
      <c r="AD581" s="40" t="s">
        <v>45</v>
      </c>
      <c r="AE581" s="40" t="s">
        <v>45</v>
      </c>
      <c r="AF581" s="40" t="s">
        <v>45</v>
      </c>
      <c r="AG581" s="41" t="s">
        <v>45</v>
      </c>
      <c r="AH581" s="40">
        <v>1</v>
      </c>
      <c r="AI581" s="40">
        <v>4</v>
      </c>
      <c r="AJ581" s="41">
        <v>4</v>
      </c>
      <c r="AK581" s="43" t="s">
        <v>670</v>
      </c>
      <c r="AL581" s="43"/>
      <c r="AM581" s="44">
        <f t="shared" ref="AM581:AM644" si="64">($L$3*(L581-$Q$1)/$Q$2+$M$3*(M581-$R$1)/$R$2+$N$3*(N581-$S$1)/$S$2+$O$3*(O581-$T$1)/$T$2+$P$3*(P581-$U$1)/$U$2)/(SUM($L$3:$P$3))</f>
        <v>-1.9115723057940897</v>
      </c>
      <c r="AN581" s="44">
        <f t="shared" ref="AN581:AN644" si="65">($L$3*(Q581-$Q$1)/$Q$2+$M$3*(R581-$R$1)/$R$2+$N$3*(S581-$S$1)/$S$2+$O$3*(T581-$T$1)/$T$2+$P$3*(U581-$U$1)/$U$2)/(SUM($L$3:$P$3))</f>
        <v>-1.1377353806910979</v>
      </c>
      <c r="AO581" s="45">
        <f t="shared" ref="AO581:AO644" si="66">IF(AVERAGE(AH581:AI581)&gt;9,1,0)+IF(AVERAGE(AH581:AI581)&gt;7,1,0)+IF(AH581&gt;7,1,0)+IF(AI581&gt;7,1,0)+IF(AJ581&gt;8,1,0)+IF(AJ581&gt;6,1,0)</f>
        <v>0</v>
      </c>
      <c r="AP581" s="46">
        <f t="shared" ref="AP581:AP644" si="67">MIN(2,IF(OR(Z581="-",X581&lt;5),0,1+IF(Y581&gt;7,0.35,IF(Y581&gt;5,0.1,0))+IF(Z581&gt;7,1+IF(X581&gt;7,0.25,0),IF(Z581&gt;4,0.5+IF(X581&gt;7,0.25,0),0+IF(X581&gt;7,0.25))))+IF(AA581="-",0,IF(AA581&gt;9,0.5,IF(AA581&gt;7,0.25,0)))+IF(AB581="-",0,IF(AB581&gt;7,1.1,IF(AB581&gt;4,0.6,0)))+IF(OR(AC581="-",V581&lt;5),0,IF(AC581&gt;7,1+IF(V581&gt;7,0.25,0),IF(AC581&gt;4,0.5+IF(V581&gt;7,0.25,0),0)))+IF(AD581="-",0,IF(AD581&gt;7,1.5,IF(AD581&gt;4,1,0)))+IF(AE581="-",0,IF(AE581&gt;9,0.5,IF(AE581&gt;7,0.25,0)))+IF(AF581="-",0,IF(AF581&gt;7,1.25,IF(AF581&gt;4,0.75,0)))+IF(OR(AG581="-",W581&lt;4),0,IF(AG581&gt;7,1+IF(W581&gt;7,0.15,0),IF(AG581&gt;4,0.5+IF(W581&gt;7,0.15,0),0))))</f>
        <v>0</v>
      </c>
      <c r="AQ581" s="44">
        <f>($AM$3*AM581+$AN$3*AN581+$AO$3*AO581+$AP$3*AP581)+$I$3*VLOOKUP(I581,COND!$A$2:$E$7,4,FALSE)+$J$3*VLOOKUP(J581,COND!$A$2:$C$7,2,FALSE)+$K$3*VLOOKUP(K581,COND!$A$2:$C$7,3,FALSE)+IF(AND($B$2&gt;0,$E581&lt;20),$B$2*25,0)</f>
        <v>36.456018201127421</v>
      </c>
      <c r="AR581" s="47">
        <f t="shared" ref="AR581:AR644" si="68">STANDARDIZE(AQ581,AVERAGE($AQ$5:$AQ$534),STDEVP($AQ$5:$AQ$534))</f>
        <v>-1.7018036855105159</v>
      </c>
      <c r="AS581" s="45" t="str">
        <f t="shared" ref="AS581:AS644" si="69">IF(AND(Z581&lt;&gt;"-",Y581&gt;1),"C",IF(AB581=MAX(AB581:AD581),"2B",IF(AD581=MAX(AB581:AD581),"SS",IF(OR(AC581=MAX(AA581:AD581),AND(AC581&lt;&gt;"-",AC581&gt;4,V581&gt;5)),"3B",IF(AF581=MAX(AE581:AG581),"CF",IF(AND(AG581=MAX(AE581,AG581),AND(W581&gt;5,AG581&lt;&gt;"-")),"RF",IF(AE581&lt;&gt;"-","LF",IF(AA581&lt;&gt;"-","1B","DH"))))))))</f>
        <v>DH</v>
      </c>
      <c r="AT581" s="45">
        <f>RANK(Batters[[#This Row],[zScore]],Batters[[#All],[zScore]])</f>
        <v>577</v>
      </c>
      <c r="AU581" s="45"/>
      <c r="AV581" s="45"/>
      <c r="AW581" s="45" t="str">
        <f t="shared" ref="AW581:AW644" si="70">IF(AND($Q581&gt;=6,AVERAGE($S581:$T581)&gt;=6),"Likely",IF(OR($Q581&gt;6,AND($Q581=6,AVERAGE($S581:$T581)&gt;=3),AND($Q581&gt;=5,AVERAGE($S581:$T581)&gt;=5),AVERAGE($Q581,$S581:$T581)&gt;5),"Possible","Unlikely"))</f>
        <v>Unlikely</v>
      </c>
      <c r="AX581" s="45"/>
      <c r="AY581" s="64" t="str">
        <f>INDEX(Table5[[#All],[Ovr]],MATCH(Batters[[#This Row],[PID]],Table5[[#All],[PID]],0))</f>
        <v/>
      </c>
      <c r="AZ581" s="64" t="str">
        <f>INDEX(Table5[[#All],[Rnd]],MATCH(Batters[[#This Row],[PID]],Table5[[#All],[PID]],0))</f>
        <v/>
      </c>
      <c r="BA581" s="64" t="str">
        <f>INDEX(Table5[[#All],[Pick]],MATCH(Batters[[#This Row],[PID]],Table5[[#All],[PID]],0))</f>
        <v/>
      </c>
      <c r="BB581" s="64" t="str">
        <f>INDEX(Table5[[#All],[Team]],MATCH(Batters[[#This Row],[PID]],Table5[[#All],[PID]],0))</f>
        <v/>
      </c>
    </row>
    <row r="582" spans="1:54" ht="30" x14ac:dyDescent="0.25">
      <c r="A582" s="40">
        <v>6022</v>
      </c>
      <c r="B582" s="40" t="s">
        <v>50</v>
      </c>
      <c r="C582" s="40" t="s">
        <v>1749</v>
      </c>
      <c r="D582" s="40" t="s">
        <v>662</v>
      </c>
      <c r="E582" s="40">
        <v>21</v>
      </c>
      <c r="F582" s="40" t="s">
        <v>42</v>
      </c>
      <c r="G582" s="40" t="s">
        <v>53</v>
      </c>
      <c r="H582" s="41" t="s">
        <v>647</v>
      </c>
      <c r="I582" s="65" t="s">
        <v>43</v>
      </c>
      <c r="J582" s="66" t="s">
        <v>43</v>
      </c>
      <c r="K582" s="67" t="s">
        <v>43</v>
      </c>
      <c r="L582" s="40">
        <v>1</v>
      </c>
      <c r="M582" s="40">
        <v>1</v>
      </c>
      <c r="N582" s="40">
        <v>2</v>
      </c>
      <c r="O582" s="40">
        <v>2</v>
      </c>
      <c r="P582" s="41">
        <v>1</v>
      </c>
      <c r="Q582" s="40">
        <v>3</v>
      </c>
      <c r="R582" s="40">
        <v>3</v>
      </c>
      <c r="S582" s="40">
        <v>4</v>
      </c>
      <c r="T582" s="40">
        <v>4</v>
      </c>
      <c r="U582" s="41">
        <v>4</v>
      </c>
      <c r="V582" s="40">
        <v>3</v>
      </c>
      <c r="W582" s="40">
        <v>6</v>
      </c>
      <c r="X582" s="40">
        <v>1</v>
      </c>
      <c r="Y582" s="41">
        <v>1</v>
      </c>
      <c r="Z582" s="40" t="s">
        <v>45</v>
      </c>
      <c r="AA582" s="40" t="s">
        <v>45</v>
      </c>
      <c r="AB582" s="40" t="s">
        <v>45</v>
      </c>
      <c r="AC582" s="40" t="s">
        <v>45</v>
      </c>
      <c r="AD582" s="40" t="s">
        <v>45</v>
      </c>
      <c r="AE582" s="40">
        <v>1</v>
      </c>
      <c r="AF582" s="40" t="s">
        <v>45</v>
      </c>
      <c r="AG582" s="41" t="s">
        <v>45</v>
      </c>
      <c r="AH582" s="40">
        <v>5</v>
      </c>
      <c r="AI582" s="40">
        <v>1</v>
      </c>
      <c r="AJ582" s="41">
        <v>1</v>
      </c>
      <c r="AK582" s="43" t="s">
        <v>45</v>
      </c>
      <c r="AL582" s="43"/>
      <c r="AM582" s="44">
        <f t="shared" si="64"/>
        <v>-1.9115723057940897</v>
      </c>
      <c r="AN582" s="44">
        <f t="shared" si="65"/>
        <v>-0.6987497666331175</v>
      </c>
      <c r="AO582" s="45">
        <f t="shared" si="66"/>
        <v>0</v>
      </c>
      <c r="AP582" s="46">
        <f t="shared" si="67"/>
        <v>0</v>
      </c>
      <c r="AQ582" s="44">
        <f>($AM$3*AM582+$AN$3*AN582+$AO$3*AO582+$AP$3*AP582)+$I$3*VLOOKUP(I582,COND!$A$2:$E$7,4,FALSE)+$J$3*VLOOKUP(J582,COND!$A$2:$C$7,2,FALSE)+$K$3*VLOOKUP(K582,COND!$A$2:$C$7,3,FALSE)+IF(AND($B$2&gt;0,$E582&lt;20),$B$2*25,0)</f>
        <v>36.423845569823179</v>
      </c>
      <c r="AR582" s="47">
        <f t="shared" si="68"/>
        <v>-1.7089365753374715</v>
      </c>
      <c r="AS582" s="45" t="str">
        <f t="shared" si="69"/>
        <v>LF</v>
      </c>
      <c r="AT582" s="45">
        <f>RANK(Batters[[#This Row],[zScore]],Batters[[#All],[zScore]])</f>
        <v>578</v>
      </c>
      <c r="AU582" s="45"/>
      <c r="AV582" s="45"/>
      <c r="AW582" s="45" t="str">
        <f t="shared" si="70"/>
        <v>Unlikely</v>
      </c>
      <c r="AX582" s="45"/>
      <c r="AY582" s="64" t="str">
        <f>INDEX(Table5[[#All],[Ovr]],MATCH(Batters[[#This Row],[PID]],Table5[[#All],[PID]],0))</f>
        <v/>
      </c>
      <c r="AZ582" s="64" t="str">
        <f>INDEX(Table5[[#All],[Rnd]],MATCH(Batters[[#This Row],[PID]],Table5[[#All],[PID]],0))</f>
        <v/>
      </c>
      <c r="BA582" s="64" t="str">
        <f>INDEX(Table5[[#All],[Pick]],MATCH(Batters[[#This Row],[PID]],Table5[[#All],[PID]],0))</f>
        <v/>
      </c>
      <c r="BB582" s="64" t="str">
        <f>INDEX(Table5[[#All],[Team]],MATCH(Batters[[#This Row],[PID]],Table5[[#All],[PID]],0))</f>
        <v/>
      </c>
    </row>
    <row r="583" spans="1:54" ht="30" x14ac:dyDescent="0.25">
      <c r="A583" s="40">
        <v>12375</v>
      </c>
      <c r="B583" s="40" t="s">
        <v>86</v>
      </c>
      <c r="C583" s="40" t="s">
        <v>923</v>
      </c>
      <c r="D583" s="40" t="s">
        <v>924</v>
      </c>
      <c r="E583" s="40">
        <v>22</v>
      </c>
      <c r="F583" s="40" t="s">
        <v>42</v>
      </c>
      <c r="G583" s="40" t="s">
        <v>42</v>
      </c>
      <c r="H583" s="41" t="s">
        <v>638</v>
      </c>
      <c r="I583" s="65" t="s">
        <v>43</v>
      </c>
      <c r="J583" s="66" t="s">
        <v>44</v>
      </c>
      <c r="K583" s="67" t="s">
        <v>43</v>
      </c>
      <c r="L583" s="40">
        <v>2</v>
      </c>
      <c r="M583" s="40">
        <v>4</v>
      </c>
      <c r="N583" s="40">
        <v>3</v>
      </c>
      <c r="O583" s="40">
        <v>3</v>
      </c>
      <c r="P583" s="41">
        <v>3</v>
      </c>
      <c r="Q583" s="40">
        <v>3</v>
      </c>
      <c r="R583" s="40">
        <v>4</v>
      </c>
      <c r="S583" s="40">
        <v>3</v>
      </c>
      <c r="T583" s="40">
        <v>5</v>
      </c>
      <c r="U583" s="41">
        <v>3</v>
      </c>
      <c r="V583" s="40">
        <v>2</v>
      </c>
      <c r="W583" s="40">
        <v>3</v>
      </c>
      <c r="X583" s="40">
        <v>4</v>
      </c>
      <c r="Y583" s="41">
        <v>6</v>
      </c>
      <c r="Z583" s="40" t="s">
        <v>45</v>
      </c>
      <c r="AA583" s="40" t="s">
        <v>45</v>
      </c>
      <c r="AB583" s="40" t="s">
        <v>45</v>
      </c>
      <c r="AC583" s="40" t="s">
        <v>45</v>
      </c>
      <c r="AD583" s="40" t="s">
        <v>45</v>
      </c>
      <c r="AE583" s="40" t="s">
        <v>45</v>
      </c>
      <c r="AF583" s="40" t="s">
        <v>45</v>
      </c>
      <c r="AG583" s="41" t="s">
        <v>45</v>
      </c>
      <c r="AH583" s="40">
        <v>3</v>
      </c>
      <c r="AI583" s="40">
        <v>5</v>
      </c>
      <c r="AJ583" s="41">
        <v>5</v>
      </c>
      <c r="AK583" s="43" t="s">
        <v>45</v>
      </c>
      <c r="AL583" s="43" t="s">
        <v>47</v>
      </c>
      <c r="AM583" s="44">
        <f t="shared" si="64"/>
        <v>-1.183033107067655</v>
      </c>
      <c r="AN583" s="44">
        <f t="shared" si="65"/>
        <v>-0.6810581708458181</v>
      </c>
      <c r="AO583" s="45">
        <f t="shared" si="66"/>
        <v>0</v>
      </c>
      <c r="AP583" s="46">
        <f t="shared" si="67"/>
        <v>0</v>
      </c>
      <c r="AQ583" s="44">
        <f>($AM$3*AM583+$AN$3*AN583+$AO$3*AO583+$AP$3*AP583)+$I$3*VLOOKUP(I583,COND!$A$2:$E$7,4,FALSE)+$J$3*VLOOKUP(J583,COND!$A$2:$C$7,2,FALSE)+$K$3*VLOOKUP(K583,COND!$A$2:$C$7,3,FALSE)+IF(AND($B$2&gt;0,$E583&lt;20),$B$2*25,0)</f>
        <v>36.408998639143419</v>
      </c>
      <c r="AR583" s="47">
        <f t="shared" si="68"/>
        <v>-1.7122282402251117</v>
      </c>
      <c r="AS583" s="45" t="str">
        <f t="shared" si="69"/>
        <v>DH</v>
      </c>
      <c r="AT583" s="45">
        <f>RANK(Batters[[#This Row],[zScore]],Batters[[#All],[zScore]])</f>
        <v>579</v>
      </c>
      <c r="AU583" s="45"/>
      <c r="AV583" s="45"/>
      <c r="AW583" s="45" t="str">
        <f t="shared" si="70"/>
        <v>Unlikely</v>
      </c>
      <c r="AX583" s="45"/>
      <c r="AY583" s="45" t="str">
        <f>INDEX(Table5[[#All],[Ovr]],MATCH(Batters[[#This Row],[PID]],Table5[[#All],[PID]],0))</f>
        <v/>
      </c>
      <c r="AZ583" s="45" t="str">
        <f>INDEX(Table5[[#All],[Rnd]],MATCH(Batters[[#This Row],[PID]],Table5[[#All],[PID]],0))</f>
        <v/>
      </c>
      <c r="BA583" s="45" t="str">
        <f>INDEX(Table5[[#All],[Pick]],MATCH(Batters[[#This Row],[PID]],Table5[[#All],[PID]],0))</f>
        <v/>
      </c>
      <c r="BB583" s="45" t="str">
        <f>INDEX(Table5[[#All],[Team]],MATCH(Batters[[#This Row],[PID]],Table5[[#All],[PID]],0))</f>
        <v/>
      </c>
    </row>
    <row r="584" spans="1:54" ht="30" x14ac:dyDescent="0.25">
      <c r="A584" s="40">
        <v>12223</v>
      </c>
      <c r="B584" s="40" t="s">
        <v>71</v>
      </c>
      <c r="C584" s="40" t="s">
        <v>142</v>
      </c>
      <c r="D584" s="40" t="s">
        <v>203</v>
      </c>
      <c r="E584" s="40">
        <v>22</v>
      </c>
      <c r="F584" s="40" t="s">
        <v>42</v>
      </c>
      <c r="G584" s="40" t="s">
        <v>42</v>
      </c>
      <c r="H584" s="41" t="s">
        <v>638</v>
      </c>
      <c r="I584" s="65" t="s">
        <v>43</v>
      </c>
      <c r="J584" s="66" t="s">
        <v>44</v>
      </c>
      <c r="K584" s="67" t="s">
        <v>43</v>
      </c>
      <c r="L584" s="40">
        <v>2</v>
      </c>
      <c r="M584" s="40">
        <v>2</v>
      </c>
      <c r="N584" s="40">
        <v>2</v>
      </c>
      <c r="O584" s="40">
        <v>3</v>
      </c>
      <c r="P584" s="41">
        <v>1</v>
      </c>
      <c r="Q584" s="40">
        <v>3</v>
      </c>
      <c r="R584" s="40">
        <v>5</v>
      </c>
      <c r="S584" s="40">
        <v>3</v>
      </c>
      <c r="T584" s="40">
        <v>4</v>
      </c>
      <c r="U584" s="41">
        <v>4</v>
      </c>
      <c r="V584" s="40">
        <v>2</v>
      </c>
      <c r="W584" s="40">
        <v>1</v>
      </c>
      <c r="X584" s="40">
        <v>1</v>
      </c>
      <c r="Y584" s="41">
        <v>1</v>
      </c>
      <c r="Z584" s="40" t="s">
        <v>45</v>
      </c>
      <c r="AA584" s="40" t="s">
        <v>45</v>
      </c>
      <c r="AB584" s="40">
        <v>3</v>
      </c>
      <c r="AC584" s="40" t="s">
        <v>45</v>
      </c>
      <c r="AD584" s="40" t="s">
        <v>45</v>
      </c>
      <c r="AE584" s="40" t="s">
        <v>45</v>
      </c>
      <c r="AF584" s="40" t="s">
        <v>45</v>
      </c>
      <c r="AG584" s="41" t="s">
        <v>45</v>
      </c>
      <c r="AH584" s="40">
        <v>3</v>
      </c>
      <c r="AI584" s="40">
        <v>7</v>
      </c>
      <c r="AJ584" s="41">
        <v>3</v>
      </c>
      <c r="AK584" s="43" t="s">
        <v>45</v>
      </c>
      <c r="AL584" s="43" t="s">
        <v>47</v>
      </c>
      <c r="AM584" s="44">
        <f t="shared" si="64"/>
        <v>-1.4482470399631302</v>
      </c>
      <c r="AN584" s="44">
        <f t="shared" si="65"/>
        <v>-0.6796915014196121</v>
      </c>
      <c r="AO584" s="45">
        <f t="shared" si="66"/>
        <v>0</v>
      </c>
      <c r="AP584" s="46">
        <f t="shared" si="67"/>
        <v>0</v>
      </c>
      <c r="AQ584" s="44">
        <f>($AM$3*AM584+$AN$3*AN584+$AO$3*AO584+$AP$3*AP584)+$I$3*VLOOKUP(I584,COND!$A$2:$E$7,4,FALSE)+$J$3*VLOOKUP(J584,COND!$A$2:$C$7,2,FALSE)+$K$3*VLOOKUP(K584,COND!$A$2:$C$7,3,FALSE)+IF(AND($B$2&gt;0,$E584&lt;20),$B$2*25,0)</f>
        <v>36.398877278968342</v>
      </c>
      <c r="AR584" s="47">
        <f t="shared" si="68"/>
        <v>-1.7144722141899718</v>
      </c>
      <c r="AS584" s="45" t="str">
        <f t="shared" si="69"/>
        <v>2B</v>
      </c>
      <c r="AT584" s="45">
        <f>RANK(Batters[[#This Row],[zScore]],Batters[[#All],[zScore]])</f>
        <v>580</v>
      </c>
      <c r="AU584" s="45"/>
      <c r="AV584" s="45"/>
      <c r="AW584" s="45" t="str">
        <f t="shared" si="70"/>
        <v>Unlikely</v>
      </c>
      <c r="AX584" s="45"/>
      <c r="AY584" s="45" t="str">
        <f>INDEX(Table5[[#All],[Ovr]],MATCH(Batters[[#This Row],[PID]],Table5[[#All],[PID]],0))</f>
        <v/>
      </c>
      <c r="AZ584" s="45" t="str">
        <f>INDEX(Table5[[#All],[Rnd]],MATCH(Batters[[#This Row],[PID]],Table5[[#All],[PID]],0))</f>
        <v/>
      </c>
      <c r="BA584" s="45" t="str">
        <f>INDEX(Table5[[#All],[Pick]],MATCH(Batters[[#This Row],[PID]],Table5[[#All],[PID]],0))</f>
        <v/>
      </c>
      <c r="BB584" s="45" t="str">
        <f>INDEX(Table5[[#All],[Team]],MATCH(Batters[[#This Row],[PID]],Table5[[#All],[PID]],0))</f>
        <v/>
      </c>
    </row>
    <row r="585" spans="1:54" ht="30" x14ac:dyDescent="0.25">
      <c r="A585" s="40">
        <v>15085</v>
      </c>
      <c r="B585" s="40" t="s">
        <v>69</v>
      </c>
      <c r="C585" s="40" t="s">
        <v>650</v>
      </c>
      <c r="D585" s="40" t="s">
        <v>212</v>
      </c>
      <c r="E585" s="40">
        <v>22</v>
      </c>
      <c r="F585" s="40" t="s">
        <v>42</v>
      </c>
      <c r="G585" s="40" t="s">
        <v>42</v>
      </c>
      <c r="H585" s="41" t="s">
        <v>639</v>
      </c>
      <c r="I585" s="65" t="s">
        <v>43</v>
      </c>
      <c r="J585" s="66" t="s">
        <v>44</v>
      </c>
      <c r="K585" s="67" t="s">
        <v>43</v>
      </c>
      <c r="L585" s="40">
        <v>2</v>
      </c>
      <c r="M585" s="40">
        <v>2</v>
      </c>
      <c r="N585" s="40">
        <v>3</v>
      </c>
      <c r="O585" s="40">
        <v>3</v>
      </c>
      <c r="P585" s="41">
        <v>1</v>
      </c>
      <c r="Q585" s="40">
        <v>3</v>
      </c>
      <c r="R585" s="40">
        <v>4</v>
      </c>
      <c r="S585" s="40">
        <v>3</v>
      </c>
      <c r="T585" s="40">
        <v>5</v>
      </c>
      <c r="U585" s="41">
        <v>3</v>
      </c>
      <c r="V585" s="40">
        <v>5</v>
      </c>
      <c r="W585" s="40">
        <v>5</v>
      </c>
      <c r="X585" s="40">
        <v>1</v>
      </c>
      <c r="Y585" s="41">
        <v>1</v>
      </c>
      <c r="Z585" s="40" t="s">
        <v>45</v>
      </c>
      <c r="AA585" s="40" t="s">
        <v>45</v>
      </c>
      <c r="AB585" s="40" t="s">
        <v>45</v>
      </c>
      <c r="AC585" s="40">
        <v>1</v>
      </c>
      <c r="AD585" s="40" t="s">
        <v>45</v>
      </c>
      <c r="AE585" s="40" t="s">
        <v>45</v>
      </c>
      <c r="AF585" s="40" t="s">
        <v>45</v>
      </c>
      <c r="AG585" s="41" t="s">
        <v>45</v>
      </c>
      <c r="AH585" s="40">
        <v>5</v>
      </c>
      <c r="AI585" s="40">
        <v>3</v>
      </c>
      <c r="AJ585" s="41">
        <v>1</v>
      </c>
      <c r="AK585" s="43" t="s">
        <v>45</v>
      </c>
      <c r="AL585" s="43"/>
      <c r="AM585" s="44">
        <f t="shared" si="64"/>
        <v>-1.3651855459392288</v>
      </c>
      <c r="AN585" s="44">
        <f t="shared" si="65"/>
        <v>-0.6810581708458181</v>
      </c>
      <c r="AO585" s="45">
        <f t="shared" si="66"/>
        <v>0</v>
      </c>
      <c r="AP585" s="46">
        <f t="shared" si="67"/>
        <v>0</v>
      </c>
      <c r="AQ585" s="44">
        <f>($AM$3*AM585+$AN$3*AN585+$AO$3*AO585+$AP$3*AP585)+$I$3*VLOOKUP(I585,COND!$A$2:$E$7,4,FALSE)+$J$3*VLOOKUP(J585,COND!$A$2:$C$7,2,FALSE)+$K$3*VLOOKUP(K585,COND!$A$2:$C$7,3,FALSE)+IF(AND($B$2&gt;0,$E585&lt;20),$B$2*25,0)</f>
        <v>36.390783395256257</v>
      </c>
      <c r="AR585" s="47">
        <f t="shared" si="68"/>
        <v>-1.7162666829185176</v>
      </c>
      <c r="AS585" s="45" t="str">
        <f t="shared" si="69"/>
        <v>3B</v>
      </c>
      <c r="AT585" s="45">
        <f>RANK(Batters[[#This Row],[zScore]],Batters[[#All],[zScore]])</f>
        <v>581</v>
      </c>
      <c r="AU585" s="45"/>
      <c r="AV585" s="45"/>
      <c r="AW585" s="45" t="str">
        <f t="shared" si="70"/>
        <v>Unlikely</v>
      </c>
      <c r="AX585" s="45"/>
      <c r="AY585" s="64">
        <f>INDEX(Table5[[#All],[Ovr]],MATCH(Batters[[#This Row],[PID]],Table5[[#All],[PID]],0))</f>
        <v>589</v>
      </c>
      <c r="AZ585" s="64" t="str">
        <f>INDEX(Table5[[#All],[Rnd]],MATCH(Batters[[#This Row],[PID]],Table5[[#All],[PID]],0))</f>
        <v>20</v>
      </c>
      <c r="BA585" s="64">
        <f>INDEX(Table5[[#All],[Pick]],MATCH(Batters[[#This Row],[PID]],Table5[[#All],[PID]],0))</f>
        <v>11</v>
      </c>
      <c r="BB585" s="64" t="str">
        <f>INDEX(Table5[[#All],[Team]],MATCH(Batters[[#This Row],[PID]],Table5[[#All],[PID]],0))</f>
        <v>Duluth Warriors</v>
      </c>
    </row>
    <row r="586" spans="1:54" ht="30" x14ac:dyDescent="0.25">
      <c r="A586" s="40">
        <v>7337</v>
      </c>
      <c r="B586" s="40" t="s">
        <v>86</v>
      </c>
      <c r="C586" s="40" t="s">
        <v>650</v>
      </c>
      <c r="D586" s="40" t="s">
        <v>212</v>
      </c>
      <c r="E586" s="40">
        <v>22</v>
      </c>
      <c r="F586" s="40" t="s">
        <v>42</v>
      </c>
      <c r="G586" s="40" t="s">
        <v>42</v>
      </c>
      <c r="H586" s="41" t="s">
        <v>638</v>
      </c>
      <c r="I586" s="65" t="s">
        <v>43</v>
      </c>
      <c r="J586" s="66" t="s">
        <v>44</v>
      </c>
      <c r="K586" s="67" t="s">
        <v>43</v>
      </c>
      <c r="L586" s="40">
        <v>2</v>
      </c>
      <c r="M586" s="40">
        <v>3</v>
      </c>
      <c r="N586" s="40">
        <v>3</v>
      </c>
      <c r="O586" s="40">
        <v>4</v>
      </c>
      <c r="P586" s="41">
        <v>1</v>
      </c>
      <c r="Q586" s="40">
        <v>3</v>
      </c>
      <c r="R586" s="40">
        <v>3</v>
      </c>
      <c r="S586" s="40">
        <v>3</v>
      </c>
      <c r="T586" s="40">
        <v>6</v>
      </c>
      <c r="U586" s="41">
        <v>2</v>
      </c>
      <c r="V586" s="40">
        <v>2</v>
      </c>
      <c r="W586" s="40">
        <v>1</v>
      </c>
      <c r="X586" s="40">
        <v>4</v>
      </c>
      <c r="Y586" s="41">
        <v>9</v>
      </c>
      <c r="Z586" s="40">
        <v>3</v>
      </c>
      <c r="AA586" s="40" t="s">
        <v>45</v>
      </c>
      <c r="AB586" s="40" t="s">
        <v>45</v>
      </c>
      <c r="AC586" s="40" t="s">
        <v>45</v>
      </c>
      <c r="AD586" s="40" t="s">
        <v>45</v>
      </c>
      <c r="AE586" s="40" t="s">
        <v>45</v>
      </c>
      <c r="AF586" s="40" t="s">
        <v>45</v>
      </c>
      <c r="AG586" s="41" t="s">
        <v>45</v>
      </c>
      <c r="AH586" s="40">
        <v>1</v>
      </c>
      <c r="AI586" s="40">
        <v>1</v>
      </c>
      <c r="AJ586" s="41">
        <v>1</v>
      </c>
      <c r="AK586" s="43" t="s">
        <v>45</v>
      </c>
      <c r="AL586" s="43" t="s">
        <v>47</v>
      </c>
      <c r="AM586" s="44">
        <f t="shared" si="64"/>
        <v>-1.2244161163109442</v>
      </c>
      <c r="AN586" s="44">
        <f t="shared" si="65"/>
        <v>-0.68242484027202388</v>
      </c>
      <c r="AO586" s="45">
        <f t="shared" si="66"/>
        <v>0</v>
      </c>
      <c r="AP586" s="46">
        <f t="shared" si="67"/>
        <v>0</v>
      </c>
      <c r="AQ586" s="44">
        <f>($AM$3*AM586+$AN$3*AN586+$AO$3*AO586+$AP$3*AP586)+$I$3*VLOOKUP(I586,COND!$A$2:$E$7,4,FALSE)+$J$3*VLOOKUP(J586,COND!$A$2:$C$7,2,FALSE)+$K$3*VLOOKUP(K586,COND!$A$2:$C$7,3,FALSE)+IF(AND($B$2&gt;0,$E586&lt;20),$B$2*25,0)</f>
        <v>36.388460305104616</v>
      </c>
      <c r="AR586" s="47">
        <f t="shared" si="68"/>
        <v>-1.7167817277077686</v>
      </c>
      <c r="AS586" s="45" t="str">
        <f t="shared" si="69"/>
        <v>C</v>
      </c>
      <c r="AT586" s="45">
        <f>RANK(Batters[[#This Row],[zScore]],Batters[[#All],[zScore]])</f>
        <v>582</v>
      </c>
      <c r="AU586" s="45"/>
      <c r="AV586" s="45"/>
      <c r="AW586" s="45" t="str">
        <f t="shared" si="70"/>
        <v>Unlikely</v>
      </c>
      <c r="AX586" s="45"/>
      <c r="AY586" s="45" t="str">
        <f>INDEX(Table5[[#All],[Ovr]],MATCH(Batters[[#This Row],[PID]],Table5[[#All],[PID]],0))</f>
        <v/>
      </c>
      <c r="AZ586" s="45" t="str">
        <f>INDEX(Table5[[#All],[Rnd]],MATCH(Batters[[#This Row],[PID]],Table5[[#All],[PID]],0))</f>
        <v/>
      </c>
      <c r="BA586" s="45" t="str">
        <f>INDEX(Table5[[#All],[Pick]],MATCH(Batters[[#This Row],[PID]],Table5[[#All],[PID]],0))</f>
        <v/>
      </c>
      <c r="BB586" s="45" t="str">
        <f>INDEX(Table5[[#All],[Team]],MATCH(Batters[[#This Row],[PID]],Table5[[#All],[PID]],0))</f>
        <v/>
      </c>
    </row>
    <row r="587" spans="1:54" ht="30" x14ac:dyDescent="0.25">
      <c r="A587" s="40">
        <v>17852</v>
      </c>
      <c r="B587" s="40" t="s">
        <v>69</v>
      </c>
      <c r="C587" s="40" t="s">
        <v>1744</v>
      </c>
      <c r="D587" s="40" t="s">
        <v>1083</v>
      </c>
      <c r="E587" s="40">
        <v>18</v>
      </c>
      <c r="F587" s="40" t="s">
        <v>42</v>
      </c>
      <c r="G587" s="40" t="s">
        <v>42</v>
      </c>
      <c r="H587" s="41" t="s">
        <v>647</v>
      </c>
      <c r="I587" s="65" t="s">
        <v>43</v>
      </c>
      <c r="J587" s="66" t="s">
        <v>43</v>
      </c>
      <c r="K587" s="67" t="s">
        <v>47</v>
      </c>
      <c r="L587" s="40">
        <v>1</v>
      </c>
      <c r="M587" s="40">
        <v>1</v>
      </c>
      <c r="N587" s="40">
        <v>2</v>
      </c>
      <c r="O587" s="40">
        <v>1</v>
      </c>
      <c r="P587" s="41">
        <v>1</v>
      </c>
      <c r="Q587" s="40">
        <v>2</v>
      </c>
      <c r="R587" s="40">
        <v>3</v>
      </c>
      <c r="S587" s="40">
        <v>3</v>
      </c>
      <c r="T587" s="40">
        <v>4</v>
      </c>
      <c r="U587" s="41">
        <v>3</v>
      </c>
      <c r="V587" s="40">
        <v>7</v>
      </c>
      <c r="W587" s="40">
        <v>6</v>
      </c>
      <c r="X587" s="40">
        <v>1</v>
      </c>
      <c r="Y587" s="41">
        <v>1</v>
      </c>
      <c r="Z587" s="40" t="s">
        <v>45</v>
      </c>
      <c r="AA587" s="40" t="s">
        <v>45</v>
      </c>
      <c r="AB587" s="40" t="s">
        <v>45</v>
      </c>
      <c r="AC587" s="40">
        <v>2</v>
      </c>
      <c r="AD587" s="40" t="s">
        <v>45</v>
      </c>
      <c r="AE587" s="40" t="s">
        <v>45</v>
      </c>
      <c r="AF587" s="40" t="s">
        <v>45</v>
      </c>
      <c r="AG587" s="41" t="s">
        <v>45</v>
      </c>
      <c r="AH587" s="40">
        <v>6</v>
      </c>
      <c r="AI587" s="40">
        <v>7</v>
      </c>
      <c r="AJ587" s="41">
        <v>5</v>
      </c>
      <c r="AK587" s="43" t="s">
        <v>419</v>
      </c>
      <c r="AL587" s="43"/>
      <c r="AM587" s="44">
        <f t="shared" si="64"/>
        <v>-2.0012818558036707</v>
      </c>
      <c r="AN587" s="44">
        <f t="shared" si="65"/>
        <v>-1.1443834366767773</v>
      </c>
      <c r="AO587" s="45">
        <f t="shared" si="66"/>
        <v>0</v>
      </c>
      <c r="AP587" s="46">
        <f t="shared" si="67"/>
        <v>0</v>
      </c>
      <c r="AQ587" s="44">
        <f>($AM$3*AM587+$AN$3*AN587+$AO$3*AO587+$AP$3*AP587)+$I$3*VLOOKUP(I587,COND!$A$2:$E$7,4,FALSE)+$J$3*VLOOKUP(J587,COND!$A$2:$C$7,2,FALSE)+$K$3*VLOOKUP(K587,COND!$A$2:$C$7,3,FALSE)+IF(AND($B$2&gt;0,$E587&lt;20),$B$2*25,0)</f>
        <v>36.367270574298303</v>
      </c>
      <c r="AR587" s="47">
        <f t="shared" si="68"/>
        <v>-1.7214796342568155</v>
      </c>
      <c r="AS587" s="45" t="str">
        <f t="shared" si="69"/>
        <v>3B</v>
      </c>
      <c r="AT587" s="45">
        <f>RANK(Batters[[#This Row],[zScore]],Batters[[#All],[zScore]])</f>
        <v>583</v>
      </c>
      <c r="AU587" s="45"/>
      <c r="AV587" s="45"/>
      <c r="AW587" s="45" t="str">
        <f t="shared" si="70"/>
        <v>Unlikely</v>
      </c>
      <c r="AX587" s="45"/>
      <c r="AY587" s="64">
        <f>INDEX(Table5[[#All],[Ovr]],MATCH(Batters[[#This Row],[PID]],Table5[[#All],[PID]],0))</f>
        <v>590</v>
      </c>
      <c r="AZ587" s="64" t="str">
        <f>INDEX(Table5[[#All],[Rnd]],MATCH(Batters[[#This Row],[PID]],Table5[[#All],[PID]],0))</f>
        <v>20</v>
      </c>
      <c r="BA587" s="64">
        <f>INDEX(Table5[[#All],[Pick]],MATCH(Batters[[#This Row],[PID]],Table5[[#All],[PID]],0))</f>
        <v>12</v>
      </c>
      <c r="BB587" s="64" t="str">
        <f>INDEX(Table5[[#All],[Team]],MATCH(Batters[[#This Row],[PID]],Table5[[#All],[PID]],0))</f>
        <v>Palm Springs Codgers</v>
      </c>
    </row>
    <row r="588" spans="1:54" ht="30" x14ac:dyDescent="0.25">
      <c r="A588" s="40">
        <v>15990</v>
      </c>
      <c r="B588" s="40" t="s">
        <v>69</v>
      </c>
      <c r="C588" s="40" t="s">
        <v>1492</v>
      </c>
      <c r="D588" s="40" t="s">
        <v>1065</v>
      </c>
      <c r="E588" s="40">
        <v>21</v>
      </c>
      <c r="F588" s="40" t="s">
        <v>42</v>
      </c>
      <c r="G588" s="40" t="s">
        <v>42</v>
      </c>
      <c r="H588" s="41" t="s">
        <v>638</v>
      </c>
      <c r="I588" s="65" t="s">
        <v>43</v>
      </c>
      <c r="J588" s="66" t="s">
        <v>47</v>
      </c>
      <c r="K588" s="67" t="s">
        <v>43</v>
      </c>
      <c r="L588" s="40">
        <v>1</v>
      </c>
      <c r="M588" s="40">
        <v>3</v>
      </c>
      <c r="N588" s="40">
        <v>2</v>
      </c>
      <c r="O588" s="40">
        <v>2</v>
      </c>
      <c r="P588" s="41">
        <v>1</v>
      </c>
      <c r="Q588" s="40">
        <v>3</v>
      </c>
      <c r="R588" s="40">
        <v>4</v>
      </c>
      <c r="S588" s="40">
        <v>3</v>
      </c>
      <c r="T588" s="40">
        <v>4</v>
      </c>
      <c r="U588" s="41">
        <v>4</v>
      </c>
      <c r="V588" s="40">
        <v>8</v>
      </c>
      <c r="W588" s="40">
        <v>8</v>
      </c>
      <c r="X588" s="40">
        <v>1</v>
      </c>
      <c r="Y588" s="41">
        <v>1</v>
      </c>
      <c r="Z588" s="40" t="s">
        <v>45</v>
      </c>
      <c r="AA588" s="40" t="s">
        <v>45</v>
      </c>
      <c r="AB588" s="40" t="s">
        <v>45</v>
      </c>
      <c r="AC588" s="40">
        <v>3</v>
      </c>
      <c r="AD588" s="40" t="s">
        <v>45</v>
      </c>
      <c r="AE588" s="40" t="s">
        <v>45</v>
      </c>
      <c r="AF588" s="40" t="s">
        <v>45</v>
      </c>
      <c r="AG588" s="41" t="s">
        <v>45</v>
      </c>
      <c r="AH588" s="40">
        <v>3</v>
      </c>
      <c r="AI588" s="40">
        <v>5</v>
      </c>
      <c r="AJ588" s="41">
        <v>2</v>
      </c>
      <c r="AK588" s="43" t="s">
        <v>643</v>
      </c>
      <c r="AL588" s="43" t="s">
        <v>47</v>
      </c>
      <c r="AM588" s="44">
        <f t="shared" si="64"/>
        <v>-1.8094525465566824</v>
      </c>
      <c r="AN588" s="44">
        <f t="shared" si="65"/>
        <v>-0.7307513810383155</v>
      </c>
      <c r="AO588" s="45">
        <f t="shared" si="66"/>
        <v>0</v>
      </c>
      <c r="AP588" s="46">
        <f t="shared" si="67"/>
        <v>0</v>
      </c>
      <c r="AQ588" s="44">
        <f>($AM$3*AM588+$AN$3*AN588+$AO$3*AO588+$AP$3*AP588)+$I$3*VLOOKUP(I588,COND!$A$2:$E$7,4,FALSE)+$J$3*VLOOKUP(J588,COND!$A$2:$C$7,2,FALSE)+$K$3*VLOOKUP(K588,COND!$A$2:$C$7,3,FALSE)+IF(AND($B$2&gt;0,$E588&lt;20),$B$2*25,0)</f>
        <v>36.350038172884545</v>
      </c>
      <c r="AR588" s="47">
        <f t="shared" si="68"/>
        <v>-1.725300174130469</v>
      </c>
      <c r="AS588" s="45" t="str">
        <f t="shared" si="69"/>
        <v>3B</v>
      </c>
      <c r="AT588" s="45">
        <f>RANK(Batters[[#This Row],[zScore]],Batters[[#All],[zScore]])</f>
        <v>584</v>
      </c>
      <c r="AU588" s="45"/>
      <c r="AV588" s="45"/>
      <c r="AW588" s="45" t="str">
        <f t="shared" si="70"/>
        <v>Unlikely</v>
      </c>
      <c r="AX588" s="45"/>
      <c r="AY588" s="45">
        <f>INDEX(Table5[[#All],[Ovr]],MATCH(Batters[[#This Row],[PID]],Table5[[#All],[PID]],0))</f>
        <v>423</v>
      </c>
      <c r="AZ588" s="45" t="str">
        <f>INDEX(Table5[[#All],[Rnd]],MATCH(Batters[[#This Row],[PID]],Table5[[#All],[PID]],0))</f>
        <v>14</v>
      </c>
      <c r="BA588" s="45">
        <f>INDEX(Table5[[#All],[Pick]],MATCH(Batters[[#This Row],[PID]],Table5[[#All],[PID]],0))</f>
        <v>25</v>
      </c>
      <c r="BB588" s="45" t="str">
        <f>INDEX(Table5[[#All],[Team]],MATCH(Batters[[#This Row],[PID]],Table5[[#All],[PID]],0))</f>
        <v>Toyama Wind Dancers</v>
      </c>
    </row>
    <row r="589" spans="1:54" ht="30" x14ac:dyDescent="0.25">
      <c r="A589" s="40">
        <v>18120</v>
      </c>
      <c r="B589" s="40" t="s">
        <v>86</v>
      </c>
      <c r="C589" s="40" t="s">
        <v>380</v>
      </c>
      <c r="D589" s="40" t="s">
        <v>1637</v>
      </c>
      <c r="E589" s="40">
        <v>21</v>
      </c>
      <c r="F589" s="40" t="s">
        <v>42</v>
      </c>
      <c r="G589" s="40" t="s">
        <v>42</v>
      </c>
      <c r="H589" s="41" t="s">
        <v>638</v>
      </c>
      <c r="I589" s="65" t="s">
        <v>43</v>
      </c>
      <c r="J589" s="66" t="s">
        <v>44</v>
      </c>
      <c r="K589" s="67" t="s">
        <v>43</v>
      </c>
      <c r="L589" s="40">
        <v>1</v>
      </c>
      <c r="M589" s="40">
        <v>3</v>
      </c>
      <c r="N589" s="40">
        <v>2</v>
      </c>
      <c r="O589" s="40">
        <v>2</v>
      </c>
      <c r="P589" s="41">
        <v>1</v>
      </c>
      <c r="Q589" s="40">
        <v>3</v>
      </c>
      <c r="R589" s="40">
        <v>4</v>
      </c>
      <c r="S589" s="40">
        <v>3</v>
      </c>
      <c r="T589" s="40">
        <v>5</v>
      </c>
      <c r="U589" s="41">
        <v>3</v>
      </c>
      <c r="V589" s="40">
        <v>2</v>
      </c>
      <c r="W589" s="40">
        <v>2</v>
      </c>
      <c r="X589" s="40">
        <v>4</v>
      </c>
      <c r="Y589" s="41">
        <v>6</v>
      </c>
      <c r="Z589" s="40" t="s">
        <v>45</v>
      </c>
      <c r="AA589" s="40" t="s">
        <v>45</v>
      </c>
      <c r="AB589" s="40" t="s">
        <v>45</v>
      </c>
      <c r="AC589" s="40" t="s">
        <v>45</v>
      </c>
      <c r="AD589" s="40" t="s">
        <v>45</v>
      </c>
      <c r="AE589" s="40" t="s">
        <v>45</v>
      </c>
      <c r="AF589" s="40" t="s">
        <v>45</v>
      </c>
      <c r="AG589" s="41" t="s">
        <v>45</v>
      </c>
      <c r="AH589" s="40">
        <v>1</v>
      </c>
      <c r="AI589" s="40">
        <v>3</v>
      </c>
      <c r="AJ589" s="41">
        <v>1</v>
      </c>
      <c r="AK589" s="43" t="s">
        <v>45</v>
      </c>
      <c r="AL589" s="43"/>
      <c r="AM589" s="44">
        <f t="shared" si="64"/>
        <v>-1.8094525465566824</v>
      </c>
      <c r="AN589" s="44">
        <f t="shared" si="65"/>
        <v>-0.6810581708458181</v>
      </c>
      <c r="AO589" s="45">
        <f t="shared" si="66"/>
        <v>0</v>
      </c>
      <c r="AP589" s="46">
        <f t="shared" si="67"/>
        <v>0</v>
      </c>
      <c r="AQ589" s="44">
        <f>($AM$3*AM589+$AN$3*AN589+$AO$3*AO589+$AP$3*AP589)+$I$3*VLOOKUP(I589,COND!$A$2:$E$7,4,FALSE)+$J$3*VLOOKUP(J589,COND!$A$2:$C$7,2,FALSE)+$K$3*VLOOKUP(K589,COND!$A$2:$C$7,3,FALSE)+IF(AND($B$2&gt;0,$E589&lt;20),$B$2*25,0)</f>
        <v>36.346356695194515</v>
      </c>
      <c r="AR589" s="47">
        <f t="shared" si="68"/>
        <v>-1.7261163826188284</v>
      </c>
      <c r="AS589" s="45" t="str">
        <f t="shared" si="69"/>
        <v>DH</v>
      </c>
      <c r="AT589" s="45">
        <f>RANK(Batters[[#This Row],[zScore]],Batters[[#All],[zScore]])</f>
        <v>585</v>
      </c>
      <c r="AU589" s="45"/>
      <c r="AV589" s="45"/>
      <c r="AW589" s="45" t="str">
        <f t="shared" si="70"/>
        <v>Unlikely</v>
      </c>
      <c r="AX589" s="45"/>
      <c r="AY589" s="64" t="str">
        <f>INDEX(Table5[[#All],[Ovr]],MATCH(Batters[[#This Row],[PID]],Table5[[#All],[PID]],0))</f>
        <v/>
      </c>
      <c r="AZ589" s="64" t="str">
        <f>INDEX(Table5[[#All],[Rnd]],MATCH(Batters[[#This Row],[PID]],Table5[[#All],[PID]],0))</f>
        <v/>
      </c>
      <c r="BA589" s="64" t="str">
        <f>INDEX(Table5[[#All],[Pick]],MATCH(Batters[[#This Row],[PID]],Table5[[#All],[PID]],0))</f>
        <v/>
      </c>
      <c r="BB589" s="64" t="str">
        <f>INDEX(Table5[[#All],[Team]],MATCH(Batters[[#This Row],[PID]],Table5[[#All],[PID]],0))</f>
        <v/>
      </c>
    </row>
    <row r="590" spans="1:54" ht="30" x14ac:dyDescent="0.25">
      <c r="A590" s="40">
        <v>18032</v>
      </c>
      <c r="B590" s="40" t="s">
        <v>87</v>
      </c>
      <c r="C590" s="40" t="s">
        <v>398</v>
      </c>
      <c r="D590" s="40" t="s">
        <v>1556</v>
      </c>
      <c r="E590" s="40">
        <v>21</v>
      </c>
      <c r="F590" s="40" t="s">
        <v>42</v>
      </c>
      <c r="G590" s="40" t="s">
        <v>42</v>
      </c>
      <c r="H590" s="41" t="s">
        <v>638</v>
      </c>
      <c r="I590" s="65" t="s">
        <v>43</v>
      </c>
      <c r="J590" s="66" t="s">
        <v>47</v>
      </c>
      <c r="K590" s="67" t="s">
        <v>43</v>
      </c>
      <c r="L590" s="40">
        <v>1</v>
      </c>
      <c r="M590" s="40">
        <v>3</v>
      </c>
      <c r="N590" s="40">
        <v>3</v>
      </c>
      <c r="O590" s="40">
        <v>2</v>
      </c>
      <c r="P590" s="41">
        <v>1</v>
      </c>
      <c r="Q590" s="40">
        <v>3</v>
      </c>
      <c r="R590" s="40">
        <v>4</v>
      </c>
      <c r="S590" s="40">
        <v>5</v>
      </c>
      <c r="T590" s="40">
        <v>3</v>
      </c>
      <c r="U590" s="41">
        <v>2</v>
      </c>
      <c r="V590" s="40">
        <v>7</v>
      </c>
      <c r="W590" s="40">
        <v>6</v>
      </c>
      <c r="X590" s="40">
        <v>2</v>
      </c>
      <c r="Y590" s="41">
        <v>1</v>
      </c>
      <c r="Z590" s="40" t="s">
        <v>45</v>
      </c>
      <c r="AA590" s="40">
        <v>7</v>
      </c>
      <c r="AB590" s="40" t="s">
        <v>45</v>
      </c>
      <c r="AC590" s="40">
        <v>1</v>
      </c>
      <c r="AD590" s="40" t="s">
        <v>45</v>
      </c>
      <c r="AE590" s="40" t="s">
        <v>45</v>
      </c>
      <c r="AF590" s="40">
        <v>1</v>
      </c>
      <c r="AG590" s="41" t="s">
        <v>45</v>
      </c>
      <c r="AH590" s="40">
        <v>1</v>
      </c>
      <c r="AI590" s="40">
        <v>1</v>
      </c>
      <c r="AJ590" s="41">
        <v>1</v>
      </c>
      <c r="AK590" s="43" t="s">
        <v>45</v>
      </c>
      <c r="AL590" s="43" t="s">
        <v>47</v>
      </c>
      <c r="AM590" s="44">
        <f t="shared" si="64"/>
        <v>-1.726391052532781</v>
      </c>
      <c r="AN590" s="44">
        <f t="shared" si="65"/>
        <v>-0.73437062263426067</v>
      </c>
      <c r="AO590" s="45">
        <f t="shared" si="66"/>
        <v>0</v>
      </c>
      <c r="AP590" s="46">
        <f t="shared" si="67"/>
        <v>0</v>
      </c>
      <c r="AQ590" s="44">
        <f>($AM$3*AM590+$AN$3*AN590+$AO$3*AO590+$AP$3*AP590)+$I$3*VLOOKUP(I590,COND!$A$2:$E$7,4,FALSE)+$J$3*VLOOKUP(J590,COND!$A$2:$C$7,2,FALSE)+$K$3*VLOOKUP(K590,COND!$A$2:$C$7,3,FALSE)+IF(AND($B$2&gt;0,$E590&lt;20),$B$2*25,0)</f>
        <v>36.314913423135593</v>
      </c>
      <c r="AR590" s="47">
        <f t="shared" si="68"/>
        <v>-1.7330875685710856</v>
      </c>
      <c r="AS590" s="45" t="str">
        <f t="shared" si="69"/>
        <v>CF</v>
      </c>
      <c r="AT590" s="45">
        <f>RANK(Batters[[#This Row],[zScore]],Batters[[#All],[zScore]])</f>
        <v>586</v>
      </c>
      <c r="AU590" s="45"/>
      <c r="AV590" s="45"/>
      <c r="AW590" s="45" t="str">
        <f t="shared" si="70"/>
        <v>Unlikely</v>
      </c>
      <c r="AX590" s="45"/>
      <c r="AY590" s="45" t="str">
        <f>INDEX(Table5[[#All],[Ovr]],MATCH(Batters[[#This Row],[PID]],Table5[[#All],[PID]],0))</f>
        <v/>
      </c>
      <c r="AZ590" s="45" t="str">
        <f>INDEX(Table5[[#All],[Rnd]],MATCH(Batters[[#This Row],[PID]],Table5[[#All],[PID]],0))</f>
        <v/>
      </c>
      <c r="BA590" s="45" t="str">
        <f>INDEX(Table5[[#All],[Pick]],MATCH(Batters[[#This Row],[PID]],Table5[[#All],[PID]],0))</f>
        <v/>
      </c>
      <c r="BB590" s="45" t="str">
        <f>INDEX(Table5[[#All],[Team]],MATCH(Batters[[#This Row],[PID]],Table5[[#All],[PID]],0))</f>
        <v/>
      </c>
    </row>
    <row r="591" spans="1:54" ht="30" x14ac:dyDescent="0.25">
      <c r="A591" s="40">
        <v>17040</v>
      </c>
      <c r="B591" s="40" t="s">
        <v>71</v>
      </c>
      <c r="C591" s="40" t="s">
        <v>613</v>
      </c>
      <c r="D591" s="40" t="s">
        <v>1263</v>
      </c>
      <c r="E591" s="40">
        <v>21</v>
      </c>
      <c r="F591" s="40" t="s">
        <v>42</v>
      </c>
      <c r="G591" s="40" t="s">
        <v>42</v>
      </c>
      <c r="H591" s="41" t="s">
        <v>639</v>
      </c>
      <c r="I591" s="65" t="s">
        <v>43</v>
      </c>
      <c r="J591" s="66" t="s">
        <v>44</v>
      </c>
      <c r="K591" s="67" t="s">
        <v>44</v>
      </c>
      <c r="L591" s="40">
        <v>1</v>
      </c>
      <c r="M591" s="40">
        <v>3</v>
      </c>
      <c r="N591" s="40">
        <v>2</v>
      </c>
      <c r="O591" s="40">
        <v>3</v>
      </c>
      <c r="P591" s="41">
        <v>1</v>
      </c>
      <c r="Q591" s="40">
        <v>3</v>
      </c>
      <c r="R591" s="40">
        <v>4</v>
      </c>
      <c r="S591" s="40">
        <v>3</v>
      </c>
      <c r="T591" s="40">
        <v>5</v>
      </c>
      <c r="U591" s="41">
        <v>2</v>
      </c>
      <c r="V591" s="40">
        <v>2</v>
      </c>
      <c r="W591" s="40">
        <v>1</v>
      </c>
      <c r="X591" s="40">
        <v>1</v>
      </c>
      <c r="Y591" s="41">
        <v>1</v>
      </c>
      <c r="Z591" s="40" t="s">
        <v>45</v>
      </c>
      <c r="AA591" s="40" t="s">
        <v>45</v>
      </c>
      <c r="AB591" s="40">
        <v>2</v>
      </c>
      <c r="AC591" s="40" t="s">
        <v>45</v>
      </c>
      <c r="AD591" s="40" t="s">
        <v>45</v>
      </c>
      <c r="AE591" s="40" t="s">
        <v>45</v>
      </c>
      <c r="AF591" s="40" t="s">
        <v>45</v>
      </c>
      <c r="AG591" s="41" t="s">
        <v>45</v>
      </c>
      <c r="AH591" s="40">
        <v>8</v>
      </c>
      <c r="AI591" s="40">
        <v>9</v>
      </c>
      <c r="AJ591" s="41">
        <v>8</v>
      </c>
      <c r="AK591" s="43" t="s">
        <v>643</v>
      </c>
      <c r="AL591" s="43"/>
      <c r="AM591" s="44">
        <f t="shared" si="64"/>
        <v>-1.7197429965471014</v>
      </c>
      <c r="AN591" s="44">
        <f t="shared" si="65"/>
        <v>-0.72107451066290151</v>
      </c>
      <c r="AO591" s="45">
        <f t="shared" si="66"/>
        <v>4</v>
      </c>
      <c r="AP591" s="46">
        <f t="shared" si="67"/>
        <v>0</v>
      </c>
      <c r="AQ591" s="44">
        <f>($AM$3*AM591+$AN$3*AN591+$AO$3*AO591+$AP$3*AP591)+$I$3*VLOOKUP(I591,COND!$A$2:$E$7,4,FALSE)+$J$3*VLOOKUP(J591,COND!$A$2:$C$7,2,FALSE)+$K$3*VLOOKUP(K591,COND!$A$2:$C$7,3,FALSE)+IF(AND($B$2&gt;0,$E591&lt;20),$B$2*25,0)</f>
        <v>36.241798239057132</v>
      </c>
      <c r="AR591" s="47">
        <f t="shared" si="68"/>
        <v>-1.7492976990940581</v>
      </c>
      <c r="AS591" s="45" t="str">
        <f t="shared" si="69"/>
        <v>2B</v>
      </c>
      <c r="AT591" s="45">
        <f>RANK(Batters[[#This Row],[zScore]],Batters[[#All],[zScore]])</f>
        <v>587</v>
      </c>
      <c r="AU591" s="45"/>
      <c r="AV591" s="45"/>
      <c r="AW591" s="45" t="str">
        <f t="shared" si="70"/>
        <v>Unlikely</v>
      </c>
      <c r="AX591" s="45"/>
      <c r="AY591" s="64">
        <f>INDEX(Table5[[#All],[Ovr]],MATCH(Batters[[#This Row],[PID]],Table5[[#All],[PID]],0))</f>
        <v>531</v>
      </c>
      <c r="AZ591" s="64" t="str">
        <f>INDEX(Table5[[#All],[Rnd]],MATCH(Batters[[#This Row],[PID]],Table5[[#All],[PID]],0))</f>
        <v>18</v>
      </c>
      <c r="BA591" s="64">
        <f>INDEX(Table5[[#All],[Pick]],MATCH(Batters[[#This Row],[PID]],Table5[[#All],[PID]],0))</f>
        <v>13</v>
      </c>
      <c r="BB591" s="64" t="str">
        <f>INDEX(Table5[[#All],[Team]],MATCH(Batters[[#This Row],[PID]],Table5[[#All],[PID]],0))</f>
        <v>Reno Zephyrs</v>
      </c>
    </row>
    <row r="592" spans="1:54" ht="30" x14ac:dyDescent="0.25">
      <c r="A592" s="40">
        <v>17863</v>
      </c>
      <c r="B592" s="40" t="s">
        <v>87</v>
      </c>
      <c r="C592" s="40" t="s">
        <v>1379</v>
      </c>
      <c r="D592" s="40" t="s">
        <v>1745</v>
      </c>
      <c r="E592" s="40">
        <v>18</v>
      </c>
      <c r="F592" s="40" t="s">
        <v>53</v>
      </c>
      <c r="G592" s="40" t="s">
        <v>53</v>
      </c>
      <c r="H592" s="41" t="s">
        <v>647</v>
      </c>
      <c r="I592" s="65" t="s">
        <v>44</v>
      </c>
      <c r="J592" s="66" t="s">
        <v>47</v>
      </c>
      <c r="K592" s="67" t="s">
        <v>43</v>
      </c>
      <c r="L592" s="40">
        <v>1</v>
      </c>
      <c r="M592" s="40">
        <v>1</v>
      </c>
      <c r="N592" s="40">
        <v>2</v>
      </c>
      <c r="O592" s="40">
        <v>1</v>
      </c>
      <c r="P592" s="41">
        <v>3</v>
      </c>
      <c r="Q592" s="40">
        <v>3</v>
      </c>
      <c r="R592" s="40">
        <v>2</v>
      </c>
      <c r="S592" s="40">
        <v>2</v>
      </c>
      <c r="T592" s="40">
        <v>1</v>
      </c>
      <c r="U592" s="41">
        <v>5</v>
      </c>
      <c r="V592" s="40">
        <v>4</v>
      </c>
      <c r="W592" s="40">
        <v>2</v>
      </c>
      <c r="X592" s="40">
        <v>1</v>
      </c>
      <c r="Y592" s="41">
        <v>1</v>
      </c>
      <c r="Z592" s="40" t="s">
        <v>45</v>
      </c>
      <c r="AA592" s="40" t="s">
        <v>45</v>
      </c>
      <c r="AB592" s="40" t="s">
        <v>45</v>
      </c>
      <c r="AC592" s="40" t="s">
        <v>45</v>
      </c>
      <c r="AD592" s="40" t="s">
        <v>45</v>
      </c>
      <c r="AE592" s="40" t="s">
        <v>45</v>
      </c>
      <c r="AF592" s="40" t="s">
        <v>45</v>
      </c>
      <c r="AG592" s="41" t="s">
        <v>45</v>
      </c>
      <c r="AH592" s="40">
        <v>1</v>
      </c>
      <c r="AI592" s="40">
        <v>1</v>
      </c>
      <c r="AJ592" s="41">
        <v>3</v>
      </c>
      <c r="AK592" s="43" t="s">
        <v>654</v>
      </c>
      <c r="AL592" s="43"/>
      <c r="AM592" s="44">
        <f t="shared" si="64"/>
        <v>-1.9212491761695039</v>
      </c>
      <c r="AN592" s="44">
        <f t="shared" si="65"/>
        <v>-1.1450449445112836</v>
      </c>
      <c r="AO592" s="45">
        <f t="shared" si="66"/>
        <v>0</v>
      </c>
      <c r="AP592" s="46">
        <f t="shared" si="67"/>
        <v>0</v>
      </c>
      <c r="AQ592" s="44">
        <f>($AM$3*AM592+$AN$3*AN592+$AO$3*AO592+$AP$3*AP592)+$I$3*VLOOKUP(I592,COND!$A$2:$E$7,4,FALSE)+$J$3*VLOOKUP(J592,COND!$A$2:$C$7,2,FALSE)+$K$3*VLOOKUP(K592,COND!$A$2:$C$7,3,FALSE)+IF(AND($B$2&gt;0,$E592&lt;20),$B$2*25,0)</f>
        <v>36.217335748247649</v>
      </c>
      <c r="AR592" s="47">
        <f t="shared" si="68"/>
        <v>-1.7547211986576126</v>
      </c>
      <c r="AS592" s="45" t="str">
        <f t="shared" si="69"/>
        <v>DH</v>
      </c>
      <c r="AT592" s="45">
        <f>RANK(Batters[[#This Row],[zScore]],Batters[[#All],[zScore]])</f>
        <v>588</v>
      </c>
      <c r="AU592" s="45"/>
      <c r="AV592" s="45"/>
      <c r="AW592" s="45" t="str">
        <f t="shared" si="70"/>
        <v>Unlikely</v>
      </c>
      <c r="AX592" s="45"/>
      <c r="AY592" s="64" t="str">
        <f>INDEX(Table5[[#All],[Ovr]],MATCH(Batters[[#This Row],[PID]],Table5[[#All],[PID]],0))</f>
        <v/>
      </c>
      <c r="AZ592" s="64" t="str">
        <f>INDEX(Table5[[#All],[Rnd]],MATCH(Batters[[#This Row],[PID]],Table5[[#All],[PID]],0))</f>
        <v/>
      </c>
      <c r="BA592" s="64" t="str">
        <f>INDEX(Table5[[#All],[Pick]],MATCH(Batters[[#This Row],[PID]],Table5[[#All],[PID]],0))</f>
        <v/>
      </c>
      <c r="BB592" s="64" t="str">
        <f>INDEX(Table5[[#All],[Team]],MATCH(Batters[[#This Row],[PID]],Table5[[#All],[PID]],0))</f>
        <v/>
      </c>
    </row>
    <row r="593" spans="1:54" ht="30" x14ac:dyDescent="0.25">
      <c r="A593" s="40">
        <v>17791</v>
      </c>
      <c r="B593" s="40" t="s">
        <v>50</v>
      </c>
      <c r="C593" s="40" t="s">
        <v>1602</v>
      </c>
      <c r="D593" s="40" t="s">
        <v>382</v>
      </c>
      <c r="E593" s="40">
        <v>21</v>
      </c>
      <c r="F593" s="40" t="s">
        <v>42</v>
      </c>
      <c r="G593" s="40" t="s">
        <v>42</v>
      </c>
      <c r="H593" s="41" t="s">
        <v>638</v>
      </c>
      <c r="I593" s="65" t="s">
        <v>43</v>
      </c>
      <c r="J593" s="66" t="s">
        <v>43</v>
      </c>
      <c r="K593" s="67" t="s">
        <v>43</v>
      </c>
      <c r="L593" s="40">
        <v>2</v>
      </c>
      <c r="M593" s="40">
        <v>3</v>
      </c>
      <c r="N593" s="40">
        <v>3</v>
      </c>
      <c r="O593" s="40">
        <v>2</v>
      </c>
      <c r="P593" s="41">
        <v>2</v>
      </c>
      <c r="Q593" s="40">
        <v>3</v>
      </c>
      <c r="R593" s="40">
        <v>4</v>
      </c>
      <c r="S593" s="40">
        <v>4</v>
      </c>
      <c r="T593" s="40">
        <v>3</v>
      </c>
      <c r="U593" s="41">
        <v>4</v>
      </c>
      <c r="V593" s="40">
        <v>5</v>
      </c>
      <c r="W593" s="40">
        <v>6</v>
      </c>
      <c r="X593" s="40">
        <v>1</v>
      </c>
      <c r="Y593" s="41">
        <v>1</v>
      </c>
      <c r="Z593" s="40" t="s">
        <v>45</v>
      </c>
      <c r="AA593" s="40" t="s">
        <v>45</v>
      </c>
      <c r="AB593" s="40" t="s">
        <v>45</v>
      </c>
      <c r="AC593" s="40">
        <v>1</v>
      </c>
      <c r="AD593" s="40" t="s">
        <v>45</v>
      </c>
      <c r="AE593" s="40">
        <v>7</v>
      </c>
      <c r="AF593" s="40" t="s">
        <v>45</v>
      </c>
      <c r="AG593" s="41" t="s">
        <v>45</v>
      </c>
      <c r="AH593" s="40">
        <v>8</v>
      </c>
      <c r="AI593" s="40">
        <v>6</v>
      </c>
      <c r="AJ593" s="41">
        <v>6</v>
      </c>
      <c r="AK593" s="43" t="s">
        <v>45</v>
      </c>
      <c r="AL593" s="43" t="s">
        <v>47</v>
      </c>
      <c r="AM593" s="44">
        <f t="shared" si="64"/>
        <v>-1.3638188765130226</v>
      </c>
      <c r="AN593" s="44">
        <f t="shared" si="65"/>
        <v>-0.73739943702399513</v>
      </c>
      <c r="AO593" s="45">
        <f t="shared" si="66"/>
        <v>1</v>
      </c>
      <c r="AP593" s="46">
        <f t="shared" si="67"/>
        <v>0</v>
      </c>
      <c r="AQ593" s="44">
        <f>($AM$3*AM593+$AN$3*AN593+$AO$3*AO593+$AP$3*AP593)+$I$3*VLOOKUP(I593,COND!$A$2:$E$7,4,FALSE)+$J$3*VLOOKUP(J593,COND!$A$2:$C$7,2,FALSE)+$K$3*VLOOKUP(K593,COND!$A$2:$C$7,3,FALSE)+IF(AND($B$2&gt;0,$E593&lt;20),$B$2*25,0)</f>
        <v>36.181491534727421</v>
      </c>
      <c r="AR593" s="47">
        <f t="shared" si="68"/>
        <v>-1.7626681030794449</v>
      </c>
      <c r="AS593" s="45" t="str">
        <f t="shared" si="69"/>
        <v>3B</v>
      </c>
      <c r="AT593" s="45">
        <f>RANK(Batters[[#This Row],[zScore]],Batters[[#All],[zScore]])</f>
        <v>589</v>
      </c>
      <c r="AU593" s="45"/>
      <c r="AV593" s="45"/>
      <c r="AW593" s="45" t="str">
        <f t="shared" si="70"/>
        <v>Unlikely</v>
      </c>
      <c r="AX593" s="45"/>
      <c r="AY593" s="45" t="str">
        <f>INDEX(Table5[[#All],[Ovr]],MATCH(Batters[[#This Row],[PID]],Table5[[#All],[PID]],0))</f>
        <v/>
      </c>
      <c r="AZ593" s="45" t="str">
        <f>INDEX(Table5[[#All],[Rnd]],MATCH(Batters[[#This Row],[PID]],Table5[[#All],[PID]],0))</f>
        <v/>
      </c>
      <c r="BA593" s="45" t="str">
        <f>INDEX(Table5[[#All],[Pick]],MATCH(Batters[[#This Row],[PID]],Table5[[#All],[PID]],0))</f>
        <v/>
      </c>
      <c r="BB593" s="45" t="str">
        <f>INDEX(Table5[[#All],[Team]],MATCH(Batters[[#This Row],[PID]],Table5[[#All],[PID]],0))</f>
        <v/>
      </c>
    </row>
    <row r="594" spans="1:54" ht="30" x14ac:dyDescent="0.25">
      <c r="A594" s="40">
        <v>17880</v>
      </c>
      <c r="B594" s="40" t="s">
        <v>87</v>
      </c>
      <c r="C594" s="40" t="s">
        <v>866</v>
      </c>
      <c r="D594" s="40" t="s">
        <v>1753</v>
      </c>
      <c r="E594" s="40">
        <v>18</v>
      </c>
      <c r="F594" s="40" t="s">
        <v>53</v>
      </c>
      <c r="G594" s="40" t="s">
        <v>42</v>
      </c>
      <c r="H594" s="41" t="s">
        <v>647</v>
      </c>
      <c r="I594" s="65" t="s">
        <v>43</v>
      </c>
      <c r="J594" s="66" t="s">
        <v>43</v>
      </c>
      <c r="K594" s="67" t="s">
        <v>43</v>
      </c>
      <c r="L594" s="40">
        <v>1</v>
      </c>
      <c r="M594" s="40">
        <v>2</v>
      </c>
      <c r="N594" s="40">
        <v>2</v>
      </c>
      <c r="O594" s="40">
        <v>1</v>
      </c>
      <c r="P594" s="41">
        <v>1</v>
      </c>
      <c r="Q594" s="40">
        <v>3</v>
      </c>
      <c r="R594" s="40">
        <v>2</v>
      </c>
      <c r="S594" s="40">
        <v>2</v>
      </c>
      <c r="T594" s="40">
        <v>2</v>
      </c>
      <c r="U594" s="41">
        <v>3</v>
      </c>
      <c r="V594" s="40">
        <v>5</v>
      </c>
      <c r="W594" s="40">
        <v>3</v>
      </c>
      <c r="X594" s="40">
        <v>1</v>
      </c>
      <c r="Y594" s="41">
        <v>1</v>
      </c>
      <c r="Z594" s="40" t="s">
        <v>45</v>
      </c>
      <c r="AA594" s="40" t="s">
        <v>45</v>
      </c>
      <c r="AB594" s="40" t="s">
        <v>45</v>
      </c>
      <c r="AC594" s="40" t="s">
        <v>45</v>
      </c>
      <c r="AD594" s="40" t="s">
        <v>45</v>
      </c>
      <c r="AE594" s="40" t="s">
        <v>45</v>
      </c>
      <c r="AF594" s="40" t="s">
        <v>45</v>
      </c>
      <c r="AG594" s="41" t="s">
        <v>45</v>
      </c>
      <c r="AH594" s="40">
        <v>1</v>
      </c>
      <c r="AI594" s="40">
        <v>1</v>
      </c>
      <c r="AJ594" s="41">
        <v>3</v>
      </c>
      <c r="AK594" s="43" t="s">
        <v>659</v>
      </c>
      <c r="AL594" s="43"/>
      <c r="AM594" s="44">
        <f t="shared" si="64"/>
        <v>-1.9502219761849671</v>
      </c>
      <c r="AN594" s="44">
        <f t="shared" si="65"/>
        <v>-1.1353680741358696</v>
      </c>
      <c r="AO594" s="45">
        <f t="shared" si="66"/>
        <v>0</v>
      </c>
      <c r="AP594" s="46">
        <f t="shared" si="67"/>
        <v>0</v>
      </c>
      <c r="AQ594" s="44">
        <f>($AM$3*AM594+$AN$3*AN594+$AO$3*AO594+$AP$3*AP594)+$I$3*VLOOKUP(I594,COND!$A$2:$E$7,4,FALSE)+$J$3*VLOOKUP(J594,COND!$A$2:$C$7,2,FALSE)+$K$3*VLOOKUP(K594,COND!$A$2:$C$7,3,FALSE)+IF(AND($B$2&gt;0,$E594&lt;20),$B$2*25,0)</f>
        <v>36.180560912751069</v>
      </c>
      <c r="AR594" s="47">
        <f t="shared" si="68"/>
        <v>-1.7628744282620228</v>
      </c>
      <c r="AS594" s="45" t="str">
        <f t="shared" si="69"/>
        <v>DH</v>
      </c>
      <c r="AT594" s="45">
        <f>RANK(Batters[[#This Row],[zScore]],Batters[[#All],[zScore]])</f>
        <v>590</v>
      </c>
      <c r="AU594" s="45"/>
      <c r="AV594" s="45"/>
      <c r="AW594" s="45" t="str">
        <f t="shared" si="70"/>
        <v>Unlikely</v>
      </c>
      <c r="AX594" s="45"/>
      <c r="AY594" s="64" t="str">
        <f>INDEX(Table5[[#All],[Ovr]],MATCH(Batters[[#This Row],[PID]],Table5[[#All],[PID]],0))</f>
        <v/>
      </c>
      <c r="AZ594" s="64" t="str">
        <f>INDEX(Table5[[#All],[Rnd]],MATCH(Batters[[#This Row],[PID]],Table5[[#All],[PID]],0))</f>
        <v/>
      </c>
      <c r="BA594" s="64" t="str">
        <f>INDEX(Table5[[#All],[Pick]],MATCH(Batters[[#This Row],[PID]],Table5[[#All],[PID]],0))</f>
        <v/>
      </c>
      <c r="BB594" s="64" t="str">
        <f>INDEX(Table5[[#All],[Team]],MATCH(Batters[[#This Row],[PID]],Table5[[#All],[PID]],0))</f>
        <v/>
      </c>
    </row>
    <row r="595" spans="1:54" ht="30" x14ac:dyDescent="0.25">
      <c r="A595" s="40">
        <v>20995</v>
      </c>
      <c r="B595" s="40" t="s">
        <v>74</v>
      </c>
      <c r="C595" s="40" t="s">
        <v>126</v>
      </c>
      <c r="D595" s="40" t="s">
        <v>699</v>
      </c>
      <c r="E595" s="40">
        <v>18</v>
      </c>
      <c r="F595" s="40" t="s">
        <v>62</v>
      </c>
      <c r="G595" s="40" t="s">
        <v>42</v>
      </c>
      <c r="H595" s="41" t="s">
        <v>639</v>
      </c>
      <c r="I595" s="65" t="s">
        <v>44</v>
      </c>
      <c r="J595" s="66" t="s">
        <v>44</v>
      </c>
      <c r="K595" s="67" t="s">
        <v>44</v>
      </c>
      <c r="L595" s="40">
        <v>1</v>
      </c>
      <c r="M595" s="40">
        <v>2</v>
      </c>
      <c r="N595" s="40">
        <v>2</v>
      </c>
      <c r="O595" s="40">
        <v>1</v>
      </c>
      <c r="P595" s="41">
        <v>1</v>
      </c>
      <c r="Q595" s="40">
        <v>2</v>
      </c>
      <c r="R595" s="40">
        <v>4</v>
      </c>
      <c r="S595" s="40">
        <v>3</v>
      </c>
      <c r="T595" s="40">
        <v>3</v>
      </c>
      <c r="U595" s="41">
        <v>4</v>
      </c>
      <c r="V595" s="40">
        <v>4</v>
      </c>
      <c r="W595" s="40">
        <v>7</v>
      </c>
      <c r="X595" s="40">
        <v>1</v>
      </c>
      <c r="Y595" s="41">
        <v>1</v>
      </c>
      <c r="Z595" s="40" t="s">
        <v>45</v>
      </c>
      <c r="AA595" s="40" t="s">
        <v>45</v>
      </c>
      <c r="AB595" s="40" t="s">
        <v>45</v>
      </c>
      <c r="AC595" s="40" t="s">
        <v>45</v>
      </c>
      <c r="AD595" s="40">
        <v>1</v>
      </c>
      <c r="AE595" s="40">
        <v>1</v>
      </c>
      <c r="AF595" s="40">
        <v>3</v>
      </c>
      <c r="AG595" s="41">
        <v>1</v>
      </c>
      <c r="AH595" s="40">
        <v>10</v>
      </c>
      <c r="AI595" s="40">
        <v>9</v>
      </c>
      <c r="AJ595" s="41">
        <v>8</v>
      </c>
      <c r="AK595" s="43" t="s">
        <v>654</v>
      </c>
      <c r="AL595" s="43"/>
      <c r="AM595" s="44">
        <f t="shared" si="64"/>
        <v>-1.9502219761849671</v>
      </c>
      <c r="AN595" s="44">
        <f t="shared" si="65"/>
        <v>-1.1430167672505713</v>
      </c>
      <c r="AO595" s="45">
        <f t="shared" si="66"/>
        <v>5</v>
      </c>
      <c r="AP595" s="46">
        <f t="shared" si="67"/>
        <v>0</v>
      </c>
      <c r="AQ595" s="44">
        <f>($AM$3*AM595+$AN$3*AN595+$AO$3*AO595+$AP$3*AP595)+$I$3*VLOOKUP(I595,COND!$A$2:$E$7,4,FALSE)+$J$3*VLOOKUP(J595,COND!$A$2:$C$7,2,FALSE)+$K$3*VLOOKUP(K595,COND!$A$2:$C$7,3,FALSE)+IF(AND($B$2&gt;0,$E595&lt;20),$B$2*25,0)</f>
        <v>36.172109928707982</v>
      </c>
      <c r="AR595" s="47">
        <f t="shared" si="68"/>
        <v>-1.7647480685477257</v>
      </c>
      <c r="AS595" s="45" t="str">
        <f t="shared" si="69"/>
        <v>SS</v>
      </c>
      <c r="AT595" s="45">
        <f>RANK(Batters[[#This Row],[zScore]],Batters[[#All],[zScore]])</f>
        <v>591</v>
      </c>
      <c r="AU595" s="45"/>
      <c r="AV595" s="45"/>
      <c r="AW595" s="45" t="str">
        <f t="shared" si="70"/>
        <v>Unlikely</v>
      </c>
      <c r="AX595" s="45"/>
      <c r="AY595" s="64" t="str">
        <f>INDEX(Table5[[#All],[Ovr]],MATCH(Batters[[#This Row],[PID]],Table5[[#All],[PID]],0))</f>
        <v/>
      </c>
      <c r="AZ595" s="64" t="str">
        <f>INDEX(Table5[[#All],[Rnd]],MATCH(Batters[[#This Row],[PID]],Table5[[#All],[PID]],0))</f>
        <v/>
      </c>
      <c r="BA595" s="64" t="str">
        <f>INDEX(Table5[[#All],[Pick]],MATCH(Batters[[#This Row],[PID]],Table5[[#All],[PID]],0))</f>
        <v/>
      </c>
      <c r="BB595" s="64" t="str">
        <f>INDEX(Table5[[#All],[Team]],MATCH(Batters[[#This Row],[PID]],Table5[[#All],[PID]],0))</f>
        <v/>
      </c>
    </row>
    <row r="596" spans="1:54" ht="30" x14ac:dyDescent="0.25">
      <c r="A596" s="40">
        <v>18390</v>
      </c>
      <c r="B596" s="40" t="s">
        <v>86</v>
      </c>
      <c r="C596" s="40" t="s">
        <v>1467</v>
      </c>
      <c r="D596" s="40" t="s">
        <v>790</v>
      </c>
      <c r="E596" s="40">
        <v>18</v>
      </c>
      <c r="F596" s="40" t="s">
        <v>42</v>
      </c>
      <c r="G596" s="40" t="s">
        <v>42</v>
      </c>
      <c r="H596" s="41" t="s">
        <v>638</v>
      </c>
      <c r="I596" s="65" t="s">
        <v>43</v>
      </c>
      <c r="J596" s="66" t="s">
        <v>43</v>
      </c>
      <c r="K596" s="67" t="s">
        <v>43</v>
      </c>
      <c r="L596" s="40">
        <v>1</v>
      </c>
      <c r="M596" s="40">
        <v>2</v>
      </c>
      <c r="N596" s="40">
        <v>2</v>
      </c>
      <c r="O596" s="40">
        <v>3</v>
      </c>
      <c r="P596" s="41">
        <v>1</v>
      </c>
      <c r="Q596" s="40">
        <v>2</v>
      </c>
      <c r="R596" s="40">
        <v>3</v>
      </c>
      <c r="S596" s="40">
        <v>2</v>
      </c>
      <c r="T596" s="40">
        <v>5</v>
      </c>
      <c r="U596" s="41">
        <v>3</v>
      </c>
      <c r="V596" s="40">
        <v>3</v>
      </c>
      <c r="W596" s="40">
        <v>3</v>
      </c>
      <c r="X596" s="40">
        <v>5</v>
      </c>
      <c r="Y596" s="41">
        <v>7</v>
      </c>
      <c r="Z596" s="40" t="s">
        <v>45</v>
      </c>
      <c r="AA596" s="40" t="s">
        <v>45</v>
      </c>
      <c r="AB596" s="40" t="s">
        <v>45</v>
      </c>
      <c r="AC596" s="40" t="s">
        <v>45</v>
      </c>
      <c r="AD596" s="40" t="s">
        <v>45</v>
      </c>
      <c r="AE596" s="40" t="s">
        <v>45</v>
      </c>
      <c r="AF596" s="40" t="s">
        <v>45</v>
      </c>
      <c r="AG596" s="41" t="s">
        <v>45</v>
      </c>
      <c r="AH596" s="40">
        <v>1</v>
      </c>
      <c r="AI596" s="40">
        <v>2</v>
      </c>
      <c r="AJ596" s="41">
        <v>1</v>
      </c>
      <c r="AK596" s="43" t="s">
        <v>663</v>
      </c>
      <c r="AL596" s="43"/>
      <c r="AM596" s="44">
        <f t="shared" si="64"/>
        <v>-1.7708028761658048</v>
      </c>
      <c r="AN596" s="44">
        <f t="shared" si="65"/>
        <v>-1.1377353806910979</v>
      </c>
      <c r="AO596" s="45">
        <f t="shared" si="66"/>
        <v>0</v>
      </c>
      <c r="AP596" s="46">
        <f t="shared" si="67"/>
        <v>0</v>
      </c>
      <c r="AQ596" s="44">
        <f>($AM$3*AM596+$AN$3*AN596+$AO$3*AO596+$AP$3*AP596)+$I$3*VLOOKUP(I596,COND!$A$2:$E$7,4,FALSE)+$J$3*VLOOKUP(J596,COND!$A$2:$C$7,2,FALSE)+$K$3*VLOOKUP(K596,COND!$A$2:$C$7,3,FALSE)+IF(AND($B$2&gt;0,$E596&lt;20),$B$2*25,0)</f>
        <v>36.17009514409024</v>
      </c>
      <c r="AR596" s="47">
        <f t="shared" si="68"/>
        <v>-1.7651947599161595</v>
      </c>
      <c r="AS596" s="45" t="str">
        <f t="shared" si="69"/>
        <v>DH</v>
      </c>
      <c r="AT596" s="45">
        <f>RANK(Batters[[#This Row],[zScore]],Batters[[#All],[zScore]])</f>
        <v>592</v>
      </c>
      <c r="AU596" s="45"/>
      <c r="AV596" s="45"/>
      <c r="AW596" s="45" t="str">
        <f t="shared" si="70"/>
        <v>Unlikely</v>
      </c>
      <c r="AX596" s="45"/>
      <c r="AY596" s="64" t="str">
        <f>INDEX(Table5[[#All],[Ovr]],MATCH(Batters[[#This Row],[PID]],Table5[[#All],[PID]],0))</f>
        <v/>
      </c>
      <c r="AZ596" s="64" t="str">
        <f>INDEX(Table5[[#All],[Rnd]],MATCH(Batters[[#This Row],[PID]],Table5[[#All],[PID]],0))</f>
        <v/>
      </c>
      <c r="BA596" s="64" t="str">
        <f>INDEX(Table5[[#All],[Pick]],MATCH(Batters[[#This Row],[PID]],Table5[[#All],[PID]],0))</f>
        <v/>
      </c>
      <c r="BB596" s="64" t="str">
        <f>INDEX(Table5[[#All],[Team]],MATCH(Batters[[#This Row],[PID]],Table5[[#All],[PID]],0))</f>
        <v/>
      </c>
    </row>
    <row r="597" spans="1:54" ht="30" x14ac:dyDescent="0.25">
      <c r="A597" s="40">
        <v>7050</v>
      </c>
      <c r="B597" s="40" t="s">
        <v>87</v>
      </c>
      <c r="C597" s="40" t="s">
        <v>326</v>
      </c>
      <c r="D597" s="40" t="s">
        <v>810</v>
      </c>
      <c r="E597" s="40">
        <v>22</v>
      </c>
      <c r="F597" s="40" t="s">
        <v>42</v>
      </c>
      <c r="G597" s="40" t="s">
        <v>42</v>
      </c>
      <c r="H597" s="41" t="s">
        <v>647</v>
      </c>
      <c r="I597" s="65" t="s">
        <v>47</v>
      </c>
      <c r="J597" s="66" t="s">
        <v>47</v>
      </c>
      <c r="K597" s="67" t="s">
        <v>43</v>
      </c>
      <c r="L597" s="40">
        <v>3</v>
      </c>
      <c r="M597" s="40">
        <v>3</v>
      </c>
      <c r="N597" s="40">
        <v>2</v>
      </c>
      <c r="O597" s="40">
        <v>1</v>
      </c>
      <c r="P597" s="41">
        <v>4</v>
      </c>
      <c r="Q597" s="40">
        <v>4</v>
      </c>
      <c r="R597" s="40">
        <v>3</v>
      </c>
      <c r="S597" s="40">
        <v>2</v>
      </c>
      <c r="T597" s="40">
        <v>1</v>
      </c>
      <c r="U597" s="41">
        <v>5</v>
      </c>
      <c r="V597" s="40">
        <v>5</v>
      </c>
      <c r="W597" s="40">
        <v>4</v>
      </c>
      <c r="X597" s="40">
        <v>1</v>
      </c>
      <c r="Y597" s="41">
        <v>1</v>
      </c>
      <c r="Z597" s="40" t="s">
        <v>45</v>
      </c>
      <c r="AA597" s="40" t="s">
        <v>45</v>
      </c>
      <c r="AB597" s="40" t="s">
        <v>45</v>
      </c>
      <c r="AC597" s="40" t="s">
        <v>45</v>
      </c>
      <c r="AD597" s="40" t="s">
        <v>45</v>
      </c>
      <c r="AE597" s="40" t="s">
        <v>45</v>
      </c>
      <c r="AF597" s="40" t="s">
        <v>45</v>
      </c>
      <c r="AG597" s="41" t="s">
        <v>45</v>
      </c>
      <c r="AH597" s="40">
        <v>1</v>
      </c>
      <c r="AI597" s="40">
        <v>1</v>
      </c>
      <c r="AJ597" s="41">
        <v>1</v>
      </c>
      <c r="AK597" s="43" t="s">
        <v>45</v>
      </c>
      <c r="AL597" s="43"/>
      <c r="AM597" s="44">
        <f t="shared" si="64"/>
        <v>-1.1340014047096636</v>
      </c>
      <c r="AN597" s="44">
        <f t="shared" si="65"/>
        <v>-0.77142922868990549</v>
      </c>
      <c r="AO597" s="45">
        <f t="shared" si="66"/>
        <v>0</v>
      </c>
      <c r="AP597" s="46">
        <f t="shared" si="67"/>
        <v>0</v>
      </c>
      <c r="AQ597" s="44">
        <f>($AM$3*AM597+$AN$3*AN597+$AO$3*AO597+$AP$3*AP597)+$I$3*VLOOKUP(I597,COND!$A$2:$E$7,4,FALSE)+$J$3*VLOOKUP(J597,COND!$A$2:$C$7,2,FALSE)+$K$3*VLOOKUP(K597,COND!$A$2:$C$7,3,FALSE)+IF(AND($B$2&gt;0,$E597&lt;20),$B$2*25,0)</f>
        <v>36.154449115250166</v>
      </c>
      <c r="AR597" s="47">
        <f t="shared" si="68"/>
        <v>-1.7686635902673435</v>
      </c>
      <c r="AS597" s="45" t="str">
        <f t="shared" si="69"/>
        <v>DH</v>
      </c>
      <c r="AT597" s="45">
        <f>RANK(Batters[[#This Row],[zScore]],Batters[[#All],[zScore]])</f>
        <v>593</v>
      </c>
      <c r="AU597" s="45"/>
      <c r="AV597" s="45"/>
      <c r="AW597" s="45" t="str">
        <f t="shared" si="70"/>
        <v>Unlikely</v>
      </c>
      <c r="AX597" s="45"/>
      <c r="AY597" s="64" t="str">
        <f>INDEX(Table5[[#All],[Ovr]],MATCH(Batters[[#This Row],[PID]],Table5[[#All],[PID]],0))</f>
        <v/>
      </c>
      <c r="AZ597" s="64" t="str">
        <f>INDEX(Table5[[#All],[Rnd]],MATCH(Batters[[#This Row],[PID]],Table5[[#All],[PID]],0))</f>
        <v/>
      </c>
      <c r="BA597" s="64" t="str">
        <f>INDEX(Table5[[#All],[Pick]],MATCH(Batters[[#This Row],[PID]],Table5[[#All],[PID]],0))</f>
        <v/>
      </c>
      <c r="BB597" s="64" t="str">
        <f>INDEX(Table5[[#All],[Team]],MATCH(Batters[[#This Row],[PID]],Table5[[#All],[PID]],0))</f>
        <v/>
      </c>
    </row>
    <row r="598" spans="1:54" ht="30" x14ac:dyDescent="0.25">
      <c r="A598" s="40">
        <v>17781</v>
      </c>
      <c r="B598" s="40" t="s">
        <v>50</v>
      </c>
      <c r="C598" s="40" t="s">
        <v>908</v>
      </c>
      <c r="D598" s="40" t="s">
        <v>1697</v>
      </c>
      <c r="E598" s="40">
        <v>21</v>
      </c>
      <c r="F598" s="40" t="s">
        <v>42</v>
      </c>
      <c r="G598" s="40" t="s">
        <v>42</v>
      </c>
      <c r="H598" s="41" t="s">
        <v>639</v>
      </c>
      <c r="I598" s="65" t="s">
        <v>43</v>
      </c>
      <c r="J598" s="66" t="s">
        <v>44</v>
      </c>
      <c r="K598" s="67" t="s">
        <v>43</v>
      </c>
      <c r="L598" s="40">
        <v>2</v>
      </c>
      <c r="M598" s="40">
        <v>2</v>
      </c>
      <c r="N598" s="40">
        <v>2</v>
      </c>
      <c r="O598" s="40">
        <v>1</v>
      </c>
      <c r="P598" s="41">
        <v>1</v>
      </c>
      <c r="Q598" s="40">
        <v>3</v>
      </c>
      <c r="R598" s="40">
        <v>3</v>
      </c>
      <c r="S598" s="40">
        <v>4</v>
      </c>
      <c r="T598" s="40">
        <v>4</v>
      </c>
      <c r="U598" s="41">
        <v>4</v>
      </c>
      <c r="V598" s="40">
        <v>5</v>
      </c>
      <c r="W598" s="40">
        <v>6</v>
      </c>
      <c r="X598" s="40">
        <v>1</v>
      </c>
      <c r="Y598" s="41">
        <v>1</v>
      </c>
      <c r="Z598" s="40" t="s">
        <v>45</v>
      </c>
      <c r="AA598" s="40" t="s">
        <v>45</v>
      </c>
      <c r="AB598" s="40" t="s">
        <v>45</v>
      </c>
      <c r="AC598" s="40" t="s">
        <v>45</v>
      </c>
      <c r="AD598" s="40" t="s">
        <v>45</v>
      </c>
      <c r="AE598" s="40">
        <v>1</v>
      </c>
      <c r="AF598" s="40" t="s">
        <v>45</v>
      </c>
      <c r="AG598" s="41" t="s">
        <v>45</v>
      </c>
      <c r="AH598" s="40">
        <v>3</v>
      </c>
      <c r="AI598" s="40">
        <v>5</v>
      </c>
      <c r="AJ598" s="41">
        <v>5</v>
      </c>
      <c r="AK598" s="43" t="s">
        <v>45</v>
      </c>
      <c r="AL598" s="43"/>
      <c r="AM598" s="44">
        <f t="shared" si="64"/>
        <v>-1.6276661399822923</v>
      </c>
      <c r="AN598" s="44">
        <f t="shared" si="65"/>
        <v>-0.6987497666331175</v>
      </c>
      <c r="AO598" s="45">
        <f t="shared" si="66"/>
        <v>0</v>
      </c>
      <c r="AP598" s="46">
        <f t="shared" si="67"/>
        <v>0</v>
      </c>
      <c r="AQ598" s="44">
        <f>($AM$3*AM598+$AN$3*AN598+$AO$3*AO598+$AP$3*AP598)+$I$3*VLOOKUP(I598,COND!$A$2:$E$7,4,FALSE)+$J$3*VLOOKUP(J598,COND!$A$2:$C$7,2,FALSE)+$K$3*VLOOKUP(K598,COND!$A$2:$C$7,3,FALSE)+IF(AND($B$2&gt;0,$E598&lt;20),$B$2*25,0)</f>
        <v>36.152236186404359</v>
      </c>
      <c r="AR598" s="47">
        <f t="shared" si="68"/>
        <v>-1.7691542115504699</v>
      </c>
      <c r="AS598" s="45" t="str">
        <f t="shared" si="69"/>
        <v>LF</v>
      </c>
      <c r="AT598" s="45">
        <f>RANK(Batters[[#This Row],[zScore]],Batters[[#All],[zScore]])</f>
        <v>594</v>
      </c>
      <c r="AU598" s="45"/>
      <c r="AV598" s="45"/>
      <c r="AW598" s="45" t="str">
        <f t="shared" si="70"/>
        <v>Unlikely</v>
      </c>
      <c r="AX598" s="45"/>
      <c r="AY598" s="64" t="str">
        <f>INDEX(Table5[[#All],[Ovr]],MATCH(Batters[[#This Row],[PID]],Table5[[#All],[PID]],0))</f>
        <v/>
      </c>
      <c r="AZ598" s="64" t="str">
        <f>INDEX(Table5[[#All],[Rnd]],MATCH(Batters[[#This Row],[PID]],Table5[[#All],[PID]],0))</f>
        <v/>
      </c>
      <c r="BA598" s="64" t="str">
        <f>INDEX(Table5[[#All],[Pick]],MATCH(Batters[[#This Row],[PID]],Table5[[#All],[PID]],0))</f>
        <v/>
      </c>
      <c r="BB598" s="64" t="str">
        <f>INDEX(Table5[[#All],[Team]],MATCH(Batters[[#This Row],[PID]],Table5[[#All],[PID]],0))</f>
        <v/>
      </c>
    </row>
    <row r="599" spans="1:54" ht="30" x14ac:dyDescent="0.25">
      <c r="A599" s="40">
        <v>16938</v>
      </c>
      <c r="B599" s="40" t="s">
        <v>87</v>
      </c>
      <c r="C599" s="40" t="s">
        <v>210</v>
      </c>
      <c r="D599" s="40" t="s">
        <v>1687</v>
      </c>
      <c r="E599" s="40">
        <v>21</v>
      </c>
      <c r="F599" s="40" t="s">
        <v>53</v>
      </c>
      <c r="G599" s="40" t="s">
        <v>53</v>
      </c>
      <c r="H599" s="41" t="s">
        <v>639</v>
      </c>
      <c r="I599" s="65" t="s">
        <v>43</v>
      </c>
      <c r="J599" s="66" t="s">
        <v>43</v>
      </c>
      <c r="K599" s="67" t="s">
        <v>43</v>
      </c>
      <c r="L599" s="40">
        <v>1</v>
      </c>
      <c r="M599" s="40">
        <v>3</v>
      </c>
      <c r="N599" s="40">
        <v>2</v>
      </c>
      <c r="O599" s="40">
        <v>3</v>
      </c>
      <c r="P599" s="41">
        <v>2</v>
      </c>
      <c r="Q599" s="40">
        <v>3</v>
      </c>
      <c r="R599" s="40">
        <v>4</v>
      </c>
      <c r="S599" s="40">
        <v>2</v>
      </c>
      <c r="T599" s="40">
        <v>5</v>
      </c>
      <c r="U599" s="41">
        <v>4</v>
      </c>
      <c r="V599" s="40">
        <v>3</v>
      </c>
      <c r="W599" s="40">
        <v>4</v>
      </c>
      <c r="X599" s="40">
        <v>1</v>
      </c>
      <c r="Y599" s="41">
        <v>1</v>
      </c>
      <c r="Z599" s="40" t="s">
        <v>45</v>
      </c>
      <c r="AA599" s="40">
        <v>2</v>
      </c>
      <c r="AB599" s="40" t="s">
        <v>45</v>
      </c>
      <c r="AC599" s="40" t="s">
        <v>45</v>
      </c>
      <c r="AD599" s="40" t="s">
        <v>45</v>
      </c>
      <c r="AE599" s="40" t="s">
        <v>45</v>
      </c>
      <c r="AF599" s="40" t="s">
        <v>45</v>
      </c>
      <c r="AG599" s="41" t="s">
        <v>45</v>
      </c>
      <c r="AH599" s="40">
        <v>1</v>
      </c>
      <c r="AI599" s="40">
        <v>4</v>
      </c>
      <c r="AJ599" s="41">
        <v>3</v>
      </c>
      <c r="AK599" s="43" t="s">
        <v>45</v>
      </c>
      <c r="AL599" s="43"/>
      <c r="AM599" s="44">
        <f t="shared" si="64"/>
        <v>-1.6797266567300178</v>
      </c>
      <c r="AN599" s="44">
        <f t="shared" si="65"/>
        <v>-0.72410332505263597</v>
      </c>
      <c r="AO599" s="45">
        <f t="shared" si="66"/>
        <v>0</v>
      </c>
      <c r="AP599" s="46">
        <f t="shared" si="67"/>
        <v>0</v>
      </c>
      <c r="AQ599" s="44">
        <f>($AM$3*AM599+$AN$3*AN599+$AO$3*AO599+$AP$3*AP599)+$I$3*VLOOKUP(I599,COND!$A$2:$E$7,4,FALSE)+$J$3*VLOOKUP(J599,COND!$A$2:$C$7,2,FALSE)+$K$3*VLOOKUP(K599,COND!$A$2:$C$7,3,FALSE)+IF(AND($B$2&gt;0,$E599&lt;20),$B$2*25,0)</f>
        <v>36.142787433695368</v>
      </c>
      <c r="AR599" s="47">
        <f t="shared" si="68"/>
        <v>-1.7712490638936942</v>
      </c>
      <c r="AS599" s="45" t="str">
        <f t="shared" si="69"/>
        <v>1B</v>
      </c>
      <c r="AT599" s="45">
        <f>RANK(Batters[[#This Row],[zScore]],Batters[[#All],[zScore]])</f>
        <v>595</v>
      </c>
      <c r="AU599" s="45"/>
      <c r="AV599" s="45"/>
      <c r="AW599" s="45" t="str">
        <f t="shared" si="70"/>
        <v>Unlikely</v>
      </c>
      <c r="AX599" s="45"/>
      <c r="AY599" s="64" t="str">
        <f>INDEX(Table5[[#All],[Ovr]],MATCH(Batters[[#This Row],[PID]],Table5[[#All],[PID]],0))</f>
        <v/>
      </c>
      <c r="AZ599" s="64" t="str">
        <f>INDEX(Table5[[#All],[Rnd]],MATCH(Batters[[#This Row],[PID]],Table5[[#All],[PID]],0))</f>
        <v/>
      </c>
      <c r="BA599" s="64" t="str">
        <f>INDEX(Table5[[#All],[Pick]],MATCH(Batters[[#This Row],[PID]],Table5[[#All],[PID]],0))</f>
        <v/>
      </c>
      <c r="BB599" s="64" t="str">
        <f>INDEX(Table5[[#All],[Team]],MATCH(Batters[[#This Row],[PID]],Table5[[#All],[PID]],0))</f>
        <v/>
      </c>
    </row>
    <row r="600" spans="1:54" ht="30" x14ac:dyDescent="0.25">
      <c r="A600" s="40">
        <v>17992</v>
      </c>
      <c r="B600" s="40" t="s">
        <v>50</v>
      </c>
      <c r="C600" s="40" t="s">
        <v>142</v>
      </c>
      <c r="D600" s="40" t="s">
        <v>947</v>
      </c>
      <c r="E600" s="40">
        <v>22</v>
      </c>
      <c r="F600" s="40" t="s">
        <v>42</v>
      </c>
      <c r="G600" s="40" t="s">
        <v>42</v>
      </c>
      <c r="H600" s="41" t="s">
        <v>638</v>
      </c>
      <c r="I600" s="65" t="s">
        <v>44</v>
      </c>
      <c r="J600" s="66" t="s">
        <v>44</v>
      </c>
      <c r="K600" s="67" t="s">
        <v>44</v>
      </c>
      <c r="L600" s="40">
        <v>1</v>
      </c>
      <c r="M600" s="40">
        <v>2</v>
      </c>
      <c r="N600" s="40">
        <v>2</v>
      </c>
      <c r="O600" s="40">
        <v>2</v>
      </c>
      <c r="P600" s="41">
        <v>1</v>
      </c>
      <c r="Q600" s="40">
        <v>3</v>
      </c>
      <c r="R600" s="40">
        <v>3</v>
      </c>
      <c r="S600" s="40">
        <v>4</v>
      </c>
      <c r="T600" s="40">
        <v>5</v>
      </c>
      <c r="U600" s="41">
        <v>2</v>
      </c>
      <c r="V600" s="40">
        <v>3</v>
      </c>
      <c r="W600" s="40">
        <v>5</v>
      </c>
      <c r="X600" s="40">
        <v>1</v>
      </c>
      <c r="Y600" s="41">
        <v>1</v>
      </c>
      <c r="Z600" s="40" t="s">
        <v>45</v>
      </c>
      <c r="AA600" s="40" t="s">
        <v>45</v>
      </c>
      <c r="AB600" s="40" t="s">
        <v>45</v>
      </c>
      <c r="AC600" s="40" t="s">
        <v>45</v>
      </c>
      <c r="AD600" s="40" t="s">
        <v>45</v>
      </c>
      <c r="AE600" s="40">
        <v>5</v>
      </c>
      <c r="AF600" s="40">
        <v>2</v>
      </c>
      <c r="AG600" s="41">
        <v>2</v>
      </c>
      <c r="AH600" s="40">
        <v>9</v>
      </c>
      <c r="AI600" s="40">
        <v>7</v>
      </c>
      <c r="AJ600" s="41">
        <v>5</v>
      </c>
      <c r="AK600" s="43" t="s">
        <v>45</v>
      </c>
      <c r="AL600" s="43" t="s">
        <v>635</v>
      </c>
      <c r="AM600" s="44">
        <f t="shared" si="64"/>
        <v>-1.8605124261753858</v>
      </c>
      <c r="AN600" s="44">
        <f t="shared" si="65"/>
        <v>-0.6890728962577034</v>
      </c>
      <c r="AO600" s="45">
        <f t="shared" si="66"/>
        <v>2</v>
      </c>
      <c r="AP600" s="46">
        <f t="shared" si="67"/>
        <v>0</v>
      </c>
      <c r="AQ600" s="44">
        <f>($AM$3*AM600+$AN$3*AN600+$AO$3*AO600+$AP$3*AP600)+$I$3*VLOOKUP(I600,COND!$A$2:$E$7,4,FALSE)+$J$3*VLOOKUP(J600,COND!$A$2:$C$7,2,FALSE)+$K$3*VLOOKUP(K600,COND!$A$2:$C$7,3,FALSE)+IF(AND($B$2&gt;0,$E600&lt;20),$B$2*25,0)</f>
        <v>36.128407335623351</v>
      </c>
      <c r="AR600" s="47">
        <f t="shared" si="68"/>
        <v>-1.7744372288367025</v>
      </c>
      <c r="AS600" s="45" t="str">
        <f t="shared" si="69"/>
        <v>LF</v>
      </c>
      <c r="AT600" s="45">
        <f>RANK(Batters[[#This Row],[zScore]],Batters[[#All],[zScore]])</f>
        <v>596</v>
      </c>
      <c r="AU600" s="45"/>
      <c r="AV600" s="45"/>
      <c r="AW600" s="45" t="str">
        <f t="shared" si="70"/>
        <v>Unlikely</v>
      </c>
      <c r="AX600" s="45"/>
      <c r="AY600" s="45" t="str">
        <f>INDEX(Table5[[#All],[Ovr]],MATCH(Batters[[#This Row],[PID]],Table5[[#All],[PID]],0))</f>
        <v/>
      </c>
      <c r="AZ600" s="45" t="str">
        <f>INDEX(Table5[[#All],[Rnd]],MATCH(Batters[[#This Row],[PID]],Table5[[#All],[PID]],0))</f>
        <v/>
      </c>
      <c r="BA600" s="45" t="str">
        <f>INDEX(Table5[[#All],[Pick]],MATCH(Batters[[#This Row],[PID]],Table5[[#All],[PID]],0))</f>
        <v/>
      </c>
      <c r="BB600" s="45" t="str">
        <f>INDEX(Table5[[#All],[Team]],MATCH(Batters[[#This Row],[PID]],Table5[[#All],[PID]],0))</f>
        <v/>
      </c>
    </row>
    <row r="601" spans="1:54" ht="30" x14ac:dyDescent="0.25">
      <c r="A601" s="40">
        <v>17763</v>
      </c>
      <c r="B601" s="40" t="s">
        <v>50</v>
      </c>
      <c r="C601" s="40" t="s">
        <v>892</v>
      </c>
      <c r="D601" s="40" t="s">
        <v>382</v>
      </c>
      <c r="E601" s="40">
        <v>21</v>
      </c>
      <c r="F601" s="40" t="s">
        <v>53</v>
      </c>
      <c r="G601" s="40" t="s">
        <v>53</v>
      </c>
      <c r="H601" s="41" t="s">
        <v>638</v>
      </c>
      <c r="I601" s="65" t="s">
        <v>44</v>
      </c>
      <c r="J601" s="66" t="s">
        <v>44</v>
      </c>
      <c r="K601" s="67" t="s">
        <v>43</v>
      </c>
      <c r="L601" s="40">
        <v>2</v>
      </c>
      <c r="M601" s="40">
        <v>3</v>
      </c>
      <c r="N601" s="40">
        <v>2</v>
      </c>
      <c r="O601" s="40">
        <v>3</v>
      </c>
      <c r="P601" s="41">
        <v>1</v>
      </c>
      <c r="Q601" s="40">
        <v>3</v>
      </c>
      <c r="R601" s="40">
        <v>3</v>
      </c>
      <c r="S601" s="40">
        <v>3</v>
      </c>
      <c r="T601" s="40">
        <v>5</v>
      </c>
      <c r="U601" s="41">
        <v>3</v>
      </c>
      <c r="V601" s="40">
        <v>6</v>
      </c>
      <c r="W601" s="40">
        <v>7</v>
      </c>
      <c r="X601" s="40">
        <v>1</v>
      </c>
      <c r="Y601" s="41">
        <v>1</v>
      </c>
      <c r="Z601" s="40" t="s">
        <v>45</v>
      </c>
      <c r="AA601" s="40" t="s">
        <v>45</v>
      </c>
      <c r="AB601" s="40" t="s">
        <v>45</v>
      </c>
      <c r="AC601" s="40" t="s">
        <v>45</v>
      </c>
      <c r="AD601" s="40" t="s">
        <v>45</v>
      </c>
      <c r="AE601" s="40">
        <v>6</v>
      </c>
      <c r="AF601" s="40" t="s">
        <v>45</v>
      </c>
      <c r="AG601" s="41" t="s">
        <v>45</v>
      </c>
      <c r="AH601" s="40">
        <v>9</v>
      </c>
      <c r="AI601" s="40">
        <v>7</v>
      </c>
      <c r="AJ601" s="41">
        <v>7</v>
      </c>
      <c r="AK601" s="43" t="s">
        <v>45</v>
      </c>
      <c r="AL601" s="43" t="s">
        <v>47</v>
      </c>
      <c r="AM601" s="44">
        <f t="shared" si="64"/>
        <v>-1.3971871603444268</v>
      </c>
      <c r="AN601" s="44">
        <f t="shared" si="65"/>
        <v>-0.73211805046452161</v>
      </c>
      <c r="AO601" s="45">
        <f t="shared" si="66"/>
        <v>3</v>
      </c>
      <c r="AP601" s="46">
        <f t="shared" si="67"/>
        <v>0</v>
      </c>
      <c r="AQ601" s="44">
        <f>($AM$3*AM601+$AN$3*AN601+$AO$3*AO601+$AP$3*AP601)+$I$3*VLOOKUP(I601,COND!$A$2:$E$7,4,FALSE)+$J$3*VLOOKUP(J601,COND!$A$2:$C$7,2,FALSE)+$K$3*VLOOKUP(K601,COND!$A$2:$C$7,3,FALSE)+IF(AND($B$2&gt;0,$E601&lt;20),$B$2*25,0)</f>
        <v>36.124864678391297</v>
      </c>
      <c r="AR601" s="47">
        <f t="shared" si="68"/>
        <v>-1.7752226598911891</v>
      </c>
      <c r="AS601" s="45" t="str">
        <f t="shared" si="69"/>
        <v>LF</v>
      </c>
      <c r="AT601" s="45">
        <f>RANK(Batters[[#This Row],[zScore]],Batters[[#All],[zScore]])</f>
        <v>597</v>
      </c>
      <c r="AU601" s="45"/>
      <c r="AV601" s="45"/>
      <c r="AW601" s="45" t="str">
        <f t="shared" si="70"/>
        <v>Unlikely</v>
      </c>
      <c r="AX601" s="45"/>
      <c r="AY601" s="45" t="str">
        <f>INDEX(Table5[[#All],[Ovr]],MATCH(Batters[[#This Row],[PID]],Table5[[#All],[PID]],0))</f>
        <v/>
      </c>
      <c r="AZ601" s="45" t="str">
        <f>INDEX(Table5[[#All],[Rnd]],MATCH(Batters[[#This Row],[PID]],Table5[[#All],[PID]],0))</f>
        <v/>
      </c>
      <c r="BA601" s="45" t="str">
        <f>INDEX(Table5[[#All],[Pick]],MATCH(Batters[[#This Row],[PID]],Table5[[#All],[PID]],0))</f>
        <v/>
      </c>
      <c r="BB601" s="45" t="str">
        <f>INDEX(Table5[[#All],[Team]],MATCH(Batters[[#This Row],[PID]],Table5[[#All],[PID]],0))</f>
        <v/>
      </c>
    </row>
    <row r="602" spans="1:54" ht="30" x14ac:dyDescent="0.25">
      <c r="A602" s="40">
        <v>9722</v>
      </c>
      <c r="B602" s="40" t="s">
        <v>66</v>
      </c>
      <c r="C602" s="40" t="s">
        <v>129</v>
      </c>
      <c r="D602" s="40" t="s">
        <v>882</v>
      </c>
      <c r="E602" s="40">
        <v>22</v>
      </c>
      <c r="F602" s="40" t="s">
        <v>53</v>
      </c>
      <c r="G602" s="40" t="s">
        <v>53</v>
      </c>
      <c r="H602" s="41" t="s">
        <v>638</v>
      </c>
      <c r="I602" s="65" t="s">
        <v>43</v>
      </c>
      <c r="J602" s="66" t="s">
        <v>44</v>
      </c>
      <c r="K602" s="67" t="s">
        <v>44</v>
      </c>
      <c r="L602" s="40">
        <v>2</v>
      </c>
      <c r="M602" s="40">
        <v>4</v>
      </c>
      <c r="N602" s="40">
        <v>2</v>
      </c>
      <c r="O602" s="40">
        <v>3</v>
      </c>
      <c r="P602" s="41">
        <v>1</v>
      </c>
      <c r="Q602" s="40">
        <v>3</v>
      </c>
      <c r="R602" s="40">
        <v>4</v>
      </c>
      <c r="S602" s="40">
        <v>3</v>
      </c>
      <c r="T602" s="40">
        <v>5</v>
      </c>
      <c r="U602" s="41">
        <v>3</v>
      </c>
      <c r="V602" s="40">
        <v>5</v>
      </c>
      <c r="W602" s="40">
        <v>6</v>
      </c>
      <c r="X602" s="40">
        <v>1</v>
      </c>
      <c r="Y602" s="41">
        <v>1</v>
      </c>
      <c r="Z602" s="40" t="s">
        <v>45</v>
      </c>
      <c r="AA602" s="40" t="s">
        <v>45</v>
      </c>
      <c r="AB602" s="40" t="s">
        <v>45</v>
      </c>
      <c r="AC602" s="40" t="s">
        <v>45</v>
      </c>
      <c r="AD602" s="40" t="s">
        <v>45</v>
      </c>
      <c r="AE602" s="40">
        <v>1</v>
      </c>
      <c r="AF602" s="40" t="s">
        <v>45</v>
      </c>
      <c r="AG602" s="41">
        <v>2</v>
      </c>
      <c r="AH602" s="40">
        <v>5</v>
      </c>
      <c r="AI602" s="40">
        <v>2</v>
      </c>
      <c r="AJ602" s="41">
        <v>3</v>
      </c>
      <c r="AK602" s="43" t="s">
        <v>45</v>
      </c>
      <c r="AL602" s="43" t="s">
        <v>635</v>
      </c>
      <c r="AM602" s="44">
        <f t="shared" si="64"/>
        <v>-1.3461272807257232</v>
      </c>
      <c r="AN602" s="44">
        <f t="shared" si="65"/>
        <v>-0.6810581708458181</v>
      </c>
      <c r="AO602" s="45">
        <f t="shared" si="66"/>
        <v>0</v>
      </c>
      <c r="AP602" s="46">
        <f t="shared" si="67"/>
        <v>0</v>
      </c>
      <c r="AQ602" s="44">
        <f>($AM$3*AM602+$AN$3*AN602+$AO$3*AO602+$AP$3*AP602)+$I$3*VLOOKUP(I602,COND!$A$2:$E$7,4,FALSE)+$J$3*VLOOKUP(J602,COND!$A$2:$C$7,2,FALSE)+$K$3*VLOOKUP(K602,COND!$A$2:$C$7,3,FALSE)+IF(AND($B$2&gt;0,$E602&lt;20),$B$2*25,0)</f>
        <v>36.092689221777604</v>
      </c>
      <c r="AR602" s="47">
        <f t="shared" si="68"/>
        <v>-1.7823561761083473</v>
      </c>
      <c r="AS602" s="45" t="str">
        <f t="shared" si="69"/>
        <v>RF</v>
      </c>
      <c r="AT602" s="45">
        <f>RANK(Batters[[#This Row],[zScore]],Batters[[#All],[zScore]])</f>
        <v>598</v>
      </c>
      <c r="AU602" s="45"/>
      <c r="AV602" s="45"/>
      <c r="AW602" s="45" t="str">
        <f t="shared" si="70"/>
        <v>Unlikely</v>
      </c>
      <c r="AX602" s="45"/>
      <c r="AY602" s="45" t="str">
        <f>INDEX(Table5[[#All],[Ovr]],MATCH(Batters[[#This Row],[PID]],Table5[[#All],[PID]],0))</f>
        <v/>
      </c>
      <c r="AZ602" s="45" t="str">
        <f>INDEX(Table5[[#All],[Rnd]],MATCH(Batters[[#This Row],[PID]],Table5[[#All],[PID]],0))</f>
        <v/>
      </c>
      <c r="BA602" s="45" t="str">
        <f>INDEX(Table5[[#All],[Pick]],MATCH(Batters[[#This Row],[PID]],Table5[[#All],[PID]],0))</f>
        <v/>
      </c>
      <c r="BB602" s="45" t="str">
        <f>INDEX(Table5[[#All],[Team]],MATCH(Batters[[#This Row],[PID]],Table5[[#All],[PID]],0))</f>
        <v/>
      </c>
    </row>
    <row r="603" spans="1:54" ht="30" x14ac:dyDescent="0.25">
      <c r="A603" s="40">
        <v>16396</v>
      </c>
      <c r="B603" s="40" t="s">
        <v>87</v>
      </c>
      <c r="C603" s="40" t="s">
        <v>537</v>
      </c>
      <c r="D603" s="40" t="s">
        <v>720</v>
      </c>
      <c r="E603" s="40">
        <v>22</v>
      </c>
      <c r="F603" s="40" t="s">
        <v>42</v>
      </c>
      <c r="G603" s="40" t="s">
        <v>42</v>
      </c>
      <c r="H603" s="41" t="s">
        <v>639</v>
      </c>
      <c r="I603" s="65" t="s">
        <v>43</v>
      </c>
      <c r="J603" s="66" t="s">
        <v>44</v>
      </c>
      <c r="K603" s="67" t="s">
        <v>47</v>
      </c>
      <c r="L603" s="40">
        <v>2</v>
      </c>
      <c r="M603" s="40">
        <v>2</v>
      </c>
      <c r="N603" s="40">
        <v>3</v>
      </c>
      <c r="O603" s="40">
        <v>3</v>
      </c>
      <c r="P603" s="41">
        <v>1</v>
      </c>
      <c r="Q603" s="40">
        <v>3</v>
      </c>
      <c r="R603" s="40">
        <v>3</v>
      </c>
      <c r="S603" s="40">
        <v>3</v>
      </c>
      <c r="T603" s="40">
        <v>5</v>
      </c>
      <c r="U603" s="41">
        <v>3</v>
      </c>
      <c r="V603" s="40">
        <v>4</v>
      </c>
      <c r="W603" s="40">
        <v>2</v>
      </c>
      <c r="X603" s="40">
        <v>4</v>
      </c>
      <c r="Y603" s="41">
        <v>4</v>
      </c>
      <c r="Z603" s="40" t="s">
        <v>45</v>
      </c>
      <c r="AA603" s="40">
        <v>3</v>
      </c>
      <c r="AB603" s="40" t="s">
        <v>45</v>
      </c>
      <c r="AC603" s="40" t="s">
        <v>45</v>
      </c>
      <c r="AD603" s="40" t="s">
        <v>45</v>
      </c>
      <c r="AE603" s="40" t="s">
        <v>45</v>
      </c>
      <c r="AF603" s="40" t="s">
        <v>45</v>
      </c>
      <c r="AG603" s="41" t="s">
        <v>45</v>
      </c>
      <c r="AH603" s="40">
        <v>1</v>
      </c>
      <c r="AI603" s="40">
        <v>2</v>
      </c>
      <c r="AJ603" s="41">
        <v>1</v>
      </c>
      <c r="AK603" s="43" t="s">
        <v>45</v>
      </c>
      <c r="AL603" s="43"/>
      <c r="AM603" s="44">
        <f t="shared" si="64"/>
        <v>-1.3651855459392288</v>
      </c>
      <c r="AN603" s="44">
        <f t="shared" si="65"/>
        <v>-0.73211805046452161</v>
      </c>
      <c r="AO603" s="45">
        <f t="shared" si="66"/>
        <v>0</v>
      </c>
      <c r="AP603" s="46">
        <f t="shared" si="67"/>
        <v>0</v>
      </c>
      <c r="AQ603" s="44">
        <f>($AM$3*AM603+$AN$3*AN603+$AO$3*AO603+$AP$3*AP603)+$I$3*VLOOKUP(I603,COND!$A$2:$E$7,4,FALSE)+$J$3*VLOOKUP(J603,COND!$A$2:$C$7,2,FALSE)+$K$3*VLOOKUP(K603,COND!$A$2:$C$7,3,FALSE)+IF(AND($B$2&gt;0,$E603&lt;20),$B$2*25,0)</f>
        <v>36.078064839831818</v>
      </c>
      <c r="AR603" s="47">
        <f t="shared" si="68"/>
        <v>-1.785598500437376</v>
      </c>
      <c r="AS603" s="45" t="str">
        <f t="shared" si="69"/>
        <v>1B</v>
      </c>
      <c r="AT603" s="45">
        <f>RANK(Batters[[#This Row],[zScore]],Batters[[#All],[zScore]])</f>
        <v>599</v>
      </c>
      <c r="AU603" s="45"/>
      <c r="AV603" s="45"/>
      <c r="AW603" s="45" t="str">
        <f t="shared" si="70"/>
        <v>Unlikely</v>
      </c>
      <c r="AX603" s="45"/>
      <c r="AY603" s="64" t="str">
        <f>INDEX(Table5[[#All],[Ovr]],MATCH(Batters[[#This Row],[PID]],Table5[[#All],[PID]],0))</f>
        <v/>
      </c>
      <c r="AZ603" s="64" t="str">
        <f>INDEX(Table5[[#All],[Rnd]],MATCH(Batters[[#This Row],[PID]],Table5[[#All],[PID]],0))</f>
        <v/>
      </c>
      <c r="BA603" s="64" t="str">
        <f>INDEX(Table5[[#All],[Pick]],MATCH(Batters[[#This Row],[PID]],Table5[[#All],[PID]],0))</f>
        <v/>
      </c>
      <c r="BB603" s="64" t="str">
        <f>INDEX(Table5[[#All],[Team]],MATCH(Batters[[#This Row],[PID]],Table5[[#All],[PID]],0))</f>
        <v/>
      </c>
    </row>
    <row r="604" spans="1:54" ht="30" x14ac:dyDescent="0.25">
      <c r="A604" s="40">
        <v>9560</v>
      </c>
      <c r="B604" s="40" t="s">
        <v>86</v>
      </c>
      <c r="C604" s="40" t="s">
        <v>691</v>
      </c>
      <c r="D604" s="40" t="s">
        <v>913</v>
      </c>
      <c r="E604" s="40">
        <v>22</v>
      </c>
      <c r="F604" s="40" t="s">
        <v>42</v>
      </c>
      <c r="G604" s="40" t="s">
        <v>42</v>
      </c>
      <c r="H604" s="41" t="s">
        <v>638</v>
      </c>
      <c r="I604" s="65" t="s">
        <v>43</v>
      </c>
      <c r="J604" s="66" t="s">
        <v>43</v>
      </c>
      <c r="K604" s="67" t="s">
        <v>43</v>
      </c>
      <c r="L604" s="40">
        <v>2</v>
      </c>
      <c r="M604" s="40">
        <v>2</v>
      </c>
      <c r="N604" s="40">
        <v>3</v>
      </c>
      <c r="O604" s="40">
        <v>3</v>
      </c>
      <c r="P604" s="41">
        <v>1</v>
      </c>
      <c r="Q604" s="40">
        <v>3</v>
      </c>
      <c r="R604" s="40">
        <v>3</v>
      </c>
      <c r="S604" s="40">
        <v>3</v>
      </c>
      <c r="T604" s="40">
        <v>5</v>
      </c>
      <c r="U604" s="41">
        <v>3</v>
      </c>
      <c r="V604" s="40">
        <v>2</v>
      </c>
      <c r="W604" s="40">
        <v>3</v>
      </c>
      <c r="X604" s="40">
        <v>4</v>
      </c>
      <c r="Y604" s="41">
        <v>9</v>
      </c>
      <c r="Z604" s="40" t="s">
        <v>45</v>
      </c>
      <c r="AA604" s="40" t="s">
        <v>45</v>
      </c>
      <c r="AB604" s="40" t="s">
        <v>45</v>
      </c>
      <c r="AC604" s="40" t="s">
        <v>45</v>
      </c>
      <c r="AD604" s="40" t="s">
        <v>45</v>
      </c>
      <c r="AE604" s="40" t="s">
        <v>45</v>
      </c>
      <c r="AF604" s="40" t="s">
        <v>45</v>
      </c>
      <c r="AG604" s="41" t="s">
        <v>45</v>
      </c>
      <c r="AH604" s="40">
        <v>1</v>
      </c>
      <c r="AI604" s="40">
        <v>1</v>
      </c>
      <c r="AJ604" s="41">
        <v>1</v>
      </c>
      <c r="AK604" s="43" t="s">
        <v>45</v>
      </c>
      <c r="AL604" s="43" t="s">
        <v>47</v>
      </c>
      <c r="AM604" s="44">
        <f t="shared" si="64"/>
        <v>-1.3651855459392288</v>
      </c>
      <c r="AN604" s="44">
        <f t="shared" si="65"/>
        <v>-0.73211805046452161</v>
      </c>
      <c r="AO604" s="45">
        <f t="shared" si="66"/>
        <v>0</v>
      </c>
      <c r="AP604" s="46">
        <f t="shared" si="67"/>
        <v>0</v>
      </c>
      <c r="AQ604" s="44">
        <f>($AM$3*AM604+$AN$3*AN604+$AO$3*AO604+$AP$3*AP604)+$I$3*VLOOKUP(I604,COND!$A$2:$E$7,4,FALSE)+$J$3*VLOOKUP(J604,COND!$A$2:$C$7,2,FALSE)+$K$3*VLOOKUP(K604,COND!$A$2:$C$7,3,FALSE)+IF(AND($B$2&gt;0,$E604&lt;20),$B$2*25,0)</f>
        <v>36.078064839831818</v>
      </c>
      <c r="AR604" s="47">
        <f t="shared" si="68"/>
        <v>-1.785598500437376</v>
      </c>
      <c r="AS604" s="45" t="str">
        <f t="shared" si="69"/>
        <v>DH</v>
      </c>
      <c r="AT604" s="45">
        <f>RANK(Batters[[#This Row],[zScore]],Batters[[#All],[zScore]])</f>
        <v>599</v>
      </c>
      <c r="AU604" s="45"/>
      <c r="AV604" s="45"/>
      <c r="AW604" s="45" t="str">
        <f t="shared" si="70"/>
        <v>Unlikely</v>
      </c>
      <c r="AX604" s="45"/>
      <c r="AY604" s="45" t="str">
        <f>INDEX(Table5[[#All],[Ovr]],MATCH(Batters[[#This Row],[PID]],Table5[[#All],[PID]],0))</f>
        <v/>
      </c>
      <c r="AZ604" s="45" t="str">
        <f>INDEX(Table5[[#All],[Rnd]],MATCH(Batters[[#This Row],[PID]],Table5[[#All],[PID]],0))</f>
        <v/>
      </c>
      <c r="BA604" s="45" t="str">
        <f>INDEX(Table5[[#All],[Pick]],MATCH(Batters[[#This Row],[PID]],Table5[[#All],[PID]],0))</f>
        <v/>
      </c>
      <c r="BB604" s="45" t="str">
        <f>INDEX(Table5[[#All],[Team]],MATCH(Batters[[#This Row],[PID]],Table5[[#All],[PID]],0))</f>
        <v/>
      </c>
    </row>
    <row r="605" spans="1:54" ht="30" x14ac:dyDescent="0.25">
      <c r="A605" s="40">
        <v>15332</v>
      </c>
      <c r="B605" s="40" t="s">
        <v>86</v>
      </c>
      <c r="C605" s="40" t="s">
        <v>705</v>
      </c>
      <c r="D605" s="40" t="s">
        <v>888</v>
      </c>
      <c r="E605" s="40">
        <v>18</v>
      </c>
      <c r="F605" s="40" t="s">
        <v>42</v>
      </c>
      <c r="G605" s="40" t="s">
        <v>42</v>
      </c>
      <c r="H605" s="41" t="s">
        <v>638</v>
      </c>
      <c r="I605" s="65" t="s">
        <v>43</v>
      </c>
      <c r="J605" s="66" t="s">
        <v>44</v>
      </c>
      <c r="K605" s="67" t="s">
        <v>44</v>
      </c>
      <c r="L605" s="40">
        <v>1</v>
      </c>
      <c r="M605" s="40">
        <v>2</v>
      </c>
      <c r="N605" s="40">
        <v>2</v>
      </c>
      <c r="O605" s="40">
        <v>2</v>
      </c>
      <c r="P605" s="41">
        <v>1</v>
      </c>
      <c r="Q605" s="40">
        <v>2</v>
      </c>
      <c r="R605" s="40">
        <v>3</v>
      </c>
      <c r="S605" s="40">
        <v>3</v>
      </c>
      <c r="T605" s="40">
        <v>5</v>
      </c>
      <c r="U605" s="41">
        <v>2</v>
      </c>
      <c r="V605" s="40">
        <v>6</v>
      </c>
      <c r="W605" s="40">
        <v>5</v>
      </c>
      <c r="X605" s="40">
        <v>7</v>
      </c>
      <c r="Y605" s="41">
        <v>6</v>
      </c>
      <c r="Z605" s="40" t="s">
        <v>45</v>
      </c>
      <c r="AA605" s="40" t="s">
        <v>45</v>
      </c>
      <c r="AB605" s="40" t="s">
        <v>45</v>
      </c>
      <c r="AC605" s="40" t="s">
        <v>45</v>
      </c>
      <c r="AD605" s="40" t="s">
        <v>45</v>
      </c>
      <c r="AE605" s="40" t="s">
        <v>45</v>
      </c>
      <c r="AF605" s="40" t="s">
        <v>45</v>
      </c>
      <c r="AG605" s="41" t="s">
        <v>45</v>
      </c>
      <c r="AH605" s="40">
        <v>2</v>
      </c>
      <c r="AI605" s="40">
        <v>2</v>
      </c>
      <c r="AJ605" s="41">
        <v>3</v>
      </c>
      <c r="AK605" s="43" t="s">
        <v>644</v>
      </c>
      <c r="AL605" s="43" t="s">
        <v>47</v>
      </c>
      <c r="AM605" s="44">
        <f t="shared" si="64"/>
        <v>-1.8605124261753858</v>
      </c>
      <c r="AN605" s="44">
        <f t="shared" si="65"/>
        <v>-1.0946902264842799</v>
      </c>
      <c r="AO605" s="45">
        <f t="shared" si="66"/>
        <v>0</v>
      </c>
      <c r="AP605" s="46">
        <f t="shared" si="67"/>
        <v>0</v>
      </c>
      <c r="AQ605" s="44">
        <f>($AM$3*AM605+$AN$3*AN605+$AO$3*AO605+$AP$3*AP605)+$I$3*VLOOKUP(I605,COND!$A$2:$E$7,4,FALSE)+$J$3*VLOOKUP(J605,COND!$A$2:$C$7,2,FALSE)+$K$3*VLOOKUP(K605,COND!$A$2:$C$7,3,FALSE)+IF(AND($B$2&gt;0,$E605&lt;20),$B$2*25,0)</f>
        <v>36.077666039571099</v>
      </c>
      <c r="AR605" s="47">
        <f t="shared" si="68"/>
        <v>-1.785686917150817</v>
      </c>
      <c r="AS605" s="45" t="str">
        <f t="shared" si="69"/>
        <v>DH</v>
      </c>
      <c r="AT605" s="45">
        <f>RANK(Batters[[#This Row],[zScore]],Batters[[#All],[zScore]])</f>
        <v>601</v>
      </c>
      <c r="AU605" s="45"/>
      <c r="AV605" s="45"/>
      <c r="AW605" s="45" t="str">
        <f t="shared" si="70"/>
        <v>Unlikely</v>
      </c>
      <c r="AX605" s="45"/>
      <c r="AY605" s="45" t="str">
        <f>INDEX(Table5[[#All],[Ovr]],MATCH(Batters[[#This Row],[PID]],Table5[[#All],[PID]],0))</f>
        <v/>
      </c>
      <c r="AZ605" s="45" t="str">
        <f>INDEX(Table5[[#All],[Rnd]],MATCH(Batters[[#This Row],[PID]],Table5[[#All],[PID]],0))</f>
        <v/>
      </c>
      <c r="BA605" s="45" t="str">
        <f>INDEX(Table5[[#All],[Pick]],MATCH(Batters[[#This Row],[PID]],Table5[[#All],[PID]],0))</f>
        <v/>
      </c>
      <c r="BB605" s="45" t="str">
        <f>INDEX(Table5[[#All],[Team]],MATCH(Batters[[#This Row],[PID]],Table5[[#All],[PID]],0))</f>
        <v/>
      </c>
    </row>
    <row r="606" spans="1:54" ht="30" x14ac:dyDescent="0.25">
      <c r="A606" s="40">
        <v>15667</v>
      </c>
      <c r="B606" s="40" t="s">
        <v>86</v>
      </c>
      <c r="C606" s="40" t="s">
        <v>865</v>
      </c>
      <c r="D606" s="40" t="s">
        <v>668</v>
      </c>
      <c r="E606" s="40">
        <v>21</v>
      </c>
      <c r="F606" s="40" t="s">
        <v>53</v>
      </c>
      <c r="G606" s="40" t="s">
        <v>42</v>
      </c>
      <c r="H606" s="41" t="s">
        <v>638</v>
      </c>
      <c r="I606" s="65" t="s">
        <v>43</v>
      </c>
      <c r="J606" s="66" t="s">
        <v>43</v>
      </c>
      <c r="K606" s="67" t="s">
        <v>43</v>
      </c>
      <c r="L606" s="40">
        <v>1</v>
      </c>
      <c r="M606" s="40">
        <v>2</v>
      </c>
      <c r="N606" s="40">
        <v>2</v>
      </c>
      <c r="O606" s="40">
        <v>2</v>
      </c>
      <c r="P606" s="41">
        <v>1</v>
      </c>
      <c r="Q606" s="40">
        <v>3</v>
      </c>
      <c r="R606" s="40">
        <v>3</v>
      </c>
      <c r="S606" s="40">
        <v>3</v>
      </c>
      <c r="T606" s="40">
        <v>5</v>
      </c>
      <c r="U606" s="41">
        <v>3</v>
      </c>
      <c r="V606" s="40">
        <v>1</v>
      </c>
      <c r="W606" s="40">
        <v>1</v>
      </c>
      <c r="X606" s="40">
        <v>4</v>
      </c>
      <c r="Y606" s="41">
        <v>8</v>
      </c>
      <c r="Z606" s="40" t="s">
        <v>45</v>
      </c>
      <c r="AA606" s="40" t="s">
        <v>45</v>
      </c>
      <c r="AB606" s="40" t="s">
        <v>45</v>
      </c>
      <c r="AC606" s="40" t="s">
        <v>45</v>
      </c>
      <c r="AD606" s="40" t="s">
        <v>45</v>
      </c>
      <c r="AE606" s="40" t="s">
        <v>45</v>
      </c>
      <c r="AF606" s="40" t="s">
        <v>45</v>
      </c>
      <c r="AG606" s="41" t="s">
        <v>45</v>
      </c>
      <c r="AH606" s="40">
        <v>1</v>
      </c>
      <c r="AI606" s="40">
        <v>4</v>
      </c>
      <c r="AJ606" s="41">
        <v>6</v>
      </c>
      <c r="AK606" s="43" t="s">
        <v>45</v>
      </c>
      <c r="AL606" s="43"/>
      <c r="AM606" s="44">
        <f t="shared" si="64"/>
        <v>-1.8605124261753858</v>
      </c>
      <c r="AN606" s="44">
        <f t="shared" si="65"/>
        <v>-0.73211805046452161</v>
      </c>
      <c r="AO606" s="45">
        <f t="shared" si="66"/>
        <v>0</v>
      </c>
      <c r="AP606" s="46">
        <f t="shared" si="67"/>
        <v>0</v>
      </c>
      <c r="AQ606" s="44">
        <f>($AM$3*AM606+$AN$3*AN606+$AO$3*AO606+$AP$3*AP606)+$I$3*VLOOKUP(I606,COND!$A$2:$E$7,4,FALSE)+$J$3*VLOOKUP(J606,COND!$A$2:$C$7,2,FALSE)+$K$3*VLOOKUP(K606,COND!$A$2:$C$7,3,FALSE)+IF(AND($B$2&gt;0,$E606&lt;20),$B$2*25,0)</f>
        <v>36.0285321518082</v>
      </c>
      <c r="AR606" s="47">
        <f t="shared" si="68"/>
        <v>-1.7965802321821103</v>
      </c>
      <c r="AS606" s="45" t="str">
        <f t="shared" si="69"/>
        <v>DH</v>
      </c>
      <c r="AT606" s="45">
        <f>RANK(Batters[[#This Row],[zScore]],Batters[[#All],[zScore]])</f>
        <v>602</v>
      </c>
      <c r="AU606" s="45"/>
      <c r="AV606" s="45"/>
      <c r="AW606" s="45" t="str">
        <f t="shared" si="70"/>
        <v>Unlikely</v>
      </c>
      <c r="AX606" s="45"/>
      <c r="AY606" s="64" t="str">
        <f>INDEX(Table5[[#All],[Ovr]],MATCH(Batters[[#This Row],[PID]],Table5[[#All],[PID]],0))</f>
        <v/>
      </c>
      <c r="AZ606" s="64" t="str">
        <f>INDEX(Table5[[#All],[Rnd]],MATCH(Batters[[#This Row],[PID]],Table5[[#All],[PID]],0))</f>
        <v/>
      </c>
      <c r="BA606" s="64" t="str">
        <f>INDEX(Table5[[#All],[Pick]],MATCH(Batters[[#This Row],[PID]],Table5[[#All],[PID]],0))</f>
        <v/>
      </c>
      <c r="BB606" s="64" t="str">
        <f>INDEX(Table5[[#All],[Team]],MATCH(Batters[[#This Row],[PID]],Table5[[#All],[PID]],0))</f>
        <v/>
      </c>
    </row>
    <row r="607" spans="1:54" ht="30" x14ac:dyDescent="0.25">
      <c r="A607" s="40">
        <v>10296</v>
      </c>
      <c r="B607" s="40" t="s">
        <v>50</v>
      </c>
      <c r="C607" s="40" t="s">
        <v>130</v>
      </c>
      <c r="D607" s="40" t="s">
        <v>873</v>
      </c>
      <c r="E607" s="40">
        <v>22</v>
      </c>
      <c r="F607" s="40" t="s">
        <v>42</v>
      </c>
      <c r="G607" s="40" t="s">
        <v>42</v>
      </c>
      <c r="H607" s="41" t="s">
        <v>638</v>
      </c>
      <c r="I607" s="65" t="s">
        <v>43</v>
      </c>
      <c r="J607" s="66" t="s">
        <v>43</v>
      </c>
      <c r="K607" s="67" t="s">
        <v>47</v>
      </c>
      <c r="L607" s="40">
        <v>2</v>
      </c>
      <c r="M607" s="40">
        <v>2</v>
      </c>
      <c r="N607" s="40">
        <v>2</v>
      </c>
      <c r="O607" s="40">
        <v>2</v>
      </c>
      <c r="P607" s="41">
        <v>1</v>
      </c>
      <c r="Q607" s="40">
        <v>3</v>
      </c>
      <c r="R607" s="40">
        <v>3</v>
      </c>
      <c r="S607" s="40">
        <v>3</v>
      </c>
      <c r="T607" s="40">
        <v>4</v>
      </c>
      <c r="U607" s="41">
        <v>4</v>
      </c>
      <c r="V607" s="40">
        <v>4</v>
      </c>
      <c r="W607" s="40">
        <v>4</v>
      </c>
      <c r="X607" s="40">
        <v>1</v>
      </c>
      <c r="Y607" s="41">
        <v>1</v>
      </c>
      <c r="Z607" s="40" t="s">
        <v>45</v>
      </c>
      <c r="AA607" s="40" t="s">
        <v>45</v>
      </c>
      <c r="AB607" s="40" t="s">
        <v>45</v>
      </c>
      <c r="AC607" s="40" t="s">
        <v>45</v>
      </c>
      <c r="AD607" s="40" t="s">
        <v>45</v>
      </c>
      <c r="AE607" s="40">
        <v>8</v>
      </c>
      <c r="AF607" s="40" t="s">
        <v>45</v>
      </c>
      <c r="AG607" s="41" t="s">
        <v>45</v>
      </c>
      <c r="AH607" s="40">
        <v>3</v>
      </c>
      <c r="AI607" s="40">
        <v>4</v>
      </c>
      <c r="AJ607" s="41">
        <v>1</v>
      </c>
      <c r="AK607" s="43" t="s">
        <v>45</v>
      </c>
      <c r="AL607" s="43" t="s">
        <v>635</v>
      </c>
      <c r="AM607" s="44">
        <f t="shared" si="64"/>
        <v>-1.5379565899727115</v>
      </c>
      <c r="AN607" s="44">
        <f t="shared" si="65"/>
        <v>-0.781811260657019</v>
      </c>
      <c r="AO607" s="45">
        <f t="shared" si="66"/>
        <v>0</v>
      </c>
      <c r="AP607" s="46">
        <f t="shared" si="67"/>
        <v>0.25</v>
      </c>
      <c r="AQ607" s="44">
        <f>($AM$3*AM607+$AN$3*AN607+$AO$3*AO607+$AP$3*AP607)+$I$3*VLOOKUP(I607,COND!$A$2:$E$7,4,FALSE)+$J$3*VLOOKUP(J607,COND!$A$2:$C$7,2,FALSE)+$K$3*VLOOKUP(K607,COND!$A$2:$C$7,3,FALSE)+IF(AND($B$2&gt;0,$E607&lt;20),$B$2*25,0)</f>
        <v>36.014469213118502</v>
      </c>
      <c r="AR607" s="47">
        <f t="shared" si="68"/>
        <v>-1.7996980807462599</v>
      </c>
      <c r="AS607" s="45" t="str">
        <f t="shared" si="69"/>
        <v>LF</v>
      </c>
      <c r="AT607" s="45">
        <f>RANK(Batters[[#This Row],[zScore]],Batters[[#All],[zScore]])</f>
        <v>603</v>
      </c>
      <c r="AU607" s="45"/>
      <c r="AV607" s="45"/>
      <c r="AW607" s="45" t="str">
        <f t="shared" si="70"/>
        <v>Unlikely</v>
      </c>
      <c r="AX607" s="45"/>
      <c r="AY607" s="45" t="str">
        <f>INDEX(Table5[[#All],[Ovr]],MATCH(Batters[[#This Row],[PID]],Table5[[#All],[PID]],0))</f>
        <v/>
      </c>
      <c r="AZ607" s="45" t="str">
        <f>INDEX(Table5[[#All],[Rnd]],MATCH(Batters[[#This Row],[PID]],Table5[[#All],[PID]],0))</f>
        <v/>
      </c>
      <c r="BA607" s="45" t="str">
        <f>INDEX(Table5[[#All],[Pick]],MATCH(Batters[[#This Row],[PID]],Table5[[#All],[PID]],0))</f>
        <v/>
      </c>
      <c r="BB607" s="45" t="str">
        <f>INDEX(Table5[[#All],[Team]],MATCH(Batters[[#This Row],[PID]],Table5[[#All],[PID]],0))</f>
        <v/>
      </c>
    </row>
    <row r="608" spans="1:54" ht="30" x14ac:dyDescent="0.25">
      <c r="A608" s="40">
        <v>17022</v>
      </c>
      <c r="B608" s="40" t="s">
        <v>87</v>
      </c>
      <c r="C608" s="40" t="s">
        <v>1758</v>
      </c>
      <c r="D608" s="40" t="s">
        <v>1759</v>
      </c>
      <c r="E608" s="40">
        <v>21</v>
      </c>
      <c r="F608" s="40" t="s">
        <v>53</v>
      </c>
      <c r="G608" s="40" t="s">
        <v>53</v>
      </c>
      <c r="H608" s="41" t="s">
        <v>647</v>
      </c>
      <c r="I608" s="65" t="s">
        <v>43</v>
      </c>
      <c r="J608" s="66" t="s">
        <v>43</v>
      </c>
      <c r="K608" s="67" t="s">
        <v>43</v>
      </c>
      <c r="L608" s="40">
        <v>2</v>
      </c>
      <c r="M608" s="40">
        <v>1</v>
      </c>
      <c r="N608" s="40">
        <v>2</v>
      </c>
      <c r="O608" s="40">
        <v>1</v>
      </c>
      <c r="P608" s="41">
        <v>3</v>
      </c>
      <c r="Q608" s="40">
        <v>4</v>
      </c>
      <c r="R608" s="40">
        <v>2</v>
      </c>
      <c r="S608" s="40">
        <v>3</v>
      </c>
      <c r="T608" s="40">
        <v>1</v>
      </c>
      <c r="U608" s="41">
        <v>5</v>
      </c>
      <c r="V608" s="40">
        <v>6</v>
      </c>
      <c r="W608" s="40">
        <v>1</v>
      </c>
      <c r="X608" s="40">
        <v>1</v>
      </c>
      <c r="Y608" s="41">
        <v>1</v>
      </c>
      <c r="Z608" s="40" t="s">
        <v>45</v>
      </c>
      <c r="AA608" s="40">
        <v>1</v>
      </c>
      <c r="AB608" s="40" t="s">
        <v>45</v>
      </c>
      <c r="AC608" s="40" t="s">
        <v>45</v>
      </c>
      <c r="AD608" s="40" t="s">
        <v>45</v>
      </c>
      <c r="AE608" s="40" t="s">
        <v>45</v>
      </c>
      <c r="AF608" s="40" t="s">
        <v>45</v>
      </c>
      <c r="AG608" s="41" t="s">
        <v>45</v>
      </c>
      <c r="AH608" s="40">
        <v>1</v>
      </c>
      <c r="AI608" s="40">
        <v>1</v>
      </c>
      <c r="AJ608" s="41">
        <v>3</v>
      </c>
      <c r="AK608" s="43" t="s">
        <v>45</v>
      </c>
      <c r="AL608" s="43"/>
      <c r="AM608" s="44">
        <f t="shared" si="64"/>
        <v>-1.5986933399668291</v>
      </c>
      <c r="AN608" s="44">
        <f t="shared" si="65"/>
        <v>-0.73942761428470749</v>
      </c>
      <c r="AO608" s="45">
        <f t="shared" si="66"/>
        <v>0</v>
      </c>
      <c r="AP608" s="46">
        <f t="shared" si="67"/>
        <v>0</v>
      </c>
      <c r="AQ608" s="44">
        <f>($AM$3*AM608+$AN$3*AN608+$AO$3*AO608+$AP$3*AP608)+$I$3*VLOOKUP(I608,COND!$A$2:$E$7,4,FALSE)+$J$3*VLOOKUP(J608,COND!$A$2:$C$7,2,FALSE)+$K$3*VLOOKUP(K608,COND!$A$2:$C$7,3,FALSE)+IF(AND($B$2&gt;0,$E608&lt;20),$B$2*25,0)</f>
        <v>35.966999294586827</v>
      </c>
      <c r="AR608" s="47">
        <f t="shared" si="68"/>
        <v>-1.8102224825516027</v>
      </c>
      <c r="AS608" s="45" t="str">
        <f t="shared" si="69"/>
        <v>1B</v>
      </c>
      <c r="AT608" s="45">
        <f>RANK(Batters[[#This Row],[zScore]],Batters[[#All],[zScore]])</f>
        <v>604</v>
      </c>
      <c r="AU608" s="45"/>
      <c r="AV608" s="45"/>
      <c r="AW608" s="45" t="str">
        <f t="shared" si="70"/>
        <v>Unlikely</v>
      </c>
      <c r="AX608" s="45"/>
      <c r="AY608" s="64" t="str">
        <f>INDEX(Table5[[#All],[Ovr]],MATCH(Batters[[#This Row],[PID]],Table5[[#All],[PID]],0))</f>
        <v/>
      </c>
      <c r="AZ608" s="64" t="str">
        <f>INDEX(Table5[[#All],[Rnd]],MATCH(Batters[[#This Row],[PID]],Table5[[#All],[PID]],0))</f>
        <v/>
      </c>
      <c r="BA608" s="64" t="str">
        <f>INDEX(Table5[[#All],[Pick]],MATCH(Batters[[#This Row],[PID]],Table5[[#All],[PID]],0))</f>
        <v/>
      </c>
      <c r="BB608" s="64" t="str">
        <f>INDEX(Table5[[#All],[Team]],MATCH(Batters[[#This Row],[PID]],Table5[[#All],[PID]],0))</f>
        <v/>
      </c>
    </row>
    <row r="609" spans="1:54" ht="30" x14ac:dyDescent="0.25">
      <c r="A609" s="40">
        <v>8240</v>
      </c>
      <c r="B609" s="40" t="s">
        <v>71</v>
      </c>
      <c r="C609" s="40" t="s">
        <v>883</v>
      </c>
      <c r="D609" s="40" t="s">
        <v>603</v>
      </c>
      <c r="E609" s="40">
        <v>22</v>
      </c>
      <c r="F609" s="40" t="s">
        <v>42</v>
      </c>
      <c r="G609" s="40" t="s">
        <v>42</v>
      </c>
      <c r="H609" s="41" t="s">
        <v>638</v>
      </c>
      <c r="I609" s="65" t="s">
        <v>43</v>
      </c>
      <c r="J609" s="66" t="s">
        <v>44</v>
      </c>
      <c r="K609" s="67" t="s">
        <v>43</v>
      </c>
      <c r="L609" s="40">
        <v>2</v>
      </c>
      <c r="M609" s="40">
        <v>3</v>
      </c>
      <c r="N609" s="40">
        <v>2</v>
      </c>
      <c r="O609" s="40">
        <v>2</v>
      </c>
      <c r="P609" s="41">
        <v>1</v>
      </c>
      <c r="Q609" s="40">
        <v>3</v>
      </c>
      <c r="R609" s="40">
        <v>3</v>
      </c>
      <c r="S609" s="40">
        <v>3</v>
      </c>
      <c r="T609" s="40">
        <v>4</v>
      </c>
      <c r="U609" s="41">
        <v>3</v>
      </c>
      <c r="V609" s="40">
        <v>4</v>
      </c>
      <c r="W609" s="40">
        <v>1</v>
      </c>
      <c r="X609" s="40">
        <v>1</v>
      </c>
      <c r="Y609" s="41">
        <v>1</v>
      </c>
      <c r="Z609" s="40" t="s">
        <v>45</v>
      </c>
      <c r="AA609" s="40" t="s">
        <v>45</v>
      </c>
      <c r="AB609" s="40">
        <v>6</v>
      </c>
      <c r="AC609" s="40" t="s">
        <v>45</v>
      </c>
      <c r="AD609" s="40" t="s">
        <v>45</v>
      </c>
      <c r="AE609" s="40" t="s">
        <v>45</v>
      </c>
      <c r="AF609" s="40" t="s">
        <v>45</v>
      </c>
      <c r="AG609" s="41" t="s">
        <v>45</v>
      </c>
      <c r="AH609" s="40">
        <v>8</v>
      </c>
      <c r="AI609" s="40">
        <v>8</v>
      </c>
      <c r="AJ609" s="41">
        <v>8</v>
      </c>
      <c r="AK609" s="43" t="s">
        <v>45</v>
      </c>
      <c r="AL609" s="43" t="s">
        <v>635</v>
      </c>
      <c r="AM609" s="44">
        <f t="shared" si="64"/>
        <v>-1.4868967103540081</v>
      </c>
      <c r="AN609" s="44">
        <f t="shared" si="65"/>
        <v>-0.82182760047410253</v>
      </c>
      <c r="AO609" s="45">
        <f t="shared" si="66"/>
        <v>4</v>
      </c>
      <c r="AP609" s="46">
        <f t="shared" si="67"/>
        <v>0.6</v>
      </c>
      <c r="AQ609" s="44">
        <f>($AM$3*AM609+$AN$3*AN609+$AO$3*AO609+$AP$3*AP609)+$I$3*VLOOKUP(I609,COND!$A$2:$E$7,4,FALSE)+$J$3*VLOOKUP(J609,COND!$A$2:$C$7,2,FALSE)+$K$3*VLOOKUP(K609,COND!$A$2:$C$7,3,FALSE)+IF(AND($B$2&gt;0,$E609&lt;20),$B$2*25,0)</f>
        <v>35.956045789942031</v>
      </c>
      <c r="AR609" s="47">
        <f t="shared" si="68"/>
        <v>-1.8126509485701741</v>
      </c>
      <c r="AS609" s="45" t="str">
        <f t="shared" si="69"/>
        <v>2B</v>
      </c>
      <c r="AT609" s="45">
        <f>RANK(Batters[[#This Row],[zScore]],Batters[[#All],[zScore]])</f>
        <v>605</v>
      </c>
      <c r="AU609" s="45"/>
      <c r="AV609" s="45"/>
      <c r="AW609" s="45" t="str">
        <f t="shared" si="70"/>
        <v>Unlikely</v>
      </c>
      <c r="AX609" s="45"/>
      <c r="AY609" s="45" t="str">
        <f>INDEX(Table5[[#All],[Ovr]],MATCH(Batters[[#This Row],[PID]],Table5[[#All],[PID]],0))</f>
        <v/>
      </c>
      <c r="AZ609" s="45" t="str">
        <f>INDEX(Table5[[#All],[Rnd]],MATCH(Batters[[#This Row],[PID]],Table5[[#All],[PID]],0))</f>
        <v/>
      </c>
      <c r="BA609" s="45" t="str">
        <f>INDEX(Table5[[#All],[Pick]],MATCH(Batters[[#This Row],[PID]],Table5[[#All],[PID]],0))</f>
        <v/>
      </c>
      <c r="BB609" s="45" t="str">
        <f>INDEX(Table5[[#All],[Team]],MATCH(Batters[[#This Row],[PID]],Table5[[#All],[PID]],0))</f>
        <v/>
      </c>
    </row>
    <row r="610" spans="1:54" ht="30" x14ac:dyDescent="0.25">
      <c r="A610" s="40">
        <v>3413</v>
      </c>
      <c r="B610" s="40" t="s">
        <v>87</v>
      </c>
      <c r="C610" s="40" t="s">
        <v>187</v>
      </c>
      <c r="D610" s="40" t="s">
        <v>915</v>
      </c>
      <c r="E610" s="40">
        <v>22</v>
      </c>
      <c r="F610" s="40" t="s">
        <v>42</v>
      </c>
      <c r="G610" s="40" t="s">
        <v>42</v>
      </c>
      <c r="H610" s="41" t="s">
        <v>639</v>
      </c>
      <c r="I610" s="65" t="s">
        <v>43</v>
      </c>
      <c r="J610" s="66" t="s">
        <v>44</v>
      </c>
      <c r="K610" s="67" t="s">
        <v>43</v>
      </c>
      <c r="L610" s="40">
        <v>2</v>
      </c>
      <c r="M610" s="40">
        <v>2</v>
      </c>
      <c r="N610" s="40">
        <v>2</v>
      </c>
      <c r="O610" s="40">
        <v>2</v>
      </c>
      <c r="P610" s="41">
        <v>4</v>
      </c>
      <c r="Q610" s="40">
        <v>3</v>
      </c>
      <c r="R610" s="40">
        <v>4</v>
      </c>
      <c r="S610" s="40">
        <v>2</v>
      </c>
      <c r="T610" s="40">
        <v>4</v>
      </c>
      <c r="U610" s="41">
        <v>5</v>
      </c>
      <c r="V610" s="40">
        <v>6</v>
      </c>
      <c r="W610" s="40">
        <v>3</v>
      </c>
      <c r="X610" s="40">
        <v>1</v>
      </c>
      <c r="Y610" s="41">
        <v>1</v>
      </c>
      <c r="Z610" s="40" t="s">
        <v>45</v>
      </c>
      <c r="AA610" s="40">
        <v>5</v>
      </c>
      <c r="AB610" s="40" t="s">
        <v>45</v>
      </c>
      <c r="AC610" s="40" t="s">
        <v>45</v>
      </c>
      <c r="AD610" s="40" t="s">
        <v>45</v>
      </c>
      <c r="AE610" s="40" t="s">
        <v>45</v>
      </c>
      <c r="AF610" s="40" t="s">
        <v>45</v>
      </c>
      <c r="AG610" s="41" t="s">
        <v>45</v>
      </c>
      <c r="AH610" s="40">
        <v>8</v>
      </c>
      <c r="AI610" s="40">
        <v>7</v>
      </c>
      <c r="AJ610" s="41">
        <v>9</v>
      </c>
      <c r="AK610" s="43" t="s">
        <v>45</v>
      </c>
      <c r="AL610" s="43"/>
      <c r="AM610" s="44">
        <f t="shared" si="64"/>
        <v>-1.417907570521461</v>
      </c>
      <c r="AN610" s="44">
        <f t="shared" si="65"/>
        <v>-0.77379653524513359</v>
      </c>
      <c r="AO610" s="45">
        <f t="shared" si="66"/>
        <v>4</v>
      </c>
      <c r="AP610" s="46">
        <f t="shared" si="67"/>
        <v>0</v>
      </c>
      <c r="AQ610" s="44">
        <f>($AM$3*AM610+$AN$3*AN610+$AO$3*AO610+$AP$3*AP610)+$I$3*VLOOKUP(I610,COND!$A$2:$E$7,4,FALSE)+$J$3*VLOOKUP(J610,COND!$A$2:$C$7,2,FALSE)+$K$3*VLOOKUP(K610,COND!$A$2:$C$7,3,FALSE)+IF(AND($B$2&gt;0,$E610&lt;20),$B$2*25,0)</f>
        <v>35.93931748667292</v>
      </c>
      <c r="AR610" s="47">
        <f t="shared" si="68"/>
        <v>-1.8163597264777722</v>
      </c>
      <c r="AS610" s="45" t="str">
        <f t="shared" si="69"/>
        <v>1B</v>
      </c>
      <c r="AT610" s="45">
        <f>RANK(Batters[[#This Row],[zScore]],Batters[[#All],[zScore]])</f>
        <v>606</v>
      </c>
      <c r="AU610" s="45"/>
      <c r="AV610" s="45"/>
      <c r="AW610" s="45" t="str">
        <f t="shared" si="70"/>
        <v>Unlikely</v>
      </c>
      <c r="AX610" s="45"/>
      <c r="AY610" s="64" t="str">
        <f>INDEX(Table5[[#All],[Ovr]],MATCH(Batters[[#This Row],[PID]],Table5[[#All],[PID]],0))</f>
        <v/>
      </c>
      <c r="AZ610" s="64" t="str">
        <f>INDEX(Table5[[#All],[Rnd]],MATCH(Batters[[#This Row],[PID]],Table5[[#All],[PID]],0))</f>
        <v/>
      </c>
      <c r="BA610" s="64" t="str">
        <f>INDEX(Table5[[#All],[Pick]],MATCH(Batters[[#This Row],[PID]],Table5[[#All],[PID]],0))</f>
        <v/>
      </c>
      <c r="BB610" s="64" t="str">
        <f>INDEX(Table5[[#All],[Team]],MATCH(Batters[[#This Row],[PID]],Table5[[#All],[PID]],0))</f>
        <v/>
      </c>
    </row>
    <row r="611" spans="1:54" ht="30" x14ac:dyDescent="0.25">
      <c r="A611" s="40">
        <v>20198</v>
      </c>
      <c r="B611" s="40" t="s">
        <v>71</v>
      </c>
      <c r="C611" s="40" t="s">
        <v>203</v>
      </c>
      <c r="D611" s="40" t="s">
        <v>1651</v>
      </c>
      <c r="E611" s="40">
        <v>22</v>
      </c>
      <c r="F611" s="40" t="s">
        <v>62</v>
      </c>
      <c r="G611" s="40" t="s">
        <v>42</v>
      </c>
      <c r="H611" s="41" t="s">
        <v>639</v>
      </c>
      <c r="I611" s="65" t="s">
        <v>43</v>
      </c>
      <c r="J611" s="66" t="s">
        <v>44</v>
      </c>
      <c r="K611" s="67" t="s">
        <v>43</v>
      </c>
      <c r="L611" s="40">
        <v>2</v>
      </c>
      <c r="M611" s="40">
        <v>2</v>
      </c>
      <c r="N611" s="40">
        <v>2</v>
      </c>
      <c r="O611" s="40">
        <v>3</v>
      </c>
      <c r="P611" s="41">
        <v>3</v>
      </c>
      <c r="Q611" s="40">
        <v>3</v>
      </c>
      <c r="R611" s="40">
        <v>3</v>
      </c>
      <c r="S611" s="40">
        <v>2</v>
      </c>
      <c r="T611" s="40">
        <v>5</v>
      </c>
      <c r="U611" s="41">
        <v>4</v>
      </c>
      <c r="V611" s="40">
        <v>4</v>
      </c>
      <c r="W611" s="40">
        <v>3</v>
      </c>
      <c r="X611" s="40">
        <v>1</v>
      </c>
      <c r="Y611" s="41">
        <v>1</v>
      </c>
      <c r="Z611" s="40" t="s">
        <v>45</v>
      </c>
      <c r="AA611" s="40" t="s">
        <v>45</v>
      </c>
      <c r="AB611" s="40">
        <v>3</v>
      </c>
      <c r="AC611" s="40" t="s">
        <v>45</v>
      </c>
      <c r="AD611" s="40">
        <v>1</v>
      </c>
      <c r="AE611" s="40">
        <v>3</v>
      </c>
      <c r="AF611" s="40" t="s">
        <v>45</v>
      </c>
      <c r="AG611" s="41">
        <v>2</v>
      </c>
      <c r="AH611" s="40">
        <v>9</v>
      </c>
      <c r="AI611" s="40">
        <v>7</v>
      </c>
      <c r="AJ611" s="41">
        <v>9</v>
      </c>
      <c r="AK611" s="43" t="s">
        <v>45</v>
      </c>
      <c r="AL611" s="43"/>
      <c r="AM611" s="44">
        <f t="shared" si="64"/>
        <v>-1.3682143603289634</v>
      </c>
      <c r="AN611" s="44">
        <f t="shared" si="65"/>
        <v>-0.77516320467133948</v>
      </c>
      <c r="AO611" s="45">
        <f t="shared" si="66"/>
        <v>4</v>
      </c>
      <c r="AP611" s="46">
        <f t="shared" si="67"/>
        <v>0</v>
      </c>
      <c r="AQ611" s="44">
        <f>($AM$3*AM611+$AN$3*AN611+$AO$3*AO611+$AP$3*AP611)+$I$3*VLOOKUP(I611,COND!$A$2:$E$7,4,FALSE)+$J$3*VLOOKUP(J611,COND!$A$2:$C$7,2,FALSE)+$K$3*VLOOKUP(K611,COND!$A$2:$C$7,3,FALSE)+IF(AND($B$2&gt;0,$E611&lt;20),$B$2*25,0)</f>
        <v>35.927886774577694</v>
      </c>
      <c r="AR611" s="47">
        <f t="shared" si="68"/>
        <v>-1.8188939926137269</v>
      </c>
      <c r="AS611" s="45" t="str">
        <f t="shared" si="69"/>
        <v>2B</v>
      </c>
      <c r="AT611" s="45">
        <f>RANK(Batters[[#This Row],[zScore]],Batters[[#All],[zScore]])</f>
        <v>607</v>
      </c>
      <c r="AU611" s="45"/>
      <c r="AV611" s="45"/>
      <c r="AW611" s="45" t="str">
        <f t="shared" si="70"/>
        <v>Unlikely</v>
      </c>
      <c r="AX611" s="45"/>
      <c r="AY611" s="64" t="str">
        <f>INDEX(Table5[[#All],[Ovr]],MATCH(Batters[[#This Row],[PID]],Table5[[#All],[PID]],0))</f>
        <v/>
      </c>
      <c r="AZ611" s="64" t="str">
        <f>INDEX(Table5[[#All],[Rnd]],MATCH(Batters[[#This Row],[PID]],Table5[[#All],[PID]],0))</f>
        <v/>
      </c>
      <c r="BA611" s="64" t="str">
        <f>INDEX(Table5[[#All],[Pick]],MATCH(Batters[[#This Row],[PID]],Table5[[#All],[PID]],0))</f>
        <v/>
      </c>
      <c r="BB611" s="64" t="str">
        <f>INDEX(Table5[[#All],[Team]],MATCH(Batters[[#This Row],[PID]],Table5[[#All],[PID]],0))</f>
        <v/>
      </c>
    </row>
    <row r="612" spans="1:54" ht="30" x14ac:dyDescent="0.25">
      <c r="A612" s="40">
        <v>20366</v>
      </c>
      <c r="B612" s="40" t="s">
        <v>71</v>
      </c>
      <c r="C612" s="40" t="s">
        <v>132</v>
      </c>
      <c r="D612" s="40" t="s">
        <v>369</v>
      </c>
      <c r="E612" s="40">
        <v>19</v>
      </c>
      <c r="F612" s="40" t="s">
        <v>42</v>
      </c>
      <c r="G612" s="40" t="s">
        <v>42</v>
      </c>
      <c r="H612" s="41" t="s">
        <v>638</v>
      </c>
      <c r="I612" s="65" t="s">
        <v>43</v>
      </c>
      <c r="J612" s="66" t="s">
        <v>44</v>
      </c>
      <c r="K612" s="67" t="s">
        <v>43</v>
      </c>
      <c r="L612" s="40">
        <v>1</v>
      </c>
      <c r="M612" s="40">
        <v>2</v>
      </c>
      <c r="N612" s="40">
        <v>2</v>
      </c>
      <c r="O612" s="40">
        <v>2</v>
      </c>
      <c r="P612" s="41">
        <v>1</v>
      </c>
      <c r="Q612" s="40">
        <v>2</v>
      </c>
      <c r="R612" s="40">
        <v>3</v>
      </c>
      <c r="S612" s="40">
        <v>2</v>
      </c>
      <c r="T612" s="40">
        <v>5</v>
      </c>
      <c r="U612" s="41">
        <v>2</v>
      </c>
      <c r="V612" s="40">
        <v>2</v>
      </c>
      <c r="W612" s="40">
        <v>1</v>
      </c>
      <c r="X612" s="40">
        <v>1</v>
      </c>
      <c r="Y612" s="41">
        <v>1</v>
      </c>
      <c r="Z612" s="40" t="s">
        <v>45</v>
      </c>
      <c r="AA612" s="40" t="s">
        <v>45</v>
      </c>
      <c r="AB612" s="40">
        <v>3</v>
      </c>
      <c r="AC612" s="40" t="s">
        <v>45</v>
      </c>
      <c r="AD612" s="40" t="s">
        <v>45</v>
      </c>
      <c r="AE612" s="40" t="s">
        <v>45</v>
      </c>
      <c r="AF612" s="40" t="s">
        <v>45</v>
      </c>
      <c r="AG612" s="41" t="s">
        <v>45</v>
      </c>
      <c r="AH612" s="40">
        <v>7</v>
      </c>
      <c r="AI612" s="40">
        <v>8</v>
      </c>
      <c r="AJ612" s="41">
        <v>8</v>
      </c>
      <c r="AK612" s="43" t="s">
        <v>644</v>
      </c>
      <c r="AL612" s="43" t="s">
        <v>635</v>
      </c>
      <c r="AM612" s="44">
        <f t="shared" si="64"/>
        <v>-1.8605124261753858</v>
      </c>
      <c r="AN612" s="44">
        <f t="shared" si="65"/>
        <v>-1.1777517205081813</v>
      </c>
      <c r="AO612" s="45">
        <f t="shared" si="66"/>
        <v>3</v>
      </c>
      <c r="AP612" s="46">
        <f t="shared" si="67"/>
        <v>0</v>
      </c>
      <c r="AQ612" s="44">
        <f>($AM$3*AM612+$AN$3*AN612+$AO$3*AO612+$AP$3*AP612)+$I$3*VLOOKUP(I612,COND!$A$2:$E$7,4,FALSE)+$J$3*VLOOKUP(J612,COND!$A$2:$C$7,2,FALSE)+$K$3*VLOOKUP(K612,COND!$A$2:$C$7,3,FALSE)+IF(AND($B$2&gt;0,$E612&lt;20),$B$2*25,0)</f>
        <v>35.880928111284284</v>
      </c>
      <c r="AR612" s="47">
        <f t="shared" si="68"/>
        <v>-1.8293050456769817</v>
      </c>
      <c r="AS612" s="45" t="str">
        <f t="shared" si="69"/>
        <v>2B</v>
      </c>
      <c r="AT612" s="45">
        <f>RANK(Batters[[#This Row],[zScore]],Batters[[#All],[zScore]])</f>
        <v>608</v>
      </c>
      <c r="AU612" s="45"/>
      <c r="AV612" s="45"/>
      <c r="AW612" s="45" t="str">
        <f t="shared" si="70"/>
        <v>Unlikely</v>
      </c>
      <c r="AX612" s="45"/>
      <c r="AY612" s="45" t="str">
        <f>INDEX(Table5[[#All],[Ovr]],MATCH(Batters[[#This Row],[PID]],Table5[[#All],[PID]],0))</f>
        <v/>
      </c>
      <c r="AZ612" s="45" t="str">
        <f>INDEX(Table5[[#All],[Rnd]],MATCH(Batters[[#This Row],[PID]],Table5[[#All],[PID]],0))</f>
        <v/>
      </c>
      <c r="BA612" s="45" t="str">
        <f>INDEX(Table5[[#All],[Pick]],MATCH(Batters[[#This Row],[PID]],Table5[[#All],[PID]],0))</f>
        <v/>
      </c>
      <c r="BB612" s="45" t="str">
        <f>INDEX(Table5[[#All],[Team]],MATCH(Batters[[#This Row],[PID]],Table5[[#All],[PID]],0))</f>
        <v/>
      </c>
    </row>
    <row r="613" spans="1:54" ht="30" x14ac:dyDescent="0.25">
      <c r="A613" s="40">
        <v>21088</v>
      </c>
      <c r="B613" s="40" t="s">
        <v>86</v>
      </c>
      <c r="C613" s="40" t="s">
        <v>154</v>
      </c>
      <c r="D613" s="40" t="s">
        <v>1756</v>
      </c>
      <c r="E613" s="40">
        <v>18</v>
      </c>
      <c r="F613" s="40" t="s">
        <v>42</v>
      </c>
      <c r="G613" s="40" t="s">
        <v>42</v>
      </c>
      <c r="H613" s="41" t="s">
        <v>647</v>
      </c>
      <c r="I613" s="65" t="s">
        <v>43</v>
      </c>
      <c r="J613" s="66" t="s">
        <v>44</v>
      </c>
      <c r="K613" s="67" t="s">
        <v>43</v>
      </c>
      <c r="L613" s="40">
        <v>1</v>
      </c>
      <c r="M613" s="40">
        <v>1</v>
      </c>
      <c r="N613" s="40">
        <v>2</v>
      </c>
      <c r="O613" s="40">
        <v>2</v>
      </c>
      <c r="P613" s="41">
        <v>1</v>
      </c>
      <c r="Q613" s="40">
        <v>2</v>
      </c>
      <c r="R613" s="40">
        <v>3</v>
      </c>
      <c r="S613" s="40">
        <v>2</v>
      </c>
      <c r="T613" s="40">
        <v>5</v>
      </c>
      <c r="U613" s="41">
        <v>3</v>
      </c>
      <c r="V613" s="40">
        <v>2</v>
      </c>
      <c r="W613" s="40">
        <v>3</v>
      </c>
      <c r="X613" s="40">
        <v>4</v>
      </c>
      <c r="Y613" s="41">
        <v>6</v>
      </c>
      <c r="Z613" s="40" t="s">
        <v>45</v>
      </c>
      <c r="AA613" s="40" t="s">
        <v>45</v>
      </c>
      <c r="AB613" s="40" t="s">
        <v>45</v>
      </c>
      <c r="AC613" s="40" t="s">
        <v>45</v>
      </c>
      <c r="AD613" s="40" t="s">
        <v>45</v>
      </c>
      <c r="AE613" s="40" t="s">
        <v>45</v>
      </c>
      <c r="AF613" s="40" t="s">
        <v>45</v>
      </c>
      <c r="AG613" s="41" t="s">
        <v>45</v>
      </c>
      <c r="AH613" s="40">
        <v>1</v>
      </c>
      <c r="AI613" s="40">
        <v>1</v>
      </c>
      <c r="AJ613" s="41">
        <v>1</v>
      </c>
      <c r="AK613" s="43" t="s">
        <v>654</v>
      </c>
      <c r="AL613" s="43"/>
      <c r="AM613" s="44">
        <f t="shared" si="64"/>
        <v>-1.9115723057940897</v>
      </c>
      <c r="AN613" s="44">
        <f t="shared" si="65"/>
        <v>-1.1377353806910979</v>
      </c>
      <c r="AO613" s="45">
        <f t="shared" si="66"/>
        <v>0</v>
      </c>
      <c r="AP613" s="46">
        <f t="shared" si="67"/>
        <v>0</v>
      </c>
      <c r="AQ613" s="44">
        <f>($AM$3*AM613+$AN$3*AN613+$AO$3*AO613+$AP$3*AP613)+$I$3*VLOOKUP(I613,COND!$A$2:$E$7,4,FALSE)+$J$3*VLOOKUP(J613,COND!$A$2:$C$7,2,FALSE)+$K$3*VLOOKUP(K613,COND!$A$2:$C$7,3,FALSE)+IF(AND($B$2&gt;0,$E613&lt;20),$B$2*25,0)</f>
        <v>35.856018201127412</v>
      </c>
      <c r="AR613" s="47">
        <f t="shared" si="68"/>
        <v>-1.8348277411341263</v>
      </c>
      <c r="AS613" s="45" t="str">
        <f t="shared" si="69"/>
        <v>DH</v>
      </c>
      <c r="AT613" s="45">
        <f>RANK(Batters[[#This Row],[zScore]],Batters[[#All],[zScore]])</f>
        <v>609</v>
      </c>
      <c r="AU613" s="45"/>
      <c r="AV613" s="45"/>
      <c r="AW613" s="45" t="str">
        <f t="shared" si="70"/>
        <v>Unlikely</v>
      </c>
      <c r="AX613" s="45"/>
      <c r="AY613" s="64" t="str">
        <f>INDEX(Table5[[#All],[Ovr]],MATCH(Batters[[#This Row],[PID]],Table5[[#All],[PID]],0))</f>
        <v/>
      </c>
      <c r="AZ613" s="64" t="str">
        <f>INDEX(Table5[[#All],[Rnd]],MATCH(Batters[[#This Row],[PID]],Table5[[#All],[PID]],0))</f>
        <v/>
      </c>
      <c r="BA613" s="64" t="str">
        <f>INDEX(Table5[[#All],[Pick]],MATCH(Batters[[#This Row],[PID]],Table5[[#All],[PID]],0))</f>
        <v/>
      </c>
      <c r="BB613" s="64" t="str">
        <f>INDEX(Table5[[#All],[Team]],MATCH(Batters[[#This Row],[PID]],Table5[[#All],[PID]],0))</f>
        <v/>
      </c>
    </row>
    <row r="614" spans="1:54" ht="30" x14ac:dyDescent="0.25">
      <c r="A614" s="40">
        <v>20437</v>
      </c>
      <c r="B614" s="40" t="s">
        <v>87</v>
      </c>
      <c r="C614" s="40" t="s">
        <v>1760</v>
      </c>
      <c r="D614" s="40" t="s">
        <v>1761</v>
      </c>
      <c r="E614" s="40">
        <v>18</v>
      </c>
      <c r="F614" s="40" t="s">
        <v>62</v>
      </c>
      <c r="G614" s="40" t="s">
        <v>42</v>
      </c>
      <c r="H614" s="41" t="s">
        <v>647</v>
      </c>
      <c r="I614" s="65" t="s">
        <v>43</v>
      </c>
      <c r="J614" s="66" t="s">
        <v>43</v>
      </c>
      <c r="K614" s="67" t="s">
        <v>47</v>
      </c>
      <c r="L614" s="40">
        <v>1</v>
      </c>
      <c r="M614" s="40">
        <v>1</v>
      </c>
      <c r="N614" s="40">
        <v>2</v>
      </c>
      <c r="O614" s="40">
        <v>2</v>
      </c>
      <c r="P614" s="41">
        <v>1</v>
      </c>
      <c r="Q614" s="40">
        <v>2</v>
      </c>
      <c r="R614" s="40">
        <v>2</v>
      </c>
      <c r="S614" s="40">
        <v>2</v>
      </c>
      <c r="T614" s="40">
        <v>5</v>
      </c>
      <c r="U614" s="41">
        <v>3</v>
      </c>
      <c r="V614" s="40">
        <v>2</v>
      </c>
      <c r="W614" s="40">
        <v>2</v>
      </c>
      <c r="X614" s="40">
        <v>3</v>
      </c>
      <c r="Y614" s="41">
        <v>5</v>
      </c>
      <c r="Z614" s="40" t="s">
        <v>45</v>
      </c>
      <c r="AA614" s="40">
        <v>1</v>
      </c>
      <c r="AB614" s="40" t="s">
        <v>45</v>
      </c>
      <c r="AC614" s="40" t="s">
        <v>45</v>
      </c>
      <c r="AD614" s="40" t="s">
        <v>45</v>
      </c>
      <c r="AE614" s="40" t="s">
        <v>45</v>
      </c>
      <c r="AF614" s="40" t="s">
        <v>45</v>
      </c>
      <c r="AG614" s="41" t="s">
        <v>45</v>
      </c>
      <c r="AH614" s="40">
        <v>2</v>
      </c>
      <c r="AI614" s="40">
        <v>1</v>
      </c>
      <c r="AJ614" s="41">
        <v>2</v>
      </c>
      <c r="AK614" s="43" t="s">
        <v>644</v>
      </c>
      <c r="AL614" s="43"/>
      <c r="AM614" s="44">
        <f t="shared" si="64"/>
        <v>-1.9115723057940897</v>
      </c>
      <c r="AN614" s="44">
        <f t="shared" si="65"/>
        <v>-1.1887952603098013</v>
      </c>
      <c r="AO614" s="45">
        <f t="shared" si="66"/>
        <v>0</v>
      </c>
      <c r="AP614" s="46">
        <f t="shared" si="67"/>
        <v>0</v>
      </c>
      <c r="AQ614" s="44">
        <f>($AM$3*AM614+$AN$3*AN614+$AO$3*AO614+$AP$3*AP614)+$I$3*VLOOKUP(I614,COND!$A$2:$E$7,4,FALSE)+$J$3*VLOOKUP(J614,COND!$A$2:$C$7,2,FALSE)+$K$3*VLOOKUP(K614,COND!$A$2:$C$7,3,FALSE)+IF(AND($B$2&gt;0,$E614&lt;20),$B$2*25,0)</f>
        <v>35.843299645702977</v>
      </c>
      <c r="AR614" s="47">
        <f t="shared" si="68"/>
        <v>-1.8376475308411795</v>
      </c>
      <c r="AS614" s="45" t="str">
        <f t="shared" si="69"/>
        <v>1B</v>
      </c>
      <c r="AT614" s="45">
        <f>RANK(Batters[[#This Row],[zScore]],Batters[[#All],[zScore]])</f>
        <v>610</v>
      </c>
      <c r="AU614" s="45"/>
      <c r="AV614" s="45"/>
      <c r="AW614" s="45" t="str">
        <f t="shared" si="70"/>
        <v>Unlikely</v>
      </c>
      <c r="AX614" s="45"/>
      <c r="AY614" s="64" t="str">
        <f>INDEX(Table5[[#All],[Ovr]],MATCH(Batters[[#This Row],[PID]],Table5[[#All],[PID]],0))</f>
        <v/>
      </c>
      <c r="AZ614" s="64" t="str">
        <f>INDEX(Table5[[#All],[Rnd]],MATCH(Batters[[#This Row],[PID]],Table5[[#All],[PID]],0))</f>
        <v/>
      </c>
      <c r="BA614" s="64" t="str">
        <f>INDEX(Table5[[#All],[Pick]],MATCH(Batters[[#This Row],[PID]],Table5[[#All],[PID]],0))</f>
        <v/>
      </c>
      <c r="BB614" s="64" t="str">
        <f>INDEX(Table5[[#All],[Team]],MATCH(Batters[[#This Row],[PID]],Table5[[#All],[PID]],0))</f>
        <v/>
      </c>
    </row>
    <row r="615" spans="1:54" ht="30" x14ac:dyDescent="0.25">
      <c r="A615" s="40">
        <v>15326</v>
      </c>
      <c r="B615" s="40" t="s">
        <v>71</v>
      </c>
      <c r="C615" s="40" t="s">
        <v>205</v>
      </c>
      <c r="D615" s="40" t="s">
        <v>446</v>
      </c>
      <c r="E615" s="40">
        <v>21</v>
      </c>
      <c r="F615" s="40" t="s">
        <v>42</v>
      </c>
      <c r="G615" s="40" t="s">
        <v>42</v>
      </c>
      <c r="H615" s="41" t="s">
        <v>638</v>
      </c>
      <c r="I615" s="65" t="s">
        <v>43</v>
      </c>
      <c r="J615" s="66" t="s">
        <v>44</v>
      </c>
      <c r="K615" s="67" t="s">
        <v>43</v>
      </c>
      <c r="L615" s="40">
        <v>1</v>
      </c>
      <c r="M615" s="40">
        <v>2</v>
      </c>
      <c r="N615" s="40">
        <v>2</v>
      </c>
      <c r="O615" s="40">
        <v>3</v>
      </c>
      <c r="P615" s="41">
        <v>1</v>
      </c>
      <c r="Q615" s="40">
        <v>3</v>
      </c>
      <c r="R615" s="40">
        <v>4</v>
      </c>
      <c r="S615" s="40">
        <v>2</v>
      </c>
      <c r="T615" s="40">
        <v>5</v>
      </c>
      <c r="U615" s="41">
        <v>4</v>
      </c>
      <c r="V615" s="40">
        <v>4</v>
      </c>
      <c r="W615" s="40">
        <v>2</v>
      </c>
      <c r="X615" s="40">
        <v>1</v>
      </c>
      <c r="Y615" s="41">
        <v>1</v>
      </c>
      <c r="Z615" s="40" t="s">
        <v>45</v>
      </c>
      <c r="AA615" s="40" t="s">
        <v>45</v>
      </c>
      <c r="AB615" s="40">
        <v>4</v>
      </c>
      <c r="AC615" s="40" t="s">
        <v>45</v>
      </c>
      <c r="AD615" s="40">
        <v>1</v>
      </c>
      <c r="AE615" s="40" t="s">
        <v>45</v>
      </c>
      <c r="AF615" s="40" t="s">
        <v>45</v>
      </c>
      <c r="AG615" s="41" t="s">
        <v>45</v>
      </c>
      <c r="AH615" s="40">
        <v>6</v>
      </c>
      <c r="AI615" s="40">
        <v>2</v>
      </c>
      <c r="AJ615" s="41">
        <v>1</v>
      </c>
      <c r="AK615" s="43" t="s">
        <v>643</v>
      </c>
      <c r="AL615" s="43" t="s">
        <v>47</v>
      </c>
      <c r="AM615" s="44">
        <f t="shared" si="64"/>
        <v>-1.7708028761658048</v>
      </c>
      <c r="AN615" s="44">
        <f t="shared" si="65"/>
        <v>-0.72410332505263597</v>
      </c>
      <c r="AO615" s="45">
        <f t="shared" si="66"/>
        <v>0</v>
      </c>
      <c r="AP615" s="46">
        <f t="shared" si="67"/>
        <v>0</v>
      </c>
      <c r="AQ615" s="44">
        <f>($AM$3*AM615+$AN$3*AN615+$AO$3*AO615+$AP$3*AP615)+$I$3*VLOOKUP(I615,COND!$A$2:$E$7,4,FALSE)+$J$3*VLOOKUP(J615,COND!$A$2:$C$7,2,FALSE)+$K$3*VLOOKUP(K615,COND!$A$2:$C$7,3,FALSE)+IF(AND($B$2&gt;0,$E615&lt;20),$B$2*25,0)</f>
        <v>35.833679811751786</v>
      </c>
      <c r="AR615" s="47">
        <f t="shared" si="68"/>
        <v>-1.8397803130522015</v>
      </c>
      <c r="AS615" s="45" t="str">
        <f t="shared" si="69"/>
        <v>2B</v>
      </c>
      <c r="AT615" s="45">
        <f>RANK(Batters[[#This Row],[zScore]],Batters[[#All],[zScore]])</f>
        <v>611</v>
      </c>
      <c r="AU615" s="45"/>
      <c r="AV615" s="45"/>
      <c r="AW615" s="45" t="str">
        <f t="shared" si="70"/>
        <v>Unlikely</v>
      </c>
      <c r="AX615" s="45"/>
      <c r="AY615" s="45" t="str">
        <f>INDEX(Table5[[#All],[Ovr]],MATCH(Batters[[#This Row],[PID]],Table5[[#All],[PID]],0))</f>
        <v/>
      </c>
      <c r="AZ615" s="45" t="str">
        <f>INDEX(Table5[[#All],[Rnd]],MATCH(Batters[[#This Row],[PID]],Table5[[#All],[PID]],0))</f>
        <v/>
      </c>
      <c r="BA615" s="45" t="str">
        <f>INDEX(Table5[[#All],[Pick]],MATCH(Batters[[#This Row],[PID]],Table5[[#All],[PID]],0))</f>
        <v/>
      </c>
      <c r="BB615" s="45" t="str">
        <f>INDEX(Table5[[#All],[Team]],MATCH(Batters[[#This Row],[PID]],Table5[[#All],[PID]],0))</f>
        <v/>
      </c>
    </row>
    <row r="616" spans="1:54" ht="30" x14ac:dyDescent="0.25">
      <c r="A616" s="40">
        <v>16917</v>
      </c>
      <c r="B616" s="40" t="s">
        <v>69</v>
      </c>
      <c r="C616" s="40" t="s">
        <v>190</v>
      </c>
      <c r="D616" s="40" t="s">
        <v>1673</v>
      </c>
      <c r="E616" s="40">
        <v>21</v>
      </c>
      <c r="F616" s="40" t="s">
        <v>42</v>
      </c>
      <c r="G616" s="40" t="s">
        <v>42</v>
      </c>
      <c r="H616" s="41" t="s">
        <v>639</v>
      </c>
      <c r="I616" s="65" t="s">
        <v>44</v>
      </c>
      <c r="J616" s="66" t="s">
        <v>43</v>
      </c>
      <c r="K616" s="67" t="s">
        <v>43</v>
      </c>
      <c r="L616" s="40">
        <v>1</v>
      </c>
      <c r="M616" s="40">
        <v>1</v>
      </c>
      <c r="N616" s="40">
        <v>2</v>
      </c>
      <c r="O616" s="40">
        <v>1</v>
      </c>
      <c r="P616" s="41">
        <v>1</v>
      </c>
      <c r="Q616" s="40">
        <v>3</v>
      </c>
      <c r="R616" s="40">
        <v>3</v>
      </c>
      <c r="S616" s="40">
        <v>4</v>
      </c>
      <c r="T616" s="40">
        <v>4</v>
      </c>
      <c r="U616" s="41">
        <v>3</v>
      </c>
      <c r="V616" s="40">
        <v>7</v>
      </c>
      <c r="W616" s="40">
        <v>5</v>
      </c>
      <c r="X616" s="40">
        <v>1</v>
      </c>
      <c r="Y616" s="41">
        <v>1</v>
      </c>
      <c r="Z616" s="40" t="s">
        <v>45</v>
      </c>
      <c r="AA616" s="40" t="s">
        <v>45</v>
      </c>
      <c r="AB616" s="40" t="s">
        <v>45</v>
      </c>
      <c r="AC616" s="40">
        <v>1</v>
      </c>
      <c r="AD616" s="40" t="s">
        <v>45</v>
      </c>
      <c r="AE616" s="40" t="s">
        <v>45</v>
      </c>
      <c r="AF616" s="40" t="s">
        <v>45</v>
      </c>
      <c r="AG616" s="41" t="s">
        <v>45</v>
      </c>
      <c r="AH616" s="40">
        <v>3</v>
      </c>
      <c r="AI616" s="40">
        <v>3</v>
      </c>
      <c r="AJ616" s="41">
        <v>4</v>
      </c>
      <c r="AK616" s="43" t="s">
        <v>45</v>
      </c>
      <c r="AL616" s="43"/>
      <c r="AM616" s="44">
        <f t="shared" si="64"/>
        <v>-2.0012818558036707</v>
      </c>
      <c r="AN616" s="44">
        <f t="shared" si="65"/>
        <v>-0.73876610645020102</v>
      </c>
      <c r="AO616" s="45">
        <f t="shared" si="66"/>
        <v>0</v>
      </c>
      <c r="AP616" s="46">
        <f t="shared" si="67"/>
        <v>0</v>
      </c>
      <c r="AQ616" s="44">
        <f>($AM$3*AM616+$AN$3*AN616+$AO$3*AO616+$AP$3*AP616)+$I$3*VLOOKUP(I616,COND!$A$2:$E$7,4,FALSE)+$J$3*VLOOKUP(J616,COND!$A$2:$C$7,2,FALSE)+$K$3*VLOOKUP(K616,COND!$A$2:$C$7,3,FALSE)+IF(AND($B$2&gt;0,$E616&lt;20),$B$2*25,0)</f>
        <v>35.784678537017221</v>
      </c>
      <c r="AR616" s="47">
        <f t="shared" si="68"/>
        <v>-1.8506442268787322</v>
      </c>
      <c r="AS616" s="45" t="str">
        <f t="shared" si="69"/>
        <v>3B</v>
      </c>
      <c r="AT616" s="45">
        <f>RANK(Batters[[#This Row],[zScore]],Batters[[#All],[zScore]])</f>
        <v>612</v>
      </c>
      <c r="AU616" s="45"/>
      <c r="AV616" s="45"/>
      <c r="AW616" s="45" t="str">
        <f t="shared" si="70"/>
        <v>Unlikely</v>
      </c>
      <c r="AX616" s="45"/>
      <c r="AY616" s="64" t="str">
        <f>INDEX(Table5[[#All],[Ovr]],MATCH(Batters[[#This Row],[PID]],Table5[[#All],[PID]],0))</f>
        <v/>
      </c>
      <c r="AZ616" s="64" t="str">
        <f>INDEX(Table5[[#All],[Rnd]],MATCH(Batters[[#This Row],[PID]],Table5[[#All],[PID]],0))</f>
        <v/>
      </c>
      <c r="BA616" s="64" t="str">
        <f>INDEX(Table5[[#All],[Pick]],MATCH(Batters[[#This Row],[PID]],Table5[[#All],[PID]],0))</f>
        <v/>
      </c>
      <c r="BB616" s="64" t="str">
        <f>INDEX(Table5[[#All],[Team]],MATCH(Batters[[#This Row],[PID]],Table5[[#All],[PID]],0))</f>
        <v/>
      </c>
    </row>
    <row r="617" spans="1:54" ht="30" x14ac:dyDescent="0.25">
      <c r="A617" s="40">
        <v>18166</v>
      </c>
      <c r="B617" s="40" t="s">
        <v>72</v>
      </c>
      <c r="C617" s="40" t="s">
        <v>1370</v>
      </c>
      <c r="D617" s="40" t="s">
        <v>984</v>
      </c>
      <c r="E617" s="40">
        <v>21</v>
      </c>
      <c r="F617" s="40" t="s">
        <v>42</v>
      </c>
      <c r="G617" s="40" t="s">
        <v>42</v>
      </c>
      <c r="H617" s="41" t="s">
        <v>634</v>
      </c>
      <c r="I617" s="65" t="s">
        <v>43</v>
      </c>
      <c r="J617" s="66" t="s">
        <v>44</v>
      </c>
      <c r="K617" s="67" t="s">
        <v>43</v>
      </c>
      <c r="L617" s="40">
        <v>2</v>
      </c>
      <c r="M617" s="40">
        <v>2</v>
      </c>
      <c r="N617" s="40">
        <v>3</v>
      </c>
      <c r="O617" s="40">
        <v>3</v>
      </c>
      <c r="P617" s="41">
        <v>1</v>
      </c>
      <c r="Q617" s="40">
        <v>3</v>
      </c>
      <c r="R617" s="40">
        <v>3</v>
      </c>
      <c r="S617" s="40">
        <v>3</v>
      </c>
      <c r="T617" s="40">
        <v>5</v>
      </c>
      <c r="U617" s="41">
        <v>3</v>
      </c>
      <c r="V617" s="40">
        <v>6</v>
      </c>
      <c r="W617" s="40">
        <v>6</v>
      </c>
      <c r="X617" s="40">
        <v>1</v>
      </c>
      <c r="Y617" s="41">
        <v>1</v>
      </c>
      <c r="Z617" s="40" t="s">
        <v>45</v>
      </c>
      <c r="AA617" s="40" t="s">
        <v>45</v>
      </c>
      <c r="AB617" s="40">
        <v>1</v>
      </c>
      <c r="AC617" s="40" t="s">
        <v>45</v>
      </c>
      <c r="AD617" s="40">
        <v>4</v>
      </c>
      <c r="AE617" s="40" t="s">
        <v>45</v>
      </c>
      <c r="AF617" s="40" t="s">
        <v>45</v>
      </c>
      <c r="AG617" s="41" t="s">
        <v>45</v>
      </c>
      <c r="AH617" s="40">
        <v>4</v>
      </c>
      <c r="AI617" s="40">
        <v>5</v>
      </c>
      <c r="AJ617" s="41">
        <v>6</v>
      </c>
      <c r="AK617" s="43" t="s">
        <v>45</v>
      </c>
      <c r="AL617" s="43" t="s">
        <v>47</v>
      </c>
      <c r="AM617" s="44">
        <f t="shared" si="64"/>
        <v>-1.3651855459392288</v>
      </c>
      <c r="AN617" s="44">
        <f t="shared" si="65"/>
        <v>-0.73211805046452161</v>
      </c>
      <c r="AO617" s="45">
        <f t="shared" si="66"/>
        <v>0</v>
      </c>
      <c r="AP617" s="46">
        <f t="shared" si="67"/>
        <v>0</v>
      </c>
      <c r="AQ617" s="44">
        <f>($AM$3*AM617+$AN$3*AN617+$AO$3*AO617+$AP$3*AP617)+$I$3*VLOOKUP(I617,COND!$A$2:$E$7,4,FALSE)+$J$3*VLOOKUP(J617,COND!$A$2:$C$7,2,FALSE)+$K$3*VLOOKUP(K617,COND!$A$2:$C$7,3,FALSE)+IF(AND($B$2&gt;0,$E617&lt;20),$B$2*25,0)</f>
        <v>35.778064839831814</v>
      </c>
      <c r="AR617" s="47">
        <f t="shared" si="68"/>
        <v>-1.8521105282491812</v>
      </c>
      <c r="AS617" s="45" t="str">
        <f t="shared" si="69"/>
        <v>SS</v>
      </c>
      <c r="AT617" s="45">
        <f>RANK(Batters[[#This Row],[zScore]],Batters[[#All],[zScore]])</f>
        <v>613</v>
      </c>
      <c r="AU617" s="45"/>
      <c r="AV617" s="45"/>
      <c r="AW617" s="45" t="str">
        <f t="shared" si="70"/>
        <v>Unlikely</v>
      </c>
      <c r="AX617" s="45"/>
      <c r="AY617" s="45" t="str">
        <f>INDEX(Table5[[#All],[Ovr]],MATCH(Batters[[#This Row],[PID]],Table5[[#All],[PID]],0))</f>
        <v/>
      </c>
      <c r="AZ617" s="45" t="str">
        <f>INDEX(Table5[[#All],[Rnd]],MATCH(Batters[[#This Row],[PID]],Table5[[#All],[PID]],0))</f>
        <v/>
      </c>
      <c r="BA617" s="45" t="str">
        <f>INDEX(Table5[[#All],[Pick]],MATCH(Batters[[#This Row],[PID]],Table5[[#All],[PID]],0))</f>
        <v/>
      </c>
      <c r="BB617" s="45" t="str">
        <f>INDEX(Table5[[#All],[Team]],MATCH(Batters[[#This Row],[PID]],Table5[[#All],[PID]],0))</f>
        <v/>
      </c>
    </row>
    <row r="618" spans="1:54" ht="30" x14ac:dyDescent="0.25">
      <c r="A618" s="40">
        <v>11476</v>
      </c>
      <c r="B618" s="40" t="s">
        <v>86</v>
      </c>
      <c r="C618" s="40" t="s">
        <v>183</v>
      </c>
      <c r="D618" s="40" t="s">
        <v>1524</v>
      </c>
      <c r="E618" s="40">
        <v>21</v>
      </c>
      <c r="F618" s="40" t="s">
        <v>42</v>
      </c>
      <c r="G618" s="40" t="s">
        <v>42</v>
      </c>
      <c r="H618" s="41" t="s">
        <v>638</v>
      </c>
      <c r="I618" s="65" t="s">
        <v>47</v>
      </c>
      <c r="J618" s="66" t="s">
        <v>43</v>
      </c>
      <c r="K618" s="67" t="s">
        <v>43</v>
      </c>
      <c r="L618" s="40">
        <v>1</v>
      </c>
      <c r="M618" s="40">
        <v>2</v>
      </c>
      <c r="N618" s="40">
        <v>2</v>
      </c>
      <c r="O618" s="40">
        <v>2</v>
      </c>
      <c r="P618" s="41">
        <v>1</v>
      </c>
      <c r="Q618" s="40">
        <v>3</v>
      </c>
      <c r="R618" s="40">
        <v>3</v>
      </c>
      <c r="S618" s="40">
        <v>3</v>
      </c>
      <c r="T618" s="40">
        <v>5</v>
      </c>
      <c r="U618" s="41">
        <v>2</v>
      </c>
      <c r="V618" s="40">
        <v>2</v>
      </c>
      <c r="W618" s="40">
        <v>3</v>
      </c>
      <c r="X618" s="40">
        <v>4</v>
      </c>
      <c r="Y618" s="41">
        <v>8</v>
      </c>
      <c r="Z618" s="40" t="s">
        <v>45</v>
      </c>
      <c r="AA618" s="40" t="s">
        <v>45</v>
      </c>
      <c r="AB618" s="40" t="s">
        <v>45</v>
      </c>
      <c r="AC618" s="40" t="s">
        <v>45</v>
      </c>
      <c r="AD618" s="40" t="s">
        <v>45</v>
      </c>
      <c r="AE618" s="40" t="s">
        <v>45</v>
      </c>
      <c r="AF618" s="40" t="s">
        <v>45</v>
      </c>
      <c r="AG618" s="41" t="s">
        <v>45</v>
      </c>
      <c r="AH618" s="40">
        <v>1</v>
      </c>
      <c r="AI618" s="40">
        <v>1</v>
      </c>
      <c r="AJ618" s="41">
        <v>1</v>
      </c>
      <c r="AK618" s="43" t="s">
        <v>45</v>
      </c>
      <c r="AL618" s="43" t="s">
        <v>47</v>
      </c>
      <c r="AM618" s="44">
        <f t="shared" si="64"/>
        <v>-1.8605124261753858</v>
      </c>
      <c r="AN618" s="44">
        <f t="shared" si="65"/>
        <v>-0.77213439028160502</v>
      </c>
      <c r="AO618" s="45">
        <f t="shared" si="66"/>
        <v>0</v>
      </c>
      <c r="AP618" s="46">
        <f t="shared" si="67"/>
        <v>0</v>
      </c>
      <c r="AQ618" s="44">
        <f>($AM$3*AM618+$AN$3*AN618+$AO$3*AO618+$AP$3*AP618)+$I$3*VLOOKUP(I618,COND!$A$2:$E$7,4,FALSE)+$J$3*VLOOKUP(J618,COND!$A$2:$C$7,2,FALSE)+$K$3*VLOOKUP(K618,COND!$A$2:$C$7,3,FALSE)+IF(AND($B$2&gt;0,$E618&lt;20),$B$2*25,0)</f>
        <v>35.773336074003197</v>
      </c>
      <c r="AR618" s="47">
        <f t="shared" si="68"/>
        <v>-1.8531589275968761</v>
      </c>
      <c r="AS618" s="45" t="str">
        <f t="shared" si="69"/>
        <v>DH</v>
      </c>
      <c r="AT618" s="45">
        <f>RANK(Batters[[#This Row],[zScore]],Batters[[#All],[zScore]])</f>
        <v>614</v>
      </c>
      <c r="AU618" s="45"/>
      <c r="AV618" s="45"/>
      <c r="AW618" s="45" t="str">
        <f t="shared" si="70"/>
        <v>Unlikely</v>
      </c>
      <c r="AX618" s="45"/>
      <c r="AY618" s="45">
        <f>INDEX(Table5[[#All],[Ovr]],MATCH(Batters[[#This Row],[PID]],Table5[[#All],[PID]],0))</f>
        <v>427</v>
      </c>
      <c r="AZ618" s="45" t="str">
        <f>INDEX(Table5[[#All],[Rnd]],MATCH(Batters[[#This Row],[PID]],Table5[[#All],[PID]],0))</f>
        <v>14</v>
      </c>
      <c r="BA618" s="45">
        <f>INDEX(Table5[[#All],[Pick]],MATCH(Batters[[#This Row],[PID]],Table5[[#All],[PID]],0))</f>
        <v>29</v>
      </c>
      <c r="BB618" s="45" t="str">
        <f>INDEX(Table5[[#All],[Team]],MATCH(Batters[[#This Row],[PID]],Table5[[#All],[PID]],0))</f>
        <v>Havana Leones</v>
      </c>
    </row>
    <row r="619" spans="1:54" ht="30" x14ac:dyDescent="0.25">
      <c r="A619" s="40">
        <v>6011</v>
      </c>
      <c r="B619" s="40" t="s">
        <v>50</v>
      </c>
      <c r="C619" s="40" t="s">
        <v>210</v>
      </c>
      <c r="D619" s="40" t="s">
        <v>441</v>
      </c>
      <c r="E619" s="40">
        <v>21</v>
      </c>
      <c r="F619" s="40" t="s">
        <v>42</v>
      </c>
      <c r="G619" s="40" t="s">
        <v>42</v>
      </c>
      <c r="H619" s="41" t="s">
        <v>639</v>
      </c>
      <c r="I619" s="65" t="s">
        <v>43</v>
      </c>
      <c r="J619" s="66" t="s">
        <v>43</v>
      </c>
      <c r="K619" s="67" t="s">
        <v>43</v>
      </c>
      <c r="L619" s="40">
        <v>1</v>
      </c>
      <c r="M619" s="40">
        <v>1</v>
      </c>
      <c r="N619" s="40">
        <v>2</v>
      </c>
      <c r="O619" s="40">
        <v>1</v>
      </c>
      <c r="P619" s="41">
        <v>1</v>
      </c>
      <c r="Q619" s="40">
        <v>3</v>
      </c>
      <c r="R619" s="40">
        <v>3</v>
      </c>
      <c r="S619" s="40">
        <v>3</v>
      </c>
      <c r="T619" s="40">
        <v>4</v>
      </c>
      <c r="U619" s="41">
        <v>4</v>
      </c>
      <c r="V619" s="40">
        <v>4</v>
      </c>
      <c r="W619" s="40">
        <v>6</v>
      </c>
      <c r="X619" s="40">
        <v>1</v>
      </c>
      <c r="Y619" s="41">
        <v>1</v>
      </c>
      <c r="Z619" s="40" t="s">
        <v>45</v>
      </c>
      <c r="AA619" s="40" t="s">
        <v>45</v>
      </c>
      <c r="AB619" s="40" t="s">
        <v>45</v>
      </c>
      <c r="AC619" s="40" t="s">
        <v>45</v>
      </c>
      <c r="AD619" s="40" t="s">
        <v>45</v>
      </c>
      <c r="AE619" s="40">
        <v>3</v>
      </c>
      <c r="AF619" s="40">
        <v>1</v>
      </c>
      <c r="AG619" s="41" t="s">
        <v>45</v>
      </c>
      <c r="AH619" s="40">
        <v>7</v>
      </c>
      <c r="AI619" s="40">
        <v>8</v>
      </c>
      <c r="AJ619" s="41">
        <v>4</v>
      </c>
      <c r="AK619" s="43" t="s">
        <v>45</v>
      </c>
      <c r="AL619" s="43"/>
      <c r="AM619" s="44">
        <f t="shared" si="64"/>
        <v>-2.0012818558036707</v>
      </c>
      <c r="AN619" s="44">
        <f t="shared" si="65"/>
        <v>-0.781811260657019</v>
      </c>
      <c r="AO619" s="45">
        <f t="shared" si="66"/>
        <v>2</v>
      </c>
      <c r="AP619" s="46">
        <f t="shared" si="67"/>
        <v>0</v>
      </c>
      <c r="AQ619" s="44">
        <f>($AM$3*AM619+$AN$3*AN619+$AO$3*AO619+$AP$3*AP619)+$I$3*VLOOKUP(I619,COND!$A$2:$E$7,4,FALSE)+$J$3*VLOOKUP(J619,COND!$A$2:$C$7,2,FALSE)+$K$3*VLOOKUP(K619,COND!$A$2:$C$7,3,FALSE)+IF(AND($B$2&gt;0,$E619&lt;20),$B$2*25,0)</f>
        <v>35.751470019868741</v>
      </c>
      <c r="AR619" s="47">
        <f t="shared" si="68"/>
        <v>-1.8580067795992941</v>
      </c>
      <c r="AS619" s="45" t="str">
        <f t="shared" si="69"/>
        <v>LF</v>
      </c>
      <c r="AT619" s="45">
        <f>RANK(Batters[[#This Row],[zScore]],Batters[[#All],[zScore]])</f>
        <v>615</v>
      </c>
      <c r="AU619" s="45"/>
      <c r="AV619" s="45"/>
      <c r="AW619" s="45" t="str">
        <f t="shared" si="70"/>
        <v>Unlikely</v>
      </c>
      <c r="AX619" s="45"/>
      <c r="AY619" s="64" t="str">
        <f>INDEX(Table5[[#All],[Ovr]],MATCH(Batters[[#This Row],[PID]],Table5[[#All],[PID]],0))</f>
        <v/>
      </c>
      <c r="AZ619" s="64" t="str">
        <f>INDEX(Table5[[#All],[Rnd]],MATCH(Batters[[#This Row],[PID]],Table5[[#All],[PID]],0))</f>
        <v/>
      </c>
      <c r="BA619" s="64" t="str">
        <f>INDEX(Table5[[#All],[Pick]],MATCH(Batters[[#This Row],[PID]],Table5[[#All],[PID]],0))</f>
        <v/>
      </c>
      <c r="BB619" s="64" t="str">
        <f>INDEX(Table5[[#All],[Team]],MATCH(Batters[[#This Row],[PID]],Table5[[#All],[PID]],0))</f>
        <v/>
      </c>
    </row>
    <row r="620" spans="1:54" ht="30" x14ac:dyDescent="0.25">
      <c r="A620" s="40">
        <v>11960</v>
      </c>
      <c r="B620" s="40" t="s">
        <v>71</v>
      </c>
      <c r="C620" s="40" t="s">
        <v>1575</v>
      </c>
      <c r="D620" s="40" t="s">
        <v>665</v>
      </c>
      <c r="E620" s="40">
        <v>21</v>
      </c>
      <c r="F620" s="40" t="s">
        <v>62</v>
      </c>
      <c r="G620" s="40" t="s">
        <v>42</v>
      </c>
      <c r="H620" s="41" t="s">
        <v>638</v>
      </c>
      <c r="I620" s="65" t="s">
        <v>43</v>
      </c>
      <c r="J620" s="66" t="s">
        <v>43</v>
      </c>
      <c r="K620" s="67" t="s">
        <v>43</v>
      </c>
      <c r="L620" s="40">
        <v>1</v>
      </c>
      <c r="M620" s="40">
        <v>3</v>
      </c>
      <c r="N620" s="40">
        <v>2</v>
      </c>
      <c r="O620" s="40">
        <v>2</v>
      </c>
      <c r="P620" s="41">
        <v>1</v>
      </c>
      <c r="Q620" s="40">
        <v>3</v>
      </c>
      <c r="R620" s="40">
        <v>4</v>
      </c>
      <c r="S620" s="40">
        <v>3</v>
      </c>
      <c r="T620" s="40">
        <v>4</v>
      </c>
      <c r="U620" s="41">
        <v>3</v>
      </c>
      <c r="V620" s="40">
        <v>2</v>
      </c>
      <c r="W620" s="40">
        <v>1</v>
      </c>
      <c r="X620" s="40">
        <v>1</v>
      </c>
      <c r="Y620" s="41">
        <v>1</v>
      </c>
      <c r="Z620" s="40" t="s">
        <v>45</v>
      </c>
      <c r="AA620" s="40" t="s">
        <v>45</v>
      </c>
      <c r="AB620" s="40">
        <v>2</v>
      </c>
      <c r="AC620" s="40" t="s">
        <v>45</v>
      </c>
      <c r="AD620" s="40" t="s">
        <v>45</v>
      </c>
      <c r="AE620" s="40" t="s">
        <v>45</v>
      </c>
      <c r="AF620" s="40" t="s">
        <v>45</v>
      </c>
      <c r="AG620" s="41" t="s">
        <v>45</v>
      </c>
      <c r="AH620" s="40">
        <v>5</v>
      </c>
      <c r="AI620" s="40">
        <v>8</v>
      </c>
      <c r="AJ620" s="41">
        <v>6</v>
      </c>
      <c r="AK620" s="43" t="s">
        <v>643</v>
      </c>
      <c r="AL620" s="43" t="s">
        <v>635</v>
      </c>
      <c r="AM620" s="44">
        <f t="shared" si="64"/>
        <v>-1.8094525465566824</v>
      </c>
      <c r="AN620" s="44">
        <f t="shared" si="65"/>
        <v>-0.77076772085539913</v>
      </c>
      <c r="AO620" s="45">
        <f t="shared" si="66"/>
        <v>1</v>
      </c>
      <c r="AP620" s="46">
        <f t="shared" si="67"/>
        <v>0</v>
      </c>
      <c r="AQ620" s="44">
        <f>($AM$3*AM620+$AN$3*AN620+$AO$3*AO620+$AP$3*AP620)+$I$3*VLOOKUP(I620,COND!$A$2:$E$7,4,FALSE)+$J$3*VLOOKUP(J620,COND!$A$2:$C$7,2,FALSE)+$K$3*VLOOKUP(K620,COND!$A$2:$C$7,3,FALSE)+IF(AND($B$2&gt;0,$E620&lt;20),$B$2*25,0)</f>
        <v>35.736508761746208</v>
      </c>
      <c r="AR620" s="47">
        <f t="shared" si="68"/>
        <v>-1.8613237916537788</v>
      </c>
      <c r="AS620" s="45" t="str">
        <f t="shared" si="69"/>
        <v>2B</v>
      </c>
      <c r="AT620" s="45">
        <f>RANK(Batters[[#This Row],[zScore]],Batters[[#All],[zScore]])</f>
        <v>616</v>
      </c>
      <c r="AU620" s="45"/>
      <c r="AV620" s="45"/>
      <c r="AW620" s="45" t="str">
        <f t="shared" si="70"/>
        <v>Unlikely</v>
      </c>
      <c r="AX620" s="45"/>
      <c r="AY620" s="45" t="str">
        <f>INDEX(Table5[[#All],[Ovr]],MATCH(Batters[[#This Row],[PID]],Table5[[#All],[PID]],0))</f>
        <v/>
      </c>
      <c r="AZ620" s="45" t="str">
        <f>INDEX(Table5[[#All],[Rnd]],MATCH(Batters[[#This Row],[PID]],Table5[[#All],[PID]],0))</f>
        <v/>
      </c>
      <c r="BA620" s="45" t="str">
        <f>INDEX(Table5[[#All],[Pick]],MATCH(Batters[[#This Row],[PID]],Table5[[#All],[PID]],0))</f>
        <v/>
      </c>
      <c r="BB620" s="45" t="str">
        <f>INDEX(Table5[[#All],[Team]],MATCH(Batters[[#This Row],[PID]],Table5[[#All],[PID]],0))</f>
        <v/>
      </c>
    </row>
    <row r="621" spans="1:54" ht="30" x14ac:dyDescent="0.25">
      <c r="A621" s="40">
        <v>12875</v>
      </c>
      <c r="B621" s="40" t="s">
        <v>69</v>
      </c>
      <c r="C621" s="40" t="s">
        <v>136</v>
      </c>
      <c r="D621" s="40" t="s">
        <v>956</v>
      </c>
      <c r="E621" s="40">
        <v>22</v>
      </c>
      <c r="F621" s="40" t="s">
        <v>42</v>
      </c>
      <c r="G621" s="40" t="s">
        <v>42</v>
      </c>
      <c r="H621" s="41" t="s">
        <v>638</v>
      </c>
      <c r="I621" s="65" t="s">
        <v>43</v>
      </c>
      <c r="J621" s="66" t="s">
        <v>44</v>
      </c>
      <c r="K621" s="67" t="s">
        <v>47</v>
      </c>
      <c r="L621" s="40">
        <v>2</v>
      </c>
      <c r="M621" s="40">
        <v>2</v>
      </c>
      <c r="N621" s="40">
        <v>2</v>
      </c>
      <c r="O621" s="40">
        <v>2</v>
      </c>
      <c r="P621" s="41">
        <v>1</v>
      </c>
      <c r="Q621" s="40">
        <v>3</v>
      </c>
      <c r="R621" s="40">
        <v>3</v>
      </c>
      <c r="S621" s="40">
        <v>3</v>
      </c>
      <c r="T621" s="40">
        <v>4</v>
      </c>
      <c r="U621" s="41">
        <v>3</v>
      </c>
      <c r="V621" s="40">
        <v>8</v>
      </c>
      <c r="W621" s="40">
        <v>6</v>
      </c>
      <c r="X621" s="40">
        <v>1</v>
      </c>
      <c r="Y621" s="41">
        <v>1</v>
      </c>
      <c r="Z621" s="40" t="s">
        <v>45</v>
      </c>
      <c r="AA621" s="40" t="s">
        <v>45</v>
      </c>
      <c r="AB621" s="40">
        <v>2</v>
      </c>
      <c r="AC621" s="40">
        <v>5</v>
      </c>
      <c r="AD621" s="40" t="s">
        <v>45</v>
      </c>
      <c r="AE621" s="40" t="s">
        <v>45</v>
      </c>
      <c r="AF621" s="40" t="s">
        <v>45</v>
      </c>
      <c r="AG621" s="41">
        <v>1</v>
      </c>
      <c r="AH621" s="40">
        <v>5</v>
      </c>
      <c r="AI621" s="40">
        <v>6</v>
      </c>
      <c r="AJ621" s="41">
        <v>6</v>
      </c>
      <c r="AK621" s="43" t="s">
        <v>45</v>
      </c>
      <c r="AL621" s="43" t="s">
        <v>635</v>
      </c>
      <c r="AM621" s="44">
        <f t="shared" si="64"/>
        <v>-1.5379565899727115</v>
      </c>
      <c r="AN621" s="44">
        <f t="shared" si="65"/>
        <v>-0.82182760047410253</v>
      </c>
      <c r="AO621" s="45">
        <f t="shared" si="66"/>
        <v>0</v>
      </c>
      <c r="AP621" s="46">
        <f t="shared" si="67"/>
        <v>0.75</v>
      </c>
      <c r="AQ621" s="44">
        <f>($AM$3*AM621+$AN$3*AN621+$AO$3*AO621+$AP$3*AP621)+$I$3*VLOOKUP(I621,COND!$A$2:$E$7,4,FALSE)+$J$3*VLOOKUP(J621,COND!$A$2:$C$7,2,FALSE)+$K$3*VLOOKUP(K621,COND!$A$2:$C$7,3,FALSE)+IF(AND($B$2&gt;0,$E621&lt;20),$B$2*25,0)</f>
        <v>35.734273135313501</v>
      </c>
      <c r="AR621" s="47">
        <f t="shared" si="68"/>
        <v>-1.8618194451453423</v>
      </c>
      <c r="AS621" s="45" t="str">
        <f t="shared" si="69"/>
        <v>3B</v>
      </c>
      <c r="AT621" s="45">
        <f>RANK(Batters[[#This Row],[zScore]],Batters[[#All],[zScore]])</f>
        <v>617</v>
      </c>
      <c r="AU621" s="45"/>
      <c r="AV621" s="45"/>
      <c r="AW621" s="45" t="str">
        <f t="shared" si="70"/>
        <v>Unlikely</v>
      </c>
      <c r="AX621" s="45"/>
      <c r="AY621" s="45" t="str">
        <f>INDEX(Table5[[#All],[Ovr]],MATCH(Batters[[#This Row],[PID]],Table5[[#All],[PID]],0))</f>
        <v/>
      </c>
      <c r="AZ621" s="45" t="str">
        <f>INDEX(Table5[[#All],[Rnd]],MATCH(Batters[[#This Row],[PID]],Table5[[#All],[PID]],0))</f>
        <v/>
      </c>
      <c r="BA621" s="45" t="str">
        <f>INDEX(Table5[[#All],[Pick]],MATCH(Batters[[#This Row],[PID]],Table5[[#All],[PID]],0))</f>
        <v/>
      </c>
      <c r="BB621" s="45" t="str">
        <f>INDEX(Table5[[#All],[Team]],MATCH(Batters[[#This Row],[PID]],Table5[[#All],[PID]],0))</f>
        <v/>
      </c>
    </row>
    <row r="622" spans="1:54" ht="30" x14ac:dyDescent="0.25">
      <c r="A622" s="40">
        <v>20787</v>
      </c>
      <c r="B622" s="40" t="s">
        <v>86</v>
      </c>
      <c r="C622" s="40" t="s">
        <v>128</v>
      </c>
      <c r="D622" s="40" t="s">
        <v>1070</v>
      </c>
      <c r="E622" s="40">
        <v>17</v>
      </c>
      <c r="F622" s="40" t="s">
        <v>42</v>
      </c>
      <c r="G622" s="40" t="s">
        <v>42</v>
      </c>
      <c r="H622" s="41" t="s">
        <v>639</v>
      </c>
      <c r="I622" s="65" t="s">
        <v>43</v>
      </c>
      <c r="J622" s="66" t="s">
        <v>43</v>
      </c>
      <c r="K622" s="67" t="s">
        <v>44</v>
      </c>
      <c r="L622" s="40">
        <v>1</v>
      </c>
      <c r="M622" s="40">
        <v>1</v>
      </c>
      <c r="N622" s="40">
        <v>2</v>
      </c>
      <c r="O622" s="40">
        <v>2</v>
      </c>
      <c r="P622" s="41">
        <v>1</v>
      </c>
      <c r="Q622" s="40">
        <v>2</v>
      </c>
      <c r="R622" s="40">
        <v>2</v>
      </c>
      <c r="S622" s="40">
        <v>2</v>
      </c>
      <c r="T622" s="40">
        <v>5</v>
      </c>
      <c r="U622" s="41">
        <v>4</v>
      </c>
      <c r="V622" s="40">
        <v>3</v>
      </c>
      <c r="W622" s="40">
        <v>3</v>
      </c>
      <c r="X622" s="40">
        <v>4</v>
      </c>
      <c r="Y622" s="41">
        <v>7</v>
      </c>
      <c r="Z622" s="40" t="s">
        <v>45</v>
      </c>
      <c r="AA622" s="40" t="s">
        <v>45</v>
      </c>
      <c r="AB622" s="40" t="s">
        <v>45</v>
      </c>
      <c r="AC622" s="40" t="s">
        <v>45</v>
      </c>
      <c r="AD622" s="40" t="s">
        <v>45</v>
      </c>
      <c r="AE622" s="40" t="s">
        <v>45</v>
      </c>
      <c r="AF622" s="40" t="s">
        <v>45</v>
      </c>
      <c r="AG622" s="41" t="s">
        <v>45</v>
      </c>
      <c r="AH622" s="40">
        <v>1</v>
      </c>
      <c r="AI622" s="40">
        <v>1</v>
      </c>
      <c r="AJ622" s="41">
        <v>3</v>
      </c>
      <c r="AK622" s="43" t="s">
        <v>654</v>
      </c>
      <c r="AL622" s="43"/>
      <c r="AM622" s="44">
        <f t="shared" si="64"/>
        <v>-1.9115723057940897</v>
      </c>
      <c r="AN622" s="44">
        <f t="shared" si="65"/>
        <v>-1.1487789204927177</v>
      </c>
      <c r="AO622" s="45">
        <f t="shared" si="66"/>
        <v>0</v>
      </c>
      <c r="AP622" s="46">
        <f t="shared" si="67"/>
        <v>0</v>
      </c>
      <c r="AQ622" s="44">
        <f>($AM$3*AM622+$AN$3*AN622+$AO$3*AO622+$AP$3*AP622)+$I$3*VLOOKUP(I622,COND!$A$2:$E$7,4,FALSE)+$J$3*VLOOKUP(J622,COND!$A$2:$C$7,2,FALSE)+$K$3*VLOOKUP(K622,COND!$A$2:$C$7,3,FALSE)+IF(AND($B$2&gt;0,$E622&lt;20),$B$2*25,0)</f>
        <v>35.72349572350798</v>
      </c>
      <c r="AR622" s="47">
        <f t="shared" si="68"/>
        <v>-1.8642088701911692</v>
      </c>
      <c r="AS622" s="45" t="str">
        <f t="shared" si="69"/>
        <v>DH</v>
      </c>
      <c r="AT622" s="45">
        <f>RANK(Batters[[#This Row],[zScore]],Batters[[#All],[zScore]])</f>
        <v>618</v>
      </c>
      <c r="AU622" s="45"/>
      <c r="AV622" s="45"/>
      <c r="AW622" s="45" t="str">
        <f t="shared" si="70"/>
        <v>Unlikely</v>
      </c>
      <c r="AX622" s="45"/>
      <c r="AY622" s="64" t="str">
        <f>INDEX(Table5[[#All],[Ovr]],MATCH(Batters[[#This Row],[PID]],Table5[[#All],[PID]],0))</f>
        <v/>
      </c>
      <c r="AZ622" s="64" t="str">
        <f>INDEX(Table5[[#All],[Rnd]],MATCH(Batters[[#This Row],[PID]],Table5[[#All],[PID]],0))</f>
        <v/>
      </c>
      <c r="BA622" s="64" t="str">
        <f>INDEX(Table5[[#All],[Pick]],MATCH(Batters[[#This Row],[PID]],Table5[[#All],[PID]],0))</f>
        <v/>
      </c>
      <c r="BB622" s="64" t="str">
        <f>INDEX(Table5[[#All],[Team]],MATCH(Batters[[#This Row],[PID]],Table5[[#All],[PID]],0))</f>
        <v/>
      </c>
    </row>
    <row r="623" spans="1:54" ht="30" x14ac:dyDescent="0.25">
      <c r="A623" s="40">
        <v>20265</v>
      </c>
      <c r="B623" s="40" t="s">
        <v>72</v>
      </c>
      <c r="C623" s="40" t="s">
        <v>1080</v>
      </c>
      <c r="D623" s="40" t="s">
        <v>787</v>
      </c>
      <c r="E623" s="40">
        <v>22</v>
      </c>
      <c r="F623" s="40" t="s">
        <v>42</v>
      </c>
      <c r="G623" s="40" t="s">
        <v>42</v>
      </c>
      <c r="H623" s="41" t="s">
        <v>638</v>
      </c>
      <c r="I623" s="65" t="s">
        <v>43</v>
      </c>
      <c r="J623" s="66" t="s">
        <v>43</v>
      </c>
      <c r="K623" s="67" t="s">
        <v>43</v>
      </c>
      <c r="L623" s="40">
        <v>1</v>
      </c>
      <c r="M623" s="40">
        <v>5</v>
      </c>
      <c r="N623" s="40">
        <v>3</v>
      </c>
      <c r="O623" s="40">
        <v>3</v>
      </c>
      <c r="P623" s="41">
        <v>1</v>
      </c>
      <c r="Q623" s="40">
        <v>2</v>
      </c>
      <c r="R623" s="40">
        <v>5</v>
      </c>
      <c r="S623" s="40">
        <v>4</v>
      </c>
      <c r="T623" s="40">
        <v>5</v>
      </c>
      <c r="U623" s="41">
        <v>2</v>
      </c>
      <c r="V623" s="40">
        <v>6</v>
      </c>
      <c r="W623" s="40">
        <v>6</v>
      </c>
      <c r="X623" s="40">
        <v>1</v>
      </c>
      <c r="Y623" s="41">
        <v>1</v>
      </c>
      <c r="Z623" s="40" t="s">
        <v>45</v>
      </c>
      <c r="AA623" s="40" t="s">
        <v>45</v>
      </c>
      <c r="AB623" s="40">
        <v>5</v>
      </c>
      <c r="AC623" s="40">
        <v>3</v>
      </c>
      <c r="AD623" s="40">
        <v>5</v>
      </c>
      <c r="AE623" s="40" t="s">
        <v>45</v>
      </c>
      <c r="AF623" s="40" t="s">
        <v>45</v>
      </c>
      <c r="AG623" s="41">
        <v>2</v>
      </c>
      <c r="AH623" s="40">
        <v>9</v>
      </c>
      <c r="AI623" s="40">
        <v>4</v>
      </c>
      <c r="AJ623" s="41">
        <v>6</v>
      </c>
      <c r="AK623" s="43" t="s">
        <v>45</v>
      </c>
      <c r="AL623" s="43" t="s">
        <v>47</v>
      </c>
      <c r="AM623" s="44">
        <f t="shared" si="64"/>
        <v>-1.534561743285793</v>
      </c>
      <c r="AN623" s="44">
        <f t="shared" si="65"/>
        <v>-0.90950897322297131</v>
      </c>
      <c r="AO623" s="45">
        <f t="shared" si="66"/>
        <v>1</v>
      </c>
      <c r="AP623" s="46">
        <f t="shared" si="67"/>
        <v>1.6</v>
      </c>
      <c r="AQ623" s="44">
        <f>($AM$3*AM623+$AN$3*AN623+$AO$3*AO623+$AP$3*AP623)+$I$3*VLOOKUP(I623,COND!$A$2:$E$7,4,FALSE)+$J$3*VLOOKUP(J623,COND!$A$2:$C$7,2,FALSE)+$K$3*VLOOKUP(K623,COND!$A$2:$C$7,3,FALSE)+IF(AND($B$2&gt;0,$E623&lt;20),$B$2*25,0)</f>
        <v>35.699102813662435</v>
      </c>
      <c r="AR623" s="47">
        <f t="shared" si="68"/>
        <v>-1.869616943184695</v>
      </c>
      <c r="AS623" s="45" t="str">
        <f t="shared" si="69"/>
        <v>2B</v>
      </c>
      <c r="AT623" s="45">
        <f>RANK(Batters[[#This Row],[zScore]],Batters[[#All],[zScore]])</f>
        <v>619</v>
      </c>
      <c r="AU623" s="45"/>
      <c r="AV623" s="45"/>
      <c r="AW623" s="45" t="str">
        <f t="shared" si="70"/>
        <v>Unlikely</v>
      </c>
      <c r="AX623" s="45"/>
      <c r="AY623" s="45" t="str">
        <f>INDEX(Table5[[#All],[Ovr]],MATCH(Batters[[#This Row],[PID]],Table5[[#All],[PID]],0))</f>
        <v/>
      </c>
      <c r="AZ623" s="45" t="str">
        <f>INDEX(Table5[[#All],[Rnd]],MATCH(Batters[[#This Row],[PID]],Table5[[#All],[PID]],0))</f>
        <v/>
      </c>
      <c r="BA623" s="45" t="str">
        <f>INDEX(Table5[[#All],[Pick]],MATCH(Batters[[#This Row],[PID]],Table5[[#All],[PID]],0))</f>
        <v/>
      </c>
      <c r="BB623" s="45" t="str">
        <f>INDEX(Table5[[#All],[Team]],MATCH(Batters[[#This Row],[PID]],Table5[[#All],[PID]],0))</f>
        <v/>
      </c>
    </row>
    <row r="624" spans="1:54" ht="30" x14ac:dyDescent="0.25">
      <c r="A624" s="40">
        <v>6983</v>
      </c>
      <c r="B624" s="40" t="s">
        <v>87</v>
      </c>
      <c r="C624" s="40" t="s">
        <v>650</v>
      </c>
      <c r="D624" s="40" t="s">
        <v>652</v>
      </c>
      <c r="E624" s="40">
        <v>22</v>
      </c>
      <c r="F624" s="40" t="s">
        <v>53</v>
      </c>
      <c r="G624" s="40" t="s">
        <v>42</v>
      </c>
      <c r="H624" s="41" t="s">
        <v>639</v>
      </c>
      <c r="I624" s="65" t="s">
        <v>43</v>
      </c>
      <c r="J624" s="66" t="s">
        <v>43</v>
      </c>
      <c r="K624" s="67" t="s">
        <v>43</v>
      </c>
      <c r="L624" s="40">
        <v>3</v>
      </c>
      <c r="M624" s="40">
        <v>3</v>
      </c>
      <c r="N624" s="40">
        <v>3</v>
      </c>
      <c r="O624" s="40">
        <v>1</v>
      </c>
      <c r="P624" s="41">
        <v>2</v>
      </c>
      <c r="Q624" s="40">
        <v>4</v>
      </c>
      <c r="R624" s="40">
        <v>3</v>
      </c>
      <c r="S624" s="40">
        <v>3</v>
      </c>
      <c r="T624" s="40">
        <v>1</v>
      </c>
      <c r="U624" s="41">
        <v>3</v>
      </c>
      <c r="V624" s="40">
        <v>4</v>
      </c>
      <c r="W624" s="40">
        <v>2</v>
      </c>
      <c r="X624" s="40">
        <v>1</v>
      </c>
      <c r="Y624" s="41">
        <v>1</v>
      </c>
      <c r="Z624" s="40" t="s">
        <v>45</v>
      </c>
      <c r="AA624" s="40">
        <v>1</v>
      </c>
      <c r="AB624" s="40" t="s">
        <v>45</v>
      </c>
      <c r="AC624" s="40" t="s">
        <v>45</v>
      </c>
      <c r="AD624" s="40" t="s">
        <v>45</v>
      </c>
      <c r="AE624" s="40" t="s">
        <v>45</v>
      </c>
      <c r="AF624" s="40" t="s">
        <v>45</v>
      </c>
      <c r="AG624" s="41" t="s">
        <v>45</v>
      </c>
      <c r="AH624" s="40">
        <v>1</v>
      </c>
      <c r="AI624" s="40">
        <v>1</v>
      </c>
      <c r="AJ624" s="41">
        <v>2</v>
      </c>
      <c r="AK624" s="43" t="s">
        <v>45</v>
      </c>
      <c r="AL624" s="43"/>
      <c r="AM624" s="44">
        <f t="shared" si="64"/>
        <v>-1.1309725903199292</v>
      </c>
      <c r="AN624" s="44">
        <f t="shared" si="65"/>
        <v>-0.76840041430017103</v>
      </c>
      <c r="AO624" s="45">
        <f t="shared" si="66"/>
        <v>0</v>
      </c>
      <c r="AP624" s="46">
        <f t="shared" si="67"/>
        <v>0</v>
      </c>
      <c r="AQ624" s="44">
        <f>($AM$3*AM624+$AN$3*AN624+$AO$3*AO624+$AP$3*AP624)+$I$3*VLOOKUP(I624,COND!$A$2:$E$7,4,FALSE)+$J$3*VLOOKUP(J624,COND!$A$2:$C$7,2,FALSE)+$K$3*VLOOKUP(K624,COND!$A$2:$C$7,3,FALSE)+IF(AND($B$2&gt;0,$E624&lt;20),$B$2*25,0)</f>
        <v>35.666097769365955</v>
      </c>
      <c r="AR624" s="47">
        <f t="shared" si="68"/>
        <v>-1.8769343845986195</v>
      </c>
      <c r="AS624" s="45" t="str">
        <f t="shared" si="69"/>
        <v>1B</v>
      </c>
      <c r="AT624" s="45">
        <f>RANK(Batters[[#This Row],[zScore]],Batters[[#All],[zScore]])</f>
        <v>620</v>
      </c>
      <c r="AU624" s="45"/>
      <c r="AV624" s="45"/>
      <c r="AW624" s="45" t="str">
        <f t="shared" si="70"/>
        <v>Unlikely</v>
      </c>
      <c r="AX624" s="45"/>
      <c r="AY624" s="64" t="str">
        <f>INDEX(Table5[[#All],[Ovr]],MATCH(Batters[[#This Row],[PID]],Table5[[#All],[PID]],0))</f>
        <v/>
      </c>
      <c r="AZ624" s="64" t="str">
        <f>INDEX(Table5[[#All],[Rnd]],MATCH(Batters[[#This Row],[PID]],Table5[[#All],[PID]],0))</f>
        <v/>
      </c>
      <c r="BA624" s="64" t="str">
        <f>INDEX(Table5[[#All],[Pick]],MATCH(Batters[[#This Row],[PID]],Table5[[#All],[PID]],0))</f>
        <v/>
      </c>
      <c r="BB624" s="64" t="str">
        <f>INDEX(Table5[[#All],[Team]],MATCH(Batters[[#This Row],[PID]],Table5[[#All],[PID]],0))</f>
        <v/>
      </c>
    </row>
    <row r="625" spans="1:54" ht="30" x14ac:dyDescent="0.25">
      <c r="A625" s="40">
        <v>14724</v>
      </c>
      <c r="B625" s="40" t="s">
        <v>72</v>
      </c>
      <c r="C625" s="40" t="s">
        <v>1670</v>
      </c>
      <c r="D625" s="40" t="s">
        <v>1671</v>
      </c>
      <c r="E625" s="40">
        <v>18</v>
      </c>
      <c r="F625" s="40" t="s">
        <v>42</v>
      </c>
      <c r="G625" s="40" t="s">
        <v>42</v>
      </c>
      <c r="H625" s="41" t="s">
        <v>639</v>
      </c>
      <c r="I625" s="65" t="s">
        <v>43</v>
      </c>
      <c r="J625" s="66" t="s">
        <v>44</v>
      </c>
      <c r="K625" s="67" t="s">
        <v>43</v>
      </c>
      <c r="L625" s="40">
        <v>1</v>
      </c>
      <c r="M625" s="40">
        <v>2</v>
      </c>
      <c r="N625" s="40">
        <v>2</v>
      </c>
      <c r="O625" s="40">
        <v>2</v>
      </c>
      <c r="P625" s="41">
        <v>1</v>
      </c>
      <c r="Q625" s="40">
        <v>2</v>
      </c>
      <c r="R625" s="40">
        <v>3</v>
      </c>
      <c r="S625" s="40">
        <v>2</v>
      </c>
      <c r="T625" s="40">
        <v>4</v>
      </c>
      <c r="U625" s="41">
        <v>3</v>
      </c>
      <c r="V625" s="40">
        <v>7</v>
      </c>
      <c r="W625" s="40">
        <v>7</v>
      </c>
      <c r="X625" s="40">
        <v>1</v>
      </c>
      <c r="Y625" s="41">
        <v>1</v>
      </c>
      <c r="Z625" s="40" t="s">
        <v>45</v>
      </c>
      <c r="AA625" s="40" t="s">
        <v>45</v>
      </c>
      <c r="AB625" s="40">
        <v>3</v>
      </c>
      <c r="AC625" s="40" t="s">
        <v>45</v>
      </c>
      <c r="AD625" s="40">
        <v>4</v>
      </c>
      <c r="AE625" s="40" t="s">
        <v>45</v>
      </c>
      <c r="AF625" s="40" t="s">
        <v>45</v>
      </c>
      <c r="AG625" s="41" t="s">
        <v>45</v>
      </c>
      <c r="AH625" s="40">
        <v>9</v>
      </c>
      <c r="AI625" s="40">
        <v>8</v>
      </c>
      <c r="AJ625" s="41">
        <v>9</v>
      </c>
      <c r="AK625" s="43" t="s">
        <v>663</v>
      </c>
      <c r="AL625" s="43"/>
      <c r="AM625" s="44">
        <f t="shared" si="64"/>
        <v>-1.8605124261753858</v>
      </c>
      <c r="AN625" s="44">
        <f t="shared" si="65"/>
        <v>-1.2274449307006789</v>
      </c>
      <c r="AO625" s="45">
        <f t="shared" si="66"/>
        <v>5</v>
      </c>
      <c r="AP625" s="46">
        <f t="shared" si="67"/>
        <v>0</v>
      </c>
      <c r="AQ625" s="44">
        <f>($AM$3*AM625+$AN$3*AN625+$AO$3*AO625+$AP$3*AP625)+$I$3*VLOOKUP(I625,COND!$A$2:$E$7,4,FALSE)+$J$3*VLOOKUP(J625,COND!$A$2:$C$7,2,FALSE)+$K$3*VLOOKUP(K625,COND!$A$2:$C$7,3,FALSE)+IF(AND($B$2&gt;0,$E625&lt;20),$B$2*25,0)</f>
        <v>35.617942922307648</v>
      </c>
      <c r="AR625" s="47">
        <f t="shared" si="68"/>
        <v>-1.8876106396880037</v>
      </c>
      <c r="AS625" s="45" t="str">
        <f t="shared" si="69"/>
        <v>SS</v>
      </c>
      <c r="AT625" s="45">
        <f>RANK(Batters[[#This Row],[zScore]],Batters[[#All],[zScore]])</f>
        <v>621</v>
      </c>
      <c r="AU625" s="45"/>
      <c r="AV625" s="45"/>
      <c r="AW625" s="45" t="str">
        <f t="shared" si="70"/>
        <v>Unlikely</v>
      </c>
      <c r="AX625" s="45"/>
      <c r="AY625" s="64" t="str">
        <f>INDEX(Table5[[#All],[Ovr]],MATCH(Batters[[#This Row],[PID]],Table5[[#All],[PID]],0))</f>
        <v/>
      </c>
      <c r="AZ625" s="64" t="str">
        <f>INDEX(Table5[[#All],[Rnd]],MATCH(Batters[[#This Row],[PID]],Table5[[#All],[PID]],0))</f>
        <v/>
      </c>
      <c r="BA625" s="64" t="str">
        <f>INDEX(Table5[[#All],[Pick]],MATCH(Batters[[#This Row],[PID]],Table5[[#All],[PID]],0))</f>
        <v/>
      </c>
      <c r="BB625" s="64" t="str">
        <f>INDEX(Table5[[#All],[Team]],MATCH(Batters[[#This Row],[PID]],Table5[[#All],[PID]],0))</f>
        <v/>
      </c>
    </row>
    <row r="626" spans="1:54" ht="30" x14ac:dyDescent="0.25">
      <c r="A626" s="40">
        <v>18017</v>
      </c>
      <c r="B626" s="40" t="s">
        <v>74</v>
      </c>
      <c r="C626" s="40" t="s">
        <v>189</v>
      </c>
      <c r="D626" s="40" t="s">
        <v>203</v>
      </c>
      <c r="E626" s="40">
        <v>21</v>
      </c>
      <c r="F626" s="40" t="s">
        <v>42</v>
      </c>
      <c r="G626" s="40" t="s">
        <v>42</v>
      </c>
      <c r="H626" s="41" t="s">
        <v>638</v>
      </c>
      <c r="I626" s="65" t="s">
        <v>43</v>
      </c>
      <c r="J626" s="66" t="s">
        <v>44</v>
      </c>
      <c r="K626" s="67" t="s">
        <v>47</v>
      </c>
      <c r="L626" s="40">
        <v>2</v>
      </c>
      <c r="M626" s="40">
        <v>1</v>
      </c>
      <c r="N626" s="40">
        <v>2</v>
      </c>
      <c r="O626" s="40">
        <v>1</v>
      </c>
      <c r="P626" s="41">
        <v>1</v>
      </c>
      <c r="Q626" s="40">
        <v>3</v>
      </c>
      <c r="R626" s="40">
        <v>2</v>
      </c>
      <c r="S626" s="40">
        <v>3</v>
      </c>
      <c r="T626" s="40">
        <v>4</v>
      </c>
      <c r="U626" s="41">
        <v>3</v>
      </c>
      <c r="V626" s="40">
        <v>4</v>
      </c>
      <c r="W626" s="40">
        <v>5</v>
      </c>
      <c r="X626" s="40">
        <v>1</v>
      </c>
      <c r="Y626" s="41">
        <v>1</v>
      </c>
      <c r="Z626" s="40" t="s">
        <v>45</v>
      </c>
      <c r="AA626" s="40" t="s">
        <v>45</v>
      </c>
      <c r="AB626" s="40" t="s">
        <v>45</v>
      </c>
      <c r="AC626" s="40" t="s">
        <v>45</v>
      </c>
      <c r="AD626" s="40" t="s">
        <v>45</v>
      </c>
      <c r="AE626" s="40" t="s">
        <v>45</v>
      </c>
      <c r="AF626" s="40">
        <v>5</v>
      </c>
      <c r="AG626" s="41" t="s">
        <v>45</v>
      </c>
      <c r="AH626" s="40">
        <v>10</v>
      </c>
      <c r="AI626" s="40">
        <v>7</v>
      </c>
      <c r="AJ626" s="41">
        <v>8</v>
      </c>
      <c r="AK626" s="43" t="s">
        <v>45</v>
      </c>
      <c r="AL626" s="43" t="s">
        <v>635</v>
      </c>
      <c r="AM626" s="44">
        <f t="shared" si="64"/>
        <v>-1.6787260196009959</v>
      </c>
      <c r="AN626" s="44">
        <f t="shared" si="65"/>
        <v>-0.87288748009280615</v>
      </c>
      <c r="AO626" s="45">
        <f t="shared" si="66"/>
        <v>3</v>
      </c>
      <c r="AP626" s="46">
        <f t="shared" si="67"/>
        <v>0.75</v>
      </c>
      <c r="AQ626" s="44">
        <f>($AM$3*AM626+$AN$3*AN626+$AO$3*AO626+$AP$3*AP626)+$I$3*VLOOKUP(I626,COND!$A$2:$E$7,4,FALSE)+$J$3*VLOOKUP(J626,COND!$A$2:$C$7,2,FALSE)+$K$3*VLOOKUP(K626,COND!$A$2:$C$7,3,FALSE)+IF(AND($B$2&gt;0,$E626&lt;20),$B$2*25,0)</f>
        <v>35.60747763692622</v>
      </c>
      <c r="AR626" s="47">
        <f t="shared" si="68"/>
        <v>-1.8899308641958306</v>
      </c>
      <c r="AS626" s="45" t="str">
        <f t="shared" si="69"/>
        <v>CF</v>
      </c>
      <c r="AT626" s="45">
        <f>RANK(Batters[[#This Row],[zScore]],Batters[[#All],[zScore]])</f>
        <v>622</v>
      </c>
      <c r="AU626" s="45"/>
      <c r="AV626" s="45"/>
      <c r="AW626" s="45" t="str">
        <f t="shared" si="70"/>
        <v>Unlikely</v>
      </c>
      <c r="AX626" s="45"/>
      <c r="AY626" s="45" t="str">
        <f>INDEX(Table5[[#All],[Ovr]],MATCH(Batters[[#This Row],[PID]],Table5[[#All],[PID]],0))</f>
        <v/>
      </c>
      <c r="AZ626" s="45" t="str">
        <f>INDEX(Table5[[#All],[Rnd]],MATCH(Batters[[#This Row],[PID]],Table5[[#All],[PID]],0))</f>
        <v/>
      </c>
      <c r="BA626" s="45" t="str">
        <f>INDEX(Table5[[#All],[Pick]],MATCH(Batters[[#This Row],[PID]],Table5[[#All],[PID]],0))</f>
        <v/>
      </c>
      <c r="BB626" s="45" t="str">
        <f>INDEX(Table5[[#All],[Team]],MATCH(Batters[[#This Row],[PID]],Table5[[#All],[PID]],0))</f>
        <v/>
      </c>
    </row>
    <row r="627" spans="1:54" ht="30" x14ac:dyDescent="0.25">
      <c r="A627" s="40">
        <v>12221</v>
      </c>
      <c r="B627" s="40" t="s">
        <v>87</v>
      </c>
      <c r="C627" s="40" t="s">
        <v>838</v>
      </c>
      <c r="D627" s="40" t="s">
        <v>839</v>
      </c>
      <c r="E627" s="40">
        <v>22</v>
      </c>
      <c r="F627" s="40" t="s">
        <v>53</v>
      </c>
      <c r="G627" s="40" t="s">
        <v>53</v>
      </c>
      <c r="H627" s="41" t="s">
        <v>647</v>
      </c>
      <c r="I627" s="65" t="s">
        <v>43</v>
      </c>
      <c r="J627" s="66" t="s">
        <v>43</v>
      </c>
      <c r="K627" s="67" t="s">
        <v>43</v>
      </c>
      <c r="L627" s="40">
        <v>2</v>
      </c>
      <c r="M627" s="40">
        <v>2</v>
      </c>
      <c r="N627" s="40">
        <v>2</v>
      </c>
      <c r="O627" s="40">
        <v>1</v>
      </c>
      <c r="P627" s="41">
        <v>2</v>
      </c>
      <c r="Q627" s="40">
        <v>4</v>
      </c>
      <c r="R627" s="40">
        <v>3</v>
      </c>
      <c r="S627" s="40">
        <v>2</v>
      </c>
      <c r="T627" s="40">
        <v>1</v>
      </c>
      <c r="U627" s="41">
        <v>5</v>
      </c>
      <c r="V627" s="40">
        <v>5</v>
      </c>
      <c r="W627" s="40">
        <v>3</v>
      </c>
      <c r="X627" s="40">
        <v>1</v>
      </c>
      <c r="Y627" s="41">
        <v>1</v>
      </c>
      <c r="Z627" s="40" t="s">
        <v>45</v>
      </c>
      <c r="AA627" s="40">
        <v>1</v>
      </c>
      <c r="AB627" s="40" t="s">
        <v>45</v>
      </c>
      <c r="AC627" s="40" t="s">
        <v>45</v>
      </c>
      <c r="AD627" s="40" t="s">
        <v>45</v>
      </c>
      <c r="AE627" s="40" t="s">
        <v>45</v>
      </c>
      <c r="AF627" s="40" t="s">
        <v>45</v>
      </c>
      <c r="AG627" s="41" t="s">
        <v>45</v>
      </c>
      <c r="AH627" s="40">
        <v>1</v>
      </c>
      <c r="AI627" s="40">
        <v>1</v>
      </c>
      <c r="AJ627" s="41">
        <v>1</v>
      </c>
      <c r="AK627" s="43" t="s">
        <v>45</v>
      </c>
      <c r="AL627" s="43"/>
      <c r="AM627" s="44">
        <f t="shared" si="64"/>
        <v>-1.5876498001652086</v>
      </c>
      <c r="AN627" s="44">
        <f t="shared" si="65"/>
        <v>-0.77142922868990549</v>
      </c>
      <c r="AO627" s="45">
        <f t="shared" si="66"/>
        <v>0</v>
      </c>
      <c r="AP627" s="46">
        <f t="shared" si="67"/>
        <v>0</v>
      </c>
      <c r="AQ627" s="44">
        <f>($AM$3*AM627+$AN$3*AN627+$AO$3*AO627+$AP$3*AP627)+$I$3*VLOOKUP(I627,COND!$A$2:$E$7,4,FALSE)+$J$3*VLOOKUP(J627,COND!$A$2:$C$7,2,FALSE)+$K$3*VLOOKUP(K627,COND!$A$2:$C$7,3,FALSE)+IF(AND($B$2&gt;0,$E627&lt;20),$B$2*25,0)</f>
        <v>35.584084275704612</v>
      </c>
      <c r="AR627" s="47">
        <f t="shared" si="68"/>
        <v>-1.8951173305031077</v>
      </c>
      <c r="AS627" s="45" t="str">
        <f t="shared" si="69"/>
        <v>1B</v>
      </c>
      <c r="AT627" s="45">
        <f>RANK(Batters[[#This Row],[zScore]],Batters[[#All],[zScore]])</f>
        <v>623</v>
      </c>
      <c r="AU627" s="45"/>
      <c r="AV627" s="45"/>
      <c r="AW627" s="45" t="str">
        <f t="shared" si="70"/>
        <v>Unlikely</v>
      </c>
      <c r="AX627" s="45"/>
      <c r="AY627" s="64" t="str">
        <f>INDEX(Table5[[#All],[Ovr]],MATCH(Batters[[#This Row],[PID]],Table5[[#All],[PID]],0))</f>
        <v/>
      </c>
      <c r="AZ627" s="64" t="str">
        <f>INDEX(Table5[[#All],[Rnd]],MATCH(Batters[[#This Row],[PID]],Table5[[#All],[PID]],0))</f>
        <v/>
      </c>
      <c r="BA627" s="64" t="str">
        <f>INDEX(Table5[[#All],[Pick]],MATCH(Batters[[#This Row],[PID]],Table5[[#All],[PID]],0))</f>
        <v/>
      </c>
      <c r="BB627" s="64" t="str">
        <f>INDEX(Table5[[#All],[Team]],MATCH(Batters[[#This Row],[PID]],Table5[[#All],[PID]],0))</f>
        <v/>
      </c>
    </row>
    <row r="628" spans="1:54" ht="30" x14ac:dyDescent="0.25">
      <c r="A628" s="40">
        <v>2195</v>
      </c>
      <c r="B628" s="40" t="s">
        <v>87</v>
      </c>
      <c r="C628" s="40" t="s">
        <v>197</v>
      </c>
      <c r="D628" s="40" t="s">
        <v>904</v>
      </c>
      <c r="E628" s="40">
        <v>22</v>
      </c>
      <c r="F628" s="40" t="s">
        <v>53</v>
      </c>
      <c r="G628" s="40" t="s">
        <v>42</v>
      </c>
      <c r="H628" s="41" t="s">
        <v>647</v>
      </c>
      <c r="I628" s="65" t="s">
        <v>44</v>
      </c>
      <c r="J628" s="66" t="s">
        <v>44</v>
      </c>
      <c r="K628" s="67" t="s">
        <v>44</v>
      </c>
      <c r="L628" s="40">
        <v>3</v>
      </c>
      <c r="M628" s="40">
        <v>3</v>
      </c>
      <c r="N628" s="40">
        <v>2</v>
      </c>
      <c r="O628" s="40">
        <v>1</v>
      </c>
      <c r="P628" s="41">
        <v>3</v>
      </c>
      <c r="Q628" s="40">
        <v>4</v>
      </c>
      <c r="R628" s="40">
        <v>3</v>
      </c>
      <c r="S628" s="40">
        <v>2</v>
      </c>
      <c r="T628" s="40">
        <v>2</v>
      </c>
      <c r="U628" s="41">
        <v>4</v>
      </c>
      <c r="V628" s="40">
        <v>4</v>
      </c>
      <c r="W628" s="40">
        <v>1</v>
      </c>
      <c r="X628" s="40">
        <v>1</v>
      </c>
      <c r="Y628" s="41">
        <v>1</v>
      </c>
      <c r="Z628" s="40" t="s">
        <v>45</v>
      </c>
      <c r="AA628" s="40">
        <v>1</v>
      </c>
      <c r="AB628" s="40" t="s">
        <v>45</v>
      </c>
      <c r="AC628" s="40" t="s">
        <v>45</v>
      </c>
      <c r="AD628" s="40" t="s">
        <v>45</v>
      </c>
      <c r="AE628" s="40" t="s">
        <v>45</v>
      </c>
      <c r="AF628" s="40" t="s">
        <v>45</v>
      </c>
      <c r="AG628" s="41" t="s">
        <v>45</v>
      </c>
      <c r="AH628" s="40">
        <v>2</v>
      </c>
      <c r="AI628" s="40">
        <v>1</v>
      </c>
      <c r="AJ628" s="41">
        <v>3</v>
      </c>
      <c r="AK628" s="43" t="s">
        <v>45</v>
      </c>
      <c r="AL628" s="43"/>
      <c r="AM628" s="44">
        <f t="shared" si="64"/>
        <v>-1.1740177445267472</v>
      </c>
      <c r="AN628" s="44">
        <f t="shared" si="65"/>
        <v>-0.72173601849740776</v>
      </c>
      <c r="AO628" s="45">
        <f t="shared" si="66"/>
        <v>0</v>
      </c>
      <c r="AP628" s="46">
        <f t="shared" si="67"/>
        <v>0</v>
      </c>
      <c r="AQ628" s="44">
        <f>($AM$3*AM628+$AN$3*AN628+$AO$3*AO628+$AP$3*AP628)+$I$3*VLOOKUP(I628,COND!$A$2:$E$7,4,FALSE)+$J$3*VLOOKUP(J628,COND!$A$2:$C$7,2,FALSE)+$K$3*VLOOKUP(K628,COND!$A$2:$C$7,3,FALSE)+IF(AND($B$2&gt;0,$E628&lt;20),$B$2*25,0)</f>
        <v>35.471766003578431</v>
      </c>
      <c r="AR628" s="47">
        <f t="shared" si="68"/>
        <v>-1.9200190506345423</v>
      </c>
      <c r="AS628" s="45" t="str">
        <f t="shared" si="69"/>
        <v>1B</v>
      </c>
      <c r="AT628" s="45">
        <f>RANK(Batters[[#This Row],[zScore]],Batters[[#All],[zScore]])</f>
        <v>624</v>
      </c>
      <c r="AU628" s="45"/>
      <c r="AV628" s="45"/>
      <c r="AW628" s="45" t="str">
        <f t="shared" si="70"/>
        <v>Unlikely</v>
      </c>
      <c r="AX628" s="45"/>
      <c r="AY628" s="64" t="str">
        <f>INDEX(Table5[[#All],[Ovr]],MATCH(Batters[[#This Row],[PID]],Table5[[#All],[PID]],0))</f>
        <v/>
      </c>
      <c r="AZ628" s="64" t="str">
        <f>INDEX(Table5[[#All],[Rnd]],MATCH(Batters[[#This Row],[PID]],Table5[[#All],[PID]],0))</f>
        <v/>
      </c>
      <c r="BA628" s="64" t="str">
        <f>INDEX(Table5[[#All],[Pick]],MATCH(Batters[[#This Row],[PID]],Table5[[#All],[PID]],0))</f>
        <v/>
      </c>
      <c r="BB628" s="64" t="str">
        <f>INDEX(Table5[[#All],[Team]],MATCH(Batters[[#This Row],[PID]],Table5[[#All],[PID]],0))</f>
        <v/>
      </c>
    </row>
    <row r="629" spans="1:54" ht="30" x14ac:dyDescent="0.25">
      <c r="A629" s="40">
        <v>14107</v>
      </c>
      <c r="B629" s="40" t="s">
        <v>86</v>
      </c>
      <c r="C629" s="40" t="s">
        <v>689</v>
      </c>
      <c r="D629" s="40" t="s">
        <v>832</v>
      </c>
      <c r="E629" s="40">
        <v>18</v>
      </c>
      <c r="F629" s="40" t="s">
        <v>42</v>
      </c>
      <c r="G629" s="40" t="s">
        <v>42</v>
      </c>
      <c r="H629" s="41" t="s">
        <v>639</v>
      </c>
      <c r="I629" s="65" t="s">
        <v>43</v>
      </c>
      <c r="J629" s="66" t="s">
        <v>47</v>
      </c>
      <c r="K629" s="67" t="s">
        <v>43</v>
      </c>
      <c r="L629" s="40">
        <v>1</v>
      </c>
      <c r="M629" s="40">
        <v>2</v>
      </c>
      <c r="N629" s="40">
        <v>2</v>
      </c>
      <c r="O629" s="40">
        <v>2</v>
      </c>
      <c r="P629" s="41">
        <v>1</v>
      </c>
      <c r="Q629" s="40">
        <v>2</v>
      </c>
      <c r="R629" s="40">
        <v>3</v>
      </c>
      <c r="S629" s="40">
        <v>2</v>
      </c>
      <c r="T629" s="40">
        <v>4</v>
      </c>
      <c r="U629" s="41">
        <v>3</v>
      </c>
      <c r="V629" s="40">
        <v>3</v>
      </c>
      <c r="W629" s="40">
        <v>3</v>
      </c>
      <c r="X629" s="40">
        <v>4</v>
      </c>
      <c r="Y629" s="41">
        <v>7</v>
      </c>
      <c r="Z629" s="40" t="s">
        <v>45</v>
      </c>
      <c r="AA629" s="40" t="s">
        <v>45</v>
      </c>
      <c r="AB629" s="40" t="s">
        <v>45</v>
      </c>
      <c r="AC629" s="40" t="s">
        <v>45</v>
      </c>
      <c r="AD629" s="40" t="s">
        <v>45</v>
      </c>
      <c r="AE629" s="40" t="s">
        <v>45</v>
      </c>
      <c r="AF629" s="40" t="s">
        <v>45</v>
      </c>
      <c r="AG629" s="41" t="s">
        <v>45</v>
      </c>
      <c r="AH629" s="40">
        <v>4</v>
      </c>
      <c r="AI629" s="40">
        <v>4</v>
      </c>
      <c r="AJ629" s="41">
        <v>4</v>
      </c>
      <c r="AK629" s="43" t="s">
        <v>663</v>
      </c>
      <c r="AL629" s="43"/>
      <c r="AM629" s="44">
        <f t="shared" si="64"/>
        <v>-1.8605124261753858</v>
      </c>
      <c r="AN629" s="44">
        <f t="shared" si="65"/>
        <v>-1.2274449307006789</v>
      </c>
      <c r="AO629" s="45">
        <f t="shared" si="66"/>
        <v>0</v>
      </c>
      <c r="AP629" s="46">
        <f t="shared" si="67"/>
        <v>0</v>
      </c>
      <c r="AQ629" s="44">
        <f>($AM$3*AM629+$AN$3*AN629+$AO$3*AO629+$AP$3*AP629)+$I$3*VLOOKUP(I629,COND!$A$2:$E$7,4,FALSE)+$J$3*VLOOKUP(J629,COND!$A$2:$C$7,2,FALSE)+$K$3*VLOOKUP(K629,COND!$A$2:$C$7,3,FALSE)+IF(AND($B$2&gt;0,$E629&lt;20),$B$2*25,0)</f>
        <v>35.384609588974314</v>
      </c>
      <c r="AR629" s="47">
        <f t="shared" si="68"/>
        <v>-1.9393422168749628</v>
      </c>
      <c r="AS629" s="45" t="str">
        <f t="shared" si="69"/>
        <v>DH</v>
      </c>
      <c r="AT629" s="45">
        <f>RANK(Batters[[#This Row],[zScore]],Batters[[#All],[zScore]])</f>
        <v>625</v>
      </c>
      <c r="AU629" s="45"/>
      <c r="AV629" s="45"/>
      <c r="AW629" s="45" t="str">
        <f t="shared" si="70"/>
        <v>Unlikely</v>
      </c>
      <c r="AX629" s="45"/>
      <c r="AY629" s="64" t="str">
        <f>INDEX(Table5[[#All],[Ovr]],MATCH(Batters[[#This Row],[PID]],Table5[[#All],[PID]],0))</f>
        <v/>
      </c>
      <c r="AZ629" s="64" t="str">
        <f>INDEX(Table5[[#All],[Rnd]],MATCH(Batters[[#This Row],[PID]],Table5[[#All],[PID]],0))</f>
        <v/>
      </c>
      <c r="BA629" s="64" t="str">
        <f>INDEX(Table5[[#All],[Pick]],MATCH(Batters[[#This Row],[PID]],Table5[[#All],[PID]],0))</f>
        <v/>
      </c>
      <c r="BB629" s="64" t="str">
        <f>INDEX(Table5[[#All],[Team]],MATCH(Batters[[#This Row],[PID]],Table5[[#All],[PID]],0))</f>
        <v/>
      </c>
    </row>
    <row r="630" spans="1:54" ht="30" x14ac:dyDescent="0.25">
      <c r="A630" s="40">
        <v>17796</v>
      </c>
      <c r="B630" s="40" t="s">
        <v>71</v>
      </c>
      <c r="C630" s="40" t="s">
        <v>820</v>
      </c>
      <c r="D630" s="40" t="s">
        <v>1478</v>
      </c>
      <c r="E630" s="40">
        <v>21</v>
      </c>
      <c r="F630" s="40" t="s">
        <v>42</v>
      </c>
      <c r="G630" s="40" t="s">
        <v>42</v>
      </c>
      <c r="H630" s="41" t="s">
        <v>638</v>
      </c>
      <c r="I630" s="65" t="s">
        <v>44</v>
      </c>
      <c r="J630" s="66" t="s">
        <v>43</v>
      </c>
      <c r="K630" s="67" t="s">
        <v>44</v>
      </c>
      <c r="L630" s="40">
        <v>1</v>
      </c>
      <c r="M630" s="40">
        <v>3</v>
      </c>
      <c r="N630" s="40">
        <v>2</v>
      </c>
      <c r="O630" s="40">
        <v>1</v>
      </c>
      <c r="P630" s="41">
        <v>1</v>
      </c>
      <c r="Q630" s="40">
        <v>3</v>
      </c>
      <c r="R630" s="40">
        <v>4</v>
      </c>
      <c r="S630" s="40">
        <v>3</v>
      </c>
      <c r="T630" s="40">
        <v>3</v>
      </c>
      <c r="U630" s="41">
        <v>3</v>
      </c>
      <c r="V630" s="40">
        <v>10</v>
      </c>
      <c r="W630" s="40">
        <v>8</v>
      </c>
      <c r="X630" s="40">
        <v>1</v>
      </c>
      <c r="Y630" s="41">
        <v>1</v>
      </c>
      <c r="Z630" s="40" t="s">
        <v>45</v>
      </c>
      <c r="AA630" s="40" t="s">
        <v>45</v>
      </c>
      <c r="AB630" s="40">
        <v>5</v>
      </c>
      <c r="AC630" s="40" t="s">
        <v>45</v>
      </c>
      <c r="AD630" s="40">
        <v>1</v>
      </c>
      <c r="AE630" s="40" t="s">
        <v>45</v>
      </c>
      <c r="AF630" s="40" t="s">
        <v>45</v>
      </c>
      <c r="AG630" s="41" t="s">
        <v>45</v>
      </c>
      <c r="AH630" s="40">
        <v>8</v>
      </c>
      <c r="AI630" s="40">
        <v>8</v>
      </c>
      <c r="AJ630" s="41">
        <v>7</v>
      </c>
      <c r="AK630" s="43" t="s">
        <v>45</v>
      </c>
      <c r="AL630" s="43" t="s">
        <v>635</v>
      </c>
      <c r="AM630" s="44">
        <f t="shared" si="64"/>
        <v>-1.8991620965662634</v>
      </c>
      <c r="AN630" s="44">
        <f t="shared" si="65"/>
        <v>-0.86047727086498016</v>
      </c>
      <c r="AO630" s="45">
        <f t="shared" si="66"/>
        <v>4</v>
      </c>
      <c r="AP630" s="46">
        <f t="shared" si="67"/>
        <v>0.6</v>
      </c>
      <c r="AQ630" s="44">
        <f>($AM$3*AM630+$AN$3*AN630+$AO$3*AO630+$AP$3*AP630)+$I$3*VLOOKUP(I630,COND!$A$2:$E$7,4,FALSE)+$J$3*VLOOKUP(J630,COND!$A$2:$C$7,2,FALSE)+$K$3*VLOOKUP(K630,COND!$A$2:$C$7,3,FALSE)+IF(AND($B$2&gt;0,$E630&lt;20),$B$2*25,0)</f>
        <v>35.301023206630276</v>
      </c>
      <c r="AR630" s="47">
        <f t="shared" si="68"/>
        <v>-1.9578738828321451</v>
      </c>
      <c r="AS630" s="45" t="str">
        <f t="shared" si="69"/>
        <v>2B</v>
      </c>
      <c r="AT630" s="45">
        <f>RANK(Batters[[#This Row],[zScore]],Batters[[#All],[zScore]])</f>
        <v>626</v>
      </c>
      <c r="AU630" s="45"/>
      <c r="AV630" s="45"/>
      <c r="AW630" s="45" t="str">
        <f t="shared" si="70"/>
        <v>Unlikely</v>
      </c>
      <c r="AX630" s="45"/>
      <c r="AY630" s="45" t="str">
        <f>INDEX(Table5[[#All],[Ovr]],MATCH(Batters[[#This Row],[PID]],Table5[[#All],[PID]],0))</f>
        <v/>
      </c>
      <c r="AZ630" s="45" t="str">
        <f>INDEX(Table5[[#All],[Rnd]],MATCH(Batters[[#This Row],[PID]],Table5[[#All],[PID]],0))</f>
        <v/>
      </c>
      <c r="BA630" s="45" t="str">
        <f>INDEX(Table5[[#All],[Pick]],MATCH(Batters[[#This Row],[PID]],Table5[[#All],[PID]],0))</f>
        <v/>
      </c>
      <c r="BB630" s="45" t="str">
        <f>INDEX(Table5[[#All],[Team]],MATCH(Batters[[#This Row],[PID]],Table5[[#All],[PID]],0))</f>
        <v/>
      </c>
    </row>
    <row r="631" spans="1:54" ht="30" x14ac:dyDescent="0.25">
      <c r="A631" s="40">
        <v>12594</v>
      </c>
      <c r="B631" s="40" t="s">
        <v>86</v>
      </c>
      <c r="C631" s="40" t="s">
        <v>343</v>
      </c>
      <c r="D631" s="40" t="s">
        <v>849</v>
      </c>
      <c r="E631" s="40">
        <v>22</v>
      </c>
      <c r="F631" s="40" t="s">
        <v>42</v>
      </c>
      <c r="G631" s="40" t="s">
        <v>42</v>
      </c>
      <c r="H631" s="41" t="s">
        <v>638</v>
      </c>
      <c r="I631" s="65" t="s">
        <v>43</v>
      </c>
      <c r="J631" s="66" t="s">
        <v>47</v>
      </c>
      <c r="K631" s="67" t="s">
        <v>43</v>
      </c>
      <c r="L631" s="40">
        <v>2</v>
      </c>
      <c r="M631" s="40">
        <v>2</v>
      </c>
      <c r="N631" s="40">
        <v>2</v>
      </c>
      <c r="O631" s="40">
        <v>2</v>
      </c>
      <c r="P631" s="41">
        <v>1</v>
      </c>
      <c r="Q631" s="40">
        <v>3</v>
      </c>
      <c r="R631" s="40">
        <v>3</v>
      </c>
      <c r="S631" s="40">
        <v>3</v>
      </c>
      <c r="T631" s="40">
        <v>4</v>
      </c>
      <c r="U631" s="41">
        <v>3</v>
      </c>
      <c r="V631" s="40">
        <v>3</v>
      </c>
      <c r="W631" s="40">
        <v>3</v>
      </c>
      <c r="X631" s="40">
        <v>5</v>
      </c>
      <c r="Y631" s="41">
        <v>8</v>
      </c>
      <c r="Z631" s="40" t="s">
        <v>45</v>
      </c>
      <c r="AA631" s="40" t="s">
        <v>45</v>
      </c>
      <c r="AB631" s="40" t="s">
        <v>45</v>
      </c>
      <c r="AC631" s="40" t="s">
        <v>45</v>
      </c>
      <c r="AD631" s="40" t="s">
        <v>45</v>
      </c>
      <c r="AE631" s="40" t="s">
        <v>45</v>
      </c>
      <c r="AF631" s="40" t="s">
        <v>45</v>
      </c>
      <c r="AG631" s="41" t="s">
        <v>45</v>
      </c>
      <c r="AH631" s="40">
        <v>1</v>
      </c>
      <c r="AI631" s="40">
        <v>3</v>
      </c>
      <c r="AJ631" s="41">
        <v>1</v>
      </c>
      <c r="AK631" s="43" t="s">
        <v>45</v>
      </c>
      <c r="AL631" s="43" t="s">
        <v>47</v>
      </c>
      <c r="AM631" s="44">
        <f t="shared" si="64"/>
        <v>-1.5379565899727115</v>
      </c>
      <c r="AN631" s="44">
        <f t="shared" si="65"/>
        <v>-0.82182760047410253</v>
      </c>
      <c r="AO631" s="45">
        <f t="shared" si="66"/>
        <v>0</v>
      </c>
      <c r="AP631" s="46">
        <f t="shared" si="67"/>
        <v>0</v>
      </c>
      <c r="AQ631" s="44">
        <f>($AM$3*AM631+$AN$3*AN631+$AO$3*AO631+$AP$3*AP631)+$I$3*VLOOKUP(I631,COND!$A$2:$E$7,4,FALSE)+$J$3*VLOOKUP(J631,COND!$A$2:$C$7,2,FALSE)+$K$3*VLOOKUP(K631,COND!$A$2:$C$7,3,FALSE)+IF(AND($B$2&gt;0,$E631&lt;20),$B$2*25,0)</f>
        <v>35.284273135313498</v>
      </c>
      <c r="AR631" s="47">
        <f t="shared" si="68"/>
        <v>-1.9615874868630494</v>
      </c>
      <c r="AS631" s="45" t="str">
        <f t="shared" si="69"/>
        <v>DH</v>
      </c>
      <c r="AT631" s="45">
        <f>RANK(Batters[[#This Row],[zScore]],Batters[[#All],[zScore]])</f>
        <v>627</v>
      </c>
      <c r="AU631" s="45"/>
      <c r="AV631" s="45"/>
      <c r="AW631" s="45" t="str">
        <f t="shared" si="70"/>
        <v>Unlikely</v>
      </c>
      <c r="AX631" s="45"/>
      <c r="AY631" s="45" t="str">
        <f>INDEX(Table5[[#All],[Ovr]],MATCH(Batters[[#This Row],[PID]],Table5[[#All],[PID]],0))</f>
        <v/>
      </c>
      <c r="AZ631" s="45" t="str">
        <f>INDEX(Table5[[#All],[Rnd]],MATCH(Batters[[#This Row],[PID]],Table5[[#All],[PID]],0))</f>
        <v/>
      </c>
      <c r="BA631" s="45" t="str">
        <f>INDEX(Table5[[#All],[Pick]],MATCH(Batters[[#This Row],[PID]],Table5[[#All],[PID]],0))</f>
        <v/>
      </c>
      <c r="BB631" s="45" t="str">
        <f>INDEX(Table5[[#All],[Team]],MATCH(Batters[[#This Row],[PID]],Table5[[#All],[PID]],0))</f>
        <v/>
      </c>
    </row>
    <row r="632" spans="1:54" ht="30" x14ac:dyDescent="0.25">
      <c r="A632" s="40">
        <v>9715</v>
      </c>
      <c r="B632" s="40" t="s">
        <v>87</v>
      </c>
      <c r="C632" s="40" t="s">
        <v>824</v>
      </c>
      <c r="D632" s="40" t="s">
        <v>703</v>
      </c>
      <c r="E632" s="40">
        <v>22</v>
      </c>
      <c r="F632" s="40" t="s">
        <v>62</v>
      </c>
      <c r="G632" s="40" t="s">
        <v>42</v>
      </c>
      <c r="H632" s="41" t="s">
        <v>647</v>
      </c>
      <c r="I632" s="65" t="s">
        <v>43</v>
      </c>
      <c r="J632" s="66" t="s">
        <v>43</v>
      </c>
      <c r="K632" s="67" t="s">
        <v>43</v>
      </c>
      <c r="L632" s="40">
        <v>3</v>
      </c>
      <c r="M632" s="40">
        <v>3</v>
      </c>
      <c r="N632" s="40">
        <v>2</v>
      </c>
      <c r="O632" s="40">
        <v>1</v>
      </c>
      <c r="P632" s="41">
        <v>2</v>
      </c>
      <c r="Q632" s="40">
        <v>4</v>
      </c>
      <c r="R632" s="40">
        <v>3</v>
      </c>
      <c r="S632" s="40">
        <v>2</v>
      </c>
      <c r="T632" s="40">
        <v>1</v>
      </c>
      <c r="U632" s="41">
        <v>4</v>
      </c>
      <c r="V632" s="40">
        <v>6</v>
      </c>
      <c r="W632" s="40">
        <v>5</v>
      </c>
      <c r="X632" s="40">
        <v>1</v>
      </c>
      <c r="Y632" s="41">
        <v>1</v>
      </c>
      <c r="Z632" s="40" t="s">
        <v>45</v>
      </c>
      <c r="AA632" s="40">
        <v>1</v>
      </c>
      <c r="AB632" s="40" t="s">
        <v>45</v>
      </c>
      <c r="AC632" s="40" t="s">
        <v>45</v>
      </c>
      <c r="AD632" s="40" t="s">
        <v>45</v>
      </c>
      <c r="AE632" s="40" t="s">
        <v>45</v>
      </c>
      <c r="AF632" s="40" t="s">
        <v>45</v>
      </c>
      <c r="AG632" s="41" t="s">
        <v>45</v>
      </c>
      <c r="AH632" s="40">
        <v>1</v>
      </c>
      <c r="AI632" s="40">
        <v>1</v>
      </c>
      <c r="AJ632" s="41">
        <v>1</v>
      </c>
      <c r="AK632" s="43" t="s">
        <v>45</v>
      </c>
      <c r="AL632" s="43"/>
      <c r="AM632" s="44">
        <f t="shared" si="64"/>
        <v>-1.2140340843438306</v>
      </c>
      <c r="AN632" s="44">
        <f t="shared" si="65"/>
        <v>-0.8114455685069889</v>
      </c>
      <c r="AO632" s="45">
        <f t="shared" si="66"/>
        <v>0</v>
      </c>
      <c r="AP632" s="46">
        <f t="shared" si="67"/>
        <v>0</v>
      </c>
      <c r="AQ632" s="44">
        <f>($AM$3*AM632+$AN$3*AN632+$AO$3*AO632+$AP$3*AP632)+$I$3*VLOOKUP(I632,COND!$A$2:$E$7,4,FALSE)+$J$3*VLOOKUP(J632,COND!$A$2:$C$7,2,FALSE)+$K$3*VLOOKUP(K632,COND!$A$2:$C$7,3,FALSE)+IF(AND($B$2&gt;0,$E632&lt;20),$B$2*25,0)</f>
        <v>35.141249769481753</v>
      </c>
      <c r="AR632" s="47">
        <f t="shared" si="68"/>
        <v>-1.9932967338161789</v>
      </c>
      <c r="AS632" s="45" t="str">
        <f t="shared" si="69"/>
        <v>1B</v>
      </c>
      <c r="AT632" s="45">
        <f>RANK(Batters[[#This Row],[zScore]],Batters[[#All],[zScore]])</f>
        <v>628</v>
      </c>
      <c r="AU632" s="45"/>
      <c r="AV632" s="45"/>
      <c r="AW632" s="45" t="str">
        <f t="shared" si="70"/>
        <v>Unlikely</v>
      </c>
      <c r="AX632" s="45"/>
      <c r="AY632" s="64" t="str">
        <f>INDEX(Table5[[#All],[Ovr]],MATCH(Batters[[#This Row],[PID]],Table5[[#All],[PID]],0))</f>
        <v/>
      </c>
      <c r="AZ632" s="64" t="str">
        <f>INDEX(Table5[[#All],[Rnd]],MATCH(Batters[[#This Row],[PID]],Table5[[#All],[PID]],0))</f>
        <v/>
      </c>
      <c r="BA632" s="64" t="str">
        <f>INDEX(Table5[[#All],[Pick]],MATCH(Batters[[#This Row],[PID]],Table5[[#All],[PID]],0))</f>
        <v/>
      </c>
      <c r="BB632" s="64" t="str">
        <f>INDEX(Table5[[#All],[Team]],MATCH(Batters[[#This Row],[PID]],Table5[[#All],[PID]],0))</f>
        <v/>
      </c>
    </row>
    <row r="633" spans="1:54" ht="30" x14ac:dyDescent="0.25">
      <c r="A633" s="40">
        <v>18005</v>
      </c>
      <c r="B633" s="40" t="s">
        <v>72</v>
      </c>
      <c r="C633" s="40" t="s">
        <v>130</v>
      </c>
      <c r="D633" s="40" t="s">
        <v>648</v>
      </c>
      <c r="E633" s="40">
        <v>21</v>
      </c>
      <c r="F633" s="40" t="s">
        <v>42</v>
      </c>
      <c r="G633" s="40" t="s">
        <v>42</v>
      </c>
      <c r="H633" s="41" t="s">
        <v>638</v>
      </c>
      <c r="I633" s="65" t="s">
        <v>43</v>
      </c>
      <c r="J633" s="66" t="s">
        <v>44</v>
      </c>
      <c r="K633" s="67" t="s">
        <v>43</v>
      </c>
      <c r="L633" s="40">
        <v>1</v>
      </c>
      <c r="M633" s="40">
        <v>2</v>
      </c>
      <c r="N633" s="40">
        <v>2</v>
      </c>
      <c r="O633" s="40">
        <v>2</v>
      </c>
      <c r="P633" s="41">
        <v>2</v>
      </c>
      <c r="Q633" s="40">
        <v>3</v>
      </c>
      <c r="R633" s="40">
        <v>3</v>
      </c>
      <c r="S633" s="40">
        <v>3</v>
      </c>
      <c r="T633" s="40">
        <v>4</v>
      </c>
      <c r="U633" s="41">
        <v>4</v>
      </c>
      <c r="V633" s="40">
        <v>7</v>
      </c>
      <c r="W633" s="40">
        <v>6</v>
      </c>
      <c r="X633" s="40">
        <v>1</v>
      </c>
      <c r="Y633" s="41">
        <v>1</v>
      </c>
      <c r="Z633" s="40" t="s">
        <v>45</v>
      </c>
      <c r="AA633" s="40" t="s">
        <v>45</v>
      </c>
      <c r="AB633" s="40" t="s">
        <v>45</v>
      </c>
      <c r="AC633" s="40">
        <v>4</v>
      </c>
      <c r="AD633" s="40">
        <v>3</v>
      </c>
      <c r="AE633" s="40" t="s">
        <v>45</v>
      </c>
      <c r="AF633" s="40" t="s">
        <v>45</v>
      </c>
      <c r="AG633" s="41" t="s">
        <v>45</v>
      </c>
      <c r="AH633" s="40">
        <v>5</v>
      </c>
      <c r="AI633" s="40">
        <v>5</v>
      </c>
      <c r="AJ633" s="41">
        <v>5</v>
      </c>
      <c r="AK633" s="43" t="s">
        <v>45</v>
      </c>
      <c r="AL633" s="43" t="s">
        <v>635</v>
      </c>
      <c r="AM633" s="44">
        <f t="shared" si="64"/>
        <v>-1.8204960863583022</v>
      </c>
      <c r="AN633" s="44">
        <f t="shared" si="65"/>
        <v>-0.781811260657019</v>
      </c>
      <c r="AO633" s="45">
        <f t="shared" si="66"/>
        <v>0</v>
      </c>
      <c r="AP633" s="46">
        <f t="shared" si="67"/>
        <v>0</v>
      </c>
      <c r="AQ633" s="44">
        <f>($AM$3*AM633+$AN$3*AN633+$AO$3*AO633+$AP$3*AP633)+$I$3*VLOOKUP(I633,COND!$A$2:$E$7,4,FALSE)+$J$3*VLOOKUP(J633,COND!$A$2:$C$7,2,FALSE)+$K$3*VLOOKUP(K633,COND!$A$2:$C$7,3,FALSE)+IF(AND($B$2&gt;0,$E633&lt;20),$B$2*25,0)</f>
        <v>35.13621526347994</v>
      </c>
      <c r="AR633" s="47">
        <f t="shared" si="68"/>
        <v>-1.9944129178268832</v>
      </c>
      <c r="AS633" s="45" t="str">
        <f t="shared" si="69"/>
        <v>3B</v>
      </c>
      <c r="AT633" s="45">
        <f>RANK(Batters[[#This Row],[zScore]],Batters[[#All],[zScore]])</f>
        <v>629</v>
      </c>
      <c r="AU633" s="45"/>
      <c r="AV633" s="45"/>
      <c r="AW633" s="45" t="str">
        <f t="shared" si="70"/>
        <v>Unlikely</v>
      </c>
      <c r="AX633" s="45"/>
      <c r="AY633" s="45" t="str">
        <f>INDEX(Table5[[#All],[Ovr]],MATCH(Batters[[#This Row],[PID]],Table5[[#All],[PID]],0))</f>
        <v/>
      </c>
      <c r="AZ633" s="45" t="str">
        <f>INDEX(Table5[[#All],[Rnd]],MATCH(Batters[[#This Row],[PID]],Table5[[#All],[PID]],0))</f>
        <v/>
      </c>
      <c r="BA633" s="45" t="str">
        <f>INDEX(Table5[[#All],[Pick]],MATCH(Batters[[#This Row],[PID]],Table5[[#All],[PID]],0))</f>
        <v/>
      </c>
      <c r="BB633" s="45" t="str">
        <f>INDEX(Table5[[#All],[Team]],MATCH(Batters[[#This Row],[PID]],Table5[[#All],[PID]],0))</f>
        <v/>
      </c>
    </row>
    <row r="634" spans="1:54" ht="30" x14ac:dyDescent="0.25">
      <c r="A634" s="40">
        <v>12835</v>
      </c>
      <c r="B634" s="40" t="s">
        <v>69</v>
      </c>
      <c r="C634" s="40" t="s">
        <v>178</v>
      </c>
      <c r="D634" s="40" t="s">
        <v>131</v>
      </c>
      <c r="E634" s="40">
        <v>21</v>
      </c>
      <c r="F634" s="40" t="s">
        <v>62</v>
      </c>
      <c r="G634" s="40" t="s">
        <v>42</v>
      </c>
      <c r="H634" s="41" t="s">
        <v>638</v>
      </c>
      <c r="I634" s="65" t="s">
        <v>43</v>
      </c>
      <c r="J634" s="66" t="s">
        <v>44</v>
      </c>
      <c r="K634" s="67" t="s">
        <v>43</v>
      </c>
      <c r="L634" s="40">
        <v>1</v>
      </c>
      <c r="M634" s="40">
        <v>2</v>
      </c>
      <c r="N634" s="40">
        <v>2</v>
      </c>
      <c r="O634" s="40">
        <v>2</v>
      </c>
      <c r="P634" s="41">
        <v>1</v>
      </c>
      <c r="Q634" s="40">
        <v>3</v>
      </c>
      <c r="R634" s="40">
        <v>3</v>
      </c>
      <c r="S634" s="40">
        <v>3</v>
      </c>
      <c r="T634" s="40">
        <v>4</v>
      </c>
      <c r="U634" s="41">
        <v>4</v>
      </c>
      <c r="V634" s="40">
        <v>9</v>
      </c>
      <c r="W634" s="40">
        <v>8</v>
      </c>
      <c r="X634" s="40">
        <v>1</v>
      </c>
      <c r="Y634" s="41">
        <v>1</v>
      </c>
      <c r="Z634" s="40" t="s">
        <v>45</v>
      </c>
      <c r="AA634" s="40" t="s">
        <v>45</v>
      </c>
      <c r="AB634" s="40">
        <v>1</v>
      </c>
      <c r="AC634" s="40">
        <v>3</v>
      </c>
      <c r="AD634" s="40" t="s">
        <v>45</v>
      </c>
      <c r="AE634" s="40" t="s">
        <v>45</v>
      </c>
      <c r="AF634" s="40" t="s">
        <v>45</v>
      </c>
      <c r="AG634" s="41" t="s">
        <v>45</v>
      </c>
      <c r="AH634" s="40">
        <v>4</v>
      </c>
      <c r="AI634" s="40">
        <v>1</v>
      </c>
      <c r="AJ634" s="41">
        <v>1</v>
      </c>
      <c r="AK634" s="43" t="s">
        <v>45</v>
      </c>
      <c r="AL634" s="43" t="s">
        <v>635</v>
      </c>
      <c r="AM634" s="44">
        <f t="shared" si="64"/>
        <v>-1.8605124261753858</v>
      </c>
      <c r="AN634" s="44">
        <f t="shared" si="65"/>
        <v>-0.781811260657019</v>
      </c>
      <c r="AO634" s="45">
        <f t="shared" si="66"/>
        <v>0</v>
      </c>
      <c r="AP634" s="46">
        <f t="shared" si="67"/>
        <v>0</v>
      </c>
      <c r="AQ634" s="44">
        <f>($AM$3*AM634+$AN$3*AN634+$AO$3*AO634+$AP$3*AP634)+$I$3*VLOOKUP(I634,COND!$A$2:$E$7,4,FALSE)+$J$3*VLOOKUP(J634,COND!$A$2:$C$7,2,FALSE)+$K$3*VLOOKUP(K634,COND!$A$2:$C$7,3,FALSE)+IF(AND($B$2&gt;0,$E634&lt;20),$B$2*25,0)</f>
        <v>35.132213629498231</v>
      </c>
      <c r="AR634" s="47">
        <f t="shared" si="68"/>
        <v>-1.9953001071291634</v>
      </c>
      <c r="AS634" s="45" t="str">
        <f t="shared" si="69"/>
        <v>3B</v>
      </c>
      <c r="AT634" s="45">
        <f>RANK(Batters[[#This Row],[zScore]],Batters[[#All],[zScore]])</f>
        <v>630</v>
      </c>
      <c r="AU634" s="45"/>
      <c r="AV634" s="45"/>
      <c r="AW634" s="45" t="str">
        <f t="shared" si="70"/>
        <v>Unlikely</v>
      </c>
      <c r="AX634" s="45"/>
      <c r="AY634" s="45" t="str">
        <f>INDEX(Table5[[#All],[Ovr]],MATCH(Batters[[#This Row],[PID]],Table5[[#All],[PID]],0))</f>
        <v/>
      </c>
      <c r="AZ634" s="45" t="str">
        <f>INDEX(Table5[[#All],[Rnd]],MATCH(Batters[[#This Row],[PID]],Table5[[#All],[PID]],0))</f>
        <v/>
      </c>
      <c r="BA634" s="45" t="str">
        <f>INDEX(Table5[[#All],[Pick]],MATCH(Batters[[#This Row],[PID]],Table5[[#All],[PID]],0))</f>
        <v/>
      </c>
      <c r="BB634" s="45" t="str">
        <f>INDEX(Table5[[#All],[Team]],MATCH(Batters[[#This Row],[PID]],Table5[[#All],[PID]],0))</f>
        <v/>
      </c>
    </row>
    <row r="635" spans="1:54" ht="30" x14ac:dyDescent="0.25">
      <c r="A635" s="40">
        <v>7298</v>
      </c>
      <c r="B635" s="40" t="s">
        <v>87</v>
      </c>
      <c r="C635" s="40" t="s">
        <v>172</v>
      </c>
      <c r="D635" s="40" t="s">
        <v>852</v>
      </c>
      <c r="E635" s="40">
        <v>22</v>
      </c>
      <c r="F635" s="40" t="s">
        <v>62</v>
      </c>
      <c r="G635" s="40" t="s">
        <v>42</v>
      </c>
      <c r="H635" s="41" t="s">
        <v>639</v>
      </c>
      <c r="I635" s="65" t="s">
        <v>43</v>
      </c>
      <c r="J635" s="66" t="s">
        <v>44</v>
      </c>
      <c r="K635" s="67" t="s">
        <v>43</v>
      </c>
      <c r="L635" s="40">
        <v>1</v>
      </c>
      <c r="M635" s="40">
        <v>1</v>
      </c>
      <c r="N635" s="40">
        <v>2</v>
      </c>
      <c r="O635" s="40">
        <v>2</v>
      </c>
      <c r="P635" s="41">
        <v>2</v>
      </c>
      <c r="Q635" s="40">
        <v>3</v>
      </c>
      <c r="R635" s="40">
        <v>3</v>
      </c>
      <c r="S635" s="40">
        <v>3</v>
      </c>
      <c r="T635" s="40">
        <v>4</v>
      </c>
      <c r="U635" s="41">
        <v>4</v>
      </c>
      <c r="V635" s="40">
        <v>2</v>
      </c>
      <c r="W635" s="40">
        <v>1</v>
      </c>
      <c r="X635" s="40">
        <v>1</v>
      </c>
      <c r="Y635" s="41">
        <v>1</v>
      </c>
      <c r="Z635" s="40" t="s">
        <v>45</v>
      </c>
      <c r="AA635" s="40">
        <v>1</v>
      </c>
      <c r="AB635" s="40" t="s">
        <v>45</v>
      </c>
      <c r="AC635" s="40" t="s">
        <v>45</v>
      </c>
      <c r="AD635" s="40" t="s">
        <v>45</v>
      </c>
      <c r="AE635" s="40" t="s">
        <v>45</v>
      </c>
      <c r="AF635" s="40" t="s">
        <v>45</v>
      </c>
      <c r="AG635" s="41" t="s">
        <v>45</v>
      </c>
      <c r="AH635" s="40">
        <v>1</v>
      </c>
      <c r="AI635" s="40">
        <v>2</v>
      </c>
      <c r="AJ635" s="41">
        <v>1</v>
      </c>
      <c r="AK635" s="43" t="s">
        <v>45</v>
      </c>
      <c r="AL635" s="43"/>
      <c r="AM635" s="44">
        <f t="shared" si="64"/>
        <v>-1.871555965977006</v>
      </c>
      <c r="AN635" s="44">
        <f t="shared" si="65"/>
        <v>-0.781811260657019</v>
      </c>
      <c r="AO635" s="45">
        <f t="shared" si="66"/>
        <v>0</v>
      </c>
      <c r="AP635" s="46">
        <f t="shared" si="67"/>
        <v>0</v>
      </c>
      <c r="AQ635" s="44">
        <f>($AM$3*AM635+$AN$3*AN635+$AO$3*AO635+$AP$3*AP635)+$I$3*VLOOKUP(I635,COND!$A$2:$E$7,4,FALSE)+$J$3*VLOOKUP(J635,COND!$A$2:$C$7,2,FALSE)+$K$3*VLOOKUP(K635,COND!$A$2:$C$7,3,FALSE)+IF(AND($B$2&gt;0,$E635&lt;20),$B$2*25,0)</f>
        <v>35.131109275518071</v>
      </c>
      <c r="AR635" s="47">
        <f t="shared" si="68"/>
        <v>-1.9955449498713052</v>
      </c>
      <c r="AS635" s="45" t="str">
        <f t="shared" si="69"/>
        <v>1B</v>
      </c>
      <c r="AT635" s="45">
        <f>RANK(Batters[[#This Row],[zScore]],Batters[[#All],[zScore]])</f>
        <v>631</v>
      </c>
      <c r="AU635" s="45"/>
      <c r="AV635" s="45"/>
      <c r="AW635" s="45" t="str">
        <f t="shared" si="70"/>
        <v>Unlikely</v>
      </c>
      <c r="AX635" s="45"/>
      <c r="AY635" s="64" t="str">
        <f>INDEX(Table5[[#All],[Ovr]],MATCH(Batters[[#This Row],[PID]],Table5[[#All],[PID]],0))</f>
        <v/>
      </c>
      <c r="AZ635" s="64" t="str">
        <f>INDEX(Table5[[#All],[Rnd]],MATCH(Batters[[#This Row],[PID]],Table5[[#All],[PID]],0))</f>
        <v/>
      </c>
      <c r="BA635" s="64" t="str">
        <f>INDEX(Table5[[#All],[Pick]],MATCH(Batters[[#This Row],[PID]],Table5[[#All],[PID]],0))</f>
        <v/>
      </c>
      <c r="BB635" s="64" t="str">
        <f>INDEX(Table5[[#All],[Team]],MATCH(Batters[[#This Row],[PID]],Table5[[#All],[PID]],0))</f>
        <v/>
      </c>
    </row>
    <row r="636" spans="1:54" ht="30" x14ac:dyDescent="0.25">
      <c r="A636" s="40">
        <v>9828</v>
      </c>
      <c r="B636" s="40" t="s">
        <v>50</v>
      </c>
      <c r="C636" s="40" t="s">
        <v>1660</v>
      </c>
      <c r="D636" s="40" t="s">
        <v>1661</v>
      </c>
      <c r="E636" s="40">
        <v>21</v>
      </c>
      <c r="F636" s="40" t="s">
        <v>62</v>
      </c>
      <c r="G636" s="40" t="s">
        <v>53</v>
      </c>
      <c r="H636" s="41" t="s">
        <v>639</v>
      </c>
      <c r="I636" s="65" t="s">
        <v>43</v>
      </c>
      <c r="J636" s="66" t="s">
        <v>47</v>
      </c>
      <c r="K636" s="67" t="s">
        <v>43</v>
      </c>
      <c r="L636" s="40">
        <v>1</v>
      </c>
      <c r="M636" s="40">
        <v>1</v>
      </c>
      <c r="N636" s="40">
        <v>2</v>
      </c>
      <c r="O636" s="40">
        <v>2</v>
      </c>
      <c r="P636" s="41">
        <v>1</v>
      </c>
      <c r="Q636" s="40">
        <v>3</v>
      </c>
      <c r="R636" s="40">
        <v>2</v>
      </c>
      <c r="S636" s="40">
        <v>3</v>
      </c>
      <c r="T636" s="40">
        <v>4</v>
      </c>
      <c r="U636" s="41">
        <v>4</v>
      </c>
      <c r="V636" s="40">
        <v>6</v>
      </c>
      <c r="W636" s="40">
        <v>8</v>
      </c>
      <c r="X636" s="40">
        <v>1</v>
      </c>
      <c r="Y636" s="41">
        <v>1</v>
      </c>
      <c r="Z636" s="40" t="s">
        <v>45</v>
      </c>
      <c r="AA636" s="40" t="s">
        <v>45</v>
      </c>
      <c r="AB636" s="40" t="s">
        <v>45</v>
      </c>
      <c r="AC636" s="40" t="s">
        <v>45</v>
      </c>
      <c r="AD636" s="40" t="s">
        <v>45</v>
      </c>
      <c r="AE636" s="40">
        <v>1</v>
      </c>
      <c r="AF636" s="40" t="s">
        <v>45</v>
      </c>
      <c r="AG636" s="41" t="s">
        <v>45</v>
      </c>
      <c r="AH636" s="40">
        <v>1</v>
      </c>
      <c r="AI636" s="40">
        <v>1</v>
      </c>
      <c r="AJ636" s="41">
        <v>1</v>
      </c>
      <c r="AK636" s="43" t="s">
        <v>643</v>
      </c>
      <c r="AL636" s="43"/>
      <c r="AM636" s="44">
        <f t="shared" si="64"/>
        <v>-1.9115723057940897</v>
      </c>
      <c r="AN636" s="44">
        <f t="shared" si="65"/>
        <v>-0.83287114027572251</v>
      </c>
      <c r="AO636" s="45">
        <f t="shared" si="66"/>
        <v>0</v>
      </c>
      <c r="AP636" s="46">
        <f t="shared" si="67"/>
        <v>0</v>
      </c>
      <c r="AQ636" s="44">
        <f>($AM$3*AM636+$AN$3*AN636+$AO$3*AO636+$AP$3*AP636)+$I$3*VLOOKUP(I636,COND!$A$2:$E$7,4,FALSE)+$J$3*VLOOKUP(J636,COND!$A$2:$C$7,2,FALSE)+$K$3*VLOOKUP(K636,COND!$A$2:$C$7,3,FALSE)+IF(AND($B$2&gt;0,$E636&lt;20),$B$2*25,0)</f>
        <v>35.11438908611192</v>
      </c>
      <c r="AR636" s="47">
        <f t="shared" si="68"/>
        <v>-1.9992519288806403</v>
      </c>
      <c r="AS636" s="45" t="str">
        <f t="shared" si="69"/>
        <v>LF</v>
      </c>
      <c r="AT636" s="45">
        <f>RANK(Batters[[#This Row],[zScore]],Batters[[#All],[zScore]])</f>
        <v>632</v>
      </c>
      <c r="AU636" s="45"/>
      <c r="AV636" s="45"/>
      <c r="AW636" s="45" t="str">
        <f t="shared" si="70"/>
        <v>Unlikely</v>
      </c>
      <c r="AX636" s="45"/>
      <c r="AY636" s="64" t="str">
        <f>INDEX(Table5[[#All],[Ovr]],MATCH(Batters[[#This Row],[PID]],Table5[[#All],[PID]],0))</f>
        <v/>
      </c>
      <c r="AZ636" s="64" t="str">
        <f>INDEX(Table5[[#All],[Rnd]],MATCH(Batters[[#This Row],[PID]],Table5[[#All],[PID]],0))</f>
        <v/>
      </c>
      <c r="BA636" s="64" t="str">
        <f>INDEX(Table5[[#All],[Pick]],MATCH(Batters[[#This Row],[PID]],Table5[[#All],[PID]],0))</f>
        <v/>
      </c>
      <c r="BB636" s="64" t="str">
        <f>INDEX(Table5[[#All],[Team]],MATCH(Batters[[#This Row],[PID]],Table5[[#All],[PID]],0))</f>
        <v/>
      </c>
    </row>
    <row r="637" spans="1:54" ht="30" x14ac:dyDescent="0.25">
      <c r="A637" s="40">
        <v>9473</v>
      </c>
      <c r="B637" s="40" t="s">
        <v>71</v>
      </c>
      <c r="C637" s="40" t="s">
        <v>166</v>
      </c>
      <c r="D637" s="40" t="s">
        <v>161</v>
      </c>
      <c r="E637" s="40">
        <v>21</v>
      </c>
      <c r="F637" s="40" t="s">
        <v>42</v>
      </c>
      <c r="G637" s="40" t="s">
        <v>42</v>
      </c>
      <c r="H637" s="41" t="s">
        <v>638</v>
      </c>
      <c r="I637" s="65" t="s">
        <v>43</v>
      </c>
      <c r="J637" s="66" t="s">
        <v>44</v>
      </c>
      <c r="K637" s="67" t="s">
        <v>43</v>
      </c>
      <c r="L637" s="40">
        <v>1</v>
      </c>
      <c r="M637" s="40">
        <v>1</v>
      </c>
      <c r="N637" s="40">
        <v>2</v>
      </c>
      <c r="O637" s="40">
        <v>2</v>
      </c>
      <c r="P637" s="41">
        <v>1</v>
      </c>
      <c r="Q637" s="40">
        <v>3</v>
      </c>
      <c r="R637" s="40">
        <v>2</v>
      </c>
      <c r="S637" s="40">
        <v>2</v>
      </c>
      <c r="T637" s="40">
        <v>5</v>
      </c>
      <c r="U637" s="41">
        <v>3</v>
      </c>
      <c r="V637" s="40">
        <v>2</v>
      </c>
      <c r="W637" s="40">
        <v>1</v>
      </c>
      <c r="X637" s="40">
        <v>1</v>
      </c>
      <c r="Y637" s="41">
        <v>1</v>
      </c>
      <c r="Z637" s="40" t="s">
        <v>45</v>
      </c>
      <c r="AA637" s="40" t="s">
        <v>45</v>
      </c>
      <c r="AB637" s="40">
        <v>3</v>
      </c>
      <c r="AC637" s="40" t="s">
        <v>45</v>
      </c>
      <c r="AD637" s="40" t="s">
        <v>45</v>
      </c>
      <c r="AE637" s="40" t="s">
        <v>45</v>
      </c>
      <c r="AF637" s="40" t="s">
        <v>45</v>
      </c>
      <c r="AG637" s="41" t="s">
        <v>45</v>
      </c>
      <c r="AH637" s="40">
        <v>10</v>
      </c>
      <c r="AI637" s="40">
        <v>9</v>
      </c>
      <c r="AJ637" s="41">
        <v>9</v>
      </c>
      <c r="AK637" s="43" t="s">
        <v>45</v>
      </c>
      <c r="AL637" s="43"/>
      <c r="AM637" s="44">
        <f t="shared" si="64"/>
        <v>-1.9115723057940897</v>
      </c>
      <c r="AN637" s="44">
        <f t="shared" si="65"/>
        <v>-0.86623942410712662</v>
      </c>
      <c r="AO637" s="45">
        <f t="shared" si="66"/>
        <v>6</v>
      </c>
      <c r="AP637" s="46">
        <f t="shared" si="67"/>
        <v>0</v>
      </c>
      <c r="AQ637" s="44">
        <f>($AM$3*AM637+$AN$3*AN637+$AO$3*AO637+$AP$3*AP637)+$I$3*VLOOKUP(I637,COND!$A$2:$E$7,4,FALSE)+$J$3*VLOOKUP(J637,COND!$A$2:$C$7,2,FALSE)+$K$3*VLOOKUP(K637,COND!$A$2:$C$7,3,FALSE)+IF(AND($B$2&gt;0,$E637&lt;20),$B$2*25,0)</f>
        <v>35.113969680135071</v>
      </c>
      <c r="AR637" s="47">
        <f t="shared" si="68"/>
        <v>-1.999344914020629</v>
      </c>
      <c r="AS637" s="45" t="str">
        <f t="shared" si="69"/>
        <v>2B</v>
      </c>
      <c r="AT637" s="45">
        <f>RANK(Batters[[#This Row],[zScore]],Batters[[#All],[zScore]])</f>
        <v>633</v>
      </c>
      <c r="AU637" s="45"/>
      <c r="AV637" s="45"/>
      <c r="AW637" s="45" t="str">
        <f t="shared" si="70"/>
        <v>Unlikely</v>
      </c>
      <c r="AX637" s="45"/>
      <c r="AY637" s="64" t="str">
        <f>INDEX(Table5[[#All],[Ovr]],MATCH(Batters[[#This Row],[PID]],Table5[[#All],[PID]],0))</f>
        <v/>
      </c>
      <c r="AZ637" s="64" t="str">
        <f>INDEX(Table5[[#All],[Rnd]],MATCH(Batters[[#This Row],[PID]],Table5[[#All],[PID]],0))</f>
        <v/>
      </c>
      <c r="BA637" s="64" t="str">
        <f>INDEX(Table5[[#All],[Pick]],MATCH(Batters[[#This Row],[PID]],Table5[[#All],[PID]],0))</f>
        <v/>
      </c>
      <c r="BB637" s="64" t="str">
        <f>INDEX(Table5[[#All],[Team]],MATCH(Batters[[#This Row],[PID]],Table5[[#All],[PID]],0))</f>
        <v/>
      </c>
    </row>
    <row r="638" spans="1:54" ht="30" x14ac:dyDescent="0.25">
      <c r="A638" s="40">
        <v>20194</v>
      </c>
      <c r="B638" s="40" t="s">
        <v>86</v>
      </c>
      <c r="C638" s="40" t="s">
        <v>689</v>
      </c>
      <c r="D638" s="40" t="s">
        <v>726</v>
      </c>
      <c r="E638" s="40">
        <v>22</v>
      </c>
      <c r="F638" s="40" t="s">
        <v>42</v>
      </c>
      <c r="G638" s="40" t="s">
        <v>42</v>
      </c>
      <c r="H638" s="41" t="s">
        <v>638</v>
      </c>
      <c r="I638" s="65" t="s">
        <v>47</v>
      </c>
      <c r="J638" s="66" t="s">
        <v>43</v>
      </c>
      <c r="K638" s="67" t="s">
        <v>43</v>
      </c>
      <c r="L638" s="40">
        <v>1</v>
      </c>
      <c r="M638" s="40">
        <v>4</v>
      </c>
      <c r="N638" s="40">
        <v>2</v>
      </c>
      <c r="O638" s="40">
        <v>5</v>
      </c>
      <c r="P638" s="41">
        <v>1</v>
      </c>
      <c r="Q638" s="40">
        <v>2</v>
      </c>
      <c r="R638" s="40">
        <v>5</v>
      </c>
      <c r="S638" s="40">
        <v>2</v>
      </c>
      <c r="T638" s="40">
        <v>6</v>
      </c>
      <c r="U638" s="41">
        <v>2</v>
      </c>
      <c r="V638" s="40">
        <v>5</v>
      </c>
      <c r="W638" s="40">
        <v>5</v>
      </c>
      <c r="X638" s="40">
        <v>7</v>
      </c>
      <c r="Y638" s="41">
        <v>9</v>
      </c>
      <c r="Z638" s="40">
        <v>7</v>
      </c>
      <c r="AA638" s="40">
        <v>2</v>
      </c>
      <c r="AB638" s="40" t="s">
        <v>45</v>
      </c>
      <c r="AC638" s="40">
        <v>1</v>
      </c>
      <c r="AD638" s="40" t="s">
        <v>45</v>
      </c>
      <c r="AE638" s="40" t="s">
        <v>45</v>
      </c>
      <c r="AF638" s="40" t="s">
        <v>45</v>
      </c>
      <c r="AG638" s="41" t="s">
        <v>45</v>
      </c>
      <c r="AH638" s="40">
        <v>2</v>
      </c>
      <c r="AI638" s="40">
        <v>2</v>
      </c>
      <c r="AJ638" s="41">
        <v>1</v>
      </c>
      <c r="AK638" s="43" t="s">
        <v>45</v>
      </c>
      <c r="AL638" s="43" t="s">
        <v>47</v>
      </c>
      <c r="AM638" s="44">
        <f t="shared" si="64"/>
        <v>-1.4892640169092359</v>
      </c>
      <c r="AN638" s="44">
        <f t="shared" si="65"/>
        <v>-0.98592241126119318</v>
      </c>
      <c r="AO638" s="45">
        <f t="shared" si="66"/>
        <v>0</v>
      </c>
      <c r="AP638" s="46">
        <f t="shared" si="67"/>
        <v>1.85</v>
      </c>
      <c r="AQ638" s="44">
        <f>($AM$3*AM638+$AN$3*AN638+$AO$3*AO638+$AP$3*AP638)+$I$3*VLOOKUP(I638,COND!$A$2:$E$7,4,FALSE)+$J$3*VLOOKUP(J638,COND!$A$2:$C$7,2,FALSE)+$K$3*VLOOKUP(K638,COND!$A$2:$C$7,3,FALSE)+IF(AND($B$2&gt;0,$E638&lt;20),$B$2*25,0)</f>
        <v>35.095004663174755</v>
      </c>
      <c r="AR638" s="47">
        <f t="shared" si="68"/>
        <v>-2.0035495864723485</v>
      </c>
      <c r="AS638" s="45" t="str">
        <f t="shared" si="69"/>
        <v>C</v>
      </c>
      <c r="AT638" s="45">
        <f>RANK(Batters[[#This Row],[zScore]],Batters[[#All],[zScore]])</f>
        <v>634</v>
      </c>
      <c r="AU638" s="45"/>
      <c r="AV638" s="45"/>
      <c r="AW638" s="45" t="str">
        <f t="shared" si="70"/>
        <v>Unlikely</v>
      </c>
      <c r="AX638" s="45"/>
      <c r="AY638" s="45" t="str">
        <f>INDEX(Table5[[#All],[Ovr]],MATCH(Batters[[#This Row],[PID]],Table5[[#All],[PID]],0))</f>
        <v/>
      </c>
      <c r="AZ638" s="45" t="str">
        <f>INDEX(Table5[[#All],[Rnd]],MATCH(Batters[[#This Row],[PID]],Table5[[#All],[PID]],0))</f>
        <v/>
      </c>
      <c r="BA638" s="45" t="str">
        <f>INDEX(Table5[[#All],[Pick]],MATCH(Batters[[#This Row],[PID]],Table5[[#All],[PID]],0))</f>
        <v/>
      </c>
      <c r="BB638" s="45" t="str">
        <f>INDEX(Table5[[#All],[Team]],MATCH(Batters[[#This Row],[PID]],Table5[[#All],[PID]],0))</f>
        <v/>
      </c>
    </row>
    <row r="639" spans="1:54" ht="30" x14ac:dyDescent="0.25">
      <c r="A639" s="40">
        <v>15080</v>
      </c>
      <c r="B639" s="40" t="s">
        <v>50</v>
      </c>
      <c r="C639" s="40" t="s">
        <v>869</v>
      </c>
      <c r="D639" s="40" t="s">
        <v>870</v>
      </c>
      <c r="E639" s="40">
        <v>22</v>
      </c>
      <c r="F639" s="40" t="s">
        <v>42</v>
      </c>
      <c r="G639" s="40" t="s">
        <v>42</v>
      </c>
      <c r="H639" s="41" t="s">
        <v>638</v>
      </c>
      <c r="I639" s="65" t="s">
        <v>43</v>
      </c>
      <c r="J639" s="66" t="s">
        <v>44</v>
      </c>
      <c r="K639" s="67" t="s">
        <v>47</v>
      </c>
      <c r="L639" s="40">
        <v>2</v>
      </c>
      <c r="M639" s="40">
        <v>3</v>
      </c>
      <c r="N639" s="40">
        <v>2</v>
      </c>
      <c r="O639" s="40">
        <v>2</v>
      </c>
      <c r="P639" s="41">
        <v>2</v>
      </c>
      <c r="Q639" s="40">
        <v>3</v>
      </c>
      <c r="R639" s="40">
        <v>4</v>
      </c>
      <c r="S639" s="40">
        <v>2</v>
      </c>
      <c r="T639" s="40">
        <v>4</v>
      </c>
      <c r="U639" s="41">
        <v>4</v>
      </c>
      <c r="V639" s="40">
        <v>1</v>
      </c>
      <c r="W639" s="40">
        <v>4</v>
      </c>
      <c r="X639" s="40">
        <v>1</v>
      </c>
      <c r="Y639" s="41">
        <v>1</v>
      </c>
      <c r="Z639" s="40" t="s">
        <v>45</v>
      </c>
      <c r="AA639" s="40" t="s">
        <v>45</v>
      </c>
      <c r="AB639" s="40">
        <v>1</v>
      </c>
      <c r="AC639" s="40" t="s">
        <v>45</v>
      </c>
      <c r="AD639" s="40" t="s">
        <v>45</v>
      </c>
      <c r="AE639" s="40">
        <v>5</v>
      </c>
      <c r="AF639" s="40" t="s">
        <v>45</v>
      </c>
      <c r="AG639" s="41" t="s">
        <v>45</v>
      </c>
      <c r="AH639" s="40">
        <v>4</v>
      </c>
      <c r="AI639" s="40">
        <v>2</v>
      </c>
      <c r="AJ639" s="41">
        <v>2</v>
      </c>
      <c r="AK639" s="43" t="s">
        <v>45</v>
      </c>
      <c r="AL639" s="43" t="s">
        <v>47</v>
      </c>
      <c r="AM639" s="44">
        <f t="shared" si="64"/>
        <v>-1.4468803705369244</v>
      </c>
      <c r="AN639" s="44">
        <f t="shared" si="65"/>
        <v>-0.813812875062217</v>
      </c>
      <c r="AO639" s="45">
        <f t="shared" si="66"/>
        <v>0</v>
      </c>
      <c r="AP639" s="46">
        <f t="shared" si="67"/>
        <v>0</v>
      </c>
      <c r="AQ639" s="44">
        <f>($AM$3*AM639+$AN$3*AN639+$AO$3*AO639+$AP$3*AP639)+$I$3*VLOOKUP(I639,COND!$A$2:$E$7,4,FALSE)+$J$3*VLOOKUP(J639,COND!$A$2:$C$7,2,FALSE)+$K$3*VLOOKUP(K639,COND!$A$2:$C$7,3,FALSE)+IF(AND($B$2&gt;0,$E639&lt;20),$B$2*25,0)</f>
        <v>35.089557462199707</v>
      </c>
      <c r="AR639" s="47">
        <f t="shared" si="68"/>
        <v>-2.0047572677481784</v>
      </c>
      <c r="AS639" s="45" t="str">
        <f t="shared" si="69"/>
        <v>2B</v>
      </c>
      <c r="AT639" s="45">
        <f>RANK(Batters[[#This Row],[zScore]],Batters[[#All],[zScore]])</f>
        <v>635</v>
      </c>
      <c r="AU639" s="45"/>
      <c r="AV639" s="45"/>
      <c r="AW639" s="45" t="str">
        <f t="shared" si="70"/>
        <v>Unlikely</v>
      </c>
      <c r="AX639" s="45"/>
      <c r="AY639" s="45" t="str">
        <f>INDEX(Table5[[#All],[Ovr]],MATCH(Batters[[#This Row],[PID]],Table5[[#All],[PID]],0))</f>
        <v/>
      </c>
      <c r="AZ639" s="45" t="str">
        <f>INDEX(Table5[[#All],[Rnd]],MATCH(Batters[[#This Row],[PID]],Table5[[#All],[PID]],0))</f>
        <v/>
      </c>
      <c r="BA639" s="45" t="str">
        <f>INDEX(Table5[[#All],[Pick]],MATCH(Batters[[#This Row],[PID]],Table5[[#All],[PID]],0))</f>
        <v/>
      </c>
      <c r="BB639" s="45" t="str">
        <f>INDEX(Table5[[#All],[Team]],MATCH(Batters[[#This Row],[PID]],Table5[[#All],[PID]],0))</f>
        <v/>
      </c>
    </row>
    <row r="640" spans="1:54" ht="30" x14ac:dyDescent="0.25">
      <c r="A640" s="40">
        <v>18052</v>
      </c>
      <c r="B640" s="40" t="s">
        <v>66</v>
      </c>
      <c r="C640" s="40" t="s">
        <v>136</v>
      </c>
      <c r="D640" s="40" t="s">
        <v>679</v>
      </c>
      <c r="E640" s="40">
        <v>22</v>
      </c>
      <c r="F640" s="40" t="s">
        <v>62</v>
      </c>
      <c r="G640" s="40" t="s">
        <v>42</v>
      </c>
      <c r="H640" s="41" t="s">
        <v>638</v>
      </c>
      <c r="I640" s="65" t="s">
        <v>43</v>
      </c>
      <c r="J640" s="66" t="s">
        <v>44</v>
      </c>
      <c r="K640" s="67" t="s">
        <v>43</v>
      </c>
      <c r="L640" s="40">
        <v>2</v>
      </c>
      <c r="M640" s="40">
        <v>2</v>
      </c>
      <c r="N640" s="40">
        <v>3</v>
      </c>
      <c r="O640" s="40">
        <v>2</v>
      </c>
      <c r="P640" s="41">
        <v>1</v>
      </c>
      <c r="Q640" s="40">
        <v>3</v>
      </c>
      <c r="R640" s="40">
        <v>2</v>
      </c>
      <c r="S640" s="40">
        <v>3</v>
      </c>
      <c r="T640" s="40">
        <v>4</v>
      </c>
      <c r="U640" s="41">
        <v>3</v>
      </c>
      <c r="V640" s="40">
        <v>6</v>
      </c>
      <c r="W640" s="40">
        <v>9</v>
      </c>
      <c r="X640" s="40">
        <v>1</v>
      </c>
      <c r="Y640" s="41">
        <v>1</v>
      </c>
      <c r="Z640" s="40" t="s">
        <v>45</v>
      </c>
      <c r="AA640" s="40" t="s">
        <v>45</v>
      </c>
      <c r="AB640" s="40" t="s">
        <v>45</v>
      </c>
      <c r="AC640" s="40">
        <v>1</v>
      </c>
      <c r="AD640" s="40" t="s">
        <v>45</v>
      </c>
      <c r="AE640" s="40" t="s">
        <v>45</v>
      </c>
      <c r="AF640" s="40">
        <v>3</v>
      </c>
      <c r="AG640" s="41">
        <v>7</v>
      </c>
      <c r="AH640" s="40">
        <v>9</v>
      </c>
      <c r="AI640" s="40">
        <v>6</v>
      </c>
      <c r="AJ640" s="41">
        <v>4</v>
      </c>
      <c r="AK640" s="43" t="s">
        <v>45</v>
      </c>
      <c r="AL640" s="43" t="s">
        <v>635</v>
      </c>
      <c r="AM640" s="44">
        <f t="shared" si="64"/>
        <v>-1.4548950959488096</v>
      </c>
      <c r="AN640" s="44">
        <f t="shared" si="65"/>
        <v>-0.87288748009280615</v>
      </c>
      <c r="AO640" s="45">
        <f t="shared" si="66"/>
        <v>2</v>
      </c>
      <c r="AP640" s="46">
        <f t="shared" si="67"/>
        <v>0.65</v>
      </c>
      <c r="AQ640" s="44">
        <f>($AM$3*AM640+$AN$3*AN640+$AO$3*AO640+$AP$3*AP640)+$I$3*VLOOKUP(I640,COND!$A$2:$E$7,4,FALSE)+$J$3*VLOOKUP(J640,COND!$A$2:$C$7,2,FALSE)+$K$3*VLOOKUP(K640,COND!$A$2:$C$7,3,FALSE)+IF(AND($B$2&gt;0,$E640&lt;20),$B$2*25,0)</f>
        <v>35.063194062624774</v>
      </c>
      <c r="AR640" s="47">
        <f t="shared" si="68"/>
        <v>-2.0106022116339837</v>
      </c>
      <c r="AS640" s="45" t="str">
        <f t="shared" si="69"/>
        <v>3B</v>
      </c>
      <c r="AT640" s="45">
        <f>RANK(Batters[[#This Row],[zScore]],Batters[[#All],[zScore]])</f>
        <v>636</v>
      </c>
      <c r="AU640" s="45"/>
      <c r="AV640" s="45"/>
      <c r="AW640" s="45" t="str">
        <f t="shared" si="70"/>
        <v>Unlikely</v>
      </c>
      <c r="AX640" s="45"/>
      <c r="AY640" s="45" t="str">
        <f>INDEX(Table5[[#All],[Ovr]],MATCH(Batters[[#This Row],[PID]],Table5[[#All],[PID]],0))</f>
        <v/>
      </c>
      <c r="AZ640" s="45" t="str">
        <f>INDEX(Table5[[#All],[Rnd]],MATCH(Batters[[#This Row],[PID]],Table5[[#All],[PID]],0))</f>
        <v/>
      </c>
      <c r="BA640" s="45" t="str">
        <f>INDEX(Table5[[#All],[Pick]],MATCH(Batters[[#This Row],[PID]],Table5[[#All],[PID]],0))</f>
        <v/>
      </c>
      <c r="BB640" s="45" t="str">
        <f>INDEX(Table5[[#All],[Team]],MATCH(Batters[[#This Row],[PID]],Table5[[#All],[PID]],0))</f>
        <v/>
      </c>
    </row>
    <row r="641" spans="1:54" ht="30" x14ac:dyDescent="0.25">
      <c r="A641" s="40">
        <v>18087</v>
      </c>
      <c r="B641" s="40" t="s">
        <v>74</v>
      </c>
      <c r="C641" s="40" t="s">
        <v>340</v>
      </c>
      <c r="D641" s="40" t="s">
        <v>401</v>
      </c>
      <c r="E641" s="40">
        <v>21</v>
      </c>
      <c r="F641" s="40" t="s">
        <v>42</v>
      </c>
      <c r="G641" s="40" t="s">
        <v>42</v>
      </c>
      <c r="H641" s="41" t="s">
        <v>639</v>
      </c>
      <c r="I641" s="65" t="s">
        <v>47</v>
      </c>
      <c r="J641" s="66" t="s">
        <v>43</v>
      </c>
      <c r="K641" s="67" t="s">
        <v>43</v>
      </c>
      <c r="L641" s="40">
        <v>2</v>
      </c>
      <c r="M641" s="40">
        <v>1</v>
      </c>
      <c r="N641" s="40">
        <v>2</v>
      </c>
      <c r="O641" s="40">
        <v>3</v>
      </c>
      <c r="P641" s="41">
        <v>1</v>
      </c>
      <c r="Q641" s="40">
        <v>3</v>
      </c>
      <c r="R641" s="40">
        <v>2</v>
      </c>
      <c r="S641" s="40">
        <v>2</v>
      </c>
      <c r="T641" s="40">
        <v>5</v>
      </c>
      <c r="U641" s="41">
        <v>3</v>
      </c>
      <c r="V641" s="40">
        <v>3</v>
      </c>
      <c r="W641" s="40">
        <v>5</v>
      </c>
      <c r="X641" s="40">
        <v>1</v>
      </c>
      <c r="Y641" s="41">
        <v>1</v>
      </c>
      <c r="Z641" s="40" t="s">
        <v>45</v>
      </c>
      <c r="AA641" s="40" t="s">
        <v>45</v>
      </c>
      <c r="AB641" s="40" t="s">
        <v>45</v>
      </c>
      <c r="AC641" s="40" t="s">
        <v>45</v>
      </c>
      <c r="AD641" s="40" t="s">
        <v>45</v>
      </c>
      <c r="AE641" s="40">
        <v>1</v>
      </c>
      <c r="AF641" s="40">
        <v>4</v>
      </c>
      <c r="AG641" s="41">
        <v>1</v>
      </c>
      <c r="AH641" s="40">
        <v>10</v>
      </c>
      <c r="AI641" s="40">
        <v>5</v>
      </c>
      <c r="AJ641" s="41">
        <v>6</v>
      </c>
      <c r="AK641" s="43" t="s">
        <v>45</v>
      </c>
      <c r="AL641" s="43"/>
      <c r="AM641" s="44">
        <f t="shared" si="64"/>
        <v>-1.4993069195818338</v>
      </c>
      <c r="AN641" s="44">
        <f t="shared" si="65"/>
        <v>-0.86623942410712662</v>
      </c>
      <c r="AO641" s="45">
        <f t="shared" si="66"/>
        <v>2</v>
      </c>
      <c r="AP641" s="46">
        <f t="shared" si="67"/>
        <v>0</v>
      </c>
      <c r="AQ641" s="44">
        <f>($AM$3*AM641+$AN$3*AN641+$AO$3*AO641+$AP$3*AP641)+$I$3*VLOOKUP(I641,COND!$A$2:$E$7,4,FALSE)+$J$3*VLOOKUP(J641,COND!$A$2:$C$7,2,FALSE)+$K$3*VLOOKUP(K641,COND!$A$2:$C$7,3,FALSE)+IF(AND($B$2&gt;0,$E641&lt;20),$B$2*25,0)</f>
        <v>35.013529552089629</v>
      </c>
      <c r="AR641" s="47">
        <f t="shared" si="68"/>
        <v>-2.021613169320561</v>
      </c>
      <c r="AS641" s="45" t="str">
        <f t="shared" si="69"/>
        <v>CF</v>
      </c>
      <c r="AT641" s="45">
        <f>RANK(Batters[[#This Row],[zScore]],Batters[[#All],[zScore]])</f>
        <v>637</v>
      </c>
      <c r="AU641" s="45"/>
      <c r="AV641" s="45"/>
      <c r="AW641" s="45" t="str">
        <f t="shared" si="70"/>
        <v>Unlikely</v>
      </c>
      <c r="AX641" s="45"/>
      <c r="AY641" s="64" t="str">
        <f>INDEX(Table5[[#All],[Ovr]],MATCH(Batters[[#This Row],[PID]],Table5[[#All],[PID]],0))</f>
        <v/>
      </c>
      <c r="AZ641" s="64" t="str">
        <f>INDEX(Table5[[#All],[Rnd]],MATCH(Batters[[#This Row],[PID]],Table5[[#All],[PID]],0))</f>
        <v/>
      </c>
      <c r="BA641" s="64" t="str">
        <f>INDEX(Table5[[#All],[Pick]],MATCH(Batters[[#This Row],[PID]],Table5[[#All],[PID]],0))</f>
        <v/>
      </c>
      <c r="BB641" s="64" t="str">
        <f>INDEX(Table5[[#All],[Team]],MATCH(Batters[[#This Row],[PID]],Table5[[#All],[PID]],0))</f>
        <v/>
      </c>
    </row>
    <row r="642" spans="1:54" ht="30" x14ac:dyDescent="0.25">
      <c r="A642" s="40">
        <v>15914</v>
      </c>
      <c r="B642" s="40" t="s">
        <v>86</v>
      </c>
      <c r="C642" s="40" t="s">
        <v>142</v>
      </c>
      <c r="D642" s="40" t="s">
        <v>1503</v>
      </c>
      <c r="E642" s="40">
        <v>21</v>
      </c>
      <c r="F642" s="40" t="s">
        <v>42</v>
      </c>
      <c r="G642" s="40" t="s">
        <v>42</v>
      </c>
      <c r="H642" s="41" t="s">
        <v>638</v>
      </c>
      <c r="I642" s="65" t="s">
        <v>43</v>
      </c>
      <c r="J642" s="66" t="s">
        <v>43</v>
      </c>
      <c r="K642" s="67" t="s">
        <v>43</v>
      </c>
      <c r="L642" s="40">
        <v>1</v>
      </c>
      <c r="M642" s="40">
        <v>2</v>
      </c>
      <c r="N642" s="40">
        <v>2</v>
      </c>
      <c r="O642" s="40">
        <v>2</v>
      </c>
      <c r="P642" s="41">
        <v>2</v>
      </c>
      <c r="Q642" s="40">
        <v>3</v>
      </c>
      <c r="R642" s="40">
        <v>3</v>
      </c>
      <c r="S642" s="40">
        <v>3</v>
      </c>
      <c r="T642" s="40">
        <v>4</v>
      </c>
      <c r="U642" s="41">
        <v>3</v>
      </c>
      <c r="V642" s="40">
        <v>3</v>
      </c>
      <c r="W642" s="40">
        <v>2</v>
      </c>
      <c r="X642" s="40">
        <v>5</v>
      </c>
      <c r="Y642" s="41">
        <v>9</v>
      </c>
      <c r="Z642" s="40" t="s">
        <v>45</v>
      </c>
      <c r="AA642" s="40" t="s">
        <v>45</v>
      </c>
      <c r="AB642" s="40" t="s">
        <v>45</v>
      </c>
      <c r="AC642" s="40" t="s">
        <v>45</v>
      </c>
      <c r="AD642" s="40" t="s">
        <v>45</v>
      </c>
      <c r="AE642" s="40" t="s">
        <v>45</v>
      </c>
      <c r="AF642" s="40" t="s">
        <v>45</v>
      </c>
      <c r="AG642" s="41" t="s">
        <v>45</v>
      </c>
      <c r="AH642" s="40">
        <v>1</v>
      </c>
      <c r="AI642" s="40">
        <v>3</v>
      </c>
      <c r="AJ642" s="41">
        <v>3</v>
      </c>
      <c r="AK642" s="43" t="s">
        <v>45</v>
      </c>
      <c r="AL642" s="43" t="s">
        <v>47</v>
      </c>
      <c r="AM642" s="44">
        <f t="shared" si="64"/>
        <v>-1.8204960863583022</v>
      </c>
      <c r="AN642" s="44">
        <f t="shared" si="65"/>
        <v>-0.82182760047410253</v>
      </c>
      <c r="AO642" s="45">
        <f t="shared" si="66"/>
        <v>0</v>
      </c>
      <c r="AP642" s="46">
        <f t="shared" si="67"/>
        <v>0</v>
      </c>
      <c r="AQ642" s="44">
        <f>($AM$3*AM642+$AN$3*AN642+$AO$3*AO642+$AP$3*AP642)+$I$3*VLOOKUP(I642,COND!$A$2:$E$7,4,FALSE)+$J$3*VLOOKUP(J642,COND!$A$2:$C$7,2,FALSE)+$K$3*VLOOKUP(K642,COND!$A$2:$C$7,3,FALSE)+IF(AND($B$2&gt;0,$E642&lt;20),$B$2*25,0)</f>
        <v>34.95601918567494</v>
      </c>
      <c r="AR642" s="47">
        <f t="shared" si="68"/>
        <v>-2.0343636062886974</v>
      </c>
      <c r="AS642" s="45" t="str">
        <f t="shared" si="69"/>
        <v>DH</v>
      </c>
      <c r="AT642" s="45">
        <f>RANK(Batters[[#This Row],[zScore]],Batters[[#All],[zScore]])</f>
        <v>638</v>
      </c>
      <c r="AU642" s="45"/>
      <c r="AV642" s="45"/>
      <c r="AW642" s="45" t="str">
        <f t="shared" si="70"/>
        <v>Unlikely</v>
      </c>
      <c r="AX642" s="45"/>
      <c r="AY642" s="45" t="str">
        <f>INDEX(Table5[[#All],[Ovr]],MATCH(Batters[[#This Row],[PID]],Table5[[#All],[PID]],0))</f>
        <v/>
      </c>
      <c r="AZ642" s="45" t="str">
        <f>INDEX(Table5[[#All],[Rnd]],MATCH(Batters[[#This Row],[PID]],Table5[[#All],[PID]],0))</f>
        <v/>
      </c>
      <c r="BA642" s="45" t="str">
        <f>INDEX(Table5[[#All],[Pick]],MATCH(Batters[[#This Row],[PID]],Table5[[#All],[PID]],0))</f>
        <v/>
      </c>
      <c r="BB642" s="45" t="str">
        <f>INDEX(Table5[[#All],[Team]],MATCH(Batters[[#This Row],[PID]],Table5[[#All],[PID]],0))</f>
        <v/>
      </c>
    </row>
    <row r="643" spans="1:54" ht="30" x14ac:dyDescent="0.25">
      <c r="A643" s="40">
        <v>9130</v>
      </c>
      <c r="B643" s="40" t="s">
        <v>87</v>
      </c>
      <c r="C643" s="40" t="s">
        <v>209</v>
      </c>
      <c r="D643" s="40" t="s">
        <v>164</v>
      </c>
      <c r="E643" s="40">
        <v>22</v>
      </c>
      <c r="F643" s="40" t="s">
        <v>53</v>
      </c>
      <c r="G643" s="40" t="s">
        <v>42</v>
      </c>
      <c r="H643" s="41" t="s">
        <v>639</v>
      </c>
      <c r="I643" s="65" t="s">
        <v>43</v>
      </c>
      <c r="J643" s="66" t="s">
        <v>44</v>
      </c>
      <c r="K643" s="67" t="s">
        <v>47</v>
      </c>
      <c r="L643" s="40">
        <v>2</v>
      </c>
      <c r="M643" s="40">
        <v>3</v>
      </c>
      <c r="N643" s="40">
        <v>2</v>
      </c>
      <c r="O643" s="40">
        <v>2</v>
      </c>
      <c r="P643" s="41">
        <v>3</v>
      </c>
      <c r="Q643" s="40">
        <v>3</v>
      </c>
      <c r="R643" s="40">
        <v>4</v>
      </c>
      <c r="S643" s="40">
        <v>2</v>
      </c>
      <c r="T643" s="40">
        <v>3</v>
      </c>
      <c r="U643" s="41">
        <v>4</v>
      </c>
      <c r="V643" s="40">
        <v>4</v>
      </c>
      <c r="W643" s="40">
        <v>3</v>
      </c>
      <c r="X643" s="40">
        <v>1</v>
      </c>
      <c r="Y643" s="41">
        <v>1</v>
      </c>
      <c r="Z643" s="40" t="s">
        <v>45</v>
      </c>
      <c r="AA643" s="40">
        <v>8</v>
      </c>
      <c r="AB643" s="40" t="s">
        <v>45</v>
      </c>
      <c r="AC643" s="40" t="s">
        <v>45</v>
      </c>
      <c r="AD643" s="40" t="s">
        <v>45</v>
      </c>
      <c r="AE643" s="40" t="s">
        <v>45</v>
      </c>
      <c r="AF643" s="40" t="s">
        <v>45</v>
      </c>
      <c r="AG643" s="41" t="s">
        <v>45</v>
      </c>
      <c r="AH643" s="40">
        <v>7</v>
      </c>
      <c r="AI643" s="40">
        <v>10</v>
      </c>
      <c r="AJ643" s="41">
        <v>10</v>
      </c>
      <c r="AK643" s="43" t="s">
        <v>45</v>
      </c>
      <c r="AL643" s="43"/>
      <c r="AM643" s="44">
        <f t="shared" si="64"/>
        <v>-1.406864030719841</v>
      </c>
      <c r="AN643" s="44">
        <f t="shared" si="65"/>
        <v>-0.90352242507179814</v>
      </c>
      <c r="AO643" s="45">
        <f t="shared" si="66"/>
        <v>4</v>
      </c>
      <c r="AP643" s="46">
        <f t="shared" si="67"/>
        <v>0.25</v>
      </c>
      <c r="AQ643" s="44">
        <f>($AM$3*AM643+$AN$3*AN643+$AO$3*AO643+$AP$3*AP643)+$I$3*VLOOKUP(I643,COND!$A$2:$E$7,4,FALSE)+$J$3*VLOOKUP(J643,COND!$A$2:$C$7,2,FALSE)+$K$3*VLOOKUP(K643,COND!$A$2:$C$7,3,FALSE)+IF(AND($B$2&gt;0,$E643&lt;20),$B$2*25,0)</f>
        <v>34.933711162733104</v>
      </c>
      <c r="AR643" s="47">
        <f t="shared" si="68"/>
        <v>-2.0393094457631431</v>
      </c>
      <c r="AS643" s="45" t="str">
        <f t="shared" si="69"/>
        <v>1B</v>
      </c>
      <c r="AT643" s="45">
        <f>RANK(Batters[[#This Row],[zScore]],Batters[[#All],[zScore]])</f>
        <v>639</v>
      </c>
      <c r="AU643" s="45"/>
      <c r="AV643" s="45"/>
      <c r="AW643" s="45" t="str">
        <f t="shared" si="70"/>
        <v>Unlikely</v>
      </c>
      <c r="AX643" s="45"/>
      <c r="AY643" s="64" t="str">
        <f>INDEX(Table5[[#All],[Ovr]],MATCH(Batters[[#This Row],[PID]],Table5[[#All],[PID]],0))</f>
        <v/>
      </c>
      <c r="AZ643" s="64" t="str">
        <f>INDEX(Table5[[#All],[Rnd]],MATCH(Batters[[#This Row],[PID]],Table5[[#All],[PID]],0))</f>
        <v/>
      </c>
      <c r="BA643" s="64" t="str">
        <f>INDEX(Table5[[#All],[Pick]],MATCH(Batters[[#This Row],[PID]],Table5[[#All],[PID]],0))</f>
        <v/>
      </c>
      <c r="BB643" s="64" t="str">
        <f>INDEX(Table5[[#All],[Team]],MATCH(Batters[[#This Row],[PID]],Table5[[#All],[PID]],0))</f>
        <v/>
      </c>
    </row>
    <row r="644" spans="1:54" ht="30" x14ac:dyDescent="0.25">
      <c r="A644" s="40">
        <v>14702</v>
      </c>
      <c r="B644" s="40" t="s">
        <v>87</v>
      </c>
      <c r="C644" s="40" t="s">
        <v>594</v>
      </c>
      <c r="D644" s="40" t="s">
        <v>888</v>
      </c>
      <c r="E644" s="40">
        <v>22</v>
      </c>
      <c r="F644" s="40" t="s">
        <v>42</v>
      </c>
      <c r="G644" s="40" t="s">
        <v>42</v>
      </c>
      <c r="H644" s="41" t="s">
        <v>639</v>
      </c>
      <c r="I644" s="65" t="s">
        <v>47</v>
      </c>
      <c r="J644" s="66" t="s">
        <v>43</v>
      </c>
      <c r="K644" s="67" t="s">
        <v>43</v>
      </c>
      <c r="L644" s="40">
        <v>2</v>
      </c>
      <c r="M644" s="40">
        <v>4</v>
      </c>
      <c r="N644" s="40">
        <v>2</v>
      </c>
      <c r="O644" s="40">
        <v>2</v>
      </c>
      <c r="P644" s="41">
        <v>1</v>
      </c>
      <c r="Q644" s="40">
        <v>3</v>
      </c>
      <c r="R644" s="40">
        <v>5</v>
      </c>
      <c r="S644" s="40">
        <v>3</v>
      </c>
      <c r="T644" s="40">
        <v>3</v>
      </c>
      <c r="U644" s="41">
        <v>2</v>
      </c>
      <c r="V644" s="40">
        <v>2</v>
      </c>
      <c r="W644" s="40">
        <v>1</v>
      </c>
      <c r="X644" s="40">
        <v>3</v>
      </c>
      <c r="Y644" s="41">
        <v>9</v>
      </c>
      <c r="Z644" s="40" t="s">
        <v>45</v>
      </c>
      <c r="AA644" s="40">
        <v>1</v>
      </c>
      <c r="AB644" s="40" t="s">
        <v>45</v>
      </c>
      <c r="AC644" s="40" t="s">
        <v>45</v>
      </c>
      <c r="AD644" s="40" t="s">
        <v>45</v>
      </c>
      <c r="AE644" s="40" t="s">
        <v>45</v>
      </c>
      <c r="AF644" s="40" t="s">
        <v>45</v>
      </c>
      <c r="AG644" s="41" t="s">
        <v>45</v>
      </c>
      <c r="AH644" s="40">
        <v>5</v>
      </c>
      <c r="AI644" s="40">
        <v>5</v>
      </c>
      <c r="AJ644" s="41">
        <v>3</v>
      </c>
      <c r="AK644" s="43" t="s">
        <v>45</v>
      </c>
      <c r="AL644" s="43"/>
      <c r="AM644" s="44">
        <f t="shared" si="64"/>
        <v>-1.4358368307353042</v>
      </c>
      <c r="AN644" s="44">
        <f t="shared" si="65"/>
        <v>-0.84943373106336018</v>
      </c>
      <c r="AO644" s="45">
        <f t="shared" si="66"/>
        <v>0</v>
      </c>
      <c r="AP644" s="46">
        <f t="shared" si="67"/>
        <v>0</v>
      </c>
      <c r="AQ644" s="44">
        <f>($AM$3*AM644+$AN$3*AN644+$AO$3*AO644+$AP$3*AP644)+$I$3*VLOOKUP(I644,COND!$A$2:$E$7,4,FALSE)+$J$3*VLOOKUP(J644,COND!$A$2:$C$7,2,FALSE)+$K$3*VLOOKUP(K644,COND!$A$2:$C$7,3,FALSE)+IF(AND($B$2&gt;0,$E644&lt;20),$B$2*25,0)</f>
        <v>34.888211544166147</v>
      </c>
      <c r="AR644" s="47">
        <f t="shared" si="68"/>
        <v>-2.0493970187483161</v>
      </c>
      <c r="AS644" s="45" t="str">
        <f t="shared" si="69"/>
        <v>1B</v>
      </c>
      <c r="AT644" s="45">
        <f>RANK(Batters[[#This Row],[zScore]],Batters[[#All],[zScore]])</f>
        <v>640</v>
      </c>
      <c r="AU644" s="45"/>
      <c r="AV644" s="45"/>
      <c r="AW644" s="45" t="str">
        <f t="shared" si="70"/>
        <v>Unlikely</v>
      </c>
      <c r="AX644" s="45"/>
      <c r="AY644" s="64" t="str">
        <f>INDEX(Table5[[#All],[Ovr]],MATCH(Batters[[#This Row],[PID]],Table5[[#All],[PID]],0))</f>
        <v/>
      </c>
      <c r="AZ644" s="64" t="str">
        <f>INDEX(Table5[[#All],[Rnd]],MATCH(Batters[[#This Row],[PID]],Table5[[#All],[PID]],0))</f>
        <v/>
      </c>
      <c r="BA644" s="64" t="str">
        <f>INDEX(Table5[[#All],[Pick]],MATCH(Batters[[#This Row],[PID]],Table5[[#All],[PID]],0))</f>
        <v/>
      </c>
      <c r="BB644" s="64" t="str">
        <f>INDEX(Table5[[#All],[Team]],MATCH(Batters[[#This Row],[PID]],Table5[[#All],[PID]],0))</f>
        <v/>
      </c>
    </row>
    <row r="645" spans="1:54" ht="30" x14ac:dyDescent="0.25">
      <c r="A645" s="40">
        <v>9355</v>
      </c>
      <c r="B645" s="40" t="s">
        <v>66</v>
      </c>
      <c r="C645" s="40" t="s">
        <v>750</v>
      </c>
      <c r="D645" s="40" t="s">
        <v>661</v>
      </c>
      <c r="E645" s="40">
        <v>21</v>
      </c>
      <c r="F645" s="40" t="s">
        <v>42</v>
      </c>
      <c r="G645" s="40" t="s">
        <v>42</v>
      </c>
      <c r="H645" s="41" t="s">
        <v>647</v>
      </c>
      <c r="I645" s="65" t="s">
        <v>43</v>
      </c>
      <c r="J645" s="66" t="s">
        <v>43</v>
      </c>
      <c r="K645" s="67" t="s">
        <v>43</v>
      </c>
      <c r="L645" s="40">
        <v>1</v>
      </c>
      <c r="M645" s="40">
        <v>1</v>
      </c>
      <c r="N645" s="40">
        <v>2</v>
      </c>
      <c r="O645" s="40">
        <v>1</v>
      </c>
      <c r="P645" s="41">
        <v>1</v>
      </c>
      <c r="Q645" s="40">
        <v>3</v>
      </c>
      <c r="R645" s="40">
        <v>4</v>
      </c>
      <c r="S645" s="40">
        <v>2</v>
      </c>
      <c r="T645" s="40">
        <v>4</v>
      </c>
      <c r="U645" s="41">
        <v>3</v>
      </c>
      <c r="V645" s="40">
        <v>5</v>
      </c>
      <c r="W645" s="40">
        <v>7</v>
      </c>
      <c r="X645" s="40">
        <v>1</v>
      </c>
      <c r="Y645" s="41">
        <v>1</v>
      </c>
      <c r="Z645" s="40" t="s">
        <v>45</v>
      </c>
      <c r="AA645" s="40" t="s">
        <v>45</v>
      </c>
      <c r="AB645" s="40" t="s">
        <v>45</v>
      </c>
      <c r="AC645" s="40" t="s">
        <v>45</v>
      </c>
      <c r="AD645" s="40" t="s">
        <v>45</v>
      </c>
      <c r="AE645" s="40">
        <v>2</v>
      </c>
      <c r="AF645" s="40" t="s">
        <v>45</v>
      </c>
      <c r="AG645" s="41">
        <v>2</v>
      </c>
      <c r="AH645" s="40">
        <v>3</v>
      </c>
      <c r="AI645" s="40">
        <v>8</v>
      </c>
      <c r="AJ645" s="41">
        <v>7</v>
      </c>
      <c r="AK645" s="43" t="s">
        <v>45</v>
      </c>
      <c r="AL645" s="43"/>
      <c r="AM645" s="44">
        <f t="shared" ref="AM645:AM708" si="71">($L$3*(L645-$Q$1)/$Q$2+$M$3*(M645-$R$1)/$R$2+$N$3*(N645-$S$1)/$S$2+$O$3*(O645-$T$1)/$T$2+$P$3*(P645-$U$1)/$U$2)/(SUM($L$3:$P$3))</f>
        <v>-2.0012818558036707</v>
      </c>
      <c r="AN645" s="44">
        <f t="shared" ref="AN645:AN708" si="72">($L$3*(Q645-$Q$1)/$Q$2+$M$3*(R645-$R$1)/$R$2+$N$3*(S645-$S$1)/$S$2+$O$3*(T645-$T$1)/$T$2+$P$3*(U645-$U$1)/$U$2)/(SUM($L$3:$P$3))</f>
        <v>-0.85382921487930052</v>
      </c>
      <c r="AO645" s="45">
        <f t="shared" ref="AO645:AO708" si="73">IF(AVERAGE(AH645:AI645)&gt;9,1,0)+IF(AVERAGE(AH645:AI645)&gt;7,1,0)+IF(AH645&gt;7,1,0)+IF(AI645&gt;7,1,0)+IF(AJ645&gt;8,1,0)+IF(AJ645&gt;6,1,0)</f>
        <v>2</v>
      </c>
      <c r="AP645" s="46">
        <f t="shared" ref="AP645:AP708" si="74">MIN(2,IF(OR(Z645="-",X645&lt;5),0,1+IF(Y645&gt;7,0.35,IF(Y645&gt;5,0.1,0))+IF(Z645&gt;7,1+IF(X645&gt;7,0.25,0),IF(Z645&gt;4,0.5+IF(X645&gt;7,0.25,0),0+IF(X645&gt;7,0.25))))+IF(AA645="-",0,IF(AA645&gt;9,0.5,IF(AA645&gt;7,0.25,0)))+IF(AB645="-",0,IF(AB645&gt;7,1.1,IF(AB645&gt;4,0.6,0)))+IF(OR(AC645="-",V645&lt;5),0,IF(AC645&gt;7,1+IF(V645&gt;7,0.25,0),IF(AC645&gt;4,0.5+IF(V645&gt;7,0.25,0),0)))+IF(AD645="-",0,IF(AD645&gt;7,1.5,IF(AD645&gt;4,1,0)))+IF(AE645="-",0,IF(AE645&gt;9,0.5,IF(AE645&gt;7,0.25,0)))+IF(AF645="-",0,IF(AF645&gt;7,1.25,IF(AF645&gt;4,0.75,0)))+IF(OR(AG645="-",W645&lt;4),0,IF(AG645&gt;7,1+IF(W645&gt;7,0.15,0),IF(AG645&gt;4,0.5+IF(W645&gt;7,0.15,0),0))))</f>
        <v>0</v>
      </c>
      <c r="AQ645" s="44">
        <f>($AM$3*AM645+$AN$3*AN645+$AO$3*AO645+$AP$3*AP645)+$I$3*VLOOKUP(I645,COND!$A$2:$E$7,4,FALSE)+$J$3*VLOOKUP(J645,COND!$A$2:$C$7,2,FALSE)+$K$3*VLOOKUP(K645,COND!$A$2:$C$7,3,FALSE)+IF(AND($B$2&gt;0,$E645&lt;20),$B$2*25,0)</f>
        <v>34.88725456920136</v>
      </c>
      <c r="AR645" s="47">
        <f t="shared" ref="AR645:AR708" si="75">STANDARDIZE(AQ645,AVERAGE($AQ$5:$AQ$534),STDEVP($AQ$5:$AQ$534))</f>
        <v>-2.0496091865665598</v>
      </c>
      <c r="AS645" s="45" t="str">
        <f t="shared" ref="AS645:AS708" si="76">IF(AND(Z645&lt;&gt;"-",Y645&gt;1),"C",IF(AB645=MAX(AB645:AD645),"2B",IF(AD645=MAX(AB645:AD645),"SS",IF(OR(AC645=MAX(AA645:AD645),AND(AC645&lt;&gt;"-",AC645&gt;4,V645&gt;5)),"3B",IF(AF645=MAX(AE645:AG645),"CF",IF(AND(AG645=MAX(AE645,AG645),AND(W645&gt;5,AG645&lt;&gt;"-")),"RF",IF(AE645&lt;&gt;"-","LF",IF(AA645&lt;&gt;"-","1B","DH"))))))))</f>
        <v>RF</v>
      </c>
      <c r="AT645" s="45">
        <f>RANK(Batters[[#This Row],[zScore]],Batters[[#All],[zScore]])</f>
        <v>641</v>
      </c>
      <c r="AU645" s="45"/>
      <c r="AV645" s="45"/>
      <c r="AW645" s="45" t="str">
        <f t="shared" ref="AW645:AW708" si="77">IF(AND($Q645&gt;=6,AVERAGE($S645:$T645)&gt;=6),"Likely",IF(OR($Q645&gt;6,AND($Q645=6,AVERAGE($S645:$T645)&gt;=3),AND($Q645&gt;=5,AVERAGE($S645:$T645)&gt;=5),AVERAGE($Q645,$S645:$T645)&gt;5),"Possible","Unlikely"))</f>
        <v>Unlikely</v>
      </c>
      <c r="AX645" s="45"/>
      <c r="AY645" s="64" t="str">
        <f>INDEX(Table5[[#All],[Ovr]],MATCH(Batters[[#This Row],[PID]],Table5[[#All],[PID]],0))</f>
        <v/>
      </c>
      <c r="AZ645" s="64" t="str">
        <f>INDEX(Table5[[#All],[Rnd]],MATCH(Batters[[#This Row],[PID]],Table5[[#All],[PID]],0))</f>
        <v/>
      </c>
      <c r="BA645" s="64" t="str">
        <f>INDEX(Table5[[#All],[Pick]],MATCH(Batters[[#This Row],[PID]],Table5[[#All],[PID]],0))</f>
        <v/>
      </c>
      <c r="BB645" s="64" t="str">
        <f>INDEX(Table5[[#All],[Team]],MATCH(Batters[[#This Row],[PID]],Table5[[#All],[PID]],0))</f>
        <v/>
      </c>
    </row>
    <row r="646" spans="1:54" ht="30" x14ac:dyDescent="0.25">
      <c r="A646" s="40">
        <v>9570</v>
      </c>
      <c r="B646" s="40" t="s">
        <v>66</v>
      </c>
      <c r="C646" s="40" t="s">
        <v>153</v>
      </c>
      <c r="D646" s="40" t="s">
        <v>901</v>
      </c>
      <c r="E646" s="40">
        <v>22</v>
      </c>
      <c r="F646" s="40" t="s">
        <v>53</v>
      </c>
      <c r="G646" s="40" t="s">
        <v>42</v>
      </c>
      <c r="H646" s="41" t="s">
        <v>639</v>
      </c>
      <c r="I646" s="65" t="s">
        <v>43</v>
      </c>
      <c r="J646" s="66" t="s">
        <v>43</v>
      </c>
      <c r="K646" s="67" t="s">
        <v>43</v>
      </c>
      <c r="L646" s="40">
        <v>2</v>
      </c>
      <c r="M646" s="40">
        <v>1</v>
      </c>
      <c r="N646" s="40">
        <v>2</v>
      </c>
      <c r="O646" s="40">
        <v>2</v>
      </c>
      <c r="P646" s="41">
        <v>3</v>
      </c>
      <c r="Q646" s="40">
        <v>3</v>
      </c>
      <c r="R646" s="40">
        <v>2</v>
      </c>
      <c r="S646" s="40">
        <v>3</v>
      </c>
      <c r="T646" s="40">
        <v>4</v>
      </c>
      <c r="U646" s="41">
        <v>4</v>
      </c>
      <c r="V646" s="40">
        <v>7</v>
      </c>
      <c r="W646" s="40">
        <v>8</v>
      </c>
      <c r="X646" s="40">
        <v>1</v>
      </c>
      <c r="Y646" s="41">
        <v>1</v>
      </c>
      <c r="Z646" s="40" t="s">
        <v>45</v>
      </c>
      <c r="AA646" s="40" t="s">
        <v>45</v>
      </c>
      <c r="AB646" s="40" t="s">
        <v>45</v>
      </c>
      <c r="AC646" s="40" t="s">
        <v>45</v>
      </c>
      <c r="AD646" s="40" t="s">
        <v>45</v>
      </c>
      <c r="AE646" s="40" t="s">
        <v>45</v>
      </c>
      <c r="AF646" s="40" t="s">
        <v>45</v>
      </c>
      <c r="AG646" s="41">
        <v>1</v>
      </c>
      <c r="AH646" s="40">
        <v>2</v>
      </c>
      <c r="AI646" s="40">
        <v>1</v>
      </c>
      <c r="AJ646" s="41">
        <v>1</v>
      </c>
      <c r="AK646" s="43" t="s">
        <v>45</v>
      </c>
      <c r="AL646" s="43"/>
      <c r="AM646" s="44">
        <f t="shared" si="71"/>
        <v>-1.508983789957248</v>
      </c>
      <c r="AN646" s="44">
        <f t="shared" si="72"/>
        <v>-0.83287114027572251</v>
      </c>
      <c r="AO646" s="45">
        <f t="shared" si="73"/>
        <v>0</v>
      </c>
      <c r="AP646" s="46">
        <f t="shared" si="74"/>
        <v>0</v>
      </c>
      <c r="AQ646" s="44">
        <f>($AM$3*AM646+$AN$3*AN646+$AO$3*AO646+$AP$3*AP646)+$I$3*VLOOKUP(I646,COND!$A$2:$E$7,4,FALSE)+$J$3*VLOOKUP(J646,COND!$A$2:$C$7,2,FALSE)+$K$3*VLOOKUP(K646,COND!$A$2:$C$7,3,FALSE)+IF(AND($B$2&gt;0,$E646&lt;20),$B$2*25,0)</f>
        <v>34.854647937695603</v>
      </c>
      <c r="AR646" s="47">
        <f t="shared" si="75"/>
        <v>-2.0568382971717605</v>
      </c>
      <c r="AS646" s="45" t="str">
        <f t="shared" si="76"/>
        <v>RF</v>
      </c>
      <c r="AT646" s="45">
        <f>RANK(Batters[[#This Row],[zScore]],Batters[[#All],[zScore]])</f>
        <v>642</v>
      </c>
      <c r="AU646" s="45"/>
      <c r="AV646" s="45"/>
      <c r="AW646" s="45" t="str">
        <f t="shared" si="77"/>
        <v>Unlikely</v>
      </c>
      <c r="AX646" s="45"/>
      <c r="AY646" s="64" t="str">
        <f>INDEX(Table5[[#All],[Ovr]],MATCH(Batters[[#This Row],[PID]],Table5[[#All],[PID]],0))</f>
        <v/>
      </c>
      <c r="AZ646" s="64" t="str">
        <f>INDEX(Table5[[#All],[Rnd]],MATCH(Batters[[#This Row],[PID]],Table5[[#All],[PID]],0))</f>
        <v/>
      </c>
      <c r="BA646" s="64" t="str">
        <f>INDEX(Table5[[#All],[Pick]],MATCH(Batters[[#This Row],[PID]],Table5[[#All],[PID]],0))</f>
        <v/>
      </c>
      <c r="BB646" s="64" t="str">
        <f>INDEX(Table5[[#All],[Team]],MATCH(Batters[[#This Row],[PID]],Table5[[#All],[PID]],0))</f>
        <v/>
      </c>
    </row>
    <row r="647" spans="1:54" ht="30" x14ac:dyDescent="0.25">
      <c r="A647" s="40">
        <v>18102</v>
      </c>
      <c r="B647" s="40" t="s">
        <v>72</v>
      </c>
      <c r="C647" s="40" t="s">
        <v>123</v>
      </c>
      <c r="D647" s="40" t="s">
        <v>696</v>
      </c>
      <c r="E647" s="40">
        <v>21</v>
      </c>
      <c r="F647" s="40" t="s">
        <v>42</v>
      </c>
      <c r="G647" s="40" t="s">
        <v>42</v>
      </c>
      <c r="H647" s="41" t="s">
        <v>638</v>
      </c>
      <c r="I647" s="65" t="s">
        <v>43</v>
      </c>
      <c r="J647" s="66" t="s">
        <v>44</v>
      </c>
      <c r="K647" s="67" t="s">
        <v>43</v>
      </c>
      <c r="L647" s="40">
        <v>1</v>
      </c>
      <c r="M647" s="40">
        <v>1</v>
      </c>
      <c r="N647" s="40">
        <v>3</v>
      </c>
      <c r="O647" s="40">
        <v>3</v>
      </c>
      <c r="P647" s="41">
        <v>1</v>
      </c>
      <c r="Q647" s="40">
        <v>3</v>
      </c>
      <c r="R647" s="40">
        <v>2</v>
      </c>
      <c r="S647" s="40">
        <v>3</v>
      </c>
      <c r="T647" s="40">
        <v>5</v>
      </c>
      <c r="U647" s="41">
        <v>2</v>
      </c>
      <c r="V647" s="40">
        <v>6</v>
      </c>
      <c r="W647" s="40">
        <v>5</v>
      </c>
      <c r="X647" s="40">
        <v>1</v>
      </c>
      <c r="Y647" s="41">
        <v>1</v>
      </c>
      <c r="Z647" s="40" t="s">
        <v>45</v>
      </c>
      <c r="AA647" s="40" t="s">
        <v>45</v>
      </c>
      <c r="AB647" s="40" t="s">
        <v>45</v>
      </c>
      <c r="AC647" s="40" t="s">
        <v>45</v>
      </c>
      <c r="AD647" s="40">
        <v>4</v>
      </c>
      <c r="AE647" s="40" t="s">
        <v>45</v>
      </c>
      <c r="AF647" s="40" t="s">
        <v>45</v>
      </c>
      <c r="AG647" s="41" t="s">
        <v>45</v>
      </c>
      <c r="AH647" s="40">
        <v>5</v>
      </c>
      <c r="AI647" s="40">
        <v>8</v>
      </c>
      <c r="AJ647" s="41">
        <v>6</v>
      </c>
      <c r="AK647" s="43" t="s">
        <v>45</v>
      </c>
      <c r="AL647" s="43" t="s">
        <v>635</v>
      </c>
      <c r="AM647" s="44">
        <f t="shared" si="71"/>
        <v>-1.738801261760607</v>
      </c>
      <c r="AN647" s="44">
        <f t="shared" si="72"/>
        <v>-0.82319426990030853</v>
      </c>
      <c r="AO647" s="45">
        <f t="shared" si="73"/>
        <v>1</v>
      </c>
      <c r="AP647" s="46">
        <f t="shared" si="74"/>
        <v>0</v>
      </c>
      <c r="AQ647" s="44">
        <f>($AM$3*AM647+$AN$3*AN647+$AO$3*AO647+$AP$3*AP647)+$I$3*VLOOKUP(I647,COND!$A$2:$E$7,4,FALSE)+$J$3*VLOOKUP(J647,COND!$A$2:$C$7,2,FALSE)+$K$3*VLOOKUP(K647,COND!$A$2:$C$7,3,FALSE)+IF(AND($B$2&gt;0,$E647&lt;20),$B$2*25,0)</f>
        <v>34.814455301686905</v>
      </c>
      <c r="AR647" s="47">
        <f t="shared" si="75"/>
        <v>-2.0657492762518945</v>
      </c>
      <c r="AS647" s="45" t="str">
        <f t="shared" si="76"/>
        <v>SS</v>
      </c>
      <c r="AT647" s="45">
        <f>RANK(Batters[[#This Row],[zScore]],Batters[[#All],[zScore]])</f>
        <v>643</v>
      </c>
      <c r="AU647" s="45"/>
      <c r="AV647" s="45"/>
      <c r="AW647" s="45" t="str">
        <f t="shared" si="77"/>
        <v>Unlikely</v>
      </c>
      <c r="AX647" s="45"/>
      <c r="AY647" s="45" t="str">
        <f>INDEX(Table5[[#All],[Ovr]],MATCH(Batters[[#This Row],[PID]],Table5[[#All],[PID]],0))</f>
        <v/>
      </c>
      <c r="AZ647" s="45" t="str">
        <f>INDEX(Table5[[#All],[Rnd]],MATCH(Batters[[#This Row],[PID]],Table5[[#All],[PID]],0))</f>
        <v/>
      </c>
      <c r="BA647" s="45" t="str">
        <f>INDEX(Table5[[#All],[Pick]],MATCH(Batters[[#This Row],[PID]],Table5[[#All],[PID]],0))</f>
        <v/>
      </c>
      <c r="BB647" s="45" t="str">
        <f>INDEX(Table5[[#All],[Team]],MATCH(Batters[[#This Row],[PID]],Table5[[#All],[PID]],0))</f>
        <v/>
      </c>
    </row>
    <row r="648" spans="1:54" ht="30" x14ac:dyDescent="0.25">
      <c r="A648" s="40">
        <v>15639</v>
      </c>
      <c r="B648" s="40" t="s">
        <v>71</v>
      </c>
      <c r="C648" s="40" t="s">
        <v>1645</v>
      </c>
      <c r="D648" s="40" t="s">
        <v>550</v>
      </c>
      <c r="E648" s="40">
        <v>21</v>
      </c>
      <c r="F648" s="40" t="s">
        <v>42</v>
      </c>
      <c r="G648" s="40" t="s">
        <v>42</v>
      </c>
      <c r="H648" s="41" t="s">
        <v>638</v>
      </c>
      <c r="I648" s="65" t="s">
        <v>43</v>
      </c>
      <c r="J648" s="66" t="s">
        <v>43</v>
      </c>
      <c r="K648" s="67" t="s">
        <v>43</v>
      </c>
      <c r="L648" s="40">
        <v>1</v>
      </c>
      <c r="M648" s="40">
        <v>2</v>
      </c>
      <c r="N648" s="40">
        <v>2</v>
      </c>
      <c r="O648" s="40">
        <v>1</v>
      </c>
      <c r="P648" s="41">
        <v>3</v>
      </c>
      <c r="Q648" s="40">
        <v>3</v>
      </c>
      <c r="R648" s="40">
        <v>3</v>
      </c>
      <c r="S648" s="40">
        <v>2</v>
      </c>
      <c r="T648" s="40">
        <v>3</v>
      </c>
      <c r="U648" s="41">
        <v>5</v>
      </c>
      <c r="V648" s="40">
        <v>9</v>
      </c>
      <c r="W648" s="40">
        <v>8</v>
      </c>
      <c r="X648" s="40">
        <v>1</v>
      </c>
      <c r="Y648" s="41">
        <v>1</v>
      </c>
      <c r="Z648" s="40" t="s">
        <v>45</v>
      </c>
      <c r="AA648" s="40" t="s">
        <v>45</v>
      </c>
      <c r="AB648" s="40">
        <v>6</v>
      </c>
      <c r="AC648" s="40" t="s">
        <v>45</v>
      </c>
      <c r="AD648" s="40">
        <v>1</v>
      </c>
      <c r="AE648" s="40" t="s">
        <v>45</v>
      </c>
      <c r="AF648" s="40" t="s">
        <v>45</v>
      </c>
      <c r="AG648" s="41" t="s">
        <v>45</v>
      </c>
      <c r="AH648" s="40">
        <v>9</v>
      </c>
      <c r="AI648" s="40">
        <v>7</v>
      </c>
      <c r="AJ648" s="41">
        <v>3</v>
      </c>
      <c r="AK648" s="43" t="s">
        <v>643</v>
      </c>
      <c r="AL648" s="43"/>
      <c r="AM648" s="44">
        <f t="shared" si="71"/>
        <v>-1.8701892965508</v>
      </c>
      <c r="AN648" s="44">
        <f t="shared" si="72"/>
        <v>-0.91456596487341812</v>
      </c>
      <c r="AO648" s="45">
        <f t="shared" si="73"/>
        <v>2</v>
      </c>
      <c r="AP648" s="46">
        <f t="shared" si="74"/>
        <v>0.6</v>
      </c>
      <c r="AQ648" s="44">
        <f>($AM$3*AM648+$AN$3*AN648+$AO$3*AO648+$AP$3*AP648)+$I$3*VLOOKUP(I648,COND!$A$2:$E$7,4,FALSE)+$J$3*VLOOKUP(J648,COND!$A$2:$C$7,2,FALSE)+$K$3*VLOOKUP(K648,COND!$A$2:$C$7,3,FALSE)+IF(AND($B$2&gt;0,$E648&lt;20),$B$2*25,0)</f>
        <v>34.771522825197238</v>
      </c>
      <c r="AR648" s="47">
        <f t="shared" si="75"/>
        <v>-2.0752676964862626</v>
      </c>
      <c r="AS648" s="45" t="str">
        <f t="shared" si="76"/>
        <v>2B</v>
      </c>
      <c r="AT648" s="45">
        <f>RANK(Batters[[#This Row],[zScore]],Batters[[#All],[zScore]])</f>
        <v>644</v>
      </c>
      <c r="AU648" s="45"/>
      <c r="AV648" s="45"/>
      <c r="AW648" s="45" t="str">
        <f t="shared" si="77"/>
        <v>Unlikely</v>
      </c>
      <c r="AX648" s="45"/>
      <c r="AY648" s="64" t="str">
        <f>INDEX(Table5[[#All],[Ovr]],MATCH(Batters[[#This Row],[PID]],Table5[[#All],[PID]],0))</f>
        <v/>
      </c>
      <c r="AZ648" s="64" t="str">
        <f>INDEX(Table5[[#All],[Rnd]],MATCH(Batters[[#This Row],[PID]],Table5[[#All],[PID]],0))</f>
        <v/>
      </c>
      <c r="BA648" s="64" t="str">
        <f>INDEX(Table5[[#All],[Pick]],MATCH(Batters[[#This Row],[PID]],Table5[[#All],[PID]],0))</f>
        <v/>
      </c>
      <c r="BB648" s="64" t="str">
        <f>INDEX(Table5[[#All],[Team]],MATCH(Batters[[#This Row],[PID]],Table5[[#All],[PID]],0))</f>
        <v/>
      </c>
    </row>
    <row r="649" spans="1:54" ht="30" x14ac:dyDescent="0.25">
      <c r="A649" s="40">
        <v>16004</v>
      </c>
      <c r="B649" s="40" t="s">
        <v>71</v>
      </c>
      <c r="C649" s="40" t="s">
        <v>176</v>
      </c>
      <c r="D649" s="40" t="s">
        <v>978</v>
      </c>
      <c r="E649" s="40">
        <v>22</v>
      </c>
      <c r="F649" s="40" t="s">
        <v>42</v>
      </c>
      <c r="G649" s="40" t="s">
        <v>42</v>
      </c>
      <c r="H649" s="41" t="s">
        <v>647</v>
      </c>
      <c r="I649" s="65" t="s">
        <v>44</v>
      </c>
      <c r="J649" s="66" t="s">
        <v>43</v>
      </c>
      <c r="K649" s="67" t="s">
        <v>43</v>
      </c>
      <c r="L649" s="40">
        <v>1</v>
      </c>
      <c r="M649" s="40">
        <v>2</v>
      </c>
      <c r="N649" s="40">
        <v>2</v>
      </c>
      <c r="O649" s="40">
        <v>2</v>
      </c>
      <c r="P649" s="41">
        <v>2</v>
      </c>
      <c r="Q649" s="40">
        <v>3</v>
      </c>
      <c r="R649" s="40">
        <v>3</v>
      </c>
      <c r="S649" s="40">
        <v>2</v>
      </c>
      <c r="T649" s="40">
        <v>4</v>
      </c>
      <c r="U649" s="41">
        <v>5</v>
      </c>
      <c r="V649" s="40">
        <v>3</v>
      </c>
      <c r="W649" s="40">
        <v>1</v>
      </c>
      <c r="X649" s="40">
        <v>1</v>
      </c>
      <c r="Y649" s="41">
        <v>1</v>
      </c>
      <c r="Z649" s="40" t="s">
        <v>45</v>
      </c>
      <c r="AA649" s="40" t="s">
        <v>45</v>
      </c>
      <c r="AB649" s="40">
        <v>1</v>
      </c>
      <c r="AC649" s="40" t="s">
        <v>45</v>
      </c>
      <c r="AD649" s="40" t="s">
        <v>45</v>
      </c>
      <c r="AE649" s="40" t="s">
        <v>45</v>
      </c>
      <c r="AF649" s="40" t="s">
        <v>45</v>
      </c>
      <c r="AG649" s="41" t="s">
        <v>45</v>
      </c>
      <c r="AH649" s="40">
        <v>3</v>
      </c>
      <c r="AI649" s="40">
        <v>1</v>
      </c>
      <c r="AJ649" s="41">
        <v>1</v>
      </c>
      <c r="AK649" s="43" t="s">
        <v>45</v>
      </c>
      <c r="AL649" s="43"/>
      <c r="AM649" s="44">
        <f t="shared" si="71"/>
        <v>-1.8204960863583022</v>
      </c>
      <c r="AN649" s="44">
        <f t="shared" si="72"/>
        <v>-0.82485641486383698</v>
      </c>
      <c r="AO649" s="45">
        <f t="shared" si="73"/>
        <v>0</v>
      </c>
      <c r="AP649" s="46">
        <f t="shared" si="74"/>
        <v>0</v>
      </c>
      <c r="AQ649" s="44">
        <f>($AM$3*AM649+$AN$3*AN649+$AO$3*AO649+$AP$3*AP649)+$I$3*VLOOKUP(I649,COND!$A$2:$E$7,4,FALSE)+$J$3*VLOOKUP(J649,COND!$A$2:$C$7,2,FALSE)+$K$3*VLOOKUP(K649,COND!$A$2:$C$7,3,FALSE)+IF(AND($B$2&gt;0,$E649&lt;20),$B$2*25,0)</f>
        <v>34.769673412998124</v>
      </c>
      <c r="AR649" s="47">
        <f t="shared" si="75"/>
        <v>-2.0756777236716726</v>
      </c>
      <c r="AS649" s="45" t="str">
        <f t="shared" si="76"/>
        <v>2B</v>
      </c>
      <c r="AT649" s="45">
        <f>RANK(Batters[[#This Row],[zScore]],Batters[[#All],[zScore]])</f>
        <v>645</v>
      </c>
      <c r="AU649" s="45"/>
      <c r="AV649" s="45"/>
      <c r="AW649" s="45" t="str">
        <f t="shared" si="77"/>
        <v>Unlikely</v>
      </c>
      <c r="AX649" s="45"/>
      <c r="AY649" s="64" t="str">
        <f>INDEX(Table5[[#All],[Ovr]],MATCH(Batters[[#This Row],[PID]],Table5[[#All],[PID]],0))</f>
        <v/>
      </c>
      <c r="AZ649" s="64" t="str">
        <f>INDEX(Table5[[#All],[Rnd]],MATCH(Batters[[#This Row],[PID]],Table5[[#All],[PID]],0))</f>
        <v/>
      </c>
      <c r="BA649" s="64" t="str">
        <f>INDEX(Table5[[#All],[Pick]],MATCH(Batters[[#This Row],[PID]],Table5[[#All],[PID]],0))</f>
        <v/>
      </c>
      <c r="BB649" s="64" t="str">
        <f>INDEX(Table5[[#All],[Team]],MATCH(Batters[[#This Row],[PID]],Table5[[#All],[PID]],0))</f>
        <v/>
      </c>
    </row>
    <row r="650" spans="1:54" ht="30" x14ac:dyDescent="0.25">
      <c r="A650" s="40">
        <v>18274</v>
      </c>
      <c r="B650" s="40" t="s">
        <v>86</v>
      </c>
      <c r="C650" s="40" t="s">
        <v>134</v>
      </c>
      <c r="D650" s="40" t="s">
        <v>619</v>
      </c>
      <c r="E650" s="40">
        <v>18</v>
      </c>
      <c r="F650" s="40" t="s">
        <v>53</v>
      </c>
      <c r="G650" s="40" t="s">
        <v>53</v>
      </c>
      <c r="H650" s="41" t="s">
        <v>647</v>
      </c>
      <c r="I650" s="65" t="s">
        <v>43</v>
      </c>
      <c r="J650" s="66" t="s">
        <v>44</v>
      </c>
      <c r="K650" s="67" t="s">
        <v>43</v>
      </c>
      <c r="L650" s="40">
        <v>1</v>
      </c>
      <c r="M650" s="40">
        <v>1</v>
      </c>
      <c r="N650" s="40">
        <v>2</v>
      </c>
      <c r="O650" s="40">
        <v>2</v>
      </c>
      <c r="P650" s="41">
        <v>1</v>
      </c>
      <c r="Q650" s="40">
        <v>2</v>
      </c>
      <c r="R650" s="40">
        <v>2</v>
      </c>
      <c r="S650" s="40">
        <v>2</v>
      </c>
      <c r="T650" s="40">
        <v>5</v>
      </c>
      <c r="U650" s="41">
        <v>2</v>
      </c>
      <c r="V650" s="40">
        <v>3</v>
      </c>
      <c r="W650" s="40">
        <v>2</v>
      </c>
      <c r="X650" s="40">
        <v>4</v>
      </c>
      <c r="Y650" s="41">
        <v>3</v>
      </c>
      <c r="Z650" s="40" t="s">
        <v>45</v>
      </c>
      <c r="AA650" s="40" t="s">
        <v>45</v>
      </c>
      <c r="AB650" s="40" t="s">
        <v>45</v>
      </c>
      <c r="AC650" s="40" t="s">
        <v>45</v>
      </c>
      <c r="AD650" s="40" t="s">
        <v>45</v>
      </c>
      <c r="AE650" s="40" t="s">
        <v>45</v>
      </c>
      <c r="AF650" s="40" t="s">
        <v>45</v>
      </c>
      <c r="AG650" s="41" t="s">
        <v>45</v>
      </c>
      <c r="AH650" s="40">
        <v>1</v>
      </c>
      <c r="AI650" s="40">
        <v>3</v>
      </c>
      <c r="AJ650" s="41">
        <v>1</v>
      </c>
      <c r="AK650" s="43" t="s">
        <v>644</v>
      </c>
      <c r="AL650" s="43"/>
      <c r="AM650" s="44">
        <f t="shared" si="71"/>
        <v>-1.9115723057940897</v>
      </c>
      <c r="AN650" s="44">
        <f t="shared" si="72"/>
        <v>-1.2288116001268847</v>
      </c>
      <c r="AO650" s="45">
        <f t="shared" si="73"/>
        <v>0</v>
      </c>
      <c r="AP650" s="46">
        <f t="shared" si="74"/>
        <v>0</v>
      </c>
      <c r="AQ650" s="44">
        <f>($AM$3*AM650+$AN$3*AN650+$AO$3*AO650+$AP$3*AP650)+$I$3*VLOOKUP(I650,COND!$A$2:$E$7,4,FALSE)+$J$3*VLOOKUP(J650,COND!$A$2:$C$7,2,FALSE)+$K$3*VLOOKUP(K650,COND!$A$2:$C$7,3,FALSE)+IF(AND($B$2&gt;0,$E650&lt;20),$B$2*25,0)</f>
        <v>34.763103567897971</v>
      </c>
      <c r="AR650" s="47">
        <f t="shared" si="75"/>
        <v>-2.0771343027384077</v>
      </c>
      <c r="AS650" s="45" t="str">
        <f t="shared" si="76"/>
        <v>DH</v>
      </c>
      <c r="AT650" s="45">
        <f>RANK(Batters[[#This Row],[zScore]],Batters[[#All],[zScore]])</f>
        <v>646</v>
      </c>
      <c r="AU650" s="45"/>
      <c r="AV650" s="45"/>
      <c r="AW650" s="45" t="str">
        <f t="shared" si="77"/>
        <v>Unlikely</v>
      </c>
      <c r="AX650" s="45"/>
      <c r="AY650" s="64" t="str">
        <f>INDEX(Table5[[#All],[Ovr]],MATCH(Batters[[#This Row],[PID]],Table5[[#All],[PID]],0))</f>
        <v/>
      </c>
      <c r="AZ650" s="64" t="str">
        <f>INDEX(Table5[[#All],[Rnd]],MATCH(Batters[[#This Row],[PID]],Table5[[#All],[PID]],0))</f>
        <v/>
      </c>
      <c r="BA650" s="64" t="str">
        <f>INDEX(Table5[[#All],[Pick]],MATCH(Batters[[#This Row],[PID]],Table5[[#All],[PID]],0))</f>
        <v/>
      </c>
      <c r="BB650" s="64" t="str">
        <f>INDEX(Table5[[#All],[Team]],MATCH(Batters[[#This Row],[PID]],Table5[[#All],[PID]],0))</f>
        <v/>
      </c>
    </row>
    <row r="651" spans="1:54" ht="30" x14ac:dyDescent="0.25">
      <c r="A651" s="40">
        <v>5408</v>
      </c>
      <c r="B651" s="40" t="s">
        <v>86</v>
      </c>
      <c r="C651" s="40" t="s">
        <v>172</v>
      </c>
      <c r="D651" s="40" t="s">
        <v>932</v>
      </c>
      <c r="E651" s="40">
        <v>22</v>
      </c>
      <c r="F651" s="40" t="s">
        <v>42</v>
      </c>
      <c r="G651" s="40" t="s">
        <v>42</v>
      </c>
      <c r="H651" s="41" t="s">
        <v>638</v>
      </c>
      <c r="I651" s="65" t="s">
        <v>43</v>
      </c>
      <c r="J651" s="66" t="s">
        <v>44</v>
      </c>
      <c r="K651" s="67" t="s">
        <v>43</v>
      </c>
      <c r="L651" s="40">
        <v>2</v>
      </c>
      <c r="M651" s="40">
        <v>2</v>
      </c>
      <c r="N651" s="40">
        <v>2</v>
      </c>
      <c r="O651" s="40">
        <v>2</v>
      </c>
      <c r="P651" s="41">
        <v>1</v>
      </c>
      <c r="Q651" s="40">
        <v>3</v>
      </c>
      <c r="R651" s="40">
        <v>3</v>
      </c>
      <c r="S651" s="40">
        <v>3</v>
      </c>
      <c r="T651" s="40">
        <v>4</v>
      </c>
      <c r="U651" s="41">
        <v>3</v>
      </c>
      <c r="V651" s="40">
        <v>2</v>
      </c>
      <c r="W651" s="40">
        <v>3</v>
      </c>
      <c r="X651" s="40">
        <v>5</v>
      </c>
      <c r="Y651" s="41">
        <v>6</v>
      </c>
      <c r="Z651" s="40" t="s">
        <v>45</v>
      </c>
      <c r="AA651" s="40" t="s">
        <v>45</v>
      </c>
      <c r="AB651" s="40" t="s">
        <v>45</v>
      </c>
      <c r="AC651" s="40" t="s">
        <v>45</v>
      </c>
      <c r="AD651" s="40" t="s">
        <v>45</v>
      </c>
      <c r="AE651" s="40" t="s">
        <v>45</v>
      </c>
      <c r="AF651" s="40" t="s">
        <v>45</v>
      </c>
      <c r="AG651" s="41" t="s">
        <v>45</v>
      </c>
      <c r="AH651" s="40">
        <v>1</v>
      </c>
      <c r="AI651" s="40">
        <v>1</v>
      </c>
      <c r="AJ651" s="41">
        <v>1</v>
      </c>
      <c r="AK651" s="43" t="s">
        <v>45</v>
      </c>
      <c r="AL651" s="43" t="s">
        <v>47</v>
      </c>
      <c r="AM651" s="44">
        <f t="shared" si="71"/>
        <v>-1.5379565899727115</v>
      </c>
      <c r="AN651" s="44">
        <f t="shared" si="72"/>
        <v>-0.82182760047410253</v>
      </c>
      <c r="AO651" s="45">
        <f t="shared" si="73"/>
        <v>0</v>
      </c>
      <c r="AP651" s="46">
        <f t="shared" si="74"/>
        <v>0</v>
      </c>
      <c r="AQ651" s="44">
        <f>($AM$3*AM651+$AN$3*AN651+$AO$3*AO651+$AP$3*AP651)+$I$3*VLOOKUP(I651,COND!$A$2:$E$7,4,FALSE)+$J$3*VLOOKUP(J651,COND!$A$2:$C$7,2,FALSE)+$K$3*VLOOKUP(K651,COND!$A$2:$C$7,3,FALSE)+IF(AND($B$2&gt;0,$E651&lt;20),$B$2*25,0)</f>
        <v>34.684273135313497</v>
      </c>
      <c r="AR651" s="47">
        <f t="shared" si="75"/>
        <v>-2.0946115424866583</v>
      </c>
      <c r="AS651" s="45" t="str">
        <f t="shared" si="76"/>
        <v>DH</v>
      </c>
      <c r="AT651" s="45">
        <f>RANK(Batters[[#This Row],[zScore]],Batters[[#All],[zScore]])</f>
        <v>647</v>
      </c>
      <c r="AU651" s="45"/>
      <c r="AV651" s="45"/>
      <c r="AW651" s="45" t="str">
        <f t="shared" si="77"/>
        <v>Unlikely</v>
      </c>
      <c r="AX651" s="45"/>
      <c r="AY651" s="45" t="str">
        <f>INDEX(Table5[[#All],[Ovr]],MATCH(Batters[[#This Row],[PID]],Table5[[#All],[PID]],0))</f>
        <v/>
      </c>
      <c r="AZ651" s="45" t="str">
        <f>INDEX(Table5[[#All],[Rnd]],MATCH(Batters[[#This Row],[PID]],Table5[[#All],[PID]],0))</f>
        <v/>
      </c>
      <c r="BA651" s="45" t="str">
        <f>INDEX(Table5[[#All],[Pick]],MATCH(Batters[[#This Row],[PID]],Table5[[#All],[PID]],0))</f>
        <v/>
      </c>
      <c r="BB651" s="45" t="str">
        <f>INDEX(Table5[[#All],[Team]],MATCH(Batters[[#This Row],[PID]],Table5[[#All],[PID]],0))</f>
        <v/>
      </c>
    </row>
    <row r="652" spans="1:54" ht="30" x14ac:dyDescent="0.25">
      <c r="A652" s="40">
        <v>11900</v>
      </c>
      <c r="B652" s="40" t="s">
        <v>87</v>
      </c>
      <c r="C652" s="40" t="s">
        <v>767</v>
      </c>
      <c r="D652" s="40" t="s">
        <v>696</v>
      </c>
      <c r="E652" s="40">
        <v>22</v>
      </c>
      <c r="F652" s="40" t="s">
        <v>42</v>
      </c>
      <c r="G652" s="40" t="s">
        <v>42</v>
      </c>
      <c r="H652" s="41" t="s">
        <v>638</v>
      </c>
      <c r="I652" s="65" t="s">
        <v>43</v>
      </c>
      <c r="J652" s="66" t="s">
        <v>44</v>
      </c>
      <c r="K652" s="67" t="s">
        <v>43</v>
      </c>
      <c r="L652" s="40">
        <v>2</v>
      </c>
      <c r="M652" s="40">
        <v>2</v>
      </c>
      <c r="N652" s="40">
        <v>2</v>
      </c>
      <c r="O652" s="40">
        <v>2</v>
      </c>
      <c r="P652" s="41">
        <v>1</v>
      </c>
      <c r="Q652" s="40">
        <v>3</v>
      </c>
      <c r="R652" s="40">
        <v>3</v>
      </c>
      <c r="S652" s="40">
        <v>3</v>
      </c>
      <c r="T652" s="40">
        <v>4</v>
      </c>
      <c r="U652" s="41">
        <v>3</v>
      </c>
      <c r="V652" s="40">
        <v>4</v>
      </c>
      <c r="W652" s="40">
        <v>1</v>
      </c>
      <c r="X652" s="40">
        <v>1</v>
      </c>
      <c r="Y652" s="41">
        <v>1</v>
      </c>
      <c r="Z652" s="40" t="s">
        <v>45</v>
      </c>
      <c r="AA652" s="40">
        <v>6</v>
      </c>
      <c r="AB652" s="40" t="s">
        <v>45</v>
      </c>
      <c r="AC652" s="40" t="s">
        <v>45</v>
      </c>
      <c r="AD652" s="40" t="s">
        <v>45</v>
      </c>
      <c r="AE652" s="40" t="s">
        <v>45</v>
      </c>
      <c r="AF652" s="40" t="s">
        <v>45</v>
      </c>
      <c r="AG652" s="41" t="s">
        <v>45</v>
      </c>
      <c r="AH652" s="40">
        <v>2</v>
      </c>
      <c r="AI652" s="40">
        <v>1</v>
      </c>
      <c r="AJ652" s="41">
        <v>1</v>
      </c>
      <c r="AK652" s="43" t="s">
        <v>45</v>
      </c>
      <c r="AL652" s="43" t="s">
        <v>635</v>
      </c>
      <c r="AM652" s="44">
        <f t="shared" si="71"/>
        <v>-1.5379565899727115</v>
      </c>
      <c r="AN652" s="44">
        <f t="shared" si="72"/>
        <v>-0.82182760047410253</v>
      </c>
      <c r="AO652" s="45">
        <f t="shared" si="73"/>
        <v>0</v>
      </c>
      <c r="AP652" s="46">
        <f t="shared" si="74"/>
        <v>0</v>
      </c>
      <c r="AQ652" s="44">
        <f>($AM$3*AM652+$AN$3*AN652+$AO$3*AO652+$AP$3*AP652)+$I$3*VLOOKUP(I652,COND!$A$2:$E$7,4,FALSE)+$J$3*VLOOKUP(J652,COND!$A$2:$C$7,2,FALSE)+$K$3*VLOOKUP(K652,COND!$A$2:$C$7,3,FALSE)+IF(AND($B$2&gt;0,$E652&lt;20),$B$2*25,0)</f>
        <v>34.684273135313497</v>
      </c>
      <c r="AR652" s="47">
        <f t="shared" si="75"/>
        <v>-2.0946115424866583</v>
      </c>
      <c r="AS652" s="45" t="str">
        <f t="shared" si="76"/>
        <v>1B</v>
      </c>
      <c r="AT652" s="45">
        <f>RANK(Batters[[#This Row],[zScore]],Batters[[#All],[zScore]])</f>
        <v>647</v>
      </c>
      <c r="AU652" s="45"/>
      <c r="AV652" s="45"/>
      <c r="AW652" s="45" t="str">
        <f t="shared" si="77"/>
        <v>Unlikely</v>
      </c>
      <c r="AX652" s="45"/>
      <c r="AY652" s="45" t="str">
        <f>INDEX(Table5[[#All],[Ovr]],MATCH(Batters[[#This Row],[PID]],Table5[[#All],[PID]],0))</f>
        <v/>
      </c>
      <c r="AZ652" s="45" t="str">
        <f>INDEX(Table5[[#All],[Rnd]],MATCH(Batters[[#This Row],[PID]],Table5[[#All],[PID]],0))</f>
        <v/>
      </c>
      <c r="BA652" s="45" t="str">
        <f>INDEX(Table5[[#All],[Pick]],MATCH(Batters[[#This Row],[PID]],Table5[[#All],[PID]],0))</f>
        <v/>
      </c>
      <c r="BB652" s="45" t="str">
        <f>INDEX(Table5[[#All],[Team]],MATCH(Batters[[#This Row],[PID]],Table5[[#All],[PID]],0))</f>
        <v/>
      </c>
    </row>
    <row r="653" spans="1:54" ht="30" x14ac:dyDescent="0.25">
      <c r="A653" s="40">
        <v>8504</v>
      </c>
      <c r="B653" s="40" t="s">
        <v>66</v>
      </c>
      <c r="C653" s="40" t="s">
        <v>292</v>
      </c>
      <c r="D653" s="40" t="s">
        <v>1694</v>
      </c>
      <c r="E653" s="40">
        <v>21</v>
      </c>
      <c r="F653" s="40" t="s">
        <v>53</v>
      </c>
      <c r="G653" s="40" t="s">
        <v>53</v>
      </c>
      <c r="H653" s="41" t="s">
        <v>639</v>
      </c>
      <c r="I653" s="65" t="s">
        <v>43</v>
      </c>
      <c r="J653" s="66" t="s">
        <v>47</v>
      </c>
      <c r="K653" s="67" t="s">
        <v>43</v>
      </c>
      <c r="L653" s="40">
        <v>1</v>
      </c>
      <c r="M653" s="40">
        <v>1</v>
      </c>
      <c r="N653" s="40">
        <v>3</v>
      </c>
      <c r="O653" s="40">
        <v>2</v>
      </c>
      <c r="P653" s="41">
        <v>3</v>
      </c>
      <c r="Q653" s="40">
        <v>3</v>
      </c>
      <c r="R653" s="40">
        <v>3</v>
      </c>
      <c r="S653" s="40">
        <v>3</v>
      </c>
      <c r="T653" s="40">
        <v>3</v>
      </c>
      <c r="U653" s="41">
        <v>4</v>
      </c>
      <c r="V653" s="40">
        <v>6</v>
      </c>
      <c r="W653" s="40">
        <v>8</v>
      </c>
      <c r="X653" s="40">
        <v>1</v>
      </c>
      <c r="Y653" s="41">
        <v>1</v>
      </c>
      <c r="Z653" s="40" t="s">
        <v>45</v>
      </c>
      <c r="AA653" s="40" t="s">
        <v>45</v>
      </c>
      <c r="AB653" s="40" t="s">
        <v>45</v>
      </c>
      <c r="AC653" s="40" t="s">
        <v>45</v>
      </c>
      <c r="AD653" s="40" t="s">
        <v>45</v>
      </c>
      <c r="AE653" s="40">
        <v>1</v>
      </c>
      <c r="AF653" s="40" t="s">
        <v>45</v>
      </c>
      <c r="AG653" s="41">
        <v>1</v>
      </c>
      <c r="AH653" s="40">
        <v>4</v>
      </c>
      <c r="AI653" s="40">
        <v>4</v>
      </c>
      <c r="AJ653" s="41">
        <v>1</v>
      </c>
      <c r="AK653" s="43" t="s">
        <v>45</v>
      </c>
      <c r="AL653" s="43"/>
      <c r="AM653" s="44">
        <f t="shared" si="71"/>
        <v>-1.7484781321360212</v>
      </c>
      <c r="AN653" s="44">
        <f t="shared" si="72"/>
        <v>-0.87152081066660003</v>
      </c>
      <c r="AO653" s="45">
        <f t="shared" si="73"/>
        <v>0</v>
      </c>
      <c r="AP653" s="46">
        <f t="shared" si="74"/>
        <v>0</v>
      </c>
      <c r="AQ653" s="44">
        <f>($AM$3*AM653+$AN$3*AN653+$AO$3*AO653+$AP$3*AP653)+$I$3*VLOOKUP(I653,COND!$A$2:$E$7,4,FALSE)+$J$3*VLOOKUP(J653,COND!$A$2:$C$7,2,FALSE)+$K$3*VLOOKUP(K653,COND!$A$2:$C$7,3,FALSE)+IF(AND($B$2&gt;0,$E653&lt;20),$B$2*25,0)</f>
        <v>34.666902458787199</v>
      </c>
      <c r="AR653" s="47">
        <f t="shared" si="75"/>
        <v>-2.0984627388874149</v>
      </c>
      <c r="AS653" s="45" t="str">
        <f t="shared" si="76"/>
        <v>RF</v>
      </c>
      <c r="AT653" s="45">
        <f>RANK(Batters[[#This Row],[zScore]],Batters[[#All],[zScore]])</f>
        <v>649</v>
      </c>
      <c r="AU653" s="45"/>
      <c r="AV653" s="45"/>
      <c r="AW653" s="45" t="str">
        <f t="shared" si="77"/>
        <v>Unlikely</v>
      </c>
      <c r="AX653" s="45"/>
      <c r="AY653" s="64" t="str">
        <f>INDEX(Table5[[#All],[Ovr]],MATCH(Batters[[#This Row],[PID]],Table5[[#All],[PID]],0))</f>
        <v/>
      </c>
      <c r="AZ653" s="64" t="str">
        <f>INDEX(Table5[[#All],[Rnd]],MATCH(Batters[[#This Row],[PID]],Table5[[#All],[PID]],0))</f>
        <v/>
      </c>
      <c r="BA653" s="64" t="str">
        <f>INDEX(Table5[[#All],[Pick]],MATCH(Batters[[#This Row],[PID]],Table5[[#All],[PID]],0))</f>
        <v/>
      </c>
      <c r="BB653" s="64" t="str">
        <f>INDEX(Table5[[#All],[Team]],MATCH(Batters[[#This Row],[PID]],Table5[[#All],[PID]],0))</f>
        <v/>
      </c>
    </row>
    <row r="654" spans="1:54" ht="30" x14ac:dyDescent="0.25">
      <c r="A654" s="40">
        <v>9533</v>
      </c>
      <c r="B654" s="40" t="s">
        <v>87</v>
      </c>
      <c r="C654" s="40" t="s">
        <v>646</v>
      </c>
      <c r="D654" s="40" t="s">
        <v>201</v>
      </c>
      <c r="E654" s="40">
        <v>22</v>
      </c>
      <c r="F654" s="40" t="s">
        <v>42</v>
      </c>
      <c r="G654" s="40" t="s">
        <v>53</v>
      </c>
      <c r="H654" s="41" t="s">
        <v>647</v>
      </c>
      <c r="I654" s="65" t="s">
        <v>43</v>
      </c>
      <c r="J654" s="66" t="s">
        <v>43</v>
      </c>
      <c r="K654" s="67" t="s">
        <v>43</v>
      </c>
      <c r="L654" s="40">
        <v>3</v>
      </c>
      <c r="M654" s="40">
        <v>2</v>
      </c>
      <c r="N654" s="40">
        <v>2</v>
      </c>
      <c r="O654" s="40">
        <v>1</v>
      </c>
      <c r="P654" s="41">
        <v>2</v>
      </c>
      <c r="Q654" s="40">
        <v>4</v>
      </c>
      <c r="R654" s="40">
        <v>3</v>
      </c>
      <c r="S654" s="40">
        <v>2</v>
      </c>
      <c r="T654" s="40">
        <v>1</v>
      </c>
      <c r="U654" s="41">
        <v>3</v>
      </c>
      <c r="V654" s="40">
        <v>4</v>
      </c>
      <c r="W654" s="40">
        <v>3</v>
      </c>
      <c r="X654" s="40">
        <v>1</v>
      </c>
      <c r="Y654" s="41">
        <v>1</v>
      </c>
      <c r="Z654" s="40" t="s">
        <v>45</v>
      </c>
      <c r="AA654" s="40">
        <v>1</v>
      </c>
      <c r="AB654" s="40" t="s">
        <v>45</v>
      </c>
      <c r="AC654" s="40" t="s">
        <v>45</v>
      </c>
      <c r="AD654" s="40" t="s">
        <v>45</v>
      </c>
      <c r="AE654" s="40" t="s">
        <v>45</v>
      </c>
      <c r="AF654" s="40" t="s">
        <v>45</v>
      </c>
      <c r="AG654" s="41" t="s">
        <v>45</v>
      </c>
      <c r="AH654" s="40">
        <v>1</v>
      </c>
      <c r="AI654" s="40">
        <v>1</v>
      </c>
      <c r="AJ654" s="41">
        <v>2</v>
      </c>
      <c r="AK654" s="43" t="s">
        <v>45</v>
      </c>
      <c r="AL654" s="43"/>
      <c r="AM654" s="44">
        <f t="shared" si="71"/>
        <v>-1.265093963962534</v>
      </c>
      <c r="AN654" s="44">
        <f t="shared" si="72"/>
        <v>-0.85146190832407254</v>
      </c>
      <c r="AO654" s="45">
        <f t="shared" si="73"/>
        <v>0</v>
      </c>
      <c r="AP654" s="46">
        <f t="shared" si="74"/>
        <v>0</v>
      </c>
      <c r="AQ654" s="44">
        <f>($AM$3*AM654+$AN$3*AN654+$AO$3*AO654+$AP$3*AP654)+$I$3*VLOOKUP(I654,COND!$A$2:$E$7,4,FALSE)+$J$3*VLOOKUP(J654,COND!$A$2:$C$7,2,FALSE)+$K$3*VLOOKUP(K654,COND!$A$2:$C$7,3,FALSE)+IF(AND($B$2&gt;0,$E654&lt;20),$B$2*25,0)</f>
        <v>34.655947703714872</v>
      </c>
      <c r="AR654" s="47">
        <f t="shared" si="75"/>
        <v>-2.1008914821342217</v>
      </c>
      <c r="AS654" s="45" t="str">
        <f t="shared" si="76"/>
        <v>1B</v>
      </c>
      <c r="AT654" s="45">
        <f>RANK(Batters[[#This Row],[zScore]],Batters[[#All],[zScore]])</f>
        <v>650</v>
      </c>
      <c r="AU654" s="45"/>
      <c r="AV654" s="45"/>
      <c r="AW654" s="45" t="str">
        <f t="shared" si="77"/>
        <v>Unlikely</v>
      </c>
      <c r="AX654" s="45"/>
      <c r="AY654" s="64" t="str">
        <f>INDEX(Table5[[#All],[Ovr]],MATCH(Batters[[#This Row],[PID]],Table5[[#All],[PID]],0))</f>
        <v/>
      </c>
      <c r="AZ654" s="64" t="str">
        <f>INDEX(Table5[[#All],[Rnd]],MATCH(Batters[[#This Row],[PID]],Table5[[#All],[PID]],0))</f>
        <v/>
      </c>
      <c r="BA654" s="64" t="str">
        <f>INDEX(Table5[[#All],[Pick]],MATCH(Batters[[#This Row],[PID]],Table5[[#All],[PID]],0))</f>
        <v/>
      </c>
      <c r="BB654" s="64" t="str">
        <f>INDEX(Table5[[#All],[Team]],MATCH(Batters[[#This Row],[PID]],Table5[[#All],[PID]],0))</f>
        <v/>
      </c>
    </row>
    <row r="655" spans="1:54" ht="30" x14ac:dyDescent="0.25">
      <c r="A655" s="40">
        <v>18021</v>
      </c>
      <c r="B655" s="40" t="s">
        <v>71</v>
      </c>
      <c r="C655" s="40" t="s">
        <v>1427</v>
      </c>
      <c r="D655" s="40" t="s">
        <v>679</v>
      </c>
      <c r="E655" s="40">
        <v>21</v>
      </c>
      <c r="F655" s="40" t="s">
        <v>42</v>
      </c>
      <c r="G655" s="40" t="s">
        <v>42</v>
      </c>
      <c r="H655" s="41" t="s">
        <v>638</v>
      </c>
      <c r="I655" s="65" t="s">
        <v>44</v>
      </c>
      <c r="J655" s="66" t="s">
        <v>44</v>
      </c>
      <c r="K655" s="67" t="s">
        <v>43</v>
      </c>
      <c r="L655" s="40">
        <v>2</v>
      </c>
      <c r="M655" s="40">
        <v>2</v>
      </c>
      <c r="N655" s="40">
        <v>2</v>
      </c>
      <c r="O655" s="40">
        <v>1</v>
      </c>
      <c r="P655" s="41">
        <v>1</v>
      </c>
      <c r="Q655" s="40">
        <v>3</v>
      </c>
      <c r="R655" s="40">
        <v>3</v>
      </c>
      <c r="S655" s="40">
        <v>2</v>
      </c>
      <c r="T655" s="40">
        <v>4</v>
      </c>
      <c r="U655" s="41">
        <v>3</v>
      </c>
      <c r="V655" s="40">
        <v>1</v>
      </c>
      <c r="W655" s="40">
        <v>1</v>
      </c>
      <c r="X655" s="40">
        <v>1</v>
      </c>
      <c r="Y655" s="41">
        <v>1</v>
      </c>
      <c r="Z655" s="40" t="s">
        <v>45</v>
      </c>
      <c r="AA655" s="40" t="s">
        <v>45</v>
      </c>
      <c r="AB655" s="40">
        <v>6</v>
      </c>
      <c r="AC655" s="40" t="s">
        <v>45</v>
      </c>
      <c r="AD655" s="40" t="s">
        <v>45</v>
      </c>
      <c r="AE655" s="40" t="s">
        <v>45</v>
      </c>
      <c r="AF655" s="40" t="s">
        <v>45</v>
      </c>
      <c r="AG655" s="41" t="s">
        <v>45</v>
      </c>
      <c r="AH655" s="40">
        <v>10</v>
      </c>
      <c r="AI655" s="40">
        <v>7</v>
      </c>
      <c r="AJ655" s="41">
        <v>7</v>
      </c>
      <c r="AK655" s="43" t="s">
        <v>45</v>
      </c>
      <c r="AL655" s="43" t="s">
        <v>47</v>
      </c>
      <c r="AM655" s="44">
        <f t="shared" si="71"/>
        <v>-1.6276661399822923</v>
      </c>
      <c r="AN655" s="44">
        <f t="shared" si="72"/>
        <v>-0.90488909449800403</v>
      </c>
      <c r="AO655" s="45">
        <f t="shared" si="73"/>
        <v>3</v>
      </c>
      <c r="AP655" s="46">
        <f t="shared" si="74"/>
        <v>0.6</v>
      </c>
      <c r="AQ655" s="44">
        <f>($AM$3*AM655+$AN$3*AN655+$AO$3*AO655+$AP$3*AP655)+$I$3*VLOOKUP(I655,COND!$A$2:$E$7,4,FALSE)+$J$3*VLOOKUP(J655,COND!$A$2:$C$7,2,FALSE)+$K$3*VLOOKUP(K655,COND!$A$2:$C$7,3,FALSE)+IF(AND($B$2&gt;0,$E655&lt;20),$B$2*25,0)</f>
        <v>34.628564252025718</v>
      </c>
      <c r="AR655" s="47">
        <f t="shared" si="75"/>
        <v>-2.1069625784686625</v>
      </c>
      <c r="AS655" s="45" t="str">
        <f t="shared" si="76"/>
        <v>2B</v>
      </c>
      <c r="AT655" s="45">
        <f>RANK(Batters[[#This Row],[zScore]],Batters[[#All],[zScore]])</f>
        <v>651</v>
      </c>
      <c r="AU655" s="45"/>
      <c r="AV655" s="45"/>
      <c r="AW655" s="45" t="str">
        <f t="shared" si="77"/>
        <v>Unlikely</v>
      </c>
      <c r="AX655" s="45"/>
      <c r="AY655" s="45" t="str">
        <f>INDEX(Table5[[#All],[Ovr]],MATCH(Batters[[#This Row],[PID]],Table5[[#All],[PID]],0))</f>
        <v/>
      </c>
      <c r="AZ655" s="45" t="str">
        <f>INDEX(Table5[[#All],[Rnd]],MATCH(Batters[[#This Row],[PID]],Table5[[#All],[PID]],0))</f>
        <v/>
      </c>
      <c r="BA655" s="45" t="str">
        <f>INDEX(Table5[[#All],[Pick]],MATCH(Batters[[#This Row],[PID]],Table5[[#All],[PID]],0))</f>
        <v/>
      </c>
      <c r="BB655" s="45" t="str">
        <f>INDEX(Table5[[#All],[Team]],MATCH(Batters[[#This Row],[PID]],Table5[[#All],[PID]],0))</f>
        <v/>
      </c>
    </row>
    <row r="656" spans="1:54" ht="30" x14ac:dyDescent="0.25">
      <c r="A656" s="40">
        <v>11875</v>
      </c>
      <c r="B656" s="40" t="s">
        <v>72</v>
      </c>
      <c r="C656" s="40" t="s">
        <v>1576</v>
      </c>
      <c r="D656" s="40" t="s">
        <v>372</v>
      </c>
      <c r="E656" s="40">
        <v>21</v>
      </c>
      <c r="F656" s="40" t="s">
        <v>42</v>
      </c>
      <c r="G656" s="40" t="s">
        <v>42</v>
      </c>
      <c r="H656" s="41" t="s">
        <v>638</v>
      </c>
      <c r="I656" s="65" t="s">
        <v>43</v>
      </c>
      <c r="J656" s="66" t="s">
        <v>44</v>
      </c>
      <c r="K656" s="67" t="s">
        <v>43</v>
      </c>
      <c r="L656" s="40">
        <v>1</v>
      </c>
      <c r="M656" s="40">
        <v>2</v>
      </c>
      <c r="N656" s="40">
        <v>2</v>
      </c>
      <c r="O656" s="40">
        <v>3</v>
      </c>
      <c r="P656" s="41">
        <v>2</v>
      </c>
      <c r="Q656" s="40">
        <v>3</v>
      </c>
      <c r="R656" s="40">
        <v>2</v>
      </c>
      <c r="S656" s="40">
        <v>2</v>
      </c>
      <c r="T656" s="40">
        <v>5</v>
      </c>
      <c r="U656" s="41">
        <v>4</v>
      </c>
      <c r="V656" s="40">
        <v>7</v>
      </c>
      <c r="W656" s="40">
        <v>5</v>
      </c>
      <c r="X656" s="40">
        <v>1</v>
      </c>
      <c r="Y656" s="41">
        <v>1</v>
      </c>
      <c r="Z656" s="40" t="s">
        <v>45</v>
      </c>
      <c r="AA656" s="40" t="s">
        <v>45</v>
      </c>
      <c r="AB656" s="40">
        <v>2</v>
      </c>
      <c r="AC656" s="40" t="s">
        <v>45</v>
      </c>
      <c r="AD656" s="40">
        <v>4</v>
      </c>
      <c r="AE656" s="40" t="s">
        <v>45</v>
      </c>
      <c r="AF656" s="40" t="s">
        <v>45</v>
      </c>
      <c r="AG656" s="41" t="s">
        <v>45</v>
      </c>
      <c r="AH656" s="40">
        <v>4</v>
      </c>
      <c r="AI656" s="40">
        <v>1</v>
      </c>
      <c r="AJ656" s="41">
        <v>1</v>
      </c>
      <c r="AK656" s="43" t="s">
        <v>45</v>
      </c>
      <c r="AL656" s="43" t="s">
        <v>635</v>
      </c>
      <c r="AM656" s="44">
        <f t="shared" si="71"/>
        <v>-1.7307865363487211</v>
      </c>
      <c r="AN656" s="44">
        <f t="shared" si="72"/>
        <v>-0.8262230842900431</v>
      </c>
      <c r="AO656" s="45">
        <f t="shared" si="73"/>
        <v>0</v>
      </c>
      <c r="AP656" s="46">
        <f t="shared" si="74"/>
        <v>0</v>
      </c>
      <c r="AQ656" s="44">
        <f>($AM$3*AM656+$AN$3*AN656+$AO$3*AO656+$AP$3*AP656)+$I$3*VLOOKUP(I656,COND!$A$2:$E$7,4,FALSE)+$J$3*VLOOKUP(J656,COND!$A$2:$C$7,2,FALSE)+$K$3*VLOOKUP(K656,COND!$A$2:$C$7,3,FALSE)+IF(AND($B$2&gt;0,$E656&lt;20),$B$2*25,0)</f>
        <v>34.612244334884608</v>
      </c>
      <c r="AR656" s="47">
        <f t="shared" si="75"/>
        <v>-2.1105808144112488</v>
      </c>
      <c r="AS656" s="45" t="str">
        <f t="shared" si="76"/>
        <v>SS</v>
      </c>
      <c r="AT656" s="45">
        <f>RANK(Batters[[#This Row],[zScore]],Batters[[#All],[zScore]])</f>
        <v>652</v>
      </c>
      <c r="AU656" s="45"/>
      <c r="AV656" s="45"/>
      <c r="AW656" s="45" t="str">
        <f t="shared" si="77"/>
        <v>Unlikely</v>
      </c>
      <c r="AX656" s="45"/>
      <c r="AY656" s="45" t="str">
        <f>INDEX(Table5[[#All],[Ovr]],MATCH(Batters[[#This Row],[PID]],Table5[[#All],[PID]],0))</f>
        <v/>
      </c>
      <c r="AZ656" s="45" t="str">
        <f>INDEX(Table5[[#All],[Rnd]],MATCH(Batters[[#This Row],[PID]],Table5[[#All],[PID]],0))</f>
        <v/>
      </c>
      <c r="BA656" s="45" t="str">
        <f>INDEX(Table5[[#All],[Pick]],MATCH(Batters[[#This Row],[PID]],Table5[[#All],[PID]],0))</f>
        <v/>
      </c>
      <c r="BB656" s="45" t="str">
        <f>INDEX(Table5[[#All],[Team]],MATCH(Batters[[#This Row],[PID]],Table5[[#All],[PID]],0))</f>
        <v/>
      </c>
    </row>
    <row r="657" spans="1:54" ht="30" x14ac:dyDescent="0.25">
      <c r="A657" s="40">
        <v>20196</v>
      </c>
      <c r="B657" s="40" t="s">
        <v>86</v>
      </c>
      <c r="C657" s="40" t="s">
        <v>324</v>
      </c>
      <c r="D657" s="40" t="s">
        <v>1449</v>
      </c>
      <c r="E657" s="40">
        <v>21</v>
      </c>
      <c r="F657" s="40" t="s">
        <v>42</v>
      </c>
      <c r="G657" s="40" t="s">
        <v>42</v>
      </c>
      <c r="H657" s="41" t="s">
        <v>638</v>
      </c>
      <c r="I657" s="65" t="s">
        <v>43</v>
      </c>
      <c r="J657" s="66" t="s">
        <v>47</v>
      </c>
      <c r="K657" s="67" t="s">
        <v>43</v>
      </c>
      <c r="L657" s="40">
        <v>1</v>
      </c>
      <c r="M657" s="40">
        <v>3</v>
      </c>
      <c r="N657" s="40">
        <v>3</v>
      </c>
      <c r="O657" s="40">
        <v>3</v>
      </c>
      <c r="P657" s="41">
        <v>1</v>
      </c>
      <c r="Q657" s="40">
        <v>2</v>
      </c>
      <c r="R657" s="40">
        <v>3</v>
      </c>
      <c r="S657" s="40">
        <v>4</v>
      </c>
      <c r="T657" s="40">
        <v>5</v>
      </c>
      <c r="U657" s="41">
        <v>3</v>
      </c>
      <c r="V657" s="40">
        <v>4</v>
      </c>
      <c r="W657" s="40">
        <v>4</v>
      </c>
      <c r="X657" s="40">
        <v>6</v>
      </c>
      <c r="Y657" s="41">
        <v>6</v>
      </c>
      <c r="Z657" s="40">
        <v>4</v>
      </c>
      <c r="AA657" s="40">
        <v>4</v>
      </c>
      <c r="AB657" s="40" t="s">
        <v>45</v>
      </c>
      <c r="AC657" s="40" t="s">
        <v>45</v>
      </c>
      <c r="AD657" s="40" t="s">
        <v>45</v>
      </c>
      <c r="AE657" s="40" t="s">
        <v>45</v>
      </c>
      <c r="AF657" s="40" t="s">
        <v>45</v>
      </c>
      <c r="AG657" s="41" t="s">
        <v>45</v>
      </c>
      <c r="AH657" s="40">
        <v>1</v>
      </c>
      <c r="AI657" s="40">
        <v>3</v>
      </c>
      <c r="AJ657" s="41">
        <v>1</v>
      </c>
      <c r="AK657" s="43" t="s">
        <v>643</v>
      </c>
      <c r="AL657" s="43" t="s">
        <v>47</v>
      </c>
      <c r="AM657" s="44">
        <f t="shared" si="71"/>
        <v>-1.6366815025231998</v>
      </c>
      <c r="AN657" s="44">
        <f t="shared" si="72"/>
        <v>-0.97161239264329491</v>
      </c>
      <c r="AO657" s="45">
        <f t="shared" si="73"/>
        <v>0</v>
      </c>
      <c r="AP657" s="46">
        <f t="shared" si="74"/>
        <v>1.1000000000000001</v>
      </c>
      <c r="AQ657" s="44">
        <f>($AM$3*AM657+$AN$3*AN657+$AO$3*AO657+$AP$3*AP657)+$I$3*VLOOKUP(I657,COND!$A$2:$E$7,4,FALSE)+$J$3*VLOOKUP(J657,COND!$A$2:$C$7,2,FALSE)+$K$3*VLOOKUP(K657,COND!$A$2:$C$7,3,FALSE)+IF(AND($B$2&gt;0,$E657&lt;20),$B$2*25,0)</f>
        <v>34.57698313802814</v>
      </c>
      <c r="AR657" s="47">
        <f t="shared" si="75"/>
        <v>-2.1183984600978985</v>
      </c>
      <c r="AS657" s="45" t="str">
        <f t="shared" si="76"/>
        <v>C</v>
      </c>
      <c r="AT657" s="45">
        <f>RANK(Batters[[#This Row],[zScore]],Batters[[#All],[zScore]])</f>
        <v>653</v>
      </c>
      <c r="AU657" s="45"/>
      <c r="AV657" s="45"/>
      <c r="AW657" s="45" t="str">
        <f t="shared" si="77"/>
        <v>Unlikely</v>
      </c>
      <c r="AX657" s="45"/>
      <c r="AY657" s="45">
        <f>INDEX(Table5[[#All],[Ovr]],MATCH(Batters[[#This Row],[PID]],Table5[[#All],[PID]],0))</f>
        <v>535</v>
      </c>
      <c r="AZ657" s="45" t="str">
        <f>INDEX(Table5[[#All],[Rnd]],MATCH(Batters[[#This Row],[PID]],Table5[[#All],[PID]],0))</f>
        <v>18</v>
      </c>
      <c r="BA657" s="45">
        <f>INDEX(Table5[[#All],[Pick]],MATCH(Batters[[#This Row],[PID]],Table5[[#All],[PID]],0))</f>
        <v>17</v>
      </c>
      <c r="BB657" s="45" t="str">
        <f>INDEX(Table5[[#All],[Team]],MATCH(Batters[[#This Row],[PID]],Table5[[#All],[PID]],0))</f>
        <v>Madison Malts</v>
      </c>
    </row>
    <row r="658" spans="1:54" ht="30" x14ac:dyDescent="0.25">
      <c r="A658" s="40">
        <v>12388</v>
      </c>
      <c r="B658" s="40" t="s">
        <v>87</v>
      </c>
      <c r="C658" s="40" t="s">
        <v>820</v>
      </c>
      <c r="D658" s="40" t="s">
        <v>821</v>
      </c>
      <c r="E658" s="40">
        <v>22</v>
      </c>
      <c r="F658" s="40" t="s">
        <v>42</v>
      </c>
      <c r="G658" s="40" t="s">
        <v>42</v>
      </c>
      <c r="H658" s="41" t="s">
        <v>647</v>
      </c>
      <c r="I658" s="65" t="s">
        <v>43</v>
      </c>
      <c r="J658" s="66" t="s">
        <v>43</v>
      </c>
      <c r="K658" s="67" t="s">
        <v>43</v>
      </c>
      <c r="L658" s="40">
        <v>3</v>
      </c>
      <c r="M658" s="40">
        <v>2</v>
      </c>
      <c r="N658" s="40">
        <v>2</v>
      </c>
      <c r="O658" s="40">
        <v>1</v>
      </c>
      <c r="P658" s="41">
        <v>3</v>
      </c>
      <c r="Q658" s="40">
        <v>4</v>
      </c>
      <c r="R658" s="40">
        <v>2</v>
      </c>
      <c r="S658" s="40">
        <v>2</v>
      </c>
      <c r="T658" s="40">
        <v>1</v>
      </c>
      <c r="U658" s="41">
        <v>4</v>
      </c>
      <c r="V658" s="40">
        <v>5</v>
      </c>
      <c r="W658" s="40">
        <v>3</v>
      </c>
      <c r="X658" s="40">
        <v>1</v>
      </c>
      <c r="Y658" s="41">
        <v>1</v>
      </c>
      <c r="Z658" s="40" t="s">
        <v>45</v>
      </c>
      <c r="AA658" s="40">
        <v>1</v>
      </c>
      <c r="AB658" s="40" t="s">
        <v>45</v>
      </c>
      <c r="AC658" s="40" t="s">
        <v>45</v>
      </c>
      <c r="AD658" s="40" t="s">
        <v>45</v>
      </c>
      <c r="AE658" s="40" t="s">
        <v>45</v>
      </c>
      <c r="AF658" s="40" t="s">
        <v>45</v>
      </c>
      <c r="AG658" s="41" t="s">
        <v>45</v>
      </c>
      <c r="AH658" s="40">
        <v>1</v>
      </c>
      <c r="AI658" s="40">
        <v>1</v>
      </c>
      <c r="AJ658" s="41">
        <v>1</v>
      </c>
      <c r="AK658" s="43" t="s">
        <v>45</v>
      </c>
      <c r="AL658" s="43"/>
      <c r="AM658" s="44">
        <f t="shared" si="71"/>
        <v>-1.2250776241454506</v>
      </c>
      <c r="AN658" s="44">
        <f t="shared" si="72"/>
        <v>-0.86250544812569241</v>
      </c>
      <c r="AO658" s="45">
        <f t="shared" si="73"/>
        <v>0</v>
      </c>
      <c r="AP658" s="46">
        <f t="shared" si="74"/>
        <v>0</v>
      </c>
      <c r="AQ658" s="44">
        <f>($AM$3*AM658+$AN$3*AN658+$AO$3*AO658+$AP$3*AP658)+$I$3*VLOOKUP(I658,COND!$A$2:$E$7,4,FALSE)+$J$3*VLOOKUP(J658,COND!$A$2:$C$7,2,FALSE)+$K$3*VLOOKUP(K658,COND!$A$2:$C$7,3,FALSE)+IF(AND($B$2&gt;0,$E658&lt;20),$B$2*25,0)</f>
        <v>34.527426860077149</v>
      </c>
      <c r="AR658" s="47">
        <f t="shared" si="75"/>
        <v>-2.1293854218889843</v>
      </c>
      <c r="AS658" s="45" t="str">
        <f t="shared" si="76"/>
        <v>1B</v>
      </c>
      <c r="AT658" s="45">
        <f>RANK(Batters[[#This Row],[zScore]],Batters[[#All],[zScore]])</f>
        <v>654</v>
      </c>
      <c r="AU658" s="45"/>
      <c r="AV658" s="45"/>
      <c r="AW658" s="45" t="str">
        <f t="shared" si="77"/>
        <v>Unlikely</v>
      </c>
      <c r="AX658" s="45"/>
      <c r="AY658" s="64" t="str">
        <f>INDEX(Table5[[#All],[Ovr]],MATCH(Batters[[#This Row],[PID]],Table5[[#All],[PID]],0))</f>
        <v/>
      </c>
      <c r="AZ658" s="64" t="str">
        <f>INDEX(Table5[[#All],[Rnd]],MATCH(Batters[[#This Row],[PID]],Table5[[#All],[PID]],0))</f>
        <v/>
      </c>
      <c r="BA658" s="64" t="str">
        <f>INDEX(Table5[[#All],[Pick]],MATCH(Batters[[#This Row],[PID]],Table5[[#All],[PID]],0))</f>
        <v/>
      </c>
      <c r="BB658" s="64" t="str">
        <f>INDEX(Table5[[#All],[Team]],MATCH(Batters[[#This Row],[PID]],Table5[[#All],[PID]],0))</f>
        <v/>
      </c>
    </row>
    <row r="659" spans="1:54" ht="30" x14ac:dyDescent="0.25">
      <c r="A659" s="40">
        <v>13501</v>
      </c>
      <c r="B659" s="40" t="s">
        <v>87</v>
      </c>
      <c r="C659" s="40" t="s">
        <v>1733</v>
      </c>
      <c r="D659" s="40" t="s">
        <v>1734</v>
      </c>
      <c r="E659" s="40">
        <v>21</v>
      </c>
      <c r="F659" s="40" t="s">
        <v>53</v>
      </c>
      <c r="G659" s="40" t="s">
        <v>53</v>
      </c>
      <c r="H659" s="41" t="s">
        <v>647</v>
      </c>
      <c r="I659" s="65" t="s">
        <v>43</v>
      </c>
      <c r="J659" s="66" t="s">
        <v>43</v>
      </c>
      <c r="K659" s="67" t="s">
        <v>43</v>
      </c>
      <c r="L659" s="40">
        <v>2</v>
      </c>
      <c r="M659" s="40">
        <v>1</v>
      </c>
      <c r="N659" s="40">
        <v>2</v>
      </c>
      <c r="O659" s="40">
        <v>1</v>
      </c>
      <c r="P659" s="41">
        <v>2</v>
      </c>
      <c r="Q659" s="40">
        <v>4</v>
      </c>
      <c r="R659" s="40">
        <v>2</v>
      </c>
      <c r="S659" s="40">
        <v>2</v>
      </c>
      <c r="T659" s="40">
        <v>1</v>
      </c>
      <c r="U659" s="41">
        <v>4</v>
      </c>
      <c r="V659" s="40">
        <v>7</v>
      </c>
      <c r="W659" s="40">
        <v>1</v>
      </c>
      <c r="X659" s="40">
        <v>1</v>
      </c>
      <c r="Y659" s="41">
        <v>1</v>
      </c>
      <c r="Z659" s="40" t="s">
        <v>45</v>
      </c>
      <c r="AA659" s="40">
        <v>1</v>
      </c>
      <c r="AB659" s="40" t="s">
        <v>45</v>
      </c>
      <c r="AC659" s="40" t="s">
        <v>45</v>
      </c>
      <c r="AD659" s="40" t="s">
        <v>45</v>
      </c>
      <c r="AE659" s="40" t="s">
        <v>45</v>
      </c>
      <c r="AF659" s="40" t="s">
        <v>45</v>
      </c>
      <c r="AG659" s="41" t="s">
        <v>45</v>
      </c>
      <c r="AH659" s="40">
        <v>1</v>
      </c>
      <c r="AI659" s="40">
        <v>1</v>
      </c>
      <c r="AJ659" s="41">
        <v>1</v>
      </c>
      <c r="AK659" s="43" t="s">
        <v>45</v>
      </c>
      <c r="AL659" s="43"/>
      <c r="AM659" s="44">
        <f t="shared" si="71"/>
        <v>-1.6387096797839125</v>
      </c>
      <c r="AN659" s="44">
        <f t="shared" si="72"/>
        <v>-0.86250544812569241</v>
      </c>
      <c r="AO659" s="45">
        <f t="shared" si="73"/>
        <v>0</v>
      </c>
      <c r="AP659" s="46">
        <f t="shared" si="74"/>
        <v>0</v>
      </c>
      <c r="AQ659" s="44">
        <f>($AM$3*AM659+$AN$3*AN659+$AO$3*AO659+$AP$3*AP659)+$I$3*VLOOKUP(I659,COND!$A$2:$E$7,4,FALSE)+$J$3*VLOOKUP(J659,COND!$A$2:$C$7,2,FALSE)+$K$3*VLOOKUP(K659,COND!$A$2:$C$7,3,FALSE)+IF(AND($B$2&gt;0,$E659&lt;20),$B$2*25,0)</f>
        <v>34.486063654513302</v>
      </c>
      <c r="AR659" s="47">
        <f t="shared" si="75"/>
        <v>-2.1385559241518108</v>
      </c>
      <c r="AS659" s="45" t="str">
        <f t="shared" si="76"/>
        <v>1B</v>
      </c>
      <c r="AT659" s="45">
        <f>RANK(Batters[[#This Row],[zScore]],Batters[[#All],[zScore]])</f>
        <v>655</v>
      </c>
      <c r="AU659" s="45"/>
      <c r="AV659" s="45"/>
      <c r="AW659" s="45" t="str">
        <f t="shared" si="77"/>
        <v>Unlikely</v>
      </c>
      <c r="AX659" s="45"/>
      <c r="AY659" s="64" t="str">
        <f>INDEX(Table5[[#All],[Ovr]],MATCH(Batters[[#This Row],[PID]],Table5[[#All],[PID]],0))</f>
        <v/>
      </c>
      <c r="AZ659" s="64" t="str">
        <f>INDEX(Table5[[#All],[Rnd]],MATCH(Batters[[#This Row],[PID]],Table5[[#All],[PID]],0))</f>
        <v/>
      </c>
      <c r="BA659" s="64" t="str">
        <f>INDEX(Table5[[#All],[Pick]],MATCH(Batters[[#This Row],[PID]],Table5[[#All],[PID]],0))</f>
        <v/>
      </c>
      <c r="BB659" s="64" t="str">
        <f>INDEX(Table5[[#All],[Team]],MATCH(Batters[[#This Row],[PID]],Table5[[#All],[PID]],0))</f>
        <v/>
      </c>
    </row>
    <row r="660" spans="1:54" ht="30" x14ac:dyDescent="0.25">
      <c r="A660" s="40">
        <v>18216</v>
      </c>
      <c r="B660" s="40" t="s">
        <v>86</v>
      </c>
      <c r="C660" s="40" t="s">
        <v>418</v>
      </c>
      <c r="D660" s="40" t="s">
        <v>1732</v>
      </c>
      <c r="E660" s="40">
        <v>18</v>
      </c>
      <c r="F660" s="40" t="s">
        <v>42</v>
      </c>
      <c r="G660" s="40" t="s">
        <v>42</v>
      </c>
      <c r="H660" s="41" t="s">
        <v>647</v>
      </c>
      <c r="I660" s="65" t="s">
        <v>43</v>
      </c>
      <c r="J660" s="66" t="s">
        <v>44</v>
      </c>
      <c r="K660" s="67" t="s">
        <v>47</v>
      </c>
      <c r="L660" s="40">
        <v>1</v>
      </c>
      <c r="M660" s="40">
        <v>1</v>
      </c>
      <c r="N660" s="40">
        <v>2</v>
      </c>
      <c r="O660" s="40">
        <v>1</v>
      </c>
      <c r="P660" s="41">
        <v>1</v>
      </c>
      <c r="Q660" s="40">
        <v>2</v>
      </c>
      <c r="R660" s="40">
        <v>2</v>
      </c>
      <c r="S660" s="40">
        <v>2</v>
      </c>
      <c r="T660" s="40">
        <v>4</v>
      </c>
      <c r="U660" s="41">
        <v>3</v>
      </c>
      <c r="V660" s="40">
        <v>2</v>
      </c>
      <c r="W660" s="40">
        <v>1</v>
      </c>
      <c r="X660" s="40">
        <v>4</v>
      </c>
      <c r="Y660" s="41">
        <v>4</v>
      </c>
      <c r="Z660" s="40" t="s">
        <v>45</v>
      </c>
      <c r="AA660" s="40" t="s">
        <v>45</v>
      </c>
      <c r="AB660" s="40" t="s">
        <v>45</v>
      </c>
      <c r="AC660" s="40" t="s">
        <v>45</v>
      </c>
      <c r="AD660" s="40" t="s">
        <v>45</v>
      </c>
      <c r="AE660" s="40" t="s">
        <v>45</v>
      </c>
      <c r="AF660" s="40" t="s">
        <v>45</v>
      </c>
      <c r="AG660" s="41" t="s">
        <v>45</v>
      </c>
      <c r="AH660" s="40">
        <v>1</v>
      </c>
      <c r="AI660" s="40">
        <v>2</v>
      </c>
      <c r="AJ660" s="41">
        <v>1</v>
      </c>
      <c r="AK660" s="43" t="s">
        <v>644</v>
      </c>
      <c r="AL660" s="43"/>
      <c r="AM660" s="44">
        <f t="shared" si="71"/>
        <v>-2.0012818558036707</v>
      </c>
      <c r="AN660" s="44">
        <f t="shared" si="72"/>
        <v>-1.2785048103193823</v>
      </c>
      <c r="AO660" s="45">
        <f t="shared" si="73"/>
        <v>0</v>
      </c>
      <c r="AP660" s="46">
        <f t="shared" si="74"/>
        <v>0</v>
      </c>
      <c r="AQ660" s="44">
        <f>($AM$3*AM660+$AN$3*AN660+$AO$3*AO660+$AP$3*AP660)+$I$3*VLOOKUP(I660,COND!$A$2:$E$7,4,FALSE)+$J$3*VLOOKUP(J660,COND!$A$2:$C$7,2,FALSE)+$K$3*VLOOKUP(K660,COND!$A$2:$C$7,3,FALSE)+IF(AND($B$2&gt;0,$E660&lt;20),$B$2*25,0)</f>
        <v>34.457814090587043</v>
      </c>
      <c r="AR660" s="47">
        <f t="shared" si="75"/>
        <v>-2.1448190434235932</v>
      </c>
      <c r="AS660" s="45" t="str">
        <f t="shared" si="76"/>
        <v>DH</v>
      </c>
      <c r="AT660" s="45">
        <f>RANK(Batters[[#This Row],[zScore]],Batters[[#All],[zScore]])</f>
        <v>656</v>
      </c>
      <c r="AU660" s="45"/>
      <c r="AV660" s="45"/>
      <c r="AW660" s="45" t="str">
        <f t="shared" si="77"/>
        <v>Unlikely</v>
      </c>
      <c r="AX660" s="45"/>
      <c r="AY660" s="64" t="str">
        <f>INDEX(Table5[[#All],[Ovr]],MATCH(Batters[[#This Row],[PID]],Table5[[#All],[PID]],0))</f>
        <v/>
      </c>
      <c r="AZ660" s="64" t="str">
        <f>INDEX(Table5[[#All],[Rnd]],MATCH(Batters[[#This Row],[PID]],Table5[[#All],[PID]],0))</f>
        <v/>
      </c>
      <c r="BA660" s="64" t="str">
        <f>INDEX(Table5[[#All],[Pick]],MATCH(Batters[[#This Row],[PID]],Table5[[#All],[PID]],0))</f>
        <v/>
      </c>
      <c r="BB660" s="64" t="str">
        <f>INDEX(Table5[[#All],[Team]],MATCH(Batters[[#This Row],[PID]],Table5[[#All],[PID]],0))</f>
        <v/>
      </c>
    </row>
    <row r="661" spans="1:54" ht="30" x14ac:dyDescent="0.25">
      <c r="A661" s="40">
        <v>20339</v>
      </c>
      <c r="B661" s="40" t="s">
        <v>86</v>
      </c>
      <c r="C661" s="40" t="s">
        <v>1139</v>
      </c>
      <c r="D661" s="40" t="s">
        <v>1535</v>
      </c>
      <c r="E661" s="40">
        <v>18</v>
      </c>
      <c r="F661" s="40" t="s">
        <v>53</v>
      </c>
      <c r="G661" s="40" t="s">
        <v>42</v>
      </c>
      <c r="H661" s="41" t="s">
        <v>638</v>
      </c>
      <c r="I661" s="65" t="s">
        <v>44</v>
      </c>
      <c r="J661" s="66" t="s">
        <v>43</v>
      </c>
      <c r="K661" s="67" t="s">
        <v>43</v>
      </c>
      <c r="L661" s="40">
        <v>1</v>
      </c>
      <c r="M661" s="40">
        <v>1</v>
      </c>
      <c r="N661" s="40">
        <v>2</v>
      </c>
      <c r="O661" s="40">
        <v>2</v>
      </c>
      <c r="P661" s="41">
        <v>1</v>
      </c>
      <c r="Q661" s="40">
        <v>2</v>
      </c>
      <c r="R661" s="40">
        <v>3</v>
      </c>
      <c r="S661" s="40">
        <v>2</v>
      </c>
      <c r="T661" s="40">
        <v>4</v>
      </c>
      <c r="U661" s="41">
        <v>2</v>
      </c>
      <c r="V661" s="40">
        <v>5</v>
      </c>
      <c r="W661" s="40">
        <v>5</v>
      </c>
      <c r="X661" s="40">
        <v>7</v>
      </c>
      <c r="Y661" s="41">
        <v>6</v>
      </c>
      <c r="Z661" s="40" t="s">
        <v>45</v>
      </c>
      <c r="AA661" s="40" t="s">
        <v>45</v>
      </c>
      <c r="AB661" s="40" t="s">
        <v>45</v>
      </c>
      <c r="AC661" s="40" t="s">
        <v>45</v>
      </c>
      <c r="AD661" s="40" t="s">
        <v>45</v>
      </c>
      <c r="AE661" s="40" t="s">
        <v>45</v>
      </c>
      <c r="AF661" s="40" t="s">
        <v>45</v>
      </c>
      <c r="AG661" s="41" t="s">
        <v>45</v>
      </c>
      <c r="AH661" s="40">
        <v>4</v>
      </c>
      <c r="AI661" s="40">
        <v>1</v>
      </c>
      <c r="AJ661" s="41">
        <v>1</v>
      </c>
      <c r="AK661" s="43" t="s">
        <v>654</v>
      </c>
      <c r="AL661" s="43" t="s">
        <v>635</v>
      </c>
      <c r="AM661" s="44">
        <f t="shared" si="71"/>
        <v>-1.9115723057940897</v>
      </c>
      <c r="AN661" s="44">
        <f t="shared" si="72"/>
        <v>-1.2674612705177621</v>
      </c>
      <c r="AO661" s="45">
        <f t="shared" si="73"/>
        <v>0</v>
      </c>
      <c r="AP661" s="46">
        <f t="shared" si="74"/>
        <v>0</v>
      </c>
      <c r="AQ661" s="44">
        <f>($AM$3*AM661+$AN$3*AN661+$AO$3*AO661+$AP$3*AP661)+$I$3*VLOOKUP(I661,COND!$A$2:$E$7,4,FALSE)+$J$3*VLOOKUP(J661,COND!$A$2:$C$7,2,FALSE)+$K$3*VLOOKUP(K661,COND!$A$2:$C$7,3,FALSE)+IF(AND($B$2&gt;0,$E661&lt;20),$B$2*25,0)</f>
        <v>34.449307523207445</v>
      </c>
      <c r="AR661" s="47">
        <f t="shared" si="75"/>
        <v>-2.1467050069107092</v>
      </c>
      <c r="AS661" s="45" t="str">
        <f t="shared" si="76"/>
        <v>DH</v>
      </c>
      <c r="AT661" s="45">
        <f>RANK(Batters[[#This Row],[zScore]],Batters[[#All],[zScore]])</f>
        <v>657</v>
      </c>
      <c r="AU661" s="45"/>
      <c r="AV661" s="45"/>
      <c r="AW661" s="45" t="str">
        <f t="shared" si="77"/>
        <v>Unlikely</v>
      </c>
      <c r="AX661" s="45"/>
      <c r="AY661" s="45" t="str">
        <f>INDEX(Table5[[#All],[Ovr]],MATCH(Batters[[#This Row],[PID]],Table5[[#All],[PID]],0))</f>
        <v/>
      </c>
      <c r="AZ661" s="45" t="str">
        <f>INDEX(Table5[[#All],[Rnd]],MATCH(Batters[[#This Row],[PID]],Table5[[#All],[PID]],0))</f>
        <v/>
      </c>
      <c r="BA661" s="45" t="str">
        <f>INDEX(Table5[[#All],[Pick]],MATCH(Batters[[#This Row],[PID]],Table5[[#All],[PID]],0))</f>
        <v/>
      </c>
      <c r="BB661" s="45" t="str">
        <f>INDEX(Table5[[#All],[Team]],MATCH(Batters[[#This Row],[PID]],Table5[[#All],[PID]],0))</f>
        <v/>
      </c>
    </row>
    <row r="662" spans="1:54" ht="30" x14ac:dyDescent="0.25">
      <c r="A662" s="40">
        <v>5246</v>
      </c>
      <c r="B662" s="40" t="s">
        <v>69</v>
      </c>
      <c r="C662" s="40" t="s">
        <v>151</v>
      </c>
      <c r="D662" s="40" t="s">
        <v>320</v>
      </c>
      <c r="E662" s="40">
        <v>21</v>
      </c>
      <c r="F662" s="40" t="s">
        <v>42</v>
      </c>
      <c r="G662" s="40" t="s">
        <v>42</v>
      </c>
      <c r="H662" s="41" t="s">
        <v>638</v>
      </c>
      <c r="I662" s="65" t="s">
        <v>43</v>
      </c>
      <c r="J662" s="66" t="s">
        <v>44</v>
      </c>
      <c r="K662" s="67" t="s">
        <v>43</v>
      </c>
      <c r="L662" s="40">
        <v>1</v>
      </c>
      <c r="M662" s="40">
        <v>1</v>
      </c>
      <c r="N662" s="40">
        <v>2</v>
      </c>
      <c r="O662" s="40">
        <v>2</v>
      </c>
      <c r="P662" s="41">
        <v>1</v>
      </c>
      <c r="Q662" s="40">
        <v>3</v>
      </c>
      <c r="R662" s="40">
        <v>2</v>
      </c>
      <c r="S662" s="40">
        <v>2</v>
      </c>
      <c r="T662" s="40">
        <v>4</v>
      </c>
      <c r="U662" s="41">
        <v>4</v>
      </c>
      <c r="V662" s="40">
        <v>10</v>
      </c>
      <c r="W662" s="40">
        <v>9</v>
      </c>
      <c r="X662" s="40">
        <v>1</v>
      </c>
      <c r="Y662" s="41">
        <v>1</v>
      </c>
      <c r="Z662" s="40" t="s">
        <v>45</v>
      </c>
      <c r="AA662" s="40" t="s">
        <v>45</v>
      </c>
      <c r="AB662" s="40" t="s">
        <v>45</v>
      </c>
      <c r="AC662" s="40">
        <v>5</v>
      </c>
      <c r="AD662" s="40" t="s">
        <v>45</v>
      </c>
      <c r="AE662" s="40" t="s">
        <v>45</v>
      </c>
      <c r="AF662" s="40" t="s">
        <v>45</v>
      </c>
      <c r="AG662" s="41" t="s">
        <v>45</v>
      </c>
      <c r="AH662" s="40">
        <v>1</v>
      </c>
      <c r="AI662" s="40">
        <v>4</v>
      </c>
      <c r="AJ662" s="41">
        <v>7</v>
      </c>
      <c r="AK662" s="43" t="s">
        <v>45</v>
      </c>
      <c r="AL662" s="43" t="s">
        <v>635</v>
      </c>
      <c r="AM662" s="44">
        <f t="shared" si="71"/>
        <v>-1.9115723057940897</v>
      </c>
      <c r="AN662" s="44">
        <f t="shared" si="72"/>
        <v>-0.91593263429962402</v>
      </c>
      <c r="AO662" s="45">
        <f t="shared" si="73"/>
        <v>1</v>
      </c>
      <c r="AP662" s="46">
        <f t="shared" si="74"/>
        <v>0.75</v>
      </c>
      <c r="AQ662" s="44">
        <f>($AM$3*AM662+$AN$3*AN662+$AO$3*AO662+$AP$3*AP662)+$I$3*VLOOKUP(I662,COND!$A$2:$E$7,4,FALSE)+$J$3*VLOOKUP(J662,COND!$A$2:$C$7,2,FALSE)+$K$3*VLOOKUP(K662,COND!$A$2:$C$7,3,FALSE)+IF(AND($B$2&gt;0,$E662&lt;20),$B$2*25,0)</f>
        <v>34.434317824491771</v>
      </c>
      <c r="AR662" s="47">
        <f t="shared" si="75"/>
        <v>-2.150028324436934</v>
      </c>
      <c r="AS662" s="45" t="str">
        <f t="shared" si="76"/>
        <v>3B</v>
      </c>
      <c r="AT662" s="45">
        <f>RANK(Batters[[#This Row],[zScore]],Batters[[#All],[zScore]])</f>
        <v>658</v>
      </c>
      <c r="AU662" s="45"/>
      <c r="AV662" s="45"/>
      <c r="AW662" s="45" t="str">
        <f t="shared" si="77"/>
        <v>Unlikely</v>
      </c>
      <c r="AX662" s="45"/>
      <c r="AY662" s="45" t="str">
        <f>INDEX(Table5[[#All],[Ovr]],MATCH(Batters[[#This Row],[PID]],Table5[[#All],[PID]],0))</f>
        <v/>
      </c>
      <c r="AZ662" s="45" t="str">
        <f>INDEX(Table5[[#All],[Rnd]],MATCH(Batters[[#This Row],[PID]],Table5[[#All],[PID]],0))</f>
        <v/>
      </c>
      <c r="BA662" s="45" t="str">
        <f>INDEX(Table5[[#All],[Pick]],MATCH(Batters[[#This Row],[PID]],Table5[[#All],[PID]],0))</f>
        <v/>
      </c>
      <c r="BB662" s="45" t="str">
        <f>INDEX(Table5[[#All],[Team]],MATCH(Batters[[#This Row],[PID]],Table5[[#All],[PID]],0))</f>
        <v/>
      </c>
    </row>
    <row r="663" spans="1:54" ht="30" x14ac:dyDescent="0.25">
      <c r="A663" s="40">
        <v>9504</v>
      </c>
      <c r="B663" s="40" t="s">
        <v>66</v>
      </c>
      <c r="C663" s="40" t="s">
        <v>1653</v>
      </c>
      <c r="D663" s="40" t="s">
        <v>1220</v>
      </c>
      <c r="E663" s="40">
        <v>21</v>
      </c>
      <c r="F663" s="40" t="s">
        <v>42</v>
      </c>
      <c r="G663" s="40" t="s">
        <v>42</v>
      </c>
      <c r="H663" s="41" t="s">
        <v>639</v>
      </c>
      <c r="I663" s="65" t="s">
        <v>43</v>
      </c>
      <c r="J663" s="66" t="s">
        <v>47</v>
      </c>
      <c r="K663" s="67" t="s">
        <v>43</v>
      </c>
      <c r="L663" s="40">
        <v>1</v>
      </c>
      <c r="M663" s="40">
        <v>1</v>
      </c>
      <c r="N663" s="40">
        <v>2</v>
      </c>
      <c r="O663" s="40">
        <v>1</v>
      </c>
      <c r="P663" s="41">
        <v>1</v>
      </c>
      <c r="Q663" s="40">
        <v>3</v>
      </c>
      <c r="R663" s="40">
        <v>3</v>
      </c>
      <c r="S663" s="40">
        <v>2</v>
      </c>
      <c r="T663" s="40">
        <v>4</v>
      </c>
      <c r="U663" s="41">
        <v>3</v>
      </c>
      <c r="V663" s="40">
        <v>5</v>
      </c>
      <c r="W663" s="40">
        <v>6</v>
      </c>
      <c r="X663" s="40">
        <v>1</v>
      </c>
      <c r="Y663" s="41">
        <v>1</v>
      </c>
      <c r="Z663" s="40" t="s">
        <v>45</v>
      </c>
      <c r="AA663" s="40" t="s">
        <v>45</v>
      </c>
      <c r="AB663" s="40" t="s">
        <v>45</v>
      </c>
      <c r="AC663" s="40">
        <v>3</v>
      </c>
      <c r="AD663" s="40" t="s">
        <v>45</v>
      </c>
      <c r="AE663" s="40" t="s">
        <v>45</v>
      </c>
      <c r="AF663" s="40" t="s">
        <v>45</v>
      </c>
      <c r="AG663" s="41">
        <v>4</v>
      </c>
      <c r="AH663" s="40">
        <v>6</v>
      </c>
      <c r="AI663" s="40">
        <v>7</v>
      </c>
      <c r="AJ663" s="41">
        <v>7</v>
      </c>
      <c r="AK663" s="43" t="s">
        <v>45</v>
      </c>
      <c r="AL663" s="43"/>
      <c r="AM663" s="44">
        <f t="shared" si="71"/>
        <v>-2.0012818558036707</v>
      </c>
      <c r="AN663" s="44">
        <f t="shared" si="72"/>
        <v>-0.90488909449800403</v>
      </c>
      <c r="AO663" s="45">
        <f t="shared" si="73"/>
        <v>1</v>
      </c>
      <c r="AP663" s="46">
        <f t="shared" si="74"/>
        <v>0</v>
      </c>
      <c r="AQ663" s="44">
        <f>($AM$3*AM663+$AN$3*AN663+$AO$3*AO663+$AP$3*AP663)+$I$3*VLOOKUP(I663,COND!$A$2:$E$7,4,FALSE)+$J$3*VLOOKUP(J663,COND!$A$2:$C$7,2,FALSE)+$K$3*VLOOKUP(K663,COND!$A$2:$C$7,3,FALSE)+IF(AND($B$2&gt;0,$E663&lt;20),$B$2*25,0)</f>
        <v>34.40786934711025</v>
      </c>
      <c r="AR663" s="47">
        <f t="shared" si="75"/>
        <v>-2.1558921306475329</v>
      </c>
      <c r="AS663" s="45" t="str">
        <f t="shared" si="76"/>
        <v>3B</v>
      </c>
      <c r="AT663" s="45">
        <f>RANK(Batters[[#This Row],[zScore]],Batters[[#All],[zScore]])</f>
        <v>659</v>
      </c>
      <c r="AU663" s="45"/>
      <c r="AV663" s="45"/>
      <c r="AW663" s="45" t="str">
        <f t="shared" si="77"/>
        <v>Unlikely</v>
      </c>
      <c r="AX663" s="45"/>
      <c r="AY663" s="64" t="str">
        <f>INDEX(Table5[[#All],[Ovr]],MATCH(Batters[[#This Row],[PID]],Table5[[#All],[PID]],0))</f>
        <v/>
      </c>
      <c r="AZ663" s="64" t="str">
        <f>INDEX(Table5[[#All],[Rnd]],MATCH(Batters[[#This Row],[PID]],Table5[[#All],[PID]],0))</f>
        <v/>
      </c>
      <c r="BA663" s="64" t="str">
        <f>INDEX(Table5[[#All],[Pick]],MATCH(Batters[[#This Row],[PID]],Table5[[#All],[PID]],0))</f>
        <v/>
      </c>
      <c r="BB663" s="64" t="str">
        <f>INDEX(Table5[[#All],[Team]],MATCH(Batters[[#This Row],[PID]],Table5[[#All],[PID]],0))</f>
        <v/>
      </c>
    </row>
    <row r="664" spans="1:54" ht="30" x14ac:dyDescent="0.25">
      <c r="A664" s="40">
        <v>17964</v>
      </c>
      <c r="B664" s="40" t="s">
        <v>86</v>
      </c>
      <c r="C664" s="40" t="s">
        <v>707</v>
      </c>
      <c r="D664" s="40" t="s">
        <v>1530</v>
      </c>
      <c r="E664" s="40">
        <v>21</v>
      </c>
      <c r="F664" s="40" t="s">
        <v>42</v>
      </c>
      <c r="G664" s="40" t="s">
        <v>42</v>
      </c>
      <c r="H664" s="41" t="s">
        <v>638</v>
      </c>
      <c r="I664" s="65" t="s">
        <v>44</v>
      </c>
      <c r="J664" s="66" t="s">
        <v>44</v>
      </c>
      <c r="K664" s="67" t="s">
        <v>43</v>
      </c>
      <c r="L664" s="40">
        <v>1</v>
      </c>
      <c r="M664" s="40">
        <v>1</v>
      </c>
      <c r="N664" s="40">
        <v>2</v>
      </c>
      <c r="O664" s="40">
        <v>2</v>
      </c>
      <c r="P664" s="41">
        <v>1</v>
      </c>
      <c r="Q664" s="40">
        <v>3</v>
      </c>
      <c r="R664" s="40">
        <v>3</v>
      </c>
      <c r="S664" s="40">
        <v>3</v>
      </c>
      <c r="T664" s="40">
        <v>4</v>
      </c>
      <c r="U664" s="41">
        <v>2</v>
      </c>
      <c r="V664" s="40">
        <v>2</v>
      </c>
      <c r="W664" s="40">
        <v>1</v>
      </c>
      <c r="X664" s="40">
        <v>5</v>
      </c>
      <c r="Y664" s="41">
        <v>7</v>
      </c>
      <c r="Z664" s="40" t="s">
        <v>45</v>
      </c>
      <c r="AA664" s="40" t="s">
        <v>45</v>
      </c>
      <c r="AB664" s="40" t="s">
        <v>45</v>
      </c>
      <c r="AC664" s="40" t="s">
        <v>45</v>
      </c>
      <c r="AD664" s="40" t="s">
        <v>45</v>
      </c>
      <c r="AE664" s="40" t="s">
        <v>45</v>
      </c>
      <c r="AF664" s="40" t="s">
        <v>45</v>
      </c>
      <c r="AG664" s="41" t="s">
        <v>45</v>
      </c>
      <c r="AH664" s="40">
        <v>9</v>
      </c>
      <c r="AI664" s="40">
        <v>7</v>
      </c>
      <c r="AJ664" s="41">
        <v>6</v>
      </c>
      <c r="AK664" s="43" t="s">
        <v>45</v>
      </c>
      <c r="AL664" s="43" t="s">
        <v>47</v>
      </c>
      <c r="AM664" s="44">
        <f t="shared" si="71"/>
        <v>-1.9115723057940897</v>
      </c>
      <c r="AN664" s="44">
        <f t="shared" si="72"/>
        <v>-0.86184394029118594</v>
      </c>
      <c r="AO664" s="45">
        <f t="shared" si="73"/>
        <v>2</v>
      </c>
      <c r="AP664" s="46">
        <f t="shared" si="74"/>
        <v>0</v>
      </c>
      <c r="AQ664" s="44">
        <f>($AM$3*AM664+$AN$3*AN664+$AO$3*AO664+$AP$3*AP664)+$I$3*VLOOKUP(I664,COND!$A$2:$E$7,4,FALSE)+$J$3*VLOOKUP(J664,COND!$A$2:$C$7,2,FALSE)+$K$3*VLOOKUP(K664,COND!$A$2:$C$7,3,FALSE)+IF(AND($B$2&gt;0,$E664&lt;20),$B$2*25,0)</f>
        <v>34.35004881925969</v>
      </c>
      <c r="AR664" s="47">
        <f t="shared" si="75"/>
        <v>-2.1687113325024985</v>
      </c>
      <c r="AS664" s="45" t="str">
        <f t="shared" si="76"/>
        <v>DH</v>
      </c>
      <c r="AT664" s="45">
        <f>RANK(Batters[[#This Row],[zScore]],Batters[[#All],[zScore]])</f>
        <v>660</v>
      </c>
      <c r="AU664" s="45"/>
      <c r="AV664" s="45"/>
      <c r="AW664" s="45" t="str">
        <f t="shared" si="77"/>
        <v>Unlikely</v>
      </c>
      <c r="AX664" s="45"/>
      <c r="AY664" s="45" t="str">
        <f>INDEX(Table5[[#All],[Ovr]],MATCH(Batters[[#This Row],[PID]],Table5[[#All],[PID]],0))</f>
        <v/>
      </c>
      <c r="AZ664" s="45" t="str">
        <f>INDEX(Table5[[#All],[Rnd]],MATCH(Batters[[#This Row],[PID]],Table5[[#All],[PID]],0))</f>
        <v/>
      </c>
      <c r="BA664" s="45" t="str">
        <f>INDEX(Table5[[#All],[Pick]],MATCH(Batters[[#This Row],[PID]],Table5[[#All],[PID]],0))</f>
        <v/>
      </c>
      <c r="BB664" s="45" t="str">
        <f>INDEX(Table5[[#All],[Team]],MATCH(Batters[[#This Row],[PID]],Table5[[#All],[PID]],0))</f>
        <v/>
      </c>
    </row>
    <row r="665" spans="1:54" ht="30" x14ac:dyDescent="0.25">
      <c r="A665" s="40">
        <v>20583</v>
      </c>
      <c r="B665" s="40" t="s">
        <v>87</v>
      </c>
      <c r="C665" s="40" t="s">
        <v>1722</v>
      </c>
      <c r="D665" s="40" t="s">
        <v>1723</v>
      </c>
      <c r="E665" s="40">
        <v>17</v>
      </c>
      <c r="F665" s="40" t="s">
        <v>53</v>
      </c>
      <c r="G665" s="40" t="s">
        <v>42</v>
      </c>
      <c r="H665" s="41" t="s">
        <v>647</v>
      </c>
      <c r="I665" s="65" t="s">
        <v>43</v>
      </c>
      <c r="J665" s="66" t="s">
        <v>44</v>
      </c>
      <c r="K665" s="67" t="s">
        <v>44</v>
      </c>
      <c r="L665" s="40">
        <v>1</v>
      </c>
      <c r="M665" s="40">
        <v>1</v>
      </c>
      <c r="N665" s="40">
        <v>2</v>
      </c>
      <c r="O665" s="40">
        <v>2</v>
      </c>
      <c r="P665" s="41">
        <v>1</v>
      </c>
      <c r="Q665" s="40">
        <v>2</v>
      </c>
      <c r="R665" s="40">
        <v>2</v>
      </c>
      <c r="S665" s="40">
        <v>2</v>
      </c>
      <c r="T665" s="40">
        <v>4</v>
      </c>
      <c r="U665" s="41">
        <v>4</v>
      </c>
      <c r="V665" s="40">
        <v>4</v>
      </c>
      <c r="W665" s="40">
        <v>3</v>
      </c>
      <c r="X665" s="40">
        <v>1</v>
      </c>
      <c r="Y665" s="41">
        <v>1</v>
      </c>
      <c r="Z665" s="40" t="s">
        <v>45</v>
      </c>
      <c r="AA665" s="40" t="s">
        <v>45</v>
      </c>
      <c r="AB665" s="40" t="s">
        <v>45</v>
      </c>
      <c r="AC665" s="40" t="s">
        <v>45</v>
      </c>
      <c r="AD665" s="40" t="s">
        <v>45</v>
      </c>
      <c r="AE665" s="40" t="s">
        <v>45</v>
      </c>
      <c r="AF665" s="40" t="s">
        <v>45</v>
      </c>
      <c r="AG665" s="41" t="s">
        <v>45</v>
      </c>
      <c r="AH665" s="40">
        <v>1</v>
      </c>
      <c r="AI665" s="40">
        <v>1</v>
      </c>
      <c r="AJ665" s="41">
        <v>2</v>
      </c>
      <c r="AK665" s="43" t="s">
        <v>654</v>
      </c>
      <c r="AL665" s="43"/>
      <c r="AM665" s="44">
        <f t="shared" si="71"/>
        <v>-1.9115723057940897</v>
      </c>
      <c r="AN665" s="44">
        <f t="shared" si="72"/>
        <v>-1.2384884705022987</v>
      </c>
      <c r="AO665" s="45">
        <f t="shared" si="73"/>
        <v>0</v>
      </c>
      <c r="AP665" s="46">
        <f t="shared" si="74"/>
        <v>0</v>
      </c>
      <c r="AQ665" s="44">
        <f>($AM$3*AM665+$AN$3*AN665+$AO$3*AO665+$AP$3*AP665)+$I$3*VLOOKUP(I665,COND!$A$2:$E$7,4,FALSE)+$J$3*VLOOKUP(J665,COND!$A$2:$C$7,2,FALSE)+$K$3*VLOOKUP(K665,COND!$A$2:$C$7,3,FALSE)+IF(AND($B$2&gt;0,$E665&lt;20),$B$2*25,0)</f>
        <v>34.346981123393007</v>
      </c>
      <c r="AR665" s="47">
        <f t="shared" si="75"/>
        <v>-2.1693914614118417</v>
      </c>
      <c r="AS665" s="45" t="str">
        <f t="shared" si="76"/>
        <v>DH</v>
      </c>
      <c r="AT665" s="45">
        <f>RANK(Batters[[#This Row],[zScore]],Batters[[#All],[zScore]])</f>
        <v>661</v>
      </c>
      <c r="AU665" s="45"/>
      <c r="AV665" s="45"/>
      <c r="AW665" s="45" t="str">
        <f t="shared" si="77"/>
        <v>Unlikely</v>
      </c>
      <c r="AX665" s="45"/>
      <c r="AY665" s="64" t="str">
        <f>INDEX(Table5[[#All],[Ovr]],MATCH(Batters[[#This Row],[PID]],Table5[[#All],[PID]],0))</f>
        <v/>
      </c>
      <c r="AZ665" s="64" t="str">
        <f>INDEX(Table5[[#All],[Rnd]],MATCH(Batters[[#This Row],[PID]],Table5[[#All],[PID]],0))</f>
        <v/>
      </c>
      <c r="BA665" s="64" t="str">
        <f>INDEX(Table5[[#All],[Pick]],MATCH(Batters[[#This Row],[PID]],Table5[[#All],[PID]],0))</f>
        <v/>
      </c>
      <c r="BB665" s="64" t="str">
        <f>INDEX(Table5[[#All],[Team]],MATCH(Batters[[#This Row],[PID]],Table5[[#All],[PID]],0))</f>
        <v/>
      </c>
    </row>
    <row r="666" spans="1:54" ht="30" x14ac:dyDescent="0.25">
      <c r="A666" s="40">
        <v>14387</v>
      </c>
      <c r="B666" s="40" t="s">
        <v>86</v>
      </c>
      <c r="C666" s="40" t="s">
        <v>1537</v>
      </c>
      <c r="D666" s="40" t="s">
        <v>998</v>
      </c>
      <c r="E666" s="40">
        <v>21</v>
      </c>
      <c r="F666" s="40" t="s">
        <v>42</v>
      </c>
      <c r="G666" s="40" t="s">
        <v>42</v>
      </c>
      <c r="H666" s="41" t="s">
        <v>638</v>
      </c>
      <c r="I666" s="65" t="s">
        <v>43</v>
      </c>
      <c r="J666" s="66" t="s">
        <v>43</v>
      </c>
      <c r="K666" s="67" t="s">
        <v>43</v>
      </c>
      <c r="L666" s="40">
        <v>1</v>
      </c>
      <c r="M666" s="40">
        <v>1</v>
      </c>
      <c r="N666" s="40">
        <v>2</v>
      </c>
      <c r="O666" s="40">
        <v>2</v>
      </c>
      <c r="P666" s="41">
        <v>1</v>
      </c>
      <c r="Q666" s="40">
        <v>3</v>
      </c>
      <c r="R666" s="40">
        <v>2</v>
      </c>
      <c r="S666" s="40">
        <v>3</v>
      </c>
      <c r="T666" s="40">
        <v>4</v>
      </c>
      <c r="U666" s="41">
        <v>3</v>
      </c>
      <c r="V666" s="40">
        <v>4</v>
      </c>
      <c r="W666" s="40">
        <v>4</v>
      </c>
      <c r="X666" s="40">
        <v>4</v>
      </c>
      <c r="Y666" s="41">
        <v>7</v>
      </c>
      <c r="Z666" s="40" t="s">
        <v>45</v>
      </c>
      <c r="AA666" s="40" t="s">
        <v>45</v>
      </c>
      <c r="AB666" s="40" t="s">
        <v>45</v>
      </c>
      <c r="AC666" s="40" t="s">
        <v>45</v>
      </c>
      <c r="AD666" s="40" t="s">
        <v>45</v>
      </c>
      <c r="AE666" s="40" t="s">
        <v>45</v>
      </c>
      <c r="AF666" s="40" t="s">
        <v>45</v>
      </c>
      <c r="AG666" s="41" t="s">
        <v>45</v>
      </c>
      <c r="AH666" s="40">
        <v>3</v>
      </c>
      <c r="AI666" s="40">
        <v>1</v>
      </c>
      <c r="AJ666" s="41">
        <v>2</v>
      </c>
      <c r="AK666" s="43" t="s">
        <v>45</v>
      </c>
      <c r="AL666" s="43" t="s">
        <v>47</v>
      </c>
      <c r="AM666" s="44">
        <f t="shared" si="71"/>
        <v>-1.9115723057940897</v>
      </c>
      <c r="AN666" s="44">
        <f t="shared" si="72"/>
        <v>-0.87288748009280615</v>
      </c>
      <c r="AO666" s="45">
        <f t="shared" si="73"/>
        <v>0</v>
      </c>
      <c r="AP666" s="46">
        <f t="shared" si="74"/>
        <v>0</v>
      </c>
      <c r="AQ666" s="44">
        <f>($AM$3*AM666+$AN$3*AN666+$AO$3*AO666+$AP$3*AP666)+$I$3*VLOOKUP(I666,COND!$A$2:$E$7,4,FALSE)+$J$3*VLOOKUP(J666,COND!$A$2:$C$7,2,FALSE)+$K$3*VLOOKUP(K666,COND!$A$2:$C$7,3,FALSE)+IF(AND($B$2&gt;0,$E666&lt;20),$B$2*25,0)</f>
        <v>34.334193008306919</v>
      </c>
      <c r="AR666" s="47">
        <f t="shared" si="75"/>
        <v>-2.1722266729660631</v>
      </c>
      <c r="AS666" s="45" t="str">
        <f t="shared" si="76"/>
        <v>DH</v>
      </c>
      <c r="AT666" s="45">
        <f>RANK(Batters[[#This Row],[zScore]],Batters[[#All],[zScore]])</f>
        <v>662</v>
      </c>
      <c r="AU666" s="45"/>
      <c r="AV666" s="45"/>
      <c r="AW666" s="45" t="str">
        <f t="shared" si="77"/>
        <v>Unlikely</v>
      </c>
      <c r="AX666" s="45"/>
      <c r="AY666" s="45" t="str">
        <f>INDEX(Table5[[#All],[Ovr]],MATCH(Batters[[#This Row],[PID]],Table5[[#All],[PID]],0))</f>
        <v/>
      </c>
      <c r="AZ666" s="45" t="str">
        <f>INDEX(Table5[[#All],[Rnd]],MATCH(Batters[[#This Row],[PID]],Table5[[#All],[PID]],0))</f>
        <v/>
      </c>
      <c r="BA666" s="45" t="str">
        <f>INDEX(Table5[[#All],[Pick]],MATCH(Batters[[#This Row],[PID]],Table5[[#All],[PID]],0))</f>
        <v/>
      </c>
      <c r="BB666" s="45" t="str">
        <f>INDEX(Table5[[#All],[Team]],MATCH(Batters[[#This Row],[PID]],Table5[[#All],[PID]],0))</f>
        <v/>
      </c>
    </row>
    <row r="667" spans="1:54" ht="30" x14ac:dyDescent="0.25">
      <c r="A667" s="40">
        <v>9551</v>
      </c>
      <c r="B667" s="40" t="s">
        <v>66</v>
      </c>
      <c r="C667" s="40" t="s">
        <v>1754</v>
      </c>
      <c r="D667" s="40" t="s">
        <v>566</v>
      </c>
      <c r="E667" s="40">
        <v>21</v>
      </c>
      <c r="F667" s="40" t="s">
        <v>42</v>
      </c>
      <c r="G667" s="40" t="s">
        <v>42</v>
      </c>
      <c r="H667" s="41" t="s">
        <v>647</v>
      </c>
      <c r="I667" s="65" t="s">
        <v>43</v>
      </c>
      <c r="J667" s="66" t="s">
        <v>43</v>
      </c>
      <c r="K667" s="67" t="s">
        <v>43</v>
      </c>
      <c r="L667" s="40">
        <v>1</v>
      </c>
      <c r="M667" s="40">
        <v>1</v>
      </c>
      <c r="N667" s="40">
        <v>2</v>
      </c>
      <c r="O667" s="40">
        <v>2</v>
      </c>
      <c r="P667" s="41">
        <v>1</v>
      </c>
      <c r="Q667" s="40">
        <v>3</v>
      </c>
      <c r="R667" s="40">
        <v>2</v>
      </c>
      <c r="S667" s="40">
        <v>3</v>
      </c>
      <c r="T667" s="40">
        <v>4</v>
      </c>
      <c r="U667" s="41">
        <v>3</v>
      </c>
      <c r="V667" s="40">
        <v>3</v>
      </c>
      <c r="W667" s="40">
        <v>7</v>
      </c>
      <c r="X667" s="40">
        <v>1</v>
      </c>
      <c r="Y667" s="41">
        <v>1</v>
      </c>
      <c r="Z667" s="40" t="s">
        <v>45</v>
      </c>
      <c r="AA667" s="40" t="s">
        <v>45</v>
      </c>
      <c r="AB667" s="40" t="s">
        <v>45</v>
      </c>
      <c r="AC667" s="40" t="s">
        <v>45</v>
      </c>
      <c r="AD667" s="40" t="s">
        <v>45</v>
      </c>
      <c r="AE667" s="40" t="s">
        <v>45</v>
      </c>
      <c r="AF667" s="40" t="s">
        <v>45</v>
      </c>
      <c r="AG667" s="41">
        <v>2</v>
      </c>
      <c r="AH667" s="40">
        <v>4</v>
      </c>
      <c r="AI667" s="40">
        <v>5</v>
      </c>
      <c r="AJ667" s="41">
        <v>5</v>
      </c>
      <c r="AK667" s="43" t="s">
        <v>45</v>
      </c>
      <c r="AL667" s="43"/>
      <c r="AM667" s="44">
        <f t="shared" si="71"/>
        <v>-1.9115723057940897</v>
      </c>
      <c r="AN667" s="44">
        <f t="shared" si="72"/>
        <v>-0.87288748009280615</v>
      </c>
      <c r="AO667" s="45">
        <f t="shared" si="73"/>
        <v>0</v>
      </c>
      <c r="AP667" s="46">
        <f t="shared" si="74"/>
        <v>0</v>
      </c>
      <c r="AQ667" s="44">
        <f>($AM$3*AM667+$AN$3*AN667+$AO$3*AO667+$AP$3*AP667)+$I$3*VLOOKUP(I667,COND!$A$2:$E$7,4,FALSE)+$J$3*VLOOKUP(J667,COND!$A$2:$C$7,2,FALSE)+$K$3*VLOOKUP(K667,COND!$A$2:$C$7,3,FALSE)+IF(AND($B$2&gt;0,$E667&lt;20),$B$2*25,0)</f>
        <v>34.334193008306919</v>
      </c>
      <c r="AR667" s="47">
        <f t="shared" si="75"/>
        <v>-2.1722266729660631</v>
      </c>
      <c r="AS667" s="45" t="str">
        <f t="shared" si="76"/>
        <v>RF</v>
      </c>
      <c r="AT667" s="45">
        <f>RANK(Batters[[#This Row],[zScore]],Batters[[#All],[zScore]])</f>
        <v>662</v>
      </c>
      <c r="AU667" s="45"/>
      <c r="AV667" s="45"/>
      <c r="AW667" s="45" t="str">
        <f t="shared" si="77"/>
        <v>Unlikely</v>
      </c>
      <c r="AX667" s="45"/>
      <c r="AY667" s="64" t="str">
        <f>INDEX(Table5[[#All],[Ovr]],MATCH(Batters[[#This Row],[PID]],Table5[[#All],[PID]],0))</f>
        <v/>
      </c>
      <c r="AZ667" s="64" t="str">
        <f>INDEX(Table5[[#All],[Rnd]],MATCH(Batters[[#This Row],[PID]],Table5[[#All],[PID]],0))</f>
        <v/>
      </c>
      <c r="BA667" s="64" t="str">
        <f>INDEX(Table5[[#All],[Pick]],MATCH(Batters[[#This Row],[PID]],Table5[[#All],[PID]],0))</f>
        <v/>
      </c>
      <c r="BB667" s="64" t="str">
        <f>INDEX(Table5[[#All],[Team]],MATCH(Batters[[#This Row],[PID]],Table5[[#All],[PID]],0))</f>
        <v/>
      </c>
    </row>
    <row r="668" spans="1:54" ht="30" x14ac:dyDescent="0.25">
      <c r="A668" s="40">
        <v>12745</v>
      </c>
      <c r="B668" s="40" t="s">
        <v>71</v>
      </c>
      <c r="C668" s="40" t="s">
        <v>741</v>
      </c>
      <c r="D668" s="40" t="s">
        <v>926</v>
      </c>
      <c r="E668" s="40">
        <v>22</v>
      </c>
      <c r="F668" s="40" t="s">
        <v>42</v>
      </c>
      <c r="G668" s="40" t="s">
        <v>42</v>
      </c>
      <c r="H668" s="41" t="s">
        <v>638</v>
      </c>
      <c r="I668" s="65" t="s">
        <v>43</v>
      </c>
      <c r="J668" s="66" t="s">
        <v>44</v>
      </c>
      <c r="K668" s="67" t="s">
        <v>43</v>
      </c>
      <c r="L668" s="40">
        <v>2</v>
      </c>
      <c r="M668" s="40">
        <v>3</v>
      </c>
      <c r="N668" s="40">
        <v>2</v>
      </c>
      <c r="O668" s="40">
        <v>3</v>
      </c>
      <c r="P668" s="41">
        <v>2</v>
      </c>
      <c r="Q668" s="40">
        <v>3</v>
      </c>
      <c r="R668" s="40">
        <v>3</v>
      </c>
      <c r="S668" s="40">
        <v>2</v>
      </c>
      <c r="T668" s="40">
        <v>4</v>
      </c>
      <c r="U668" s="41">
        <v>3</v>
      </c>
      <c r="V668" s="40">
        <v>3</v>
      </c>
      <c r="W668" s="40">
        <v>2</v>
      </c>
      <c r="X668" s="40">
        <v>1</v>
      </c>
      <c r="Y668" s="41">
        <v>1</v>
      </c>
      <c r="Z668" s="40" t="s">
        <v>45</v>
      </c>
      <c r="AA668" s="40" t="s">
        <v>45</v>
      </c>
      <c r="AB668" s="40">
        <v>6</v>
      </c>
      <c r="AC668" s="40" t="s">
        <v>45</v>
      </c>
      <c r="AD668" s="40" t="s">
        <v>45</v>
      </c>
      <c r="AE668" s="40" t="s">
        <v>45</v>
      </c>
      <c r="AF668" s="40" t="s">
        <v>45</v>
      </c>
      <c r="AG668" s="41" t="s">
        <v>45</v>
      </c>
      <c r="AH668" s="40">
        <v>3</v>
      </c>
      <c r="AI668" s="40">
        <v>4</v>
      </c>
      <c r="AJ668" s="41">
        <v>4</v>
      </c>
      <c r="AK668" s="43" t="s">
        <v>45</v>
      </c>
      <c r="AL668" s="43"/>
      <c r="AM668" s="44">
        <f t="shared" si="71"/>
        <v>-1.3571708205273432</v>
      </c>
      <c r="AN668" s="44">
        <f t="shared" si="72"/>
        <v>-0.90488909449800403</v>
      </c>
      <c r="AO668" s="45">
        <f t="shared" si="73"/>
        <v>0</v>
      </c>
      <c r="AP668" s="46">
        <f t="shared" si="74"/>
        <v>0.6</v>
      </c>
      <c r="AQ668" s="44">
        <f>($AM$3*AM668+$AN$3*AN668+$AO$3*AO668+$AP$3*AP668)+$I$3*VLOOKUP(I668,COND!$A$2:$E$7,4,FALSE)+$J$3*VLOOKUP(J668,COND!$A$2:$C$7,2,FALSE)+$K$3*VLOOKUP(K668,COND!$A$2:$C$7,3,FALSE)+IF(AND($B$2&gt;0,$E668&lt;20),$B$2*25,0)</f>
        <v>34.305613783971218</v>
      </c>
      <c r="AR668" s="47">
        <f t="shared" si="75"/>
        <v>-2.1785628801789163</v>
      </c>
      <c r="AS668" s="45" t="str">
        <f t="shared" si="76"/>
        <v>2B</v>
      </c>
      <c r="AT668" s="45">
        <f>RANK(Batters[[#This Row],[zScore]],Batters[[#All],[zScore]])</f>
        <v>664</v>
      </c>
      <c r="AU668" s="45"/>
      <c r="AV668" s="45"/>
      <c r="AW668" s="45" t="str">
        <f t="shared" si="77"/>
        <v>Unlikely</v>
      </c>
      <c r="AX668" s="45"/>
      <c r="AY668" s="64" t="str">
        <f>INDEX(Table5[[#All],[Ovr]],MATCH(Batters[[#This Row],[PID]],Table5[[#All],[PID]],0))</f>
        <v/>
      </c>
      <c r="AZ668" s="64" t="str">
        <f>INDEX(Table5[[#All],[Rnd]],MATCH(Batters[[#This Row],[PID]],Table5[[#All],[PID]],0))</f>
        <v/>
      </c>
      <c r="BA668" s="64" t="str">
        <f>INDEX(Table5[[#All],[Pick]],MATCH(Batters[[#This Row],[PID]],Table5[[#All],[PID]],0))</f>
        <v/>
      </c>
      <c r="BB668" s="64" t="str">
        <f>INDEX(Table5[[#All],[Team]],MATCH(Batters[[#This Row],[PID]],Table5[[#All],[PID]],0))</f>
        <v/>
      </c>
    </row>
    <row r="669" spans="1:54" ht="30" x14ac:dyDescent="0.25">
      <c r="A669" s="40">
        <v>18383</v>
      </c>
      <c r="B669" s="40" t="s">
        <v>87</v>
      </c>
      <c r="C669" s="40" t="s">
        <v>123</v>
      </c>
      <c r="D669" s="40" t="s">
        <v>1725</v>
      </c>
      <c r="E669" s="40">
        <v>18</v>
      </c>
      <c r="F669" s="40" t="s">
        <v>42</v>
      </c>
      <c r="G669" s="40" t="s">
        <v>42</v>
      </c>
      <c r="H669" s="41" t="s">
        <v>647</v>
      </c>
      <c r="I669" s="65" t="s">
        <v>43</v>
      </c>
      <c r="J669" s="66" t="s">
        <v>43</v>
      </c>
      <c r="K669" s="67" t="s">
        <v>44</v>
      </c>
      <c r="L669" s="40">
        <v>1</v>
      </c>
      <c r="M669" s="40">
        <v>1</v>
      </c>
      <c r="N669" s="40">
        <v>2</v>
      </c>
      <c r="O669" s="40">
        <v>2</v>
      </c>
      <c r="P669" s="41">
        <v>1</v>
      </c>
      <c r="Q669" s="40">
        <v>2</v>
      </c>
      <c r="R669" s="40">
        <v>2</v>
      </c>
      <c r="S669" s="40">
        <v>2</v>
      </c>
      <c r="T669" s="40">
        <v>5</v>
      </c>
      <c r="U669" s="41">
        <v>1</v>
      </c>
      <c r="V669" s="40">
        <v>3</v>
      </c>
      <c r="W669" s="40">
        <v>2</v>
      </c>
      <c r="X669" s="40">
        <v>4</v>
      </c>
      <c r="Y669" s="41">
        <v>5</v>
      </c>
      <c r="Z669" s="40" t="s">
        <v>45</v>
      </c>
      <c r="AA669" s="40">
        <v>1</v>
      </c>
      <c r="AB669" s="40" t="s">
        <v>45</v>
      </c>
      <c r="AC669" s="40" t="s">
        <v>45</v>
      </c>
      <c r="AD669" s="40" t="s">
        <v>45</v>
      </c>
      <c r="AE669" s="40" t="s">
        <v>45</v>
      </c>
      <c r="AF669" s="40" t="s">
        <v>45</v>
      </c>
      <c r="AG669" s="41" t="s">
        <v>45</v>
      </c>
      <c r="AH669" s="40">
        <v>1</v>
      </c>
      <c r="AI669" s="40">
        <v>1</v>
      </c>
      <c r="AJ669" s="41">
        <v>1</v>
      </c>
      <c r="AK669" s="43" t="s">
        <v>659</v>
      </c>
      <c r="AL669" s="43"/>
      <c r="AM669" s="44">
        <f t="shared" si="71"/>
        <v>-1.9115723057940897</v>
      </c>
      <c r="AN669" s="44">
        <f t="shared" si="72"/>
        <v>-1.2688279399439681</v>
      </c>
      <c r="AO669" s="45">
        <f t="shared" si="73"/>
        <v>0</v>
      </c>
      <c r="AP669" s="46">
        <f t="shared" si="74"/>
        <v>0</v>
      </c>
      <c r="AQ669" s="44">
        <f>($AM$3*AM669+$AN$3*AN669+$AO$3*AO669+$AP$3*AP669)+$I$3*VLOOKUP(I669,COND!$A$2:$E$7,4,FALSE)+$J$3*VLOOKUP(J669,COND!$A$2:$C$7,2,FALSE)+$K$3*VLOOKUP(K669,COND!$A$2:$C$7,3,FALSE)+IF(AND($B$2&gt;0,$E669&lt;20),$B$2*25,0)</f>
        <v>34.282907490092974</v>
      </c>
      <c r="AR669" s="47">
        <f t="shared" si="75"/>
        <v>-2.1835970190120255</v>
      </c>
      <c r="AS669" s="45" t="str">
        <f t="shared" si="76"/>
        <v>1B</v>
      </c>
      <c r="AT669" s="45">
        <f>RANK(Batters[[#This Row],[zScore]],Batters[[#All],[zScore]])</f>
        <v>665</v>
      </c>
      <c r="AU669" s="45"/>
      <c r="AV669" s="45"/>
      <c r="AW669" s="45" t="str">
        <f t="shared" si="77"/>
        <v>Unlikely</v>
      </c>
      <c r="AX669" s="45"/>
      <c r="AY669" s="64" t="str">
        <f>INDEX(Table5[[#All],[Ovr]],MATCH(Batters[[#This Row],[PID]],Table5[[#All],[PID]],0))</f>
        <v/>
      </c>
      <c r="AZ669" s="64" t="str">
        <f>INDEX(Table5[[#All],[Rnd]],MATCH(Batters[[#This Row],[PID]],Table5[[#All],[PID]],0))</f>
        <v/>
      </c>
      <c r="BA669" s="64" t="str">
        <f>INDEX(Table5[[#All],[Pick]],MATCH(Batters[[#This Row],[PID]],Table5[[#All],[PID]],0))</f>
        <v/>
      </c>
      <c r="BB669" s="64" t="str">
        <f>INDEX(Table5[[#All],[Team]],MATCH(Batters[[#This Row],[PID]],Table5[[#All],[PID]],0))</f>
        <v/>
      </c>
    </row>
    <row r="670" spans="1:54" ht="30" x14ac:dyDescent="0.25">
      <c r="A670" s="40">
        <v>15922</v>
      </c>
      <c r="B670" s="40" t="s">
        <v>69</v>
      </c>
      <c r="C670" s="40" t="s">
        <v>584</v>
      </c>
      <c r="D670" s="40" t="s">
        <v>1605</v>
      </c>
      <c r="E670" s="40">
        <v>21</v>
      </c>
      <c r="F670" s="40" t="s">
        <v>62</v>
      </c>
      <c r="G670" s="40" t="s">
        <v>42</v>
      </c>
      <c r="H670" s="41" t="s">
        <v>638</v>
      </c>
      <c r="I670" s="65" t="s">
        <v>43</v>
      </c>
      <c r="J670" s="66" t="s">
        <v>43</v>
      </c>
      <c r="K670" s="67" t="s">
        <v>43</v>
      </c>
      <c r="L670" s="40">
        <v>1</v>
      </c>
      <c r="M670" s="40">
        <v>1</v>
      </c>
      <c r="N670" s="40">
        <v>3</v>
      </c>
      <c r="O670" s="40">
        <v>2</v>
      </c>
      <c r="P670" s="41">
        <v>1</v>
      </c>
      <c r="Q670" s="40">
        <v>2</v>
      </c>
      <c r="R670" s="40">
        <v>3</v>
      </c>
      <c r="S670" s="40">
        <v>4</v>
      </c>
      <c r="T670" s="40">
        <v>5</v>
      </c>
      <c r="U670" s="41">
        <v>2</v>
      </c>
      <c r="V670" s="40">
        <v>7</v>
      </c>
      <c r="W670" s="40">
        <v>6</v>
      </c>
      <c r="X670" s="40">
        <v>1</v>
      </c>
      <c r="Y670" s="41">
        <v>1</v>
      </c>
      <c r="Z670" s="40" t="s">
        <v>45</v>
      </c>
      <c r="AA670" s="40" t="s">
        <v>45</v>
      </c>
      <c r="AB670" s="40">
        <v>5</v>
      </c>
      <c r="AC670" s="40">
        <v>2</v>
      </c>
      <c r="AD670" s="40">
        <v>1</v>
      </c>
      <c r="AE670" s="40" t="s">
        <v>45</v>
      </c>
      <c r="AF670" s="40" t="s">
        <v>45</v>
      </c>
      <c r="AG670" s="41" t="s">
        <v>45</v>
      </c>
      <c r="AH670" s="40">
        <v>10</v>
      </c>
      <c r="AI670" s="40">
        <v>9</v>
      </c>
      <c r="AJ670" s="41">
        <v>9</v>
      </c>
      <c r="AK670" s="43" t="s">
        <v>45</v>
      </c>
      <c r="AL670" s="43" t="s">
        <v>635</v>
      </c>
      <c r="AM670" s="44">
        <f t="shared" si="71"/>
        <v>-1.828510811770188</v>
      </c>
      <c r="AN670" s="44">
        <f t="shared" si="72"/>
        <v>-1.0116287324603783</v>
      </c>
      <c r="AO670" s="45">
        <f t="shared" si="73"/>
        <v>6</v>
      </c>
      <c r="AP670" s="46">
        <f t="shared" si="74"/>
        <v>0.6</v>
      </c>
      <c r="AQ670" s="44">
        <f>($AM$3*AM670+$AN$3*AN670+$AO$3*AO670+$AP$3*AP670)+$I$3*VLOOKUP(I670,COND!$A$2:$E$7,4,FALSE)+$J$3*VLOOKUP(J670,COND!$A$2:$C$7,2,FALSE)+$K$3*VLOOKUP(K670,COND!$A$2:$C$7,3,FALSE)+IF(AND($B$2&gt;0,$E670&lt;20),$B$2*25,0)</f>
        <v>34.277604129298439</v>
      </c>
      <c r="AR670" s="47">
        <f t="shared" si="75"/>
        <v>-2.1847728099475661</v>
      </c>
      <c r="AS670" s="45" t="str">
        <f t="shared" si="76"/>
        <v>2B</v>
      </c>
      <c r="AT670" s="45">
        <f>RANK(Batters[[#This Row],[zScore]],Batters[[#All],[zScore]])</f>
        <v>666</v>
      </c>
      <c r="AU670" s="45"/>
      <c r="AV670" s="45"/>
      <c r="AW670" s="45" t="str">
        <f t="shared" si="77"/>
        <v>Unlikely</v>
      </c>
      <c r="AX670" s="45"/>
      <c r="AY670" s="45" t="str">
        <f>INDEX(Table5[[#All],[Ovr]],MATCH(Batters[[#This Row],[PID]],Table5[[#All],[PID]],0))</f>
        <v/>
      </c>
      <c r="AZ670" s="45" t="str">
        <f>INDEX(Table5[[#All],[Rnd]],MATCH(Batters[[#This Row],[PID]],Table5[[#All],[PID]],0))</f>
        <v/>
      </c>
      <c r="BA670" s="45" t="str">
        <f>INDEX(Table5[[#All],[Pick]],MATCH(Batters[[#This Row],[PID]],Table5[[#All],[PID]],0))</f>
        <v/>
      </c>
      <c r="BB670" s="45" t="str">
        <f>INDEX(Table5[[#All],[Team]],MATCH(Batters[[#This Row],[PID]],Table5[[#All],[PID]],0))</f>
        <v/>
      </c>
    </row>
    <row r="671" spans="1:54" ht="30" x14ac:dyDescent="0.25">
      <c r="A671" s="40">
        <v>10489</v>
      </c>
      <c r="B671" s="40" t="s">
        <v>87</v>
      </c>
      <c r="C671" s="40" t="s">
        <v>144</v>
      </c>
      <c r="D671" s="40" t="s">
        <v>529</v>
      </c>
      <c r="E671" s="40">
        <v>22</v>
      </c>
      <c r="F671" s="40" t="s">
        <v>62</v>
      </c>
      <c r="G671" s="40" t="s">
        <v>42</v>
      </c>
      <c r="H671" s="41" t="s">
        <v>647</v>
      </c>
      <c r="I671" s="65" t="s">
        <v>43</v>
      </c>
      <c r="J671" s="66" t="s">
        <v>44</v>
      </c>
      <c r="K671" s="67" t="s">
        <v>43</v>
      </c>
      <c r="L671" s="40">
        <v>3</v>
      </c>
      <c r="M671" s="40">
        <v>1</v>
      </c>
      <c r="N671" s="40">
        <v>2</v>
      </c>
      <c r="O671" s="40">
        <v>1</v>
      </c>
      <c r="P671" s="41">
        <v>2</v>
      </c>
      <c r="Q671" s="40">
        <v>4</v>
      </c>
      <c r="R671" s="40">
        <v>2</v>
      </c>
      <c r="S671" s="40">
        <v>2</v>
      </c>
      <c r="T671" s="40">
        <v>1</v>
      </c>
      <c r="U671" s="41">
        <v>4</v>
      </c>
      <c r="V671" s="40">
        <v>5</v>
      </c>
      <c r="W671" s="40">
        <v>2</v>
      </c>
      <c r="X671" s="40">
        <v>1</v>
      </c>
      <c r="Y671" s="41">
        <v>1</v>
      </c>
      <c r="Z671" s="40" t="s">
        <v>45</v>
      </c>
      <c r="AA671" s="40">
        <v>2</v>
      </c>
      <c r="AB671" s="40" t="s">
        <v>45</v>
      </c>
      <c r="AC671" s="40" t="s">
        <v>45</v>
      </c>
      <c r="AD671" s="40" t="s">
        <v>45</v>
      </c>
      <c r="AE671" s="40" t="s">
        <v>45</v>
      </c>
      <c r="AF671" s="40" t="s">
        <v>45</v>
      </c>
      <c r="AG671" s="41" t="s">
        <v>45</v>
      </c>
      <c r="AH671" s="40">
        <v>3</v>
      </c>
      <c r="AI671" s="40">
        <v>1</v>
      </c>
      <c r="AJ671" s="41">
        <v>1</v>
      </c>
      <c r="AK671" s="43" t="s">
        <v>45</v>
      </c>
      <c r="AL671" s="43"/>
      <c r="AM671" s="44">
        <f t="shared" si="71"/>
        <v>-1.3161538435812374</v>
      </c>
      <c r="AN671" s="44">
        <f t="shared" si="72"/>
        <v>-0.86250544812569241</v>
      </c>
      <c r="AO671" s="45">
        <f t="shared" si="73"/>
        <v>0</v>
      </c>
      <c r="AP671" s="46">
        <f t="shared" si="74"/>
        <v>0</v>
      </c>
      <c r="AQ671" s="44">
        <f>($AM$3*AM671+$AN$3*AN671+$AO$3*AO671+$AP$3*AP671)+$I$3*VLOOKUP(I671,COND!$A$2:$E$7,4,FALSE)+$J$3*VLOOKUP(J671,COND!$A$2:$C$7,2,FALSE)+$K$3*VLOOKUP(K671,COND!$A$2:$C$7,3,FALSE)+IF(AND($B$2&gt;0,$E671&lt;20),$B$2*25,0)</f>
        <v>34.218319238133567</v>
      </c>
      <c r="AR671" s="47">
        <f t="shared" si="75"/>
        <v>-2.1979166710474916</v>
      </c>
      <c r="AS671" s="45" t="str">
        <f t="shared" si="76"/>
        <v>1B</v>
      </c>
      <c r="AT671" s="45">
        <f>RANK(Batters[[#This Row],[zScore]],Batters[[#All],[zScore]])</f>
        <v>667</v>
      </c>
      <c r="AU671" s="45"/>
      <c r="AV671" s="45"/>
      <c r="AW671" s="45" t="str">
        <f t="shared" si="77"/>
        <v>Unlikely</v>
      </c>
      <c r="AX671" s="45"/>
      <c r="AY671" s="64" t="str">
        <f>INDEX(Table5[[#All],[Ovr]],MATCH(Batters[[#This Row],[PID]],Table5[[#All],[PID]],0))</f>
        <v/>
      </c>
      <c r="AZ671" s="64" t="str">
        <f>INDEX(Table5[[#All],[Rnd]],MATCH(Batters[[#This Row],[PID]],Table5[[#All],[PID]],0))</f>
        <v/>
      </c>
      <c r="BA671" s="64" t="str">
        <f>INDEX(Table5[[#All],[Pick]],MATCH(Batters[[#This Row],[PID]],Table5[[#All],[PID]],0))</f>
        <v/>
      </c>
      <c r="BB671" s="64" t="str">
        <f>INDEX(Table5[[#All],[Team]],MATCH(Batters[[#This Row],[PID]],Table5[[#All],[PID]],0))</f>
        <v/>
      </c>
    </row>
    <row r="672" spans="1:54" ht="30" x14ac:dyDescent="0.25">
      <c r="A672" s="40">
        <v>12100</v>
      </c>
      <c r="B672" s="40" t="s">
        <v>87</v>
      </c>
      <c r="C672" s="40" t="s">
        <v>199</v>
      </c>
      <c r="D672" s="40" t="s">
        <v>157</v>
      </c>
      <c r="E672" s="40">
        <v>22</v>
      </c>
      <c r="F672" s="40" t="s">
        <v>42</v>
      </c>
      <c r="G672" s="40" t="s">
        <v>42</v>
      </c>
      <c r="H672" s="41" t="s">
        <v>647</v>
      </c>
      <c r="I672" s="65" t="s">
        <v>44</v>
      </c>
      <c r="J672" s="66" t="s">
        <v>44</v>
      </c>
      <c r="K672" s="67" t="s">
        <v>44</v>
      </c>
      <c r="L672" s="40">
        <v>1</v>
      </c>
      <c r="M672" s="40">
        <v>1</v>
      </c>
      <c r="N672" s="40">
        <v>2</v>
      </c>
      <c r="O672" s="40">
        <v>2</v>
      </c>
      <c r="P672" s="41">
        <v>1</v>
      </c>
      <c r="Q672" s="40">
        <v>3</v>
      </c>
      <c r="R672" s="40">
        <v>3</v>
      </c>
      <c r="S672" s="40">
        <v>3</v>
      </c>
      <c r="T672" s="40">
        <v>4</v>
      </c>
      <c r="U672" s="41">
        <v>3</v>
      </c>
      <c r="V672" s="40">
        <v>4</v>
      </c>
      <c r="W672" s="40">
        <v>3</v>
      </c>
      <c r="X672" s="40">
        <v>4</v>
      </c>
      <c r="Y672" s="41">
        <v>5</v>
      </c>
      <c r="Z672" s="40" t="s">
        <v>45</v>
      </c>
      <c r="AA672" s="40">
        <v>4</v>
      </c>
      <c r="AB672" s="40" t="s">
        <v>45</v>
      </c>
      <c r="AC672" s="40" t="s">
        <v>45</v>
      </c>
      <c r="AD672" s="40" t="s">
        <v>45</v>
      </c>
      <c r="AE672" s="40" t="s">
        <v>45</v>
      </c>
      <c r="AF672" s="40" t="s">
        <v>45</v>
      </c>
      <c r="AG672" s="41" t="s">
        <v>45</v>
      </c>
      <c r="AH672" s="40">
        <v>1</v>
      </c>
      <c r="AI672" s="40">
        <v>1</v>
      </c>
      <c r="AJ672" s="41">
        <v>1</v>
      </c>
      <c r="AK672" s="43" t="s">
        <v>45</v>
      </c>
      <c r="AL672" s="43"/>
      <c r="AM672" s="44">
        <f t="shared" si="71"/>
        <v>-1.9115723057940897</v>
      </c>
      <c r="AN672" s="44">
        <f t="shared" si="72"/>
        <v>-0.82182760047410253</v>
      </c>
      <c r="AO672" s="45">
        <f t="shared" si="73"/>
        <v>0</v>
      </c>
      <c r="AP672" s="46">
        <f t="shared" si="74"/>
        <v>0</v>
      </c>
      <c r="AQ672" s="44">
        <f>($AM$3*AM672+$AN$3*AN672+$AO$3*AO672+$AP$3*AP672)+$I$3*VLOOKUP(I672,COND!$A$2:$E$7,4,FALSE)+$J$3*VLOOKUP(J672,COND!$A$2:$C$7,2,FALSE)+$K$3*VLOOKUP(K672,COND!$A$2:$C$7,3,FALSE)+IF(AND($B$2&gt;0,$E672&lt;20),$B$2*25,0)</f>
        <v>34.196911563731362</v>
      </c>
      <c r="AR672" s="47">
        <f t="shared" si="75"/>
        <v>-2.20266289716491</v>
      </c>
      <c r="AS672" s="45" t="str">
        <f t="shared" si="76"/>
        <v>1B</v>
      </c>
      <c r="AT672" s="45">
        <f>RANK(Batters[[#This Row],[zScore]],Batters[[#All],[zScore]])</f>
        <v>668</v>
      </c>
      <c r="AU672" s="45"/>
      <c r="AV672" s="45"/>
      <c r="AW672" s="45" t="str">
        <f t="shared" si="77"/>
        <v>Unlikely</v>
      </c>
      <c r="AX672" s="45"/>
      <c r="AY672" s="64" t="str">
        <f>INDEX(Table5[[#All],[Ovr]],MATCH(Batters[[#This Row],[PID]],Table5[[#All],[PID]],0))</f>
        <v/>
      </c>
      <c r="AZ672" s="64" t="str">
        <f>INDEX(Table5[[#All],[Rnd]],MATCH(Batters[[#This Row],[PID]],Table5[[#All],[PID]],0))</f>
        <v/>
      </c>
      <c r="BA672" s="64" t="str">
        <f>INDEX(Table5[[#All],[Pick]],MATCH(Batters[[#This Row],[PID]],Table5[[#All],[PID]],0))</f>
        <v/>
      </c>
      <c r="BB672" s="64" t="str">
        <f>INDEX(Table5[[#All],[Team]],MATCH(Batters[[#This Row],[PID]],Table5[[#All],[PID]],0))</f>
        <v/>
      </c>
    </row>
    <row r="673" spans="1:54" ht="30" x14ac:dyDescent="0.25">
      <c r="A673" s="40">
        <v>6018</v>
      </c>
      <c r="B673" s="40" t="s">
        <v>50</v>
      </c>
      <c r="C673" s="40" t="s">
        <v>912</v>
      </c>
      <c r="D673" s="40" t="s">
        <v>611</v>
      </c>
      <c r="E673" s="40">
        <v>22</v>
      </c>
      <c r="F673" s="40" t="s">
        <v>42</v>
      </c>
      <c r="G673" s="40" t="s">
        <v>42</v>
      </c>
      <c r="H673" s="41" t="s">
        <v>639</v>
      </c>
      <c r="I673" s="65" t="s">
        <v>43</v>
      </c>
      <c r="J673" s="66" t="s">
        <v>44</v>
      </c>
      <c r="K673" s="67" t="s">
        <v>44</v>
      </c>
      <c r="L673" s="40">
        <v>2</v>
      </c>
      <c r="M673" s="40">
        <v>2</v>
      </c>
      <c r="N673" s="40">
        <v>2</v>
      </c>
      <c r="O673" s="40">
        <v>2</v>
      </c>
      <c r="P673" s="41">
        <v>2</v>
      </c>
      <c r="Q673" s="40">
        <v>3</v>
      </c>
      <c r="R673" s="40">
        <v>4</v>
      </c>
      <c r="S673" s="40">
        <v>2</v>
      </c>
      <c r="T673" s="40">
        <v>4</v>
      </c>
      <c r="U673" s="41">
        <v>3</v>
      </c>
      <c r="V673" s="40">
        <v>8</v>
      </c>
      <c r="W673" s="40">
        <v>10</v>
      </c>
      <c r="X673" s="40">
        <v>1</v>
      </c>
      <c r="Y673" s="41">
        <v>1</v>
      </c>
      <c r="Z673" s="40" t="s">
        <v>45</v>
      </c>
      <c r="AA673" s="40" t="s">
        <v>45</v>
      </c>
      <c r="AB673" s="40" t="s">
        <v>45</v>
      </c>
      <c r="AC673" s="40" t="s">
        <v>45</v>
      </c>
      <c r="AD673" s="40" t="s">
        <v>45</v>
      </c>
      <c r="AE673" s="40">
        <v>4</v>
      </c>
      <c r="AF673" s="40">
        <v>1</v>
      </c>
      <c r="AG673" s="41" t="s">
        <v>45</v>
      </c>
      <c r="AH673" s="40">
        <v>5</v>
      </c>
      <c r="AI673" s="40">
        <v>7</v>
      </c>
      <c r="AJ673" s="41">
        <v>7</v>
      </c>
      <c r="AK673" s="43" t="s">
        <v>45</v>
      </c>
      <c r="AL673" s="43"/>
      <c r="AM673" s="44">
        <f t="shared" si="71"/>
        <v>-1.4979402501556278</v>
      </c>
      <c r="AN673" s="44">
        <f t="shared" si="72"/>
        <v>-0.85382921487930052</v>
      </c>
      <c r="AO673" s="45">
        <f t="shared" si="73"/>
        <v>1</v>
      </c>
      <c r="AP673" s="46">
        <f t="shared" si="74"/>
        <v>0</v>
      </c>
      <c r="AQ673" s="44">
        <f>($AM$3*AM673+$AN$3*AN673+$AO$3*AO673+$AP$3*AP673)+$I$3*VLOOKUP(I673,COND!$A$2:$E$7,4,FALSE)+$J$3*VLOOKUP(J673,COND!$A$2:$C$7,2,FALSE)+$K$3*VLOOKUP(K673,COND!$A$2:$C$7,3,FALSE)+IF(AND($B$2&gt;0,$E673&lt;20),$B$2*25,0)</f>
        <v>34.170922063099496</v>
      </c>
      <c r="AR673" s="47">
        <f t="shared" si="75"/>
        <v>-2.2084249451277151</v>
      </c>
      <c r="AS673" s="45" t="str">
        <f t="shared" si="76"/>
        <v>LF</v>
      </c>
      <c r="AT673" s="45">
        <f>RANK(Batters[[#This Row],[zScore]],Batters[[#All],[zScore]])</f>
        <v>669</v>
      </c>
      <c r="AU673" s="45"/>
      <c r="AV673" s="45"/>
      <c r="AW673" s="45" t="str">
        <f t="shared" si="77"/>
        <v>Unlikely</v>
      </c>
      <c r="AX673" s="45"/>
      <c r="AY673" s="64" t="str">
        <f>INDEX(Table5[[#All],[Ovr]],MATCH(Batters[[#This Row],[PID]],Table5[[#All],[PID]],0))</f>
        <v/>
      </c>
      <c r="AZ673" s="64" t="str">
        <f>INDEX(Table5[[#All],[Rnd]],MATCH(Batters[[#This Row],[PID]],Table5[[#All],[PID]],0))</f>
        <v/>
      </c>
      <c r="BA673" s="64" t="str">
        <f>INDEX(Table5[[#All],[Pick]],MATCH(Batters[[#This Row],[PID]],Table5[[#All],[PID]],0))</f>
        <v/>
      </c>
      <c r="BB673" s="64" t="str">
        <f>INDEX(Table5[[#All],[Team]],MATCH(Batters[[#This Row],[PID]],Table5[[#All],[PID]],0))</f>
        <v/>
      </c>
    </row>
    <row r="674" spans="1:54" ht="30" x14ac:dyDescent="0.25">
      <c r="A674" s="40">
        <v>10015</v>
      </c>
      <c r="B674" s="40" t="s">
        <v>86</v>
      </c>
      <c r="C674" s="40" t="s">
        <v>182</v>
      </c>
      <c r="D674" s="40" t="s">
        <v>609</v>
      </c>
      <c r="E674" s="40">
        <v>22</v>
      </c>
      <c r="F674" s="40" t="s">
        <v>42</v>
      </c>
      <c r="G674" s="40" t="s">
        <v>42</v>
      </c>
      <c r="H674" s="41" t="s">
        <v>638</v>
      </c>
      <c r="I674" s="65" t="s">
        <v>43</v>
      </c>
      <c r="J674" s="66" t="s">
        <v>43</v>
      </c>
      <c r="K674" s="67" t="s">
        <v>43</v>
      </c>
      <c r="L674" s="40">
        <v>1</v>
      </c>
      <c r="M674" s="40">
        <v>2</v>
      </c>
      <c r="N674" s="40">
        <v>3</v>
      </c>
      <c r="O674" s="40">
        <v>3</v>
      </c>
      <c r="P674" s="41">
        <v>1</v>
      </c>
      <c r="Q674" s="40">
        <v>2</v>
      </c>
      <c r="R674" s="40">
        <v>3</v>
      </c>
      <c r="S674" s="40">
        <v>4</v>
      </c>
      <c r="T674" s="40">
        <v>5</v>
      </c>
      <c r="U674" s="41">
        <v>2</v>
      </c>
      <c r="V674" s="40">
        <v>5</v>
      </c>
      <c r="W674" s="40">
        <v>5</v>
      </c>
      <c r="X674" s="40">
        <v>6</v>
      </c>
      <c r="Y674" s="41">
        <v>8</v>
      </c>
      <c r="Z674" s="40">
        <v>3</v>
      </c>
      <c r="AA674" s="40" t="s">
        <v>45</v>
      </c>
      <c r="AB674" s="40" t="s">
        <v>45</v>
      </c>
      <c r="AC674" s="40" t="s">
        <v>45</v>
      </c>
      <c r="AD674" s="40" t="s">
        <v>45</v>
      </c>
      <c r="AE674" s="40" t="s">
        <v>45</v>
      </c>
      <c r="AF674" s="40" t="s">
        <v>45</v>
      </c>
      <c r="AG674" s="41" t="s">
        <v>45</v>
      </c>
      <c r="AH674" s="40">
        <v>1</v>
      </c>
      <c r="AI674" s="40">
        <v>1</v>
      </c>
      <c r="AJ674" s="41">
        <v>1</v>
      </c>
      <c r="AK674" s="43" t="s">
        <v>45</v>
      </c>
      <c r="AL674" s="43" t="s">
        <v>635</v>
      </c>
      <c r="AM674" s="44">
        <f t="shared" si="71"/>
        <v>-1.6877413821419032</v>
      </c>
      <c r="AN674" s="44">
        <f t="shared" si="72"/>
        <v>-1.0116287324603783</v>
      </c>
      <c r="AO674" s="45">
        <f t="shared" si="73"/>
        <v>0</v>
      </c>
      <c r="AP674" s="46">
        <f t="shared" si="74"/>
        <v>1.35</v>
      </c>
      <c r="AQ674" s="44">
        <f>($AM$3*AM674+$AN$3*AN674+$AO$3*AO674+$AP$3*AP674)+$I$3*VLOOKUP(I674,COND!$A$2:$E$7,4,FALSE)+$J$3*VLOOKUP(J674,COND!$A$2:$C$7,2,FALSE)+$K$3*VLOOKUP(K674,COND!$A$2:$C$7,3,FALSE)+IF(AND($B$2&gt;0,$E674&lt;20),$B$2*25,0)</f>
        <v>34.041681072261269</v>
      </c>
      <c r="AR674" s="47">
        <f t="shared" si="75"/>
        <v>-2.237078546384573</v>
      </c>
      <c r="AS674" s="45" t="str">
        <f t="shared" si="76"/>
        <v>C</v>
      </c>
      <c r="AT674" s="45">
        <f>RANK(Batters[[#This Row],[zScore]],Batters[[#All],[zScore]])</f>
        <v>670</v>
      </c>
      <c r="AU674" s="45"/>
      <c r="AV674" s="45"/>
      <c r="AW674" s="45" t="str">
        <f t="shared" si="77"/>
        <v>Unlikely</v>
      </c>
      <c r="AX674" s="45"/>
      <c r="AY674" s="45" t="str">
        <f>INDEX(Table5[[#All],[Ovr]],MATCH(Batters[[#This Row],[PID]],Table5[[#All],[PID]],0))</f>
        <v/>
      </c>
      <c r="AZ674" s="45" t="str">
        <f>INDEX(Table5[[#All],[Rnd]],MATCH(Batters[[#This Row],[PID]],Table5[[#All],[PID]],0))</f>
        <v/>
      </c>
      <c r="BA674" s="45" t="str">
        <f>INDEX(Table5[[#All],[Pick]],MATCH(Batters[[#This Row],[PID]],Table5[[#All],[PID]],0))</f>
        <v/>
      </c>
      <c r="BB674" s="45" t="str">
        <f>INDEX(Table5[[#All],[Team]],MATCH(Batters[[#This Row],[PID]],Table5[[#All],[PID]],0))</f>
        <v/>
      </c>
    </row>
    <row r="675" spans="1:54" ht="30" x14ac:dyDescent="0.25">
      <c r="A675" s="40">
        <v>13443</v>
      </c>
      <c r="B675" s="40" t="s">
        <v>87</v>
      </c>
      <c r="C675" s="40" t="s">
        <v>833</v>
      </c>
      <c r="D675" s="40" t="s">
        <v>1700</v>
      </c>
      <c r="E675" s="40">
        <v>21</v>
      </c>
      <c r="F675" s="40" t="s">
        <v>42</v>
      </c>
      <c r="G675" s="40" t="s">
        <v>42</v>
      </c>
      <c r="H675" s="41" t="s">
        <v>647</v>
      </c>
      <c r="I675" s="65" t="s">
        <v>47</v>
      </c>
      <c r="J675" s="66" t="s">
        <v>43</v>
      </c>
      <c r="K675" s="67" t="s">
        <v>44</v>
      </c>
      <c r="L675" s="40">
        <v>1</v>
      </c>
      <c r="M675" s="40">
        <v>1</v>
      </c>
      <c r="N675" s="40">
        <v>2</v>
      </c>
      <c r="O675" s="40">
        <v>2</v>
      </c>
      <c r="P675" s="41">
        <v>1</v>
      </c>
      <c r="Q675" s="40">
        <v>3</v>
      </c>
      <c r="R675" s="40">
        <v>3</v>
      </c>
      <c r="S675" s="40">
        <v>2</v>
      </c>
      <c r="T675" s="40">
        <v>4</v>
      </c>
      <c r="U675" s="41">
        <v>3</v>
      </c>
      <c r="V675" s="40">
        <v>1</v>
      </c>
      <c r="W675" s="40">
        <v>1</v>
      </c>
      <c r="X675" s="40">
        <v>6</v>
      </c>
      <c r="Y675" s="41">
        <v>4</v>
      </c>
      <c r="Z675" s="40" t="s">
        <v>45</v>
      </c>
      <c r="AA675" s="40">
        <v>1</v>
      </c>
      <c r="AB675" s="40" t="s">
        <v>45</v>
      </c>
      <c r="AC675" s="40" t="s">
        <v>45</v>
      </c>
      <c r="AD675" s="40" t="s">
        <v>45</v>
      </c>
      <c r="AE675" s="40" t="s">
        <v>45</v>
      </c>
      <c r="AF675" s="40" t="s">
        <v>45</v>
      </c>
      <c r="AG675" s="41" t="s">
        <v>45</v>
      </c>
      <c r="AH675" s="40">
        <v>1</v>
      </c>
      <c r="AI675" s="40">
        <v>1</v>
      </c>
      <c r="AJ675" s="41">
        <v>1</v>
      </c>
      <c r="AK675" s="43" t="s">
        <v>643</v>
      </c>
      <c r="AL675" s="43"/>
      <c r="AM675" s="44">
        <f t="shared" si="71"/>
        <v>-1.9115723057940897</v>
      </c>
      <c r="AN675" s="44">
        <f t="shared" si="72"/>
        <v>-0.90488909449800403</v>
      </c>
      <c r="AO675" s="45">
        <f t="shared" si="73"/>
        <v>0</v>
      </c>
      <c r="AP675" s="46">
        <f t="shared" si="74"/>
        <v>0</v>
      </c>
      <c r="AQ675" s="44">
        <f>($AM$3*AM675+$AN$3*AN675+$AO$3*AO675+$AP$3*AP675)+$I$3*VLOOKUP(I675,COND!$A$2:$E$7,4,FALSE)+$J$3*VLOOKUP(J675,COND!$A$2:$C$7,2,FALSE)+$K$3*VLOOKUP(K675,COND!$A$2:$C$7,3,FALSE)+IF(AND($B$2&gt;0,$E675&lt;20),$B$2*25,0)</f>
        <v>33.87517363544454</v>
      </c>
      <c r="AR675" s="47">
        <f t="shared" si="75"/>
        <v>-2.2739943706126615</v>
      </c>
      <c r="AS675" s="45" t="str">
        <f t="shared" si="76"/>
        <v>1B</v>
      </c>
      <c r="AT675" s="45">
        <f>RANK(Batters[[#This Row],[zScore]],Batters[[#All],[zScore]])</f>
        <v>671</v>
      </c>
      <c r="AU675" s="45"/>
      <c r="AV675" s="45"/>
      <c r="AW675" s="45" t="str">
        <f t="shared" si="77"/>
        <v>Unlikely</v>
      </c>
      <c r="AX675" s="45"/>
      <c r="AY675" s="64" t="str">
        <f>INDEX(Table5[[#All],[Ovr]],MATCH(Batters[[#This Row],[PID]],Table5[[#All],[PID]],0))</f>
        <v/>
      </c>
      <c r="AZ675" s="64" t="str">
        <f>INDEX(Table5[[#All],[Rnd]],MATCH(Batters[[#This Row],[PID]],Table5[[#All],[PID]],0))</f>
        <v/>
      </c>
      <c r="BA675" s="64" t="str">
        <f>INDEX(Table5[[#All],[Pick]],MATCH(Batters[[#This Row],[PID]],Table5[[#All],[PID]],0))</f>
        <v/>
      </c>
      <c r="BB675" s="64" t="str">
        <f>INDEX(Table5[[#All],[Team]],MATCH(Batters[[#This Row],[PID]],Table5[[#All],[PID]],0))</f>
        <v/>
      </c>
    </row>
    <row r="676" spans="1:54" ht="30" x14ac:dyDescent="0.25">
      <c r="A676" s="40">
        <v>12115</v>
      </c>
      <c r="B676" s="40" t="s">
        <v>86</v>
      </c>
      <c r="C676" s="40" t="s">
        <v>716</v>
      </c>
      <c r="D676" s="40" t="s">
        <v>652</v>
      </c>
      <c r="E676" s="40">
        <v>22</v>
      </c>
      <c r="F676" s="40" t="s">
        <v>62</v>
      </c>
      <c r="G676" s="40" t="s">
        <v>42</v>
      </c>
      <c r="H676" s="41" t="s">
        <v>638</v>
      </c>
      <c r="I676" s="65" t="s">
        <v>43</v>
      </c>
      <c r="J676" s="66" t="s">
        <v>43</v>
      </c>
      <c r="K676" s="67" t="s">
        <v>43</v>
      </c>
      <c r="L676" s="40">
        <v>1</v>
      </c>
      <c r="M676" s="40">
        <v>2</v>
      </c>
      <c r="N676" s="40">
        <v>3</v>
      </c>
      <c r="O676" s="40">
        <v>3</v>
      </c>
      <c r="P676" s="41">
        <v>1</v>
      </c>
      <c r="Q676" s="40">
        <v>2</v>
      </c>
      <c r="R676" s="40">
        <v>4</v>
      </c>
      <c r="S676" s="40">
        <v>4</v>
      </c>
      <c r="T676" s="40">
        <v>5</v>
      </c>
      <c r="U676" s="41">
        <v>1</v>
      </c>
      <c r="V676" s="40">
        <v>4</v>
      </c>
      <c r="W676" s="40">
        <v>4</v>
      </c>
      <c r="X676" s="40">
        <v>7</v>
      </c>
      <c r="Y676" s="41">
        <v>5</v>
      </c>
      <c r="Z676" s="40">
        <v>2</v>
      </c>
      <c r="AA676" s="40" t="s">
        <v>45</v>
      </c>
      <c r="AB676" s="40" t="s">
        <v>45</v>
      </c>
      <c r="AC676" s="40" t="s">
        <v>45</v>
      </c>
      <c r="AD676" s="40" t="s">
        <v>45</v>
      </c>
      <c r="AE676" s="40" t="s">
        <v>45</v>
      </c>
      <c r="AF676" s="40" t="s">
        <v>45</v>
      </c>
      <c r="AG676" s="41" t="s">
        <v>45</v>
      </c>
      <c r="AH676" s="40">
        <v>1</v>
      </c>
      <c r="AI676" s="40">
        <v>2</v>
      </c>
      <c r="AJ676" s="41">
        <v>1</v>
      </c>
      <c r="AK676" s="43" t="s">
        <v>45</v>
      </c>
      <c r="AL676" s="43" t="s">
        <v>47</v>
      </c>
      <c r="AM676" s="44">
        <f t="shared" si="71"/>
        <v>-1.6877413821419032</v>
      </c>
      <c r="AN676" s="44">
        <f t="shared" si="72"/>
        <v>-1.0005851926587581</v>
      </c>
      <c r="AO676" s="45">
        <f t="shared" si="73"/>
        <v>0</v>
      </c>
      <c r="AP676" s="46">
        <f t="shared" si="74"/>
        <v>1</v>
      </c>
      <c r="AQ676" s="44">
        <f>($AM$3*AM676+$AN$3*AN676+$AO$3*AO676+$AP$3*AP676)+$I$3*VLOOKUP(I676,COND!$A$2:$E$7,4,FALSE)+$J$3*VLOOKUP(J676,COND!$A$2:$C$7,2,FALSE)+$K$3*VLOOKUP(K676,COND!$A$2:$C$7,3,FALSE)+IF(AND($B$2&gt;0,$E676&lt;20),$B$2*25,0)</f>
        <v>33.824203549880714</v>
      </c>
      <c r="AR676" s="47">
        <f t="shared" si="75"/>
        <v>-2.2852947831079655</v>
      </c>
      <c r="AS676" s="45" t="str">
        <f t="shared" si="76"/>
        <v>C</v>
      </c>
      <c r="AT676" s="45">
        <f>RANK(Batters[[#This Row],[zScore]],Batters[[#All],[zScore]])</f>
        <v>672</v>
      </c>
      <c r="AU676" s="45"/>
      <c r="AV676" s="45"/>
      <c r="AW676" s="45" t="str">
        <f t="shared" si="77"/>
        <v>Unlikely</v>
      </c>
      <c r="AX676" s="45"/>
      <c r="AY676" s="45" t="str">
        <f>INDEX(Table5[[#All],[Ovr]],MATCH(Batters[[#This Row],[PID]],Table5[[#All],[PID]],0))</f>
        <v/>
      </c>
      <c r="AZ676" s="45" t="str">
        <f>INDEX(Table5[[#All],[Rnd]],MATCH(Batters[[#This Row],[PID]],Table5[[#All],[PID]],0))</f>
        <v/>
      </c>
      <c r="BA676" s="45" t="str">
        <f>INDEX(Table5[[#All],[Pick]],MATCH(Batters[[#This Row],[PID]],Table5[[#All],[PID]],0))</f>
        <v/>
      </c>
      <c r="BB676" s="45" t="str">
        <f>INDEX(Table5[[#All],[Team]],MATCH(Batters[[#This Row],[PID]],Table5[[#All],[PID]],0))</f>
        <v/>
      </c>
    </row>
    <row r="677" spans="1:54" ht="30" x14ac:dyDescent="0.25">
      <c r="A677" s="40">
        <v>17995</v>
      </c>
      <c r="B677" s="40" t="s">
        <v>86</v>
      </c>
      <c r="C677" s="40" t="s">
        <v>127</v>
      </c>
      <c r="D677" s="40" t="s">
        <v>1394</v>
      </c>
      <c r="E677" s="40">
        <v>21</v>
      </c>
      <c r="F677" s="40" t="s">
        <v>42</v>
      </c>
      <c r="G677" s="40" t="s">
        <v>42</v>
      </c>
      <c r="H677" s="41" t="s">
        <v>638</v>
      </c>
      <c r="I677" s="65" t="s">
        <v>43</v>
      </c>
      <c r="J677" s="66" t="s">
        <v>44</v>
      </c>
      <c r="K677" s="67" t="s">
        <v>43</v>
      </c>
      <c r="L677" s="40">
        <v>1</v>
      </c>
      <c r="M677" s="40">
        <v>2</v>
      </c>
      <c r="N677" s="40">
        <v>2</v>
      </c>
      <c r="O677" s="40">
        <v>2</v>
      </c>
      <c r="P677" s="41">
        <v>1</v>
      </c>
      <c r="Q677" s="40">
        <v>3</v>
      </c>
      <c r="R677" s="40">
        <v>4</v>
      </c>
      <c r="S677" s="40">
        <v>2</v>
      </c>
      <c r="T677" s="40">
        <v>4</v>
      </c>
      <c r="U677" s="41">
        <v>2</v>
      </c>
      <c r="V677" s="40">
        <v>1</v>
      </c>
      <c r="W677" s="40">
        <v>1</v>
      </c>
      <c r="X677" s="40">
        <v>3</v>
      </c>
      <c r="Y677" s="41">
        <v>8</v>
      </c>
      <c r="Z677" s="40" t="s">
        <v>45</v>
      </c>
      <c r="AA677" s="40" t="s">
        <v>45</v>
      </c>
      <c r="AB677" s="40" t="s">
        <v>45</v>
      </c>
      <c r="AC677" s="40" t="s">
        <v>45</v>
      </c>
      <c r="AD677" s="40" t="s">
        <v>45</v>
      </c>
      <c r="AE677" s="40" t="s">
        <v>45</v>
      </c>
      <c r="AF677" s="40" t="s">
        <v>45</v>
      </c>
      <c r="AG677" s="41" t="s">
        <v>45</v>
      </c>
      <c r="AH677" s="40">
        <v>1</v>
      </c>
      <c r="AI677" s="40">
        <v>2</v>
      </c>
      <c r="AJ677" s="41">
        <v>2</v>
      </c>
      <c r="AK677" s="43" t="s">
        <v>45</v>
      </c>
      <c r="AL677" s="43" t="s">
        <v>635</v>
      </c>
      <c r="AM677" s="44">
        <f t="shared" si="71"/>
        <v>-1.8605124261753858</v>
      </c>
      <c r="AN677" s="44">
        <f t="shared" si="72"/>
        <v>-0.89384555469638405</v>
      </c>
      <c r="AO677" s="45">
        <f t="shared" si="73"/>
        <v>0</v>
      </c>
      <c r="AP677" s="46">
        <f t="shared" si="74"/>
        <v>0</v>
      </c>
      <c r="AQ677" s="44">
        <f>($AM$3*AM677+$AN$3*AN677+$AO$3*AO677+$AP$3*AP677)+$I$3*VLOOKUP(I677,COND!$A$2:$E$7,4,FALSE)+$J$3*VLOOKUP(J677,COND!$A$2:$C$7,2,FALSE)+$K$3*VLOOKUP(K677,COND!$A$2:$C$7,3,FALSE)+IF(AND($B$2&gt;0,$E677&lt;20),$B$2*25,0)</f>
        <v>33.787802101025854</v>
      </c>
      <c r="AR677" s="47">
        <f t="shared" si="75"/>
        <v>-2.2933652303700471</v>
      </c>
      <c r="AS677" s="45" t="str">
        <f t="shared" si="76"/>
        <v>DH</v>
      </c>
      <c r="AT677" s="45">
        <f>RANK(Batters[[#This Row],[zScore]],Batters[[#All],[zScore]])</f>
        <v>673</v>
      </c>
      <c r="AU677" s="45"/>
      <c r="AV677" s="45"/>
      <c r="AW677" s="45" t="str">
        <f t="shared" si="77"/>
        <v>Unlikely</v>
      </c>
      <c r="AX677" s="45"/>
      <c r="AY677" s="45" t="str">
        <f>INDEX(Table5[[#All],[Ovr]],MATCH(Batters[[#This Row],[PID]],Table5[[#All],[PID]],0))</f>
        <v/>
      </c>
      <c r="AZ677" s="45" t="str">
        <f>INDEX(Table5[[#All],[Rnd]],MATCH(Batters[[#This Row],[PID]],Table5[[#All],[PID]],0))</f>
        <v/>
      </c>
      <c r="BA677" s="45" t="str">
        <f>INDEX(Table5[[#All],[Pick]],MATCH(Batters[[#This Row],[PID]],Table5[[#All],[PID]],0))</f>
        <v/>
      </c>
      <c r="BB677" s="45" t="str">
        <f>INDEX(Table5[[#All],[Team]],MATCH(Batters[[#This Row],[PID]],Table5[[#All],[PID]],0))</f>
        <v/>
      </c>
    </row>
    <row r="678" spans="1:54" ht="30" x14ac:dyDescent="0.25">
      <c r="A678" s="40">
        <v>14675</v>
      </c>
      <c r="B678" s="40" t="s">
        <v>87</v>
      </c>
      <c r="C678" s="40" t="s">
        <v>846</v>
      </c>
      <c r="D678" s="40" t="s">
        <v>847</v>
      </c>
      <c r="E678" s="40">
        <v>22</v>
      </c>
      <c r="F678" s="40" t="s">
        <v>42</v>
      </c>
      <c r="G678" s="40" t="s">
        <v>42</v>
      </c>
      <c r="H678" s="41" t="s">
        <v>647</v>
      </c>
      <c r="I678" s="65" t="s">
        <v>43</v>
      </c>
      <c r="J678" s="66" t="s">
        <v>43</v>
      </c>
      <c r="K678" s="67" t="s">
        <v>43</v>
      </c>
      <c r="L678" s="40">
        <v>2</v>
      </c>
      <c r="M678" s="40">
        <v>3</v>
      </c>
      <c r="N678" s="40">
        <v>2</v>
      </c>
      <c r="O678" s="40">
        <v>2</v>
      </c>
      <c r="P678" s="41">
        <v>2</v>
      </c>
      <c r="Q678" s="40">
        <v>3</v>
      </c>
      <c r="R678" s="40">
        <v>4</v>
      </c>
      <c r="S678" s="40">
        <v>2</v>
      </c>
      <c r="T678" s="40">
        <v>3</v>
      </c>
      <c r="U678" s="41">
        <v>3</v>
      </c>
      <c r="V678" s="40">
        <v>7</v>
      </c>
      <c r="W678" s="40">
        <v>1</v>
      </c>
      <c r="X678" s="40">
        <v>1</v>
      </c>
      <c r="Y678" s="41">
        <v>1</v>
      </c>
      <c r="Z678" s="40" t="s">
        <v>45</v>
      </c>
      <c r="AA678" s="40">
        <v>2</v>
      </c>
      <c r="AB678" s="40" t="s">
        <v>45</v>
      </c>
      <c r="AC678" s="40" t="s">
        <v>45</v>
      </c>
      <c r="AD678" s="40" t="s">
        <v>45</v>
      </c>
      <c r="AE678" s="40" t="s">
        <v>45</v>
      </c>
      <c r="AF678" s="40" t="s">
        <v>45</v>
      </c>
      <c r="AG678" s="41" t="s">
        <v>45</v>
      </c>
      <c r="AH678" s="40">
        <v>2</v>
      </c>
      <c r="AI678" s="40">
        <v>1</v>
      </c>
      <c r="AJ678" s="41">
        <v>1</v>
      </c>
      <c r="AK678" s="43" t="s">
        <v>45</v>
      </c>
      <c r="AL678" s="43"/>
      <c r="AM678" s="44">
        <f t="shared" si="71"/>
        <v>-1.4468803705369244</v>
      </c>
      <c r="AN678" s="44">
        <f t="shared" si="72"/>
        <v>-0.94353876488888166</v>
      </c>
      <c r="AO678" s="45">
        <f t="shared" si="73"/>
        <v>0</v>
      </c>
      <c r="AP678" s="46">
        <f t="shared" si="74"/>
        <v>0</v>
      </c>
      <c r="AQ678" s="44">
        <f>($AM$3*AM678+$AN$3*AN678+$AO$3*AO678+$AP$3*AP678)+$I$3*VLOOKUP(I678,COND!$A$2:$E$7,4,FALSE)+$J$3*VLOOKUP(J678,COND!$A$2:$C$7,2,FALSE)+$K$3*VLOOKUP(K678,COND!$A$2:$C$7,3,FALSE)+IF(AND($B$2&gt;0,$E678&lt;20),$B$2*25,0)</f>
        <v>33.532846784279727</v>
      </c>
      <c r="AR678" s="47">
        <f t="shared" si="75"/>
        <v>-2.3498905474306664</v>
      </c>
      <c r="AS678" s="45" t="str">
        <f t="shared" si="76"/>
        <v>1B</v>
      </c>
      <c r="AT678" s="45">
        <f>RANK(Batters[[#This Row],[zScore]],Batters[[#All],[zScore]])</f>
        <v>674</v>
      </c>
      <c r="AU678" s="45"/>
      <c r="AV678" s="45"/>
      <c r="AW678" s="45" t="str">
        <f t="shared" si="77"/>
        <v>Unlikely</v>
      </c>
      <c r="AX678" s="45"/>
      <c r="AY678" s="64" t="str">
        <f>INDEX(Table5[[#All],[Ovr]],MATCH(Batters[[#This Row],[PID]],Table5[[#All],[PID]],0))</f>
        <v/>
      </c>
      <c r="AZ678" s="64" t="str">
        <f>INDEX(Table5[[#All],[Rnd]],MATCH(Batters[[#This Row],[PID]],Table5[[#All],[PID]],0))</f>
        <v/>
      </c>
      <c r="BA678" s="64" t="str">
        <f>INDEX(Table5[[#All],[Pick]],MATCH(Batters[[#This Row],[PID]],Table5[[#All],[PID]],0))</f>
        <v/>
      </c>
      <c r="BB678" s="64" t="str">
        <f>INDEX(Table5[[#All],[Team]],MATCH(Batters[[#This Row],[PID]],Table5[[#All],[PID]],0))</f>
        <v/>
      </c>
    </row>
    <row r="679" spans="1:54" ht="30" x14ac:dyDescent="0.25">
      <c r="A679" s="40">
        <v>3459</v>
      </c>
      <c r="B679" s="40" t="s">
        <v>86</v>
      </c>
      <c r="C679" s="40" t="s">
        <v>375</v>
      </c>
      <c r="D679" s="40" t="s">
        <v>953</v>
      </c>
      <c r="E679" s="40">
        <v>22</v>
      </c>
      <c r="F679" s="40" t="s">
        <v>53</v>
      </c>
      <c r="G679" s="40" t="s">
        <v>42</v>
      </c>
      <c r="H679" s="41" t="s">
        <v>638</v>
      </c>
      <c r="I679" s="65" t="s">
        <v>43</v>
      </c>
      <c r="J679" s="66" t="s">
        <v>44</v>
      </c>
      <c r="K679" s="67" t="s">
        <v>47</v>
      </c>
      <c r="L679" s="40">
        <v>2</v>
      </c>
      <c r="M679" s="40">
        <v>4</v>
      </c>
      <c r="N679" s="40">
        <v>3</v>
      </c>
      <c r="O679" s="40">
        <v>4</v>
      </c>
      <c r="P679" s="41">
        <v>1</v>
      </c>
      <c r="Q679" s="40">
        <v>2</v>
      </c>
      <c r="R679" s="40">
        <v>5</v>
      </c>
      <c r="S679" s="40">
        <v>3</v>
      </c>
      <c r="T679" s="40">
        <v>5</v>
      </c>
      <c r="U679" s="41">
        <v>3</v>
      </c>
      <c r="V679" s="40">
        <v>2</v>
      </c>
      <c r="W679" s="40">
        <v>1</v>
      </c>
      <c r="X679" s="40">
        <v>4</v>
      </c>
      <c r="Y679" s="41">
        <v>8</v>
      </c>
      <c r="Z679" s="40" t="s">
        <v>45</v>
      </c>
      <c r="AA679" s="40" t="s">
        <v>45</v>
      </c>
      <c r="AB679" s="40" t="s">
        <v>45</v>
      </c>
      <c r="AC679" s="40" t="s">
        <v>45</v>
      </c>
      <c r="AD679" s="40" t="s">
        <v>45</v>
      </c>
      <c r="AE679" s="40" t="s">
        <v>45</v>
      </c>
      <c r="AF679" s="40" t="s">
        <v>45</v>
      </c>
      <c r="AG679" s="41" t="s">
        <v>45</v>
      </c>
      <c r="AH679" s="40">
        <v>5</v>
      </c>
      <c r="AI679" s="40">
        <v>3</v>
      </c>
      <c r="AJ679" s="41">
        <v>2</v>
      </c>
      <c r="AK679" s="43" t="s">
        <v>45</v>
      </c>
      <c r="AL679" s="43" t="s">
        <v>635</v>
      </c>
      <c r="AM679" s="44">
        <f t="shared" si="71"/>
        <v>-1.1733562366922408</v>
      </c>
      <c r="AN679" s="44">
        <f t="shared" si="72"/>
        <v>-0.9525541274297894</v>
      </c>
      <c r="AO679" s="45">
        <f t="shared" si="73"/>
        <v>0</v>
      </c>
      <c r="AP679" s="46">
        <f t="shared" si="74"/>
        <v>0</v>
      </c>
      <c r="AQ679" s="44">
        <f>($AM$3*AM679+$AN$3*AN679+$AO$3*AO679+$AP$3*AP679)+$I$3*VLOOKUP(I679,COND!$A$2:$E$7,4,FALSE)+$J$3*VLOOKUP(J679,COND!$A$2:$C$7,2,FALSE)+$K$3*VLOOKUP(K679,COND!$A$2:$C$7,3,FALSE)+IF(AND($B$2&gt;0,$E679&lt;20),$B$2*25,0)</f>
        <v>33.452014847173302</v>
      </c>
      <c r="AR679" s="47">
        <f t="shared" si="75"/>
        <v>-2.3678115342603481</v>
      </c>
      <c r="AS679" s="45" t="str">
        <f t="shared" si="76"/>
        <v>DH</v>
      </c>
      <c r="AT679" s="45">
        <f>RANK(Batters[[#This Row],[zScore]],Batters[[#All],[zScore]])</f>
        <v>675</v>
      </c>
      <c r="AU679" s="45"/>
      <c r="AV679" s="45"/>
      <c r="AW679" s="45" t="str">
        <f t="shared" si="77"/>
        <v>Unlikely</v>
      </c>
      <c r="AX679" s="45"/>
      <c r="AY679" s="45" t="str">
        <f>INDEX(Table5[[#All],[Ovr]],MATCH(Batters[[#This Row],[PID]],Table5[[#All],[PID]],0))</f>
        <v/>
      </c>
      <c r="AZ679" s="45" t="str">
        <f>INDEX(Table5[[#All],[Rnd]],MATCH(Batters[[#This Row],[PID]],Table5[[#All],[PID]],0))</f>
        <v/>
      </c>
      <c r="BA679" s="45" t="str">
        <f>INDEX(Table5[[#All],[Pick]],MATCH(Batters[[#This Row],[PID]],Table5[[#All],[PID]],0))</f>
        <v/>
      </c>
      <c r="BB679" s="45" t="str">
        <f>INDEX(Table5[[#All],[Team]],MATCH(Batters[[#This Row],[PID]],Table5[[#All],[PID]],0))</f>
        <v/>
      </c>
    </row>
    <row r="680" spans="1:54" ht="30" x14ac:dyDescent="0.25">
      <c r="A680" s="40">
        <v>17047</v>
      </c>
      <c r="B680" s="40" t="s">
        <v>69</v>
      </c>
      <c r="C680" s="40" t="s">
        <v>1716</v>
      </c>
      <c r="D680" s="40" t="s">
        <v>1717</v>
      </c>
      <c r="E680" s="40">
        <v>21</v>
      </c>
      <c r="F680" s="40" t="s">
        <v>42</v>
      </c>
      <c r="G680" s="40" t="s">
        <v>42</v>
      </c>
      <c r="H680" s="41" t="s">
        <v>647</v>
      </c>
      <c r="I680" s="65" t="s">
        <v>44</v>
      </c>
      <c r="J680" s="66" t="s">
        <v>44</v>
      </c>
      <c r="K680" s="67" t="s">
        <v>43</v>
      </c>
      <c r="L680" s="40">
        <v>2</v>
      </c>
      <c r="M680" s="40">
        <v>2</v>
      </c>
      <c r="N680" s="40">
        <v>2</v>
      </c>
      <c r="O680" s="40">
        <v>1</v>
      </c>
      <c r="P680" s="41">
        <v>1</v>
      </c>
      <c r="Q680" s="40">
        <v>3</v>
      </c>
      <c r="R680" s="40">
        <v>3</v>
      </c>
      <c r="S680" s="40">
        <v>2</v>
      </c>
      <c r="T680" s="40">
        <v>3</v>
      </c>
      <c r="U680" s="41">
        <v>5</v>
      </c>
      <c r="V680" s="40">
        <v>6</v>
      </c>
      <c r="W680" s="40">
        <v>4</v>
      </c>
      <c r="X680" s="40">
        <v>1</v>
      </c>
      <c r="Y680" s="41">
        <v>1</v>
      </c>
      <c r="Z680" s="40" t="s">
        <v>45</v>
      </c>
      <c r="AA680" s="40" t="s">
        <v>45</v>
      </c>
      <c r="AB680" s="40">
        <v>2</v>
      </c>
      <c r="AC680" s="40">
        <v>1</v>
      </c>
      <c r="AD680" s="40" t="s">
        <v>45</v>
      </c>
      <c r="AE680" s="40" t="s">
        <v>45</v>
      </c>
      <c r="AF680" s="40" t="s">
        <v>45</v>
      </c>
      <c r="AG680" s="41" t="s">
        <v>45</v>
      </c>
      <c r="AH680" s="40">
        <v>2</v>
      </c>
      <c r="AI680" s="40">
        <v>3</v>
      </c>
      <c r="AJ680" s="41">
        <v>5</v>
      </c>
      <c r="AK680" s="43" t="s">
        <v>45</v>
      </c>
      <c r="AL680" s="43"/>
      <c r="AM680" s="44">
        <f t="shared" si="71"/>
        <v>-1.6276661399822923</v>
      </c>
      <c r="AN680" s="44">
        <f t="shared" si="72"/>
        <v>-0.91456596487341812</v>
      </c>
      <c r="AO680" s="45">
        <f t="shared" si="73"/>
        <v>0</v>
      </c>
      <c r="AP680" s="46">
        <f t="shared" si="74"/>
        <v>0</v>
      </c>
      <c r="AQ680" s="44">
        <f>($AM$3*AM680+$AN$3*AN680+$AO$3*AO680+$AP$3*AP680)+$I$3*VLOOKUP(I680,COND!$A$2:$E$7,4,FALSE)+$J$3*VLOOKUP(J680,COND!$A$2:$C$7,2,FALSE)+$K$3*VLOOKUP(K680,COND!$A$2:$C$7,3,FALSE)+IF(AND($B$2&gt;0,$E680&lt;20),$B$2*25,0)</f>
        <v>33.41244180752075</v>
      </c>
      <c r="AR680" s="47">
        <f t="shared" si="75"/>
        <v>-2.376585144640242</v>
      </c>
      <c r="AS680" s="45" t="str">
        <f t="shared" si="76"/>
        <v>2B</v>
      </c>
      <c r="AT680" s="45">
        <f>RANK(Batters[[#This Row],[zScore]],Batters[[#All],[zScore]])</f>
        <v>676</v>
      </c>
      <c r="AU680" s="45"/>
      <c r="AV680" s="45"/>
      <c r="AW680" s="45" t="str">
        <f t="shared" si="77"/>
        <v>Unlikely</v>
      </c>
      <c r="AX680" s="45"/>
      <c r="AY680" s="64" t="str">
        <f>INDEX(Table5[[#All],[Ovr]],MATCH(Batters[[#This Row],[PID]],Table5[[#All],[PID]],0))</f>
        <v/>
      </c>
      <c r="AZ680" s="64" t="str">
        <f>INDEX(Table5[[#All],[Rnd]],MATCH(Batters[[#This Row],[PID]],Table5[[#All],[PID]],0))</f>
        <v/>
      </c>
      <c r="BA680" s="64" t="str">
        <f>INDEX(Table5[[#All],[Pick]],MATCH(Batters[[#This Row],[PID]],Table5[[#All],[PID]],0))</f>
        <v/>
      </c>
      <c r="BB680" s="64" t="str">
        <f>INDEX(Table5[[#All],[Team]],MATCH(Batters[[#This Row],[PID]],Table5[[#All],[PID]],0))</f>
        <v/>
      </c>
    </row>
    <row r="681" spans="1:54" ht="30" x14ac:dyDescent="0.25">
      <c r="A681" s="40">
        <v>11363</v>
      </c>
      <c r="B681" s="40" t="s">
        <v>71</v>
      </c>
      <c r="C681" s="40" t="s">
        <v>326</v>
      </c>
      <c r="D681" s="40" t="s">
        <v>662</v>
      </c>
      <c r="E681" s="40">
        <v>22</v>
      </c>
      <c r="F681" s="40" t="s">
        <v>42</v>
      </c>
      <c r="G681" s="40" t="s">
        <v>42</v>
      </c>
      <c r="H681" s="41" t="s">
        <v>639</v>
      </c>
      <c r="I681" s="65" t="s">
        <v>43</v>
      </c>
      <c r="J681" s="66" t="s">
        <v>44</v>
      </c>
      <c r="K681" s="67" t="s">
        <v>44</v>
      </c>
      <c r="L681" s="40">
        <v>2</v>
      </c>
      <c r="M681" s="40">
        <v>2</v>
      </c>
      <c r="N681" s="40">
        <v>2</v>
      </c>
      <c r="O681" s="40">
        <v>2</v>
      </c>
      <c r="P681" s="41">
        <v>3</v>
      </c>
      <c r="Q681" s="40">
        <v>3</v>
      </c>
      <c r="R681" s="40">
        <v>3</v>
      </c>
      <c r="S681" s="40">
        <v>2</v>
      </c>
      <c r="T681" s="40">
        <v>4</v>
      </c>
      <c r="U681" s="41">
        <v>3</v>
      </c>
      <c r="V681" s="40">
        <v>6</v>
      </c>
      <c r="W681" s="40">
        <v>4</v>
      </c>
      <c r="X681" s="40">
        <v>1</v>
      </c>
      <c r="Y681" s="41">
        <v>1</v>
      </c>
      <c r="Z681" s="40" t="s">
        <v>45</v>
      </c>
      <c r="AA681" s="40" t="s">
        <v>45</v>
      </c>
      <c r="AB681" s="40">
        <v>3</v>
      </c>
      <c r="AC681" s="40" t="s">
        <v>45</v>
      </c>
      <c r="AD681" s="40" t="s">
        <v>45</v>
      </c>
      <c r="AE681" s="40" t="s">
        <v>45</v>
      </c>
      <c r="AF681" s="40" t="s">
        <v>45</v>
      </c>
      <c r="AG681" s="41" t="s">
        <v>45</v>
      </c>
      <c r="AH681" s="40">
        <v>6</v>
      </c>
      <c r="AI681" s="40">
        <v>5</v>
      </c>
      <c r="AJ681" s="41">
        <v>6</v>
      </c>
      <c r="AK681" s="43" t="s">
        <v>45</v>
      </c>
      <c r="AL681" s="43"/>
      <c r="AM681" s="44">
        <f t="shared" si="71"/>
        <v>-1.4579239103385446</v>
      </c>
      <c r="AN681" s="44">
        <f t="shared" si="72"/>
        <v>-0.90488909449800403</v>
      </c>
      <c r="AO681" s="45">
        <f t="shared" si="73"/>
        <v>0</v>
      </c>
      <c r="AP681" s="46">
        <f t="shared" si="74"/>
        <v>0</v>
      </c>
      <c r="AQ681" s="44">
        <f>($AM$3*AM681+$AN$3*AN681+$AO$3*AO681+$AP$3*AP681)+$I$3*VLOOKUP(I681,COND!$A$2:$E$7,4,FALSE)+$J$3*VLOOKUP(J681,COND!$A$2:$C$7,2,FALSE)+$K$3*VLOOKUP(K681,COND!$A$2:$C$7,3,FALSE)+IF(AND($B$2&gt;0,$E681&lt;20),$B$2*25,0)</f>
        <v>33.39553847499009</v>
      </c>
      <c r="AR681" s="47">
        <f t="shared" si="75"/>
        <v>-2.3803327277182134</v>
      </c>
      <c r="AS681" s="45" t="str">
        <f t="shared" si="76"/>
        <v>2B</v>
      </c>
      <c r="AT681" s="45">
        <f>RANK(Batters[[#This Row],[zScore]],Batters[[#All],[zScore]])</f>
        <v>677</v>
      </c>
      <c r="AU681" s="45"/>
      <c r="AV681" s="45"/>
      <c r="AW681" s="45" t="str">
        <f t="shared" si="77"/>
        <v>Unlikely</v>
      </c>
      <c r="AX681" s="45"/>
      <c r="AY681" s="64" t="str">
        <f>INDEX(Table5[[#All],[Ovr]],MATCH(Batters[[#This Row],[PID]],Table5[[#All],[PID]],0))</f>
        <v/>
      </c>
      <c r="AZ681" s="64" t="str">
        <f>INDEX(Table5[[#All],[Rnd]],MATCH(Batters[[#This Row],[PID]],Table5[[#All],[PID]],0))</f>
        <v/>
      </c>
      <c r="BA681" s="64" t="str">
        <f>INDEX(Table5[[#All],[Pick]],MATCH(Batters[[#This Row],[PID]],Table5[[#All],[PID]],0))</f>
        <v/>
      </c>
      <c r="BB681" s="64" t="str">
        <f>INDEX(Table5[[#All],[Team]],MATCH(Batters[[#This Row],[PID]],Table5[[#All],[PID]],0))</f>
        <v/>
      </c>
    </row>
    <row r="682" spans="1:54" ht="30" x14ac:dyDescent="0.25">
      <c r="A682" s="40">
        <v>17990</v>
      </c>
      <c r="B682" s="40" t="s">
        <v>66</v>
      </c>
      <c r="C682" s="40" t="s">
        <v>833</v>
      </c>
      <c r="D682" s="40" t="s">
        <v>699</v>
      </c>
      <c r="E682" s="40">
        <v>21</v>
      </c>
      <c r="F682" s="40" t="s">
        <v>53</v>
      </c>
      <c r="G682" s="40" t="s">
        <v>42</v>
      </c>
      <c r="H682" s="41" t="s">
        <v>639</v>
      </c>
      <c r="I682" s="65" t="s">
        <v>43</v>
      </c>
      <c r="J682" s="66" t="s">
        <v>43</v>
      </c>
      <c r="K682" s="67" t="s">
        <v>43</v>
      </c>
      <c r="L682" s="40">
        <v>1</v>
      </c>
      <c r="M682" s="40">
        <v>1</v>
      </c>
      <c r="N682" s="40">
        <v>2</v>
      </c>
      <c r="O682" s="40">
        <v>1</v>
      </c>
      <c r="P682" s="41">
        <v>1</v>
      </c>
      <c r="Q682" s="40">
        <v>3</v>
      </c>
      <c r="R682" s="40">
        <v>3</v>
      </c>
      <c r="S682" s="40">
        <v>3</v>
      </c>
      <c r="T682" s="40">
        <v>3</v>
      </c>
      <c r="U682" s="41">
        <v>2</v>
      </c>
      <c r="V682" s="40">
        <v>6</v>
      </c>
      <c r="W682" s="40">
        <v>6</v>
      </c>
      <c r="X682" s="40">
        <v>1</v>
      </c>
      <c r="Y682" s="41">
        <v>1</v>
      </c>
      <c r="Z682" s="40" t="s">
        <v>45</v>
      </c>
      <c r="AA682" s="40">
        <v>2</v>
      </c>
      <c r="AB682" s="40" t="s">
        <v>45</v>
      </c>
      <c r="AC682" s="40" t="s">
        <v>45</v>
      </c>
      <c r="AD682" s="40" t="s">
        <v>45</v>
      </c>
      <c r="AE682" s="40" t="s">
        <v>45</v>
      </c>
      <c r="AF682" s="40" t="s">
        <v>45</v>
      </c>
      <c r="AG682" s="41">
        <v>4</v>
      </c>
      <c r="AH682" s="40">
        <v>3</v>
      </c>
      <c r="AI682" s="40">
        <v>1</v>
      </c>
      <c r="AJ682" s="41">
        <v>1</v>
      </c>
      <c r="AK682" s="43" t="s">
        <v>45</v>
      </c>
      <c r="AL682" s="43"/>
      <c r="AM682" s="44">
        <f t="shared" si="71"/>
        <v>-2.0012818558036707</v>
      </c>
      <c r="AN682" s="44">
        <f t="shared" si="72"/>
        <v>-0.95155349030076708</v>
      </c>
      <c r="AO682" s="45">
        <f t="shared" si="73"/>
        <v>0</v>
      </c>
      <c r="AP682" s="46">
        <f t="shared" si="74"/>
        <v>0</v>
      </c>
      <c r="AQ682" s="44">
        <f>($AM$3*AM682+$AN$3*AN682+$AO$3*AO682+$AP$3*AP682)+$I$3*VLOOKUP(I682,COND!$A$2:$E$7,4,FALSE)+$J$3*VLOOKUP(J682,COND!$A$2:$C$7,2,FALSE)+$K$3*VLOOKUP(K682,COND!$A$2:$C$7,3,FALSE)+IF(AND($B$2&gt;0,$E682&lt;20),$B$2*25,0)</f>
        <v>33.381229930810427</v>
      </c>
      <c r="AR682" s="47">
        <f t="shared" si="75"/>
        <v>-2.3835050286796271</v>
      </c>
      <c r="AS682" s="45" t="str">
        <f t="shared" si="76"/>
        <v>RF</v>
      </c>
      <c r="AT682" s="45">
        <f>RANK(Batters[[#This Row],[zScore]],Batters[[#All],[zScore]])</f>
        <v>678</v>
      </c>
      <c r="AU682" s="45"/>
      <c r="AV682" s="45"/>
      <c r="AW682" s="45" t="str">
        <f t="shared" si="77"/>
        <v>Unlikely</v>
      </c>
      <c r="AX682" s="45"/>
      <c r="AY682" s="64" t="str">
        <f>INDEX(Table5[[#All],[Ovr]],MATCH(Batters[[#This Row],[PID]],Table5[[#All],[PID]],0))</f>
        <v/>
      </c>
      <c r="AZ682" s="64" t="str">
        <f>INDEX(Table5[[#All],[Rnd]],MATCH(Batters[[#This Row],[PID]],Table5[[#All],[PID]],0))</f>
        <v/>
      </c>
      <c r="BA682" s="64" t="str">
        <f>INDEX(Table5[[#All],[Pick]],MATCH(Batters[[#This Row],[PID]],Table5[[#All],[PID]],0))</f>
        <v/>
      </c>
      <c r="BB682" s="64" t="str">
        <f>INDEX(Table5[[#All],[Team]],MATCH(Batters[[#This Row],[PID]],Table5[[#All],[PID]],0))</f>
        <v/>
      </c>
    </row>
    <row r="683" spans="1:54" ht="30" x14ac:dyDescent="0.25">
      <c r="A683" s="40">
        <v>17012</v>
      </c>
      <c r="B683" s="40" t="s">
        <v>86</v>
      </c>
      <c r="C683" s="40" t="s">
        <v>749</v>
      </c>
      <c r="D683" s="40" t="s">
        <v>1410</v>
      </c>
      <c r="E683" s="40">
        <v>21</v>
      </c>
      <c r="F683" s="40" t="s">
        <v>42</v>
      </c>
      <c r="G683" s="40" t="s">
        <v>42</v>
      </c>
      <c r="H683" s="41" t="s">
        <v>638</v>
      </c>
      <c r="I683" s="65" t="s">
        <v>43</v>
      </c>
      <c r="J683" s="66" t="s">
        <v>43</v>
      </c>
      <c r="K683" s="67" t="s">
        <v>47</v>
      </c>
      <c r="L683" s="40">
        <v>1</v>
      </c>
      <c r="M683" s="40">
        <v>3</v>
      </c>
      <c r="N683" s="40">
        <v>3</v>
      </c>
      <c r="O683" s="40">
        <v>2</v>
      </c>
      <c r="P683" s="41">
        <v>1</v>
      </c>
      <c r="Q683" s="40">
        <v>2</v>
      </c>
      <c r="R683" s="40">
        <v>4</v>
      </c>
      <c r="S683" s="40">
        <v>3</v>
      </c>
      <c r="T683" s="40">
        <v>4</v>
      </c>
      <c r="U683" s="41">
        <v>2</v>
      </c>
      <c r="V683" s="40">
        <v>5</v>
      </c>
      <c r="W683" s="40">
        <v>4</v>
      </c>
      <c r="X683" s="40">
        <v>6</v>
      </c>
      <c r="Y683" s="41">
        <v>10</v>
      </c>
      <c r="Z683" s="40">
        <v>3</v>
      </c>
      <c r="AA683" s="40">
        <v>1</v>
      </c>
      <c r="AB683" s="40" t="s">
        <v>45</v>
      </c>
      <c r="AC683" s="40" t="s">
        <v>45</v>
      </c>
      <c r="AD683" s="40" t="s">
        <v>45</v>
      </c>
      <c r="AE683" s="40" t="s">
        <v>45</v>
      </c>
      <c r="AF683" s="40" t="s">
        <v>45</v>
      </c>
      <c r="AG683" s="41" t="s">
        <v>45</v>
      </c>
      <c r="AH683" s="40">
        <v>6</v>
      </c>
      <c r="AI683" s="40">
        <v>10</v>
      </c>
      <c r="AJ683" s="41">
        <v>8</v>
      </c>
      <c r="AK683" s="43" t="s">
        <v>643</v>
      </c>
      <c r="AL683" s="43" t="s">
        <v>635</v>
      </c>
      <c r="AM683" s="44">
        <f t="shared" si="71"/>
        <v>-1.726391052532781</v>
      </c>
      <c r="AN683" s="44">
        <f t="shared" si="72"/>
        <v>-1.1333398968751573</v>
      </c>
      <c r="AO683" s="45">
        <f t="shared" si="73"/>
        <v>3</v>
      </c>
      <c r="AP683" s="46">
        <f t="shared" si="74"/>
        <v>1.35</v>
      </c>
      <c r="AQ683" s="44">
        <f>($AM$3*AM683+$AN$3*AN683+$AO$3*AO683+$AP$3*AP683)+$I$3*VLOOKUP(I683,COND!$A$2:$E$7,4,FALSE)+$J$3*VLOOKUP(J683,COND!$A$2:$C$7,2,FALSE)+$K$3*VLOOKUP(K683,COND!$A$2:$C$7,3,FALSE)+IF(AND($B$2&gt;0,$E683&lt;20),$B$2*25,0)</f>
        <v>33.377282132244829</v>
      </c>
      <c r="AR683" s="47">
        <f t="shared" si="75"/>
        <v>-2.3843802823062621</v>
      </c>
      <c r="AS683" s="45" t="str">
        <f t="shared" si="76"/>
        <v>C</v>
      </c>
      <c r="AT683" s="45">
        <f>RANK(Batters[[#This Row],[zScore]],Batters[[#All],[zScore]])</f>
        <v>679</v>
      </c>
      <c r="AU683" s="45"/>
      <c r="AV683" s="45"/>
      <c r="AW683" s="45" t="str">
        <f t="shared" si="77"/>
        <v>Unlikely</v>
      </c>
      <c r="AX683" s="45"/>
      <c r="AY683" s="45">
        <f>INDEX(Table5[[#All],[Ovr]],MATCH(Batters[[#This Row],[PID]],Table5[[#All],[PID]],0))</f>
        <v>340</v>
      </c>
      <c r="AZ683" s="45" t="str">
        <f>INDEX(Table5[[#All],[Rnd]],MATCH(Batters[[#This Row],[PID]],Table5[[#All],[PID]],0))</f>
        <v>12</v>
      </c>
      <c r="BA683" s="45">
        <f>INDEX(Table5[[#All],[Pick]],MATCH(Batters[[#This Row],[PID]],Table5[[#All],[PID]],0))</f>
        <v>2</v>
      </c>
      <c r="BB683" s="45" t="str">
        <f>INDEX(Table5[[#All],[Team]],MATCH(Batters[[#This Row],[PID]],Table5[[#All],[PID]],0))</f>
        <v>Charleston Statesmen</v>
      </c>
    </row>
    <row r="684" spans="1:54" ht="30" x14ac:dyDescent="0.25">
      <c r="A684" s="40">
        <v>18037</v>
      </c>
      <c r="B684" s="40" t="s">
        <v>71</v>
      </c>
      <c r="C684" s="40" t="s">
        <v>144</v>
      </c>
      <c r="D684" s="40" t="s">
        <v>1680</v>
      </c>
      <c r="E684" s="40">
        <v>21</v>
      </c>
      <c r="F684" s="40" t="s">
        <v>42</v>
      </c>
      <c r="G684" s="40" t="s">
        <v>42</v>
      </c>
      <c r="H684" s="41" t="s">
        <v>639</v>
      </c>
      <c r="I684" s="65" t="s">
        <v>43</v>
      </c>
      <c r="J684" s="66" t="s">
        <v>43</v>
      </c>
      <c r="K684" s="67" t="s">
        <v>47</v>
      </c>
      <c r="L684" s="40">
        <v>1</v>
      </c>
      <c r="M684" s="40">
        <v>1</v>
      </c>
      <c r="N684" s="40">
        <v>2</v>
      </c>
      <c r="O684" s="40">
        <v>1</v>
      </c>
      <c r="P684" s="41">
        <v>1</v>
      </c>
      <c r="Q684" s="40">
        <v>3</v>
      </c>
      <c r="R684" s="40">
        <v>3</v>
      </c>
      <c r="S684" s="40">
        <v>2</v>
      </c>
      <c r="T684" s="40">
        <v>3</v>
      </c>
      <c r="U684" s="41">
        <v>3</v>
      </c>
      <c r="V684" s="40">
        <v>4</v>
      </c>
      <c r="W684" s="40">
        <v>7</v>
      </c>
      <c r="X684" s="40">
        <v>1</v>
      </c>
      <c r="Y684" s="41">
        <v>1</v>
      </c>
      <c r="Z684" s="40" t="s">
        <v>45</v>
      </c>
      <c r="AA684" s="40" t="s">
        <v>45</v>
      </c>
      <c r="AB684" s="40">
        <v>2</v>
      </c>
      <c r="AC684" s="40" t="s">
        <v>45</v>
      </c>
      <c r="AD684" s="40" t="s">
        <v>45</v>
      </c>
      <c r="AE684" s="40">
        <v>5</v>
      </c>
      <c r="AF684" s="40" t="s">
        <v>45</v>
      </c>
      <c r="AG684" s="41" t="s">
        <v>45</v>
      </c>
      <c r="AH684" s="40">
        <v>5</v>
      </c>
      <c r="AI684" s="40">
        <v>7</v>
      </c>
      <c r="AJ684" s="41">
        <v>5</v>
      </c>
      <c r="AK684" s="43" t="s">
        <v>45</v>
      </c>
      <c r="AL684" s="43"/>
      <c r="AM684" s="44">
        <f t="shared" si="71"/>
        <v>-2.0012818558036707</v>
      </c>
      <c r="AN684" s="44">
        <f t="shared" si="72"/>
        <v>-0.99459864450758517</v>
      </c>
      <c r="AO684" s="45">
        <f t="shared" si="73"/>
        <v>0</v>
      </c>
      <c r="AP684" s="46">
        <f t="shared" si="74"/>
        <v>0</v>
      </c>
      <c r="AQ684" s="44">
        <f>($AM$3*AM684+$AN$3*AN684+$AO$3*AO684+$AP$3*AP684)+$I$3*VLOOKUP(I684,COND!$A$2:$E$7,4,FALSE)+$J$3*VLOOKUP(J684,COND!$A$2:$C$7,2,FALSE)+$K$3*VLOOKUP(K684,COND!$A$2:$C$7,3,FALSE)+IF(AND($B$2&gt;0,$E684&lt;20),$B$2*25,0)</f>
        <v>33.164688080328617</v>
      </c>
      <c r="AR684" s="47">
        <f t="shared" si="75"/>
        <v>-2.431513820618513</v>
      </c>
      <c r="AS684" s="45" t="str">
        <f t="shared" si="76"/>
        <v>2B</v>
      </c>
      <c r="AT684" s="45">
        <f>RANK(Batters[[#This Row],[zScore]],Batters[[#All],[zScore]])</f>
        <v>680</v>
      </c>
      <c r="AU684" s="45"/>
      <c r="AV684" s="45"/>
      <c r="AW684" s="45" t="str">
        <f t="shared" si="77"/>
        <v>Unlikely</v>
      </c>
      <c r="AX684" s="45"/>
      <c r="AY684" s="64" t="str">
        <f>INDEX(Table5[[#All],[Ovr]],MATCH(Batters[[#This Row],[PID]],Table5[[#All],[PID]],0))</f>
        <v/>
      </c>
      <c r="AZ684" s="64" t="str">
        <f>INDEX(Table5[[#All],[Rnd]],MATCH(Batters[[#This Row],[PID]],Table5[[#All],[PID]],0))</f>
        <v/>
      </c>
      <c r="BA684" s="64" t="str">
        <f>INDEX(Table5[[#All],[Pick]],MATCH(Batters[[#This Row],[PID]],Table5[[#All],[PID]],0))</f>
        <v/>
      </c>
      <c r="BB684" s="64" t="str">
        <f>INDEX(Table5[[#All],[Team]],MATCH(Batters[[#This Row],[PID]],Table5[[#All],[PID]],0))</f>
        <v/>
      </c>
    </row>
    <row r="685" spans="1:54" ht="30" x14ac:dyDescent="0.25">
      <c r="A685" s="40">
        <v>6944</v>
      </c>
      <c r="B685" s="40" t="s">
        <v>86</v>
      </c>
      <c r="C685" s="40" t="s">
        <v>943</v>
      </c>
      <c r="D685" s="40" t="s">
        <v>602</v>
      </c>
      <c r="E685" s="40">
        <v>22</v>
      </c>
      <c r="F685" s="40" t="s">
        <v>42</v>
      </c>
      <c r="G685" s="40" t="s">
        <v>42</v>
      </c>
      <c r="H685" s="41" t="s">
        <v>638</v>
      </c>
      <c r="I685" s="65" t="s">
        <v>43</v>
      </c>
      <c r="J685" s="66" t="s">
        <v>44</v>
      </c>
      <c r="K685" s="67" t="s">
        <v>43</v>
      </c>
      <c r="L685" s="40">
        <v>2</v>
      </c>
      <c r="M685" s="40">
        <v>4</v>
      </c>
      <c r="N685" s="40">
        <v>3</v>
      </c>
      <c r="O685" s="40">
        <v>4</v>
      </c>
      <c r="P685" s="41">
        <v>1</v>
      </c>
      <c r="Q685" s="40">
        <v>2</v>
      </c>
      <c r="R685" s="40">
        <v>4</v>
      </c>
      <c r="S685" s="40">
        <v>3</v>
      </c>
      <c r="T685" s="40">
        <v>6</v>
      </c>
      <c r="U685" s="41">
        <v>2</v>
      </c>
      <c r="V685" s="40">
        <v>1</v>
      </c>
      <c r="W685" s="40">
        <v>1</v>
      </c>
      <c r="X685" s="40">
        <v>3</v>
      </c>
      <c r="Y685" s="41">
        <v>6</v>
      </c>
      <c r="Z685" s="40" t="s">
        <v>45</v>
      </c>
      <c r="AA685" s="40" t="s">
        <v>45</v>
      </c>
      <c r="AB685" s="40" t="s">
        <v>45</v>
      </c>
      <c r="AC685" s="40" t="s">
        <v>45</v>
      </c>
      <c r="AD685" s="40" t="s">
        <v>45</v>
      </c>
      <c r="AE685" s="40" t="s">
        <v>45</v>
      </c>
      <c r="AF685" s="40" t="s">
        <v>45</v>
      </c>
      <c r="AG685" s="41" t="s">
        <v>45</v>
      </c>
      <c r="AH685" s="40">
        <v>1</v>
      </c>
      <c r="AI685" s="40">
        <v>2</v>
      </c>
      <c r="AJ685" s="41">
        <v>1</v>
      </c>
      <c r="AK685" s="43" t="s">
        <v>45</v>
      </c>
      <c r="AL685" s="43" t="s">
        <v>635</v>
      </c>
      <c r="AM685" s="44">
        <f t="shared" si="71"/>
        <v>-1.1733562366922408</v>
      </c>
      <c r="AN685" s="44">
        <f t="shared" si="72"/>
        <v>-0.95392079685599518</v>
      </c>
      <c r="AO685" s="45">
        <f t="shared" si="73"/>
        <v>0</v>
      </c>
      <c r="AP685" s="46">
        <f t="shared" si="74"/>
        <v>0</v>
      </c>
      <c r="AQ685" s="44">
        <f>($AM$3*AM685+$AN$3*AN685+$AO$3*AO685+$AP$3*AP685)+$I$3*VLOOKUP(I685,COND!$A$2:$E$7,4,FALSE)+$J$3*VLOOKUP(J685,COND!$A$2:$C$7,2,FALSE)+$K$3*VLOOKUP(K685,COND!$A$2:$C$7,3,FALSE)+IF(AND($B$2&gt;0,$E685&lt;20),$B$2*25,0)</f>
        <v>33.135614814058833</v>
      </c>
      <c r="AR685" s="47">
        <f t="shared" si="75"/>
        <v>-2.4379595602675659</v>
      </c>
      <c r="AS685" s="45" t="str">
        <f t="shared" si="76"/>
        <v>DH</v>
      </c>
      <c r="AT685" s="45">
        <f>RANK(Batters[[#This Row],[zScore]],Batters[[#All],[zScore]])</f>
        <v>681</v>
      </c>
      <c r="AU685" s="45"/>
      <c r="AV685" s="45"/>
      <c r="AW685" s="45" t="str">
        <f t="shared" si="77"/>
        <v>Unlikely</v>
      </c>
      <c r="AX685" s="45"/>
      <c r="AY685" s="45" t="str">
        <f>INDEX(Table5[[#All],[Ovr]],MATCH(Batters[[#This Row],[PID]],Table5[[#All],[PID]],0))</f>
        <v/>
      </c>
      <c r="AZ685" s="45" t="str">
        <f>INDEX(Table5[[#All],[Rnd]],MATCH(Batters[[#This Row],[PID]],Table5[[#All],[PID]],0))</f>
        <v/>
      </c>
      <c r="BA685" s="45" t="str">
        <f>INDEX(Table5[[#All],[Pick]],MATCH(Batters[[#This Row],[PID]],Table5[[#All],[PID]],0))</f>
        <v/>
      </c>
      <c r="BB685" s="45" t="str">
        <f>INDEX(Table5[[#All],[Team]],MATCH(Batters[[#This Row],[PID]],Table5[[#All],[PID]],0))</f>
        <v/>
      </c>
    </row>
    <row r="686" spans="1:54" ht="30" x14ac:dyDescent="0.25">
      <c r="A686" s="40">
        <v>9573</v>
      </c>
      <c r="B686" s="40" t="s">
        <v>86</v>
      </c>
      <c r="C686" s="40" t="s">
        <v>655</v>
      </c>
      <c r="D686" s="40" t="s">
        <v>1409</v>
      </c>
      <c r="E686" s="40">
        <v>21</v>
      </c>
      <c r="F686" s="40" t="s">
        <v>42</v>
      </c>
      <c r="G686" s="40" t="s">
        <v>42</v>
      </c>
      <c r="H686" s="41" t="s">
        <v>638</v>
      </c>
      <c r="I686" s="65" t="s">
        <v>43</v>
      </c>
      <c r="J686" s="66" t="s">
        <v>43</v>
      </c>
      <c r="K686" s="67" t="s">
        <v>47</v>
      </c>
      <c r="L686" s="40">
        <v>1</v>
      </c>
      <c r="M686" s="40">
        <v>1</v>
      </c>
      <c r="N686" s="40">
        <v>2</v>
      </c>
      <c r="O686" s="40">
        <v>2</v>
      </c>
      <c r="P686" s="41">
        <v>1</v>
      </c>
      <c r="Q686" s="40">
        <v>2</v>
      </c>
      <c r="R686" s="40">
        <v>3</v>
      </c>
      <c r="S686" s="40">
        <v>4</v>
      </c>
      <c r="T686" s="40">
        <v>5</v>
      </c>
      <c r="U686" s="41">
        <v>2</v>
      </c>
      <c r="V686" s="40">
        <v>2</v>
      </c>
      <c r="W686" s="40">
        <v>2</v>
      </c>
      <c r="X686" s="40">
        <v>4</v>
      </c>
      <c r="Y686" s="41">
        <v>7</v>
      </c>
      <c r="Z686" s="40" t="s">
        <v>45</v>
      </c>
      <c r="AA686" s="40" t="s">
        <v>45</v>
      </c>
      <c r="AB686" s="40" t="s">
        <v>45</v>
      </c>
      <c r="AC686" s="40" t="s">
        <v>45</v>
      </c>
      <c r="AD686" s="40" t="s">
        <v>45</v>
      </c>
      <c r="AE686" s="40" t="s">
        <v>45</v>
      </c>
      <c r="AF686" s="40" t="s">
        <v>45</v>
      </c>
      <c r="AG686" s="41" t="s">
        <v>45</v>
      </c>
      <c r="AH686" s="40">
        <v>5</v>
      </c>
      <c r="AI686" s="40">
        <v>5</v>
      </c>
      <c r="AJ686" s="41">
        <v>6</v>
      </c>
      <c r="AK686" s="43" t="s">
        <v>643</v>
      </c>
      <c r="AL686" s="43" t="s">
        <v>47</v>
      </c>
      <c r="AM686" s="44">
        <f t="shared" si="71"/>
        <v>-1.9115723057940897</v>
      </c>
      <c r="AN686" s="44">
        <f t="shared" si="72"/>
        <v>-1.0116287324603783</v>
      </c>
      <c r="AO686" s="45">
        <f t="shared" si="73"/>
        <v>0</v>
      </c>
      <c r="AP686" s="46">
        <f t="shared" si="74"/>
        <v>0</v>
      </c>
      <c r="AQ686" s="44">
        <f>($AM$3*AM686+$AN$3*AN686+$AO$3*AO686+$AP$3*AP686)+$I$3*VLOOKUP(I686,COND!$A$2:$E$7,4,FALSE)+$J$3*VLOOKUP(J686,COND!$A$2:$C$7,2,FALSE)+$K$3*VLOOKUP(K686,COND!$A$2:$C$7,3,FALSE)+IF(AND($B$2&gt;0,$E686&lt;20),$B$2*25,0)</f>
        <v>32.969297979896055</v>
      </c>
      <c r="AR686" s="47">
        <f t="shared" si="75"/>
        <v>-2.4748331265989192</v>
      </c>
      <c r="AS686" s="45" t="str">
        <f t="shared" si="76"/>
        <v>DH</v>
      </c>
      <c r="AT686" s="45">
        <f>RANK(Batters[[#This Row],[zScore]],Batters[[#All],[zScore]])</f>
        <v>682</v>
      </c>
      <c r="AU686" s="45"/>
      <c r="AV686" s="45"/>
      <c r="AW686" s="45" t="str">
        <f t="shared" si="77"/>
        <v>Unlikely</v>
      </c>
      <c r="AX686" s="45"/>
      <c r="AY686" s="45" t="str">
        <f>INDEX(Table5[[#All],[Ovr]],MATCH(Batters[[#This Row],[PID]],Table5[[#All],[PID]],0))</f>
        <v/>
      </c>
      <c r="AZ686" s="45" t="str">
        <f>INDEX(Table5[[#All],[Rnd]],MATCH(Batters[[#This Row],[PID]],Table5[[#All],[PID]],0))</f>
        <v/>
      </c>
      <c r="BA686" s="45" t="str">
        <f>INDEX(Table5[[#All],[Pick]],MATCH(Batters[[#This Row],[PID]],Table5[[#All],[PID]],0))</f>
        <v/>
      </c>
      <c r="BB686" s="45" t="str">
        <f>INDEX(Table5[[#All],[Team]],MATCH(Batters[[#This Row],[PID]],Table5[[#All],[PID]],0))</f>
        <v/>
      </c>
    </row>
    <row r="687" spans="1:54" ht="30" x14ac:dyDescent="0.25">
      <c r="A687" s="40">
        <v>20282</v>
      </c>
      <c r="B687" s="40" t="s">
        <v>71</v>
      </c>
      <c r="C687" s="40" t="s">
        <v>1418</v>
      </c>
      <c r="D687" s="40" t="s">
        <v>1419</v>
      </c>
      <c r="E687" s="40">
        <v>21</v>
      </c>
      <c r="F687" s="40" t="s">
        <v>62</v>
      </c>
      <c r="G687" s="40" t="s">
        <v>42</v>
      </c>
      <c r="H687" s="41" t="s">
        <v>638</v>
      </c>
      <c r="I687" s="65" t="s">
        <v>43</v>
      </c>
      <c r="J687" s="66" t="s">
        <v>43</v>
      </c>
      <c r="K687" s="67" t="s">
        <v>43</v>
      </c>
      <c r="L687" s="40">
        <v>1</v>
      </c>
      <c r="M687" s="40">
        <v>3</v>
      </c>
      <c r="N687" s="40">
        <v>3</v>
      </c>
      <c r="O687" s="40">
        <v>2</v>
      </c>
      <c r="P687" s="41">
        <v>2</v>
      </c>
      <c r="Q687" s="40">
        <v>2</v>
      </c>
      <c r="R687" s="40">
        <v>4</v>
      </c>
      <c r="S687" s="40">
        <v>3</v>
      </c>
      <c r="T687" s="40">
        <v>4</v>
      </c>
      <c r="U687" s="41">
        <v>4</v>
      </c>
      <c r="V687" s="40">
        <v>4</v>
      </c>
      <c r="W687" s="40">
        <v>3</v>
      </c>
      <c r="X687" s="40">
        <v>1</v>
      </c>
      <c r="Y687" s="41">
        <v>1</v>
      </c>
      <c r="Z687" s="40" t="s">
        <v>45</v>
      </c>
      <c r="AA687" s="40" t="s">
        <v>45</v>
      </c>
      <c r="AB687" s="40">
        <v>6</v>
      </c>
      <c r="AC687" s="40" t="s">
        <v>45</v>
      </c>
      <c r="AD687" s="40" t="s">
        <v>45</v>
      </c>
      <c r="AE687" s="40" t="s">
        <v>45</v>
      </c>
      <c r="AF687" s="40" t="s">
        <v>45</v>
      </c>
      <c r="AG687" s="41" t="s">
        <v>45</v>
      </c>
      <c r="AH687" s="40">
        <v>8</v>
      </c>
      <c r="AI687" s="40">
        <v>6</v>
      </c>
      <c r="AJ687" s="41">
        <v>6</v>
      </c>
      <c r="AK687" s="43" t="s">
        <v>643</v>
      </c>
      <c r="AL687" s="43" t="s">
        <v>635</v>
      </c>
      <c r="AM687" s="44">
        <f t="shared" si="71"/>
        <v>-1.6863747127156974</v>
      </c>
      <c r="AN687" s="44">
        <f t="shared" si="72"/>
        <v>-1.0533072172409903</v>
      </c>
      <c r="AO687" s="45">
        <f t="shared" si="73"/>
        <v>1</v>
      </c>
      <c r="AP687" s="46">
        <f t="shared" si="74"/>
        <v>0.6</v>
      </c>
      <c r="AQ687" s="44">
        <f>($AM$3*AM687+$AN$3*AN687+$AO$3*AO687+$AP$3*AP687)+$I$3*VLOOKUP(I687,COND!$A$2:$E$7,4,FALSE)+$J$3*VLOOKUP(J687,COND!$A$2:$C$7,2,FALSE)+$K$3*VLOOKUP(K687,COND!$A$2:$C$7,3,FALSE)+IF(AND($B$2&gt;0,$E687&lt;20),$B$2*25,0)</f>
        <v>32.958342588503214</v>
      </c>
      <c r="AR687" s="47">
        <f t="shared" si="75"/>
        <v>-2.4772620109222849</v>
      </c>
      <c r="AS687" s="45" t="str">
        <f t="shared" si="76"/>
        <v>2B</v>
      </c>
      <c r="AT687" s="45">
        <f>RANK(Batters[[#This Row],[zScore]],Batters[[#All],[zScore]])</f>
        <v>683</v>
      </c>
      <c r="AU687" s="45"/>
      <c r="AV687" s="45"/>
      <c r="AW687" s="45" t="str">
        <f t="shared" si="77"/>
        <v>Unlikely</v>
      </c>
      <c r="AX687" s="45"/>
      <c r="AY687" s="45" t="str">
        <f>INDEX(Table5[[#All],[Ovr]],MATCH(Batters[[#This Row],[PID]],Table5[[#All],[PID]],0))</f>
        <v/>
      </c>
      <c r="AZ687" s="45" t="str">
        <f>INDEX(Table5[[#All],[Rnd]],MATCH(Batters[[#This Row],[PID]],Table5[[#All],[PID]],0))</f>
        <v/>
      </c>
      <c r="BA687" s="45" t="str">
        <f>INDEX(Table5[[#All],[Pick]],MATCH(Batters[[#This Row],[PID]],Table5[[#All],[PID]],0))</f>
        <v/>
      </c>
      <c r="BB687" s="45" t="str">
        <f>INDEX(Table5[[#All],[Team]],MATCH(Batters[[#This Row],[PID]],Table5[[#All],[PID]],0))</f>
        <v/>
      </c>
    </row>
    <row r="688" spans="1:54" ht="30" x14ac:dyDescent="0.25">
      <c r="A688" s="40">
        <v>17819</v>
      </c>
      <c r="B688" s="40" t="s">
        <v>86</v>
      </c>
      <c r="C688" s="40" t="s">
        <v>979</v>
      </c>
      <c r="D688" s="40" t="s">
        <v>980</v>
      </c>
      <c r="E688" s="40">
        <v>22</v>
      </c>
      <c r="F688" s="40" t="s">
        <v>62</v>
      </c>
      <c r="G688" s="40" t="s">
        <v>42</v>
      </c>
      <c r="H688" s="41" t="s">
        <v>638</v>
      </c>
      <c r="I688" s="65" t="s">
        <v>43</v>
      </c>
      <c r="J688" s="66" t="s">
        <v>43</v>
      </c>
      <c r="K688" s="67" t="s">
        <v>43</v>
      </c>
      <c r="L688" s="40">
        <v>2</v>
      </c>
      <c r="M688" s="40">
        <v>4</v>
      </c>
      <c r="N688" s="40">
        <v>3</v>
      </c>
      <c r="O688" s="40">
        <v>4</v>
      </c>
      <c r="P688" s="41">
        <v>1</v>
      </c>
      <c r="Q688" s="40">
        <v>2</v>
      </c>
      <c r="R688" s="40">
        <v>4</v>
      </c>
      <c r="S688" s="40">
        <v>3</v>
      </c>
      <c r="T688" s="40">
        <v>6</v>
      </c>
      <c r="U688" s="41">
        <v>1</v>
      </c>
      <c r="V688" s="40">
        <v>2</v>
      </c>
      <c r="W688" s="40">
        <v>2</v>
      </c>
      <c r="X688" s="40">
        <v>4</v>
      </c>
      <c r="Y688" s="41">
        <v>6</v>
      </c>
      <c r="Z688" s="40">
        <v>2</v>
      </c>
      <c r="AA688" s="40" t="s">
        <v>45</v>
      </c>
      <c r="AB688" s="40" t="s">
        <v>45</v>
      </c>
      <c r="AC688" s="40" t="s">
        <v>45</v>
      </c>
      <c r="AD688" s="40" t="s">
        <v>45</v>
      </c>
      <c r="AE688" s="40" t="s">
        <v>45</v>
      </c>
      <c r="AF688" s="40" t="s">
        <v>45</v>
      </c>
      <c r="AG688" s="41" t="s">
        <v>45</v>
      </c>
      <c r="AH688" s="40">
        <v>1</v>
      </c>
      <c r="AI688" s="40">
        <v>1</v>
      </c>
      <c r="AJ688" s="41">
        <v>1</v>
      </c>
      <c r="AK688" s="43" t="s">
        <v>45</v>
      </c>
      <c r="AL688" s="43"/>
      <c r="AM688" s="44">
        <f t="shared" si="71"/>
        <v>-1.1733562366922408</v>
      </c>
      <c r="AN688" s="44">
        <f t="shared" si="72"/>
        <v>-0.99393713667307859</v>
      </c>
      <c r="AO688" s="45">
        <f t="shared" si="73"/>
        <v>0</v>
      </c>
      <c r="AP688" s="46">
        <f t="shared" si="74"/>
        <v>0</v>
      </c>
      <c r="AQ688" s="44">
        <f>($AM$3*AM688+$AN$3*AN688+$AO$3*AO688+$AP$3*AP688)+$I$3*VLOOKUP(I688,COND!$A$2:$E$7,4,FALSE)+$J$3*VLOOKUP(J688,COND!$A$2:$C$7,2,FALSE)+$K$3*VLOOKUP(K688,COND!$A$2:$C$7,3,FALSE)+IF(AND($B$2&gt;0,$E688&lt;20),$B$2*25,0)</f>
        <v>32.955418736253833</v>
      </c>
      <c r="AR688" s="47">
        <f t="shared" si="75"/>
        <v>-2.4779102487293798</v>
      </c>
      <c r="AS688" s="45" t="str">
        <f t="shared" si="76"/>
        <v>C</v>
      </c>
      <c r="AT688" s="45">
        <f>RANK(Batters[[#This Row],[zScore]],Batters[[#All],[zScore]])</f>
        <v>684</v>
      </c>
      <c r="AU688" s="45"/>
      <c r="AV688" s="45"/>
      <c r="AW688" s="45" t="str">
        <f t="shared" si="77"/>
        <v>Unlikely</v>
      </c>
      <c r="AX688" s="45"/>
      <c r="AY688" s="64" t="str">
        <f>INDEX(Table5[[#All],[Ovr]],MATCH(Batters[[#This Row],[PID]],Table5[[#All],[PID]],0))</f>
        <v/>
      </c>
      <c r="AZ688" s="64" t="str">
        <f>INDEX(Table5[[#All],[Rnd]],MATCH(Batters[[#This Row],[PID]],Table5[[#All],[PID]],0))</f>
        <v/>
      </c>
      <c r="BA688" s="64" t="str">
        <f>INDEX(Table5[[#All],[Pick]],MATCH(Batters[[#This Row],[PID]],Table5[[#All],[PID]],0))</f>
        <v/>
      </c>
      <c r="BB688" s="64" t="str">
        <f>INDEX(Table5[[#All],[Team]],MATCH(Batters[[#This Row],[PID]],Table5[[#All],[PID]],0))</f>
        <v/>
      </c>
    </row>
    <row r="689" spans="1:54" ht="30" x14ac:dyDescent="0.25">
      <c r="A689" s="40">
        <v>5453</v>
      </c>
      <c r="B689" s="40" t="s">
        <v>87</v>
      </c>
      <c r="C689" s="40" t="s">
        <v>400</v>
      </c>
      <c r="D689" s="40" t="s">
        <v>948</v>
      </c>
      <c r="E689" s="40">
        <v>22</v>
      </c>
      <c r="F689" s="40" t="s">
        <v>53</v>
      </c>
      <c r="G689" s="40" t="s">
        <v>42</v>
      </c>
      <c r="H689" s="41" t="s">
        <v>647</v>
      </c>
      <c r="I689" s="65" t="s">
        <v>43</v>
      </c>
      <c r="J689" s="66" t="s">
        <v>44</v>
      </c>
      <c r="K689" s="67" t="s">
        <v>43</v>
      </c>
      <c r="L689" s="40">
        <v>2</v>
      </c>
      <c r="M689" s="40">
        <v>2</v>
      </c>
      <c r="N689" s="40">
        <v>3</v>
      </c>
      <c r="O689" s="40">
        <v>3</v>
      </c>
      <c r="P689" s="41">
        <v>1</v>
      </c>
      <c r="Q689" s="40">
        <v>2</v>
      </c>
      <c r="R689" s="40">
        <v>3</v>
      </c>
      <c r="S689" s="40">
        <v>4</v>
      </c>
      <c r="T689" s="40">
        <v>5</v>
      </c>
      <c r="U689" s="41">
        <v>3</v>
      </c>
      <c r="V689" s="40">
        <v>4</v>
      </c>
      <c r="W689" s="40">
        <v>4</v>
      </c>
      <c r="X689" s="40">
        <v>5</v>
      </c>
      <c r="Y689" s="41">
        <v>6</v>
      </c>
      <c r="Z689" s="40" t="s">
        <v>45</v>
      </c>
      <c r="AA689" s="40">
        <v>2</v>
      </c>
      <c r="AB689" s="40" t="s">
        <v>45</v>
      </c>
      <c r="AC689" s="40" t="s">
        <v>45</v>
      </c>
      <c r="AD689" s="40" t="s">
        <v>45</v>
      </c>
      <c r="AE689" s="40" t="s">
        <v>45</v>
      </c>
      <c r="AF689" s="40" t="s">
        <v>45</v>
      </c>
      <c r="AG689" s="41" t="s">
        <v>45</v>
      </c>
      <c r="AH689" s="40">
        <v>1</v>
      </c>
      <c r="AI689" s="40">
        <v>1</v>
      </c>
      <c r="AJ689" s="41">
        <v>3</v>
      </c>
      <c r="AK689" s="43" t="s">
        <v>45</v>
      </c>
      <c r="AL689" s="43"/>
      <c r="AM689" s="44">
        <f t="shared" si="71"/>
        <v>-1.3651855459392288</v>
      </c>
      <c r="AN689" s="44">
        <f t="shared" si="72"/>
        <v>-0.97161239264329491</v>
      </c>
      <c r="AO689" s="45">
        <f t="shared" si="73"/>
        <v>0</v>
      </c>
      <c r="AP689" s="46">
        <f t="shared" si="74"/>
        <v>0</v>
      </c>
      <c r="AQ689" s="44">
        <f>($AM$3*AM689+$AN$3*AN689+$AO$3*AO689+$AP$3*AP689)+$I$3*VLOOKUP(I689,COND!$A$2:$E$7,4,FALSE)+$J$3*VLOOKUP(J689,COND!$A$2:$C$7,2,FALSE)+$K$3*VLOOKUP(K689,COND!$A$2:$C$7,3,FALSE)+IF(AND($B$2&gt;0,$E689&lt;20),$B$2*25,0)</f>
        <v>32.904132733686538</v>
      </c>
      <c r="AR689" s="47">
        <f t="shared" si="75"/>
        <v>-2.4892807021597538</v>
      </c>
      <c r="AS689" s="45" t="str">
        <f t="shared" si="76"/>
        <v>1B</v>
      </c>
      <c r="AT689" s="45">
        <f>RANK(Batters[[#This Row],[zScore]],Batters[[#All],[zScore]])</f>
        <v>685</v>
      </c>
      <c r="AU689" s="45"/>
      <c r="AV689" s="45"/>
      <c r="AW689" s="45" t="str">
        <f t="shared" si="77"/>
        <v>Unlikely</v>
      </c>
      <c r="AX689" s="45"/>
      <c r="AY689" s="64" t="str">
        <f>INDEX(Table5[[#All],[Ovr]],MATCH(Batters[[#This Row],[PID]],Table5[[#All],[PID]],0))</f>
        <v/>
      </c>
      <c r="AZ689" s="64" t="str">
        <f>INDEX(Table5[[#All],[Rnd]],MATCH(Batters[[#This Row],[PID]],Table5[[#All],[PID]],0))</f>
        <v/>
      </c>
      <c r="BA689" s="64" t="str">
        <f>INDEX(Table5[[#All],[Pick]],MATCH(Batters[[#This Row],[PID]],Table5[[#All],[PID]],0))</f>
        <v/>
      </c>
      <c r="BB689" s="64" t="str">
        <f>INDEX(Table5[[#All],[Team]],MATCH(Batters[[#This Row],[PID]],Table5[[#All],[PID]],0))</f>
        <v/>
      </c>
    </row>
    <row r="690" spans="1:54" ht="30" x14ac:dyDescent="0.25">
      <c r="A690" s="40">
        <v>12967</v>
      </c>
      <c r="B690" s="40" t="s">
        <v>86</v>
      </c>
      <c r="C690" s="40" t="s">
        <v>954</v>
      </c>
      <c r="D690" s="40" t="s">
        <v>618</v>
      </c>
      <c r="E690" s="40">
        <v>22</v>
      </c>
      <c r="F690" s="40" t="s">
        <v>42</v>
      </c>
      <c r="G690" s="40" t="s">
        <v>42</v>
      </c>
      <c r="H690" s="41" t="s">
        <v>638</v>
      </c>
      <c r="I690" s="65" t="s">
        <v>44</v>
      </c>
      <c r="J690" s="66" t="s">
        <v>44</v>
      </c>
      <c r="K690" s="67" t="s">
        <v>43</v>
      </c>
      <c r="L690" s="40">
        <v>1</v>
      </c>
      <c r="M690" s="40">
        <v>4</v>
      </c>
      <c r="N690" s="40">
        <v>3</v>
      </c>
      <c r="O690" s="40">
        <v>2</v>
      </c>
      <c r="P690" s="41">
        <v>1</v>
      </c>
      <c r="Q690" s="40">
        <v>2</v>
      </c>
      <c r="R690" s="40">
        <v>4</v>
      </c>
      <c r="S690" s="40">
        <v>4</v>
      </c>
      <c r="T690" s="40">
        <v>5</v>
      </c>
      <c r="U690" s="41">
        <v>2</v>
      </c>
      <c r="V690" s="40">
        <v>2</v>
      </c>
      <c r="W690" s="40">
        <v>3</v>
      </c>
      <c r="X690" s="40">
        <v>5</v>
      </c>
      <c r="Y690" s="41">
        <v>7</v>
      </c>
      <c r="Z690" s="40" t="s">
        <v>45</v>
      </c>
      <c r="AA690" s="40" t="s">
        <v>45</v>
      </c>
      <c r="AB690" s="40" t="s">
        <v>45</v>
      </c>
      <c r="AC690" s="40" t="s">
        <v>45</v>
      </c>
      <c r="AD690" s="40" t="s">
        <v>45</v>
      </c>
      <c r="AE690" s="40" t="s">
        <v>45</v>
      </c>
      <c r="AF690" s="40" t="s">
        <v>45</v>
      </c>
      <c r="AG690" s="41" t="s">
        <v>45</v>
      </c>
      <c r="AH690" s="40">
        <v>1</v>
      </c>
      <c r="AI690" s="40">
        <v>1</v>
      </c>
      <c r="AJ690" s="41">
        <v>1</v>
      </c>
      <c r="AK690" s="43" t="s">
        <v>45</v>
      </c>
      <c r="AL690" s="43" t="s">
        <v>47</v>
      </c>
      <c r="AM690" s="44">
        <f t="shared" si="71"/>
        <v>-1.6753311729140774</v>
      </c>
      <c r="AN690" s="44">
        <f t="shared" si="72"/>
        <v>-0.96056885284167481</v>
      </c>
      <c r="AO690" s="45">
        <f t="shared" si="73"/>
        <v>0</v>
      </c>
      <c r="AP690" s="46">
        <f t="shared" si="74"/>
        <v>0</v>
      </c>
      <c r="AQ690" s="44">
        <f>($AM$3*AM690+$AN$3*AN690+$AO$3*AO690+$AP$3*AP690)+$I$3*VLOOKUP(I690,COND!$A$2:$E$7,4,FALSE)+$J$3*VLOOKUP(J690,COND!$A$2:$C$7,2,FALSE)+$K$3*VLOOKUP(K690,COND!$A$2:$C$7,3,FALSE)+IF(AND($B$2&gt;0,$E690&lt;20),$B$2*25,0)</f>
        <v>32.855640648608492</v>
      </c>
      <c r="AR690" s="47">
        <f t="shared" si="75"/>
        <v>-2.5000317251976316</v>
      </c>
      <c r="AS690" s="45" t="str">
        <f t="shared" si="76"/>
        <v>DH</v>
      </c>
      <c r="AT690" s="45">
        <f>RANK(Batters[[#This Row],[zScore]],Batters[[#All],[zScore]])</f>
        <v>686</v>
      </c>
      <c r="AU690" s="45"/>
      <c r="AV690" s="45"/>
      <c r="AW690" s="45" t="str">
        <f t="shared" si="77"/>
        <v>Unlikely</v>
      </c>
      <c r="AX690" s="45"/>
      <c r="AY690" s="45" t="str">
        <f>INDEX(Table5[[#All],[Ovr]],MATCH(Batters[[#This Row],[PID]],Table5[[#All],[PID]],0))</f>
        <v/>
      </c>
      <c r="AZ690" s="45" t="str">
        <f>INDEX(Table5[[#All],[Rnd]],MATCH(Batters[[#This Row],[PID]],Table5[[#All],[PID]],0))</f>
        <v/>
      </c>
      <c r="BA690" s="45" t="str">
        <f>INDEX(Table5[[#All],[Pick]],MATCH(Batters[[#This Row],[PID]],Table5[[#All],[PID]],0))</f>
        <v/>
      </c>
      <c r="BB690" s="45" t="str">
        <f>INDEX(Table5[[#All],[Team]],MATCH(Batters[[#This Row],[PID]],Table5[[#All],[PID]],0))</f>
        <v/>
      </c>
    </row>
    <row r="691" spans="1:54" ht="30" x14ac:dyDescent="0.25">
      <c r="A691" s="40">
        <v>12101</v>
      </c>
      <c r="B691" s="40" t="s">
        <v>87</v>
      </c>
      <c r="C691" s="40" t="s">
        <v>184</v>
      </c>
      <c r="D691" s="40" t="s">
        <v>179</v>
      </c>
      <c r="E691" s="40">
        <v>22</v>
      </c>
      <c r="F691" s="40" t="s">
        <v>62</v>
      </c>
      <c r="G691" s="40" t="s">
        <v>42</v>
      </c>
      <c r="H691" s="41" t="s">
        <v>647</v>
      </c>
      <c r="I691" s="65" t="s">
        <v>43</v>
      </c>
      <c r="J691" s="66" t="s">
        <v>43</v>
      </c>
      <c r="K691" s="67" t="s">
        <v>43</v>
      </c>
      <c r="L691" s="40">
        <v>1</v>
      </c>
      <c r="M691" s="40">
        <v>3</v>
      </c>
      <c r="N691" s="40">
        <v>3</v>
      </c>
      <c r="O691" s="40">
        <v>3</v>
      </c>
      <c r="P691" s="41">
        <v>1</v>
      </c>
      <c r="Q691" s="40">
        <v>2</v>
      </c>
      <c r="R691" s="40">
        <v>4</v>
      </c>
      <c r="S691" s="40">
        <v>4</v>
      </c>
      <c r="T691" s="40">
        <v>5</v>
      </c>
      <c r="U691" s="41">
        <v>1</v>
      </c>
      <c r="V691" s="40">
        <v>3</v>
      </c>
      <c r="W691" s="40">
        <v>3</v>
      </c>
      <c r="X691" s="40">
        <v>4</v>
      </c>
      <c r="Y691" s="41">
        <v>4</v>
      </c>
      <c r="Z691" s="40" t="s">
        <v>45</v>
      </c>
      <c r="AA691" s="40">
        <v>3</v>
      </c>
      <c r="AB691" s="40" t="s">
        <v>45</v>
      </c>
      <c r="AC691" s="40" t="s">
        <v>45</v>
      </c>
      <c r="AD691" s="40" t="s">
        <v>45</v>
      </c>
      <c r="AE691" s="40" t="s">
        <v>45</v>
      </c>
      <c r="AF691" s="40" t="s">
        <v>45</v>
      </c>
      <c r="AG691" s="41" t="s">
        <v>45</v>
      </c>
      <c r="AH691" s="40">
        <v>1</v>
      </c>
      <c r="AI691" s="40">
        <v>2</v>
      </c>
      <c r="AJ691" s="41">
        <v>2</v>
      </c>
      <c r="AK691" s="43" t="s">
        <v>45</v>
      </c>
      <c r="AL691" s="43"/>
      <c r="AM691" s="44">
        <f t="shared" si="71"/>
        <v>-1.6366815025231998</v>
      </c>
      <c r="AN691" s="44">
        <f t="shared" si="72"/>
        <v>-1.0005851926587581</v>
      </c>
      <c r="AO691" s="45">
        <f t="shared" si="73"/>
        <v>0</v>
      </c>
      <c r="AP691" s="46">
        <f t="shared" si="74"/>
        <v>0</v>
      </c>
      <c r="AQ691" s="44">
        <f>($AM$3*AM691+$AN$3*AN691+$AO$3*AO691+$AP$3*AP691)+$I$3*VLOOKUP(I691,COND!$A$2:$E$7,4,FALSE)+$J$3*VLOOKUP(J691,COND!$A$2:$C$7,2,FALSE)+$K$3*VLOOKUP(K691,COND!$A$2:$C$7,3,FALSE)+IF(AND($B$2&gt;0,$E691&lt;20),$B$2*25,0)</f>
        <v>32.829309537842583</v>
      </c>
      <c r="AR691" s="47">
        <f t="shared" si="75"/>
        <v>-2.5058695104362245</v>
      </c>
      <c r="AS691" s="45" t="str">
        <f t="shared" si="76"/>
        <v>1B</v>
      </c>
      <c r="AT691" s="45">
        <f>RANK(Batters[[#This Row],[zScore]],Batters[[#All],[zScore]])</f>
        <v>687</v>
      </c>
      <c r="AU691" s="45"/>
      <c r="AV691" s="45"/>
      <c r="AW691" s="45" t="str">
        <f t="shared" si="77"/>
        <v>Unlikely</v>
      </c>
      <c r="AX691" s="45"/>
      <c r="AY691" s="64" t="str">
        <f>INDEX(Table5[[#All],[Ovr]],MATCH(Batters[[#This Row],[PID]],Table5[[#All],[PID]],0))</f>
        <v/>
      </c>
      <c r="AZ691" s="64" t="str">
        <f>INDEX(Table5[[#All],[Rnd]],MATCH(Batters[[#This Row],[PID]],Table5[[#All],[PID]],0))</f>
        <v/>
      </c>
      <c r="BA691" s="64" t="str">
        <f>INDEX(Table5[[#All],[Pick]],MATCH(Batters[[#This Row],[PID]],Table5[[#All],[PID]],0))</f>
        <v/>
      </c>
      <c r="BB691" s="64" t="str">
        <f>INDEX(Table5[[#All],[Team]],MATCH(Batters[[#This Row],[PID]],Table5[[#All],[PID]],0))</f>
        <v/>
      </c>
    </row>
    <row r="692" spans="1:54" ht="30" x14ac:dyDescent="0.25">
      <c r="A692" s="40">
        <v>11922</v>
      </c>
      <c r="B692" s="40" t="s">
        <v>66</v>
      </c>
      <c r="C692" s="40" t="s">
        <v>123</v>
      </c>
      <c r="D692" s="40" t="s">
        <v>1735</v>
      </c>
      <c r="E692" s="40">
        <v>21</v>
      </c>
      <c r="F692" s="40" t="s">
        <v>42</v>
      </c>
      <c r="G692" s="40" t="s">
        <v>42</v>
      </c>
      <c r="H692" s="41" t="s">
        <v>647</v>
      </c>
      <c r="I692" s="65" t="s">
        <v>43</v>
      </c>
      <c r="J692" s="66" t="s">
        <v>43</v>
      </c>
      <c r="K692" s="67" t="s">
        <v>43</v>
      </c>
      <c r="L692" s="40">
        <v>1</v>
      </c>
      <c r="M692" s="40">
        <v>2</v>
      </c>
      <c r="N692" s="40">
        <v>2</v>
      </c>
      <c r="O692" s="40">
        <v>2</v>
      </c>
      <c r="P692" s="41">
        <v>1</v>
      </c>
      <c r="Q692" s="40">
        <v>2</v>
      </c>
      <c r="R692" s="40">
        <v>3</v>
      </c>
      <c r="S692" s="40">
        <v>3</v>
      </c>
      <c r="T692" s="40">
        <v>6</v>
      </c>
      <c r="U692" s="41">
        <v>2</v>
      </c>
      <c r="V692" s="40">
        <v>5</v>
      </c>
      <c r="W692" s="40">
        <v>5</v>
      </c>
      <c r="X692" s="40">
        <v>4</v>
      </c>
      <c r="Y692" s="41">
        <v>6</v>
      </c>
      <c r="Z692" s="40" t="s">
        <v>45</v>
      </c>
      <c r="AA692" s="40" t="s">
        <v>45</v>
      </c>
      <c r="AB692" s="40" t="s">
        <v>45</v>
      </c>
      <c r="AC692" s="40" t="s">
        <v>45</v>
      </c>
      <c r="AD692" s="40" t="s">
        <v>45</v>
      </c>
      <c r="AE692" s="40" t="s">
        <v>45</v>
      </c>
      <c r="AF692" s="40" t="s">
        <v>45</v>
      </c>
      <c r="AG692" s="41" t="s">
        <v>45</v>
      </c>
      <c r="AH692" s="40">
        <v>4</v>
      </c>
      <c r="AI692" s="40">
        <v>1</v>
      </c>
      <c r="AJ692" s="41">
        <v>1</v>
      </c>
      <c r="AK692" s="43" t="s">
        <v>45</v>
      </c>
      <c r="AL692" s="43"/>
      <c r="AM692" s="44">
        <f t="shared" si="71"/>
        <v>-1.8605124261753858</v>
      </c>
      <c r="AN692" s="44">
        <f t="shared" si="72"/>
        <v>-1.0049806764746987</v>
      </c>
      <c r="AO692" s="45">
        <f t="shared" si="73"/>
        <v>0</v>
      </c>
      <c r="AP692" s="46">
        <f t="shared" si="74"/>
        <v>0</v>
      </c>
      <c r="AQ692" s="44">
        <f>($AM$3*AM692+$AN$3*AN692+$AO$3*AO692+$AP$3*AP692)+$I$3*VLOOKUP(I692,COND!$A$2:$E$7,4,FALSE)+$J$3*VLOOKUP(J692,COND!$A$2:$C$7,2,FALSE)+$K$3*VLOOKUP(K692,COND!$A$2:$C$7,3,FALSE)+IF(AND($B$2&gt;0,$E692&lt;20),$B$2*25,0)</f>
        <v>32.754180639686076</v>
      </c>
      <c r="AR692" s="47">
        <f t="shared" si="75"/>
        <v>-2.5225260949817438</v>
      </c>
      <c r="AS692" s="45" t="str">
        <f t="shared" si="76"/>
        <v>DH</v>
      </c>
      <c r="AT692" s="45">
        <f>RANK(Batters[[#This Row],[zScore]],Batters[[#All],[zScore]])</f>
        <v>688</v>
      </c>
      <c r="AU692" s="45"/>
      <c r="AV692" s="45"/>
      <c r="AW692" s="45" t="str">
        <f t="shared" si="77"/>
        <v>Unlikely</v>
      </c>
      <c r="AX692" s="45"/>
      <c r="AY692" s="64" t="str">
        <f>INDEX(Table5[[#All],[Ovr]],MATCH(Batters[[#This Row],[PID]],Table5[[#All],[PID]],0))</f>
        <v/>
      </c>
      <c r="AZ692" s="64" t="str">
        <f>INDEX(Table5[[#All],[Rnd]],MATCH(Batters[[#This Row],[PID]],Table5[[#All],[PID]],0))</f>
        <v/>
      </c>
      <c r="BA692" s="64" t="str">
        <f>INDEX(Table5[[#All],[Pick]],MATCH(Batters[[#This Row],[PID]],Table5[[#All],[PID]],0))</f>
        <v/>
      </c>
      <c r="BB692" s="64" t="str">
        <f>INDEX(Table5[[#All],[Team]],MATCH(Batters[[#This Row],[PID]],Table5[[#All],[PID]],0))</f>
        <v/>
      </c>
    </row>
    <row r="693" spans="1:54" ht="30" x14ac:dyDescent="0.25">
      <c r="A693" s="40">
        <v>10011</v>
      </c>
      <c r="B693" s="40" t="s">
        <v>87</v>
      </c>
      <c r="C693" s="40" t="s">
        <v>438</v>
      </c>
      <c r="D693" s="40" t="s">
        <v>955</v>
      </c>
      <c r="E693" s="40">
        <v>22</v>
      </c>
      <c r="F693" s="40" t="s">
        <v>42</v>
      </c>
      <c r="G693" s="40" t="s">
        <v>42</v>
      </c>
      <c r="H693" s="41" t="s">
        <v>647</v>
      </c>
      <c r="I693" s="65" t="s">
        <v>43</v>
      </c>
      <c r="J693" s="66" t="s">
        <v>43</v>
      </c>
      <c r="K693" s="67" t="s">
        <v>43</v>
      </c>
      <c r="L693" s="40">
        <v>1</v>
      </c>
      <c r="M693" s="40">
        <v>2</v>
      </c>
      <c r="N693" s="40">
        <v>3</v>
      </c>
      <c r="O693" s="40">
        <v>3</v>
      </c>
      <c r="P693" s="41">
        <v>1</v>
      </c>
      <c r="Q693" s="40">
        <v>2</v>
      </c>
      <c r="R693" s="40">
        <v>3</v>
      </c>
      <c r="S693" s="40">
        <v>4</v>
      </c>
      <c r="T693" s="40">
        <v>5</v>
      </c>
      <c r="U693" s="41">
        <v>2</v>
      </c>
      <c r="V693" s="40">
        <v>4</v>
      </c>
      <c r="W693" s="40">
        <v>5</v>
      </c>
      <c r="X693" s="40">
        <v>1</v>
      </c>
      <c r="Y693" s="41">
        <v>1</v>
      </c>
      <c r="Z693" s="40" t="s">
        <v>45</v>
      </c>
      <c r="AA693" s="40">
        <v>5</v>
      </c>
      <c r="AB693" s="40">
        <v>1</v>
      </c>
      <c r="AC693" s="40" t="s">
        <v>45</v>
      </c>
      <c r="AD693" s="40" t="s">
        <v>45</v>
      </c>
      <c r="AE693" s="40" t="s">
        <v>45</v>
      </c>
      <c r="AF693" s="40" t="s">
        <v>45</v>
      </c>
      <c r="AG693" s="41" t="s">
        <v>45</v>
      </c>
      <c r="AH693" s="40">
        <v>6</v>
      </c>
      <c r="AI693" s="40">
        <v>3</v>
      </c>
      <c r="AJ693" s="41">
        <v>5</v>
      </c>
      <c r="AK693" s="43" t="s">
        <v>45</v>
      </c>
      <c r="AL693" s="43"/>
      <c r="AM693" s="44">
        <f t="shared" si="71"/>
        <v>-1.6877413821419032</v>
      </c>
      <c r="AN693" s="44">
        <f t="shared" si="72"/>
        <v>-1.0116287324603783</v>
      </c>
      <c r="AO693" s="45">
        <f t="shared" si="73"/>
        <v>0</v>
      </c>
      <c r="AP693" s="46">
        <f t="shared" si="74"/>
        <v>0</v>
      </c>
      <c r="AQ693" s="44">
        <f>($AM$3*AM693+$AN$3*AN693+$AO$3*AO693+$AP$3*AP693)+$I$3*VLOOKUP(I693,COND!$A$2:$E$7,4,FALSE)+$J$3*VLOOKUP(J693,COND!$A$2:$C$7,2,FALSE)+$K$3*VLOOKUP(K693,COND!$A$2:$C$7,3,FALSE)+IF(AND($B$2&gt;0,$E693&lt;20),$B$2*25,0)</f>
        <v>32.691681072261268</v>
      </c>
      <c r="AR693" s="47">
        <f t="shared" si="75"/>
        <v>-2.5363826715376927</v>
      </c>
      <c r="AS693" s="45" t="str">
        <f t="shared" si="76"/>
        <v>2B</v>
      </c>
      <c r="AT693" s="45">
        <f>RANK(Batters[[#This Row],[zScore]],Batters[[#All],[zScore]])</f>
        <v>689</v>
      </c>
      <c r="AU693" s="45"/>
      <c r="AV693" s="45"/>
      <c r="AW693" s="45" t="str">
        <f t="shared" si="77"/>
        <v>Unlikely</v>
      </c>
      <c r="AX693" s="45"/>
      <c r="AY693" s="64" t="str">
        <f>INDEX(Table5[[#All],[Ovr]],MATCH(Batters[[#This Row],[PID]],Table5[[#All],[PID]],0))</f>
        <v/>
      </c>
      <c r="AZ693" s="64" t="str">
        <f>INDEX(Table5[[#All],[Rnd]],MATCH(Batters[[#This Row],[PID]],Table5[[#All],[PID]],0))</f>
        <v/>
      </c>
      <c r="BA693" s="64" t="str">
        <f>INDEX(Table5[[#All],[Pick]],MATCH(Batters[[#This Row],[PID]],Table5[[#All],[PID]],0))</f>
        <v/>
      </c>
      <c r="BB693" s="64" t="str">
        <f>INDEX(Table5[[#All],[Team]],MATCH(Batters[[#This Row],[PID]],Table5[[#All],[PID]],0))</f>
        <v/>
      </c>
    </row>
    <row r="694" spans="1:54" ht="30" x14ac:dyDescent="0.25">
      <c r="A694" s="40">
        <v>16909</v>
      </c>
      <c r="B694" s="40" t="s">
        <v>87</v>
      </c>
      <c r="C694" s="40" t="s">
        <v>1740</v>
      </c>
      <c r="D694" s="40" t="s">
        <v>1741</v>
      </c>
      <c r="E694" s="40">
        <v>21</v>
      </c>
      <c r="F694" s="40" t="s">
        <v>62</v>
      </c>
      <c r="G694" s="40" t="s">
        <v>53</v>
      </c>
      <c r="H694" s="41" t="s">
        <v>647</v>
      </c>
      <c r="I694" s="65" t="s">
        <v>43</v>
      </c>
      <c r="J694" s="66" t="s">
        <v>47</v>
      </c>
      <c r="K694" s="67" t="s">
        <v>44</v>
      </c>
      <c r="L694" s="40">
        <v>1</v>
      </c>
      <c r="M694" s="40">
        <v>2</v>
      </c>
      <c r="N694" s="40">
        <v>2</v>
      </c>
      <c r="O694" s="40">
        <v>2</v>
      </c>
      <c r="P694" s="41">
        <v>1</v>
      </c>
      <c r="Q694" s="40">
        <v>2</v>
      </c>
      <c r="R694" s="40">
        <v>4</v>
      </c>
      <c r="S694" s="40">
        <v>4</v>
      </c>
      <c r="T694" s="40">
        <v>4</v>
      </c>
      <c r="U694" s="41">
        <v>3</v>
      </c>
      <c r="V694" s="40">
        <v>3</v>
      </c>
      <c r="W694" s="40">
        <v>3</v>
      </c>
      <c r="X694" s="40">
        <v>1</v>
      </c>
      <c r="Y694" s="41">
        <v>1</v>
      </c>
      <c r="Z694" s="40" t="s">
        <v>45</v>
      </c>
      <c r="AA694" s="40">
        <v>2</v>
      </c>
      <c r="AB694" s="40" t="s">
        <v>45</v>
      </c>
      <c r="AC694" s="40" t="s">
        <v>45</v>
      </c>
      <c r="AD694" s="40" t="s">
        <v>45</v>
      </c>
      <c r="AE694" s="40" t="s">
        <v>45</v>
      </c>
      <c r="AF694" s="40" t="s">
        <v>45</v>
      </c>
      <c r="AG694" s="41" t="s">
        <v>45</v>
      </c>
      <c r="AH694" s="40">
        <v>4</v>
      </c>
      <c r="AI694" s="40">
        <v>4</v>
      </c>
      <c r="AJ694" s="41">
        <v>1</v>
      </c>
      <c r="AK694" s="43" t="s">
        <v>45</v>
      </c>
      <c r="AL694" s="43"/>
      <c r="AM694" s="44">
        <f t="shared" si="71"/>
        <v>-1.8605124261753858</v>
      </c>
      <c r="AN694" s="44">
        <f t="shared" si="72"/>
        <v>-1.0102620630341723</v>
      </c>
      <c r="AO694" s="45">
        <f t="shared" si="73"/>
        <v>0</v>
      </c>
      <c r="AP694" s="46">
        <f t="shared" si="74"/>
        <v>0</v>
      </c>
      <c r="AQ694" s="44">
        <f>($AM$3*AM694+$AN$3*AN694+$AO$3*AO694+$AP$3*AP694)+$I$3*VLOOKUP(I694,COND!$A$2:$E$7,4,FALSE)+$J$3*VLOOKUP(J694,COND!$A$2:$C$7,2,FALSE)+$K$3*VLOOKUP(K694,COND!$A$2:$C$7,3,FALSE)+IF(AND($B$2&gt;0,$E694&lt;20),$B$2*25,0)</f>
        <v>32.690804000972392</v>
      </c>
      <c r="AR694" s="47">
        <f t="shared" si="75"/>
        <v>-2.5365771241708881</v>
      </c>
      <c r="AS694" s="45" t="str">
        <f t="shared" si="76"/>
        <v>1B</v>
      </c>
      <c r="AT694" s="45">
        <f>RANK(Batters[[#This Row],[zScore]],Batters[[#All],[zScore]])</f>
        <v>690</v>
      </c>
      <c r="AU694" s="45"/>
      <c r="AV694" s="45"/>
      <c r="AW694" s="45" t="str">
        <f t="shared" si="77"/>
        <v>Unlikely</v>
      </c>
      <c r="AX694" s="45"/>
      <c r="AY694" s="64" t="str">
        <f>INDEX(Table5[[#All],[Ovr]],MATCH(Batters[[#This Row],[PID]],Table5[[#All],[PID]],0))</f>
        <v/>
      </c>
      <c r="AZ694" s="64" t="str">
        <f>INDEX(Table5[[#All],[Rnd]],MATCH(Batters[[#This Row],[PID]],Table5[[#All],[PID]],0))</f>
        <v/>
      </c>
      <c r="BA694" s="64" t="str">
        <f>INDEX(Table5[[#All],[Pick]],MATCH(Batters[[#This Row],[PID]],Table5[[#All],[PID]],0))</f>
        <v/>
      </c>
      <c r="BB694" s="64" t="str">
        <f>INDEX(Table5[[#All],[Team]],MATCH(Batters[[#This Row],[PID]],Table5[[#All],[PID]],0))</f>
        <v/>
      </c>
    </row>
    <row r="695" spans="1:54" ht="30" x14ac:dyDescent="0.25">
      <c r="A695" s="40">
        <v>12599</v>
      </c>
      <c r="B695" s="40" t="s">
        <v>86</v>
      </c>
      <c r="C695" s="40" t="s">
        <v>960</v>
      </c>
      <c r="D695" s="40" t="s">
        <v>961</v>
      </c>
      <c r="E695" s="40">
        <v>22</v>
      </c>
      <c r="F695" s="40" t="s">
        <v>42</v>
      </c>
      <c r="G695" s="40" t="s">
        <v>42</v>
      </c>
      <c r="H695" s="41" t="s">
        <v>638</v>
      </c>
      <c r="I695" s="65" t="s">
        <v>43</v>
      </c>
      <c r="J695" s="66" t="s">
        <v>47</v>
      </c>
      <c r="K695" s="67" t="s">
        <v>43</v>
      </c>
      <c r="L695" s="40">
        <v>2</v>
      </c>
      <c r="M695" s="40">
        <v>3</v>
      </c>
      <c r="N695" s="40">
        <v>2</v>
      </c>
      <c r="O695" s="40">
        <v>2</v>
      </c>
      <c r="P695" s="41">
        <v>1</v>
      </c>
      <c r="Q695" s="40">
        <v>2</v>
      </c>
      <c r="R695" s="40">
        <v>4</v>
      </c>
      <c r="S695" s="40">
        <v>3</v>
      </c>
      <c r="T695" s="40">
        <v>4</v>
      </c>
      <c r="U695" s="41">
        <v>2</v>
      </c>
      <c r="V695" s="40">
        <v>4</v>
      </c>
      <c r="W695" s="40">
        <v>4</v>
      </c>
      <c r="X695" s="40">
        <v>7</v>
      </c>
      <c r="Y695" s="41">
        <v>6</v>
      </c>
      <c r="Z695" s="40">
        <v>3</v>
      </c>
      <c r="AA695" s="40" t="s">
        <v>45</v>
      </c>
      <c r="AB695" s="40" t="s">
        <v>45</v>
      </c>
      <c r="AC695" s="40" t="s">
        <v>45</v>
      </c>
      <c r="AD695" s="40" t="s">
        <v>45</v>
      </c>
      <c r="AE695" s="40" t="s">
        <v>45</v>
      </c>
      <c r="AF695" s="40" t="s">
        <v>45</v>
      </c>
      <c r="AG695" s="41" t="s">
        <v>45</v>
      </c>
      <c r="AH695" s="40">
        <v>2</v>
      </c>
      <c r="AI695" s="40">
        <v>6</v>
      </c>
      <c r="AJ695" s="41">
        <v>3</v>
      </c>
      <c r="AK695" s="43" t="s">
        <v>45</v>
      </c>
      <c r="AL695" s="43" t="s">
        <v>47</v>
      </c>
      <c r="AM695" s="44">
        <f t="shared" si="71"/>
        <v>-1.4868967103540081</v>
      </c>
      <c r="AN695" s="44">
        <f t="shared" si="72"/>
        <v>-1.1333398968751573</v>
      </c>
      <c r="AO695" s="45">
        <f t="shared" si="73"/>
        <v>0</v>
      </c>
      <c r="AP695" s="46">
        <f t="shared" si="74"/>
        <v>1.1000000000000001</v>
      </c>
      <c r="AQ695" s="44">
        <f>($AM$3*AM695+$AN$3*AN695+$AO$3*AO695+$AP$3*AP695)+$I$3*VLOOKUP(I695,COND!$A$2:$E$7,4,FALSE)+$J$3*VLOOKUP(J695,COND!$A$2:$C$7,2,FALSE)+$K$3*VLOOKUP(K695,COND!$A$2:$C$7,3,FALSE)+IF(AND($B$2&gt;0,$E695&lt;20),$B$2*25,0)</f>
        <v>32.651231566462712</v>
      </c>
      <c r="AR695" s="47">
        <f t="shared" si="75"/>
        <v>-2.5453506003865169</v>
      </c>
      <c r="AS695" s="45" t="str">
        <f t="shared" si="76"/>
        <v>C</v>
      </c>
      <c r="AT695" s="45">
        <f>RANK(Batters[[#This Row],[zScore]],Batters[[#All],[zScore]])</f>
        <v>691</v>
      </c>
      <c r="AU695" s="45"/>
      <c r="AV695" s="45"/>
      <c r="AW695" s="45" t="str">
        <f t="shared" si="77"/>
        <v>Unlikely</v>
      </c>
      <c r="AX695" s="45"/>
      <c r="AY695" s="45" t="str">
        <f>INDEX(Table5[[#All],[Ovr]],MATCH(Batters[[#This Row],[PID]],Table5[[#All],[PID]],0))</f>
        <v/>
      </c>
      <c r="AZ695" s="45" t="str">
        <f>INDEX(Table5[[#All],[Rnd]],MATCH(Batters[[#This Row],[PID]],Table5[[#All],[PID]],0))</f>
        <v/>
      </c>
      <c r="BA695" s="45" t="str">
        <f>INDEX(Table5[[#All],[Pick]],MATCH(Batters[[#This Row],[PID]],Table5[[#All],[PID]],0))</f>
        <v/>
      </c>
      <c r="BB695" s="45" t="str">
        <f>INDEX(Table5[[#All],[Team]],MATCH(Batters[[#This Row],[PID]],Table5[[#All],[PID]],0))</f>
        <v/>
      </c>
    </row>
    <row r="696" spans="1:54" ht="30" x14ac:dyDescent="0.25">
      <c r="A696" s="40">
        <v>20762</v>
      </c>
      <c r="B696" s="40" t="s">
        <v>86</v>
      </c>
      <c r="C696" s="40" t="s">
        <v>1685</v>
      </c>
      <c r="D696" s="40" t="s">
        <v>1720</v>
      </c>
      <c r="E696" s="40">
        <v>17</v>
      </c>
      <c r="F696" s="40" t="s">
        <v>53</v>
      </c>
      <c r="G696" s="40" t="s">
        <v>42</v>
      </c>
      <c r="H696" s="41" t="s">
        <v>647</v>
      </c>
      <c r="I696" s="65" t="s">
        <v>43</v>
      </c>
      <c r="J696" s="66" t="s">
        <v>44</v>
      </c>
      <c r="K696" s="67" t="s">
        <v>43</v>
      </c>
      <c r="L696" s="40">
        <v>1</v>
      </c>
      <c r="M696" s="40">
        <v>1</v>
      </c>
      <c r="N696" s="40">
        <v>2</v>
      </c>
      <c r="O696" s="40">
        <v>1</v>
      </c>
      <c r="P696" s="41">
        <v>1</v>
      </c>
      <c r="Q696" s="40">
        <v>2</v>
      </c>
      <c r="R696" s="40">
        <v>4</v>
      </c>
      <c r="S696" s="40">
        <v>2</v>
      </c>
      <c r="T696" s="40">
        <v>1</v>
      </c>
      <c r="U696" s="41">
        <v>4</v>
      </c>
      <c r="V696" s="40">
        <v>2</v>
      </c>
      <c r="W696" s="40">
        <v>2</v>
      </c>
      <c r="X696" s="40">
        <v>3</v>
      </c>
      <c r="Y696" s="41">
        <v>5</v>
      </c>
      <c r="Z696" s="40" t="s">
        <v>45</v>
      </c>
      <c r="AA696" s="40" t="s">
        <v>45</v>
      </c>
      <c r="AB696" s="40" t="s">
        <v>45</v>
      </c>
      <c r="AC696" s="40" t="s">
        <v>45</v>
      </c>
      <c r="AD696" s="40" t="s">
        <v>45</v>
      </c>
      <c r="AE696" s="40" t="s">
        <v>45</v>
      </c>
      <c r="AF696" s="40" t="s">
        <v>45</v>
      </c>
      <c r="AG696" s="41" t="s">
        <v>45</v>
      </c>
      <c r="AH696" s="40">
        <v>1</v>
      </c>
      <c r="AI696" s="40">
        <v>1</v>
      </c>
      <c r="AJ696" s="41">
        <v>1</v>
      </c>
      <c r="AK696" s="43" t="s">
        <v>644</v>
      </c>
      <c r="AL696" s="43"/>
      <c r="AM696" s="44">
        <f t="shared" si="71"/>
        <v>-2.0012818558036707</v>
      </c>
      <c r="AN696" s="44">
        <f t="shared" si="72"/>
        <v>-1.405497361293635</v>
      </c>
      <c r="AO696" s="45">
        <f t="shared" si="73"/>
        <v>0</v>
      </c>
      <c r="AP696" s="46">
        <f t="shared" si="74"/>
        <v>0</v>
      </c>
      <c r="AQ696" s="44">
        <f>($AM$3*AM696+$AN$3*AN696+$AO$3*AO696+$AP$3*AP696)+$I$3*VLOOKUP(I696,COND!$A$2:$E$7,4,FALSE)+$J$3*VLOOKUP(J696,COND!$A$2:$C$7,2,FALSE)+$K$3*VLOOKUP(K696,COND!$A$2:$C$7,3,FALSE)+IF(AND($B$2&gt;0,$E696&lt;20),$B$2*25,0)</f>
        <v>32.633903478896016</v>
      </c>
      <c r="AR696" s="47">
        <f t="shared" si="75"/>
        <v>-2.5491923545270549</v>
      </c>
      <c r="AS696" s="45" t="str">
        <f t="shared" si="76"/>
        <v>DH</v>
      </c>
      <c r="AT696" s="45">
        <f>RANK(Batters[[#This Row],[zScore]],Batters[[#All],[zScore]])</f>
        <v>692</v>
      </c>
      <c r="AU696" s="45"/>
      <c r="AV696" s="45"/>
      <c r="AW696" s="45" t="str">
        <f t="shared" si="77"/>
        <v>Unlikely</v>
      </c>
      <c r="AX696" s="45"/>
      <c r="AY696" s="64" t="str">
        <f>INDEX(Table5[[#All],[Ovr]],MATCH(Batters[[#This Row],[PID]],Table5[[#All],[PID]],0))</f>
        <v/>
      </c>
      <c r="AZ696" s="64" t="str">
        <f>INDEX(Table5[[#All],[Rnd]],MATCH(Batters[[#This Row],[PID]],Table5[[#All],[PID]],0))</f>
        <v/>
      </c>
      <c r="BA696" s="64" t="str">
        <f>INDEX(Table5[[#All],[Pick]],MATCH(Batters[[#This Row],[PID]],Table5[[#All],[PID]],0))</f>
        <v/>
      </c>
      <c r="BB696" s="64" t="str">
        <f>INDEX(Table5[[#All],[Team]],MATCH(Batters[[#This Row],[PID]],Table5[[#All],[PID]],0))</f>
        <v/>
      </c>
    </row>
    <row r="697" spans="1:54" ht="30" x14ac:dyDescent="0.25">
      <c r="A697" s="40">
        <v>20247</v>
      </c>
      <c r="B697" s="40" t="s">
        <v>50</v>
      </c>
      <c r="C697" s="40" t="s">
        <v>567</v>
      </c>
      <c r="D697" s="40" t="s">
        <v>1755</v>
      </c>
      <c r="E697" s="40">
        <v>22</v>
      </c>
      <c r="F697" s="40" t="s">
        <v>42</v>
      </c>
      <c r="G697" s="40" t="s">
        <v>42</v>
      </c>
      <c r="H697" s="41" t="s">
        <v>647</v>
      </c>
      <c r="I697" s="65" t="s">
        <v>43</v>
      </c>
      <c r="J697" s="66" t="s">
        <v>47</v>
      </c>
      <c r="K697" s="67" t="s">
        <v>43</v>
      </c>
      <c r="L697" s="40">
        <v>2</v>
      </c>
      <c r="M697" s="40">
        <v>2</v>
      </c>
      <c r="N697" s="40">
        <v>2</v>
      </c>
      <c r="O697" s="40">
        <v>2</v>
      </c>
      <c r="P697" s="41">
        <v>3</v>
      </c>
      <c r="Q697" s="40">
        <v>3</v>
      </c>
      <c r="R697" s="40">
        <v>3</v>
      </c>
      <c r="S697" s="40">
        <v>2</v>
      </c>
      <c r="T697" s="40">
        <v>2</v>
      </c>
      <c r="U697" s="41">
        <v>4</v>
      </c>
      <c r="V697" s="40">
        <v>7</v>
      </c>
      <c r="W697" s="40">
        <v>3</v>
      </c>
      <c r="X697" s="40">
        <v>1</v>
      </c>
      <c r="Y697" s="41">
        <v>1</v>
      </c>
      <c r="Z697" s="40" t="s">
        <v>45</v>
      </c>
      <c r="AA697" s="40" t="s">
        <v>45</v>
      </c>
      <c r="AB697" s="40" t="s">
        <v>45</v>
      </c>
      <c r="AC697" s="40" t="s">
        <v>45</v>
      </c>
      <c r="AD697" s="40" t="s">
        <v>45</v>
      </c>
      <c r="AE697" s="40" t="s">
        <v>45</v>
      </c>
      <c r="AF697" s="40" t="s">
        <v>45</v>
      </c>
      <c r="AG697" s="41" t="s">
        <v>45</v>
      </c>
      <c r="AH697" s="40">
        <v>2</v>
      </c>
      <c r="AI697" s="40">
        <v>3</v>
      </c>
      <c r="AJ697" s="41">
        <v>1</v>
      </c>
      <c r="AK697" s="43" t="s">
        <v>45</v>
      </c>
      <c r="AL697" s="43"/>
      <c r="AM697" s="44">
        <f t="shared" si="71"/>
        <v>-1.4579239103385446</v>
      </c>
      <c r="AN697" s="44">
        <f t="shared" si="72"/>
        <v>-1.0442918547000826</v>
      </c>
      <c r="AO697" s="45">
        <f t="shared" si="73"/>
        <v>0</v>
      </c>
      <c r="AP697" s="46">
        <f t="shared" si="74"/>
        <v>0</v>
      </c>
      <c r="AQ697" s="44">
        <f>($AM$3*AM697+$AN$3*AN697+$AO$3*AO697+$AP$3*AP697)+$I$3*VLOOKUP(I697,COND!$A$2:$E$7,4,FALSE)+$J$3*VLOOKUP(J697,COND!$A$2:$C$7,2,FALSE)+$K$3*VLOOKUP(K697,COND!$A$2:$C$7,3,FALSE)+IF(AND($B$2&gt;0,$E697&lt;20),$B$2*25,0)</f>
        <v>32.622705352565156</v>
      </c>
      <c r="AR697" s="47">
        <f t="shared" si="75"/>
        <v>-2.5516750548269158</v>
      </c>
      <c r="AS697" s="45" t="str">
        <f t="shared" si="76"/>
        <v>DH</v>
      </c>
      <c r="AT697" s="45">
        <f>RANK(Batters[[#This Row],[zScore]],Batters[[#All],[zScore]])</f>
        <v>693</v>
      </c>
      <c r="AU697" s="45"/>
      <c r="AV697" s="45"/>
      <c r="AW697" s="45" t="str">
        <f t="shared" si="77"/>
        <v>Unlikely</v>
      </c>
      <c r="AX697" s="45"/>
      <c r="AY697" s="64" t="str">
        <f>INDEX(Table5[[#All],[Ovr]],MATCH(Batters[[#This Row],[PID]],Table5[[#All],[PID]],0))</f>
        <v/>
      </c>
      <c r="AZ697" s="64" t="str">
        <f>INDEX(Table5[[#All],[Rnd]],MATCH(Batters[[#This Row],[PID]],Table5[[#All],[PID]],0))</f>
        <v/>
      </c>
      <c r="BA697" s="64" t="str">
        <f>INDEX(Table5[[#All],[Pick]],MATCH(Batters[[#This Row],[PID]],Table5[[#All],[PID]],0))</f>
        <v/>
      </c>
      <c r="BB697" s="64" t="str">
        <f>INDEX(Table5[[#All],[Team]],MATCH(Batters[[#This Row],[PID]],Table5[[#All],[PID]],0))</f>
        <v/>
      </c>
    </row>
    <row r="698" spans="1:54" ht="30" x14ac:dyDescent="0.25">
      <c r="A698" s="40">
        <v>12768</v>
      </c>
      <c r="B698" s="40" t="s">
        <v>87</v>
      </c>
      <c r="C698" s="40" t="s">
        <v>582</v>
      </c>
      <c r="D698" s="40" t="s">
        <v>973</v>
      </c>
      <c r="E698" s="40">
        <v>22</v>
      </c>
      <c r="F698" s="40" t="s">
        <v>53</v>
      </c>
      <c r="G698" s="40" t="s">
        <v>53</v>
      </c>
      <c r="H698" s="41" t="s">
        <v>647</v>
      </c>
      <c r="I698" s="65" t="s">
        <v>43</v>
      </c>
      <c r="J698" s="66" t="s">
        <v>47</v>
      </c>
      <c r="K698" s="67" t="s">
        <v>43</v>
      </c>
      <c r="L698" s="40">
        <v>2</v>
      </c>
      <c r="M698" s="40">
        <v>3</v>
      </c>
      <c r="N698" s="40">
        <v>2</v>
      </c>
      <c r="O698" s="40">
        <v>1</v>
      </c>
      <c r="P698" s="41">
        <v>1</v>
      </c>
      <c r="Q698" s="40">
        <v>3</v>
      </c>
      <c r="R698" s="40">
        <v>3</v>
      </c>
      <c r="S698" s="40">
        <v>2</v>
      </c>
      <c r="T698" s="40">
        <v>2</v>
      </c>
      <c r="U698" s="41">
        <v>4</v>
      </c>
      <c r="V698" s="40">
        <v>5</v>
      </c>
      <c r="W698" s="40">
        <v>1</v>
      </c>
      <c r="X698" s="40">
        <v>1</v>
      </c>
      <c r="Y698" s="41">
        <v>1</v>
      </c>
      <c r="Z698" s="40" t="s">
        <v>45</v>
      </c>
      <c r="AA698" s="40" t="s">
        <v>45</v>
      </c>
      <c r="AB698" s="40" t="s">
        <v>45</v>
      </c>
      <c r="AC698" s="40" t="s">
        <v>45</v>
      </c>
      <c r="AD698" s="40" t="s">
        <v>45</v>
      </c>
      <c r="AE698" s="40" t="s">
        <v>45</v>
      </c>
      <c r="AF698" s="40" t="s">
        <v>45</v>
      </c>
      <c r="AG698" s="41" t="s">
        <v>45</v>
      </c>
      <c r="AH698" s="40">
        <v>1</v>
      </c>
      <c r="AI698" s="40">
        <v>1</v>
      </c>
      <c r="AJ698" s="41">
        <v>1</v>
      </c>
      <c r="AK698" s="43" t="s">
        <v>45</v>
      </c>
      <c r="AL698" s="43"/>
      <c r="AM698" s="44">
        <f t="shared" si="71"/>
        <v>-1.5766062603635889</v>
      </c>
      <c r="AN698" s="44">
        <f t="shared" si="72"/>
        <v>-1.0442918547000826</v>
      </c>
      <c r="AO698" s="45">
        <f t="shared" si="73"/>
        <v>0</v>
      </c>
      <c r="AP698" s="46">
        <f t="shared" si="74"/>
        <v>0</v>
      </c>
      <c r="AQ698" s="44">
        <f>($AM$3*AM698+$AN$3*AN698+$AO$3*AO698+$AP$3*AP698)+$I$3*VLOOKUP(I698,COND!$A$2:$E$7,4,FALSE)+$J$3*VLOOKUP(J698,COND!$A$2:$C$7,2,FALSE)+$K$3*VLOOKUP(K698,COND!$A$2:$C$7,3,FALSE)+IF(AND($B$2&gt;0,$E698&lt;20),$B$2*25,0)</f>
        <v>32.610837117562653</v>
      </c>
      <c r="AR698" s="47">
        <f t="shared" si="75"/>
        <v>-2.5543063227487943</v>
      </c>
      <c r="AS698" s="45" t="str">
        <f t="shared" si="76"/>
        <v>DH</v>
      </c>
      <c r="AT698" s="45">
        <f>RANK(Batters[[#This Row],[zScore]],Batters[[#All],[zScore]])</f>
        <v>694</v>
      </c>
      <c r="AU698" s="45"/>
      <c r="AV698" s="45"/>
      <c r="AW698" s="45" t="str">
        <f t="shared" si="77"/>
        <v>Unlikely</v>
      </c>
      <c r="AX698" s="45"/>
      <c r="AY698" s="64" t="str">
        <f>INDEX(Table5[[#All],[Ovr]],MATCH(Batters[[#This Row],[PID]],Table5[[#All],[PID]],0))</f>
        <v/>
      </c>
      <c r="AZ698" s="64" t="str">
        <f>INDEX(Table5[[#All],[Rnd]],MATCH(Batters[[#This Row],[PID]],Table5[[#All],[PID]],0))</f>
        <v/>
      </c>
      <c r="BA698" s="64" t="str">
        <f>INDEX(Table5[[#All],[Pick]],MATCH(Batters[[#This Row],[PID]],Table5[[#All],[PID]],0))</f>
        <v/>
      </c>
      <c r="BB698" s="64" t="str">
        <f>INDEX(Table5[[#All],[Team]],MATCH(Batters[[#This Row],[PID]],Table5[[#All],[PID]],0))</f>
        <v/>
      </c>
    </row>
    <row r="699" spans="1:54" ht="30" x14ac:dyDescent="0.25">
      <c r="A699" s="40">
        <v>17986</v>
      </c>
      <c r="B699" s="40" t="s">
        <v>71</v>
      </c>
      <c r="C699" s="40" t="s">
        <v>425</v>
      </c>
      <c r="D699" s="40" t="s">
        <v>1706</v>
      </c>
      <c r="E699" s="40">
        <v>21</v>
      </c>
      <c r="F699" s="40" t="s">
        <v>42</v>
      </c>
      <c r="G699" s="40" t="s">
        <v>42</v>
      </c>
      <c r="H699" s="41" t="s">
        <v>647</v>
      </c>
      <c r="I699" s="65" t="s">
        <v>44</v>
      </c>
      <c r="J699" s="66" t="s">
        <v>44</v>
      </c>
      <c r="K699" s="67" t="s">
        <v>43</v>
      </c>
      <c r="L699" s="40">
        <v>1</v>
      </c>
      <c r="M699" s="40">
        <v>1</v>
      </c>
      <c r="N699" s="40">
        <v>2</v>
      </c>
      <c r="O699" s="40">
        <v>1</v>
      </c>
      <c r="P699" s="41">
        <v>1</v>
      </c>
      <c r="Q699" s="40">
        <v>3</v>
      </c>
      <c r="R699" s="40">
        <v>2</v>
      </c>
      <c r="S699" s="40">
        <v>2</v>
      </c>
      <c r="T699" s="40">
        <v>3</v>
      </c>
      <c r="U699" s="41">
        <v>3</v>
      </c>
      <c r="V699" s="40">
        <v>5</v>
      </c>
      <c r="W699" s="40">
        <v>4</v>
      </c>
      <c r="X699" s="40">
        <v>1</v>
      </c>
      <c r="Y699" s="41">
        <v>1</v>
      </c>
      <c r="Z699" s="40" t="s">
        <v>45</v>
      </c>
      <c r="AA699" s="40" t="s">
        <v>45</v>
      </c>
      <c r="AB699" s="40">
        <v>5</v>
      </c>
      <c r="AC699" s="40" t="s">
        <v>45</v>
      </c>
      <c r="AD699" s="40">
        <v>1</v>
      </c>
      <c r="AE699" s="40" t="s">
        <v>45</v>
      </c>
      <c r="AF699" s="40" t="s">
        <v>45</v>
      </c>
      <c r="AG699" s="41" t="s">
        <v>45</v>
      </c>
      <c r="AH699" s="40">
        <v>9</v>
      </c>
      <c r="AI699" s="40">
        <v>4</v>
      </c>
      <c r="AJ699" s="41">
        <v>5</v>
      </c>
      <c r="AK699" s="43" t="s">
        <v>45</v>
      </c>
      <c r="AL699" s="43"/>
      <c r="AM699" s="44">
        <f t="shared" si="71"/>
        <v>-2.0012818558036707</v>
      </c>
      <c r="AN699" s="44">
        <f t="shared" si="72"/>
        <v>-1.0456585241262888</v>
      </c>
      <c r="AO699" s="45">
        <f t="shared" si="73"/>
        <v>1</v>
      </c>
      <c r="AP699" s="46">
        <f t="shared" si="74"/>
        <v>0.6</v>
      </c>
      <c r="AQ699" s="44">
        <f>($AM$3*AM699+$AN$3*AN699+$AO$3*AO699+$AP$3*AP699)+$I$3*VLOOKUP(I699,COND!$A$2:$E$7,4,FALSE)+$J$3*VLOOKUP(J699,COND!$A$2:$C$7,2,FALSE)+$K$3*VLOOKUP(K699,COND!$A$2:$C$7,3,FALSE)+IF(AND($B$2&gt;0,$E699&lt;20),$B$2*25,0)</f>
        <v>32.568636191570832</v>
      </c>
      <c r="AR699" s="47">
        <f t="shared" si="75"/>
        <v>-2.5636625532929673</v>
      </c>
      <c r="AS699" s="45" t="str">
        <f t="shared" si="76"/>
        <v>2B</v>
      </c>
      <c r="AT699" s="45">
        <f>RANK(Batters[[#This Row],[zScore]],Batters[[#All],[zScore]])</f>
        <v>695</v>
      </c>
      <c r="AU699" s="45"/>
      <c r="AV699" s="45"/>
      <c r="AW699" s="45" t="str">
        <f t="shared" si="77"/>
        <v>Unlikely</v>
      </c>
      <c r="AX699" s="45"/>
      <c r="AY699" s="64" t="str">
        <f>INDEX(Table5[[#All],[Ovr]],MATCH(Batters[[#This Row],[PID]],Table5[[#All],[PID]],0))</f>
        <v/>
      </c>
      <c r="AZ699" s="64" t="str">
        <f>INDEX(Table5[[#All],[Rnd]],MATCH(Batters[[#This Row],[PID]],Table5[[#All],[PID]],0))</f>
        <v/>
      </c>
      <c r="BA699" s="64" t="str">
        <f>INDEX(Table5[[#All],[Pick]],MATCH(Batters[[#This Row],[PID]],Table5[[#All],[PID]],0))</f>
        <v/>
      </c>
      <c r="BB699" s="64" t="str">
        <f>INDEX(Table5[[#All],[Team]],MATCH(Batters[[#This Row],[PID]],Table5[[#All],[PID]],0))</f>
        <v/>
      </c>
    </row>
    <row r="700" spans="1:54" ht="30" x14ac:dyDescent="0.25">
      <c r="A700" s="40">
        <v>16489</v>
      </c>
      <c r="B700" s="40" t="s">
        <v>72</v>
      </c>
      <c r="C700" s="40" t="s">
        <v>140</v>
      </c>
      <c r="D700" s="40" t="s">
        <v>1461</v>
      </c>
      <c r="E700" s="40">
        <v>21</v>
      </c>
      <c r="F700" s="40" t="s">
        <v>42</v>
      </c>
      <c r="G700" s="40" t="s">
        <v>42</v>
      </c>
      <c r="H700" s="41" t="s">
        <v>638</v>
      </c>
      <c r="I700" s="65" t="s">
        <v>43</v>
      </c>
      <c r="J700" s="66" t="s">
        <v>47</v>
      </c>
      <c r="K700" s="67" t="s">
        <v>43</v>
      </c>
      <c r="L700" s="40">
        <v>1</v>
      </c>
      <c r="M700" s="40">
        <v>2</v>
      </c>
      <c r="N700" s="40">
        <v>2</v>
      </c>
      <c r="O700" s="40">
        <v>2</v>
      </c>
      <c r="P700" s="41">
        <v>1</v>
      </c>
      <c r="Q700" s="40">
        <v>2</v>
      </c>
      <c r="R700" s="40">
        <v>3</v>
      </c>
      <c r="S700" s="40">
        <v>3</v>
      </c>
      <c r="T700" s="40">
        <v>4</v>
      </c>
      <c r="U700" s="41">
        <v>3</v>
      </c>
      <c r="V700" s="40">
        <v>8</v>
      </c>
      <c r="W700" s="40">
        <v>7</v>
      </c>
      <c r="X700" s="40">
        <v>1</v>
      </c>
      <c r="Y700" s="41">
        <v>1</v>
      </c>
      <c r="Z700" s="40" t="s">
        <v>45</v>
      </c>
      <c r="AA700" s="40" t="s">
        <v>45</v>
      </c>
      <c r="AB700" s="40" t="s">
        <v>45</v>
      </c>
      <c r="AC700" s="40">
        <v>3</v>
      </c>
      <c r="AD700" s="40">
        <v>6</v>
      </c>
      <c r="AE700" s="40" t="s">
        <v>45</v>
      </c>
      <c r="AF700" s="40" t="s">
        <v>45</v>
      </c>
      <c r="AG700" s="41" t="s">
        <v>45</v>
      </c>
      <c r="AH700" s="40">
        <v>8</v>
      </c>
      <c r="AI700" s="40">
        <v>2</v>
      </c>
      <c r="AJ700" s="41">
        <v>1</v>
      </c>
      <c r="AK700" s="43" t="s">
        <v>45</v>
      </c>
      <c r="AL700" s="43" t="s">
        <v>47</v>
      </c>
      <c r="AM700" s="44">
        <f t="shared" si="71"/>
        <v>-1.8605124261753858</v>
      </c>
      <c r="AN700" s="44">
        <f t="shared" si="72"/>
        <v>-1.1443834366767773</v>
      </c>
      <c r="AO700" s="45">
        <f t="shared" si="73"/>
        <v>1</v>
      </c>
      <c r="AP700" s="46">
        <f t="shared" si="74"/>
        <v>1</v>
      </c>
      <c r="AQ700" s="44">
        <f>($AM$3*AM700+$AN$3*AN700+$AO$3*AO700+$AP$3*AP700)+$I$3*VLOOKUP(I700,COND!$A$2:$E$7,4,FALSE)+$J$3*VLOOKUP(J700,COND!$A$2:$C$7,2,FALSE)+$K$3*VLOOKUP(K700,COND!$A$2:$C$7,3,FALSE)+IF(AND($B$2&gt;0,$E700&lt;20),$B$2*25,0)</f>
        <v>32.548014183927798</v>
      </c>
      <c r="AR700" s="47">
        <f t="shared" si="75"/>
        <v>-2.5682345917792633</v>
      </c>
      <c r="AS700" s="45" t="str">
        <f t="shared" si="76"/>
        <v>SS</v>
      </c>
      <c r="AT700" s="45">
        <f>RANK(Batters[[#This Row],[zScore]],Batters[[#All],[zScore]])</f>
        <v>696</v>
      </c>
      <c r="AU700" s="45"/>
      <c r="AV700" s="45"/>
      <c r="AW700" s="45" t="str">
        <f t="shared" si="77"/>
        <v>Unlikely</v>
      </c>
      <c r="AX700" s="45"/>
      <c r="AY700" s="45" t="str">
        <f>INDEX(Table5[[#All],[Ovr]],MATCH(Batters[[#This Row],[PID]],Table5[[#All],[PID]],0))</f>
        <v/>
      </c>
      <c r="AZ700" s="45" t="str">
        <f>INDEX(Table5[[#All],[Rnd]],MATCH(Batters[[#This Row],[PID]],Table5[[#All],[PID]],0))</f>
        <v/>
      </c>
      <c r="BA700" s="45" t="str">
        <f>INDEX(Table5[[#All],[Pick]],MATCH(Batters[[#This Row],[PID]],Table5[[#All],[PID]],0))</f>
        <v/>
      </c>
      <c r="BB700" s="45" t="str">
        <f>INDEX(Table5[[#All],[Team]],MATCH(Batters[[#This Row],[PID]],Table5[[#All],[PID]],0))</f>
        <v/>
      </c>
    </row>
    <row r="701" spans="1:54" ht="30" x14ac:dyDescent="0.25">
      <c r="A701" s="40">
        <v>16908</v>
      </c>
      <c r="B701" s="40" t="s">
        <v>86</v>
      </c>
      <c r="C701" s="40" t="s">
        <v>1655</v>
      </c>
      <c r="D701" s="40" t="s">
        <v>797</v>
      </c>
      <c r="E701" s="40">
        <v>21</v>
      </c>
      <c r="F701" s="40" t="s">
        <v>42</v>
      </c>
      <c r="G701" s="40" t="s">
        <v>42</v>
      </c>
      <c r="H701" s="41" t="s">
        <v>639</v>
      </c>
      <c r="I701" s="65" t="s">
        <v>47</v>
      </c>
      <c r="J701" s="66" t="s">
        <v>43</v>
      </c>
      <c r="K701" s="67" t="s">
        <v>43</v>
      </c>
      <c r="L701" s="40">
        <v>1</v>
      </c>
      <c r="M701" s="40">
        <v>1</v>
      </c>
      <c r="N701" s="40">
        <v>2</v>
      </c>
      <c r="O701" s="40">
        <v>2</v>
      </c>
      <c r="P701" s="41">
        <v>1</v>
      </c>
      <c r="Q701" s="40">
        <v>2</v>
      </c>
      <c r="R701" s="40">
        <v>2</v>
      </c>
      <c r="S701" s="40">
        <v>3</v>
      </c>
      <c r="T701" s="40">
        <v>4</v>
      </c>
      <c r="U701" s="41">
        <v>3</v>
      </c>
      <c r="V701" s="40">
        <v>3</v>
      </c>
      <c r="W701" s="40">
        <v>4</v>
      </c>
      <c r="X701" s="40">
        <v>6</v>
      </c>
      <c r="Y701" s="41">
        <v>8</v>
      </c>
      <c r="Z701" s="40">
        <v>3</v>
      </c>
      <c r="AA701" s="40" t="s">
        <v>45</v>
      </c>
      <c r="AB701" s="40" t="s">
        <v>45</v>
      </c>
      <c r="AC701" s="40" t="s">
        <v>45</v>
      </c>
      <c r="AD701" s="40" t="s">
        <v>45</v>
      </c>
      <c r="AE701" s="40" t="s">
        <v>45</v>
      </c>
      <c r="AF701" s="40" t="s">
        <v>45</v>
      </c>
      <c r="AG701" s="41" t="s">
        <v>45</v>
      </c>
      <c r="AH701" s="40">
        <v>1</v>
      </c>
      <c r="AI701" s="40">
        <v>9</v>
      </c>
      <c r="AJ701" s="41">
        <v>9</v>
      </c>
      <c r="AK701" s="43" t="s">
        <v>45</v>
      </c>
      <c r="AL701" s="43"/>
      <c r="AM701" s="44">
        <f t="shared" si="71"/>
        <v>-1.9115723057940897</v>
      </c>
      <c r="AN701" s="44">
        <f t="shared" si="72"/>
        <v>-1.1954433162954807</v>
      </c>
      <c r="AO701" s="45">
        <f t="shared" si="73"/>
        <v>3</v>
      </c>
      <c r="AP701" s="46">
        <f t="shared" si="74"/>
        <v>1.35</v>
      </c>
      <c r="AQ701" s="44">
        <f>($AM$3*AM701+$AN$3*AN701+$AO$3*AO701+$AP$3*AP701)+$I$3*VLOOKUP(I701,COND!$A$2:$E$7,4,FALSE)+$J$3*VLOOKUP(J701,COND!$A$2:$C$7,2,FALSE)+$K$3*VLOOKUP(K701,COND!$A$2:$C$7,3,FALSE)+IF(AND($B$2&gt;0,$E701&lt;20),$B$2*25,0)</f>
        <v>32.538522973874819</v>
      </c>
      <c r="AR701" s="47">
        <f t="shared" si="75"/>
        <v>-2.5703388572026342</v>
      </c>
      <c r="AS701" s="45" t="str">
        <f t="shared" si="76"/>
        <v>C</v>
      </c>
      <c r="AT701" s="45">
        <f>RANK(Batters[[#This Row],[zScore]],Batters[[#All],[zScore]])</f>
        <v>697</v>
      </c>
      <c r="AU701" s="45"/>
      <c r="AV701" s="45"/>
      <c r="AW701" s="45" t="str">
        <f t="shared" si="77"/>
        <v>Unlikely</v>
      </c>
      <c r="AX701" s="45"/>
      <c r="AY701" s="64" t="str">
        <f>INDEX(Table5[[#All],[Ovr]],MATCH(Batters[[#This Row],[PID]],Table5[[#All],[PID]],0))</f>
        <v/>
      </c>
      <c r="AZ701" s="64" t="str">
        <f>INDEX(Table5[[#All],[Rnd]],MATCH(Batters[[#This Row],[PID]],Table5[[#All],[PID]],0))</f>
        <v/>
      </c>
      <c r="BA701" s="64" t="str">
        <f>INDEX(Table5[[#All],[Pick]],MATCH(Batters[[#This Row],[PID]],Table5[[#All],[PID]],0))</f>
        <v/>
      </c>
      <c r="BB701" s="64" t="str">
        <f>INDEX(Table5[[#All],[Team]],MATCH(Batters[[#This Row],[PID]],Table5[[#All],[PID]],0))</f>
        <v/>
      </c>
    </row>
    <row r="702" spans="1:54" ht="30" x14ac:dyDescent="0.25">
      <c r="A702" s="40">
        <v>6254</v>
      </c>
      <c r="B702" s="40" t="s">
        <v>86</v>
      </c>
      <c r="C702" s="40" t="s">
        <v>134</v>
      </c>
      <c r="D702" s="40" t="s">
        <v>619</v>
      </c>
      <c r="E702" s="40">
        <v>22</v>
      </c>
      <c r="F702" s="40" t="s">
        <v>42</v>
      </c>
      <c r="G702" s="40" t="s">
        <v>42</v>
      </c>
      <c r="H702" s="41" t="s">
        <v>638</v>
      </c>
      <c r="I702" s="65" t="s">
        <v>44</v>
      </c>
      <c r="J702" s="66" t="s">
        <v>43</v>
      </c>
      <c r="K702" s="67" t="s">
        <v>43</v>
      </c>
      <c r="L702" s="40">
        <v>1</v>
      </c>
      <c r="M702" s="40">
        <v>2</v>
      </c>
      <c r="N702" s="40">
        <v>2</v>
      </c>
      <c r="O702" s="40">
        <v>3</v>
      </c>
      <c r="P702" s="41">
        <v>1</v>
      </c>
      <c r="Q702" s="40">
        <v>2</v>
      </c>
      <c r="R702" s="40">
        <v>2</v>
      </c>
      <c r="S702" s="40">
        <v>4</v>
      </c>
      <c r="T702" s="40">
        <v>6</v>
      </c>
      <c r="U702" s="41">
        <v>1</v>
      </c>
      <c r="V702" s="40">
        <v>3</v>
      </c>
      <c r="W702" s="40">
        <v>3</v>
      </c>
      <c r="X702" s="40">
        <v>6</v>
      </c>
      <c r="Y702" s="41">
        <v>5</v>
      </c>
      <c r="Z702" s="40" t="s">
        <v>45</v>
      </c>
      <c r="AA702" s="40" t="s">
        <v>45</v>
      </c>
      <c r="AB702" s="40" t="s">
        <v>45</v>
      </c>
      <c r="AC702" s="40" t="s">
        <v>45</v>
      </c>
      <c r="AD702" s="40" t="s">
        <v>45</v>
      </c>
      <c r="AE702" s="40" t="s">
        <v>45</v>
      </c>
      <c r="AF702" s="40" t="s">
        <v>45</v>
      </c>
      <c r="AG702" s="41" t="s">
        <v>45</v>
      </c>
      <c r="AH702" s="40">
        <v>1</v>
      </c>
      <c r="AI702" s="40">
        <v>2</v>
      </c>
      <c r="AJ702" s="41">
        <v>1</v>
      </c>
      <c r="AK702" s="43" t="s">
        <v>45</v>
      </c>
      <c r="AL702" s="43" t="s">
        <v>47</v>
      </c>
      <c r="AM702" s="44">
        <f t="shared" si="71"/>
        <v>-1.7708028761658048</v>
      </c>
      <c r="AN702" s="44">
        <f t="shared" si="72"/>
        <v>-1.0129954018865841</v>
      </c>
      <c r="AO702" s="45">
        <f t="shared" si="73"/>
        <v>0</v>
      </c>
      <c r="AP702" s="46">
        <f t="shared" si="74"/>
        <v>0</v>
      </c>
      <c r="AQ702" s="44">
        <f>($AM$3*AM702+$AN$3*AN702+$AO$3*AO702+$AP$3*AP702)+$I$3*VLOOKUP(I702,COND!$A$2:$E$7,4,FALSE)+$J$3*VLOOKUP(J702,COND!$A$2:$C$7,2,FALSE)+$K$3*VLOOKUP(K702,COND!$A$2:$C$7,3,FALSE)+IF(AND($B$2&gt;0,$E702&lt;20),$B$2*25,0)</f>
        <v>32.516974889744411</v>
      </c>
      <c r="AR702" s="47">
        <f t="shared" si="75"/>
        <v>-2.5751162131058769</v>
      </c>
      <c r="AS702" s="45" t="str">
        <f t="shared" si="76"/>
        <v>DH</v>
      </c>
      <c r="AT702" s="45">
        <f>RANK(Batters[[#This Row],[zScore]],Batters[[#All],[zScore]])</f>
        <v>698</v>
      </c>
      <c r="AU702" s="45"/>
      <c r="AV702" s="45"/>
      <c r="AW702" s="45" t="str">
        <f t="shared" si="77"/>
        <v>Unlikely</v>
      </c>
      <c r="AX702" s="45"/>
      <c r="AY702" s="45" t="str">
        <f>INDEX(Table5[[#All],[Ovr]],MATCH(Batters[[#This Row],[PID]],Table5[[#All],[PID]],0))</f>
        <v/>
      </c>
      <c r="AZ702" s="45" t="str">
        <f>INDEX(Table5[[#All],[Rnd]],MATCH(Batters[[#This Row],[PID]],Table5[[#All],[PID]],0))</f>
        <v/>
      </c>
      <c r="BA702" s="45" t="str">
        <f>INDEX(Table5[[#All],[Pick]],MATCH(Batters[[#This Row],[PID]],Table5[[#All],[PID]],0))</f>
        <v/>
      </c>
      <c r="BB702" s="45" t="str">
        <f>INDEX(Table5[[#All],[Team]],MATCH(Batters[[#This Row],[PID]],Table5[[#All],[PID]],0))</f>
        <v/>
      </c>
    </row>
    <row r="703" spans="1:54" ht="30" x14ac:dyDescent="0.25">
      <c r="A703" s="40">
        <v>16929</v>
      </c>
      <c r="B703" s="40" t="s">
        <v>69</v>
      </c>
      <c r="C703" s="40" t="s">
        <v>210</v>
      </c>
      <c r="D703" s="40" t="s">
        <v>877</v>
      </c>
      <c r="E703" s="40">
        <v>21</v>
      </c>
      <c r="F703" s="40" t="s">
        <v>42</v>
      </c>
      <c r="G703" s="40" t="s">
        <v>42</v>
      </c>
      <c r="H703" s="41" t="s">
        <v>638</v>
      </c>
      <c r="I703" s="65" t="s">
        <v>44</v>
      </c>
      <c r="J703" s="66" t="s">
        <v>47</v>
      </c>
      <c r="K703" s="67" t="s">
        <v>43</v>
      </c>
      <c r="L703" s="40">
        <v>1</v>
      </c>
      <c r="M703" s="40">
        <v>2</v>
      </c>
      <c r="N703" s="40">
        <v>2</v>
      </c>
      <c r="O703" s="40">
        <v>3</v>
      </c>
      <c r="P703" s="41">
        <v>2</v>
      </c>
      <c r="Q703" s="40">
        <v>2</v>
      </c>
      <c r="R703" s="40">
        <v>3</v>
      </c>
      <c r="S703" s="40">
        <v>2</v>
      </c>
      <c r="T703" s="40">
        <v>4</v>
      </c>
      <c r="U703" s="41">
        <v>3</v>
      </c>
      <c r="V703" s="40">
        <v>10</v>
      </c>
      <c r="W703" s="40">
        <v>9</v>
      </c>
      <c r="X703" s="40">
        <v>1</v>
      </c>
      <c r="Y703" s="41">
        <v>1</v>
      </c>
      <c r="Z703" s="40" t="s">
        <v>45</v>
      </c>
      <c r="AA703" s="40" t="s">
        <v>45</v>
      </c>
      <c r="AB703" s="40">
        <v>1</v>
      </c>
      <c r="AC703" s="40">
        <v>8</v>
      </c>
      <c r="AD703" s="40">
        <v>2</v>
      </c>
      <c r="AE703" s="40" t="s">
        <v>45</v>
      </c>
      <c r="AF703" s="40" t="s">
        <v>45</v>
      </c>
      <c r="AG703" s="41" t="s">
        <v>45</v>
      </c>
      <c r="AH703" s="40">
        <v>9</v>
      </c>
      <c r="AI703" s="40">
        <v>10</v>
      </c>
      <c r="AJ703" s="41">
        <v>9</v>
      </c>
      <c r="AK703" s="43" t="s">
        <v>45</v>
      </c>
      <c r="AL703" s="43" t="s">
        <v>47</v>
      </c>
      <c r="AM703" s="44">
        <f t="shared" si="71"/>
        <v>-1.7307865363487211</v>
      </c>
      <c r="AN703" s="44">
        <f t="shared" si="72"/>
        <v>-1.2274449307006789</v>
      </c>
      <c r="AO703" s="45">
        <f t="shared" si="73"/>
        <v>6</v>
      </c>
      <c r="AP703" s="46">
        <f t="shared" si="74"/>
        <v>1.25</v>
      </c>
      <c r="AQ703" s="44">
        <f>($AM$3*AM703+$AN$3*AN703+$AO$3*AO703+$AP$3*AP703)+$I$3*VLOOKUP(I703,COND!$A$2:$E$7,4,FALSE)+$J$3*VLOOKUP(J703,COND!$A$2:$C$7,2,FALSE)+$K$3*VLOOKUP(K703,COND!$A$2:$C$7,3,FALSE)+IF(AND($B$2&gt;0,$E703&lt;20),$B$2*25,0)</f>
        <v>32.497582177956978</v>
      </c>
      <c r="AR703" s="47">
        <f t="shared" si="75"/>
        <v>-2.5794157083917173</v>
      </c>
      <c r="AS703" s="45" t="str">
        <f t="shared" si="76"/>
        <v>3B</v>
      </c>
      <c r="AT703" s="45">
        <f>RANK(Batters[[#This Row],[zScore]],Batters[[#All],[zScore]])</f>
        <v>699</v>
      </c>
      <c r="AU703" s="45"/>
      <c r="AV703" s="45"/>
      <c r="AW703" s="45" t="str">
        <f t="shared" si="77"/>
        <v>Unlikely</v>
      </c>
      <c r="AX703" s="45"/>
      <c r="AY703" s="45" t="str">
        <f>INDEX(Table5[[#All],[Ovr]],MATCH(Batters[[#This Row],[PID]],Table5[[#All],[PID]],0))</f>
        <v/>
      </c>
      <c r="AZ703" s="45" t="str">
        <f>INDEX(Table5[[#All],[Rnd]],MATCH(Batters[[#This Row],[PID]],Table5[[#All],[PID]],0))</f>
        <v/>
      </c>
      <c r="BA703" s="45" t="str">
        <f>INDEX(Table5[[#All],[Pick]],MATCH(Batters[[#This Row],[PID]],Table5[[#All],[PID]],0))</f>
        <v/>
      </c>
      <c r="BB703" s="45" t="str">
        <f>INDEX(Table5[[#All],[Team]],MATCH(Batters[[#This Row],[PID]],Table5[[#All],[PID]],0))</f>
        <v/>
      </c>
    </row>
    <row r="704" spans="1:54" ht="30" x14ac:dyDescent="0.25">
      <c r="A704" s="40">
        <v>11967</v>
      </c>
      <c r="B704" s="40" t="s">
        <v>86</v>
      </c>
      <c r="C704" s="40" t="s">
        <v>400</v>
      </c>
      <c r="D704" s="40" t="s">
        <v>962</v>
      </c>
      <c r="E704" s="40">
        <v>22</v>
      </c>
      <c r="F704" s="40" t="s">
        <v>42</v>
      </c>
      <c r="G704" s="40" t="s">
        <v>42</v>
      </c>
      <c r="H704" s="41" t="s">
        <v>639</v>
      </c>
      <c r="I704" s="65" t="s">
        <v>43</v>
      </c>
      <c r="J704" s="66" t="s">
        <v>44</v>
      </c>
      <c r="K704" s="67" t="s">
        <v>43</v>
      </c>
      <c r="L704" s="40">
        <v>1</v>
      </c>
      <c r="M704" s="40">
        <v>1</v>
      </c>
      <c r="N704" s="40">
        <v>2</v>
      </c>
      <c r="O704" s="40">
        <v>2</v>
      </c>
      <c r="P704" s="41">
        <v>1</v>
      </c>
      <c r="Q704" s="40">
        <v>2</v>
      </c>
      <c r="R704" s="40">
        <v>3</v>
      </c>
      <c r="S704" s="40">
        <v>3</v>
      </c>
      <c r="T704" s="40">
        <v>5</v>
      </c>
      <c r="U704" s="41">
        <v>2</v>
      </c>
      <c r="V704" s="40">
        <v>1</v>
      </c>
      <c r="W704" s="40">
        <v>1</v>
      </c>
      <c r="X704" s="40">
        <v>7</v>
      </c>
      <c r="Y704" s="41">
        <v>7</v>
      </c>
      <c r="Z704" s="40">
        <v>2</v>
      </c>
      <c r="AA704" s="40" t="s">
        <v>45</v>
      </c>
      <c r="AB704" s="40" t="s">
        <v>45</v>
      </c>
      <c r="AC704" s="40" t="s">
        <v>45</v>
      </c>
      <c r="AD704" s="40" t="s">
        <v>45</v>
      </c>
      <c r="AE704" s="40" t="s">
        <v>45</v>
      </c>
      <c r="AF704" s="40" t="s">
        <v>45</v>
      </c>
      <c r="AG704" s="41" t="s">
        <v>45</v>
      </c>
      <c r="AH704" s="40">
        <v>2</v>
      </c>
      <c r="AI704" s="40">
        <v>3</v>
      </c>
      <c r="AJ704" s="41">
        <v>1</v>
      </c>
      <c r="AK704" s="43" t="s">
        <v>45</v>
      </c>
      <c r="AL704" s="43"/>
      <c r="AM704" s="44">
        <f t="shared" si="71"/>
        <v>-1.9115723057940897</v>
      </c>
      <c r="AN704" s="44">
        <f t="shared" si="72"/>
        <v>-1.0946902264842799</v>
      </c>
      <c r="AO704" s="45">
        <f t="shared" si="73"/>
        <v>0</v>
      </c>
      <c r="AP704" s="46">
        <f t="shared" si="74"/>
        <v>1.1000000000000001</v>
      </c>
      <c r="AQ704" s="44">
        <f>($AM$3*AM704+$AN$3*AN704+$AO$3*AO704+$AP$3*AP704)+$I$3*VLOOKUP(I704,COND!$A$2:$E$7,4,FALSE)+$J$3*VLOOKUP(J704,COND!$A$2:$C$7,2,FALSE)+$K$3*VLOOKUP(K704,COND!$A$2:$C$7,3,FALSE)+IF(AND($B$2&gt;0,$E704&lt;20),$B$2*25,0)</f>
        <v>32.472560051609236</v>
      </c>
      <c r="AR704" s="47">
        <f t="shared" si="75"/>
        <v>-2.5849632829368887</v>
      </c>
      <c r="AS704" s="45" t="str">
        <f t="shared" si="76"/>
        <v>C</v>
      </c>
      <c r="AT704" s="45">
        <f>RANK(Batters[[#This Row],[zScore]],Batters[[#All],[zScore]])</f>
        <v>700</v>
      </c>
      <c r="AU704" s="45"/>
      <c r="AV704" s="45"/>
      <c r="AW704" s="45" t="str">
        <f t="shared" si="77"/>
        <v>Unlikely</v>
      </c>
      <c r="AX704" s="45"/>
      <c r="AY704" s="64" t="str">
        <f>INDEX(Table5[[#All],[Ovr]],MATCH(Batters[[#This Row],[PID]],Table5[[#All],[PID]],0))</f>
        <v/>
      </c>
      <c r="AZ704" s="64" t="str">
        <f>INDEX(Table5[[#All],[Rnd]],MATCH(Batters[[#This Row],[PID]],Table5[[#All],[PID]],0))</f>
        <v/>
      </c>
      <c r="BA704" s="64" t="str">
        <f>INDEX(Table5[[#All],[Pick]],MATCH(Batters[[#This Row],[PID]],Table5[[#All],[PID]],0))</f>
        <v/>
      </c>
      <c r="BB704" s="64" t="str">
        <f>INDEX(Table5[[#All],[Team]],MATCH(Batters[[#This Row],[PID]],Table5[[#All],[PID]],0))</f>
        <v/>
      </c>
    </row>
    <row r="705" spans="1:54" ht="30" x14ac:dyDescent="0.25">
      <c r="A705" s="40">
        <v>13695</v>
      </c>
      <c r="B705" s="40" t="s">
        <v>87</v>
      </c>
      <c r="C705" s="40" t="s">
        <v>141</v>
      </c>
      <c r="D705" s="40" t="s">
        <v>660</v>
      </c>
      <c r="E705" s="40">
        <v>18</v>
      </c>
      <c r="F705" s="40" t="s">
        <v>42</v>
      </c>
      <c r="G705" s="40" t="s">
        <v>42</v>
      </c>
      <c r="H705" s="41" t="s">
        <v>647</v>
      </c>
      <c r="I705" s="65" t="s">
        <v>43</v>
      </c>
      <c r="J705" s="66" t="s">
        <v>47</v>
      </c>
      <c r="K705" s="67" t="s">
        <v>43</v>
      </c>
      <c r="L705" s="40">
        <v>1</v>
      </c>
      <c r="M705" s="40">
        <v>1</v>
      </c>
      <c r="N705" s="40">
        <v>2</v>
      </c>
      <c r="O705" s="40">
        <v>1</v>
      </c>
      <c r="P705" s="41">
        <v>1</v>
      </c>
      <c r="Q705" s="40">
        <v>2</v>
      </c>
      <c r="R705" s="40">
        <v>1</v>
      </c>
      <c r="S705" s="40">
        <v>2</v>
      </c>
      <c r="T705" s="40">
        <v>2</v>
      </c>
      <c r="U705" s="41">
        <v>4</v>
      </c>
      <c r="V705" s="40">
        <v>4</v>
      </c>
      <c r="W705" s="40">
        <v>1</v>
      </c>
      <c r="X705" s="40">
        <v>1</v>
      </c>
      <c r="Y705" s="41">
        <v>1</v>
      </c>
      <c r="Z705" s="40" t="s">
        <v>45</v>
      </c>
      <c r="AA705" s="40">
        <v>1</v>
      </c>
      <c r="AB705" s="40" t="s">
        <v>45</v>
      </c>
      <c r="AC705" s="40" t="s">
        <v>45</v>
      </c>
      <c r="AD705" s="40" t="s">
        <v>45</v>
      </c>
      <c r="AE705" s="40" t="s">
        <v>45</v>
      </c>
      <c r="AF705" s="40" t="s">
        <v>45</v>
      </c>
      <c r="AG705" s="41" t="s">
        <v>45</v>
      </c>
      <c r="AH705" s="40">
        <v>1</v>
      </c>
      <c r="AI705" s="40">
        <v>1</v>
      </c>
      <c r="AJ705" s="41">
        <v>2</v>
      </c>
      <c r="AK705" s="43" t="s">
        <v>644</v>
      </c>
      <c r="AL705" s="43"/>
      <c r="AM705" s="44">
        <f t="shared" si="71"/>
        <v>-2.0012818558036707</v>
      </c>
      <c r="AN705" s="44">
        <f t="shared" si="72"/>
        <v>-1.4689674501401644</v>
      </c>
      <c r="AO705" s="45">
        <f t="shared" si="73"/>
        <v>0</v>
      </c>
      <c r="AP705" s="46">
        <f t="shared" si="74"/>
        <v>0</v>
      </c>
      <c r="AQ705" s="44">
        <f>($AM$3*AM705+$AN$3*AN705+$AO$3*AO705+$AP$3*AP705)+$I$3*VLOOKUP(I705,COND!$A$2:$E$7,4,FALSE)+$J$3*VLOOKUP(J705,COND!$A$2:$C$7,2,FALSE)+$K$3*VLOOKUP(K705,COND!$A$2:$C$7,3,FALSE)+IF(AND($B$2&gt;0,$E705&lt;20),$B$2*25,0)</f>
        <v>32.472262412737663</v>
      </c>
      <c r="AR705" s="47">
        <f t="shared" si="75"/>
        <v>-2.5850292714865684</v>
      </c>
      <c r="AS705" s="45" t="str">
        <f t="shared" si="76"/>
        <v>1B</v>
      </c>
      <c r="AT705" s="45">
        <f>RANK(Batters[[#This Row],[zScore]],Batters[[#All],[zScore]])</f>
        <v>701</v>
      </c>
      <c r="AU705" s="45"/>
      <c r="AV705" s="45"/>
      <c r="AW705" s="45" t="str">
        <f t="shared" si="77"/>
        <v>Unlikely</v>
      </c>
      <c r="AX705" s="45"/>
      <c r="AY705" s="64" t="str">
        <f>INDEX(Table5[[#All],[Ovr]],MATCH(Batters[[#This Row],[PID]],Table5[[#All],[PID]],0))</f>
        <v/>
      </c>
      <c r="AZ705" s="64" t="str">
        <f>INDEX(Table5[[#All],[Rnd]],MATCH(Batters[[#This Row],[PID]],Table5[[#All],[PID]],0))</f>
        <v/>
      </c>
      <c r="BA705" s="64" t="str">
        <f>INDEX(Table5[[#All],[Pick]],MATCH(Batters[[#This Row],[PID]],Table5[[#All],[PID]],0))</f>
        <v/>
      </c>
      <c r="BB705" s="64" t="str">
        <f>INDEX(Table5[[#All],[Team]],MATCH(Batters[[#This Row],[PID]],Table5[[#All],[PID]],0))</f>
        <v/>
      </c>
    </row>
    <row r="706" spans="1:54" ht="30" x14ac:dyDescent="0.25">
      <c r="A706" s="40">
        <v>17031</v>
      </c>
      <c r="B706" s="40" t="s">
        <v>86</v>
      </c>
      <c r="C706" s="40" t="s">
        <v>1261</v>
      </c>
      <c r="D706" s="40" t="s">
        <v>1483</v>
      </c>
      <c r="E706" s="40">
        <v>21</v>
      </c>
      <c r="F706" s="40" t="s">
        <v>42</v>
      </c>
      <c r="G706" s="40" t="s">
        <v>42</v>
      </c>
      <c r="H706" s="41" t="s">
        <v>638</v>
      </c>
      <c r="I706" s="65" t="s">
        <v>43</v>
      </c>
      <c r="J706" s="66" t="s">
        <v>47</v>
      </c>
      <c r="K706" s="67" t="s">
        <v>43</v>
      </c>
      <c r="L706" s="40">
        <v>1</v>
      </c>
      <c r="M706" s="40">
        <v>3</v>
      </c>
      <c r="N706" s="40">
        <v>2</v>
      </c>
      <c r="O706" s="40">
        <v>2</v>
      </c>
      <c r="P706" s="41">
        <v>1</v>
      </c>
      <c r="Q706" s="40">
        <v>2</v>
      </c>
      <c r="R706" s="40">
        <v>3</v>
      </c>
      <c r="S706" s="40">
        <v>3</v>
      </c>
      <c r="T706" s="40">
        <v>5</v>
      </c>
      <c r="U706" s="41">
        <v>3</v>
      </c>
      <c r="V706" s="40">
        <v>3</v>
      </c>
      <c r="W706" s="40">
        <v>1</v>
      </c>
      <c r="X706" s="40">
        <v>5</v>
      </c>
      <c r="Y706" s="41">
        <v>8</v>
      </c>
      <c r="Z706" s="40" t="s">
        <v>45</v>
      </c>
      <c r="AA706" s="40" t="s">
        <v>45</v>
      </c>
      <c r="AB706" s="40" t="s">
        <v>45</v>
      </c>
      <c r="AC706" s="40" t="s">
        <v>45</v>
      </c>
      <c r="AD706" s="40" t="s">
        <v>45</v>
      </c>
      <c r="AE706" s="40" t="s">
        <v>45</v>
      </c>
      <c r="AF706" s="40" t="s">
        <v>45</v>
      </c>
      <c r="AG706" s="41" t="s">
        <v>45</v>
      </c>
      <c r="AH706" s="40">
        <v>1</v>
      </c>
      <c r="AI706" s="40">
        <v>1</v>
      </c>
      <c r="AJ706" s="41">
        <v>1</v>
      </c>
      <c r="AK706" s="43" t="s">
        <v>45</v>
      </c>
      <c r="AL706" s="43" t="s">
        <v>47</v>
      </c>
      <c r="AM706" s="44">
        <f t="shared" si="71"/>
        <v>-1.8094525465566824</v>
      </c>
      <c r="AN706" s="44">
        <f t="shared" si="72"/>
        <v>-1.0546738866671965</v>
      </c>
      <c r="AO706" s="45">
        <f t="shared" si="73"/>
        <v>0</v>
      </c>
      <c r="AP706" s="46">
        <f t="shared" si="74"/>
        <v>0</v>
      </c>
      <c r="AQ706" s="44">
        <f>($AM$3*AM706+$AN$3*AN706+$AO$3*AO706+$AP$3*AP706)+$I$3*VLOOKUP(I706,COND!$A$2:$E$7,4,FALSE)+$J$3*VLOOKUP(J706,COND!$A$2:$C$7,2,FALSE)+$K$3*VLOOKUP(K706,COND!$A$2:$C$7,3,FALSE)+IF(AND($B$2&gt;0,$E706&lt;20),$B$2*25,0)</f>
        <v>32.462968105337978</v>
      </c>
      <c r="AR706" s="47">
        <f t="shared" si="75"/>
        <v>-2.5870898822607664</v>
      </c>
      <c r="AS706" s="45" t="str">
        <f t="shared" si="76"/>
        <v>DH</v>
      </c>
      <c r="AT706" s="45">
        <f>RANK(Batters[[#This Row],[zScore]],Batters[[#All],[zScore]])</f>
        <v>702</v>
      </c>
      <c r="AU706" s="45"/>
      <c r="AV706" s="45"/>
      <c r="AW706" s="45" t="str">
        <f t="shared" si="77"/>
        <v>Unlikely</v>
      </c>
      <c r="AX706" s="45"/>
      <c r="AY706" s="45" t="str">
        <f>INDEX(Table5[[#All],[Ovr]],MATCH(Batters[[#This Row],[PID]],Table5[[#All],[PID]],0))</f>
        <v/>
      </c>
      <c r="AZ706" s="45" t="str">
        <f>INDEX(Table5[[#All],[Rnd]],MATCH(Batters[[#This Row],[PID]],Table5[[#All],[PID]],0))</f>
        <v/>
      </c>
      <c r="BA706" s="45" t="str">
        <f>INDEX(Table5[[#All],[Pick]],MATCH(Batters[[#This Row],[PID]],Table5[[#All],[PID]],0))</f>
        <v/>
      </c>
      <c r="BB706" s="45" t="str">
        <f>INDEX(Table5[[#All],[Team]],MATCH(Batters[[#This Row],[PID]],Table5[[#All],[PID]],0))</f>
        <v/>
      </c>
    </row>
    <row r="707" spans="1:54" ht="30" x14ac:dyDescent="0.25">
      <c r="A707" s="40">
        <v>18004</v>
      </c>
      <c r="B707" s="40" t="s">
        <v>87</v>
      </c>
      <c r="C707" s="40" t="s">
        <v>178</v>
      </c>
      <c r="D707" s="40" t="s">
        <v>325</v>
      </c>
      <c r="E707" s="40">
        <v>21</v>
      </c>
      <c r="F707" s="40" t="s">
        <v>42</v>
      </c>
      <c r="G707" s="40" t="s">
        <v>42</v>
      </c>
      <c r="H707" s="41" t="s">
        <v>647</v>
      </c>
      <c r="I707" s="65" t="s">
        <v>47</v>
      </c>
      <c r="J707" s="66" t="s">
        <v>43</v>
      </c>
      <c r="K707" s="67" t="s">
        <v>43</v>
      </c>
      <c r="L707" s="40">
        <v>1</v>
      </c>
      <c r="M707" s="40">
        <v>2</v>
      </c>
      <c r="N707" s="40">
        <v>2</v>
      </c>
      <c r="O707" s="40">
        <v>2</v>
      </c>
      <c r="P707" s="41">
        <v>1</v>
      </c>
      <c r="Q707" s="40">
        <v>2</v>
      </c>
      <c r="R707" s="40">
        <v>3</v>
      </c>
      <c r="S707" s="40">
        <v>4</v>
      </c>
      <c r="T707" s="40">
        <v>5</v>
      </c>
      <c r="U707" s="41">
        <v>1</v>
      </c>
      <c r="V707" s="40">
        <v>2</v>
      </c>
      <c r="W707" s="40">
        <v>2</v>
      </c>
      <c r="X707" s="40">
        <v>2</v>
      </c>
      <c r="Y707" s="41">
        <v>5</v>
      </c>
      <c r="Z707" s="40" t="s">
        <v>45</v>
      </c>
      <c r="AA707" s="40">
        <v>3</v>
      </c>
      <c r="AB707" s="40" t="s">
        <v>45</v>
      </c>
      <c r="AC707" s="40" t="s">
        <v>45</v>
      </c>
      <c r="AD707" s="40" t="s">
        <v>45</v>
      </c>
      <c r="AE707" s="40" t="s">
        <v>45</v>
      </c>
      <c r="AF707" s="40" t="s">
        <v>45</v>
      </c>
      <c r="AG707" s="41" t="s">
        <v>45</v>
      </c>
      <c r="AH707" s="40">
        <v>2</v>
      </c>
      <c r="AI707" s="40">
        <v>1</v>
      </c>
      <c r="AJ707" s="41">
        <v>1</v>
      </c>
      <c r="AK707" s="43" t="s">
        <v>45</v>
      </c>
      <c r="AL707" s="43"/>
      <c r="AM707" s="44">
        <f t="shared" si="71"/>
        <v>-1.8605124261753858</v>
      </c>
      <c r="AN707" s="44">
        <f t="shared" si="72"/>
        <v>-1.0516450722774617</v>
      </c>
      <c r="AO707" s="45">
        <f t="shared" si="73"/>
        <v>0</v>
      </c>
      <c r="AP707" s="46">
        <f t="shared" si="74"/>
        <v>0</v>
      </c>
      <c r="AQ707" s="44">
        <f>($AM$3*AM707+$AN$3*AN707+$AO$3*AO707+$AP$3*AP707)+$I$3*VLOOKUP(I707,COND!$A$2:$E$7,4,FALSE)+$J$3*VLOOKUP(J707,COND!$A$2:$C$7,2,FALSE)+$K$3*VLOOKUP(K707,COND!$A$2:$C$7,3,FALSE)+IF(AND($B$2&gt;0,$E707&lt;20),$B$2*25,0)</f>
        <v>32.419207890052917</v>
      </c>
      <c r="AR707" s="47">
        <f t="shared" si="75"/>
        <v>-2.5967918177810683</v>
      </c>
      <c r="AS707" s="45" t="str">
        <f t="shared" si="76"/>
        <v>1B</v>
      </c>
      <c r="AT707" s="45">
        <f>RANK(Batters[[#This Row],[zScore]],Batters[[#All],[zScore]])</f>
        <v>703</v>
      </c>
      <c r="AU707" s="45"/>
      <c r="AV707" s="45"/>
      <c r="AW707" s="45" t="str">
        <f t="shared" si="77"/>
        <v>Unlikely</v>
      </c>
      <c r="AX707" s="45"/>
      <c r="AY707" s="64" t="str">
        <f>INDEX(Table5[[#All],[Ovr]],MATCH(Batters[[#This Row],[PID]],Table5[[#All],[PID]],0))</f>
        <v/>
      </c>
      <c r="AZ707" s="64" t="str">
        <f>INDEX(Table5[[#All],[Rnd]],MATCH(Batters[[#This Row],[PID]],Table5[[#All],[PID]],0))</f>
        <v/>
      </c>
      <c r="BA707" s="64" t="str">
        <f>INDEX(Table5[[#All],[Pick]],MATCH(Batters[[#This Row],[PID]],Table5[[#All],[PID]],0))</f>
        <v/>
      </c>
      <c r="BB707" s="64" t="str">
        <f>INDEX(Table5[[#All],[Team]],MATCH(Batters[[#This Row],[PID]],Table5[[#All],[PID]],0))</f>
        <v/>
      </c>
    </row>
    <row r="708" spans="1:54" ht="30" x14ac:dyDescent="0.25">
      <c r="A708" s="40">
        <v>18039</v>
      </c>
      <c r="B708" s="40" t="s">
        <v>71</v>
      </c>
      <c r="C708" s="40" t="s">
        <v>166</v>
      </c>
      <c r="D708" s="40" t="s">
        <v>1457</v>
      </c>
      <c r="E708" s="40">
        <v>21</v>
      </c>
      <c r="F708" s="40" t="s">
        <v>42</v>
      </c>
      <c r="G708" s="40" t="s">
        <v>42</v>
      </c>
      <c r="H708" s="41" t="s">
        <v>638</v>
      </c>
      <c r="I708" s="65" t="s">
        <v>44</v>
      </c>
      <c r="J708" s="66" t="s">
        <v>47</v>
      </c>
      <c r="K708" s="67" t="s">
        <v>43</v>
      </c>
      <c r="L708" s="40">
        <v>1</v>
      </c>
      <c r="M708" s="40">
        <v>1</v>
      </c>
      <c r="N708" s="40">
        <v>2</v>
      </c>
      <c r="O708" s="40">
        <v>3</v>
      </c>
      <c r="P708" s="41">
        <v>1</v>
      </c>
      <c r="Q708" s="40">
        <v>2</v>
      </c>
      <c r="R708" s="40">
        <v>3</v>
      </c>
      <c r="S708" s="40">
        <v>4</v>
      </c>
      <c r="T708" s="40">
        <v>5</v>
      </c>
      <c r="U708" s="41">
        <v>1</v>
      </c>
      <c r="V708" s="40">
        <v>5</v>
      </c>
      <c r="W708" s="40">
        <v>3</v>
      </c>
      <c r="X708" s="40">
        <v>3</v>
      </c>
      <c r="Y708" s="41">
        <v>6</v>
      </c>
      <c r="Z708" s="40" t="s">
        <v>45</v>
      </c>
      <c r="AA708" s="40" t="s">
        <v>45</v>
      </c>
      <c r="AB708" s="40">
        <v>3</v>
      </c>
      <c r="AC708" s="40" t="s">
        <v>45</v>
      </c>
      <c r="AD708" s="40" t="s">
        <v>45</v>
      </c>
      <c r="AE708" s="40" t="s">
        <v>45</v>
      </c>
      <c r="AF708" s="40" t="s">
        <v>45</v>
      </c>
      <c r="AG708" s="41" t="s">
        <v>45</v>
      </c>
      <c r="AH708" s="40">
        <v>1</v>
      </c>
      <c r="AI708" s="40">
        <v>4</v>
      </c>
      <c r="AJ708" s="41">
        <v>4</v>
      </c>
      <c r="AK708" s="43" t="s">
        <v>45</v>
      </c>
      <c r="AL708" s="43" t="s">
        <v>47</v>
      </c>
      <c r="AM708" s="44">
        <f t="shared" si="71"/>
        <v>-1.8218627557845084</v>
      </c>
      <c r="AN708" s="44">
        <f t="shared" si="72"/>
        <v>-1.0516450722774617</v>
      </c>
      <c r="AO708" s="45">
        <f t="shared" si="73"/>
        <v>0</v>
      </c>
      <c r="AP708" s="46">
        <f t="shared" si="74"/>
        <v>0</v>
      </c>
      <c r="AQ708" s="44">
        <f>($AM$3*AM708+$AN$3*AN708+$AO$3*AO708+$AP$3*AP708)+$I$3*VLOOKUP(I708,COND!$A$2:$E$7,4,FALSE)+$J$3*VLOOKUP(J708,COND!$A$2:$C$7,2,FALSE)+$K$3*VLOOKUP(K708,COND!$A$2:$C$7,3,FALSE)+IF(AND($B$2&gt;0,$E708&lt;20),$B$2*25,0)</f>
        <v>32.348072857092006</v>
      </c>
      <c r="AR708" s="47">
        <f t="shared" si="75"/>
        <v>-2.6125629354167006</v>
      </c>
      <c r="AS708" s="45" t="str">
        <f t="shared" si="76"/>
        <v>2B</v>
      </c>
      <c r="AT708" s="45">
        <f>RANK(Batters[[#This Row],[zScore]],Batters[[#All],[zScore]])</f>
        <v>704</v>
      </c>
      <c r="AU708" s="45"/>
      <c r="AV708" s="45"/>
      <c r="AW708" s="45" t="str">
        <f t="shared" si="77"/>
        <v>Unlikely</v>
      </c>
      <c r="AX708" s="45"/>
      <c r="AY708" s="45" t="str">
        <f>INDEX(Table5[[#All],[Ovr]],MATCH(Batters[[#This Row],[PID]],Table5[[#All],[PID]],0))</f>
        <v/>
      </c>
      <c r="AZ708" s="45" t="str">
        <f>INDEX(Table5[[#All],[Rnd]],MATCH(Batters[[#This Row],[PID]],Table5[[#All],[PID]],0))</f>
        <v/>
      </c>
      <c r="BA708" s="45" t="str">
        <f>INDEX(Table5[[#All],[Pick]],MATCH(Batters[[#This Row],[PID]],Table5[[#All],[PID]],0))</f>
        <v/>
      </c>
      <c r="BB708" s="45" t="str">
        <f>INDEX(Table5[[#All],[Team]],MATCH(Batters[[#This Row],[PID]],Table5[[#All],[PID]],0))</f>
        <v/>
      </c>
    </row>
    <row r="709" spans="1:54" ht="30" x14ac:dyDescent="0.25">
      <c r="A709" s="40">
        <v>11998</v>
      </c>
      <c r="B709" s="40" t="s">
        <v>86</v>
      </c>
      <c r="C709" s="40" t="s">
        <v>187</v>
      </c>
      <c r="D709" s="40" t="s">
        <v>207</v>
      </c>
      <c r="E709" s="40">
        <v>22</v>
      </c>
      <c r="F709" s="40" t="s">
        <v>42</v>
      </c>
      <c r="G709" s="40" t="s">
        <v>42</v>
      </c>
      <c r="H709" s="41" t="s">
        <v>638</v>
      </c>
      <c r="I709" s="65" t="s">
        <v>43</v>
      </c>
      <c r="J709" s="66" t="s">
        <v>44</v>
      </c>
      <c r="K709" s="67" t="s">
        <v>43</v>
      </c>
      <c r="L709" s="40">
        <v>1</v>
      </c>
      <c r="M709" s="40">
        <v>2</v>
      </c>
      <c r="N709" s="40">
        <v>2</v>
      </c>
      <c r="O709" s="40">
        <v>2</v>
      </c>
      <c r="P709" s="41">
        <v>1</v>
      </c>
      <c r="Q709" s="40">
        <v>2</v>
      </c>
      <c r="R709" s="40">
        <v>3</v>
      </c>
      <c r="S709" s="40">
        <v>3</v>
      </c>
      <c r="T709" s="40">
        <v>5</v>
      </c>
      <c r="U709" s="41">
        <v>1</v>
      </c>
      <c r="V709" s="40">
        <v>3</v>
      </c>
      <c r="W709" s="40">
        <v>3</v>
      </c>
      <c r="X709" s="40">
        <v>5</v>
      </c>
      <c r="Y709" s="41">
        <v>7</v>
      </c>
      <c r="Z709" s="40">
        <v>2</v>
      </c>
      <c r="AA709" s="40" t="s">
        <v>45</v>
      </c>
      <c r="AB709" s="40" t="s">
        <v>45</v>
      </c>
      <c r="AC709" s="40" t="s">
        <v>45</v>
      </c>
      <c r="AD709" s="40" t="s">
        <v>45</v>
      </c>
      <c r="AE709" s="40" t="s">
        <v>45</v>
      </c>
      <c r="AF709" s="40" t="s">
        <v>45</v>
      </c>
      <c r="AG709" s="41" t="s">
        <v>45</v>
      </c>
      <c r="AH709" s="40">
        <v>9</v>
      </c>
      <c r="AI709" s="40">
        <v>7</v>
      </c>
      <c r="AJ709" s="41">
        <v>6</v>
      </c>
      <c r="AK709" s="43" t="s">
        <v>45</v>
      </c>
      <c r="AL709" s="43" t="s">
        <v>635</v>
      </c>
      <c r="AM709" s="44">
        <f t="shared" ref="AM709:AM766" si="78">($L$3*(L709-$Q$1)/$Q$2+$M$3*(M709-$R$1)/$R$2+$N$3*(N709-$S$1)/$S$2+$O$3*(O709-$T$1)/$T$2+$P$3*(P709-$U$1)/$U$2)/(SUM($L$3:$P$3))</f>
        <v>-1.8605124261753858</v>
      </c>
      <c r="AN709" s="44">
        <f t="shared" ref="AN709:AN766" si="79">($L$3*(Q709-$Q$1)/$Q$2+$M$3*(R709-$R$1)/$R$2+$N$3*(S709-$S$1)/$S$2+$O$3*(T709-$T$1)/$T$2+$P$3*(U709-$U$1)/$U$2)/(SUM($L$3:$P$3))</f>
        <v>-1.1347065663013634</v>
      </c>
      <c r="AO709" s="45">
        <f t="shared" ref="AO709:AO766" si="80">IF(AVERAGE(AH709:AI709)&gt;9,1,0)+IF(AVERAGE(AH709:AI709)&gt;7,1,0)+IF(AH709&gt;7,1,0)+IF(AI709&gt;7,1,0)+IF(AJ709&gt;8,1,0)+IF(AJ709&gt;6,1,0)</f>
        <v>2</v>
      </c>
      <c r="AP709" s="46">
        <f t="shared" ref="AP709:AP766" si="81">MIN(2,IF(OR(Z709="-",X709&lt;5),0,1+IF(Y709&gt;7,0.35,IF(Y709&gt;5,0.1,0))+IF(Z709&gt;7,1+IF(X709&gt;7,0.25,0),IF(Z709&gt;4,0.5+IF(X709&gt;7,0.25,0),0+IF(X709&gt;7,0.25))))+IF(AA709="-",0,IF(AA709&gt;9,0.5,IF(AA709&gt;7,0.25,0)))+IF(AB709="-",0,IF(AB709&gt;7,1.1,IF(AB709&gt;4,0.6,0)))+IF(OR(AC709="-",V709&lt;5),0,IF(AC709&gt;7,1+IF(V709&gt;7,0.25,0),IF(AC709&gt;4,0.5+IF(V709&gt;7,0.25,0),0)))+IF(AD709="-",0,IF(AD709&gt;7,1.5,IF(AD709&gt;4,1,0)))+IF(AE709="-",0,IF(AE709&gt;9,0.5,IF(AE709&gt;7,0.25,0)))+IF(AF709="-",0,IF(AF709&gt;7,1.25,IF(AF709&gt;4,0.75,0)))+IF(OR(AG709="-",W709&lt;4),0,IF(AG709&gt;7,1+IF(W709&gt;7,0.15,0),IF(AG709&gt;4,0.5+IF(W709&gt;7,0.15,0),0))))</f>
        <v>1.1000000000000001</v>
      </c>
      <c r="AQ709" s="44">
        <f>($AM$3*AM709+$AN$3*AN709+$AO$3*AO709+$AP$3*AP709)+$I$3*VLOOKUP(I709,COND!$A$2:$E$7,4,FALSE)+$J$3*VLOOKUP(J709,COND!$A$2:$C$7,2,FALSE)+$K$3*VLOOKUP(K709,COND!$A$2:$C$7,3,FALSE)+IF(AND($B$2&gt;0,$E709&lt;20),$B$2*25,0)</f>
        <v>32.330803295099436</v>
      </c>
      <c r="AR709" s="47">
        <f t="shared" ref="AR709:AR772" si="82">STANDARDIZE(AQ709,AVERAGE($AQ$5:$AQ$534),STDEVP($AQ$5:$AQ$534))</f>
        <v>-2.6163917140418587</v>
      </c>
      <c r="AS709" s="45" t="str">
        <f t="shared" ref="AS709:AS766" si="83">IF(AND(Z709&lt;&gt;"-",Y709&gt;1),"C",IF(AB709=MAX(AB709:AD709),"2B",IF(AD709=MAX(AB709:AD709),"SS",IF(OR(AC709=MAX(AA709:AD709),AND(AC709&lt;&gt;"-",AC709&gt;4,V709&gt;5)),"3B",IF(AF709=MAX(AE709:AG709),"CF",IF(AND(AG709=MAX(AE709,AG709),AND(W709&gt;5,AG709&lt;&gt;"-")),"RF",IF(AE709&lt;&gt;"-","LF",IF(AA709&lt;&gt;"-","1B","DH"))))))))</f>
        <v>C</v>
      </c>
      <c r="AT709" s="45">
        <f>RANK(Batters[[#This Row],[zScore]],Batters[[#All],[zScore]])</f>
        <v>705</v>
      </c>
      <c r="AU709" s="45"/>
      <c r="AV709" s="45"/>
      <c r="AW709" s="45" t="str">
        <f t="shared" ref="AW709:AW766" si="84">IF(AND($Q709&gt;=6,AVERAGE($S709:$T709)&gt;=6),"Likely",IF(OR($Q709&gt;6,AND($Q709=6,AVERAGE($S709:$T709)&gt;=3),AND($Q709&gt;=5,AVERAGE($S709:$T709)&gt;=5),AVERAGE($Q709,$S709:$T709)&gt;5),"Possible","Unlikely"))</f>
        <v>Unlikely</v>
      </c>
      <c r="AX709" s="45"/>
      <c r="AY709" s="45" t="str">
        <f>INDEX(Table5[[#All],[Ovr]],MATCH(Batters[[#This Row],[PID]],Table5[[#All],[PID]],0))</f>
        <v/>
      </c>
      <c r="AZ709" s="45" t="str">
        <f>INDEX(Table5[[#All],[Rnd]],MATCH(Batters[[#This Row],[PID]],Table5[[#All],[PID]],0))</f>
        <v/>
      </c>
      <c r="BA709" s="45" t="str">
        <f>INDEX(Table5[[#All],[Pick]],MATCH(Batters[[#This Row],[PID]],Table5[[#All],[PID]],0))</f>
        <v/>
      </c>
      <c r="BB709" s="45" t="str">
        <f>INDEX(Table5[[#All],[Team]],MATCH(Batters[[#This Row],[PID]],Table5[[#All],[PID]],0))</f>
        <v/>
      </c>
    </row>
    <row r="710" spans="1:54" ht="30" x14ac:dyDescent="0.25">
      <c r="A710" s="40">
        <v>11968</v>
      </c>
      <c r="B710" s="40" t="s">
        <v>87</v>
      </c>
      <c r="C710" s="40" t="s">
        <v>925</v>
      </c>
      <c r="D710" s="40" t="s">
        <v>726</v>
      </c>
      <c r="E710" s="40">
        <v>22</v>
      </c>
      <c r="F710" s="40" t="s">
        <v>42</v>
      </c>
      <c r="G710" s="40" t="s">
        <v>42</v>
      </c>
      <c r="H710" s="41" t="s">
        <v>647</v>
      </c>
      <c r="I710" s="65" t="s">
        <v>43</v>
      </c>
      <c r="J710" s="66" t="s">
        <v>43</v>
      </c>
      <c r="K710" s="67" t="s">
        <v>43</v>
      </c>
      <c r="L710" s="40">
        <v>2</v>
      </c>
      <c r="M710" s="40">
        <v>2</v>
      </c>
      <c r="N710" s="40">
        <v>2</v>
      </c>
      <c r="O710" s="40">
        <v>1</v>
      </c>
      <c r="P710" s="41">
        <v>2</v>
      </c>
      <c r="Q710" s="40">
        <v>3</v>
      </c>
      <c r="R710" s="40">
        <v>3</v>
      </c>
      <c r="S710" s="40">
        <v>2</v>
      </c>
      <c r="T710" s="40">
        <v>2</v>
      </c>
      <c r="U710" s="41">
        <v>4</v>
      </c>
      <c r="V710" s="40">
        <v>4</v>
      </c>
      <c r="W710" s="40">
        <v>2</v>
      </c>
      <c r="X710" s="40">
        <v>1</v>
      </c>
      <c r="Y710" s="41">
        <v>1</v>
      </c>
      <c r="Z710" s="40" t="s">
        <v>45</v>
      </c>
      <c r="AA710" s="40" t="s">
        <v>45</v>
      </c>
      <c r="AB710" s="40" t="s">
        <v>45</v>
      </c>
      <c r="AC710" s="40" t="s">
        <v>45</v>
      </c>
      <c r="AD710" s="40" t="s">
        <v>45</v>
      </c>
      <c r="AE710" s="40" t="s">
        <v>45</v>
      </c>
      <c r="AF710" s="40" t="s">
        <v>45</v>
      </c>
      <c r="AG710" s="41" t="s">
        <v>45</v>
      </c>
      <c r="AH710" s="40">
        <v>1</v>
      </c>
      <c r="AI710" s="40">
        <v>1</v>
      </c>
      <c r="AJ710" s="41">
        <v>1</v>
      </c>
      <c r="AK710" s="43" t="s">
        <v>45</v>
      </c>
      <c r="AL710" s="43"/>
      <c r="AM710" s="44">
        <f t="shared" si="78"/>
        <v>-1.5876498001652086</v>
      </c>
      <c r="AN710" s="44">
        <f t="shared" si="79"/>
        <v>-1.0442918547000826</v>
      </c>
      <c r="AO710" s="45">
        <f t="shared" si="80"/>
        <v>0</v>
      </c>
      <c r="AP710" s="46">
        <f t="shared" si="81"/>
        <v>0</v>
      </c>
      <c r="AQ710" s="44">
        <f>($AM$3*AM710+$AN$3*AN710+$AO$3*AO710+$AP$3*AP710)+$I$3*VLOOKUP(I710,COND!$A$2:$E$7,4,FALSE)+$J$3*VLOOKUP(J710,COND!$A$2:$C$7,2,FALSE)+$K$3*VLOOKUP(K710,COND!$A$2:$C$7,3,FALSE)+IF(AND($B$2&gt;0,$E710&lt;20),$B$2*25,0)</f>
        <v>32.309732763582488</v>
      </c>
      <c r="AR710" s="47">
        <f t="shared" si="82"/>
        <v>-2.6210631933027413</v>
      </c>
      <c r="AS710" s="45" t="str">
        <f t="shared" si="83"/>
        <v>DH</v>
      </c>
      <c r="AT710" s="45">
        <f>RANK(Batters[[#This Row],[zScore]],Batters[[#All],[zScore]])</f>
        <v>706</v>
      </c>
      <c r="AU710" s="45"/>
      <c r="AV710" s="45"/>
      <c r="AW710" s="45" t="str">
        <f t="shared" si="84"/>
        <v>Unlikely</v>
      </c>
      <c r="AX710" s="45"/>
      <c r="AY710" s="64" t="str">
        <f>INDEX(Table5[[#All],[Ovr]],MATCH(Batters[[#This Row],[PID]],Table5[[#All],[PID]],0))</f>
        <v/>
      </c>
      <c r="AZ710" s="64" t="str">
        <f>INDEX(Table5[[#All],[Rnd]],MATCH(Batters[[#This Row],[PID]],Table5[[#All],[PID]],0))</f>
        <v/>
      </c>
      <c r="BA710" s="64" t="str">
        <f>INDEX(Table5[[#All],[Pick]],MATCH(Batters[[#This Row],[PID]],Table5[[#All],[PID]],0))</f>
        <v/>
      </c>
      <c r="BB710" s="64" t="str">
        <f>INDEX(Table5[[#All],[Team]],MATCH(Batters[[#This Row],[PID]],Table5[[#All],[PID]],0))</f>
        <v/>
      </c>
    </row>
    <row r="711" spans="1:54" ht="30" x14ac:dyDescent="0.25">
      <c r="A711" s="40">
        <v>17790</v>
      </c>
      <c r="B711" s="40" t="s">
        <v>87</v>
      </c>
      <c r="C711" s="40" t="s">
        <v>1681</v>
      </c>
      <c r="D711" s="40" t="s">
        <v>1682</v>
      </c>
      <c r="E711" s="40">
        <v>21</v>
      </c>
      <c r="F711" s="40" t="s">
        <v>62</v>
      </c>
      <c r="G711" s="40" t="s">
        <v>42</v>
      </c>
      <c r="H711" s="41" t="s">
        <v>639</v>
      </c>
      <c r="I711" s="65" t="s">
        <v>43</v>
      </c>
      <c r="J711" s="66" t="s">
        <v>44</v>
      </c>
      <c r="K711" s="67" t="s">
        <v>47</v>
      </c>
      <c r="L711" s="40">
        <v>1</v>
      </c>
      <c r="M711" s="40">
        <v>4</v>
      </c>
      <c r="N711" s="40">
        <v>3</v>
      </c>
      <c r="O711" s="40">
        <v>2</v>
      </c>
      <c r="P711" s="41">
        <v>1</v>
      </c>
      <c r="Q711" s="40">
        <v>2</v>
      </c>
      <c r="R711" s="40">
        <v>4</v>
      </c>
      <c r="S711" s="40">
        <v>3</v>
      </c>
      <c r="T711" s="40">
        <v>5</v>
      </c>
      <c r="U711" s="41">
        <v>2</v>
      </c>
      <c r="V711" s="40">
        <v>7</v>
      </c>
      <c r="W711" s="40">
        <v>6</v>
      </c>
      <c r="X711" s="40">
        <v>5</v>
      </c>
      <c r="Y711" s="41">
        <v>4</v>
      </c>
      <c r="Z711" s="40" t="s">
        <v>45</v>
      </c>
      <c r="AA711" s="40">
        <v>6</v>
      </c>
      <c r="AB711" s="40" t="s">
        <v>45</v>
      </c>
      <c r="AC711" s="40" t="s">
        <v>45</v>
      </c>
      <c r="AD711" s="40" t="s">
        <v>45</v>
      </c>
      <c r="AE711" s="40" t="s">
        <v>45</v>
      </c>
      <c r="AF711" s="40" t="s">
        <v>45</v>
      </c>
      <c r="AG711" s="41" t="s">
        <v>45</v>
      </c>
      <c r="AH711" s="40">
        <v>1</v>
      </c>
      <c r="AI711" s="40">
        <v>1</v>
      </c>
      <c r="AJ711" s="41">
        <v>1</v>
      </c>
      <c r="AK711" s="43" t="s">
        <v>45</v>
      </c>
      <c r="AL711" s="43"/>
      <c r="AM711" s="44">
        <f t="shared" si="78"/>
        <v>-1.6753311729140774</v>
      </c>
      <c r="AN711" s="44">
        <f t="shared" si="79"/>
        <v>-1.0436303468655763</v>
      </c>
      <c r="AO711" s="45">
        <f t="shared" si="80"/>
        <v>0</v>
      </c>
      <c r="AP711" s="46">
        <f t="shared" si="81"/>
        <v>0</v>
      </c>
      <c r="AQ711" s="44">
        <f>($AM$3*AM711+$AN$3*AN711+$AO$3*AO711+$AP$3*AP711)+$I$3*VLOOKUP(I711,COND!$A$2:$E$7,4,FALSE)+$J$3*VLOOKUP(J711,COND!$A$2:$C$7,2,FALSE)+$K$3*VLOOKUP(K711,COND!$A$2:$C$7,3,FALSE)+IF(AND($B$2&gt;0,$E711&lt;20),$B$2*25,0)</f>
        <v>32.308902720321683</v>
      </c>
      <c r="AR711" s="47">
        <f t="shared" si="82"/>
        <v>-2.6212472195042333</v>
      </c>
      <c r="AS711" s="45" t="str">
        <f t="shared" si="83"/>
        <v>1B</v>
      </c>
      <c r="AT711" s="45">
        <f>RANK(Batters[[#This Row],[zScore]],Batters[[#All],[zScore]])</f>
        <v>707</v>
      </c>
      <c r="AU711" s="45"/>
      <c r="AV711" s="45"/>
      <c r="AW711" s="45" t="str">
        <f t="shared" si="84"/>
        <v>Unlikely</v>
      </c>
      <c r="AX711" s="45"/>
      <c r="AY711" s="64" t="str">
        <f>INDEX(Table5[[#All],[Ovr]],MATCH(Batters[[#This Row],[PID]],Table5[[#All],[PID]],0))</f>
        <v/>
      </c>
      <c r="AZ711" s="64" t="str">
        <f>INDEX(Table5[[#All],[Rnd]],MATCH(Batters[[#This Row],[PID]],Table5[[#All],[PID]],0))</f>
        <v/>
      </c>
      <c r="BA711" s="64" t="str">
        <f>INDEX(Table5[[#All],[Pick]],MATCH(Batters[[#This Row],[PID]],Table5[[#All],[PID]],0))</f>
        <v/>
      </c>
      <c r="BB711" s="64" t="str">
        <f>INDEX(Table5[[#All],[Team]],MATCH(Batters[[#This Row],[PID]],Table5[[#All],[PID]],0))</f>
        <v/>
      </c>
    </row>
    <row r="712" spans="1:54" ht="30" x14ac:dyDescent="0.25">
      <c r="A712" s="40">
        <v>17015</v>
      </c>
      <c r="B712" s="40" t="s">
        <v>72</v>
      </c>
      <c r="C712" s="40" t="s">
        <v>1540</v>
      </c>
      <c r="D712" s="40" t="s">
        <v>1539</v>
      </c>
      <c r="E712" s="40">
        <v>21</v>
      </c>
      <c r="F712" s="40" t="s">
        <v>62</v>
      </c>
      <c r="G712" s="40" t="s">
        <v>42</v>
      </c>
      <c r="H712" s="41" t="s">
        <v>638</v>
      </c>
      <c r="I712" s="65" t="s">
        <v>44</v>
      </c>
      <c r="J712" s="66" t="s">
        <v>43</v>
      </c>
      <c r="K712" s="67" t="s">
        <v>43</v>
      </c>
      <c r="L712" s="40">
        <v>1</v>
      </c>
      <c r="M712" s="40">
        <v>2</v>
      </c>
      <c r="N712" s="40">
        <v>2</v>
      </c>
      <c r="O712" s="40">
        <v>2</v>
      </c>
      <c r="P712" s="41">
        <v>1</v>
      </c>
      <c r="Q712" s="40">
        <v>2</v>
      </c>
      <c r="R712" s="40">
        <v>4</v>
      </c>
      <c r="S712" s="40">
        <v>2</v>
      </c>
      <c r="T712" s="40">
        <v>4</v>
      </c>
      <c r="U712" s="41">
        <v>3</v>
      </c>
      <c r="V712" s="40">
        <v>8</v>
      </c>
      <c r="W712" s="40">
        <v>8</v>
      </c>
      <c r="X712" s="40">
        <v>1</v>
      </c>
      <c r="Y712" s="41">
        <v>1</v>
      </c>
      <c r="Z712" s="40" t="s">
        <v>45</v>
      </c>
      <c r="AA712" s="40" t="s">
        <v>45</v>
      </c>
      <c r="AB712" s="40" t="s">
        <v>45</v>
      </c>
      <c r="AC712" s="40">
        <v>5</v>
      </c>
      <c r="AD712" s="40">
        <v>6</v>
      </c>
      <c r="AE712" s="40" t="s">
        <v>45</v>
      </c>
      <c r="AF712" s="40" t="s">
        <v>45</v>
      </c>
      <c r="AG712" s="41" t="s">
        <v>45</v>
      </c>
      <c r="AH712" s="40">
        <v>3</v>
      </c>
      <c r="AI712" s="40">
        <v>2</v>
      </c>
      <c r="AJ712" s="41">
        <v>4</v>
      </c>
      <c r="AK712" s="43" t="s">
        <v>45</v>
      </c>
      <c r="AL712" s="43" t="s">
        <v>47</v>
      </c>
      <c r="AM712" s="44">
        <f t="shared" si="78"/>
        <v>-1.8605124261753858</v>
      </c>
      <c r="AN712" s="44">
        <f t="shared" si="79"/>
        <v>-1.1763850510819753</v>
      </c>
      <c r="AO712" s="45">
        <f t="shared" si="80"/>
        <v>0</v>
      </c>
      <c r="AP712" s="46">
        <f t="shared" si="81"/>
        <v>1.75</v>
      </c>
      <c r="AQ712" s="44">
        <f>($AM$3*AM712+$AN$3*AN712+$AO$3*AO712+$AP$3*AP712)+$I$3*VLOOKUP(I712,COND!$A$2:$E$7,4,FALSE)+$J$3*VLOOKUP(J712,COND!$A$2:$C$7,2,FALSE)+$K$3*VLOOKUP(K712,COND!$A$2:$C$7,3,FALSE)+IF(AND($B$2&gt;0,$E712&lt;20),$B$2*25,0)</f>
        <v>32.297328144398755</v>
      </c>
      <c r="AR712" s="47">
        <f t="shared" si="82"/>
        <v>-2.6238133812232189</v>
      </c>
      <c r="AS712" s="45" t="str">
        <f t="shared" si="83"/>
        <v>SS</v>
      </c>
      <c r="AT712" s="45">
        <f>RANK(Batters[[#This Row],[zScore]],Batters[[#All],[zScore]])</f>
        <v>708</v>
      </c>
      <c r="AU712" s="45"/>
      <c r="AV712" s="45"/>
      <c r="AW712" s="45" t="str">
        <f t="shared" si="84"/>
        <v>Unlikely</v>
      </c>
      <c r="AX712" s="45"/>
      <c r="AY712" s="45" t="str">
        <f>INDEX(Table5[[#All],[Ovr]],MATCH(Batters[[#This Row],[PID]],Table5[[#All],[PID]],0))</f>
        <v/>
      </c>
      <c r="AZ712" s="45" t="str">
        <f>INDEX(Table5[[#All],[Rnd]],MATCH(Batters[[#This Row],[PID]],Table5[[#All],[PID]],0))</f>
        <v/>
      </c>
      <c r="BA712" s="45" t="str">
        <f>INDEX(Table5[[#All],[Pick]],MATCH(Batters[[#This Row],[PID]],Table5[[#All],[PID]],0))</f>
        <v/>
      </c>
      <c r="BB712" s="45" t="str">
        <f>INDEX(Table5[[#All],[Team]],MATCH(Batters[[#This Row],[PID]],Table5[[#All],[PID]],0))</f>
        <v/>
      </c>
    </row>
    <row r="713" spans="1:54" ht="30" x14ac:dyDescent="0.25">
      <c r="A713" s="40">
        <v>4755</v>
      </c>
      <c r="B713" s="40" t="s">
        <v>87</v>
      </c>
      <c r="C713" s="40" t="s">
        <v>166</v>
      </c>
      <c r="D713" s="40" t="s">
        <v>851</v>
      </c>
      <c r="E713" s="40">
        <v>22</v>
      </c>
      <c r="F713" s="40" t="s">
        <v>42</v>
      </c>
      <c r="G713" s="40" t="s">
        <v>42</v>
      </c>
      <c r="H713" s="41" t="s">
        <v>647</v>
      </c>
      <c r="I713" s="65" t="s">
        <v>43</v>
      </c>
      <c r="J713" s="66" t="s">
        <v>43</v>
      </c>
      <c r="K713" s="67" t="s">
        <v>43</v>
      </c>
      <c r="L713" s="40">
        <v>2</v>
      </c>
      <c r="M713" s="40">
        <v>1</v>
      </c>
      <c r="N713" s="40">
        <v>2</v>
      </c>
      <c r="O713" s="40">
        <v>2</v>
      </c>
      <c r="P713" s="41">
        <v>1</v>
      </c>
      <c r="Q713" s="40">
        <v>3</v>
      </c>
      <c r="R713" s="40">
        <v>2</v>
      </c>
      <c r="S713" s="40">
        <v>2</v>
      </c>
      <c r="T713" s="40">
        <v>3</v>
      </c>
      <c r="U713" s="41">
        <v>3</v>
      </c>
      <c r="V713" s="40">
        <v>6</v>
      </c>
      <c r="W713" s="40">
        <v>2</v>
      </c>
      <c r="X713" s="40">
        <v>1</v>
      </c>
      <c r="Y713" s="41">
        <v>1</v>
      </c>
      <c r="Z713" s="40" t="s">
        <v>45</v>
      </c>
      <c r="AA713" s="40">
        <v>1</v>
      </c>
      <c r="AB713" s="40" t="s">
        <v>45</v>
      </c>
      <c r="AC713" s="40" t="s">
        <v>45</v>
      </c>
      <c r="AD713" s="40" t="s">
        <v>45</v>
      </c>
      <c r="AE713" s="40" t="s">
        <v>45</v>
      </c>
      <c r="AF713" s="40" t="s">
        <v>45</v>
      </c>
      <c r="AG713" s="41" t="s">
        <v>45</v>
      </c>
      <c r="AH713" s="40">
        <v>1</v>
      </c>
      <c r="AI713" s="40">
        <v>2</v>
      </c>
      <c r="AJ713" s="41">
        <v>4</v>
      </c>
      <c r="AK713" s="43" t="s">
        <v>45</v>
      </c>
      <c r="AL713" s="43"/>
      <c r="AM713" s="44">
        <f t="shared" si="78"/>
        <v>-1.5890164695914148</v>
      </c>
      <c r="AN713" s="44">
        <f t="shared" si="79"/>
        <v>-1.0456585241262888</v>
      </c>
      <c r="AO713" s="45">
        <f t="shared" si="80"/>
        <v>0</v>
      </c>
      <c r="AP713" s="46">
        <f t="shared" si="81"/>
        <v>0</v>
      </c>
      <c r="AQ713" s="44">
        <f>($AM$3*AM713+$AN$3*AN713+$AO$3*AO713+$AP$3*AP713)+$I$3*VLOOKUP(I713,COND!$A$2:$E$7,4,FALSE)+$J$3*VLOOKUP(J713,COND!$A$2:$C$7,2,FALSE)+$K$3*VLOOKUP(K713,COND!$A$2:$C$7,3,FALSE)+IF(AND($B$2&gt;0,$E713&lt;20),$B$2*25,0)</f>
        <v>32.293196063525393</v>
      </c>
      <c r="AR713" s="47">
        <f t="shared" si="82"/>
        <v>-2.6247294914831176</v>
      </c>
      <c r="AS713" s="45" t="str">
        <f t="shared" si="83"/>
        <v>1B</v>
      </c>
      <c r="AT713" s="45">
        <f>RANK(Batters[[#This Row],[zScore]],Batters[[#All],[zScore]])</f>
        <v>709</v>
      </c>
      <c r="AU713" s="45"/>
      <c r="AV713" s="45"/>
      <c r="AW713" s="45" t="str">
        <f t="shared" si="84"/>
        <v>Unlikely</v>
      </c>
      <c r="AX713" s="45"/>
      <c r="AY713" s="64" t="str">
        <f>INDEX(Table5[[#All],[Ovr]],MATCH(Batters[[#This Row],[PID]],Table5[[#All],[PID]],0))</f>
        <v/>
      </c>
      <c r="AZ713" s="64" t="str">
        <f>INDEX(Table5[[#All],[Rnd]],MATCH(Batters[[#This Row],[PID]],Table5[[#All],[PID]],0))</f>
        <v/>
      </c>
      <c r="BA713" s="64" t="str">
        <f>INDEX(Table5[[#All],[Pick]],MATCH(Batters[[#This Row],[PID]],Table5[[#All],[PID]],0))</f>
        <v/>
      </c>
      <c r="BB713" s="64" t="str">
        <f>INDEX(Table5[[#All],[Team]],MATCH(Batters[[#This Row],[PID]],Table5[[#All],[PID]],0))</f>
        <v/>
      </c>
    </row>
    <row r="714" spans="1:54" ht="30" x14ac:dyDescent="0.25">
      <c r="A714" s="40">
        <v>18013</v>
      </c>
      <c r="B714" s="40" t="s">
        <v>72</v>
      </c>
      <c r="C714" s="40" t="s">
        <v>151</v>
      </c>
      <c r="D714" s="40" t="s">
        <v>1403</v>
      </c>
      <c r="E714" s="40">
        <v>21</v>
      </c>
      <c r="F714" s="40" t="s">
        <v>62</v>
      </c>
      <c r="G714" s="40" t="s">
        <v>42</v>
      </c>
      <c r="H714" s="41" t="s">
        <v>638</v>
      </c>
      <c r="I714" s="65" t="s">
        <v>43</v>
      </c>
      <c r="J714" s="66" t="s">
        <v>44</v>
      </c>
      <c r="K714" s="67" t="s">
        <v>44</v>
      </c>
      <c r="L714" s="40">
        <v>1</v>
      </c>
      <c r="M714" s="40">
        <v>2</v>
      </c>
      <c r="N714" s="40">
        <v>2</v>
      </c>
      <c r="O714" s="40">
        <v>2</v>
      </c>
      <c r="P714" s="41">
        <v>1</v>
      </c>
      <c r="Q714" s="40">
        <v>2</v>
      </c>
      <c r="R714" s="40">
        <v>3</v>
      </c>
      <c r="S714" s="40">
        <v>3</v>
      </c>
      <c r="T714" s="40">
        <v>5</v>
      </c>
      <c r="U714" s="41">
        <v>2</v>
      </c>
      <c r="V714" s="40">
        <v>7</v>
      </c>
      <c r="W714" s="40">
        <v>7</v>
      </c>
      <c r="X714" s="40">
        <v>1</v>
      </c>
      <c r="Y714" s="41">
        <v>1</v>
      </c>
      <c r="Z714" s="40" t="s">
        <v>45</v>
      </c>
      <c r="AA714" s="40" t="s">
        <v>45</v>
      </c>
      <c r="AB714" s="40">
        <v>2</v>
      </c>
      <c r="AC714" s="40" t="s">
        <v>45</v>
      </c>
      <c r="AD714" s="40">
        <v>6</v>
      </c>
      <c r="AE714" s="40" t="s">
        <v>45</v>
      </c>
      <c r="AF714" s="40" t="s">
        <v>45</v>
      </c>
      <c r="AG714" s="41" t="s">
        <v>45</v>
      </c>
      <c r="AH714" s="40">
        <v>8</v>
      </c>
      <c r="AI714" s="40">
        <v>6</v>
      </c>
      <c r="AJ714" s="41">
        <v>3</v>
      </c>
      <c r="AK714" s="43" t="s">
        <v>45</v>
      </c>
      <c r="AL714" s="43" t="s">
        <v>47</v>
      </c>
      <c r="AM714" s="44">
        <f t="shared" si="78"/>
        <v>-1.8605124261753858</v>
      </c>
      <c r="AN714" s="44">
        <f t="shared" si="79"/>
        <v>-1.0946902264842799</v>
      </c>
      <c r="AO714" s="45">
        <f t="shared" si="80"/>
        <v>1</v>
      </c>
      <c r="AP714" s="46">
        <f t="shared" si="81"/>
        <v>1</v>
      </c>
      <c r="AQ714" s="44">
        <f>($AM$3*AM714+$AN$3*AN714+$AO$3*AO714+$AP$3*AP714)+$I$3*VLOOKUP(I714,COND!$A$2:$E$7,4,FALSE)+$J$3*VLOOKUP(J714,COND!$A$2:$C$7,2,FALSE)+$K$3*VLOOKUP(K714,COND!$A$2:$C$7,3,FALSE)+IF(AND($B$2&gt;0,$E714&lt;20),$B$2*25,0)</f>
        <v>32.24433270623777</v>
      </c>
      <c r="AR714" s="47">
        <f t="shared" si="82"/>
        <v>-2.6355628280794261</v>
      </c>
      <c r="AS714" s="45" t="str">
        <f t="shared" si="83"/>
        <v>SS</v>
      </c>
      <c r="AT714" s="45">
        <f>RANK(Batters[[#This Row],[zScore]],Batters[[#All],[zScore]])</f>
        <v>710</v>
      </c>
      <c r="AU714" s="45"/>
      <c r="AV714" s="45"/>
      <c r="AW714" s="45" t="str">
        <f t="shared" si="84"/>
        <v>Unlikely</v>
      </c>
      <c r="AX714" s="45"/>
      <c r="AY714" s="45" t="str">
        <f>INDEX(Table5[[#All],[Ovr]],MATCH(Batters[[#This Row],[PID]],Table5[[#All],[PID]],0))</f>
        <v/>
      </c>
      <c r="AZ714" s="45" t="str">
        <f>INDEX(Table5[[#All],[Rnd]],MATCH(Batters[[#This Row],[PID]],Table5[[#All],[PID]],0))</f>
        <v/>
      </c>
      <c r="BA714" s="45" t="str">
        <f>INDEX(Table5[[#All],[Pick]],MATCH(Batters[[#This Row],[PID]],Table5[[#All],[PID]],0))</f>
        <v/>
      </c>
      <c r="BB714" s="45" t="str">
        <f>INDEX(Table5[[#All],[Team]],MATCH(Batters[[#This Row],[PID]],Table5[[#All],[PID]],0))</f>
        <v/>
      </c>
    </row>
    <row r="715" spans="1:54" ht="30" x14ac:dyDescent="0.25">
      <c r="A715" s="40">
        <v>5505</v>
      </c>
      <c r="B715" s="40" t="s">
        <v>86</v>
      </c>
      <c r="C715" s="40" t="s">
        <v>1666</v>
      </c>
      <c r="D715" s="40" t="s">
        <v>1436</v>
      </c>
      <c r="E715" s="40">
        <v>21</v>
      </c>
      <c r="F715" s="40" t="s">
        <v>62</v>
      </c>
      <c r="G715" s="40" t="s">
        <v>42</v>
      </c>
      <c r="H715" s="41" t="s">
        <v>639</v>
      </c>
      <c r="I715" s="65" t="s">
        <v>43</v>
      </c>
      <c r="J715" s="66" t="s">
        <v>47</v>
      </c>
      <c r="K715" s="67" t="s">
        <v>43</v>
      </c>
      <c r="L715" s="40">
        <v>1</v>
      </c>
      <c r="M715" s="40">
        <v>2</v>
      </c>
      <c r="N715" s="40">
        <v>2</v>
      </c>
      <c r="O715" s="40">
        <v>1</v>
      </c>
      <c r="P715" s="41">
        <v>1</v>
      </c>
      <c r="Q715" s="40">
        <v>2</v>
      </c>
      <c r="R715" s="40">
        <v>3</v>
      </c>
      <c r="S715" s="40">
        <v>3</v>
      </c>
      <c r="T715" s="40">
        <v>4</v>
      </c>
      <c r="U715" s="41">
        <v>2</v>
      </c>
      <c r="V715" s="40">
        <v>4</v>
      </c>
      <c r="W715" s="40">
        <v>4</v>
      </c>
      <c r="X715" s="40">
        <v>7</v>
      </c>
      <c r="Y715" s="41">
        <v>8</v>
      </c>
      <c r="Z715" s="40">
        <v>3</v>
      </c>
      <c r="AA715" s="40" t="s">
        <v>45</v>
      </c>
      <c r="AB715" s="40" t="s">
        <v>45</v>
      </c>
      <c r="AC715" s="40" t="s">
        <v>45</v>
      </c>
      <c r="AD715" s="40" t="s">
        <v>45</v>
      </c>
      <c r="AE715" s="40" t="s">
        <v>45</v>
      </c>
      <c r="AF715" s="40" t="s">
        <v>45</v>
      </c>
      <c r="AG715" s="41" t="s">
        <v>45</v>
      </c>
      <c r="AH715" s="40">
        <v>4</v>
      </c>
      <c r="AI715" s="40">
        <v>5</v>
      </c>
      <c r="AJ715" s="41">
        <v>6</v>
      </c>
      <c r="AK715" s="43" t="s">
        <v>45</v>
      </c>
      <c r="AL715" s="43"/>
      <c r="AM715" s="44">
        <f t="shared" si="78"/>
        <v>-1.9502219761849671</v>
      </c>
      <c r="AN715" s="44">
        <f t="shared" si="79"/>
        <v>-1.1843997764938607</v>
      </c>
      <c r="AO715" s="45">
        <f t="shared" si="80"/>
        <v>0</v>
      </c>
      <c r="AP715" s="46">
        <f t="shared" si="81"/>
        <v>1.35</v>
      </c>
      <c r="AQ715" s="44">
        <f>($AM$3*AM715+$AN$3*AN715+$AO$3*AO715+$AP$3*AP715)+$I$3*VLOOKUP(I715,COND!$A$2:$E$7,4,FALSE)+$J$3*VLOOKUP(J715,COND!$A$2:$C$7,2,FALSE)+$K$3*VLOOKUP(K715,COND!$A$2:$C$7,3,FALSE)+IF(AND($B$2&gt;0,$E715&lt;20),$B$2*25,0)</f>
        <v>32.242180484455176</v>
      </c>
      <c r="AR715" s="47">
        <f t="shared" si="82"/>
        <v>-2.6360399901962963</v>
      </c>
      <c r="AS715" s="45" t="str">
        <f t="shared" si="83"/>
        <v>C</v>
      </c>
      <c r="AT715" s="45">
        <f>RANK(Batters[[#This Row],[zScore]],Batters[[#All],[zScore]])</f>
        <v>711</v>
      </c>
      <c r="AU715" s="45"/>
      <c r="AV715" s="45"/>
      <c r="AW715" s="45" t="str">
        <f t="shared" si="84"/>
        <v>Unlikely</v>
      </c>
      <c r="AX715" s="45"/>
      <c r="AY715" s="64" t="str">
        <f>INDEX(Table5[[#All],[Ovr]],MATCH(Batters[[#This Row],[PID]],Table5[[#All],[PID]],0))</f>
        <v/>
      </c>
      <c r="AZ715" s="64" t="str">
        <f>INDEX(Table5[[#All],[Rnd]],MATCH(Batters[[#This Row],[PID]],Table5[[#All],[PID]],0))</f>
        <v/>
      </c>
      <c r="BA715" s="64" t="str">
        <f>INDEX(Table5[[#All],[Pick]],MATCH(Batters[[#This Row],[PID]],Table5[[#All],[PID]],0))</f>
        <v/>
      </c>
      <c r="BB715" s="64" t="str">
        <f>INDEX(Table5[[#All],[Team]],MATCH(Batters[[#This Row],[PID]],Table5[[#All],[PID]],0))</f>
        <v/>
      </c>
    </row>
    <row r="716" spans="1:54" ht="30" x14ac:dyDescent="0.25">
      <c r="A716" s="40">
        <v>17023</v>
      </c>
      <c r="B716" s="40" t="s">
        <v>86</v>
      </c>
      <c r="C716" s="40" t="s">
        <v>1499</v>
      </c>
      <c r="D716" s="40" t="s">
        <v>696</v>
      </c>
      <c r="E716" s="40">
        <v>21</v>
      </c>
      <c r="F716" s="40" t="s">
        <v>42</v>
      </c>
      <c r="G716" s="40" t="s">
        <v>42</v>
      </c>
      <c r="H716" s="41" t="s">
        <v>638</v>
      </c>
      <c r="I716" s="65" t="s">
        <v>43</v>
      </c>
      <c r="J716" s="66" t="s">
        <v>44</v>
      </c>
      <c r="K716" s="67" t="s">
        <v>44</v>
      </c>
      <c r="L716" s="40">
        <v>1</v>
      </c>
      <c r="M716" s="40">
        <v>2</v>
      </c>
      <c r="N716" s="40">
        <v>3</v>
      </c>
      <c r="O716" s="40">
        <v>3</v>
      </c>
      <c r="P716" s="41">
        <v>1</v>
      </c>
      <c r="Q716" s="40">
        <v>2</v>
      </c>
      <c r="R716" s="40">
        <v>4</v>
      </c>
      <c r="S716" s="40">
        <v>4</v>
      </c>
      <c r="T716" s="40">
        <v>5</v>
      </c>
      <c r="U716" s="41">
        <v>1</v>
      </c>
      <c r="V716" s="40">
        <v>7</v>
      </c>
      <c r="W716" s="40">
        <v>7</v>
      </c>
      <c r="X716" s="40">
        <v>9</v>
      </c>
      <c r="Y716" s="41">
        <v>4</v>
      </c>
      <c r="Z716" s="40" t="s">
        <v>45</v>
      </c>
      <c r="AA716" s="40" t="s">
        <v>45</v>
      </c>
      <c r="AB716" s="40" t="s">
        <v>45</v>
      </c>
      <c r="AC716" s="40" t="s">
        <v>45</v>
      </c>
      <c r="AD716" s="40" t="s">
        <v>45</v>
      </c>
      <c r="AE716" s="40" t="s">
        <v>45</v>
      </c>
      <c r="AF716" s="40" t="s">
        <v>45</v>
      </c>
      <c r="AG716" s="41" t="s">
        <v>45</v>
      </c>
      <c r="AH716" s="40">
        <v>1</v>
      </c>
      <c r="AI716" s="40">
        <v>3</v>
      </c>
      <c r="AJ716" s="41">
        <v>2</v>
      </c>
      <c r="AK716" s="43" t="s">
        <v>45</v>
      </c>
      <c r="AL716" s="43" t="s">
        <v>47</v>
      </c>
      <c r="AM716" s="44">
        <f t="shared" si="78"/>
        <v>-1.6877413821419032</v>
      </c>
      <c r="AN716" s="44">
        <f t="shared" si="79"/>
        <v>-1.0005851926587581</v>
      </c>
      <c r="AO716" s="45">
        <f t="shared" si="80"/>
        <v>0</v>
      </c>
      <c r="AP716" s="46">
        <f t="shared" si="81"/>
        <v>0</v>
      </c>
      <c r="AQ716" s="44">
        <f>($AM$3*AM716+$AN$3*AN716+$AO$3*AO716+$AP$3*AP716)+$I$3*VLOOKUP(I716,COND!$A$2:$E$7,4,FALSE)+$J$3*VLOOKUP(J716,COND!$A$2:$C$7,2,FALSE)+$K$3*VLOOKUP(K716,COND!$A$2:$C$7,3,FALSE)+IF(AND($B$2&gt;0,$E716&lt;20),$B$2*25,0)</f>
        <v>32.224203549880713</v>
      </c>
      <c r="AR716" s="47">
        <f t="shared" si="82"/>
        <v>-2.6400255981042555</v>
      </c>
      <c r="AS716" s="45" t="str">
        <f t="shared" si="83"/>
        <v>DH</v>
      </c>
      <c r="AT716" s="45">
        <f>RANK(Batters[[#This Row],[zScore]],Batters[[#All],[zScore]])</f>
        <v>712</v>
      </c>
      <c r="AU716" s="45"/>
      <c r="AV716" s="45"/>
      <c r="AW716" s="45" t="str">
        <f t="shared" si="84"/>
        <v>Unlikely</v>
      </c>
      <c r="AX716" s="45"/>
      <c r="AY716" s="45" t="str">
        <f>INDEX(Table5[[#All],[Ovr]],MATCH(Batters[[#This Row],[PID]],Table5[[#All],[PID]],0))</f>
        <v/>
      </c>
      <c r="AZ716" s="45" t="str">
        <f>INDEX(Table5[[#All],[Rnd]],MATCH(Batters[[#This Row],[PID]],Table5[[#All],[PID]],0))</f>
        <v/>
      </c>
      <c r="BA716" s="45" t="str">
        <f>INDEX(Table5[[#All],[Pick]],MATCH(Batters[[#This Row],[PID]],Table5[[#All],[PID]],0))</f>
        <v/>
      </c>
      <c r="BB716" s="45" t="str">
        <f>INDEX(Table5[[#All],[Team]],MATCH(Batters[[#This Row],[PID]],Table5[[#All],[PID]],0))</f>
        <v/>
      </c>
    </row>
    <row r="717" spans="1:54" ht="30" x14ac:dyDescent="0.25">
      <c r="A717" s="40">
        <v>16902</v>
      </c>
      <c r="B717" s="40" t="s">
        <v>86</v>
      </c>
      <c r="C717" s="40" t="s">
        <v>389</v>
      </c>
      <c r="D717" s="40" t="s">
        <v>1536</v>
      </c>
      <c r="E717" s="40">
        <v>21</v>
      </c>
      <c r="F717" s="40" t="s">
        <v>42</v>
      </c>
      <c r="G717" s="40" t="s">
        <v>42</v>
      </c>
      <c r="H717" s="41" t="s">
        <v>638</v>
      </c>
      <c r="I717" s="65" t="s">
        <v>43</v>
      </c>
      <c r="J717" s="66" t="s">
        <v>44</v>
      </c>
      <c r="K717" s="67" t="s">
        <v>43</v>
      </c>
      <c r="L717" s="40">
        <v>1</v>
      </c>
      <c r="M717" s="40">
        <v>1</v>
      </c>
      <c r="N717" s="40">
        <v>2</v>
      </c>
      <c r="O717" s="40">
        <v>2</v>
      </c>
      <c r="P717" s="41">
        <v>1</v>
      </c>
      <c r="Q717" s="40">
        <v>2</v>
      </c>
      <c r="R717" s="40">
        <v>3</v>
      </c>
      <c r="S717" s="40">
        <v>3</v>
      </c>
      <c r="T717" s="40">
        <v>4</v>
      </c>
      <c r="U717" s="41">
        <v>2</v>
      </c>
      <c r="V717" s="40">
        <v>3</v>
      </c>
      <c r="W717" s="40">
        <v>3</v>
      </c>
      <c r="X717" s="40">
        <v>5</v>
      </c>
      <c r="Y717" s="41">
        <v>8</v>
      </c>
      <c r="Z717" s="40">
        <v>3</v>
      </c>
      <c r="AA717" s="40" t="s">
        <v>45</v>
      </c>
      <c r="AB717" s="40" t="s">
        <v>45</v>
      </c>
      <c r="AC717" s="40" t="s">
        <v>45</v>
      </c>
      <c r="AD717" s="40" t="s">
        <v>45</v>
      </c>
      <c r="AE717" s="40" t="s">
        <v>45</v>
      </c>
      <c r="AF717" s="40" t="s">
        <v>45</v>
      </c>
      <c r="AG717" s="41" t="s">
        <v>45</v>
      </c>
      <c r="AH717" s="40">
        <v>1</v>
      </c>
      <c r="AI717" s="40">
        <v>8</v>
      </c>
      <c r="AJ717" s="41">
        <v>10</v>
      </c>
      <c r="AK717" s="43" t="s">
        <v>643</v>
      </c>
      <c r="AL717" s="43" t="s">
        <v>47</v>
      </c>
      <c r="AM717" s="44">
        <f t="shared" si="78"/>
        <v>-1.9115723057940897</v>
      </c>
      <c r="AN717" s="44">
        <f t="shared" si="79"/>
        <v>-1.1843997764938607</v>
      </c>
      <c r="AO717" s="45">
        <f t="shared" si="80"/>
        <v>3</v>
      </c>
      <c r="AP717" s="46">
        <f t="shared" si="81"/>
        <v>1.35</v>
      </c>
      <c r="AQ717" s="44">
        <f>($AM$3*AM717+$AN$3*AN717+$AO$3*AO717+$AP$3*AP717)+$I$3*VLOOKUP(I717,COND!$A$2:$E$7,4,FALSE)+$J$3*VLOOKUP(J717,COND!$A$2:$C$7,2,FALSE)+$K$3*VLOOKUP(K717,COND!$A$2:$C$7,3,FALSE)+IF(AND($B$2&gt;0,$E717&lt;20),$B$2*25,0)</f>
        <v>32.14604545149426</v>
      </c>
      <c r="AR717" s="47">
        <f t="shared" si="82"/>
        <v>-2.657353776816247</v>
      </c>
      <c r="AS717" s="45" t="str">
        <f t="shared" si="83"/>
        <v>C</v>
      </c>
      <c r="AT717" s="45">
        <f>RANK(Batters[[#This Row],[zScore]],Batters[[#All],[zScore]])</f>
        <v>713</v>
      </c>
      <c r="AU717" s="45"/>
      <c r="AV717" s="45"/>
      <c r="AW717" s="45" t="str">
        <f t="shared" si="84"/>
        <v>Unlikely</v>
      </c>
      <c r="AX717" s="45"/>
      <c r="AY717" s="45" t="str">
        <f>INDEX(Table5[[#All],[Ovr]],MATCH(Batters[[#This Row],[PID]],Table5[[#All],[PID]],0))</f>
        <v/>
      </c>
      <c r="AZ717" s="45" t="str">
        <f>INDEX(Table5[[#All],[Rnd]],MATCH(Batters[[#This Row],[PID]],Table5[[#All],[PID]],0))</f>
        <v/>
      </c>
      <c r="BA717" s="45" t="str">
        <f>INDEX(Table5[[#All],[Pick]],MATCH(Batters[[#This Row],[PID]],Table5[[#All],[PID]],0))</f>
        <v/>
      </c>
      <c r="BB717" s="45" t="str">
        <f>INDEX(Table5[[#All],[Team]],MATCH(Batters[[#This Row],[PID]],Table5[[#All],[PID]],0))</f>
        <v/>
      </c>
    </row>
    <row r="718" spans="1:54" ht="30" x14ac:dyDescent="0.25">
      <c r="A718" s="40">
        <v>17765</v>
      </c>
      <c r="B718" s="40" t="s">
        <v>71</v>
      </c>
      <c r="C718" s="40" t="s">
        <v>951</v>
      </c>
      <c r="D718" s="40" t="s">
        <v>952</v>
      </c>
      <c r="E718" s="40">
        <v>22</v>
      </c>
      <c r="F718" s="40" t="s">
        <v>62</v>
      </c>
      <c r="G718" s="40" t="s">
        <v>42</v>
      </c>
      <c r="H718" s="41" t="s">
        <v>639</v>
      </c>
      <c r="I718" s="65" t="s">
        <v>43</v>
      </c>
      <c r="J718" s="66" t="s">
        <v>44</v>
      </c>
      <c r="K718" s="67" t="s">
        <v>43</v>
      </c>
      <c r="L718" s="40">
        <v>1</v>
      </c>
      <c r="M718" s="40">
        <v>2</v>
      </c>
      <c r="N718" s="40">
        <v>2</v>
      </c>
      <c r="O718" s="40">
        <v>2</v>
      </c>
      <c r="P718" s="41">
        <v>1</v>
      </c>
      <c r="Q718" s="40">
        <v>2</v>
      </c>
      <c r="R718" s="40">
        <v>4</v>
      </c>
      <c r="S718" s="40">
        <v>2</v>
      </c>
      <c r="T718" s="40">
        <v>5</v>
      </c>
      <c r="U718" s="41">
        <v>2</v>
      </c>
      <c r="V718" s="40">
        <v>7</v>
      </c>
      <c r="W718" s="40">
        <v>7</v>
      </c>
      <c r="X718" s="40">
        <v>1</v>
      </c>
      <c r="Y718" s="41">
        <v>1</v>
      </c>
      <c r="Z718" s="40" t="s">
        <v>45</v>
      </c>
      <c r="AA718" s="40" t="s">
        <v>45</v>
      </c>
      <c r="AB718" s="40">
        <v>7</v>
      </c>
      <c r="AC718" s="40">
        <v>4</v>
      </c>
      <c r="AD718" s="40">
        <v>3</v>
      </c>
      <c r="AE718" s="40" t="s">
        <v>45</v>
      </c>
      <c r="AF718" s="40">
        <v>1</v>
      </c>
      <c r="AG718" s="41" t="s">
        <v>45</v>
      </c>
      <c r="AH718" s="40">
        <v>9</v>
      </c>
      <c r="AI718" s="40">
        <v>7</v>
      </c>
      <c r="AJ718" s="41">
        <v>7</v>
      </c>
      <c r="AK718" s="43" t="s">
        <v>45</v>
      </c>
      <c r="AL718" s="43"/>
      <c r="AM718" s="44">
        <f t="shared" si="78"/>
        <v>-1.8605124261753858</v>
      </c>
      <c r="AN718" s="44">
        <f t="shared" si="79"/>
        <v>-1.1266918408894777</v>
      </c>
      <c r="AO718" s="45">
        <f t="shared" si="80"/>
        <v>3</v>
      </c>
      <c r="AP718" s="46">
        <f t="shared" si="81"/>
        <v>0.6</v>
      </c>
      <c r="AQ718" s="44">
        <f>($AM$3*AM718+$AN$3*AN718+$AO$3*AO718+$AP$3*AP718)+$I$3*VLOOKUP(I718,COND!$A$2:$E$7,4,FALSE)+$J$3*VLOOKUP(J718,COND!$A$2:$C$7,2,FALSE)+$K$3*VLOOKUP(K718,COND!$A$2:$C$7,3,FALSE)+IF(AND($B$2&gt;0,$E718&lt;20),$B$2*25,0)</f>
        <v>32.093646666708729</v>
      </c>
      <c r="AR718" s="47">
        <f t="shared" si="82"/>
        <v>-2.6689709415861138</v>
      </c>
      <c r="AS718" s="45" t="str">
        <f t="shared" si="83"/>
        <v>2B</v>
      </c>
      <c r="AT718" s="45">
        <f>RANK(Batters[[#This Row],[zScore]],Batters[[#All],[zScore]])</f>
        <v>714</v>
      </c>
      <c r="AU718" s="45"/>
      <c r="AV718" s="45"/>
      <c r="AW718" s="45" t="str">
        <f t="shared" si="84"/>
        <v>Unlikely</v>
      </c>
      <c r="AX718" s="45"/>
      <c r="AY718" s="64" t="str">
        <f>INDEX(Table5[[#All],[Ovr]],MATCH(Batters[[#This Row],[PID]],Table5[[#All],[PID]],0))</f>
        <v/>
      </c>
      <c r="AZ718" s="64" t="str">
        <f>INDEX(Table5[[#All],[Rnd]],MATCH(Batters[[#This Row],[PID]],Table5[[#All],[PID]],0))</f>
        <v/>
      </c>
      <c r="BA718" s="64" t="str">
        <f>INDEX(Table5[[#All],[Pick]],MATCH(Batters[[#This Row],[PID]],Table5[[#All],[PID]],0))</f>
        <v/>
      </c>
      <c r="BB718" s="64" t="str">
        <f>INDEX(Table5[[#All],[Team]],MATCH(Batters[[#This Row],[PID]],Table5[[#All],[PID]],0))</f>
        <v/>
      </c>
    </row>
    <row r="719" spans="1:54" ht="30" x14ac:dyDescent="0.25">
      <c r="A719" s="40">
        <v>18155</v>
      </c>
      <c r="B719" s="40" t="s">
        <v>86</v>
      </c>
      <c r="C719" s="40" t="s">
        <v>422</v>
      </c>
      <c r="D719" s="40" t="s">
        <v>131</v>
      </c>
      <c r="E719" s="40">
        <v>21</v>
      </c>
      <c r="F719" s="40" t="s">
        <v>53</v>
      </c>
      <c r="G719" s="40" t="s">
        <v>42</v>
      </c>
      <c r="H719" s="41" t="s">
        <v>638</v>
      </c>
      <c r="I719" s="65" t="s">
        <v>47</v>
      </c>
      <c r="J719" s="66" t="s">
        <v>43</v>
      </c>
      <c r="K719" s="67" t="s">
        <v>43</v>
      </c>
      <c r="L719" s="40">
        <v>1</v>
      </c>
      <c r="M719" s="40">
        <v>2</v>
      </c>
      <c r="N719" s="40">
        <v>2</v>
      </c>
      <c r="O719" s="40">
        <v>3</v>
      </c>
      <c r="P719" s="41">
        <v>1</v>
      </c>
      <c r="Q719" s="40">
        <v>2</v>
      </c>
      <c r="R719" s="40">
        <v>3</v>
      </c>
      <c r="S719" s="40">
        <v>3</v>
      </c>
      <c r="T719" s="40">
        <v>5</v>
      </c>
      <c r="U719" s="41">
        <v>2</v>
      </c>
      <c r="V719" s="40">
        <v>3</v>
      </c>
      <c r="W719" s="40">
        <v>2</v>
      </c>
      <c r="X719" s="40">
        <v>5</v>
      </c>
      <c r="Y719" s="41">
        <v>9</v>
      </c>
      <c r="Z719" s="40" t="s">
        <v>45</v>
      </c>
      <c r="AA719" s="40" t="s">
        <v>45</v>
      </c>
      <c r="AB719" s="40" t="s">
        <v>45</v>
      </c>
      <c r="AC719" s="40" t="s">
        <v>45</v>
      </c>
      <c r="AD719" s="40" t="s">
        <v>45</v>
      </c>
      <c r="AE719" s="40" t="s">
        <v>45</v>
      </c>
      <c r="AF719" s="40" t="s">
        <v>45</v>
      </c>
      <c r="AG719" s="41" t="s">
        <v>45</v>
      </c>
      <c r="AH719" s="40">
        <v>1</v>
      </c>
      <c r="AI719" s="40">
        <v>4</v>
      </c>
      <c r="AJ719" s="41">
        <v>7</v>
      </c>
      <c r="AK719" s="43" t="s">
        <v>45</v>
      </c>
      <c r="AL719" s="43" t="s">
        <v>635</v>
      </c>
      <c r="AM719" s="44">
        <f t="shared" si="78"/>
        <v>-1.7708028761658048</v>
      </c>
      <c r="AN719" s="44">
        <f t="shared" si="79"/>
        <v>-1.0946902264842799</v>
      </c>
      <c r="AO719" s="45">
        <f t="shared" si="80"/>
        <v>1</v>
      </c>
      <c r="AP719" s="46">
        <f t="shared" si="81"/>
        <v>0</v>
      </c>
      <c r="AQ719" s="44">
        <f>($AM$3*AM719+$AN$3*AN719+$AO$3*AO719+$AP$3*AP719)+$I$3*VLOOKUP(I719,COND!$A$2:$E$7,4,FALSE)+$J$3*VLOOKUP(J719,COND!$A$2:$C$7,2,FALSE)+$K$3*VLOOKUP(K719,COND!$A$2:$C$7,3,FALSE)+IF(AND($B$2&gt;0,$E719&lt;20),$B$2*25,0)</f>
        <v>32.078303661238721</v>
      </c>
      <c r="AR719" s="47">
        <f t="shared" si="82"/>
        <v>-2.6723725896079062</v>
      </c>
      <c r="AS719" s="45" t="str">
        <f t="shared" si="83"/>
        <v>DH</v>
      </c>
      <c r="AT719" s="45">
        <f>RANK(Batters[[#This Row],[zScore]],Batters[[#All],[zScore]])</f>
        <v>715</v>
      </c>
      <c r="AU719" s="45"/>
      <c r="AV719" s="45"/>
      <c r="AW719" s="45" t="str">
        <f t="shared" si="84"/>
        <v>Unlikely</v>
      </c>
      <c r="AX719" s="45"/>
      <c r="AY719" s="45" t="str">
        <f>INDEX(Table5[[#All],[Ovr]],MATCH(Batters[[#This Row],[PID]],Table5[[#All],[PID]],0))</f>
        <v/>
      </c>
      <c r="AZ719" s="45" t="str">
        <f>INDEX(Table5[[#All],[Rnd]],MATCH(Batters[[#This Row],[PID]],Table5[[#All],[PID]],0))</f>
        <v/>
      </c>
      <c r="BA719" s="45" t="str">
        <f>INDEX(Table5[[#All],[Pick]],MATCH(Batters[[#This Row],[PID]],Table5[[#All],[PID]],0))</f>
        <v/>
      </c>
      <c r="BB719" s="45" t="str">
        <f>INDEX(Table5[[#All],[Team]],MATCH(Batters[[#This Row],[PID]],Table5[[#All],[PID]],0))</f>
        <v/>
      </c>
    </row>
    <row r="720" spans="1:54" ht="30" x14ac:dyDescent="0.25">
      <c r="A720" s="40">
        <v>18051</v>
      </c>
      <c r="B720" s="40" t="s">
        <v>86</v>
      </c>
      <c r="C720" s="40" t="s">
        <v>318</v>
      </c>
      <c r="D720" s="40" t="s">
        <v>409</v>
      </c>
      <c r="E720" s="40">
        <v>22</v>
      </c>
      <c r="F720" s="40" t="s">
        <v>53</v>
      </c>
      <c r="G720" s="40" t="s">
        <v>42</v>
      </c>
      <c r="H720" s="41" t="s">
        <v>638</v>
      </c>
      <c r="I720" s="65" t="s">
        <v>43</v>
      </c>
      <c r="J720" s="66" t="s">
        <v>44</v>
      </c>
      <c r="K720" s="67" t="s">
        <v>43</v>
      </c>
      <c r="L720" s="40">
        <v>1</v>
      </c>
      <c r="M720" s="40">
        <v>3</v>
      </c>
      <c r="N720" s="40">
        <v>3</v>
      </c>
      <c r="O720" s="40">
        <v>3</v>
      </c>
      <c r="P720" s="41">
        <v>1</v>
      </c>
      <c r="Q720" s="40">
        <v>2</v>
      </c>
      <c r="R720" s="40">
        <v>4</v>
      </c>
      <c r="S720" s="40">
        <v>3</v>
      </c>
      <c r="T720" s="40">
        <v>4</v>
      </c>
      <c r="U720" s="41">
        <v>2</v>
      </c>
      <c r="V720" s="40">
        <v>6</v>
      </c>
      <c r="W720" s="40">
        <v>6</v>
      </c>
      <c r="X720" s="40">
        <v>7</v>
      </c>
      <c r="Y720" s="41">
        <v>7</v>
      </c>
      <c r="Z720" s="40">
        <v>4</v>
      </c>
      <c r="AA720" s="40" t="s">
        <v>45</v>
      </c>
      <c r="AB720" s="40" t="s">
        <v>45</v>
      </c>
      <c r="AC720" s="40" t="s">
        <v>45</v>
      </c>
      <c r="AD720" s="40" t="s">
        <v>45</v>
      </c>
      <c r="AE720" s="40" t="s">
        <v>45</v>
      </c>
      <c r="AF720" s="40" t="s">
        <v>45</v>
      </c>
      <c r="AG720" s="41" t="s">
        <v>45</v>
      </c>
      <c r="AH720" s="40">
        <v>1</v>
      </c>
      <c r="AI720" s="40">
        <v>4</v>
      </c>
      <c r="AJ720" s="41">
        <v>5</v>
      </c>
      <c r="AK720" s="43" t="s">
        <v>45</v>
      </c>
      <c r="AL720" s="43" t="s">
        <v>47</v>
      </c>
      <c r="AM720" s="44">
        <f t="shared" si="78"/>
        <v>-1.6366815025231998</v>
      </c>
      <c r="AN720" s="44">
        <f t="shared" si="79"/>
        <v>-1.1333398968751573</v>
      </c>
      <c r="AO720" s="45">
        <f t="shared" si="80"/>
        <v>0</v>
      </c>
      <c r="AP720" s="46">
        <f t="shared" si="81"/>
        <v>1.1000000000000001</v>
      </c>
      <c r="AQ720" s="44">
        <f>($AM$3*AM720+$AN$3*AN720+$AO$3*AO720+$AP$3*AP720)+$I$3*VLOOKUP(I720,COND!$A$2:$E$7,4,FALSE)+$J$3*VLOOKUP(J720,COND!$A$2:$C$7,2,FALSE)+$K$3*VLOOKUP(K720,COND!$A$2:$C$7,3,FALSE)+IF(AND($B$2&gt;0,$E720&lt;20),$B$2*25,0)</f>
        <v>32.03625308724579</v>
      </c>
      <c r="AR720" s="47">
        <f t="shared" si="82"/>
        <v>-2.6816954860976403</v>
      </c>
      <c r="AS720" s="45" t="str">
        <f t="shared" si="83"/>
        <v>C</v>
      </c>
      <c r="AT720" s="45">
        <f>RANK(Batters[[#This Row],[zScore]],Batters[[#All],[zScore]])</f>
        <v>716</v>
      </c>
      <c r="AU720" s="45"/>
      <c r="AV720" s="45"/>
      <c r="AW720" s="45" t="str">
        <f t="shared" si="84"/>
        <v>Unlikely</v>
      </c>
      <c r="AX720" s="45"/>
      <c r="AY720" s="45" t="str">
        <f>INDEX(Table5[[#All],[Ovr]],MATCH(Batters[[#This Row],[PID]],Table5[[#All],[PID]],0))</f>
        <v/>
      </c>
      <c r="AZ720" s="45" t="str">
        <f>INDEX(Table5[[#All],[Rnd]],MATCH(Batters[[#This Row],[PID]],Table5[[#All],[PID]],0))</f>
        <v/>
      </c>
      <c r="BA720" s="45" t="str">
        <f>INDEX(Table5[[#All],[Pick]],MATCH(Batters[[#This Row],[PID]],Table5[[#All],[PID]],0))</f>
        <v/>
      </c>
      <c r="BB720" s="45" t="str">
        <f>INDEX(Table5[[#All],[Team]],MATCH(Batters[[#This Row],[PID]],Table5[[#All],[PID]],0))</f>
        <v/>
      </c>
    </row>
    <row r="721" spans="1:54" ht="30" x14ac:dyDescent="0.25">
      <c r="A721" s="40">
        <v>12664</v>
      </c>
      <c r="B721" s="40" t="s">
        <v>87</v>
      </c>
      <c r="C721" s="40" t="s">
        <v>545</v>
      </c>
      <c r="D721" s="40" t="s">
        <v>922</v>
      </c>
      <c r="E721" s="40">
        <v>22</v>
      </c>
      <c r="F721" s="40" t="s">
        <v>42</v>
      </c>
      <c r="G721" s="40" t="s">
        <v>42</v>
      </c>
      <c r="H721" s="41" t="s">
        <v>647</v>
      </c>
      <c r="I721" s="65" t="s">
        <v>43</v>
      </c>
      <c r="J721" s="66" t="s">
        <v>44</v>
      </c>
      <c r="K721" s="67" t="s">
        <v>43</v>
      </c>
      <c r="L721" s="40">
        <v>2</v>
      </c>
      <c r="M721" s="40">
        <v>2</v>
      </c>
      <c r="N721" s="40">
        <v>2</v>
      </c>
      <c r="O721" s="40">
        <v>1</v>
      </c>
      <c r="P721" s="41">
        <v>3</v>
      </c>
      <c r="Q721" s="40">
        <v>3</v>
      </c>
      <c r="R721" s="40">
        <v>3</v>
      </c>
      <c r="S721" s="40">
        <v>2</v>
      </c>
      <c r="T721" s="40">
        <v>2</v>
      </c>
      <c r="U721" s="41">
        <v>4</v>
      </c>
      <c r="V721" s="40">
        <v>5</v>
      </c>
      <c r="W721" s="40">
        <v>4</v>
      </c>
      <c r="X721" s="40">
        <v>1</v>
      </c>
      <c r="Y721" s="41">
        <v>1</v>
      </c>
      <c r="Z721" s="40" t="s">
        <v>45</v>
      </c>
      <c r="AA721" s="40" t="s">
        <v>45</v>
      </c>
      <c r="AB721" s="40" t="s">
        <v>45</v>
      </c>
      <c r="AC721" s="40" t="s">
        <v>45</v>
      </c>
      <c r="AD721" s="40" t="s">
        <v>45</v>
      </c>
      <c r="AE721" s="40" t="s">
        <v>45</v>
      </c>
      <c r="AF721" s="40" t="s">
        <v>45</v>
      </c>
      <c r="AG721" s="41" t="s">
        <v>45</v>
      </c>
      <c r="AH721" s="40">
        <v>1</v>
      </c>
      <c r="AI721" s="40">
        <v>1</v>
      </c>
      <c r="AJ721" s="41">
        <v>1</v>
      </c>
      <c r="AK721" s="43" t="s">
        <v>45</v>
      </c>
      <c r="AL721" s="43"/>
      <c r="AM721" s="44">
        <f t="shared" si="78"/>
        <v>-1.5476334603481254</v>
      </c>
      <c r="AN721" s="44">
        <f t="shared" si="79"/>
        <v>-1.0442918547000826</v>
      </c>
      <c r="AO721" s="45">
        <f t="shared" si="80"/>
        <v>0</v>
      </c>
      <c r="AP721" s="46">
        <f t="shared" si="81"/>
        <v>0</v>
      </c>
      <c r="AQ721" s="44">
        <f>($AM$3*AM721+$AN$3*AN721+$AO$3*AO721+$AP$3*AP721)+$I$3*VLOOKUP(I721,COND!$A$2:$E$7,4,FALSE)+$J$3*VLOOKUP(J721,COND!$A$2:$C$7,2,FALSE)+$K$3*VLOOKUP(K721,COND!$A$2:$C$7,3,FALSE)+IF(AND($B$2&gt;0,$E721&lt;20),$B$2*25,0)</f>
        <v>32.013734397564193</v>
      </c>
      <c r="AR721" s="47">
        <f t="shared" si="82"/>
        <v>-2.6866880318122663</v>
      </c>
      <c r="AS721" s="45" t="str">
        <f t="shared" si="83"/>
        <v>DH</v>
      </c>
      <c r="AT721" s="45">
        <f>RANK(Batters[[#This Row],[zScore]],Batters[[#All],[zScore]])</f>
        <v>717</v>
      </c>
      <c r="AU721" s="45"/>
      <c r="AV721" s="45"/>
      <c r="AW721" s="45" t="str">
        <f t="shared" si="84"/>
        <v>Unlikely</v>
      </c>
      <c r="AX721" s="45"/>
      <c r="AY721" s="64" t="str">
        <f>INDEX(Table5[[#All],[Ovr]],MATCH(Batters[[#This Row],[PID]],Table5[[#All],[PID]],0))</f>
        <v/>
      </c>
      <c r="AZ721" s="64" t="str">
        <f>INDEX(Table5[[#All],[Rnd]],MATCH(Batters[[#This Row],[PID]],Table5[[#All],[PID]],0))</f>
        <v/>
      </c>
      <c r="BA721" s="64" t="str">
        <f>INDEX(Table5[[#All],[Pick]],MATCH(Batters[[#This Row],[PID]],Table5[[#All],[PID]],0))</f>
        <v/>
      </c>
      <c r="BB721" s="64" t="str">
        <f>INDEX(Table5[[#All],[Team]],MATCH(Batters[[#This Row],[PID]],Table5[[#All],[PID]],0))</f>
        <v/>
      </c>
    </row>
    <row r="722" spans="1:54" ht="30" x14ac:dyDescent="0.25">
      <c r="A722" s="40">
        <v>16936</v>
      </c>
      <c r="B722" s="40" t="s">
        <v>87</v>
      </c>
      <c r="C722" s="40" t="s">
        <v>171</v>
      </c>
      <c r="D722" s="40" t="s">
        <v>1121</v>
      </c>
      <c r="E722" s="40">
        <v>21</v>
      </c>
      <c r="F722" s="40" t="s">
        <v>42</v>
      </c>
      <c r="G722" s="40" t="s">
        <v>42</v>
      </c>
      <c r="H722" s="41" t="s">
        <v>647</v>
      </c>
      <c r="I722" s="65" t="s">
        <v>43</v>
      </c>
      <c r="J722" s="66" t="s">
        <v>47</v>
      </c>
      <c r="K722" s="67" t="s">
        <v>43</v>
      </c>
      <c r="L722" s="40">
        <v>1</v>
      </c>
      <c r="M722" s="40">
        <v>1</v>
      </c>
      <c r="N722" s="40">
        <v>2</v>
      </c>
      <c r="O722" s="40">
        <v>3</v>
      </c>
      <c r="P722" s="41">
        <v>1</v>
      </c>
      <c r="Q722" s="40">
        <v>2</v>
      </c>
      <c r="R722" s="40">
        <v>3</v>
      </c>
      <c r="S722" s="40">
        <v>3</v>
      </c>
      <c r="T722" s="40">
        <v>5</v>
      </c>
      <c r="U722" s="41">
        <v>2</v>
      </c>
      <c r="V722" s="40">
        <v>3</v>
      </c>
      <c r="W722" s="40">
        <v>3</v>
      </c>
      <c r="X722" s="40">
        <v>4</v>
      </c>
      <c r="Y722" s="41">
        <v>4</v>
      </c>
      <c r="Z722" s="40" t="s">
        <v>45</v>
      </c>
      <c r="AA722" s="40">
        <v>1</v>
      </c>
      <c r="AB722" s="40" t="s">
        <v>45</v>
      </c>
      <c r="AC722" s="40" t="s">
        <v>45</v>
      </c>
      <c r="AD722" s="40" t="s">
        <v>45</v>
      </c>
      <c r="AE722" s="40" t="s">
        <v>45</v>
      </c>
      <c r="AF722" s="40" t="s">
        <v>45</v>
      </c>
      <c r="AG722" s="41" t="s">
        <v>45</v>
      </c>
      <c r="AH722" s="40">
        <v>1</v>
      </c>
      <c r="AI722" s="40">
        <v>2</v>
      </c>
      <c r="AJ722" s="41">
        <v>5</v>
      </c>
      <c r="AK722" s="43" t="s">
        <v>45</v>
      </c>
      <c r="AL722" s="43"/>
      <c r="AM722" s="44">
        <f t="shared" si="78"/>
        <v>-1.8218627557845084</v>
      </c>
      <c r="AN722" s="44">
        <f t="shared" si="79"/>
        <v>-1.0946902264842799</v>
      </c>
      <c r="AO722" s="45">
        <f t="shared" si="80"/>
        <v>0</v>
      </c>
      <c r="AP722" s="46">
        <f t="shared" si="81"/>
        <v>0</v>
      </c>
      <c r="AQ722" s="44">
        <f>($AM$3*AM722+$AN$3*AN722+$AO$3*AO722+$AP$3*AP722)+$I$3*VLOOKUP(I722,COND!$A$2:$E$7,4,FALSE)+$J$3*VLOOKUP(J722,COND!$A$2:$C$7,2,FALSE)+$K$3*VLOOKUP(K722,COND!$A$2:$C$7,3,FALSE)+IF(AND($B$2&gt;0,$E722&lt;20),$B$2*25,0)</f>
        <v>31.98153100661019</v>
      </c>
      <c r="AR722" s="47">
        <f t="shared" si="82"/>
        <v>-2.6938277412614897</v>
      </c>
      <c r="AS722" s="45" t="str">
        <f t="shared" si="83"/>
        <v>1B</v>
      </c>
      <c r="AT722" s="45">
        <f>RANK(Batters[[#This Row],[zScore]],Batters[[#All],[zScore]])</f>
        <v>718</v>
      </c>
      <c r="AU722" s="45"/>
      <c r="AV722" s="45"/>
      <c r="AW722" s="45" t="str">
        <f t="shared" si="84"/>
        <v>Unlikely</v>
      </c>
      <c r="AX722" s="45"/>
      <c r="AY722" s="64" t="str">
        <f>INDEX(Table5[[#All],[Ovr]],MATCH(Batters[[#This Row],[PID]],Table5[[#All],[PID]],0))</f>
        <v/>
      </c>
      <c r="AZ722" s="64" t="str">
        <f>INDEX(Table5[[#All],[Rnd]],MATCH(Batters[[#This Row],[PID]],Table5[[#All],[PID]],0))</f>
        <v/>
      </c>
      <c r="BA722" s="64" t="str">
        <f>INDEX(Table5[[#All],[Pick]],MATCH(Batters[[#This Row],[PID]],Table5[[#All],[PID]],0))</f>
        <v/>
      </c>
      <c r="BB722" s="64" t="str">
        <f>INDEX(Table5[[#All],[Team]],MATCH(Batters[[#This Row],[PID]],Table5[[#All],[PID]],0))</f>
        <v/>
      </c>
    </row>
    <row r="723" spans="1:54" ht="30" x14ac:dyDescent="0.25">
      <c r="A723" s="40">
        <v>4761</v>
      </c>
      <c r="B723" s="40" t="s">
        <v>86</v>
      </c>
      <c r="C723" s="40" t="s">
        <v>178</v>
      </c>
      <c r="D723" s="40" t="s">
        <v>933</v>
      </c>
      <c r="E723" s="40">
        <v>22</v>
      </c>
      <c r="F723" s="40" t="s">
        <v>53</v>
      </c>
      <c r="G723" s="40" t="s">
        <v>42</v>
      </c>
      <c r="H723" s="41" t="s">
        <v>638</v>
      </c>
      <c r="I723" s="65" t="s">
        <v>43</v>
      </c>
      <c r="J723" s="66" t="s">
        <v>43</v>
      </c>
      <c r="K723" s="67" t="s">
        <v>43</v>
      </c>
      <c r="L723" s="40">
        <v>1</v>
      </c>
      <c r="M723" s="40">
        <v>3</v>
      </c>
      <c r="N723" s="40">
        <v>2</v>
      </c>
      <c r="O723" s="40">
        <v>2</v>
      </c>
      <c r="P723" s="41">
        <v>1</v>
      </c>
      <c r="Q723" s="40">
        <v>2</v>
      </c>
      <c r="R723" s="40">
        <v>3</v>
      </c>
      <c r="S723" s="40">
        <v>3</v>
      </c>
      <c r="T723" s="40">
        <v>4</v>
      </c>
      <c r="U723" s="41">
        <v>2</v>
      </c>
      <c r="V723" s="40">
        <v>3</v>
      </c>
      <c r="W723" s="40">
        <v>2</v>
      </c>
      <c r="X723" s="40">
        <v>6</v>
      </c>
      <c r="Y723" s="41">
        <v>8</v>
      </c>
      <c r="Z723" s="40">
        <v>3</v>
      </c>
      <c r="AA723" s="40" t="s">
        <v>45</v>
      </c>
      <c r="AB723" s="40" t="s">
        <v>45</v>
      </c>
      <c r="AC723" s="40" t="s">
        <v>45</v>
      </c>
      <c r="AD723" s="40" t="s">
        <v>45</v>
      </c>
      <c r="AE723" s="40" t="s">
        <v>45</v>
      </c>
      <c r="AF723" s="40" t="s">
        <v>45</v>
      </c>
      <c r="AG723" s="41" t="s">
        <v>45</v>
      </c>
      <c r="AH723" s="40">
        <v>1</v>
      </c>
      <c r="AI723" s="40">
        <v>5</v>
      </c>
      <c r="AJ723" s="41">
        <v>2</v>
      </c>
      <c r="AK723" s="43" t="s">
        <v>45</v>
      </c>
      <c r="AL723" s="43" t="s">
        <v>47</v>
      </c>
      <c r="AM723" s="44">
        <f t="shared" si="78"/>
        <v>-1.8094525465566824</v>
      </c>
      <c r="AN723" s="44">
        <f t="shared" si="79"/>
        <v>-1.1843997764938607</v>
      </c>
      <c r="AO723" s="45">
        <f t="shared" si="80"/>
        <v>0</v>
      </c>
      <c r="AP723" s="46">
        <f t="shared" si="81"/>
        <v>1.35</v>
      </c>
      <c r="AQ723" s="44">
        <f>($AM$3*AM723+$AN$3*AN723+$AO$3*AO723+$AP$3*AP723)+$I$3*VLOOKUP(I723,COND!$A$2:$E$7,4,FALSE)+$J$3*VLOOKUP(J723,COND!$A$2:$C$7,2,FALSE)+$K$3*VLOOKUP(K723,COND!$A$2:$C$7,3,FALSE)+IF(AND($B$2&gt;0,$E723&lt;20),$B$2*25,0)</f>
        <v>31.956257427418002</v>
      </c>
      <c r="AR723" s="47">
        <f t="shared" si="82"/>
        <v>-2.6994310646019386</v>
      </c>
      <c r="AS723" s="45" t="str">
        <f t="shared" si="83"/>
        <v>C</v>
      </c>
      <c r="AT723" s="45">
        <f>RANK(Batters[[#This Row],[zScore]],Batters[[#All],[zScore]])</f>
        <v>719</v>
      </c>
      <c r="AU723" s="45"/>
      <c r="AV723" s="45"/>
      <c r="AW723" s="45" t="str">
        <f t="shared" si="84"/>
        <v>Unlikely</v>
      </c>
      <c r="AX723" s="45"/>
      <c r="AY723" s="45" t="str">
        <f>INDEX(Table5[[#All],[Ovr]],MATCH(Batters[[#This Row],[PID]],Table5[[#All],[PID]],0))</f>
        <v/>
      </c>
      <c r="AZ723" s="45" t="str">
        <f>INDEX(Table5[[#All],[Rnd]],MATCH(Batters[[#This Row],[PID]],Table5[[#All],[PID]],0))</f>
        <v/>
      </c>
      <c r="BA723" s="45" t="str">
        <f>INDEX(Table5[[#All],[Pick]],MATCH(Batters[[#This Row],[PID]],Table5[[#All],[PID]],0))</f>
        <v/>
      </c>
      <c r="BB723" s="45" t="str">
        <f>INDEX(Table5[[#All],[Team]],MATCH(Batters[[#This Row],[PID]],Table5[[#All],[PID]],0))</f>
        <v/>
      </c>
    </row>
    <row r="724" spans="1:54" ht="30" x14ac:dyDescent="0.25">
      <c r="A724" s="40">
        <v>2795</v>
      </c>
      <c r="B724" s="40" t="s">
        <v>86</v>
      </c>
      <c r="C724" s="40" t="s">
        <v>897</v>
      </c>
      <c r="D724" s="40" t="s">
        <v>828</v>
      </c>
      <c r="E724" s="40">
        <v>22</v>
      </c>
      <c r="F724" s="40" t="s">
        <v>62</v>
      </c>
      <c r="G724" s="40" t="s">
        <v>42</v>
      </c>
      <c r="H724" s="41" t="s">
        <v>638</v>
      </c>
      <c r="I724" s="65" t="s">
        <v>43</v>
      </c>
      <c r="J724" s="66" t="s">
        <v>44</v>
      </c>
      <c r="K724" s="67" t="s">
        <v>43</v>
      </c>
      <c r="L724" s="40">
        <v>2</v>
      </c>
      <c r="M724" s="40">
        <v>3</v>
      </c>
      <c r="N724" s="40">
        <v>2</v>
      </c>
      <c r="O724" s="40">
        <v>3</v>
      </c>
      <c r="P724" s="41">
        <v>1</v>
      </c>
      <c r="Q724" s="40">
        <v>2</v>
      </c>
      <c r="R724" s="40">
        <v>3</v>
      </c>
      <c r="S724" s="40">
        <v>3</v>
      </c>
      <c r="T724" s="40">
        <v>5</v>
      </c>
      <c r="U724" s="41">
        <v>3</v>
      </c>
      <c r="V724" s="40">
        <v>3</v>
      </c>
      <c r="W724" s="40">
        <v>1</v>
      </c>
      <c r="X724" s="40">
        <v>4</v>
      </c>
      <c r="Y724" s="41">
        <v>8</v>
      </c>
      <c r="Z724" s="40">
        <v>2</v>
      </c>
      <c r="AA724" s="40" t="s">
        <v>45</v>
      </c>
      <c r="AB724" s="40" t="s">
        <v>45</v>
      </c>
      <c r="AC724" s="40" t="s">
        <v>45</v>
      </c>
      <c r="AD724" s="40" t="s">
        <v>45</v>
      </c>
      <c r="AE724" s="40" t="s">
        <v>45</v>
      </c>
      <c r="AF724" s="40" t="s">
        <v>45</v>
      </c>
      <c r="AG724" s="41" t="s">
        <v>45</v>
      </c>
      <c r="AH724" s="40">
        <v>1</v>
      </c>
      <c r="AI724" s="40">
        <v>1</v>
      </c>
      <c r="AJ724" s="41">
        <v>1</v>
      </c>
      <c r="AK724" s="43" t="s">
        <v>45</v>
      </c>
      <c r="AL724" s="43" t="s">
        <v>635</v>
      </c>
      <c r="AM724" s="44">
        <f t="shared" si="78"/>
        <v>-1.3971871603444268</v>
      </c>
      <c r="AN724" s="44">
        <f t="shared" si="79"/>
        <v>-1.0546738866671965</v>
      </c>
      <c r="AO724" s="45">
        <f t="shared" si="80"/>
        <v>0</v>
      </c>
      <c r="AP724" s="46">
        <f t="shared" si="81"/>
        <v>0</v>
      </c>
      <c r="AQ724" s="44">
        <f>($AM$3*AM724+$AN$3*AN724+$AO$3*AO724+$AP$3*AP724)+$I$3*VLOOKUP(I724,COND!$A$2:$E$7,4,FALSE)+$J$3*VLOOKUP(J724,COND!$A$2:$C$7,2,FALSE)+$K$3*VLOOKUP(K724,COND!$A$2:$C$7,3,FALSE)+IF(AND($B$2&gt;0,$E724&lt;20),$B$2*25,0)</f>
        <v>31.904194643959201</v>
      </c>
      <c r="AR724" s="47">
        <f t="shared" si="82"/>
        <v>-2.7109737356065109</v>
      </c>
      <c r="AS724" s="45" t="str">
        <f t="shared" si="83"/>
        <v>C</v>
      </c>
      <c r="AT724" s="45">
        <f>RANK(Batters[[#This Row],[zScore]],Batters[[#All],[zScore]])</f>
        <v>720</v>
      </c>
      <c r="AU724" s="45"/>
      <c r="AV724" s="45"/>
      <c r="AW724" s="45" t="str">
        <f t="shared" si="84"/>
        <v>Unlikely</v>
      </c>
      <c r="AX724" s="45"/>
      <c r="AY724" s="45" t="str">
        <f>INDEX(Table5[[#All],[Ovr]],MATCH(Batters[[#This Row],[PID]],Table5[[#All],[PID]],0))</f>
        <v/>
      </c>
      <c r="AZ724" s="45" t="str">
        <f>INDEX(Table5[[#All],[Rnd]],MATCH(Batters[[#This Row],[PID]],Table5[[#All],[PID]],0))</f>
        <v/>
      </c>
      <c r="BA724" s="45" t="str">
        <f>INDEX(Table5[[#All],[Pick]],MATCH(Batters[[#This Row],[PID]],Table5[[#All],[PID]],0))</f>
        <v/>
      </c>
      <c r="BB724" s="45" t="str">
        <f>INDEX(Table5[[#All],[Team]],MATCH(Batters[[#This Row],[PID]],Table5[[#All],[PID]],0))</f>
        <v/>
      </c>
    </row>
    <row r="725" spans="1:54" ht="30" x14ac:dyDescent="0.25">
      <c r="A725" s="40">
        <v>9865</v>
      </c>
      <c r="B725" s="40" t="s">
        <v>71</v>
      </c>
      <c r="C725" s="40" t="s">
        <v>934</v>
      </c>
      <c r="D725" s="40" t="s">
        <v>935</v>
      </c>
      <c r="E725" s="40">
        <v>22</v>
      </c>
      <c r="F725" s="40" t="s">
        <v>42</v>
      </c>
      <c r="G725" s="40" t="s">
        <v>42</v>
      </c>
      <c r="H725" s="41" t="s">
        <v>639</v>
      </c>
      <c r="I725" s="65" t="s">
        <v>43</v>
      </c>
      <c r="J725" s="66" t="s">
        <v>43</v>
      </c>
      <c r="K725" s="67" t="s">
        <v>43</v>
      </c>
      <c r="L725" s="40">
        <v>1</v>
      </c>
      <c r="M725" s="40">
        <v>2</v>
      </c>
      <c r="N725" s="40">
        <v>3</v>
      </c>
      <c r="O725" s="40">
        <v>2</v>
      </c>
      <c r="P725" s="41">
        <v>1</v>
      </c>
      <c r="Q725" s="40">
        <v>2</v>
      </c>
      <c r="R725" s="40">
        <v>3</v>
      </c>
      <c r="S725" s="40">
        <v>4</v>
      </c>
      <c r="T725" s="40">
        <v>4</v>
      </c>
      <c r="U725" s="41">
        <v>2</v>
      </c>
      <c r="V725" s="40">
        <v>8</v>
      </c>
      <c r="W725" s="40">
        <v>7</v>
      </c>
      <c r="X725" s="40">
        <v>1</v>
      </c>
      <c r="Y725" s="41">
        <v>1</v>
      </c>
      <c r="Z725" s="40" t="s">
        <v>45</v>
      </c>
      <c r="AA725" s="40" t="s">
        <v>45</v>
      </c>
      <c r="AB725" s="40">
        <v>3</v>
      </c>
      <c r="AC725" s="40" t="s">
        <v>45</v>
      </c>
      <c r="AD725" s="40" t="s">
        <v>45</v>
      </c>
      <c r="AE725" s="40" t="s">
        <v>45</v>
      </c>
      <c r="AF725" s="40" t="s">
        <v>45</v>
      </c>
      <c r="AG725" s="41" t="s">
        <v>45</v>
      </c>
      <c r="AH725" s="40">
        <v>4</v>
      </c>
      <c r="AI725" s="40">
        <v>7</v>
      </c>
      <c r="AJ725" s="41">
        <v>8</v>
      </c>
      <c r="AK725" s="43" t="s">
        <v>45</v>
      </c>
      <c r="AL725" s="43"/>
      <c r="AM725" s="44">
        <f t="shared" si="78"/>
        <v>-1.7774509321514844</v>
      </c>
      <c r="AN725" s="44">
        <f t="shared" si="79"/>
        <v>-1.1013382824699594</v>
      </c>
      <c r="AO725" s="45">
        <f t="shared" si="80"/>
        <v>1</v>
      </c>
      <c r="AP725" s="46">
        <f t="shared" si="81"/>
        <v>0</v>
      </c>
      <c r="AQ725" s="44">
        <f>($AM$3*AM725+$AN$3*AN725+$AO$3*AO725+$AP$3*AP725)+$I$3*VLOOKUP(I725,COND!$A$2:$E$7,4,FALSE)+$J$3*VLOOKUP(J725,COND!$A$2:$C$7,2,FALSE)+$K$3*VLOOKUP(K725,COND!$A$2:$C$7,3,FALSE)+IF(AND($B$2&gt;0,$E725&lt;20),$B$2*25,0)</f>
        <v>31.772862183812006</v>
      </c>
      <c r="AR725" s="47">
        <f t="shared" si="82"/>
        <v>-2.7400910297461873</v>
      </c>
      <c r="AS725" s="45" t="str">
        <f t="shared" si="83"/>
        <v>2B</v>
      </c>
      <c r="AT725" s="45">
        <f>RANK(Batters[[#This Row],[zScore]],Batters[[#All],[zScore]])</f>
        <v>721</v>
      </c>
      <c r="AU725" s="45"/>
      <c r="AV725" s="45"/>
      <c r="AW725" s="45" t="str">
        <f t="shared" si="84"/>
        <v>Unlikely</v>
      </c>
      <c r="AX725" s="45"/>
      <c r="AY725" s="64" t="str">
        <f>INDEX(Table5[[#All],[Ovr]],MATCH(Batters[[#This Row],[PID]],Table5[[#All],[PID]],0))</f>
        <v/>
      </c>
      <c r="AZ725" s="64" t="str">
        <f>INDEX(Table5[[#All],[Rnd]],MATCH(Batters[[#This Row],[PID]],Table5[[#All],[PID]],0))</f>
        <v/>
      </c>
      <c r="BA725" s="64" t="str">
        <f>INDEX(Table5[[#All],[Pick]],MATCH(Batters[[#This Row],[PID]],Table5[[#All],[PID]],0))</f>
        <v/>
      </c>
      <c r="BB725" s="64" t="str">
        <f>INDEX(Table5[[#All],[Team]],MATCH(Batters[[#This Row],[PID]],Table5[[#All],[PID]],0))</f>
        <v/>
      </c>
    </row>
    <row r="726" spans="1:54" ht="30" x14ac:dyDescent="0.25">
      <c r="A726" s="40">
        <v>16931</v>
      </c>
      <c r="B726" s="40" t="s">
        <v>87</v>
      </c>
      <c r="C726" s="40" t="s">
        <v>1751</v>
      </c>
      <c r="D726" s="40" t="s">
        <v>677</v>
      </c>
      <c r="E726" s="40">
        <v>21</v>
      </c>
      <c r="F726" s="40" t="s">
        <v>42</v>
      </c>
      <c r="G726" s="40" t="s">
        <v>42</v>
      </c>
      <c r="H726" s="41" t="s">
        <v>647</v>
      </c>
      <c r="I726" s="65" t="s">
        <v>43</v>
      </c>
      <c r="J726" s="66" t="s">
        <v>44</v>
      </c>
      <c r="K726" s="67" t="s">
        <v>43</v>
      </c>
      <c r="L726" s="40">
        <v>1</v>
      </c>
      <c r="M726" s="40">
        <v>1</v>
      </c>
      <c r="N726" s="40">
        <v>2</v>
      </c>
      <c r="O726" s="40">
        <v>2</v>
      </c>
      <c r="P726" s="41">
        <v>1</v>
      </c>
      <c r="Q726" s="40">
        <v>2</v>
      </c>
      <c r="R726" s="40">
        <v>2</v>
      </c>
      <c r="S726" s="40">
        <v>3</v>
      </c>
      <c r="T726" s="40">
        <v>4</v>
      </c>
      <c r="U726" s="41">
        <v>3</v>
      </c>
      <c r="V726" s="40">
        <v>5</v>
      </c>
      <c r="W726" s="40">
        <v>5</v>
      </c>
      <c r="X726" s="40">
        <v>6</v>
      </c>
      <c r="Y726" s="41">
        <v>7</v>
      </c>
      <c r="Z726" s="40">
        <v>2</v>
      </c>
      <c r="AA726" s="40">
        <v>2</v>
      </c>
      <c r="AB726" s="40">
        <v>1</v>
      </c>
      <c r="AC726" s="40" t="s">
        <v>45</v>
      </c>
      <c r="AD726" s="40" t="s">
        <v>45</v>
      </c>
      <c r="AE726" s="40" t="s">
        <v>45</v>
      </c>
      <c r="AF726" s="40" t="s">
        <v>45</v>
      </c>
      <c r="AG726" s="41" t="s">
        <v>45</v>
      </c>
      <c r="AH726" s="40">
        <v>10</v>
      </c>
      <c r="AI726" s="40">
        <v>8</v>
      </c>
      <c r="AJ726" s="41">
        <v>4</v>
      </c>
      <c r="AK726" s="43" t="s">
        <v>643</v>
      </c>
      <c r="AL726" s="43"/>
      <c r="AM726" s="44">
        <f t="shared" si="78"/>
        <v>-1.9115723057940897</v>
      </c>
      <c r="AN726" s="44">
        <f t="shared" si="79"/>
        <v>-1.1954433162954807</v>
      </c>
      <c r="AO726" s="45">
        <f t="shared" si="80"/>
        <v>3</v>
      </c>
      <c r="AP726" s="46">
        <f t="shared" si="81"/>
        <v>1.1000000000000001</v>
      </c>
      <c r="AQ726" s="44">
        <f>($AM$3*AM726+$AN$3*AN726+$AO$3*AO726+$AP$3*AP726)+$I$3*VLOOKUP(I726,COND!$A$2:$E$7,4,FALSE)+$J$3*VLOOKUP(J726,COND!$A$2:$C$7,2,FALSE)+$K$3*VLOOKUP(K726,COND!$A$2:$C$7,3,FALSE)+IF(AND($B$2&gt;0,$E726&lt;20),$B$2*25,0)</f>
        <v>31.763522973874821</v>
      </c>
      <c r="AR726" s="47">
        <f t="shared" si="82"/>
        <v>-2.7421615957164618</v>
      </c>
      <c r="AS726" s="45" t="str">
        <f t="shared" si="83"/>
        <v>C</v>
      </c>
      <c r="AT726" s="45">
        <f>RANK(Batters[[#This Row],[zScore]],Batters[[#All],[zScore]])</f>
        <v>722</v>
      </c>
      <c r="AU726" s="45"/>
      <c r="AV726" s="45"/>
      <c r="AW726" s="45" t="str">
        <f t="shared" si="84"/>
        <v>Unlikely</v>
      </c>
      <c r="AX726" s="45"/>
      <c r="AY726" s="64" t="str">
        <f>INDEX(Table5[[#All],[Ovr]],MATCH(Batters[[#This Row],[PID]],Table5[[#All],[PID]],0))</f>
        <v/>
      </c>
      <c r="AZ726" s="64" t="str">
        <f>INDEX(Table5[[#All],[Rnd]],MATCH(Batters[[#This Row],[PID]],Table5[[#All],[PID]],0))</f>
        <v/>
      </c>
      <c r="BA726" s="64" t="str">
        <f>INDEX(Table5[[#All],[Pick]],MATCH(Batters[[#This Row],[PID]],Table5[[#All],[PID]],0))</f>
        <v/>
      </c>
      <c r="BB726" s="64" t="str">
        <f>INDEX(Table5[[#All],[Team]],MATCH(Batters[[#This Row],[PID]],Table5[[#All],[PID]],0))</f>
        <v/>
      </c>
    </row>
    <row r="727" spans="1:54" ht="30" x14ac:dyDescent="0.25">
      <c r="A727" s="40">
        <v>6929</v>
      </c>
      <c r="B727" s="40" t="s">
        <v>87</v>
      </c>
      <c r="C727" s="40" t="s">
        <v>545</v>
      </c>
      <c r="D727" s="40" t="s">
        <v>652</v>
      </c>
      <c r="E727" s="40">
        <v>22</v>
      </c>
      <c r="F727" s="40" t="s">
        <v>42</v>
      </c>
      <c r="G727" s="40" t="s">
        <v>42</v>
      </c>
      <c r="H727" s="41" t="s">
        <v>647</v>
      </c>
      <c r="I727" s="65" t="s">
        <v>43</v>
      </c>
      <c r="J727" s="66" t="s">
        <v>43</v>
      </c>
      <c r="K727" s="67" t="s">
        <v>43</v>
      </c>
      <c r="L727" s="40">
        <v>3</v>
      </c>
      <c r="M727" s="40">
        <v>2</v>
      </c>
      <c r="N727" s="40">
        <v>2</v>
      </c>
      <c r="O727" s="40">
        <v>1</v>
      </c>
      <c r="P727" s="41">
        <v>4</v>
      </c>
      <c r="Q727" s="40">
        <v>3</v>
      </c>
      <c r="R727" s="40">
        <v>3</v>
      </c>
      <c r="S727" s="40">
        <v>2</v>
      </c>
      <c r="T727" s="40">
        <v>1</v>
      </c>
      <c r="U727" s="41">
        <v>5</v>
      </c>
      <c r="V727" s="40">
        <v>5</v>
      </c>
      <c r="W727" s="40">
        <v>3</v>
      </c>
      <c r="X727" s="40">
        <v>1</v>
      </c>
      <c r="Y727" s="41">
        <v>1</v>
      </c>
      <c r="Z727" s="40" t="s">
        <v>45</v>
      </c>
      <c r="AA727" s="40" t="s">
        <v>45</v>
      </c>
      <c r="AB727" s="40" t="s">
        <v>45</v>
      </c>
      <c r="AC727" s="40" t="s">
        <v>45</v>
      </c>
      <c r="AD727" s="40" t="s">
        <v>45</v>
      </c>
      <c r="AE727" s="40" t="s">
        <v>45</v>
      </c>
      <c r="AF727" s="40" t="s">
        <v>45</v>
      </c>
      <c r="AG727" s="41" t="s">
        <v>45</v>
      </c>
      <c r="AH727" s="40">
        <v>1</v>
      </c>
      <c r="AI727" s="40">
        <v>1</v>
      </c>
      <c r="AJ727" s="41">
        <v>1</v>
      </c>
      <c r="AK727" s="43" t="s">
        <v>45</v>
      </c>
      <c r="AL727" s="43"/>
      <c r="AM727" s="44">
        <f t="shared" si="78"/>
        <v>-1.185061284328367</v>
      </c>
      <c r="AN727" s="44">
        <f t="shared" si="79"/>
        <v>-1.0939850648925802</v>
      </c>
      <c r="AO727" s="45">
        <f t="shared" si="80"/>
        <v>0</v>
      </c>
      <c r="AP727" s="46">
        <f t="shared" si="81"/>
        <v>0</v>
      </c>
      <c r="AQ727" s="44">
        <f>($AM$3*AM727+$AN$3*AN727+$AO$3*AO727+$AP$3*AP727)+$I$3*VLOOKUP(I727,COND!$A$2:$E$7,4,FALSE)+$J$3*VLOOKUP(J727,COND!$A$2:$C$7,2,FALSE)+$K$3*VLOOKUP(K727,COND!$A$2:$C$7,3,FALSE)+IF(AND($B$2&gt;0,$E727&lt;20),$B$2*25,0)</f>
        <v>31.753673092856204</v>
      </c>
      <c r="AR727" s="47">
        <f t="shared" si="82"/>
        <v>-2.7443453809173057</v>
      </c>
      <c r="AS727" s="45" t="str">
        <f t="shared" si="83"/>
        <v>DH</v>
      </c>
      <c r="AT727" s="45">
        <f>RANK(Batters[[#This Row],[zScore]],Batters[[#All],[zScore]])</f>
        <v>723</v>
      </c>
      <c r="AU727" s="45"/>
      <c r="AV727" s="45"/>
      <c r="AW727" s="45" t="str">
        <f t="shared" si="84"/>
        <v>Unlikely</v>
      </c>
      <c r="AX727" s="45"/>
      <c r="AY727" s="64" t="str">
        <f>INDEX(Table5[[#All],[Ovr]],MATCH(Batters[[#This Row],[PID]],Table5[[#All],[PID]],0))</f>
        <v/>
      </c>
      <c r="AZ727" s="64" t="str">
        <f>INDEX(Table5[[#All],[Rnd]],MATCH(Batters[[#This Row],[PID]],Table5[[#All],[PID]],0))</f>
        <v/>
      </c>
      <c r="BA727" s="64" t="str">
        <f>INDEX(Table5[[#All],[Pick]],MATCH(Batters[[#This Row],[PID]],Table5[[#All],[PID]],0))</f>
        <v/>
      </c>
      <c r="BB727" s="64" t="str">
        <f>INDEX(Table5[[#All],[Team]],MATCH(Batters[[#This Row],[PID]],Table5[[#All],[PID]],0))</f>
        <v/>
      </c>
    </row>
    <row r="728" spans="1:54" ht="30" x14ac:dyDescent="0.25">
      <c r="A728" s="40">
        <v>14367</v>
      </c>
      <c r="B728" s="40" t="s">
        <v>86</v>
      </c>
      <c r="C728" s="40" t="s">
        <v>1622</v>
      </c>
      <c r="D728" s="40" t="s">
        <v>1623</v>
      </c>
      <c r="E728" s="40">
        <v>21</v>
      </c>
      <c r="F728" s="40" t="s">
        <v>62</v>
      </c>
      <c r="G728" s="40" t="s">
        <v>42</v>
      </c>
      <c r="H728" s="41" t="s">
        <v>638</v>
      </c>
      <c r="I728" s="65" t="s">
        <v>44</v>
      </c>
      <c r="J728" s="66" t="s">
        <v>43</v>
      </c>
      <c r="K728" s="67" t="s">
        <v>43</v>
      </c>
      <c r="L728" s="40">
        <v>1</v>
      </c>
      <c r="M728" s="40">
        <v>3</v>
      </c>
      <c r="N728" s="40">
        <v>2</v>
      </c>
      <c r="O728" s="40">
        <v>2</v>
      </c>
      <c r="P728" s="41">
        <v>1</v>
      </c>
      <c r="Q728" s="40">
        <v>2</v>
      </c>
      <c r="R728" s="40">
        <v>4</v>
      </c>
      <c r="S728" s="40">
        <v>3</v>
      </c>
      <c r="T728" s="40">
        <v>5</v>
      </c>
      <c r="U728" s="41">
        <v>1</v>
      </c>
      <c r="V728" s="40">
        <v>3</v>
      </c>
      <c r="W728" s="40">
        <v>2</v>
      </c>
      <c r="X728" s="40">
        <v>5</v>
      </c>
      <c r="Y728" s="41">
        <v>8</v>
      </c>
      <c r="Z728" s="40" t="s">
        <v>45</v>
      </c>
      <c r="AA728" s="40" t="s">
        <v>45</v>
      </c>
      <c r="AB728" s="40" t="s">
        <v>45</v>
      </c>
      <c r="AC728" s="40" t="s">
        <v>45</v>
      </c>
      <c r="AD728" s="40" t="s">
        <v>45</v>
      </c>
      <c r="AE728" s="40" t="s">
        <v>45</v>
      </c>
      <c r="AF728" s="40" t="s">
        <v>45</v>
      </c>
      <c r="AG728" s="41" t="s">
        <v>45</v>
      </c>
      <c r="AH728" s="40">
        <v>2</v>
      </c>
      <c r="AI728" s="40">
        <v>1</v>
      </c>
      <c r="AJ728" s="41">
        <v>1</v>
      </c>
      <c r="AK728" s="43" t="s">
        <v>45</v>
      </c>
      <c r="AL728" s="43" t="s">
        <v>635</v>
      </c>
      <c r="AM728" s="44">
        <f t="shared" si="78"/>
        <v>-1.8094525465566824</v>
      </c>
      <c r="AN728" s="44">
        <f t="shared" si="79"/>
        <v>-1.0836466866826597</v>
      </c>
      <c r="AO728" s="45">
        <f t="shared" si="80"/>
        <v>0</v>
      </c>
      <c r="AP728" s="46">
        <f t="shared" si="81"/>
        <v>0</v>
      </c>
      <c r="AQ728" s="44">
        <f>($AM$3*AM728+$AN$3*AN728+$AO$3*AO728+$AP$3*AP728)+$I$3*VLOOKUP(I728,COND!$A$2:$E$7,4,FALSE)+$J$3*VLOOKUP(J728,COND!$A$2:$C$7,2,FALSE)+$K$3*VLOOKUP(K728,COND!$A$2:$C$7,3,FALSE)+IF(AND($B$2&gt;0,$E728&lt;20),$B$2*25,0)</f>
        <v>31.665294505152417</v>
      </c>
      <c r="AR728" s="47">
        <f t="shared" si="82"/>
        <v>-2.7639395111950464</v>
      </c>
      <c r="AS728" s="45" t="str">
        <f t="shared" si="83"/>
        <v>DH</v>
      </c>
      <c r="AT728" s="45">
        <f>RANK(Batters[[#This Row],[zScore]],Batters[[#All],[zScore]])</f>
        <v>724</v>
      </c>
      <c r="AU728" s="45"/>
      <c r="AV728" s="45"/>
      <c r="AW728" s="45" t="str">
        <f t="shared" si="84"/>
        <v>Unlikely</v>
      </c>
      <c r="AX728" s="45"/>
      <c r="AY728" s="45" t="str">
        <f>INDEX(Table5[[#All],[Ovr]],MATCH(Batters[[#This Row],[PID]],Table5[[#All],[PID]],0))</f>
        <v/>
      </c>
      <c r="AZ728" s="45" t="str">
        <f>INDEX(Table5[[#All],[Rnd]],MATCH(Batters[[#This Row],[PID]],Table5[[#All],[PID]],0))</f>
        <v/>
      </c>
      <c r="BA728" s="45" t="str">
        <f>INDEX(Table5[[#All],[Pick]],MATCH(Batters[[#This Row],[PID]],Table5[[#All],[PID]],0))</f>
        <v/>
      </c>
      <c r="BB728" s="45" t="str">
        <f>INDEX(Table5[[#All],[Team]],MATCH(Batters[[#This Row],[PID]],Table5[[#All],[PID]],0))</f>
        <v/>
      </c>
    </row>
    <row r="729" spans="1:54" ht="30" x14ac:dyDescent="0.25">
      <c r="A729" s="40">
        <v>10539</v>
      </c>
      <c r="B729" s="40" t="s">
        <v>87</v>
      </c>
      <c r="C729" s="40" t="s">
        <v>146</v>
      </c>
      <c r="D729" s="40" t="s">
        <v>861</v>
      </c>
      <c r="E729" s="40">
        <v>22</v>
      </c>
      <c r="F729" s="40" t="s">
        <v>42</v>
      </c>
      <c r="G729" s="40" t="s">
        <v>42</v>
      </c>
      <c r="H729" s="41" t="s">
        <v>647</v>
      </c>
      <c r="I729" s="65" t="s">
        <v>43</v>
      </c>
      <c r="J729" s="66" t="s">
        <v>43</v>
      </c>
      <c r="K729" s="67" t="s">
        <v>43</v>
      </c>
      <c r="L729" s="40">
        <v>2</v>
      </c>
      <c r="M729" s="40">
        <v>2</v>
      </c>
      <c r="N729" s="40">
        <v>2</v>
      </c>
      <c r="O729" s="40">
        <v>1</v>
      </c>
      <c r="P729" s="41">
        <v>1</v>
      </c>
      <c r="Q729" s="40">
        <v>3</v>
      </c>
      <c r="R729" s="40">
        <v>2</v>
      </c>
      <c r="S729" s="40">
        <v>3</v>
      </c>
      <c r="T729" s="40">
        <v>1</v>
      </c>
      <c r="U729" s="41">
        <v>4</v>
      </c>
      <c r="V729" s="40">
        <v>7</v>
      </c>
      <c r="W729" s="40">
        <v>1</v>
      </c>
      <c r="X729" s="40">
        <v>1</v>
      </c>
      <c r="Y729" s="41">
        <v>1</v>
      </c>
      <c r="Z729" s="40" t="s">
        <v>45</v>
      </c>
      <c r="AA729" s="40">
        <v>1</v>
      </c>
      <c r="AB729" s="40" t="s">
        <v>45</v>
      </c>
      <c r="AC729" s="40" t="s">
        <v>45</v>
      </c>
      <c r="AD729" s="40" t="s">
        <v>45</v>
      </c>
      <c r="AE729" s="40" t="s">
        <v>45</v>
      </c>
      <c r="AF729" s="40" t="s">
        <v>45</v>
      </c>
      <c r="AG729" s="41" t="s">
        <v>45</v>
      </c>
      <c r="AH729" s="40">
        <v>1</v>
      </c>
      <c r="AI729" s="40">
        <v>1</v>
      </c>
      <c r="AJ729" s="41">
        <v>1</v>
      </c>
      <c r="AK729" s="43" t="s">
        <v>45</v>
      </c>
      <c r="AL729" s="43"/>
      <c r="AM729" s="44">
        <f t="shared" si="78"/>
        <v>-1.6276661399822923</v>
      </c>
      <c r="AN729" s="44">
        <f t="shared" si="79"/>
        <v>-1.1019997903044656</v>
      </c>
      <c r="AO729" s="45">
        <f t="shared" si="80"/>
        <v>0</v>
      </c>
      <c r="AP729" s="46">
        <f t="shared" si="81"/>
        <v>0</v>
      </c>
      <c r="AQ729" s="44">
        <f>($AM$3*AM729+$AN$3*AN729+$AO$3*AO729+$AP$3*AP729)+$I$3*VLOOKUP(I729,COND!$A$2:$E$7,4,FALSE)+$J$3*VLOOKUP(J729,COND!$A$2:$C$7,2,FALSE)+$K$3*VLOOKUP(K729,COND!$A$2:$C$7,3,FALSE)+IF(AND($B$2&gt;0,$E729&lt;20),$B$2*25,0)</f>
        <v>31.613235902348183</v>
      </c>
      <c r="AR729" s="47">
        <f t="shared" si="82"/>
        <v>-2.7754812553202428</v>
      </c>
      <c r="AS729" s="45" t="str">
        <f t="shared" si="83"/>
        <v>1B</v>
      </c>
      <c r="AT729" s="45">
        <f>RANK(Batters[[#This Row],[zScore]],Batters[[#All],[zScore]])</f>
        <v>725</v>
      </c>
      <c r="AU729" s="45"/>
      <c r="AV729" s="45"/>
      <c r="AW729" s="45" t="str">
        <f t="shared" si="84"/>
        <v>Unlikely</v>
      </c>
      <c r="AX729" s="45"/>
      <c r="AY729" s="64" t="str">
        <f>INDEX(Table5[[#All],[Ovr]],MATCH(Batters[[#This Row],[PID]],Table5[[#All],[PID]],0))</f>
        <v/>
      </c>
      <c r="AZ729" s="64" t="str">
        <f>INDEX(Table5[[#All],[Rnd]],MATCH(Batters[[#This Row],[PID]],Table5[[#All],[PID]],0))</f>
        <v/>
      </c>
      <c r="BA729" s="64" t="str">
        <f>INDEX(Table5[[#All],[Pick]],MATCH(Batters[[#This Row],[PID]],Table5[[#All],[PID]],0))</f>
        <v/>
      </c>
      <c r="BB729" s="64" t="str">
        <f>INDEX(Table5[[#All],[Team]],MATCH(Batters[[#This Row],[PID]],Table5[[#All],[PID]],0))</f>
        <v/>
      </c>
    </row>
    <row r="730" spans="1:54" ht="30" x14ac:dyDescent="0.25">
      <c r="A730" s="40">
        <v>18098</v>
      </c>
      <c r="B730" s="40" t="s">
        <v>86</v>
      </c>
      <c r="C730" s="40" t="s">
        <v>1630</v>
      </c>
      <c r="D730" s="40" t="s">
        <v>1631</v>
      </c>
      <c r="E730" s="40">
        <v>21</v>
      </c>
      <c r="F730" s="40" t="s">
        <v>42</v>
      </c>
      <c r="G730" s="40" t="s">
        <v>42</v>
      </c>
      <c r="H730" s="41" t="s">
        <v>638</v>
      </c>
      <c r="I730" s="65" t="s">
        <v>43</v>
      </c>
      <c r="J730" s="66" t="s">
        <v>44</v>
      </c>
      <c r="K730" s="67" t="s">
        <v>44</v>
      </c>
      <c r="L730" s="40">
        <v>2</v>
      </c>
      <c r="M730" s="40">
        <v>2</v>
      </c>
      <c r="N730" s="40">
        <v>2</v>
      </c>
      <c r="O730" s="40">
        <v>4</v>
      </c>
      <c r="P730" s="41">
        <v>2</v>
      </c>
      <c r="Q730" s="40">
        <v>2</v>
      </c>
      <c r="R730" s="40">
        <v>3</v>
      </c>
      <c r="S730" s="40">
        <v>3</v>
      </c>
      <c r="T730" s="40">
        <v>5</v>
      </c>
      <c r="U730" s="41">
        <v>3</v>
      </c>
      <c r="V730" s="40">
        <v>3</v>
      </c>
      <c r="W730" s="40">
        <v>2</v>
      </c>
      <c r="X730" s="40">
        <v>6</v>
      </c>
      <c r="Y730" s="41">
        <v>8</v>
      </c>
      <c r="Z730" s="40" t="s">
        <v>45</v>
      </c>
      <c r="AA730" s="40" t="s">
        <v>45</v>
      </c>
      <c r="AB730" s="40" t="s">
        <v>45</v>
      </c>
      <c r="AC730" s="40" t="s">
        <v>45</v>
      </c>
      <c r="AD730" s="40" t="s">
        <v>45</v>
      </c>
      <c r="AE730" s="40" t="s">
        <v>45</v>
      </c>
      <c r="AF730" s="40" t="s">
        <v>45</v>
      </c>
      <c r="AG730" s="41" t="s">
        <v>45</v>
      </c>
      <c r="AH730" s="40">
        <v>1</v>
      </c>
      <c r="AI730" s="40">
        <v>2</v>
      </c>
      <c r="AJ730" s="41">
        <v>1</v>
      </c>
      <c r="AK730" s="43" t="s">
        <v>45</v>
      </c>
      <c r="AL730" s="43"/>
      <c r="AM730" s="44">
        <f t="shared" si="78"/>
        <v>-1.3185211501364655</v>
      </c>
      <c r="AN730" s="44">
        <f t="shared" si="79"/>
        <v>-1.0546738866671965</v>
      </c>
      <c r="AO730" s="45">
        <f t="shared" si="80"/>
        <v>0</v>
      </c>
      <c r="AP730" s="46">
        <f t="shared" si="81"/>
        <v>0</v>
      </c>
      <c r="AQ730" s="44">
        <f>($AM$3*AM730+$AN$3*AN730+$AO$3*AO730+$AP$3*AP730)+$I$3*VLOOKUP(I730,COND!$A$2:$E$7,4,FALSE)+$J$3*VLOOKUP(J730,COND!$A$2:$C$7,2,FALSE)+$K$3*VLOOKUP(K730,COND!$A$2:$C$7,3,FALSE)+IF(AND($B$2&gt;0,$E730&lt;20),$B$2*25,0)</f>
        <v>31.612061244979994</v>
      </c>
      <c r="AR730" s="47">
        <f t="shared" si="82"/>
        <v>-2.7757416847987173</v>
      </c>
      <c r="AS730" s="45" t="str">
        <f t="shared" si="83"/>
        <v>DH</v>
      </c>
      <c r="AT730" s="45">
        <f>RANK(Batters[[#This Row],[zScore]],Batters[[#All],[zScore]])</f>
        <v>726</v>
      </c>
      <c r="AU730" s="45"/>
      <c r="AV730" s="45"/>
      <c r="AW730" s="45" t="str">
        <f t="shared" si="84"/>
        <v>Unlikely</v>
      </c>
      <c r="AX730" s="45"/>
      <c r="AY730" s="64" t="str">
        <f>INDEX(Table5[[#All],[Ovr]],MATCH(Batters[[#This Row],[PID]],Table5[[#All],[PID]],0))</f>
        <v/>
      </c>
      <c r="AZ730" s="64" t="str">
        <f>INDEX(Table5[[#All],[Rnd]],MATCH(Batters[[#This Row],[PID]],Table5[[#All],[PID]],0))</f>
        <v/>
      </c>
      <c r="BA730" s="64" t="str">
        <f>INDEX(Table5[[#All],[Pick]],MATCH(Batters[[#This Row],[PID]],Table5[[#All],[PID]],0))</f>
        <v/>
      </c>
      <c r="BB730" s="64" t="str">
        <f>INDEX(Table5[[#All],[Team]],MATCH(Batters[[#This Row],[PID]],Table5[[#All],[PID]],0))</f>
        <v/>
      </c>
    </row>
    <row r="731" spans="1:54" ht="30" x14ac:dyDescent="0.25">
      <c r="A731" s="40">
        <v>17808</v>
      </c>
      <c r="B731" s="40" t="s">
        <v>87</v>
      </c>
      <c r="C731" s="40" t="s">
        <v>165</v>
      </c>
      <c r="D731" s="40" t="s">
        <v>1729</v>
      </c>
      <c r="E731" s="40">
        <v>21</v>
      </c>
      <c r="F731" s="40" t="s">
        <v>42</v>
      </c>
      <c r="G731" s="40" t="s">
        <v>42</v>
      </c>
      <c r="H731" s="41" t="s">
        <v>647</v>
      </c>
      <c r="I731" s="65" t="s">
        <v>44</v>
      </c>
      <c r="J731" s="66" t="s">
        <v>43</v>
      </c>
      <c r="K731" s="67" t="s">
        <v>43</v>
      </c>
      <c r="L731" s="40">
        <v>3</v>
      </c>
      <c r="M731" s="40">
        <v>2</v>
      </c>
      <c r="N731" s="40">
        <v>2</v>
      </c>
      <c r="O731" s="40">
        <v>2</v>
      </c>
      <c r="P731" s="41">
        <v>3</v>
      </c>
      <c r="Q731" s="40">
        <v>3</v>
      </c>
      <c r="R731" s="40">
        <v>2</v>
      </c>
      <c r="S731" s="40">
        <v>2</v>
      </c>
      <c r="T731" s="40">
        <v>2</v>
      </c>
      <c r="U731" s="41">
        <v>4</v>
      </c>
      <c r="V731" s="40">
        <v>5</v>
      </c>
      <c r="W731" s="40">
        <v>1</v>
      </c>
      <c r="X731" s="40">
        <v>1</v>
      </c>
      <c r="Y731" s="41">
        <v>1</v>
      </c>
      <c r="Z731" s="40" t="s">
        <v>45</v>
      </c>
      <c r="AA731" s="40">
        <v>1</v>
      </c>
      <c r="AB731" s="40" t="s">
        <v>45</v>
      </c>
      <c r="AC731" s="40" t="s">
        <v>45</v>
      </c>
      <c r="AD731" s="40" t="s">
        <v>45</v>
      </c>
      <c r="AE731" s="40" t="s">
        <v>45</v>
      </c>
      <c r="AF731" s="40" t="s">
        <v>45</v>
      </c>
      <c r="AG731" s="41" t="s">
        <v>45</v>
      </c>
      <c r="AH731" s="40">
        <v>4</v>
      </c>
      <c r="AI731" s="40">
        <v>4</v>
      </c>
      <c r="AJ731" s="41">
        <v>2</v>
      </c>
      <c r="AK731" s="43" t="s">
        <v>45</v>
      </c>
      <c r="AL731" s="43"/>
      <c r="AM731" s="44">
        <f t="shared" si="78"/>
        <v>-1.1353680741358696</v>
      </c>
      <c r="AN731" s="44">
        <f t="shared" si="79"/>
        <v>-1.0953517343187862</v>
      </c>
      <c r="AO731" s="45">
        <f t="shared" si="80"/>
        <v>0</v>
      </c>
      <c r="AP731" s="46">
        <f t="shared" si="81"/>
        <v>0</v>
      </c>
      <c r="AQ731" s="44">
        <f>($AM$3*AM731+$AN$3*AN731+$AO$3*AO731+$AP$3*AP731)+$I$3*VLOOKUP(I731,COND!$A$2:$E$7,4,FALSE)+$J$3*VLOOKUP(J731,COND!$A$2:$C$7,2,FALSE)+$K$3*VLOOKUP(K731,COND!$A$2:$C$7,3,FALSE)+IF(AND($B$2&gt;0,$E731&lt;20),$B$2*25,0)</f>
        <v>31.592242380760979</v>
      </c>
      <c r="AR731" s="47">
        <f t="shared" si="82"/>
        <v>-2.7801356609591621</v>
      </c>
      <c r="AS731" s="45" t="str">
        <f t="shared" si="83"/>
        <v>1B</v>
      </c>
      <c r="AT731" s="45">
        <f>RANK(Batters[[#This Row],[zScore]],Batters[[#All],[zScore]])</f>
        <v>727</v>
      </c>
      <c r="AU731" s="45"/>
      <c r="AV731" s="45"/>
      <c r="AW731" s="45" t="str">
        <f t="shared" si="84"/>
        <v>Unlikely</v>
      </c>
      <c r="AX731" s="45"/>
      <c r="AY731" s="64" t="str">
        <f>INDEX(Table5[[#All],[Ovr]],MATCH(Batters[[#This Row],[PID]],Table5[[#All],[PID]],0))</f>
        <v/>
      </c>
      <c r="AZ731" s="64" t="str">
        <f>INDEX(Table5[[#All],[Rnd]],MATCH(Batters[[#This Row],[PID]],Table5[[#All],[PID]],0))</f>
        <v/>
      </c>
      <c r="BA731" s="64" t="str">
        <f>INDEX(Table5[[#All],[Pick]],MATCH(Batters[[#This Row],[PID]],Table5[[#All],[PID]],0))</f>
        <v/>
      </c>
      <c r="BB731" s="64" t="str">
        <f>INDEX(Table5[[#All],[Team]],MATCH(Batters[[#This Row],[PID]],Table5[[#All],[PID]],0))</f>
        <v/>
      </c>
    </row>
    <row r="732" spans="1:54" ht="30" x14ac:dyDescent="0.25">
      <c r="A732" s="40">
        <v>4404</v>
      </c>
      <c r="B732" s="40" t="s">
        <v>86</v>
      </c>
      <c r="C732" s="40" t="s">
        <v>182</v>
      </c>
      <c r="D732" s="40" t="s">
        <v>617</v>
      </c>
      <c r="E732" s="40">
        <v>22</v>
      </c>
      <c r="F732" s="40" t="s">
        <v>42</v>
      </c>
      <c r="G732" s="40" t="s">
        <v>42</v>
      </c>
      <c r="H732" s="41" t="s">
        <v>638</v>
      </c>
      <c r="I732" s="65" t="s">
        <v>44</v>
      </c>
      <c r="J732" s="66" t="s">
        <v>43</v>
      </c>
      <c r="K732" s="67" t="s">
        <v>43</v>
      </c>
      <c r="L732" s="40">
        <v>2</v>
      </c>
      <c r="M732" s="40">
        <v>3</v>
      </c>
      <c r="N732" s="40">
        <v>2</v>
      </c>
      <c r="O732" s="40">
        <v>2</v>
      </c>
      <c r="P732" s="41">
        <v>2</v>
      </c>
      <c r="Q732" s="40">
        <v>2</v>
      </c>
      <c r="R732" s="40">
        <v>4</v>
      </c>
      <c r="S732" s="40">
        <v>3</v>
      </c>
      <c r="T732" s="40">
        <v>4</v>
      </c>
      <c r="U732" s="41">
        <v>3</v>
      </c>
      <c r="V732" s="40">
        <v>3</v>
      </c>
      <c r="W732" s="40">
        <v>3</v>
      </c>
      <c r="X732" s="40">
        <v>5</v>
      </c>
      <c r="Y732" s="41">
        <v>6</v>
      </c>
      <c r="Z732" s="40" t="s">
        <v>45</v>
      </c>
      <c r="AA732" s="40" t="s">
        <v>45</v>
      </c>
      <c r="AB732" s="40" t="s">
        <v>45</v>
      </c>
      <c r="AC732" s="40" t="s">
        <v>45</v>
      </c>
      <c r="AD732" s="40" t="s">
        <v>45</v>
      </c>
      <c r="AE732" s="40" t="s">
        <v>45</v>
      </c>
      <c r="AF732" s="40" t="s">
        <v>45</v>
      </c>
      <c r="AG732" s="41" t="s">
        <v>45</v>
      </c>
      <c r="AH732" s="40">
        <v>3</v>
      </c>
      <c r="AI732" s="40">
        <v>2</v>
      </c>
      <c r="AJ732" s="41">
        <v>4</v>
      </c>
      <c r="AK732" s="43" t="s">
        <v>45</v>
      </c>
      <c r="AL732" s="43" t="s">
        <v>47</v>
      </c>
      <c r="AM732" s="44">
        <f t="shared" si="78"/>
        <v>-1.4468803705369244</v>
      </c>
      <c r="AN732" s="44">
        <f t="shared" si="79"/>
        <v>-1.0933235570580737</v>
      </c>
      <c r="AO732" s="45">
        <f t="shared" si="80"/>
        <v>0</v>
      </c>
      <c r="AP732" s="46">
        <f t="shared" si="81"/>
        <v>0</v>
      </c>
      <c r="AQ732" s="44">
        <f>($AM$3*AM732+$AN$3*AN732+$AO$3*AO732+$AP$3*AP732)+$I$3*VLOOKUP(I732,COND!$A$2:$E$7,4,FALSE)+$J$3*VLOOKUP(J732,COND!$A$2:$C$7,2,FALSE)+$K$3*VLOOKUP(K732,COND!$A$2:$C$7,3,FALSE)+IF(AND($B$2&gt;0,$E732&lt;20),$B$2*25,0)</f>
        <v>31.585429278249421</v>
      </c>
      <c r="AR732" s="47">
        <f t="shared" si="82"/>
        <v>-2.7816461718382737</v>
      </c>
      <c r="AS732" s="45" t="str">
        <f t="shared" si="83"/>
        <v>DH</v>
      </c>
      <c r="AT732" s="45">
        <f>RANK(Batters[[#This Row],[zScore]],Batters[[#All],[zScore]])</f>
        <v>728</v>
      </c>
      <c r="AU732" s="45"/>
      <c r="AV732" s="45"/>
      <c r="AW732" s="45" t="str">
        <f t="shared" si="84"/>
        <v>Unlikely</v>
      </c>
      <c r="AX732" s="45"/>
      <c r="AY732" s="45" t="str">
        <f>INDEX(Table5[[#All],[Ovr]],MATCH(Batters[[#This Row],[PID]],Table5[[#All],[PID]],0))</f>
        <v/>
      </c>
      <c r="AZ732" s="45" t="str">
        <f>INDEX(Table5[[#All],[Rnd]],MATCH(Batters[[#This Row],[PID]],Table5[[#All],[PID]],0))</f>
        <v/>
      </c>
      <c r="BA732" s="45" t="str">
        <f>INDEX(Table5[[#All],[Pick]],MATCH(Batters[[#This Row],[PID]],Table5[[#All],[PID]],0))</f>
        <v/>
      </c>
      <c r="BB732" s="45" t="str">
        <f>INDEX(Table5[[#All],[Team]],MATCH(Batters[[#This Row],[PID]],Table5[[#All],[PID]],0))</f>
        <v/>
      </c>
    </row>
    <row r="733" spans="1:54" ht="30" x14ac:dyDescent="0.25">
      <c r="A733" s="40">
        <v>20457</v>
      </c>
      <c r="B733" s="40" t="s">
        <v>50</v>
      </c>
      <c r="C733" s="40" t="s">
        <v>1738</v>
      </c>
      <c r="D733" s="40" t="s">
        <v>1739</v>
      </c>
      <c r="E733" s="40">
        <v>18</v>
      </c>
      <c r="F733" s="40" t="s">
        <v>62</v>
      </c>
      <c r="G733" s="40" t="s">
        <v>42</v>
      </c>
      <c r="H733" s="41" t="s">
        <v>647</v>
      </c>
      <c r="I733" s="65" t="s">
        <v>43</v>
      </c>
      <c r="J733" s="66" t="s">
        <v>47</v>
      </c>
      <c r="K733" s="67" t="s">
        <v>43</v>
      </c>
      <c r="L733" s="40">
        <v>1</v>
      </c>
      <c r="M733" s="40">
        <v>1</v>
      </c>
      <c r="N733" s="40">
        <v>2</v>
      </c>
      <c r="O733" s="40">
        <v>1</v>
      </c>
      <c r="P733" s="41">
        <v>1</v>
      </c>
      <c r="Q733" s="40">
        <v>2</v>
      </c>
      <c r="R733" s="40">
        <v>2</v>
      </c>
      <c r="S733" s="40">
        <v>2</v>
      </c>
      <c r="T733" s="40">
        <v>1</v>
      </c>
      <c r="U733" s="41">
        <v>3</v>
      </c>
      <c r="V733" s="40">
        <v>5</v>
      </c>
      <c r="W733" s="40">
        <v>3</v>
      </c>
      <c r="X733" s="40">
        <v>1</v>
      </c>
      <c r="Y733" s="41">
        <v>1</v>
      </c>
      <c r="Z733" s="40" t="s">
        <v>45</v>
      </c>
      <c r="AA733" s="40" t="s">
        <v>45</v>
      </c>
      <c r="AB733" s="40" t="s">
        <v>45</v>
      </c>
      <c r="AC733" s="40" t="s">
        <v>45</v>
      </c>
      <c r="AD733" s="40" t="s">
        <v>45</v>
      </c>
      <c r="AE733" s="40" t="s">
        <v>45</v>
      </c>
      <c r="AF733" s="40" t="s">
        <v>45</v>
      </c>
      <c r="AG733" s="41" t="s">
        <v>45</v>
      </c>
      <c r="AH733" s="40">
        <v>2</v>
      </c>
      <c r="AI733" s="40">
        <v>2</v>
      </c>
      <c r="AJ733" s="41">
        <v>2</v>
      </c>
      <c r="AK733" s="43" t="s">
        <v>644</v>
      </c>
      <c r="AL733" s="43"/>
      <c r="AM733" s="44">
        <f t="shared" si="78"/>
        <v>-2.0012818558036707</v>
      </c>
      <c r="AN733" s="44">
        <f t="shared" si="79"/>
        <v>-1.5476334603481254</v>
      </c>
      <c r="AO733" s="45">
        <f t="shared" si="80"/>
        <v>0</v>
      </c>
      <c r="AP733" s="46">
        <f t="shared" si="81"/>
        <v>0</v>
      </c>
      <c r="AQ733" s="44">
        <f>($AM$3*AM733+$AN$3*AN733+$AO$3*AO733+$AP$3*AP733)+$I$3*VLOOKUP(I733,COND!$A$2:$E$7,4,FALSE)+$J$3*VLOOKUP(J733,COND!$A$2:$C$7,2,FALSE)+$K$3*VLOOKUP(K733,COND!$A$2:$C$7,3,FALSE)+IF(AND($B$2&gt;0,$E733&lt;20),$B$2*25,0)</f>
        <v>31.528270290242126</v>
      </c>
      <c r="AR733" s="47">
        <f t="shared" si="82"/>
        <v>-2.7943187058383927</v>
      </c>
      <c r="AS733" s="45" t="str">
        <f t="shared" si="83"/>
        <v>DH</v>
      </c>
      <c r="AT733" s="45">
        <f>RANK(Batters[[#This Row],[zScore]],Batters[[#All],[zScore]])</f>
        <v>729</v>
      </c>
      <c r="AU733" s="45"/>
      <c r="AV733" s="45"/>
      <c r="AW733" s="45" t="str">
        <f t="shared" si="84"/>
        <v>Unlikely</v>
      </c>
      <c r="AX733" s="45"/>
      <c r="AY733" s="64" t="str">
        <f>INDEX(Table5[[#All],[Ovr]],MATCH(Batters[[#This Row],[PID]],Table5[[#All],[PID]],0))</f>
        <v/>
      </c>
      <c r="AZ733" s="64" t="str">
        <f>INDEX(Table5[[#All],[Rnd]],MATCH(Batters[[#This Row],[PID]],Table5[[#All],[PID]],0))</f>
        <v/>
      </c>
      <c r="BA733" s="64" t="str">
        <f>INDEX(Table5[[#All],[Pick]],MATCH(Batters[[#This Row],[PID]],Table5[[#All],[PID]],0))</f>
        <v/>
      </c>
      <c r="BB733" s="64" t="str">
        <f>INDEX(Table5[[#All],[Team]],MATCH(Batters[[#This Row],[PID]],Table5[[#All],[PID]],0))</f>
        <v/>
      </c>
    </row>
    <row r="734" spans="1:54" ht="30" x14ac:dyDescent="0.25">
      <c r="A734" s="40">
        <v>11888</v>
      </c>
      <c r="B734" s="40" t="s">
        <v>86</v>
      </c>
      <c r="C734" s="40" t="s">
        <v>324</v>
      </c>
      <c r="D734" s="40" t="s">
        <v>944</v>
      </c>
      <c r="E734" s="40">
        <v>22</v>
      </c>
      <c r="F734" s="40" t="s">
        <v>42</v>
      </c>
      <c r="G734" s="40" t="s">
        <v>42</v>
      </c>
      <c r="H734" s="41" t="s">
        <v>638</v>
      </c>
      <c r="I734" s="65" t="s">
        <v>43</v>
      </c>
      <c r="J734" s="66" t="s">
        <v>44</v>
      </c>
      <c r="K734" s="67" t="s">
        <v>44</v>
      </c>
      <c r="L734" s="40">
        <v>1</v>
      </c>
      <c r="M734" s="40">
        <v>1</v>
      </c>
      <c r="N734" s="40">
        <v>3</v>
      </c>
      <c r="O734" s="40">
        <v>2</v>
      </c>
      <c r="P734" s="41">
        <v>1</v>
      </c>
      <c r="Q734" s="40">
        <v>2</v>
      </c>
      <c r="R734" s="40">
        <v>2</v>
      </c>
      <c r="S734" s="40">
        <v>4</v>
      </c>
      <c r="T734" s="40">
        <v>5</v>
      </c>
      <c r="U734" s="41">
        <v>2</v>
      </c>
      <c r="V734" s="40">
        <v>3</v>
      </c>
      <c r="W734" s="40">
        <v>3</v>
      </c>
      <c r="X734" s="40">
        <v>5</v>
      </c>
      <c r="Y734" s="41">
        <v>7</v>
      </c>
      <c r="Z734" s="40" t="s">
        <v>45</v>
      </c>
      <c r="AA734" s="40" t="s">
        <v>45</v>
      </c>
      <c r="AB734" s="40" t="s">
        <v>45</v>
      </c>
      <c r="AC734" s="40" t="s">
        <v>45</v>
      </c>
      <c r="AD734" s="40" t="s">
        <v>45</v>
      </c>
      <c r="AE734" s="40" t="s">
        <v>45</v>
      </c>
      <c r="AF734" s="40" t="s">
        <v>45</v>
      </c>
      <c r="AG734" s="41" t="s">
        <v>45</v>
      </c>
      <c r="AH734" s="40">
        <v>2</v>
      </c>
      <c r="AI734" s="40">
        <v>2</v>
      </c>
      <c r="AJ734" s="41">
        <v>2</v>
      </c>
      <c r="AK734" s="43" t="s">
        <v>45</v>
      </c>
      <c r="AL734" s="43" t="s">
        <v>635</v>
      </c>
      <c r="AM734" s="44">
        <f t="shared" si="78"/>
        <v>-1.828510811770188</v>
      </c>
      <c r="AN734" s="44">
        <f t="shared" si="79"/>
        <v>-1.0626886120790817</v>
      </c>
      <c r="AO734" s="45">
        <f t="shared" si="80"/>
        <v>0</v>
      </c>
      <c r="AP734" s="46">
        <f t="shared" si="81"/>
        <v>0</v>
      </c>
      <c r="AQ734" s="44">
        <f>($AM$3*AM734+$AN$3*AN734+$AO$3*AO734+$AP$3*AP734)+$I$3*VLOOKUP(I734,COND!$A$2:$E$7,4,FALSE)+$J$3*VLOOKUP(J734,COND!$A$2:$C$7,2,FALSE)+$K$3*VLOOKUP(K734,COND!$A$2:$C$7,3,FALSE)+IF(AND($B$2&gt;0,$E734&lt;20),$B$2*25,0)</f>
        <v>31.464885573874</v>
      </c>
      <c r="AR734" s="47">
        <f t="shared" si="82"/>
        <v>-2.808371525898127</v>
      </c>
      <c r="AS734" s="45" t="str">
        <f t="shared" si="83"/>
        <v>DH</v>
      </c>
      <c r="AT734" s="45">
        <f>RANK(Batters[[#This Row],[zScore]],Batters[[#All],[zScore]])</f>
        <v>730</v>
      </c>
      <c r="AU734" s="45"/>
      <c r="AV734" s="45"/>
      <c r="AW734" s="45" t="str">
        <f t="shared" si="84"/>
        <v>Unlikely</v>
      </c>
      <c r="AX734" s="45"/>
      <c r="AY734" s="45" t="str">
        <f>INDEX(Table5[[#All],[Ovr]],MATCH(Batters[[#This Row],[PID]],Table5[[#All],[PID]],0))</f>
        <v/>
      </c>
      <c r="AZ734" s="45" t="str">
        <f>INDEX(Table5[[#All],[Rnd]],MATCH(Batters[[#This Row],[PID]],Table5[[#All],[PID]],0))</f>
        <v/>
      </c>
      <c r="BA734" s="45" t="str">
        <f>INDEX(Table5[[#All],[Pick]],MATCH(Batters[[#This Row],[PID]],Table5[[#All],[PID]],0))</f>
        <v/>
      </c>
      <c r="BB734" s="45" t="str">
        <f>INDEX(Table5[[#All],[Team]],MATCH(Batters[[#This Row],[PID]],Table5[[#All],[PID]],0))</f>
        <v/>
      </c>
    </row>
    <row r="735" spans="1:54" ht="30" x14ac:dyDescent="0.25">
      <c r="A735" s="40">
        <v>16893</v>
      </c>
      <c r="B735" s="40" t="s">
        <v>86</v>
      </c>
      <c r="C735" s="40" t="s">
        <v>174</v>
      </c>
      <c r="D735" s="40" t="s">
        <v>1400</v>
      </c>
      <c r="E735" s="40">
        <v>21</v>
      </c>
      <c r="F735" s="40" t="s">
        <v>42</v>
      </c>
      <c r="G735" s="40" t="s">
        <v>42</v>
      </c>
      <c r="H735" s="41" t="s">
        <v>638</v>
      </c>
      <c r="I735" s="65" t="s">
        <v>43</v>
      </c>
      <c r="J735" s="66" t="s">
        <v>44</v>
      </c>
      <c r="K735" s="67" t="s">
        <v>47</v>
      </c>
      <c r="L735" s="40">
        <v>1</v>
      </c>
      <c r="M735" s="40">
        <v>1</v>
      </c>
      <c r="N735" s="40">
        <v>2</v>
      </c>
      <c r="O735" s="40">
        <v>2</v>
      </c>
      <c r="P735" s="41">
        <v>1</v>
      </c>
      <c r="Q735" s="40">
        <v>2</v>
      </c>
      <c r="R735" s="40">
        <v>2</v>
      </c>
      <c r="S735" s="40">
        <v>4</v>
      </c>
      <c r="T735" s="40">
        <v>4</v>
      </c>
      <c r="U735" s="41">
        <v>3</v>
      </c>
      <c r="V735" s="40">
        <v>3</v>
      </c>
      <c r="W735" s="40">
        <v>3</v>
      </c>
      <c r="X735" s="40">
        <v>6</v>
      </c>
      <c r="Y735" s="41">
        <v>8</v>
      </c>
      <c r="Z735" s="40" t="s">
        <v>45</v>
      </c>
      <c r="AA735" s="40" t="s">
        <v>45</v>
      </c>
      <c r="AB735" s="40" t="s">
        <v>45</v>
      </c>
      <c r="AC735" s="40" t="s">
        <v>45</v>
      </c>
      <c r="AD735" s="40" t="s">
        <v>45</v>
      </c>
      <c r="AE735" s="40" t="s">
        <v>45</v>
      </c>
      <c r="AF735" s="40" t="s">
        <v>45</v>
      </c>
      <c r="AG735" s="41" t="s">
        <v>45</v>
      </c>
      <c r="AH735" s="40">
        <v>1</v>
      </c>
      <c r="AI735" s="40">
        <v>1</v>
      </c>
      <c r="AJ735" s="41">
        <v>1</v>
      </c>
      <c r="AK735" s="43" t="s">
        <v>45</v>
      </c>
      <c r="AL735" s="43" t="s">
        <v>635</v>
      </c>
      <c r="AM735" s="44">
        <f t="shared" si="78"/>
        <v>-1.9115723057940897</v>
      </c>
      <c r="AN735" s="44">
        <f t="shared" si="79"/>
        <v>-1.1123818222715793</v>
      </c>
      <c r="AO735" s="45">
        <f t="shared" si="80"/>
        <v>0</v>
      </c>
      <c r="AP735" s="46">
        <f t="shared" si="81"/>
        <v>0</v>
      </c>
      <c r="AQ735" s="44">
        <f>($AM$3*AM735+$AN$3*AN735+$AO$3*AO735+$AP$3*AP735)+$I$3*VLOOKUP(I735,COND!$A$2:$E$7,4,FALSE)+$J$3*VLOOKUP(J735,COND!$A$2:$C$7,2,FALSE)+$K$3*VLOOKUP(K735,COND!$A$2:$C$7,3,FALSE)+IF(AND($B$2&gt;0,$E735&lt;20),$B$2*25,0)</f>
        <v>31.46026090216164</v>
      </c>
      <c r="AR735" s="47">
        <f t="shared" si="82"/>
        <v>-2.8093968468766368</v>
      </c>
      <c r="AS735" s="45" t="str">
        <f t="shared" si="83"/>
        <v>DH</v>
      </c>
      <c r="AT735" s="45">
        <f>RANK(Batters[[#This Row],[zScore]],Batters[[#All],[zScore]])</f>
        <v>731</v>
      </c>
      <c r="AU735" s="45"/>
      <c r="AV735" s="45"/>
      <c r="AW735" s="45" t="str">
        <f t="shared" si="84"/>
        <v>Unlikely</v>
      </c>
      <c r="AX735" s="45"/>
      <c r="AY735" s="45" t="str">
        <f>INDEX(Table5[[#All],[Ovr]],MATCH(Batters[[#This Row],[PID]],Table5[[#All],[PID]],0))</f>
        <v/>
      </c>
      <c r="AZ735" s="45" t="str">
        <f>INDEX(Table5[[#All],[Rnd]],MATCH(Batters[[#This Row],[PID]],Table5[[#All],[PID]],0))</f>
        <v/>
      </c>
      <c r="BA735" s="45" t="str">
        <f>INDEX(Table5[[#All],[Pick]],MATCH(Batters[[#This Row],[PID]],Table5[[#All],[PID]],0))</f>
        <v/>
      </c>
      <c r="BB735" s="45" t="str">
        <f>INDEX(Table5[[#All],[Team]],MATCH(Batters[[#This Row],[PID]],Table5[[#All],[PID]],0))</f>
        <v/>
      </c>
    </row>
    <row r="736" spans="1:54" ht="30" x14ac:dyDescent="0.25">
      <c r="A736" s="40">
        <v>16657</v>
      </c>
      <c r="B736" s="40" t="s">
        <v>87</v>
      </c>
      <c r="C736" s="40" t="s">
        <v>950</v>
      </c>
      <c r="D736" s="40" t="s">
        <v>397</v>
      </c>
      <c r="E736" s="40">
        <v>22</v>
      </c>
      <c r="F736" s="40" t="s">
        <v>62</v>
      </c>
      <c r="G736" s="40" t="s">
        <v>42</v>
      </c>
      <c r="H736" s="41" t="s">
        <v>647</v>
      </c>
      <c r="I736" s="65" t="s">
        <v>43</v>
      </c>
      <c r="J736" s="66" t="s">
        <v>43</v>
      </c>
      <c r="K736" s="67" t="s">
        <v>44</v>
      </c>
      <c r="L736" s="40">
        <v>1</v>
      </c>
      <c r="M736" s="40">
        <v>3</v>
      </c>
      <c r="N736" s="40">
        <v>3</v>
      </c>
      <c r="O736" s="40">
        <v>3</v>
      </c>
      <c r="P736" s="41">
        <v>1</v>
      </c>
      <c r="Q736" s="40">
        <v>2</v>
      </c>
      <c r="R736" s="40">
        <v>3</v>
      </c>
      <c r="S736" s="40">
        <v>3</v>
      </c>
      <c r="T736" s="40">
        <v>5</v>
      </c>
      <c r="U736" s="41">
        <v>2</v>
      </c>
      <c r="V736" s="40">
        <v>6</v>
      </c>
      <c r="W736" s="40">
        <v>6</v>
      </c>
      <c r="X736" s="40">
        <v>6</v>
      </c>
      <c r="Y736" s="41">
        <v>4</v>
      </c>
      <c r="Z736" s="40" t="s">
        <v>45</v>
      </c>
      <c r="AA736" s="40">
        <v>3</v>
      </c>
      <c r="AB736" s="40" t="s">
        <v>45</v>
      </c>
      <c r="AC736" s="40" t="s">
        <v>45</v>
      </c>
      <c r="AD736" s="40" t="s">
        <v>45</v>
      </c>
      <c r="AE736" s="40" t="s">
        <v>45</v>
      </c>
      <c r="AF736" s="40" t="s">
        <v>45</v>
      </c>
      <c r="AG736" s="41" t="s">
        <v>45</v>
      </c>
      <c r="AH736" s="40">
        <v>1</v>
      </c>
      <c r="AI736" s="40">
        <v>1</v>
      </c>
      <c r="AJ736" s="41">
        <v>3</v>
      </c>
      <c r="AK736" s="43" t="s">
        <v>45</v>
      </c>
      <c r="AL736" s="43"/>
      <c r="AM736" s="44">
        <f t="shared" si="78"/>
        <v>-1.6366815025231998</v>
      </c>
      <c r="AN736" s="44">
        <f t="shared" si="79"/>
        <v>-1.0946902264842799</v>
      </c>
      <c r="AO736" s="45">
        <f t="shared" si="80"/>
        <v>0</v>
      </c>
      <c r="AP736" s="46">
        <f t="shared" si="81"/>
        <v>0</v>
      </c>
      <c r="AQ736" s="44">
        <f>($AM$3*AM736+$AN$3*AN736+$AO$3*AO736+$AP$3*AP736)+$I$3*VLOOKUP(I736,COND!$A$2:$E$7,4,FALSE)+$J$3*VLOOKUP(J736,COND!$A$2:$C$7,2,FALSE)+$K$3*VLOOKUP(K736,COND!$A$2:$C$7,3,FALSE)+IF(AND($B$2&gt;0,$E736&lt;20),$B$2*25,0)</f>
        <v>31.400049131936321</v>
      </c>
      <c r="AR736" s="47">
        <f t="shared" si="82"/>
        <v>-2.8227462033293844</v>
      </c>
      <c r="AS736" s="45" t="str">
        <f t="shared" si="83"/>
        <v>1B</v>
      </c>
      <c r="AT736" s="45">
        <f>RANK(Batters[[#This Row],[zScore]],Batters[[#All],[zScore]])</f>
        <v>732</v>
      </c>
      <c r="AU736" s="45"/>
      <c r="AV736" s="45"/>
      <c r="AW736" s="45" t="str">
        <f t="shared" si="84"/>
        <v>Unlikely</v>
      </c>
      <c r="AX736" s="45"/>
      <c r="AY736" s="64" t="str">
        <f>INDEX(Table5[[#All],[Ovr]],MATCH(Batters[[#This Row],[PID]],Table5[[#All],[PID]],0))</f>
        <v/>
      </c>
      <c r="AZ736" s="64" t="str">
        <f>INDEX(Table5[[#All],[Rnd]],MATCH(Batters[[#This Row],[PID]],Table5[[#All],[PID]],0))</f>
        <v/>
      </c>
      <c r="BA736" s="64" t="str">
        <f>INDEX(Table5[[#All],[Pick]],MATCH(Batters[[#This Row],[PID]],Table5[[#All],[PID]],0))</f>
        <v/>
      </c>
      <c r="BB736" s="64" t="str">
        <f>INDEX(Table5[[#All],[Team]],MATCH(Batters[[#This Row],[PID]],Table5[[#All],[PID]],0))</f>
        <v/>
      </c>
    </row>
    <row r="737" spans="1:54" ht="30" x14ac:dyDescent="0.25">
      <c r="A737" s="40">
        <v>6051</v>
      </c>
      <c r="B737" s="40" t="s">
        <v>74</v>
      </c>
      <c r="C737" s="40" t="s">
        <v>1696</v>
      </c>
      <c r="D737" s="40" t="s">
        <v>984</v>
      </c>
      <c r="E737" s="40">
        <v>21</v>
      </c>
      <c r="F737" s="40" t="s">
        <v>62</v>
      </c>
      <c r="G737" s="40" t="s">
        <v>42</v>
      </c>
      <c r="H737" s="41" t="s">
        <v>639</v>
      </c>
      <c r="I737" s="65" t="s">
        <v>44</v>
      </c>
      <c r="J737" s="66" t="s">
        <v>44</v>
      </c>
      <c r="K737" s="67" t="s">
        <v>43</v>
      </c>
      <c r="L737" s="40">
        <v>1</v>
      </c>
      <c r="M737" s="40">
        <v>1</v>
      </c>
      <c r="N737" s="40">
        <v>2</v>
      </c>
      <c r="O737" s="40">
        <v>2</v>
      </c>
      <c r="P737" s="41">
        <v>2</v>
      </c>
      <c r="Q737" s="40">
        <v>2</v>
      </c>
      <c r="R737" s="40">
        <v>4</v>
      </c>
      <c r="S737" s="40">
        <v>2</v>
      </c>
      <c r="T737" s="40">
        <v>3</v>
      </c>
      <c r="U737" s="41">
        <v>4</v>
      </c>
      <c r="V737" s="40">
        <v>2</v>
      </c>
      <c r="W737" s="40">
        <v>6</v>
      </c>
      <c r="X737" s="40">
        <v>1</v>
      </c>
      <c r="Y737" s="41">
        <v>1</v>
      </c>
      <c r="Z737" s="40" t="s">
        <v>45</v>
      </c>
      <c r="AA737" s="40" t="s">
        <v>45</v>
      </c>
      <c r="AB737" s="40">
        <v>1</v>
      </c>
      <c r="AC737" s="40" t="s">
        <v>45</v>
      </c>
      <c r="AD737" s="40" t="s">
        <v>45</v>
      </c>
      <c r="AE737" s="40" t="s">
        <v>45</v>
      </c>
      <c r="AF737" s="40">
        <v>5</v>
      </c>
      <c r="AG737" s="41" t="s">
        <v>45</v>
      </c>
      <c r="AH737" s="40">
        <v>10</v>
      </c>
      <c r="AI737" s="40">
        <v>9</v>
      </c>
      <c r="AJ737" s="41">
        <v>10</v>
      </c>
      <c r="AK737" s="43" t="s">
        <v>643</v>
      </c>
      <c r="AL737" s="43"/>
      <c r="AM737" s="44">
        <f t="shared" si="78"/>
        <v>-1.871555965977006</v>
      </c>
      <c r="AN737" s="44">
        <f t="shared" si="79"/>
        <v>-1.2260782612744727</v>
      </c>
      <c r="AO737" s="45">
        <f t="shared" si="80"/>
        <v>6</v>
      </c>
      <c r="AP737" s="46">
        <f t="shared" si="81"/>
        <v>0.75</v>
      </c>
      <c r="AQ737" s="44">
        <f>($AM$3*AM737+$AN$3*AN737+$AO$3*AO737+$AP$3*AP737)+$I$3*VLOOKUP(I737,COND!$A$2:$E$7,4,FALSE)+$J$3*VLOOKUP(J737,COND!$A$2:$C$7,2,FALSE)+$K$3*VLOOKUP(K737,COND!$A$2:$C$7,3,FALSE)+IF(AND($B$2&gt;0,$E737&lt;20),$B$2*25,0)</f>
        <v>31.399905268108625</v>
      </c>
      <c r="AR737" s="47">
        <f t="shared" si="82"/>
        <v>-2.8227780989124138</v>
      </c>
      <c r="AS737" s="45" t="str">
        <f t="shared" si="83"/>
        <v>2B</v>
      </c>
      <c r="AT737" s="45">
        <f>RANK(Batters[[#This Row],[zScore]],Batters[[#All],[zScore]])</f>
        <v>733</v>
      </c>
      <c r="AU737" s="45"/>
      <c r="AV737" s="45"/>
      <c r="AW737" s="45" t="str">
        <f t="shared" si="84"/>
        <v>Unlikely</v>
      </c>
      <c r="AX737" s="45"/>
      <c r="AY737" s="64" t="str">
        <f>INDEX(Table5[[#All],[Ovr]],MATCH(Batters[[#This Row],[PID]],Table5[[#All],[PID]],0))</f>
        <v/>
      </c>
      <c r="AZ737" s="64" t="str">
        <f>INDEX(Table5[[#All],[Rnd]],MATCH(Batters[[#This Row],[PID]],Table5[[#All],[PID]],0))</f>
        <v/>
      </c>
      <c r="BA737" s="64" t="str">
        <f>INDEX(Table5[[#All],[Pick]],MATCH(Batters[[#This Row],[PID]],Table5[[#All],[PID]],0))</f>
        <v/>
      </c>
      <c r="BB737" s="64" t="str">
        <f>INDEX(Table5[[#All],[Team]],MATCH(Batters[[#This Row],[PID]],Table5[[#All],[PID]],0))</f>
        <v/>
      </c>
    </row>
    <row r="738" spans="1:54" ht="30" x14ac:dyDescent="0.25">
      <c r="A738" s="40">
        <v>9875</v>
      </c>
      <c r="B738" s="40" t="s">
        <v>86</v>
      </c>
      <c r="C738" s="40" t="s">
        <v>1603</v>
      </c>
      <c r="D738" s="40" t="s">
        <v>382</v>
      </c>
      <c r="E738" s="40">
        <v>21</v>
      </c>
      <c r="F738" s="40" t="s">
        <v>42</v>
      </c>
      <c r="G738" s="40" t="s">
        <v>42</v>
      </c>
      <c r="H738" s="41" t="s">
        <v>638</v>
      </c>
      <c r="I738" s="65" t="s">
        <v>43</v>
      </c>
      <c r="J738" s="66" t="s">
        <v>44</v>
      </c>
      <c r="K738" s="67" t="s">
        <v>43</v>
      </c>
      <c r="L738" s="40">
        <v>1</v>
      </c>
      <c r="M738" s="40">
        <v>1</v>
      </c>
      <c r="N738" s="40">
        <v>3</v>
      </c>
      <c r="O738" s="40">
        <v>2</v>
      </c>
      <c r="P738" s="41">
        <v>1</v>
      </c>
      <c r="Q738" s="40">
        <v>2</v>
      </c>
      <c r="R738" s="40">
        <v>3</v>
      </c>
      <c r="S738" s="40">
        <v>4</v>
      </c>
      <c r="T738" s="40">
        <v>4</v>
      </c>
      <c r="U738" s="41">
        <v>2</v>
      </c>
      <c r="V738" s="40">
        <v>3</v>
      </c>
      <c r="W738" s="40">
        <v>2</v>
      </c>
      <c r="X738" s="40">
        <v>5</v>
      </c>
      <c r="Y738" s="41">
        <v>6</v>
      </c>
      <c r="Z738" s="40" t="s">
        <v>45</v>
      </c>
      <c r="AA738" s="40" t="s">
        <v>45</v>
      </c>
      <c r="AB738" s="40" t="s">
        <v>45</v>
      </c>
      <c r="AC738" s="40" t="s">
        <v>45</v>
      </c>
      <c r="AD738" s="40" t="s">
        <v>45</v>
      </c>
      <c r="AE738" s="40" t="s">
        <v>45</v>
      </c>
      <c r="AF738" s="40" t="s">
        <v>45</v>
      </c>
      <c r="AG738" s="41" t="s">
        <v>45</v>
      </c>
      <c r="AH738" s="40">
        <v>1</v>
      </c>
      <c r="AI738" s="40">
        <v>3</v>
      </c>
      <c r="AJ738" s="41">
        <v>1</v>
      </c>
      <c r="AK738" s="43" t="s">
        <v>643</v>
      </c>
      <c r="AL738" s="43" t="s">
        <v>47</v>
      </c>
      <c r="AM738" s="44">
        <f t="shared" si="78"/>
        <v>-1.828510811770188</v>
      </c>
      <c r="AN738" s="44">
        <f t="shared" si="79"/>
        <v>-1.1013382824699594</v>
      </c>
      <c r="AO738" s="45">
        <f t="shared" si="80"/>
        <v>0</v>
      </c>
      <c r="AP738" s="46">
        <f t="shared" si="81"/>
        <v>0</v>
      </c>
      <c r="AQ738" s="44">
        <f>($AM$3*AM738+$AN$3*AN738+$AO$3*AO738+$AP$3*AP738)+$I$3*VLOOKUP(I738,COND!$A$2:$E$7,4,FALSE)+$J$3*VLOOKUP(J738,COND!$A$2:$C$7,2,FALSE)+$K$3*VLOOKUP(K738,COND!$A$2:$C$7,3,FALSE)+IF(AND($B$2&gt;0,$E738&lt;20),$B$2*25,0)</f>
        <v>31.301089529183471</v>
      </c>
      <c r="AR738" s="47">
        <f t="shared" si="82"/>
        <v>-2.8446862161645265</v>
      </c>
      <c r="AS738" s="45" t="str">
        <f t="shared" si="83"/>
        <v>DH</v>
      </c>
      <c r="AT738" s="45">
        <f>RANK(Batters[[#This Row],[zScore]],Batters[[#All],[zScore]])</f>
        <v>734</v>
      </c>
      <c r="AU738" s="45"/>
      <c r="AV738" s="45"/>
      <c r="AW738" s="45" t="str">
        <f t="shared" si="84"/>
        <v>Unlikely</v>
      </c>
      <c r="AX738" s="45"/>
      <c r="AY738" s="45" t="str">
        <f>INDEX(Table5[[#All],[Ovr]],MATCH(Batters[[#This Row],[PID]],Table5[[#All],[PID]],0))</f>
        <v/>
      </c>
      <c r="AZ738" s="45" t="str">
        <f>INDEX(Table5[[#All],[Rnd]],MATCH(Batters[[#This Row],[PID]],Table5[[#All],[PID]],0))</f>
        <v/>
      </c>
      <c r="BA738" s="45" t="str">
        <f>INDEX(Table5[[#All],[Pick]],MATCH(Batters[[#This Row],[PID]],Table5[[#All],[PID]],0))</f>
        <v/>
      </c>
      <c r="BB738" s="45" t="str">
        <f>INDEX(Table5[[#All],[Team]],MATCH(Batters[[#This Row],[PID]],Table5[[#All],[PID]],0))</f>
        <v/>
      </c>
    </row>
    <row r="739" spans="1:54" ht="30" x14ac:dyDescent="0.25">
      <c r="A739" s="40">
        <v>10018</v>
      </c>
      <c r="B739" s="40" t="s">
        <v>86</v>
      </c>
      <c r="C739" s="40" t="s">
        <v>135</v>
      </c>
      <c r="D739" s="40" t="s">
        <v>1616</v>
      </c>
      <c r="E739" s="40">
        <v>21</v>
      </c>
      <c r="F739" s="40" t="s">
        <v>42</v>
      </c>
      <c r="G739" s="40" t="s">
        <v>42</v>
      </c>
      <c r="H739" s="41" t="s">
        <v>638</v>
      </c>
      <c r="I739" s="65" t="s">
        <v>43</v>
      </c>
      <c r="J739" s="66" t="s">
        <v>47</v>
      </c>
      <c r="K739" s="67" t="s">
        <v>43</v>
      </c>
      <c r="L739" s="40">
        <v>1</v>
      </c>
      <c r="M739" s="40">
        <v>2</v>
      </c>
      <c r="N739" s="40">
        <v>2</v>
      </c>
      <c r="O739" s="40">
        <v>1</v>
      </c>
      <c r="P739" s="41">
        <v>1</v>
      </c>
      <c r="Q739" s="40">
        <v>2</v>
      </c>
      <c r="R739" s="40">
        <v>3</v>
      </c>
      <c r="S739" s="40">
        <v>4</v>
      </c>
      <c r="T739" s="40">
        <v>3</v>
      </c>
      <c r="U739" s="41">
        <v>3</v>
      </c>
      <c r="V739" s="40">
        <v>1</v>
      </c>
      <c r="W739" s="40">
        <v>1</v>
      </c>
      <c r="X739" s="40">
        <v>4</v>
      </c>
      <c r="Y739" s="41">
        <v>9</v>
      </c>
      <c r="Z739" s="40" t="s">
        <v>45</v>
      </c>
      <c r="AA739" s="40" t="s">
        <v>45</v>
      </c>
      <c r="AB739" s="40" t="s">
        <v>45</v>
      </c>
      <c r="AC739" s="40" t="s">
        <v>45</v>
      </c>
      <c r="AD739" s="40" t="s">
        <v>45</v>
      </c>
      <c r="AE739" s="40" t="s">
        <v>45</v>
      </c>
      <c r="AF739" s="40" t="s">
        <v>45</v>
      </c>
      <c r="AG739" s="41" t="s">
        <v>45</v>
      </c>
      <c r="AH739" s="40">
        <v>1</v>
      </c>
      <c r="AI739" s="40">
        <v>4</v>
      </c>
      <c r="AJ739" s="41">
        <v>4</v>
      </c>
      <c r="AK739" s="43" t="s">
        <v>45</v>
      </c>
      <c r="AL739" s="43" t="s">
        <v>47</v>
      </c>
      <c r="AM739" s="44">
        <f t="shared" si="78"/>
        <v>-1.9502219761849671</v>
      </c>
      <c r="AN739" s="44">
        <f t="shared" si="79"/>
        <v>-1.151031492662457</v>
      </c>
      <c r="AO739" s="45">
        <f t="shared" si="80"/>
        <v>0</v>
      </c>
      <c r="AP739" s="46">
        <f t="shared" si="81"/>
        <v>0</v>
      </c>
      <c r="AQ739" s="44">
        <f>($AM$3*AM739+$AN$3*AN739+$AO$3*AO739+$AP$3*AP739)+$I$3*VLOOKUP(I739,COND!$A$2:$E$7,4,FALSE)+$J$3*VLOOKUP(J739,COND!$A$2:$C$7,2,FALSE)+$K$3*VLOOKUP(K739,COND!$A$2:$C$7,3,FALSE)+IF(AND($B$2&gt;0,$E739&lt;20),$B$2*25,0)</f>
        <v>31.292599890432022</v>
      </c>
      <c r="AR739" s="47">
        <f t="shared" si="82"/>
        <v>-2.846568426460355</v>
      </c>
      <c r="AS739" s="45" t="str">
        <f t="shared" si="83"/>
        <v>DH</v>
      </c>
      <c r="AT739" s="45">
        <f>RANK(Batters[[#This Row],[zScore]],Batters[[#All],[zScore]])</f>
        <v>735</v>
      </c>
      <c r="AU739" s="45"/>
      <c r="AV739" s="45"/>
      <c r="AW739" s="45" t="str">
        <f t="shared" si="84"/>
        <v>Unlikely</v>
      </c>
      <c r="AX739" s="45"/>
      <c r="AY739" s="45" t="str">
        <f>INDEX(Table5[[#All],[Ovr]],MATCH(Batters[[#This Row],[PID]],Table5[[#All],[PID]],0))</f>
        <v/>
      </c>
      <c r="AZ739" s="45" t="str">
        <f>INDEX(Table5[[#All],[Rnd]],MATCH(Batters[[#This Row],[PID]],Table5[[#All],[PID]],0))</f>
        <v/>
      </c>
      <c r="BA739" s="45" t="str">
        <f>INDEX(Table5[[#All],[Pick]],MATCH(Batters[[#This Row],[PID]],Table5[[#All],[PID]],0))</f>
        <v/>
      </c>
      <c r="BB739" s="45" t="str">
        <f>INDEX(Table5[[#All],[Team]],MATCH(Batters[[#This Row],[PID]],Table5[[#All],[PID]],0))</f>
        <v/>
      </c>
    </row>
    <row r="740" spans="1:54" ht="30" x14ac:dyDescent="0.25">
      <c r="A740" s="40">
        <v>17974</v>
      </c>
      <c r="B740" s="40" t="s">
        <v>86</v>
      </c>
      <c r="C740" s="40" t="s">
        <v>132</v>
      </c>
      <c r="D740" s="40" t="s">
        <v>1685</v>
      </c>
      <c r="E740" s="40">
        <v>21</v>
      </c>
      <c r="F740" s="40" t="s">
        <v>42</v>
      </c>
      <c r="G740" s="40" t="s">
        <v>42</v>
      </c>
      <c r="H740" s="41" t="s">
        <v>639</v>
      </c>
      <c r="I740" s="65" t="s">
        <v>43</v>
      </c>
      <c r="J740" s="66" t="s">
        <v>44</v>
      </c>
      <c r="K740" s="67" t="s">
        <v>43</v>
      </c>
      <c r="L740" s="40">
        <v>1</v>
      </c>
      <c r="M740" s="40">
        <v>2</v>
      </c>
      <c r="N740" s="40">
        <v>2</v>
      </c>
      <c r="O740" s="40">
        <v>2</v>
      </c>
      <c r="P740" s="41">
        <v>1</v>
      </c>
      <c r="Q740" s="40">
        <v>2</v>
      </c>
      <c r="R740" s="40">
        <v>2</v>
      </c>
      <c r="S740" s="40">
        <v>2</v>
      </c>
      <c r="T740" s="40">
        <v>5</v>
      </c>
      <c r="U740" s="41">
        <v>2</v>
      </c>
      <c r="V740" s="40">
        <v>4</v>
      </c>
      <c r="W740" s="40">
        <v>4</v>
      </c>
      <c r="X740" s="40">
        <v>6</v>
      </c>
      <c r="Y740" s="41">
        <v>10</v>
      </c>
      <c r="Z740" s="40">
        <v>3</v>
      </c>
      <c r="AA740" s="40" t="s">
        <v>45</v>
      </c>
      <c r="AB740" s="40" t="s">
        <v>45</v>
      </c>
      <c r="AC740" s="40" t="s">
        <v>45</v>
      </c>
      <c r="AD740" s="40" t="s">
        <v>45</v>
      </c>
      <c r="AE740" s="40" t="s">
        <v>45</v>
      </c>
      <c r="AF740" s="40" t="s">
        <v>45</v>
      </c>
      <c r="AG740" s="41" t="s">
        <v>45</v>
      </c>
      <c r="AH740" s="40">
        <v>1</v>
      </c>
      <c r="AI740" s="40">
        <v>1</v>
      </c>
      <c r="AJ740" s="41">
        <v>1</v>
      </c>
      <c r="AK740" s="43" t="s">
        <v>45</v>
      </c>
      <c r="AL740" s="43"/>
      <c r="AM740" s="44">
        <f t="shared" si="78"/>
        <v>-1.8605124261753858</v>
      </c>
      <c r="AN740" s="44">
        <f t="shared" si="79"/>
        <v>-1.2288116001268847</v>
      </c>
      <c r="AO740" s="45">
        <f t="shared" si="80"/>
        <v>0</v>
      </c>
      <c r="AP740" s="46">
        <f t="shared" si="81"/>
        <v>1.35</v>
      </c>
      <c r="AQ740" s="44">
        <f>($AM$3*AM740+$AN$3*AN740+$AO$3*AO740+$AP$3*AP740)+$I$3*VLOOKUP(I740,COND!$A$2:$E$7,4,FALSE)+$J$3*VLOOKUP(J740,COND!$A$2:$C$7,2,FALSE)+$K$3*VLOOKUP(K740,COND!$A$2:$C$7,3,FALSE)+IF(AND($B$2&gt;0,$E740&lt;20),$B$2*25,0)</f>
        <v>31.118209555859842</v>
      </c>
      <c r="AR740" s="47">
        <f t="shared" si="82"/>
        <v>-2.8852319424042707</v>
      </c>
      <c r="AS740" s="45" t="str">
        <f t="shared" si="83"/>
        <v>C</v>
      </c>
      <c r="AT740" s="45">
        <f>RANK(Batters[[#This Row],[zScore]],Batters[[#All],[zScore]])</f>
        <v>736</v>
      </c>
      <c r="AU740" s="45"/>
      <c r="AV740" s="45"/>
      <c r="AW740" s="45" t="str">
        <f t="shared" si="84"/>
        <v>Unlikely</v>
      </c>
      <c r="AX740" s="45"/>
      <c r="AY740" s="64" t="str">
        <f>INDEX(Table5[[#All],[Ovr]],MATCH(Batters[[#This Row],[PID]],Table5[[#All],[PID]],0))</f>
        <v/>
      </c>
      <c r="AZ740" s="64" t="str">
        <f>INDEX(Table5[[#All],[Rnd]],MATCH(Batters[[#This Row],[PID]],Table5[[#All],[PID]],0))</f>
        <v/>
      </c>
      <c r="BA740" s="64" t="str">
        <f>INDEX(Table5[[#All],[Pick]],MATCH(Batters[[#This Row],[PID]],Table5[[#All],[PID]],0))</f>
        <v/>
      </c>
      <c r="BB740" s="64" t="str">
        <f>INDEX(Table5[[#All],[Team]],MATCH(Batters[[#This Row],[PID]],Table5[[#All],[PID]],0))</f>
        <v/>
      </c>
    </row>
    <row r="741" spans="1:54" ht="30" x14ac:dyDescent="0.25">
      <c r="A741" s="40">
        <v>12279</v>
      </c>
      <c r="B741" s="40" t="s">
        <v>87</v>
      </c>
      <c r="C741" s="40" t="s">
        <v>136</v>
      </c>
      <c r="D741" s="40" t="s">
        <v>1104</v>
      </c>
      <c r="E741" s="40">
        <v>21</v>
      </c>
      <c r="F741" s="40" t="s">
        <v>62</v>
      </c>
      <c r="G741" s="40" t="s">
        <v>53</v>
      </c>
      <c r="H741" s="41" t="s">
        <v>647</v>
      </c>
      <c r="I741" s="65" t="s">
        <v>47</v>
      </c>
      <c r="J741" s="66" t="s">
        <v>47</v>
      </c>
      <c r="K741" s="67" t="s">
        <v>43</v>
      </c>
      <c r="L741" s="40">
        <v>1</v>
      </c>
      <c r="M741" s="40">
        <v>1</v>
      </c>
      <c r="N741" s="40">
        <v>2</v>
      </c>
      <c r="O741" s="40">
        <v>1</v>
      </c>
      <c r="P741" s="41">
        <v>1</v>
      </c>
      <c r="Q741" s="40">
        <v>2</v>
      </c>
      <c r="R741" s="40">
        <v>3</v>
      </c>
      <c r="S741" s="40">
        <v>3</v>
      </c>
      <c r="T741" s="40">
        <v>4</v>
      </c>
      <c r="U741" s="41">
        <v>2</v>
      </c>
      <c r="V741" s="40">
        <v>1</v>
      </c>
      <c r="W741" s="40">
        <v>3</v>
      </c>
      <c r="X741" s="40">
        <v>1</v>
      </c>
      <c r="Y741" s="41">
        <v>1</v>
      </c>
      <c r="Z741" s="40" t="s">
        <v>45</v>
      </c>
      <c r="AA741" s="40">
        <v>3</v>
      </c>
      <c r="AB741" s="40" t="s">
        <v>45</v>
      </c>
      <c r="AC741" s="40" t="s">
        <v>45</v>
      </c>
      <c r="AD741" s="40" t="s">
        <v>45</v>
      </c>
      <c r="AE741" s="40" t="s">
        <v>45</v>
      </c>
      <c r="AF741" s="40" t="s">
        <v>45</v>
      </c>
      <c r="AG741" s="41" t="s">
        <v>45</v>
      </c>
      <c r="AH741" s="40">
        <v>1</v>
      </c>
      <c r="AI741" s="40">
        <v>4</v>
      </c>
      <c r="AJ741" s="41">
        <v>6</v>
      </c>
      <c r="AK741" s="43" t="s">
        <v>45</v>
      </c>
      <c r="AL741" s="43"/>
      <c r="AM741" s="44">
        <f t="shared" si="78"/>
        <v>-2.0012818558036707</v>
      </c>
      <c r="AN741" s="44">
        <f t="shared" si="79"/>
        <v>-1.1843997764938607</v>
      </c>
      <c r="AO741" s="45">
        <f t="shared" si="80"/>
        <v>0</v>
      </c>
      <c r="AP741" s="46">
        <f t="shared" si="81"/>
        <v>0</v>
      </c>
      <c r="AQ741" s="44">
        <f>($AM$3*AM741+$AN$3*AN741+$AO$3*AO741+$AP$3*AP741)+$I$3*VLOOKUP(I741,COND!$A$2:$E$7,4,FALSE)+$J$3*VLOOKUP(J741,COND!$A$2:$C$7,2,FALSE)+$K$3*VLOOKUP(K741,COND!$A$2:$C$7,3,FALSE)+IF(AND($B$2&gt;0,$E741&lt;20),$B$2*25,0)</f>
        <v>31.112074496493303</v>
      </c>
      <c r="AR741" s="47">
        <f t="shared" si="82"/>
        <v>-2.886592126534985</v>
      </c>
      <c r="AS741" s="45" t="str">
        <f t="shared" si="83"/>
        <v>1B</v>
      </c>
      <c r="AT741" s="45">
        <f>RANK(Batters[[#This Row],[zScore]],Batters[[#All],[zScore]])</f>
        <v>737</v>
      </c>
      <c r="AU741" s="45"/>
      <c r="AV741" s="45"/>
      <c r="AW741" s="45" t="str">
        <f t="shared" si="84"/>
        <v>Unlikely</v>
      </c>
      <c r="AX741" s="45"/>
      <c r="AY741" s="64" t="str">
        <f>INDEX(Table5[[#All],[Ovr]],MATCH(Batters[[#This Row],[PID]],Table5[[#All],[PID]],0))</f>
        <v/>
      </c>
      <c r="AZ741" s="64" t="str">
        <f>INDEX(Table5[[#All],[Rnd]],MATCH(Batters[[#This Row],[PID]],Table5[[#All],[PID]],0))</f>
        <v/>
      </c>
      <c r="BA741" s="64" t="str">
        <f>INDEX(Table5[[#All],[Pick]],MATCH(Batters[[#This Row],[PID]],Table5[[#All],[PID]],0))</f>
        <v/>
      </c>
      <c r="BB741" s="64" t="str">
        <f>INDEX(Table5[[#All],[Team]],MATCH(Batters[[#This Row],[PID]],Table5[[#All],[PID]],0))</f>
        <v/>
      </c>
    </row>
    <row r="742" spans="1:54" ht="30" x14ac:dyDescent="0.25">
      <c r="A742" s="40">
        <v>20294</v>
      </c>
      <c r="B742" s="40" t="s">
        <v>87</v>
      </c>
      <c r="C742" s="40" t="s">
        <v>1768</v>
      </c>
      <c r="D742" s="40" t="s">
        <v>1769</v>
      </c>
      <c r="E742" s="40">
        <v>22</v>
      </c>
      <c r="F742" s="40" t="s">
        <v>42</v>
      </c>
      <c r="G742" s="40" t="s">
        <v>42</v>
      </c>
      <c r="H742" s="41" t="s">
        <v>647</v>
      </c>
      <c r="I742" s="65" t="s">
        <v>43</v>
      </c>
      <c r="J742" s="66" t="s">
        <v>43</v>
      </c>
      <c r="K742" s="67" t="s">
        <v>43</v>
      </c>
      <c r="L742" s="40">
        <v>1</v>
      </c>
      <c r="M742" s="40">
        <v>1</v>
      </c>
      <c r="N742" s="40">
        <v>2</v>
      </c>
      <c r="O742" s="40">
        <v>1</v>
      </c>
      <c r="P742" s="41">
        <v>2</v>
      </c>
      <c r="Q742" s="40">
        <v>3</v>
      </c>
      <c r="R742" s="40">
        <v>1</v>
      </c>
      <c r="S742" s="40">
        <v>2</v>
      </c>
      <c r="T742" s="40">
        <v>2</v>
      </c>
      <c r="U742" s="41">
        <v>4</v>
      </c>
      <c r="V742" s="40">
        <v>7</v>
      </c>
      <c r="W742" s="40">
        <v>4</v>
      </c>
      <c r="X742" s="40">
        <v>1</v>
      </c>
      <c r="Y742" s="41">
        <v>1</v>
      </c>
      <c r="Z742" s="40" t="s">
        <v>45</v>
      </c>
      <c r="AA742" s="40" t="s">
        <v>45</v>
      </c>
      <c r="AB742" s="40" t="s">
        <v>45</v>
      </c>
      <c r="AC742" s="40" t="s">
        <v>45</v>
      </c>
      <c r="AD742" s="40" t="s">
        <v>45</v>
      </c>
      <c r="AE742" s="40" t="s">
        <v>45</v>
      </c>
      <c r="AF742" s="40" t="s">
        <v>45</v>
      </c>
      <c r="AG742" s="41" t="s">
        <v>45</v>
      </c>
      <c r="AH742" s="40">
        <v>1</v>
      </c>
      <c r="AI742" s="40">
        <v>1</v>
      </c>
      <c r="AJ742" s="41">
        <v>2</v>
      </c>
      <c r="AK742" s="43" t="s">
        <v>45</v>
      </c>
      <c r="AL742" s="43"/>
      <c r="AM742" s="44">
        <f t="shared" si="78"/>
        <v>-1.961265515986587</v>
      </c>
      <c r="AN742" s="44">
        <f t="shared" si="79"/>
        <v>-1.1464116139374896</v>
      </c>
      <c r="AO742" s="45">
        <f t="shared" si="80"/>
        <v>0</v>
      </c>
      <c r="AP742" s="46">
        <f t="shared" si="81"/>
        <v>0</v>
      </c>
      <c r="AQ742" s="44">
        <f>($AM$3*AM742+$AN$3*AN742+$AO$3*AO742+$AP$3*AP742)+$I$3*VLOOKUP(I742,COND!$A$2:$E$7,4,FALSE)+$J$3*VLOOKUP(J742,COND!$A$2:$C$7,2,FALSE)+$K$3*VLOOKUP(K742,COND!$A$2:$C$7,3,FALSE)+IF(AND($B$2&gt;0,$E742&lt;20),$B$2*25,0)</f>
        <v>31.04693408115147</v>
      </c>
      <c r="AR742" s="47">
        <f t="shared" si="82"/>
        <v>-2.9010341969246136</v>
      </c>
      <c r="AS742" s="45" t="str">
        <f t="shared" si="83"/>
        <v>DH</v>
      </c>
      <c r="AT742" s="45">
        <f>RANK(Batters[[#This Row],[zScore]],Batters[[#All],[zScore]])</f>
        <v>738</v>
      </c>
      <c r="AU742" s="45"/>
      <c r="AV742" s="45"/>
      <c r="AW742" s="45" t="str">
        <f t="shared" si="84"/>
        <v>Unlikely</v>
      </c>
      <c r="AX742" s="45"/>
      <c r="AY742" s="64" t="str">
        <f>INDEX(Table5[[#All],[Ovr]],MATCH(Batters[[#This Row],[PID]],Table5[[#All],[PID]],0))</f>
        <v/>
      </c>
      <c r="AZ742" s="64" t="str">
        <f>INDEX(Table5[[#All],[Rnd]],MATCH(Batters[[#This Row],[PID]],Table5[[#All],[PID]],0))</f>
        <v/>
      </c>
      <c r="BA742" s="64" t="str">
        <f>INDEX(Table5[[#All],[Pick]],MATCH(Batters[[#This Row],[PID]],Table5[[#All],[PID]],0))</f>
        <v/>
      </c>
      <c r="BB742" s="64" t="str">
        <f>INDEX(Table5[[#All],[Team]],MATCH(Batters[[#This Row],[PID]],Table5[[#All],[PID]],0))</f>
        <v/>
      </c>
    </row>
    <row r="743" spans="1:54" ht="30" x14ac:dyDescent="0.25">
      <c r="A743" s="40">
        <v>16930</v>
      </c>
      <c r="B743" s="40" t="s">
        <v>71</v>
      </c>
      <c r="C743" s="40" t="s">
        <v>138</v>
      </c>
      <c r="D743" s="40" t="s">
        <v>193</v>
      </c>
      <c r="E743" s="40">
        <v>21</v>
      </c>
      <c r="F743" s="40" t="s">
        <v>42</v>
      </c>
      <c r="G743" s="40" t="s">
        <v>42</v>
      </c>
      <c r="H743" s="41" t="s">
        <v>647</v>
      </c>
      <c r="I743" s="65" t="s">
        <v>43</v>
      </c>
      <c r="J743" s="66" t="s">
        <v>47</v>
      </c>
      <c r="K743" s="67" t="s">
        <v>43</v>
      </c>
      <c r="L743" s="40">
        <v>1</v>
      </c>
      <c r="M743" s="40">
        <v>2</v>
      </c>
      <c r="N743" s="40">
        <v>2</v>
      </c>
      <c r="O743" s="40">
        <v>2</v>
      </c>
      <c r="P743" s="41">
        <v>1</v>
      </c>
      <c r="Q743" s="40">
        <v>2</v>
      </c>
      <c r="R743" s="40">
        <v>2</v>
      </c>
      <c r="S743" s="40">
        <v>3</v>
      </c>
      <c r="T743" s="40">
        <v>4</v>
      </c>
      <c r="U743" s="41">
        <v>2</v>
      </c>
      <c r="V743" s="40">
        <v>2</v>
      </c>
      <c r="W743" s="40">
        <v>1</v>
      </c>
      <c r="X743" s="40">
        <v>1</v>
      </c>
      <c r="Y743" s="41">
        <v>1</v>
      </c>
      <c r="Z743" s="40" t="s">
        <v>45</v>
      </c>
      <c r="AA743" s="40" t="s">
        <v>45</v>
      </c>
      <c r="AB743" s="40">
        <v>1</v>
      </c>
      <c r="AC743" s="40" t="s">
        <v>45</v>
      </c>
      <c r="AD743" s="40" t="s">
        <v>45</v>
      </c>
      <c r="AE743" s="40" t="s">
        <v>45</v>
      </c>
      <c r="AF743" s="40" t="s">
        <v>45</v>
      </c>
      <c r="AG743" s="41" t="s">
        <v>45</v>
      </c>
      <c r="AH743" s="40">
        <v>6</v>
      </c>
      <c r="AI743" s="40">
        <v>10</v>
      </c>
      <c r="AJ743" s="41">
        <v>10</v>
      </c>
      <c r="AK743" s="43" t="s">
        <v>45</v>
      </c>
      <c r="AL743" s="43"/>
      <c r="AM743" s="44">
        <f t="shared" si="78"/>
        <v>-1.8605124261753858</v>
      </c>
      <c r="AN743" s="44">
        <f t="shared" si="79"/>
        <v>-1.2354596561125644</v>
      </c>
      <c r="AO743" s="45">
        <f t="shared" si="80"/>
        <v>4</v>
      </c>
      <c r="AP743" s="46">
        <f t="shared" si="81"/>
        <v>0</v>
      </c>
      <c r="AQ743" s="44">
        <f>($AM$3*AM743+$AN$3*AN743+$AO$3*AO743+$AP$3*AP743)+$I$3*VLOOKUP(I743,COND!$A$2:$E$7,4,FALSE)+$J$3*VLOOKUP(J743,COND!$A$2:$C$7,2,FALSE)+$K$3*VLOOKUP(K743,COND!$A$2:$C$7,3,FALSE)+IF(AND($B$2&gt;0,$E743&lt;20),$B$2*25,0)</f>
        <v>30.955099550698357</v>
      </c>
      <c r="AR743" s="47">
        <f t="shared" si="82"/>
        <v>-2.9213945330698849</v>
      </c>
      <c r="AS743" s="45" t="str">
        <f t="shared" si="83"/>
        <v>2B</v>
      </c>
      <c r="AT743" s="45">
        <f>RANK(Batters[[#This Row],[zScore]],Batters[[#All],[zScore]])</f>
        <v>739</v>
      </c>
      <c r="AU743" s="45"/>
      <c r="AV743" s="45"/>
      <c r="AW743" s="45" t="str">
        <f t="shared" si="84"/>
        <v>Unlikely</v>
      </c>
      <c r="AX743" s="45"/>
      <c r="AY743" s="64" t="str">
        <f>INDEX(Table5[[#All],[Ovr]],MATCH(Batters[[#This Row],[PID]],Table5[[#All],[PID]],0))</f>
        <v/>
      </c>
      <c r="AZ743" s="64" t="str">
        <f>INDEX(Table5[[#All],[Rnd]],MATCH(Batters[[#This Row],[PID]],Table5[[#All],[PID]],0))</f>
        <v/>
      </c>
      <c r="BA743" s="64" t="str">
        <f>INDEX(Table5[[#All],[Pick]],MATCH(Batters[[#This Row],[PID]],Table5[[#All],[PID]],0))</f>
        <v/>
      </c>
      <c r="BB743" s="64" t="str">
        <f>INDEX(Table5[[#All],[Team]],MATCH(Batters[[#This Row],[PID]],Table5[[#All],[PID]],0))</f>
        <v/>
      </c>
    </row>
    <row r="744" spans="1:54" ht="30" x14ac:dyDescent="0.25">
      <c r="A744" s="40">
        <v>20505</v>
      </c>
      <c r="B744" s="40" t="s">
        <v>87</v>
      </c>
      <c r="C744" s="40" t="s">
        <v>1746</v>
      </c>
      <c r="D744" s="40" t="s">
        <v>1747</v>
      </c>
      <c r="E744" s="40">
        <v>18</v>
      </c>
      <c r="F744" s="40" t="s">
        <v>42</v>
      </c>
      <c r="G744" s="40" t="s">
        <v>42</v>
      </c>
      <c r="H744" s="41" t="s">
        <v>647</v>
      </c>
      <c r="I744" s="65" t="s">
        <v>43</v>
      </c>
      <c r="J744" s="66" t="s">
        <v>44</v>
      </c>
      <c r="K744" s="67" t="s">
        <v>43</v>
      </c>
      <c r="L744" s="40">
        <v>1</v>
      </c>
      <c r="M744" s="40">
        <v>1</v>
      </c>
      <c r="N744" s="40">
        <v>2</v>
      </c>
      <c r="O744" s="40">
        <v>1</v>
      </c>
      <c r="P744" s="41">
        <v>1</v>
      </c>
      <c r="Q744" s="40">
        <v>2</v>
      </c>
      <c r="R744" s="40">
        <v>2</v>
      </c>
      <c r="S744" s="40">
        <v>2</v>
      </c>
      <c r="T744" s="40">
        <v>1</v>
      </c>
      <c r="U744" s="41">
        <v>3</v>
      </c>
      <c r="V744" s="40">
        <v>7</v>
      </c>
      <c r="W744" s="40">
        <v>1</v>
      </c>
      <c r="X744" s="40">
        <v>1</v>
      </c>
      <c r="Y744" s="41">
        <v>1</v>
      </c>
      <c r="Z744" s="40" t="s">
        <v>45</v>
      </c>
      <c r="AA744" s="40">
        <v>1</v>
      </c>
      <c r="AB744" s="40" t="s">
        <v>45</v>
      </c>
      <c r="AC744" s="40" t="s">
        <v>45</v>
      </c>
      <c r="AD744" s="40" t="s">
        <v>45</v>
      </c>
      <c r="AE744" s="40" t="s">
        <v>45</v>
      </c>
      <c r="AF744" s="40" t="s">
        <v>45</v>
      </c>
      <c r="AG744" s="41" t="s">
        <v>45</v>
      </c>
      <c r="AH744" s="40">
        <v>2</v>
      </c>
      <c r="AI744" s="40">
        <v>1</v>
      </c>
      <c r="AJ744" s="41">
        <v>3</v>
      </c>
      <c r="AK744" s="43" t="s">
        <v>654</v>
      </c>
      <c r="AL744" s="43"/>
      <c r="AM744" s="44">
        <f t="shared" si="78"/>
        <v>-2.0012818558036707</v>
      </c>
      <c r="AN744" s="44">
        <f t="shared" si="79"/>
        <v>-1.5476334603481254</v>
      </c>
      <c r="AO744" s="45">
        <f t="shared" si="80"/>
        <v>0</v>
      </c>
      <c r="AP744" s="46">
        <f t="shared" si="81"/>
        <v>0</v>
      </c>
      <c r="AQ744" s="44">
        <f>($AM$3*AM744+$AN$3*AN744+$AO$3*AO744+$AP$3*AP744)+$I$3*VLOOKUP(I744,COND!$A$2:$E$7,4,FALSE)+$J$3*VLOOKUP(J744,COND!$A$2:$C$7,2,FALSE)+$K$3*VLOOKUP(K744,COND!$A$2:$C$7,3,FALSE)+IF(AND($B$2&gt;0,$E744&lt;20),$B$2*25,0)</f>
        <v>30.928270290242125</v>
      </c>
      <c r="AR744" s="47">
        <f t="shared" si="82"/>
        <v>-2.9273427614620018</v>
      </c>
      <c r="AS744" s="45" t="str">
        <f t="shared" si="83"/>
        <v>1B</v>
      </c>
      <c r="AT744" s="45">
        <f>RANK(Batters[[#This Row],[zScore]],Batters[[#All],[zScore]])</f>
        <v>740</v>
      </c>
      <c r="AU744" s="45"/>
      <c r="AV744" s="45"/>
      <c r="AW744" s="45" t="str">
        <f t="shared" si="84"/>
        <v>Unlikely</v>
      </c>
      <c r="AX744" s="45"/>
      <c r="AY744" s="64" t="str">
        <f>INDEX(Table5[[#All],[Ovr]],MATCH(Batters[[#This Row],[PID]],Table5[[#All],[PID]],0))</f>
        <v/>
      </c>
      <c r="AZ744" s="64" t="str">
        <f>INDEX(Table5[[#All],[Rnd]],MATCH(Batters[[#This Row],[PID]],Table5[[#All],[PID]],0))</f>
        <v/>
      </c>
      <c r="BA744" s="64" t="str">
        <f>INDEX(Table5[[#All],[Pick]],MATCH(Batters[[#This Row],[PID]],Table5[[#All],[PID]],0))</f>
        <v/>
      </c>
      <c r="BB744" s="64" t="str">
        <f>INDEX(Table5[[#All],[Team]],MATCH(Batters[[#This Row],[PID]],Table5[[#All],[PID]],0))</f>
        <v/>
      </c>
    </row>
    <row r="745" spans="1:54" ht="30" x14ac:dyDescent="0.25">
      <c r="A745" s="40">
        <v>11657</v>
      </c>
      <c r="B745" s="40" t="s">
        <v>87</v>
      </c>
      <c r="C745" s="40" t="s">
        <v>326</v>
      </c>
      <c r="D745" s="40" t="s">
        <v>200</v>
      </c>
      <c r="E745" s="40">
        <v>22</v>
      </c>
      <c r="F745" s="40" t="s">
        <v>42</v>
      </c>
      <c r="G745" s="40" t="s">
        <v>42</v>
      </c>
      <c r="H745" s="41" t="s">
        <v>647</v>
      </c>
      <c r="I745" s="65" t="s">
        <v>43</v>
      </c>
      <c r="J745" s="66" t="s">
        <v>47</v>
      </c>
      <c r="K745" s="67" t="s">
        <v>43</v>
      </c>
      <c r="L745" s="40">
        <v>2</v>
      </c>
      <c r="M745" s="40">
        <v>2</v>
      </c>
      <c r="N745" s="40">
        <v>2</v>
      </c>
      <c r="O745" s="40">
        <v>1</v>
      </c>
      <c r="P745" s="41">
        <v>2</v>
      </c>
      <c r="Q745" s="40">
        <v>3</v>
      </c>
      <c r="R745" s="40">
        <v>2</v>
      </c>
      <c r="S745" s="40">
        <v>2</v>
      </c>
      <c r="T745" s="40">
        <v>1</v>
      </c>
      <c r="U745" s="41">
        <v>4</v>
      </c>
      <c r="V745" s="40">
        <v>6</v>
      </c>
      <c r="W745" s="40">
        <v>1</v>
      </c>
      <c r="X745" s="40">
        <v>1</v>
      </c>
      <c r="Y745" s="41">
        <v>1</v>
      </c>
      <c r="Z745" s="40" t="s">
        <v>45</v>
      </c>
      <c r="AA745" s="40">
        <v>1</v>
      </c>
      <c r="AB745" s="40" t="s">
        <v>45</v>
      </c>
      <c r="AC745" s="40" t="s">
        <v>45</v>
      </c>
      <c r="AD745" s="40" t="s">
        <v>45</v>
      </c>
      <c r="AE745" s="40" t="s">
        <v>45</v>
      </c>
      <c r="AF745" s="40" t="s">
        <v>45</v>
      </c>
      <c r="AG745" s="41" t="s">
        <v>45</v>
      </c>
      <c r="AH745" s="40">
        <v>1</v>
      </c>
      <c r="AI745" s="40">
        <v>1</v>
      </c>
      <c r="AJ745" s="41">
        <v>1</v>
      </c>
      <c r="AK745" s="43" t="s">
        <v>45</v>
      </c>
      <c r="AL745" s="43"/>
      <c r="AM745" s="44">
        <f t="shared" si="78"/>
        <v>-1.5876498001652086</v>
      </c>
      <c r="AN745" s="44">
        <f t="shared" si="79"/>
        <v>-1.185061284328367</v>
      </c>
      <c r="AO745" s="45">
        <f t="shared" si="80"/>
        <v>0</v>
      </c>
      <c r="AP745" s="46">
        <f t="shared" si="81"/>
        <v>0</v>
      </c>
      <c r="AQ745" s="44">
        <f>($AM$3*AM745+$AN$3*AN745+$AO$3*AO745+$AP$3*AP745)+$I$3*VLOOKUP(I745,COND!$A$2:$E$7,4,FALSE)+$J$3*VLOOKUP(J745,COND!$A$2:$C$7,2,FALSE)+$K$3*VLOOKUP(K745,COND!$A$2:$C$7,3,FALSE)+IF(AND($B$2&gt;0,$E745&lt;20),$B$2*25,0)</f>
        <v>30.920499608043077</v>
      </c>
      <c r="AR745" s="47">
        <f t="shared" si="82"/>
        <v>-2.9290655742304677</v>
      </c>
      <c r="AS745" s="45" t="str">
        <f t="shared" si="83"/>
        <v>1B</v>
      </c>
      <c r="AT745" s="45">
        <f>RANK(Batters[[#This Row],[zScore]],Batters[[#All],[zScore]])</f>
        <v>741</v>
      </c>
      <c r="AU745" s="45"/>
      <c r="AV745" s="45"/>
      <c r="AW745" s="45" t="str">
        <f t="shared" si="84"/>
        <v>Unlikely</v>
      </c>
      <c r="AX745" s="45"/>
      <c r="AY745" s="64" t="str">
        <f>INDEX(Table5[[#All],[Ovr]],MATCH(Batters[[#This Row],[PID]],Table5[[#All],[PID]],0))</f>
        <v/>
      </c>
      <c r="AZ745" s="64" t="str">
        <f>INDEX(Table5[[#All],[Rnd]],MATCH(Batters[[#This Row],[PID]],Table5[[#All],[PID]],0))</f>
        <v/>
      </c>
      <c r="BA745" s="64" t="str">
        <f>INDEX(Table5[[#All],[Pick]],MATCH(Batters[[#This Row],[PID]],Table5[[#All],[PID]],0))</f>
        <v/>
      </c>
      <c r="BB745" s="64" t="str">
        <f>INDEX(Table5[[#All],[Team]],MATCH(Batters[[#This Row],[PID]],Table5[[#All],[PID]],0))</f>
        <v/>
      </c>
    </row>
    <row r="746" spans="1:54" ht="30" x14ac:dyDescent="0.25">
      <c r="A746" s="40">
        <v>18091</v>
      </c>
      <c r="B746" s="40" t="s">
        <v>86</v>
      </c>
      <c r="C746" s="40" t="s">
        <v>1547</v>
      </c>
      <c r="D746" s="40" t="s">
        <v>1548</v>
      </c>
      <c r="E746" s="40">
        <v>21</v>
      </c>
      <c r="F746" s="40" t="s">
        <v>62</v>
      </c>
      <c r="G746" s="40" t="s">
        <v>42</v>
      </c>
      <c r="H746" s="41" t="s">
        <v>638</v>
      </c>
      <c r="I746" s="65" t="s">
        <v>43</v>
      </c>
      <c r="J746" s="66" t="s">
        <v>44</v>
      </c>
      <c r="K746" s="67" t="s">
        <v>43</v>
      </c>
      <c r="L746" s="40">
        <v>1</v>
      </c>
      <c r="M746" s="40">
        <v>1</v>
      </c>
      <c r="N746" s="40">
        <v>2</v>
      </c>
      <c r="O746" s="40">
        <v>3</v>
      </c>
      <c r="P746" s="41">
        <v>1</v>
      </c>
      <c r="Q746" s="40">
        <v>2</v>
      </c>
      <c r="R746" s="40">
        <v>3</v>
      </c>
      <c r="S746" s="40">
        <v>3</v>
      </c>
      <c r="T746" s="40">
        <v>5</v>
      </c>
      <c r="U746" s="41">
        <v>1</v>
      </c>
      <c r="V746" s="40">
        <v>4</v>
      </c>
      <c r="W746" s="40">
        <v>3</v>
      </c>
      <c r="X746" s="40">
        <v>5</v>
      </c>
      <c r="Y746" s="41">
        <v>5</v>
      </c>
      <c r="Z746" s="40" t="s">
        <v>45</v>
      </c>
      <c r="AA746" s="40" t="s">
        <v>45</v>
      </c>
      <c r="AB746" s="40" t="s">
        <v>45</v>
      </c>
      <c r="AC746" s="40" t="s">
        <v>45</v>
      </c>
      <c r="AD746" s="40" t="s">
        <v>45</v>
      </c>
      <c r="AE746" s="40" t="s">
        <v>45</v>
      </c>
      <c r="AF746" s="40" t="s">
        <v>45</v>
      </c>
      <c r="AG746" s="41" t="s">
        <v>45</v>
      </c>
      <c r="AH746" s="40">
        <v>1</v>
      </c>
      <c r="AI746" s="40">
        <v>1</v>
      </c>
      <c r="AJ746" s="41">
        <v>1</v>
      </c>
      <c r="AK746" s="43" t="s">
        <v>45</v>
      </c>
      <c r="AL746" s="43" t="s">
        <v>635</v>
      </c>
      <c r="AM746" s="44">
        <f t="shared" si="78"/>
        <v>-1.8218627557845084</v>
      </c>
      <c r="AN746" s="44">
        <f t="shared" si="79"/>
        <v>-1.1347065663013634</v>
      </c>
      <c r="AO746" s="45">
        <f t="shared" si="80"/>
        <v>0</v>
      </c>
      <c r="AP746" s="46">
        <f t="shared" si="81"/>
        <v>0</v>
      </c>
      <c r="AQ746" s="44">
        <f>($AM$3*AM746+$AN$3*AN746+$AO$3*AO746+$AP$3*AP746)+$I$3*VLOOKUP(I746,COND!$A$2:$E$7,4,FALSE)+$J$3*VLOOKUP(J746,COND!$A$2:$C$7,2,FALSE)+$K$3*VLOOKUP(K746,COND!$A$2:$C$7,3,FALSE)+IF(AND($B$2&gt;0,$E746&lt;20),$B$2*25,0)</f>
        <v>30.901334928805191</v>
      </c>
      <c r="AR746" s="47">
        <f t="shared" si="82"/>
        <v>-2.9333145131587162</v>
      </c>
      <c r="AS746" s="45" t="str">
        <f t="shared" si="83"/>
        <v>DH</v>
      </c>
      <c r="AT746" s="45">
        <f>RANK(Batters[[#This Row],[zScore]],Batters[[#All],[zScore]])</f>
        <v>742</v>
      </c>
      <c r="AU746" s="45"/>
      <c r="AV746" s="45"/>
      <c r="AW746" s="45" t="str">
        <f t="shared" si="84"/>
        <v>Unlikely</v>
      </c>
      <c r="AX746" s="45"/>
      <c r="AY746" s="45" t="str">
        <f>INDEX(Table5[[#All],[Ovr]],MATCH(Batters[[#This Row],[PID]],Table5[[#All],[PID]],0))</f>
        <v/>
      </c>
      <c r="AZ746" s="45" t="str">
        <f>INDEX(Table5[[#All],[Rnd]],MATCH(Batters[[#This Row],[PID]],Table5[[#All],[PID]],0))</f>
        <v/>
      </c>
      <c r="BA746" s="45" t="str">
        <f>INDEX(Table5[[#All],[Pick]],MATCH(Batters[[#This Row],[PID]],Table5[[#All],[PID]],0))</f>
        <v/>
      </c>
      <c r="BB746" s="45" t="str">
        <f>INDEX(Table5[[#All],[Team]],MATCH(Batters[[#This Row],[PID]],Table5[[#All],[PID]],0))</f>
        <v/>
      </c>
    </row>
    <row r="747" spans="1:54" ht="30" x14ac:dyDescent="0.25">
      <c r="A747" s="40">
        <v>20277</v>
      </c>
      <c r="B747" s="40" t="s">
        <v>87</v>
      </c>
      <c r="C747" s="40" t="s">
        <v>1757</v>
      </c>
      <c r="D747" s="40" t="s">
        <v>1206</v>
      </c>
      <c r="E747" s="40">
        <v>21</v>
      </c>
      <c r="F747" s="40" t="s">
        <v>42</v>
      </c>
      <c r="G747" s="40" t="s">
        <v>42</v>
      </c>
      <c r="H747" s="41" t="s">
        <v>647</v>
      </c>
      <c r="I747" s="65" t="s">
        <v>43</v>
      </c>
      <c r="J747" s="66" t="s">
        <v>44</v>
      </c>
      <c r="K747" s="67" t="s">
        <v>43</v>
      </c>
      <c r="L747" s="40">
        <v>1</v>
      </c>
      <c r="M747" s="40">
        <v>2</v>
      </c>
      <c r="N747" s="40">
        <v>2</v>
      </c>
      <c r="O747" s="40">
        <v>1</v>
      </c>
      <c r="P747" s="41">
        <v>2</v>
      </c>
      <c r="Q747" s="40">
        <v>3</v>
      </c>
      <c r="R747" s="40">
        <v>3</v>
      </c>
      <c r="S747" s="40">
        <v>2</v>
      </c>
      <c r="T747" s="40">
        <v>1</v>
      </c>
      <c r="U747" s="41">
        <v>4</v>
      </c>
      <c r="V747" s="40">
        <v>6</v>
      </c>
      <c r="W747" s="40">
        <v>4</v>
      </c>
      <c r="X747" s="40">
        <v>1</v>
      </c>
      <c r="Y747" s="41">
        <v>1</v>
      </c>
      <c r="Z747" s="40" t="s">
        <v>45</v>
      </c>
      <c r="AA747" s="40" t="s">
        <v>45</v>
      </c>
      <c r="AB747" s="40" t="s">
        <v>45</v>
      </c>
      <c r="AC747" s="40" t="s">
        <v>45</v>
      </c>
      <c r="AD747" s="40" t="s">
        <v>45</v>
      </c>
      <c r="AE747" s="40" t="s">
        <v>45</v>
      </c>
      <c r="AF747" s="40" t="s">
        <v>45</v>
      </c>
      <c r="AG747" s="41" t="s">
        <v>45</v>
      </c>
      <c r="AH747" s="40">
        <v>2</v>
      </c>
      <c r="AI747" s="40">
        <v>1</v>
      </c>
      <c r="AJ747" s="41">
        <v>1</v>
      </c>
      <c r="AK747" s="43" t="s">
        <v>643</v>
      </c>
      <c r="AL747" s="43"/>
      <c r="AM747" s="44">
        <f t="shared" si="78"/>
        <v>-1.9102056363678834</v>
      </c>
      <c r="AN747" s="44">
        <f t="shared" si="79"/>
        <v>-1.1340014047096636</v>
      </c>
      <c r="AO747" s="45">
        <f t="shared" si="80"/>
        <v>0</v>
      </c>
      <c r="AP747" s="46">
        <f t="shared" si="81"/>
        <v>0</v>
      </c>
      <c r="AQ747" s="44">
        <f>($AM$3*AM747+$AN$3*AN747+$AO$3*AO747+$AP$3*AP747)+$I$3*VLOOKUP(I747,COND!$A$2:$E$7,4,FALSE)+$J$3*VLOOKUP(J747,COND!$A$2:$C$7,2,FALSE)+$K$3*VLOOKUP(K747,COND!$A$2:$C$7,3,FALSE)+IF(AND($B$2&gt;0,$E747&lt;20),$B$2*25,0)</f>
        <v>30.900962579847246</v>
      </c>
      <c r="AR747" s="47">
        <f t="shared" si="82"/>
        <v>-2.933397065439538</v>
      </c>
      <c r="AS747" s="45" t="str">
        <f t="shared" si="83"/>
        <v>DH</v>
      </c>
      <c r="AT747" s="45">
        <f>RANK(Batters[[#This Row],[zScore]],Batters[[#All],[zScore]])</f>
        <v>743</v>
      </c>
      <c r="AU747" s="45"/>
      <c r="AV747" s="45"/>
      <c r="AW747" s="45" t="str">
        <f t="shared" si="84"/>
        <v>Unlikely</v>
      </c>
      <c r="AX747" s="45"/>
      <c r="AY747" s="64" t="str">
        <f>INDEX(Table5[[#All],[Ovr]],MATCH(Batters[[#This Row],[PID]],Table5[[#All],[PID]],0))</f>
        <v/>
      </c>
      <c r="AZ747" s="64" t="str">
        <f>INDEX(Table5[[#All],[Rnd]],MATCH(Batters[[#This Row],[PID]],Table5[[#All],[PID]],0))</f>
        <v/>
      </c>
      <c r="BA747" s="64" t="str">
        <f>INDEX(Table5[[#All],[Pick]],MATCH(Batters[[#This Row],[PID]],Table5[[#All],[PID]],0))</f>
        <v/>
      </c>
      <c r="BB747" s="64" t="str">
        <f>INDEX(Table5[[#All],[Team]],MATCH(Batters[[#This Row],[PID]],Table5[[#All],[PID]],0))</f>
        <v/>
      </c>
    </row>
    <row r="748" spans="1:54" ht="30" x14ac:dyDescent="0.25">
      <c r="A748" s="40">
        <v>12458</v>
      </c>
      <c r="B748" s="40" t="s">
        <v>86</v>
      </c>
      <c r="C748" s="40" t="s">
        <v>737</v>
      </c>
      <c r="D748" s="40" t="s">
        <v>1667</v>
      </c>
      <c r="E748" s="40">
        <v>21</v>
      </c>
      <c r="F748" s="40" t="s">
        <v>42</v>
      </c>
      <c r="G748" s="40" t="s">
        <v>42</v>
      </c>
      <c r="H748" s="41" t="s">
        <v>639</v>
      </c>
      <c r="I748" s="65" t="s">
        <v>43</v>
      </c>
      <c r="J748" s="66" t="s">
        <v>44</v>
      </c>
      <c r="K748" s="67" t="s">
        <v>43</v>
      </c>
      <c r="L748" s="40">
        <v>1</v>
      </c>
      <c r="M748" s="40">
        <v>3</v>
      </c>
      <c r="N748" s="40">
        <v>2</v>
      </c>
      <c r="O748" s="40">
        <v>2</v>
      </c>
      <c r="P748" s="41">
        <v>1</v>
      </c>
      <c r="Q748" s="40">
        <v>2</v>
      </c>
      <c r="R748" s="40">
        <v>4</v>
      </c>
      <c r="S748" s="40">
        <v>2</v>
      </c>
      <c r="T748" s="40">
        <v>4</v>
      </c>
      <c r="U748" s="41">
        <v>4</v>
      </c>
      <c r="V748" s="40">
        <v>3</v>
      </c>
      <c r="W748" s="40">
        <v>2</v>
      </c>
      <c r="X748" s="40">
        <v>3</v>
      </c>
      <c r="Y748" s="41">
        <v>4</v>
      </c>
      <c r="Z748" s="40" t="s">
        <v>45</v>
      </c>
      <c r="AA748" s="40" t="s">
        <v>45</v>
      </c>
      <c r="AB748" s="40" t="s">
        <v>45</v>
      </c>
      <c r="AC748" s="40" t="s">
        <v>45</v>
      </c>
      <c r="AD748" s="40" t="s">
        <v>45</v>
      </c>
      <c r="AE748" s="40" t="s">
        <v>45</v>
      </c>
      <c r="AF748" s="40" t="s">
        <v>45</v>
      </c>
      <c r="AG748" s="41" t="s">
        <v>45</v>
      </c>
      <c r="AH748" s="40">
        <v>2</v>
      </c>
      <c r="AI748" s="40">
        <v>1</v>
      </c>
      <c r="AJ748" s="41">
        <v>1</v>
      </c>
      <c r="AK748" s="43" t="s">
        <v>45</v>
      </c>
      <c r="AL748" s="43"/>
      <c r="AM748" s="44">
        <f t="shared" si="78"/>
        <v>-1.8094525465566824</v>
      </c>
      <c r="AN748" s="44">
        <f t="shared" si="79"/>
        <v>-1.1363687112648917</v>
      </c>
      <c r="AO748" s="45">
        <f t="shared" si="80"/>
        <v>0</v>
      </c>
      <c r="AP748" s="46">
        <f t="shared" si="81"/>
        <v>0</v>
      </c>
      <c r="AQ748" s="44">
        <f>($AM$3*AM748+$AN$3*AN748+$AO$3*AO748+$AP$3*AP748)+$I$3*VLOOKUP(I748,COND!$A$2:$E$7,4,FALSE)+$J$3*VLOOKUP(J748,COND!$A$2:$C$7,2,FALSE)+$K$3*VLOOKUP(K748,COND!$A$2:$C$7,3,FALSE)+IF(AND($B$2&gt;0,$E748&lt;20),$B$2*25,0)</f>
        <v>30.88263021016563</v>
      </c>
      <c r="AR748" s="47">
        <f t="shared" si="82"/>
        <v>-2.9374614757132713</v>
      </c>
      <c r="AS748" s="45" t="str">
        <f t="shared" si="83"/>
        <v>DH</v>
      </c>
      <c r="AT748" s="45">
        <f>RANK(Batters[[#This Row],[zScore]],Batters[[#All],[zScore]])</f>
        <v>744</v>
      </c>
      <c r="AU748" s="45"/>
      <c r="AV748" s="45"/>
      <c r="AW748" s="45" t="str">
        <f t="shared" si="84"/>
        <v>Unlikely</v>
      </c>
      <c r="AX748" s="45"/>
      <c r="AY748" s="64" t="str">
        <f>INDEX(Table5[[#All],[Ovr]],MATCH(Batters[[#This Row],[PID]],Table5[[#All],[PID]],0))</f>
        <v/>
      </c>
      <c r="AZ748" s="64" t="str">
        <f>INDEX(Table5[[#All],[Rnd]],MATCH(Batters[[#This Row],[PID]],Table5[[#All],[PID]],0))</f>
        <v/>
      </c>
      <c r="BA748" s="64" t="str">
        <f>INDEX(Table5[[#All],[Pick]],MATCH(Batters[[#This Row],[PID]],Table5[[#All],[PID]],0))</f>
        <v/>
      </c>
      <c r="BB748" s="64" t="str">
        <f>INDEX(Table5[[#All],[Team]],MATCH(Batters[[#This Row],[PID]],Table5[[#All],[PID]],0))</f>
        <v/>
      </c>
    </row>
    <row r="749" spans="1:54" ht="30" x14ac:dyDescent="0.25">
      <c r="A749" s="40">
        <v>8396</v>
      </c>
      <c r="B749" s="40" t="s">
        <v>86</v>
      </c>
      <c r="C749" s="40" t="s">
        <v>139</v>
      </c>
      <c r="D749" s="40" t="s">
        <v>1669</v>
      </c>
      <c r="E749" s="40">
        <v>21</v>
      </c>
      <c r="F749" s="40" t="s">
        <v>42</v>
      </c>
      <c r="G749" s="40" t="s">
        <v>42</v>
      </c>
      <c r="H749" s="41" t="s">
        <v>639</v>
      </c>
      <c r="I749" s="65" t="s">
        <v>43</v>
      </c>
      <c r="J749" s="66" t="s">
        <v>43</v>
      </c>
      <c r="K749" s="67" t="s">
        <v>43</v>
      </c>
      <c r="L749" s="40">
        <v>1</v>
      </c>
      <c r="M749" s="40">
        <v>2</v>
      </c>
      <c r="N749" s="40">
        <v>2</v>
      </c>
      <c r="O749" s="40">
        <v>2</v>
      </c>
      <c r="P749" s="41">
        <v>1</v>
      </c>
      <c r="Q749" s="40">
        <v>2</v>
      </c>
      <c r="R749" s="40">
        <v>4</v>
      </c>
      <c r="S749" s="40">
        <v>2</v>
      </c>
      <c r="T749" s="40">
        <v>5</v>
      </c>
      <c r="U749" s="41">
        <v>1</v>
      </c>
      <c r="V749" s="40">
        <v>3</v>
      </c>
      <c r="W749" s="40">
        <v>2</v>
      </c>
      <c r="X749" s="40">
        <v>4</v>
      </c>
      <c r="Y749" s="41">
        <v>6</v>
      </c>
      <c r="Z749" s="40" t="s">
        <v>45</v>
      </c>
      <c r="AA749" s="40" t="s">
        <v>45</v>
      </c>
      <c r="AB749" s="40" t="s">
        <v>45</v>
      </c>
      <c r="AC749" s="40" t="s">
        <v>45</v>
      </c>
      <c r="AD749" s="40" t="s">
        <v>45</v>
      </c>
      <c r="AE749" s="40" t="s">
        <v>45</v>
      </c>
      <c r="AF749" s="40" t="s">
        <v>45</v>
      </c>
      <c r="AG749" s="41" t="s">
        <v>45</v>
      </c>
      <c r="AH749" s="40">
        <v>1</v>
      </c>
      <c r="AI749" s="40">
        <v>6</v>
      </c>
      <c r="AJ749" s="41">
        <v>4</v>
      </c>
      <c r="AK749" s="43" t="s">
        <v>45</v>
      </c>
      <c r="AL749" s="43"/>
      <c r="AM749" s="44">
        <f t="shared" si="78"/>
        <v>-1.8605124261753858</v>
      </c>
      <c r="AN749" s="44">
        <f t="shared" si="79"/>
        <v>-1.1667081807065611</v>
      </c>
      <c r="AO749" s="45">
        <f t="shared" si="80"/>
        <v>0</v>
      </c>
      <c r="AP749" s="46">
        <f t="shared" si="81"/>
        <v>0</v>
      </c>
      <c r="AQ749" s="44">
        <f>($AM$3*AM749+$AN$3*AN749+$AO$3*AO749+$AP$3*AP749)+$I$3*VLOOKUP(I749,COND!$A$2:$E$7,4,FALSE)+$J$3*VLOOKUP(J749,COND!$A$2:$C$7,2,FALSE)+$K$3*VLOOKUP(K749,COND!$A$2:$C$7,3,FALSE)+IF(AND($B$2&gt;0,$E749&lt;20),$B$2*25,0)</f>
        <v>30.813450588903727</v>
      </c>
      <c r="AR749" s="47">
        <f t="shared" si="82"/>
        <v>-2.9527990653578771</v>
      </c>
      <c r="AS749" s="45" t="str">
        <f t="shared" si="83"/>
        <v>DH</v>
      </c>
      <c r="AT749" s="45">
        <f>RANK(Batters[[#This Row],[zScore]],Batters[[#All],[zScore]])</f>
        <v>745</v>
      </c>
      <c r="AU749" s="45"/>
      <c r="AV749" s="45"/>
      <c r="AW749" s="45" t="str">
        <f t="shared" si="84"/>
        <v>Unlikely</v>
      </c>
      <c r="AX749" s="45"/>
      <c r="AY749" s="64" t="str">
        <f>INDEX(Table5[[#All],[Ovr]],MATCH(Batters[[#This Row],[PID]],Table5[[#All],[PID]],0))</f>
        <v/>
      </c>
      <c r="AZ749" s="64" t="str">
        <f>INDEX(Table5[[#All],[Rnd]],MATCH(Batters[[#This Row],[PID]],Table5[[#All],[PID]],0))</f>
        <v/>
      </c>
      <c r="BA749" s="64" t="str">
        <f>INDEX(Table5[[#All],[Pick]],MATCH(Batters[[#This Row],[PID]],Table5[[#All],[PID]],0))</f>
        <v/>
      </c>
      <c r="BB749" s="64" t="str">
        <f>INDEX(Table5[[#All],[Team]],MATCH(Batters[[#This Row],[PID]],Table5[[#All],[PID]],0))</f>
        <v/>
      </c>
    </row>
    <row r="750" spans="1:54" ht="30" x14ac:dyDescent="0.25">
      <c r="A750" s="40">
        <v>18138</v>
      </c>
      <c r="B750" s="40" t="s">
        <v>87</v>
      </c>
      <c r="C750" s="40" t="s">
        <v>175</v>
      </c>
      <c r="D750" s="40" t="s">
        <v>1684</v>
      </c>
      <c r="E750" s="40">
        <v>21</v>
      </c>
      <c r="F750" s="40" t="s">
        <v>42</v>
      </c>
      <c r="G750" s="40" t="s">
        <v>42</v>
      </c>
      <c r="H750" s="41" t="s">
        <v>639</v>
      </c>
      <c r="I750" s="65" t="s">
        <v>43</v>
      </c>
      <c r="J750" s="66" t="s">
        <v>44</v>
      </c>
      <c r="K750" s="67" t="s">
        <v>43</v>
      </c>
      <c r="L750" s="40">
        <v>1</v>
      </c>
      <c r="M750" s="40">
        <v>1</v>
      </c>
      <c r="N750" s="40">
        <v>2</v>
      </c>
      <c r="O750" s="40">
        <v>3</v>
      </c>
      <c r="P750" s="41">
        <v>1</v>
      </c>
      <c r="Q750" s="40">
        <v>2</v>
      </c>
      <c r="R750" s="40">
        <v>3</v>
      </c>
      <c r="S750" s="40">
        <v>3</v>
      </c>
      <c r="T750" s="40">
        <v>4</v>
      </c>
      <c r="U750" s="41">
        <v>3</v>
      </c>
      <c r="V750" s="40">
        <v>5</v>
      </c>
      <c r="W750" s="40">
        <v>3</v>
      </c>
      <c r="X750" s="40">
        <v>4</v>
      </c>
      <c r="Y750" s="41">
        <v>5</v>
      </c>
      <c r="Z750" s="40" t="s">
        <v>45</v>
      </c>
      <c r="AA750" s="40">
        <v>2</v>
      </c>
      <c r="AB750" s="40" t="s">
        <v>45</v>
      </c>
      <c r="AC750" s="40" t="s">
        <v>45</v>
      </c>
      <c r="AD750" s="40" t="s">
        <v>45</v>
      </c>
      <c r="AE750" s="40" t="s">
        <v>45</v>
      </c>
      <c r="AF750" s="40" t="s">
        <v>45</v>
      </c>
      <c r="AG750" s="41" t="s">
        <v>45</v>
      </c>
      <c r="AH750" s="40">
        <v>1</v>
      </c>
      <c r="AI750" s="40">
        <v>1</v>
      </c>
      <c r="AJ750" s="41">
        <v>4</v>
      </c>
      <c r="AK750" s="43" t="s">
        <v>45</v>
      </c>
      <c r="AL750" s="43"/>
      <c r="AM750" s="44">
        <f t="shared" si="78"/>
        <v>-1.8218627557845084</v>
      </c>
      <c r="AN750" s="44">
        <f t="shared" si="79"/>
        <v>-1.1443834366767773</v>
      </c>
      <c r="AO750" s="45">
        <f t="shared" si="80"/>
        <v>0</v>
      </c>
      <c r="AP750" s="46">
        <f t="shared" si="81"/>
        <v>0</v>
      </c>
      <c r="AQ750" s="44">
        <f>($AM$3*AM750+$AN$3*AN750+$AO$3*AO750+$AP$3*AP750)+$I$3*VLOOKUP(I750,COND!$A$2:$E$7,4,FALSE)+$J$3*VLOOKUP(J750,COND!$A$2:$C$7,2,FALSE)+$K$3*VLOOKUP(K750,COND!$A$2:$C$7,3,FALSE)+IF(AND($B$2&gt;0,$E750&lt;20),$B$2*25,0)</f>
        <v>30.785212484300221</v>
      </c>
      <c r="AR750" s="47">
        <f t="shared" si="82"/>
        <v>-2.9590596440203472</v>
      </c>
      <c r="AS750" s="45" t="str">
        <f t="shared" si="83"/>
        <v>1B</v>
      </c>
      <c r="AT750" s="45">
        <f>RANK(Batters[[#This Row],[zScore]],Batters[[#All],[zScore]])</f>
        <v>746</v>
      </c>
      <c r="AU750" s="45"/>
      <c r="AV750" s="45"/>
      <c r="AW750" s="45" t="str">
        <f t="shared" si="84"/>
        <v>Unlikely</v>
      </c>
      <c r="AX750" s="45"/>
      <c r="AY750" s="64" t="str">
        <f>INDEX(Table5[[#All],[Ovr]],MATCH(Batters[[#This Row],[PID]],Table5[[#All],[PID]],0))</f>
        <v/>
      </c>
      <c r="AZ750" s="64" t="str">
        <f>INDEX(Table5[[#All],[Rnd]],MATCH(Batters[[#This Row],[PID]],Table5[[#All],[PID]],0))</f>
        <v/>
      </c>
      <c r="BA750" s="64" t="str">
        <f>INDEX(Table5[[#All],[Pick]],MATCH(Batters[[#This Row],[PID]],Table5[[#All],[PID]],0))</f>
        <v/>
      </c>
      <c r="BB750" s="64" t="str">
        <f>INDEX(Table5[[#All],[Team]],MATCH(Batters[[#This Row],[PID]],Table5[[#All],[PID]],0))</f>
        <v/>
      </c>
    </row>
    <row r="751" spans="1:54" ht="30" x14ac:dyDescent="0.25">
      <c r="A751" s="40">
        <v>11950</v>
      </c>
      <c r="B751" s="40" t="s">
        <v>87</v>
      </c>
      <c r="C751" s="40" t="s">
        <v>205</v>
      </c>
      <c r="D751" s="40" t="s">
        <v>977</v>
      </c>
      <c r="E751" s="40">
        <v>22</v>
      </c>
      <c r="F751" s="40" t="s">
        <v>42</v>
      </c>
      <c r="G751" s="40" t="s">
        <v>42</v>
      </c>
      <c r="H751" s="41" t="s">
        <v>647</v>
      </c>
      <c r="I751" s="65" t="s">
        <v>44</v>
      </c>
      <c r="J751" s="66" t="s">
        <v>44</v>
      </c>
      <c r="K751" s="67" t="s">
        <v>43</v>
      </c>
      <c r="L751" s="40">
        <v>1</v>
      </c>
      <c r="M751" s="40">
        <v>2</v>
      </c>
      <c r="N751" s="40">
        <v>2</v>
      </c>
      <c r="O751" s="40">
        <v>2</v>
      </c>
      <c r="P751" s="41">
        <v>1</v>
      </c>
      <c r="Q751" s="40">
        <v>2</v>
      </c>
      <c r="R751" s="40">
        <v>4</v>
      </c>
      <c r="S751" s="40">
        <v>3</v>
      </c>
      <c r="T751" s="40">
        <v>4</v>
      </c>
      <c r="U751" s="41">
        <v>2</v>
      </c>
      <c r="V751" s="40">
        <v>8</v>
      </c>
      <c r="W751" s="40">
        <v>7</v>
      </c>
      <c r="X751" s="40">
        <v>6</v>
      </c>
      <c r="Y751" s="41">
        <v>3</v>
      </c>
      <c r="Z751" s="40" t="s">
        <v>45</v>
      </c>
      <c r="AA751" s="40">
        <v>2</v>
      </c>
      <c r="AB751" s="40" t="s">
        <v>45</v>
      </c>
      <c r="AC751" s="40" t="s">
        <v>45</v>
      </c>
      <c r="AD751" s="40" t="s">
        <v>45</v>
      </c>
      <c r="AE751" s="40" t="s">
        <v>45</v>
      </c>
      <c r="AF751" s="40" t="s">
        <v>45</v>
      </c>
      <c r="AG751" s="41" t="s">
        <v>45</v>
      </c>
      <c r="AH751" s="40">
        <v>2</v>
      </c>
      <c r="AI751" s="40">
        <v>3</v>
      </c>
      <c r="AJ751" s="41">
        <v>1</v>
      </c>
      <c r="AK751" s="43" t="s">
        <v>45</v>
      </c>
      <c r="AL751" s="43"/>
      <c r="AM751" s="44">
        <f t="shared" si="78"/>
        <v>-1.8605124261753858</v>
      </c>
      <c r="AN751" s="44">
        <f t="shared" si="79"/>
        <v>-1.1333398968751573</v>
      </c>
      <c r="AO751" s="45">
        <f t="shared" si="80"/>
        <v>0</v>
      </c>
      <c r="AP751" s="46">
        <f t="shared" si="81"/>
        <v>0</v>
      </c>
      <c r="AQ751" s="44">
        <f>($AM$3*AM751+$AN$3*AN751+$AO$3*AO751+$AP$3*AP751)+$I$3*VLOOKUP(I751,COND!$A$2:$E$7,4,FALSE)+$J$3*VLOOKUP(J751,COND!$A$2:$C$7,2,FALSE)+$K$3*VLOOKUP(K751,COND!$A$2:$C$7,3,FALSE)+IF(AND($B$2&gt;0,$E751&lt;20),$B$2*25,0)</f>
        <v>30.763869994880572</v>
      </c>
      <c r="AR751" s="47">
        <f t="shared" si="82"/>
        <v>-2.9637914181865233</v>
      </c>
      <c r="AS751" s="45" t="str">
        <f t="shared" si="83"/>
        <v>1B</v>
      </c>
      <c r="AT751" s="45">
        <f>RANK(Batters[[#This Row],[zScore]],Batters[[#All],[zScore]])</f>
        <v>747</v>
      </c>
      <c r="AU751" s="45"/>
      <c r="AV751" s="45"/>
      <c r="AW751" s="45" t="str">
        <f t="shared" si="84"/>
        <v>Unlikely</v>
      </c>
      <c r="AX751" s="45"/>
      <c r="AY751" s="64" t="str">
        <f>INDEX(Table5[[#All],[Ovr]],MATCH(Batters[[#This Row],[PID]],Table5[[#All],[PID]],0))</f>
        <v/>
      </c>
      <c r="AZ751" s="64" t="str">
        <f>INDEX(Table5[[#All],[Rnd]],MATCH(Batters[[#This Row],[PID]],Table5[[#All],[PID]],0))</f>
        <v/>
      </c>
      <c r="BA751" s="64" t="str">
        <f>INDEX(Table5[[#All],[Pick]],MATCH(Batters[[#This Row],[PID]],Table5[[#All],[PID]],0))</f>
        <v/>
      </c>
      <c r="BB751" s="64" t="str">
        <f>INDEX(Table5[[#All],[Team]],MATCH(Batters[[#This Row],[PID]],Table5[[#All],[PID]],0))</f>
        <v/>
      </c>
    </row>
    <row r="752" spans="1:54" ht="30" x14ac:dyDescent="0.25">
      <c r="A752" s="40">
        <v>11389</v>
      </c>
      <c r="B752" s="40" t="s">
        <v>86</v>
      </c>
      <c r="C752" s="40" t="s">
        <v>555</v>
      </c>
      <c r="D752" s="40" t="s">
        <v>1593</v>
      </c>
      <c r="E752" s="40">
        <v>21</v>
      </c>
      <c r="F752" s="40" t="s">
        <v>42</v>
      </c>
      <c r="G752" s="40" t="s">
        <v>42</v>
      </c>
      <c r="H752" s="41" t="s">
        <v>638</v>
      </c>
      <c r="I752" s="65" t="s">
        <v>43</v>
      </c>
      <c r="J752" s="66" t="s">
        <v>43</v>
      </c>
      <c r="K752" s="67" t="s">
        <v>43</v>
      </c>
      <c r="L752" s="40">
        <v>1</v>
      </c>
      <c r="M752" s="40">
        <v>3</v>
      </c>
      <c r="N752" s="40">
        <v>2</v>
      </c>
      <c r="O752" s="40">
        <v>2</v>
      </c>
      <c r="P752" s="41">
        <v>1</v>
      </c>
      <c r="Q752" s="40">
        <v>2</v>
      </c>
      <c r="R752" s="40">
        <v>4</v>
      </c>
      <c r="S752" s="40">
        <v>3</v>
      </c>
      <c r="T752" s="40">
        <v>4</v>
      </c>
      <c r="U752" s="41">
        <v>1</v>
      </c>
      <c r="V752" s="40">
        <v>3</v>
      </c>
      <c r="W752" s="40">
        <v>3</v>
      </c>
      <c r="X752" s="40">
        <v>4</v>
      </c>
      <c r="Y752" s="41">
        <v>10</v>
      </c>
      <c r="Z752" s="40">
        <v>4</v>
      </c>
      <c r="AA752" s="40" t="s">
        <v>45</v>
      </c>
      <c r="AB752" s="40" t="s">
        <v>45</v>
      </c>
      <c r="AC752" s="40" t="s">
        <v>45</v>
      </c>
      <c r="AD752" s="40" t="s">
        <v>45</v>
      </c>
      <c r="AE752" s="40" t="s">
        <v>45</v>
      </c>
      <c r="AF752" s="40" t="s">
        <v>45</v>
      </c>
      <c r="AG752" s="41" t="s">
        <v>45</v>
      </c>
      <c r="AH752" s="40">
        <v>1</v>
      </c>
      <c r="AI752" s="40">
        <v>1</v>
      </c>
      <c r="AJ752" s="41">
        <v>1</v>
      </c>
      <c r="AK752" s="43" t="s">
        <v>45</v>
      </c>
      <c r="AL752" s="43" t="s">
        <v>47</v>
      </c>
      <c r="AM752" s="44">
        <f t="shared" si="78"/>
        <v>-1.8094525465566824</v>
      </c>
      <c r="AN752" s="44">
        <f t="shared" si="79"/>
        <v>-1.1733562366922408</v>
      </c>
      <c r="AO752" s="45">
        <f t="shared" si="80"/>
        <v>0</v>
      </c>
      <c r="AP752" s="46">
        <f t="shared" si="81"/>
        <v>0</v>
      </c>
      <c r="AQ752" s="44">
        <f>($AM$3*AM752+$AN$3*AN752+$AO$3*AO752+$AP$3*AP752)+$I$3*VLOOKUP(I752,COND!$A$2:$E$7,4,FALSE)+$J$3*VLOOKUP(J752,COND!$A$2:$C$7,2,FALSE)+$K$3*VLOOKUP(K752,COND!$A$2:$C$7,3,FALSE)+IF(AND($B$2&gt;0,$E752&lt;20),$B$2*25,0)</f>
        <v>30.738779905037443</v>
      </c>
      <c r="AR752" s="47">
        <f t="shared" si="82"/>
        <v>-2.9693540606980129</v>
      </c>
      <c r="AS752" s="45" t="str">
        <f t="shared" si="83"/>
        <v>C</v>
      </c>
      <c r="AT752" s="45">
        <f>RANK(Batters[[#This Row],[zScore]],Batters[[#All],[zScore]])</f>
        <v>748</v>
      </c>
      <c r="AU752" s="45"/>
      <c r="AV752" s="45"/>
      <c r="AW752" s="45" t="str">
        <f t="shared" si="84"/>
        <v>Unlikely</v>
      </c>
      <c r="AX752" s="45"/>
      <c r="AY752" s="45">
        <f>INDEX(Table5[[#All],[Ovr]],MATCH(Batters[[#This Row],[PID]],Table5[[#All],[PID]],0))</f>
        <v>370</v>
      </c>
      <c r="AZ752" s="45" t="str">
        <f>INDEX(Table5[[#All],[Rnd]],MATCH(Batters[[#This Row],[PID]],Table5[[#All],[PID]],0))</f>
        <v>13</v>
      </c>
      <c r="BA752" s="45">
        <f>INDEX(Table5[[#All],[Pick]],MATCH(Batters[[#This Row],[PID]],Table5[[#All],[PID]],0))</f>
        <v>2</v>
      </c>
      <c r="BB752" s="45" t="str">
        <f>INDEX(Table5[[#All],[Team]],MATCH(Batters[[#This Row],[PID]],Table5[[#All],[PID]],0))</f>
        <v>Charleston Statesmen</v>
      </c>
    </row>
    <row r="753" spans="1:54" ht="30" x14ac:dyDescent="0.25">
      <c r="A753" s="40">
        <v>17997</v>
      </c>
      <c r="B753" s="40" t="s">
        <v>86</v>
      </c>
      <c r="C753" s="40" t="s">
        <v>190</v>
      </c>
      <c r="D753" s="40" t="s">
        <v>802</v>
      </c>
      <c r="E753" s="40">
        <v>22</v>
      </c>
      <c r="F753" s="40" t="s">
        <v>42</v>
      </c>
      <c r="G753" s="40" t="s">
        <v>42</v>
      </c>
      <c r="H753" s="41" t="s">
        <v>638</v>
      </c>
      <c r="I753" s="65" t="s">
        <v>43</v>
      </c>
      <c r="J753" s="66" t="s">
        <v>44</v>
      </c>
      <c r="K753" s="67" t="s">
        <v>43</v>
      </c>
      <c r="L753" s="40">
        <v>2</v>
      </c>
      <c r="M753" s="40">
        <v>2</v>
      </c>
      <c r="N753" s="40">
        <v>2</v>
      </c>
      <c r="O753" s="40">
        <v>1</v>
      </c>
      <c r="P753" s="41">
        <v>1</v>
      </c>
      <c r="Q753" s="40">
        <v>2</v>
      </c>
      <c r="R753" s="40">
        <v>3</v>
      </c>
      <c r="S753" s="40">
        <v>4</v>
      </c>
      <c r="T753" s="40">
        <v>3</v>
      </c>
      <c r="U753" s="41">
        <v>3</v>
      </c>
      <c r="V753" s="40">
        <v>2</v>
      </c>
      <c r="W753" s="40">
        <v>3</v>
      </c>
      <c r="X753" s="40">
        <v>4</v>
      </c>
      <c r="Y753" s="41">
        <v>6</v>
      </c>
      <c r="Z753" s="40">
        <v>2</v>
      </c>
      <c r="AA753" s="40" t="s">
        <v>45</v>
      </c>
      <c r="AB753" s="40" t="s">
        <v>45</v>
      </c>
      <c r="AC753" s="40" t="s">
        <v>45</v>
      </c>
      <c r="AD753" s="40" t="s">
        <v>45</v>
      </c>
      <c r="AE753" s="40" t="s">
        <v>45</v>
      </c>
      <c r="AF753" s="40" t="s">
        <v>45</v>
      </c>
      <c r="AG753" s="41" t="s">
        <v>45</v>
      </c>
      <c r="AH753" s="40">
        <v>1</v>
      </c>
      <c r="AI753" s="40">
        <v>2</v>
      </c>
      <c r="AJ753" s="41">
        <v>4</v>
      </c>
      <c r="AK753" s="43" t="s">
        <v>45</v>
      </c>
      <c r="AL753" s="43" t="s">
        <v>47</v>
      </c>
      <c r="AM753" s="44">
        <f t="shared" si="78"/>
        <v>-1.6276661399822923</v>
      </c>
      <c r="AN753" s="44">
        <f t="shared" si="79"/>
        <v>-1.151031492662457</v>
      </c>
      <c r="AO753" s="45">
        <f t="shared" si="80"/>
        <v>0</v>
      </c>
      <c r="AP753" s="46">
        <f t="shared" si="81"/>
        <v>0</v>
      </c>
      <c r="AQ753" s="44">
        <f>($AM$3*AM753+$AN$3*AN753+$AO$3*AO753+$AP$3*AP753)+$I$3*VLOOKUP(I753,COND!$A$2:$E$7,4,FALSE)+$J$3*VLOOKUP(J753,COND!$A$2:$C$7,2,FALSE)+$K$3*VLOOKUP(K753,COND!$A$2:$C$7,3,FALSE)+IF(AND($B$2&gt;0,$E753&lt;20),$B$2*25,0)</f>
        <v>30.724855474052287</v>
      </c>
      <c r="AR753" s="47">
        <f t="shared" si="82"/>
        <v>-2.9724412011678405</v>
      </c>
      <c r="AS753" s="45" t="str">
        <f t="shared" si="83"/>
        <v>C</v>
      </c>
      <c r="AT753" s="45">
        <f>RANK(Batters[[#This Row],[zScore]],Batters[[#All],[zScore]])</f>
        <v>749</v>
      </c>
      <c r="AU753" s="45"/>
      <c r="AV753" s="45"/>
      <c r="AW753" s="45" t="str">
        <f t="shared" si="84"/>
        <v>Unlikely</v>
      </c>
      <c r="AX753" s="45"/>
      <c r="AY753" s="45" t="str">
        <f>INDEX(Table5[[#All],[Ovr]],MATCH(Batters[[#This Row],[PID]],Table5[[#All],[PID]],0))</f>
        <v/>
      </c>
      <c r="AZ753" s="45" t="str">
        <f>INDEX(Table5[[#All],[Rnd]],MATCH(Batters[[#This Row],[PID]],Table5[[#All],[PID]],0))</f>
        <v/>
      </c>
      <c r="BA753" s="45" t="str">
        <f>INDEX(Table5[[#All],[Pick]],MATCH(Batters[[#This Row],[PID]],Table5[[#All],[PID]],0))</f>
        <v/>
      </c>
      <c r="BB753" s="45" t="str">
        <f>INDEX(Table5[[#All],[Team]],MATCH(Batters[[#This Row],[PID]],Table5[[#All],[PID]],0))</f>
        <v/>
      </c>
    </row>
    <row r="754" spans="1:54" ht="30" x14ac:dyDescent="0.25">
      <c r="A754" s="40">
        <v>12048</v>
      </c>
      <c r="B754" s="40" t="s">
        <v>69</v>
      </c>
      <c r="C754" s="40" t="s">
        <v>169</v>
      </c>
      <c r="D754" s="40" t="s">
        <v>818</v>
      </c>
      <c r="E754" s="40">
        <v>22</v>
      </c>
      <c r="F754" s="40" t="s">
        <v>53</v>
      </c>
      <c r="G754" s="40" t="s">
        <v>42</v>
      </c>
      <c r="H754" s="41" t="s">
        <v>639</v>
      </c>
      <c r="I754" s="65" t="s">
        <v>43</v>
      </c>
      <c r="J754" s="66" t="s">
        <v>43</v>
      </c>
      <c r="K754" s="67" t="s">
        <v>44</v>
      </c>
      <c r="L754" s="40">
        <v>1</v>
      </c>
      <c r="M754" s="40">
        <v>1</v>
      </c>
      <c r="N754" s="40">
        <v>2</v>
      </c>
      <c r="O754" s="40">
        <v>2</v>
      </c>
      <c r="P754" s="41">
        <v>1</v>
      </c>
      <c r="Q754" s="40">
        <v>2</v>
      </c>
      <c r="R754" s="40">
        <v>2</v>
      </c>
      <c r="S754" s="40">
        <v>3</v>
      </c>
      <c r="T754" s="40">
        <v>4</v>
      </c>
      <c r="U754" s="41">
        <v>2</v>
      </c>
      <c r="V754" s="40">
        <v>8</v>
      </c>
      <c r="W754" s="40">
        <v>9</v>
      </c>
      <c r="X754" s="40">
        <v>1</v>
      </c>
      <c r="Y754" s="41">
        <v>1</v>
      </c>
      <c r="Z754" s="40" t="s">
        <v>45</v>
      </c>
      <c r="AA754" s="40" t="s">
        <v>45</v>
      </c>
      <c r="AB754" s="40" t="s">
        <v>45</v>
      </c>
      <c r="AC754" s="40">
        <v>6</v>
      </c>
      <c r="AD754" s="40" t="s">
        <v>45</v>
      </c>
      <c r="AE754" s="40" t="s">
        <v>45</v>
      </c>
      <c r="AF754" s="40" t="s">
        <v>45</v>
      </c>
      <c r="AG754" s="41" t="s">
        <v>45</v>
      </c>
      <c r="AH754" s="40">
        <v>6</v>
      </c>
      <c r="AI754" s="40">
        <v>7</v>
      </c>
      <c r="AJ754" s="41">
        <v>5</v>
      </c>
      <c r="AK754" s="43" t="s">
        <v>45</v>
      </c>
      <c r="AL754" s="43"/>
      <c r="AM754" s="44">
        <f t="shared" si="78"/>
        <v>-1.9115723057940897</v>
      </c>
      <c r="AN754" s="44">
        <f t="shared" si="79"/>
        <v>-1.2354596561125644</v>
      </c>
      <c r="AO754" s="45">
        <f t="shared" si="80"/>
        <v>0</v>
      </c>
      <c r="AP754" s="46">
        <f t="shared" si="81"/>
        <v>0.75</v>
      </c>
      <c r="AQ754" s="44">
        <f>($AM$3*AM754+$AN$3*AN754+$AO$3*AO754+$AP$3*AP754)+$I$3*VLOOKUP(I754,COND!$A$2:$E$7,4,FALSE)+$J$3*VLOOKUP(J754,COND!$A$2:$C$7,2,FALSE)+$K$3*VLOOKUP(K754,COND!$A$2:$C$7,3,FALSE)+IF(AND($B$2&gt;0,$E754&lt;20),$B$2*25,0)</f>
        <v>30.433326896069818</v>
      </c>
      <c r="AR754" s="47">
        <f t="shared" si="82"/>
        <v>-3.0370750574568595</v>
      </c>
      <c r="AS754" s="45" t="str">
        <f t="shared" si="83"/>
        <v>3B</v>
      </c>
      <c r="AT754" s="45">
        <f>RANK(Batters[[#This Row],[zScore]],Batters[[#All],[zScore]])</f>
        <v>750</v>
      </c>
      <c r="AU754" s="45"/>
      <c r="AV754" s="45"/>
      <c r="AW754" s="45" t="str">
        <f t="shared" si="84"/>
        <v>Unlikely</v>
      </c>
      <c r="AX754" s="45"/>
      <c r="AY754" s="64" t="str">
        <f>INDEX(Table5[[#All],[Ovr]],MATCH(Batters[[#This Row],[PID]],Table5[[#All],[PID]],0))</f>
        <v/>
      </c>
      <c r="AZ754" s="64" t="str">
        <f>INDEX(Table5[[#All],[Rnd]],MATCH(Batters[[#This Row],[PID]],Table5[[#All],[PID]],0))</f>
        <v/>
      </c>
      <c r="BA754" s="64" t="str">
        <f>INDEX(Table5[[#All],[Pick]],MATCH(Batters[[#This Row],[PID]],Table5[[#All],[PID]],0))</f>
        <v/>
      </c>
      <c r="BB754" s="64" t="str">
        <f>INDEX(Table5[[#All],[Team]],MATCH(Batters[[#This Row],[PID]],Table5[[#All],[PID]],0))</f>
        <v/>
      </c>
    </row>
    <row r="755" spans="1:54" ht="30" x14ac:dyDescent="0.25">
      <c r="A755" s="40">
        <v>6138</v>
      </c>
      <c r="B755" s="40" t="s">
        <v>87</v>
      </c>
      <c r="C755" s="40" t="s">
        <v>162</v>
      </c>
      <c r="D755" s="40" t="s">
        <v>875</v>
      </c>
      <c r="E755" s="40">
        <v>22</v>
      </c>
      <c r="F755" s="40" t="s">
        <v>42</v>
      </c>
      <c r="G755" s="40" t="s">
        <v>42</v>
      </c>
      <c r="H755" s="41" t="s">
        <v>647</v>
      </c>
      <c r="I755" s="65" t="s">
        <v>43</v>
      </c>
      <c r="J755" s="66" t="s">
        <v>44</v>
      </c>
      <c r="K755" s="67" t="s">
        <v>43</v>
      </c>
      <c r="L755" s="40">
        <v>2</v>
      </c>
      <c r="M755" s="40">
        <v>1</v>
      </c>
      <c r="N755" s="40">
        <v>2</v>
      </c>
      <c r="O755" s="40">
        <v>1</v>
      </c>
      <c r="P755" s="41">
        <v>2</v>
      </c>
      <c r="Q755" s="40">
        <v>3</v>
      </c>
      <c r="R755" s="40">
        <v>2</v>
      </c>
      <c r="S755" s="40">
        <v>2</v>
      </c>
      <c r="T755" s="40">
        <v>1</v>
      </c>
      <c r="U755" s="41">
        <v>4</v>
      </c>
      <c r="V755" s="40">
        <v>6</v>
      </c>
      <c r="W755" s="40">
        <v>3</v>
      </c>
      <c r="X755" s="40">
        <v>1</v>
      </c>
      <c r="Y755" s="41">
        <v>1</v>
      </c>
      <c r="Z755" s="40" t="s">
        <v>45</v>
      </c>
      <c r="AA755" s="40" t="s">
        <v>45</v>
      </c>
      <c r="AB755" s="40" t="s">
        <v>45</v>
      </c>
      <c r="AC755" s="40" t="s">
        <v>45</v>
      </c>
      <c r="AD755" s="40" t="s">
        <v>45</v>
      </c>
      <c r="AE755" s="40" t="s">
        <v>45</v>
      </c>
      <c r="AF755" s="40" t="s">
        <v>45</v>
      </c>
      <c r="AG755" s="41" t="s">
        <v>45</v>
      </c>
      <c r="AH755" s="40">
        <v>1</v>
      </c>
      <c r="AI755" s="40">
        <v>3</v>
      </c>
      <c r="AJ755" s="41">
        <v>1</v>
      </c>
      <c r="AK755" s="43" t="s">
        <v>45</v>
      </c>
      <c r="AL755" s="43"/>
      <c r="AM755" s="44">
        <f t="shared" si="78"/>
        <v>-1.6387096797839125</v>
      </c>
      <c r="AN755" s="44">
        <f t="shared" si="79"/>
        <v>-1.185061284328367</v>
      </c>
      <c r="AO755" s="45">
        <f t="shared" si="80"/>
        <v>0</v>
      </c>
      <c r="AP755" s="46">
        <f t="shared" si="81"/>
        <v>0</v>
      </c>
      <c r="AQ755" s="44">
        <f>($AM$3*AM755+$AN$3*AN755+$AO$3*AO755+$AP$3*AP755)+$I$3*VLOOKUP(I755,COND!$A$2:$E$7,4,FALSE)+$J$3*VLOOKUP(J755,COND!$A$2:$C$7,2,FALSE)+$K$3*VLOOKUP(K755,COND!$A$2:$C$7,3,FALSE)+IF(AND($B$2&gt;0,$E755&lt;20),$B$2*25,0)</f>
        <v>30.315393620081203</v>
      </c>
      <c r="AR755" s="47">
        <f t="shared" si="82"/>
        <v>-3.0632216618984991</v>
      </c>
      <c r="AS755" s="45" t="str">
        <f t="shared" si="83"/>
        <v>DH</v>
      </c>
      <c r="AT755" s="45">
        <f>RANK(Batters[[#This Row],[zScore]],Batters[[#All],[zScore]])</f>
        <v>751</v>
      </c>
      <c r="AU755" s="45"/>
      <c r="AV755" s="45"/>
      <c r="AW755" s="45" t="str">
        <f t="shared" si="84"/>
        <v>Unlikely</v>
      </c>
      <c r="AX755" s="45"/>
      <c r="AY755" s="64" t="str">
        <f>INDEX(Table5[[#All],[Ovr]],MATCH(Batters[[#This Row],[PID]],Table5[[#All],[PID]],0))</f>
        <v/>
      </c>
      <c r="AZ755" s="64" t="str">
        <f>INDEX(Table5[[#All],[Rnd]],MATCH(Batters[[#This Row],[PID]],Table5[[#All],[PID]],0))</f>
        <v/>
      </c>
      <c r="BA755" s="64" t="str">
        <f>INDEX(Table5[[#All],[Pick]],MATCH(Batters[[#This Row],[PID]],Table5[[#All],[PID]],0))</f>
        <v/>
      </c>
      <c r="BB755" s="64" t="str">
        <f>INDEX(Table5[[#All],[Team]],MATCH(Batters[[#This Row],[PID]],Table5[[#All],[PID]],0))</f>
        <v/>
      </c>
    </row>
    <row r="756" spans="1:54" ht="30" x14ac:dyDescent="0.25">
      <c r="A756" s="40">
        <v>8115</v>
      </c>
      <c r="B756" s="40" t="s">
        <v>86</v>
      </c>
      <c r="C756" s="40" t="s">
        <v>958</v>
      </c>
      <c r="D756" s="40" t="s">
        <v>959</v>
      </c>
      <c r="E756" s="40">
        <v>22</v>
      </c>
      <c r="F756" s="40" t="s">
        <v>42</v>
      </c>
      <c r="G756" s="40" t="s">
        <v>42</v>
      </c>
      <c r="H756" s="41" t="s">
        <v>638</v>
      </c>
      <c r="I756" s="65" t="s">
        <v>43</v>
      </c>
      <c r="J756" s="66" t="s">
        <v>44</v>
      </c>
      <c r="K756" s="67" t="s">
        <v>43</v>
      </c>
      <c r="L756" s="40">
        <v>2</v>
      </c>
      <c r="M756" s="40">
        <v>1</v>
      </c>
      <c r="N756" s="40">
        <v>3</v>
      </c>
      <c r="O756" s="40">
        <v>2</v>
      </c>
      <c r="P756" s="41">
        <v>1</v>
      </c>
      <c r="Q756" s="40">
        <v>2</v>
      </c>
      <c r="R756" s="40">
        <v>2</v>
      </c>
      <c r="S756" s="40">
        <v>3</v>
      </c>
      <c r="T756" s="40">
        <v>4</v>
      </c>
      <c r="U756" s="41">
        <v>3</v>
      </c>
      <c r="V756" s="40">
        <v>4</v>
      </c>
      <c r="W756" s="40">
        <v>3</v>
      </c>
      <c r="X756" s="40">
        <v>6</v>
      </c>
      <c r="Y756" s="41">
        <v>7</v>
      </c>
      <c r="Z756" s="40" t="s">
        <v>45</v>
      </c>
      <c r="AA756" s="40" t="s">
        <v>45</v>
      </c>
      <c r="AB756" s="40" t="s">
        <v>45</v>
      </c>
      <c r="AC756" s="40" t="s">
        <v>45</v>
      </c>
      <c r="AD756" s="40" t="s">
        <v>45</v>
      </c>
      <c r="AE756" s="40" t="s">
        <v>45</v>
      </c>
      <c r="AF756" s="40" t="s">
        <v>45</v>
      </c>
      <c r="AG756" s="41" t="s">
        <v>45</v>
      </c>
      <c r="AH756" s="40">
        <v>1</v>
      </c>
      <c r="AI756" s="40">
        <v>3</v>
      </c>
      <c r="AJ756" s="41">
        <v>1</v>
      </c>
      <c r="AK756" s="43" t="s">
        <v>45</v>
      </c>
      <c r="AL756" s="43" t="s">
        <v>635</v>
      </c>
      <c r="AM756" s="44">
        <f t="shared" si="78"/>
        <v>-1.505954975567513</v>
      </c>
      <c r="AN756" s="44">
        <f t="shared" si="79"/>
        <v>-1.1954433162954807</v>
      </c>
      <c r="AO756" s="45">
        <f t="shared" si="80"/>
        <v>0</v>
      </c>
      <c r="AP756" s="46">
        <f t="shared" si="81"/>
        <v>0</v>
      </c>
      <c r="AQ756" s="44">
        <f>($AM$3*AM756+$AN$3*AN756+$AO$3*AO756+$AP$3*AP756)+$I$3*VLOOKUP(I756,COND!$A$2:$E$7,4,FALSE)+$J$3*VLOOKUP(J756,COND!$A$2:$C$7,2,FALSE)+$K$3*VLOOKUP(K756,COND!$A$2:$C$7,3,FALSE)+IF(AND($B$2&gt;0,$E756&lt;20),$B$2*25,0)</f>
        <v>30.204084706897479</v>
      </c>
      <c r="AR756" s="47">
        <f t="shared" si="82"/>
        <v>-3.0878996003297576</v>
      </c>
      <c r="AS756" s="45" t="str">
        <f t="shared" si="83"/>
        <v>DH</v>
      </c>
      <c r="AT756" s="45">
        <f>RANK(Batters[[#This Row],[zScore]],Batters[[#All],[zScore]])</f>
        <v>752</v>
      </c>
      <c r="AU756" s="45"/>
      <c r="AV756" s="45"/>
      <c r="AW756" s="45" t="str">
        <f t="shared" si="84"/>
        <v>Unlikely</v>
      </c>
      <c r="AX756" s="45"/>
      <c r="AY756" s="45" t="str">
        <f>INDEX(Table5[[#All],[Ovr]],MATCH(Batters[[#This Row],[PID]],Table5[[#All],[PID]],0))</f>
        <v/>
      </c>
      <c r="AZ756" s="45" t="str">
        <f>INDEX(Table5[[#All],[Rnd]],MATCH(Batters[[#This Row],[PID]],Table5[[#All],[PID]],0))</f>
        <v/>
      </c>
      <c r="BA756" s="45" t="str">
        <f>INDEX(Table5[[#All],[Pick]],MATCH(Batters[[#This Row],[PID]],Table5[[#All],[PID]],0))</f>
        <v/>
      </c>
      <c r="BB756" s="45" t="str">
        <f>INDEX(Table5[[#All],[Team]],MATCH(Batters[[#This Row],[PID]],Table5[[#All],[PID]],0))</f>
        <v/>
      </c>
    </row>
    <row r="757" spans="1:54" ht="30" x14ac:dyDescent="0.25">
      <c r="A757" s="40">
        <v>9720</v>
      </c>
      <c r="B757" s="40" t="s">
        <v>87</v>
      </c>
      <c r="C757" s="40" t="s">
        <v>399</v>
      </c>
      <c r="D757" s="40" t="s">
        <v>186</v>
      </c>
      <c r="E757" s="40">
        <v>22</v>
      </c>
      <c r="F757" s="40" t="s">
        <v>42</v>
      </c>
      <c r="G757" s="40" t="s">
        <v>53</v>
      </c>
      <c r="H757" s="41" t="s">
        <v>647</v>
      </c>
      <c r="I757" s="65" t="s">
        <v>43</v>
      </c>
      <c r="J757" s="66" t="s">
        <v>43</v>
      </c>
      <c r="K757" s="67" t="s">
        <v>43</v>
      </c>
      <c r="L757" s="40">
        <v>3</v>
      </c>
      <c r="M757" s="40">
        <v>2</v>
      </c>
      <c r="N757" s="40">
        <v>2</v>
      </c>
      <c r="O757" s="40">
        <v>1</v>
      </c>
      <c r="P757" s="41">
        <v>1</v>
      </c>
      <c r="Q757" s="40">
        <v>3</v>
      </c>
      <c r="R757" s="40">
        <v>2</v>
      </c>
      <c r="S757" s="40">
        <v>2</v>
      </c>
      <c r="T757" s="40">
        <v>1</v>
      </c>
      <c r="U757" s="41">
        <v>3</v>
      </c>
      <c r="V757" s="40">
        <v>5</v>
      </c>
      <c r="W757" s="40">
        <v>2</v>
      </c>
      <c r="X757" s="40">
        <v>1</v>
      </c>
      <c r="Y757" s="41">
        <v>1</v>
      </c>
      <c r="Z757" s="40" t="s">
        <v>45</v>
      </c>
      <c r="AA757" s="40">
        <v>1</v>
      </c>
      <c r="AB757" s="40" t="s">
        <v>45</v>
      </c>
      <c r="AC757" s="40" t="s">
        <v>45</v>
      </c>
      <c r="AD757" s="40" t="s">
        <v>45</v>
      </c>
      <c r="AE757" s="40" t="s">
        <v>45</v>
      </c>
      <c r="AF757" s="40" t="s">
        <v>45</v>
      </c>
      <c r="AG757" s="41" t="s">
        <v>45</v>
      </c>
      <c r="AH757" s="40">
        <v>1</v>
      </c>
      <c r="AI757" s="40">
        <v>1</v>
      </c>
      <c r="AJ757" s="41">
        <v>1</v>
      </c>
      <c r="AK757" s="43" t="s">
        <v>45</v>
      </c>
      <c r="AL757" s="43"/>
      <c r="AM757" s="44">
        <f t="shared" si="78"/>
        <v>-1.3051103037796175</v>
      </c>
      <c r="AN757" s="44">
        <f t="shared" si="79"/>
        <v>-1.2250776241454506</v>
      </c>
      <c r="AO757" s="45">
        <f t="shared" si="80"/>
        <v>0</v>
      </c>
      <c r="AP757" s="46">
        <f t="shared" si="81"/>
        <v>0</v>
      </c>
      <c r="AQ757" s="44">
        <f>($AM$3*AM757+$AN$3*AN757+$AO$3*AO757+$AP$3*AP757)+$I$3*VLOOKUP(I757,COND!$A$2:$E$7,4,FALSE)+$J$3*VLOOKUP(J757,COND!$A$2:$C$7,2,FALSE)+$K$3*VLOOKUP(K757,COND!$A$2:$C$7,3,FALSE)+IF(AND($B$2&gt;0,$E757&lt;20),$B$2*25,0)</f>
        <v>30.168557479876632</v>
      </c>
      <c r="AR757" s="47">
        <f t="shared" si="82"/>
        <v>-3.0957762267020472</v>
      </c>
      <c r="AS757" s="45" t="str">
        <f t="shared" si="83"/>
        <v>1B</v>
      </c>
      <c r="AT757" s="45">
        <f>RANK(Batters[[#This Row],[zScore]],Batters[[#All],[zScore]])</f>
        <v>753</v>
      </c>
      <c r="AU757" s="45"/>
      <c r="AV757" s="45"/>
      <c r="AW757" s="45" t="str">
        <f t="shared" si="84"/>
        <v>Unlikely</v>
      </c>
      <c r="AX757" s="45"/>
      <c r="AY757" s="64" t="str">
        <f>INDEX(Table5[[#All],[Ovr]],MATCH(Batters[[#This Row],[PID]],Table5[[#All],[PID]],0))</f>
        <v/>
      </c>
      <c r="AZ757" s="64" t="str">
        <f>INDEX(Table5[[#All],[Rnd]],MATCH(Batters[[#This Row],[PID]],Table5[[#All],[PID]],0))</f>
        <v/>
      </c>
      <c r="BA757" s="64" t="str">
        <f>INDEX(Table5[[#All],[Pick]],MATCH(Batters[[#This Row],[PID]],Table5[[#All],[PID]],0))</f>
        <v/>
      </c>
      <c r="BB757" s="64" t="str">
        <f>INDEX(Table5[[#All],[Team]],MATCH(Batters[[#This Row],[PID]],Table5[[#All],[PID]],0))</f>
        <v/>
      </c>
    </row>
    <row r="758" spans="1:54" ht="30" x14ac:dyDescent="0.25">
      <c r="A758" s="40">
        <v>12726</v>
      </c>
      <c r="B758" s="40" t="s">
        <v>87</v>
      </c>
      <c r="C758" s="40" t="s">
        <v>900</v>
      </c>
      <c r="D758" s="40" t="s">
        <v>899</v>
      </c>
      <c r="E758" s="40">
        <v>22</v>
      </c>
      <c r="F758" s="40" t="s">
        <v>53</v>
      </c>
      <c r="G758" s="40" t="s">
        <v>53</v>
      </c>
      <c r="H758" s="41" t="s">
        <v>647</v>
      </c>
      <c r="I758" s="65" t="s">
        <v>43</v>
      </c>
      <c r="J758" s="66" t="s">
        <v>44</v>
      </c>
      <c r="K758" s="67" t="s">
        <v>44</v>
      </c>
      <c r="L758" s="40">
        <v>2</v>
      </c>
      <c r="M758" s="40">
        <v>2</v>
      </c>
      <c r="N758" s="40">
        <v>2</v>
      </c>
      <c r="O758" s="40">
        <v>1</v>
      </c>
      <c r="P758" s="41">
        <v>1</v>
      </c>
      <c r="Q758" s="40">
        <v>3</v>
      </c>
      <c r="R758" s="40">
        <v>2</v>
      </c>
      <c r="S758" s="40">
        <v>2</v>
      </c>
      <c r="T758" s="40">
        <v>1</v>
      </c>
      <c r="U758" s="41">
        <v>4</v>
      </c>
      <c r="V758" s="40">
        <v>5</v>
      </c>
      <c r="W758" s="40">
        <v>6</v>
      </c>
      <c r="X758" s="40">
        <v>1</v>
      </c>
      <c r="Y758" s="41">
        <v>1</v>
      </c>
      <c r="Z758" s="40" t="s">
        <v>45</v>
      </c>
      <c r="AA758" s="40">
        <v>1</v>
      </c>
      <c r="AB758" s="40" t="s">
        <v>45</v>
      </c>
      <c r="AC758" s="40" t="s">
        <v>45</v>
      </c>
      <c r="AD758" s="40" t="s">
        <v>45</v>
      </c>
      <c r="AE758" s="40" t="s">
        <v>45</v>
      </c>
      <c r="AF758" s="40" t="s">
        <v>45</v>
      </c>
      <c r="AG758" s="41" t="s">
        <v>45</v>
      </c>
      <c r="AH758" s="40">
        <v>1</v>
      </c>
      <c r="AI758" s="40">
        <v>1</v>
      </c>
      <c r="AJ758" s="41">
        <v>1</v>
      </c>
      <c r="AK758" s="43" t="s">
        <v>45</v>
      </c>
      <c r="AL758" s="43"/>
      <c r="AM758" s="44">
        <f t="shared" si="78"/>
        <v>-1.6276661399822923</v>
      </c>
      <c r="AN758" s="44">
        <f t="shared" si="79"/>
        <v>-1.185061284328367</v>
      </c>
      <c r="AO758" s="45">
        <f t="shared" si="80"/>
        <v>0</v>
      </c>
      <c r="AP758" s="46">
        <f t="shared" si="81"/>
        <v>0</v>
      </c>
      <c r="AQ758" s="44">
        <f>($AM$3*AM758+$AN$3*AN758+$AO$3*AO758+$AP$3*AP758)+$I$3*VLOOKUP(I758,COND!$A$2:$E$7,4,FALSE)+$J$3*VLOOKUP(J758,COND!$A$2:$C$7,2,FALSE)+$K$3*VLOOKUP(K758,COND!$A$2:$C$7,3,FALSE)+IF(AND($B$2&gt;0,$E758&lt;20),$B$2*25,0)</f>
        <v>30.016497974061366</v>
      </c>
      <c r="AR758" s="47">
        <f t="shared" si="82"/>
        <v>-3.1294888469681612</v>
      </c>
      <c r="AS758" s="45" t="str">
        <f t="shared" si="83"/>
        <v>1B</v>
      </c>
      <c r="AT758" s="45">
        <f>RANK(Batters[[#This Row],[zScore]],Batters[[#All],[zScore]])</f>
        <v>754</v>
      </c>
      <c r="AU758" s="45"/>
      <c r="AV758" s="45"/>
      <c r="AW758" s="45" t="str">
        <f t="shared" si="84"/>
        <v>Unlikely</v>
      </c>
      <c r="AX758" s="45"/>
      <c r="AY758" s="64" t="str">
        <f>INDEX(Table5[[#All],[Ovr]],MATCH(Batters[[#This Row],[PID]],Table5[[#All],[PID]],0))</f>
        <v/>
      </c>
      <c r="AZ758" s="64" t="str">
        <f>INDEX(Table5[[#All],[Rnd]],MATCH(Batters[[#This Row],[PID]],Table5[[#All],[PID]],0))</f>
        <v/>
      </c>
      <c r="BA758" s="64" t="str">
        <f>INDEX(Table5[[#All],[Pick]],MATCH(Batters[[#This Row],[PID]],Table5[[#All],[PID]],0))</f>
        <v/>
      </c>
      <c r="BB758" s="64" t="str">
        <f>INDEX(Table5[[#All],[Team]],MATCH(Batters[[#This Row],[PID]],Table5[[#All],[PID]],0))</f>
        <v/>
      </c>
    </row>
    <row r="759" spans="1:54" ht="30" x14ac:dyDescent="0.25">
      <c r="A759" s="40">
        <v>12939</v>
      </c>
      <c r="B759" s="40" t="s">
        <v>87</v>
      </c>
      <c r="C759" s="40" t="s">
        <v>205</v>
      </c>
      <c r="D759" s="40" t="s">
        <v>1750</v>
      </c>
      <c r="E759" s="40">
        <v>21</v>
      </c>
      <c r="F759" s="40" t="s">
        <v>42</v>
      </c>
      <c r="G759" s="40" t="s">
        <v>42</v>
      </c>
      <c r="H759" s="41" t="s">
        <v>647</v>
      </c>
      <c r="I759" s="65" t="s">
        <v>43</v>
      </c>
      <c r="J759" s="66" t="s">
        <v>43</v>
      </c>
      <c r="K759" s="67" t="s">
        <v>43</v>
      </c>
      <c r="L759" s="40">
        <v>1</v>
      </c>
      <c r="M759" s="40">
        <v>1</v>
      </c>
      <c r="N759" s="40">
        <v>2</v>
      </c>
      <c r="O759" s="40">
        <v>1</v>
      </c>
      <c r="P759" s="41">
        <v>1</v>
      </c>
      <c r="Q759" s="40">
        <v>2</v>
      </c>
      <c r="R759" s="40">
        <v>2</v>
      </c>
      <c r="S759" s="40">
        <v>2</v>
      </c>
      <c r="T759" s="40">
        <v>4</v>
      </c>
      <c r="U759" s="41">
        <v>4</v>
      </c>
      <c r="V759" s="40">
        <v>3</v>
      </c>
      <c r="W759" s="40">
        <v>2</v>
      </c>
      <c r="X759" s="40">
        <v>3</v>
      </c>
      <c r="Y759" s="41">
        <v>4</v>
      </c>
      <c r="Z759" s="40" t="s">
        <v>45</v>
      </c>
      <c r="AA759" s="40">
        <v>1</v>
      </c>
      <c r="AB759" s="40" t="s">
        <v>45</v>
      </c>
      <c r="AC759" s="40" t="s">
        <v>45</v>
      </c>
      <c r="AD759" s="40" t="s">
        <v>45</v>
      </c>
      <c r="AE759" s="40" t="s">
        <v>45</v>
      </c>
      <c r="AF759" s="40" t="s">
        <v>45</v>
      </c>
      <c r="AG759" s="41" t="s">
        <v>45</v>
      </c>
      <c r="AH759" s="40">
        <v>1</v>
      </c>
      <c r="AI759" s="40">
        <v>1</v>
      </c>
      <c r="AJ759" s="41">
        <v>1</v>
      </c>
      <c r="AK759" s="43" t="s">
        <v>45</v>
      </c>
      <c r="AL759" s="43"/>
      <c r="AM759" s="44">
        <f t="shared" si="78"/>
        <v>-2.0012818558036707</v>
      </c>
      <c r="AN759" s="44">
        <f t="shared" si="79"/>
        <v>-1.2384884705022987</v>
      </c>
      <c r="AO759" s="45">
        <f t="shared" si="80"/>
        <v>0</v>
      </c>
      <c r="AP759" s="46">
        <f t="shared" si="81"/>
        <v>0</v>
      </c>
      <c r="AQ759" s="44">
        <f>($AM$3*AM759+$AN$3*AN759+$AO$3*AO759+$AP$3*AP759)+$I$3*VLOOKUP(I759,COND!$A$2:$E$7,4,FALSE)+$J$3*VLOOKUP(J759,COND!$A$2:$C$7,2,FALSE)+$K$3*VLOOKUP(K759,COND!$A$2:$C$7,3,FALSE)+IF(AND($B$2&gt;0,$E759&lt;20),$B$2*25,0)</f>
        <v>29.938010168392047</v>
      </c>
      <c r="AR759" s="47">
        <f t="shared" si="82"/>
        <v>-3.1468901240133786</v>
      </c>
      <c r="AS759" s="45" t="str">
        <f t="shared" si="83"/>
        <v>1B</v>
      </c>
      <c r="AT759" s="45">
        <f>RANK(Batters[[#This Row],[zScore]],Batters[[#All],[zScore]])</f>
        <v>755</v>
      </c>
      <c r="AU759" s="45"/>
      <c r="AV759" s="45"/>
      <c r="AW759" s="45" t="str">
        <f t="shared" si="84"/>
        <v>Unlikely</v>
      </c>
      <c r="AX759" s="45"/>
      <c r="AY759" s="64" t="str">
        <f>INDEX(Table5[[#All],[Ovr]],MATCH(Batters[[#This Row],[PID]],Table5[[#All],[PID]],0))</f>
        <v/>
      </c>
      <c r="AZ759" s="64" t="str">
        <f>INDEX(Table5[[#All],[Rnd]],MATCH(Batters[[#This Row],[PID]],Table5[[#All],[PID]],0))</f>
        <v/>
      </c>
      <c r="BA759" s="64" t="str">
        <f>INDEX(Table5[[#All],[Pick]],MATCH(Batters[[#This Row],[PID]],Table5[[#All],[PID]],0))</f>
        <v/>
      </c>
      <c r="BB759" s="64" t="str">
        <f>INDEX(Table5[[#All],[Team]],MATCH(Batters[[#This Row],[PID]],Table5[[#All],[PID]],0))</f>
        <v/>
      </c>
    </row>
    <row r="760" spans="1:54" ht="30" x14ac:dyDescent="0.25">
      <c r="A760" s="40">
        <v>13550</v>
      </c>
      <c r="B760" s="40" t="s">
        <v>87</v>
      </c>
      <c r="C760" s="40" t="s">
        <v>891</v>
      </c>
      <c r="D760" s="40" t="s">
        <v>825</v>
      </c>
      <c r="E760" s="40">
        <v>22</v>
      </c>
      <c r="F760" s="40" t="s">
        <v>42</v>
      </c>
      <c r="G760" s="40" t="s">
        <v>42</v>
      </c>
      <c r="H760" s="41" t="s">
        <v>647</v>
      </c>
      <c r="I760" s="65" t="s">
        <v>43</v>
      </c>
      <c r="J760" s="66" t="s">
        <v>44</v>
      </c>
      <c r="K760" s="67" t="s">
        <v>43</v>
      </c>
      <c r="L760" s="40">
        <v>2</v>
      </c>
      <c r="M760" s="40">
        <v>2</v>
      </c>
      <c r="N760" s="40">
        <v>2</v>
      </c>
      <c r="O760" s="40">
        <v>1</v>
      </c>
      <c r="P760" s="41">
        <v>2</v>
      </c>
      <c r="Q760" s="40">
        <v>3</v>
      </c>
      <c r="R760" s="40">
        <v>2</v>
      </c>
      <c r="S760" s="40">
        <v>2</v>
      </c>
      <c r="T760" s="40">
        <v>1</v>
      </c>
      <c r="U760" s="41">
        <v>3</v>
      </c>
      <c r="V760" s="40">
        <v>7</v>
      </c>
      <c r="W760" s="40">
        <v>1</v>
      </c>
      <c r="X760" s="40">
        <v>1</v>
      </c>
      <c r="Y760" s="41">
        <v>1</v>
      </c>
      <c r="Z760" s="40" t="s">
        <v>45</v>
      </c>
      <c r="AA760" s="40">
        <v>3</v>
      </c>
      <c r="AB760" s="40" t="s">
        <v>45</v>
      </c>
      <c r="AC760" s="40" t="s">
        <v>45</v>
      </c>
      <c r="AD760" s="40" t="s">
        <v>45</v>
      </c>
      <c r="AE760" s="40" t="s">
        <v>45</v>
      </c>
      <c r="AF760" s="40" t="s">
        <v>45</v>
      </c>
      <c r="AG760" s="41" t="s">
        <v>45</v>
      </c>
      <c r="AH760" s="40">
        <v>1</v>
      </c>
      <c r="AI760" s="40">
        <v>1</v>
      </c>
      <c r="AJ760" s="41">
        <v>1</v>
      </c>
      <c r="AK760" s="43" t="s">
        <v>45</v>
      </c>
      <c r="AL760" s="43"/>
      <c r="AM760" s="44">
        <f t="shared" si="78"/>
        <v>-1.5876498001652086</v>
      </c>
      <c r="AN760" s="44">
        <f t="shared" si="79"/>
        <v>-1.2250776241454506</v>
      </c>
      <c r="AO760" s="45">
        <f t="shared" si="80"/>
        <v>0</v>
      </c>
      <c r="AP760" s="46">
        <f t="shared" si="81"/>
        <v>0</v>
      </c>
      <c r="AQ760" s="44">
        <f>($AM$3*AM760+$AN$3*AN760+$AO$3*AO760+$AP$3*AP760)+$I$3*VLOOKUP(I760,COND!$A$2:$E$7,4,FALSE)+$J$3*VLOOKUP(J760,COND!$A$2:$C$7,2,FALSE)+$K$3*VLOOKUP(K760,COND!$A$2:$C$7,3,FALSE)+IF(AND($B$2&gt;0,$E760&lt;20),$B$2*25,0)</f>
        <v>29.840303530238071</v>
      </c>
      <c r="AR760" s="47">
        <f t="shared" si="82"/>
        <v>-3.1685523461276959</v>
      </c>
      <c r="AS760" s="45" t="str">
        <f t="shared" si="83"/>
        <v>1B</v>
      </c>
      <c r="AT760" s="45">
        <f>RANK(Batters[[#This Row],[zScore]],Batters[[#All],[zScore]])</f>
        <v>756</v>
      </c>
      <c r="AU760" s="45"/>
      <c r="AV760" s="45"/>
      <c r="AW760" s="45" t="str">
        <f t="shared" si="84"/>
        <v>Unlikely</v>
      </c>
      <c r="AX760" s="45"/>
      <c r="AY760" s="64" t="str">
        <f>INDEX(Table5[[#All],[Ovr]],MATCH(Batters[[#This Row],[PID]],Table5[[#All],[PID]],0))</f>
        <v/>
      </c>
      <c r="AZ760" s="64" t="str">
        <f>INDEX(Table5[[#All],[Rnd]],MATCH(Batters[[#This Row],[PID]],Table5[[#All],[PID]],0))</f>
        <v/>
      </c>
      <c r="BA760" s="64" t="str">
        <f>INDEX(Table5[[#All],[Pick]],MATCH(Batters[[#This Row],[PID]],Table5[[#All],[PID]],0))</f>
        <v/>
      </c>
      <c r="BB760" s="64" t="str">
        <f>INDEX(Table5[[#All],[Team]],MATCH(Batters[[#This Row],[PID]],Table5[[#All],[PID]],0))</f>
        <v/>
      </c>
    </row>
    <row r="761" spans="1:54" ht="30" x14ac:dyDescent="0.25">
      <c r="A761" s="40">
        <v>12299</v>
      </c>
      <c r="B761" s="40" t="s">
        <v>86</v>
      </c>
      <c r="C761" s="40" t="s">
        <v>160</v>
      </c>
      <c r="D761" s="40" t="s">
        <v>1400</v>
      </c>
      <c r="E761" s="40">
        <v>21</v>
      </c>
      <c r="F761" s="40" t="s">
        <v>62</v>
      </c>
      <c r="G761" s="40" t="s">
        <v>42</v>
      </c>
      <c r="H761" s="41" t="s">
        <v>639</v>
      </c>
      <c r="I761" s="65" t="s">
        <v>44</v>
      </c>
      <c r="J761" s="66" t="s">
        <v>44</v>
      </c>
      <c r="K761" s="67" t="s">
        <v>44</v>
      </c>
      <c r="L761" s="40">
        <v>1</v>
      </c>
      <c r="M761" s="40">
        <v>1</v>
      </c>
      <c r="N761" s="40">
        <v>2</v>
      </c>
      <c r="O761" s="40">
        <v>1</v>
      </c>
      <c r="P761" s="41">
        <v>1</v>
      </c>
      <c r="Q761" s="40">
        <v>2</v>
      </c>
      <c r="R761" s="40">
        <v>2</v>
      </c>
      <c r="S761" s="40">
        <v>3</v>
      </c>
      <c r="T761" s="40">
        <v>5</v>
      </c>
      <c r="U761" s="41">
        <v>1</v>
      </c>
      <c r="V761" s="40">
        <v>2</v>
      </c>
      <c r="W761" s="40">
        <v>3</v>
      </c>
      <c r="X761" s="40">
        <v>7</v>
      </c>
      <c r="Y761" s="41">
        <v>4</v>
      </c>
      <c r="Z761" s="40" t="s">
        <v>45</v>
      </c>
      <c r="AA761" s="40" t="s">
        <v>45</v>
      </c>
      <c r="AB761" s="40" t="s">
        <v>45</v>
      </c>
      <c r="AC761" s="40" t="s">
        <v>45</v>
      </c>
      <c r="AD761" s="40" t="s">
        <v>45</v>
      </c>
      <c r="AE761" s="40" t="s">
        <v>45</v>
      </c>
      <c r="AF761" s="40" t="s">
        <v>45</v>
      </c>
      <c r="AG761" s="41" t="s">
        <v>45</v>
      </c>
      <c r="AH761" s="40">
        <v>1</v>
      </c>
      <c r="AI761" s="40">
        <v>1</v>
      </c>
      <c r="AJ761" s="41">
        <v>2</v>
      </c>
      <c r="AK761" s="43" t="s">
        <v>643</v>
      </c>
      <c r="AL761" s="43"/>
      <c r="AM761" s="44">
        <f t="shared" si="78"/>
        <v>-2.0012818558036707</v>
      </c>
      <c r="AN761" s="44">
        <f t="shared" si="79"/>
        <v>-1.1857664459200667</v>
      </c>
      <c r="AO761" s="45">
        <f t="shared" si="80"/>
        <v>0</v>
      </c>
      <c r="AP761" s="46">
        <f t="shared" si="81"/>
        <v>0</v>
      </c>
      <c r="AQ761" s="44">
        <f>($AM$3*AM761+$AN$3*AN761+$AO$3*AO761+$AP$3*AP761)+$I$3*VLOOKUP(I761,COND!$A$2:$E$7,4,FALSE)+$J$3*VLOOKUP(J761,COND!$A$2:$C$7,2,FALSE)+$K$3*VLOOKUP(K761,COND!$A$2:$C$7,3,FALSE)+IF(AND($B$2&gt;0,$E761&lt;20),$B$2*25,0)</f>
        <v>29.820674463378829</v>
      </c>
      <c r="AR761" s="47">
        <f t="shared" si="82"/>
        <v>-3.1729042429305681</v>
      </c>
      <c r="AS761" s="45" t="str">
        <f t="shared" si="83"/>
        <v>DH</v>
      </c>
      <c r="AT761" s="45">
        <f>RANK(Batters[[#This Row],[zScore]],Batters[[#All],[zScore]])</f>
        <v>757</v>
      </c>
      <c r="AU761" s="45"/>
      <c r="AV761" s="45"/>
      <c r="AW761" s="45" t="str">
        <f t="shared" si="84"/>
        <v>Unlikely</v>
      </c>
      <c r="AX761" s="45"/>
      <c r="AY761" s="64">
        <f>INDEX(Table5[[#All],[Ovr]],MATCH(Batters[[#This Row],[PID]],Table5[[#All],[PID]],0))</f>
        <v>361</v>
      </c>
      <c r="AZ761" s="64" t="str">
        <f>INDEX(Table5[[#All],[Rnd]],MATCH(Batters[[#This Row],[PID]],Table5[[#All],[PID]],0))</f>
        <v>12</v>
      </c>
      <c r="BA761" s="64">
        <f>INDEX(Table5[[#All],[Pick]],MATCH(Batters[[#This Row],[PID]],Table5[[#All],[PID]],0))</f>
        <v>23</v>
      </c>
      <c r="BB761" s="64" t="str">
        <f>INDEX(Table5[[#All],[Team]],MATCH(Batters[[#This Row],[PID]],Table5[[#All],[PID]],0))</f>
        <v>Shin Seiki Evas</v>
      </c>
    </row>
    <row r="762" spans="1:54" ht="30" x14ac:dyDescent="0.25">
      <c r="A762" s="40">
        <v>9150</v>
      </c>
      <c r="B762" s="40" t="s">
        <v>87</v>
      </c>
      <c r="C762" s="40" t="s">
        <v>337</v>
      </c>
      <c r="D762" s="40" t="s">
        <v>1708</v>
      </c>
      <c r="E762" s="40">
        <v>21</v>
      </c>
      <c r="F762" s="40" t="s">
        <v>42</v>
      </c>
      <c r="G762" s="40" t="s">
        <v>42</v>
      </c>
      <c r="H762" s="41" t="s">
        <v>647</v>
      </c>
      <c r="I762" s="65" t="s">
        <v>43</v>
      </c>
      <c r="J762" s="66" t="s">
        <v>44</v>
      </c>
      <c r="K762" s="67" t="s">
        <v>44</v>
      </c>
      <c r="L762" s="40">
        <v>1</v>
      </c>
      <c r="M762" s="40">
        <v>1</v>
      </c>
      <c r="N762" s="40">
        <v>2</v>
      </c>
      <c r="O762" s="40">
        <v>1</v>
      </c>
      <c r="P762" s="41">
        <v>1</v>
      </c>
      <c r="Q762" s="40">
        <v>3</v>
      </c>
      <c r="R762" s="40">
        <v>2</v>
      </c>
      <c r="S762" s="40">
        <v>2</v>
      </c>
      <c r="T762" s="40">
        <v>1</v>
      </c>
      <c r="U762" s="41">
        <v>3</v>
      </c>
      <c r="V762" s="40">
        <v>5</v>
      </c>
      <c r="W762" s="40">
        <v>1</v>
      </c>
      <c r="X762" s="40">
        <v>1</v>
      </c>
      <c r="Y762" s="41">
        <v>1</v>
      </c>
      <c r="Z762" s="40" t="s">
        <v>45</v>
      </c>
      <c r="AA762" s="40" t="s">
        <v>45</v>
      </c>
      <c r="AB762" s="40" t="s">
        <v>45</v>
      </c>
      <c r="AC762" s="40" t="s">
        <v>45</v>
      </c>
      <c r="AD762" s="40" t="s">
        <v>45</v>
      </c>
      <c r="AE762" s="40" t="s">
        <v>45</v>
      </c>
      <c r="AF762" s="40" t="s">
        <v>45</v>
      </c>
      <c r="AG762" s="41" t="s">
        <v>45</v>
      </c>
      <c r="AH762" s="40">
        <v>2</v>
      </c>
      <c r="AI762" s="40">
        <v>1</v>
      </c>
      <c r="AJ762" s="41">
        <v>2</v>
      </c>
      <c r="AK762" s="43" t="s">
        <v>45</v>
      </c>
      <c r="AL762" s="43"/>
      <c r="AM762" s="44">
        <f t="shared" si="78"/>
        <v>-2.0012818558036707</v>
      </c>
      <c r="AN762" s="44">
        <f t="shared" si="79"/>
        <v>-1.2250776241454506</v>
      </c>
      <c r="AO762" s="45">
        <f t="shared" si="80"/>
        <v>0</v>
      </c>
      <c r="AP762" s="46">
        <f t="shared" si="81"/>
        <v>0</v>
      </c>
      <c r="AQ762" s="44">
        <f>($AM$3*AM762+$AN$3*AN762+$AO$3*AO762+$AP$3*AP762)+$I$3*VLOOKUP(I762,COND!$A$2:$E$7,4,FALSE)+$J$3*VLOOKUP(J762,COND!$A$2:$C$7,2,FALSE)+$K$3*VLOOKUP(K762,COND!$A$2:$C$7,3,FALSE)+IF(AND($B$2&gt;0,$E762&lt;20),$B$2*25,0)</f>
        <v>29.498940324674223</v>
      </c>
      <c r="AR762" s="47">
        <f t="shared" si="82"/>
        <v>-3.2442348762023268</v>
      </c>
      <c r="AS762" s="45" t="str">
        <f t="shared" si="83"/>
        <v>DH</v>
      </c>
      <c r="AT762" s="45">
        <f>RANK(Batters[[#This Row],[zScore]],Batters[[#All],[zScore]])</f>
        <v>758</v>
      </c>
      <c r="AU762" s="45"/>
      <c r="AV762" s="45"/>
      <c r="AW762" s="45" t="str">
        <f t="shared" si="84"/>
        <v>Unlikely</v>
      </c>
      <c r="AX762" s="45"/>
      <c r="AY762" s="64" t="str">
        <f>INDEX(Table5[[#All],[Ovr]],MATCH(Batters[[#This Row],[PID]],Table5[[#All],[PID]],0))</f>
        <v/>
      </c>
      <c r="AZ762" s="64" t="str">
        <f>INDEX(Table5[[#All],[Rnd]],MATCH(Batters[[#This Row],[PID]],Table5[[#All],[PID]],0))</f>
        <v/>
      </c>
      <c r="BA762" s="64" t="str">
        <f>INDEX(Table5[[#All],[Pick]],MATCH(Batters[[#This Row],[PID]],Table5[[#All],[PID]],0))</f>
        <v/>
      </c>
      <c r="BB762" s="64" t="str">
        <f>INDEX(Table5[[#All],[Team]],MATCH(Batters[[#This Row],[PID]],Table5[[#All],[PID]],0))</f>
        <v/>
      </c>
    </row>
    <row r="763" spans="1:54" ht="30" x14ac:dyDescent="0.25">
      <c r="A763" s="40">
        <v>7340</v>
      </c>
      <c r="B763" s="40" t="s">
        <v>86</v>
      </c>
      <c r="C763" s="40" t="s">
        <v>805</v>
      </c>
      <c r="D763" s="40" t="s">
        <v>1672</v>
      </c>
      <c r="E763" s="40">
        <v>21</v>
      </c>
      <c r="F763" s="40" t="s">
        <v>42</v>
      </c>
      <c r="G763" s="40" t="s">
        <v>42</v>
      </c>
      <c r="H763" s="41" t="s">
        <v>639</v>
      </c>
      <c r="I763" s="65" t="s">
        <v>44</v>
      </c>
      <c r="J763" s="66" t="s">
        <v>44</v>
      </c>
      <c r="K763" s="67" t="s">
        <v>44</v>
      </c>
      <c r="L763" s="40">
        <v>1</v>
      </c>
      <c r="M763" s="40">
        <v>1</v>
      </c>
      <c r="N763" s="40">
        <v>2</v>
      </c>
      <c r="O763" s="40">
        <v>1</v>
      </c>
      <c r="P763" s="41">
        <v>1</v>
      </c>
      <c r="Q763" s="40">
        <v>2</v>
      </c>
      <c r="R763" s="40">
        <v>3</v>
      </c>
      <c r="S763" s="40">
        <v>3</v>
      </c>
      <c r="T763" s="40">
        <v>4</v>
      </c>
      <c r="U763" s="41">
        <v>1</v>
      </c>
      <c r="V763" s="40">
        <v>3</v>
      </c>
      <c r="W763" s="40">
        <v>3</v>
      </c>
      <c r="X763" s="40">
        <v>4</v>
      </c>
      <c r="Y763" s="41">
        <v>7</v>
      </c>
      <c r="Z763" s="40" t="s">
        <v>45</v>
      </c>
      <c r="AA763" s="40" t="s">
        <v>45</v>
      </c>
      <c r="AB763" s="40" t="s">
        <v>45</v>
      </c>
      <c r="AC763" s="40" t="s">
        <v>45</v>
      </c>
      <c r="AD763" s="40" t="s">
        <v>45</v>
      </c>
      <c r="AE763" s="40" t="s">
        <v>45</v>
      </c>
      <c r="AF763" s="40" t="s">
        <v>45</v>
      </c>
      <c r="AG763" s="41" t="s">
        <v>45</v>
      </c>
      <c r="AH763" s="40">
        <v>1</v>
      </c>
      <c r="AI763" s="40">
        <v>1</v>
      </c>
      <c r="AJ763" s="41">
        <v>1</v>
      </c>
      <c r="AK763" s="43" t="s">
        <v>45</v>
      </c>
      <c r="AL763" s="43"/>
      <c r="AM763" s="44">
        <f t="shared" si="78"/>
        <v>-2.0012818558036707</v>
      </c>
      <c r="AN763" s="44">
        <f t="shared" si="79"/>
        <v>-1.2244161163109442</v>
      </c>
      <c r="AO763" s="45">
        <f t="shared" si="80"/>
        <v>0</v>
      </c>
      <c r="AP763" s="46">
        <f t="shared" si="81"/>
        <v>0</v>
      </c>
      <c r="AQ763" s="44">
        <f>($AM$3*AM763+$AN$3*AN763+$AO$3*AO763+$AP$3*AP763)+$I$3*VLOOKUP(I763,COND!$A$2:$E$7,4,FALSE)+$J$3*VLOOKUP(J763,COND!$A$2:$C$7,2,FALSE)+$K$3*VLOOKUP(K763,COND!$A$2:$C$7,3,FALSE)+IF(AND($B$2&gt;0,$E763&lt;20),$B$2*25,0)</f>
        <v>29.356878418688304</v>
      </c>
      <c r="AR763" s="47">
        <f t="shared" si="82"/>
        <v>-3.2757309610087715</v>
      </c>
      <c r="AS763" s="45" t="str">
        <f t="shared" si="83"/>
        <v>DH</v>
      </c>
      <c r="AT763" s="45">
        <f>RANK(Batters[[#This Row],[zScore]],Batters[[#All],[zScore]])</f>
        <v>759</v>
      </c>
      <c r="AU763" s="45"/>
      <c r="AV763" s="45"/>
      <c r="AW763" s="45" t="str">
        <f t="shared" si="84"/>
        <v>Unlikely</v>
      </c>
      <c r="AX763" s="45"/>
      <c r="AY763" s="64" t="str">
        <f>INDEX(Table5[[#All],[Ovr]],MATCH(Batters[[#This Row],[PID]],Table5[[#All],[PID]],0))</f>
        <v/>
      </c>
      <c r="AZ763" s="64" t="str">
        <f>INDEX(Table5[[#All],[Rnd]],MATCH(Batters[[#This Row],[PID]],Table5[[#All],[PID]],0))</f>
        <v/>
      </c>
      <c r="BA763" s="64" t="str">
        <f>INDEX(Table5[[#All],[Pick]],MATCH(Batters[[#This Row],[PID]],Table5[[#All],[PID]],0))</f>
        <v/>
      </c>
      <c r="BB763" s="64" t="str">
        <f>INDEX(Table5[[#All],[Team]],MATCH(Batters[[#This Row],[PID]],Table5[[#All],[PID]],0))</f>
        <v/>
      </c>
    </row>
    <row r="764" spans="1:54" ht="30" x14ac:dyDescent="0.25">
      <c r="A764" s="40">
        <v>13126</v>
      </c>
      <c r="B764" s="40" t="s">
        <v>66</v>
      </c>
      <c r="C764" s="40" t="s">
        <v>678</v>
      </c>
      <c r="D764" s="40" t="s">
        <v>1341</v>
      </c>
      <c r="E764" s="40">
        <v>21</v>
      </c>
      <c r="F764" s="40" t="s">
        <v>42</v>
      </c>
      <c r="G764" s="40" t="s">
        <v>53</v>
      </c>
      <c r="H764" s="41" t="s">
        <v>647</v>
      </c>
      <c r="I764" s="65" t="s">
        <v>43</v>
      </c>
      <c r="J764" s="66" t="s">
        <v>44</v>
      </c>
      <c r="K764" s="67" t="s">
        <v>43</v>
      </c>
      <c r="L764" s="40">
        <v>1</v>
      </c>
      <c r="M764" s="40">
        <v>1</v>
      </c>
      <c r="N764" s="40">
        <v>2</v>
      </c>
      <c r="O764" s="40">
        <v>1</v>
      </c>
      <c r="P764" s="41">
        <v>1</v>
      </c>
      <c r="Q764" s="40">
        <v>2</v>
      </c>
      <c r="R764" s="40">
        <v>3</v>
      </c>
      <c r="S764" s="40">
        <v>2</v>
      </c>
      <c r="T764" s="40">
        <v>4</v>
      </c>
      <c r="U764" s="41">
        <v>2</v>
      </c>
      <c r="V764" s="40">
        <v>6</v>
      </c>
      <c r="W764" s="40">
        <v>7</v>
      </c>
      <c r="X764" s="40">
        <v>1</v>
      </c>
      <c r="Y764" s="41">
        <v>1</v>
      </c>
      <c r="Z764" s="40" t="s">
        <v>45</v>
      </c>
      <c r="AA764" s="40" t="s">
        <v>45</v>
      </c>
      <c r="AB764" s="40" t="s">
        <v>45</v>
      </c>
      <c r="AC764" s="40" t="s">
        <v>45</v>
      </c>
      <c r="AD764" s="40" t="s">
        <v>45</v>
      </c>
      <c r="AE764" s="40" t="s">
        <v>45</v>
      </c>
      <c r="AF764" s="40" t="s">
        <v>45</v>
      </c>
      <c r="AG764" s="41">
        <v>1</v>
      </c>
      <c r="AH764" s="40">
        <v>3</v>
      </c>
      <c r="AI764" s="40">
        <v>6</v>
      </c>
      <c r="AJ764" s="41">
        <v>4</v>
      </c>
      <c r="AK764" s="43" t="s">
        <v>45</v>
      </c>
      <c r="AL764" s="43"/>
      <c r="AM764" s="44">
        <f t="shared" si="78"/>
        <v>-2.0012818558036707</v>
      </c>
      <c r="AN764" s="44">
        <f t="shared" si="79"/>
        <v>-1.2674612705177621</v>
      </c>
      <c r="AO764" s="45">
        <f t="shared" si="80"/>
        <v>0</v>
      </c>
      <c r="AP764" s="46">
        <f t="shared" si="81"/>
        <v>0</v>
      </c>
      <c r="AQ764" s="44">
        <f>($AM$3*AM764+$AN$3*AN764+$AO$3*AO764+$AP$3*AP764)+$I$3*VLOOKUP(I764,COND!$A$2:$E$7,4,FALSE)+$J$3*VLOOKUP(J764,COND!$A$2:$C$7,2,FALSE)+$K$3*VLOOKUP(K764,COND!$A$2:$C$7,3,FALSE)+IF(AND($B$2&gt;0,$E764&lt;20),$B$2*25,0)</f>
        <v>29.290336568206484</v>
      </c>
      <c r="AR764" s="47">
        <f t="shared" si="82"/>
        <v>-3.2904837390417572</v>
      </c>
      <c r="AS764" s="45" t="str">
        <f t="shared" si="83"/>
        <v>RF</v>
      </c>
      <c r="AT764" s="45">
        <f>RANK(Batters[[#This Row],[zScore]],Batters[[#All],[zScore]])</f>
        <v>760</v>
      </c>
      <c r="AU764" s="45"/>
      <c r="AV764" s="45"/>
      <c r="AW764" s="45" t="str">
        <f t="shared" si="84"/>
        <v>Unlikely</v>
      </c>
      <c r="AX764" s="45"/>
      <c r="AY764" s="64" t="str">
        <f>INDEX(Table5[[#All],[Ovr]],MATCH(Batters[[#This Row],[PID]],Table5[[#All],[PID]],0))</f>
        <v/>
      </c>
      <c r="AZ764" s="64" t="str">
        <f>INDEX(Table5[[#All],[Rnd]],MATCH(Batters[[#This Row],[PID]],Table5[[#All],[PID]],0))</f>
        <v/>
      </c>
      <c r="BA764" s="64" t="str">
        <f>INDEX(Table5[[#All],[Pick]],MATCH(Batters[[#This Row],[PID]],Table5[[#All],[PID]],0))</f>
        <v/>
      </c>
      <c r="BB764" s="64" t="str">
        <f>INDEX(Table5[[#All],[Team]],MATCH(Batters[[#This Row],[PID]],Table5[[#All],[PID]],0))</f>
        <v/>
      </c>
    </row>
    <row r="765" spans="1:54" ht="30" x14ac:dyDescent="0.25">
      <c r="A765" s="40">
        <v>17760</v>
      </c>
      <c r="B765" s="40" t="s">
        <v>86</v>
      </c>
      <c r="C765" s="40" t="s">
        <v>159</v>
      </c>
      <c r="D765" s="40" t="s">
        <v>687</v>
      </c>
      <c r="E765" s="40">
        <v>21</v>
      </c>
      <c r="F765" s="40" t="s">
        <v>42</v>
      </c>
      <c r="G765" s="40" t="s">
        <v>42</v>
      </c>
      <c r="H765" s="41" t="s">
        <v>639</v>
      </c>
      <c r="I765" s="65" t="s">
        <v>47</v>
      </c>
      <c r="J765" s="66" t="s">
        <v>43</v>
      </c>
      <c r="K765" s="67" t="s">
        <v>43</v>
      </c>
      <c r="L765" s="40">
        <v>1</v>
      </c>
      <c r="M765" s="40">
        <v>1</v>
      </c>
      <c r="N765" s="40">
        <v>2</v>
      </c>
      <c r="O765" s="40">
        <v>2</v>
      </c>
      <c r="P765" s="41">
        <v>1</v>
      </c>
      <c r="Q765" s="40">
        <v>2</v>
      </c>
      <c r="R765" s="40">
        <v>2</v>
      </c>
      <c r="S765" s="40">
        <v>2</v>
      </c>
      <c r="T765" s="40">
        <v>4</v>
      </c>
      <c r="U765" s="41">
        <v>2</v>
      </c>
      <c r="V765" s="40">
        <v>2</v>
      </c>
      <c r="W765" s="40">
        <v>3</v>
      </c>
      <c r="X765" s="40">
        <v>4</v>
      </c>
      <c r="Y765" s="41">
        <v>7</v>
      </c>
      <c r="Z765" s="40" t="s">
        <v>45</v>
      </c>
      <c r="AA765" s="40" t="s">
        <v>45</v>
      </c>
      <c r="AB765" s="40" t="s">
        <v>45</v>
      </c>
      <c r="AC765" s="40" t="s">
        <v>45</v>
      </c>
      <c r="AD765" s="40" t="s">
        <v>45</v>
      </c>
      <c r="AE765" s="40" t="s">
        <v>45</v>
      </c>
      <c r="AF765" s="40" t="s">
        <v>45</v>
      </c>
      <c r="AG765" s="41" t="s">
        <v>45</v>
      </c>
      <c r="AH765" s="40">
        <v>3</v>
      </c>
      <c r="AI765" s="40">
        <v>5</v>
      </c>
      <c r="AJ765" s="41">
        <v>3</v>
      </c>
      <c r="AK765" s="43" t="s">
        <v>45</v>
      </c>
      <c r="AL765" s="43"/>
      <c r="AM765" s="44">
        <f t="shared" si="78"/>
        <v>-1.9115723057940897</v>
      </c>
      <c r="AN765" s="44">
        <f t="shared" si="79"/>
        <v>-1.3185211501364655</v>
      </c>
      <c r="AO765" s="45">
        <f t="shared" si="80"/>
        <v>0</v>
      </c>
      <c r="AP765" s="46">
        <f t="shared" si="81"/>
        <v>0</v>
      </c>
      <c r="AQ765" s="44">
        <f>($AM$3*AM765+$AN$3*AN765+$AO$3*AO765+$AP$3*AP765)+$I$3*VLOOKUP(I765,COND!$A$2:$E$7,4,FALSE)+$J$3*VLOOKUP(J765,COND!$A$2:$C$7,2,FALSE)+$K$3*VLOOKUP(K765,COND!$A$2:$C$7,3,FALSE)+IF(AND($B$2&gt;0,$E765&lt;20),$B$2*25,0)</f>
        <v>29.211588967783001</v>
      </c>
      <c r="AR765" s="47">
        <f t="shared" si="82"/>
        <v>-3.3079426143400226</v>
      </c>
      <c r="AS765" s="45" t="str">
        <f t="shared" si="83"/>
        <v>DH</v>
      </c>
      <c r="AT765" s="45">
        <f>RANK(Batters[[#This Row],[zScore]],Batters[[#All],[zScore]])</f>
        <v>761</v>
      </c>
      <c r="AU765" s="45"/>
      <c r="AV765" s="45"/>
      <c r="AW765" s="45" t="str">
        <f t="shared" si="84"/>
        <v>Unlikely</v>
      </c>
      <c r="AX765" s="45"/>
      <c r="AY765" s="64" t="str">
        <f>INDEX(Table5[[#All],[Ovr]],MATCH(Batters[[#This Row],[PID]],Table5[[#All],[PID]],0))</f>
        <v/>
      </c>
      <c r="AZ765" s="64" t="str">
        <f>INDEX(Table5[[#All],[Rnd]],MATCH(Batters[[#This Row],[PID]],Table5[[#All],[PID]],0))</f>
        <v/>
      </c>
      <c r="BA765" s="64" t="str">
        <f>INDEX(Table5[[#All],[Pick]],MATCH(Batters[[#This Row],[PID]],Table5[[#All],[PID]],0))</f>
        <v/>
      </c>
      <c r="BB765" s="64" t="str">
        <f>INDEX(Table5[[#All],[Team]],MATCH(Batters[[#This Row],[PID]],Table5[[#All],[PID]],0))</f>
        <v/>
      </c>
    </row>
    <row r="766" spans="1:54" ht="30" x14ac:dyDescent="0.25">
      <c r="A766" s="40">
        <v>5972</v>
      </c>
      <c r="B766" s="40" t="s">
        <v>86</v>
      </c>
      <c r="C766" s="40" t="s">
        <v>939</v>
      </c>
      <c r="D766" s="40" t="s">
        <v>940</v>
      </c>
      <c r="E766" s="40">
        <v>22</v>
      </c>
      <c r="F766" s="40" t="s">
        <v>42</v>
      </c>
      <c r="G766" s="40" t="s">
        <v>42</v>
      </c>
      <c r="H766" s="41" t="s">
        <v>639</v>
      </c>
      <c r="I766" s="65" t="s">
        <v>44</v>
      </c>
      <c r="J766" s="66" t="s">
        <v>44</v>
      </c>
      <c r="K766" s="67" t="s">
        <v>44</v>
      </c>
      <c r="L766" s="40">
        <v>1</v>
      </c>
      <c r="M766" s="40">
        <v>1</v>
      </c>
      <c r="N766" s="40">
        <v>2</v>
      </c>
      <c r="O766" s="40">
        <v>1</v>
      </c>
      <c r="P766" s="41">
        <v>1</v>
      </c>
      <c r="Q766" s="40">
        <v>2</v>
      </c>
      <c r="R766" s="40">
        <v>2</v>
      </c>
      <c r="S766" s="40">
        <v>3</v>
      </c>
      <c r="T766" s="40">
        <v>3</v>
      </c>
      <c r="U766" s="41">
        <v>1</v>
      </c>
      <c r="V766" s="40">
        <v>1</v>
      </c>
      <c r="W766" s="40">
        <v>1</v>
      </c>
      <c r="X766" s="40">
        <v>4</v>
      </c>
      <c r="Y766" s="41">
        <v>9</v>
      </c>
      <c r="Z766" s="40">
        <v>2</v>
      </c>
      <c r="AA766" s="40" t="s">
        <v>45</v>
      </c>
      <c r="AB766" s="40" t="s">
        <v>45</v>
      </c>
      <c r="AC766" s="40" t="s">
        <v>45</v>
      </c>
      <c r="AD766" s="40" t="s">
        <v>45</v>
      </c>
      <c r="AE766" s="40" t="s">
        <v>45</v>
      </c>
      <c r="AF766" s="40" t="s">
        <v>45</v>
      </c>
      <c r="AG766" s="41" t="s">
        <v>45</v>
      </c>
      <c r="AH766" s="40">
        <v>1</v>
      </c>
      <c r="AI766" s="40">
        <v>5</v>
      </c>
      <c r="AJ766" s="41">
        <v>9</v>
      </c>
      <c r="AK766" s="43" t="s">
        <v>45</v>
      </c>
      <c r="AL766" s="43"/>
      <c r="AM766" s="44">
        <f t="shared" si="78"/>
        <v>-2.0012818558036707</v>
      </c>
      <c r="AN766" s="44">
        <f t="shared" si="79"/>
        <v>-1.3651855459392288</v>
      </c>
      <c r="AO766" s="45">
        <f t="shared" si="80"/>
        <v>2</v>
      </c>
      <c r="AP766" s="46">
        <f t="shared" si="81"/>
        <v>0</v>
      </c>
      <c r="AQ766" s="44">
        <f>($AM$3*AM766+$AN$3*AN766+$AO$3*AO766+$AP$3*AP766)+$I$3*VLOOKUP(I766,COND!$A$2:$E$7,4,FALSE)+$J$3*VLOOKUP(J766,COND!$A$2:$C$7,2,FALSE)+$K$3*VLOOKUP(K766,COND!$A$2:$C$7,3,FALSE)+IF(AND($B$2&gt;0,$E766&lt;20),$B$2*25,0)</f>
        <v>28.000978596482213</v>
      </c>
      <c r="AR766" s="47">
        <f t="shared" si="82"/>
        <v>-3.576343116624078</v>
      </c>
      <c r="AS766" s="45" t="str">
        <f t="shared" si="83"/>
        <v>C</v>
      </c>
      <c r="AT766" s="45">
        <f>RANK(Batters[[#This Row],[zScore]],Batters[[#All],[zScore]])</f>
        <v>762</v>
      </c>
      <c r="AU766" s="45"/>
      <c r="AV766" s="45"/>
      <c r="AW766" s="45" t="str">
        <f t="shared" si="84"/>
        <v>Unlikely</v>
      </c>
      <c r="AX766" s="45"/>
      <c r="AY766" s="64" t="str">
        <f>INDEX(Table5[[#All],[Ovr]],MATCH(Batters[[#This Row],[PID]],Table5[[#All],[PID]],0))</f>
        <v/>
      </c>
      <c r="AZ766" s="64" t="str">
        <f>INDEX(Table5[[#All],[Rnd]],MATCH(Batters[[#This Row],[PID]],Table5[[#All],[PID]],0))</f>
        <v/>
      </c>
      <c r="BA766" s="64" t="str">
        <f>INDEX(Table5[[#All],[Pick]],MATCH(Batters[[#This Row],[PID]],Table5[[#All],[PID]],0))</f>
        <v/>
      </c>
      <c r="BB766" s="64" t="str">
        <f>INDEX(Table5[[#All],[Team]],MATCH(Batters[[#This Row],[PID]],Table5[[#All],[PID]],0))</f>
        <v/>
      </c>
    </row>
  </sheetData>
  <sortState xmlns:xlrd2="http://schemas.microsoft.com/office/spreadsheetml/2017/richdata2" ref="A5:BB524">
    <sortCondition ref="AY5:AY524"/>
    <sortCondition ref="AU5:AU524"/>
    <sortCondition ref="AV5:AV524"/>
    <sortCondition ref="AT5:AT524"/>
    <sortCondition descending="1" ref="AR5:AR524"/>
    <sortCondition ref="D5:D524"/>
    <sortCondition ref="C5:C524"/>
  </sortState>
  <conditionalFormatting sqref="AV1 A5:XFD559 A560:BB766 AM5:AP766 AS5:AT766">
    <cfRule type="expression" dxfId="9" priority="28">
      <formula>IF($AZ1&lt;&gt;"",1,0)</formula>
    </cfRule>
  </conditionalFormatting>
  <conditionalFormatting sqref="Q5:Q766">
    <cfRule type="colorScale" priority="1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766">
    <cfRule type="colorScale" priority="19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766">
    <cfRule type="colorScale" priority="19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766">
    <cfRule type="colorScale" priority="19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66">
    <cfRule type="colorScale" priority="19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766">
    <cfRule type="colorScale" priority="2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766">
    <cfRule type="colorScale" priority="20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766">
    <cfRule type="colorScale" priority="20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766">
    <cfRule type="colorScale" priority="20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766">
    <cfRule type="colorScale" priority="20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766">
    <cfRule type="colorScale" priority="20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766">
    <cfRule type="colorScale" priority="20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766">
    <cfRule type="colorScale" priority="2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766">
    <cfRule type="colorScale" priority="20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766">
    <cfRule type="colorScale" priority="2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X766">
    <cfRule type="colorScale" priority="20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766">
    <cfRule type="colorScale" priority="20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766">
    <cfRule type="colorScale" priority="2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766">
    <cfRule type="colorScale" priority="20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781"/>
  <sheetViews>
    <sheetView workbookViewId="0">
      <pane xSplit="7" ySplit="4" topLeftCell="H771" activePane="bottomRight" state="frozenSplit"/>
      <selection pane="topRight" activeCell="H1" sqref="H1"/>
      <selection pane="bottomLeft" activeCell="A245" sqref="A245"/>
      <selection pane="bottomRight" activeCell="A5" sqref="A5:A781"/>
    </sheetView>
  </sheetViews>
  <sheetFormatPr defaultRowHeight="15" x14ac:dyDescent="0.25"/>
  <cols>
    <col min="1" max="1" width="6.140625" customWidth="1"/>
    <col min="2" max="2" width="6.85546875" bestFit="1" customWidth="1"/>
    <col min="3" max="3" width="11.42578125" bestFit="1" customWidth="1"/>
    <col min="4" max="4" width="13.7109375" bestFit="1" customWidth="1"/>
    <col min="5" max="5" width="6.5703125" customWidth="1"/>
    <col min="6" max="6" width="2.140625" hidden="1" customWidth="1"/>
    <col min="7" max="7" width="4.140625" customWidth="1"/>
    <col min="8" max="8" width="6.7109375" style="3" customWidth="1"/>
    <col min="9" max="9" width="7.5703125" style="7" bestFit="1" customWidth="1"/>
    <col min="10" max="10" width="9.5703125" bestFit="1" customWidth="1"/>
    <col min="11" max="11" width="9.5703125" style="3" bestFit="1" customWidth="1"/>
    <col min="12" max="12" width="6.5703125" customWidth="1"/>
    <col min="13" max="13" width="7.7109375" customWidth="1"/>
    <col min="14" max="14" width="7.140625" style="3" customWidth="1"/>
    <col min="15" max="15" width="8.140625" customWidth="1"/>
    <col min="16" max="16" width="9.28515625" customWidth="1"/>
    <col min="17" max="17" width="8.7109375" style="3" customWidth="1"/>
    <col min="18" max="18" width="5.42578125" customWidth="1"/>
    <col min="19" max="19" width="6.5703125" bestFit="1" customWidth="1"/>
    <col min="20" max="20" width="5.7109375" customWidth="1"/>
    <col min="21" max="21" width="6.85546875" bestFit="1" customWidth="1"/>
    <col min="22" max="22" width="5.5703125" customWidth="1"/>
    <col min="23" max="23" width="6.7109375" bestFit="1" customWidth="1"/>
    <col min="24" max="24" width="5.140625" customWidth="1"/>
    <col min="25" max="25" width="6.28515625" bestFit="1" customWidth="1"/>
    <col min="26" max="26" width="4.85546875" customWidth="1"/>
    <col min="27" max="27" width="6" bestFit="1" customWidth="1"/>
    <col min="28" max="28" width="5.42578125" customWidth="1"/>
    <col min="29" max="29" width="6.5703125" bestFit="1" customWidth="1"/>
    <col min="30" max="30" width="5.42578125" customWidth="1"/>
    <col min="31" max="31" width="6.5703125" bestFit="1" customWidth="1"/>
    <col min="32" max="32" width="5.7109375" customWidth="1"/>
    <col min="33" max="33" width="6.85546875" bestFit="1" customWidth="1"/>
    <col min="34" max="34" width="5.5703125" customWidth="1"/>
    <col min="35" max="35" width="6.7109375" bestFit="1" customWidth="1"/>
    <col min="36" max="36" width="5.42578125" customWidth="1"/>
    <col min="37" max="37" width="6.5703125" bestFit="1" customWidth="1"/>
    <col min="38" max="38" width="5.5703125" customWidth="1"/>
    <col min="39" max="39" width="6.7109375" bestFit="1" customWidth="1"/>
    <col min="40" max="40" width="5.85546875" customWidth="1"/>
    <col min="41" max="41" width="7" style="3" bestFit="1" customWidth="1"/>
    <col min="42" max="42" width="11.140625" bestFit="1" customWidth="1"/>
    <col min="43" max="43" width="7" customWidth="1"/>
    <col min="44" max="44" width="8" style="3" customWidth="1"/>
    <col min="45" max="45" width="7.42578125" style="17" bestFit="1" customWidth="1"/>
    <col min="46" max="46" width="8.85546875" style="17" customWidth="1"/>
    <col min="47" max="48" width="9.140625" customWidth="1"/>
    <col min="49" max="49" width="7.5703125" customWidth="1"/>
    <col min="50" max="50" width="9" customWidth="1"/>
    <col min="51" max="51" width="8.28515625" style="3" customWidth="1"/>
    <col min="52" max="52" width="7.5703125" bestFit="1" customWidth="1"/>
    <col min="53" max="53" width="8.85546875" style="3" customWidth="1"/>
    <col min="54" max="54" width="7.28515625" bestFit="1" customWidth="1"/>
    <col min="55" max="55" width="6.5703125" bestFit="1" customWidth="1"/>
    <col min="56" max="56" width="6.28515625" bestFit="1" customWidth="1"/>
    <col min="59" max="59" width="12.42578125" customWidth="1"/>
    <col min="61" max="61" width="6.7109375" bestFit="1" customWidth="1"/>
    <col min="62" max="62" width="6.85546875" bestFit="1" customWidth="1"/>
    <col min="63" max="63" width="29.28515625" bestFit="1" customWidth="1"/>
    <col min="64" max="64" width="11.7109375" customWidth="1"/>
  </cols>
  <sheetData>
    <row r="1" spans="1:64" x14ac:dyDescent="0.25">
      <c r="A1" s="32" t="s">
        <v>791</v>
      </c>
      <c r="B1" s="33">
        <f>'Draft List'!$B$2</f>
        <v>0</v>
      </c>
      <c r="K1" s="25" t="s">
        <v>304</v>
      </c>
      <c r="O1">
        <v>5.065724815724816</v>
      </c>
      <c r="P1">
        <v>5.3630221130221134</v>
      </c>
      <c r="Q1" s="3">
        <v>3.5245700245700244</v>
      </c>
    </row>
    <row r="2" spans="1:64" x14ac:dyDescent="0.25">
      <c r="A2" s="32" t="s">
        <v>792</v>
      </c>
      <c r="B2" s="33">
        <f>'Draft List'!$B$3</f>
        <v>0.2</v>
      </c>
      <c r="K2" s="25" t="s">
        <v>303</v>
      </c>
      <c r="O2">
        <v>1.5564653627697971</v>
      </c>
      <c r="P2">
        <v>1.3955118325171196</v>
      </c>
      <c r="Q2" s="3">
        <v>1.7507487340042387</v>
      </c>
    </row>
    <row r="3" spans="1:64" x14ac:dyDescent="0.25">
      <c r="I3" s="7">
        <v>15</v>
      </c>
      <c r="J3" s="3">
        <f>IF('Draft List'!$B$2=1,50,15)</f>
        <v>15</v>
      </c>
      <c r="K3" s="3">
        <f>IF('Draft List'!$B$2=1,50,15)</f>
        <v>15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25">
      <c r="A4" s="34" t="s">
        <v>213</v>
      </c>
      <c r="B4" s="35" t="s">
        <v>0</v>
      </c>
      <c r="C4" s="35" t="s">
        <v>406</v>
      </c>
      <c r="D4" s="35" t="s">
        <v>407</v>
      </c>
      <c r="E4" s="35" t="s">
        <v>2</v>
      </c>
      <c r="F4" s="35" t="s">
        <v>3</v>
      </c>
      <c r="G4" s="35" t="s">
        <v>4</v>
      </c>
      <c r="H4" s="36" t="s">
        <v>5</v>
      </c>
      <c r="I4" s="37" t="s">
        <v>621</v>
      </c>
      <c r="J4" s="35" t="s">
        <v>6</v>
      </c>
      <c r="K4" s="36" t="s">
        <v>7</v>
      </c>
      <c r="L4" s="35" t="s">
        <v>8</v>
      </c>
      <c r="M4" s="35" t="s">
        <v>9</v>
      </c>
      <c r="N4" s="36" t="s">
        <v>10</v>
      </c>
      <c r="O4" s="35" t="s">
        <v>11</v>
      </c>
      <c r="P4" s="35" t="s">
        <v>12</v>
      </c>
      <c r="Q4" s="36" t="s">
        <v>13</v>
      </c>
      <c r="R4" s="35" t="s">
        <v>14</v>
      </c>
      <c r="S4" s="35" t="s">
        <v>15</v>
      </c>
      <c r="T4" s="35" t="s">
        <v>16</v>
      </c>
      <c r="U4" s="35" t="s">
        <v>17</v>
      </c>
      <c r="V4" s="35" t="s">
        <v>18</v>
      </c>
      <c r="W4" s="35" t="s">
        <v>19</v>
      </c>
      <c r="X4" s="35" t="s">
        <v>20</v>
      </c>
      <c r="Y4" s="35" t="s">
        <v>21</v>
      </c>
      <c r="Z4" s="35" t="s">
        <v>22</v>
      </c>
      <c r="AA4" s="35" t="s">
        <v>23</v>
      </c>
      <c r="AB4" s="35" t="s">
        <v>24</v>
      </c>
      <c r="AC4" s="35" t="s">
        <v>25</v>
      </c>
      <c r="AD4" s="35" t="s">
        <v>26</v>
      </c>
      <c r="AE4" s="35" t="s">
        <v>27</v>
      </c>
      <c r="AF4" s="35" t="s">
        <v>28</v>
      </c>
      <c r="AG4" s="35" t="s">
        <v>29</v>
      </c>
      <c r="AH4" s="35" t="s">
        <v>30</v>
      </c>
      <c r="AI4" s="35" t="s">
        <v>31</v>
      </c>
      <c r="AJ4" s="35" t="s">
        <v>32</v>
      </c>
      <c r="AK4" s="35" t="s">
        <v>33</v>
      </c>
      <c r="AL4" s="35" t="s">
        <v>34</v>
      </c>
      <c r="AM4" s="35" t="s">
        <v>35</v>
      </c>
      <c r="AN4" s="35" t="s">
        <v>36</v>
      </c>
      <c r="AO4" s="36" t="s">
        <v>37</v>
      </c>
      <c r="AP4" s="35" t="s">
        <v>38</v>
      </c>
      <c r="AQ4" s="35" t="s">
        <v>39</v>
      </c>
      <c r="AR4" s="36" t="s">
        <v>40</v>
      </c>
      <c r="AS4" s="38" t="s">
        <v>41</v>
      </c>
      <c r="AT4" s="38" t="s">
        <v>631</v>
      </c>
      <c r="AU4" s="34" t="s">
        <v>91</v>
      </c>
      <c r="AV4" s="34" t="s">
        <v>991</v>
      </c>
      <c r="AW4" s="34" t="s">
        <v>92</v>
      </c>
      <c r="AX4" s="34" t="s">
        <v>93</v>
      </c>
      <c r="AY4" s="39" t="s">
        <v>994</v>
      </c>
      <c r="AZ4" s="34" t="s">
        <v>95</v>
      </c>
      <c r="BA4" s="39" t="s">
        <v>96</v>
      </c>
      <c r="BB4" s="34" t="s">
        <v>97</v>
      </c>
      <c r="BC4" s="34" t="s">
        <v>98</v>
      </c>
      <c r="BD4" s="34" t="s">
        <v>99</v>
      </c>
      <c r="BE4" s="34" t="s">
        <v>622</v>
      </c>
      <c r="BF4" s="34" t="s">
        <v>101</v>
      </c>
      <c r="BG4" s="34" t="s">
        <v>102</v>
      </c>
      <c r="BH4" s="34" t="s">
        <v>230</v>
      </c>
      <c r="BI4" s="34" t="s">
        <v>231</v>
      </c>
      <c r="BJ4" s="34" t="s">
        <v>232</v>
      </c>
      <c r="BK4" s="34" t="s">
        <v>233</v>
      </c>
      <c r="BL4" s="34" t="s">
        <v>299</v>
      </c>
    </row>
    <row r="5" spans="1:64" ht="15" customHeight="1" x14ac:dyDescent="0.25">
      <c r="A5" s="40">
        <v>18441</v>
      </c>
      <c r="B5" s="40" t="s">
        <v>49</v>
      </c>
      <c r="C5" s="40" t="s">
        <v>972</v>
      </c>
      <c r="D5" s="40" t="s">
        <v>608</v>
      </c>
      <c r="E5" s="40">
        <v>18</v>
      </c>
      <c r="F5" s="40" t="s">
        <v>42</v>
      </c>
      <c r="G5" s="40" t="s">
        <v>42</v>
      </c>
      <c r="H5" s="41" t="s">
        <v>632</v>
      </c>
      <c r="I5" s="42" t="s">
        <v>43</v>
      </c>
      <c r="J5" s="40" t="s">
        <v>47</v>
      </c>
      <c r="K5" s="41" t="s">
        <v>43</v>
      </c>
      <c r="L5" s="40">
        <v>2</v>
      </c>
      <c r="M5" s="40">
        <v>5</v>
      </c>
      <c r="N5" s="41">
        <v>2</v>
      </c>
      <c r="O5" s="40">
        <v>7</v>
      </c>
      <c r="P5" s="40">
        <v>8</v>
      </c>
      <c r="Q5" s="41">
        <v>4</v>
      </c>
      <c r="R5" s="40">
        <v>5</v>
      </c>
      <c r="S5" s="40">
        <v>9</v>
      </c>
      <c r="T5" s="40">
        <v>1</v>
      </c>
      <c r="U5" s="40">
        <v>2</v>
      </c>
      <c r="V5" s="40">
        <v>2</v>
      </c>
      <c r="W5" s="40">
        <v>8</v>
      </c>
      <c r="X5" s="40" t="s">
        <v>45</v>
      </c>
      <c r="Y5" s="40" t="s">
        <v>45</v>
      </c>
      <c r="Z5" s="40" t="s">
        <v>45</v>
      </c>
      <c r="AA5" s="40" t="s">
        <v>45</v>
      </c>
      <c r="AB5" s="40" t="s">
        <v>45</v>
      </c>
      <c r="AC5" s="40" t="s">
        <v>45</v>
      </c>
      <c r="AD5" s="40" t="s">
        <v>45</v>
      </c>
      <c r="AE5" s="40" t="s">
        <v>45</v>
      </c>
      <c r="AF5" s="40" t="s">
        <v>45</v>
      </c>
      <c r="AG5" s="40" t="s">
        <v>45</v>
      </c>
      <c r="AH5" s="40" t="s">
        <v>45</v>
      </c>
      <c r="AI5" s="40" t="s">
        <v>45</v>
      </c>
      <c r="AJ5" s="40" t="s">
        <v>45</v>
      </c>
      <c r="AK5" s="40" t="s">
        <v>45</v>
      </c>
      <c r="AL5" s="40" t="s">
        <v>45</v>
      </c>
      <c r="AM5" s="40" t="s">
        <v>45</v>
      </c>
      <c r="AN5" s="40" t="s">
        <v>45</v>
      </c>
      <c r="AO5" s="41" t="s">
        <v>45</v>
      </c>
      <c r="AP5" s="40" t="s">
        <v>60</v>
      </c>
      <c r="AQ5" s="40">
        <v>7</v>
      </c>
      <c r="AR5" s="48" t="s">
        <v>348</v>
      </c>
      <c r="AS5" s="43" t="s">
        <v>794</v>
      </c>
      <c r="AT5" s="43" t="s">
        <v>47</v>
      </c>
      <c r="AU5" s="44">
        <f t="shared" ref="AU5:AU68" si="0">($O$3*(L5-$O$1)/$O$2+$P$3*(M5-$P$1)/$P$2+$Q$3*(N5-$P$1)/$Q$2)/SUM($O$3:$Q$3)</f>
        <v>-1.4827454816840926</v>
      </c>
      <c r="AV5" s="44">
        <f t="shared" ref="AV5:AV68" si="1">($O$3*(O5-$O$1)/$O$2+$P$3*(P5-$P$1)/$P$2+$Q$3*(Q5-$Q$1)/$Q$2)/SUM($O$3:$Q$3)</f>
        <v>1.0071421729972339</v>
      </c>
      <c r="AW5" s="45">
        <f t="shared" ref="AW5:AW68" si="2">COUNT(R5:AO5)/2</f>
        <v>3</v>
      </c>
      <c r="AX5" s="45">
        <f t="shared" ref="AX5:AX68" si="3"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2</v>
      </c>
      <c r="AY5" s="46">
        <f>VLOOKUP(AP5,COND!$A$10:$B$32,2,FALSE)</f>
        <v>1.0249999999999999</v>
      </c>
      <c r="AZ5" s="44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76.74245172269805</v>
      </c>
      <c r="BA5" s="47">
        <f t="shared" ref="BA5:BA44" si="4">STANDARDIZE(AZ5,AVERAGE($AZ$5:$AZ$557),STDEVP($AZ$5:$AZ$557))</f>
        <v>2.7191467587192255</v>
      </c>
      <c r="BB5" s="45" t="str">
        <f t="shared" ref="BB5:BB68" si="5">IF(OR(AND(AQ5&gt;7,AX5&gt;1),AND(AQ5&gt;4,AW5&gt;2)),"SP","RP")</f>
        <v>SP</v>
      </c>
      <c r="BC5" s="45">
        <f>RANK(Table3[[#This Row],[zScore]],Table3[zScore])</f>
        <v>4</v>
      </c>
      <c r="BD5" s="45"/>
      <c r="BE5" s="45"/>
      <c r="BF5" s="45" t="str">
        <f t="shared" ref="BF5:BF68" si="6">IF(AVERAGE($O5:$Q5)&gt;=6,"Likely",IF(AVERAGE($O5:$Q5)&gt;=4,"Possible","Unlikely"))</f>
        <v>Likely</v>
      </c>
      <c r="BG5" s="45"/>
      <c r="BH5" s="45">
        <f>INDEX(Table5[[#All],[Ovr]],MATCH(Table3[[#This Row],[PID]],Table5[[#All],[PID]],0))</f>
        <v>27</v>
      </c>
      <c r="BI5" s="45" t="str">
        <f>INDEX(Table5[[#All],[Rnd]],MATCH(Table3[[#This Row],[PID]],Table5[[#All],[PID]],0))</f>
        <v>1</v>
      </c>
      <c r="BJ5" s="45">
        <f>INDEX(Table5[[#All],[Pick]],MATCH(Table3[[#This Row],[PID]],Table5[[#All],[PID]],0))</f>
        <v>27</v>
      </c>
      <c r="BK5" s="45" t="str">
        <f>INDEX(Table5[[#All],[Team]],MATCH(Table3[[#This Row],[PID]],Table5[[#All],[PID]],0))</f>
        <v>Florida Farstriders</v>
      </c>
      <c r="BL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" spans="1:64" ht="15" customHeight="1" x14ac:dyDescent="0.25">
      <c r="A6" s="40">
        <v>20215</v>
      </c>
      <c r="B6" s="40" t="s">
        <v>49</v>
      </c>
      <c r="C6" s="40" t="s">
        <v>1770</v>
      </c>
      <c r="D6" s="40" t="s">
        <v>1771</v>
      </c>
      <c r="E6" s="40">
        <v>22</v>
      </c>
      <c r="F6" s="40" t="s">
        <v>42</v>
      </c>
      <c r="G6" s="40" t="s">
        <v>42</v>
      </c>
      <c r="H6" s="41" t="s">
        <v>1772</v>
      </c>
      <c r="I6" s="42" t="s">
        <v>43</v>
      </c>
      <c r="J6" s="40" t="s">
        <v>43</v>
      </c>
      <c r="K6" s="41" t="s">
        <v>43</v>
      </c>
      <c r="L6" s="40">
        <v>7</v>
      </c>
      <c r="M6" s="40">
        <v>3</v>
      </c>
      <c r="N6" s="41">
        <v>5</v>
      </c>
      <c r="O6" s="40">
        <v>9</v>
      </c>
      <c r="P6" s="40">
        <v>4</v>
      </c>
      <c r="Q6" s="41">
        <v>7</v>
      </c>
      <c r="R6" s="40">
        <v>8</v>
      </c>
      <c r="S6" s="40">
        <v>10</v>
      </c>
      <c r="T6" s="40" t="s">
        <v>45</v>
      </c>
      <c r="U6" s="40" t="s">
        <v>45</v>
      </c>
      <c r="V6" s="40" t="s">
        <v>45</v>
      </c>
      <c r="W6" s="40" t="s">
        <v>45</v>
      </c>
      <c r="X6" s="40" t="s">
        <v>45</v>
      </c>
      <c r="Y6" s="40" t="s">
        <v>45</v>
      </c>
      <c r="Z6" s="40" t="s">
        <v>45</v>
      </c>
      <c r="AA6" s="40" t="s">
        <v>45</v>
      </c>
      <c r="AB6" s="40">
        <v>7</v>
      </c>
      <c r="AC6" s="40">
        <v>8</v>
      </c>
      <c r="AD6" s="40" t="s">
        <v>45</v>
      </c>
      <c r="AE6" s="40" t="s">
        <v>45</v>
      </c>
      <c r="AF6" s="40" t="s">
        <v>45</v>
      </c>
      <c r="AG6" s="40" t="s">
        <v>45</v>
      </c>
      <c r="AH6" s="40" t="s">
        <v>45</v>
      </c>
      <c r="AI6" s="40" t="s">
        <v>45</v>
      </c>
      <c r="AJ6" s="40" t="s">
        <v>45</v>
      </c>
      <c r="AK6" s="40" t="s">
        <v>45</v>
      </c>
      <c r="AL6" s="40" t="s">
        <v>45</v>
      </c>
      <c r="AM6" s="40" t="s">
        <v>45</v>
      </c>
      <c r="AN6" s="40" t="s">
        <v>45</v>
      </c>
      <c r="AO6" s="41" t="s">
        <v>45</v>
      </c>
      <c r="AP6" s="40" t="s">
        <v>59</v>
      </c>
      <c r="AQ6" s="40">
        <v>9</v>
      </c>
      <c r="AR6" s="48" t="s">
        <v>347</v>
      </c>
      <c r="AS6" s="43" t="s">
        <v>878</v>
      </c>
      <c r="AT6" s="43" t="s">
        <v>47</v>
      </c>
      <c r="AU6" s="44">
        <f t="shared" si="0"/>
        <v>-0.17319059383600455</v>
      </c>
      <c r="AV6" s="44">
        <f t="shared" si="1"/>
        <v>1.3417596544576902</v>
      </c>
      <c r="AW6" s="45">
        <f t="shared" si="2"/>
        <v>2</v>
      </c>
      <c r="AX6" s="45">
        <f t="shared" si="3"/>
        <v>2</v>
      </c>
      <c r="AY6" s="46">
        <f>VLOOKUP(AP6,COND!$A$10:$B$32,2,FALSE)</f>
        <v>1.075</v>
      </c>
      <c r="AZ6" s="44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74.573096593165587</v>
      </c>
      <c r="BA6" s="47">
        <f t="shared" si="4"/>
        <v>2.5748228769621861</v>
      </c>
      <c r="BB6" s="45" t="str">
        <f t="shared" si="5"/>
        <v>SP</v>
      </c>
      <c r="BC6" s="45">
        <f>RANK(Table3[[#This Row],[zScore]],Table3[zScore])</f>
        <v>6</v>
      </c>
      <c r="BD6" s="45"/>
      <c r="BE6" s="45"/>
      <c r="BF6" s="45" t="str">
        <f t="shared" si="6"/>
        <v>Likely</v>
      </c>
      <c r="BG6" s="45"/>
      <c r="BH6" s="45">
        <f>INDEX(Table5[[#All],[Ovr]],MATCH(Table3[[#This Row],[PID]],Table5[[#All],[PID]],0))</f>
        <v>1</v>
      </c>
      <c r="BI6" s="45" t="str">
        <f>INDEX(Table5[[#All],[Rnd]],MATCH(Table3[[#This Row],[PID]],Table5[[#All],[PID]],0))</f>
        <v>1</v>
      </c>
      <c r="BJ6" s="45">
        <f>INDEX(Table5[[#All],[Pick]],MATCH(Table3[[#This Row],[PID]],Table5[[#All],[PID]],0))</f>
        <v>1</v>
      </c>
      <c r="BK6" s="45" t="str">
        <f>INDEX(Table5[[#All],[Team]],MATCH(Table3[[#This Row],[PID]],Table5[[#All],[PID]],0))</f>
        <v>Yuma Arroyos</v>
      </c>
      <c r="BL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" spans="1:64" ht="15" customHeight="1" x14ac:dyDescent="0.25">
      <c r="A7" s="40">
        <v>18153</v>
      </c>
      <c r="B7" s="40" t="s">
        <v>49</v>
      </c>
      <c r="C7" s="40" t="s">
        <v>183</v>
      </c>
      <c r="D7" s="40" t="s">
        <v>726</v>
      </c>
      <c r="E7" s="40">
        <v>21</v>
      </c>
      <c r="F7" s="40" t="s">
        <v>53</v>
      </c>
      <c r="G7" s="40" t="s">
        <v>53</v>
      </c>
      <c r="H7" s="41" t="s">
        <v>632</v>
      </c>
      <c r="I7" s="42" t="s">
        <v>43</v>
      </c>
      <c r="J7" s="40" t="s">
        <v>47</v>
      </c>
      <c r="K7" s="41" t="s">
        <v>43</v>
      </c>
      <c r="L7" s="40">
        <v>4</v>
      </c>
      <c r="M7" s="40">
        <v>3</v>
      </c>
      <c r="N7" s="41">
        <v>3</v>
      </c>
      <c r="O7" s="40">
        <v>8</v>
      </c>
      <c r="P7" s="40">
        <v>5</v>
      </c>
      <c r="Q7" s="41">
        <v>6</v>
      </c>
      <c r="R7" s="40" t="s">
        <v>45</v>
      </c>
      <c r="S7" s="40" t="s">
        <v>45</v>
      </c>
      <c r="T7" s="40">
        <v>1</v>
      </c>
      <c r="U7" s="40">
        <v>2</v>
      </c>
      <c r="V7" s="40" t="s">
        <v>45</v>
      </c>
      <c r="W7" s="40" t="s">
        <v>45</v>
      </c>
      <c r="X7" s="40" t="s">
        <v>45</v>
      </c>
      <c r="Y7" s="40" t="s">
        <v>45</v>
      </c>
      <c r="Z7" s="40" t="s">
        <v>45</v>
      </c>
      <c r="AA7" s="40" t="s">
        <v>45</v>
      </c>
      <c r="AB7" s="40">
        <v>5</v>
      </c>
      <c r="AC7" s="40">
        <v>8</v>
      </c>
      <c r="AD7" s="40">
        <v>5</v>
      </c>
      <c r="AE7" s="40">
        <v>8</v>
      </c>
      <c r="AF7" s="40" t="s">
        <v>45</v>
      </c>
      <c r="AG7" s="40" t="s">
        <v>45</v>
      </c>
      <c r="AH7" s="40" t="s">
        <v>45</v>
      </c>
      <c r="AI7" s="40" t="s">
        <v>45</v>
      </c>
      <c r="AJ7" s="40" t="s">
        <v>45</v>
      </c>
      <c r="AK7" s="40" t="s">
        <v>45</v>
      </c>
      <c r="AL7" s="40" t="s">
        <v>45</v>
      </c>
      <c r="AM7" s="40" t="s">
        <v>45</v>
      </c>
      <c r="AN7" s="40" t="s">
        <v>45</v>
      </c>
      <c r="AO7" s="41" t="s">
        <v>45</v>
      </c>
      <c r="AP7" s="40" t="s">
        <v>46</v>
      </c>
      <c r="AQ7" s="40">
        <v>7</v>
      </c>
      <c r="AR7" s="48" t="s">
        <v>346</v>
      </c>
      <c r="AS7" s="43" t="s">
        <v>1161</v>
      </c>
      <c r="AT7" s="43" t="s">
        <v>47</v>
      </c>
      <c r="AU7" s="44">
        <f t="shared" si="0"/>
        <v>-1.2419056994717459</v>
      </c>
      <c r="AV7" s="44">
        <f t="shared" si="1"/>
        <v>1.1001794803244616</v>
      </c>
      <c r="AW7" s="45">
        <f t="shared" si="2"/>
        <v>3</v>
      </c>
      <c r="AX7" s="45">
        <f t="shared" si="3"/>
        <v>2</v>
      </c>
      <c r="AY7" s="46">
        <f>VLOOKUP(AP7,COND!$A$10:$B$32,2,FALSE)</f>
        <v>1.05</v>
      </c>
      <c r="AZ7" s="44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74.342968889924634</v>
      </c>
      <c r="BA7" s="47">
        <f t="shared" si="4"/>
        <v>2.5595128325257437</v>
      </c>
      <c r="BB7" s="45" t="str">
        <f t="shared" si="5"/>
        <v>SP</v>
      </c>
      <c r="BC7" s="45">
        <f>RANK(Table3[[#This Row],[zScore]],Table3[zScore])</f>
        <v>7</v>
      </c>
      <c r="BD7" s="45"/>
      <c r="BE7" s="45"/>
      <c r="BF7" s="45" t="str">
        <f t="shared" si="6"/>
        <v>Likely</v>
      </c>
      <c r="BG7" s="45"/>
      <c r="BH7" s="45">
        <f>INDEX(Table5[[#All],[Ovr]],MATCH(Table3[[#This Row],[PID]],Table5[[#All],[PID]],0))</f>
        <v>12</v>
      </c>
      <c r="BI7" s="45" t="str">
        <f>INDEX(Table5[[#All],[Rnd]],MATCH(Table3[[#This Row],[PID]],Table5[[#All],[PID]],0))</f>
        <v>1</v>
      </c>
      <c r="BJ7" s="45">
        <f>INDEX(Table5[[#All],[Pick]],MATCH(Table3[[#This Row],[PID]],Table5[[#All],[PID]],0))</f>
        <v>12</v>
      </c>
      <c r="BK7" s="45" t="str">
        <f>INDEX(Table5[[#All],[Team]],MATCH(Table3[[#This Row],[PID]],Table5[[#All],[PID]],0))</f>
        <v>Palm Springs Codgers</v>
      </c>
      <c r="BL7" s="45" t="str">
        <f>IF(OR(Table3[[#This Row],[POS]]="SP",Table3[[#This Row],[POS]]="RP",Table3[[#This Row],[POS]]="CL"),"P",INDEX(Batters[[#All],[zScore]],MATCH(Table3[[#This Row],[PID]],Batters[[#All],[PID]],0)))</f>
        <v>P</v>
      </c>
    </row>
    <row r="8" spans="1:64" ht="15" customHeight="1" x14ac:dyDescent="0.25">
      <c r="A8" s="40">
        <v>20271</v>
      </c>
      <c r="B8" s="40" t="s">
        <v>49</v>
      </c>
      <c r="C8" s="40" t="s">
        <v>1039</v>
      </c>
      <c r="D8" s="40" t="s">
        <v>1779</v>
      </c>
      <c r="E8" s="40">
        <v>21</v>
      </c>
      <c r="F8" s="40" t="s">
        <v>42</v>
      </c>
      <c r="G8" s="40" t="s">
        <v>42</v>
      </c>
      <c r="H8" s="41" t="s">
        <v>632</v>
      </c>
      <c r="I8" s="42" t="s">
        <v>44</v>
      </c>
      <c r="J8" s="40" t="s">
        <v>43</v>
      </c>
      <c r="K8" s="41" t="s">
        <v>47</v>
      </c>
      <c r="L8" s="40">
        <v>4</v>
      </c>
      <c r="M8" s="40">
        <v>5</v>
      </c>
      <c r="N8" s="41">
        <v>5</v>
      </c>
      <c r="O8" s="40">
        <v>6</v>
      </c>
      <c r="P8" s="40">
        <v>6</v>
      </c>
      <c r="Q8" s="41">
        <v>7</v>
      </c>
      <c r="R8" s="40">
        <v>5</v>
      </c>
      <c r="S8" s="40">
        <v>6</v>
      </c>
      <c r="T8" s="40">
        <v>5</v>
      </c>
      <c r="U8" s="40">
        <v>8</v>
      </c>
      <c r="V8" s="40" t="s">
        <v>45</v>
      </c>
      <c r="W8" s="40" t="s">
        <v>45</v>
      </c>
      <c r="X8" s="40">
        <v>2</v>
      </c>
      <c r="Y8" s="40">
        <v>2</v>
      </c>
      <c r="Z8" s="40" t="s">
        <v>45</v>
      </c>
      <c r="AA8" s="40" t="s">
        <v>45</v>
      </c>
      <c r="AB8" s="40" t="s">
        <v>45</v>
      </c>
      <c r="AC8" s="40" t="s">
        <v>45</v>
      </c>
      <c r="AD8" s="40" t="s">
        <v>45</v>
      </c>
      <c r="AE8" s="40" t="s">
        <v>45</v>
      </c>
      <c r="AF8" s="40" t="s">
        <v>45</v>
      </c>
      <c r="AG8" s="40" t="s">
        <v>45</v>
      </c>
      <c r="AH8" s="40" t="s">
        <v>45</v>
      </c>
      <c r="AI8" s="40" t="s">
        <v>45</v>
      </c>
      <c r="AJ8" s="40" t="s">
        <v>45</v>
      </c>
      <c r="AK8" s="40" t="s">
        <v>45</v>
      </c>
      <c r="AL8" s="40" t="s">
        <v>45</v>
      </c>
      <c r="AM8" s="40" t="s">
        <v>45</v>
      </c>
      <c r="AN8" s="40" t="s">
        <v>45</v>
      </c>
      <c r="AO8" s="41" t="s">
        <v>45</v>
      </c>
      <c r="AP8" s="40" t="s">
        <v>57</v>
      </c>
      <c r="AQ8" s="40">
        <v>2</v>
      </c>
      <c r="AR8" s="48" t="s">
        <v>346</v>
      </c>
      <c r="AS8" s="43" t="s">
        <v>45</v>
      </c>
      <c r="AT8" s="43" t="s">
        <v>47</v>
      </c>
      <c r="AU8" s="44">
        <f t="shared" si="0"/>
        <v>-0.36640113450341422</v>
      </c>
      <c r="AV8" s="44">
        <f t="shared" si="1"/>
        <v>1.1485491137902806</v>
      </c>
      <c r="AW8" s="45">
        <f t="shared" si="2"/>
        <v>3</v>
      </c>
      <c r="AX8" s="45">
        <f t="shared" si="3"/>
        <v>2</v>
      </c>
      <c r="AY8" s="46">
        <f>VLOOKUP(AP8,COND!$A$10:$B$32,2,FALSE)</f>
        <v>1</v>
      </c>
      <c r="AZ8" s="44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70.702816946459677</v>
      </c>
      <c r="BA8" s="47">
        <f t="shared" si="4"/>
        <v>2.3173390862753918</v>
      </c>
      <c r="BB8" s="45" t="str">
        <f t="shared" si="5"/>
        <v>RP</v>
      </c>
      <c r="BC8" s="45">
        <f>RANK(Table3[[#This Row],[zScore]],Table3[zScore])</f>
        <v>14</v>
      </c>
      <c r="BD8" s="45"/>
      <c r="BE8" s="45"/>
      <c r="BF8" s="45" t="str">
        <f t="shared" si="6"/>
        <v>Likely</v>
      </c>
      <c r="BG8" s="45"/>
      <c r="BH8" s="45">
        <f>INDEX(Table5[[#All],[Ovr]],MATCH(Table3[[#This Row],[PID]],Table5[[#All],[PID]],0))</f>
        <v>25</v>
      </c>
      <c r="BI8" s="45" t="str">
        <f>INDEX(Table5[[#All],[Rnd]],MATCH(Table3[[#This Row],[PID]],Table5[[#All],[PID]],0))</f>
        <v>1</v>
      </c>
      <c r="BJ8" s="45">
        <f>INDEX(Table5[[#All],[Pick]],MATCH(Table3[[#This Row],[PID]],Table5[[#All],[PID]],0))</f>
        <v>25</v>
      </c>
      <c r="BK8" s="45" t="str">
        <f>INDEX(Table5[[#All],[Team]],MATCH(Table3[[#This Row],[PID]],Table5[[#All],[PID]],0))</f>
        <v>San Juan Coqui</v>
      </c>
      <c r="BL8" s="45" t="str">
        <f>IF(OR(Table3[[#This Row],[POS]]="SP",Table3[[#This Row],[POS]]="RP",Table3[[#This Row],[POS]]="CL"),"P",INDEX(Batters[[#All],[zScore]],MATCH(Table3[[#This Row],[PID]],Batters[[#All],[PID]],0)))</f>
        <v>P</v>
      </c>
    </row>
    <row r="9" spans="1:64" ht="15" customHeight="1" x14ac:dyDescent="0.25">
      <c r="A9" s="40">
        <v>18194</v>
      </c>
      <c r="B9" s="40" t="s">
        <v>49</v>
      </c>
      <c r="C9" s="40" t="s">
        <v>318</v>
      </c>
      <c r="D9" s="40" t="s">
        <v>1780</v>
      </c>
      <c r="E9" s="40">
        <v>17</v>
      </c>
      <c r="F9" s="40" t="s">
        <v>42</v>
      </c>
      <c r="G9" s="40" t="s">
        <v>42</v>
      </c>
      <c r="H9" s="41" t="s">
        <v>632</v>
      </c>
      <c r="I9" s="42" t="s">
        <v>43</v>
      </c>
      <c r="J9" s="40" t="s">
        <v>44</v>
      </c>
      <c r="K9" s="41" t="s">
        <v>44</v>
      </c>
      <c r="L9" s="40">
        <v>2</v>
      </c>
      <c r="M9" s="40">
        <v>2</v>
      </c>
      <c r="N9" s="41">
        <v>2</v>
      </c>
      <c r="O9" s="40">
        <v>6</v>
      </c>
      <c r="P9" s="40">
        <v>4</v>
      </c>
      <c r="Q9" s="41">
        <v>7</v>
      </c>
      <c r="R9" s="40">
        <v>4</v>
      </c>
      <c r="S9" s="40">
        <v>7</v>
      </c>
      <c r="T9" s="40">
        <v>1</v>
      </c>
      <c r="U9" s="40">
        <v>1</v>
      </c>
      <c r="V9" s="40" t="s">
        <v>45</v>
      </c>
      <c r="W9" s="40" t="s">
        <v>45</v>
      </c>
      <c r="X9" s="40" t="s">
        <v>45</v>
      </c>
      <c r="Y9" s="40" t="s">
        <v>45</v>
      </c>
      <c r="Z9" s="40">
        <v>3</v>
      </c>
      <c r="AA9" s="40">
        <v>6</v>
      </c>
      <c r="AB9" s="40" t="s">
        <v>45</v>
      </c>
      <c r="AC9" s="40" t="s">
        <v>45</v>
      </c>
      <c r="AD9" s="40" t="s">
        <v>45</v>
      </c>
      <c r="AE9" s="40" t="s">
        <v>45</v>
      </c>
      <c r="AF9" s="40" t="s">
        <v>45</v>
      </c>
      <c r="AG9" s="40" t="s">
        <v>45</v>
      </c>
      <c r="AH9" s="40" t="s">
        <v>45</v>
      </c>
      <c r="AI9" s="40" t="s">
        <v>45</v>
      </c>
      <c r="AJ9" s="40" t="s">
        <v>45</v>
      </c>
      <c r="AK9" s="40" t="s">
        <v>45</v>
      </c>
      <c r="AL9" s="40" t="s">
        <v>45</v>
      </c>
      <c r="AM9" s="40" t="s">
        <v>45</v>
      </c>
      <c r="AN9" s="40" t="s">
        <v>45</v>
      </c>
      <c r="AO9" s="41" t="s">
        <v>45</v>
      </c>
      <c r="AP9" s="40" t="s">
        <v>57</v>
      </c>
      <c r="AQ9" s="40">
        <v>7</v>
      </c>
      <c r="AR9" s="48" t="s">
        <v>347</v>
      </c>
      <c r="AS9" s="43" t="s">
        <v>553</v>
      </c>
      <c r="AT9" s="43" t="s">
        <v>635</v>
      </c>
      <c r="AU9" s="44">
        <f t="shared" si="0"/>
        <v>-2.0690406309742588</v>
      </c>
      <c r="AV9" s="44">
        <f t="shared" si="1"/>
        <v>0.75768568093016975</v>
      </c>
      <c r="AW9" s="45">
        <f t="shared" si="2"/>
        <v>3</v>
      </c>
      <c r="AX9" s="45">
        <f t="shared" si="3"/>
        <v>2</v>
      </c>
      <c r="AY9" s="46">
        <f>VLOOKUP(AP9,COND!$A$10:$B$32,2,FALSE)</f>
        <v>1</v>
      </c>
      <c r="AZ9" s="44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70.139905492408545</v>
      </c>
      <c r="BA9" s="47">
        <f t="shared" si="4"/>
        <v>2.2798894474273399</v>
      </c>
      <c r="BB9" s="45" t="str">
        <f t="shared" si="5"/>
        <v>SP</v>
      </c>
      <c r="BC9" s="45">
        <f>RANK(Table3[[#This Row],[zScore]],Table3[zScore])</f>
        <v>16</v>
      </c>
      <c r="BD9" s="45"/>
      <c r="BE9" s="45"/>
      <c r="BF9" s="45" t="str">
        <f t="shared" si="6"/>
        <v>Possible</v>
      </c>
      <c r="BG9" s="45"/>
      <c r="BH9" s="45">
        <f>INDEX(Table5[[#All],[Ovr]],MATCH(Table3[[#This Row],[PID]],Table5[[#All],[PID]],0))</f>
        <v>106</v>
      </c>
      <c r="BI9" s="45" t="str">
        <f>INDEX(Table5[[#All],[Rnd]],MATCH(Table3[[#This Row],[PID]],Table5[[#All],[PID]],0))</f>
        <v>4</v>
      </c>
      <c r="BJ9" s="45">
        <f>INDEX(Table5[[#All],[Pick]],MATCH(Table3[[#This Row],[PID]],Table5[[#All],[PID]],0))</f>
        <v>6</v>
      </c>
      <c r="BK9" s="45" t="str">
        <f>INDEX(Table5[[#All],[Team]],MATCH(Table3[[#This Row],[PID]],Table5[[#All],[PID]],0))</f>
        <v>West Virginia Alleghenies</v>
      </c>
      <c r="BL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" spans="1:64" ht="15" customHeight="1" x14ac:dyDescent="0.25">
      <c r="A10" s="40">
        <v>14440</v>
      </c>
      <c r="B10" s="40" t="s">
        <v>49</v>
      </c>
      <c r="C10" s="40" t="s">
        <v>1777</v>
      </c>
      <c r="D10" s="40" t="s">
        <v>1778</v>
      </c>
      <c r="E10" s="40">
        <v>18</v>
      </c>
      <c r="F10" s="40" t="s">
        <v>53</v>
      </c>
      <c r="G10" s="40" t="s">
        <v>53</v>
      </c>
      <c r="H10" s="41" t="s">
        <v>632</v>
      </c>
      <c r="I10" s="42" t="s">
        <v>43</v>
      </c>
      <c r="J10" s="40" t="s">
        <v>43</v>
      </c>
      <c r="K10" s="41" t="s">
        <v>43</v>
      </c>
      <c r="L10" s="40">
        <v>2</v>
      </c>
      <c r="M10" s="40">
        <v>3</v>
      </c>
      <c r="N10" s="41">
        <v>1</v>
      </c>
      <c r="O10" s="40">
        <v>9</v>
      </c>
      <c r="P10" s="40">
        <v>7</v>
      </c>
      <c r="Q10" s="41">
        <v>3</v>
      </c>
      <c r="R10" s="40">
        <v>5</v>
      </c>
      <c r="S10" s="40">
        <v>10</v>
      </c>
      <c r="T10" s="40">
        <v>1</v>
      </c>
      <c r="U10" s="40">
        <v>9</v>
      </c>
      <c r="V10" s="40" t="s">
        <v>45</v>
      </c>
      <c r="W10" s="40" t="s">
        <v>45</v>
      </c>
      <c r="X10" s="40" t="s">
        <v>45</v>
      </c>
      <c r="Y10" s="40" t="s">
        <v>45</v>
      </c>
      <c r="Z10" s="40" t="s">
        <v>45</v>
      </c>
      <c r="AA10" s="40" t="s">
        <v>45</v>
      </c>
      <c r="AB10" s="40" t="s">
        <v>45</v>
      </c>
      <c r="AC10" s="40" t="s">
        <v>45</v>
      </c>
      <c r="AD10" s="40" t="s">
        <v>45</v>
      </c>
      <c r="AE10" s="40" t="s">
        <v>45</v>
      </c>
      <c r="AF10" s="40" t="s">
        <v>45</v>
      </c>
      <c r="AG10" s="40" t="s">
        <v>45</v>
      </c>
      <c r="AH10" s="40" t="s">
        <v>45</v>
      </c>
      <c r="AI10" s="40" t="s">
        <v>45</v>
      </c>
      <c r="AJ10" s="40" t="s">
        <v>45</v>
      </c>
      <c r="AK10" s="40" t="s">
        <v>45</v>
      </c>
      <c r="AL10" s="40" t="s">
        <v>45</v>
      </c>
      <c r="AM10" s="40" t="s">
        <v>45</v>
      </c>
      <c r="AN10" s="40" t="s">
        <v>45</v>
      </c>
      <c r="AO10" s="41" t="s">
        <v>45</v>
      </c>
      <c r="AP10" s="40" t="s">
        <v>61</v>
      </c>
      <c r="AQ10" s="40">
        <v>5</v>
      </c>
      <c r="AR10" s="48" t="s">
        <v>348</v>
      </c>
      <c r="AS10" s="43" t="s">
        <v>606</v>
      </c>
      <c r="AT10" s="43" t="s">
        <v>635</v>
      </c>
      <c r="AU10" s="44">
        <f t="shared" si="0"/>
        <v>-2.1159294805983135</v>
      </c>
      <c r="AV10" s="44">
        <f t="shared" si="1"/>
        <v>0.95877253953141484</v>
      </c>
      <c r="AW10" s="45">
        <f t="shared" si="2"/>
        <v>2</v>
      </c>
      <c r="AX10" s="45">
        <f t="shared" si="3"/>
        <v>2</v>
      </c>
      <c r="AY10" s="46">
        <f>VLOOKUP(AP10,COND!$A$10:$B$32,2,FALSE)</f>
        <v>1.05</v>
      </c>
      <c r="AZ10" s="44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67.780756185753219</v>
      </c>
      <c r="BA10" s="47">
        <f t="shared" si="4"/>
        <v>2.1229388490924768</v>
      </c>
      <c r="BB10" s="45" t="str">
        <f t="shared" si="5"/>
        <v>RP</v>
      </c>
      <c r="BC10" s="45">
        <f>RANK(Table3[[#This Row],[zScore]],Table3[zScore])</f>
        <v>21</v>
      </c>
      <c r="BD10" s="45"/>
      <c r="BE10" s="45"/>
      <c r="BF10" s="45" t="str">
        <f t="shared" si="6"/>
        <v>Likely</v>
      </c>
      <c r="BG10" s="45"/>
      <c r="BH10" s="45">
        <f>INDEX(Table5[[#All],[Ovr]],MATCH(Table3[[#This Row],[PID]],Table5[[#All],[PID]],0))</f>
        <v>34</v>
      </c>
      <c r="BI10" s="45" t="str">
        <f>INDEX(Table5[[#All],[Rnd]],MATCH(Table3[[#This Row],[PID]],Table5[[#All],[PID]],0))</f>
        <v>S1</v>
      </c>
      <c r="BJ10" s="45">
        <f>INDEX(Table5[[#All],[Pick]],MATCH(Table3[[#This Row],[PID]],Table5[[#All],[PID]],0))</f>
        <v>7</v>
      </c>
      <c r="BK10" s="45" t="str">
        <f>INDEX(Table5[[#All],[Team]],MATCH(Table3[[#This Row],[PID]],Table5[[#All],[PID]],0))</f>
        <v>West Virginia Alleghenies</v>
      </c>
      <c r="BL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" spans="1:64" ht="15" customHeight="1" x14ac:dyDescent="0.25">
      <c r="A11" s="40">
        <v>18296</v>
      </c>
      <c r="B11" s="40" t="s">
        <v>49</v>
      </c>
      <c r="C11" s="40" t="s">
        <v>537</v>
      </c>
      <c r="D11" s="40" t="s">
        <v>212</v>
      </c>
      <c r="E11" s="40">
        <v>21</v>
      </c>
      <c r="F11" s="40" t="s">
        <v>42</v>
      </c>
      <c r="G11" s="40" t="s">
        <v>42</v>
      </c>
      <c r="H11" s="41" t="s">
        <v>633</v>
      </c>
      <c r="I11" s="42" t="s">
        <v>43</v>
      </c>
      <c r="J11" s="40" t="s">
        <v>47</v>
      </c>
      <c r="K11" s="41" t="s">
        <v>43</v>
      </c>
      <c r="L11" s="40">
        <v>5</v>
      </c>
      <c r="M11" s="40">
        <v>2</v>
      </c>
      <c r="N11" s="41">
        <v>5</v>
      </c>
      <c r="O11" s="40">
        <v>8</v>
      </c>
      <c r="P11" s="40">
        <v>3</v>
      </c>
      <c r="Q11" s="41">
        <v>6</v>
      </c>
      <c r="R11" s="40">
        <v>7</v>
      </c>
      <c r="S11" s="40">
        <v>9</v>
      </c>
      <c r="T11" s="40">
        <v>1</v>
      </c>
      <c r="U11" s="40">
        <v>1</v>
      </c>
      <c r="V11" s="40">
        <v>5</v>
      </c>
      <c r="W11" s="40">
        <v>9</v>
      </c>
      <c r="X11" s="40" t="s">
        <v>45</v>
      </c>
      <c r="Y11" s="40" t="s">
        <v>45</v>
      </c>
      <c r="Z11" s="40" t="s">
        <v>45</v>
      </c>
      <c r="AA11" s="40" t="s">
        <v>45</v>
      </c>
      <c r="AB11" s="40" t="s">
        <v>45</v>
      </c>
      <c r="AC11" s="40" t="s">
        <v>45</v>
      </c>
      <c r="AD11" s="40" t="s">
        <v>45</v>
      </c>
      <c r="AE11" s="40" t="s">
        <v>45</v>
      </c>
      <c r="AF11" s="40" t="s">
        <v>45</v>
      </c>
      <c r="AG11" s="40" t="s">
        <v>45</v>
      </c>
      <c r="AH11" s="40" t="s">
        <v>45</v>
      </c>
      <c r="AI11" s="40" t="s">
        <v>45</v>
      </c>
      <c r="AJ11" s="40" t="s">
        <v>45</v>
      </c>
      <c r="AK11" s="40" t="s">
        <v>45</v>
      </c>
      <c r="AL11" s="40" t="s">
        <v>45</v>
      </c>
      <c r="AM11" s="40" t="s">
        <v>45</v>
      </c>
      <c r="AN11" s="40" t="s">
        <v>45</v>
      </c>
      <c r="AO11" s="41" t="s">
        <v>45</v>
      </c>
      <c r="AP11" s="40" t="s">
        <v>46</v>
      </c>
      <c r="AQ11" s="40">
        <v>8</v>
      </c>
      <c r="AR11" s="48" t="s">
        <v>347</v>
      </c>
      <c r="AS11" s="43" t="s">
        <v>643</v>
      </c>
      <c r="AT11" s="43" t="s">
        <v>635</v>
      </c>
      <c r="AU11" s="44">
        <f t="shared" si="0"/>
        <v>-0.75800495928440703</v>
      </c>
      <c r="AV11" s="44">
        <f t="shared" si="1"/>
        <v>0.70931604746435084</v>
      </c>
      <c r="AW11" s="45">
        <f t="shared" si="2"/>
        <v>3</v>
      </c>
      <c r="AX11" s="45">
        <f t="shared" si="3"/>
        <v>2</v>
      </c>
      <c r="AY11" s="46">
        <f>VLOOKUP(AP11,COND!$A$10:$B$32,2,FALSE)</f>
        <v>1.05</v>
      </c>
      <c r="AZ11" s="44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66.236455955301636</v>
      </c>
      <c r="BA11" s="47">
        <f t="shared" si="4"/>
        <v>2.0201989146193697</v>
      </c>
      <c r="BB11" s="45" t="str">
        <f t="shared" si="5"/>
        <v>SP</v>
      </c>
      <c r="BC11" s="45">
        <f>RANK(Table3[[#This Row],[zScore]],Table3[zScore])</f>
        <v>25</v>
      </c>
      <c r="BD11" s="45"/>
      <c r="BE11" s="45"/>
      <c r="BF11" s="45" t="str">
        <f t="shared" si="6"/>
        <v>Possible</v>
      </c>
      <c r="BG11" s="45"/>
      <c r="BH11" s="45">
        <f>INDEX(Table5[[#All],[Ovr]],MATCH(Table3[[#This Row],[PID]],Table5[[#All],[PID]],0))</f>
        <v>43</v>
      </c>
      <c r="BI11" s="45" t="str">
        <f>INDEX(Table5[[#All],[Rnd]],MATCH(Table3[[#This Row],[PID]],Table5[[#All],[PID]],0))</f>
        <v>2</v>
      </c>
      <c r="BJ11" s="45">
        <f>INDEX(Table5[[#All],[Pick]],MATCH(Table3[[#This Row],[PID]],Table5[[#All],[PID]],0))</f>
        <v>8</v>
      </c>
      <c r="BK11" s="45" t="str">
        <f>INDEX(Table5[[#All],[Team]],MATCH(Table3[[#This Row],[PID]],Table5[[#All],[PID]],0))</f>
        <v>West Virginia Alleghenies</v>
      </c>
      <c r="BL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" spans="1:64" ht="15" customHeight="1" x14ac:dyDescent="0.25">
      <c r="A12" s="40">
        <v>12544</v>
      </c>
      <c r="B12" s="40" t="s">
        <v>49</v>
      </c>
      <c r="C12" s="40" t="s">
        <v>167</v>
      </c>
      <c r="D12" s="40" t="s">
        <v>917</v>
      </c>
      <c r="E12" s="40">
        <v>18</v>
      </c>
      <c r="F12" s="40" t="s">
        <v>42</v>
      </c>
      <c r="G12" s="40" t="s">
        <v>42</v>
      </c>
      <c r="H12" s="41" t="s">
        <v>633</v>
      </c>
      <c r="I12" s="42" t="s">
        <v>43</v>
      </c>
      <c r="J12" s="40" t="s">
        <v>43</v>
      </c>
      <c r="K12" s="41" t="s">
        <v>43</v>
      </c>
      <c r="L12" s="40">
        <v>3</v>
      </c>
      <c r="M12" s="40">
        <v>2</v>
      </c>
      <c r="N12" s="41">
        <v>2</v>
      </c>
      <c r="O12" s="40">
        <v>7</v>
      </c>
      <c r="P12" s="40">
        <v>5</v>
      </c>
      <c r="Q12" s="41">
        <v>6</v>
      </c>
      <c r="R12" s="40">
        <v>4</v>
      </c>
      <c r="S12" s="40">
        <v>9</v>
      </c>
      <c r="T12" s="40" t="s">
        <v>45</v>
      </c>
      <c r="U12" s="40" t="s">
        <v>45</v>
      </c>
      <c r="V12" s="40" t="s">
        <v>45</v>
      </c>
      <c r="W12" s="40" t="s">
        <v>45</v>
      </c>
      <c r="X12" s="40">
        <v>3</v>
      </c>
      <c r="Y12" s="40">
        <v>7</v>
      </c>
      <c r="Z12" s="40" t="s">
        <v>45</v>
      </c>
      <c r="AA12" s="40" t="s">
        <v>45</v>
      </c>
      <c r="AB12" s="40" t="s">
        <v>45</v>
      </c>
      <c r="AC12" s="40" t="s">
        <v>45</v>
      </c>
      <c r="AD12" s="40" t="s">
        <v>45</v>
      </c>
      <c r="AE12" s="40" t="s">
        <v>45</v>
      </c>
      <c r="AF12" s="40" t="s">
        <v>45</v>
      </c>
      <c r="AG12" s="40" t="s">
        <v>45</v>
      </c>
      <c r="AH12" s="40" t="s">
        <v>45</v>
      </c>
      <c r="AI12" s="40" t="s">
        <v>45</v>
      </c>
      <c r="AJ12" s="40" t="s">
        <v>45</v>
      </c>
      <c r="AK12" s="40" t="s">
        <v>45</v>
      </c>
      <c r="AL12" s="40" t="s">
        <v>45</v>
      </c>
      <c r="AM12" s="40" t="s">
        <v>45</v>
      </c>
      <c r="AN12" s="40" t="s">
        <v>45</v>
      </c>
      <c r="AO12" s="41" t="s">
        <v>45</v>
      </c>
      <c r="AP12" s="40" t="s">
        <v>60</v>
      </c>
      <c r="AQ12" s="40">
        <v>2</v>
      </c>
      <c r="AR12" s="48" t="s">
        <v>347</v>
      </c>
      <c r="AS12" s="43" t="s">
        <v>553</v>
      </c>
      <c r="AT12" s="43" t="s">
        <v>47</v>
      </c>
      <c r="AU12" s="44">
        <f t="shared" si="0"/>
        <v>-1.8743493064650851</v>
      </c>
      <c r="AV12" s="44">
        <f t="shared" si="1"/>
        <v>0.90548815581528819</v>
      </c>
      <c r="AW12" s="45">
        <f t="shared" si="2"/>
        <v>2</v>
      </c>
      <c r="AX12" s="45">
        <f t="shared" si="3"/>
        <v>2</v>
      </c>
      <c r="AY12" s="46">
        <f>VLOOKUP(AP12,COND!$A$10:$B$32,2,FALSE)</f>
        <v>1.0249999999999999</v>
      </c>
      <c r="AZ12" s="44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65.677477307068656</v>
      </c>
      <c r="BA12" s="47">
        <f t="shared" si="4"/>
        <v>1.9830109193326446</v>
      </c>
      <c r="BB12" s="45" t="str">
        <f t="shared" si="5"/>
        <v>RP</v>
      </c>
      <c r="BC12" s="45">
        <f>RANK(Table3[[#This Row],[zScore]],Table3[zScore])</f>
        <v>29</v>
      </c>
      <c r="BD12" s="45"/>
      <c r="BE12" s="45"/>
      <c r="BF12" s="45" t="str">
        <f t="shared" si="6"/>
        <v>Likely</v>
      </c>
      <c r="BG12" s="45"/>
      <c r="BH12" s="45">
        <f>INDEX(Table5[[#All],[Ovr]],MATCH(Table3[[#This Row],[PID]],Table5[[#All],[PID]],0))</f>
        <v>76</v>
      </c>
      <c r="BI12" s="45" t="str">
        <f>INDEX(Table5[[#All],[Rnd]],MATCH(Table3[[#This Row],[PID]],Table5[[#All],[PID]],0))</f>
        <v>3</v>
      </c>
      <c r="BJ12" s="45">
        <f>INDEX(Table5[[#All],[Pick]],MATCH(Table3[[#This Row],[PID]],Table5[[#All],[PID]],0))</f>
        <v>8</v>
      </c>
      <c r="BK12" s="45" t="str">
        <f>INDEX(Table5[[#All],[Team]],MATCH(Table3[[#This Row],[PID]],Table5[[#All],[PID]],0))</f>
        <v>Toyama Wind Dancers</v>
      </c>
      <c r="BL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" spans="1:64" ht="15" customHeight="1" x14ac:dyDescent="0.25">
      <c r="A13" s="40">
        <v>18389</v>
      </c>
      <c r="B13" s="40" t="s">
        <v>49</v>
      </c>
      <c r="C13" s="40" t="s">
        <v>705</v>
      </c>
      <c r="D13" s="40" t="s">
        <v>604</v>
      </c>
      <c r="E13" s="40">
        <v>18</v>
      </c>
      <c r="F13" s="40" t="s">
        <v>53</v>
      </c>
      <c r="G13" s="40" t="s">
        <v>53</v>
      </c>
      <c r="H13" s="41" t="s">
        <v>633</v>
      </c>
      <c r="I13" s="42" t="s">
        <v>43</v>
      </c>
      <c r="J13" s="40" t="s">
        <v>47</v>
      </c>
      <c r="K13" s="41" t="s">
        <v>43</v>
      </c>
      <c r="L13" s="40">
        <v>2</v>
      </c>
      <c r="M13" s="40">
        <v>3</v>
      </c>
      <c r="N13" s="41">
        <v>2</v>
      </c>
      <c r="O13" s="40">
        <v>5</v>
      </c>
      <c r="P13" s="40">
        <v>6</v>
      </c>
      <c r="Q13" s="41">
        <v>6</v>
      </c>
      <c r="R13" s="40">
        <v>2</v>
      </c>
      <c r="S13" s="40">
        <v>5</v>
      </c>
      <c r="T13" s="40">
        <v>1</v>
      </c>
      <c r="U13" s="40">
        <v>1</v>
      </c>
      <c r="V13" s="40" t="s">
        <v>45</v>
      </c>
      <c r="W13" s="40" t="s">
        <v>45</v>
      </c>
      <c r="X13" s="40" t="s">
        <v>45</v>
      </c>
      <c r="Y13" s="40" t="s">
        <v>45</v>
      </c>
      <c r="Z13" s="40">
        <v>3</v>
      </c>
      <c r="AA13" s="40">
        <v>6</v>
      </c>
      <c r="AB13" s="40" t="s">
        <v>45</v>
      </c>
      <c r="AC13" s="40" t="s">
        <v>45</v>
      </c>
      <c r="AD13" s="40" t="s">
        <v>45</v>
      </c>
      <c r="AE13" s="40" t="s">
        <v>45</v>
      </c>
      <c r="AF13" s="40" t="s">
        <v>45</v>
      </c>
      <c r="AG13" s="40" t="s">
        <v>45</v>
      </c>
      <c r="AH13" s="40" t="s">
        <v>45</v>
      </c>
      <c r="AI13" s="40" t="s">
        <v>45</v>
      </c>
      <c r="AJ13" s="40" t="s">
        <v>45</v>
      </c>
      <c r="AK13" s="40" t="s">
        <v>45</v>
      </c>
      <c r="AL13" s="40" t="s">
        <v>45</v>
      </c>
      <c r="AM13" s="40" t="s">
        <v>45</v>
      </c>
      <c r="AN13" s="40" t="s">
        <v>45</v>
      </c>
      <c r="AO13" s="41" t="s">
        <v>45</v>
      </c>
      <c r="AP13" s="40" t="s">
        <v>68</v>
      </c>
      <c r="AQ13" s="40">
        <v>4</v>
      </c>
      <c r="AR13" s="48" t="s">
        <v>346</v>
      </c>
      <c r="AS13" s="43" t="s">
        <v>644</v>
      </c>
      <c r="AT13" s="43" t="s">
        <v>635</v>
      </c>
      <c r="AU13" s="44">
        <f t="shared" si="0"/>
        <v>-1.8736089145442034</v>
      </c>
      <c r="AV13" s="44">
        <f t="shared" si="1"/>
        <v>0.71153722322699664</v>
      </c>
      <c r="AW13" s="45">
        <f t="shared" si="2"/>
        <v>3</v>
      </c>
      <c r="AX13" s="45">
        <f t="shared" si="3"/>
        <v>1</v>
      </c>
      <c r="AY13" s="46">
        <f>VLOOKUP(AP13,COND!$A$10:$B$32,2,FALSE)</f>
        <v>0.95</v>
      </c>
      <c r="AZ13" s="44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65.286935470172068</v>
      </c>
      <c r="BA13" s="47">
        <f t="shared" si="4"/>
        <v>1.9570287677143487</v>
      </c>
      <c r="BB13" s="45" t="str">
        <f t="shared" si="5"/>
        <v>RP</v>
      </c>
      <c r="BC13" s="45">
        <f>RANK(Table3[[#This Row],[zScore]],Table3[zScore])</f>
        <v>32</v>
      </c>
      <c r="BD13" s="45"/>
      <c r="BE13" s="45"/>
      <c r="BF13" s="45" t="str">
        <f t="shared" si="6"/>
        <v>Possible</v>
      </c>
      <c r="BG13" s="45"/>
      <c r="BH13" s="45">
        <f>INDEX(Table5[[#All],[Ovr]],MATCH(Table3[[#This Row],[PID]],Table5[[#All],[PID]],0))</f>
        <v>67</v>
      </c>
      <c r="BI13" s="45" t="str">
        <f>INDEX(Table5[[#All],[Rnd]],MATCH(Table3[[#This Row],[PID]],Table5[[#All],[PID]],0))</f>
        <v>2</v>
      </c>
      <c r="BJ13" s="45">
        <f>INDEX(Table5[[#All],[Pick]],MATCH(Table3[[#This Row],[PID]],Table5[[#All],[PID]],0))</f>
        <v>32</v>
      </c>
      <c r="BK13" s="45" t="str">
        <f>INDEX(Table5[[#All],[Team]],MATCH(Table3[[#This Row],[PID]],Table5[[#All],[PID]],0))</f>
        <v>Havana Leones</v>
      </c>
      <c r="BL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" spans="1:64" ht="15" customHeight="1" x14ac:dyDescent="0.25">
      <c r="A14" s="40">
        <v>17775</v>
      </c>
      <c r="B14" s="40" t="s">
        <v>49</v>
      </c>
      <c r="C14" s="40" t="s">
        <v>569</v>
      </c>
      <c r="D14" s="40" t="s">
        <v>1784</v>
      </c>
      <c r="E14" s="40">
        <v>21</v>
      </c>
      <c r="F14" s="40" t="s">
        <v>42</v>
      </c>
      <c r="G14" s="40" t="s">
        <v>42</v>
      </c>
      <c r="H14" s="41" t="s">
        <v>632</v>
      </c>
      <c r="I14" s="42" t="s">
        <v>43</v>
      </c>
      <c r="J14" s="40" t="s">
        <v>47</v>
      </c>
      <c r="K14" s="41" t="s">
        <v>43</v>
      </c>
      <c r="L14" s="40">
        <v>4</v>
      </c>
      <c r="M14" s="40">
        <v>4</v>
      </c>
      <c r="N14" s="41">
        <v>2</v>
      </c>
      <c r="O14" s="40">
        <v>8</v>
      </c>
      <c r="P14" s="40">
        <v>6</v>
      </c>
      <c r="Q14" s="41">
        <v>5</v>
      </c>
      <c r="R14" s="40">
        <v>6</v>
      </c>
      <c r="S14" s="40">
        <v>9</v>
      </c>
      <c r="T14" s="40" t="s">
        <v>45</v>
      </c>
      <c r="U14" s="40" t="s">
        <v>45</v>
      </c>
      <c r="V14" s="40" t="s">
        <v>45</v>
      </c>
      <c r="W14" s="40" t="s">
        <v>45</v>
      </c>
      <c r="X14" s="40">
        <v>3</v>
      </c>
      <c r="Y14" s="40">
        <v>7</v>
      </c>
      <c r="Z14" s="40" t="s">
        <v>45</v>
      </c>
      <c r="AA14" s="40" t="s">
        <v>45</v>
      </c>
      <c r="AB14" s="40" t="s">
        <v>45</v>
      </c>
      <c r="AC14" s="40" t="s">
        <v>45</v>
      </c>
      <c r="AD14" s="40" t="s">
        <v>45</v>
      </c>
      <c r="AE14" s="40" t="s">
        <v>45</v>
      </c>
      <c r="AF14" s="40" t="s">
        <v>45</v>
      </c>
      <c r="AG14" s="40" t="s">
        <v>45</v>
      </c>
      <c r="AH14" s="40" t="s">
        <v>45</v>
      </c>
      <c r="AI14" s="40" t="s">
        <v>45</v>
      </c>
      <c r="AJ14" s="40" t="s">
        <v>45</v>
      </c>
      <c r="AK14" s="40" t="s">
        <v>45</v>
      </c>
      <c r="AL14" s="40" t="s">
        <v>45</v>
      </c>
      <c r="AM14" s="40" t="s">
        <v>45</v>
      </c>
      <c r="AN14" s="40" t="s">
        <v>45</v>
      </c>
      <c r="AO14" s="41" t="s">
        <v>45</v>
      </c>
      <c r="AP14" s="40" t="s">
        <v>48</v>
      </c>
      <c r="AQ14" s="40">
        <v>2</v>
      </c>
      <c r="AR14" s="48" t="s">
        <v>346</v>
      </c>
      <c r="AS14" s="43" t="s">
        <v>644</v>
      </c>
      <c r="AT14" s="43" t="s">
        <v>635</v>
      </c>
      <c r="AU14" s="44">
        <f t="shared" si="0"/>
        <v>-1.288794549095801</v>
      </c>
      <c r="AV14" s="44">
        <f t="shared" si="1"/>
        <v>1.0532906307004066</v>
      </c>
      <c r="AW14" s="45">
        <f t="shared" si="2"/>
        <v>2</v>
      </c>
      <c r="AX14" s="45">
        <f t="shared" si="3"/>
        <v>2</v>
      </c>
      <c r="AY14" s="46">
        <f>VLOOKUP(AP14,COND!$A$10:$B$32,2,FALSE)</f>
        <v>1.05</v>
      </c>
      <c r="AZ14" s="44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64.547283569928496</v>
      </c>
      <c r="BA14" s="47">
        <f t="shared" si="4"/>
        <v>1.9078208570597528</v>
      </c>
      <c r="BB14" s="45" t="str">
        <f t="shared" si="5"/>
        <v>RP</v>
      </c>
      <c r="BC14" s="45">
        <f>RANK(Table3[[#This Row],[zScore]],Table3[zScore])</f>
        <v>36</v>
      </c>
      <c r="BD14" s="45"/>
      <c r="BE14" s="45"/>
      <c r="BF14" s="45" t="str">
        <f t="shared" si="6"/>
        <v>Likely</v>
      </c>
      <c r="BG14" s="45"/>
      <c r="BH14" s="45">
        <f>INDEX(Table5[[#All],[Ovr]],MATCH(Table3[[#This Row],[PID]],Table5[[#All],[PID]],0))</f>
        <v>20</v>
      </c>
      <c r="BI14" s="45" t="str">
        <f>INDEX(Table5[[#All],[Rnd]],MATCH(Table3[[#This Row],[PID]],Table5[[#All],[PID]],0))</f>
        <v>1</v>
      </c>
      <c r="BJ14" s="45">
        <f>INDEX(Table5[[#All],[Pick]],MATCH(Table3[[#This Row],[PID]],Table5[[#All],[PID]],0))</f>
        <v>20</v>
      </c>
      <c r="BK14" s="45" t="str">
        <f>INDEX(Table5[[#All],[Team]],MATCH(Table3[[#This Row],[PID]],Table5[[#All],[PID]],0))</f>
        <v>Hartford Harpoon</v>
      </c>
      <c r="BL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" spans="1:64" ht="15" customHeight="1" x14ac:dyDescent="0.25">
      <c r="A15" s="40">
        <v>18262</v>
      </c>
      <c r="B15" s="40" t="s">
        <v>49</v>
      </c>
      <c r="C15" s="40" t="s">
        <v>364</v>
      </c>
      <c r="D15" s="40" t="s">
        <v>1803</v>
      </c>
      <c r="E15" s="40">
        <v>18</v>
      </c>
      <c r="F15" s="40" t="s">
        <v>53</v>
      </c>
      <c r="G15" s="40" t="s">
        <v>53</v>
      </c>
      <c r="H15" s="41" t="s">
        <v>633</v>
      </c>
      <c r="I15" s="42" t="s">
        <v>43</v>
      </c>
      <c r="J15" s="40" t="s">
        <v>44</v>
      </c>
      <c r="K15" s="41" t="s">
        <v>44</v>
      </c>
      <c r="L15" s="40">
        <v>1</v>
      </c>
      <c r="M15" s="40">
        <v>2</v>
      </c>
      <c r="N15" s="41">
        <v>1</v>
      </c>
      <c r="O15" s="40">
        <v>5</v>
      </c>
      <c r="P15" s="40">
        <v>4</v>
      </c>
      <c r="Q15" s="41">
        <v>7</v>
      </c>
      <c r="R15" s="40" t="s">
        <v>45</v>
      </c>
      <c r="S15" s="40" t="s">
        <v>45</v>
      </c>
      <c r="T15" s="40">
        <v>1</v>
      </c>
      <c r="U15" s="40">
        <v>2</v>
      </c>
      <c r="V15" s="40" t="s">
        <v>45</v>
      </c>
      <c r="W15" s="40" t="s">
        <v>45</v>
      </c>
      <c r="X15" s="40">
        <v>2</v>
      </c>
      <c r="Y15" s="40">
        <v>7</v>
      </c>
      <c r="Z15" s="40" t="s">
        <v>45</v>
      </c>
      <c r="AA15" s="40" t="s">
        <v>45</v>
      </c>
      <c r="AB15" s="40" t="s">
        <v>45</v>
      </c>
      <c r="AC15" s="40" t="s">
        <v>45</v>
      </c>
      <c r="AD15" s="40">
        <v>2</v>
      </c>
      <c r="AE15" s="40">
        <v>5</v>
      </c>
      <c r="AF15" s="40" t="s">
        <v>45</v>
      </c>
      <c r="AG15" s="40" t="s">
        <v>45</v>
      </c>
      <c r="AH15" s="40" t="s">
        <v>45</v>
      </c>
      <c r="AI15" s="40" t="s">
        <v>45</v>
      </c>
      <c r="AJ15" s="40" t="s">
        <v>45</v>
      </c>
      <c r="AK15" s="40" t="s">
        <v>45</v>
      </c>
      <c r="AL15" s="40" t="s">
        <v>45</v>
      </c>
      <c r="AM15" s="40" t="s">
        <v>45</v>
      </c>
      <c r="AN15" s="40" t="s">
        <v>45</v>
      </c>
      <c r="AO15" s="41" t="s">
        <v>45</v>
      </c>
      <c r="AP15" s="40" t="s">
        <v>68</v>
      </c>
      <c r="AQ15" s="40">
        <v>6</v>
      </c>
      <c r="AR15" s="48" t="s">
        <v>347</v>
      </c>
      <c r="AS15" s="43" t="s">
        <v>670</v>
      </c>
      <c r="AT15" s="43" t="s">
        <v>47</v>
      </c>
      <c r="AU15" s="44">
        <f t="shared" si="0"/>
        <v>-2.5060525215375429</v>
      </c>
      <c r="AV15" s="44">
        <f t="shared" si="1"/>
        <v>0.56299435642099616</v>
      </c>
      <c r="AW15" s="45">
        <f t="shared" si="2"/>
        <v>3</v>
      </c>
      <c r="AX15" s="45">
        <f t="shared" si="3"/>
        <v>1</v>
      </c>
      <c r="AY15" s="46">
        <f>VLOOKUP(AP15,COND!$A$10:$B$32,2,FALSE)</f>
        <v>0.95</v>
      </c>
      <c r="AZ15" s="44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63.912411723084119</v>
      </c>
      <c r="BA15" s="47">
        <f t="shared" si="4"/>
        <v>1.8655838032424792</v>
      </c>
      <c r="BB15" s="45" t="str">
        <f t="shared" si="5"/>
        <v>SP</v>
      </c>
      <c r="BC15" s="45">
        <f>RANK(Table3[[#This Row],[zScore]],Table3[zScore])</f>
        <v>38</v>
      </c>
      <c r="BD15" s="45"/>
      <c r="BE15" s="45"/>
      <c r="BF15" s="45" t="str">
        <f t="shared" si="6"/>
        <v>Possible</v>
      </c>
      <c r="BG15" s="45"/>
      <c r="BH15" s="45">
        <f>INDEX(Table5[[#All],[Ovr]],MATCH(Table3[[#This Row],[PID]],Table5[[#All],[PID]],0))</f>
        <v>239</v>
      </c>
      <c r="BI15" s="45" t="str">
        <f>INDEX(Table5[[#All],[Rnd]],MATCH(Table3[[#This Row],[PID]],Table5[[#All],[PID]],0))</f>
        <v>8</v>
      </c>
      <c r="BJ15" s="45">
        <f>INDEX(Table5[[#All],[Pick]],MATCH(Table3[[#This Row],[PID]],Table5[[#All],[PID]],0))</f>
        <v>21</v>
      </c>
      <c r="BK15" s="45" t="str">
        <f>INDEX(Table5[[#All],[Team]],MATCH(Table3[[#This Row],[PID]],Table5[[#All],[PID]],0))</f>
        <v>Crystal Lake Sandgnats</v>
      </c>
      <c r="BL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" spans="1:64" ht="15" customHeight="1" x14ac:dyDescent="0.25">
      <c r="A16" s="40">
        <v>18309</v>
      </c>
      <c r="B16" s="40" t="s">
        <v>49</v>
      </c>
      <c r="C16" s="40" t="s">
        <v>918</v>
      </c>
      <c r="D16" s="40" t="s">
        <v>1781</v>
      </c>
      <c r="E16" s="40">
        <v>21</v>
      </c>
      <c r="F16" s="40" t="s">
        <v>53</v>
      </c>
      <c r="G16" s="40" t="s">
        <v>42</v>
      </c>
      <c r="H16" s="41" t="s">
        <v>632</v>
      </c>
      <c r="I16" s="42" t="s">
        <v>43</v>
      </c>
      <c r="J16" s="40" t="s">
        <v>43</v>
      </c>
      <c r="K16" s="41" t="s">
        <v>47</v>
      </c>
      <c r="L16" s="40">
        <v>5</v>
      </c>
      <c r="M16" s="40">
        <v>3</v>
      </c>
      <c r="N16" s="41">
        <v>5</v>
      </c>
      <c r="O16" s="40">
        <v>9</v>
      </c>
      <c r="P16" s="40">
        <v>3</v>
      </c>
      <c r="Q16" s="41">
        <v>6</v>
      </c>
      <c r="R16" s="40">
        <v>7</v>
      </c>
      <c r="S16" s="40">
        <v>9</v>
      </c>
      <c r="T16" s="40" t="s">
        <v>45</v>
      </c>
      <c r="U16" s="40" t="s">
        <v>45</v>
      </c>
      <c r="V16" s="40" t="s">
        <v>45</v>
      </c>
      <c r="W16" s="40" t="s">
        <v>45</v>
      </c>
      <c r="X16" s="40">
        <v>5</v>
      </c>
      <c r="Y16" s="40">
        <v>9</v>
      </c>
      <c r="Z16" s="40" t="s">
        <v>45</v>
      </c>
      <c r="AA16" s="40" t="s">
        <v>45</v>
      </c>
      <c r="AB16" s="40" t="s">
        <v>45</v>
      </c>
      <c r="AC16" s="40" t="s">
        <v>45</v>
      </c>
      <c r="AD16" s="40" t="s">
        <v>45</v>
      </c>
      <c r="AE16" s="40" t="s">
        <v>45</v>
      </c>
      <c r="AF16" s="40" t="s">
        <v>45</v>
      </c>
      <c r="AG16" s="40" t="s">
        <v>45</v>
      </c>
      <c r="AH16" s="40" t="s">
        <v>45</v>
      </c>
      <c r="AI16" s="40" t="s">
        <v>45</v>
      </c>
      <c r="AJ16" s="40" t="s">
        <v>45</v>
      </c>
      <c r="AK16" s="40" t="s">
        <v>45</v>
      </c>
      <c r="AL16" s="40" t="s">
        <v>45</v>
      </c>
      <c r="AM16" s="40" t="s">
        <v>45</v>
      </c>
      <c r="AN16" s="40" t="s">
        <v>45</v>
      </c>
      <c r="AO16" s="41" t="s">
        <v>45</v>
      </c>
      <c r="AP16" s="40" t="s">
        <v>46</v>
      </c>
      <c r="AQ16" s="40">
        <v>3</v>
      </c>
      <c r="AR16" s="48" t="s">
        <v>347</v>
      </c>
      <c r="AS16" s="43" t="s">
        <v>643</v>
      </c>
      <c r="AT16" s="43" t="s">
        <v>635</v>
      </c>
      <c r="AU16" s="44">
        <f t="shared" si="0"/>
        <v>-0.56257324285435151</v>
      </c>
      <c r="AV16" s="44">
        <f t="shared" si="1"/>
        <v>0.90400737197352454</v>
      </c>
      <c r="AW16" s="45">
        <f t="shared" si="2"/>
        <v>2</v>
      </c>
      <c r="AX16" s="45">
        <f t="shared" si="3"/>
        <v>2</v>
      </c>
      <c r="AY16" s="46">
        <f>VLOOKUP(AP16,COND!$A$10:$B$32,2,FALSE)</f>
        <v>1.05</v>
      </c>
      <c r="AZ16" s="44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61.713963708922378</v>
      </c>
      <c r="BA16" s="47">
        <f t="shared" si="4"/>
        <v>1.719324416328148</v>
      </c>
      <c r="BB16" s="45" t="str">
        <f t="shared" si="5"/>
        <v>RP</v>
      </c>
      <c r="BC16" s="45">
        <f>RANK(Table3[[#This Row],[zScore]],Table3[zScore])</f>
        <v>52</v>
      </c>
      <c r="BD16" s="45"/>
      <c r="BE16" s="45"/>
      <c r="BF16" s="45" t="str">
        <f t="shared" si="6"/>
        <v>Likely</v>
      </c>
      <c r="BG16" s="45"/>
      <c r="BH16" s="45">
        <f>INDEX(Table5[[#All],[Ovr]],MATCH(Table3[[#This Row],[PID]],Table5[[#All],[PID]],0))</f>
        <v>33</v>
      </c>
      <c r="BI16" s="45" t="str">
        <f>INDEX(Table5[[#All],[Rnd]],MATCH(Table3[[#This Row],[PID]],Table5[[#All],[PID]],0))</f>
        <v>S1</v>
      </c>
      <c r="BJ16" s="45">
        <f>INDEX(Table5[[#All],[Pick]],MATCH(Table3[[#This Row],[PID]],Table5[[#All],[PID]],0))</f>
        <v>6</v>
      </c>
      <c r="BK16" s="45" t="str">
        <f>INDEX(Table5[[#All],[Team]],MATCH(Table3[[#This Row],[PID]],Table5[[#All],[PID]],0))</f>
        <v>San Juan Coqui</v>
      </c>
      <c r="BL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" spans="1:64" ht="15" customHeight="1" x14ac:dyDescent="0.25">
      <c r="A17" s="40">
        <v>18379</v>
      </c>
      <c r="B17" s="40" t="s">
        <v>49</v>
      </c>
      <c r="C17" s="40" t="s">
        <v>1796</v>
      </c>
      <c r="D17" s="40" t="s">
        <v>403</v>
      </c>
      <c r="E17" s="40">
        <v>18</v>
      </c>
      <c r="F17" s="40" t="s">
        <v>53</v>
      </c>
      <c r="G17" s="40" t="s">
        <v>53</v>
      </c>
      <c r="H17" s="41" t="s">
        <v>633</v>
      </c>
      <c r="I17" s="42" t="s">
        <v>43</v>
      </c>
      <c r="J17" s="40" t="s">
        <v>43</v>
      </c>
      <c r="K17" s="41" t="s">
        <v>43</v>
      </c>
      <c r="L17" s="40">
        <v>3</v>
      </c>
      <c r="M17" s="40">
        <v>3</v>
      </c>
      <c r="N17" s="41">
        <v>2</v>
      </c>
      <c r="O17" s="40">
        <v>6</v>
      </c>
      <c r="P17" s="40">
        <v>4</v>
      </c>
      <c r="Q17" s="41">
        <v>5</v>
      </c>
      <c r="R17" s="40">
        <v>4</v>
      </c>
      <c r="S17" s="40">
        <v>7</v>
      </c>
      <c r="T17" s="40">
        <v>1</v>
      </c>
      <c r="U17" s="40">
        <v>1</v>
      </c>
      <c r="V17" s="40">
        <v>3</v>
      </c>
      <c r="W17" s="40">
        <v>9</v>
      </c>
      <c r="X17" s="40" t="s">
        <v>45</v>
      </c>
      <c r="Y17" s="40" t="s">
        <v>45</v>
      </c>
      <c r="Z17" s="40" t="s">
        <v>45</v>
      </c>
      <c r="AA17" s="40" t="s">
        <v>45</v>
      </c>
      <c r="AB17" s="40" t="s">
        <v>45</v>
      </c>
      <c r="AC17" s="40" t="s">
        <v>45</v>
      </c>
      <c r="AD17" s="40" t="s">
        <v>45</v>
      </c>
      <c r="AE17" s="40" t="s">
        <v>45</v>
      </c>
      <c r="AF17" s="40" t="s">
        <v>45</v>
      </c>
      <c r="AG17" s="40" t="s">
        <v>45</v>
      </c>
      <c r="AH17" s="40" t="s">
        <v>45</v>
      </c>
      <c r="AI17" s="40" t="s">
        <v>45</v>
      </c>
      <c r="AJ17" s="40" t="s">
        <v>45</v>
      </c>
      <c r="AK17" s="40" t="s">
        <v>45</v>
      </c>
      <c r="AL17" s="40" t="s">
        <v>45</v>
      </c>
      <c r="AM17" s="40" t="s">
        <v>45</v>
      </c>
      <c r="AN17" s="40" t="s">
        <v>45</v>
      </c>
      <c r="AO17" s="41" t="s">
        <v>45</v>
      </c>
      <c r="AP17" s="40" t="s">
        <v>60</v>
      </c>
      <c r="AQ17" s="40">
        <v>7</v>
      </c>
      <c r="AR17" s="48" t="s">
        <v>347</v>
      </c>
      <c r="AS17" s="43" t="s">
        <v>644</v>
      </c>
      <c r="AT17" s="43" t="s">
        <v>635</v>
      </c>
      <c r="AU17" s="44">
        <f t="shared" si="0"/>
        <v>-1.6789175900350299</v>
      </c>
      <c r="AV17" s="44">
        <f t="shared" si="1"/>
        <v>0.27304454882194901</v>
      </c>
      <c r="AW17" s="45">
        <f t="shared" si="2"/>
        <v>3</v>
      </c>
      <c r="AX17" s="45">
        <f t="shared" si="3"/>
        <v>2</v>
      </c>
      <c r="AY17" s="46">
        <f>VLOOKUP(AP17,COND!$A$10:$B$32,2,FALSE)</f>
        <v>1.0249999999999999</v>
      </c>
      <c r="AZ17" s="44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61.353235144892771</v>
      </c>
      <c r="BA17" s="47">
        <f t="shared" si="4"/>
        <v>1.6953256961957666</v>
      </c>
      <c r="BB17" s="45" t="str">
        <f t="shared" si="5"/>
        <v>SP</v>
      </c>
      <c r="BC17" s="45">
        <f>RANK(Table3[[#This Row],[zScore]],Table3[zScore])</f>
        <v>54</v>
      </c>
      <c r="BD17" s="45"/>
      <c r="BE17" s="45"/>
      <c r="BF17" s="45" t="str">
        <f t="shared" si="6"/>
        <v>Possible</v>
      </c>
      <c r="BG17" s="45"/>
      <c r="BH17" s="45">
        <f>INDEX(Table5[[#All],[Ovr]],MATCH(Table3[[#This Row],[PID]],Table5[[#All],[PID]],0))</f>
        <v>59</v>
      </c>
      <c r="BI17" s="45" t="str">
        <f>INDEX(Table5[[#All],[Rnd]],MATCH(Table3[[#This Row],[PID]],Table5[[#All],[PID]],0))</f>
        <v>2</v>
      </c>
      <c r="BJ17" s="45">
        <f>INDEX(Table5[[#All],[Pick]],MATCH(Table3[[#This Row],[PID]],Table5[[#All],[PID]],0))</f>
        <v>24</v>
      </c>
      <c r="BK17" s="45" t="str">
        <f>INDEX(Table5[[#All],[Team]],MATCH(Table3[[#This Row],[PID]],Table5[[#All],[PID]],0))</f>
        <v>Florida Farstriders</v>
      </c>
      <c r="BL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" spans="1:64" ht="15" customHeight="1" x14ac:dyDescent="0.25">
      <c r="A18" s="40">
        <v>18373</v>
      </c>
      <c r="B18" s="40" t="s">
        <v>49</v>
      </c>
      <c r="C18" s="40" t="s">
        <v>1790</v>
      </c>
      <c r="D18" s="40" t="s">
        <v>1791</v>
      </c>
      <c r="E18" s="40">
        <v>18</v>
      </c>
      <c r="F18" s="40" t="s">
        <v>53</v>
      </c>
      <c r="G18" s="40" t="s">
        <v>53</v>
      </c>
      <c r="H18" s="41" t="s">
        <v>633</v>
      </c>
      <c r="I18" s="42" t="s">
        <v>47</v>
      </c>
      <c r="J18" s="40" t="s">
        <v>43</v>
      </c>
      <c r="K18" s="41" t="s">
        <v>43</v>
      </c>
      <c r="L18" s="40">
        <v>2</v>
      </c>
      <c r="M18" s="40">
        <v>2</v>
      </c>
      <c r="N18" s="41">
        <v>2</v>
      </c>
      <c r="O18" s="40">
        <v>6</v>
      </c>
      <c r="P18" s="40">
        <v>4</v>
      </c>
      <c r="Q18" s="41">
        <v>5</v>
      </c>
      <c r="R18" s="40">
        <v>4</v>
      </c>
      <c r="S18" s="40">
        <v>7</v>
      </c>
      <c r="T18" s="40">
        <v>1</v>
      </c>
      <c r="U18" s="40">
        <v>1</v>
      </c>
      <c r="V18" s="40" t="s">
        <v>45</v>
      </c>
      <c r="W18" s="40" t="s">
        <v>45</v>
      </c>
      <c r="X18" s="40">
        <v>2</v>
      </c>
      <c r="Y18" s="40">
        <v>8</v>
      </c>
      <c r="Z18" s="40" t="s">
        <v>45</v>
      </c>
      <c r="AA18" s="40" t="s">
        <v>45</v>
      </c>
      <c r="AB18" s="40" t="s">
        <v>45</v>
      </c>
      <c r="AC18" s="40" t="s">
        <v>45</v>
      </c>
      <c r="AD18" s="40" t="s">
        <v>45</v>
      </c>
      <c r="AE18" s="40" t="s">
        <v>45</v>
      </c>
      <c r="AF18" s="40" t="s">
        <v>45</v>
      </c>
      <c r="AG18" s="40" t="s">
        <v>45</v>
      </c>
      <c r="AH18" s="40" t="s">
        <v>45</v>
      </c>
      <c r="AI18" s="40" t="s">
        <v>45</v>
      </c>
      <c r="AJ18" s="40" t="s">
        <v>45</v>
      </c>
      <c r="AK18" s="40" t="s">
        <v>45</v>
      </c>
      <c r="AL18" s="40" t="s">
        <v>45</v>
      </c>
      <c r="AM18" s="40" t="s">
        <v>45</v>
      </c>
      <c r="AN18" s="40" t="s">
        <v>45</v>
      </c>
      <c r="AO18" s="41" t="s">
        <v>45</v>
      </c>
      <c r="AP18" s="40" t="s">
        <v>58</v>
      </c>
      <c r="AQ18" s="40">
        <v>8</v>
      </c>
      <c r="AR18" s="48" t="s">
        <v>347</v>
      </c>
      <c r="AS18" s="43" t="s">
        <v>554</v>
      </c>
      <c r="AT18" s="43" t="s">
        <v>47</v>
      </c>
      <c r="AU18" s="44">
        <f t="shared" si="0"/>
        <v>-2.0690406309742588</v>
      </c>
      <c r="AV18" s="44">
        <f t="shared" si="1"/>
        <v>0.27304454882194901</v>
      </c>
      <c r="AW18" s="45">
        <f t="shared" si="2"/>
        <v>3</v>
      </c>
      <c r="AX18" s="45">
        <f t="shared" si="3"/>
        <v>2</v>
      </c>
      <c r="AY18" s="46">
        <f>VLOOKUP(AP18,COND!$A$10:$B$32,2,FALSE)</f>
        <v>1</v>
      </c>
      <c r="AZ18" s="44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61.272082850244125</v>
      </c>
      <c r="BA18" s="47">
        <f t="shared" si="4"/>
        <v>1.6899267580423312</v>
      </c>
      <c r="BB18" s="45" t="str">
        <f t="shared" si="5"/>
        <v>SP</v>
      </c>
      <c r="BC18" s="45">
        <f>RANK(Table3[[#This Row],[zScore]],Table3[zScore])</f>
        <v>55</v>
      </c>
      <c r="BD18" s="45"/>
      <c r="BE18" s="45"/>
      <c r="BF18" s="45" t="str">
        <f t="shared" si="6"/>
        <v>Possible</v>
      </c>
      <c r="BG18" s="45"/>
      <c r="BH18" s="45">
        <f>INDEX(Table5[[#All],[Ovr]],MATCH(Table3[[#This Row],[PID]],Table5[[#All],[PID]],0))</f>
        <v>54</v>
      </c>
      <c r="BI18" s="45" t="str">
        <f>INDEX(Table5[[#All],[Rnd]],MATCH(Table3[[#This Row],[PID]],Table5[[#All],[PID]],0))</f>
        <v>2</v>
      </c>
      <c r="BJ18" s="45">
        <f>INDEX(Table5[[#All],[Pick]],MATCH(Table3[[#This Row],[PID]],Table5[[#All],[PID]],0))</f>
        <v>19</v>
      </c>
      <c r="BK18" s="45" t="str">
        <f>INDEX(Table5[[#All],[Team]],MATCH(Table3[[#This Row],[PID]],Table5[[#All],[PID]],0))</f>
        <v>Madison Malts</v>
      </c>
      <c r="BL1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" spans="1:64" ht="15" customHeight="1" x14ac:dyDescent="0.25">
      <c r="A19" s="40">
        <v>15234</v>
      </c>
      <c r="B19" s="40" t="s">
        <v>49</v>
      </c>
      <c r="C19" s="40" t="s">
        <v>834</v>
      </c>
      <c r="D19" s="40" t="s">
        <v>177</v>
      </c>
      <c r="E19" s="40">
        <v>18</v>
      </c>
      <c r="F19" s="40" t="s">
        <v>42</v>
      </c>
      <c r="G19" s="40" t="s">
        <v>42</v>
      </c>
      <c r="H19" s="41" t="s">
        <v>633</v>
      </c>
      <c r="I19" s="42" t="s">
        <v>47</v>
      </c>
      <c r="J19" s="40" t="s">
        <v>43</v>
      </c>
      <c r="K19" s="41" t="s">
        <v>43</v>
      </c>
      <c r="L19" s="40">
        <v>1</v>
      </c>
      <c r="M19" s="40">
        <v>2</v>
      </c>
      <c r="N19" s="41">
        <v>2</v>
      </c>
      <c r="O19" s="40">
        <v>6</v>
      </c>
      <c r="P19" s="40">
        <v>4</v>
      </c>
      <c r="Q19" s="41">
        <v>5</v>
      </c>
      <c r="R19" s="40" t="s">
        <v>45</v>
      </c>
      <c r="S19" s="40" t="s">
        <v>45</v>
      </c>
      <c r="T19" s="40">
        <v>1</v>
      </c>
      <c r="U19" s="40">
        <v>1</v>
      </c>
      <c r="V19" s="40">
        <v>2</v>
      </c>
      <c r="W19" s="40">
        <v>7</v>
      </c>
      <c r="X19" s="40" t="s">
        <v>45</v>
      </c>
      <c r="Y19" s="40" t="s">
        <v>45</v>
      </c>
      <c r="Z19" s="40" t="s">
        <v>45</v>
      </c>
      <c r="AA19" s="40" t="s">
        <v>45</v>
      </c>
      <c r="AB19" s="40" t="s">
        <v>45</v>
      </c>
      <c r="AC19" s="40" t="s">
        <v>45</v>
      </c>
      <c r="AD19" s="40">
        <v>3</v>
      </c>
      <c r="AE19" s="40">
        <v>6</v>
      </c>
      <c r="AF19" s="40" t="s">
        <v>45</v>
      </c>
      <c r="AG19" s="40" t="s">
        <v>45</v>
      </c>
      <c r="AH19" s="40" t="s">
        <v>45</v>
      </c>
      <c r="AI19" s="40" t="s">
        <v>45</v>
      </c>
      <c r="AJ19" s="40" t="s">
        <v>45</v>
      </c>
      <c r="AK19" s="40" t="s">
        <v>45</v>
      </c>
      <c r="AL19" s="40" t="s">
        <v>45</v>
      </c>
      <c r="AM19" s="40" t="s">
        <v>45</v>
      </c>
      <c r="AN19" s="40" t="s">
        <v>45</v>
      </c>
      <c r="AO19" s="41" t="s">
        <v>45</v>
      </c>
      <c r="AP19" s="40" t="s">
        <v>349</v>
      </c>
      <c r="AQ19" s="40">
        <v>9</v>
      </c>
      <c r="AR19" s="48" t="s">
        <v>347</v>
      </c>
      <c r="AS19" s="43" t="s">
        <v>654</v>
      </c>
      <c r="AT19" s="43" t="s">
        <v>47</v>
      </c>
      <c r="AU19" s="44">
        <f t="shared" si="0"/>
        <v>-2.2637319554834323</v>
      </c>
      <c r="AV19" s="44">
        <f t="shared" si="1"/>
        <v>0.27304454882194901</v>
      </c>
      <c r="AW19" s="45">
        <f t="shared" si="2"/>
        <v>3</v>
      </c>
      <c r="AX19" s="45">
        <f t="shared" si="3"/>
        <v>2</v>
      </c>
      <c r="AY19" s="46">
        <f>VLOOKUP(AP19,COND!$A$10:$B$32,2,FALSE)</f>
        <v>1</v>
      </c>
      <c r="AZ19" s="44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61.233144585342288</v>
      </c>
      <c r="BA19" s="47">
        <f t="shared" si="4"/>
        <v>1.6873362547803188</v>
      </c>
      <c r="BB19" s="45" t="str">
        <f t="shared" si="5"/>
        <v>SP</v>
      </c>
      <c r="BC19" s="45">
        <f>RANK(Table3[[#This Row],[zScore]],Table3[zScore])</f>
        <v>56</v>
      </c>
      <c r="BD19" s="45"/>
      <c r="BE19" s="45"/>
      <c r="BF19" s="45" t="str">
        <f t="shared" si="6"/>
        <v>Possible</v>
      </c>
      <c r="BG19" s="45"/>
      <c r="BH19" s="45">
        <f>INDEX(Table5[[#All],[Ovr]],MATCH(Table3[[#This Row],[PID]],Table5[[#All],[PID]],0))</f>
        <v>189</v>
      </c>
      <c r="BI19" s="45" t="str">
        <f>INDEX(Table5[[#All],[Rnd]],MATCH(Table3[[#This Row],[PID]],Table5[[#All],[PID]],0))</f>
        <v>7</v>
      </c>
      <c r="BJ19" s="45">
        <f>INDEX(Table5[[#All],[Pick]],MATCH(Table3[[#This Row],[PID]],Table5[[#All],[PID]],0))</f>
        <v>1</v>
      </c>
      <c r="BK19" s="45" t="str">
        <f>INDEX(Table5[[#All],[Team]],MATCH(Table3[[#This Row],[PID]],Table5[[#All],[PID]],0))</f>
        <v>Yuma Arroyos</v>
      </c>
      <c r="BL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" spans="1:64" ht="15" customHeight="1" x14ac:dyDescent="0.25">
      <c r="A20" s="40">
        <v>21082</v>
      </c>
      <c r="B20" s="40" t="s">
        <v>49</v>
      </c>
      <c r="C20" s="40" t="s">
        <v>343</v>
      </c>
      <c r="D20" s="40" t="s">
        <v>1810</v>
      </c>
      <c r="E20" s="40">
        <v>16</v>
      </c>
      <c r="F20" s="40" t="s">
        <v>42</v>
      </c>
      <c r="G20" s="40" t="s">
        <v>42</v>
      </c>
      <c r="H20" s="41" t="s">
        <v>633</v>
      </c>
      <c r="I20" s="42" t="s">
        <v>44</v>
      </c>
      <c r="J20" s="40" t="s">
        <v>43</v>
      </c>
      <c r="K20" s="41" t="s">
        <v>43</v>
      </c>
      <c r="L20" s="40">
        <v>2</v>
      </c>
      <c r="M20" s="40">
        <v>3</v>
      </c>
      <c r="N20" s="41">
        <v>2</v>
      </c>
      <c r="O20" s="40">
        <v>5</v>
      </c>
      <c r="P20" s="40">
        <v>4</v>
      </c>
      <c r="Q20" s="41">
        <v>6</v>
      </c>
      <c r="R20" s="40" t="s">
        <v>45</v>
      </c>
      <c r="S20" s="40" t="s">
        <v>45</v>
      </c>
      <c r="T20" s="40" t="s">
        <v>45</v>
      </c>
      <c r="U20" s="40" t="s">
        <v>45</v>
      </c>
      <c r="V20" s="40" t="s">
        <v>45</v>
      </c>
      <c r="W20" s="40" t="s">
        <v>45</v>
      </c>
      <c r="X20" s="40">
        <v>2</v>
      </c>
      <c r="Y20" s="40">
        <v>7</v>
      </c>
      <c r="Z20" s="40">
        <v>3</v>
      </c>
      <c r="AA20" s="40">
        <v>3</v>
      </c>
      <c r="AB20" s="40" t="s">
        <v>45</v>
      </c>
      <c r="AC20" s="40" t="s">
        <v>45</v>
      </c>
      <c r="AD20" s="40">
        <v>3</v>
      </c>
      <c r="AE20" s="40">
        <v>6</v>
      </c>
      <c r="AF20" s="40" t="s">
        <v>45</v>
      </c>
      <c r="AG20" s="40" t="s">
        <v>45</v>
      </c>
      <c r="AH20" s="40" t="s">
        <v>45</v>
      </c>
      <c r="AI20" s="40" t="s">
        <v>45</v>
      </c>
      <c r="AJ20" s="40" t="s">
        <v>45</v>
      </c>
      <c r="AK20" s="40" t="s">
        <v>45</v>
      </c>
      <c r="AL20" s="40" t="s">
        <v>45</v>
      </c>
      <c r="AM20" s="40" t="s">
        <v>45</v>
      </c>
      <c r="AN20" s="40" t="s">
        <v>45</v>
      </c>
      <c r="AO20" s="41" t="s">
        <v>45</v>
      </c>
      <c r="AP20" s="40" t="s">
        <v>68</v>
      </c>
      <c r="AQ20" s="40">
        <v>6</v>
      </c>
      <c r="AR20" s="48" t="s">
        <v>348</v>
      </c>
      <c r="AS20" s="43" t="s">
        <v>644</v>
      </c>
      <c r="AT20" s="43" t="s">
        <v>635</v>
      </c>
      <c r="AU20" s="44">
        <f t="shared" si="0"/>
        <v>-1.8736089145442034</v>
      </c>
      <c r="AV20" s="44">
        <f t="shared" si="1"/>
        <v>0.32067379036688581</v>
      </c>
      <c r="AW20" s="45">
        <f t="shared" si="2"/>
        <v>3</v>
      </c>
      <c r="AX20" s="45">
        <f t="shared" si="3"/>
        <v>2</v>
      </c>
      <c r="AY20" s="46">
        <f>VLOOKUP(AP20,COND!$A$10:$B$32,2,FALSE)</f>
        <v>0.95</v>
      </c>
      <c r="AZ20" s="44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61.148395915127246</v>
      </c>
      <c r="BA20" s="47">
        <f t="shared" si="4"/>
        <v>1.6816980552561043</v>
      </c>
      <c r="BB20" s="45" t="str">
        <f t="shared" si="5"/>
        <v>SP</v>
      </c>
      <c r="BC20" s="45">
        <f>RANK(Table3[[#This Row],[zScore]],Table3[zScore])</f>
        <v>57</v>
      </c>
      <c r="BD20" s="45"/>
      <c r="BE20" s="45"/>
      <c r="BF20" s="45" t="str">
        <f t="shared" si="6"/>
        <v>Possible</v>
      </c>
      <c r="BG20" s="45"/>
      <c r="BH20" s="45">
        <f>INDEX(Table5[[#All],[Ovr]],MATCH(Table3[[#This Row],[PID]],Table5[[#All],[PID]],0))</f>
        <v>207</v>
      </c>
      <c r="BI20" s="45" t="str">
        <f>INDEX(Table5[[#All],[Rnd]],MATCH(Table3[[#This Row],[PID]],Table5[[#All],[PID]],0))</f>
        <v>7</v>
      </c>
      <c r="BJ20" s="45">
        <f>INDEX(Table5[[#All],[Pick]],MATCH(Table3[[#This Row],[PID]],Table5[[#All],[PID]],0))</f>
        <v>19</v>
      </c>
      <c r="BK20" s="45" t="str">
        <f>INDEX(Table5[[#All],[Team]],MATCH(Table3[[#This Row],[PID]],Table5[[#All],[PID]],0))</f>
        <v>Kalamazoo Badgers</v>
      </c>
      <c r="BL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" spans="1:64" ht="15" customHeight="1" x14ac:dyDescent="0.25">
      <c r="A21" s="40">
        <v>18424</v>
      </c>
      <c r="B21" s="40" t="s">
        <v>49</v>
      </c>
      <c r="C21" s="40" t="s">
        <v>128</v>
      </c>
      <c r="D21" s="40" t="s">
        <v>1805</v>
      </c>
      <c r="E21" s="40">
        <v>18</v>
      </c>
      <c r="F21" s="40" t="s">
        <v>42</v>
      </c>
      <c r="G21" s="40" t="s">
        <v>42</v>
      </c>
      <c r="H21" s="41" t="s">
        <v>633</v>
      </c>
      <c r="I21" s="42" t="s">
        <v>43</v>
      </c>
      <c r="J21" s="40" t="s">
        <v>43</v>
      </c>
      <c r="K21" s="41" t="s">
        <v>43</v>
      </c>
      <c r="L21" s="40">
        <v>2</v>
      </c>
      <c r="M21" s="40">
        <v>3</v>
      </c>
      <c r="N21" s="41">
        <v>2</v>
      </c>
      <c r="O21" s="40">
        <v>5</v>
      </c>
      <c r="P21" s="40">
        <v>5</v>
      </c>
      <c r="Q21" s="41">
        <v>5</v>
      </c>
      <c r="R21" s="40">
        <v>3</v>
      </c>
      <c r="S21" s="40">
        <v>7</v>
      </c>
      <c r="T21" s="40">
        <v>1</v>
      </c>
      <c r="U21" s="40">
        <v>1</v>
      </c>
      <c r="V21" s="40" t="s">
        <v>45</v>
      </c>
      <c r="W21" s="40" t="s">
        <v>45</v>
      </c>
      <c r="X21" s="40">
        <v>2</v>
      </c>
      <c r="Y21" s="40">
        <v>7</v>
      </c>
      <c r="Z21" s="40" t="s">
        <v>45</v>
      </c>
      <c r="AA21" s="40" t="s">
        <v>45</v>
      </c>
      <c r="AB21" s="40" t="s">
        <v>45</v>
      </c>
      <c r="AC21" s="40" t="s">
        <v>45</v>
      </c>
      <c r="AD21" s="40" t="s">
        <v>45</v>
      </c>
      <c r="AE21" s="40" t="s">
        <v>45</v>
      </c>
      <c r="AF21" s="40" t="s">
        <v>45</v>
      </c>
      <c r="AG21" s="40" t="s">
        <v>45</v>
      </c>
      <c r="AH21" s="40" t="s">
        <v>45</v>
      </c>
      <c r="AI21" s="40" t="s">
        <v>45</v>
      </c>
      <c r="AJ21" s="40" t="s">
        <v>45</v>
      </c>
      <c r="AK21" s="40" t="s">
        <v>45</v>
      </c>
      <c r="AL21" s="40" t="s">
        <v>45</v>
      </c>
      <c r="AM21" s="40" t="s">
        <v>45</v>
      </c>
      <c r="AN21" s="40" t="s">
        <v>45</v>
      </c>
      <c r="AO21" s="41" t="s">
        <v>45</v>
      </c>
      <c r="AP21" s="40" t="s">
        <v>350</v>
      </c>
      <c r="AQ21" s="40">
        <v>9</v>
      </c>
      <c r="AR21" s="48" t="s">
        <v>346</v>
      </c>
      <c r="AS21" s="43" t="s">
        <v>654</v>
      </c>
      <c r="AT21" s="43" t="s">
        <v>47</v>
      </c>
      <c r="AU21" s="44">
        <f t="shared" si="0"/>
        <v>-1.8736089145442034</v>
      </c>
      <c r="AV21" s="44">
        <f t="shared" si="1"/>
        <v>0.27378494074283088</v>
      </c>
      <c r="AW21" s="45">
        <f t="shared" si="2"/>
        <v>3</v>
      </c>
      <c r="AX21" s="45">
        <f t="shared" si="3"/>
        <v>2</v>
      </c>
      <c r="AY21" s="46">
        <f>VLOOKUP(AP21,COND!$A$10:$B$32,2,FALSE)</f>
        <v>1</v>
      </c>
      <c r="AZ21" s="44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61.100977031947778</v>
      </c>
      <c r="BA21" s="47">
        <f t="shared" si="4"/>
        <v>1.6785433494193891</v>
      </c>
      <c r="BB21" s="45" t="str">
        <f t="shared" si="5"/>
        <v>SP</v>
      </c>
      <c r="BC21" s="45">
        <f>RANK(Table3[[#This Row],[zScore]],Table3[zScore])</f>
        <v>58</v>
      </c>
      <c r="BD21" s="45"/>
      <c r="BE21" s="45"/>
      <c r="BF21" s="45" t="str">
        <f t="shared" si="6"/>
        <v>Possible</v>
      </c>
      <c r="BG21" s="45"/>
      <c r="BH21" s="45">
        <f>INDEX(Table5[[#All],[Ovr]],MATCH(Table3[[#This Row],[PID]],Table5[[#All],[PID]],0))</f>
        <v>161</v>
      </c>
      <c r="BI21" s="45" t="str">
        <f>INDEX(Table5[[#All],[Rnd]],MATCH(Table3[[#This Row],[PID]],Table5[[#All],[PID]],0))</f>
        <v>6</v>
      </c>
      <c r="BJ21" s="45">
        <f>INDEX(Table5[[#All],[Pick]],MATCH(Table3[[#This Row],[PID]],Table5[[#All],[PID]],0))</f>
        <v>3</v>
      </c>
      <c r="BK21" s="45" t="str">
        <f>INDEX(Table5[[#All],[Team]],MATCH(Table3[[#This Row],[PID]],Table5[[#All],[PID]],0))</f>
        <v>New Orleans Trendsetters</v>
      </c>
      <c r="BL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" spans="1:64" ht="15" customHeight="1" x14ac:dyDescent="0.25">
      <c r="A22" s="40">
        <v>18112</v>
      </c>
      <c r="B22" s="40" t="s">
        <v>49</v>
      </c>
      <c r="C22" s="40" t="s">
        <v>1809</v>
      </c>
      <c r="D22" s="40" t="s">
        <v>212</v>
      </c>
      <c r="E22" s="40">
        <v>21</v>
      </c>
      <c r="F22" s="40" t="s">
        <v>53</v>
      </c>
      <c r="G22" s="40" t="s">
        <v>53</v>
      </c>
      <c r="H22" s="41" t="s">
        <v>633</v>
      </c>
      <c r="I22" s="42" t="s">
        <v>43</v>
      </c>
      <c r="J22" s="40" t="s">
        <v>43</v>
      </c>
      <c r="K22" s="41" t="s">
        <v>43</v>
      </c>
      <c r="L22" s="40">
        <v>4</v>
      </c>
      <c r="M22" s="40">
        <v>2</v>
      </c>
      <c r="N22" s="41">
        <v>3</v>
      </c>
      <c r="O22" s="40">
        <v>7</v>
      </c>
      <c r="P22" s="40">
        <v>4</v>
      </c>
      <c r="Q22" s="41">
        <v>5</v>
      </c>
      <c r="R22" s="40">
        <v>6</v>
      </c>
      <c r="S22" s="40">
        <v>8</v>
      </c>
      <c r="T22" s="40">
        <v>1</v>
      </c>
      <c r="U22" s="40">
        <v>1</v>
      </c>
      <c r="V22" s="40">
        <v>3</v>
      </c>
      <c r="W22" s="40">
        <v>8</v>
      </c>
      <c r="X22" s="40" t="s">
        <v>45</v>
      </c>
      <c r="Y22" s="40" t="s">
        <v>45</v>
      </c>
      <c r="Z22" s="40" t="s">
        <v>45</v>
      </c>
      <c r="AA22" s="40" t="s">
        <v>45</v>
      </c>
      <c r="AB22" s="40" t="s">
        <v>45</v>
      </c>
      <c r="AC22" s="40" t="s">
        <v>45</v>
      </c>
      <c r="AD22" s="40" t="s">
        <v>45</v>
      </c>
      <c r="AE22" s="40" t="s">
        <v>45</v>
      </c>
      <c r="AF22" s="40" t="s">
        <v>45</v>
      </c>
      <c r="AG22" s="40" t="s">
        <v>45</v>
      </c>
      <c r="AH22" s="40" t="s">
        <v>45</v>
      </c>
      <c r="AI22" s="40" t="s">
        <v>45</v>
      </c>
      <c r="AJ22" s="40" t="s">
        <v>45</v>
      </c>
      <c r="AK22" s="40" t="s">
        <v>45</v>
      </c>
      <c r="AL22" s="40" t="s">
        <v>45</v>
      </c>
      <c r="AM22" s="40" t="s">
        <v>45</v>
      </c>
      <c r="AN22" s="40" t="s">
        <v>45</v>
      </c>
      <c r="AO22" s="41" t="s">
        <v>45</v>
      </c>
      <c r="AP22" s="40" t="s">
        <v>61</v>
      </c>
      <c r="AQ22" s="40">
        <v>8</v>
      </c>
      <c r="AR22" s="48" t="s">
        <v>347</v>
      </c>
      <c r="AS22" s="43" t="s">
        <v>643</v>
      </c>
      <c r="AT22" s="43" t="s">
        <v>635</v>
      </c>
      <c r="AU22" s="44">
        <f t="shared" si="0"/>
        <v>-1.4373374159018013</v>
      </c>
      <c r="AV22" s="44">
        <f t="shared" si="1"/>
        <v>0.46773587333112243</v>
      </c>
      <c r="AW22" s="45">
        <f t="shared" si="2"/>
        <v>3</v>
      </c>
      <c r="AX22" s="45">
        <f t="shared" si="3"/>
        <v>2</v>
      </c>
      <c r="AY22" s="46">
        <f>VLOOKUP(AP22,COND!$A$10:$B$32,2,FALSE)</f>
        <v>1.05</v>
      </c>
      <c r="AZ22" s="44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60.720612482614193</v>
      </c>
      <c r="BA22" s="47">
        <f t="shared" si="4"/>
        <v>1.6532382771906566</v>
      </c>
      <c r="BB22" s="45" t="str">
        <f t="shared" si="5"/>
        <v>SP</v>
      </c>
      <c r="BC22" s="45">
        <f>RANK(Table3[[#This Row],[zScore]],Table3[zScore])</f>
        <v>60</v>
      </c>
      <c r="BD22" s="45"/>
      <c r="BE22" s="45"/>
      <c r="BF22" s="45" t="str">
        <f t="shared" si="6"/>
        <v>Possible</v>
      </c>
      <c r="BG22" s="45"/>
      <c r="BH22" s="45">
        <f>INDEX(Table5[[#All],[Ovr]],MATCH(Table3[[#This Row],[PID]],Table5[[#All],[PID]],0))</f>
        <v>80</v>
      </c>
      <c r="BI22" s="45" t="str">
        <f>INDEX(Table5[[#All],[Rnd]],MATCH(Table3[[#This Row],[PID]],Table5[[#All],[PID]],0))</f>
        <v>3</v>
      </c>
      <c r="BJ22" s="45">
        <f>INDEX(Table5[[#All],[Pick]],MATCH(Table3[[#This Row],[PID]],Table5[[#All],[PID]],0))</f>
        <v>12</v>
      </c>
      <c r="BK22" s="45" t="str">
        <f>INDEX(Table5[[#All],[Team]],MATCH(Table3[[#This Row],[PID]],Table5[[#All],[PID]],0))</f>
        <v>Palm Springs Codgers</v>
      </c>
      <c r="BL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" spans="1:64" ht="15" customHeight="1" x14ac:dyDescent="0.25">
      <c r="A23" s="40">
        <v>12778</v>
      </c>
      <c r="B23" s="40" t="s">
        <v>49</v>
      </c>
      <c r="C23" s="40" t="s">
        <v>176</v>
      </c>
      <c r="D23" s="40" t="s">
        <v>1823</v>
      </c>
      <c r="E23" s="40">
        <v>18</v>
      </c>
      <c r="F23" s="40" t="s">
        <v>53</v>
      </c>
      <c r="G23" s="40" t="s">
        <v>53</v>
      </c>
      <c r="H23" s="41" t="s">
        <v>634</v>
      </c>
      <c r="I23" s="42" t="s">
        <v>43</v>
      </c>
      <c r="J23" s="40" t="s">
        <v>47</v>
      </c>
      <c r="K23" s="41" t="s">
        <v>43</v>
      </c>
      <c r="L23" s="40">
        <v>2</v>
      </c>
      <c r="M23" s="40">
        <v>2</v>
      </c>
      <c r="N23" s="41">
        <v>2</v>
      </c>
      <c r="O23" s="40">
        <v>6</v>
      </c>
      <c r="P23" s="40">
        <v>5</v>
      </c>
      <c r="Q23" s="41">
        <v>4</v>
      </c>
      <c r="R23" s="40">
        <v>3</v>
      </c>
      <c r="S23" s="40">
        <v>7</v>
      </c>
      <c r="T23" s="40">
        <v>1</v>
      </c>
      <c r="U23" s="40">
        <v>1</v>
      </c>
      <c r="V23" s="40" t="s">
        <v>45</v>
      </c>
      <c r="W23" s="40" t="s">
        <v>45</v>
      </c>
      <c r="X23" s="40" t="s">
        <v>45</v>
      </c>
      <c r="Y23" s="40" t="s">
        <v>45</v>
      </c>
      <c r="Z23" s="40">
        <v>3</v>
      </c>
      <c r="AA23" s="40">
        <v>6</v>
      </c>
      <c r="AB23" s="40" t="s">
        <v>45</v>
      </c>
      <c r="AC23" s="40" t="s">
        <v>45</v>
      </c>
      <c r="AD23" s="40" t="s">
        <v>45</v>
      </c>
      <c r="AE23" s="40" t="s">
        <v>45</v>
      </c>
      <c r="AF23" s="40" t="s">
        <v>45</v>
      </c>
      <c r="AG23" s="40" t="s">
        <v>45</v>
      </c>
      <c r="AH23" s="40" t="s">
        <v>45</v>
      </c>
      <c r="AI23" s="40" t="s">
        <v>45</v>
      </c>
      <c r="AJ23" s="40" t="s">
        <v>45</v>
      </c>
      <c r="AK23" s="40" t="s">
        <v>45</v>
      </c>
      <c r="AL23" s="40" t="s">
        <v>45</v>
      </c>
      <c r="AM23" s="40" t="s">
        <v>45</v>
      </c>
      <c r="AN23" s="40" t="s">
        <v>45</v>
      </c>
      <c r="AO23" s="41" t="s">
        <v>45</v>
      </c>
      <c r="AP23" s="40" t="s">
        <v>349</v>
      </c>
      <c r="AQ23" s="40">
        <v>9</v>
      </c>
      <c r="AR23" s="48" t="s">
        <v>347</v>
      </c>
      <c r="AS23" s="43" t="s">
        <v>654</v>
      </c>
      <c r="AT23" s="43" t="s">
        <v>47</v>
      </c>
      <c r="AU23" s="44">
        <f t="shared" si="0"/>
        <v>-2.0690406309742588</v>
      </c>
      <c r="AV23" s="44">
        <f t="shared" si="1"/>
        <v>0.22615569919789399</v>
      </c>
      <c r="AW23" s="45">
        <f t="shared" si="2"/>
        <v>3</v>
      </c>
      <c r="AX23" s="45">
        <f t="shared" si="3"/>
        <v>2</v>
      </c>
      <c r="AY23" s="46">
        <f>VLOOKUP(AP23,COND!$A$10:$B$32,2,FALSE)</f>
        <v>1</v>
      </c>
      <c r="AZ23" s="44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60.40930585776303</v>
      </c>
      <c r="BA23" s="47">
        <f t="shared" si="4"/>
        <v>1.6325275231497149</v>
      </c>
      <c r="BB23" s="45" t="str">
        <f t="shared" si="5"/>
        <v>SP</v>
      </c>
      <c r="BC23" s="45">
        <f>RANK(Table3[[#This Row],[zScore]],Table3[zScore])</f>
        <v>62</v>
      </c>
      <c r="BD23" s="45"/>
      <c r="BE23" s="45"/>
      <c r="BF23" s="45" t="str">
        <f t="shared" si="6"/>
        <v>Possible</v>
      </c>
      <c r="BG23" s="45"/>
      <c r="BH23" s="45">
        <f>INDEX(Table5[[#All],[Ovr]],MATCH(Table3[[#This Row],[PID]],Table5[[#All],[PID]],0))</f>
        <v>230</v>
      </c>
      <c r="BI23" s="45" t="str">
        <f>INDEX(Table5[[#All],[Rnd]],MATCH(Table3[[#This Row],[PID]],Table5[[#All],[PID]],0))</f>
        <v>8</v>
      </c>
      <c r="BJ23" s="45">
        <f>INDEX(Table5[[#All],[Pick]],MATCH(Table3[[#This Row],[PID]],Table5[[#All],[PID]],0))</f>
        <v>12</v>
      </c>
      <c r="BK23" s="45" t="str">
        <f>INDEX(Table5[[#All],[Team]],MATCH(Table3[[#This Row],[PID]],Table5[[#All],[PID]],0))</f>
        <v>Palm Springs Codgers</v>
      </c>
      <c r="BL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" spans="1:64" ht="15" customHeight="1" x14ac:dyDescent="0.25">
      <c r="A24" s="40">
        <v>18253</v>
      </c>
      <c r="B24" s="40" t="s">
        <v>49</v>
      </c>
      <c r="C24" s="40" t="s">
        <v>1694</v>
      </c>
      <c r="D24" s="40" t="s">
        <v>1051</v>
      </c>
      <c r="E24" s="40">
        <v>18</v>
      </c>
      <c r="F24" s="40" t="s">
        <v>42</v>
      </c>
      <c r="G24" s="40" t="s">
        <v>42</v>
      </c>
      <c r="H24" s="41" t="s">
        <v>634</v>
      </c>
      <c r="I24" s="42" t="s">
        <v>47</v>
      </c>
      <c r="J24" s="40" t="s">
        <v>47</v>
      </c>
      <c r="K24" s="41" t="s">
        <v>43</v>
      </c>
      <c r="L24" s="40">
        <v>1</v>
      </c>
      <c r="M24" s="40">
        <v>3</v>
      </c>
      <c r="N24" s="41">
        <v>2</v>
      </c>
      <c r="O24" s="40">
        <v>4</v>
      </c>
      <c r="P24" s="40">
        <v>5</v>
      </c>
      <c r="Q24" s="41">
        <v>6</v>
      </c>
      <c r="R24" s="40">
        <v>2</v>
      </c>
      <c r="S24" s="40">
        <v>4</v>
      </c>
      <c r="T24" s="40">
        <v>1</v>
      </c>
      <c r="U24" s="40">
        <v>1</v>
      </c>
      <c r="V24" s="40">
        <v>2</v>
      </c>
      <c r="W24" s="40">
        <v>7</v>
      </c>
      <c r="X24" s="40" t="s">
        <v>45</v>
      </c>
      <c r="Y24" s="40" t="s">
        <v>45</v>
      </c>
      <c r="Z24" s="40" t="s">
        <v>45</v>
      </c>
      <c r="AA24" s="40" t="s">
        <v>45</v>
      </c>
      <c r="AB24" s="40" t="s">
        <v>45</v>
      </c>
      <c r="AC24" s="40" t="s">
        <v>45</v>
      </c>
      <c r="AD24" s="40" t="s">
        <v>45</v>
      </c>
      <c r="AE24" s="40" t="s">
        <v>45</v>
      </c>
      <c r="AF24" s="40" t="s">
        <v>45</v>
      </c>
      <c r="AG24" s="40" t="s">
        <v>45</v>
      </c>
      <c r="AH24" s="40" t="s">
        <v>45</v>
      </c>
      <c r="AI24" s="40" t="s">
        <v>45</v>
      </c>
      <c r="AJ24" s="40" t="s">
        <v>45</v>
      </c>
      <c r="AK24" s="40" t="s">
        <v>45</v>
      </c>
      <c r="AL24" s="40" t="s">
        <v>45</v>
      </c>
      <c r="AM24" s="40" t="s">
        <v>45</v>
      </c>
      <c r="AN24" s="40" t="s">
        <v>45</v>
      </c>
      <c r="AO24" s="41" t="s">
        <v>45</v>
      </c>
      <c r="AP24" s="40" t="s">
        <v>67</v>
      </c>
      <c r="AQ24" s="40">
        <v>6</v>
      </c>
      <c r="AR24" s="48" t="s">
        <v>346</v>
      </c>
      <c r="AS24" s="43" t="s">
        <v>670</v>
      </c>
      <c r="AT24" s="43" t="s">
        <v>635</v>
      </c>
      <c r="AU24" s="44">
        <f t="shared" si="0"/>
        <v>-2.0683002390533769</v>
      </c>
      <c r="AV24" s="44">
        <f t="shared" si="1"/>
        <v>0.32141418228776775</v>
      </c>
      <c r="AW24" s="45">
        <f t="shared" si="2"/>
        <v>3</v>
      </c>
      <c r="AX24" s="45">
        <f t="shared" si="3"/>
        <v>1</v>
      </c>
      <c r="AY24" s="46">
        <f>VLOOKUP(AP24,COND!$A$10:$B$32,2,FALSE)</f>
        <v>0.9</v>
      </c>
      <c r="AZ24" s="44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60.215957207196453</v>
      </c>
      <c r="BA24" s="47">
        <f t="shared" si="4"/>
        <v>1.6196643328853031</v>
      </c>
      <c r="BB24" s="45" t="str">
        <f t="shared" si="5"/>
        <v>SP</v>
      </c>
      <c r="BC24" s="45">
        <f>RANK(Table3[[#This Row],[zScore]],Table3[zScore])</f>
        <v>64</v>
      </c>
      <c r="BD24" s="45"/>
      <c r="BE24" s="45"/>
      <c r="BF24" s="45" t="str">
        <f t="shared" si="6"/>
        <v>Possible</v>
      </c>
      <c r="BG24" s="45"/>
      <c r="BH24" s="45">
        <f>INDEX(Table5[[#All],[Ovr]],MATCH(Table3[[#This Row],[PID]],Table5[[#All],[PID]],0))</f>
        <v>219</v>
      </c>
      <c r="BI24" s="45" t="str">
        <f>INDEX(Table5[[#All],[Rnd]],MATCH(Table3[[#This Row],[PID]],Table5[[#All],[PID]],0))</f>
        <v>8</v>
      </c>
      <c r="BJ24" s="45">
        <f>INDEX(Table5[[#All],[Pick]],MATCH(Table3[[#This Row],[PID]],Table5[[#All],[PID]],0))</f>
        <v>1</v>
      </c>
      <c r="BK24" s="45" t="str">
        <f>INDEX(Table5[[#All],[Team]],MATCH(Table3[[#This Row],[PID]],Table5[[#All],[PID]],0))</f>
        <v>Yuma Arroyos</v>
      </c>
      <c r="BL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" spans="1:64" ht="15" customHeight="1" x14ac:dyDescent="0.25">
      <c r="A25" s="40">
        <v>18325</v>
      </c>
      <c r="B25" s="40" t="s">
        <v>49</v>
      </c>
      <c r="C25" s="40" t="s">
        <v>1786</v>
      </c>
      <c r="D25" s="40" t="s">
        <v>1787</v>
      </c>
      <c r="E25" s="40">
        <v>21</v>
      </c>
      <c r="F25" s="40" t="s">
        <v>62</v>
      </c>
      <c r="G25" s="40" t="s">
        <v>42</v>
      </c>
      <c r="H25" s="41" t="s">
        <v>632</v>
      </c>
      <c r="I25" s="42" t="s">
        <v>43</v>
      </c>
      <c r="J25" s="40" t="s">
        <v>43</v>
      </c>
      <c r="K25" s="41" t="s">
        <v>43</v>
      </c>
      <c r="L25" s="40">
        <v>3</v>
      </c>
      <c r="M25" s="40">
        <v>6</v>
      </c>
      <c r="N25" s="41">
        <v>4</v>
      </c>
      <c r="O25" s="40">
        <v>6</v>
      </c>
      <c r="P25" s="40">
        <v>7</v>
      </c>
      <c r="Q25" s="41">
        <v>5</v>
      </c>
      <c r="R25" s="40">
        <v>5</v>
      </c>
      <c r="S25" s="40">
        <v>8</v>
      </c>
      <c r="T25" s="40" t="s">
        <v>45</v>
      </c>
      <c r="U25" s="40" t="s">
        <v>45</v>
      </c>
      <c r="V25" s="40" t="s">
        <v>45</v>
      </c>
      <c r="W25" s="40" t="s">
        <v>45</v>
      </c>
      <c r="X25" s="40">
        <v>4</v>
      </c>
      <c r="Y25" s="40">
        <v>7</v>
      </c>
      <c r="Z25" s="40" t="s">
        <v>45</v>
      </c>
      <c r="AA25" s="40" t="s">
        <v>45</v>
      </c>
      <c r="AB25" s="40" t="s">
        <v>45</v>
      </c>
      <c r="AC25" s="40" t="s">
        <v>45</v>
      </c>
      <c r="AD25" s="40" t="s">
        <v>45</v>
      </c>
      <c r="AE25" s="40" t="s">
        <v>45</v>
      </c>
      <c r="AF25" s="40" t="s">
        <v>45</v>
      </c>
      <c r="AG25" s="40" t="s">
        <v>45</v>
      </c>
      <c r="AH25" s="40" t="s">
        <v>45</v>
      </c>
      <c r="AI25" s="40" t="s">
        <v>45</v>
      </c>
      <c r="AJ25" s="40" t="s">
        <v>45</v>
      </c>
      <c r="AK25" s="40" t="s">
        <v>45</v>
      </c>
      <c r="AL25" s="40" t="s">
        <v>45</v>
      </c>
      <c r="AM25" s="40" t="s">
        <v>45</v>
      </c>
      <c r="AN25" s="40" t="s">
        <v>45</v>
      </c>
      <c r="AO25" s="41" t="s">
        <v>45</v>
      </c>
      <c r="AP25" s="40" t="s">
        <v>60</v>
      </c>
      <c r="AQ25" s="40">
        <v>3</v>
      </c>
      <c r="AR25" s="48" t="s">
        <v>346</v>
      </c>
      <c r="AS25" s="43" t="s">
        <v>45</v>
      </c>
      <c r="AT25" s="43" t="s">
        <v>47</v>
      </c>
      <c r="AU25" s="44">
        <f t="shared" si="0"/>
        <v>-0.60798130863664268</v>
      </c>
      <c r="AV25" s="44">
        <f t="shared" si="1"/>
        <v>0.85933969811211519</v>
      </c>
      <c r="AW25" s="45">
        <f t="shared" si="2"/>
        <v>2</v>
      </c>
      <c r="AX25" s="45">
        <f t="shared" si="3"/>
        <v>2</v>
      </c>
      <c r="AY25" s="46">
        <f>VLOOKUP(AP25,COND!$A$10:$B$32,2,FALSE)</f>
        <v>1.0249999999999999</v>
      </c>
      <c r="AZ25" s="44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60.025361260876451</v>
      </c>
      <c r="BA25" s="47">
        <f t="shared" si="4"/>
        <v>1.6069842758279842</v>
      </c>
      <c r="BB25" s="45" t="str">
        <f t="shared" si="5"/>
        <v>RP</v>
      </c>
      <c r="BC25" s="45">
        <f>RANK(Table3[[#This Row],[zScore]],Table3[zScore])</f>
        <v>65</v>
      </c>
      <c r="BD25" s="45"/>
      <c r="BE25" s="45"/>
      <c r="BF25" s="45" t="str">
        <f t="shared" si="6"/>
        <v>Likely</v>
      </c>
      <c r="BG25" s="45"/>
      <c r="BH25" s="45">
        <f>INDEX(Table5[[#All],[Ovr]],MATCH(Table3[[#This Row],[PID]],Table5[[#All],[PID]],0))</f>
        <v>66</v>
      </c>
      <c r="BI25" s="45" t="str">
        <f>INDEX(Table5[[#All],[Rnd]],MATCH(Table3[[#This Row],[PID]],Table5[[#All],[PID]],0))</f>
        <v>2</v>
      </c>
      <c r="BJ25" s="45">
        <f>INDEX(Table5[[#All],[Pick]],MATCH(Table3[[#This Row],[PID]],Table5[[#All],[PID]],0))</f>
        <v>31</v>
      </c>
      <c r="BK25" s="45" t="str">
        <f>INDEX(Table5[[#All],[Team]],MATCH(Table3[[#This Row],[PID]],Table5[[#All],[PID]],0))</f>
        <v>San Juan Coqui</v>
      </c>
      <c r="BL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" spans="1:64" ht="15" customHeight="1" x14ac:dyDescent="0.25">
      <c r="A26" s="40">
        <v>13397</v>
      </c>
      <c r="B26" s="40" t="s">
        <v>49</v>
      </c>
      <c r="C26" s="40" t="s">
        <v>197</v>
      </c>
      <c r="D26" s="40" t="s">
        <v>177</v>
      </c>
      <c r="E26" s="40">
        <v>18</v>
      </c>
      <c r="F26" s="40" t="s">
        <v>53</v>
      </c>
      <c r="G26" s="40" t="s">
        <v>53</v>
      </c>
      <c r="H26" s="41" t="s">
        <v>633</v>
      </c>
      <c r="I26" s="42" t="s">
        <v>43</v>
      </c>
      <c r="J26" s="40" t="s">
        <v>44</v>
      </c>
      <c r="K26" s="41" t="s">
        <v>47</v>
      </c>
      <c r="L26" s="40">
        <v>2</v>
      </c>
      <c r="M26" s="40">
        <v>2</v>
      </c>
      <c r="N26" s="41">
        <v>1</v>
      </c>
      <c r="O26" s="40">
        <v>8</v>
      </c>
      <c r="P26" s="40">
        <v>4</v>
      </c>
      <c r="Q26" s="41">
        <v>4</v>
      </c>
      <c r="R26" s="40">
        <v>5</v>
      </c>
      <c r="S26" s="40">
        <v>9</v>
      </c>
      <c r="T26" s="40">
        <v>1</v>
      </c>
      <c r="U26" s="40">
        <v>8</v>
      </c>
      <c r="V26" s="40" t="s">
        <v>45</v>
      </c>
      <c r="W26" s="40" t="s">
        <v>45</v>
      </c>
      <c r="X26" s="40" t="s">
        <v>45</v>
      </c>
      <c r="Y26" s="40" t="s">
        <v>45</v>
      </c>
      <c r="Z26" s="40" t="s">
        <v>45</v>
      </c>
      <c r="AA26" s="40" t="s">
        <v>45</v>
      </c>
      <c r="AB26" s="40" t="s">
        <v>45</v>
      </c>
      <c r="AC26" s="40" t="s">
        <v>45</v>
      </c>
      <c r="AD26" s="40" t="s">
        <v>45</v>
      </c>
      <c r="AE26" s="40" t="s">
        <v>45</v>
      </c>
      <c r="AF26" s="40" t="s">
        <v>45</v>
      </c>
      <c r="AG26" s="40" t="s">
        <v>45</v>
      </c>
      <c r="AH26" s="40" t="s">
        <v>45</v>
      </c>
      <c r="AI26" s="40" t="s">
        <v>45</v>
      </c>
      <c r="AJ26" s="40" t="s">
        <v>45</v>
      </c>
      <c r="AK26" s="40" t="s">
        <v>45</v>
      </c>
      <c r="AL26" s="40" t="s">
        <v>45</v>
      </c>
      <c r="AM26" s="40" t="s">
        <v>45</v>
      </c>
      <c r="AN26" s="40" t="s">
        <v>45</v>
      </c>
      <c r="AO26" s="41" t="s">
        <v>45</v>
      </c>
      <c r="AP26" s="40" t="s">
        <v>58</v>
      </c>
      <c r="AQ26" s="40">
        <v>9</v>
      </c>
      <c r="AR26" s="48" t="s">
        <v>347</v>
      </c>
      <c r="AS26" s="43" t="s">
        <v>553</v>
      </c>
      <c r="AT26" s="43" t="s">
        <v>635</v>
      </c>
      <c r="AU26" s="44">
        <f t="shared" si="0"/>
        <v>-2.311361197028369</v>
      </c>
      <c r="AV26" s="44">
        <f t="shared" si="1"/>
        <v>0.42010663178618557</v>
      </c>
      <c r="AW26" s="45">
        <f t="shared" si="2"/>
        <v>2</v>
      </c>
      <c r="AX26" s="45">
        <f t="shared" si="3"/>
        <v>2</v>
      </c>
      <c r="AY26" s="46">
        <f>VLOOKUP(AP26,COND!$A$10:$B$32,2,FALSE)</f>
        <v>1</v>
      </c>
      <c r="AZ26" s="44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58.439860396318039</v>
      </c>
      <c r="BA26" s="47">
        <f t="shared" si="4"/>
        <v>1.5015033261268034</v>
      </c>
      <c r="BB26" s="45" t="str">
        <f t="shared" si="5"/>
        <v>SP</v>
      </c>
      <c r="BC26" s="45">
        <f>RANK(Table3[[#This Row],[zScore]],Table3[zScore])</f>
        <v>74</v>
      </c>
      <c r="BD26" s="45"/>
      <c r="BE26" s="45"/>
      <c r="BF26" s="45" t="str">
        <f t="shared" si="6"/>
        <v>Possible</v>
      </c>
      <c r="BG26" s="45"/>
      <c r="BH26" s="45">
        <f>INDEX(Table5[[#All],[Ovr]],MATCH(Table3[[#This Row],[PID]],Table5[[#All],[PID]],0))</f>
        <v>40</v>
      </c>
      <c r="BI26" s="45" t="str">
        <f>INDEX(Table5[[#All],[Rnd]],MATCH(Table3[[#This Row],[PID]],Table5[[#All],[PID]],0))</f>
        <v>2</v>
      </c>
      <c r="BJ26" s="45">
        <f>INDEX(Table5[[#All],[Pick]],MATCH(Table3[[#This Row],[PID]],Table5[[#All],[PID]],0))</f>
        <v>5</v>
      </c>
      <c r="BK26" s="45" t="str">
        <f>INDEX(Table5[[#All],[Team]],MATCH(Table3[[#This Row],[PID]],Table5[[#All],[PID]],0))</f>
        <v>Hartford Harpoon</v>
      </c>
      <c r="BL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" spans="1:64" ht="15" customHeight="1" x14ac:dyDescent="0.25">
      <c r="A27" s="40">
        <v>20661</v>
      </c>
      <c r="B27" s="40" t="s">
        <v>49</v>
      </c>
      <c r="C27" s="40" t="s">
        <v>1794</v>
      </c>
      <c r="D27" s="40" t="s">
        <v>687</v>
      </c>
      <c r="E27" s="40">
        <v>18</v>
      </c>
      <c r="F27" s="40" t="s">
        <v>42</v>
      </c>
      <c r="G27" s="40" t="s">
        <v>42</v>
      </c>
      <c r="H27" s="41" t="s">
        <v>633</v>
      </c>
      <c r="I27" s="42" t="s">
        <v>43</v>
      </c>
      <c r="J27" s="40" t="s">
        <v>43</v>
      </c>
      <c r="K27" s="41" t="s">
        <v>47</v>
      </c>
      <c r="L27" s="40">
        <v>4</v>
      </c>
      <c r="M27" s="40">
        <v>2</v>
      </c>
      <c r="N27" s="41">
        <v>1</v>
      </c>
      <c r="O27" s="40">
        <v>7</v>
      </c>
      <c r="P27" s="40">
        <v>5</v>
      </c>
      <c r="Q27" s="41">
        <v>4</v>
      </c>
      <c r="R27" s="40" t="s">
        <v>45</v>
      </c>
      <c r="S27" s="40" t="s">
        <v>45</v>
      </c>
      <c r="T27" s="40" t="s">
        <v>45</v>
      </c>
      <c r="U27" s="40" t="s">
        <v>45</v>
      </c>
      <c r="V27" s="40">
        <v>5</v>
      </c>
      <c r="W27" s="40">
        <v>10</v>
      </c>
      <c r="X27" s="40" t="s">
        <v>45</v>
      </c>
      <c r="Y27" s="40" t="s">
        <v>45</v>
      </c>
      <c r="Z27" s="40" t="s">
        <v>45</v>
      </c>
      <c r="AA27" s="40" t="s">
        <v>45</v>
      </c>
      <c r="AB27" s="40" t="s">
        <v>45</v>
      </c>
      <c r="AC27" s="40" t="s">
        <v>45</v>
      </c>
      <c r="AD27" s="40">
        <v>5</v>
      </c>
      <c r="AE27" s="40">
        <v>6</v>
      </c>
      <c r="AF27" s="40" t="s">
        <v>45</v>
      </c>
      <c r="AG27" s="40" t="s">
        <v>45</v>
      </c>
      <c r="AH27" s="40" t="s">
        <v>45</v>
      </c>
      <c r="AI27" s="40" t="s">
        <v>45</v>
      </c>
      <c r="AJ27" s="40" t="s">
        <v>45</v>
      </c>
      <c r="AK27" s="40" t="s">
        <v>45</v>
      </c>
      <c r="AL27" s="40" t="s">
        <v>45</v>
      </c>
      <c r="AM27" s="40" t="s">
        <v>45</v>
      </c>
      <c r="AN27" s="40" t="s">
        <v>45</v>
      </c>
      <c r="AO27" s="41" t="s">
        <v>45</v>
      </c>
      <c r="AP27" s="40" t="s">
        <v>60</v>
      </c>
      <c r="AQ27" s="40">
        <v>2</v>
      </c>
      <c r="AR27" s="48" t="s">
        <v>347</v>
      </c>
      <c r="AS27" s="43" t="s">
        <v>654</v>
      </c>
      <c r="AT27" s="43" t="s">
        <v>47</v>
      </c>
      <c r="AU27" s="44">
        <f t="shared" si="0"/>
        <v>-1.9219785480100218</v>
      </c>
      <c r="AV27" s="44">
        <f t="shared" si="1"/>
        <v>0.4208470237070675</v>
      </c>
      <c r="AW27" s="45">
        <f t="shared" si="2"/>
        <v>2</v>
      </c>
      <c r="AX27" s="45">
        <f t="shared" si="3"/>
        <v>2</v>
      </c>
      <c r="AY27" s="46">
        <f>VLOOKUP(AP27,COND!$A$10:$B$32,2,FALSE)</f>
        <v>1.0249999999999999</v>
      </c>
      <c r="AZ27" s="44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56.52981546447019</v>
      </c>
      <c r="BA27" s="47">
        <f t="shared" si="4"/>
        <v>1.3744309555675152</v>
      </c>
      <c r="BB27" s="45" t="str">
        <f t="shared" si="5"/>
        <v>RP</v>
      </c>
      <c r="BC27" s="45">
        <f>RANK(Table3[[#This Row],[zScore]],Table3[zScore])</f>
        <v>88</v>
      </c>
      <c r="BD27" s="45"/>
      <c r="BE27" s="45"/>
      <c r="BF27" s="45" t="str">
        <f t="shared" si="6"/>
        <v>Possible</v>
      </c>
      <c r="BG27" s="45"/>
      <c r="BH27" s="45">
        <f>INDEX(Table5[[#All],[Ovr]],MATCH(Table3[[#This Row],[PID]],Table5[[#All],[PID]],0))</f>
        <v>39</v>
      </c>
      <c r="BI27" s="45" t="str">
        <f>INDEX(Table5[[#All],[Rnd]],MATCH(Table3[[#This Row],[PID]],Table5[[#All],[PID]],0))</f>
        <v>2</v>
      </c>
      <c r="BJ27" s="45">
        <f>INDEX(Table5[[#All],[Pick]],MATCH(Table3[[#This Row],[PID]],Table5[[#All],[PID]],0))</f>
        <v>4</v>
      </c>
      <c r="BK27" s="45" t="str">
        <f>INDEX(Table5[[#All],[Team]],MATCH(Table3[[#This Row],[PID]],Table5[[#All],[PID]],0))</f>
        <v>New Orleans Trendsetters</v>
      </c>
      <c r="BL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" spans="1:64" ht="15" customHeight="1" x14ac:dyDescent="0.25">
      <c r="A28" s="40">
        <v>18273</v>
      </c>
      <c r="B28" s="40" t="s">
        <v>49</v>
      </c>
      <c r="C28" s="40" t="s">
        <v>126</v>
      </c>
      <c r="D28" s="40" t="s">
        <v>1821</v>
      </c>
      <c r="E28" s="40">
        <v>18</v>
      </c>
      <c r="F28" s="40" t="s">
        <v>42</v>
      </c>
      <c r="G28" s="40" t="s">
        <v>42</v>
      </c>
      <c r="H28" s="41" t="s">
        <v>634</v>
      </c>
      <c r="I28" s="42" t="s">
        <v>44</v>
      </c>
      <c r="J28" s="40" t="s">
        <v>44</v>
      </c>
      <c r="K28" s="41" t="s">
        <v>43</v>
      </c>
      <c r="L28" s="40">
        <v>2</v>
      </c>
      <c r="M28" s="40">
        <v>2</v>
      </c>
      <c r="N28" s="41">
        <v>1</v>
      </c>
      <c r="O28" s="40">
        <v>5</v>
      </c>
      <c r="P28" s="40">
        <v>4</v>
      </c>
      <c r="Q28" s="41">
        <v>5</v>
      </c>
      <c r="R28" s="40">
        <v>3</v>
      </c>
      <c r="S28" s="40">
        <v>4</v>
      </c>
      <c r="T28" s="40" t="s">
        <v>45</v>
      </c>
      <c r="U28" s="40" t="s">
        <v>45</v>
      </c>
      <c r="V28" s="40">
        <v>1</v>
      </c>
      <c r="W28" s="40">
        <v>6</v>
      </c>
      <c r="X28" s="40" t="s">
        <v>45</v>
      </c>
      <c r="Y28" s="40" t="s">
        <v>45</v>
      </c>
      <c r="Z28" s="40" t="s">
        <v>45</v>
      </c>
      <c r="AA28" s="40" t="s">
        <v>45</v>
      </c>
      <c r="AB28" s="40" t="s">
        <v>45</v>
      </c>
      <c r="AC28" s="40" t="s">
        <v>45</v>
      </c>
      <c r="AD28" s="40" t="s">
        <v>45</v>
      </c>
      <c r="AE28" s="40" t="s">
        <v>45</v>
      </c>
      <c r="AF28" s="40">
        <v>3</v>
      </c>
      <c r="AG28" s="40">
        <v>6</v>
      </c>
      <c r="AH28" s="40" t="s">
        <v>45</v>
      </c>
      <c r="AI28" s="40" t="s">
        <v>45</v>
      </c>
      <c r="AJ28" s="40" t="s">
        <v>45</v>
      </c>
      <c r="AK28" s="40" t="s">
        <v>45</v>
      </c>
      <c r="AL28" s="40" t="s">
        <v>45</v>
      </c>
      <c r="AM28" s="40" t="s">
        <v>45</v>
      </c>
      <c r="AN28" s="40" t="s">
        <v>45</v>
      </c>
      <c r="AO28" s="41" t="s">
        <v>45</v>
      </c>
      <c r="AP28" s="40" t="s">
        <v>349</v>
      </c>
      <c r="AQ28" s="40">
        <v>6</v>
      </c>
      <c r="AR28" s="48" t="s">
        <v>347</v>
      </c>
      <c r="AS28" s="43" t="s">
        <v>599</v>
      </c>
      <c r="AT28" s="43" t="s">
        <v>47</v>
      </c>
      <c r="AU28" s="44">
        <f t="shared" si="0"/>
        <v>-2.311361197028369</v>
      </c>
      <c r="AV28" s="44">
        <f t="shared" si="1"/>
        <v>7.8353224312775444E-2</v>
      </c>
      <c r="AW28" s="45">
        <f t="shared" si="2"/>
        <v>3</v>
      </c>
      <c r="AX28" s="45">
        <f t="shared" si="3"/>
        <v>2</v>
      </c>
      <c r="AY28" s="46">
        <f>VLOOKUP(AP28,COND!$A$10:$B$32,2,FALSE)</f>
        <v>1</v>
      </c>
      <c r="AZ28" s="44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56.527172440678584</v>
      </c>
      <c r="BA28" s="47">
        <f t="shared" si="4"/>
        <v>1.3742551192334878</v>
      </c>
      <c r="BB28" s="45" t="str">
        <f t="shared" si="5"/>
        <v>SP</v>
      </c>
      <c r="BC28" s="45">
        <f>RANK(Table3[[#This Row],[zScore]],Table3[zScore])</f>
        <v>89</v>
      </c>
      <c r="BD28" s="45"/>
      <c r="BE28" s="45"/>
      <c r="BF28" s="45" t="str">
        <f t="shared" si="6"/>
        <v>Possible</v>
      </c>
      <c r="BG28" s="45"/>
      <c r="BH28" s="45">
        <f>INDEX(Table5[[#All],[Ovr]],MATCH(Table3[[#This Row],[PID]],Table5[[#All],[PID]],0))</f>
        <v>357</v>
      </c>
      <c r="BI28" s="45" t="str">
        <f>INDEX(Table5[[#All],[Rnd]],MATCH(Table3[[#This Row],[PID]],Table5[[#All],[PID]],0))</f>
        <v>12</v>
      </c>
      <c r="BJ28" s="45">
        <f>INDEX(Table5[[#All],[Pick]],MATCH(Table3[[#This Row],[PID]],Table5[[#All],[PID]],0))</f>
        <v>19</v>
      </c>
      <c r="BK28" s="45" t="str">
        <f>INDEX(Table5[[#All],[Team]],MATCH(Table3[[#This Row],[PID]],Table5[[#All],[PID]],0))</f>
        <v>Kalamazoo Badgers</v>
      </c>
      <c r="BL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" spans="1:64" ht="15" customHeight="1" x14ac:dyDescent="0.25">
      <c r="A29" s="40">
        <v>20710</v>
      </c>
      <c r="B29" s="40" t="s">
        <v>49</v>
      </c>
      <c r="C29" s="40" t="s">
        <v>171</v>
      </c>
      <c r="D29" s="40" t="s">
        <v>156</v>
      </c>
      <c r="E29" s="40">
        <v>18</v>
      </c>
      <c r="F29" s="40" t="s">
        <v>62</v>
      </c>
      <c r="G29" s="40" t="s">
        <v>42</v>
      </c>
      <c r="H29" s="41" t="s">
        <v>633</v>
      </c>
      <c r="I29" s="42" t="s">
        <v>44</v>
      </c>
      <c r="J29" s="40" t="s">
        <v>47</v>
      </c>
      <c r="K29" s="41" t="s">
        <v>43</v>
      </c>
      <c r="L29" s="40">
        <v>3</v>
      </c>
      <c r="M29" s="40">
        <v>2</v>
      </c>
      <c r="N29" s="41">
        <v>1</v>
      </c>
      <c r="O29" s="40">
        <v>7</v>
      </c>
      <c r="P29" s="40">
        <v>5</v>
      </c>
      <c r="Q29" s="41">
        <v>4</v>
      </c>
      <c r="R29" s="40">
        <v>5</v>
      </c>
      <c r="S29" s="40">
        <v>9</v>
      </c>
      <c r="T29" s="40">
        <v>3</v>
      </c>
      <c r="U29" s="40">
        <v>8</v>
      </c>
      <c r="V29" s="40" t="s">
        <v>45</v>
      </c>
      <c r="W29" s="40" t="s">
        <v>45</v>
      </c>
      <c r="X29" s="40" t="s">
        <v>45</v>
      </c>
      <c r="Y29" s="40" t="s">
        <v>45</v>
      </c>
      <c r="Z29" s="40" t="s">
        <v>45</v>
      </c>
      <c r="AA29" s="40" t="s">
        <v>45</v>
      </c>
      <c r="AB29" s="40" t="s">
        <v>45</v>
      </c>
      <c r="AC29" s="40" t="s">
        <v>45</v>
      </c>
      <c r="AD29" s="40" t="s">
        <v>45</v>
      </c>
      <c r="AE29" s="40" t="s">
        <v>45</v>
      </c>
      <c r="AF29" s="40" t="s">
        <v>45</v>
      </c>
      <c r="AG29" s="40" t="s">
        <v>45</v>
      </c>
      <c r="AH29" s="40" t="s">
        <v>45</v>
      </c>
      <c r="AI29" s="40" t="s">
        <v>45</v>
      </c>
      <c r="AJ29" s="40" t="s">
        <v>45</v>
      </c>
      <c r="AK29" s="40" t="s">
        <v>45</v>
      </c>
      <c r="AL29" s="40" t="s">
        <v>45</v>
      </c>
      <c r="AM29" s="40" t="s">
        <v>45</v>
      </c>
      <c r="AN29" s="40" t="s">
        <v>45</v>
      </c>
      <c r="AO29" s="41" t="s">
        <v>45</v>
      </c>
      <c r="AP29" s="40" t="s">
        <v>60</v>
      </c>
      <c r="AQ29" s="40">
        <v>2</v>
      </c>
      <c r="AR29" s="48" t="s">
        <v>347</v>
      </c>
      <c r="AS29" s="43" t="s">
        <v>644</v>
      </c>
      <c r="AT29" s="43" t="s">
        <v>635</v>
      </c>
      <c r="AU29" s="44">
        <f t="shared" si="0"/>
        <v>-2.1166698725191955</v>
      </c>
      <c r="AV29" s="44">
        <f t="shared" si="1"/>
        <v>0.4208470237070675</v>
      </c>
      <c r="AW29" s="45">
        <f t="shared" si="2"/>
        <v>2</v>
      </c>
      <c r="AX29" s="45">
        <f t="shared" si="3"/>
        <v>2</v>
      </c>
      <c r="AY29" s="46">
        <f>VLOOKUP(AP29,COND!$A$10:$B$32,2,FALSE)</f>
        <v>1.0249999999999999</v>
      </c>
      <c r="AZ29" s="44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56.341899329022027</v>
      </c>
      <c r="BA29" s="47">
        <f t="shared" si="4"/>
        <v>1.3619291822324571</v>
      </c>
      <c r="BB29" s="45" t="str">
        <f t="shared" si="5"/>
        <v>RP</v>
      </c>
      <c r="BC29" s="45">
        <f>RANK(Table3[[#This Row],[zScore]],Table3[zScore])</f>
        <v>91</v>
      </c>
      <c r="BD29" s="45"/>
      <c r="BE29" s="45"/>
      <c r="BF29" s="45" t="str">
        <f t="shared" si="6"/>
        <v>Possible</v>
      </c>
      <c r="BG29" s="45"/>
      <c r="BH29" s="45">
        <f>INDEX(Table5[[#All],[Ovr]],MATCH(Table3[[#This Row],[PID]],Table5[[#All],[PID]],0))</f>
        <v>78</v>
      </c>
      <c r="BI29" s="45" t="str">
        <f>INDEX(Table5[[#All],[Rnd]],MATCH(Table3[[#This Row],[PID]],Table5[[#All],[PID]],0))</f>
        <v>3</v>
      </c>
      <c r="BJ29" s="45">
        <f>INDEX(Table5[[#All],[Pick]],MATCH(Table3[[#This Row],[PID]],Table5[[#All],[PID]],0))</f>
        <v>10</v>
      </c>
      <c r="BK29" s="45" t="str">
        <f>INDEX(Table5[[#All],[Team]],MATCH(Table3[[#This Row],[PID]],Table5[[#All],[PID]],0))</f>
        <v>Hartford Harpoon</v>
      </c>
      <c r="BL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" spans="1:64" ht="15" customHeight="1" x14ac:dyDescent="0.25">
      <c r="A30" s="40">
        <v>18183</v>
      </c>
      <c r="B30" s="40" t="s">
        <v>49</v>
      </c>
      <c r="C30" s="40" t="s">
        <v>1832</v>
      </c>
      <c r="D30" s="40" t="s">
        <v>1536</v>
      </c>
      <c r="E30" s="40">
        <v>18</v>
      </c>
      <c r="F30" s="40" t="s">
        <v>42</v>
      </c>
      <c r="G30" s="40" t="s">
        <v>42</v>
      </c>
      <c r="H30" s="41" t="s">
        <v>634</v>
      </c>
      <c r="I30" s="42" t="s">
        <v>47</v>
      </c>
      <c r="J30" s="40" t="s">
        <v>47</v>
      </c>
      <c r="K30" s="41" t="s">
        <v>43</v>
      </c>
      <c r="L30" s="40">
        <v>4</v>
      </c>
      <c r="M30" s="40">
        <v>2</v>
      </c>
      <c r="N30" s="41">
        <v>1</v>
      </c>
      <c r="O30" s="40">
        <v>7</v>
      </c>
      <c r="P30" s="40">
        <v>4</v>
      </c>
      <c r="Q30" s="41">
        <v>3</v>
      </c>
      <c r="R30" s="40">
        <v>5</v>
      </c>
      <c r="S30" s="40">
        <v>9</v>
      </c>
      <c r="T30" s="40">
        <v>1</v>
      </c>
      <c r="U30" s="40">
        <v>1</v>
      </c>
      <c r="V30" s="40" t="s">
        <v>45</v>
      </c>
      <c r="W30" s="40" t="s">
        <v>45</v>
      </c>
      <c r="X30" s="40" t="s">
        <v>45</v>
      </c>
      <c r="Y30" s="40" t="s">
        <v>45</v>
      </c>
      <c r="Z30" s="40">
        <v>4</v>
      </c>
      <c r="AA30" s="40">
        <v>7</v>
      </c>
      <c r="AB30" s="40" t="s">
        <v>45</v>
      </c>
      <c r="AC30" s="40" t="s">
        <v>45</v>
      </c>
      <c r="AD30" s="40" t="s">
        <v>45</v>
      </c>
      <c r="AE30" s="40" t="s">
        <v>45</v>
      </c>
      <c r="AF30" s="40" t="s">
        <v>45</v>
      </c>
      <c r="AG30" s="40" t="s">
        <v>45</v>
      </c>
      <c r="AH30" s="40" t="s">
        <v>45</v>
      </c>
      <c r="AI30" s="40" t="s">
        <v>45</v>
      </c>
      <c r="AJ30" s="40" t="s">
        <v>45</v>
      </c>
      <c r="AK30" s="40" t="s">
        <v>45</v>
      </c>
      <c r="AL30" s="40" t="s">
        <v>45</v>
      </c>
      <c r="AM30" s="40" t="s">
        <v>45</v>
      </c>
      <c r="AN30" s="40" t="s">
        <v>45</v>
      </c>
      <c r="AO30" s="41" t="s">
        <v>45</v>
      </c>
      <c r="AP30" s="40" t="s">
        <v>48</v>
      </c>
      <c r="AQ30" s="40">
        <v>7</v>
      </c>
      <c r="AR30" s="48" t="s">
        <v>346</v>
      </c>
      <c r="AS30" s="43" t="s">
        <v>644</v>
      </c>
      <c r="AT30" s="43" t="s">
        <v>47</v>
      </c>
      <c r="AU30" s="44">
        <f t="shared" si="0"/>
        <v>-1.9219785480100218</v>
      </c>
      <c r="AV30" s="44">
        <f t="shared" si="1"/>
        <v>-1.690525877709835E-2</v>
      </c>
      <c r="AW30" s="45">
        <f t="shared" si="2"/>
        <v>3</v>
      </c>
      <c r="AX30" s="45">
        <f t="shared" si="3"/>
        <v>2</v>
      </c>
      <c r="AY30" s="46">
        <f>VLOOKUP(AP30,COND!$A$10:$B$32,2,FALSE)</f>
        <v>1.05</v>
      </c>
      <c r="AZ30" s="44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55.966374070598832</v>
      </c>
      <c r="BA30" s="47">
        <f t="shared" si="4"/>
        <v>1.3369460606330297</v>
      </c>
      <c r="BB30" s="45" t="str">
        <f t="shared" si="5"/>
        <v>SP</v>
      </c>
      <c r="BC30" s="45">
        <f>RANK(Table3[[#This Row],[zScore]],Table3[zScore])</f>
        <v>95</v>
      </c>
      <c r="BD30" s="45"/>
      <c r="BE30" s="45"/>
      <c r="BF30" s="45" t="str">
        <f t="shared" si="6"/>
        <v>Possible</v>
      </c>
      <c r="BG30" s="45"/>
      <c r="BH30" s="45">
        <f>INDEX(Table5[[#All],[Ovr]],MATCH(Table3[[#This Row],[PID]],Table5[[#All],[PID]],0))</f>
        <v>200</v>
      </c>
      <c r="BI30" s="45" t="str">
        <f>INDEX(Table5[[#All],[Rnd]],MATCH(Table3[[#This Row],[PID]],Table5[[#All],[PID]],0))</f>
        <v>7</v>
      </c>
      <c r="BJ30" s="45">
        <f>INDEX(Table5[[#All],[Pick]],MATCH(Table3[[#This Row],[PID]],Table5[[#All],[PID]],0))</f>
        <v>12</v>
      </c>
      <c r="BK30" s="45" t="str">
        <f>INDEX(Table5[[#All],[Team]],MATCH(Table3[[#This Row],[PID]],Table5[[#All],[PID]],0))</f>
        <v>Palm Springs Codgers</v>
      </c>
      <c r="BL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" spans="1:64" ht="15" customHeight="1" x14ac:dyDescent="0.25">
      <c r="A31" s="40">
        <v>20189</v>
      </c>
      <c r="B31" s="40" t="s">
        <v>49</v>
      </c>
      <c r="C31" s="40" t="s">
        <v>1797</v>
      </c>
      <c r="D31" s="40" t="s">
        <v>361</v>
      </c>
      <c r="E31" s="40">
        <v>21</v>
      </c>
      <c r="F31" s="40" t="s">
        <v>62</v>
      </c>
      <c r="G31" s="40" t="s">
        <v>42</v>
      </c>
      <c r="H31" s="41" t="s">
        <v>633</v>
      </c>
      <c r="I31" s="42" t="s">
        <v>43</v>
      </c>
      <c r="J31" s="40" t="s">
        <v>43</v>
      </c>
      <c r="K31" s="41" t="s">
        <v>43</v>
      </c>
      <c r="L31" s="40">
        <v>5</v>
      </c>
      <c r="M31" s="40">
        <v>2</v>
      </c>
      <c r="N31" s="41">
        <v>4</v>
      </c>
      <c r="O31" s="40">
        <v>8</v>
      </c>
      <c r="P31" s="40">
        <v>4</v>
      </c>
      <c r="Q31" s="41">
        <v>5</v>
      </c>
      <c r="R31" s="40" t="s">
        <v>45</v>
      </c>
      <c r="S31" s="40" t="s">
        <v>45</v>
      </c>
      <c r="T31" s="40" t="s">
        <v>45</v>
      </c>
      <c r="U31" s="40" t="s">
        <v>45</v>
      </c>
      <c r="V31" s="40">
        <v>4</v>
      </c>
      <c r="W31" s="40">
        <v>5</v>
      </c>
      <c r="X31" s="40" t="s">
        <v>45</v>
      </c>
      <c r="Y31" s="40" t="s">
        <v>45</v>
      </c>
      <c r="Z31" s="40" t="s">
        <v>45</v>
      </c>
      <c r="AA31" s="40" t="s">
        <v>45</v>
      </c>
      <c r="AB31" s="40" t="s">
        <v>45</v>
      </c>
      <c r="AC31" s="40" t="s">
        <v>45</v>
      </c>
      <c r="AD31" s="40">
        <v>7</v>
      </c>
      <c r="AE31" s="40">
        <v>9</v>
      </c>
      <c r="AF31" s="40" t="s">
        <v>45</v>
      </c>
      <c r="AG31" s="40" t="s">
        <v>45</v>
      </c>
      <c r="AH31" s="40" t="s">
        <v>45</v>
      </c>
      <c r="AI31" s="40" t="s">
        <v>45</v>
      </c>
      <c r="AJ31" s="40" t="s">
        <v>45</v>
      </c>
      <c r="AK31" s="40" t="s">
        <v>45</v>
      </c>
      <c r="AL31" s="40" t="s">
        <v>45</v>
      </c>
      <c r="AM31" s="40" t="s">
        <v>45</v>
      </c>
      <c r="AN31" s="40" t="s">
        <v>45</v>
      </c>
      <c r="AO31" s="41" t="s">
        <v>45</v>
      </c>
      <c r="AP31" s="40" t="s">
        <v>48</v>
      </c>
      <c r="AQ31" s="40">
        <v>4</v>
      </c>
      <c r="AR31" s="48" t="s">
        <v>347</v>
      </c>
      <c r="AS31" s="43" t="s">
        <v>643</v>
      </c>
      <c r="AT31" s="43" t="s">
        <v>47</v>
      </c>
      <c r="AU31" s="44">
        <f t="shared" si="0"/>
        <v>-1.0003255253385175</v>
      </c>
      <c r="AV31" s="44">
        <f t="shared" si="1"/>
        <v>0.66242719784029602</v>
      </c>
      <c r="AW31" s="45">
        <f t="shared" si="2"/>
        <v>2</v>
      </c>
      <c r="AX31" s="45">
        <f t="shared" si="3"/>
        <v>1</v>
      </c>
      <c r="AY31" s="46">
        <f>VLOOKUP(AP31,COND!$A$10:$B$32,2,FALSE)</f>
        <v>1.05</v>
      </c>
      <c r="AZ31" s="44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55.26023265460887</v>
      </c>
      <c r="BA31" s="47">
        <f t="shared" si="4"/>
        <v>1.2899675512881592</v>
      </c>
      <c r="BB31" s="45" t="str">
        <f t="shared" si="5"/>
        <v>RP</v>
      </c>
      <c r="BC31" s="45">
        <f>RANK(Table3[[#This Row],[zScore]],Table3[zScore])</f>
        <v>103</v>
      </c>
      <c r="BD31" s="45"/>
      <c r="BE31" s="45"/>
      <c r="BF31" s="45" t="str">
        <f t="shared" si="6"/>
        <v>Possible</v>
      </c>
      <c r="BG31" s="45"/>
      <c r="BH31" s="45">
        <f>INDEX(Table5[[#All],[Ovr]],MATCH(Table3[[#This Row],[PID]],Table5[[#All],[PID]],0))</f>
        <v>73</v>
      </c>
      <c r="BI31" s="45" t="str">
        <f>INDEX(Table5[[#All],[Rnd]],MATCH(Table3[[#This Row],[PID]],Table5[[#All],[PID]],0))</f>
        <v>3</v>
      </c>
      <c r="BJ31" s="45">
        <f>INDEX(Table5[[#All],[Pick]],MATCH(Table3[[#This Row],[PID]],Table5[[#All],[PID]],0))</f>
        <v>5</v>
      </c>
      <c r="BK31" s="45" t="str">
        <f>INDEX(Table5[[#All],[Team]],MATCH(Table3[[#This Row],[PID]],Table5[[#All],[PID]],0))</f>
        <v>Aurora Borealis</v>
      </c>
      <c r="BL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" spans="1:64" ht="15" customHeight="1" x14ac:dyDescent="0.25">
      <c r="A32" s="40">
        <v>18398</v>
      </c>
      <c r="B32" s="40" t="s">
        <v>49</v>
      </c>
      <c r="C32" s="40" t="s">
        <v>1230</v>
      </c>
      <c r="D32" s="40" t="s">
        <v>1835</v>
      </c>
      <c r="E32" s="40">
        <v>18</v>
      </c>
      <c r="F32" s="40" t="s">
        <v>42</v>
      </c>
      <c r="G32" s="40" t="s">
        <v>42</v>
      </c>
      <c r="H32" s="41" t="s">
        <v>634</v>
      </c>
      <c r="I32" s="42" t="s">
        <v>43</v>
      </c>
      <c r="J32" s="40" t="s">
        <v>44</v>
      </c>
      <c r="K32" s="41" t="s">
        <v>44</v>
      </c>
      <c r="L32" s="40">
        <v>1</v>
      </c>
      <c r="M32" s="40">
        <v>3</v>
      </c>
      <c r="N32" s="41">
        <v>2</v>
      </c>
      <c r="O32" s="40">
        <v>3</v>
      </c>
      <c r="P32" s="40">
        <v>5</v>
      </c>
      <c r="Q32" s="41">
        <v>6</v>
      </c>
      <c r="R32" s="40">
        <v>3</v>
      </c>
      <c r="S32" s="40">
        <v>4</v>
      </c>
      <c r="T32" s="40">
        <v>1</v>
      </c>
      <c r="U32" s="40">
        <v>1</v>
      </c>
      <c r="V32" s="40" t="s">
        <v>45</v>
      </c>
      <c r="W32" s="40" t="s">
        <v>45</v>
      </c>
      <c r="X32" s="40">
        <v>2</v>
      </c>
      <c r="Y32" s="40">
        <v>5</v>
      </c>
      <c r="Z32" s="40" t="s">
        <v>45</v>
      </c>
      <c r="AA32" s="40" t="s">
        <v>45</v>
      </c>
      <c r="AB32" s="40" t="s">
        <v>45</v>
      </c>
      <c r="AC32" s="40" t="s">
        <v>45</v>
      </c>
      <c r="AD32" s="40" t="s">
        <v>45</v>
      </c>
      <c r="AE32" s="40" t="s">
        <v>45</v>
      </c>
      <c r="AF32" s="40" t="s">
        <v>45</v>
      </c>
      <c r="AG32" s="40" t="s">
        <v>45</v>
      </c>
      <c r="AH32" s="40" t="s">
        <v>45</v>
      </c>
      <c r="AI32" s="40" t="s">
        <v>45</v>
      </c>
      <c r="AJ32" s="40" t="s">
        <v>45</v>
      </c>
      <c r="AK32" s="40" t="s">
        <v>45</v>
      </c>
      <c r="AL32" s="40" t="s">
        <v>45</v>
      </c>
      <c r="AM32" s="40" t="s">
        <v>45</v>
      </c>
      <c r="AN32" s="40" t="s">
        <v>45</v>
      </c>
      <c r="AO32" s="41" t="s">
        <v>45</v>
      </c>
      <c r="AP32" s="40" t="s">
        <v>68</v>
      </c>
      <c r="AQ32" s="40">
        <v>8</v>
      </c>
      <c r="AR32" s="48" t="s">
        <v>346</v>
      </c>
      <c r="AS32" s="43" t="s">
        <v>656</v>
      </c>
      <c r="AT32" s="43" t="s">
        <v>635</v>
      </c>
      <c r="AU32" s="44">
        <f t="shared" si="0"/>
        <v>-2.0683002390533769</v>
      </c>
      <c r="AV32" s="44">
        <f t="shared" si="1"/>
        <v>0.12672285777859421</v>
      </c>
      <c r="AW32" s="45">
        <f t="shared" si="2"/>
        <v>3</v>
      </c>
      <c r="AX32" s="45">
        <f t="shared" si="3"/>
        <v>0</v>
      </c>
      <c r="AY32" s="46">
        <f>VLOOKUP(AP32,COND!$A$10:$B$32,2,FALSE)</f>
        <v>0.95</v>
      </c>
      <c r="AZ32" s="44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54.839757252373147</v>
      </c>
      <c r="BA32" s="47">
        <f t="shared" si="4"/>
        <v>1.2619939653095966</v>
      </c>
      <c r="BB32" s="45" t="str">
        <f t="shared" si="5"/>
        <v>SP</v>
      </c>
      <c r="BC32" s="45">
        <f>RANK(Table3[[#This Row],[zScore]],Table3[zScore])</f>
        <v>105</v>
      </c>
      <c r="BD32" s="45"/>
      <c r="BE32" s="45"/>
      <c r="BF32" s="45" t="str">
        <f t="shared" si="6"/>
        <v>Possible</v>
      </c>
      <c r="BG32" s="45"/>
      <c r="BH32" s="45">
        <f>INDEX(Table5[[#All],[Ovr]],MATCH(Table3[[#This Row],[PID]],Table5[[#All],[PID]],0))</f>
        <v>246</v>
      </c>
      <c r="BI32" s="45" t="str">
        <f>INDEX(Table5[[#All],[Rnd]],MATCH(Table3[[#This Row],[PID]],Table5[[#All],[PID]],0))</f>
        <v>8</v>
      </c>
      <c r="BJ32" s="45">
        <f>INDEX(Table5[[#All],[Pick]],MATCH(Table3[[#This Row],[PID]],Table5[[#All],[PID]],0))</f>
        <v>28</v>
      </c>
      <c r="BK32" s="45" t="str">
        <f>INDEX(Table5[[#All],[Team]],MATCH(Table3[[#This Row],[PID]],Table5[[#All],[PID]],0))</f>
        <v>San Juan Coqui</v>
      </c>
      <c r="BL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" spans="1:64" ht="15" customHeight="1" x14ac:dyDescent="0.25">
      <c r="A33" s="40">
        <v>18104</v>
      </c>
      <c r="B33" s="40" t="s">
        <v>49</v>
      </c>
      <c r="C33" s="40" t="s">
        <v>387</v>
      </c>
      <c r="D33" s="40" t="s">
        <v>1569</v>
      </c>
      <c r="E33" s="40">
        <v>21</v>
      </c>
      <c r="F33" s="40" t="s">
        <v>62</v>
      </c>
      <c r="G33" s="40" t="s">
        <v>42</v>
      </c>
      <c r="H33" s="41" t="s">
        <v>633</v>
      </c>
      <c r="I33" s="42" t="s">
        <v>47</v>
      </c>
      <c r="J33" s="40" t="s">
        <v>43</v>
      </c>
      <c r="K33" s="41" t="s">
        <v>43</v>
      </c>
      <c r="L33" s="40">
        <v>3</v>
      </c>
      <c r="M33" s="40">
        <v>2</v>
      </c>
      <c r="N33" s="41">
        <v>2</v>
      </c>
      <c r="O33" s="40">
        <v>8</v>
      </c>
      <c r="P33" s="40">
        <v>6</v>
      </c>
      <c r="Q33" s="41">
        <v>3</v>
      </c>
      <c r="R33" s="40" t="s">
        <v>45</v>
      </c>
      <c r="S33" s="40" t="s">
        <v>45</v>
      </c>
      <c r="T33" s="40" t="s">
        <v>45</v>
      </c>
      <c r="U33" s="40" t="s">
        <v>45</v>
      </c>
      <c r="V33" s="40">
        <v>4</v>
      </c>
      <c r="W33" s="40">
        <v>8</v>
      </c>
      <c r="X33" s="40" t="s">
        <v>45</v>
      </c>
      <c r="Y33" s="40" t="s">
        <v>45</v>
      </c>
      <c r="Z33" s="40" t="s">
        <v>45</v>
      </c>
      <c r="AA33" s="40" t="s">
        <v>45</v>
      </c>
      <c r="AB33" s="40" t="s">
        <v>45</v>
      </c>
      <c r="AC33" s="40" t="s">
        <v>45</v>
      </c>
      <c r="AD33" s="40">
        <v>5</v>
      </c>
      <c r="AE33" s="40">
        <v>9</v>
      </c>
      <c r="AF33" s="40" t="s">
        <v>45</v>
      </c>
      <c r="AG33" s="40" t="s">
        <v>45</v>
      </c>
      <c r="AH33" s="40" t="s">
        <v>45</v>
      </c>
      <c r="AI33" s="40" t="s">
        <v>45</v>
      </c>
      <c r="AJ33" s="40" t="s">
        <v>45</v>
      </c>
      <c r="AK33" s="40" t="s">
        <v>45</v>
      </c>
      <c r="AL33" s="40" t="s">
        <v>45</v>
      </c>
      <c r="AM33" s="40" t="s">
        <v>45</v>
      </c>
      <c r="AN33" s="40" t="s">
        <v>45</v>
      </c>
      <c r="AO33" s="41" t="s">
        <v>45</v>
      </c>
      <c r="AP33" s="40" t="s">
        <v>54</v>
      </c>
      <c r="AQ33" s="40">
        <v>6</v>
      </c>
      <c r="AR33" s="48" t="s">
        <v>347</v>
      </c>
      <c r="AS33" s="43" t="s">
        <v>45</v>
      </c>
      <c r="AT33" s="43" t="s">
        <v>635</v>
      </c>
      <c r="AU33" s="44">
        <f t="shared" si="0"/>
        <v>-1.8743493064650851</v>
      </c>
      <c r="AV33" s="44">
        <f t="shared" si="1"/>
        <v>0.56864949859218594</v>
      </c>
      <c r="AW33" s="45">
        <f t="shared" si="2"/>
        <v>2</v>
      </c>
      <c r="AX33" s="45">
        <f t="shared" si="3"/>
        <v>2</v>
      </c>
      <c r="AY33" s="46">
        <f>VLOOKUP(AP33,COND!$A$10:$B$32,2,FALSE)</f>
        <v>1.0249999999999999</v>
      </c>
      <c r="AZ33" s="44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54.714058785481605</v>
      </c>
      <c r="BA33" s="47">
        <f t="shared" si="4"/>
        <v>1.253631438388241</v>
      </c>
      <c r="BB33" s="45" t="str">
        <f t="shared" si="5"/>
        <v>RP</v>
      </c>
      <c r="BC33" s="45">
        <f>RANK(Table3[[#This Row],[zScore]],Table3[zScore])</f>
        <v>106</v>
      </c>
      <c r="BD33" s="45"/>
      <c r="BE33" s="45"/>
      <c r="BF33" s="45" t="str">
        <f t="shared" si="6"/>
        <v>Possible</v>
      </c>
      <c r="BG33" s="45"/>
      <c r="BH33" s="45">
        <f>INDEX(Table5[[#All],[Ovr]],MATCH(Table3[[#This Row],[PID]],Table5[[#All],[PID]],0))</f>
        <v>149</v>
      </c>
      <c r="BI33" s="45" t="str">
        <f>INDEX(Table5[[#All],[Rnd]],MATCH(Table3[[#This Row],[PID]],Table5[[#All],[PID]],0))</f>
        <v>5</v>
      </c>
      <c r="BJ33" s="45">
        <f>INDEX(Table5[[#All],[Pick]],MATCH(Table3[[#This Row],[PID]],Table5[[#All],[PID]],0))</f>
        <v>21</v>
      </c>
      <c r="BK33" s="45" t="str">
        <f>INDEX(Table5[[#All],[Team]],MATCH(Table3[[#This Row],[PID]],Table5[[#All],[PID]],0))</f>
        <v>Tempe Knights</v>
      </c>
      <c r="BL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" spans="1:64" ht="15" customHeight="1" x14ac:dyDescent="0.25">
      <c r="A34" s="40">
        <v>18340</v>
      </c>
      <c r="B34" s="40" t="s">
        <v>49</v>
      </c>
      <c r="C34" s="40" t="s">
        <v>1816</v>
      </c>
      <c r="D34" s="40" t="s">
        <v>1817</v>
      </c>
      <c r="E34" s="40">
        <v>18</v>
      </c>
      <c r="F34" s="40" t="s">
        <v>53</v>
      </c>
      <c r="G34" s="40" t="s">
        <v>42</v>
      </c>
      <c r="H34" s="41" t="s">
        <v>634</v>
      </c>
      <c r="I34" s="42" t="s">
        <v>43</v>
      </c>
      <c r="J34" s="40" t="s">
        <v>43</v>
      </c>
      <c r="K34" s="41" t="s">
        <v>43</v>
      </c>
      <c r="L34" s="40">
        <v>2</v>
      </c>
      <c r="M34" s="40">
        <v>2</v>
      </c>
      <c r="N34" s="41">
        <v>2</v>
      </c>
      <c r="O34" s="40">
        <v>5</v>
      </c>
      <c r="P34" s="40">
        <v>4</v>
      </c>
      <c r="Q34" s="41">
        <v>4</v>
      </c>
      <c r="R34" s="40">
        <v>4</v>
      </c>
      <c r="S34" s="40">
        <v>6</v>
      </c>
      <c r="T34" s="40">
        <v>1</v>
      </c>
      <c r="U34" s="40">
        <v>1</v>
      </c>
      <c r="V34" s="40" t="s">
        <v>45</v>
      </c>
      <c r="W34" s="40" t="s">
        <v>45</v>
      </c>
      <c r="X34" s="40">
        <v>2</v>
      </c>
      <c r="Y34" s="40">
        <v>7</v>
      </c>
      <c r="Z34" s="40" t="s">
        <v>45</v>
      </c>
      <c r="AA34" s="40" t="s">
        <v>45</v>
      </c>
      <c r="AB34" s="40" t="s">
        <v>45</v>
      </c>
      <c r="AC34" s="40" t="s">
        <v>45</v>
      </c>
      <c r="AD34" s="40" t="s">
        <v>45</v>
      </c>
      <c r="AE34" s="40" t="s">
        <v>45</v>
      </c>
      <c r="AF34" s="40" t="s">
        <v>45</v>
      </c>
      <c r="AG34" s="40" t="s">
        <v>45</v>
      </c>
      <c r="AH34" s="40" t="s">
        <v>45</v>
      </c>
      <c r="AI34" s="40" t="s">
        <v>45</v>
      </c>
      <c r="AJ34" s="40" t="s">
        <v>45</v>
      </c>
      <c r="AK34" s="40" t="s">
        <v>45</v>
      </c>
      <c r="AL34" s="40" t="s">
        <v>45</v>
      </c>
      <c r="AM34" s="40" t="s">
        <v>45</v>
      </c>
      <c r="AN34" s="40" t="s">
        <v>45</v>
      </c>
      <c r="AO34" s="41" t="s">
        <v>45</v>
      </c>
      <c r="AP34" s="40" t="s">
        <v>57</v>
      </c>
      <c r="AQ34" s="40">
        <v>10</v>
      </c>
      <c r="AR34" s="48" t="s">
        <v>347</v>
      </c>
      <c r="AS34" s="43" t="s">
        <v>644</v>
      </c>
      <c r="AT34" s="43" t="s">
        <v>47</v>
      </c>
      <c r="AU34" s="44">
        <f t="shared" si="0"/>
        <v>-2.0690406309742588</v>
      </c>
      <c r="AV34" s="44">
        <f t="shared" si="1"/>
        <v>-0.16396734174133493</v>
      </c>
      <c r="AW34" s="45">
        <f t="shared" si="2"/>
        <v>3</v>
      </c>
      <c r="AX34" s="45">
        <f t="shared" si="3"/>
        <v>2</v>
      </c>
      <c r="AY34" s="46">
        <f>VLOOKUP(AP34,COND!$A$10:$B$32,2,FALSE)</f>
        <v>1</v>
      </c>
      <c r="AZ34" s="44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52.306845038978452</v>
      </c>
      <c r="BA34" s="47">
        <f t="shared" si="4"/>
        <v>1.093483186317997</v>
      </c>
      <c r="BB34" s="45" t="str">
        <f t="shared" si="5"/>
        <v>SP</v>
      </c>
      <c r="BC34" s="45">
        <f>RANK(Table3[[#This Row],[zScore]],Table3[zScore])</f>
        <v>127</v>
      </c>
      <c r="BD34" s="45"/>
      <c r="BE34" s="45"/>
      <c r="BF34" s="45" t="str">
        <f t="shared" si="6"/>
        <v>Possible</v>
      </c>
      <c r="BG34" s="45"/>
      <c r="BH34" s="45">
        <f>INDEX(Table5[[#All],[Ovr]],MATCH(Table3[[#This Row],[PID]],Table5[[#All],[PID]],0))</f>
        <v>260</v>
      </c>
      <c r="BI34" s="45" t="str">
        <f>INDEX(Table5[[#All],[Rnd]],MATCH(Table3[[#This Row],[PID]],Table5[[#All],[PID]],0))</f>
        <v>9</v>
      </c>
      <c r="BJ34" s="45">
        <f>INDEX(Table5[[#All],[Pick]],MATCH(Table3[[#This Row],[PID]],Table5[[#All],[PID]],0))</f>
        <v>12</v>
      </c>
      <c r="BK34" s="45" t="str">
        <f>INDEX(Table5[[#All],[Team]],MATCH(Table3[[#This Row],[PID]],Table5[[#All],[PID]],0))</f>
        <v>Palm Springs Codgers</v>
      </c>
      <c r="BL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" spans="1:64" ht="15" customHeight="1" x14ac:dyDescent="0.25">
      <c r="A35" s="40">
        <v>18215</v>
      </c>
      <c r="B35" s="40" t="s">
        <v>49</v>
      </c>
      <c r="C35" s="40" t="s">
        <v>785</v>
      </c>
      <c r="D35" s="40" t="s">
        <v>1814</v>
      </c>
      <c r="E35" s="40">
        <v>18</v>
      </c>
      <c r="F35" s="40" t="s">
        <v>53</v>
      </c>
      <c r="G35" s="40" t="s">
        <v>42</v>
      </c>
      <c r="H35" s="41" t="s">
        <v>634</v>
      </c>
      <c r="I35" s="42" t="s">
        <v>47</v>
      </c>
      <c r="J35" s="40" t="s">
        <v>47</v>
      </c>
      <c r="K35" s="41" t="s">
        <v>43</v>
      </c>
      <c r="L35" s="40">
        <v>2</v>
      </c>
      <c r="M35" s="40">
        <v>2</v>
      </c>
      <c r="N35" s="41">
        <v>1</v>
      </c>
      <c r="O35" s="40">
        <v>6</v>
      </c>
      <c r="P35" s="40">
        <v>4</v>
      </c>
      <c r="Q35" s="41">
        <v>3</v>
      </c>
      <c r="R35" s="40">
        <v>4</v>
      </c>
      <c r="S35" s="40">
        <v>7</v>
      </c>
      <c r="T35" s="40">
        <v>1</v>
      </c>
      <c r="U35" s="40">
        <v>1</v>
      </c>
      <c r="V35" s="40">
        <v>2</v>
      </c>
      <c r="W35" s="40">
        <v>9</v>
      </c>
      <c r="X35" s="40" t="s">
        <v>45</v>
      </c>
      <c r="Y35" s="40" t="s">
        <v>45</v>
      </c>
      <c r="Z35" s="40" t="s">
        <v>45</v>
      </c>
      <c r="AA35" s="40" t="s">
        <v>45</v>
      </c>
      <c r="AB35" s="40" t="s">
        <v>45</v>
      </c>
      <c r="AC35" s="40" t="s">
        <v>45</v>
      </c>
      <c r="AD35" s="40" t="s">
        <v>45</v>
      </c>
      <c r="AE35" s="40" t="s">
        <v>45</v>
      </c>
      <c r="AF35" s="40" t="s">
        <v>45</v>
      </c>
      <c r="AG35" s="40" t="s">
        <v>45</v>
      </c>
      <c r="AH35" s="40" t="s">
        <v>45</v>
      </c>
      <c r="AI35" s="40" t="s">
        <v>45</v>
      </c>
      <c r="AJ35" s="40" t="s">
        <v>45</v>
      </c>
      <c r="AK35" s="40" t="s">
        <v>45</v>
      </c>
      <c r="AL35" s="40" t="s">
        <v>45</v>
      </c>
      <c r="AM35" s="40" t="s">
        <v>45</v>
      </c>
      <c r="AN35" s="40" t="s">
        <v>45</v>
      </c>
      <c r="AO35" s="41" t="s">
        <v>45</v>
      </c>
      <c r="AP35" s="40" t="s">
        <v>58</v>
      </c>
      <c r="AQ35" s="40">
        <v>9</v>
      </c>
      <c r="AR35" s="48" t="s">
        <v>347</v>
      </c>
      <c r="AS35" s="43" t="s">
        <v>554</v>
      </c>
      <c r="AT35" s="43" t="s">
        <v>47</v>
      </c>
      <c r="AU35" s="44">
        <f t="shared" si="0"/>
        <v>-2.311361197028369</v>
      </c>
      <c r="AV35" s="44">
        <f t="shared" si="1"/>
        <v>-0.21159658328627182</v>
      </c>
      <c r="AW35" s="45">
        <f t="shared" si="2"/>
        <v>3</v>
      </c>
      <c r="AX35" s="45">
        <f t="shared" si="3"/>
        <v>2</v>
      </c>
      <c r="AY35" s="46">
        <f>VLOOKUP(AP35,COND!$A$10:$B$32,2,FALSE)</f>
        <v>1</v>
      </c>
      <c r="AZ35" s="44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51.830796094868887</v>
      </c>
      <c r="BA35" s="47">
        <f t="shared" si="4"/>
        <v>1.0618123775209887</v>
      </c>
      <c r="BB35" s="45" t="str">
        <f t="shared" si="5"/>
        <v>SP</v>
      </c>
      <c r="BC35" s="45">
        <f>RANK(Table3[[#This Row],[zScore]],Table3[zScore])</f>
        <v>129</v>
      </c>
      <c r="BD35" s="45"/>
      <c r="BE35" s="45"/>
      <c r="BF35" s="45" t="str">
        <f t="shared" si="6"/>
        <v>Possible</v>
      </c>
      <c r="BG35" s="45"/>
      <c r="BH35" s="45">
        <f>INDEX(Table5[[#All],[Ovr]],MATCH(Table3[[#This Row],[PID]],Table5[[#All],[PID]],0))</f>
        <v>155</v>
      </c>
      <c r="BI35" s="45" t="str">
        <f>INDEX(Table5[[#All],[Rnd]],MATCH(Table3[[#This Row],[PID]],Table5[[#All],[PID]],0))</f>
        <v>5</v>
      </c>
      <c r="BJ35" s="45">
        <f>INDEX(Table5[[#All],[Pick]],MATCH(Table3[[#This Row],[PID]],Table5[[#All],[PID]],0))</f>
        <v>27</v>
      </c>
      <c r="BK35" s="45" t="str">
        <f>INDEX(Table5[[#All],[Team]],MATCH(Table3[[#This Row],[PID]],Table5[[#All],[PID]],0))</f>
        <v>Neo-Tokyo Akira</v>
      </c>
      <c r="BL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" spans="1:64" ht="15" customHeight="1" x14ac:dyDescent="0.25">
      <c r="A36" s="40">
        <v>18117</v>
      </c>
      <c r="B36" s="40" t="s">
        <v>49</v>
      </c>
      <c r="C36" s="40" t="s">
        <v>716</v>
      </c>
      <c r="D36" s="40" t="s">
        <v>648</v>
      </c>
      <c r="E36" s="40">
        <v>21</v>
      </c>
      <c r="F36" s="40" t="s">
        <v>42</v>
      </c>
      <c r="G36" s="40" t="s">
        <v>42</v>
      </c>
      <c r="H36" s="41" t="s">
        <v>634</v>
      </c>
      <c r="I36" s="42" t="s">
        <v>47</v>
      </c>
      <c r="J36" s="40" t="s">
        <v>43</v>
      </c>
      <c r="K36" s="41" t="s">
        <v>43</v>
      </c>
      <c r="L36" s="40">
        <v>4</v>
      </c>
      <c r="M36" s="40">
        <v>3</v>
      </c>
      <c r="N36" s="41">
        <v>2</v>
      </c>
      <c r="O36" s="40">
        <v>6</v>
      </c>
      <c r="P36" s="40">
        <v>5</v>
      </c>
      <c r="Q36" s="41">
        <v>3</v>
      </c>
      <c r="R36" s="40">
        <v>7</v>
      </c>
      <c r="S36" s="40">
        <v>8</v>
      </c>
      <c r="T36" s="40">
        <v>1</v>
      </c>
      <c r="U36" s="40">
        <v>1</v>
      </c>
      <c r="V36" s="40" t="s">
        <v>45</v>
      </c>
      <c r="W36" s="40" t="s">
        <v>45</v>
      </c>
      <c r="X36" s="40">
        <v>3</v>
      </c>
      <c r="Y36" s="40">
        <v>8</v>
      </c>
      <c r="Z36" s="40" t="s">
        <v>45</v>
      </c>
      <c r="AA36" s="40" t="s">
        <v>45</v>
      </c>
      <c r="AB36" s="40" t="s">
        <v>45</v>
      </c>
      <c r="AC36" s="40" t="s">
        <v>45</v>
      </c>
      <c r="AD36" s="40" t="s">
        <v>45</v>
      </c>
      <c r="AE36" s="40" t="s">
        <v>45</v>
      </c>
      <c r="AF36" s="40" t="s">
        <v>45</v>
      </c>
      <c r="AG36" s="40" t="s">
        <v>45</v>
      </c>
      <c r="AH36" s="40" t="s">
        <v>45</v>
      </c>
      <c r="AI36" s="40" t="s">
        <v>45</v>
      </c>
      <c r="AJ36" s="40" t="s">
        <v>45</v>
      </c>
      <c r="AK36" s="40" t="s">
        <v>45</v>
      </c>
      <c r="AL36" s="40" t="s">
        <v>45</v>
      </c>
      <c r="AM36" s="40" t="s">
        <v>45</v>
      </c>
      <c r="AN36" s="40" t="s">
        <v>45</v>
      </c>
      <c r="AO36" s="41" t="s">
        <v>45</v>
      </c>
      <c r="AP36" s="40" t="s">
        <v>54</v>
      </c>
      <c r="AQ36" s="40">
        <v>7</v>
      </c>
      <c r="AR36" s="48" t="s">
        <v>347</v>
      </c>
      <c r="AS36" s="43" t="s">
        <v>45</v>
      </c>
      <c r="AT36" s="43" t="s">
        <v>47</v>
      </c>
      <c r="AU36" s="44">
        <f t="shared" si="0"/>
        <v>-1.4842262655258562</v>
      </c>
      <c r="AV36" s="44">
        <f t="shared" si="1"/>
        <v>-1.6164866856216389E-2</v>
      </c>
      <c r="AW36" s="45">
        <f t="shared" si="2"/>
        <v>3</v>
      </c>
      <c r="AX36" s="45">
        <f t="shared" si="3"/>
        <v>2</v>
      </c>
      <c r="AY36" s="46">
        <f>VLOOKUP(AP36,COND!$A$10:$B$32,2,FALSE)</f>
        <v>1.0249999999999999</v>
      </c>
      <c r="AZ36" s="44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50.689353845014764</v>
      </c>
      <c r="BA36" s="47">
        <f t="shared" si="4"/>
        <v>0.98587396888618861</v>
      </c>
      <c r="BB36" s="45" t="str">
        <f t="shared" si="5"/>
        <v>SP</v>
      </c>
      <c r="BC36" s="45">
        <f>RANK(Table3[[#This Row],[zScore]],Table3[zScore])</f>
        <v>140</v>
      </c>
      <c r="BD36" s="45"/>
      <c r="BE36" s="45"/>
      <c r="BF36" s="45" t="str">
        <f t="shared" si="6"/>
        <v>Possible</v>
      </c>
      <c r="BG36" s="45"/>
      <c r="BH36" s="45">
        <f>INDEX(Table5[[#All],[Ovr]],MATCH(Table3[[#This Row],[PID]],Table5[[#All],[PID]],0))</f>
        <v>191</v>
      </c>
      <c r="BI36" s="45" t="str">
        <f>INDEX(Table5[[#All],[Rnd]],MATCH(Table3[[#This Row],[PID]],Table5[[#All],[PID]],0))</f>
        <v>7</v>
      </c>
      <c r="BJ36" s="45">
        <f>INDEX(Table5[[#All],[Pick]],MATCH(Table3[[#This Row],[PID]],Table5[[#All],[PID]],0))</f>
        <v>3</v>
      </c>
      <c r="BK36" s="45" t="str">
        <f>INDEX(Table5[[#All],[Team]],MATCH(Table3[[#This Row],[PID]],Table5[[#All],[PID]],0))</f>
        <v>New Orleans Trendsetters</v>
      </c>
      <c r="BL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" spans="1:64" ht="15" customHeight="1" x14ac:dyDescent="0.25">
      <c r="A37" s="40">
        <v>18452</v>
      </c>
      <c r="B37" s="40" t="s">
        <v>49</v>
      </c>
      <c r="C37" s="40" t="s">
        <v>1875</v>
      </c>
      <c r="D37" s="40" t="s">
        <v>888</v>
      </c>
      <c r="E37" s="40">
        <v>18</v>
      </c>
      <c r="F37" s="40" t="s">
        <v>53</v>
      </c>
      <c r="G37" s="40" t="s">
        <v>42</v>
      </c>
      <c r="H37" s="41" t="s">
        <v>638</v>
      </c>
      <c r="I37" s="42" t="s">
        <v>43</v>
      </c>
      <c r="J37" s="40" t="s">
        <v>47</v>
      </c>
      <c r="K37" s="41" t="s">
        <v>43</v>
      </c>
      <c r="L37" s="40">
        <v>4</v>
      </c>
      <c r="M37" s="40">
        <v>2</v>
      </c>
      <c r="N37" s="41">
        <v>1</v>
      </c>
      <c r="O37" s="40">
        <v>7</v>
      </c>
      <c r="P37" s="40">
        <v>4</v>
      </c>
      <c r="Q37" s="41">
        <v>2</v>
      </c>
      <c r="R37" s="40">
        <v>5</v>
      </c>
      <c r="S37" s="40">
        <v>8</v>
      </c>
      <c r="T37" s="40">
        <v>1</v>
      </c>
      <c r="U37" s="40">
        <v>1</v>
      </c>
      <c r="V37" s="40" t="s">
        <v>45</v>
      </c>
      <c r="W37" s="40" t="s">
        <v>45</v>
      </c>
      <c r="X37" s="40">
        <v>4</v>
      </c>
      <c r="Y37" s="40">
        <v>8</v>
      </c>
      <c r="Z37" s="40" t="s">
        <v>45</v>
      </c>
      <c r="AA37" s="40" t="s">
        <v>45</v>
      </c>
      <c r="AB37" s="40" t="s">
        <v>45</v>
      </c>
      <c r="AC37" s="40" t="s">
        <v>45</v>
      </c>
      <c r="AD37" s="40" t="s">
        <v>45</v>
      </c>
      <c r="AE37" s="40" t="s">
        <v>45</v>
      </c>
      <c r="AF37" s="40" t="s">
        <v>45</v>
      </c>
      <c r="AG37" s="40" t="s">
        <v>45</v>
      </c>
      <c r="AH37" s="40" t="s">
        <v>45</v>
      </c>
      <c r="AI37" s="40" t="s">
        <v>45</v>
      </c>
      <c r="AJ37" s="40" t="s">
        <v>45</v>
      </c>
      <c r="AK37" s="40" t="s">
        <v>45</v>
      </c>
      <c r="AL37" s="40" t="s">
        <v>45</v>
      </c>
      <c r="AM37" s="40" t="s">
        <v>45</v>
      </c>
      <c r="AN37" s="40" t="s">
        <v>45</v>
      </c>
      <c r="AO37" s="41" t="s">
        <v>45</v>
      </c>
      <c r="AP37" s="40" t="s">
        <v>61</v>
      </c>
      <c r="AQ37" s="40">
        <v>7</v>
      </c>
      <c r="AR37" s="48" t="s">
        <v>347</v>
      </c>
      <c r="AS37" s="43" t="s">
        <v>657</v>
      </c>
      <c r="AT37" s="43" t="s">
        <v>635</v>
      </c>
      <c r="AU37" s="44">
        <f t="shared" si="0"/>
        <v>-1.9219785480100218</v>
      </c>
      <c r="AV37" s="44">
        <f t="shared" si="1"/>
        <v>-0.25922582483120871</v>
      </c>
      <c r="AW37" s="45">
        <f t="shared" si="2"/>
        <v>3</v>
      </c>
      <c r="AX37" s="45">
        <f t="shared" si="3"/>
        <v>2</v>
      </c>
      <c r="AY37" s="46">
        <f>VLOOKUP(AP37,COND!$A$10:$B$32,2,FALSE)</f>
        <v>1.05</v>
      </c>
      <c r="AZ37" s="44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50.652642183462511</v>
      </c>
      <c r="BA37" s="47">
        <f t="shared" si="4"/>
        <v>0.98343159814253178</v>
      </c>
      <c r="BB37" s="45" t="str">
        <f t="shared" si="5"/>
        <v>SP</v>
      </c>
      <c r="BC37" s="45">
        <f>RANK(Table3[[#This Row],[zScore]],Table3[zScore])</f>
        <v>141</v>
      </c>
      <c r="BD37" s="45"/>
      <c r="BE37" s="45"/>
      <c r="BF37" s="45" t="str">
        <f t="shared" si="6"/>
        <v>Possible</v>
      </c>
      <c r="BG37" s="45"/>
      <c r="BH37" s="45">
        <f>INDEX(Table5[[#All],[Ovr]],MATCH(Table3[[#This Row],[PID]],Table5[[#All],[PID]],0))</f>
        <v>252</v>
      </c>
      <c r="BI37" s="45" t="str">
        <f>INDEX(Table5[[#All],[Rnd]],MATCH(Table3[[#This Row],[PID]],Table5[[#All],[PID]],0))</f>
        <v>9</v>
      </c>
      <c r="BJ37" s="45">
        <f>INDEX(Table5[[#All],[Pick]],MATCH(Table3[[#This Row],[PID]],Table5[[#All],[PID]],0))</f>
        <v>4</v>
      </c>
      <c r="BK37" s="45" t="str">
        <f>INDEX(Table5[[#All],[Team]],MATCH(Table3[[#This Row],[PID]],Table5[[#All],[PID]],0))</f>
        <v>Tempe Knights</v>
      </c>
      <c r="BL3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" spans="1:64" ht="15" customHeight="1" x14ac:dyDescent="0.25">
      <c r="A38" s="40">
        <v>18266</v>
      </c>
      <c r="B38" s="40" t="s">
        <v>49</v>
      </c>
      <c r="C38" s="40" t="s">
        <v>1118</v>
      </c>
      <c r="D38" s="40" t="s">
        <v>1856</v>
      </c>
      <c r="E38" s="40">
        <v>18</v>
      </c>
      <c r="F38" s="40" t="s">
        <v>42</v>
      </c>
      <c r="G38" s="40" t="s">
        <v>42</v>
      </c>
      <c r="H38" s="41" t="s">
        <v>638</v>
      </c>
      <c r="I38" s="42" t="s">
        <v>43</v>
      </c>
      <c r="J38" s="40" t="s">
        <v>44</v>
      </c>
      <c r="K38" s="41" t="s">
        <v>43</v>
      </c>
      <c r="L38" s="40">
        <v>2</v>
      </c>
      <c r="M38" s="40">
        <v>1</v>
      </c>
      <c r="N38" s="41">
        <v>2</v>
      </c>
      <c r="O38" s="40">
        <v>5</v>
      </c>
      <c r="P38" s="40">
        <v>2</v>
      </c>
      <c r="Q38" s="41">
        <v>5</v>
      </c>
      <c r="R38" s="40">
        <v>5</v>
      </c>
      <c r="S38" s="40">
        <v>7</v>
      </c>
      <c r="T38" s="40">
        <v>1</v>
      </c>
      <c r="U38" s="40">
        <v>1</v>
      </c>
      <c r="V38" s="40">
        <v>2</v>
      </c>
      <c r="W38" s="40">
        <v>6</v>
      </c>
      <c r="X38" s="40" t="s">
        <v>45</v>
      </c>
      <c r="Y38" s="40" t="s">
        <v>45</v>
      </c>
      <c r="Z38" s="40" t="s">
        <v>45</v>
      </c>
      <c r="AA38" s="40" t="s">
        <v>45</v>
      </c>
      <c r="AB38" s="40" t="s">
        <v>45</v>
      </c>
      <c r="AC38" s="40" t="s">
        <v>45</v>
      </c>
      <c r="AD38" s="40" t="s">
        <v>45</v>
      </c>
      <c r="AE38" s="40" t="s">
        <v>45</v>
      </c>
      <c r="AF38" s="40" t="s">
        <v>45</v>
      </c>
      <c r="AG38" s="40" t="s">
        <v>45</v>
      </c>
      <c r="AH38" s="40" t="s">
        <v>45</v>
      </c>
      <c r="AI38" s="40" t="s">
        <v>45</v>
      </c>
      <c r="AJ38" s="40" t="s">
        <v>45</v>
      </c>
      <c r="AK38" s="40" t="s">
        <v>45</v>
      </c>
      <c r="AL38" s="40" t="s">
        <v>45</v>
      </c>
      <c r="AM38" s="40" t="s">
        <v>45</v>
      </c>
      <c r="AN38" s="40" t="s">
        <v>45</v>
      </c>
      <c r="AO38" s="41" t="s">
        <v>45</v>
      </c>
      <c r="AP38" s="40" t="s">
        <v>58</v>
      </c>
      <c r="AQ38" s="40">
        <v>7</v>
      </c>
      <c r="AR38" s="48" t="s">
        <v>14</v>
      </c>
      <c r="AS38" s="43" t="s">
        <v>654</v>
      </c>
      <c r="AT38" s="43" t="s">
        <v>47</v>
      </c>
      <c r="AU38" s="44">
        <f t="shared" si="0"/>
        <v>-2.2644723474043147</v>
      </c>
      <c r="AV38" s="44">
        <f t="shared" si="1"/>
        <v>-0.31251020854733541</v>
      </c>
      <c r="AW38" s="45">
        <f t="shared" si="2"/>
        <v>3</v>
      </c>
      <c r="AX38" s="45">
        <f t="shared" si="3"/>
        <v>2</v>
      </c>
      <c r="AY38" s="46">
        <f>VLOOKUP(AP38,COND!$A$10:$B$32,2,FALSE)</f>
        <v>1</v>
      </c>
      <c r="AZ38" s="44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48.996901359572426</v>
      </c>
      <c r="BA38" s="47">
        <f t="shared" si="4"/>
        <v>0.87327769128131771</v>
      </c>
      <c r="BB38" s="45" t="str">
        <f t="shared" si="5"/>
        <v>SP</v>
      </c>
      <c r="BC38" s="45">
        <f>RANK(Table3[[#This Row],[zScore]],Table3[zScore])</f>
        <v>159</v>
      </c>
      <c r="BD38" s="45"/>
      <c r="BE38" s="45"/>
      <c r="BF38" s="45" t="str">
        <f t="shared" si="6"/>
        <v>Possible</v>
      </c>
      <c r="BG38" s="45"/>
      <c r="BH38" s="45">
        <f>INDEX(Table5[[#All],[Ovr]],MATCH(Table3[[#This Row],[PID]],Table5[[#All],[PID]],0))</f>
        <v>396</v>
      </c>
      <c r="BI38" s="45" t="str">
        <f>INDEX(Table5[[#All],[Rnd]],MATCH(Table3[[#This Row],[PID]],Table5[[#All],[PID]],0))</f>
        <v>13</v>
      </c>
      <c r="BJ38" s="45">
        <f>INDEX(Table5[[#All],[Pick]],MATCH(Table3[[#This Row],[PID]],Table5[[#All],[PID]],0))</f>
        <v>28</v>
      </c>
      <c r="BK38" s="45" t="str">
        <f>INDEX(Table5[[#All],[Team]],MATCH(Table3[[#This Row],[PID]],Table5[[#All],[PID]],0))</f>
        <v>San Juan Coqui</v>
      </c>
      <c r="BL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" spans="1:64" ht="15" customHeight="1" x14ac:dyDescent="0.25">
      <c r="A39" s="40">
        <v>20335</v>
      </c>
      <c r="B39" s="40" t="s">
        <v>49</v>
      </c>
      <c r="C39" s="40" t="s">
        <v>1788</v>
      </c>
      <c r="D39" s="40" t="s">
        <v>1010</v>
      </c>
      <c r="E39" s="40">
        <v>17</v>
      </c>
      <c r="F39" s="40" t="s">
        <v>42</v>
      </c>
      <c r="G39" s="40" t="s">
        <v>42</v>
      </c>
      <c r="H39" s="41" t="s">
        <v>634</v>
      </c>
      <c r="I39" s="42" t="s">
        <v>43</v>
      </c>
      <c r="J39" s="40" t="s">
        <v>43</v>
      </c>
      <c r="K39" s="41" t="s">
        <v>43</v>
      </c>
      <c r="L39" s="40">
        <v>5</v>
      </c>
      <c r="M39" s="40">
        <v>2</v>
      </c>
      <c r="N39" s="41">
        <v>2</v>
      </c>
      <c r="O39" s="40">
        <v>8</v>
      </c>
      <c r="P39" s="40">
        <v>2</v>
      </c>
      <c r="Q39" s="41">
        <v>4</v>
      </c>
      <c r="R39" s="40">
        <v>6</v>
      </c>
      <c r="S39" s="40">
        <v>8</v>
      </c>
      <c r="T39" s="40" t="s">
        <v>45</v>
      </c>
      <c r="U39" s="40" t="s">
        <v>45</v>
      </c>
      <c r="V39" s="40" t="s">
        <v>45</v>
      </c>
      <c r="W39" s="40" t="s">
        <v>45</v>
      </c>
      <c r="X39" s="40">
        <v>6</v>
      </c>
      <c r="Y39" s="40">
        <v>10</v>
      </c>
      <c r="Z39" s="40" t="s">
        <v>45</v>
      </c>
      <c r="AA39" s="40" t="s">
        <v>45</v>
      </c>
      <c r="AB39" s="40" t="s">
        <v>45</v>
      </c>
      <c r="AC39" s="40" t="s">
        <v>45</v>
      </c>
      <c r="AD39" s="40" t="s">
        <v>45</v>
      </c>
      <c r="AE39" s="40" t="s">
        <v>45</v>
      </c>
      <c r="AF39" s="40" t="s">
        <v>45</v>
      </c>
      <c r="AG39" s="40" t="s">
        <v>45</v>
      </c>
      <c r="AH39" s="40" t="s">
        <v>45</v>
      </c>
      <c r="AI39" s="40" t="s">
        <v>45</v>
      </c>
      <c r="AJ39" s="40" t="s">
        <v>45</v>
      </c>
      <c r="AK39" s="40" t="s">
        <v>45</v>
      </c>
      <c r="AL39" s="40" t="s">
        <v>45</v>
      </c>
      <c r="AM39" s="40" t="s">
        <v>45</v>
      </c>
      <c r="AN39" s="40" t="s">
        <v>45</v>
      </c>
      <c r="AO39" s="41" t="s">
        <v>45</v>
      </c>
      <c r="AP39" s="40" t="s">
        <v>60</v>
      </c>
      <c r="AQ39" s="40">
        <v>2</v>
      </c>
      <c r="AR39" s="48" t="s">
        <v>347</v>
      </c>
      <c r="AS39" s="43" t="s">
        <v>670</v>
      </c>
      <c r="AT39" s="43" t="s">
        <v>47</v>
      </c>
      <c r="AU39" s="44">
        <f t="shared" si="0"/>
        <v>-1.4849666574467382</v>
      </c>
      <c r="AV39" s="44">
        <f t="shared" si="1"/>
        <v>2.9243198926074732E-2</v>
      </c>
      <c r="AW39" s="45">
        <f t="shared" si="2"/>
        <v>2</v>
      </c>
      <c r="AX39" s="45">
        <f t="shared" si="3"/>
        <v>2</v>
      </c>
      <c r="AY39" s="46">
        <f>VLOOKUP(AP39,COND!$A$10:$B$32,2,FALSE)</f>
        <v>1.0249999999999999</v>
      </c>
      <c r="AZ39" s="44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48.688439042547557</v>
      </c>
      <c r="BA39" s="47">
        <f t="shared" si="4"/>
        <v>0.85275616469364723</v>
      </c>
      <c r="BB39" s="45" t="str">
        <f t="shared" si="5"/>
        <v>RP</v>
      </c>
      <c r="BC39" s="45">
        <f>RANK(Table3[[#This Row],[zScore]],Table3[zScore])</f>
        <v>163</v>
      </c>
      <c r="BD39" s="45"/>
      <c r="BE39" s="45"/>
      <c r="BF39" s="45" t="str">
        <f t="shared" si="6"/>
        <v>Possible</v>
      </c>
      <c r="BG39" s="45"/>
      <c r="BH39" s="45">
        <f>INDEX(Table5[[#All],[Ovr]],MATCH(Table3[[#This Row],[PID]],Table5[[#All],[PID]],0))</f>
        <v>202</v>
      </c>
      <c r="BI39" s="45" t="str">
        <f>INDEX(Table5[[#All],[Rnd]],MATCH(Table3[[#This Row],[PID]],Table5[[#All],[PID]],0))</f>
        <v>7</v>
      </c>
      <c r="BJ39" s="45">
        <f>INDEX(Table5[[#All],[Pick]],MATCH(Table3[[#This Row],[PID]],Table5[[#All],[PID]],0))</f>
        <v>14</v>
      </c>
      <c r="BK39" s="45" t="str">
        <f>INDEX(Table5[[#All],[Team]],MATCH(Table3[[#This Row],[PID]],Table5[[#All],[PID]],0))</f>
        <v>Neo-Tokyo Akira</v>
      </c>
      <c r="BL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" spans="1:64" ht="15" customHeight="1" x14ac:dyDescent="0.25">
      <c r="A40" s="40">
        <v>18100</v>
      </c>
      <c r="B40" s="40" t="s">
        <v>49</v>
      </c>
      <c r="C40" s="40" t="s">
        <v>1825</v>
      </c>
      <c r="D40" s="40" t="s">
        <v>211</v>
      </c>
      <c r="E40" s="40">
        <v>21</v>
      </c>
      <c r="F40" s="40" t="s">
        <v>53</v>
      </c>
      <c r="G40" s="40" t="s">
        <v>53</v>
      </c>
      <c r="H40" s="41" t="s">
        <v>634</v>
      </c>
      <c r="I40" s="42" t="s">
        <v>43</v>
      </c>
      <c r="J40" s="40" t="s">
        <v>44</v>
      </c>
      <c r="K40" s="41" t="s">
        <v>43</v>
      </c>
      <c r="L40" s="40">
        <v>3</v>
      </c>
      <c r="M40" s="40">
        <v>2</v>
      </c>
      <c r="N40" s="41">
        <v>3</v>
      </c>
      <c r="O40" s="40">
        <v>5</v>
      </c>
      <c r="P40" s="40">
        <v>3</v>
      </c>
      <c r="Q40" s="41">
        <v>5</v>
      </c>
      <c r="R40" s="40">
        <v>4</v>
      </c>
      <c r="S40" s="40">
        <v>6</v>
      </c>
      <c r="T40" s="40">
        <v>1</v>
      </c>
      <c r="U40" s="40">
        <v>1</v>
      </c>
      <c r="V40" s="40">
        <v>3</v>
      </c>
      <c r="W40" s="40">
        <v>7</v>
      </c>
      <c r="X40" s="40" t="s">
        <v>45</v>
      </c>
      <c r="Y40" s="40" t="s">
        <v>45</v>
      </c>
      <c r="Z40" s="40" t="s">
        <v>45</v>
      </c>
      <c r="AA40" s="40" t="s">
        <v>45</v>
      </c>
      <c r="AB40" s="40" t="s">
        <v>45</v>
      </c>
      <c r="AC40" s="40" t="s">
        <v>45</v>
      </c>
      <c r="AD40" s="40" t="s">
        <v>45</v>
      </c>
      <c r="AE40" s="40" t="s">
        <v>45</v>
      </c>
      <c r="AF40" s="40" t="s">
        <v>45</v>
      </c>
      <c r="AG40" s="40" t="s">
        <v>45</v>
      </c>
      <c r="AH40" s="40" t="s">
        <v>45</v>
      </c>
      <c r="AI40" s="40" t="s">
        <v>45</v>
      </c>
      <c r="AJ40" s="40" t="s">
        <v>45</v>
      </c>
      <c r="AK40" s="40" t="s">
        <v>45</v>
      </c>
      <c r="AL40" s="40" t="s">
        <v>45</v>
      </c>
      <c r="AM40" s="40" t="s">
        <v>45</v>
      </c>
      <c r="AN40" s="40" t="s">
        <v>45</v>
      </c>
      <c r="AO40" s="41" t="s">
        <v>45</v>
      </c>
      <c r="AP40" s="40" t="s">
        <v>349</v>
      </c>
      <c r="AQ40" s="40">
        <v>6</v>
      </c>
      <c r="AR40" s="48" t="s">
        <v>14</v>
      </c>
      <c r="AS40" s="43" t="s">
        <v>45</v>
      </c>
      <c r="AT40" s="43" t="s">
        <v>47</v>
      </c>
      <c r="AU40" s="44">
        <f t="shared" si="0"/>
        <v>-1.6320287404109748</v>
      </c>
      <c r="AV40" s="44">
        <f t="shared" si="1"/>
        <v>-0.11707849211727993</v>
      </c>
      <c r="AW40" s="45">
        <f t="shared" si="2"/>
        <v>3</v>
      </c>
      <c r="AX40" s="45">
        <f t="shared" si="3"/>
        <v>2</v>
      </c>
      <c r="AY40" s="46">
        <f>VLOOKUP(AP40,COND!$A$10:$B$32,2,FALSE)</f>
        <v>1</v>
      </c>
      <c r="AZ40" s="44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47.9987237993329</v>
      </c>
      <c r="BA40" s="47">
        <f t="shared" si="4"/>
        <v>0.80687046352253788</v>
      </c>
      <c r="BB40" s="45" t="str">
        <f t="shared" si="5"/>
        <v>SP</v>
      </c>
      <c r="BC40" s="45">
        <f>RANK(Table3[[#This Row],[zScore]],Table3[zScore])</f>
        <v>169</v>
      </c>
      <c r="BD40" s="45"/>
      <c r="BE40" s="45"/>
      <c r="BF40" s="45" t="str">
        <f t="shared" si="6"/>
        <v>Possible</v>
      </c>
      <c r="BG40" s="45"/>
      <c r="BH40" s="45">
        <f>INDEX(Table5[[#All],[Ovr]],MATCH(Table3[[#This Row],[PID]],Table5[[#All],[PID]],0))</f>
        <v>262</v>
      </c>
      <c r="BI40" s="45" t="str">
        <f>INDEX(Table5[[#All],[Rnd]],MATCH(Table3[[#This Row],[PID]],Table5[[#All],[PID]],0))</f>
        <v>9</v>
      </c>
      <c r="BJ40" s="45">
        <f>INDEX(Table5[[#All],[Pick]],MATCH(Table3[[#This Row],[PID]],Table5[[#All],[PID]],0))</f>
        <v>14</v>
      </c>
      <c r="BK40" s="45" t="str">
        <f>INDEX(Table5[[#All],[Team]],MATCH(Table3[[#This Row],[PID]],Table5[[#All],[PID]],0))</f>
        <v>Arlington Bureaucrats</v>
      </c>
      <c r="BL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" spans="1:64" ht="15" customHeight="1" x14ac:dyDescent="0.25">
      <c r="A41" s="40">
        <v>18431</v>
      </c>
      <c r="B41" s="40" t="s">
        <v>49</v>
      </c>
      <c r="C41" s="40" t="s">
        <v>384</v>
      </c>
      <c r="D41" s="40" t="s">
        <v>1868</v>
      </c>
      <c r="E41" s="40">
        <v>18</v>
      </c>
      <c r="F41" s="40" t="s">
        <v>42</v>
      </c>
      <c r="G41" s="40" t="s">
        <v>42</v>
      </c>
      <c r="H41" s="41" t="s">
        <v>638</v>
      </c>
      <c r="I41" s="42" t="s">
        <v>43</v>
      </c>
      <c r="J41" s="40" t="s">
        <v>43</v>
      </c>
      <c r="K41" s="41" t="s">
        <v>44</v>
      </c>
      <c r="L41" s="40">
        <v>2</v>
      </c>
      <c r="M41" s="40">
        <v>2</v>
      </c>
      <c r="N41" s="41">
        <v>1</v>
      </c>
      <c r="O41" s="40">
        <v>5</v>
      </c>
      <c r="P41" s="40">
        <v>4</v>
      </c>
      <c r="Q41" s="41">
        <v>3</v>
      </c>
      <c r="R41" s="40">
        <v>3</v>
      </c>
      <c r="S41" s="40">
        <v>6</v>
      </c>
      <c r="T41" s="40">
        <v>1</v>
      </c>
      <c r="U41" s="40">
        <v>2</v>
      </c>
      <c r="V41" s="40">
        <v>2</v>
      </c>
      <c r="W41" s="40">
        <v>8</v>
      </c>
      <c r="X41" s="40" t="s">
        <v>45</v>
      </c>
      <c r="Y41" s="40" t="s">
        <v>45</v>
      </c>
      <c r="Z41" s="40" t="s">
        <v>45</v>
      </c>
      <c r="AA41" s="40" t="s">
        <v>45</v>
      </c>
      <c r="AB41" s="40" t="s">
        <v>45</v>
      </c>
      <c r="AC41" s="40" t="s">
        <v>45</v>
      </c>
      <c r="AD41" s="40" t="s">
        <v>45</v>
      </c>
      <c r="AE41" s="40" t="s">
        <v>45</v>
      </c>
      <c r="AF41" s="40" t="s">
        <v>45</v>
      </c>
      <c r="AG41" s="40" t="s">
        <v>45</v>
      </c>
      <c r="AH41" s="40" t="s">
        <v>45</v>
      </c>
      <c r="AI41" s="40" t="s">
        <v>45</v>
      </c>
      <c r="AJ41" s="40" t="s">
        <v>45</v>
      </c>
      <c r="AK41" s="40" t="s">
        <v>45</v>
      </c>
      <c r="AL41" s="40" t="s">
        <v>45</v>
      </c>
      <c r="AM41" s="40" t="s">
        <v>45</v>
      </c>
      <c r="AN41" s="40" t="s">
        <v>45</v>
      </c>
      <c r="AO41" s="41" t="s">
        <v>45</v>
      </c>
      <c r="AP41" s="40" t="s">
        <v>349</v>
      </c>
      <c r="AQ41" s="40">
        <v>8</v>
      </c>
      <c r="AR41" s="48" t="s">
        <v>347</v>
      </c>
      <c r="AS41" s="43" t="s">
        <v>644</v>
      </c>
      <c r="AT41" s="43" t="s">
        <v>47</v>
      </c>
      <c r="AU41" s="44">
        <f t="shared" si="0"/>
        <v>-2.311361197028369</v>
      </c>
      <c r="AV41" s="44">
        <f t="shared" si="1"/>
        <v>-0.40628790779544532</v>
      </c>
      <c r="AW41" s="45">
        <f t="shared" si="2"/>
        <v>3</v>
      </c>
      <c r="AX41" s="45">
        <f t="shared" si="3"/>
        <v>2</v>
      </c>
      <c r="AY41" s="46">
        <f>VLOOKUP(AP41,COND!$A$10:$B$32,2,FALSE)</f>
        <v>1</v>
      </c>
      <c r="AZ41" s="44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47.111969604685413</v>
      </c>
      <c r="BA41" s="47">
        <f t="shared" si="4"/>
        <v>0.74787606200956613</v>
      </c>
      <c r="BB41" s="45" t="str">
        <f t="shared" si="5"/>
        <v>SP</v>
      </c>
      <c r="BC41" s="45">
        <f>RANK(Table3[[#This Row],[zScore]],Table3[zScore])</f>
        <v>183</v>
      </c>
      <c r="BD41" s="45"/>
      <c r="BE41" s="45"/>
      <c r="BF41" s="45" t="str">
        <f t="shared" si="6"/>
        <v>Possible</v>
      </c>
      <c r="BG41" s="45"/>
      <c r="BH41" s="45">
        <f>INDEX(Table5[[#All],[Ovr]],MATCH(Table3[[#This Row],[PID]],Table5[[#All],[PID]],0))</f>
        <v>303</v>
      </c>
      <c r="BI41" s="45" t="str">
        <f>INDEX(Table5[[#All],[Rnd]],MATCH(Table3[[#This Row],[PID]],Table5[[#All],[PID]],0))</f>
        <v>10</v>
      </c>
      <c r="BJ41" s="45">
        <f>INDEX(Table5[[#All],[Pick]],MATCH(Table3[[#This Row],[PID]],Table5[[#All],[PID]],0))</f>
        <v>25</v>
      </c>
      <c r="BK41" s="45" t="str">
        <f>INDEX(Table5[[#All],[Team]],MATCH(Table3[[#This Row],[PID]],Table5[[#All],[PID]],0))</f>
        <v>Toyama Wind Dancers</v>
      </c>
      <c r="BL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" spans="1:64" ht="15" customHeight="1" x14ac:dyDescent="0.25">
      <c r="A42" s="40">
        <v>20459</v>
      </c>
      <c r="B42" s="40" t="s">
        <v>49</v>
      </c>
      <c r="C42" s="40" t="s">
        <v>1688</v>
      </c>
      <c r="D42" s="40" t="s">
        <v>1689</v>
      </c>
      <c r="E42" s="40">
        <v>17</v>
      </c>
      <c r="F42" s="40" t="s">
        <v>42</v>
      </c>
      <c r="G42" s="40" t="s">
        <v>42</v>
      </c>
      <c r="H42" s="41" t="s">
        <v>639</v>
      </c>
      <c r="I42" s="42" t="s">
        <v>43</v>
      </c>
      <c r="J42" s="40" t="s">
        <v>44</v>
      </c>
      <c r="K42" s="41" t="s">
        <v>43</v>
      </c>
      <c r="L42" s="40">
        <v>2</v>
      </c>
      <c r="M42" s="40">
        <v>2</v>
      </c>
      <c r="N42" s="41">
        <v>1</v>
      </c>
      <c r="O42" s="40">
        <v>5</v>
      </c>
      <c r="P42" s="40">
        <v>3</v>
      </c>
      <c r="Q42" s="41">
        <v>4</v>
      </c>
      <c r="R42" s="40">
        <v>3</v>
      </c>
      <c r="S42" s="40">
        <v>3</v>
      </c>
      <c r="T42" s="40">
        <v>2</v>
      </c>
      <c r="U42" s="40">
        <v>2</v>
      </c>
      <c r="V42" s="40">
        <v>3</v>
      </c>
      <c r="W42" s="40">
        <v>8</v>
      </c>
      <c r="X42" s="40" t="s">
        <v>45</v>
      </c>
      <c r="Y42" s="40" t="s">
        <v>45</v>
      </c>
      <c r="Z42" s="40" t="s">
        <v>45</v>
      </c>
      <c r="AA42" s="40" t="s">
        <v>45</v>
      </c>
      <c r="AB42" s="40" t="s">
        <v>45</v>
      </c>
      <c r="AC42" s="40" t="s">
        <v>45</v>
      </c>
      <c r="AD42" s="40" t="s">
        <v>45</v>
      </c>
      <c r="AE42" s="40" t="s">
        <v>45</v>
      </c>
      <c r="AF42" s="40" t="s">
        <v>45</v>
      </c>
      <c r="AG42" s="40" t="s">
        <v>45</v>
      </c>
      <c r="AH42" s="40" t="s">
        <v>45</v>
      </c>
      <c r="AI42" s="40" t="s">
        <v>45</v>
      </c>
      <c r="AJ42" s="40" t="s">
        <v>45</v>
      </c>
      <c r="AK42" s="40" t="s">
        <v>45</v>
      </c>
      <c r="AL42" s="40" t="s">
        <v>45</v>
      </c>
      <c r="AM42" s="40" t="s">
        <v>45</v>
      </c>
      <c r="AN42" s="40" t="s">
        <v>45</v>
      </c>
      <c r="AO42" s="41" t="s">
        <v>45</v>
      </c>
      <c r="AP42" s="40" t="s">
        <v>349</v>
      </c>
      <c r="AQ42" s="40">
        <v>10</v>
      </c>
      <c r="AR42" s="48" t="s">
        <v>347</v>
      </c>
      <c r="AS42" s="43" t="s">
        <v>644</v>
      </c>
      <c r="AT42" s="43" t="s">
        <v>635</v>
      </c>
      <c r="AU42" s="44">
        <f t="shared" si="0"/>
        <v>-2.311361197028369</v>
      </c>
      <c r="AV42" s="44">
        <f t="shared" si="1"/>
        <v>-0.35939905817139028</v>
      </c>
      <c r="AW42" s="45">
        <f t="shared" si="2"/>
        <v>3</v>
      </c>
      <c r="AX42" s="45">
        <f t="shared" si="3"/>
        <v>1</v>
      </c>
      <c r="AY42" s="46">
        <f>VLOOKUP(AP42,COND!$A$10:$B$32,2,FALSE)</f>
        <v>1</v>
      </c>
      <c r="AZ42" s="44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46.799746597166518</v>
      </c>
      <c r="BA42" s="47">
        <f t="shared" si="4"/>
        <v>0.7271043424300726</v>
      </c>
      <c r="BB42" s="45" t="str">
        <f t="shared" si="5"/>
        <v>SP</v>
      </c>
      <c r="BC42" s="45">
        <f>RANK(Table3[[#This Row],[zScore]],Table3[zScore])</f>
        <v>184</v>
      </c>
      <c r="BD42" s="45"/>
      <c r="BE42" s="45"/>
      <c r="BF42" s="45" t="str">
        <f t="shared" si="6"/>
        <v>Possible</v>
      </c>
      <c r="BG42" s="45"/>
      <c r="BH42" s="45">
        <f>INDEX(Table5[[#All],[Ovr]],MATCH(Table3[[#This Row],[PID]],Table5[[#All],[PID]],0))</f>
        <v>421</v>
      </c>
      <c r="BI42" s="45" t="str">
        <f>INDEX(Table5[[#All],[Rnd]],MATCH(Table3[[#This Row],[PID]],Table5[[#All],[PID]],0))</f>
        <v>14</v>
      </c>
      <c r="BJ42" s="45">
        <f>INDEX(Table5[[#All],[Pick]],MATCH(Table3[[#This Row],[PID]],Table5[[#All],[PID]],0))</f>
        <v>23</v>
      </c>
      <c r="BK42" s="45" t="str">
        <f>INDEX(Table5[[#All],[Team]],MATCH(Table3[[#This Row],[PID]],Table5[[#All],[PID]],0))</f>
        <v>Shin Seiki Evas</v>
      </c>
      <c r="BL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" spans="1:64" ht="15" customHeight="1" x14ac:dyDescent="0.25">
      <c r="A43" s="40">
        <v>18217</v>
      </c>
      <c r="B43" s="40" t="s">
        <v>49</v>
      </c>
      <c r="C43" s="40" t="s">
        <v>342</v>
      </c>
      <c r="D43" s="40" t="s">
        <v>687</v>
      </c>
      <c r="E43" s="40">
        <v>18</v>
      </c>
      <c r="F43" s="40" t="s">
        <v>53</v>
      </c>
      <c r="G43" s="40" t="s">
        <v>53</v>
      </c>
      <c r="H43" s="41" t="s">
        <v>638</v>
      </c>
      <c r="I43" s="42" t="s">
        <v>43</v>
      </c>
      <c r="J43" s="40" t="s">
        <v>43</v>
      </c>
      <c r="K43" s="41" t="s">
        <v>43</v>
      </c>
      <c r="L43" s="40">
        <v>1</v>
      </c>
      <c r="M43" s="40">
        <v>1</v>
      </c>
      <c r="N43" s="41">
        <v>1</v>
      </c>
      <c r="O43" s="40">
        <v>5</v>
      </c>
      <c r="P43" s="40">
        <v>1</v>
      </c>
      <c r="Q43" s="41">
        <v>5</v>
      </c>
      <c r="R43" s="40">
        <v>3</v>
      </c>
      <c r="S43" s="40">
        <v>6</v>
      </c>
      <c r="T43" s="40">
        <v>1</v>
      </c>
      <c r="U43" s="40">
        <v>1</v>
      </c>
      <c r="V43" s="40">
        <v>1</v>
      </c>
      <c r="W43" s="40">
        <v>7</v>
      </c>
      <c r="X43" s="40" t="s">
        <v>45</v>
      </c>
      <c r="Y43" s="40" t="s">
        <v>45</v>
      </c>
      <c r="Z43" s="40" t="s">
        <v>45</v>
      </c>
      <c r="AA43" s="40" t="s">
        <v>45</v>
      </c>
      <c r="AB43" s="40" t="s">
        <v>45</v>
      </c>
      <c r="AC43" s="40" t="s">
        <v>45</v>
      </c>
      <c r="AD43" s="40" t="s">
        <v>45</v>
      </c>
      <c r="AE43" s="40" t="s">
        <v>45</v>
      </c>
      <c r="AF43" s="40" t="s">
        <v>45</v>
      </c>
      <c r="AG43" s="40" t="s">
        <v>45</v>
      </c>
      <c r="AH43" s="40" t="s">
        <v>45</v>
      </c>
      <c r="AI43" s="40" t="s">
        <v>45</v>
      </c>
      <c r="AJ43" s="40" t="s">
        <v>45</v>
      </c>
      <c r="AK43" s="40" t="s">
        <v>45</v>
      </c>
      <c r="AL43" s="40" t="s">
        <v>45</v>
      </c>
      <c r="AM43" s="40" t="s">
        <v>45</v>
      </c>
      <c r="AN43" s="40" t="s">
        <v>45</v>
      </c>
      <c r="AO43" s="41" t="s">
        <v>45</v>
      </c>
      <c r="AP43" s="40" t="s">
        <v>349</v>
      </c>
      <c r="AQ43" s="40">
        <v>9</v>
      </c>
      <c r="AR43" s="48" t="s">
        <v>14</v>
      </c>
      <c r="AS43" s="43" t="s">
        <v>644</v>
      </c>
      <c r="AT43" s="43" t="s">
        <v>47</v>
      </c>
      <c r="AU43" s="44">
        <f t="shared" si="0"/>
        <v>-2.7014842379675978</v>
      </c>
      <c r="AV43" s="44">
        <f t="shared" si="1"/>
        <v>-0.50794192497739088</v>
      </c>
      <c r="AW43" s="45">
        <f t="shared" si="2"/>
        <v>3</v>
      </c>
      <c r="AX43" s="45">
        <f t="shared" si="3"/>
        <v>2</v>
      </c>
      <c r="AY43" s="46">
        <f>VLOOKUP(AP43,COND!$A$10:$B$32,2,FALSE)</f>
        <v>1</v>
      </c>
      <c r="AZ43" s="44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45.300864652858664</v>
      </c>
      <c r="BA43" s="47">
        <f t="shared" si="4"/>
        <v>0.6273860171300234</v>
      </c>
      <c r="BB43" s="45" t="str">
        <f t="shared" si="5"/>
        <v>SP</v>
      </c>
      <c r="BC43" s="45">
        <f>RANK(Table3[[#This Row],[zScore]],Table3[zScore])</f>
        <v>194</v>
      </c>
      <c r="BD43" s="45"/>
      <c r="BE43" s="45"/>
      <c r="BF43" s="45" t="str">
        <f t="shared" si="6"/>
        <v>Unlikely</v>
      </c>
      <c r="BG43" s="45"/>
      <c r="BH43" s="45">
        <f>INDEX(Table5[[#All],[Ovr]],MATCH(Table3[[#This Row],[PID]],Table5[[#All],[PID]],0))</f>
        <v>492</v>
      </c>
      <c r="BI43" s="45" t="str">
        <f>INDEX(Table5[[#All],[Rnd]],MATCH(Table3[[#This Row],[PID]],Table5[[#All],[PID]],0))</f>
        <v>17</v>
      </c>
      <c r="BJ43" s="45">
        <f>INDEX(Table5[[#All],[Pick]],MATCH(Table3[[#This Row],[PID]],Table5[[#All],[PID]],0))</f>
        <v>4</v>
      </c>
      <c r="BK43" s="45" t="str">
        <f>INDEX(Table5[[#All],[Team]],MATCH(Table3[[#This Row],[PID]],Table5[[#All],[PID]],0))</f>
        <v>Tempe Knights</v>
      </c>
      <c r="BL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" spans="1:64" ht="15" customHeight="1" x14ac:dyDescent="0.25">
      <c r="A44" s="40">
        <v>13677</v>
      </c>
      <c r="B44" s="40" t="s">
        <v>49</v>
      </c>
      <c r="C44" s="40" t="s">
        <v>125</v>
      </c>
      <c r="D44" s="40" t="s">
        <v>1976</v>
      </c>
      <c r="E44" s="40">
        <v>18</v>
      </c>
      <c r="F44" s="40" t="s">
        <v>53</v>
      </c>
      <c r="G44" s="40" t="s">
        <v>53</v>
      </c>
      <c r="H44" s="41" t="s">
        <v>647</v>
      </c>
      <c r="I44" s="42" t="s">
        <v>43</v>
      </c>
      <c r="J44" s="40" t="s">
        <v>47</v>
      </c>
      <c r="K44" s="41" t="s">
        <v>43</v>
      </c>
      <c r="L44" s="40">
        <v>1</v>
      </c>
      <c r="M44" s="40">
        <v>2</v>
      </c>
      <c r="N44" s="41">
        <v>1</v>
      </c>
      <c r="O44" s="40">
        <v>4</v>
      </c>
      <c r="P44" s="40">
        <v>4</v>
      </c>
      <c r="Q44" s="41">
        <v>3</v>
      </c>
      <c r="R44" s="40">
        <v>2</v>
      </c>
      <c r="S44" s="40">
        <v>4</v>
      </c>
      <c r="T44" s="40">
        <v>1</v>
      </c>
      <c r="U44" s="40">
        <v>3</v>
      </c>
      <c r="V44" s="40">
        <v>2</v>
      </c>
      <c r="W44" s="40">
        <v>6</v>
      </c>
      <c r="X44" s="40" t="s">
        <v>45</v>
      </c>
      <c r="Y44" s="40" t="s">
        <v>45</v>
      </c>
      <c r="Z44" s="40" t="s">
        <v>45</v>
      </c>
      <c r="AA44" s="40" t="s">
        <v>45</v>
      </c>
      <c r="AB44" s="40" t="s">
        <v>45</v>
      </c>
      <c r="AC44" s="40" t="s">
        <v>45</v>
      </c>
      <c r="AD44" s="40" t="s">
        <v>45</v>
      </c>
      <c r="AE44" s="40" t="s">
        <v>45</v>
      </c>
      <c r="AF44" s="40" t="s">
        <v>45</v>
      </c>
      <c r="AG44" s="40" t="s">
        <v>45</v>
      </c>
      <c r="AH44" s="40" t="s">
        <v>45</v>
      </c>
      <c r="AI44" s="40" t="s">
        <v>45</v>
      </c>
      <c r="AJ44" s="40" t="s">
        <v>45</v>
      </c>
      <c r="AK44" s="40" t="s">
        <v>45</v>
      </c>
      <c r="AL44" s="40" t="s">
        <v>45</v>
      </c>
      <c r="AM44" s="40" t="s">
        <v>45</v>
      </c>
      <c r="AN44" s="40" t="s">
        <v>45</v>
      </c>
      <c r="AO44" s="41" t="s">
        <v>45</v>
      </c>
      <c r="AP44" s="40" t="s">
        <v>68</v>
      </c>
      <c r="AQ44" s="40">
        <v>6</v>
      </c>
      <c r="AR44" s="48" t="s">
        <v>347</v>
      </c>
      <c r="AS44" s="43" t="s">
        <v>644</v>
      </c>
      <c r="AT44" s="43" t="s">
        <v>47</v>
      </c>
      <c r="AU44" s="44">
        <f t="shared" si="0"/>
        <v>-2.5060525215375429</v>
      </c>
      <c r="AV44" s="44">
        <f t="shared" si="1"/>
        <v>-0.6009792323046188</v>
      </c>
      <c r="AW44" s="45">
        <f t="shared" si="2"/>
        <v>3</v>
      </c>
      <c r="AX44" s="45">
        <f t="shared" si="3"/>
        <v>1</v>
      </c>
      <c r="AY44" s="46">
        <f>VLOOKUP(AP44,COND!$A$10:$B$32,2,FALSE)</f>
        <v>0.95</v>
      </c>
      <c r="AZ44" s="44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43.249800991942109</v>
      </c>
      <c r="BA44" s="47">
        <f t="shared" si="4"/>
        <v>0.49093188601776111</v>
      </c>
      <c r="BB44" s="45" t="str">
        <f t="shared" si="5"/>
        <v>SP</v>
      </c>
      <c r="BC44" s="45">
        <f>RANK(Table3[[#This Row],[zScore]],Table3[zScore])</f>
        <v>217</v>
      </c>
      <c r="BD44" s="45"/>
      <c r="BE44" s="45"/>
      <c r="BF44" s="45" t="str">
        <f t="shared" si="6"/>
        <v>Unlikely</v>
      </c>
      <c r="BG44" s="45"/>
      <c r="BH44" s="45" t="str">
        <f>INDEX(Table5[[#All],[Ovr]],MATCH(Table3[[#This Row],[PID]],Table5[[#All],[PID]],0))</f>
        <v/>
      </c>
      <c r="BI44" s="45" t="str">
        <f>INDEX(Table5[[#All],[Rnd]],MATCH(Table3[[#This Row],[PID]],Table5[[#All],[PID]],0))</f>
        <v/>
      </c>
      <c r="BJ44" s="45" t="str">
        <f>INDEX(Table5[[#All],[Pick]],MATCH(Table3[[#This Row],[PID]],Table5[[#All],[PID]],0))</f>
        <v/>
      </c>
      <c r="BK44" s="45" t="str">
        <f>INDEX(Table5[[#All],[Team]],MATCH(Table3[[#This Row],[PID]],Table5[[#All],[PID]],0))</f>
        <v/>
      </c>
      <c r="BL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" spans="1:64" ht="15" customHeight="1" x14ac:dyDescent="0.25">
      <c r="A45" s="40">
        <v>18191</v>
      </c>
      <c r="B45" s="40" t="s">
        <v>49</v>
      </c>
      <c r="C45" s="40" t="s">
        <v>192</v>
      </c>
      <c r="D45" s="40" t="s">
        <v>156</v>
      </c>
      <c r="E45" s="40">
        <v>18</v>
      </c>
      <c r="F45" s="40" t="s">
        <v>42</v>
      </c>
      <c r="G45" s="40" t="s">
        <v>42</v>
      </c>
      <c r="H45" s="41" t="s">
        <v>647</v>
      </c>
      <c r="I45" s="42" t="s">
        <v>43</v>
      </c>
      <c r="J45" s="40" t="s">
        <v>44</v>
      </c>
      <c r="K45" s="41" t="s">
        <v>43</v>
      </c>
      <c r="L45" s="40">
        <v>2</v>
      </c>
      <c r="M45" s="40">
        <v>2</v>
      </c>
      <c r="N45" s="41">
        <v>1</v>
      </c>
      <c r="O45" s="40">
        <v>5</v>
      </c>
      <c r="P45" s="40">
        <v>3</v>
      </c>
      <c r="Q45" s="41">
        <v>3</v>
      </c>
      <c r="R45" s="40">
        <v>4</v>
      </c>
      <c r="S45" s="40">
        <v>6</v>
      </c>
      <c r="T45" s="40">
        <v>1</v>
      </c>
      <c r="U45" s="40">
        <v>1</v>
      </c>
      <c r="V45" s="40" t="s">
        <v>45</v>
      </c>
      <c r="W45" s="40" t="s">
        <v>45</v>
      </c>
      <c r="X45" s="40">
        <v>3</v>
      </c>
      <c r="Y45" s="40">
        <v>6</v>
      </c>
      <c r="Z45" s="40" t="s">
        <v>45</v>
      </c>
      <c r="AA45" s="40" t="s">
        <v>45</v>
      </c>
      <c r="AB45" s="40" t="s">
        <v>45</v>
      </c>
      <c r="AC45" s="40" t="s">
        <v>45</v>
      </c>
      <c r="AD45" s="40" t="s">
        <v>45</v>
      </c>
      <c r="AE45" s="40" t="s">
        <v>45</v>
      </c>
      <c r="AF45" s="40" t="s">
        <v>45</v>
      </c>
      <c r="AG45" s="40" t="s">
        <v>45</v>
      </c>
      <c r="AH45" s="40" t="s">
        <v>45</v>
      </c>
      <c r="AI45" s="40" t="s">
        <v>45</v>
      </c>
      <c r="AJ45" s="40" t="s">
        <v>45</v>
      </c>
      <c r="AK45" s="40" t="s">
        <v>45</v>
      </c>
      <c r="AL45" s="40" t="s">
        <v>45</v>
      </c>
      <c r="AM45" s="40" t="s">
        <v>45</v>
      </c>
      <c r="AN45" s="40" t="s">
        <v>45</v>
      </c>
      <c r="AO45" s="41" t="s">
        <v>45</v>
      </c>
      <c r="AP45" s="40" t="s">
        <v>56</v>
      </c>
      <c r="AQ45" s="40">
        <v>5</v>
      </c>
      <c r="AR45" s="48" t="s">
        <v>347</v>
      </c>
      <c r="AS45" s="43" t="s">
        <v>659</v>
      </c>
      <c r="AT45" s="43"/>
      <c r="AU45" s="44">
        <f t="shared" si="0"/>
        <v>-2.311361197028369</v>
      </c>
      <c r="AV45" s="44">
        <f t="shared" si="1"/>
        <v>-0.60171962422550074</v>
      </c>
      <c r="AW45" s="45">
        <f t="shared" si="2"/>
        <v>3</v>
      </c>
      <c r="AX45" s="45">
        <f t="shared" si="3"/>
        <v>2</v>
      </c>
      <c r="AY45" s="46">
        <f>VLOOKUP(AP45,COND!$A$10:$B$32,2,FALSE)</f>
        <v>1</v>
      </c>
      <c r="AZ45" s="44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43.4157518941822</v>
      </c>
      <c r="BA45" s="47">
        <f>STANDARDIZE(AZ45,AVERAGE($AZ$5:$AZ$788),STDEVP($AZ$5:$AZ$788))</f>
        <v>0.48021720948508273</v>
      </c>
      <c r="BB45" s="45" t="str">
        <f t="shared" si="5"/>
        <v>SP</v>
      </c>
      <c r="BC45" s="45">
        <f>RANK(Table3[[#This Row],[zScore]],Table3[zScore])</f>
        <v>220</v>
      </c>
      <c r="BD45" s="45"/>
      <c r="BE45" s="45"/>
      <c r="BF45" s="45" t="str">
        <f t="shared" si="6"/>
        <v>Unlikely</v>
      </c>
      <c r="BG45" s="45"/>
      <c r="BH45" s="64" t="str">
        <f>INDEX(Table5[[#All],[Ovr]],MATCH(Table3[[#This Row],[PID]],Table5[[#All],[PID]],0))</f>
        <v/>
      </c>
      <c r="BI45" s="64" t="str">
        <f>INDEX(Table5[[#All],[Rnd]],MATCH(Table3[[#This Row],[PID]],Table5[[#All],[PID]],0))</f>
        <v/>
      </c>
      <c r="BJ45" s="64" t="str">
        <f>INDEX(Table5[[#All],[Pick]],MATCH(Table3[[#This Row],[PID]],Table5[[#All],[PID]],0))</f>
        <v/>
      </c>
      <c r="BK45" s="64" t="str">
        <f>INDEX(Table5[[#All],[Team]],MATCH(Table3[[#This Row],[PID]],Table5[[#All],[PID]],0))</f>
        <v/>
      </c>
      <c r="BL45" s="64" t="str">
        <f>IF(OR(Table3[[#This Row],[POS]]="SP",Table3[[#This Row],[POS]]="RP",Table3[[#This Row],[POS]]="CL"),"P",INDEX(Batters[[#All],[zScore]],MATCH(Table3[[#This Row],[PID]],Batters[[#All],[PID]],0)))</f>
        <v>P</v>
      </c>
    </row>
    <row r="46" spans="1:64" ht="15" customHeight="1" x14ac:dyDescent="0.25">
      <c r="A46" s="40">
        <v>18033</v>
      </c>
      <c r="B46" s="40" t="s">
        <v>49</v>
      </c>
      <c r="C46" s="40" t="s">
        <v>171</v>
      </c>
      <c r="D46" s="40" t="s">
        <v>1694</v>
      </c>
      <c r="E46" s="40">
        <v>21</v>
      </c>
      <c r="F46" s="40" t="s">
        <v>62</v>
      </c>
      <c r="G46" s="40" t="s">
        <v>53</v>
      </c>
      <c r="H46" s="41" t="s">
        <v>638</v>
      </c>
      <c r="I46" s="42" t="s">
        <v>44</v>
      </c>
      <c r="J46" s="40" t="s">
        <v>47</v>
      </c>
      <c r="K46" s="41" t="s">
        <v>43</v>
      </c>
      <c r="L46" s="40">
        <v>3</v>
      </c>
      <c r="M46" s="40">
        <v>2</v>
      </c>
      <c r="N46" s="41">
        <v>2</v>
      </c>
      <c r="O46" s="40">
        <v>6</v>
      </c>
      <c r="P46" s="40">
        <v>2</v>
      </c>
      <c r="Q46" s="41">
        <v>4</v>
      </c>
      <c r="R46" s="40">
        <v>5</v>
      </c>
      <c r="S46" s="40">
        <v>8</v>
      </c>
      <c r="T46" s="40">
        <v>1</v>
      </c>
      <c r="U46" s="40">
        <v>1</v>
      </c>
      <c r="V46" s="40" t="s">
        <v>45</v>
      </c>
      <c r="W46" s="40" t="s">
        <v>45</v>
      </c>
      <c r="X46" s="40" t="s">
        <v>45</v>
      </c>
      <c r="Y46" s="40" t="s">
        <v>45</v>
      </c>
      <c r="Z46" s="40">
        <v>4</v>
      </c>
      <c r="AA46" s="40">
        <v>6</v>
      </c>
      <c r="AB46" s="40" t="s">
        <v>45</v>
      </c>
      <c r="AC46" s="40" t="s">
        <v>45</v>
      </c>
      <c r="AD46" s="40" t="s">
        <v>45</v>
      </c>
      <c r="AE46" s="40" t="s">
        <v>45</v>
      </c>
      <c r="AF46" s="40" t="s">
        <v>45</v>
      </c>
      <c r="AG46" s="40" t="s">
        <v>45</v>
      </c>
      <c r="AH46" s="40" t="s">
        <v>45</v>
      </c>
      <c r="AI46" s="40" t="s">
        <v>45</v>
      </c>
      <c r="AJ46" s="40" t="s">
        <v>45</v>
      </c>
      <c r="AK46" s="40" t="s">
        <v>45</v>
      </c>
      <c r="AL46" s="40" t="s">
        <v>45</v>
      </c>
      <c r="AM46" s="40" t="s">
        <v>45</v>
      </c>
      <c r="AN46" s="40" t="s">
        <v>45</v>
      </c>
      <c r="AO46" s="41" t="s">
        <v>45</v>
      </c>
      <c r="AP46" s="40" t="s">
        <v>56</v>
      </c>
      <c r="AQ46" s="40">
        <v>3</v>
      </c>
      <c r="AR46" s="48" t="s">
        <v>347</v>
      </c>
      <c r="AS46" s="43" t="s">
        <v>45</v>
      </c>
      <c r="AT46" s="43" t="s">
        <v>47</v>
      </c>
      <c r="AU46" s="44">
        <f t="shared" si="0"/>
        <v>-1.8743493064650851</v>
      </c>
      <c r="AV46" s="44">
        <f t="shared" si="1"/>
        <v>-0.36013945009227222</v>
      </c>
      <c r="AW46" s="45">
        <f t="shared" si="2"/>
        <v>3</v>
      </c>
      <c r="AX46" s="45">
        <f t="shared" si="3"/>
        <v>2</v>
      </c>
      <c r="AY46" s="46">
        <f>VLOOKUP(AP46,COND!$A$10:$B$32,2,FALSE)</f>
        <v>1</v>
      </c>
      <c r="AZ46" s="44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41.75122408001846</v>
      </c>
      <c r="BA46" s="47">
        <f>STANDARDIZE(AZ46,AVERAGE($AZ$5:$AZ$557),STDEVP($AZ$5:$AZ$557))</f>
        <v>0.39123385405611044</v>
      </c>
      <c r="BB46" s="45" t="str">
        <f t="shared" si="5"/>
        <v>RP</v>
      </c>
      <c r="BC46" s="45">
        <f>RANK(Table3[[#This Row],[zScore]],Table3[zScore])</f>
        <v>228</v>
      </c>
      <c r="BD46" s="45"/>
      <c r="BE46" s="45"/>
      <c r="BF46" s="45" t="str">
        <f t="shared" si="6"/>
        <v>Possible</v>
      </c>
      <c r="BG46" s="45"/>
      <c r="BH46" s="45">
        <f>INDEX(Table5[[#All],[Ovr]],MATCH(Table3[[#This Row],[PID]],Table5[[#All],[PID]],0))</f>
        <v>409</v>
      </c>
      <c r="BI46" s="45" t="str">
        <f>INDEX(Table5[[#All],[Rnd]],MATCH(Table3[[#This Row],[PID]],Table5[[#All],[PID]],0))</f>
        <v>14</v>
      </c>
      <c r="BJ46" s="45">
        <f>INDEX(Table5[[#All],[Pick]],MATCH(Table3[[#This Row],[PID]],Table5[[#All],[PID]],0))</f>
        <v>11</v>
      </c>
      <c r="BK46" s="45" t="str">
        <f>INDEX(Table5[[#All],[Team]],MATCH(Table3[[#This Row],[PID]],Table5[[#All],[PID]],0))</f>
        <v>Duluth Warriors</v>
      </c>
      <c r="BL4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" spans="1:64" ht="15" customHeight="1" x14ac:dyDescent="0.25">
      <c r="A47" s="40">
        <v>20410</v>
      </c>
      <c r="B47" s="40" t="s">
        <v>49</v>
      </c>
      <c r="C47" s="40" t="s">
        <v>1946</v>
      </c>
      <c r="D47" s="40" t="s">
        <v>1947</v>
      </c>
      <c r="E47" s="40">
        <v>17</v>
      </c>
      <c r="F47" s="40" t="s">
        <v>62</v>
      </c>
      <c r="G47" s="40" t="s">
        <v>53</v>
      </c>
      <c r="H47" s="41" t="s">
        <v>647</v>
      </c>
      <c r="I47" s="42" t="s">
        <v>43</v>
      </c>
      <c r="J47" s="40" t="s">
        <v>44</v>
      </c>
      <c r="K47" s="41" t="s">
        <v>43</v>
      </c>
      <c r="L47" s="40">
        <v>2</v>
      </c>
      <c r="M47" s="40">
        <v>2</v>
      </c>
      <c r="N47" s="41">
        <v>1</v>
      </c>
      <c r="O47" s="40">
        <v>5</v>
      </c>
      <c r="P47" s="40">
        <v>2</v>
      </c>
      <c r="Q47" s="41">
        <v>3</v>
      </c>
      <c r="R47" s="40" t="s">
        <v>45</v>
      </c>
      <c r="S47" s="40" t="s">
        <v>45</v>
      </c>
      <c r="T47" s="40">
        <v>3</v>
      </c>
      <c r="U47" s="40">
        <v>7</v>
      </c>
      <c r="V47" s="40">
        <v>1</v>
      </c>
      <c r="W47" s="40">
        <v>2</v>
      </c>
      <c r="X47" s="40" t="s">
        <v>45</v>
      </c>
      <c r="Y47" s="40" t="s">
        <v>45</v>
      </c>
      <c r="Z47" s="40" t="s">
        <v>45</v>
      </c>
      <c r="AA47" s="40" t="s">
        <v>45</v>
      </c>
      <c r="AB47" s="40" t="s">
        <v>45</v>
      </c>
      <c r="AC47" s="40" t="s">
        <v>45</v>
      </c>
      <c r="AD47" s="40">
        <v>3</v>
      </c>
      <c r="AE47" s="40">
        <v>4</v>
      </c>
      <c r="AF47" s="40" t="s">
        <v>45</v>
      </c>
      <c r="AG47" s="40" t="s">
        <v>45</v>
      </c>
      <c r="AH47" s="40" t="s">
        <v>45</v>
      </c>
      <c r="AI47" s="40" t="s">
        <v>45</v>
      </c>
      <c r="AJ47" s="40" t="s">
        <v>45</v>
      </c>
      <c r="AK47" s="40" t="s">
        <v>45</v>
      </c>
      <c r="AL47" s="40" t="s">
        <v>45</v>
      </c>
      <c r="AM47" s="40" t="s">
        <v>45</v>
      </c>
      <c r="AN47" s="40" t="s">
        <v>45</v>
      </c>
      <c r="AO47" s="41" t="s">
        <v>45</v>
      </c>
      <c r="AP47" s="40" t="s">
        <v>65</v>
      </c>
      <c r="AQ47" s="40">
        <v>7</v>
      </c>
      <c r="AR47" s="48" t="s">
        <v>347</v>
      </c>
      <c r="AS47" s="43" t="s">
        <v>548</v>
      </c>
      <c r="AT47" s="43" t="s">
        <v>47</v>
      </c>
      <c r="AU47" s="44">
        <f t="shared" si="0"/>
        <v>-2.311361197028369</v>
      </c>
      <c r="AV47" s="44">
        <f t="shared" si="1"/>
        <v>-0.79715134065555615</v>
      </c>
      <c r="AW47" s="45">
        <f t="shared" si="2"/>
        <v>3</v>
      </c>
      <c r="AX47" s="45">
        <f t="shared" si="3"/>
        <v>1</v>
      </c>
      <c r="AY47" s="46">
        <f>VLOOKUP(AP47,COND!$A$10:$B$32,2,FALSE)</f>
        <v>0.95</v>
      </c>
      <c r="AZ47" s="44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38.727465900109046</v>
      </c>
      <c r="BA47" s="47">
        <f>STANDARDIZE(AZ47,AVERAGE($AZ$5:$AZ$557),STDEVP($AZ$5:$AZ$557))</f>
        <v>0.19006784297834828</v>
      </c>
      <c r="BB47" s="45" t="str">
        <f t="shared" si="5"/>
        <v>SP</v>
      </c>
      <c r="BC47" s="45">
        <f>RANK(Table3[[#This Row],[zScore]],Table3[zScore])</f>
        <v>267</v>
      </c>
      <c r="BD47" s="45"/>
      <c r="BE47" s="45"/>
      <c r="BF47" s="45" t="str">
        <f t="shared" si="6"/>
        <v>Unlikely</v>
      </c>
      <c r="BG47" s="45"/>
      <c r="BH47" s="45" t="str">
        <f>INDEX(Table5[[#All],[Ovr]],MATCH(Table3[[#This Row],[PID]],Table5[[#All],[PID]],0))</f>
        <v/>
      </c>
      <c r="BI47" s="45" t="str">
        <f>INDEX(Table5[[#All],[Rnd]],MATCH(Table3[[#This Row],[PID]],Table5[[#All],[PID]],0))</f>
        <v/>
      </c>
      <c r="BJ47" s="45" t="str">
        <f>INDEX(Table5[[#All],[Pick]],MATCH(Table3[[#This Row],[PID]],Table5[[#All],[PID]],0))</f>
        <v/>
      </c>
      <c r="BK47" s="45" t="str">
        <f>INDEX(Table5[[#All],[Team]],MATCH(Table3[[#This Row],[PID]],Table5[[#All],[PID]],0))</f>
        <v/>
      </c>
      <c r="BL4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" spans="1:64" ht="15" customHeight="1" x14ac:dyDescent="0.25">
      <c r="A48" s="40">
        <v>17762</v>
      </c>
      <c r="B48" s="40" t="s">
        <v>49</v>
      </c>
      <c r="C48" s="40" t="s">
        <v>174</v>
      </c>
      <c r="D48" s="40" t="s">
        <v>1909</v>
      </c>
      <c r="E48" s="40">
        <v>21</v>
      </c>
      <c r="F48" s="40" t="s">
        <v>62</v>
      </c>
      <c r="G48" s="40" t="s">
        <v>42</v>
      </c>
      <c r="H48" s="41" t="s">
        <v>639</v>
      </c>
      <c r="I48" s="42" t="s">
        <v>43</v>
      </c>
      <c r="J48" s="40" t="s">
        <v>44</v>
      </c>
      <c r="K48" s="41" t="s">
        <v>44</v>
      </c>
      <c r="L48" s="40">
        <v>3</v>
      </c>
      <c r="M48" s="40">
        <v>3</v>
      </c>
      <c r="N48" s="41">
        <v>1</v>
      </c>
      <c r="O48" s="40">
        <v>6</v>
      </c>
      <c r="P48" s="40">
        <v>4</v>
      </c>
      <c r="Q48" s="41">
        <v>2</v>
      </c>
      <c r="R48" s="40" t="s">
        <v>45</v>
      </c>
      <c r="S48" s="40" t="s">
        <v>45</v>
      </c>
      <c r="T48" s="40">
        <v>3</v>
      </c>
      <c r="U48" s="40">
        <v>5</v>
      </c>
      <c r="V48" s="40" t="s">
        <v>45</v>
      </c>
      <c r="W48" s="40" t="s">
        <v>45</v>
      </c>
      <c r="X48" s="40">
        <v>3</v>
      </c>
      <c r="Y48" s="40">
        <v>3</v>
      </c>
      <c r="Z48" s="40" t="s">
        <v>45</v>
      </c>
      <c r="AA48" s="40" t="s">
        <v>45</v>
      </c>
      <c r="AB48" s="40" t="s">
        <v>45</v>
      </c>
      <c r="AC48" s="40" t="s">
        <v>45</v>
      </c>
      <c r="AD48" s="40">
        <v>5</v>
      </c>
      <c r="AE48" s="40">
        <v>8</v>
      </c>
      <c r="AF48" s="40" t="s">
        <v>45</v>
      </c>
      <c r="AG48" s="40" t="s">
        <v>45</v>
      </c>
      <c r="AH48" s="40" t="s">
        <v>45</v>
      </c>
      <c r="AI48" s="40" t="s">
        <v>45</v>
      </c>
      <c r="AJ48" s="40" t="s">
        <v>45</v>
      </c>
      <c r="AK48" s="40" t="s">
        <v>45</v>
      </c>
      <c r="AL48" s="40" t="s">
        <v>45</v>
      </c>
      <c r="AM48" s="40" t="s">
        <v>45</v>
      </c>
      <c r="AN48" s="40" t="s">
        <v>45</v>
      </c>
      <c r="AO48" s="41" t="s">
        <v>45</v>
      </c>
      <c r="AP48" s="40" t="s">
        <v>48</v>
      </c>
      <c r="AQ48" s="40">
        <v>3</v>
      </c>
      <c r="AR48" s="48" t="s">
        <v>347</v>
      </c>
      <c r="AS48" s="43" t="s">
        <v>45</v>
      </c>
      <c r="AT48" s="43" t="s">
        <v>47</v>
      </c>
      <c r="AU48" s="44">
        <f t="shared" si="0"/>
        <v>-1.9212381560891401</v>
      </c>
      <c r="AV48" s="44">
        <f t="shared" si="1"/>
        <v>-0.45391714934038213</v>
      </c>
      <c r="AW48" s="45">
        <f t="shared" si="2"/>
        <v>3</v>
      </c>
      <c r="AX48" s="45">
        <f t="shared" si="3"/>
        <v>1</v>
      </c>
      <c r="AY48" s="46">
        <f>VLOOKUP(AP48,COND!$A$10:$B$32,2,FALSE)</f>
        <v>1.05</v>
      </c>
      <c r="AZ48" s="44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37.704190858519596</v>
      </c>
      <c r="BA48" s="47">
        <f>STANDARDIZE(AZ48,AVERAGE($AZ$5:$AZ$557),STDEVP($AZ$5:$AZ$557))</f>
        <v>0.12199091813704115</v>
      </c>
      <c r="BB48" s="45" t="str">
        <f t="shared" si="5"/>
        <v>RP</v>
      </c>
      <c r="BC48" s="45">
        <f>RANK(Table3[[#This Row],[zScore]],Table3[zScore])</f>
        <v>282</v>
      </c>
      <c r="BD48" s="45"/>
      <c r="BE48" s="45"/>
      <c r="BF48" s="45" t="str">
        <f t="shared" si="6"/>
        <v>Possible</v>
      </c>
      <c r="BG48" s="45"/>
      <c r="BH48" s="45">
        <f>INDEX(Table5[[#All],[Ovr]],MATCH(Table3[[#This Row],[PID]],Table5[[#All],[PID]],0))</f>
        <v>574</v>
      </c>
      <c r="BI48" s="45" t="str">
        <f>INDEX(Table5[[#All],[Rnd]],MATCH(Table3[[#This Row],[PID]],Table5[[#All],[PID]],0))</f>
        <v>19</v>
      </c>
      <c r="BJ48" s="45">
        <f>INDEX(Table5[[#All],[Pick]],MATCH(Table3[[#This Row],[PID]],Table5[[#All],[PID]],0))</f>
        <v>26</v>
      </c>
      <c r="BK48" s="45" t="str">
        <f>INDEX(Table5[[#All],[Team]],MATCH(Table3[[#This Row],[PID]],Table5[[#All],[PID]],0))</f>
        <v>Aurora Borealis</v>
      </c>
      <c r="BL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" spans="1:64" ht="15" customHeight="1" x14ac:dyDescent="0.25">
      <c r="A49" s="40">
        <v>21031</v>
      </c>
      <c r="B49" s="40" t="s">
        <v>49</v>
      </c>
      <c r="C49" s="40" t="s">
        <v>1941</v>
      </c>
      <c r="D49" s="40" t="s">
        <v>428</v>
      </c>
      <c r="E49" s="40">
        <v>18</v>
      </c>
      <c r="F49" s="40" t="s">
        <v>42</v>
      </c>
      <c r="G49" s="40" t="s">
        <v>53</v>
      </c>
      <c r="H49" s="41" t="s">
        <v>647</v>
      </c>
      <c r="I49" s="42" t="s">
        <v>43</v>
      </c>
      <c r="J49" s="40" t="s">
        <v>43</v>
      </c>
      <c r="K49" s="41" t="s">
        <v>47</v>
      </c>
      <c r="L49" s="40">
        <v>1</v>
      </c>
      <c r="M49" s="40">
        <v>2</v>
      </c>
      <c r="N49" s="41">
        <v>1</v>
      </c>
      <c r="O49" s="40">
        <v>4</v>
      </c>
      <c r="P49" s="40">
        <v>3</v>
      </c>
      <c r="Q49" s="41">
        <v>4</v>
      </c>
      <c r="R49" s="40">
        <v>2</v>
      </c>
      <c r="S49" s="40">
        <v>5</v>
      </c>
      <c r="T49" s="40" t="s">
        <v>45</v>
      </c>
      <c r="U49" s="40" t="s">
        <v>45</v>
      </c>
      <c r="V49" s="40">
        <v>1</v>
      </c>
      <c r="W49" s="40">
        <v>5</v>
      </c>
      <c r="X49" s="40" t="s">
        <v>45</v>
      </c>
      <c r="Y49" s="40" t="s">
        <v>45</v>
      </c>
      <c r="Z49" s="40" t="s">
        <v>45</v>
      </c>
      <c r="AA49" s="40" t="s">
        <v>45</v>
      </c>
      <c r="AB49" s="40" t="s">
        <v>45</v>
      </c>
      <c r="AC49" s="40" t="s">
        <v>45</v>
      </c>
      <c r="AD49" s="40" t="s">
        <v>45</v>
      </c>
      <c r="AE49" s="40" t="s">
        <v>45</v>
      </c>
      <c r="AF49" s="40" t="s">
        <v>45</v>
      </c>
      <c r="AG49" s="40" t="s">
        <v>45</v>
      </c>
      <c r="AH49" s="40" t="s">
        <v>45</v>
      </c>
      <c r="AI49" s="40" t="s">
        <v>45</v>
      </c>
      <c r="AJ49" s="40" t="s">
        <v>45</v>
      </c>
      <c r="AK49" s="40" t="s">
        <v>45</v>
      </c>
      <c r="AL49" s="40" t="s">
        <v>45</v>
      </c>
      <c r="AM49" s="40" t="s">
        <v>45</v>
      </c>
      <c r="AN49" s="40" t="s">
        <v>45</v>
      </c>
      <c r="AO49" s="41" t="s">
        <v>45</v>
      </c>
      <c r="AP49" s="40" t="s">
        <v>68</v>
      </c>
      <c r="AQ49" s="40">
        <v>2</v>
      </c>
      <c r="AR49" s="48" t="s">
        <v>347</v>
      </c>
      <c r="AS49" s="43" t="s">
        <v>644</v>
      </c>
      <c r="AT49" s="43" t="s">
        <v>47</v>
      </c>
      <c r="AU49" s="44">
        <f t="shared" si="0"/>
        <v>-2.5060525215375429</v>
      </c>
      <c r="AV49" s="44">
        <f t="shared" si="1"/>
        <v>-0.55409038268056388</v>
      </c>
      <c r="AW49" s="45">
        <f t="shared" si="2"/>
        <v>2</v>
      </c>
      <c r="AX49" s="45">
        <f t="shared" si="3"/>
        <v>0</v>
      </c>
      <c r="AY49" s="46">
        <f>VLOOKUP(AP49,COND!$A$10:$B$32,2,FALSE)</f>
        <v>0.95</v>
      </c>
      <c r="AZ49" s="44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35.748826112478298</v>
      </c>
      <c r="BA49" s="47">
        <f>STANDARDIZE(AZ49,AVERAGE($AZ$5:$AZ$557),STDEVP($AZ$5:$AZ$557))</f>
        <v>-8.0965104069283551E-3</v>
      </c>
      <c r="BB49" s="45" t="str">
        <f t="shared" si="5"/>
        <v>RP</v>
      </c>
      <c r="BC49" s="45">
        <f>RANK(Table3[[#This Row],[zScore]],Table3[zScore])</f>
        <v>308</v>
      </c>
      <c r="BD49" s="45"/>
      <c r="BE49" s="45"/>
      <c r="BF49" s="45" t="str">
        <f t="shared" si="6"/>
        <v>Unlikely</v>
      </c>
      <c r="BG49" s="45"/>
      <c r="BH49" s="45" t="str">
        <f>INDEX(Table5[[#All],[Ovr]],MATCH(Table3[[#This Row],[PID]],Table5[[#All],[PID]],0))</f>
        <v/>
      </c>
      <c r="BI49" s="45" t="str">
        <f>INDEX(Table5[[#All],[Rnd]],MATCH(Table3[[#This Row],[PID]],Table5[[#All],[PID]],0))</f>
        <v/>
      </c>
      <c r="BJ49" s="45" t="str">
        <f>INDEX(Table5[[#All],[Pick]],MATCH(Table3[[#This Row],[PID]],Table5[[#All],[PID]],0))</f>
        <v/>
      </c>
      <c r="BK49" s="45" t="str">
        <f>INDEX(Table5[[#All],[Team]],MATCH(Table3[[#This Row],[PID]],Table5[[#All],[PID]],0))</f>
        <v/>
      </c>
      <c r="BL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" spans="1:64" ht="15" customHeight="1" x14ac:dyDescent="0.25">
      <c r="A50" s="40">
        <v>20607</v>
      </c>
      <c r="B50" s="40" t="s">
        <v>49</v>
      </c>
      <c r="C50" s="40" t="s">
        <v>2217</v>
      </c>
      <c r="D50" s="40" t="s">
        <v>1383</v>
      </c>
      <c r="E50" s="40">
        <v>17</v>
      </c>
      <c r="F50" s="40" t="s">
        <v>42</v>
      </c>
      <c r="G50" s="40" t="s">
        <v>42</v>
      </c>
      <c r="H50" s="41" t="s">
        <v>647</v>
      </c>
      <c r="I50" s="42" t="s">
        <v>43</v>
      </c>
      <c r="J50" s="40" t="s">
        <v>43</v>
      </c>
      <c r="K50" s="41" t="s">
        <v>43</v>
      </c>
      <c r="L50" s="40">
        <v>3</v>
      </c>
      <c r="M50" s="40">
        <v>1</v>
      </c>
      <c r="N50" s="41">
        <v>1</v>
      </c>
      <c r="O50" s="40">
        <v>6</v>
      </c>
      <c r="P50" s="40">
        <v>2</v>
      </c>
      <c r="Q50" s="41">
        <v>3</v>
      </c>
      <c r="R50" s="40">
        <v>4</v>
      </c>
      <c r="S50" s="40">
        <v>7</v>
      </c>
      <c r="T50" s="40" t="s">
        <v>45</v>
      </c>
      <c r="U50" s="40" t="s">
        <v>45</v>
      </c>
      <c r="V50" s="40" t="s">
        <v>45</v>
      </c>
      <c r="W50" s="40" t="s">
        <v>45</v>
      </c>
      <c r="X50" s="40">
        <v>4</v>
      </c>
      <c r="Y50" s="40">
        <v>8</v>
      </c>
      <c r="Z50" s="40" t="s">
        <v>45</v>
      </c>
      <c r="AA50" s="40" t="s">
        <v>45</v>
      </c>
      <c r="AB50" s="40" t="s">
        <v>45</v>
      </c>
      <c r="AC50" s="40" t="s">
        <v>45</v>
      </c>
      <c r="AD50" s="40" t="s">
        <v>45</v>
      </c>
      <c r="AE50" s="40" t="s">
        <v>45</v>
      </c>
      <c r="AF50" s="40" t="s">
        <v>45</v>
      </c>
      <c r="AG50" s="40" t="s">
        <v>45</v>
      </c>
      <c r="AH50" s="40" t="s">
        <v>45</v>
      </c>
      <c r="AI50" s="40" t="s">
        <v>45</v>
      </c>
      <c r="AJ50" s="40" t="s">
        <v>45</v>
      </c>
      <c r="AK50" s="40" t="s">
        <v>45</v>
      </c>
      <c r="AL50" s="40" t="s">
        <v>45</v>
      </c>
      <c r="AM50" s="40" t="s">
        <v>45</v>
      </c>
      <c r="AN50" s="40" t="s">
        <v>45</v>
      </c>
      <c r="AO50" s="41" t="s">
        <v>45</v>
      </c>
      <c r="AP50" s="40" t="s">
        <v>57</v>
      </c>
      <c r="AQ50" s="40">
        <v>5</v>
      </c>
      <c r="AR50" s="48" t="s">
        <v>14</v>
      </c>
      <c r="AS50" s="43" t="s">
        <v>563</v>
      </c>
      <c r="AT50" s="43"/>
      <c r="AU50" s="44">
        <f t="shared" si="0"/>
        <v>-2.3121015889492513</v>
      </c>
      <c r="AV50" s="44">
        <f t="shared" si="1"/>
        <v>-0.60246001614638267</v>
      </c>
      <c r="AW50" s="45">
        <f t="shared" si="2"/>
        <v>2</v>
      </c>
      <c r="AX50" s="45">
        <f t="shared" si="3"/>
        <v>2</v>
      </c>
      <c r="AY50" s="46">
        <f>VLOOKUP(AP50,COND!$A$10:$B$32,2,FALSE)</f>
        <v>1</v>
      </c>
      <c r="AZ50" s="44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36.213669875300432</v>
      </c>
      <c r="BA50" s="47">
        <f>STANDARDIZE(AZ50,AVERAGE($AZ$5:$AZ$788),STDEVP($AZ$5:$AZ$788))</f>
        <v>-4.0943201677018218E-2</v>
      </c>
      <c r="BB50" s="45" t="str">
        <f t="shared" si="5"/>
        <v>RP</v>
      </c>
      <c r="BC50" s="45">
        <f>RANK(Table3[[#This Row],[zScore]],Table3[zScore])</f>
        <v>321</v>
      </c>
      <c r="BD50" s="45"/>
      <c r="BE50" s="45"/>
      <c r="BF50" s="45" t="str">
        <f t="shared" si="6"/>
        <v>Unlikely</v>
      </c>
      <c r="BG50" s="45"/>
      <c r="BH50" s="64" t="str">
        <f>INDEX(Table5[[#All],[Ovr]],MATCH(Table3[[#This Row],[PID]],Table5[[#All],[PID]],0))</f>
        <v/>
      </c>
      <c r="BI50" s="64" t="str">
        <f>INDEX(Table5[[#All],[Rnd]],MATCH(Table3[[#This Row],[PID]],Table5[[#All],[PID]],0))</f>
        <v/>
      </c>
      <c r="BJ50" s="64" t="str">
        <f>INDEX(Table5[[#All],[Pick]],MATCH(Table3[[#This Row],[PID]],Table5[[#All],[PID]],0))</f>
        <v/>
      </c>
      <c r="BK50" s="64" t="str">
        <f>INDEX(Table5[[#All],[Team]],MATCH(Table3[[#This Row],[PID]],Table5[[#All],[PID]],0))</f>
        <v/>
      </c>
      <c r="BL50" s="64" t="str">
        <f>IF(OR(Table3[[#This Row],[POS]]="SP",Table3[[#This Row],[POS]]="RP",Table3[[#This Row],[POS]]="CL"),"P",INDEX(Batters[[#All],[zScore]],MATCH(Table3[[#This Row],[PID]],Batters[[#All],[PID]],0)))</f>
        <v>P</v>
      </c>
    </row>
    <row r="51" spans="1:64" ht="15" customHeight="1" x14ac:dyDescent="0.25">
      <c r="A51" s="40">
        <v>12934</v>
      </c>
      <c r="B51" s="40" t="s">
        <v>49</v>
      </c>
      <c r="C51" s="40" t="s">
        <v>1025</v>
      </c>
      <c r="D51" s="40" t="s">
        <v>1026</v>
      </c>
      <c r="E51" s="40">
        <v>22</v>
      </c>
      <c r="F51" s="40" t="s">
        <v>53</v>
      </c>
      <c r="G51" s="40" t="s">
        <v>53</v>
      </c>
      <c r="H51" s="41" t="s">
        <v>647</v>
      </c>
      <c r="I51" s="42" t="s">
        <v>43</v>
      </c>
      <c r="J51" s="40" t="s">
        <v>44</v>
      </c>
      <c r="K51" s="41" t="s">
        <v>43</v>
      </c>
      <c r="L51" s="40">
        <v>4</v>
      </c>
      <c r="M51" s="40">
        <v>1</v>
      </c>
      <c r="N51" s="41">
        <v>2</v>
      </c>
      <c r="O51" s="40">
        <v>6</v>
      </c>
      <c r="P51" s="40">
        <v>1</v>
      </c>
      <c r="Q51" s="41">
        <v>3</v>
      </c>
      <c r="R51" s="40">
        <v>6</v>
      </c>
      <c r="S51" s="40">
        <v>7</v>
      </c>
      <c r="T51" s="40">
        <v>4</v>
      </c>
      <c r="U51" s="40">
        <v>7</v>
      </c>
      <c r="V51" s="40">
        <v>3</v>
      </c>
      <c r="W51" s="40">
        <v>4</v>
      </c>
      <c r="X51" s="40" t="s">
        <v>45</v>
      </c>
      <c r="Y51" s="40" t="s">
        <v>45</v>
      </c>
      <c r="Z51" s="40" t="s">
        <v>45</v>
      </c>
      <c r="AA51" s="40" t="s">
        <v>45</v>
      </c>
      <c r="AB51" s="40">
        <v>4</v>
      </c>
      <c r="AC51" s="40">
        <v>6</v>
      </c>
      <c r="AD51" s="40" t="s">
        <v>45</v>
      </c>
      <c r="AE51" s="40" t="s">
        <v>45</v>
      </c>
      <c r="AF51" s="40" t="s">
        <v>45</v>
      </c>
      <c r="AG51" s="40" t="s">
        <v>45</v>
      </c>
      <c r="AH51" s="40" t="s">
        <v>45</v>
      </c>
      <c r="AI51" s="40" t="s">
        <v>45</v>
      </c>
      <c r="AJ51" s="40" t="s">
        <v>45</v>
      </c>
      <c r="AK51" s="40" t="s">
        <v>45</v>
      </c>
      <c r="AL51" s="40" t="s">
        <v>45</v>
      </c>
      <c r="AM51" s="40" t="s">
        <v>45</v>
      </c>
      <c r="AN51" s="40" t="s">
        <v>45</v>
      </c>
      <c r="AO51" s="41" t="s">
        <v>45</v>
      </c>
      <c r="AP51" s="40" t="s">
        <v>61</v>
      </c>
      <c r="AQ51" s="40">
        <v>3</v>
      </c>
      <c r="AR51" s="48" t="s">
        <v>351</v>
      </c>
      <c r="AS51" s="43" t="s">
        <v>45</v>
      </c>
      <c r="AT51" s="43" t="s">
        <v>47</v>
      </c>
      <c r="AU51" s="44">
        <f t="shared" si="0"/>
        <v>-1.8750896983859671</v>
      </c>
      <c r="AV51" s="44">
        <f t="shared" si="1"/>
        <v>-0.79789173257643808</v>
      </c>
      <c r="AW51" s="45">
        <f t="shared" si="2"/>
        <v>4</v>
      </c>
      <c r="AX51" s="45">
        <f t="shared" si="3"/>
        <v>3</v>
      </c>
      <c r="AY51" s="46">
        <f>VLOOKUP(AP51,COND!$A$10:$B$32,2,FALSE)</f>
        <v>1.05</v>
      </c>
      <c r="AZ51" s="44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34.143604540272058</v>
      </c>
      <c r="BA51" s="47">
        <f>STANDARDIZE(AZ51,AVERAGE($AZ$5:$AZ$557),STDEVP($AZ$5:$AZ$557))</f>
        <v>-0.11488944865253144</v>
      </c>
      <c r="BB51" s="45" t="str">
        <f t="shared" si="5"/>
        <v>RP</v>
      </c>
      <c r="BC51" s="45">
        <f>RANK(Table3[[#This Row],[zScore]],Table3[zScore])</f>
        <v>345</v>
      </c>
      <c r="BD51" s="45"/>
      <c r="BE51" s="45"/>
      <c r="BF51" s="45" t="str">
        <f t="shared" si="6"/>
        <v>Unlikely</v>
      </c>
      <c r="BG51" s="45"/>
      <c r="BH51" s="45">
        <f>INDEX(Table5[[#All],[Ovr]],MATCH(Table3[[#This Row],[PID]],Table5[[#All],[PID]],0))</f>
        <v>349</v>
      </c>
      <c r="BI51" s="45" t="str">
        <f>INDEX(Table5[[#All],[Rnd]],MATCH(Table3[[#This Row],[PID]],Table5[[#All],[PID]],0))</f>
        <v>12</v>
      </c>
      <c r="BJ51" s="45">
        <f>INDEX(Table5[[#All],[Pick]],MATCH(Table3[[#This Row],[PID]],Table5[[#All],[PID]],0))</f>
        <v>11</v>
      </c>
      <c r="BK51" s="45" t="str">
        <f>INDEX(Table5[[#All],[Team]],MATCH(Table3[[#This Row],[PID]],Table5[[#All],[PID]],0))</f>
        <v>Duluth Warriors</v>
      </c>
      <c r="BL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" spans="1:64" ht="15" customHeight="1" x14ac:dyDescent="0.25">
      <c r="A52" s="40">
        <v>11167</v>
      </c>
      <c r="B52" s="40" t="s">
        <v>49</v>
      </c>
      <c r="C52" s="40" t="s">
        <v>162</v>
      </c>
      <c r="D52" s="40" t="s">
        <v>1074</v>
      </c>
      <c r="E52" s="40">
        <v>22</v>
      </c>
      <c r="F52" s="40" t="s">
        <v>42</v>
      </c>
      <c r="G52" s="40" t="s">
        <v>42</v>
      </c>
      <c r="H52" s="41" t="s">
        <v>647</v>
      </c>
      <c r="I52" s="42" t="s">
        <v>43</v>
      </c>
      <c r="J52" s="40" t="s">
        <v>44</v>
      </c>
      <c r="K52" s="41" t="s">
        <v>43</v>
      </c>
      <c r="L52" s="40">
        <v>3</v>
      </c>
      <c r="M52" s="40">
        <v>2</v>
      </c>
      <c r="N52" s="41">
        <v>2</v>
      </c>
      <c r="O52" s="40">
        <v>5</v>
      </c>
      <c r="P52" s="40">
        <v>2</v>
      </c>
      <c r="Q52" s="41">
        <v>3</v>
      </c>
      <c r="R52" s="40" t="s">
        <v>45</v>
      </c>
      <c r="S52" s="40" t="s">
        <v>45</v>
      </c>
      <c r="T52" s="40">
        <v>1</v>
      </c>
      <c r="U52" s="40">
        <v>1</v>
      </c>
      <c r="V52" s="40">
        <v>4</v>
      </c>
      <c r="W52" s="40">
        <v>7</v>
      </c>
      <c r="X52" s="40" t="s">
        <v>45</v>
      </c>
      <c r="Y52" s="40" t="s">
        <v>45</v>
      </c>
      <c r="Z52" s="40" t="s">
        <v>45</v>
      </c>
      <c r="AA52" s="40" t="s">
        <v>45</v>
      </c>
      <c r="AB52" s="40" t="s">
        <v>45</v>
      </c>
      <c r="AC52" s="40" t="s">
        <v>45</v>
      </c>
      <c r="AD52" s="40">
        <v>4</v>
      </c>
      <c r="AE52" s="40">
        <v>5</v>
      </c>
      <c r="AF52" s="40" t="s">
        <v>45</v>
      </c>
      <c r="AG52" s="40" t="s">
        <v>45</v>
      </c>
      <c r="AH52" s="40" t="s">
        <v>45</v>
      </c>
      <c r="AI52" s="40" t="s">
        <v>45</v>
      </c>
      <c r="AJ52" s="40" t="s">
        <v>45</v>
      </c>
      <c r="AK52" s="40" t="s">
        <v>45</v>
      </c>
      <c r="AL52" s="40" t="s">
        <v>45</v>
      </c>
      <c r="AM52" s="40" t="s">
        <v>45</v>
      </c>
      <c r="AN52" s="40" t="s">
        <v>45</v>
      </c>
      <c r="AO52" s="41" t="s">
        <v>45</v>
      </c>
      <c r="AP52" s="40" t="s">
        <v>349</v>
      </c>
      <c r="AQ52" s="40">
        <v>8</v>
      </c>
      <c r="AR52" s="48" t="s">
        <v>347</v>
      </c>
      <c r="AS52" s="43" t="s">
        <v>45</v>
      </c>
      <c r="AT52" s="43" t="s">
        <v>635</v>
      </c>
      <c r="AU52" s="44">
        <f t="shared" si="0"/>
        <v>-1.8743493064650851</v>
      </c>
      <c r="AV52" s="44">
        <f t="shared" si="1"/>
        <v>-0.79715134065555615</v>
      </c>
      <c r="AW52" s="45">
        <f t="shared" si="2"/>
        <v>3</v>
      </c>
      <c r="AX52" s="45">
        <f t="shared" si="3"/>
        <v>1</v>
      </c>
      <c r="AY52" s="46">
        <f>VLOOKUP(AP52,COND!$A$10:$B$32,2,FALSE)</f>
        <v>1</v>
      </c>
      <c r="AZ52" s="44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33.132103325595864</v>
      </c>
      <c r="BA52" s="47">
        <f>STANDARDIZE(AZ52,AVERAGE($AZ$5:$AZ$557),STDEVP($AZ$5:$AZ$557))</f>
        <v>-0.18218307878098866</v>
      </c>
      <c r="BB52" s="45" t="str">
        <f t="shared" si="5"/>
        <v>SP</v>
      </c>
      <c r="BC52" s="45">
        <f>RANK(Table3[[#This Row],[zScore]],Table3[zScore])</f>
        <v>378</v>
      </c>
      <c r="BD52" s="45"/>
      <c r="BE52" s="45"/>
      <c r="BF52" s="45" t="str">
        <f t="shared" si="6"/>
        <v>Unlikely</v>
      </c>
      <c r="BG52" s="45"/>
      <c r="BH52" s="45" t="str">
        <f>INDEX(Table5[[#All],[Ovr]],MATCH(Table3[[#This Row],[PID]],Table5[[#All],[PID]],0))</f>
        <v/>
      </c>
      <c r="BI52" s="45" t="str">
        <f>INDEX(Table5[[#All],[Rnd]],MATCH(Table3[[#This Row],[PID]],Table5[[#All],[PID]],0))</f>
        <v/>
      </c>
      <c r="BJ52" s="45" t="str">
        <f>INDEX(Table5[[#All],[Pick]],MATCH(Table3[[#This Row],[PID]],Table5[[#All],[PID]],0))</f>
        <v/>
      </c>
      <c r="BK52" s="45" t="str">
        <f>INDEX(Table5[[#All],[Team]],MATCH(Table3[[#This Row],[PID]],Table5[[#All],[PID]],0))</f>
        <v/>
      </c>
      <c r="BL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" spans="1:64" ht="15" customHeight="1" x14ac:dyDescent="0.25">
      <c r="A53" s="40">
        <v>20684</v>
      </c>
      <c r="B53" s="40" t="s">
        <v>49</v>
      </c>
      <c r="C53" s="40" t="s">
        <v>1957</v>
      </c>
      <c r="D53" s="40" t="s">
        <v>1958</v>
      </c>
      <c r="E53" s="40">
        <v>18</v>
      </c>
      <c r="F53" s="40" t="s">
        <v>42</v>
      </c>
      <c r="G53" s="40" t="s">
        <v>42</v>
      </c>
      <c r="H53" s="41" t="s">
        <v>647</v>
      </c>
      <c r="I53" s="42" t="s">
        <v>43</v>
      </c>
      <c r="J53" s="40" t="s">
        <v>43</v>
      </c>
      <c r="K53" s="41" t="s">
        <v>47</v>
      </c>
      <c r="L53" s="40">
        <v>3</v>
      </c>
      <c r="M53" s="40">
        <v>1</v>
      </c>
      <c r="N53" s="41">
        <v>1</v>
      </c>
      <c r="O53" s="40">
        <v>6</v>
      </c>
      <c r="P53" s="40">
        <v>1</v>
      </c>
      <c r="Q53" s="41">
        <v>3</v>
      </c>
      <c r="R53" s="40">
        <v>4</v>
      </c>
      <c r="S53" s="40">
        <v>6</v>
      </c>
      <c r="T53" s="40" t="s">
        <v>45</v>
      </c>
      <c r="U53" s="40" t="s">
        <v>45</v>
      </c>
      <c r="V53" s="40">
        <v>3</v>
      </c>
      <c r="W53" s="40">
        <v>8</v>
      </c>
      <c r="X53" s="40" t="s">
        <v>45</v>
      </c>
      <c r="Y53" s="40" t="s">
        <v>45</v>
      </c>
      <c r="Z53" s="40" t="s">
        <v>45</v>
      </c>
      <c r="AA53" s="40" t="s">
        <v>45</v>
      </c>
      <c r="AB53" s="40" t="s">
        <v>45</v>
      </c>
      <c r="AC53" s="40" t="s">
        <v>45</v>
      </c>
      <c r="AD53" s="40" t="s">
        <v>45</v>
      </c>
      <c r="AE53" s="40" t="s">
        <v>45</v>
      </c>
      <c r="AF53" s="40" t="s">
        <v>45</v>
      </c>
      <c r="AG53" s="40" t="s">
        <v>45</v>
      </c>
      <c r="AH53" s="40" t="s">
        <v>45</v>
      </c>
      <c r="AI53" s="40" t="s">
        <v>45</v>
      </c>
      <c r="AJ53" s="40" t="s">
        <v>45</v>
      </c>
      <c r="AK53" s="40" t="s">
        <v>45</v>
      </c>
      <c r="AL53" s="40" t="s">
        <v>45</v>
      </c>
      <c r="AM53" s="40" t="s">
        <v>45</v>
      </c>
      <c r="AN53" s="40" t="s">
        <v>45</v>
      </c>
      <c r="AO53" s="41" t="s">
        <v>45</v>
      </c>
      <c r="AP53" s="40" t="s">
        <v>350</v>
      </c>
      <c r="AQ53" s="40">
        <v>4</v>
      </c>
      <c r="AR53" s="48" t="s">
        <v>14</v>
      </c>
      <c r="AS53" s="43" t="s">
        <v>670</v>
      </c>
      <c r="AT53" s="43" t="s">
        <v>47</v>
      </c>
      <c r="AU53" s="44">
        <f t="shared" si="0"/>
        <v>-2.3121015889492513</v>
      </c>
      <c r="AV53" s="44">
        <f t="shared" si="1"/>
        <v>-0.79789173257643808</v>
      </c>
      <c r="AW53" s="45">
        <f t="shared" si="2"/>
        <v>2</v>
      </c>
      <c r="AX53" s="45">
        <f t="shared" si="3"/>
        <v>2</v>
      </c>
      <c r="AY53" s="46">
        <f>VLOOKUP(AP53,COND!$A$10:$B$32,2,FALSE)</f>
        <v>1</v>
      </c>
      <c r="AZ53" s="44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33.02575777914732</v>
      </c>
      <c r="BA53" s="47">
        <f>STANDARDIZE(AZ53,AVERAGE($AZ$5:$AZ$557),STDEVP($AZ$5:$AZ$557))</f>
        <v>-0.18925808547864045</v>
      </c>
      <c r="BB53" s="45" t="str">
        <f t="shared" si="5"/>
        <v>RP</v>
      </c>
      <c r="BC53" s="45">
        <f>RANK(Table3[[#This Row],[zScore]],Table3[zScore])</f>
        <v>381</v>
      </c>
      <c r="BD53" s="45"/>
      <c r="BE53" s="45"/>
      <c r="BF53" s="45" t="str">
        <f t="shared" si="6"/>
        <v>Unlikely</v>
      </c>
      <c r="BG53" s="45"/>
      <c r="BH53" s="45" t="str">
        <f>INDEX(Table5[[#All],[Ovr]],MATCH(Table3[[#This Row],[PID]],Table5[[#All],[PID]],0))</f>
        <v/>
      </c>
      <c r="BI53" s="45" t="str">
        <f>INDEX(Table5[[#All],[Rnd]],MATCH(Table3[[#This Row],[PID]],Table5[[#All],[PID]],0))</f>
        <v/>
      </c>
      <c r="BJ53" s="45" t="str">
        <f>INDEX(Table5[[#All],[Pick]],MATCH(Table3[[#This Row],[PID]],Table5[[#All],[PID]],0))</f>
        <v/>
      </c>
      <c r="BK53" s="45" t="str">
        <f>INDEX(Table5[[#All],[Team]],MATCH(Table3[[#This Row],[PID]],Table5[[#All],[PID]],0))</f>
        <v/>
      </c>
      <c r="BL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" spans="1:64" ht="15" customHeight="1" x14ac:dyDescent="0.25">
      <c r="A54" s="40">
        <v>20810</v>
      </c>
      <c r="B54" s="40" t="s">
        <v>49</v>
      </c>
      <c r="C54" s="40" t="s">
        <v>1016</v>
      </c>
      <c r="D54" s="40" t="s">
        <v>1915</v>
      </c>
      <c r="E54" s="40">
        <v>17</v>
      </c>
      <c r="F54" s="40" t="s">
        <v>42</v>
      </c>
      <c r="G54" s="40" t="s">
        <v>42</v>
      </c>
      <c r="H54" s="41" t="s">
        <v>647</v>
      </c>
      <c r="I54" s="42" t="s">
        <v>43</v>
      </c>
      <c r="J54" s="40" t="s">
        <v>44</v>
      </c>
      <c r="K54" s="41" t="s">
        <v>47</v>
      </c>
      <c r="L54" s="40">
        <v>2</v>
      </c>
      <c r="M54" s="40">
        <v>1</v>
      </c>
      <c r="N54" s="41">
        <v>1</v>
      </c>
      <c r="O54" s="40">
        <v>6</v>
      </c>
      <c r="P54" s="40">
        <v>1</v>
      </c>
      <c r="Q54" s="41">
        <v>3</v>
      </c>
      <c r="R54" s="40">
        <v>4</v>
      </c>
      <c r="S54" s="40">
        <v>7</v>
      </c>
      <c r="T54" s="40" t="s">
        <v>45</v>
      </c>
      <c r="U54" s="40" t="s">
        <v>45</v>
      </c>
      <c r="V54" s="40" t="s">
        <v>45</v>
      </c>
      <c r="W54" s="40" t="s">
        <v>45</v>
      </c>
      <c r="X54" s="40">
        <v>3</v>
      </c>
      <c r="Y54" s="40">
        <v>8</v>
      </c>
      <c r="Z54" s="40" t="s">
        <v>45</v>
      </c>
      <c r="AA54" s="40" t="s">
        <v>45</v>
      </c>
      <c r="AB54" s="40" t="s">
        <v>45</v>
      </c>
      <c r="AC54" s="40" t="s">
        <v>45</v>
      </c>
      <c r="AD54" s="40" t="s">
        <v>45</v>
      </c>
      <c r="AE54" s="40" t="s">
        <v>45</v>
      </c>
      <c r="AF54" s="40" t="s">
        <v>45</v>
      </c>
      <c r="AG54" s="40" t="s">
        <v>45</v>
      </c>
      <c r="AH54" s="40" t="s">
        <v>45</v>
      </c>
      <c r="AI54" s="40" t="s">
        <v>45</v>
      </c>
      <c r="AJ54" s="40" t="s">
        <v>45</v>
      </c>
      <c r="AK54" s="40" t="s">
        <v>45</v>
      </c>
      <c r="AL54" s="40" t="s">
        <v>45</v>
      </c>
      <c r="AM54" s="40" t="s">
        <v>45</v>
      </c>
      <c r="AN54" s="40" t="s">
        <v>45</v>
      </c>
      <c r="AO54" s="41" t="s">
        <v>45</v>
      </c>
      <c r="AP54" s="40" t="s">
        <v>57</v>
      </c>
      <c r="AQ54" s="40">
        <v>1</v>
      </c>
      <c r="AR54" s="48" t="s">
        <v>14</v>
      </c>
      <c r="AS54" s="43" t="s">
        <v>670</v>
      </c>
      <c r="AT54" s="43" t="s">
        <v>635</v>
      </c>
      <c r="AU54" s="44">
        <f t="shared" si="0"/>
        <v>-2.5067929134584248</v>
      </c>
      <c r="AV54" s="44">
        <f t="shared" si="1"/>
        <v>-0.79789173257643808</v>
      </c>
      <c r="AW54" s="45">
        <f t="shared" si="2"/>
        <v>2</v>
      </c>
      <c r="AX54" s="45">
        <f t="shared" si="3"/>
        <v>2</v>
      </c>
      <c r="AY54" s="46">
        <f>VLOOKUP(AP54,COND!$A$10:$B$32,2,FALSE)</f>
        <v>1</v>
      </c>
      <c r="AZ54" s="44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32.688766427490577</v>
      </c>
      <c r="BA54" s="47">
        <f>STANDARDIZE(AZ54,AVERAGE($AZ$5:$AZ$557),STDEVP($AZ$5:$AZ$557))</f>
        <v>-0.21167760514489933</v>
      </c>
      <c r="BB54" s="45" t="str">
        <f t="shared" si="5"/>
        <v>RP</v>
      </c>
      <c r="BC54" s="45">
        <f>RANK(Table3[[#This Row],[zScore]],Table3[zScore])</f>
        <v>391</v>
      </c>
      <c r="BD54" s="45"/>
      <c r="BE54" s="45"/>
      <c r="BF54" s="45" t="str">
        <f t="shared" si="6"/>
        <v>Unlikely</v>
      </c>
      <c r="BG54" s="45"/>
      <c r="BH54" s="45" t="str">
        <f>INDEX(Table5[[#All],[Ovr]],MATCH(Table3[[#This Row],[PID]],Table5[[#All],[PID]],0))</f>
        <v/>
      </c>
      <c r="BI54" s="45" t="str">
        <f>INDEX(Table5[[#All],[Rnd]],MATCH(Table3[[#This Row],[PID]],Table5[[#All],[PID]],0))</f>
        <v/>
      </c>
      <c r="BJ54" s="45" t="str">
        <f>INDEX(Table5[[#All],[Pick]],MATCH(Table3[[#This Row],[PID]],Table5[[#All],[PID]],0))</f>
        <v/>
      </c>
      <c r="BK54" s="45" t="str">
        <f>INDEX(Table5[[#All],[Team]],MATCH(Table3[[#This Row],[PID]],Table5[[#All],[PID]],0))</f>
        <v/>
      </c>
      <c r="BL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" spans="1:64" ht="15" customHeight="1" x14ac:dyDescent="0.25">
      <c r="A55" s="40">
        <v>20857</v>
      </c>
      <c r="B55" s="40" t="s">
        <v>49</v>
      </c>
      <c r="C55" s="40" t="s">
        <v>345</v>
      </c>
      <c r="D55" s="40" t="s">
        <v>1726</v>
      </c>
      <c r="E55" s="40">
        <v>17</v>
      </c>
      <c r="F55" s="40" t="s">
        <v>62</v>
      </c>
      <c r="G55" s="40" t="s">
        <v>42</v>
      </c>
      <c r="H55" s="41" t="s">
        <v>647</v>
      </c>
      <c r="I55" s="42" t="s">
        <v>43</v>
      </c>
      <c r="J55" s="40" t="s">
        <v>43</v>
      </c>
      <c r="K55" s="41" t="s">
        <v>43</v>
      </c>
      <c r="L55" s="40">
        <v>2</v>
      </c>
      <c r="M55" s="40">
        <v>2</v>
      </c>
      <c r="N55" s="41">
        <v>1</v>
      </c>
      <c r="O55" s="40">
        <v>4</v>
      </c>
      <c r="P55" s="40">
        <v>2</v>
      </c>
      <c r="Q55" s="41">
        <v>3</v>
      </c>
      <c r="R55" s="40">
        <v>4</v>
      </c>
      <c r="S55" s="40">
        <v>5</v>
      </c>
      <c r="T55" s="40">
        <v>1</v>
      </c>
      <c r="U55" s="40">
        <v>5</v>
      </c>
      <c r="V55" s="40" t="s">
        <v>45</v>
      </c>
      <c r="W55" s="40" t="s">
        <v>45</v>
      </c>
      <c r="X55" s="40">
        <v>2</v>
      </c>
      <c r="Y55" s="40">
        <v>4</v>
      </c>
      <c r="Z55" s="40" t="s">
        <v>45</v>
      </c>
      <c r="AA55" s="40" t="s">
        <v>45</v>
      </c>
      <c r="AB55" s="40" t="s">
        <v>45</v>
      </c>
      <c r="AC55" s="40" t="s">
        <v>45</v>
      </c>
      <c r="AD55" s="40" t="s">
        <v>45</v>
      </c>
      <c r="AE55" s="40" t="s">
        <v>45</v>
      </c>
      <c r="AF55" s="40" t="s">
        <v>45</v>
      </c>
      <c r="AG55" s="40" t="s">
        <v>45</v>
      </c>
      <c r="AH55" s="40" t="s">
        <v>45</v>
      </c>
      <c r="AI55" s="40" t="s">
        <v>45</v>
      </c>
      <c r="AJ55" s="40" t="s">
        <v>45</v>
      </c>
      <c r="AK55" s="40" t="s">
        <v>45</v>
      </c>
      <c r="AL55" s="40" t="s">
        <v>45</v>
      </c>
      <c r="AM55" s="40" t="s">
        <v>45</v>
      </c>
      <c r="AN55" s="40" t="s">
        <v>45</v>
      </c>
      <c r="AO55" s="41" t="s">
        <v>45</v>
      </c>
      <c r="AP55" s="40" t="s">
        <v>57</v>
      </c>
      <c r="AQ55" s="40">
        <v>2</v>
      </c>
      <c r="AR55" s="48" t="s">
        <v>347</v>
      </c>
      <c r="AS55" s="43" t="s">
        <v>644</v>
      </c>
      <c r="AT55" s="43" t="s">
        <v>47</v>
      </c>
      <c r="AU55" s="44">
        <f t="shared" si="0"/>
        <v>-2.311361197028369</v>
      </c>
      <c r="AV55" s="44">
        <f t="shared" si="1"/>
        <v>-0.99184266516472974</v>
      </c>
      <c r="AW55" s="45">
        <f t="shared" si="2"/>
        <v>3</v>
      </c>
      <c r="AX55" s="45">
        <f t="shared" si="3"/>
        <v>0</v>
      </c>
      <c r="AY55" s="46">
        <f>VLOOKUP(AP55,COND!$A$10:$B$32,2,FALSE)</f>
        <v>1</v>
      </c>
      <c r="AZ55" s="44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32.140830734434743</v>
      </c>
      <c r="BA55" s="47">
        <f>STANDARDIZE(AZ55,AVERAGE($AZ$5:$AZ$557),STDEVP($AZ$5:$AZ$557))</f>
        <v>-0.24813092949852647</v>
      </c>
      <c r="BB55" s="45" t="str">
        <f t="shared" si="5"/>
        <v>RP</v>
      </c>
      <c r="BC55" s="45">
        <f>RANK(Table3[[#This Row],[zScore]],Table3[zScore])</f>
        <v>405</v>
      </c>
      <c r="BD55" s="45"/>
      <c r="BE55" s="45"/>
      <c r="BF55" s="45" t="str">
        <f t="shared" si="6"/>
        <v>Unlikely</v>
      </c>
      <c r="BG55" s="45"/>
      <c r="BH55" s="45" t="str">
        <f>INDEX(Table5[[#All],[Ovr]],MATCH(Table3[[#This Row],[PID]],Table5[[#All],[PID]],0))</f>
        <v/>
      </c>
      <c r="BI55" s="45" t="str">
        <f>INDEX(Table5[[#All],[Rnd]],MATCH(Table3[[#This Row],[PID]],Table5[[#All],[PID]],0))</f>
        <v/>
      </c>
      <c r="BJ55" s="45" t="str">
        <f>INDEX(Table5[[#All],[Pick]],MATCH(Table3[[#This Row],[PID]],Table5[[#All],[PID]],0))</f>
        <v/>
      </c>
      <c r="BK55" s="45" t="str">
        <f>INDEX(Table5[[#All],[Team]],MATCH(Table3[[#This Row],[PID]],Table5[[#All],[PID]],0))</f>
        <v/>
      </c>
      <c r="BL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" spans="1:64" ht="15" customHeight="1" x14ac:dyDescent="0.25">
      <c r="A56" s="40">
        <v>17886</v>
      </c>
      <c r="B56" s="40" t="s">
        <v>49</v>
      </c>
      <c r="C56" s="40" t="s">
        <v>1540</v>
      </c>
      <c r="D56" s="40" t="s">
        <v>653</v>
      </c>
      <c r="E56" s="40">
        <v>18</v>
      </c>
      <c r="F56" s="40" t="s">
        <v>53</v>
      </c>
      <c r="G56" s="40" t="s">
        <v>42</v>
      </c>
      <c r="H56" s="41" t="s">
        <v>647</v>
      </c>
      <c r="I56" s="42" t="s">
        <v>43</v>
      </c>
      <c r="J56" s="40" t="s">
        <v>47</v>
      </c>
      <c r="K56" s="41" t="s">
        <v>43</v>
      </c>
      <c r="L56" s="40">
        <v>3</v>
      </c>
      <c r="M56" s="40">
        <v>1</v>
      </c>
      <c r="N56" s="41">
        <v>1</v>
      </c>
      <c r="O56" s="40">
        <v>4</v>
      </c>
      <c r="P56" s="40">
        <v>2</v>
      </c>
      <c r="Q56" s="41">
        <v>3</v>
      </c>
      <c r="R56" s="40">
        <v>4</v>
      </c>
      <c r="S56" s="40">
        <v>5</v>
      </c>
      <c r="T56" s="40">
        <v>1</v>
      </c>
      <c r="U56" s="40">
        <v>1</v>
      </c>
      <c r="V56" s="40" t="s">
        <v>45</v>
      </c>
      <c r="W56" s="40" t="s">
        <v>45</v>
      </c>
      <c r="X56" s="40" t="s">
        <v>45</v>
      </c>
      <c r="Y56" s="40" t="s">
        <v>45</v>
      </c>
      <c r="Z56" s="40" t="s">
        <v>45</v>
      </c>
      <c r="AA56" s="40" t="s">
        <v>45</v>
      </c>
      <c r="AB56" s="40">
        <v>3</v>
      </c>
      <c r="AC56" s="40">
        <v>5</v>
      </c>
      <c r="AD56" s="40" t="s">
        <v>45</v>
      </c>
      <c r="AE56" s="40" t="s">
        <v>45</v>
      </c>
      <c r="AF56" s="40" t="s">
        <v>45</v>
      </c>
      <c r="AG56" s="40" t="s">
        <v>45</v>
      </c>
      <c r="AH56" s="40" t="s">
        <v>45</v>
      </c>
      <c r="AI56" s="40" t="s">
        <v>45</v>
      </c>
      <c r="AJ56" s="40" t="s">
        <v>45</v>
      </c>
      <c r="AK56" s="40" t="s">
        <v>45</v>
      </c>
      <c r="AL56" s="40" t="s">
        <v>45</v>
      </c>
      <c r="AM56" s="40" t="s">
        <v>45</v>
      </c>
      <c r="AN56" s="40" t="s">
        <v>45</v>
      </c>
      <c r="AO56" s="41" t="s">
        <v>45</v>
      </c>
      <c r="AP56" s="40" t="s">
        <v>58</v>
      </c>
      <c r="AQ56" s="40">
        <v>8</v>
      </c>
      <c r="AR56" s="48" t="s">
        <v>14</v>
      </c>
      <c r="AS56" s="43" t="s">
        <v>556</v>
      </c>
      <c r="AT56" s="43" t="s">
        <v>47</v>
      </c>
      <c r="AU56" s="44">
        <f t="shared" si="0"/>
        <v>-2.3121015889492513</v>
      </c>
      <c r="AV56" s="44">
        <f t="shared" si="1"/>
        <v>-0.99184266516472974</v>
      </c>
      <c r="AW56" s="45">
        <f t="shared" si="2"/>
        <v>3</v>
      </c>
      <c r="AX56" s="45">
        <f t="shared" si="3"/>
        <v>0</v>
      </c>
      <c r="AY56" s="46">
        <f>VLOOKUP(AP56,COND!$A$10:$B$32,2,FALSE)</f>
        <v>1</v>
      </c>
      <c r="AZ56" s="44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33.500726378915559</v>
      </c>
      <c r="BA56" s="47">
        <f>STANDARDIZE(AZ56,AVERAGE($AZ$5:$AZ$663),STDEVP($AZ$5:$AZ$663))</f>
        <v>-0.29475765244454855</v>
      </c>
      <c r="BB56" s="45" t="str">
        <f t="shared" si="5"/>
        <v>SP</v>
      </c>
      <c r="BC56" s="45">
        <f>RANK(Table3[[#This Row],[zScore]],Table3[zScore])</f>
        <v>424</v>
      </c>
      <c r="BD56" s="45"/>
      <c r="BE56" s="45"/>
      <c r="BF56" s="45" t="str">
        <f t="shared" si="6"/>
        <v>Unlikely</v>
      </c>
      <c r="BG56" s="45"/>
      <c r="BH56" s="45" t="str">
        <f>INDEX(Table5[[#All],[Ovr]],MATCH(Table3[[#This Row],[PID]],Table5[[#All],[PID]],0))</f>
        <v/>
      </c>
      <c r="BI56" s="45" t="str">
        <f>INDEX(Table5[[#All],[Rnd]],MATCH(Table3[[#This Row],[PID]],Table5[[#All],[PID]],0))</f>
        <v/>
      </c>
      <c r="BJ56" s="45" t="str">
        <f>INDEX(Table5[[#All],[Pick]],MATCH(Table3[[#This Row],[PID]],Table5[[#All],[PID]],0))</f>
        <v/>
      </c>
      <c r="BK56" s="45" t="str">
        <f>INDEX(Table5[[#All],[Team]],MATCH(Table3[[#This Row],[PID]],Table5[[#All],[PID]],0))</f>
        <v/>
      </c>
      <c r="BL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" spans="1:64" ht="15" customHeight="1" x14ac:dyDescent="0.25">
      <c r="A57" s="40">
        <v>17797</v>
      </c>
      <c r="B57" s="40" t="s">
        <v>49</v>
      </c>
      <c r="C57" s="40" t="s">
        <v>916</v>
      </c>
      <c r="D57" s="40" t="s">
        <v>1980</v>
      </c>
      <c r="E57" s="40">
        <v>21</v>
      </c>
      <c r="F57" s="40" t="s">
        <v>42</v>
      </c>
      <c r="G57" s="40" t="s">
        <v>42</v>
      </c>
      <c r="H57" s="41" t="s">
        <v>647</v>
      </c>
      <c r="I57" s="42" t="s">
        <v>43</v>
      </c>
      <c r="J57" s="40" t="s">
        <v>43</v>
      </c>
      <c r="K57" s="41" t="s">
        <v>43</v>
      </c>
      <c r="L57" s="40">
        <v>2</v>
      </c>
      <c r="M57" s="40">
        <v>1</v>
      </c>
      <c r="N57" s="41">
        <v>2</v>
      </c>
      <c r="O57" s="40">
        <v>4</v>
      </c>
      <c r="P57" s="40">
        <v>1</v>
      </c>
      <c r="Q57" s="41">
        <v>3</v>
      </c>
      <c r="R57" s="40">
        <v>4</v>
      </c>
      <c r="S57" s="40">
        <v>6</v>
      </c>
      <c r="T57" s="40">
        <v>1</v>
      </c>
      <c r="U57" s="40">
        <v>4</v>
      </c>
      <c r="V57" s="40" t="s">
        <v>45</v>
      </c>
      <c r="W57" s="40" t="s">
        <v>45</v>
      </c>
      <c r="X57" s="40">
        <v>3</v>
      </c>
      <c r="Y57" s="40">
        <v>5</v>
      </c>
      <c r="Z57" s="40" t="s">
        <v>45</v>
      </c>
      <c r="AA57" s="40" t="s">
        <v>45</v>
      </c>
      <c r="AB57" s="40" t="s">
        <v>45</v>
      </c>
      <c r="AC57" s="40" t="s">
        <v>45</v>
      </c>
      <c r="AD57" s="40" t="s">
        <v>45</v>
      </c>
      <c r="AE57" s="40" t="s">
        <v>45</v>
      </c>
      <c r="AF57" s="40">
        <v>3</v>
      </c>
      <c r="AG57" s="40">
        <v>3</v>
      </c>
      <c r="AH57" s="40" t="s">
        <v>45</v>
      </c>
      <c r="AI57" s="40" t="s">
        <v>45</v>
      </c>
      <c r="AJ57" s="40" t="s">
        <v>45</v>
      </c>
      <c r="AK57" s="40" t="s">
        <v>45</v>
      </c>
      <c r="AL57" s="40" t="s">
        <v>45</v>
      </c>
      <c r="AM57" s="40" t="s">
        <v>45</v>
      </c>
      <c r="AN57" s="40" t="s">
        <v>45</v>
      </c>
      <c r="AO57" s="41" t="s">
        <v>45</v>
      </c>
      <c r="AP57" s="40" t="s">
        <v>57</v>
      </c>
      <c r="AQ57" s="40">
        <v>6</v>
      </c>
      <c r="AR57" s="48" t="s">
        <v>14</v>
      </c>
      <c r="AS57" s="43" t="s">
        <v>45</v>
      </c>
      <c r="AT57" s="43" t="s">
        <v>635</v>
      </c>
      <c r="AU57" s="44">
        <f t="shared" si="0"/>
        <v>-2.2644723474043147</v>
      </c>
      <c r="AV57" s="44">
        <f t="shared" si="1"/>
        <v>-1.1872743815947853</v>
      </c>
      <c r="AW57" s="45">
        <f t="shared" si="2"/>
        <v>4</v>
      </c>
      <c r="AX57" s="45">
        <f t="shared" si="3"/>
        <v>1</v>
      </c>
      <c r="AY57" s="46">
        <f>VLOOKUP(AP57,COND!$A$10:$B$32,2,FALSE)</f>
        <v>1</v>
      </c>
      <c r="AZ57" s="44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26.575327451157843</v>
      </c>
      <c r="BA57" s="47">
        <f t="shared" ref="BA57:BA75" si="7">STANDARDIZE(AZ57,AVERAGE($AZ$5:$AZ$557),STDEVP($AZ$5:$AZ$557))</f>
        <v>-0.61839535824016056</v>
      </c>
      <c r="BB57" s="45" t="str">
        <f t="shared" si="5"/>
        <v>SP</v>
      </c>
      <c r="BC57" s="45">
        <f>RANK(Table3[[#This Row],[zScore]],Table3[zScore])</f>
        <v>569</v>
      </c>
      <c r="BD57" s="45"/>
      <c r="BE57" s="45"/>
      <c r="BF57" s="45" t="str">
        <f t="shared" si="6"/>
        <v>Unlikely</v>
      </c>
      <c r="BG57" s="45"/>
      <c r="BH57" s="45" t="str">
        <f>INDEX(Table5[[#All],[Ovr]],MATCH(Table3[[#This Row],[PID]],Table5[[#All],[PID]],0))</f>
        <v/>
      </c>
      <c r="BI57" s="45" t="str">
        <f>INDEX(Table5[[#All],[Rnd]],MATCH(Table3[[#This Row],[PID]],Table5[[#All],[PID]],0))</f>
        <v/>
      </c>
      <c r="BJ57" s="45" t="str">
        <f>INDEX(Table5[[#All],[Pick]],MATCH(Table3[[#This Row],[PID]],Table5[[#All],[PID]],0))</f>
        <v/>
      </c>
      <c r="BK57" s="45" t="str">
        <f>INDEX(Table5[[#All],[Team]],MATCH(Table3[[#This Row],[PID]],Table5[[#All],[PID]],0))</f>
        <v/>
      </c>
      <c r="BL5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" spans="1:64" ht="15" customHeight="1" x14ac:dyDescent="0.25">
      <c r="A58" s="40">
        <v>17846</v>
      </c>
      <c r="B58" s="40" t="s">
        <v>49</v>
      </c>
      <c r="C58" s="40" t="s">
        <v>906</v>
      </c>
      <c r="D58" s="40" t="s">
        <v>742</v>
      </c>
      <c r="E58" s="40">
        <v>18</v>
      </c>
      <c r="F58" s="40" t="s">
        <v>62</v>
      </c>
      <c r="G58" s="40" t="s">
        <v>42</v>
      </c>
      <c r="H58" s="41" t="s">
        <v>647</v>
      </c>
      <c r="I58" s="42" t="s">
        <v>43</v>
      </c>
      <c r="J58" s="40" t="s">
        <v>44</v>
      </c>
      <c r="K58" s="41" t="s">
        <v>43</v>
      </c>
      <c r="L58" s="40">
        <v>1</v>
      </c>
      <c r="M58" s="40">
        <v>2</v>
      </c>
      <c r="N58" s="41">
        <v>1</v>
      </c>
      <c r="O58" s="40">
        <v>5</v>
      </c>
      <c r="P58" s="40">
        <v>2</v>
      </c>
      <c r="Q58" s="41">
        <v>2</v>
      </c>
      <c r="R58" s="40" t="s">
        <v>45</v>
      </c>
      <c r="S58" s="40" t="s">
        <v>45</v>
      </c>
      <c r="T58" s="40">
        <v>1</v>
      </c>
      <c r="U58" s="40">
        <v>7</v>
      </c>
      <c r="V58" s="40" t="s">
        <v>45</v>
      </c>
      <c r="W58" s="40" t="s">
        <v>45</v>
      </c>
      <c r="X58" s="40" t="s">
        <v>45</v>
      </c>
      <c r="Y58" s="40" t="s">
        <v>45</v>
      </c>
      <c r="Z58" s="40" t="s">
        <v>45</v>
      </c>
      <c r="AA58" s="40" t="s">
        <v>45</v>
      </c>
      <c r="AB58" s="40" t="s">
        <v>45</v>
      </c>
      <c r="AC58" s="40" t="s">
        <v>45</v>
      </c>
      <c r="AD58" s="40">
        <v>3</v>
      </c>
      <c r="AE58" s="40">
        <v>5</v>
      </c>
      <c r="AF58" s="40" t="s">
        <v>45</v>
      </c>
      <c r="AG58" s="40" t="s">
        <v>45</v>
      </c>
      <c r="AH58" s="40" t="s">
        <v>45</v>
      </c>
      <c r="AI58" s="40" t="s">
        <v>45</v>
      </c>
      <c r="AJ58" s="40" t="s">
        <v>45</v>
      </c>
      <c r="AK58" s="40" t="s">
        <v>45</v>
      </c>
      <c r="AL58" s="40" t="s">
        <v>45</v>
      </c>
      <c r="AM58" s="40" t="s">
        <v>45</v>
      </c>
      <c r="AN58" s="40" t="s">
        <v>45</v>
      </c>
      <c r="AO58" s="41" t="s">
        <v>45</v>
      </c>
      <c r="AP58" s="40" t="s">
        <v>349</v>
      </c>
      <c r="AQ58" s="40">
        <v>6</v>
      </c>
      <c r="AR58" s="48" t="s">
        <v>347</v>
      </c>
      <c r="AS58" s="43" t="s">
        <v>654</v>
      </c>
      <c r="AT58" s="43" t="s">
        <v>47</v>
      </c>
      <c r="AU58" s="44">
        <f t="shared" si="0"/>
        <v>-2.5060525215375429</v>
      </c>
      <c r="AV58" s="44">
        <f t="shared" si="1"/>
        <v>-1.0394719067096667</v>
      </c>
      <c r="AW58" s="45">
        <f t="shared" si="2"/>
        <v>2</v>
      </c>
      <c r="AX58" s="45">
        <f t="shared" si="3"/>
        <v>1</v>
      </c>
      <c r="AY58" s="46">
        <f>VLOOKUP(AP58,COND!$A$10:$B$32,2,FALSE)</f>
        <v>1</v>
      </c>
      <c r="AZ58" s="44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26.135367577461679</v>
      </c>
      <c r="BA58" s="47">
        <f t="shared" si="7"/>
        <v>-0.64766521633059315</v>
      </c>
      <c r="BB58" s="45" t="str">
        <f t="shared" si="5"/>
        <v>RP</v>
      </c>
      <c r="BC58" s="45">
        <f>RANK(Table3[[#This Row],[zScore]],Table3[zScore])</f>
        <v>579</v>
      </c>
      <c r="BD58" s="45"/>
      <c r="BE58" s="45"/>
      <c r="BF58" s="45" t="str">
        <f t="shared" si="6"/>
        <v>Unlikely</v>
      </c>
      <c r="BG58" s="45"/>
      <c r="BH58" s="45" t="str">
        <f>INDEX(Table5[[#All],[Ovr]],MATCH(Table3[[#This Row],[PID]],Table5[[#All],[PID]],0))</f>
        <v/>
      </c>
      <c r="BI58" s="45" t="str">
        <f>INDEX(Table5[[#All],[Rnd]],MATCH(Table3[[#This Row],[PID]],Table5[[#All],[PID]],0))</f>
        <v/>
      </c>
      <c r="BJ58" s="45" t="str">
        <f>INDEX(Table5[[#All],[Pick]],MATCH(Table3[[#This Row],[PID]],Table5[[#All],[PID]],0))</f>
        <v/>
      </c>
      <c r="BK58" s="45" t="str">
        <f>INDEX(Table5[[#All],[Team]],MATCH(Table3[[#This Row],[PID]],Table5[[#All],[PID]],0))</f>
        <v/>
      </c>
      <c r="BL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" spans="1:64" ht="15" customHeight="1" x14ac:dyDescent="0.25">
      <c r="A59" s="40">
        <v>10328</v>
      </c>
      <c r="B59" s="40" t="s">
        <v>49</v>
      </c>
      <c r="C59" s="40" t="s">
        <v>655</v>
      </c>
      <c r="D59" s="40" t="s">
        <v>697</v>
      </c>
      <c r="E59" s="40">
        <v>22</v>
      </c>
      <c r="F59" s="40" t="s">
        <v>42</v>
      </c>
      <c r="G59" s="40" t="s">
        <v>42</v>
      </c>
      <c r="H59" s="41" t="s">
        <v>647</v>
      </c>
      <c r="I59" s="42" t="s">
        <v>44</v>
      </c>
      <c r="J59" s="40" t="s">
        <v>43</v>
      </c>
      <c r="K59" s="41" t="s">
        <v>43</v>
      </c>
      <c r="L59" s="40">
        <v>3</v>
      </c>
      <c r="M59" s="40">
        <v>2</v>
      </c>
      <c r="N59" s="41">
        <v>2</v>
      </c>
      <c r="O59" s="40">
        <v>3</v>
      </c>
      <c r="P59" s="40">
        <v>2</v>
      </c>
      <c r="Q59" s="41">
        <v>3</v>
      </c>
      <c r="R59" s="40">
        <v>4</v>
      </c>
      <c r="S59" s="40">
        <v>5</v>
      </c>
      <c r="T59" s="40" t="s">
        <v>45</v>
      </c>
      <c r="U59" s="40" t="s">
        <v>45</v>
      </c>
      <c r="V59" s="40" t="s">
        <v>45</v>
      </c>
      <c r="W59" s="40" t="s">
        <v>45</v>
      </c>
      <c r="X59" s="40">
        <v>3</v>
      </c>
      <c r="Y59" s="40">
        <v>4</v>
      </c>
      <c r="Z59" s="40" t="s">
        <v>45</v>
      </c>
      <c r="AA59" s="40" t="s">
        <v>45</v>
      </c>
      <c r="AB59" s="40" t="s">
        <v>45</v>
      </c>
      <c r="AC59" s="40" t="s">
        <v>45</v>
      </c>
      <c r="AD59" s="40" t="s">
        <v>45</v>
      </c>
      <c r="AE59" s="40" t="s">
        <v>45</v>
      </c>
      <c r="AF59" s="40" t="s">
        <v>45</v>
      </c>
      <c r="AG59" s="40" t="s">
        <v>45</v>
      </c>
      <c r="AH59" s="40">
        <v>2</v>
      </c>
      <c r="AI59" s="40">
        <v>4</v>
      </c>
      <c r="AJ59" s="40" t="s">
        <v>45</v>
      </c>
      <c r="AK59" s="40" t="s">
        <v>45</v>
      </c>
      <c r="AL59" s="40" t="s">
        <v>45</v>
      </c>
      <c r="AM59" s="40" t="s">
        <v>45</v>
      </c>
      <c r="AN59" s="40" t="s">
        <v>45</v>
      </c>
      <c r="AO59" s="41" t="s">
        <v>45</v>
      </c>
      <c r="AP59" s="40" t="s">
        <v>57</v>
      </c>
      <c r="AQ59" s="40">
        <v>3</v>
      </c>
      <c r="AR59" s="48" t="s">
        <v>347</v>
      </c>
      <c r="AS59" s="43" t="s">
        <v>45</v>
      </c>
      <c r="AT59" s="43" t="s">
        <v>635</v>
      </c>
      <c r="AU59" s="44">
        <f t="shared" si="0"/>
        <v>-1.8743493064650851</v>
      </c>
      <c r="AV59" s="44">
        <f t="shared" si="1"/>
        <v>-1.1865339896739031</v>
      </c>
      <c r="AW59" s="45">
        <f t="shared" si="2"/>
        <v>3</v>
      </c>
      <c r="AX59" s="45">
        <f t="shared" si="3"/>
        <v>0</v>
      </c>
      <c r="AY59" s="46">
        <f>VLOOKUP(AP59,COND!$A$10:$B$32,2,FALSE)</f>
        <v>1</v>
      </c>
      <c r="AZ59" s="44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23.374727827967476</v>
      </c>
      <c r="BA59" s="47">
        <f t="shared" si="7"/>
        <v>-0.83132636030643137</v>
      </c>
      <c r="BB59" s="45" t="str">
        <f t="shared" si="5"/>
        <v>RP</v>
      </c>
      <c r="BC59" s="45">
        <f>RANK(Table3[[#This Row],[zScore]],Table3[zScore])</f>
        <v>654</v>
      </c>
      <c r="BD59" s="45"/>
      <c r="BE59" s="45"/>
      <c r="BF59" s="45" t="str">
        <f t="shared" si="6"/>
        <v>Unlikely</v>
      </c>
      <c r="BG59" s="45"/>
      <c r="BH59" s="45" t="str">
        <f>INDEX(Table5[[#All],[Ovr]],MATCH(Table3[[#This Row],[PID]],Table5[[#All],[PID]],0))</f>
        <v/>
      </c>
      <c r="BI59" s="45" t="str">
        <f>INDEX(Table5[[#All],[Rnd]],MATCH(Table3[[#This Row],[PID]],Table5[[#All],[PID]],0))</f>
        <v/>
      </c>
      <c r="BJ59" s="45" t="str">
        <f>INDEX(Table5[[#All],[Pick]],MATCH(Table3[[#This Row],[PID]],Table5[[#All],[PID]],0))</f>
        <v/>
      </c>
      <c r="BK59" s="45" t="str">
        <f>INDEX(Table5[[#All],[Team]],MATCH(Table3[[#This Row],[PID]],Table5[[#All],[PID]],0))</f>
        <v/>
      </c>
      <c r="BL5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" spans="1:64" ht="15" customHeight="1" x14ac:dyDescent="0.25">
      <c r="A60" s="40">
        <v>17882</v>
      </c>
      <c r="B60" s="40" t="s">
        <v>415</v>
      </c>
      <c r="C60" s="40" t="s">
        <v>1788</v>
      </c>
      <c r="D60" s="40" t="s">
        <v>807</v>
      </c>
      <c r="E60" s="40">
        <v>18</v>
      </c>
      <c r="F60" s="40" t="s">
        <v>42</v>
      </c>
      <c r="G60" s="40" t="s">
        <v>42</v>
      </c>
      <c r="H60" s="41" t="s">
        <v>633</v>
      </c>
      <c r="I60" s="42" t="s">
        <v>44</v>
      </c>
      <c r="J60" s="40" t="s">
        <v>43</v>
      </c>
      <c r="K60" s="41" t="s">
        <v>43</v>
      </c>
      <c r="L60" s="40">
        <v>2</v>
      </c>
      <c r="M60" s="40">
        <v>3</v>
      </c>
      <c r="N60" s="41">
        <v>4</v>
      </c>
      <c r="O60" s="40">
        <v>5</v>
      </c>
      <c r="P60" s="40">
        <v>5</v>
      </c>
      <c r="Q60" s="41">
        <v>7</v>
      </c>
      <c r="R60" s="40" t="s">
        <v>45</v>
      </c>
      <c r="S60" s="40" t="s">
        <v>45</v>
      </c>
      <c r="T60" s="40">
        <v>1</v>
      </c>
      <c r="U60" s="40">
        <v>1</v>
      </c>
      <c r="V60" s="40" t="s">
        <v>45</v>
      </c>
      <c r="W60" s="40" t="s">
        <v>45</v>
      </c>
      <c r="X60" s="40" t="s">
        <v>45</v>
      </c>
      <c r="Y60" s="40" t="s">
        <v>45</v>
      </c>
      <c r="Z60" s="40" t="s">
        <v>45</v>
      </c>
      <c r="AA60" s="40" t="s">
        <v>45</v>
      </c>
      <c r="AB60" s="40" t="s">
        <v>45</v>
      </c>
      <c r="AC60" s="40" t="s">
        <v>45</v>
      </c>
      <c r="AD60" s="40">
        <v>3</v>
      </c>
      <c r="AE60" s="40">
        <v>6</v>
      </c>
      <c r="AF60" s="40" t="s">
        <v>45</v>
      </c>
      <c r="AG60" s="40" t="s">
        <v>45</v>
      </c>
      <c r="AH60" s="40" t="s">
        <v>45</v>
      </c>
      <c r="AI60" s="40" t="s">
        <v>45</v>
      </c>
      <c r="AJ60" s="40" t="s">
        <v>45</v>
      </c>
      <c r="AK60" s="40" t="s">
        <v>45</v>
      </c>
      <c r="AL60" s="40">
        <v>3</v>
      </c>
      <c r="AM60" s="40">
        <v>7</v>
      </c>
      <c r="AN60" s="40" t="s">
        <v>45</v>
      </c>
      <c r="AO60" s="41" t="s">
        <v>45</v>
      </c>
      <c r="AP60" s="40" t="s">
        <v>64</v>
      </c>
      <c r="AQ60" s="40">
        <v>10</v>
      </c>
      <c r="AR60" s="48" t="s">
        <v>347</v>
      </c>
      <c r="AS60" s="43" t="s">
        <v>548</v>
      </c>
      <c r="AT60" s="43" t="s">
        <v>635</v>
      </c>
      <c r="AU60" s="44">
        <f t="shared" si="0"/>
        <v>-1.3889677824359825</v>
      </c>
      <c r="AV60" s="44">
        <f t="shared" si="1"/>
        <v>0.75842607285105168</v>
      </c>
      <c r="AW60" s="45">
        <f t="shared" si="2"/>
        <v>3</v>
      </c>
      <c r="AX60" s="45">
        <f t="shared" si="3"/>
        <v>2</v>
      </c>
      <c r="AY60" s="46">
        <f>VLOOKUP(AP60,COND!$A$10:$B$32,2,FALSE)</f>
        <v>1</v>
      </c>
      <c r="AZ60" s="44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70.740727900533841</v>
      </c>
      <c r="BA60" s="47">
        <f t="shared" si="7"/>
        <v>2.3198612441178814</v>
      </c>
      <c r="BB60" s="45" t="str">
        <f t="shared" si="5"/>
        <v>SP</v>
      </c>
      <c r="BC60" s="45">
        <f>RANK(Table3[[#This Row],[zScore]],Table3[zScore])</f>
        <v>12</v>
      </c>
      <c r="BD60" s="45"/>
      <c r="BE60" s="45"/>
      <c r="BF60" s="45" t="str">
        <f t="shared" si="6"/>
        <v>Possible</v>
      </c>
      <c r="BG60" s="45"/>
      <c r="BH60" s="45">
        <f>INDEX(Table5[[#All],[Ovr]],MATCH(Table3[[#This Row],[PID]],Table5[[#All],[PID]],0))</f>
        <v>148</v>
      </c>
      <c r="BI60" s="45" t="str">
        <f>INDEX(Table5[[#All],[Rnd]],MATCH(Table3[[#This Row],[PID]],Table5[[#All],[PID]],0))</f>
        <v>5</v>
      </c>
      <c r="BJ60" s="45">
        <f>INDEX(Table5[[#All],[Pick]],MATCH(Table3[[#This Row],[PID]],Table5[[#All],[PID]],0))</f>
        <v>20</v>
      </c>
      <c r="BK60" s="45" t="str">
        <f>INDEX(Table5[[#All],[Team]],MATCH(Table3[[#This Row],[PID]],Table5[[#All],[PID]],0))</f>
        <v>Amsterdam Lions</v>
      </c>
      <c r="BL6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" spans="1:64" ht="15" customHeight="1" x14ac:dyDescent="0.25">
      <c r="A61" s="40">
        <v>20216</v>
      </c>
      <c r="B61" s="40" t="s">
        <v>415</v>
      </c>
      <c r="C61" s="40" t="s">
        <v>318</v>
      </c>
      <c r="D61" s="40" t="s">
        <v>156</v>
      </c>
      <c r="E61" s="40">
        <v>22</v>
      </c>
      <c r="F61" s="40" t="s">
        <v>42</v>
      </c>
      <c r="G61" s="40" t="s">
        <v>42</v>
      </c>
      <c r="H61" s="41" t="s">
        <v>632</v>
      </c>
      <c r="I61" s="42" t="s">
        <v>43</v>
      </c>
      <c r="J61" s="40" t="s">
        <v>43</v>
      </c>
      <c r="K61" s="41" t="s">
        <v>47</v>
      </c>
      <c r="L61" s="40">
        <v>4</v>
      </c>
      <c r="M61" s="40">
        <v>5</v>
      </c>
      <c r="N61" s="41">
        <v>4</v>
      </c>
      <c r="O61" s="40">
        <v>6</v>
      </c>
      <c r="P61" s="40">
        <v>7</v>
      </c>
      <c r="Q61" s="41">
        <v>5</v>
      </c>
      <c r="R61" s="40">
        <v>6</v>
      </c>
      <c r="S61" s="40">
        <v>7</v>
      </c>
      <c r="T61" s="40">
        <v>5</v>
      </c>
      <c r="U61" s="40">
        <v>8</v>
      </c>
      <c r="V61" s="40" t="s">
        <v>45</v>
      </c>
      <c r="W61" s="40" t="s">
        <v>45</v>
      </c>
      <c r="X61" s="40">
        <v>4</v>
      </c>
      <c r="Y61" s="40">
        <v>4</v>
      </c>
      <c r="Z61" s="40" t="s">
        <v>45</v>
      </c>
      <c r="AA61" s="40" t="s">
        <v>45</v>
      </c>
      <c r="AB61" s="40" t="s">
        <v>45</v>
      </c>
      <c r="AC61" s="40" t="s">
        <v>45</v>
      </c>
      <c r="AD61" s="40" t="s">
        <v>45</v>
      </c>
      <c r="AE61" s="40" t="s">
        <v>45</v>
      </c>
      <c r="AF61" s="40" t="s">
        <v>45</v>
      </c>
      <c r="AG61" s="40" t="s">
        <v>45</v>
      </c>
      <c r="AH61" s="40" t="s">
        <v>45</v>
      </c>
      <c r="AI61" s="40" t="s">
        <v>45</v>
      </c>
      <c r="AJ61" s="40" t="s">
        <v>45</v>
      </c>
      <c r="AK61" s="40" t="s">
        <v>45</v>
      </c>
      <c r="AL61" s="40" t="s">
        <v>45</v>
      </c>
      <c r="AM61" s="40" t="s">
        <v>45</v>
      </c>
      <c r="AN61" s="40" t="s">
        <v>45</v>
      </c>
      <c r="AO61" s="41" t="s">
        <v>45</v>
      </c>
      <c r="AP61" s="40" t="s">
        <v>54</v>
      </c>
      <c r="AQ61" s="40">
        <v>2</v>
      </c>
      <c r="AR61" s="48" t="s">
        <v>348</v>
      </c>
      <c r="AS61" s="43" t="s">
        <v>643</v>
      </c>
      <c r="AT61" s="43" t="s">
        <v>635</v>
      </c>
      <c r="AU61" s="44">
        <f t="shared" si="0"/>
        <v>-0.60872170055752461</v>
      </c>
      <c r="AV61" s="44">
        <f t="shared" si="1"/>
        <v>0.85933969811211519</v>
      </c>
      <c r="AW61" s="45">
        <f t="shared" si="2"/>
        <v>3</v>
      </c>
      <c r="AX61" s="45">
        <f t="shared" si="3"/>
        <v>2</v>
      </c>
      <c r="AY61" s="46">
        <f>VLOOKUP(AP61,COND!$A$10:$B$32,2,FALSE)</f>
        <v>1.0249999999999999</v>
      </c>
      <c r="AZ61" s="44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65.812092069549863</v>
      </c>
      <c r="BA61" s="47">
        <f t="shared" si="7"/>
        <v>1.9919666337745106</v>
      </c>
      <c r="BB61" s="45" t="str">
        <f t="shared" si="5"/>
        <v>RP</v>
      </c>
      <c r="BC61" s="45">
        <f>RANK(Table3[[#This Row],[zScore]],Table3[zScore])</f>
        <v>27</v>
      </c>
      <c r="BD61" s="45"/>
      <c r="BE61" s="45"/>
      <c r="BF61" s="45" t="str">
        <f t="shared" si="6"/>
        <v>Likely</v>
      </c>
      <c r="BG61" s="45"/>
      <c r="BH61" s="45">
        <f>INDEX(Table5[[#All],[Ovr]],MATCH(Table3[[#This Row],[PID]],Table5[[#All],[PID]],0))</f>
        <v>45</v>
      </c>
      <c r="BI61" s="45" t="str">
        <f>INDEX(Table5[[#All],[Rnd]],MATCH(Table3[[#This Row],[PID]],Table5[[#All],[PID]],0))</f>
        <v>2</v>
      </c>
      <c r="BJ61" s="45">
        <f>INDEX(Table5[[#All],[Pick]],MATCH(Table3[[#This Row],[PID]],Table5[[#All],[PID]],0))</f>
        <v>10</v>
      </c>
      <c r="BK61" s="45" t="str">
        <f>INDEX(Table5[[#All],[Team]],MATCH(Table3[[#This Row],[PID]],Table5[[#All],[PID]],0))</f>
        <v>London Underground</v>
      </c>
      <c r="BL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" spans="1:64" ht="15" customHeight="1" x14ac:dyDescent="0.25">
      <c r="A62" s="40">
        <v>13915</v>
      </c>
      <c r="B62" s="40" t="s">
        <v>415</v>
      </c>
      <c r="C62" s="40" t="s">
        <v>1188</v>
      </c>
      <c r="D62" s="40" t="s">
        <v>1189</v>
      </c>
      <c r="E62" s="40">
        <v>18</v>
      </c>
      <c r="F62" s="40" t="s">
        <v>62</v>
      </c>
      <c r="G62" s="40" t="s">
        <v>42</v>
      </c>
      <c r="H62" s="41" t="s">
        <v>633</v>
      </c>
      <c r="I62" s="42" t="s">
        <v>43</v>
      </c>
      <c r="J62" s="40" t="s">
        <v>43</v>
      </c>
      <c r="K62" s="41" t="s">
        <v>44</v>
      </c>
      <c r="L62" s="40">
        <v>3</v>
      </c>
      <c r="M62" s="40">
        <v>2</v>
      </c>
      <c r="N62" s="41">
        <v>2</v>
      </c>
      <c r="O62" s="40">
        <v>7</v>
      </c>
      <c r="P62" s="40">
        <v>3</v>
      </c>
      <c r="Q62" s="41">
        <v>6</v>
      </c>
      <c r="R62" s="40">
        <v>5</v>
      </c>
      <c r="S62" s="40">
        <v>8</v>
      </c>
      <c r="T62" s="40">
        <v>1</v>
      </c>
      <c r="U62" s="40">
        <v>1</v>
      </c>
      <c r="V62" s="40" t="s">
        <v>45</v>
      </c>
      <c r="W62" s="40" t="s">
        <v>45</v>
      </c>
      <c r="X62" s="40">
        <v>4</v>
      </c>
      <c r="Y62" s="40">
        <v>8</v>
      </c>
      <c r="Z62" s="40" t="s">
        <v>45</v>
      </c>
      <c r="AA62" s="40" t="s">
        <v>45</v>
      </c>
      <c r="AB62" s="40" t="s">
        <v>45</v>
      </c>
      <c r="AC62" s="40" t="s">
        <v>45</v>
      </c>
      <c r="AD62" s="40" t="s">
        <v>45</v>
      </c>
      <c r="AE62" s="40" t="s">
        <v>45</v>
      </c>
      <c r="AF62" s="40" t="s">
        <v>45</v>
      </c>
      <c r="AG62" s="40" t="s">
        <v>45</v>
      </c>
      <c r="AH62" s="40" t="s">
        <v>45</v>
      </c>
      <c r="AI62" s="40" t="s">
        <v>45</v>
      </c>
      <c r="AJ62" s="40" t="s">
        <v>45</v>
      </c>
      <c r="AK62" s="40" t="s">
        <v>45</v>
      </c>
      <c r="AL62" s="40" t="s">
        <v>45</v>
      </c>
      <c r="AM62" s="40" t="s">
        <v>45</v>
      </c>
      <c r="AN62" s="40" t="s">
        <v>45</v>
      </c>
      <c r="AO62" s="41" t="s">
        <v>45</v>
      </c>
      <c r="AP62" s="40" t="s">
        <v>60</v>
      </c>
      <c r="AQ62" s="40">
        <v>6</v>
      </c>
      <c r="AR62" s="48" t="s">
        <v>347</v>
      </c>
      <c r="AS62" s="43" t="s">
        <v>553</v>
      </c>
      <c r="AT62" s="43" t="s">
        <v>47</v>
      </c>
      <c r="AU62" s="44">
        <f t="shared" si="0"/>
        <v>-1.8743493064650851</v>
      </c>
      <c r="AV62" s="44">
        <f t="shared" si="1"/>
        <v>0.51462472295517747</v>
      </c>
      <c r="AW62" s="45">
        <f t="shared" si="2"/>
        <v>3</v>
      </c>
      <c r="AX62" s="45">
        <f t="shared" si="3"/>
        <v>2</v>
      </c>
      <c r="AY62" s="46">
        <f>VLOOKUP(AP62,COND!$A$10:$B$32,2,FALSE)</f>
        <v>1.0249999999999999</v>
      </c>
      <c r="AZ62" s="44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65.608926082436895</v>
      </c>
      <c r="BA62" s="47">
        <f t="shared" si="7"/>
        <v>1.9784503111116261</v>
      </c>
      <c r="BB62" s="45" t="str">
        <f t="shared" si="5"/>
        <v>SP</v>
      </c>
      <c r="BC62" s="45">
        <f>RANK(Table3[[#This Row],[zScore]],Table3[zScore])</f>
        <v>30</v>
      </c>
      <c r="BD62" s="45"/>
      <c r="BE62" s="45"/>
      <c r="BF62" s="45" t="str">
        <f t="shared" si="6"/>
        <v>Possible</v>
      </c>
      <c r="BG62" s="45"/>
      <c r="BH62" s="45">
        <f>INDEX(Table5[[#All],[Ovr]],MATCH(Table3[[#This Row],[PID]],Table5[[#All],[PID]],0))</f>
        <v>62</v>
      </c>
      <c r="BI62" s="45" t="str">
        <f>INDEX(Table5[[#All],[Rnd]],MATCH(Table3[[#This Row],[PID]],Table5[[#All],[PID]],0))</f>
        <v>2</v>
      </c>
      <c r="BJ62" s="45">
        <f>INDEX(Table5[[#All],[Pick]],MATCH(Table3[[#This Row],[PID]],Table5[[#All],[PID]],0))</f>
        <v>27</v>
      </c>
      <c r="BK62" s="45" t="str">
        <f>INDEX(Table5[[#All],[Team]],MATCH(Table3[[#This Row],[PID]],Table5[[#All],[PID]],0))</f>
        <v>West Virginia Alleghenies</v>
      </c>
      <c r="BL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" spans="1:64" ht="15" customHeight="1" x14ac:dyDescent="0.25">
      <c r="A63" s="40">
        <v>12261</v>
      </c>
      <c r="B63" s="40" t="s">
        <v>415</v>
      </c>
      <c r="C63" s="40" t="s">
        <v>183</v>
      </c>
      <c r="D63" s="40" t="s">
        <v>186</v>
      </c>
      <c r="E63" s="40">
        <v>18</v>
      </c>
      <c r="F63" s="40" t="s">
        <v>42</v>
      </c>
      <c r="G63" s="40" t="s">
        <v>42</v>
      </c>
      <c r="H63" s="41" t="s">
        <v>633</v>
      </c>
      <c r="I63" s="42" t="s">
        <v>44</v>
      </c>
      <c r="J63" s="40" t="s">
        <v>44</v>
      </c>
      <c r="K63" s="41" t="s">
        <v>43</v>
      </c>
      <c r="L63" s="40">
        <v>2</v>
      </c>
      <c r="M63" s="40">
        <v>2</v>
      </c>
      <c r="N63" s="41">
        <v>1</v>
      </c>
      <c r="O63" s="40">
        <v>6</v>
      </c>
      <c r="P63" s="40">
        <v>5</v>
      </c>
      <c r="Q63" s="41">
        <v>5</v>
      </c>
      <c r="R63" s="40">
        <v>4</v>
      </c>
      <c r="S63" s="40">
        <v>7</v>
      </c>
      <c r="T63" s="40">
        <v>1</v>
      </c>
      <c r="U63" s="40">
        <v>1</v>
      </c>
      <c r="V63" s="40" t="s">
        <v>45</v>
      </c>
      <c r="W63" s="40" t="s">
        <v>45</v>
      </c>
      <c r="X63" s="40">
        <v>2</v>
      </c>
      <c r="Y63" s="40">
        <v>8</v>
      </c>
      <c r="Z63" s="40" t="s">
        <v>45</v>
      </c>
      <c r="AA63" s="40" t="s">
        <v>45</v>
      </c>
      <c r="AB63" s="40" t="s">
        <v>45</v>
      </c>
      <c r="AC63" s="40" t="s">
        <v>45</v>
      </c>
      <c r="AD63" s="40" t="s">
        <v>45</v>
      </c>
      <c r="AE63" s="40" t="s">
        <v>45</v>
      </c>
      <c r="AF63" s="40" t="s">
        <v>45</v>
      </c>
      <c r="AG63" s="40" t="s">
        <v>45</v>
      </c>
      <c r="AH63" s="40" t="s">
        <v>45</v>
      </c>
      <c r="AI63" s="40" t="s">
        <v>45</v>
      </c>
      <c r="AJ63" s="40" t="s">
        <v>45</v>
      </c>
      <c r="AK63" s="40" t="s">
        <v>45</v>
      </c>
      <c r="AL63" s="40" t="s">
        <v>45</v>
      </c>
      <c r="AM63" s="40" t="s">
        <v>45</v>
      </c>
      <c r="AN63" s="40" t="s">
        <v>45</v>
      </c>
      <c r="AO63" s="41" t="s">
        <v>45</v>
      </c>
      <c r="AP63" s="40" t="s">
        <v>56</v>
      </c>
      <c r="AQ63" s="40">
        <v>7</v>
      </c>
      <c r="AR63" s="48" t="s">
        <v>347</v>
      </c>
      <c r="AS63" s="43" t="s">
        <v>553</v>
      </c>
      <c r="AT63" s="43" t="s">
        <v>635</v>
      </c>
      <c r="AU63" s="44">
        <f t="shared" si="0"/>
        <v>-2.311361197028369</v>
      </c>
      <c r="AV63" s="44">
        <f t="shared" si="1"/>
        <v>0.46847626525200436</v>
      </c>
      <c r="AW63" s="45">
        <f t="shared" si="2"/>
        <v>3</v>
      </c>
      <c r="AX63" s="45">
        <f t="shared" si="3"/>
        <v>2</v>
      </c>
      <c r="AY63" s="46">
        <f>VLOOKUP(AP63,COND!$A$10:$B$32,2,FALSE)</f>
        <v>1</v>
      </c>
      <c r="AZ63" s="44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64.457253065634404</v>
      </c>
      <c r="BA63" s="47">
        <f t="shared" si="7"/>
        <v>1.9018312651854765</v>
      </c>
      <c r="BB63" s="45" t="str">
        <f t="shared" si="5"/>
        <v>SP</v>
      </c>
      <c r="BC63" s="45">
        <f>RANK(Table3[[#This Row],[zScore]],Table3[zScore])</f>
        <v>37</v>
      </c>
      <c r="BD63" s="45"/>
      <c r="BE63" s="45"/>
      <c r="BF63" s="45" t="str">
        <f t="shared" si="6"/>
        <v>Possible</v>
      </c>
      <c r="BG63" s="45"/>
      <c r="BH63" s="45">
        <f>INDEX(Table5[[#All],[Ovr]],MATCH(Table3[[#This Row],[PID]],Table5[[#All],[PID]],0))</f>
        <v>178</v>
      </c>
      <c r="BI63" s="45" t="str">
        <f>INDEX(Table5[[#All],[Rnd]],MATCH(Table3[[#This Row],[PID]],Table5[[#All],[PID]],0))</f>
        <v>6</v>
      </c>
      <c r="BJ63" s="45">
        <f>INDEX(Table5[[#All],[Pick]],MATCH(Table3[[#This Row],[PID]],Table5[[#All],[PID]],0))</f>
        <v>20</v>
      </c>
      <c r="BK63" s="45" t="str">
        <f>INDEX(Table5[[#All],[Team]],MATCH(Table3[[#This Row],[PID]],Table5[[#All],[PID]],0))</f>
        <v>Amsterdam Lions</v>
      </c>
      <c r="BL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" spans="1:64" ht="15" customHeight="1" x14ac:dyDescent="0.25">
      <c r="A64" s="40">
        <v>16944</v>
      </c>
      <c r="B64" s="40" t="s">
        <v>415</v>
      </c>
      <c r="C64" s="40" t="s">
        <v>334</v>
      </c>
      <c r="D64" s="40" t="s">
        <v>1003</v>
      </c>
      <c r="E64" s="40">
        <v>21</v>
      </c>
      <c r="F64" s="40" t="s">
        <v>62</v>
      </c>
      <c r="G64" s="40" t="s">
        <v>42</v>
      </c>
      <c r="H64" s="41" t="s">
        <v>632</v>
      </c>
      <c r="I64" s="42" t="s">
        <v>43</v>
      </c>
      <c r="J64" s="40" t="s">
        <v>43</v>
      </c>
      <c r="K64" s="41" t="s">
        <v>43</v>
      </c>
      <c r="L64" s="40">
        <v>2</v>
      </c>
      <c r="M64" s="40">
        <v>2</v>
      </c>
      <c r="N64" s="41">
        <v>2</v>
      </c>
      <c r="O64" s="40">
        <v>7</v>
      </c>
      <c r="P64" s="40">
        <v>5</v>
      </c>
      <c r="Q64" s="41">
        <v>5</v>
      </c>
      <c r="R64" s="40">
        <v>4</v>
      </c>
      <c r="S64" s="40">
        <v>7</v>
      </c>
      <c r="T64" s="40">
        <v>1</v>
      </c>
      <c r="U64" s="40">
        <v>2</v>
      </c>
      <c r="V64" s="40">
        <v>2</v>
      </c>
      <c r="W64" s="40">
        <v>9</v>
      </c>
      <c r="X64" s="40" t="s">
        <v>45</v>
      </c>
      <c r="Y64" s="40" t="s">
        <v>45</v>
      </c>
      <c r="Z64" s="40" t="s">
        <v>45</v>
      </c>
      <c r="AA64" s="40" t="s">
        <v>45</v>
      </c>
      <c r="AB64" s="40" t="s">
        <v>45</v>
      </c>
      <c r="AC64" s="40" t="s">
        <v>45</v>
      </c>
      <c r="AD64" s="40" t="s">
        <v>45</v>
      </c>
      <c r="AE64" s="40" t="s">
        <v>45</v>
      </c>
      <c r="AF64" s="40" t="s">
        <v>45</v>
      </c>
      <c r="AG64" s="40" t="s">
        <v>45</v>
      </c>
      <c r="AH64" s="40" t="s">
        <v>45</v>
      </c>
      <c r="AI64" s="40" t="s">
        <v>45</v>
      </c>
      <c r="AJ64" s="40" t="s">
        <v>45</v>
      </c>
      <c r="AK64" s="40" t="s">
        <v>45</v>
      </c>
      <c r="AL64" s="40" t="s">
        <v>45</v>
      </c>
      <c r="AM64" s="40" t="s">
        <v>45</v>
      </c>
      <c r="AN64" s="40" t="s">
        <v>45</v>
      </c>
      <c r="AO64" s="41" t="s">
        <v>45</v>
      </c>
      <c r="AP64" s="40" t="s">
        <v>57</v>
      </c>
      <c r="AQ64" s="40">
        <v>9</v>
      </c>
      <c r="AR64" s="48" t="s">
        <v>347</v>
      </c>
      <c r="AS64" s="43" t="s">
        <v>614</v>
      </c>
      <c r="AT64" s="43" t="s">
        <v>47</v>
      </c>
      <c r="AU64" s="44">
        <f t="shared" si="0"/>
        <v>-2.0690406309742588</v>
      </c>
      <c r="AV64" s="44">
        <f t="shared" si="1"/>
        <v>0.66316758976117784</v>
      </c>
      <c r="AW64" s="45">
        <f t="shared" si="2"/>
        <v>3</v>
      </c>
      <c r="AX64" s="45">
        <f t="shared" si="3"/>
        <v>2</v>
      </c>
      <c r="AY64" s="46">
        <f>VLOOKUP(AP64,COND!$A$10:$B$32,2,FALSE)</f>
        <v>1</v>
      </c>
      <c r="AZ64" s="44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63.849543669028705</v>
      </c>
      <c r="BA64" s="47">
        <f t="shared" si="7"/>
        <v>1.8614012876754018</v>
      </c>
      <c r="BB64" s="45" t="str">
        <f t="shared" si="5"/>
        <v>SP</v>
      </c>
      <c r="BC64" s="45">
        <f>RANK(Table3[[#This Row],[zScore]],Table3[zScore])</f>
        <v>39</v>
      </c>
      <c r="BD64" s="45"/>
      <c r="BE64" s="45"/>
      <c r="BF64" s="45" t="str">
        <f t="shared" si="6"/>
        <v>Possible</v>
      </c>
      <c r="BG64" s="45"/>
      <c r="BH64" s="45">
        <f>INDEX(Table5[[#All],[Ovr]],MATCH(Table3[[#This Row],[PID]],Table5[[#All],[PID]],0))</f>
        <v>10</v>
      </c>
      <c r="BI64" s="45" t="str">
        <f>INDEX(Table5[[#All],[Rnd]],MATCH(Table3[[#This Row],[PID]],Table5[[#All],[PID]],0))</f>
        <v>1</v>
      </c>
      <c r="BJ64" s="45">
        <f>INDEX(Table5[[#All],[Pick]],MATCH(Table3[[#This Row],[PID]],Table5[[#All],[PID]],0))</f>
        <v>10</v>
      </c>
      <c r="BK64" s="45" t="str">
        <f>INDEX(Table5[[#All],[Team]],MATCH(Table3[[#This Row],[PID]],Table5[[#All],[PID]],0))</f>
        <v>Hartford Harpoon</v>
      </c>
      <c r="BL6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" spans="1:64" ht="15" customHeight="1" x14ac:dyDescent="0.25">
      <c r="A65" s="40">
        <v>18211</v>
      </c>
      <c r="B65" s="40" t="s">
        <v>415</v>
      </c>
      <c r="C65" s="40" t="s">
        <v>1528</v>
      </c>
      <c r="D65" s="40" t="s">
        <v>194</v>
      </c>
      <c r="E65" s="40">
        <v>18</v>
      </c>
      <c r="F65" s="40" t="s">
        <v>53</v>
      </c>
      <c r="G65" s="40" t="s">
        <v>53</v>
      </c>
      <c r="H65" s="41" t="s">
        <v>634</v>
      </c>
      <c r="I65" s="42" t="s">
        <v>43</v>
      </c>
      <c r="J65" s="40" t="s">
        <v>47</v>
      </c>
      <c r="K65" s="41" t="s">
        <v>43</v>
      </c>
      <c r="L65" s="40">
        <v>2</v>
      </c>
      <c r="M65" s="40">
        <v>2</v>
      </c>
      <c r="N65" s="41">
        <v>2</v>
      </c>
      <c r="O65" s="40">
        <v>6</v>
      </c>
      <c r="P65" s="40">
        <v>3</v>
      </c>
      <c r="Q65" s="41">
        <v>6</v>
      </c>
      <c r="R65" s="40">
        <v>4</v>
      </c>
      <c r="S65" s="40">
        <v>7</v>
      </c>
      <c r="T65" s="40">
        <v>1</v>
      </c>
      <c r="U65" s="40">
        <v>1</v>
      </c>
      <c r="V65" s="40">
        <v>3</v>
      </c>
      <c r="W65" s="40">
        <v>8</v>
      </c>
      <c r="X65" s="40" t="s">
        <v>45</v>
      </c>
      <c r="Y65" s="40" t="s">
        <v>45</v>
      </c>
      <c r="Z65" s="40" t="s">
        <v>45</v>
      </c>
      <c r="AA65" s="40" t="s">
        <v>45</v>
      </c>
      <c r="AB65" s="40" t="s">
        <v>45</v>
      </c>
      <c r="AC65" s="40" t="s">
        <v>45</v>
      </c>
      <c r="AD65" s="40" t="s">
        <v>45</v>
      </c>
      <c r="AE65" s="40" t="s">
        <v>45</v>
      </c>
      <c r="AF65" s="40" t="s">
        <v>45</v>
      </c>
      <c r="AG65" s="40" t="s">
        <v>45</v>
      </c>
      <c r="AH65" s="40" t="s">
        <v>45</v>
      </c>
      <c r="AI65" s="40" t="s">
        <v>45</v>
      </c>
      <c r="AJ65" s="40" t="s">
        <v>45</v>
      </c>
      <c r="AK65" s="40" t="s">
        <v>45</v>
      </c>
      <c r="AL65" s="40" t="s">
        <v>45</v>
      </c>
      <c r="AM65" s="40" t="s">
        <v>45</v>
      </c>
      <c r="AN65" s="40" t="s">
        <v>45</v>
      </c>
      <c r="AO65" s="41" t="s">
        <v>45</v>
      </c>
      <c r="AP65" s="40" t="s">
        <v>58</v>
      </c>
      <c r="AQ65" s="40">
        <v>6</v>
      </c>
      <c r="AR65" s="48" t="s">
        <v>347</v>
      </c>
      <c r="AS65" s="43" t="s">
        <v>644</v>
      </c>
      <c r="AT65" s="43" t="s">
        <v>47</v>
      </c>
      <c r="AU65" s="44">
        <f t="shared" si="0"/>
        <v>-2.0690406309742588</v>
      </c>
      <c r="AV65" s="44">
        <f t="shared" si="1"/>
        <v>0.31993339844600399</v>
      </c>
      <c r="AW65" s="45">
        <f t="shared" si="2"/>
        <v>3</v>
      </c>
      <c r="AX65" s="45">
        <f t="shared" si="3"/>
        <v>2</v>
      </c>
      <c r="AY65" s="46">
        <f>VLOOKUP(AP65,COND!$A$10:$B$32,2,FALSE)</f>
        <v>1</v>
      </c>
      <c r="AZ65" s="44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62.035238346657096</v>
      </c>
      <c r="BA65" s="47">
        <f t="shared" si="7"/>
        <v>1.7406983270340242</v>
      </c>
      <c r="BB65" s="45" t="str">
        <f t="shared" si="5"/>
        <v>SP</v>
      </c>
      <c r="BC65" s="45">
        <f>RANK(Table3[[#This Row],[zScore]],Table3[zScore])</f>
        <v>49</v>
      </c>
      <c r="BD65" s="45"/>
      <c r="BE65" s="45"/>
      <c r="BF65" s="45" t="str">
        <f t="shared" si="6"/>
        <v>Possible</v>
      </c>
      <c r="BG65" s="45"/>
      <c r="BH65" s="45">
        <f>INDEX(Table5[[#All],[Ovr]],MATCH(Table3[[#This Row],[PID]],Table5[[#All],[PID]],0))</f>
        <v>209</v>
      </c>
      <c r="BI65" s="45" t="str">
        <f>INDEX(Table5[[#All],[Rnd]],MATCH(Table3[[#This Row],[PID]],Table5[[#All],[PID]],0))</f>
        <v>7</v>
      </c>
      <c r="BJ65" s="45">
        <f>INDEX(Table5[[#All],[Pick]],MATCH(Table3[[#This Row],[PID]],Table5[[#All],[PID]],0))</f>
        <v>21</v>
      </c>
      <c r="BK65" s="45" t="str">
        <f>INDEX(Table5[[#All],[Team]],MATCH(Table3[[#This Row],[PID]],Table5[[#All],[PID]],0))</f>
        <v>Crystal Lake Sandgnats</v>
      </c>
      <c r="BL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" spans="1:64" ht="15" customHeight="1" x14ac:dyDescent="0.25">
      <c r="A66" s="40">
        <v>18242</v>
      </c>
      <c r="B66" s="40" t="s">
        <v>415</v>
      </c>
      <c r="C66" s="40" t="s">
        <v>1800</v>
      </c>
      <c r="D66" s="40" t="s">
        <v>1801</v>
      </c>
      <c r="E66" s="40">
        <v>18</v>
      </c>
      <c r="F66" s="40" t="s">
        <v>53</v>
      </c>
      <c r="G66" s="40" t="s">
        <v>53</v>
      </c>
      <c r="H66" s="41" t="s">
        <v>633</v>
      </c>
      <c r="I66" s="42" t="s">
        <v>43</v>
      </c>
      <c r="J66" s="40" t="s">
        <v>43</v>
      </c>
      <c r="K66" s="41" t="s">
        <v>43</v>
      </c>
      <c r="L66" s="40">
        <v>3</v>
      </c>
      <c r="M66" s="40">
        <v>2</v>
      </c>
      <c r="N66" s="41">
        <v>1</v>
      </c>
      <c r="O66" s="40">
        <v>7</v>
      </c>
      <c r="P66" s="40">
        <v>5</v>
      </c>
      <c r="Q66" s="41">
        <v>3</v>
      </c>
      <c r="R66" s="40">
        <v>5</v>
      </c>
      <c r="S66" s="40">
        <v>8</v>
      </c>
      <c r="T66" s="40">
        <v>1</v>
      </c>
      <c r="U66" s="40">
        <v>2</v>
      </c>
      <c r="V66" s="40">
        <v>3</v>
      </c>
      <c r="W66" s="40">
        <v>8</v>
      </c>
      <c r="X66" s="40" t="s">
        <v>45</v>
      </c>
      <c r="Y66" s="40" t="s">
        <v>45</v>
      </c>
      <c r="Z66" s="40" t="s">
        <v>45</v>
      </c>
      <c r="AA66" s="40" t="s">
        <v>45</v>
      </c>
      <c r="AB66" s="40" t="s">
        <v>45</v>
      </c>
      <c r="AC66" s="40" t="s">
        <v>45</v>
      </c>
      <c r="AD66" s="40" t="s">
        <v>45</v>
      </c>
      <c r="AE66" s="40" t="s">
        <v>45</v>
      </c>
      <c r="AF66" s="40" t="s">
        <v>45</v>
      </c>
      <c r="AG66" s="40" t="s">
        <v>45</v>
      </c>
      <c r="AH66" s="40" t="s">
        <v>45</v>
      </c>
      <c r="AI66" s="40" t="s">
        <v>45</v>
      </c>
      <c r="AJ66" s="40" t="s">
        <v>45</v>
      </c>
      <c r="AK66" s="40" t="s">
        <v>45</v>
      </c>
      <c r="AL66" s="40" t="s">
        <v>45</v>
      </c>
      <c r="AM66" s="40" t="s">
        <v>45</v>
      </c>
      <c r="AN66" s="40" t="s">
        <v>45</v>
      </c>
      <c r="AO66" s="41" t="s">
        <v>45</v>
      </c>
      <c r="AP66" s="40" t="s">
        <v>58</v>
      </c>
      <c r="AQ66" s="40">
        <v>9</v>
      </c>
      <c r="AR66" s="48" t="s">
        <v>347</v>
      </c>
      <c r="AS66" s="43" t="s">
        <v>644</v>
      </c>
      <c r="AT66" s="43" t="s">
        <v>47</v>
      </c>
      <c r="AU66" s="44">
        <f t="shared" si="0"/>
        <v>-2.1166698725191955</v>
      </c>
      <c r="AV66" s="44">
        <f t="shared" si="1"/>
        <v>0.17852645765295708</v>
      </c>
      <c r="AW66" s="45">
        <f t="shared" si="2"/>
        <v>3</v>
      </c>
      <c r="AX66" s="45">
        <f t="shared" si="3"/>
        <v>2</v>
      </c>
      <c r="AY66" s="46">
        <f>VLOOKUP(AP66,COND!$A$10:$B$32,2,FALSE)</f>
        <v>1</v>
      </c>
      <c r="AZ66" s="44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59.1471951785553</v>
      </c>
      <c r="BA66" s="47">
        <f t="shared" si="7"/>
        <v>1.5485612283045134</v>
      </c>
      <c r="BB66" s="45" t="str">
        <f t="shared" si="5"/>
        <v>SP</v>
      </c>
      <c r="BC66" s="45">
        <f>RANK(Table3[[#This Row],[zScore]],Table3[zScore])</f>
        <v>70</v>
      </c>
      <c r="BD66" s="45"/>
      <c r="BE66" s="45"/>
      <c r="BF66" s="45" t="str">
        <f t="shared" si="6"/>
        <v>Possible</v>
      </c>
      <c r="BG66" s="45"/>
      <c r="BH66" s="45">
        <f>INDEX(Table5[[#All],[Ovr]],MATCH(Table3[[#This Row],[PID]],Table5[[#All],[PID]],0))</f>
        <v>135</v>
      </c>
      <c r="BI66" s="45" t="str">
        <f>INDEX(Table5[[#All],[Rnd]],MATCH(Table3[[#This Row],[PID]],Table5[[#All],[PID]],0))</f>
        <v>5</v>
      </c>
      <c r="BJ66" s="45">
        <f>INDEX(Table5[[#All],[Pick]],MATCH(Table3[[#This Row],[PID]],Table5[[#All],[PID]],0))</f>
        <v>7</v>
      </c>
      <c r="BK66" s="45" t="str">
        <f>INDEX(Table5[[#All],[Team]],MATCH(Table3[[#This Row],[PID]],Table5[[#All],[PID]],0))</f>
        <v>London Underground</v>
      </c>
      <c r="BL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" spans="1:64" ht="15" customHeight="1" x14ac:dyDescent="0.25">
      <c r="A67" s="40">
        <v>18374</v>
      </c>
      <c r="B67" s="40" t="s">
        <v>415</v>
      </c>
      <c r="C67" s="40" t="s">
        <v>1646</v>
      </c>
      <c r="D67" s="40" t="s">
        <v>571</v>
      </c>
      <c r="E67" s="40">
        <v>18</v>
      </c>
      <c r="F67" s="40" t="s">
        <v>42</v>
      </c>
      <c r="G67" s="40" t="s">
        <v>42</v>
      </c>
      <c r="H67" s="41" t="s">
        <v>633</v>
      </c>
      <c r="I67" s="42" t="s">
        <v>43</v>
      </c>
      <c r="J67" s="40" t="s">
        <v>44</v>
      </c>
      <c r="K67" s="41" t="s">
        <v>43</v>
      </c>
      <c r="L67" s="40">
        <v>2</v>
      </c>
      <c r="M67" s="40">
        <v>2</v>
      </c>
      <c r="N67" s="41">
        <v>1</v>
      </c>
      <c r="O67" s="40">
        <v>6</v>
      </c>
      <c r="P67" s="40">
        <v>6</v>
      </c>
      <c r="Q67" s="41">
        <v>3</v>
      </c>
      <c r="R67" s="40">
        <v>4</v>
      </c>
      <c r="S67" s="40">
        <v>8</v>
      </c>
      <c r="T67" s="40">
        <v>1</v>
      </c>
      <c r="U67" s="40">
        <v>1</v>
      </c>
      <c r="V67" s="40">
        <v>2</v>
      </c>
      <c r="W67" s="40">
        <v>8</v>
      </c>
      <c r="X67" s="40" t="s">
        <v>45</v>
      </c>
      <c r="Y67" s="40" t="s">
        <v>45</v>
      </c>
      <c r="Z67" s="40" t="s">
        <v>45</v>
      </c>
      <c r="AA67" s="40" t="s">
        <v>45</v>
      </c>
      <c r="AB67" s="40" t="s">
        <v>45</v>
      </c>
      <c r="AC67" s="40" t="s">
        <v>45</v>
      </c>
      <c r="AD67" s="40" t="s">
        <v>45</v>
      </c>
      <c r="AE67" s="40" t="s">
        <v>45</v>
      </c>
      <c r="AF67" s="40" t="s">
        <v>45</v>
      </c>
      <c r="AG67" s="40" t="s">
        <v>45</v>
      </c>
      <c r="AH67" s="40" t="s">
        <v>45</v>
      </c>
      <c r="AI67" s="40" t="s">
        <v>45</v>
      </c>
      <c r="AJ67" s="40" t="s">
        <v>45</v>
      </c>
      <c r="AK67" s="40" t="s">
        <v>45</v>
      </c>
      <c r="AL67" s="40" t="s">
        <v>45</v>
      </c>
      <c r="AM67" s="40" t="s">
        <v>45</v>
      </c>
      <c r="AN67" s="40" t="s">
        <v>45</v>
      </c>
      <c r="AO67" s="41" t="s">
        <v>45</v>
      </c>
      <c r="AP67" s="40" t="s">
        <v>58</v>
      </c>
      <c r="AQ67" s="40">
        <v>7</v>
      </c>
      <c r="AR67" s="48" t="s">
        <v>347</v>
      </c>
      <c r="AS67" s="43" t="s">
        <v>654</v>
      </c>
      <c r="AT67" s="43" t="s">
        <v>47</v>
      </c>
      <c r="AU67" s="44">
        <f t="shared" si="0"/>
        <v>-2.311361197028369</v>
      </c>
      <c r="AV67" s="44">
        <f t="shared" si="1"/>
        <v>0.17926684957383907</v>
      </c>
      <c r="AW67" s="45">
        <f t="shared" si="2"/>
        <v>3</v>
      </c>
      <c r="AX67" s="45">
        <f t="shared" si="3"/>
        <v>2</v>
      </c>
      <c r="AY67" s="46">
        <f>VLOOKUP(AP67,COND!$A$10:$B$32,2,FALSE)</f>
        <v>1</v>
      </c>
      <c r="AZ67" s="44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58.823064752071105</v>
      </c>
      <c r="BA67" s="47">
        <f t="shared" si="7"/>
        <v>1.5269973263370904</v>
      </c>
      <c r="BB67" s="45" t="str">
        <f t="shared" si="5"/>
        <v>SP</v>
      </c>
      <c r="BC67" s="45">
        <f>RANK(Table3[[#This Row],[zScore]],Table3[zScore])</f>
        <v>72</v>
      </c>
      <c r="BD67" s="45"/>
      <c r="BE67" s="45"/>
      <c r="BF67" s="45" t="str">
        <f t="shared" si="6"/>
        <v>Possible</v>
      </c>
      <c r="BG67" s="45"/>
      <c r="BH67" s="45">
        <f>INDEX(Table5[[#All],[Ovr]],MATCH(Table3[[#This Row],[PID]],Table5[[#All],[PID]],0))</f>
        <v>214</v>
      </c>
      <c r="BI67" s="45" t="str">
        <f>INDEX(Table5[[#All],[Rnd]],MATCH(Table3[[#This Row],[PID]],Table5[[#All],[PID]],0))</f>
        <v>7</v>
      </c>
      <c r="BJ67" s="45">
        <f>INDEX(Table5[[#All],[Pick]],MATCH(Table3[[#This Row],[PID]],Table5[[#All],[PID]],0))</f>
        <v>26</v>
      </c>
      <c r="BK67" s="45" t="str">
        <f>INDEX(Table5[[#All],[Team]],MATCH(Table3[[#This Row],[PID]],Table5[[#All],[PID]],0))</f>
        <v>West Virginia Alleghenies</v>
      </c>
      <c r="BL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" spans="1:64" ht="15" customHeight="1" x14ac:dyDescent="0.25">
      <c r="A68" s="40">
        <v>18206</v>
      </c>
      <c r="B68" s="40" t="s">
        <v>415</v>
      </c>
      <c r="C68" s="40" t="s">
        <v>1496</v>
      </c>
      <c r="D68" s="40" t="s">
        <v>211</v>
      </c>
      <c r="E68" s="40">
        <v>18</v>
      </c>
      <c r="F68" s="40" t="s">
        <v>42</v>
      </c>
      <c r="G68" s="40" t="s">
        <v>42</v>
      </c>
      <c r="H68" s="41" t="s">
        <v>634</v>
      </c>
      <c r="I68" s="42" t="s">
        <v>43</v>
      </c>
      <c r="J68" s="40" t="s">
        <v>47</v>
      </c>
      <c r="K68" s="41" t="s">
        <v>47</v>
      </c>
      <c r="L68" s="40">
        <v>2</v>
      </c>
      <c r="M68" s="40">
        <v>3</v>
      </c>
      <c r="N68" s="41">
        <v>1</v>
      </c>
      <c r="O68" s="40">
        <v>6</v>
      </c>
      <c r="P68" s="40">
        <v>5</v>
      </c>
      <c r="Q68" s="41">
        <v>3</v>
      </c>
      <c r="R68" s="40">
        <v>4</v>
      </c>
      <c r="S68" s="40">
        <v>6</v>
      </c>
      <c r="T68" s="40">
        <v>1</v>
      </c>
      <c r="U68" s="40">
        <v>2</v>
      </c>
      <c r="V68" s="40" t="s">
        <v>45</v>
      </c>
      <c r="W68" s="40" t="s">
        <v>45</v>
      </c>
      <c r="X68" s="40" t="s">
        <v>45</v>
      </c>
      <c r="Y68" s="40" t="s">
        <v>45</v>
      </c>
      <c r="Z68" s="40">
        <v>4</v>
      </c>
      <c r="AA68" s="40">
        <v>7</v>
      </c>
      <c r="AB68" s="40" t="s">
        <v>45</v>
      </c>
      <c r="AC68" s="40" t="s">
        <v>45</v>
      </c>
      <c r="AD68" s="40" t="s">
        <v>45</v>
      </c>
      <c r="AE68" s="40" t="s">
        <v>45</v>
      </c>
      <c r="AF68" s="40" t="s">
        <v>45</v>
      </c>
      <c r="AG68" s="40" t="s">
        <v>45</v>
      </c>
      <c r="AH68" s="40" t="s">
        <v>45</v>
      </c>
      <c r="AI68" s="40" t="s">
        <v>45</v>
      </c>
      <c r="AJ68" s="40" t="s">
        <v>45</v>
      </c>
      <c r="AK68" s="40" t="s">
        <v>45</v>
      </c>
      <c r="AL68" s="40" t="s">
        <v>45</v>
      </c>
      <c r="AM68" s="40" t="s">
        <v>45</v>
      </c>
      <c r="AN68" s="40" t="s">
        <v>45</v>
      </c>
      <c r="AO68" s="41" t="s">
        <v>45</v>
      </c>
      <c r="AP68" s="40" t="s">
        <v>350</v>
      </c>
      <c r="AQ68" s="40">
        <v>9</v>
      </c>
      <c r="AR68" s="48" t="s">
        <v>348</v>
      </c>
      <c r="AS68" s="43" t="s">
        <v>644</v>
      </c>
      <c r="AT68" s="43" t="s">
        <v>47</v>
      </c>
      <c r="AU68" s="44">
        <f t="shared" si="0"/>
        <v>-2.1159294805983135</v>
      </c>
      <c r="AV68" s="44">
        <f t="shared" si="1"/>
        <v>-1.6164866856216389E-2</v>
      </c>
      <c r="AW68" s="45">
        <f t="shared" si="2"/>
        <v>3</v>
      </c>
      <c r="AX68" s="45">
        <f t="shared" si="3"/>
        <v>2</v>
      </c>
      <c r="AY68" s="46">
        <f>VLOOKUP(AP68,COND!$A$10:$B$32,2,FALSE)</f>
        <v>1</v>
      </c>
      <c r="AZ68" s="44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55.853516766756002</v>
      </c>
      <c r="BA68" s="47">
        <f t="shared" si="7"/>
        <v>1.3294378366666102</v>
      </c>
      <c r="BB68" s="45" t="str">
        <f t="shared" si="5"/>
        <v>SP</v>
      </c>
      <c r="BC68" s="45">
        <f>RANK(Table3[[#This Row],[zScore]],Table3[zScore])</f>
        <v>98</v>
      </c>
      <c r="BD68" s="45"/>
      <c r="BE68" s="45"/>
      <c r="BF68" s="45" t="str">
        <f t="shared" si="6"/>
        <v>Possible</v>
      </c>
      <c r="BG68" s="45"/>
      <c r="BH68" s="45">
        <f>INDEX(Table5[[#All],[Ovr]],MATCH(Table3[[#This Row],[PID]],Table5[[#All],[PID]],0))</f>
        <v>125</v>
      </c>
      <c r="BI68" s="45" t="str">
        <f>INDEX(Table5[[#All],[Rnd]],MATCH(Table3[[#This Row],[PID]],Table5[[#All],[PID]],0))</f>
        <v>4</v>
      </c>
      <c r="BJ68" s="45">
        <f>INDEX(Table5[[#All],[Pick]],MATCH(Table3[[#This Row],[PID]],Table5[[#All],[PID]],0))</f>
        <v>25</v>
      </c>
      <c r="BK68" s="45" t="str">
        <f>INDEX(Table5[[#All],[Team]],MATCH(Table3[[#This Row],[PID]],Table5[[#All],[PID]],0))</f>
        <v>Neo-Tokyo Akira</v>
      </c>
      <c r="BL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" spans="1:64" ht="15" customHeight="1" x14ac:dyDescent="0.25">
      <c r="A69" s="40">
        <v>18380</v>
      </c>
      <c r="B69" s="40" t="s">
        <v>415</v>
      </c>
      <c r="C69" s="40" t="s">
        <v>1314</v>
      </c>
      <c r="D69" s="40" t="s">
        <v>827</v>
      </c>
      <c r="E69" s="40">
        <v>18</v>
      </c>
      <c r="F69" s="40" t="s">
        <v>42</v>
      </c>
      <c r="G69" s="40" t="s">
        <v>42</v>
      </c>
      <c r="H69" s="41" t="s">
        <v>634</v>
      </c>
      <c r="I69" s="42" t="s">
        <v>43</v>
      </c>
      <c r="J69" s="40" t="s">
        <v>44</v>
      </c>
      <c r="K69" s="41" t="s">
        <v>44</v>
      </c>
      <c r="L69" s="40">
        <v>2</v>
      </c>
      <c r="M69" s="40">
        <v>2</v>
      </c>
      <c r="N69" s="41">
        <v>2</v>
      </c>
      <c r="O69" s="40">
        <v>6</v>
      </c>
      <c r="P69" s="40">
        <v>4</v>
      </c>
      <c r="Q69" s="41">
        <v>4</v>
      </c>
      <c r="R69" s="40" t="s">
        <v>45</v>
      </c>
      <c r="S69" s="40" t="s">
        <v>45</v>
      </c>
      <c r="T69" s="40">
        <v>1</v>
      </c>
      <c r="U69" s="40">
        <v>1</v>
      </c>
      <c r="V69" s="40">
        <v>2</v>
      </c>
      <c r="W69" s="40">
        <v>8</v>
      </c>
      <c r="X69" s="40" t="s">
        <v>45</v>
      </c>
      <c r="Y69" s="40" t="s">
        <v>45</v>
      </c>
      <c r="Z69" s="40" t="s">
        <v>45</v>
      </c>
      <c r="AA69" s="40" t="s">
        <v>45</v>
      </c>
      <c r="AB69" s="40" t="s">
        <v>45</v>
      </c>
      <c r="AC69" s="40" t="s">
        <v>45</v>
      </c>
      <c r="AD69" s="40">
        <v>3</v>
      </c>
      <c r="AE69" s="40">
        <v>6</v>
      </c>
      <c r="AF69" s="40" t="s">
        <v>45</v>
      </c>
      <c r="AG69" s="40" t="s">
        <v>45</v>
      </c>
      <c r="AH69" s="40" t="s">
        <v>45</v>
      </c>
      <c r="AI69" s="40" t="s">
        <v>45</v>
      </c>
      <c r="AJ69" s="40" t="s">
        <v>45</v>
      </c>
      <c r="AK69" s="40" t="s">
        <v>45</v>
      </c>
      <c r="AL69" s="40" t="s">
        <v>45</v>
      </c>
      <c r="AM69" s="40" t="s">
        <v>45</v>
      </c>
      <c r="AN69" s="40" t="s">
        <v>45</v>
      </c>
      <c r="AO69" s="41" t="s">
        <v>45</v>
      </c>
      <c r="AP69" s="40" t="s">
        <v>349</v>
      </c>
      <c r="AQ69" s="40">
        <v>7</v>
      </c>
      <c r="AR69" s="48" t="s">
        <v>347</v>
      </c>
      <c r="AS69" s="43" t="s">
        <v>644</v>
      </c>
      <c r="AT69" s="43" t="s">
        <v>47</v>
      </c>
      <c r="AU69" s="44">
        <f t="shared" ref="AU69:AU132" si="8">($O$3*(L69-$O$1)/$O$2+$P$3*(M69-$P$1)/$P$2+$Q$3*(N69-$P$1)/$Q$2)/SUM($O$3:$Q$3)</f>
        <v>-2.0690406309742588</v>
      </c>
      <c r="AV69" s="44">
        <f t="shared" ref="AV69:AV132" si="9">($O$3*(O69-$O$1)/$O$2+$P$3*(P69-$P$1)/$P$2+$Q$3*(Q69-$Q$1)/$Q$2)/SUM($O$3:$Q$3)</f>
        <v>3.0723982767838571E-2</v>
      </c>
      <c r="AW69" s="45">
        <f t="shared" ref="AW69:AW132" si="10">COUNT(R69:AO69)/2</f>
        <v>3</v>
      </c>
      <c r="AX69" s="45">
        <f t="shared" ref="AX69:AX132" si="11"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2</v>
      </c>
      <c r="AY69" s="46">
        <f>VLOOKUP(AP69,COND!$A$10:$B$32,2,FALSE)</f>
        <v>1</v>
      </c>
      <c r="AZ69" s="44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55.600671529161914</v>
      </c>
      <c r="BA69" s="47">
        <f t="shared" si="7"/>
        <v>1.3126164293845188</v>
      </c>
      <c r="BB69" s="45" t="str">
        <f t="shared" ref="BB69:BB132" si="12">IF(OR(AND(AQ69&gt;7,AX69&gt;1),AND(AQ69&gt;4,AW69&gt;2)),"SP","RP")</f>
        <v>SP</v>
      </c>
      <c r="BC69" s="45">
        <f>RANK(Table3[[#This Row],[zScore]],Table3[zScore])</f>
        <v>102</v>
      </c>
      <c r="BD69" s="45"/>
      <c r="BE69" s="45"/>
      <c r="BF69" s="45" t="str">
        <f t="shared" ref="BF69:BF132" si="13">IF(AVERAGE($O69:$Q69)&gt;=6,"Likely",IF(AVERAGE($O69:$Q69)&gt;=4,"Possible","Unlikely"))</f>
        <v>Possible</v>
      </c>
      <c r="BG69" s="45"/>
      <c r="BH69" s="45">
        <f>INDEX(Table5[[#All],[Ovr]],MATCH(Table3[[#This Row],[PID]],Table5[[#All],[PID]],0))</f>
        <v>243</v>
      </c>
      <c r="BI69" s="45" t="str">
        <f>INDEX(Table5[[#All],[Rnd]],MATCH(Table3[[#This Row],[PID]],Table5[[#All],[PID]],0))</f>
        <v>8</v>
      </c>
      <c r="BJ69" s="45">
        <f>INDEX(Table5[[#All],[Pick]],MATCH(Table3[[#This Row],[PID]],Table5[[#All],[PID]],0))</f>
        <v>25</v>
      </c>
      <c r="BK69" s="45" t="str">
        <f>INDEX(Table5[[#All],[Team]],MATCH(Table3[[#This Row],[PID]],Table5[[#All],[PID]],0))</f>
        <v>Toyama Wind Dancers</v>
      </c>
      <c r="BL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" spans="1:64" ht="15" customHeight="1" x14ac:dyDescent="0.25">
      <c r="A70" s="40">
        <v>18252</v>
      </c>
      <c r="B70" s="40" t="s">
        <v>415</v>
      </c>
      <c r="C70" s="40" t="s">
        <v>183</v>
      </c>
      <c r="D70" s="40" t="s">
        <v>1828</v>
      </c>
      <c r="E70" s="40">
        <v>18</v>
      </c>
      <c r="F70" s="40" t="s">
        <v>53</v>
      </c>
      <c r="G70" s="40" t="s">
        <v>53</v>
      </c>
      <c r="H70" s="41" t="s">
        <v>634</v>
      </c>
      <c r="I70" s="42" t="s">
        <v>43</v>
      </c>
      <c r="J70" s="40" t="s">
        <v>44</v>
      </c>
      <c r="K70" s="41" t="s">
        <v>47</v>
      </c>
      <c r="L70" s="40">
        <v>2</v>
      </c>
      <c r="M70" s="40">
        <v>1</v>
      </c>
      <c r="N70" s="41">
        <v>2</v>
      </c>
      <c r="O70" s="40">
        <v>5</v>
      </c>
      <c r="P70" s="40">
        <v>1</v>
      </c>
      <c r="Q70" s="41">
        <v>7</v>
      </c>
      <c r="R70" s="40">
        <v>4</v>
      </c>
      <c r="S70" s="40">
        <v>6</v>
      </c>
      <c r="T70" s="40">
        <v>1</v>
      </c>
      <c r="U70" s="40">
        <v>2</v>
      </c>
      <c r="V70" s="40" t="s">
        <v>45</v>
      </c>
      <c r="W70" s="40" t="s">
        <v>45</v>
      </c>
      <c r="X70" s="40">
        <v>3</v>
      </c>
      <c r="Y70" s="40">
        <v>8</v>
      </c>
      <c r="Z70" s="40" t="s">
        <v>45</v>
      </c>
      <c r="AA70" s="40" t="s">
        <v>45</v>
      </c>
      <c r="AB70" s="40" t="s">
        <v>45</v>
      </c>
      <c r="AC70" s="40" t="s">
        <v>45</v>
      </c>
      <c r="AD70" s="40" t="s">
        <v>45</v>
      </c>
      <c r="AE70" s="40" t="s">
        <v>45</v>
      </c>
      <c r="AF70" s="40" t="s">
        <v>45</v>
      </c>
      <c r="AG70" s="40" t="s">
        <v>45</v>
      </c>
      <c r="AH70" s="40" t="s">
        <v>45</v>
      </c>
      <c r="AI70" s="40" t="s">
        <v>45</v>
      </c>
      <c r="AJ70" s="40" t="s">
        <v>45</v>
      </c>
      <c r="AK70" s="40" t="s">
        <v>45</v>
      </c>
      <c r="AL70" s="40" t="s">
        <v>45</v>
      </c>
      <c r="AM70" s="40" t="s">
        <v>45</v>
      </c>
      <c r="AN70" s="40" t="s">
        <v>45</v>
      </c>
      <c r="AO70" s="41" t="s">
        <v>45</v>
      </c>
      <c r="AP70" s="40" t="s">
        <v>57</v>
      </c>
      <c r="AQ70" s="40">
        <v>8</v>
      </c>
      <c r="AR70" s="48" t="s">
        <v>347</v>
      </c>
      <c r="AS70" s="43" t="s">
        <v>556</v>
      </c>
      <c r="AT70" s="43" t="s">
        <v>47</v>
      </c>
      <c r="AU70" s="44">
        <f t="shared" si="8"/>
        <v>-2.2644723474043147</v>
      </c>
      <c r="AV70" s="44">
        <f t="shared" si="9"/>
        <v>-2.3300792869170139E-2</v>
      </c>
      <c r="AW70" s="45">
        <f t="shared" si="10"/>
        <v>3</v>
      </c>
      <c r="AX70" s="45">
        <f t="shared" si="11"/>
        <v>2</v>
      </c>
      <c r="AY70" s="46">
        <f>VLOOKUP(AP70,COND!$A$10:$B$32,2,FALSE)</f>
        <v>1</v>
      </c>
      <c r="AZ70" s="44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55.081089673135736</v>
      </c>
      <c r="BA70" s="47">
        <f t="shared" si="7"/>
        <v>1.2780494424807256</v>
      </c>
      <c r="BB70" s="45" t="str">
        <f t="shared" si="12"/>
        <v>SP</v>
      </c>
      <c r="BC70" s="45">
        <f>RANK(Table3[[#This Row],[zScore]],Table3[zScore])</f>
        <v>104</v>
      </c>
      <c r="BD70" s="45"/>
      <c r="BE70" s="45"/>
      <c r="BF70" s="45" t="str">
        <f t="shared" si="13"/>
        <v>Possible</v>
      </c>
      <c r="BG70" s="45"/>
      <c r="BH70" s="45">
        <f>INDEX(Table5[[#All],[Ovr]],MATCH(Table3[[#This Row],[PID]],Table5[[#All],[PID]],0))</f>
        <v>425</v>
      </c>
      <c r="BI70" s="45" t="str">
        <f>INDEX(Table5[[#All],[Rnd]],MATCH(Table3[[#This Row],[PID]],Table5[[#All],[PID]],0))</f>
        <v>14</v>
      </c>
      <c r="BJ70" s="45">
        <f>INDEX(Table5[[#All],[Pick]],MATCH(Table3[[#This Row],[PID]],Table5[[#All],[PID]],0))</f>
        <v>27</v>
      </c>
      <c r="BK70" s="45" t="str">
        <f>INDEX(Table5[[#All],[Team]],MATCH(Table3[[#This Row],[PID]],Table5[[#All],[PID]],0))</f>
        <v>Neo-Tokyo Akira</v>
      </c>
      <c r="BL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" spans="1:64" ht="15" customHeight="1" x14ac:dyDescent="0.25">
      <c r="A71" s="40">
        <v>18182</v>
      </c>
      <c r="B71" s="40" t="s">
        <v>415</v>
      </c>
      <c r="C71" s="40" t="s">
        <v>183</v>
      </c>
      <c r="D71" s="40" t="s">
        <v>1872</v>
      </c>
      <c r="E71" s="40">
        <v>18</v>
      </c>
      <c r="F71" s="40" t="s">
        <v>53</v>
      </c>
      <c r="G71" s="40" t="s">
        <v>53</v>
      </c>
      <c r="H71" s="41" t="s">
        <v>638</v>
      </c>
      <c r="I71" s="42" t="s">
        <v>47</v>
      </c>
      <c r="J71" s="40" t="s">
        <v>43</v>
      </c>
      <c r="K71" s="41" t="s">
        <v>43</v>
      </c>
      <c r="L71" s="40">
        <v>1</v>
      </c>
      <c r="M71" s="40">
        <v>3</v>
      </c>
      <c r="N71" s="41">
        <v>1</v>
      </c>
      <c r="O71" s="40">
        <v>5</v>
      </c>
      <c r="P71" s="40">
        <v>6</v>
      </c>
      <c r="Q71" s="41">
        <v>3</v>
      </c>
      <c r="R71" s="40" t="s">
        <v>45</v>
      </c>
      <c r="S71" s="40" t="s">
        <v>45</v>
      </c>
      <c r="T71" s="40">
        <v>1</v>
      </c>
      <c r="U71" s="40">
        <v>8</v>
      </c>
      <c r="V71" s="40">
        <v>1</v>
      </c>
      <c r="W71" s="40">
        <v>5</v>
      </c>
      <c r="X71" s="40">
        <v>1</v>
      </c>
      <c r="Y71" s="40">
        <v>2</v>
      </c>
      <c r="Z71" s="40">
        <v>3</v>
      </c>
      <c r="AA71" s="40">
        <v>4</v>
      </c>
      <c r="AB71" s="40" t="s">
        <v>45</v>
      </c>
      <c r="AC71" s="40" t="s">
        <v>45</v>
      </c>
      <c r="AD71" s="40" t="s">
        <v>45</v>
      </c>
      <c r="AE71" s="40" t="s">
        <v>45</v>
      </c>
      <c r="AF71" s="40" t="s">
        <v>45</v>
      </c>
      <c r="AG71" s="40" t="s">
        <v>45</v>
      </c>
      <c r="AH71" s="40" t="s">
        <v>45</v>
      </c>
      <c r="AI71" s="40" t="s">
        <v>45</v>
      </c>
      <c r="AJ71" s="40" t="s">
        <v>45</v>
      </c>
      <c r="AK71" s="40" t="s">
        <v>45</v>
      </c>
      <c r="AL71" s="40" t="s">
        <v>45</v>
      </c>
      <c r="AM71" s="40" t="s">
        <v>45</v>
      </c>
      <c r="AN71" s="40" t="s">
        <v>45</v>
      </c>
      <c r="AO71" s="41" t="s">
        <v>45</v>
      </c>
      <c r="AP71" s="40" t="s">
        <v>68</v>
      </c>
      <c r="AQ71" s="40">
        <v>6</v>
      </c>
      <c r="AR71" s="48" t="s">
        <v>348</v>
      </c>
      <c r="AS71" s="43" t="s">
        <v>556</v>
      </c>
      <c r="AT71" s="43" t="s">
        <v>47</v>
      </c>
      <c r="AU71" s="44">
        <f t="shared" si="8"/>
        <v>-2.310620805107487</v>
      </c>
      <c r="AV71" s="44">
        <f t="shared" si="9"/>
        <v>-1.5424474935334484E-2</v>
      </c>
      <c r="AW71" s="45">
        <f t="shared" si="10"/>
        <v>4</v>
      </c>
      <c r="AX71" s="45">
        <f t="shared" si="11"/>
        <v>1</v>
      </c>
      <c r="AY71" s="46">
        <f>VLOOKUP(AP71,COND!$A$10:$B$32,2,FALSE)</f>
        <v>0.95</v>
      </c>
      <c r="AZ71" s="44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54.521531597676763</v>
      </c>
      <c r="BA71" s="47">
        <f t="shared" si="7"/>
        <v>1.2408228987860828</v>
      </c>
      <c r="BB71" s="45" t="str">
        <f t="shared" si="12"/>
        <v>SP</v>
      </c>
      <c r="BC71" s="45">
        <f>RANK(Table3[[#This Row],[zScore]],Table3[zScore])</f>
        <v>110</v>
      </c>
      <c r="BD71" s="45"/>
      <c r="BE71" s="45"/>
      <c r="BF71" s="45" t="str">
        <f t="shared" si="13"/>
        <v>Possible</v>
      </c>
      <c r="BG71" s="45"/>
      <c r="BH71" s="45">
        <f>INDEX(Table5[[#All],[Ovr]],MATCH(Table3[[#This Row],[PID]],Table5[[#All],[PID]],0))</f>
        <v>310</v>
      </c>
      <c r="BI71" s="45" t="str">
        <f>INDEX(Table5[[#All],[Rnd]],MATCH(Table3[[#This Row],[PID]],Table5[[#All],[PID]],0))</f>
        <v>11</v>
      </c>
      <c r="BJ71" s="45">
        <f>INDEX(Table5[[#All],[Pick]],MATCH(Table3[[#This Row],[PID]],Table5[[#All],[PID]],0))</f>
        <v>2</v>
      </c>
      <c r="BK71" s="45" t="str">
        <f>INDEX(Table5[[#All],[Team]],MATCH(Table3[[#This Row],[PID]],Table5[[#All],[PID]],0))</f>
        <v>Charleston Statesmen</v>
      </c>
      <c r="BL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" spans="1:64" ht="15" customHeight="1" x14ac:dyDescent="0.25">
      <c r="A72" s="40">
        <v>18358</v>
      </c>
      <c r="B72" s="40" t="s">
        <v>415</v>
      </c>
      <c r="C72" s="40" t="s">
        <v>868</v>
      </c>
      <c r="D72" s="40" t="s">
        <v>1811</v>
      </c>
      <c r="E72" s="40">
        <v>18</v>
      </c>
      <c r="F72" s="40" t="s">
        <v>42</v>
      </c>
      <c r="G72" s="40" t="s">
        <v>42</v>
      </c>
      <c r="H72" s="41" t="s">
        <v>633</v>
      </c>
      <c r="I72" s="42" t="s">
        <v>43</v>
      </c>
      <c r="J72" s="40" t="s">
        <v>43</v>
      </c>
      <c r="K72" s="41" t="s">
        <v>47</v>
      </c>
      <c r="L72" s="40">
        <v>2</v>
      </c>
      <c r="M72" s="40">
        <v>3</v>
      </c>
      <c r="N72" s="41">
        <v>3</v>
      </c>
      <c r="O72" s="40">
        <v>5</v>
      </c>
      <c r="P72" s="40">
        <v>6</v>
      </c>
      <c r="Q72" s="41">
        <v>4</v>
      </c>
      <c r="R72" s="40">
        <v>3</v>
      </c>
      <c r="S72" s="40">
        <v>6</v>
      </c>
      <c r="T72" s="40" t="s">
        <v>45</v>
      </c>
      <c r="U72" s="40" t="s">
        <v>45</v>
      </c>
      <c r="V72" s="40" t="s">
        <v>45</v>
      </c>
      <c r="W72" s="40" t="s">
        <v>45</v>
      </c>
      <c r="X72" s="40">
        <v>2</v>
      </c>
      <c r="Y72" s="40">
        <v>8</v>
      </c>
      <c r="Z72" s="40" t="s">
        <v>45</v>
      </c>
      <c r="AA72" s="40" t="s">
        <v>45</v>
      </c>
      <c r="AB72" s="40" t="s">
        <v>45</v>
      </c>
      <c r="AC72" s="40" t="s">
        <v>45</v>
      </c>
      <c r="AD72" s="40" t="s">
        <v>45</v>
      </c>
      <c r="AE72" s="40" t="s">
        <v>45</v>
      </c>
      <c r="AF72" s="40" t="s">
        <v>45</v>
      </c>
      <c r="AG72" s="40" t="s">
        <v>45</v>
      </c>
      <c r="AH72" s="40" t="s">
        <v>45</v>
      </c>
      <c r="AI72" s="40" t="s">
        <v>45</v>
      </c>
      <c r="AJ72" s="40" t="s">
        <v>45</v>
      </c>
      <c r="AK72" s="40" t="s">
        <v>45</v>
      </c>
      <c r="AL72" s="40" t="s">
        <v>45</v>
      </c>
      <c r="AM72" s="40" t="s">
        <v>45</v>
      </c>
      <c r="AN72" s="40" t="s">
        <v>45</v>
      </c>
      <c r="AO72" s="41" t="s">
        <v>45</v>
      </c>
      <c r="AP72" s="40" t="s">
        <v>349</v>
      </c>
      <c r="AQ72" s="40">
        <v>2</v>
      </c>
      <c r="AR72" s="48" t="s">
        <v>346</v>
      </c>
      <c r="AS72" s="43" t="s">
        <v>644</v>
      </c>
      <c r="AT72" s="43" t="s">
        <v>635</v>
      </c>
      <c r="AU72" s="44">
        <f t="shared" si="8"/>
        <v>-1.6312883484900931</v>
      </c>
      <c r="AV72" s="44">
        <f t="shared" si="9"/>
        <v>0.22689609111877593</v>
      </c>
      <c r="AW72" s="45">
        <f t="shared" si="10"/>
        <v>2</v>
      </c>
      <c r="AX72" s="45">
        <f t="shared" si="11"/>
        <v>2</v>
      </c>
      <c r="AY72" s="46">
        <f>VLOOKUP(AP72,COND!$A$10:$B$32,2,FALSE)</f>
        <v>1</v>
      </c>
      <c r="AZ72" s="44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52.626080945043626</v>
      </c>
      <c r="BA72" s="47">
        <f t="shared" si="7"/>
        <v>1.1147214633213023</v>
      </c>
      <c r="BB72" s="45" t="str">
        <f t="shared" si="12"/>
        <v>RP</v>
      </c>
      <c r="BC72" s="45">
        <f>RANK(Table3[[#This Row],[zScore]],Table3[zScore])</f>
        <v>124</v>
      </c>
      <c r="BD72" s="45"/>
      <c r="BE72" s="45"/>
      <c r="BF72" s="45" t="str">
        <f t="shared" si="13"/>
        <v>Possible</v>
      </c>
      <c r="BG72" s="45"/>
      <c r="BH72" s="45">
        <f>INDEX(Table5[[#All],[Ovr]],MATCH(Table3[[#This Row],[PID]],Table5[[#All],[PID]],0))</f>
        <v>131</v>
      </c>
      <c r="BI72" s="45" t="str">
        <f>INDEX(Table5[[#All],[Rnd]],MATCH(Table3[[#This Row],[PID]],Table5[[#All],[PID]],0))</f>
        <v>5</v>
      </c>
      <c r="BJ72" s="45">
        <f>INDEX(Table5[[#All],[Pick]],MATCH(Table3[[#This Row],[PID]],Table5[[#All],[PID]],0))</f>
        <v>3</v>
      </c>
      <c r="BK72" s="45" t="str">
        <f>INDEX(Table5[[#All],[Team]],MATCH(Table3[[#This Row],[PID]],Table5[[#All],[PID]],0))</f>
        <v>New Orleans Trendsetters</v>
      </c>
      <c r="BL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" spans="1:64" ht="15" customHeight="1" x14ac:dyDescent="0.25">
      <c r="A73" s="40">
        <v>13100</v>
      </c>
      <c r="B73" s="40" t="s">
        <v>415</v>
      </c>
      <c r="C73" s="40" t="s">
        <v>650</v>
      </c>
      <c r="D73" s="40" t="s">
        <v>1589</v>
      </c>
      <c r="E73" s="40">
        <v>18</v>
      </c>
      <c r="F73" s="40" t="s">
        <v>42</v>
      </c>
      <c r="G73" s="40" t="s">
        <v>42</v>
      </c>
      <c r="H73" s="41" t="s">
        <v>634</v>
      </c>
      <c r="I73" s="42" t="s">
        <v>43</v>
      </c>
      <c r="J73" s="40" t="s">
        <v>43</v>
      </c>
      <c r="K73" s="41" t="s">
        <v>44</v>
      </c>
      <c r="L73" s="40">
        <v>1</v>
      </c>
      <c r="M73" s="40">
        <v>2</v>
      </c>
      <c r="N73" s="41">
        <v>1</v>
      </c>
      <c r="O73" s="40">
        <v>4</v>
      </c>
      <c r="P73" s="40">
        <v>4</v>
      </c>
      <c r="Q73" s="41">
        <v>5</v>
      </c>
      <c r="R73" s="40">
        <v>2</v>
      </c>
      <c r="S73" s="40">
        <v>5</v>
      </c>
      <c r="T73" s="40">
        <v>1</v>
      </c>
      <c r="U73" s="40">
        <v>2</v>
      </c>
      <c r="V73" s="40" t="s">
        <v>45</v>
      </c>
      <c r="W73" s="40" t="s">
        <v>45</v>
      </c>
      <c r="X73" s="40">
        <v>2</v>
      </c>
      <c r="Y73" s="40">
        <v>6</v>
      </c>
      <c r="Z73" s="40" t="s">
        <v>45</v>
      </c>
      <c r="AA73" s="40" t="s">
        <v>45</v>
      </c>
      <c r="AB73" s="40" t="s">
        <v>45</v>
      </c>
      <c r="AC73" s="40" t="s">
        <v>45</v>
      </c>
      <c r="AD73" s="40" t="s">
        <v>45</v>
      </c>
      <c r="AE73" s="40" t="s">
        <v>45</v>
      </c>
      <c r="AF73" s="40" t="s">
        <v>45</v>
      </c>
      <c r="AG73" s="40" t="s">
        <v>45</v>
      </c>
      <c r="AH73" s="40" t="s">
        <v>45</v>
      </c>
      <c r="AI73" s="40" t="s">
        <v>45</v>
      </c>
      <c r="AJ73" s="40" t="s">
        <v>45</v>
      </c>
      <c r="AK73" s="40" t="s">
        <v>45</v>
      </c>
      <c r="AL73" s="40" t="s">
        <v>45</v>
      </c>
      <c r="AM73" s="40" t="s">
        <v>45</v>
      </c>
      <c r="AN73" s="40" t="s">
        <v>45</v>
      </c>
      <c r="AO73" s="41" t="s">
        <v>45</v>
      </c>
      <c r="AP73" s="40" t="s">
        <v>68</v>
      </c>
      <c r="AQ73" s="40">
        <v>7</v>
      </c>
      <c r="AR73" s="48" t="s">
        <v>347</v>
      </c>
      <c r="AS73" s="43" t="s">
        <v>644</v>
      </c>
      <c r="AT73" s="43" t="s">
        <v>635</v>
      </c>
      <c r="AU73" s="44">
        <f t="shared" si="8"/>
        <v>-2.5060525215375429</v>
      </c>
      <c r="AV73" s="44">
        <f t="shared" si="9"/>
        <v>-0.11633810019639811</v>
      </c>
      <c r="AW73" s="45">
        <f t="shared" si="10"/>
        <v>3</v>
      </c>
      <c r="AX73" s="45">
        <f t="shared" si="11"/>
        <v>1</v>
      </c>
      <c r="AY73" s="46">
        <f>VLOOKUP(AP73,COND!$A$10:$B$32,2,FALSE)</f>
        <v>0.95</v>
      </c>
      <c r="AZ73" s="44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51.625926117176306</v>
      </c>
      <c r="BA73" s="47">
        <f t="shared" si="7"/>
        <v>1.0481826909687255</v>
      </c>
      <c r="BB73" s="45" t="str">
        <f t="shared" si="12"/>
        <v>SP</v>
      </c>
      <c r="BC73" s="45">
        <f>RANK(Table3[[#This Row],[zScore]],Table3[zScore])</f>
        <v>131</v>
      </c>
      <c r="BD73" s="45"/>
      <c r="BE73" s="45"/>
      <c r="BF73" s="45" t="str">
        <f t="shared" si="13"/>
        <v>Possible</v>
      </c>
      <c r="BG73" s="45"/>
      <c r="BH73" s="45">
        <f>INDEX(Table5[[#All],[Ovr]],MATCH(Table3[[#This Row],[PID]],Table5[[#All],[PID]],0))</f>
        <v>384</v>
      </c>
      <c r="BI73" s="45" t="str">
        <f>INDEX(Table5[[#All],[Rnd]],MATCH(Table3[[#This Row],[PID]],Table5[[#All],[PID]],0))</f>
        <v>13</v>
      </c>
      <c r="BJ73" s="45">
        <f>INDEX(Table5[[#All],[Pick]],MATCH(Table3[[#This Row],[PID]],Table5[[#All],[PID]],0))</f>
        <v>16</v>
      </c>
      <c r="BK73" s="45" t="str">
        <f>INDEX(Table5[[#All],[Team]],MATCH(Table3[[#This Row],[PID]],Table5[[#All],[PID]],0))</f>
        <v>San Antonio Calzones of Laredo</v>
      </c>
      <c r="BL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4" spans="1:64" ht="15" customHeight="1" x14ac:dyDescent="0.25">
      <c r="A74" s="40">
        <v>18339</v>
      </c>
      <c r="B74" s="40" t="s">
        <v>415</v>
      </c>
      <c r="C74" s="40" t="s">
        <v>1576</v>
      </c>
      <c r="D74" s="40" t="s">
        <v>1112</v>
      </c>
      <c r="E74" s="40">
        <v>18</v>
      </c>
      <c r="F74" s="40" t="s">
        <v>62</v>
      </c>
      <c r="G74" s="40" t="s">
        <v>42</v>
      </c>
      <c r="H74" s="41" t="s">
        <v>638</v>
      </c>
      <c r="I74" s="42" t="s">
        <v>43</v>
      </c>
      <c r="J74" s="40" t="s">
        <v>43</v>
      </c>
      <c r="K74" s="41" t="s">
        <v>43</v>
      </c>
      <c r="L74" s="40">
        <v>2</v>
      </c>
      <c r="M74" s="40">
        <v>2</v>
      </c>
      <c r="N74" s="41">
        <v>1</v>
      </c>
      <c r="O74" s="40">
        <v>5</v>
      </c>
      <c r="P74" s="40">
        <v>5</v>
      </c>
      <c r="Q74" s="41">
        <v>3</v>
      </c>
      <c r="R74" s="40">
        <v>3</v>
      </c>
      <c r="S74" s="40">
        <v>6</v>
      </c>
      <c r="T74" s="40">
        <v>1</v>
      </c>
      <c r="U74" s="40">
        <v>1</v>
      </c>
      <c r="V74" s="40">
        <v>2</v>
      </c>
      <c r="W74" s="40">
        <v>7</v>
      </c>
      <c r="X74" s="40" t="s">
        <v>45</v>
      </c>
      <c r="Y74" s="40" t="s">
        <v>45</v>
      </c>
      <c r="Z74" s="40" t="s">
        <v>45</v>
      </c>
      <c r="AA74" s="40" t="s">
        <v>45</v>
      </c>
      <c r="AB74" s="40" t="s">
        <v>45</v>
      </c>
      <c r="AC74" s="40" t="s">
        <v>45</v>
      </c>
      <c r="AD74" s="40" t="s">
        <v>45</v>
      </c>
      <c r="AE74" s="40" t="s">
        <v>45</v>
      </c>
      <c r="AF74" s="40" t="s">
        <v>45</v>
      </c>
      <c r="AG74" s="40" t="s">
        <v>45</v>
      </c>
      <c r="AH74" s="40" t="s">
        <v>45</v>
      </c>
      <c r="AI74" s="40" t="s">
        <v>45</v>
      </c>
      <c r="AJ74" s="40" t="s">
        <v>45</v>
      </c>
      <c r="AK74" s="40" t="s">
        <v>45</v>
      </c>
      <c r="AL74" s="40" t="s">
        <v>45</v>
      </c>
      <c r="AM74" s="40" t="s">
        <v>45</v>
      </c>
      <c r="AN74" s="40" t="s">
        <v>45</v>
      </c>
      <c r="AO74" s="41" t="s">
        <v>45</v>
      </c>
      <c r="AP74" s="40" t="s">
        <v>68</v>
      </c>
      <c r="AQ74" s="40">
        <v>6</v>
      </c>
      <c r="AR74" s="48" t="s">
        <v>347</v>
      </c>
      <c r="AS74" s="43" t="s">
        <v>654</v>
      </c>
      <c r="AT74" s="43" t="s">
        <v>47</v>
      </c>
      <c r="AU74" s="44">
        <f t="shared" si="8"/>
        <v>-2.311361197028369</v>
      </c>
      <c r="AV74" s="44">
        <f t="shared" si="9"/>
        <v>-0.21085619136538991</v>
      </c>
      <c r="AW74" s="45">
        <f t="shared" si="10"/>
        <v>3</v>
      </c>
      <c r="AX74" s="45">
        <f t="shared" si="11"/>
        <v>2</v>
      </c>
      <c r="AY74" s="46">
        <f>VLOOKUP(AP74,COND!$A$10:$B$32,2,FALSE)</f>
        <v>0.95</v>
      </c>
      <c r="AZ74" s="44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51.370709393206646</v>
      </c>
      <c r="BA74" s="47">
        <f t="shared" si="7"/>
        <v>1.0312035123219565</v>
      </c>
      <c r="BB74" s="45" t="str">
        <f t="shared" si="12"/>
        <v>SP</v>
      </c>
      <c r="BC74" s="45">
        <f>RANK(Table3[[#This Row],[zScore]],Table3[zScore])</f>
        <v>135</v>
      </c>
      <c r="BD74" s="45"/>
      <c r="BE74" s="45"/>
      <c r="BF74" s="45" t="str">
        <f t="shared" si="13"/>
        <v>Possible</v>
      </c>
      <c r="BG74" s="45"/>
      <c r="BH74" s="45">
        <f>INDEX(Table5[[#All],[Ovr]],MATCH(Table3[[#This Row],[PID]],Table5[[#All],[PID]],0))</f>
        <v>483</v>
      </c>
      <c r="BI74" s="45" t="str">
        <f>INDEX(Table5[[#All],[Rnd]],MATCH(Table3[[#This Row],[PID]],Table5[[#All],[PID]],0))</f>
        <v>16</v>
      </c>
      <c r="BJ74" s="45">
        <f>INDEX(Table5[[#All],[Pick]],MATCH(Table3[[#This Row],[PID]],Table5[[#All],[PID]],0))</f>
        <v>25</v>
      </c>
      <c r="BK74" s="45" t="str">
        <f>INDEX(Table5[[#All],[Team]],MATCH(Table3[[#This Row],[PID]],Table5[[#All],[PID]],0))</f>
        <v>Toyama Wind Dancers</v>
      </c>
      <c r="BL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" spans="1:64" ht="15" customHeight="1" x14ac:dyDescent="0.25">
      <c r="A75" s="40">
        <v>18154</v>
      </c>
      <c r="B75" s="40" t="s">
        <v>415</v>
      </c>
      <c r="C75" s="40" t="s">
        <v>148</v>
      </c>
      <c r="D75" s="40" t="s">
        <v>1845</v>
      </c>
      <c r="E75" s="40">
        <v>21</v>
      </c>
      <c r="F75" s="40" t="s">
        <v>62</v>
      </c>
      <c r="G75" s="40" t="s">
        <v>42</v>
      </c>
      <c r="H75" s="41" t="s">
        <v>638</v>
      </c>
      <c r="I75" s="42" t="s">
        <v>43</v>
      </c>
      <c r="J75" s="40" t="s">
        <v>47</v>
      </c>
      <c r="K75" s="41" t="s">
        <v>43</v>
      </c>
      <c r="L75" s="40">
        <v>4</v>
      </c>
      <c r="M75" s="40">
        <v>3</v>
      </c>
      <c r="N75" s="41">
        <v>1</v>
      </c>
      <c r="O75" s="40">
        <v>6</v>
      </c>
      <c r="P75" s="40">
        <v>5</v>
      </c>
      <c r="Q75" s="41">
        <v>3</v>
      </c>
      <c r="R75" s="40">
        <v>6</v>
      </c>
      <c r="S75" s="40">
        <v>8</v>
      </c>
      <c r="T75" s="40">
        <v>1</v>
      </c>
      <c r="U75" s="40">
        <v>2</v>
      </c>
      <c r="V75" s="40" t="s">
        <v>45</v>
      </c>
      <c r="W75" s="40" t="s">
        <v>45</v>
      </c>
      <c r="X75" s="40">
        <v>3</v>
      </c>
      <c r="Y75" s="40">
        <v>6</v>
      </c>
      <c r="Z75" s="40" t="s">
        <v>45</v>
      </c>
      <c r="AA75" s="40" t="s">
        <v>45</v>
      </c>
      <c r="AB75" s="40" t="s">
        <v>45</v>
      </c>
      <c r="AC75" s="40" t="s">
        <v>45</v>
      </c>
      <c r="AD75" s="40" t="s">
        <v>45</v>
      </c>
      <c r="AE75" s="40" t="s">
        <v>45</v>
      </c>
      <c r="AF75" s="40" t="s">
        <v>45</v>
      </c>
      <c r="AG75" s="40" t="s">
        <v>45</v>
      </c>
      <c r="AH75" s="40" t="s">
        <v>45</v>
      </c>
      <c r="AI75" s="40" t="s">
        <v>45</v>
      </c>
      <c r="AJ75" s="40" t="s">
        <v>45</v>
      </c>
      <c r="AK75" s="40" t="s">
        <v>45</v>
      </c>
      <c r="AL75" s="40" t="s">
        <v>45</v>
      </c>
      <c r="AM75" s="40" t="s">
        <v>45</v>
      </c>
      <c r="AN75" s="40" t="s">
        <v>45</v>
      </c>
      <c r="AO75" s="41" t="s">
        <v>45</v>
      </c>
      <c r="AP75" s="40" t="s">
        <v>48</v>
      </c>
      <c r="AQ75" s="40">
        <v>9</v>
      </c>
      <c r="AR75" s="48" t="s">
        <v>347</v>
      </c>
      <c r="AS75" s="43" t="s">
        <v>45</v>
      </c>
      <c r="AT75" s="43" t="s">
        <v>47</v>
      </c>
      <c r="AU75" s="44">
        <f t="shared" si="8"/>
        <v>-1.7265468315799666</v>
      </c>
      <c r="AV75" s="44">
        <f t="shared" si="9"/>
        <v>-1.6164866856216389E-2</v>
      </c>
      <c r="AW75" s="45">
        <f t="shared" si="10"/>
        <v>3</v>
      </c>
      <c r="AX75" s="45">
        <f t="shared" si="11"/>
        <v>2</v>
      </c>
      <c r="AY75" s="46">
        <f>VLOOKUP(AP75,COND!$A$10:$B$32,2,FALSE)</f>
        <v>1.05</v>
      </c>
      <c r="AZ75" s="44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50.797962961387668</v>
      </c>
      <c r="BA75" s="47">
        <f t="shared" si="7"/>
        <v>0.99309956743192673</v>
      </c>
      <c r="BB75" s="45" t="str">
        <f t="shared" si="12"/>
        <v>SP</v>
      </c>
      <c r="BC75" s="45">
        <f>RANK(Table3[[#This Row],[zScore]],Table3[zScore])</f>
        <v>139</v>
      </c>
      <c r="BD75" s="45"/>
      <c r="BE75" s="45"/>
      <c r="BF75" s="45" t="str">
        <f t="shared" si="13"/>
        <v>Possible</v>
      </c>
      <c r="BG75" s="45"/>
      <c r="BH75" s="45">
        <f>INDEX(Table5[[#All],[Ovr]],MATCH(Table3[[#This Row],[PID]],Table5[[#All],[PID]],0))</f>
        <v>401</v>
      </c>
      <c r="BI75" s="45" t="str">
        <f>INDEX(Table5[[#All],[Rnd]],MATCH(Table3[[#This Row],[PID]],Table5[[#All],[PID]],0))</f>
        <v>14</v>
      </c>
      <c r="BJ75" s="45">
        <f>INDEX(Table5[[#All],[Pick]],MATCH(Table3[[#This Row],[PID]],Table5[[#All],[PID]],0))</f>
        <v>3</v>
      </c>
      <c r="BK75" s="45" t="str">
        <f>INDEX(Table5[[#All],[Team]],MATCH(Table3[[#This Row],[PID]],Table5[[#All],[PID]],0))</f>
        <v>New Orleans Trendsetters</v>
      </c>
      <c r="BL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" spans="1:64" ht="15" customHeight="1" x14ac:dyDescent="0.25">
      <c r="A76" s="40">
        <v>18246</v>
      </c>
      <c r="B76" s="40" t="s">
        <v>415</v>
      </c>
      <c r="C76" s="40" t="s">
        <v>650</v>
      </c>
      <c r="D76" s="40" t="s">
        <v>856</v>
      </c>
      <c r="E76" s="40">
        <v>18</v>
      </c>
      <c r="F76" s="40" t="s">
        <v>42</v>
      </c>
      <c r="G76" s="40" t="s">
        <v>42</v>
      </c>
      <c r="H76" s="41" t="s">
        <v>638</v>
      </c>
      <c r="I76" s="42" t="s">
        <v>44</v>
      </c>
      <c r="J76" s="40" t="s">
        <v>43</v>
      </c>
      <c r="K76" s="41" t="s">
        <v>43</v>
      </c>
      <c r="L76" s="40">
        <v>2</v>
      </c>
      <c r="M76" s="40">
        <v>2</v>
      </c>
      <c r="N76" s="41">
        <v>1</v>
      </c>
      <c r="O76" s="40">
        <v>6</v>
      </c>
      <c r="P76" s="40">
        <v>3</v>
      </c>
      <c r="Q76" s="41">
        <v>4</v>
      </c>
      <c r="R76" s="40">
        <v>4</v>
      </c>
      <c r="S76" s="40">
        <v>7</v>
      </c>
      <c r="T76" s="40">
        <v>1</v>
      </c>
      <c r="U76" s="40">
        <v>1</v>
      </c>
      <c r="V76" s="40" t="s">
        <v>45</v>
      </c>
      <c r="W76" s="40" t="s">
        <v>45</v>
      </c>
      <c r="X76" s="40" t="s">
        <v>45</v>
      </c>
      <c r="Y76" s="40" t="s">
        <v>45</v>
      </c>
      <c r="Z76" s="40" t="s">
        <v>45</v>
      </c>
      <c r="AA76" s="40" t="s">
        <v>45</v>
      </c>
      <c r="AB76" s="40">
        <v>3</v>
      </c>
      <c r="AC76" s="40">
        <v>6</v>
      </c>
      <c r="AD76" s="40" t="s">
        <v>45</v>
      </c>
      <c r="AE76" s="40" t="s">
        <v>45</v>
      </c>
      <c r="AF76" s="40" t="s">
        <v>45</v>
      </c>
      <c r="AG76" s="40" t="s">
        <v>45</v>
      </c>
      <c r="AH76" s="40" t="s">
        <v>45</v>
      </c>
      <c r="AI76" s="40" t="s">
        <v>45</v>
      </c>
      <c r="AJ76" s="40" t="s">
        <v>45</v>
      </c>
      <c r="AK76" s="40" t="s">
        <v>45</v>
      </c>
      <c r="AL76" s="40" t="s">
        <v>45</v>
      </c>
      <c r="AM76" s="40" t="s">
        <v>45</v>
      </c>
      <c r="AN76" s="40" t="s">
        <v>45</v>
      </c>
      <c r="AO76" s="41" t="s">
        <v>45</v>
      </c>
      <c r="AP76" s="40" t="s">
        <v>56</v>
      </c>
      <c r="AQ76" s="40">
        <v>6</v>
      </c>
      <c r="AR76" s="48" t="s">
        <v>347</v>
      </c>
      <c r="AS76" s="43" t="s">
        <v>644</v>
      </c>
      <c r="AT76" s="43" t="s">
        <v>47</v>
      </c>
      <c r="AU76" s="44">
        <f t="shared" si="8"/>
        <v>-2.311361197028369</v>
      </c>
      <c r="AV76" s="44">
        <f t="shared" si="9"/>
        <v>-0.16470773366221675</v>
      </c>
      <c r="AW76" s="45">
        <f t="shared" si="10"/>
        <v>3</v>
      </c>
      <c r="AX76" s="45">
        <f t="shared" si="11"/>
        <v>2</v>
      </c>
      <c r="AY76" s="46">
        <f>VLOOKUP(AP76,COND!$A$10:$B$32,2,FALSE)</f>
        <v>1</v>
      </c>
      <c r="AZ76" s="44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52.087483760166243</v>
      </c>
      <c r="BA76" s="47">
        <f>STANDARDIZE(AZ76,AVERAGE($AZ$5:$AZ$663),STDEVP($AZ$5:$AZ$663))</f>
        <v>0.97842975941666288</v>
      </c>
      <c r="BB76" s="45" t="str">
        <f t="shared" si="12"/>
        <v>SP</v>
      </c>
      <c r="BC76" s="45">
        <f>RANK(Table3[[#This Row],[zScore]],Table3[zScore])</f>
        <v>142</v>
      </c>
      <c r="BD76" s="45"/>
      <c r="BE76" s="45"/>
      <c r="BF76" s="45" t="str">
        <f t="shared" si="13"/>
        <v>Possible</v>
      </c>
      <c r="BG76" s="45"/>
      <c r="BH76" s="45">
        <f>INDEX(Table5[[#All],[Ovr]],MATCH(Table3[[#This Row],[PID]],Table5[[#All],[PID]],0))</f>
        <v>350</v>
      </c>
      <c r="BI76" s="45" t="str">
        <f>INDEX(Table5[[#All],[Rnd]],MATCH(Table3[[#This Row],[PID]],Table5[[#All],[PID]],0))</f>
        <v>12</v>
      </c>
      <c r="BJ76" s="45">
        <f>INDEX(Table5[[#All],[Pick]],MATCH(Table3[[#This Row],[PID]],Table5[[#All],[PID]],0))</f>
        <v>12</v>
      </c>
      <c r="BK76" s="45" t="str">
        <f>INDEX(Table5[[#All],[Team]],MATCH(Table3[[#This Row],[PID]],Table5[[#All],[PID]],0))</f>
        <v>Palm Springs Codgers</v>
      </c>
      <c r="BL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" spans="1:64" ht="15" customHeight="1" x14ac:dyDescent="0.25">
      <c r="A77" s="40">
        <v>18345</v>
      </c>
      <c r="B77" s="40" t="s">
        <v>415</v>
      </c>
      <c r="C77" s="40" t="s">
        <v>1080</v>
      </c>
      <c r="D77" s="40" t="s">
        <v>1795</v>
      </c>
      <c r="E77" s="40">
        <v>18</v>
      </c>
      <c r="F77" s="40" t="s">
        <v>53</v>
      </c>
      <c r="G77" s="40" t="s">
        <v>42</v>
      </c>
      <c r="H77" s="41" t="s">
        <v>638</v>
      </c>
      <c r="I77" s="42" t="s">
        <v>47</v>
      </c>
      <c r="J77" s="40" t="s">
        <v>43</v>
      </c>
      <c r="K77" s="41" t="s">
        <v>43</v>
      </c>
      <c r="L77" s="40">
        <v>2</v>
      </c>
      <c r="M77" s="40">
        <v>2</v>
      </c>
      <c r="N77" s="41">
        <v>1</v>
      </c>
      <c r="O77" s="40">
        <v>6</v>
      </c>
      <c r="P77" s="40">
        <v>3</v>
      </c>
      <c r="Q77" s="41">
        <v>4</v>
      </c>
      <c r="R77" s="40">
        <v>4</v>
      </c>
      <c r="S77" s="40">
        <v>7</v>
      </c>
      <c r="T77" s="40" t="s">
        <v>45</v>
      </c>
      <c r="U77" s="40" t="s">
        <v>45</v>
      </c>
      <c r="V77" s="40">
        <v>2</v>
      </c>
      <c r="W77" s="40">
        <v>7</v>
      </c>
      <c r="X77" s="40" t="s">
        <v>45</v>
      </c>
      <c r="Y77" s="40" t="s">
        <v>45</v>
      </c>
      <c r="Z77" s="40" t="s">
        <v>45</v>
      </c>
      <c r="AA77" s="40" t="s">
        <v>45</v>
      </c>
      <c r="AB77" s="40" t="s">
        <v>45</v>
      </c>
      <c r="AC77" s="40" t="s">
        <v>45</v>
      </c>
      <c r="AD77" s="40" t="s">
        <v>45</v>
      </c>
      <c r="AE77" s="40" t="s">
        <v>45</v>
      </c>
      <c r="AF77" s="40" t="s">
        <v>45</v>
      </c>
      <c r="AG77" s="40" t="s">
        <v>45</v>
      </c>
      <c r="AH77" s="40">
        <v>2</v>
      </c>
      <c r="AI77" s="40">
        <v>8</v>
      </c>
      <c r="AJ77" s="40" t="s">
        <v>45</v>
      </c>
      <c r="AK77" s="40" t="s">
        <v>45</v>
      </c>
      <c r="AL77" s="40" t="s">
        <v>45</v>
      </c>
      <c r="AM77" s="40" t="s">
        <v>45</v>
      </c>
      <c r="AN77" s="40" t="s">
        <v>45</v>
      </c>
      <c r="AO77" s="41" t="s">
        <v>45</v>
      </c>
      <c r="AP77" s="40" t="s">
        <v>57</v>
      </c>
      <c r="AQ77" s="40">
        <v>3</v>
      </c>
      <c r="AR77" s="48" t="s">
        <v>347</v>
      </c>
      <c r="AS77" s="43" t="s">
        <v>644</v>
      </c>
      <c r="AT77" s="43" t="s">
        <v>635</v>
      </c>
      <c r="AU77" s="44">
        <f t="shared" si="8"/>
        <v>-2.311361197028369</v>
      </c>
      <c r="AV77" s="44">
        <f t="shared" si="9"/>
        <v>-0.16470773366221675</v>
      </c>
      <c r="AW77" s="45">
        <f t="shared" si="10"/>
        <v>3</v>
      </c>
      <c r="AX77" s="45">
        <f t="shared" si="11"/>
        <v>3</v>
      </c>
      <c r="AY77" s="46">
        <f>VLOOKUP(AP77,COND!$A$10:$B$32,2,FALSE)</f>
        <v>1</v>
      </c>
      <c r="AZ77" s="44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51.643894432982492</v>
      </c>
      <c r="BA77" s="47">
        <f>STANDARDIZE(AZ77,AVERAGE($AZ$5:$AZ$663),STDEVP($AZ$5:$AZ$663))</f>
        <v>0.94804402102121532</v>
      </c>
      <c r="BB77" s="45" t="str">
        <f t="shared" si="12"/>
        <v>RP</v>
      </c>
      <c r="BC77" s="45">
        <f>RANK(Table3[[#This Row],[zScore]],Table3[zScore])</f>
        <v>146</v>
      </c>
      <c r="BD77" s="45"/>
      <c r="BE77" s="45"/>
      <c r="BF77" s="45" t="str">
        <f t="shared" si="13"/>
        <v>Possible</v>
      </c>
      <c r="BG77" s="45"/>
      <c r="BH77" s="45">
        <f>INDEX(Table5[[#All],[Ovr]],MATCH(Table3[[#This Row],[PID]],Table5[[#All],[PID]],0))</f>
        <v>292</v>
      </c>
      <c r="BI77" s="45" t="str">
        <f>INDEX(Table5[[#All],[Rnd]],MATCH(Table3[[#This Row],[PID]],Table5[[#All],[PID]],0))</f>
        <v>10</v>
      </c>
      <c r="BJ77" s="45">
        <f>INDEX(Table5[[#All],[Pick]],MATCH(Table3[[#This Row],[PID]],Table5[[#All],[PID]],0))</f>
        <v>14</v>
      </c>
      <c r="BK77" s="45" t="str">
        <f>INDEX(Table5[[#All],[Team]],MATCH(Table3[[#This Row],[PID]],Table5[[#All],[PID]],0))</f>
        <v>Arlington Bureaucrats</v>
      </c>
      <c r="BL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8" spans="1:64" ht="15" customHeight="1" x14ac:dyDescent="0.25">
      <c r="A78" s="40">
        <v>18190</v>
      </c>
      <c r="B78" s="40" t="s">
        <v>415</v>
      </c>
      <c r="C78" s="40" t="s">
        <v>159</v>
      </c>
      <c r="D78" s="40" t="s">
        <v>760</v>
      </c>
      <c r="E78" s="40">
        <v>18</v>
      </c>
      <c r="F78" s="40" t="s">
        <v>42</v>
      </c>
      <c r="G78" s="40" t="s">
        <v>42</v>
      </c>
      <c r="H78" s="41" t="s">
        <v>647</v>
      </c>
      <c r="I78" s="42" t="s">
        <v>43</v>
      </c>
      <c r="J78" s="40" t="s">
        <v>43</v>
      </c>
      <c r="K78" s="41" t="s">
        <v>43</v>
      </c>
      <c r="L78" s="40">
        <v>1</v>
      </c>
      <c r="M78" s="40">
        <v>2</v>
      </c>
      <c r="N78" s="41">
        <v>2</v>
      </c>
      <c r="O78" s="40">
        <v>3</v>
      </c>
      <c r="P78" s="40">
        <v>2</v>
      </c>
      <c r="Q78" s="41">
        <v>7</v>
      </c>
      <c r="R78" s="40" t="s">
        <v>45</v>
      </c>
      <c r="S78" s="40" t="s">
        <v>45</v>
      </c>
      <c r="T78" s="40">
        <v>1</v>
      </c>
      <c r="U78" s="40">
        <v>1</v>
      </c>
      <c r="V78" s="40">
        <v>2</v>
      </c>
      <c r="W78" s="40">
        <v>4</v>
      </c>
      <c r="X78" s="40" t="s">
        <v>45</v>
      </c>
      <c r="Y78" s="40" t="s">
        <v>45</v>
      </c>
      <c r="Z78" s="40" t="s">
        <v>45</v>
      </c>
      <c r="AA78" s="40" t="s">
        <v>45</v>
      </c>
      <c r="AB78" s="40" t="s">
        <v>45</v>
      </c>
      <c r="AC78" s="40" t="s">
        <v>45</v>
      </c>
      <c r="AD78" s="40">
        <v>2</v>
      </c>
      <c r="AE78" s="40">
        <v>3</v>
      </c>
      <c r="AF78" s="40" t="s">
        <v>45</v>
      </c>
      <c r="AG78" s="40" t="s">
        <v>45</v>
      </c>
      <c r="AH78" s="40" t="s">
        <v>45</v>
      </c>
      <c r="AI78" s="40" t="s">
        <v>45</v>
      </c>
      <c r="AJ78" s="40" t="s">
        <v>45</v>
      </c>
      <c r="AK78" s="40" t="s">
        <v>45</v>
      </c>
      <c r="AL78" s="40" t="s">
        <v>45</v>
      </c>
      <c r="AM78" s="40" t="s">
        <v>45</v>
      </c>
      <c r="AN78" s="40" t="s">
        <v>45</v>
      </c>
      <c r="AO78" s="41" t="s">
        <v>45</v>
      </c>
      <c r="AP78" s="40" t="s">
        <v>67</v>
      </c>
      <c r="AQ78" s="40">
        <v>6</v>
      </c>
      <c r="AR78" s="48" t="s">
        <v>347</v>
      </c>
      <c r="AS78" s="43" t="s">
        <v>656</v>
      </c>
      <c r="AT78" s="43" t="s">
        <v>635</v>
      </c>
      <c r="AU78" s="44">
        <f t="shared" si="8"/>
        <v>-2.2637319554834323</v>
      </c>
      <c r="AV78" s="44">
        <f t="shared" si="9"/>
        <v>-0.21725172545746166</v>
      </c>
      <c r="AW78" s="45">
        <f t="shared" si="10"/>
        <v>3</v>
      </c>
      <c r="AX78" s="45">
        <f t="shared" si="11"/>
        <v>0</v>
      </c>
      <c r="AY78" s="46">
        <f>VLOOKUP(AP78,COND!$A$10:$B$32,2,FALSE)</f>
        <v>0.9</v>
      </c>
      <c r="AZ78" s="44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49.106197260034207</v>
      </c>
      <c r="BA78" s="47">
        <f t="shared" ref="BA78:BA87" si="14">STANDARDIZE(AZ78,AVERAGE($AZ$5:$AZ$557),STDEVP($AZ$5:$AZ$557))</f>
        <v>0.88054898052300812</v>
      </c>
      <c r="BB78" s="45" t="str">
        <f t="shared" si="12"/>
        <v>SP</v>
      </c>
      <c r="BC78" s="45">
        <f>RANK(Table3[[#This Row],[zScore]],Table3[zScore])</f>
        <v>157</v>
      </c>
      <c r="BD78" s="45"/>
      <c r="BE78" s="45"/>
      <c r="BF78" s="45" t="str">
        <f t="shared" si="13"/>
        <v>Possible</v>
      </c>
      <c r="BG78" s="45"/>
      <c r="BH78" s="45" t="str">
        <f>INDEX(Table5[[#All],[Ovr]],MATCH(Table3[[#This Row],[PID]],Table5[[#All],[PID]],0))</f>
        <v/>
      </c>
      <c r="BI78" s="45" t="str">
        <f>INDEX(Table5[[#All],[Rnd]],MATCH(Table3[[#This Row],[PID]],Table5[[#All],[PID]],0))</f>
        <v/>
      </c>
      <c r="BJ78" s="45" t="str">
        <f>INDEX(Table5[[#All],[Pick]],MATCH(Table3[[#This Row],[PID]],Table5[[#All],[PID]],0))</f>
        <v/>
      </c>
      <c r="BK78" s="45" t="str">
        <f>INDEX(Table5[[#All],[Team]],MATCH(Table3[[#This Row],[PID]],Table5[[#All],[PID]],0))</f>
        <v/>
      </c>
      <c r="BL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9" spans="1:64" ht="15" customHeight="1" x14ac:dyDescent="0.25">
      <c r="A79" s="40">
        <v>20217</v>
      </c>
      <c r="B79" s="40" t="s">
        <v>415</v>
      </c>
      <c r="C79" s="40" t="s">
        <v>136</v>
      </c>
      <c r="D79" s="40" t="s">
        <v>1792</v>
      </c>
      <c r="E79" s="40">
        <v>22</v>
      </c>
      <c r="F79" s="40" t="s">
        <v>53</v>
      </c>
      <c r="G79" s="40" t="s">
        <v>53</v>
      </c>
      <c r="H79" s="41" t="s">
        <v>633</v>
      </c>
      <c r="I79" s="42" t="s">
        <v>43</v>
      </c>
      <c r="J79" s="40" t="s">
        <v>43</v>
      </c>
      <c r="K79" s="41" t="s">
        <v>47</v>
      </c>
      <c r="L79" s="40">
        <v>4</v>
      </c>
      <c r="M79" s="40">
        <v>2</v>
      </c>
      <c r="N79" s="41">
        <v>4</v>
      </c>
      <c r="O79" s="40">
        <v>6</v>
      </c>
      <c r="P79" s="40">
        <v>4</v>
      </c>
      <c r="Q79" s="41">
        <v>5</v>
      </c>
      <c r="R79" s="40">
        <v>6</v>
      </c>
      <c r="S79" s="40">
        <v>7</v>
      </c>
      <c r="T79" s="40" t="s">
        <v>45</v>
      </c>
      <c r="U79" s="40" t="s">
        <v>45</v>
      </c>
      <c r="V79" s="40" t="s">
        <v>45</v>
      </c>
      <c r="W79" s="40" t="s">
        <v>45</v>
      </c>
      <c r="X79" s="40">
        <v>4</v>
      </c>
      <c r="Y79" s="40">
        <v>7</v>
      </c>
      <c r="Z79" s="40" t="s">
        <v>45</v>
      </c>
      <c r="AA79" s="40" t="s">
        <v>45</v>
      </c>
      <c r="AB79" s="40" t="s">
        <v>45</v>
      </c>
      <c r="AC79" s="40" t="s">
        <v>45</v>
      </c>
      <c r="AD79" s="40" t="s">
        <v>45</v>
      </c>
      <c r="AE79" s="40" t="s">
        <v>45</v>
      </c>
      <c r="AF79" s="40" t="s">
        <v>45</v>
      </c>
      <c r="AG79" s="40" t="s">
        <v>45</v>
      </c>
      <c r="AH79" s="40" t="s">
        <v>45</v>
      </c>
      <c r="AI79" s="40" t="s">
        <v>45</v>
      </c>
      <c r="AJ79" s="40" t="s">
        <v>45</v>
      </c>
      <c r="AK79" s="40" t="s">
        <v>45</v>
      </c>
      <c r="AL79" s="40" t="s">
        <v>45</v>
      </c>
      <c r="AM79" s="40" t="s">
        <v>45</v>
      </c>
      <c r="AN79" s="40" t="s">
        <v>45</v>
      </c>
      <c r="AO79" s="41" t="s">
        <v>45</v>
      </c>
      <c r="AP79" s="40" t="s">
        <v>57</v>
      </c>
      <c r="AQ79" s="40">
        <v>7</v>
      </c>
      <c r="AR79" s="48" t="s">
        <v>347</v>
      </c>
      <c r="AS79" s="43" t="s">
        <v>45</v>
      </c>
      <c r="AT79" s="43" t="s">
        <v>47</v>
      </c>
      <c r="AU79" s="44">
        <f t="shared" si="8"/>
        <v>-1.1950168498476907</v>
      </c>
      <c r="AV79" s="44">
        <f t="shared" si="9"/>
        <v>0.27304454882194901</v>
      </c>
      <c r="AW79" s="45">
        <f t="shared" si="10"/>
        <v>2</v>
      </c>
      <c r="AX79" s="45">
        <f t="shared" si="11"/>
        <v>2</v>
      </c>
      <c r="AY79" s="46">
        <f>VLOOKUP(AP79,COND!$A$10:$B$32,2,FALSE)</f>
        <v>1</v>
      </c>
      <c r="AZ79" s="44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49.021887606469448</v>
      </c>
      <c r="BA79" s="47">
        <f t="shared" si="14"/>
        <v>0.87493998810567175</v>
      </c>
      <c r="BB79" s="45" t="str">
        <f t="shared" si="12"/>
        <v>RP</v>
      </c>
      <c r="BC79" s="45">
        <f>RANK(Table3[[#This Row],[zScore]],Table3[zScore])</f>
        <v>158</v>
      </c>
      <c r="BD79" s="45"/>
      <c r="BE79" s="45"/>
      <c r="BF79" s="45" t="str">
        <f t="shared" si="13"/>
        <v>Possible</v>
      </c>
      <c r="BG79" s="45"/>
      <c r="BH79" s="45">
        <f>INDEX(Table5[[#All],[Ovr]],MATCH(Table3[[#This Row],[PID]],Table5[[#All],[PID]],0))</f>
        <v>211</v>
      </c>
      <c r="BI79" s="45" t="str">
        <f>INDEX(Table5[[#All],[Rnd]],MATCH(Table3[[#This Row],[PID]],Table5[[#All],[PID]],0))</f>
        <v>7</v>
      </c>
      <c r="BJ79" s="45">
        <f>INDEX(Table5[[#All],[Pick]],MATCH(Table3[[#This Row],[PID]],Table5[[#All],[PID]],0))</f>
        <v>23</v>
      </c>
      <c r="BK79" s="45" t="str">
        <f>INDEX(Table5[[#All],[Team]],MATCH(Table3[[#This Row],[PID]],Table5[[#All],[PID]],0))</f>
        <v>Yuma Arroyos</v>
      </c>
      <c r="BL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80" spans="1:64" ht="15" customHeight="1" x14ac:dyDescent="0.25">
      <c r="A80" s="40">
        <v>18234</v>
      </c>
      <c r="B80" s="40" t="s">
        <v>415</v>
      </c>
      <c r="C80" s="40" t="s">
        <v>569</v>
      </c>
      <c r="D80" s="40" t="s">
        <v>1009</v>
      </c>
      <c r="E80" s="40">
        <v>18</v>
      </c>
      <c r="F80" s="40" t="s">
        <v>53</v>
      </c>
      <c r="G80" s="40" t="s">
        <v>53</v>
      </c>
      <c r="H80" s="41" t="s">
        <v>638</v>
      </c>
      <c r="I80" s="42" t="s">
        <v>44</v>
      </c>
      <c r="J80" s="40" t="s">
        <v>44</v>
      </c>
      <c r="K80" s="41" t="s">
        <v>43</v>
      </c>
      <c r="L80" s="40">
        <v>2</v>
      </c>
      <c r="M80" s="40">
        <v>2</v>
      </c>
      <c r="N80" s="41">
        <v>1</v>
      </c>
      <c r="O80" s="40">
        <v>5</v>
      </c>
      <c r="P80" s="40">
        <v>2</v>
      </c>
      <c r="Q80" s="41">
        <v>5</v>
      </c>
      <c r="R80" s="40">
        <v>3</v>
      </c>
      <c r="S80" s="40">
        <v>6</v>
      </c>
      <c r="T80" s="40">
        <v>1</v>
      </c>
      <c r="U80" s="40">
        <v>1</v>
      </c>
      <c r="V80" s="40" t="s">
        <v>45</v>
      </c>
      <c r="W80" s="40" t="s">
        <v>45</v>
      </c>
      <c r="X80" s="40">
        <v>2</v>
      </c>
      <c r="Y80" s="40">
        <v>6</v>
      </c>
      <c r="Z80" s="40" t="s">
        <v>45</v>
      </c>
      <c r="AA80" s="40" t="s">
        <v>45</v>
      </c>
      <c r="AB80" s="40" t="s">
        <v>45</v>
      </c>
      <c r="AC80" s="40" t="s">
        <v>45</v>
      </c>
      <c r="AD80" s="40" t="s">
        <v>45</v>
      </c>
      <c r="AE80" s="40" t="s">
        <v>45</v>
      </c>
      <c r="AF80" s="40" t="s">
        <v>45</v>
      </c>
      <c r="AG80" s="40" t="s">
        <v>45</v>
      </c>
      <c r="AH80" s="40" t="s">
        <v>45</v>
      </c>
      <c r="AI80" s="40" t="s">
        <v>45</v>
      </c>
      <c r="AJ80" s="40" t="s">
        <v>45</v>
      </c>
      <c r="AK80" s="40" t="s">
        <v>45</v>
      </c>
      <c r="AL80" s="40" t="s">
        <v>45</v>
      </c>
      <c r="AM80" s="40" t="s">
        <v>45</v>
      </c>
      <c r="AN80" s="40" t="s">
        <v>45</v>
      </c>
      <c r="AO80" s="41" t="s">
        <v>45</v>
      </c>
      <c r="AP80" s="40" t="s">
        <v>350</v>
      </c>
      <c r="AQ80" s="40">
        <v>6</v>
      </c>
      <c r="AR80" s="48" t="s">
        <v>347</v>
      </c>
      <c r="AS80" s="43" t="s">
        <v>548</v>
      </c>
      <c r="AT80" s="43" t="s">
        <v>47</v>
      </c>
      <c r="AU80" s="44">
        <f t="shared" si="8"/>
        <v>-2.311361197028369</v>
      </c>
      <c r="AV80" s="44">
        <f t="shared" si="9"/>
        <v>-0.31251020854733541</v>
      </c>
      <c r="AW80" s="45">
        <f t="shared" si="10"/>
        <v>3</v>
      </c>
      <c r="AX80" s="45">
        <f t="shared" si="11"/>
        <v>2</v>
      </c>
      <c r="AY80" s="46">
        <f>VLOOKUP(AP80,COND!$A$10:$B$32,2,FALSE)</f>
        <v>1</v>
      </c>
      <c r="AZ80" s="44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48.905335499906428</v>
      </c>
      <c r="BA80" s="47">
        <f t="shared" si="14"/>
        <v>0.86718595456033865</v>
      </c>
      <c r="BB80" s="45" t="str">
        <f t="shared" si="12"/>
        <v>SP</v>
      </c>
      <c r="BC80" s="45">
        <f>RANK(Table3[[#This Row],[zScore]],Table3[zScore])</f>
        <v>161</v>
      </c>
      <c r="BD80" s="45"/>
      <c r="BE80" s="45"/>
      <c r="BF80" s="45" t="str">
        <f t="shared" si="13"/>
        <v>Possible</v>
      </c>
      <c r="BG80" s="45"/>
      <c r="BH80" s="45" t="str">
        <f>INDEX(Table5[[#All],[Ovr]],MATCH(Table3[[#This Row],[PID]],Table5[[#All],[PID]],0))</f>
        <v/>
      </c>
      <c r="BI80" s="45" t="str">
        <f>INDEX(Table5[[#All],[Rnd]],MATCH(Table3[[#This Row],[PID]],Table5[[#All],[PID]],0))</f>
        <v/>
      </c>
      <c r="BJ80" s="45" t="str">
        <f>INDEX(Table5[[#All],[Pick]],MATCH(Table3[[#This Row],[PID]],Table5[[#All],[PID]],0))</f>
        <v/>
      </c>
      <c r="BK80" s="45" t="str">
        <f>INDEX(Table5[[#All],[Team]],MATCH(Table3[[#This Row],[PID]],Table5[[#All],[PID]],0))</f>
        <v/>
      </c>
      <c r="BL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81" spans="1:64" ht="15" customHeight="1" x14ac:dyDescent="0.25">
      <c r="A81" s="40">
        <v>12615</v>
      </c>
      <c r="B81" s="40" t="s">
        <v>415</v>
      </c>
      <c r="C81" s="40" t="s">
        <v>698</v>
      </c>
      <c r="D81" s="40" t="s">
        <v>1312</v>
      </c>
      <c r="E81" s="40">
        <v>18</v>
      </c>
      <c r="F81" s="40" t="s">
        <v>42</v>
      </c>
      <c r="G81" s="40" t="s">
        <v>42</v>
      </c>
      <c r="H81" s="41" t="s">
        <v>634</v>
      </c>
      <c r="I81" s="42" t="s">
        <v>43</v>
      </c>
      <c r="J81" s="40" t="s">
        <v>43</v>
      </c>
      <c r="K81" s="41" t="s">
        <v>43</v>
      </c>
      <c r="L81" s="40">
        <v>1</v>
      </c>
      <c r="M81" s="40">
        <v>3</v>
      </c>
      <c r="N81" s="41">
        <v>1</v>
      </c>
      <c r="O81" s="40">
        <v>5</v>
      </c>
      <c r="P81" s="40">
        <v>5</v>
      </c>
      <c r="Q81" s="41">
        <v>4</v>
      </c>
      <c r="R81" s="40" t="s">
        <v>45</v>
      </c>
      <c r="S81" s="40" t="s">
        <v>45</v>
      </c>
      <c r="T81" s="40" t="s">
        <v>45</v>
      </c>
      <c r="U81" s="40" t="s">
        <v>45</v>
      </c>
      <c r="V81" s="40" t="s">
        <v>45</v>
      </c>
      <c r="W81" s="40" t="s">
        <v>45</v>
      </c>
      <c r="X81" s="40">
        <v>2</v>
      </c>
      <c r="Y81" s="40">
        <v>8</v>
      </c>
      <c r="Z81" s="40">
        <v>3</v>
      </c>
      <c r="AA81" s="40">
        <v>6</v>
      </c>
      <c r="AB81" s="40" t="s">
        <v>45</v>
      </c>
      <c r="AC81" s="40" t="s">
        <v>45</v>
      </c>
      <c r="AD81" s="40" t="s">
        <v>45</v>
      </c>
      <c r="AE81" s="40" t="s">
        <v>45</v>
      </c>
      <c r="AF81" s="40" t="s">
        <v>45</v>
      </c>
      <c r="AG81" s="40" t="s">
        <v>45</v>
      </c>
      <c r="AH81" s="40" t="s">
        <v>45</v>
      </c>
      <c r="AI81" s="40" t="s">
        <v>45</v>
      </c>
      <c r="AJ81" s="40" t="s">
        <v>45</v>
      </c>
      <c r="AK81" s="40" t="s">
        <v>45</v>
      </c>
      <c r="AL81" s="40" t="s">
        <v>45</v>
      </c>
      <c r="AM81" s="40" t="s">
        <v>45</v>
      </c>
      <c r="AN81" s="40" t="s">
        <v>45</v>
      </c>
      <c r="AO81" s="41" t="s">
        <v>45</v>
      </c>
      <c r="AP81" s="40" t="s">
        <v>349</v>
      </c>
      <c r="AQ81" s="40">
        <v>4</v>
      </c>
      <c r="AR81" s="48" t="s">
        <v>346</v>
      </c>
      <c r="AS81" s="43" t="s">
        <v>670</v>
      </c>
      <c r="AT81" s="43" t="s">
        <v>635</v>
      </c>
      <c r="AU81" s="44">
        <f t="shared" si="8"/>
        <v>-2.310620805107487</v>
      </c>
      <c r="AV81" s="44">
        <f t="shared" si="9"/>
        <v>3.146437468872048E-2</v>
      </c>
      <c r="AW81" s="45">
        <f t="shared" si="10"/>
        <v>2</v>
      </c>
      <c r="AX81" s="45">
        <f t="shared" si="11"/>
        <v>2</v>
      </c>
      <c r="AY81" s="46">
        <f>VLOOKUP(AP81,COND!$A$10:$B$32,2,FALSE)</f>
        <v>1</v>
      </c>
      <c r="AZ81" s="44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48.483805166115268</v>
      </c>
      <c r="BA81" s="47">
        <f t="shared" si="14"/>
        <v>0.83914218559744302</v>
      </c>
      <c r="BB81" s="45" t="str">
        <f t="shared" si="12"/>
        <v>RP</v>
      </c>
      <c r="BC81" s="45">
        <f>RANK(Table3[[#This Row],[zScore]],Table3[zScore])</f>
        <v>164</v>
      </c>
      <c r="BD81" s="45"/>
      <c r="BE81" s="45"/>
      <c r="BF81" s="45" t="str">
        <f t="shared" si="13"/>
        <v>Possible</v>
      </c>
      <c r="BG81" s="45"/>
      <c r="BH81" s="45">
        <f>INDEX(Table5[[#All],[Ovr]],MATCH(Table3[[#This Row],[PID]],Table5[[#All],[PID]],0))</f>
        <v>257</v>
      </c>
      <c r="BI81" s="45" t="str">
        <f>INDEX(Table5[[#All],[Rnd]],MATCH(Table3[[#This Row],[PID]],Table5[[#All],[PID]],0))</f>
        <v>9</v>
      </c>
      <c r="BJ81" s="45">
        <f>INDEX(Table5[[#All],[Pick]],MATCH(Table3[[#This Row],[PID]],Table5[[#All],[PID]],0))</f>
        <v>9</v>
      </c>
      <c r="BK81" s="45" t="str">
        <f>INDEX(Table5[[#All],[Team]],MATCH(Table3[[#This Row],[PID]],Table5[[#All],[PID]],0))</f>
        <v>Scottish Claymores</v>
      </c>
      <c r="BL81" s="45" t="str">
        <f>IF(OR(Table3[[#This Row],[POS]]="SP",Table3[[#This Row],[POS]]="RP",Table3[[#This Row],[POS]]="CL"),"P",INDEX(Batters[[#All],[zScore]],MATCH(Table3[[#This Row],[PID]],Batters[[#All],[PID]],0)))</f>
        <v>P</v>
      </c>
    </row>
    <row r="82" spans="1:64" ht="15" customHeight="1" x14ac:dyDescent="0.25">
      <c r="A82" s="40">
        <v>18233</v>
      </c>
      <c r="B82" s="40" t="s">
        <v>415</v>
      </c>
      <c r="C82" s="40" t="s">
        <v>1876</v>
      </c>
      <c r="D82" s="40" t="s">
        <v>1877</v>
      </c>
      <c r="E82" s="40">
        <v>18</v>
      </c>
      <c r="F82" s="40" t="s">
        <v>42</v>
      </c>
      <c r="G82" s="40" t="s">
        <v>42</v>
      </c>
      <c r="H82" s="41" t="s">
        <v>638</v>
      </c>
      <c r="I82" s="42" t="s">
        <v>43</v>
      </c>
      <c r="J82" s="40" t="s">
        <v>43</v>
      </c>
      <c r="K82" s="41" t="s">
        <v>43</v>
      </c>
      <c r="L82" s="40">
        <v>2</v>
      </c>
      <c r="M82" s="40">
        <v>2</v>
      </c>
      <c r="N82" s="41">
        <v>1</v>
      </c>
      <c r="O82" s="40">
        <v>3</v>
      </c>
      <c r="P82" s="40">
        <v>4</v>
      </c>
      <c r="Q82" s="41">
        <v>5</v>
      </c>
      <c r="R82" s="40">
        <v>3</v>
      </c>
      <c r="S82" s="40">
        <v>3</v>
      </c>
      <c r="T82" s="40">
        <v>1</v>
      </c>
      <c r="U82" s="40">
        <v>3</v>
      </c>
      <c r="V82" s="40">
        <v>1</v>
      </c>
      <c r="W82" s="40">
        <v>2</v>
      </c>
      <c r="X82" s="40">
        <v>2</v>
      </c>
      <c r="Y82" s="40">
        <v>3</v>
      </c>
      <c r="Z82" s="40" t="s">
        <v>45</v>
      </c>
      <c r="AA82" s="40" t="s">
        <v>45</v>
      </c>
      <c r="AB82" s="40">
        <v>3</v>
      </c>
      <c r="AC82" s="40">
        <v>4</v>
      </c>
      <c r="AD82" s="40" t="s">
        <v>45</v>
      </c>
      <c r="AE82" s="40" t="s">
        <v>45</v>
      </c>
      <c r="AF82" s="40">
        <v>3</v>
      </c>
      <c r="AG82" s="40">
        <v>4</v>
      </c>
      <c r="AH82" s="40" t="s">
        <v>45</v>
      </c>
      <c r="AI82" s="40" t="s">
        <v>45</v>
      </c>
      <c r="AJ82" s="40" t="s">
        <v>45</v>
      </c>
      <c r="AK82" s="40" t="s">
        <v>45</v>
      </c>
      <c r="AL82" s="40" t="s">
        <v>45</v>
      </c>
      <c r="AM82" s="40" t="s">
        <v>45</v>
      </c>
      <c r="AN82" s="40" t="s">
        <v>45</v>
      </c>
      <c r="AO82" s="41" t="s">
        <v>45</v>
      </c>
      <c r="AP82" s="40" t="s">
        <v>64</v>
      </c>
      <c r="AQ82" s="40">
        <v>8</v>
      </c>
      <c r="AR82" s="48" t="s">
        <v>347</v>
      </c>
      <c r="AS82" s="43" t="s">
        <v>670</v>
      </c>
      <c r="AT82" s="43" t="s">
        <v>47</v>
      </c>
      <c r="AU82" s="44">
        <f t="shared" si="8"/>
        <v>-2.311361197028369</v>
      </c>
      <c r="AV82" s="44">
        <f t="shared" si="9"/>
        <v>-0.31102942470557166</v>
      </c>
      <c r="AW82" s="45">
        <f t="shared" si="10"/>
        <v>6</v>
      </c>
      <c r="AX82" s="45">
        <f t="shared" si="11"/>
        <v>0</v>
      </c>
      <c r="AY82" s="46">
        <f>VLOOKUP(AP82,COND!$A$10:$B$32,2,FALSE)</f>
        <v>1</v>
      </c>
      <c r="AZ82" s="44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48.317139266482897</v>
      </c>
      <c r="BA82" s="47">
        <f t="shared" si="14"/>
        <v>0.82805415797853632</v>
      </c>
      <c r="BB82" s="45" t="str">
        <f t="shared" si="12"/>
        <v>SP</v>
      </c>
      <c r="BC82" s="45">
        <f>RANK(Table3[[#This Row],[zScore]],Table3[zScore])</f>
        <v>165</v>
      </c>
      <c r="BD82" s="45"/>
      <c r="BE82" s="45"/>
      <c r="BF82" s="45" t="str">
        <f t="shared" si="13"/>
        <v>Possible</v>
      </c>
      <c r="BG82" s="45"/>
      <c r="BH82" s="45">
        <f>INDEX(Table5[[#All],[Ovr]],MATCH(Table3[[#This Row],[PID]],Table5[[#All],[PID]],0))</f>
        <v>486</v>
      </c>
      <c r="BI82" s="45" t="str">
        <f>INDEX(Table5[[#All],[Rnd]],MATCH(Table3[[#This Row],[PID]],Table5[[#All],[PID]],0))</f>
        <v>16</v>
      </c>
      <c r="BJ82" s="45">
        <f>INDEX(Table5[[#All],[Pick]],MATCH(Table3[[#This Row],[PID]],Table5[[#All],[PID]],0))</f>
        <v>28</v>
      </c>
      <c r="BK82" s="45" t="str">
        <f>INDEX(Table5[[#All],[Team]],MATCH(Table3[[#This Row],[PID]],Table5[[#All],[PID]],0))</f>
        <v>San Juan Coqui</v>
      </c>
      <c r="BL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83" spans="1:64" ht="15" customHeight="1" x14ac:dyDescent="0.25">
      <c r="A83" s="40">
        <v>18193</v>
      </c>
      <c r="B83" s="40" t="s">
        <v>415</v>
      </c>
      <c r="C83" s="40" t="s">
        <v>343</v>
      </c>
      <c r="D83" s="40" t="s">
        <v>131</v>
      </c>
      <c r="E83" s="40">
        <v>18</v>
      </c>
      <c r="F83" s="40" t="s">
        <v>53</v>
      </c>
      <c r="G83" s="40" t="s">
        <v>53</v>
      </c>
      <c r="H83" s="41" t="s">
        <v>634</v>
      </c>
      <c r="I83" s="42" t="s">
        <v>43</v>
      </c>
      <c r="J83" s="40" t="s">
        <v>43</v>
      </c>
      <c r="K83" s="41" t="s">
        <v>43</v>
      </c>
      <c r="L83" s="40">
        <v>1</v>
      </c>
      <c r="M83" s="40">
        <v>2</v>
      </c>
      <c r="N83" s="41">
        <v>1</v>
      </c>
      <c r="O83" s="40">
        <v>4</v>
      </c>
      <c r="P83" s="40">
        <v>3</v>
      </c>
      <c r="Q83" s="41">
        <v>5</v>
      </c>
      <c r="R83" s="40">
        <v>2</v>
      </c>
      <c r="S83" s="40">
        <v>4</v>
      </c>
      <c r="T83" s="40">
        <v>1</v>
      </c>
      <c r="U83" s="40">
        <v>4</v>
      </c>
      <c r="V83" s="40">
        <v>2</v>
      </c>
      <c r="W83" s="40">
        <v>6</v>
      </c>
      <c r="X83" s="40" t="s">
        <v>45</v>
      </c>
      <c r="Y83" s="40" t="s">
        <v>45</v>
      </c>
      <c r="Z83" s="40" t="s">
        <v>45</v>
      </c>
      <c r="AA83" s="40" t="s">
        <v>45</v>
      </c>
      <c r="AB83" s="40" t="s">
        <v>45</v>
      </c>
      <c r="AC83" s="40" t="s">
        <v>45</v>
      </c>
      <c r="AD83" s="40" t="s">
        <v>45</v>
      </c>
      <c r="AE83" s="40" t="s">
        <v>45</v>
      </c>
      <c r="AF83" s="40" t="s">
        <v>45</v>
      </c>
      <c r="AG83" s="40" t="s">
        <v>45</v>
      </c>
      <c r="AH83" s="40" t="s">
        <v>45</v>
      </c>
      <c r="AI83" s="40" t="s">
        <v>45</v>
      </c>
      <c r="AJ83" s="40" t="s">
        <v>45</v>
      </c>
      <c r="AK83" s="40" t="s">
        <v>45</v>
      </c>
      <c r="AL83" s="40" t="s">
        <v>45</v>
      </c>
      <c r="AM83" s="40" t="s">
        <v>45</v>
      </c>
      <c r="AN83" s="40" t="s">
        <v>45</v>
      </c>
      <c r="AO83" s="41" t="s">
        <v>45</v>
      </c>
      <c r="AP83" s="40" t="s">
        <v>65</v>
      </c>
      <c r="AQ83" s="40">
        <v>9</v>
      </c>
      <c r="AR83" s="48" t="s">
        <v>347</v>
      </c>
      <c r="AS83" s="43" t="s">
        <v>644</v>
      </c>
      <c r="AT83" s="43" t="s">
        <v>635</v>
      </c>
      <c r="AU83" s="44">
        <f t="shared" si="8"/>
        <v>-2.5060525215375429</v>
      </c>
      <c r="AV83" s="44">
        <f t="shared" si="9"/>
        <v>-0.31176981662645348</v>
      </c>
      <c r="AW83" s="45">
        <f t="shared" si="10"/>
        <v>3</v>
      </c>
      <c r="AX83" s="45">
        <f t="shared" si="11"/>
        <v>1</v>
      </c>
      <c r="AY83" s="46">
        <f>VLOOKUP(AP83,COND!$A$10:$B$32,2,FALSE)</f>
        <v>0.95</v>
      </c>
      <c r="AZ83" s="44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48.212723505005251</v>
      </c>
      <c r="BA83" s="47">
        <f t="shared" si="14"/>
        <v>0.82110753692607685</v>
      </c>
      <c r="BB83" s="45" t="str">
        <f t="shared" si="12"/>
        <v>SP</v>
      </c>
      <c r="BC83" s="45">
        <f>RANK(Table3[[#This Row],[zScore]],Table3[zScore])</f>
        <v>166</v>
      </c>
      <c r="BD83" s="45"/>
      <c r="BE83" s="45"/>
      <c r="BF83" s="45" t="str">
        <f t="shared" si="13"/>
        <v>Possible</v>
      </c>
      <c r="BG83" s="45"/>
      <c r="BH83" s="45">
        <f>INDEX(Table5[[#All],[Ovr]],MATCH(Table3[[#This Row],[PID]],Table5[[#All],[PID]],0))</f>
        <v>505</v>
      </c>
      <c r="BI83" s="45" t="str">
        <f>INDEX(Table5[[#All],[Rnd]],MATCH(Table3[[#This Row],[PID]],Table5[[#All],[PID]],0))</f>
        <v>17</v>
      </c>
      <c r="BJ83" s="45">
        <f>INDEX(Table5[[#All],[Pick]],MATCH(Table3[[#This Row],[PID]],Table5[[#All],[PID]],0))</f>
        <v>17</v>
      </c>
      <c r="BK83" s="45" t="str">
        <f>INDEX(Table5[[#All],[Team]],MATCH(Table3[[#This Row],[PID]],Table5[[#All],[PID]],0))</f>
        <v>Madison Malts</v>
      </c>
      <c r="BL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84" spans="1:64" ht="15" customHeight="1" x14ac:dyDescent="0.25">
      <c r="A84" s="40">
        <v>18110</v>
      </c>
      <c r="B84" s="40" t="s">
        <v>415</v>
      </c>
      <c r="C84" s="40" t="s">
        <v>1022</v>
      </c>
      <c r="D84" s="40" t="s">
        <v>521</v>
      </c>
      <c r="E84" s="40">
        <v>21</v>
      </c>
      <c r="F84" s="40" t="s">
        <v>42</v>
      </c>
      <c r="G84" s="40" t="s">
        <v>42</v>
      </c>
      <c r="H84" s="41" t="s">
        <v>634</v>
      </c>
      <c r="I84" s="42" t="s">
        <v>43</v>
      </c>
      <c r="J84" s="40" t="s">
        <v>43</v>
      </c>
      <c r="K84" s="41" t="s">
        <v>43</v>
      </c>
      <c r="L84" s="40">
        <v>4</v>
      </c>
      <c r="M84" s="40">
        <v>2</v>
      </c>
      <c r="N84" s="41">
        <v>1</v>
      </c>
      <c r="O84" s="40">
        <v>8</v>
      </c>
      <c r="P84" s="40">
        <v>3</v>
      </c>
      <c r="Q84" s="41">
        <v>4</v>
      </c>
      <c r="R84" s="40">
        <v>6</v>
      </c>
      <c r="S84" s="40">
        <v>9</v>
      </c>
      <c r="T84" s="40" t="s">
        <v>45</v>
      </c>
      <c r="U84" s="40" t="s">
        <v>45</v>
      </c>
      <c r="V84" s="40" t="s">
        <v>45</v>
      </c>
      <c r="W84" s="40" t="s">
        <v>45</v>
      </c>
      <c r="X84" s="40">
        <v>3</v>
      </c>
      <c r="Y84" s="40">
        <v>8</v>
      </c>
      <c r="Z84" s="40" t="s">
        <v>45</v>
      </c>
      <c r="AA84" s="40" t="s">
        <v>45</v>
      </c>
      <c r="AB84" s="40" t="s">
        <v>45</v>
      </c>
      <c r="AC84" s="40" t="s">
        <v>45</v>
      </c>
      <c r="AD84" s="40" t="s">
        <v>45</v>
      </c>
      <c r="AE84" s="40" t="s">
        <v>45</v>
      </c>
      <c r="AF84" s="40" t="s">
        <v>45</v>
      </c>
      <c r="AG84" s="40" t="s">
        <v>45</v>
      </c>
      <c r="AH84" s="40" t="s">
        <v>45</v>
      </c>
      <c r="AI84" s="40" t="s">
        <v>45</v>
      </c>
      <c r="AJ84" s="40" t="s">
        <v>45</v>
      </c>
      <c r="AK84" s="40" t="s">
        <v>45</v>
      </c>
      <c r="AL84" s="40" t="s">
        <v>45</v>
      </c>
      <c r="AM84" s="40" t="s">
        <v>45</v>
      </c>
      <c r="AN84" s="40" t="s">
        <v>45</v>
      </c>
      <c r="AO84" s="41" t="s">
        <v>45</v>
      </c>
      <c r="AP84" s="40" t="s">
        <v>48</v>
      </c>
      <c r="AQ84" s="40">
        <v>5</v>
      </c>
      <c r="AR84" s="48" t="s">
        <v>347</v>
      </c>
      <c r="AS84" s="43" t="s">
        <v>45</v>
      </c>
      <c r="AT84" s="43" t="s">
        <v>635</v>
      </c>
      <c r="AU84" s="44">
        <f t="shared" si="8"/>
        <v>-1.9219785480100218</v>
      </c>
      <c r="AV84" s="44">
        <f t="shared" si="9"/>
        <v>0.22467491535613018</v>
      </c>
      <c r="AW84" s="45">
        <f t="shared" si="10"/>
        <v>2</v>
      </c>
      <c r="AX84" s="45">
        <f t="shared" si="11"/>
        <v>2</v>
      </c>
      <c r="AY84" s="46">
        <f>VLOOKUP(AP84,COND!$A$10:$B$32,2,FALSE)</f>
        <v>1.05</v>
      </c>
      <c r="AZ84" s="44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47.789818784211718</v>
      </c>
      <c r="BA84" s="47">
        <f t="shared" si="14"/>
        <v>0.79297233209612639</v>
      </c>
      <c r="BB84" s="45" t="str">
        <f t="shared" si="12"/>
        <v>RP</v>
      </c>
      <c r="BC84" s="45">
        <f>RANK(Table3[[#This Row],[zScore]],Table3[zScore])</f>
        <v>172</v>
      </c>
      <c r="BD84" s="45"/>
      <c r="BE84" s="45"/>
      <c r="BF84" s="45" t="str">
        <f t="shared" si="13"/>
        <v>Possible</v>
      </c>
      <c r="BG84" s="45"/>
      <c r="BH84" s="45">
        <f>INDEX(Table5[[#All],[Ovr]],MATCH(Table3[[#This Row],[PID]],Table5[[#All],[PID]],0))</f>
        <v>206</v>
      </c>
      <c r="BI84" s="45" t="str">
        <f>INDEX(Table5[[#All],[Rnd]],MATCH(Table3[[#This Row],[PID]],Table5[[#All],[PID]],0))</f>
        <v>7</v>
      </c>
      <c r="BJ84" s="45">
        <f>INDEX(Table5[[#All],[Pick]],MATCH(Table3[[#This Row],[PID]],Table5[[#All],[PID]],0))</f>
        <v>18</v>
      </c>
      <c r="BK84" s="45" t="str">
        <f>INDEX(Table5[[#All],[Team]],MATCH(Table3[[#This Row],[PID]],Table5[[#All],[PID]],0))</f>
        <v>Bakersfield Bears</v>
      </c>
      <c r="BL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85" spans="1:64" ht="15" customHeight="1" x14ac:dyDescent="0.25">
      <c r="A85" s="40">
        <v>13938</v>
      </c>
      <c r="B85" s="40" t="s">
        <v>415</v>
      </c>
      <c r="C85" s="40" t="s">
        <v>444</v>
      </c>
      <c r="D85" s="40" t="s">
        <v>1895</v>
      </c>
      <c r="E85" s="40">
        <v>18</v>
      </c>
      <c r="F85" s="40" t="s">
        <v>53</v>
      </c>
      <c r="G85" s="40" t="s">
        <v>53</v>
      </c>
      <c r="H85" s="41" t="s">
        <v>639</v>
      </c>
      <c r="I85" s="42" t="s">
        <v>47</v>
      </c>
      <c r="J85" s="40" t="s">
        <v>43</v>
      </c>
      <c r="K85" s="41" t="s">
        <v>43</v>
      </c>
      <c r="L85" s="40">
        <v>2</v>
      </c>
      <c r="M85" s="40">
        <v>2</v>
      </c>
      <c r="N85" s="41">
        <v>1</v>
      </c>
      <c r="O85" s="40">
        <v>5</v>
      </c>
      <c r="P85" s="40">
        <v>4</v>
      </c>
      <c r="Q85" s="41">
        <v>3</v>
      </c>
      <c r="R85" s="40">
        <v>4</v>
      </c>
      <c r="S85" s="40">
        <v>7</v>
      </c>
      <c r="T85" s="40">
        <v>1</v>
      </c>
      <c r="U85" s="40">
        <v>1</v>
      </c>
      <c r="V85" s="40" t="s">
        <v>45</v>
      </c>
      <c r="W85" s="40" t="s">
        <v>45</v>
      </c>
      <c r="X85" s="40">
        <v>2</v>
      </c>
      <c r="Y85" s="40">
        <v>6</v>
      </c>
      <c r="Z85" s="40" t="s">
        <v>45</v>
      </c>
      <c r="AA85" s="40" t="s">
        <v>45</v>
      </c>
      <c r="AB85" s="40" t="s">
        <v>45</v>
      </c>
      <c r="AC85" s="40" t="s">
        <v>45</v>
      </c>
      <c r="AD85" s="40" t="s">
        <v>45</v>
      </c>
      <c r="AE85" s="40" t="s">
        <v>45</v>
      </c>
      <c r="AF85" s="40" t="s">
        <v>45</v>
      </c>
      <c r="AG85" s="40" t="s">
        <v>45</v>
      </c>
      <c r="AH85" s="40" t="s">
        <v>45</v>
      </c>
      <c r="AI85" s="40" t="s">
        <v>45</v>
      </c>
      <c r="AJ85" s="40" t="s">
        <v>45</v>
      </c>
      <c r="AK85" s="40" t="s">
        <v>45</v>
      </c>
      <c r="AL85" s="40" t="s">
        <v>45</v>
      </c>
      <c r="AM85" s="40" t="s">
        <v>45</v>
      </c>
      <c r="AN85" s="40" t="s">
        <v>45</v>
      </c>
      <c r="AO85" s="41" t="s">
        <v>45</v>
      </c>
      <c r="AP85" s="40" t="s">
        <v>57</v>
      </c>
      <c r="AQ85" s="40">
        <v>9</v>
      </c>
      <c r="AR85" s="48" t="s">
        <v>347</v>
      </c>
      <c r="AS85" s="43" t="s">
        <v>644</v>
      </c>
      <c r="AT85" s="43" t="s">
        <v>635</v>
      </c>
      <c r="AU85" s="44">
        <f t="shared" si="8"/>
        <v>-2.311361197028369</v>
      </c>
      <c r="AV85" s="44">
        <f t="shared" si="9"/>
        <v>-0.40628790779544532</v>
      </c>
      <c r="AW85" s="45">
        <f t="shared" si="10"/>
        <v>3</v>
      </c>
      <c r="AX85" s="45">
        <f t="shared" si="11"/>
        <v>2</v>
      </c>
      <c r="AY85" s="46">
        <f>VLOOKUP(AP85,COND!$A$10:$B$32,2,FALSE)</f>
        <v>1</v>
      </c>
      <c r="AZ85" s="44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47.636969604685419</v>
      </c>
      <c r="BA85" s="47">
        <f t="shared" si="14"/>
        <v>0.78280350975242441</v>
      </c>
      <c r="BB85" s="45" t="str">
        <f t="shared" si="12"/>
        <v>SP</v>
      </c>
      <c r="BC85" s="45">
        <f>RANK(Table3[[#This Row],[zScore]],Table3[zScore])</f>
        <v>175</v>
      </c>
      <c r="BD85" s="45"/>
      <c r="BE85" s="45"/>
      <c r="BF85" s="45" t="str">
        <f t="shared" si="13"/>
        <v>Possible</v>
      </c>
      <c r="BG85" s="45"/>
      <c r="BH85" s="45">
        <f>INDEX(Table5[[#All],[Ovr]],MATCH(Table3[[#This Row],[PID]],Table5[[#All],[PID]],0))</f>
        <v>338</v>
      </c>
      <c r="BI85" s="45" t="str">
        <f>INDEX(Table5[[#All],[Rnd]],MATCH(Table3[[#This Row],[PID]],Table5[[#All],[PID]],0))</f>
        <v>11</v>
      </c>
      <c r="BJ85" s="45">
        <f>INDEX(Table5[[#All],[Pick]],MATCH(Table3[[#This Row],[PID]],Table5[[#All],[PID]],0))</f>
        <v>30</v>
      </c>
      <c r="BK85" s="45" t="str">
        <f>INDEX(Table5[[#All],[Team]],MATCH(Table3[[#This Row],[PID]],Table5[[#All],[PID]],0))</f>
        <v>Florida Farstriders</v>
      </c>
      <c r="BL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86" spans="1:64" ht="15" customHeight="1" x14ac:dyDescent="0.25">
      <c r="A86" s="40">
        <v>18129</v>
      </c>
      <c r="B86" s="40" t="s">
        <v>415</v>
      </c>
      <c r="C86" s="40" t="s">
        <v>180</v>
      </c>
      <c r="D86" s="40" t="s">
        <v>1850</v>
      </c>
      <c r="E86" s="40">
        <v>21</v>
      </c>
      <c r="F86" s="40" t="s">
        <v>42</v>
      </c>
      <c r="G86" s="40" t="s">
        <v>42</v>
      </c>
      <c r="H86" s="41" t="s">
        <v>638</v>
      </c>
      <c r="I86" s="42" t="s">
        <v>43</v>
      </c>
      <c r="J86" s="40" t="s">
        <v>43</v>
      </c>
      <c r="K86" s="41" t="s">
        <v>43</v>
      </c>
      <c r="L86" s="40">
        <v>3</v>
      </c>
      <c r="M86" s="40">
        <v>2</v>
      </c>
      <c r="N86" s="41">
        <v>2</v>
      </c>
      <c r="O86" s="40">
        <v>7</v>
      </c>
      <c r="P86" s="40">
        <v>3</v>
      </c>
      <c r="Q86" s="41">
        <v>3</v>
      </c>
      <c r="R86" s="40">
        <v>5</v>
      </c>
      <c r="S86" s="40">
        <v>8</v>
      </c>
      <c r="T86" s="40">
        <v>1</v>
      </c>
      <c r="U86" s="40">
        <v>2</v>
      </c>
      <c r="V86" s="40">
        <v>3</v>
      </c>
      <c r="W86" s="40">
        <v>8</v>
      </c>
      <c r="X86" s="40" t="s">
        <v>45</v>
      </c>
      <c r="Y86" s="40" t="s">
        <v>45</v>
      </c>
      <c r="Z86" s="40" t="s">
        <v>45</v>
      </c>
      <c r="AA86" s="40" t="s">
        <v>45</v>
      </c>
      <c r="AB86" s="40" t="s">
        <v>45</v>
      </c>
      <c r="AC86" s="40" t="s">
        <v>45</v>
      </c>
      <c r="AD86" s="40" t="s">
        <v>45</v>
      </c>
      <c r="AE86" s="40" t="s">
        <v>45</v>
      </c>
      <c r="AF86" s="40" t="s">
        <v>45</v>
      </c>
      <c r="AG86" s="40" t="s">
        <v>45</v>
      </c>
      <c r="AH86" s="40" t="s">
        <v>45</v>
      </c>
      <c r="AI86" s="40" t="s">
        <v>45</v>
      </c>
      <c r="AJ86" s="40" t="s">
        <v>45</v>
      </c>
      <c r="AK86" s="40" t="s">
        <v>45</v>
      </c>
      <c r="AL86" s="40" t="s">
        <v>45</v>
      </c>
      <c r="AM86" s="40" t="s">
        <v>45</v>
      </c>
      <c r="AN86" s="40" t="s">
        <v>45</v>
      </c>
      <c r="AO86" s="41" t="s">
        <v>45</v>
      </c>
      <c r="AP86" s="40" t="s">
        <v>54</v>
      </c>
      <c r="AQ86" s="40">
        <v>6</v>
      </c>
      <c r="AR86" s="48" t="s">
        <v>14</v>
      </c>
      <c r="AS86" s="43" t="s">
        <v>45</v>
      </c>
      <c r="AT86" s="43" t="s">
        <v>635</v>
      </c>
      <c r="AU86" s="44">
        <f t="shared" si="8"/>
        <v>-1.8743493064650851</v>
      </c>
      <c r="AV86" s="44">
        <f t="shared" si="9"/>
        <v>-0.21233697520715372</v>
      </c>
      <c r="AW86" s="45">
        <f t="shared" si="10"/>
        <v>3</v>
      </c>
      <c r="AX86" s="45">
        <f t="shared" si="11"/>
        <v>2</v>
      </c>
      <c r="AY86" s="46">
        <f>VLOOKUP(AP86,COND!$A$10:$B$32,2,FALSE)</f>
        <v>1.0249999999999999</v>
      </c>
      <c r="AZ86" s="44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46.378779140417308</v>
      </c>
      <c r="BA86" s="47">
        <f t="shared" si="14"/>
        <v>0.69909802081664052</v>
      </c>
      <c r="BB86" s="45" t="str">
        <f t="shared" si="12"/>
        <v>SP</v>
      </c>
      <c r="BC86" s="45">
        <f>RANK(Table3[[#This Row],[zScore]],Table3[zScore])</f>
        <v>188</v>
      </c>
      <c r="BD86" s="45"/>
      <c r="BE86" s="45"/>
      <c r="BF86" s="45" t="str">
        <f t="shared" si="13"/>
        <v>Possible</v>
      </c>
      <c r="BG86" s="45"/>
      <c r="BH86" s="45">
        <f>INDEX(Table5[[#All],[Ovr]],MATCH(Table3[[#This Row],[PID]],Table5[[#All],[PID]],0))</f>
        <v>229</v>
      </c>
      <c r="BI86" s="45" t="str">
        <f>INDEX(Table5[[#All],[Rnd]],MATCH(Table3[[#This Row],[PID]],Table5[[#All],[PID]],0))</f>
        <v>8</v>
      </c>
      <c r="BJ86" s="45">
        <f>INDEX(Table5[[#All],[Pick]],MATCH(Table3[[#This Row],[PID]],Table5[[#All],[PID]],0))</f>
        <v>11</v>
      </c>
      <c r="BK86" s="45" t="str">
        <f>INDEX(Table5[[#All],[Team]],MATCH(Table3[[#This Row],[PID]],Table5[[#All],[PID]],0))</f>
        <v>Duluth Warriors</v>
      </c>
      <c r="BL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87" spans="1:64" ht="15" customHeight="1" x14ac:dyDescent="0.25">
      <c r="A87" s="40">
        <v>18344</v>
      </c>
      <c r="B87" s="40" t="s">
        <v>415</v>
      </c>
      <c r="C87" s="40" t="s">
        <v>641</v>
      </c>
      <c r="D87" s="40" t="s">
        <v>1901</v>
      </c>
      <c r="E87" s="40">
        <v>18</v>
      </c>
      <c r="F87" s="40" t="s">
        <v>42</v>
      </c>
      <c r="G87" s="40" t="s">
        <v>42</v>
      </c>
      <c r="H87" s="41" t="s">
        <v>639</v>
      </c>
      <c r="I87" s="42" t="s">
        <v>43</v>
      </c>
      <c r="J87" s="40" t="s">
        <v>43</v>
      </c>
      <c r="K87" s="41" t="s">
        <v>43</v>
      </c>
      <c r="L87" s="40">
        <v>2</v>
      </c>
      <c r="M87" s="40">
        <v>2</v>
      </c>
      <c r="N87" s="41">
        <v>1</v>
      </c>
      <c r="O87" s="40">
        <v>4</v>
      </c>
      <c r="P87" s="40">
        <v>5</v>
      </c>
      <c r="Q87" s="41">
        <v>3</v>
      </c>
      <c r="R87" s="40">
        <v>3</v>
      </c>
      <c r="S87" s="40">
        <v>5</v>
      </c>
      <c r="T87" s="40">
        <v>1</v>
      </c>
      <c r="U87" s="40">
        <v>1</v>
      </c>
      <c r="V87" s="40" t="s">
        <v>45</v>
      </c>
      <c r="W87" s="40" t="s">
        <v>45</v>
      </c>
      <c r="X87" s="40">
        <v>2</v>
      </c>
      <c r="Y87" s="40">
        <v>6</v>
      </c>
      <c r="Z87" s="40" t="s">
        <v>45</v>
      </c>
      <c r="AA87" s="40" t="s">
        <v>45</v>
      </c>
      <c r="AB87" s="40" t="s">
        <v>45</v>
      </c>
      <c r="AC87" s="40" t="s">
        <v>45</v>
      </c>
      <c r="AD87" s="40" t="s">
        <v>45</v>
      </c>
      <c r="AE87" s="40" t="s">
        <v>45</v>
      </c>
      <c r="AF87" s="40" t="s">
        <v>45</v>
      </c>
      <c r="AG87" s="40" t="s">
        <v>45</v>
      </c>
      <c r="AH87" s="40" t="s">
        <v>45</v>
      </c>
      <c r="AI87" s="40" t="s">
        <v>45</v>
      </c>
      <c r="AJ87" s="40" t="s">
        <v>45</v>
      </c>
      <c r="AK87" s="40" t="s">
        <v>45</v>
      </c>
      <c r="AL87" s="40" t="s">
        <v>45</v>
      </c>
      <c r="AM87" s="40" t="s">
        <v>45</v>
      </c>
      <c r="AN87" s="40" t="s">
        <v>45</v>
      </c>
      <c r="AO87" s="41" t="s">
        <v>45</v>
      </c>
      <c r="AP87" s="40" t="s">
        <v>64</v>
      </c>
      <c r="AQ87" s="40">
        <v>8</v>
      </c>
      <c r="AR87" s="48" t="s">
        <v>347</v>
      </c>
      <c r="AS87" s="43" t="s">
        <v>644</v>
      </c>
      <c r="AT87" s="43" t="s">
        <v>635</v>
      </c>
      <c r="AU87" s="44">
        <f t="shared" si="8"/>
        <v>-2.311361197028369</v>
      </c>
      <c r="AV87" s="44">
        <f t="shared" si="9"/>
        <v>-0.40554751587456339</v>
      </c>
      <c r="AW87" s="45">
        <f t="shared" si="10"/>
        <v>3</v>
      </c>
      <c r="AX87" s="45">
        <f t="shared" si="11"/>
        <v>1</v>
      </c>
      <c r="AY87" s="46">
        <f>VLOOKUP(AP87,COND!$A$10:$B$32,2,FALSE)</f>
        <v>1</v>
      </c>
      <c r="AZ87" s="44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46.176777443103056</v>
      </c>
      <c r="BA87" s="47">
        <f t="shared" si="14"/>
        <v>0.68565915657490317</v>
      </c>
      <c r="BB87" s="45" t="str">
        <f t="shared" si="12"/>
        <v>SP</v>
      </c>
      <c r="BC87" s="45">
        <f>RANK(Table3[[#This Row],[zScore]],Table3[zScore])</f>
        <v>189</v>
      </c>
      <c r="BD87" s="45"/>
      <c r="BE87" s="45"/>
      <c r="BF87" s="45" t="str">
        <f t="shared" si="13"/>
        <v>Possible</v>
      </c>
      <c r="BG87" s="45"/>
      <c r="BH87" s="45">
        <f>INDEX(Table5[[#All],[Ovr]],MATCH(Table3[[#This Row],[PID]],Table5[[#All],[PID]],0))</f>
        <v>468</v>
      </c>
      <c r="BI87" s="45" t="str">
        <f>INDEX(Table5[[#All],[Rnd]],MATCH(Table3[[#This Row],[PID]],Table5[[#All],[PID]],0))</f>
        <v>16</v>
      </c>
      <c r="BJ87" s="45">
        <f>INDEX(Table5[[#All],[Pick]],MATCH(Table3[[#This Row],[PID]],Table5[[#All],[PID]],0))</f>
        <v>10</v>
      </c>
      <c r="BK87" s="45" t="str">
        <f>INDEX(Table5[[#All],[Team]],MATCH(Table3[[#This Row],[PID]],Table5[[#All],[PID]],0))</f>
        <v>Hartford Harpoon</v>
      </c>
      <c r="BL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88" spans="1:64" ht="15" customHeight="1" x14ac:dyDescent="0.25">
      <c r="A88" s="40">
        <v>18275</v>
      </c>
      <c r="B88" s="40" t="s">
        <v>415</v>
      </c>
      <c r="C88" s="40" t="s">
        <v>129</v>
      </c>
      <c r="D88" s="40" t="s">
        <v>982</v>
      </c>
      <c r="E88" s="40">
        <v>18</v>
      </c>
      <c r="F88" s="40" t="s">
        <v>42</v>
      </c>
      <c r="G88" s="40" t="s">
        <v>42</v>
      </c>
      <c r="H88" s="41" t="s">
        <v>647</v>
      </c>
      <c r="I88" s="42" t="s">
        <v>44</v>
      </c>
      <c r="J88" s="40" t="s">
        <v>44</v>
      </c>
      <c r="K88" s="41" t="s">
        <v>47</v>
      </c>
      <c r="L88" s="40">
        <v>1</v>
      </c>
      <c r="M88" s="40">
        <v>2</v>
      </c>
      <c r="N88" s="41">
        <v>1</v>
      </c>
      <c r="O88" s="40">
        <v>4</v>
      </c>
      <c r="P88" s="40">
        <v>5</v>
      </c>
      <c r="Q88" s="41">
        <v>3</v>
      </c>
      <c r="R88" s="40" t="s">
        <v>45</v>
      </c>
      <c r="S88" s="40" t="s">
        <v>45</v>
      </c>
      <c r="T88" s="40" t="s">
        <v>45</v>
      </c>
      <c r="U88" s="40" t="s">
        <v>45</v>
      </c>
      <c r="V88" s="40" t="s">
        <v>45</v>
      </c>
      <c r="W88" s="40" t="s">
        <v>45</v>
      </c>
      <c r="X88" s="40" t="s">
        <v>45</v>
      </c>
      <c r="Y88" s="40" t="s">
        <v>45</v>
      </c>
      <c r="Z88" s="40">
        <v>2</v>
      </c>
      <c r="AA88" s="40">
        <v>4</v>
      </c>
      <c r="AB88" s="40" t="s">
        <v>45</v>
      </c>
      <c r="AC88" s="40" t="s">
        <v>45</v>
      </c>
      <c r="AD88" s="40">
        <v>2</v>
      </c>
      <c r="AE88" s="40">
        <v>4</v>
      </c>
      <c r="AF88" s="40" t="s">
        <v>45</v>
      </c>
      <c r="AG88" s="40" t="s">
        <v>45</v>
      </c>
      <c r="AH88" s="40">
        <v>1</v>
      </c>
      <c r="AI88" s="40">
        <v>5</v>
      </c>
      <c r="AJ88" s="40" t="s">
        <v>45</v>
      </c>
      <c r="AK88" s="40" t="s">
        <v>45</v>
      </c>
      <c r="AL88" s="40" t="s">
        <v>45</v>
      </c>
      <c r="AM88" s="40" t="s">
        <v>45</v>
      </c>
      <c r="AN88" s="40" t="s">
        <v>45</v>
      </c>
      <c r="AO88" s="41" t="s">
        <v>45</v>
      </c>
      <c r="AP88" s="40" t="s">
        <v>65</v>
      </c>
      <c r="AQ88" s="40">
        <v>6</v>
      </c>
      <c r="AR88" s="48" t="s">
        <v>347</v>
      </c>
      <c r="AS88" s="43" t="s">
        <v>654</v>
      </c>
      <c r="AT88" s="43"/>
      <c r="AU88" s="44">
        <f t="shared" si="8"/>
        <v>-2.5060525215375429</v>
      </c>
      <c r="AV88" s="44">
        <f t="shared" si="9"/>
        <v>-0.40554751587456339</v>
      </c>
      <c r="AW88" s="45">
        <f t="shared" si="10"/>
        <v>3</v>
      </c>
      <c r="AX88" s="45">
        <f t="shared" si="11"/>
        <v>0</v>
      </c>
      <c r="AY88" s="46">
        <f>VLOOKUP(AP88,COND!$A$10:$B$32,2,FALSE)</f>
        <v>0.95</v>
      </c>
      <c r="AZ88" s="44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45.262361038808884</v>
      </c>
      <c r="BA88" s="47">
        <f>STANDARDIZE(AZ88,AVERAGE($AZ$5:$AZ$788),STDEVP($AZ$5:$AZ$788))</f>
        <v>0.61384239988783817</v>
      </c>
      <c r="BB88" s="45" t="str">
        <f t="shared" si="12"/>
        <v>SP</v>
      </c>
      <c r="BC88" s="45">
        <f>RANK(Table3[[#This Row],[zScore]],Table3[zScore])</f>
        <v>199</v>
      </c>
      <c r="BD88" s="45"/>
      <c r="BE88" s="45"/>
      <c r="BF88" s="45" t="str">
        <f t="shared" si="13"/>
        <v>Possible</v>
      </c>
      <c r="BG88" s="45"/>
      <c r="BH88" s="64" t="str">
        <f>INDEX(Table5[[#All],[Ovr]],MATCH(Table3[[#This Row],[PID]],Table5[[#All],[PID]],0))</f>
        <v/>
      </c>
      <c r="BI88" s="64" t="str">
        <f>INDEX(Table5[[#All],[Rnd]],MATCH(Table3[[#This Row],[PID]],Table5[[#All],[PID]],0))</f>
        <v/>
      </c>
      <c r="BJ88" s="64" t="str">
        <f>INDEX(Table5[[#All],[Pick]],MATCH(Table3[[#This Row],[PID]],Table5[[#All],[PID]],0))</f>
        <v/>
      </c>
      <c r="BK88" s="64" t="str">
        <f>INDEX(Table5[[#All],[Team]],MATCH(Table3[[#This Row],[PID]],Table5[[#All],[PID]],0))</f>
        <v/>
      </c>
      <c r="BL88" s="64" t="str">
        <f>IF(OR(Table3[[#This Row],[POS]]="SP",Table3[[#This Row],[POS]]="RP",Table3[[#This Row],[POS]]="CL"),"P",INDEX(Batters[[#All],[zScore]],MATCH(Table3[[#This Row],[PID]],Batters[[#All],[PID]],0)))</f>
        <v>P</v>
      </c>
    </row>
    <row r="89" spans="1:64" ht="15" customHeight="1" x14ac:dyDescent="0.25">
      <c r="A89" s="40">
        <v>18181</v>
      </c>
      <c r="B89" s="40" t="s">
        <v>415</v>
      </c>
      <c r="C89" s="40" t="s">
        <v>567</v>
      </c>
      <c r="D89" s="40" t="s">
        <v>734</v>
      </c>
      <c r="E89" s="40">
        <v>18</v>
      </c>
      <c r="F89" s="40" t="s">
        <v>42</v>
      </c>
      <c r="G89" s="40" t="s">
        <v>42</v>
      </c>
      <c r="H89" s="41" t="s">
        <v>638</v>
      </c>
      <c r="I89" s="42" t="s">
        <v>43</v>
      </c>
      <c r="J89" s="40" t="s">
        <v>43</v>
      </c>
      <c r="K89" s="41" t="s">
        <v>43</v>
      </c>
      <c r="L89" s="40">
        <v>2</v>
      </c>
      <c r="M89" s="40">
        <v>2</v>
      </c>
      <c r="N89" s="41">
        <v>2</v>
      </c>
      <c r="O89" s="40">
        <v>5</v>
      </c>
      <c r="P89" s="40">
        <v>2</v>
      </c>
      <c r="Q89" s="41">
        <v>4</v>
      </c>
      <c r="R89" s="40">
        <v>4</v>
      </c>
      <c r="S89" s="40">
        <v>7</v>
      </c>
      <c r="T89" s="40">
        <v>1</v>
      </c>
      <c r="U89" s="40">
        <v>1</v>
      </c>
      <c r="V89" s="40" t="s">
        <v>45</v>
      </c>
      <c r="W89" s="40" t="s">
        <v>45</v>
      </c>
      <c r="X89" s="40" t="s">
        <v>45</v>
      </c>
      <c r="Y89" s="40" t="s">
        <v>45</v>
      </c>
      <c r="Z89" s="40" t="s">
        <v>45</v>
      </c>
      <c r="AA89" s="40" t="s">
        <v>45</v>
      </c>
      <c r="AB89" s="40">
        <v>3</v>
      </c>
      <c r="AC89" s="40">
        <v>6</v>
      </c>
      <c r="AD89" s="40" t="s">
        <v>45</v>
      </c>
      <c r="AE89" s="40" t="s">
        <v>45</v>
      </c>
      <c r="AF89" s="40" t="s">
        <v>45</v>
      </c>
      <c r="AG89" s="40" t="s">
        <v>45</v>
      </c>
      <c r="AH89" s="40" t="s">
        <v>45</v>
      </c>
      <c r="AI89" s="40" t="s">
        <v>45</v>
      </c>
      <c r="AJ89" s="40" t="s">
        <v>45</v>
      </c>
      <c r="AK89" s="40" t="s">
        <v>45</v>
      </c>
      <c r="AL89" s="40" t="s">
        <v>45</v>
      </c>
      <c r="AM89" s="40" t="s">
        <v>45</v>
      </c>
      <c r="AN89" s="40" t="s">
        <v>45</v>
      </c>
      <c r="AO89" s="41" t="s">
        <v>45</v>
      </c>
      <c r="AP89" s="40" t="s">
        <v>350</v>
      </c>
      <c r="AQ89" s="40">
        <v>5</v>
      </c>
      <c r="AR89" s="48" t="s">
        <v>347</v>
      </c>
      <c r="AS89" s="43" t="s">
        <v>644</v>
      </c>
      <c r="AT89" s="43" t="s">
        <v>47</v>
      </c>
      <c r="AU89" s="44">
        <f t="shared" si="8"/>
        <v>-2.0690406309742588</v>
      </c>
      <c r="AV89" s="44">
        <f t="shared" si="9"/>
        <v>-0.55483077460144581</v>
      </c>
      <c r="AW89" s="45">
        <f t="shared" si="10"/>
        <v>3</v>
      </c>
      <c r="AX89" s="45">
        <f t="shared" si="11"/>
        <v>2</v>
      </c>
      <c r="AY89" s="46">
        <f>VLOOKUP(AP89,COND!$A$10:$B$32,2,FALSE)</f>
        <v>1</v>
      </c>
      <c r="AZ89" s="44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44.677336972231828</v>
      </c>
      <c r="BA89" s="47">
        <f t="shared" ref="BA89:BA106" si="15">STANDARDIZE(AZ89,AVERAGE($AZ$5:$AZ$557),STDEVP($AZ$5:$AZ$557))</f>
        <v>0.58590367335608218</v>
      </c>
      <c r="BB89" s="45" t="str">
        <f t="shared" si="12"/>
        <v>SP</v>
      </c>
      <c r="BC89" s="45">
        <f>RANK(Table3[[#This Row],[zScore]],Table3[zScore])</f>
        <v>200</v>
      </c>
      <c r="BD89" s="45"/>
      <c r="BE89" s="45"/>
      <c r="BF89" s="45" t="str">
        <f t="shared" si="13"/>
        <v>Unlikely</v>
      </c>
      <c r="BG89" s="45"/>
      <c r="BH89" s="45" t="str">
        <f>INDEX(Table5[[#All],[Ovr]],MATCH(Table3[[#This Row],[PID]],Table5[[#All],[PID]],0))</f>
        <v/>
      </c>
      <c r="BI89" s="45" t="str">
        <f>INDEX(Table5[[#All],[Rnd]],MATCH(Table3[[#This Row],[PID]],Table5[[#All],[PID]],0))</f>
        <v/>
      </c>
      <c r="BJ89" s="45" t="str">
        <f>INDEX(Table5[[#All],[Pick]],MATCH(Table3[[#This Row],[PID]],Table5[[#All],[PID]],0))</f>
        <v/>
      </c>
      <c r="BK89" s="45" t="str">
        <f>INDEX(Table5[[#All],[Team]],MATCH(Table3[[#This Row],[PID]],Table5[[#All],[PID]],0))</f>
        <v/>
      </c>
      <c r="BL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90" spans="1:64" ht="15" customHeight="1" x14ac:dyDescent="0.25">
      <c r="A90" s="40">
        <v>17884</v>
      </c>
      <c r="B90" s="40" t="s">
        <v>415</v>
      </c>
      <c r="C90" s="40" t="s">
        <v>1690</v>
      </c>
      <c r="D90" s="40" t="s">
        <v>1854</v>
      </c>
      <c r="E90" s="40">
        <v>18</v>
      </c>
      <c r="F90" s="40" t="s">
        <v>53</v>
      </c>
      <c r="G90" s="40" t="s">
        <v>42</v>
      </c>
      <c r="H90" s="41" t="s">
        <v>638</v>
      </c>
      <c r="I90" s="42" t="s">
        <v>43</v>
      </c>
      <c r="J90" s="40" t="s">
        <v>43</v>
      </c>
      <c r="K90" s="41" t="s">
        <v>43</v>
      </c>
      <c r="L90" s="40">
        <v>2</v>
      </c>
      <c r="M90" s="40">
        <v>1</v>
      </c>
      <c r="N90" s="41">
        <v>1</v>
      </c>
      <c r="O90" s="40">
        <v>5</v>
      </c>
      <c r="P90" s="40">
        <v>2</v>
      </c>
      <c r="Q90" s="41">
        <v>4</v>
      </c>
      <c r="R90" s="40">
        <v>4</v>
      </c>
      <c r="S90" s="40">
        <v>7</v>
      </c>
      <c r="T90" s="40">
        <v>1</v>
      </c>
      <c r="U90" s="40">
        <v>2</v>
      </c>
      <c r="V90" s="40" t="s">
        <v>45</v>
      </c>
      <c r="W90" s="40" t="s">
        <v>45</v>
      </c>
      <c r="X90" s="40">
        <v>2</v>
      </c>
      <c r="Y90" s="40">
        <v>7</v>
      </c>
      <c r="Z90" s="40" t="s">
        <v>45</v>
      </c>
      <c r="AA90" s="40" t="s">
        <v>45</v>
      </c>
      <c r="AB90" s="40" t="s">
        <v>45</v>
      </c>
      <c r="AC90" s="40" t="s">
        <v>45</v>
      </c>
      <c r="AD90" s="40" t="s">
        <v>45</v>
      </c>
      <c r="AE90" s="40" t="s">
        <v>45</v>
      </c>
      <c r="AF90" s="40" t="s">
        <v>45</v>
      </c>
      <c r="AG90" s="40" t="s">
        <v>45</v>
      </c>
      <c r="AH90" s="40" t="s">
        <v>45</v>
      </c>
      <c r="AI90" s="40" t="s">
        <v>45</v>
      </c>
      <c r="AJ90" s="40" t="s">
        <v>45</v>
      </c>
      <c r="AK90" s="40" t="s">
        <v>45</v>
      </c>
      <c r="AL90" s="40" t="s">
        <v>45</v>
      </c>
      <c r="AM90" s="40" t="s">
        <v>45</v>
      </c>
      <c r="AN90" s="40" t="s">
        <v>45</v>
      </c>
      <c r="AO90" s="41" t="s">
        <v>45</v>
      </c>
      <c r="AP90" s="40" t="s">
        <v>57</v>
      </c>
      <c r="AQ90" s="40">
        <v>6</v>
      </c>
      <c r="AR90" s="48" t="s">
        <v>14</v>
      </c>
      <c r="AS90" s="43" t="s">
        <v>563</v>
      </c>
      <c r="AT90" s="43" t="s">
        <v>47</v>
      </c>
      <c r="AU90" s="44">
        <f t="shared" si="8"/>
        <v>-2.5067929134584248</v>
      </c>
      <c r="AV90" s="44">
        <f t="shared" si="9"/>
        <v>-0.55483077460144581</v>
      </c>
      <c r="AW90" s="45">
        <f t="shared" si="10"/>
        <v>3</v>
      </c>
      <c r="AX90" s="45">
        <f t="shared" si="11"/>
        <v>2</v>
      </c>
      <c r="AY90" s="46">
        <f>VLOOKUP(AP90,COND!$A$10:$B$32,2,FALSE)</f>
        <v>1</v>
      </c>
      <c r="AZ90" s="44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44.591975277147412</v>
      </c>
      <c r="BA90" s="47">
        <f t="shared" si="15"/>
        <v>0.58022469022407697</v>
      </c>
      <c r="BB90" s="45" t="str">
        <f t="shared" si="12"/>
        <v>SP</v>
      </c>
      <c r="BC90" s="45">
        <f>RANK(Table3[[#This Row],[zScore]],Table3[zScore])</f>
        <v>203</v>
      </c>
      <c r="BD90" s="45"/>
      <c r="BE90" s="45"/>
      <c r="BF90" s="45" t="str">
        <f t="shared" si="13"/>
        <v>Unlikely</v>
      </c>
      <c r="BG90" s="45"/>
      <c r="BH90" s="45">
        <f>INDEX(Table5[[#All],[Ovr]],MATCH(Table3[[#This Row],[PID]],Table5[[#All],[PID]],0))</f>
        <v>597</v>
      </c>
      <c r="BI90" s="45" t="str">
        <f>INDEX(Table5[[#All],[Rnd]],MATCH(Table3[[#This Row],[PID]],Table5[[#All],[PID]],0))</f>
        <v>20</v>
      </c>
      <c r="BJ90" s="45">
        <f>INDEX(Table5[[#All],[Pick]],MATCH(Table3[[#This Row],[PID]],Table5[[#All],[PID]],0))</f>
        <v>19</v>
      </c>
      <c r="BK90" s="45" t="str">
        <f>INDEX(Table5[[#All],[Team]],MATCH(Table3[[#This Row],[PID]],Table5[[#All],[PID]],0))</f>
        <v>Kalamazoo Badgers</v>
      </c>
      <c r="BL90" s="45" t="str">
        <f>IF(OR(Table3[[#This Row],[POS]]="SP",Table3[[#This Row],[POS]]="RP",Table3[[#This Row],[POS]]="CL"),"P",INDEX(Batters[[#All],[zScore]],MATCH(Table3[[#This Row],[PID]],Batters[[#All],[PID]],0)))</f>
        <v>P</v>
      </c>
    </row>
    <row r="91" spans="1:64" ht="15" customHeight="1" x14ac:dyDescent="0.25">
      <c r="A91" s="40">
        <v>21025</v>
      </c>
      <c r="B91" s="40" t="s">
        <v>415</v>
      </c>
      <c r="C91" s="40" t="s">
        <v>689</v>
      </c>
      <c r="D91" s="40" t="s">
        <v>642</v>
      </c>
      <c r="E91" s="40">
        <v>17</v>
      </c>
      <c r="F91" s="40" t="s">
        <v>42</v>
      </c>
      <c r="G91" s="40" t="s">
        <v>42</v>
      </c>
      <c r="H91" s="41" t="s">
        <v>639</v>
      </c>
      <c r="I91" s="42" t="s">
        <v>43</v>
      </c>
      <c r="J91" s="40" t="s">
        <v>44</v>
      </c>
      <c r="K91" s="41" t="s">
        <v>43</v>
      </c>
      <c r="L91" s="40">
        <v>2</v>
      </c>
      <c r="M91" s="40">
        <v>1</v>
      </c>
      <c r="N91" s="41">
        <v>1</v>
      </c>
      <c r="O91" s="40">
        <v>6</v>
      </c>
      <c r="P91" s="40">
        <v>1</v>
      </c>
      <c r="Q91" s="41">
        <v>4</v>
      </c>
      <c r="R91" s="40">
        <v>4</v>
      </c>
      <c r="S91" s="40">
        <v>7</v>
      </c>
      <c r="T91" s="40">
        <v>1</v>
      </c>
      <c r="U91" s="40">
        <v>1</v>
      </c>
      <c r="V91" s="40">
        <v>2</v>
      </c>
      <c r="W91" s="40">
        <v>8</v>
      </c>
      <c r="X91" s="40" t="s">
        <v>45</v>
      </c>
      <c r="Y91" s="40" t="s">
        <v>45</v>
      </c>
      <c r="Z91" s="40" t="s">
        <v>45</v>
      </c>
      <c r="AA91" s="40" t="s">
        <v>45</v>
      </c>
      <c r="AB91" s="40" t="s">
        <v>45</v>
      </c>
      <c r="AC91" s="40" t="s">
        <v>45</v>
      </c>
      <c r="AD91" s="40" t="s">
        <v>45</v>
      </c>
      <c r="AE91" s="40" t="s">
        <v>45</v>
      </c>
      <c r="AF91" s="40" t="s">
        <v>45</v>
      </c>
      <c r="AG91" s="40" t="s">
        <v>45</v>
      </c>
      <c r="AH91" s="40" t="s">
        <v>45</v>
      </c>
      <c r="AI91" s="40" t="s">
        <v>45</v>
      </c>
      <c r="AJ91" s="40" t="s">
        <v>45</v>
      </c>
      <c r="AK91" s="40" t="s">
        <v>45</v>
      </c>
      <c r="AL91" s="40" t="s">
        <v>45</v>
      </c>
      <c r="AM91" s="40" t="s">
        <v>45</v>
      </c>
      <c r="AN91" s="40" t="s">
        <v>45</v>
      </c>
      <c r="AO91" s="41" t="s">
        <v>45</v>
      </c>
      <c r="AP91" s="40" t="s">
        <v>58</v>
      </c>
      <c r="AQ91" s="40">
        <v>5</v>
      </c>
      <c r="AR91" s="48" t="s">
        <v>14</v>
      </c>
      <c r="AS91" s="43" t="s">
        <v>644</v>
      </c>
      <c r="AT91" s="43" t="s">
        <v>635</v>
      </c>
      <c r="AU91" s="44">
        <f t="shared" si="8"/>
        <v>-2.5067929134584248</v>
      </c>
      <c r="AV91" s="44">
        <f t="shared" si="9"/>
        <v>-0.55557116652232774</v>
      </c>
      <c r="AW91" s="45">
        <f t="shared" si="10"/>
        <v>3</v>
      </c>
      <c r="AX91" s="45">
        <f t="shared" si="11"/>
        <v>2</v>
      </c>
      <c r="AY91" s="46">
        <f>VLOOKUP(AP91,COND!$A$10:$B$32,2,FALSE)</f>
        <v>1</v>
      </c>
      <c r="AZ91" s="44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44.277537634690219</v>
      </c>
      <c r="BA91" s="47">
        <f t="shared" si="15"/>
        <v>0.55930563436634173</v>
      </c>
      <c r="BB91" s="45" t="str">
        <f t="shared" si="12"/>
        <v>SP</v>
      </c>
      <c r="BC91" s="45">
        <f>RANK(Table3[[#This Row],[zScore]],Table3[zScore])</f>
        <v>206</v>
      </c>
      <c r="BD91" s="45"/>
      <c r="BE91" s="45"/>
      <c r="BF91" s="45" t="str">
        <f t="shared" si="13"/>
        <v>Unlikely</v>
      </c>
      <c r="BG91" s="45"/>
      <c r="BH91" s="45">
        <f>INDEX(Table5[[#All],[Ovr]],MATCH(Table3[[#This Row],[PID]],Table5[[#All],[PID]],0))</f>
        <v>543</v>
      </c>
      <c r="BI91" s="45" t="str">
        <f>INDEX(Table5[[#All],[Rnd]],MATCH(Table3[[#This Row],[PID]],Table5[[#All],[PID]],0))</f>
        <v>18</v>
      </c>
      <c r="BJ91" s="45">
        <f>INDEX(Table5[[#All],[Pick]],MATCH(Table3[[#This Row],[PID]],Table5[[#All],[PID]],0))</f>
        <v>25</v>
      </c>
      <c r="BK91" s="45" t="str">
        <f>INDEX(Table5[[#All],[Team]],MATCH(Table3[[#This Row],[PID]],Table5[[#All],[PID]],0))</f>
        <v>Toyama Wind Dancers</v>
      </c>
      <c r="BL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92" spans="1:64" ht="15" customHeight="1" x14ac:dyDescent="0.25">
      <c r="A92" s="40">
        <v>18324</v>
      </c>
      <c r="B92" s="40" t="s">
        <v>415</v>
      </c>
      <c r="C92" s="40" t="s">
        <v>141</v>
      </c>
      <c r="D92" s="40" t="s">
        <v>703</v>
      </c>
      <c r="E92" s="40">
        <v>21</v>
      </c>
      <c r="F92" s="40" t="s">
        <v>62</v>
      </c>
      <c r="G92" s="40" t="s">
        <v>42</v>
      </c>
      <c r="H92" s="41" t="s">
        <v>638</v>
      </c>
      <c r="I92" s="42" t="s">
        <v>43</v>
      </c>
      <c r="J92" s="40" t="s">
        <v>43</v>
      </c>
      <c r="K92" s="41" t="s">
        <v>43</v>
      </c>
      <c r="L92" s="40">
        <v>3</v>
      </c>
      <c r="M92" s="40">
        <v>3</v>
      </c>
      <c r="N92" s="41">
        <v>4</v>
      </c>
      <c r="O92" s="40">
        <v>4</v>
      </c>
      <c r="P92" s="40">
        <v>4</v>
      </c>
      <c r="Q92" s="41">
        <v>5</v>
      </c>
      <c r="R92" s="40" t="s">
        <v>45</v>
      </c>
      <c r="S92" s="40" t="s">
        <v>45</v>
      </c>
      <c r="T92" s="40" t="s">
        <v>45</v>
      </c>
      <c r="U92" s="40" t="s">
        <v>45</v>
      </c>
      <c r="V92" s="40">
        <v>3</v>
      </c>
      <c r="W92" s="40">
        <v>5</v>
      </c>
      <c r="X92" s="40" t="s">
        <v>45</v>
      </c>
      <c r="Y92" s="40" t="s">
        <v>45</v>
      </c>
      <c r="Z92" s="40">
        <v>4</v>
      </c>
      <c r="AA92" s="40">
        <v>5</v>
      </c>
      <c r="AB92" s="40" t="s">
        <v>45</v>
      </c>
      <c r="AC92" s="40" t="s">
        <v>45</v>
      </c>
      <c r="AD92" s="40">
        <v>4</v>
      </c>
      <c r="AE92" s="40">
        <v>5</v>
      </c>
      <c r="AF92" s="40" t="s">
        <v>45</v>
      </c>
      <c r="AG92" s="40" t="s">
        <v>45</v>
      </c>
      <c r="AH92" s="40" t="s">
        <v>45</v>
      </c>
      <c r="AI92" s="40" t="s">
        <v>45</v>
      </c>
      <c r="AJ92" s="40" t="s">
        <v>45</v>
      </c>
      <c r="AK92" s="40" t="s">
        <v>45</v>
      </c>
      <c r="AL92" s="40" t="s">
        <v>45</v>
      </c>
      <c r="AM92" s="40" t="s">
        <v>45</v>
      </c>
      <c r="AN92" s="40" t="s">
        <v>45</v>
      </c>
      <c r="AO92" s="41" t="s">
        <v>45</v>
      </c>
      <c r="AP92" s="40" t="s">
        <v>350</v>
      </c>
      <c r="AQ92" s="40">
        <v>1</v>
      </c>
      <c r="AR92" s="48" t="s">
        <v>347</v>
      </c>
      <c r="AS92" s="43" t="s">
        <v>45</v>
      </c>
      <c r="AT92" s="43" t="s">
        <v>47</v>
      </c>
      <c r="AU92" s="44">
        <f t="shared" si="8"/>
        <v>-1.1942764579268088</v>
      </c>
      <c r="AV92" s="44">
        <f t="shared" si="9"/>
        <v>-0.11633810019639811</v>
      </c>
      <c r="AW92" s="45">
        <f t="shared" si="10"/>
        <v>3</v>
      </c>
      <c r="AX92" s="45">
        <f t="shared" si="11"/>
        <v>0</v>
      </c>
      <c r="AY92" s="46">
        <f>VLOOKUP(AP92,COND!$A$10:$B$32,2,FALSE)</f>
        <v>1</v>
      </c>
      <c r="AZ92" s="44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43.987663569262338</v>
      </c>
      <c r="BA92" s="47">
        <f t="shared" si="15"/>
        <v>0.54002075575254727</v>
      </c>
      <c r="BB92" s="45" t="str">
        <f t="shared" si="12"/>
        <v>RP</v>
      </c>
      <c r="BC92" s="45">
        <f>RANK(Table3[[#This Row],[zScore]],Table3[zScore])</f>
        <v>208</v>
      </c>
      <c r="BD92" s="45"/>
      <c r="BE92" s="45"/>
      <c r="BF92" s="45" t="str">
        <f t="shared" si="13"/>
        <v>Possible</v>
      </c>
      <c r="BG92" s="45"/>
      <c r="BH92" s="45" t="str">
        <f>INDEX(Table5[[#All],[Ovr]],MATCH(Table3[[#This Row],[PID]],Table5[[#All],[PID]],0))</f>
        <v/>
      </c>
      <c r="BI92" s="45" t="str">
        <f>INDEX(Table5[[#All],[Rnd]],MATCH(Table3[[#This Row],[PID]],Table5[[#All],[PID]],0))</f>
        <v/>
      </c>
      <c r="BJ92" s="45" t="str">
        <f>INDEX(Table5[[#All],[Pick]],MATCH(Table3[[#This Row],[PID]],Table5[[#All],[PID]],0))</f>
        <v/>
      </c>
      <c r="BK92" s="45" t="str">
        <f>INDEX(Table5[[#All],[Team]],MATCH(Table3[[#This Row],[PID]],Table5[[#All],[PID]],0))</f>
        <v/>
      </c>
      <c r="BL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93" spans="1:64" ht="15" customHeight="1" x14ac:dyDescent="0.25">
      <c r="A93" s="40">
        <v>17618</v>
      </c>
      <c r="B93" s="40" t="s">
        <v>415</v>
      </c>
      <c r="C93" s="40" t="s">
        <v>545</v>
      </c>
      <c r="D93" s="40" t="s">
        <v>1873</v>
      </c>
      <c r="E93" s="40">
        <v>18</v>
      </c>
      <c r="F93" s="40" t="s">
        <v>42</v>
      </c>
      <c r="G93" s="40" t="s">
        <v>42</v>
      </c>
      <c r="H93" s="41" t="s">
        <v>638</v>
      </c>
      <c r="I93" s="42" t="s">
        <v>43</v>
      </c>
      <c r="J93" s="40" t="s">
        <v>43</v>
      </c>
      <c r="K93" s="41" t="s">
        <v>47</v>
      </c>
      <c r="L93" s="40">
        <v>3</v>
      </c>
      <c r="M93" s="40">
        <v>2</v>
      </c>
      <c r="N93" s="41">
        <v>1</v>
      </c>
      <c r="O93" s="40">
        <v>6</v>
      </c>
      <c r="P93" s="40">
        <v>2</v>
      </c>
      <c r="Q93" s="41">
        <v>3</v>
      </c>
      <c r="R93" s="40">
        <v>5</v>
      </c>
      <c r="S93" s="40">
        <v>7</v>
      </c>
      <c r="T93" s="40">
        <v>1</v>
      </c>
      <c r="U93" s="40">
        <v>1</v>
      </c>
      <c r="V93" s="40" t="s">
        <v>45</v>
      </c>
      <c r="W93" s="40" t="s">
        <v>45</v>
      </c>
      <c r="X93" s="40" t="s">
        <v>45</v>
      </c>
      <c r="Y93" s="40" t="s">
        <v>45</v>
      </c>
      <c r="Z93" s="40">
        <v>4</v>
      </c>
      <c r="AA93" s="40">
        <v>6</v>
      </c>
      <c r="AB93" s="40" t="s">
        <v>45</v>
      </c>
      <c r="AC93" s="40" t="s">
        <v>45</v>
      </c>
      <c r="AD93" s="40" t="s">
        <v>45</v>
      </c>
      <c r="AE93" s="40" t="s">
        <v>45</v>
      </c>
      <c r="AF93" s="40" t="s">
        <v>45</v>
      </c>
      <c r="AG93" s="40" t="s">
        <v>45</v>
      </c>
      <c r="AH93" s="40" t="s">
        <v>45</v>
      </c>
      <c r="AI93" s="40" t="s">
        <v>45</v>
      </c>
      <c r="AJ93" s="40" t="s">
        <v>45</v>
      </c>
      <c r="AK93" s="40" t="s">
        <v>45</v>
      </c>
      <c r="AL93" s="40" t="s">
        <v>45</v>
      </c>
      <c r="AM93" s="40" t="s">
        <v>45</v>
      </c>
      <c r="AN93" s="40" t="s">
        <v>45</v>
      </c>
      <c r="AO93" s="41" t="s">
        <v>45</v>
      </c>
      <c r="AP93" s="40" t="s">
        <v>60</v>
      </c>
      <c r="AQ93" s="40">
        <v>9</v>
      </c>
      <c r="AR93" s="48" t="s">
        <v>347</v>
      </c>
      <c r="AS93" s="43" t="s">
        <v>644</v>
      </c>
      <c r="AT93" s="43" t="s">
        <v>47</v>
      </c>
      <c r="AU93" s="44">
        <f t="shared" si="8"/>
        <v>-2.1166698725191955</v>
      </c>
      <c r="AV93" s="44">
        <f t="shared" si="9"/>
        <v>-0.60246001614638267</v>
      </c>
      <c r="AW93" s="45">
        <f t="shared" si="10"/>
        <v>3</v>
      </c>
      <c r="AX93" s="45">
        <f t="shared" si="11"/>
        <v>2</v>
      </c>
      <c r="AY93" s="46">
        <f>VLOOKUP(AP93,COND!$A$10:$B$32,2,FALSE)</f>
        <v>1.0249999999999999</v>
      </c>
      <c r="AZ93" s="44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43.615652345132716</v>
      </c>
      <c r="BA93" s="47">
        <f t="shared" si="15"/>
        <v>0.5152714174848444</v>
      </c>
      <c r="BB93" s="45" t="str">
        <f t="shared" si="12"/>
        <v>SP</v>
      </c>
      <c r="BC93" s="45">
        <f>RANK(Table3[[#This Row],[zScore]],Table3[zScore])</f>
        <v>212</v>
      </c>
      <c r="BD93" s="45"/>
      <c r="BE93" s="45"/>
      <c r="BF93" s="45" t="str">
        <f t="shared" si="13"/>
        <v>Unlikely</v>
      </c>
      <c r="BG93" s="45"/>
      <c r="BH93" s="45">
        <f>INDEX(Table5[[#All],[Ovr]],MATCH(Table3[[#This Row],[PID]],Table5[[#All],[PID]],0))</f>
        <v>476</v>
      </c>
      <c r="BI93" s="45" t="str">
        <f>INDEX(Table5[[#All],[Rnd]],MATCH(Table3[[#This Row],[PID]],Table5[[#All],[PID]],0))</f>
        <v>16</v>
      </c>
      <c r="BJ93" s="45">
        <f>INDEX(Table5[[#All],[Pick]],MATCH(Table3[[#This Row],[PID]],Table5[[#All],[PID]],0))</f>
        <v>18</v>
      </c>
      <c r="BK93" s="45" t="str">
        <f>INDEX(Table5[[#All],[Team]],MATCH(Table3[[#This Row],[PID]],Table5[[#All],[PID]],0))</f>
        <v>Bakersfield Bears</v>
      </c>
      <c r="BL93" s="45" t="str">
        <f>IF(OR(Table3[[#This Row],[POS]]="SP",Table3[[#This Row],[POS]]="RP",Table3[[#This Row],[POS]]="CL"),"P",INDEX(Batters[[#All],[zScore]],MATCH(Table3[[#This Row],[PID]],Batters[[#All],[PID]],0)))</f>
        <v>P</v>
      </c>
    </row>
    <row r="94" spans="1:64" ht="15" customHeight="1" x14ac:dyDescent="0.25">
      <c r="A94" s="40">
        <v>18270</v>
      </c>
      <c r="B94" s="40" t="s">
        <v>415</v>
      </c>
      <c r="C94" s="40" t="s">
        <v>658</v>
      </c>
      <c r="D94" s="40" t="s">
        <v>661</v>
      </c>
      <c r="E94" s="40">
        <v>18</v>
      </c>
      <c r="F94" s="40" t="s">
        <v>42</v>
      </c>
      <c r="G94" s="40" t="s">
        <v>42</v>
      </c>
      <c r="H94" s="41" t="s">
        <v>638</v>
      </c>
      <c r="I94" s="42" t="s">
        <v>44</v>
      </c>
      <c r="J94" s="40" t="s">
        <v>47</v>
      </c>
      <c r="K94" s="41" t="s">
        <v>43</v>
      </c>
      <c r="L94" s="40">
        <v>2</v>
      </c>
      <c r="M94" s="40">
        <v>2</v>
      </c>
      <c r="N94" s="41">
        <v>1</v>
      </c>
      <c r="O94" s="40">
        <v>3</v>
      </c>
      <c r="P94" s="40">
        <v>3</v>
      </c>
      <c r="Q94" s="41">
        <v>5</v>
      </c>
      <c r="R94" s="40">
        <v>3</v>
      </c>
      <c r="S94" s="40">
        <v>5</v>
      </c>
      <c r="T94" s="40">
        <v>1</v>
      </c>
      <c r="U94" s="40">
        <v>3</v>
      </c>
      <c r="V94" s="40">
        <v>1</v>
      </c>
      <c r="W94" s="40">
        <v>3</v>
      </c>
      <c r="X94" s="40">
        <v>2</v>
      </c>
      <c r="Y94" s="40">
        <v>2</v>
      </c>
      <c r="Z94" s="40" t="s">
        <v>45</v>
      </c>
      <c r="AA94" s="40" t="s">
        <v>45</v>
      </c>
      <c r="AB94" s="40" t="s">
        <v>45</v>
      </c>
      <c r="AC94" s="40" t="s">
        <v>45</v>
      </c>
      <c r="AD94" s="40" t="s">
        <v>45</v>
      </c>
      <c r="AE94" s="40" t="s">
        <v>45</v>
      </c>
      <c r="AF94" s="40" t="s">
        <v>45</v>
      </c>
      <c r="AG94" s="40" t="s">
        <v>45</v>
      </c>
      <c r="AH94" s="40" t="s">
        <v>45</v>
      </c>
      <c r="AI94" s="40" t="s">
        <v>45</v>
      </c>
      <c r="AJ94" s="40" t="s">
        <v>45</v>
      </c>
      <c r="AK94" s="40" t="s">
        <v>45</v>
      </c>
      <c r="AL94" s="40" t="s">
        <v>45</v>
      </c>
      <c r="AM94" s="40" t="s">
        <v>45</v>
      </c>
      <c r="AN94" s="40" t="s">
        <v>45</v>
      </c>
      <c r="AO94" s="41" t="s">
        <v>45</v>
      </c>
      <c r="AP94" s="40" t="s">
        <v>349</v>
      </c>
      <c r="AQ94" s="40">
        <v>8</v>
      </c>
      <c r="AR94" s="48" t="s">
        <v>347</v>
      </c>
      <c r="AS94" s="43" t="s">
        <v>654</v>
      </c>
      <c r="AT94" s="43" t="s">
        <v>47</v>
      </c>
      <c r="AU94" s="44">
        <f t="shared" si="8"/>
        <v>-2.311361197028369</v>
      </c>
      <c r="AV94" s="44">
        <f t="shared" si="9"/>
        <v>-0.5064611411356269</v>
      </c>
      <c r="AW94" s="45">
        <f t="shared" si="10"/>
        <v>4</v>
      </c>
      <c r="AX94" s="45">
        <f t="shared" si="11"/>
        <v>0</v>
      </c>
      <c r="AY94" s="46">
        <f>VLOOKUP(AP94,COND!$A$10:$B$32,2,FALSE)</f>
        <v>1</v>
      </c>
      <c r="AZ94" s="44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43.558504937881786</v>
      </c>
      <c r="BA94" s="47">
        <f t="shared" si="15"/>
        <v>0.51146948780789836</v>
      </c>
      <c r="BB94" s="45" t="str">
        <f t="shared" si="12"/>
        <v>SP</v>
      </c>
      <c r="BC94" s="45">
        <f>RANK(Table3[[#This Row],[zScore]],Table3[zScore])</f>
        <v>215</v>
      </c>
      <c r="BD94" s="45"/>
      <c r="BE94" s="45"/>
      <c r="BF94" s="45" t="str">
        <f t="shared" si="13"/>
        <v>Unlikely</v>
      </c>
      <c r="BG94" s="45"/>
      <c r="BH94" s="45" t="str">
        <f>INDEX(Table5[[#All],[Ovr]],MATCH(Table3[[#This Row],[PID]],Table5[[#All],[PID]],0))</f>
        <v/>
      </c>
      <c r="BI94" s="45" t="str">
        <f>INDEX(Table5[[#All],[Rnd]],MATCH(Table3[[#This Row],[PID]],Table5[[#All],[PID]],0))</f>
        <v/>
      </c>
      <c r="BJ94" s="45" t="str">
        <f>INDEX(Table5[[#All],[Pick]],MATCH(Table3[[#This Row],[PID]],Table5[[#All],[PID]],0))</f>
        <v/>
      </c>
      <c r="BK94" s="45" t="str">
        <f>INDEX(Table5[[#All],[Team]],MATCH(Table3[[#This Row],[PID]],Table5[[#All],[PID]],0))</f>
        <v/>
      </c>
      <c r="BL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95" spans="1:64" ht="15" customHeight="1" x14ac:dyDescent="0.25">
      <c r="A95" s="40">
        <v>14569</v>
      </c>
      <c r="B95" s="40" t="s">
        <v>415</v>
      </c>
      <c r="C95" s="40" t="s">
        <v>165</v>
      </c>
      <c r="D95" s="40" t="s">
        <v>1897</v>
      </c>
      <c r="E95" s="40">
        <v>18</v>
      </c>
      <c r="F95" s="40" t="s">
        <v>53</v>
      </c>
      <c r="G95" s="40" t="s">
        <v>53</v>
      </c>
      <c r="H95" s="41" t="s">
        <v>639</v>
      </c>
      <c r="I95" s="42" t="s">
        <v>43</v>
      </c>
      <c r="J95" s="40" t="s">
        <v>43</v>
      </c>
      <c r="K95" s="41" t="s">
        <v>43</v>
      </c>
      <c r="L95" s="40">
        <v>2</v>
      </c>
      <c r="M95" s="40">
        <v>2</v>
      </c>
      <c r="N95" s="41">
        <v>1</v>
      </c>
      <c r="O95" s="40">
        <v>4</v>
      </c>
      <c r="P95" s="40">
        <v>4</v>
      </c>
      <c r="Q95" s="41">
        <v>3</v>
      </c>
      <c r="R95" s="40">
        <v>3</v>
      </c>
      <c r="S95" s="40">
        <v>4</v>
      </c>
      <c r="T95" s="40">
        <v>1</v>
      </c>
      <c r="U95" s="40">
        <v>4</v>
      </c>
      <c r="V95" s="40">
        <v>2</v>
      </c>
      <c r="W95" s="40">
        <v>6</v>
      </c>
      <c r="X95" s="40" t="s">
        <v>45</v>
      </c>
      <c r="Y95" s="40" t="s">
        <v>45</v>
      </c>
      <c r="Z95" s="40" t="s">
        <v>45</v>
      </c>
      <c r="AA95" s="40" t="s">
        <v>45</v>
      </c>
      <c r="AB95" s="40" t="s">
        <v>45</v>
      </c>
      <c r="AC95" s="40" t="s">
        <v>45</v>
      </c>
      <c r="AD95" s="40" t="s">
        <v>45</v>
      </c>
      <c r="AE95" s="40" t="s">
        <v>45</v>
      </c>
      <c r="AF95" s="40">
        <v>2</v>
      </c>
      <c r="AG95" s="40">
        <v>3</v>
      </c>
      <c r="AH95" s="40" t="s">
        <v>45</v>
      </c>
      <c r="AI95" s="40" t="s">
        <v>45</v>
      </c>
      <c r="AJ95" s="40" t="s">
        <v>45</v>
      </c>
      <c r="AK95" s="40" t="s">
        <v>45</v>
      </c>
      <c r="AL95" s="40" t="s">
        <v>45</v>
      </c>
      <c r="AM95" s="40" t="s">
        <v>45</v>
      </c>
      <c r="AN95" s="40" t="s">
        <v>45</v>
      </c>
      <c r="AO95" s="41" t="s">
        <v>45</v>
      </c>
      <c r="AP95" s="40" t="s">
        <v>68</v>
      </c>
      <c r="AQ95" s="40">
        <v>7</v>
      </c>
      <c r="AR95" s="48" t="s">
        <v>346</v>
      </c>
      <c r="AS95" s="43" t="s">
        <v>644</v>
      </c>
      <c r="AT95" s="43" t="s">
        <v>47</v>
      </c>
      <c r="AU95" s="44">
        <f t="shared" si="8"/>
        <v>-2.311361197028369</v>
      </c>
      <c r="AV95" s="44">
        <f t="shared" si="9"/>
        <v>-0.6009792323046188</v>
      </c>
      <c r="AW95" s="45">
        <f t="shared" si="10"/>
        <v>4</v>
      </c>
      <c r="AX95" s="45">
        <f t="shared" si="11"/>
        <v>1</v>
      </c>
      <c r="AY95" s="46">
        <f>VLOOKUP(AP95,COND!$A$10:$B$32,2,FALSE)</f>
        <v>0.95</v>
      </c>
      <c r="AZ95" s="44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43.229735958776857</v>
      </c>
      <c r="BA95" s="47">
        <f t="shared" si="15"/>
        <v>0.48959699002283147</v>
      </c>
      <c r="BB95" s="45" t="str">
        <f t="shared" si="12"/>
        <v>SP</v>
      </c>
      <c r="BC95" s="45">
        <f>RANK(Table3[[#This Row],[zScore]],Table3[zScore])</f>
        <v>219</v>
      </c>
      <c r="BD95" s="45"/>
      <c r="BE95" s="45"/>
      <c r="BF95" s="45" t="str">
        <f t="shared" si="13"/>
        <v>Unlikely</v>
      </c>
      <c r="BG95" s="45"/>
      <c r="BH95" s="45" t="str">
        <f>INDEX(Table5[[#All],[Ovr]],MATCH(Table3[[#This Row],[PID]],Table5[[#All],[PID]],0))</f>
        <v/>
      </c>
      <c r="BI95" s="45" t="str">
        <f>INDEX(Table5[[#All],[Rnd]],MATCH(Table3[[#This Row],[PID]],Table5[[#All],[PID]],0))</f>
        <v/>
      </c>
      <c r="BJ95" s="45" t="str">
        <f>INDEX(Table5[[#All],[Pick]],MATCH(Table3[[#This Row],[PID]],Table5[[#All],[PID]],0))</f>
        <v/>
      </c>
      <c r="BK95" s="45" t="str">
        <f>INDEX(Table5[[#All],[Team]],MATCH(Table3[[#This Row],[PID]],Table5[[#All],[PID]],0))</f>
        <v/>
      </c>
      <c r="BL95" s="45" t="str">
        <f>IF(OR(Table3[[#This Row],[POS]]="SP",Table3[[#This Row],[POS]]="RP",Table3[[#This Row],[POS]]="CL"),"P",INDEX(Batters[[#All],[zScore]],MATCH(Table3[[#This Row],[PID]],Batters[[#All],[PID]],0)))</f>
        <v>P</v>
      </c>
    </row>
    <row r="96" spans="1:64" ht="15" customHeight="1" x14ac:dyDescent="0.25">
      <c r="A96" s="40">
        <v>18109</v>
      </c>
      <c r="B96" s="40" t="s">
        <v>415</v>
      </c>
      <c r="C96" s="40" t="s">
        <v>1148</v>
      </c>
      <c r="D96" s="40" t="s">
        <v>1860</v>
      </c>
      <c r="E96" s="40">
        <v>21</v>
      </c>
      <c r="F96" s="40" t="s">
        <v>62</v>
      </c>
      <c r="G96" s="40" t="s">
        <v>42</v>
      </c>
      <c r="H96" s="41" t="s">
        <v>638</v>
      </c>
      <c r="I96" s="42" t="s">
        <v>43</v>
      </c>
      <c r="J96" s="40" t="s">
        <v>47</v>
      </c>
      <c r="K96" s="41" t="s">
        <v>43</v>
      </c>
      <c r="L96" s="40">
        <v>3</v>
      </c>
      <c r="M96" s="40">
        <v>2</v>
      </c>
      <c r="N96" s="41">
        <v>1</v>
      </c>
      <c r="O96" s="40">
        <v>5</v>
      </c>
      <c r="P96" s="40">
        <v>3</v>
      </c>
      <c r="Q96" s="41">
        <v>4</v>
      </c>
      <c r="R96" s="40">
        <v>5</v>
      </c>
      <c r="S96" s="40">
        <v>6</v>
      </c>
      <c r="T96" s="40">
        <v>2</v>
      </c>
      <c r="U96" s="40">
        <v>2</v>
      </c>
      <c r="V96" s="40">
        <v>3</v>
      </c>
      <c r="W96" s="40">
        <v>5</v>
      </c>
      <c r="X96" s="40" t="s">
        <v>45</v>
      </c>
      <c r="Y96" s="40" t="s">
        <v>45</v>
      </c>
      <c r="Z96" s="40" t="s">
        <v>45</v>
      </c>
      <c r="AA96" s="40" t="s">
        <v>45</v>
      </c>
      <c r="AB96" s="40" t="s">
        <v>45</v>
      </c>
      <c r="AC96" s="40" t="s">
        <v>45</v>
      </c>
      <c r="AD96" s="40">
        <v>4</v>
      </c>
      <c r="AE96" s="40">
        <v>5</v>
      </c>
      <c r="AF96" s="40">
        <v>4</v>
      </c>
      <c r="AG96" s="40">
        <v>6</v>
      </c>
      <c r="AH96" s="40" t="s">
        <v>45</v>
      </c>
      <c r="AI96" s="40" t="s">
        <v>45</v>
      </c>
      <c r="AJ96" s="40" t="s">
        <v>45</v>
      </c>
      <c r="AK96" s="40" t="s">
        <v>45</v>
      </c>
      <c r="AL96" s="40" t="s">
        <v>45</v>
      </c>
      <c r="AM96" s="40" t="s">
        <v>45</v>
      </c>
      <c r="AN96" s="40" t="s">
        <v>45</v>
      </c>
      <c r="AO96" s="41" t="s">
        <v>45</v>
      </c>
      <c r="AP96" s="40" t="s">
        <v>58</v>
      </c>
      <c r="AQ96" s="40">
        <v>2</v>
      </c>
      <c r="AR96" s="48" t="s">
        <v>347</v>
      </c>
      <c r="AS96" s="43" t="s">
        <v>45</v>
      </c>
      <c r="AT96" s="43" t="s">
        <v>47</v>
      </c>
      <c r="AU96" s="44">
        <f t="shared" si="8"/>
        <v>-2.1166698725191955</v>
      </c>
      <c r="AV96" s="44">
        <f t="shared" si="9"/>
        <v>-0.35939905817139028</v>
      </c>
      <c r="AW96" s="45">
        <f t="shared" si="10"/>
        <v>5</v>
      </c>
      <c r="AX96" s="45">
        <f t="shared" si="11"/>
        <v>2</v>
      </c>
      <c r="AY96" s="46">
        <f>VLOOKUP(AP96,COND!$A$10:$B$32,2,FALSE)</f>
        <v>1</v>
      </c>
      <c r="AZ96" s="44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42.819250618964936</v>
      </c>
      <c r="BA96" s="47">
        <f t="shared" si="15"/>
        <v>0.46228802763142174</v>
      </c>
      <c r="BB96" s="45" t="str">
        <f t="shared" si="12"/>
        <v>RP</v>
      </c>
      <c r="BC96" s="45">
        <f>RANK(Table3[[#This Row],[zScore]],Table3[zScore])</f>
        <v>221</v>
      </c>
      <c r="BD96" s="45"/>
      <c r="BE96" s="45"/>
      <c r="BF96" s="45" t="str">
        <f t="shared" si="13"/>
        <v>Possible</v>
      </c>
      <c r="BG96" s="45"/>
      <c r="BH96" s="45">
        <f>INDEX(Table5[[#All],[Ovr]],MATCH(Table3[[#This Row],[PID]],Table5[[#All],[PID]],0))</f>
        <v>607</v>
      </c>
      <c r="BI96" s="45" t="str">
        <f>INDEX(Table5[[#All],[Rnd]],MATCH(Table3[[#This Row],[PID]],Table5[[#All],[PID]],0))</f>
        <v>20</v>
      </c>
      <c r="BJ96" s="45">
        <f>INDEX(Table5[[#All],[Pick]],MATCH(Table3[[#This Row],[PID]],Table5[[#All],[PID]],0))</f>
        <v>29</v>
      </c>
      <c r="BK96" s="45" t="str">
        <f>INDEX(Table5[[#All],[Team]],MATCH(Table3[[#This Row],[PID]],Table5[[#All],[PID]],0))</f>
        <v>Havana Leones</v>
      </c>
      <c r="BL96" s="45" t="str">
        <f>IF(OR(Table3[[#This Row],[POS]]="SP",Table3[[#This Row],[POS]]="RP",Table3[[#This Row],[POS]]="CL"),"P",INDEX(Batters[[#All],[zScore]],MATCH(Table3[[#This Row],[PID]],Batters[[#All],[PID]],0)))</f>
        <v>P</v>
      </c>
    </row>
    <row r="97" spans="1:64" ht="15" customHeight="1" x14ac:dyDescent="0.25">
      <c r="A97" s="40">
        <v>18448</v>
      </c>
      <c r="B97" s="40" t="s">
        <v>415</v>
      </c>
      <c r="C97" s="40" t="s">
        <v>431</v>
      </c>
      <c r="D97" s="40" t="s">
        <v>1879</v>
      </c>
      <c r="E97" s="40">
        <v>18</v>
      </c>
      <c r="F97" s="40" t="s">
        <v>42</v>
      </c>
      <c r="G97" s="40" t="s">
        <v>42</v>
      </c>
      <c r="H97" s="41" t="s">
        <v>638</v>
      </c>
      <c r="I97" s="42" t="s">
        <v>43</v>
      </c>
      <c r="J97" s="40" t="s">
        <v>43</v>
      </c>
      <c r="K97" s="41" t="s">
        <v>43</v>
      </c>
      <c r="L97" s="40">
        <v>2</v>
      </c>
      <c r="M97" s="40">
        <v>3</v>
      </c>
      <c r="N97" s="41">
        <v>2</v>
      </c>
      <c r="O97" s="40">
        <v>5</v>
      </c>
      <c r="P97" s="40">
        <v>5</v>
      </c>
      <c r="Q97" s="41">
        <v>3</v>
      </c>
      <c r="R97" s="40" t="s">
        <v>45</v>
      </c>
      <c r="S97" s="40" t="s">
        <v>45</v>
      </c>
      <c r="T97" s="40">
        <v>1</v>
      </c>
      <c r="U97" s="40">
        <v>1</v>
      </c>
      <c r="V97" s="40" t="s">
        <v>45</v>
      </c>
      <c r="W97" s="40" t="s">
        <v>45</v>
      </c>
      <c r="X97" s="40" t="s">
        <v>45</v>
      </c>
      <c r="Y97" s="40" t="s">
        <v>45</v>
      </c>
      <c r="Z97" s="40">
        <v>5</v>
      </c>
      <c r="AA97" s="40">
        <v>7</v>
      </c>
      <c r="AB97" s="40" t="s">
        <v>45</v>
      </c>
      <c r="AC97" s="40" t="s">
        <v>45</v>
      </c>
      <c r="AD97" s="40" t="s">
        <v>45</v>
      </c>
      <c r="AE97" s="40" t="s">
        <v>45</v>
      </c>
      <c r="AF97" s="40" t="s">
        <v>45</v>
      </c>
      <c r="AG97" s="40" t="s">
        <v>45</v>
      </c>
      <c r="AH97" s="40" t="s">
        <v>45</v>
      </c>
      <c r="AI97" s="40" t="s">
        <v>45</v>
      </c>
      <c r="AJ97" s="40" t="s">
        <v>45</v>
      </c>
      <c r="AK97" s="40" t="s">
        <v>45</v>
      </c>
      <c r="AL97" s="40" t="s">
        <v>45</v>
      </c>
      <c r="AM97" s="40" t="s">
        <v>45</v>
      </c>
      <c r="AN97" s="40" t="s">
        <v>45</v>
      </c>
      <c r="AO97" s="41" t="s">
        <v>45</v>
      </c>
      <c r="AP97" s="40" t="s">
        <v>350</v>
      </c>
      <c r="AQ97" s="40">
        <v>10</v>
      </c>
      <c r="AR97" s="48" t="s">
        <v>348</v>
      </c>
      <c r="AS97" s="43" t="s">
        <v>644</v>
      </c>
      <c r="AT97" s="43" t="s">
        <v>47</v>
      </c>
      <c r="AU97" s="44">
        <f t="shared" si="8"/>
        <v>-1.8736089145442034</v>
      </c>
      <c r="AV97" s="44">
        <f t="shared" si="9"/>
        <v>-0.21085619136538991</v>
      </c>
      <c r="AW97" s="45">
        <f t="shared" si="10"/>
        <v>2</v>
      </c>
      <c r="AX97" s="45">
        <f t="shared" si="11"/>
        <v>1</v>
      </c>
      <c r="AY97" s="46">
        <f>VLOOKUP(AP97,COND!$A$10:$B$32,2,FALSE)</f>
        <v>1</v>
      </c>
      <c r="AZ97" s="44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42.658154389783363</v>
      </c>
      <c r="BA97" s="47">
        <f t="shared" si="15"/>
        <v>0.45157054167654387</v>
      </c>
      <c r="BB97" s="45" t="str">
        <f t="shared" si="12"/>
        <v>RP</v>
      </c>
      <c r="BC97" s="45">
        <f>RANK(Table3[[#This Row],[zScore]],Table3[zScore])</f>
        <v>222</v>
      </c>
      <c r="BD97" s="45"/>
      <c r="BE97" s="45"/>
      <c r="BF97" s="45" t="str">
        <f t="shared" si="13"/>
        <v>Possible</v>
      </c>
      <c r="BG97" s="45"/>
      <c r="BH97" s="45">
        <f>INDEX(Table5[[#All],[Ovr]],MATCH(Table3[[#This Row],[PID]],Table5[[#All],[PID]],0))</f>
        <v>372</v>
      </c>
      <c r="BI97" s="45" t="str">
        <f>INDEX(Table5[[#All],[Rnd]],MATCH(Table3[[#This Row],[PID]],Table5[[#All],[PID]],0))</f>
        <v>13</v>
      </c>
      <c r="BJ97" s="45">
        <f>INDEX(Table5[[#All],[Pick]],MATCH(Table3[[#This Row],[PID]],Table5[[#All],[PID]],0))</f>
        <v>4</v>
      </c>
      <c r="BK97" s="45" t="str">
        <f>INDEX(Table5[[#All],[Team]],MATCH(Table3[[#This Row],[PID]],Table5[[#All],[PID]],0))</f>
        <v>Tempe Knights</v>
      </c>
      <c r="BL97" s="45" t="str">
        <f>IF(OR(Table3[[#This Row],[POS]]="SP",Table3[[#This Row],[POS]]="RP",Table3[[#This Row],[POS]]="CL"),"P",INDEX(Batters[[#All],[zScore]],MATCH(Table3[[#This Row],[PID]],Batters[[#All],[PID]],0)))</f>
        <v>P</v>
      </c>
    </row>
    <row r="98" spans="1:64" ht="15" customHeight="1" x14ac:dyDescent="0.25">
      <c r="A98" s="40">
        <v>12958</v>
      </c>
      <c r="B98" s="40" t="s">
        <v>415</v>
      </c>
      <c r="C98" s="40" t="s">
        <v>1466</v>
      </c>
      <c r="D98" s="40" t="s">
        <v>1259</v>
      </c>
      <c r="E98" s="40">
        <v>18</v>
      </c>
      <c r="F98" s="40" t="s">
        <v>62</v>
      </c>
      <c r="G98" s="40" t="s">
        <v>42</v>
      </c>
      <c r="H98" s="41" t="s">
        <v>638</v>
      </c>
      <c r="I98" s="42" t="s">
        <v>43</v>
      </c>
      <c r="J98" s="40" t="s">
        <v>44</v>
      </c>
      <c r="K98" s="41" t="s">
        <v>47</v>
      </c>
      <c r="L98" s="40">
        <v>1</v>
      </c>
      <c r="M98" s="40">
        <v>2</v>
      </c>
      <c r="N98" s="41">
        <v>1</v>
      </c>
      <c r="O98" s="40">
        <v>5</v>
      </c>
      <c r="P98" s="40">
        <v>5</v>
      </c>
      <c r="Q98" s="41">
        <v>3</v>
      </c>
      <c r="R98" s="40">
        <v>3</v>
      </c>
      <c r="S98" s="40">
        <v>5</v>
      </c>
      <c r="T98" s="40" t="s">
        <v>45</v>
      </c>
      <c r="U98" s="40" t="s">
        <v>45</v>
      </c>
      <c r="V98" s="40">
        <v>1</v>
      </c>
      <c r="W98" s="40">
        <v>7</v>
      </c>
      <c r="X98" s="40" t="s">
        <v>45</v>
      </c>
      <c r="Y98" s="40" t="s">
        <v>45</v>
      </c>
      <c r="Z98" s="40" t="s">
        <v>45</v>
      </c>
      <c r="AA98" s="40" t="s">
        <v>45</v>
      </c>
      <c r="AB98" s="40" t="s">
        <v>45</v>
      </c>
      <c r="AC98" s="40" t="s">
        <v>45</v>
      </c>
      <c r="AD98" s="40" t="s">
        <v>45</v>
      </c>
      <c r="AE98" s="40" t="s">
        <v>45</v>
      </c>
      <c r="AF98" s="40" t="s">
        <v>45</v>
      </c>
      <c r="AG98" s="40" t="s">
        <v>45</v>
      </c>
      <c r="AH98" s="40" t="s">
        <v>45</v>
      </c>
      <c r="AI98" s="40" t="s">
        <v>45</v>
      </c>
      <c r="AJ98" s="40" t="s">
        <v>45</v>
      </c>
      <c r="AK98" s="40" t="s">
        <v>45</v>
      </c>
      <c r="AL98" s="40" t="s">
        <v>45</v>
      </c>
      <c r="AM98" s="40" t="s">
        <v>45</v>
      </c>
      <c r="AN98" s="40" t="s">
        <v>45</v>
      </c>
      <c r="AO98" s="41" t="s">
        <v>45</v>
      </c>
      <c r="AP98" s="40" t="s">
        <v>349</v>
      </c>
      <c r="AQ98" s="40">
        <v>6</v>
      </c>
      <c r="AR98" s="48" t="s">
        <v>347</v>
      </c>
      <c r="AS98" s="43" t="s">
        <v>663</v>
      </c>
      <c r="AT98" s="43" t="s">
        <v>47</v>
      </c>
      <c r="AU98" s="44">
        <f t="shared" si="8"/>
        <v>-2.5060525215375429</v>
      </c>
      <c r="AV98" s="44">
        <f t="shared" si="9"/>
        <v>-0.21085619136538991</v>
      </c>
      <c r="AW98" s="45">
        <f t="shared" si="10"/>
        <v>2</v>
      </c>
      <c r="AX98" s="45">
        <f t="shared" si="11"/>
        <v>1</v>
      </c>
      <c r="AY98" s="46">
        <f>VLOOKUP(AP98,COND!$A$10:$B$32,2,FALSE)</f>
        <v>1</v>
      </c>
      <c r="AZ98" s="44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42.593374026675079</v>
      </c>
      <c r="BA98" s="47">
        <f t="shared" si="15"/>
        <v>0.4472608031103954</v>
      </c>
      <c r="BB98" s="45" t="str">
        <f t="shared" si="12"/>
        <v>RP</v>
      </c>
      <c r="BC98" s="45">
        <f>RANK(Table3[[#This Row],[zScore]],Table3[zScore])</f>
        <v>223</v>
      </c>
      <c r="BD98" s="45"/>
      <c r="BE98" s="45"/>
      <c r="BF98" s="45" t="str">
        <f t="shared" si="13"/>
        <v>Possible</v>
      </c>
      <c r="BG98" s="45"/>
      <c r="BH98" s="45">
        <f>INDEX(Table5[[#All],[Ovr]],MATCH(Table3[[#This Row],[PID]],Table5[[#All],[PID]],0))</f>
        <v>426</v>
      </c>
      <c r="BI98" s="45" t="str">
        <f>INDEX(Table5[[#All],[Rnd]],MATCH(Table3[[#This Row],[PID]],Table5[[#All],[PID]],0))</f>
        <v>14</v>
      </c>
      <c r="BJ98" s="45">
        <f>INDEX(Table5[[#All],[Pick]],MATCH(Table3[[#This Row],[PID]],Table5[[#All],[PID]],0))</f>
        <v>28</v>
      </c>
      <c r="BK98" s="45" t="str">
        <f>INDEX(Table5[[#All],[Team]],MATCH(Table3[[#This Row],[PID]],Table5[[#All],[PID]],0))</f>
        <v>San Juan Coqui</v>
      </c>
      <c r="BL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99" spans="1:64" ht="15" customHeight="1" x14ac:dyDescent="0.25">
      <c r="A99" s="40">
        <v>18450</v>
      </c>
      <c r="B99" s="40" t="s">
        <v>415</v>
      </c>
      <c r="C99" s="40" t="s">
        <v>890</v>
      </c>
      <c r="D99" s="40" t="s">
        <v>522</v>
      </c>
      <c r="E99" s="40">
        <v>18</v>
      </c>
      <c r="F99" s="40" t="s">
        <v>42</v>
      </c>
      <c r="G99" s="40" t="s">
        <v>42</v>
      </c>
      <c r="H99" s="41" t="s">
        <v>638</v>
      </c>
      <c r="I99" s="42" t="s">
        <v>43</v>
      </c>
      <c r="J99" s="40" t="s">
        <v>47</v>
      </c>
      <c r="K99" s="41" t="s">
        <v>43</v>
      </c>
      <c r="L99" s="40">
        <v>2</v>
      </c>
      <c r="M99" s="40">
        <v>2</v>
      </c>
      <c r="N99" s="41">
        <v>2</v>
      </c>
      <c r="O99" s="40">
        <v>4</v>
      </c>
      <c r="P99" s="40">
        <v>2</v>
      </c>
      <c r="Q99" s="41">
        <v>5</v>
      </c>
      <c r="R99" s="40">
        <v>3</v>
      </c>
      <c r="S99" s="40">
        <v>4</v>
      </c>
      <c r="T99" s="40">
        <v>1</v>
      </c>
      <c r="U99" s="40">
        <v>1</v>
      </c>
      <c r="V99" s="40" t="s">
        <v>45</v>
      </c>
      <c r="W99" s="40" t="s">
        <v>45</v>
      </c>
      <c r="X99" s="40" t="s">
        <v>45</v>
      </c>
      <c r="Y99" s="40" t="s">
        <v>45</v>
      </c>
      <c r="Z99" s="40" t="s">
        <v>45</v>
      </c>
      <c r="AA99" s="40" t="s">
        <v>45</v>
      </c>
      <c r="AB99" s="40" t="s">
        <v>45</v>
      </c>
      <c r="AC99" s="40" t="s">
        <v>45</v>
      </c>
      <c r="AD99" s="40">
        <v>2</v>
      </c>
      <c r="AE99" s="40">
        <v>4</v>
      </c>
      <c r="AF99" s="40">
        <v>3</v>
      </c>
      <c r="AG99" s="40">
        <v>5</v>
      </c>
      <c r="AH99" s="40" t="s">
        <v>45</v>
      </c>
      <c r="AI99" s="40" t="s">
        <v>45</v>
      </c>
      <c r="AJ99" s="40" t="s">
        <v>45</v>
      </c>
      <c r="AK99" s="40" t="s">
        <v>45</v>
      </c>
      <c r="AL99" s="40" t="s">
        <v>45</v>
      </c>
      <c r="AM99" s="40" t="s">
        <v>45</v>
      </c>
      <c r="AN99" s="40" t="s">
        <v>45</v>
      </c>
      <c r="AO99" s="41" t="s">
        <v>45</v>
      </c>
      <c r="AP99" s="40" t="s">
        <v>68</v>
      </c>
      <c r="AQ99" s="40">
        <v>4</v>
      </c>
      <c r="AR99" s="48" t="s">
        <v>347</v>
      </c>
      <c r="AS99" s="43" t="s">
        <v>556</v>
      </c>
      <c r="AT99" s="43" t="s">
        <v>635</v>
      </c>
      <c r="AU99" s="44">
        <f t="shared" si="8"/>
        <v>-2.0690406309742588</v>
      </c>
      <c r="AV99" s="44">
        <f t="shared" si="9"/>
        <v>-0.50720153305650884</v>
      </c>
      <c r="AW99" s="45">
        <f t="shared" si="10"/>
        <v>4</v>
      </c>
      <c r="AX99" s="45">
        <f t="shared" si="11"/>
        <v>0</v>
      </c>
      <c r="AY99" s="46">
        <f>VLOOKUP(AP99,COND!$A$10:$B$32,2,FALSE)</f>
        <v>0.95</v>
      </c>
      <c r="AZ99" s="44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42.576550494439161</v>
      </c>
      <c r="BA99" s="47">
        <f t="shared" si="15"/>
        <v>0.44614155921892812</v>
      </c>
      <c r="BB99" s="45" t="str">
        <f t="shared" si="12"/>
        <v>RP</v>
      </c>
      <c r="BC99" s="45">
        <f>RANK(Table3[[#This Row],[zScore]],Table3[zScore])</f>
        <v>224</v>
      </c>
      <c r="BD99" s="45"/>
      <c r="BE99" s="45"/>
      <c r="BF99" s="45" t="str">
        <f t="shared" si="13"/>
        <v>Unlikely</v>
      </c>
      <c r="BG99" s="45"/>
      <c r="BH99" s="45" t="str">
        <f>INDEX(Table5[[#All],[Ovr]],MATCH(Table3[[#This Row],[PID]],Table5[[#All],[PID]],0))</f>
        <v/>
      </c>
      <c r="BI99" s="45" t="str">
        <f>INDEX(Table5[[#All],[Rnd]],MATCH(Table3[[#This Row],[PID]],Table5[[#All],[PID]],0))</f>
        <v/>
      </c>
      <c r="BJ99" s="45" t="str">
        <f>INDEX(Table5[[#All],[Pick]],MATCH(Table3[[#This Row],[PID]],Table5[[#All],[PID]],0))</f>
        <v/>
      </c>
      <c r="BK99" s="45" t="str">
        <f>INDEX(Table5[[#All],[Team]],MATCH(Table3[[#This Row],[PID]],Table5[[#All],[PID]],0))</f>
        <v/>
      </c>
      <c r="BL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0" spans="1:64" ht="15" customHeight="1" x14ac:dyDescent="0.25">
      <c r="A100" s="40">
        <v>18368</v>
      </c>
      <c r="B100" s="40" t="s">
        <v>415</v>
      </c>
      <c r="C100" s="40" t="s">
        <v>1149</v>
      </c>
      <c r="D100" s="40" t="s">
        <v>1306</v>
      </c>
      <c r="E100" s="40">
        <v>18</v>
      </c>
      <c r="F100" s="40" t="s">
        <v>42</v>
      </c>
      <c r="G100" s="40" t="s">
        <v>42</v>
      </c>
      <c r="H100" s="41" t="s">
        <v>647</v>
      </c>
      <c r="I100" s="42" t="s">
        <v>43</v>
      </c>
      <c r="J100" s="40" t="s">
        <v>43</v>
      </c>
      <c r="K100" s="41" t="s">
        <v>43</v>
      </c>
      <c r="L100" s="40">
        <v>2</v>
      </c>
      <c r="M100" s="40">
        <v>3</v>
      </c>
      <c r="N100" s="41">
        <v>1</v>
      </c>
      <c r="O100" s="40">
        <v>4</v>
      </c>
      <c r="P100" s="40">
        <v>4</v>
      </c>
      <c r="Q100" s="41">
        <v>3</v>
      </c>
      <c r="R100" s="40">
        <v>4</v>
      </c>
      <c r="S100" s="40">
        <v>4</v>
      </c>
      <c r="T100" s="40">
        <v>1</v>
      </c>
      <c r="U100" s="40">
        <v>3</v>
      </c>
      <c r="V100" s="40">
        <v>2</v>
      </c>
      <c r="W100" s="40">
        <v>6</v>
      </c>
      <c r="X100" s="40" t="s">
        <v>45</v>
      </c>
      <c r="Y100" s="40" t="s">
        <v>45</v>
      </c>
      <c r="Z100" s="40" t="s">
        <v>45</v>
      </c>
      <c r="AA100" s="40" t="s">
        <v>45</v>
      </c>
      <c r="AB100" s="40" t="s">
        <v>45</v>
      </c>
      <c r="AC100" s="40" t="s">
        <v>45</v>
      </c>
      <c r="AD100" s="40" t="s">
        <v>45</v>
      </c>
      <c r="AE100" s="40" t="s">
        <v>45</v>
      </c>
      <c r="AF100" s="40" t="s">
        <v>45</v>
      </c>
      <c r="AG100" s="40" t="s">
        <v>45</v>
      </c>
      <c r="AH100" s="40" t="s">
        <v>45</v>
      </c>
      <c r="AI100" s="40" t="s">
        <v>45</v>
      </c>
      <c r="AJ100" s="40" t="s">
        <v>45</v>
      </c>
      <c r="AK100" s="40" t="s">
        <v>45</v>
      </c>
      <c r="AL100" s="40" t="s">
        <v>45</v>
      </c>
      <c r="AM100" s="40" t="s">
        <v>45</v>
      </c>
      <c r="AN100" s="40" t="s">
        <v>45</v>
      </c>
      <c r="AO100" s="41" t="s">
        <v>45</v>
      </c>
      <c r="AP100" s="40" t="s">
        <v>350</v>
      </c>
      <c r="AQ100" s="40">
        <v>6</v>
      </c>
      <c r="AR100" s="48" t="s">
        <v>346</v>
      </c>
      <c r="AS100" s="43" t="s">
        <v>644</v>
      </c>
      <c r="AT100" s="43" t="s">
        <v>47</v>
      </c>
      <c r="AU100" s="44">
        <f t="shared" si="8"/>
        <v>-2.1159294805983135</v>
      </c>
      <c r="AV100" s="44">
        <f t="shared" si="9"/>
        <v>-0.6009792323046188</v>
      </c>
      <c r="AW100" s="45">
        <f t="shared" si="10"/>
        <v>3</v>
      </c>
      <c r="AX100" s="45">
        <f t="shared" si="11"/>
        <v>1</v>
      </c>
      <c r="AY100" s="46">
        <f>VLOOKUP(AP100,COND!$A$10:$B$32,2,FALSE)</f>
        <v>1</v>
      </c>
      <c r="AZ100" s="44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42.549548721343264</v>
      </c>
      <c r="BA100" s="47">
        <f t="shared" si="15"/>
        <v>0.44434517251650635</v>
      </c>
      <c r="BB100" s="45" t="str">
        <f t="shared" si="12"/>
        <v>SP</v>
      </c>
      <c r="BC100" s="45">
        <f>RANK(Table3[[#This Row],[zScore]],Table3[zScore])</f>
        <v>225</v>
      </c>
      <c r="BD100" s="45"/>
      <c r="BE100" s="45"/>
      <c r="BF100" s="45" t="str">
        <f t="shared" si="13"/>
        <v>Unlikely</v>
      </c>
      <c r="BG100" s="45"/>
      <c r="BH100" s="45" t="str">
        <f>INDEX(Table5[[#All],[Ovr]],MATCH(Table3[[#This Row],[PID]],Table5[[#All],[PID]],0))</f>
        <v/>
      </c>
      <c r="BI100" s="45" t="str">
        <f>INDEX(Table5[[#All],[Rnd]],MATCH(Table3[[#This Row],[PID]],Table5[[#All],[PID]],0))</f>
        <v/>
      </c>
      <c r="BJ100" s="45" t="str">
        <f>INDEX(Table5[[#All],[Pick]],MATCH(Table3[[#This Row],[PID]],Table5[[#All],[PID]],0))</f>
        <v/>
      </c>
      <c r="BK100" s="45" t="str">
        <f>INDEX(Table5[[#All],[Team]],MATCH(Table3[[#This Row],[PID]],Table5[[#All],[PID]],0))</f>
        <v/>
      </c>
      <c r="BL10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1" spans="1:64" ht="15" customHeight="1" x14ac:dyDescent="0.25">
      <c r="A101" s="40">
        <v>18394</v>
      </c>
      <c r="B101" s="40" t="s">
        <v>415</v>
      </c>
      <c r="C101" s="40" t="s">
        <v>676</v>
      </c>
      <c r="D101" s="40" t="s">
        <v>2118</v>
      </c>
      <c r="E101" s="40">
        <v>18</v>
      </c>
      <c r="F101" s="40" t="s">
        <v>42</v>
      </c>
      <c r="G101" s="40" t="s">
        <v>42</v>
      </c>
      <c r="H101" s="41" t="s">
        <v>647</v>
      </c>
      <c r="I101" s="42" t="s">
        <v>43</v>
      </c>
      <c r="J101" s="40" t="s">
        <v>43</v>
      </c>
      <c r="K101" s="41" t="s">
        <v>43</v>
      </c>
      <c r="L101" s="40">
        <v>2</v>
      </c>
      <c r="M101" s="40">
        <v>2</v>
      </c>
      <c r="N101" s="41">
        <v>1</v>
      </c>
      <c r="O101" s="40">
        <v>4</v>
      </c>
      <c r="P101" s="40">
        <v>4</v>
      </c>
      <c r="Q101" s="41">
        <v>3</v>
      </c>
      <c r="R101" s="40">
        <v>4</v>
      </c>
      <c r="S101" s="40">
        <v>5</v>
      </c>
      <c r="T101" s="40">
        <v>1</v>
      </c>
      <c r="U101" s="40">
        <v>1</v>
      </c>
      <c r="V101" s="40" t="s">
        <v>45</v>
      </c>
      <c r="W101" s="40" t="s">
        <v>45</v>
      </c>
      <c r="X101" s="40">
        <v>2</v>
      </c>
      <c r="Y101" s="40">
        <v>6</v>
      </c>
      <c r="Z101" s="40" t="s">
        <v>45</v>
      </c>
      <c r="AA101" s="40" t="s">
        <v>45</v>
      </c>
      <c r="AB101" s="40" t="s">
        <v>45</v>
      </c>
      <c r="AC101" s="40" t="s">
        <v>45</v>
      </c>
      <c r="AD101" s="40" t="s">
        <v>45</v>
      </c>
      <c r="AE101" s="40" t="s">
        <v>45</v>
      </c>
      <c r="AF101" s="40" t="s">
        <v>45</v>
      </c>
      <c r="AG101" s="40" t="s">
        <v>45</v>
      </c>
      <c r="AH101" s="40" t="s">
        <v>45</v>
      </c>
      <c r="AI101" s="40" t="s">
        <v>45</v>
      </c>
      <c r="AJ101" s="40" t="s">
        <v>45</v>
      </c>
      <c r="AK101" s="40" t="s">
        <v>45</v>
      </c>
      <c r="AL101" s="40" t="s">
        <v>45</v>
      </c>
      <c r="AM101" s="40" t="s">
        <v>45</v>
      </c>
      <c r="AN101" s="40" t="s">
        <v>45</v>
      </c>
      <c r="AO101" s="41" t="s">
        <v>45</v>
      </c>
      <c r="AP101" s="40" t="s">
        <v>350</v>
      </c>
      <c r="AQ101" s="40">
        <v>7</v>
      </c>
      <c r="AR101" s="48" t="s">
        <v>347</v>
      </c>
      <c r="AS101" s="43" t="s">
        <v>412</v>
      </c>
      <c r="AT101" s="43" t="s">
        <v>47</v>
      </c>
      <c r="AU101" s="44">
        <f t="shared" si="8"/>
        <v>-2.311361197028369</v>
      </c>
      <c r="AV101" s="44">
        <f t="shared" si="9"/>
        <v>-0.6009792323046188</v>
      </c>
      <c r="AW101" s="45">
        <f t="shared" si="10"/>
        <v>3</v>
      </c>
      <c r="AX101" s="45">
        <f t="shared" si="11"/>
        <v>1</v>
      </c>
      <c r="AY101" s="46">
        <f>VLOOKUP(AP101,COND!$A$10:$B$32,2,FALSE)</f>
        <v>1</v>
      </c>
      <c r="AZ101" s="44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42.268143114501953</v>
      </c>
      <c r="BA101" s="47">
        <f t="shared" si="15"/>
        <v>0.42562368751174995</v>
      </c>
      <c r="BB101" s="45" t="str">
        <f t="shared" si="12"/>
        <v>SP</v>
      </c>
      <c r="BC101" s="45">
        <f>RANK(Table3[[#This Row],[zScore]],Table3[zScore])</f>
        <v>226</v>
      </c>
      <c r="BD101" s="45"/>
      <c r="BE101" s="45"/>
      <c r="BF101" s="45" t="str">
        <f t="shared" si="13"/>
        <v>Unlikely</v>
      </c>
      <c r="BG101" s="45"/>
      <c r="BH101" s="45" t="str">
        <f>INDEX(Table5[[#All],[Ovr]],MATCH(Table3[[#This Row],[PID]],Table5[[#All],[PID]],0))</f>
        <v/>
      </c>
      <c r="BI101" s="45" t="str">
        <f>INDEX(Table5[[#All],[Rnd]],MATCH(Table3[[#This Row],[PID]],Table5[[#All],[PID]],0))</f>
        <v/>
      </c>
      <c r="BJ101" s="45" t="str">
        <f>INDEX(Table5[[#All],[Pick]],MATCH(Table3[[#This Row],[PID]],Table5[[#All],[PID]],0))</f>
        <v/>
      </c>
      <c r="BK101" s="45" t="str">
        <f>INDEX(Table5[[#All],[Team]],MATCH(Table3[[#This Row],[PID]],Table5[[#All],[PID]],0))</f>
        <v/>
      </c>
      <c r="BL1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2" spans="1:64" ht="15" customHeight="1" x14ac:dyDescent="0.25">
      <c r="A102" s="40">
        <v>17766</v>
      </c>
      <c r="B102" s="40" t="s">
        <v>415</v>
      </c>
      <c r="C102" s="40" t="s">
        <v>841</v>
      </c>
      <c r="D102" s="40" t="s">
        <v>385</v>
      </c>
      <c r="E102" s="40">
        <v>21</v>
      </c>
      <c r="F102" s="40" t="s">
        <v>42</v>
      </c>
      <c r="G102" s="40" t="s">
        <v>42</v>
      </c>
      <c r="H102" s="41" t="s">
        <v>638</v>
      </c>
      <c r="I102" s="42" t="s">
        <v>43</v>
      </c>
      <c r="J102" s="40" t="s">
        <v>43</v>
      </c>
      <c r="K102" s="41" t="s">
        <v>43</v>
      </c>
      <c r="L102" s="40">
        <v>3</v>
      </c>
      <c r="M102" s="40">
        <v>2</v>
      </c>
      <c r="N102" s="41">
        <v>3</v>
      </c>
      <c r="O102" s="40">
        <v>5</v>
      </c>
      <c r="P102" s="40">
        <v>3</v>
      </c>
      <c r="Q102" s="41">
        <v>4</v>
      </c>
      <c r="R102" s="40" t="s">
        <v>45</v>
      </c>
      <c r="S102" s="40" t="s">
        <v>45</v>
      </c>
      <c r="T102" s="40">
        <v>1</v>
      </c>
      <c r="U102" s="40">
        <v>1</v>
      </c>
      <c r="V102" s="40" t="s">
        <v>45</v>
      </c>
      <c r="W102" s="40" t="s">
        <v>45</v>
      </c>
      <c r="X102" s="40">
        <v>3</v>
      </c>
      <c r="Y102" s="40">
        <v>5</v>
      </c>
      <c r="Z102" s="40" t="s">
        <v>45</v>
      </c>
      <c r="AA102" s="40" t="s">
        <v>45</v>
      </c>
      <c r="AB102" s="40" t="s">
        <v>45</v>
      </c>
      <c r="AC102" s="40" t="s">
        <v>45</v>
      </c>
      <c r="AD102" s="40">
        <v>4</v>
      </c>
      <c r="AE102" s="40">
        <v>7</v>
      </c>
      <c r="AF102" s="40" t="s">
        <v>45</v>
      </c>
      <c r="AG102" s="40" t="s">
        <v>45</v>
      </c>
      <c r="AH102" s="40" t="s">
        <v>45</v>
      </c>
      <c r="AI102" s="40" t="s">
        <v>45</v>
      </c>
      <c r="AJ102" s="40" t="s">
        <v>45</v>
      </c>
      <c r="AK102" s="40" t="s">
        <v>45</v>
      </c>
      <c r="AL102" s="40" t="s">
        <v>45</v>
      </c>
      <c r="AM102" s="40" t="s">
        <v>45</v>
      </c>
      <c r="AN102" s="40" t="s">
        <v>45</v>
      </c>
      <c r="AO102" s="41" t="s">
        <v>45</v>
      </c>
      <c r="AP102" s="40" t="s">
        <v>54</v>
      </c>
      <c r="AQ102" s="40">
        <v>8</v>
      </c>
      <c r="AR102" s="48" t="s">
        <v>347</v>
      </c>
      <c r="AS102" s="43" t="s">
        <v>45</v>
      </c>
      <c r="AT102" s="43" t="s">
        <v>47</v>
      </c>
      <c r="AU102" s="44">
        <f t="shared" si="8"/>
        <v>-1.6320287404109748</v>
      </c>
      <c r="AV102" s="44">
        <f t="shared" si="9"/>
        <v>-0.35939905817139028</v>
      </c>
      <c r="AW102" s="45">
        <f t="shared" si="10"/>
        <v>3</v>
      </c>
      <c r="AX102" s="45">
        <f t="shared" si="11"/>
        <v>1</v>
      </c>
      <c r="AY102" s="46">
        <f>VLOOKUP(AP102,COND!$A$10:$B$32,2,FALSE)</f>
        <v>1.0249999999999999</v>
      </c>
      <c r="AZ102" s="44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42.116503415702255</v>
      </c>
      <c r="BA102" s="47">
        <f t="shared" si="15"/>
        <v>0.4155353300725706</v>
      </c>
      <c r="BB102" s="45" t="str">
        <f t="shared" si="12"/>
        <v>SP</v>
      </c>
      <c r="BC102" s="45">
        <f>RANK(Table3[[#This Row],[zScore]],Table3[zScore])</f>
        <v>227</v>
      </c>
      <c r="BD102" s="45"/>
      <c r="BE102" s="45"/>
      <c r="BF102" s="45" t="str">
        <f t="shared" si="13"/>
        <v>Possible</v>
      </c>
      <c r="BG102" s="45"/>
      <c r="BH102" s="45">
        <f>INDEX(Table5[[#All],[Ovr]],MATCH(Table3[[#This Row],[PID]],Table5[[#All],[PID]],0))</f>
        <v>403</v>
      </c>
      <c r="BI102" s="45" t="str">
        <f>INDEX(Table5[[#All],[Rnd]],MATCH(Table3[[#This Row],[PID]],Table5[[#All],[PID]],0))</f>
        <v>14</v>
      </c>
      <c r="BJ102" s="45">
        <f>INDEX(Table5[[#All],[Pick]],MATCH(Table3[[#This Row],[PID]],Table5[[#All],[PID]],0))</f>
        <v>5</v>
      </c>
      <c r="BK102" s="45" t="str">
        <f>INDEX(Table5[[#All],[Team]],MATCH(Table3[[#This Row],[PID]],Table5[[#All],[PID]],0))</f>
        <v>Okinawa Shisa</v>
      </c>
      <c r="BL1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3" spans="1:64" ht="15" customHeight="1" x14ac:dyDescent="0.25">
      <c r="A103" s="40">
        <v>15360</v>
      </c>
      <c r="B103" s="40" t="s">
        <v>415</v>
      </c>
      <c r="C103" s="40" t="s">
        <v>1857</v>
      </c>
      <c r="D103" s="40" t="s">
        <v>1858</v>
      </c>
      <c r="E103" s="40">
        <v>18</v>
      </c>
      <c r="F103" s="40" t="s">
        <v>42</v>
      </c>
      <c r="G103" s="40" t="s">
        <v>42</v>
      </c>
      <c r="H103" s="41" t="s">
        <v>638</v>
      </c>
      <c r="I103" s="42" t="s">
        <v>43</v>
      </c>
      <c r="J103" s="40" t="s">
        <v>47</v>
      </c>
      <c r="K103" s="41" t="s">
        <v>47</v>
      </c>
      <c r="L103" s="40">
        <v>2</v>
      </c>
      <c r="M103" s="40">
        <v>1</v>
      </c>
      <c r="N103" s="41">
        <v>2</v>
      </c>
      <c r="O103" s="40">
        <v>7</v>
      </c>
      <c r="P103" s="40">
        <v>1</v>
      </c>
      <c r="Q103" s="41">
        <v>4</v>
      </c>
      <c r="R103" s="40">
        <v>5</v>
      </c>
      <c r="S103" s="40">
        <v>7</v>
      </c>
      <c r="T103" s="40">
        <v>1</v>
      </c>
      <c r="U103" s="40">
        <v>9</v>
      </c>
      <c r="V103" s="40" t="s">
        <v>45</v>
      </c>
      <c r="W103" s="40" t="s">
        <v>45</v>
      </c>
      <c r="X103" s="40" t="s">
        <v>45</v>
      </c>
      <c r="Y103" s="40" t="s">
        <v>45</v>
      </c>
      <c r="Z103" s="40" t="s">
        <v>45</v>
      </c>
      <c r="AA103" s="40" t="s">
        <v>45</v>
      </c>
      <c r="AB103" s="40" t="s">
        <v>45</v>
      </c>
      <c r="AC103" s="40" t="s">
        <v>45</v>
      </c>
      <c r="AD103" s="40" t="s">
        <v>45</v>
      </c>
      <c r="AE103" s="40" t="s">
        <v>45</v>
      </c>
      <c r="AF103" s="40" t="s">
        <v>45</v>
      </c>
      <c r="AG103" s="40" t="s">
        <v>45</v>
      </c>
      <c r="AH103" s="40" t="s">
        <v>45</v>
      </c>
      <c r="AI103" s="40" t="s">
        <v>45</v>
      </c>
      <c r="AJ103" s="40" t="s">
        <v>45</v>
      </c>
      <c r="AK103" s="40" t="s">
        <v>45</v>
      </c>
      <c r="AL103" s="40" t="s">
        <v>45</v>
      </c>
      <c r="AM103" s="40" t="s">
        <v>45</v>
      </c>
      <c r="AN103" s="40" t="s">
        <v>45</v>
      </c>
      <c r="AO103" s="41" t="s">
        <v>45</v>
      </c>
      <c r="AP103" s="40" t="s">
        <v>48</v>
      </c>
      <c r="AQ103" s="40">
        <v>1</v>
      </c>
      <c r="AR103" s="48" t="s">
        <v>14</v>
      </c>
      <c r="AS103" s="43" t="s">
        <v>644</v>
      </c>
      <c r="AT103" s="43" t="s">
        <v>635</v>
      </c>
      <c r="AU103" s="44">
        <f t="shared" si="8"/>
        <v>-2.2644723474043147</v>
      </c>
      <c r="AV103" s="44">
        <f t="shared" si="9"/>
        <v>-0.36087984201315421</v>
      </c>
      <c r="AW103" s="45">
        <f t="shared" si="10"/>
        <v>2</v>
      </c>
      <c r="AX103" s="45">
        <f t="shared" si="11"/>
        <v>2</v>
      </c>
      <c r="AY103" s="46">
        <f>VLOOKUP(AP103,COND!$A$10:$B$32,2,FALSE)</f>
        <v>1.05</v>
      </c>
      <c r="AZ103" s="44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41.439934918530412</v>
      </c>
      <c r="BA103" s="47">
        <f t="shared" si="15"/>
        <v>0.37052426182603071</v>
      </c>
      <c r="BB103" s="45" t="str">
        <f t="shared" si="12"/>
        <v>RP</v>
      </c>
      <c r="BC103" s="45">
        <f>RANK(Table3[[#This Row],[zScore]],Table3[zScore])</f>
        <v>231</v>
      </c>
      <c r="BD103" s="45"/>
      <c r="BE103" s="45"/>
      <c r="BF103" s="45" t="str">
        <f t="shared" si="13"/>
        <v>Possible</v>
      </c>
      <c r="BG103" s="45"/>
      <c r="BH103" s="45">
        <f>INDEX(Table5[[#All],[Ovr]],MATCH(Table3[[#This Row],[PID]],Table5[[#All],[PID]],0))</f>
        <v>141</v>
      </c>
      <c r="BI103" s="45" t="str">
        <f>INDEX(Table5[[#All],[Rnd]],MATCH(Table3[[#This Row],[PID]],Table5[[#All],[PID]],0))</f>
        <v>5</v>
      </c>
      <c r="BJ103" s="45">
        <f>INDEX(Table5[[#All],[Pick]],MATCH(Table3[[#This Row],[PID]],Table5[[#All],[PID]],0))</f>
        <v>13</v>
      </c>
      <c r="BK103" s="45" t="str">
        <f>INDEX(Table5[[#All],[Team]],MATCH(Table3[[#This Row],[PID]],Table5[[#All],[PID]],0))</f>
        <v>Arlington Bureaucrats</v>
      </c>
      <c r="BL1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4" spans="1:64" ht="15" customHeight="1" x14ac:dyDescent="0.25">
      <c r="A104" s="40">
        <v>20435</v>
      </c>
      <c r="B104" s="40" t="s">
        <v>415</v>
      </c>
      <c r="C104" s="40" t="s">
        <v>2073</v>
      </c>
      <c r="D104" s="40" t="s">
        <v>2074</v>
      </c>
      <c r="E104" s="40">
        <v>18</v>
      </c>
      <c r="F104" s="40" t="s">
        <v>62</v>
      </c>
      <c r="G104" s="40" t="s">
        <v>42</v>
      </c>
      <c r="H104" s="41" t="s">
        <v>647</v>
      </c>
      <c r="I104" s="42" t="s">
        <v>43</v>
      </c>
      <c r="J104" s="40" t="s">
        <v>44</v>
      </c>
      <c r="K104" s="41" t="s">
        <v>44</v>
      </c>
      <c r="L104" s="40">
        <v>3</v>
      </c>
      <c r="M104" s="40">
        <v>2</v>
      </c>
      <c r="N104" s="41">
        <v>1</v>
      </c>
      <c r="O104" s="40">
        <v>5</v>
      </c>
      <c r="P104" s="40">
        <v>3</v>
      </c>
      <c r="Q104" s="41">
        <v>3</v>
      </c>
      <c r="R104" s="40" t="s">
        <v>45</v>
      </c>
      <c r="S104" s="40" t="s">
        <v>45</v>
      </c>
      <c r="T104" s="40">
        <v>1</v>
      </c>
      <c r="U104" s="40">
        <v>2</v>
      </c>
      <c r="V104" s="40">
        <v>4</v>
      </c>
      <c r="W104" s="40">
        <v>8</v>
      </c>
      <c r="X104" s="40" t="s">
        <v>45</v>
      </c>
      <c r="Y104" s="40" t="s">
        <v>45</v>
      </c>
      <c r="Z104" s="40" t="s">
        <v>45</v>
      </c>
      <c r="AA104" s="40" t="s">
        <v>45</v>
      </c>
      <c r="AB104" s="40" t="s">
        <v>45</v>
      </c>
      <c r="AC104" s="40" t="s">
        <v>45</v>
      </c>
      <c r="AD104" s="40">
        <v>4</v>
      </c>
      <c r="AE104" s="40">
        <v>6</v>
      </c>
      <c r="AF104" s="40" t="s">
        <v>45</v>
      </c>
      <c r="AG104" s="40" t="s">
        <v>45</v>
      </c>
      <c r="AH104" s="40" t="s">
        <v>45</v>
      </c>
      <c r="AI104" s="40" t="s">
        <v>45</v>
      </c>
      <c r="AJ104" s="40" t="s">
        <v>45</v>
      </c>
      <c r="AK104" s="40" t="s">
        <v>45</v>
      </c>
      <c r="AL104" s="40" t="s">
        <v>45</v>
      </c>
      <c r="AM104" s="40" t="s">
        <v>45</v>
      </c>
      <c r="AN104" s="40" t="s">
        <v>45</v>
      </c>
      <c r="AO104" s="41" t="s">
        <v>45</v>
      </c>
      <c r="AP104" s="40" t="s">
        <v>350</v>
      </c>
      <c r="AQ104" s="40">
        <v>1</v>
      </c>
      <c r="AR104" s="48" t="s">
        <v>347</v>
      </c>
      <c r="AS104" s="43" t="s">
        <v>659</v>
      </c>
      <c r="AT104" s="43" t="s">
        <v>635</v>
      </c>
      <c r="AU104" s="44">
        <f t="shared" si="8"/>
        <v>-2.1166698725191955</v>
      </c>
      <c r="AV104" s="44">
        <f t="shared" si="9"/>
        <v>-0.60171962422550074</v>
      </c>
      <c r="AW104" s="45">
        <f t="shared" si="10"/>
        <v>3</v>
      </c>
      <c r="AX104" s="45">
        <f t="shared" si="11"/>
        <v>2</v>
      </c>
      <c r="AY104" s="46">
        <f>VLOOKUP(AP104,COND!$A$10:$B$32,2,FALSE)</f>
        <v>1</v>
      </c>
      <c r="AZ104" s="44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41.365159863936839</v>
      </c>
      <c r="BA104" s="47">
        <f t="shared" si="15"/>
        <v>0.36554959170834239</v>
      </c>
      <c r="BB104" s="45" t="str">
        <f t="shared" si="12"/>
        <v>RP</v>
      </c>
      <c r="BC104" s="45">
        <f>RANK(Table3[[#This Row],[zScore]],Table3[zScore])</f>
        <v>232</v>
      </c>
      <c r="BD104" s="45"/>
      <c r="BE104" s="45"/>
      <c r="BF104" s="45" t="str">
        <f t="shared" si="13"/>
        <v>Unlikely</v>
      </c>
      <c r="BG104" s="45"/>
      <c r="BH104" s="45" t="str">
        <f>INDEX(Table5[[#All],[Ovr]],MATCH(Table3[[#This Row],[PID]],Table5[[#All],[PID]],0))</f>
        <v/>
      </c>
      <c r="BI104" s="45" t="str">
        <f>INDEX(Table5[[#All],[Rnd]],MATCH(Table3[[#This Row],[PID]],Table5[[#All],[PID]],0))</f>
        <v/>
      </c>
      <c r="BJ104" s="45" t="str">
        <f>INDEX(Table5[[#All],[Pick]],MATCH(Table3[[#This Row],[PID]],Table5[[#All],[PID]],0))</f>
        <v/>
      </c>
      <c r="BK104" s="45" t="str">
        <f>INDEX(Table5[[#All],[Team]],MATCH(Table3[[#This Row],[PID]],Table5[[#All],[PID]],0))</f>
        <v/>
      </c>
      <c r="BL1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5" spans="1:64" ht="15" customHeight="1" x14ac:dyDescent="0.25">
      <c r="A105" s="40">
        <v>18245</v>
      </c>
      <c r="B105" s="40" t="s">
        <v>415</v>
      </c>
      <c r="C105" s="40" t="s">
        <v>366</v>
      </c>
      <c r="D105" s="40" t="s">
        <v>927</v>
      </c>
      <c r="E105" s="40">
        <v>18</v>
      </c>
      <c r="F105" s="40" t="s">
        <v>53</v>
      </c>
      <c r="G105" s="40" t="s">
        <v>53</v>
      </c>
      <c r="H105" s="41" t="s">
        <v>638</v>
      </c>
      <c r="I105" s="42" t="s">
        <v>43</v>
      </c>
      <c r="J105" s="40" t="s">
        <v>47</v>
      </c>
      <c r="K105" s="41" t="s">
        <v>43</v>
      </c>
      <c r="L105" s="40">
        <v>1</v>
      </c>
      <c r="M105" s="40">
        <v>1</v>
      </c>
      <c r="N105" s="41">
        <v>2</v>
      </c>
      <c r="O105" s="40">
        <v>4</v>
      </c>
      <c r="P105" s="40">
        <v>1</v>
      </c>
      <c r="Q105" s="41">
        <v>5</v>
      </c>
      <c r="R105" s="40">
        <v>2</v>
      </c>
      <c r="S105" s="40">
        <v>5</v>
      </c>
      <c r="T105" s="40">
        <v>1</v>
      </c>
      <c r="U105" s="40">
        <v>2</v>
      </c>
      <c r="V105" s="40">
        <v>1</v>
      </c>
      <c r="W105" s="40">
        <v>6</v>
      </c>
      <c r="X105" s="40" t="s">
        <v>45</v>
      </c>
      <c r="Y105" s="40" t="s">
        <v>45</v>
      </c>
      <c r="Z105" s="40" t="s">
        <v>45</v>
      </c>
      <c r="AA105" s="40" t="s">
        <v>45</v>
      </c>
      <c r="AB105" s="40" t="s">
        <v>45</v>
      </c>
      <c r="AC105" s="40" t="s">
        <v>45</v>
      </c>
      <c r="AD105" s="40" t="s">
        <v>45</v>
      </c>
      <c r="AE105" s="40" t="s">
        <v>45</v>
      </c>
      <c r="AF105" s="40" t="s">
        <v>45</v>
      </c>
      <c r="AG105" s="40" t="s">
        <v>45</v>
      </c>
      <c r="AH105" s="40" t="s">
        <v>45</v>
      </c>
      <c r="AI105" s="40" t="s">
        <v>45</v>
      </c>
      <c r="AJ105" s="40" t="s">
        <v>45</v>
      </c>
      <c r="AK105" s="40" t="s">
        <v>45</v>
      </c>
      <c r="AL105" s="40" t="s">
        <v>45</v>
      </c>
      <c r="AM105" s="40" t="s">
        <v>45</v>
      </c>
      <c r="AN105" s="40" t="s">
        <v>45</v>
      </c>
      <c r="AO105" s="41" t="s">
        <v>45</v>
      </c>
      <c r="AP105" s="40" t="s">
        <v>65</v>
      </c>
      <c r="AQ105" s="40">
        <v>8</v>
      </c>
      <c r="AR105" s="48" t="s">
        <v>347</v>
      </c>
      <c r="AS105" s="43" t="s">
        <v>644</v>
      </c>
      <c r="AT105" s="43" t="s">
        <v>47</v>
      </c>
      <c r="AU105" s="44">
        <f t="shared" si="8"/>
        <v>-2.4591636719134877</v>
      </c>
      <c r="AV105" s="44">
        <f t="shared" si="9"/>
        <v>-0.70263324948656447</v>
      </c>
      <c r="AW105" s="45">
        <f t="shared" si="10"/>
        <v>3</v>
      </c>
      <c r="AX105" s="45">
        <f t="shared" si="11"/>
        <v>1</v>
      </c>
      <c r="AY105" s="46">
        <f>VLOOKUP(AP105,COND!$A$10:$B$32,2,FALSE)</f>
        <v>0.95</v>
      </c>
      <c r="AZ105" s="44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41.095227162091717</v>
      </c>
      <c r="BA105" s="47">
        <f t="shared" si="15"/>
        <v>0.34759138154113495</v>
      </c>
      <c r="BB105" s="45" t="str">
        <f t="shared" si="12"/>
        <v>SP</v>
      </c>
      <c r="BC105" s="45">
        <f>RANK(Table3[[#This Row],[zScore]],Table3[zScore])</f>
        <v>233</v>
      </c>
      <c r="BD105" s="45"/>
      <c r="BE105" s="45"/>
      <c r="BF105" s="45" t="str">
        <f t="shared" si="13"/>
        <v>Unlikely</v>
      </c>
      <c r="BG105" s="45"/>
      <c r="BH105" s="45">
        <f>INDEX(Table5[[#All],[Ovr]],MATCH(Table3[[#This Row],[PID]],Table5[[#All],[PID]],0))</f>
        <v>515</v>
      </c>
      <c r="BI105" s="45" t="str">
        <f>INDEX(Table5[[#All],[Rnd]],MATCH(Table3[[#This Row],[PID]],Table5[[#All],[PID]],0))</f>
        <v>17</v>
      </c>
      <c r="BJ105" s="45">
        <f>INDEX(Table5[[#All],[Pick]],MATCH(Table3[[#This Row],[PID]],Table5[[#All],[PID]],0))</f>
        <v>27</v>
      </c>
      <c r="BK105" s="45" t="str">
        <f>INDEX(Table5[[#All],[Team]],MATCH(Table3[[#This Row],[PID]],Table5[[#All],[PID]],0))</f>
        <v>Neo-Tokyo Akira</v>
      </c>
      <c r="BL1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6" spans="1:64" ht="15" customHeight="1" x14ac:dyDescent="0.25">
      <c r="A106" s="40">
        <v>20984</v>
      </c>
      <c r="B106" s="40" t="s">
        <v>415</v>
      </c>
      <c r="C106" s="40" t="s">
        <v>1597</v>
      </c>
      <c r="D106" s="40" t="s">
        <v>523</v>
      </c>
      <c r="E106" s="40">
        <v>18</v>
      </c>
      <c r="F106" s="40" t="s">
        <v>62</v>
      </c>
      <c r="G106" s="40" t="s">
        <v>42</v>
      </c>
      <c r="H106" s="41" t="s">
        <v>638</v>
      </c>
      <c r="I106" s="42" t="s">
        <v>44</v>
      </c>
      <c r="J106" s="40" t="s">
        <v>43</v>
      </c>
      <c r="K106" s="41" t="s">
        <v>43</v>
      </c>
      <c r="L106" s="40">
        <v>2</v>
      </c>
      <c r="M106" s="40">
        <v>2</v>
      </c>
      <c r="N106" s="41">
        <v>1</v>
      </c>
      <c r="O106" s="40">
        <v>6</v>
      </c>
      <c r="P106" s="40">
        <v>2</v>
      </c>
      <c r="Q106" s="41">
        <v>4</v>
      </c>
      <c r="R106" s="40" t="s">
        <v>45</v>
      </c>
      <c r="S106" s="40" t="s">
        <v>45</v>
      </c>
      <c r="T106" s="40" t="s">
        <v>45</v>
      </c>
      <c r="U106" s="40" t="s">
        <v>45</v>
      </c>
      <c r="V106" s="40">
        <v>2</v>
      </c>
      <c r="W106" s="40">
        <v>8</v>
      </c>
      <c r="X106" s="40" t="s">
        <v>45</v>
      </c>
      <c r="Y106" s="40" t="s">
        <v>45</v>
      </c>
      <c r="Z106" s="40" t="s">
        <v>45</v>
      </c>
      <c r="AA106" s="40" t="s">
        <v>45</v>
      </c>
      <c r="AB106" s="40" t="s">
        <v>45</v>
      </c>
      <c r="AC106" s="40" t="s">
        <v>45</v>
      </c>
      <c r="AD106" s="40">
        <v>3</v>
      </c>
      <c r="AE106" s="40">
        <v>6</v>
      </c>
      <c r="AF106" s="40" t="s">
        <v>45</v>
      </c>
      <c r="AG106" s="40" t="s">
        <v>45</v>
      </c>
      <c r="AH106" s="40" t="s">
        <v>45</v>
      </c>
      <c r="AI106" s="40" t="s">
        <v>45</v>
      </c>
      <c r="AJ106" s="40" t="s">
        <v>45</v>
      </c>
      <c r="AK106" s="40" t="s">
        <v>45</v>
      </c>
      <c r="AL106" s="40" t="s">
        <v>45</v>
      </c>
      <c r="AM106" s="40" t="s">
        <v>45</v>
      </c>
      <c r="AN106" s="40" t="s">
        <v>45</v>
      </c>
      <c r="AO106" s="41" t="s">
        <v>45</v>
      </c>
      <c r="AP106" s="40" t="s">
        <v>350</v>
      </c>
      <c r="AQ106" s="40">
        <v>1</v>
      </c>
      <c r="AR106" s="48" t="s">
        <v>347</v>
      </c>
      <c r="AS106" s="43" t="s">
        <v>657</v>
      </c>
      <c r="AT106" s="43" t="s">
        <v>635</v>
      </c>
      <c r="AU106" s="44">
        <f t="shared" si="8"/>
        <v>-2.311361197028369</v>
      </c>
      <c r="AV106" s="44">
        <f t="shared" si="9"/>
        <v>-0.36013945009227222</v>
      </c>
      <c r="AW106" s="45">
        <f t="shared" si="10"/>
        <v>2</v>
      </c>
      <c r="AX106" s="45">
        <f t="shared" si="11"/>
        <v>2</v>
      </c>
      <c r="AY106" s="46">
        <f>VLOOKUP(AP106,COND!$A$10:$B$32,2,FALSE)</f>
        <v>1</v>
      </c>
      <c r="AZ106" s="44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40.893191820811438</v>
      </c>
      <c r="BA106" s="47">
        <f t="shared" si="15"/>
        <v>0.33415027901774941</v>
      </c>
      <c r="BB106" s="45" t="str">
        <f t="shared" si="12"/>
        <v>RP</v>
      </c>
      <c r="BC106" s="45">
        <f>RANK(Table3[[#This Row],[zScore]],Table3[zScore])</f>
        <v>236</v>
      </c>
      <c r="BD106" s="45"/>
      <c r="BE106" s="45"/>
      <c r="BF106" s="45" t="str">
        <f t="shared" si="13"/>
        <v>Possible</v>
      </c>
      <c r="BG106" s="45"/>
      <c r="BH106" s="45">
        <f>INDEX(Table5[[#All],[Ovr]],MATCH(Table3[[#This Row],[PID]],Table5[[#All],[PID]],0))</f>
        <v>542</v>
      </c>
      <c r="BI106" s="45" t="str">
        <f>INDEX(Table5[[#All],[Rnd]],MATCH(Table3[[#This Row],[PID]],Table5[[#All],[PID]],0))</f>
        <v>18</v>
      </c>
      <c r="BJ106" s="45">
        <f>INDEX(Table5[[#All],[Pick]],MATCH(Table3[[#This Row],[PID]],Table5[[#All],[PID]],0))</f>
        <v>24</v>
      </c>
      <c r="BK106" s="45" t="str">
        <f>INDEX(Table5[[#All],[Team]],MATCH(Table3[[#This Row],[PID]],Table5[[#All],[PID]],0))</f>
        <v>Aurora Borealis</v>
      </c>
      <c r="BL1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7" spans="1:64" ht="15" customHeight="1" x14ac:dyDescent="0.25">
      <c r="A107" s="40">
        <v>20355</v>
      </c>
      <c r="B107" s="40" t="s">
        <v>415</v>
      </c>
      <c r="C107" s="40" t="s">
        <v>364</v>
      </c>
      <c r="D107" s="40" t="s">
        <v>640</v>
      </c>
      <c r="E107" s="40">
        <v>18</v>
      </c>
      <c r="F107" s="40" t="s">
        <v>53</v>
      </c>
      <c r="G107" s="40" t="s">
        <v>53</v>
      </c>
      <c r="H107" s="41" t="s">
        <v>647</v>
      </c>
      <c r="I107" s="42" t="s">
        <v>43</v>
      </c>
      <c r="J107" s="40" t="s">
        <v>44</v>
      </c>
      <c r="K107" s="41" t="s">
        <v>43</v>
      </c>
      <c r="L107" s="40">
        <v>3</v>
      </c>
      <c r="M107" s="40">
        <v>2</v>
      </c>
      <c r="N107" s="41">
        <v>1</v>
      </c>
      <c r="O107" s="40">
        <v>5</v>
      </c>
      <c r="P107" s="40">
        <v>2</v>
      </c>
      <c r="Q107" s="41">
        <v>4</v>
      </c>
      <c r="R107" s="40">
        <v>4</v>
      </c>
      <c r="S107" s="40">
        <v>6</v>
      </c>
      <c r="T107" s="40">
        <v>1</v>
      </c>
      <c r="U107" s="40">
        <v>2</v>
      </c>
      <c r="V107" s="40" t="s">
        <v>45</v>
      </c>
      <c r="W107" s="40" t="s">
        <v>45</v>
      </c>
      <c r="X107" s="40">
        <v>4</v>
      </c>
      <c r="Y107" s="40">
        <v>7</v>
      </c>
      <c r="Z107" s="40" t="s">
        <v>45</v>
      </c>
      <c r="AA107" s="40" t="s">
        <v>45</v>
      </c>
      <c r="AB107" s="40" t="s">
        <v>45</v>
      </c>
      <c r="AC107" s="40" t="s">
        <v>45</v>
      </c>
      <c r="AD107" s="40" t="s">
        <v>45</v>
      </c>
      <c r="AE107" s="40" t="s">
        <v>45</v>
      </c>
      <c r="AF107" s="40" t="s">
        <v>45</v>
      </c>
      <c r="AG107" s="40" t="s">
        <v>45</v>
      </c>
      <c r="AH107" s="40" t="s">
        <v>45</v>
      </c>
      <c r="AI107" s="40" t="s">
        <v>45</v>
      </c>
      <c r="AJ107" s="40" t="s">
        <v>45</v>
      </c>
      <c r="AK107" s="40" t="s">
        <v>45</v>
      </c>
      <c r="AL107" s="40" t="s">
        <v>45</v>
      </c>
      <c r="AM107" s="40" t="s">
        <v>45</v>
      </c>
      <c r="AN107" s="40" t="s">
        <v>45</v>
      </c>
      <c r="AO107" s="41" t="s">
        <v>45</v>
      </c>
      <c r="AP107" s="40" t="s">
        <v>349</v>
      </c>
      <c r="AQ107" s="40">
        <v>1</v>
      </c>
      <c r="AR107" s="48" t="s">
        <v>347</v>
      </c>
      <c r="AS107" s="43" t="s">
        <v>644</v>
      </c>
      <c r="AT107" s="43" t="s">
        <v>47</v>
      </c>
      <c r="AU107" s="44">
        <f t="shared" si="8"/>
        <v>-2.1166698725191955</v>
      </c>
      <c r="AV107" s="44">
        <f t="shared" si="9"/>
        <v>-0.55483077460144581</v>
      </c>
      <c r="AW107" s="45">
        <f t="shared" si="10"/>
        <v>3</v>
      </c>
      <c r="AX107" s="45">
        <f t="shared" si="11"/>
        <v>2</v>
      </c>
      <c r="AY107" s="46">
        <f>VLOOKUP(AP107,COND!$A$10:$B$32,2,FALSE)</f>
        <v>1</v>
      </c>
      <c r="AZ107" s="44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42.55604800679388</v>
      </c>
      <c r="BA107" s="47">
        <f>STANDARDIZE(AZ107,AVERAGE($AZ$5:$AZ$663),STDEVP($AZ$5:$AZ$663))</f>
        <v>0.32552921473106788</v>
      </c>
      <c r="BB107" s="45" t="str">
        <f t="shared" si="12"/>
        <v>RP</v>
      </c>
      <c r="BC107" s="45">
        <f>RANK(Table3[[#This Row],[zScore]],Table3[zScore])</f>
        <v>239</v>
      </c>
      <c r="BD107" s="45"/>
      <c r="BE107" s="45"/>
      <c r="BF107" s="45" t="str">
        <f t="shared" si="13"/>
        <v>Unlikely</v>
      </c>
      <c r="BG107" s="45"/>
      <c r="BH107" s="45" t="str">
        <f>INDEX(Table5[[#All],[Ovr]],MATCH(Table3[[#This Row],[PID]],Table5[[#All],[PID]],0))</f>
        <v/>
      </c>
      <c r="BI107" s="45" t="str">
        <f>INDEX(Table5[[#All],[Rnd]],MATCH(Table3[[#This Row],[PID]],Table5[[#All],[PID]],0))</f>
        <v/>
      </c>
      <c r="BJ107" s="45" t="str">
        <f>INDEX(Table5[[#All],[Pick]],MATCH(Table3[[#This Row],[PID]],Table5[[#All],[PID]],0))</f>
        <v/>
      </c>
      <c r="BK107" s="45" t="str">
        <f>INDEX(Table5[[#All],[Team]],MATCH(Table3[[#This Row],[PID]],Table5[[#All],[PID]],0))</f>
        <v/>
      </c>
      <c r="BL1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8" spans="1:64" ht="15" customHeight="1" x14ac:dyDescent="0.25">
      <c r="A108" s="40">
        <v>13347</v>
      </c>
      <c r="B108" s="40" t="s">
        <v>415</v>
      </c>
      <c r="C108" s="40" t="s">
        <v>150</v>
      </c>
      <c r="D108" s="40" t="s">
        <v>642</v>
      </c>
      <c r="E108" s="40">
        <v>18</v>
      </c>
      <c r="F108" s="40" t="s">
        <v>42</v>
      </c>
      <c r="G108" s="40" t="s">
        <v>42</v>
      </c>
      <c r="H108" s="41" t="s">
        <v>638</v>
      </c>
      <c r="I108" s="42" t="s">
        <v>43</v>
      </c>
      <c r="J108" s="40" t="s">
        <v>44</v>
      </c>
      <c r="K108" s="41" t="s">
        <v>47</v>
      </c>
      <c r="L108" s="40">
        <v>2</v>
      </c>
      <c r="M108" s="40">
        <v>2</v>
      </c>
      <c r="N108" s="41">
        <v>1</v>
      </c>
      <c r="O108" s="40">
        <v>5</v>
      </c>
      <c r="P108" s="40">
        <v>4</v>
      </c>
      <c r="Q108" s="41">
        <v>3</v>
      </c>
      <c r="R108" s="40">
        <v>3</v>
      </c>
      <c r="S108" s="40">
        <v>6</v>
      </c>
      <c r="T108" s="40" t="s">
        <v>45</v>
      </c>
      <c r="U108" s="40" t="s">
        <v>45</v>
      </c>
      <c r="V108" s="40">
        <v>2</v>
      </c>
      <c r="W108" s="40">
        <v>7</v>
      </c>
      <c r="X108" s="40" t="s">
        <v>45</v>
      </c>
      <c r="Y108" s="40" t="s">
        <v>45</v>
      </c>
      <c r="Z108" s="40" t="s">
        <v>45</v>
      </c>
      <c r="AA108" s="40" t="s">
        <v>45</v>
      </c>
      <c r="AB108" s="40" t="s">
        <v>45</v>
      </c>
      <c r="AC108" s="40" t="s">
        <v>45</v>
      </c>
      <c r="AD108" s="40" t="s">
        <v>45</v>
      </c>
      <c r="AE108" s="40" t="s">
        <v>45</v>
      </c>
      <c r="AF108" s="40" t="s">
        <v>45</v>
      </c>
      <c r="AG108" s="40" t="s">
        <v>45</v>
      </c>
      <c r="AH108" s="40" t="s">
        <v>45</v>
      </c>
      <c r="AI108" s="40" t="s">
        <v>45</v>
      </c>
      <c r="AJ108" s="40" t="s">
        <v>45</v>
      </c>
      <c r="AK108" s="40" t="s">
        <v>45</v>
      </c>
      <c r="AL108" s="40" t="s">
        <v>45</v>
      </c>
      <c r="AM108" s="40" t="s">
        <v>45</v>
      </c>
      <c r="AN108" s="40" t="s">
        <v>45</v>
      </c>
      <c r="AO108" s="41" t="s">
        <v>45</v>
      </c>
      <c r="AP108" s="40" t="s">
        <v>349</v>
      </c>
      <c r="AQ108" s="40">
        <v>5</v>
      </c>
      <c r="AR108" s="48" t="s">
        <v>347</v>
      </c>
      <c r="AS108" s="43" t="s">
        <v>654</v>
      </c>
      <c r="AT108" s="43" t="s">
        <v>47</v>
      </c>
      <c r="AU108" s="44">
        <f t="shared" si="8"/>
        <v>-2.311361197028369</v>
      </c>
      <c r="AV108" s="44">
        <f t="shared" si="9"/>
        <v>-0.40628790779544532</v>
      </c>
      <c r="AW108" s="45">
        <f t="shared" si="10"/>
        <v>2</v>
      </c>
      <c r="AX108" s="45">
        <f t="shared" si="11"/>
        <v>2</v>
      </c>
      <c r="AY108" s="46">
        <f>VLOOKUP(AP108,COND!$A$10:$B$32,2,FALSE)</f>
        <v>1</v>
      </c>
      <c r="AZ108" s="44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40.039170364568278</v>
      </c>
      <c r="BA108" s="47">
        <f t="shared" ref="BA108:BA117" si="16">STANDARDIZE(AZ108,AVERAGE($AZ$5:$AZ$557),STDEVP($AZ$5:$AZ$557))</f>
        <v>0.27733353657163062</v>
      </c>
      <c r="BB108" s="45" t="str">
        <f t="shared" si="12"/>
        <v>RP</v>
      </c>
      <c r="BC108" s="45">
        <f>RANK(Table3[[#This Row],[zScore]],Table3[zScore])</f>
        <v>245</v>
      </c>
      <c r="BD108" s="45"/>
      <c r="BE108" s="45"/>
      <c r="BF108" s="45" t="str">
        <f t="shared" si="13"/>
        <v>Possible</v>
      </c>
      <c r="BG108" s="45"/>
      <c r="BH108" s="45">
        <f>INDEX(Table5[[#All],[Ovr]],MATCH(Table3[[#This Row],[PID]],Table5[[#All],[PID]],0))</f>
        <v>470</v>
      </c>
      <c r="BI108" s="45" t="str">
        <f>INDEX(Table5[[#All],[Rnd]],MATCH(Table3[[#This Row],[PID]],Table5[[#All],[PID]],0))</f>
        <v>16</v>
      </c>
      <c r="BJ108" s="45">
        <f>INDEX(Table5[[#All],[Pick]],MATCH(Table3[[#This Row],[PID]],Table5[[#All],[PID]],0))</f>
        <v>12</v>
      </c>
      <c r="BK108" s="45" t="str">
        <f>INDEX(Table5[[#All],[Team]],MATCH(Table3[[#This Row],[PID]],Table5[[#All],[PID]],0))</f>
        <v>Palm Springs Codgers</v>
      </c>
      <c r="BL1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09" spans="1:64" ht="15" customHeight="1" x14ac:dyDescent="0.25">
      <c r="A109" s="40">
        <v>17575</v>
      </c>
      <c r="B109" s="40" t="s">
        <v>415</v>
      </c>
      <c r="C109" s="40" t="s">
        <v>983</v>
      </c>
      <c r="D109" s="40" t="s">
        <v>2025</v>
      </c>
      <c r="E109" s="40">
        <v>18</v>
      </c>
      <c r="F109" s="40" t="s">
        <v>42</v>
      </c>
      <c r="G109" s="40" t="s">
        <v>42</v>
      </c>
      <c r="H109" s="41" t="s">
        <v>647</v>
      </c>
      <c r="I109" s="42" t="s">
        <v>43</v>
      </c>
      <c r="J109" s="40" t="s">
        <v>44</v>
      </c>
      <c r="K109" s="41" t="s">
        <v>43</v>
      </c>
      <c r="L109" s="40">
        <v>1</v>
      </c>
      <c r="M109" s="40">
        <v>2</v>
      </c>
      <c r="N109" s="41">
        <v>1</v>
      </c>
      <c r="O109" s="40">
        <v>4</v>
      </c>
      <c r="P109" s="40">
        <v>2</v>
      </c>
      <c r="Q109" s="41">
        <v>4</v>
      </c>
      <c r="R109" s="40">
        <v>2</v>
      </c>
      <c r="S109" s="40">
        <v>5</v>
      </c>
      <c r="T109" s="40">
        <v>1</v>
      </c>
      <c r="U109" s="40">
        <v>3</v>
      </c>
      <c r="V109" s="40" t="s">
        <v>45</v>
      </c>
      <c r="W109" s="40" t="s">
        <v>45</v>
      </c>
      <c r="X109" s="40" t="s">
        <v>45</v>
      </c>
      <c r="Y109" s="40" t="s">
        <v>45</v>
      </c>
      <c r="Z109" s="40">
        <v>2</v>
      </c>
      <c r="AA109" s="40">
        <v>4</v>
      </c>
      <c r="AB109" s="40" t="s">
        <v>45</v>
      </c>
      <c r="AC109" s="40" t="s">
        <v>45</v>
      </c>
      <c r="AD109" s="40" t="s">
        <v>45</v>
      </c>
      <c r="AE109" s="40" t="s">
        <v>45</v>
      </c>
      <c r="AF109" s="40" t="s">
        <v>45</v>
      </c>
      <c r="AG109" s="40" t="s">
        <v>45</v>
      </c>
      <c r="AH109" s="40" t="s">
        <v>45</v>
      </c>
      <c r="AI109" s="40" t="s">
        <v>45</v>
      </c>
      <c r="AJ109" s="40" t="s">
        <v>45</v>
      </c>
      <c r="AK109" s="40" t="s">
        <v>45</v>
      </c>
      <c r="AL109" s="40" t="s">
        <v>45</v>
      </c>
      <c r="AM109" s="40" t="s">
        <v>45</v>
      </c>
      <c r="AN109" s="40" t="s">
        <v>45</v>
      </c>
      <c r="AO109" s="41" t="s">
        <v>45</v>
      </c>
      <c r="AP109" s="40" t="s">
        <v>67</v>
      </c>
      <c r="AQ109" s="40">
        <v>6</v>
      </c>
      <c r="AR109" s="48" t="s">
        <v>347</v>
      </c>
      <c r="AS109" s="43" t="s">
        <v>573</v>
      </c>
      <c r="AT109" s="43" t="s">
        <v>47</v>
      </c>
      <c r="AU109" s="44">
        <f t="shared" si="8"/>
        <v>-2.5060525215375429</v>
      </c>
      <c r="AV109" s="44">
        <f t="shared" si="9"/>
        <v>-0.74952209911061918</v>
      </c>
      <c r="AW109" s="45">
        <f t="shared" si="10"/>
        <v>3</v>
      </c>
      <c r="AX109" s="45">
        <f t="shared" si="11"/>
        <v>0</v>
      </c>
      <c r="AY109" s="46">
        <f>VLOOKUP(AP109,COND!$A$10:$B$32,2,FALSE)</f>
        <v>0.9</v>
      </c>
      <c r="AZ109" s="44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39.422324943078792</v>
      </c>
      <c r="BA109" s="47">
        <f t="shared" si="16"/>
        <v>0.23629575328687788</v>
      </c>
      <c r="BB109" s="45" t="str">
        <f t="shared" si="12"/>
        <v>SP</v>
      </c>
      <c r="BC109" s="45">
        <f>RANK(Table3[[#This Row],[zScore]],Table3[zScore])</f>
        <v>254</v>
      </c>
      <c r="BD109" s="45"/>
      <c r="BE109" s="45"/>
      <c r="BF109" s="45" t="str">
        <f t="shared" si="13"/>
        <v>Unlikely</v>
      </c>
      <c r="BG109" s="45"/>
      <c r="BH109" s="45" t="str">
        <f>INDEX(Table5[[#All],[Ovr]],MATCH(Table3[[#This Row],[PID]],Table5[[#All],[PID]],0))</f>
        <v/>
      </c>
      <c r="BI109" s="45" t="str">
        <f>INDEX(Table5[[#All],[Rnd]],MATCH(Table3[[#This Row],[PID]],Table5[[#All],[PID]],0))</f>
        <v/>
      </c>
      <c r="BJ109" s="45" t="str">
        <f>INDEX(Table5[[#All],[Pick]],MATCH(Table3[[#This Row],[PID]],Table5[[#All],[PID]],0))</f>
        <v/>
      </c>
      <c r="BK109" s="45" t="str">
        <f>INDEX(Table5[[#All],[Team]],MATCH(Table3[[#This Row],[PID]],Table5[[#All],[PID]],0))</f>
        <v/>
      </c>
      <c r="BL10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0" spans="1:64" ht="15" customHeight="1" x14ac:dyDescent="0.25">
      <c r="A110" s="40">
        <v>17568</v>
      </c>
      <c r="B110" s="40" t="s">
        <v>415</v>
      </c>
      <c r="C110" s="40" t="s">
        <v>2012</v>
      </c>
      <c r="D110" s="40" t="s">
        <v>340</v>
      </c>
      <c r="E110" s="40">
        <v>18</v>
      </c>
      <c r="F110" s="40" t="s">
        <v>42</v>
      </c>
      <c r="G110" s="40" t="s">
        <v>42</v>
      </c>
      <c r="H110" s="41" t="s">
        <v>647</v>
      </c>
      <c r="I110" s="42" t="s">
        <v>43</v>
      </c>
      <c r="J110" s="40" t="s">
        <v>44</v>
      </c>
      <c r="K110" s="41" t="s">
        <v>43</v>
      </c>
      <c r="L110" s="40">
        <v>2</v>
      </c>
      <c r="M110" s="40">
        <v>2</v>
      </c>
      <c r="N110" s="41">
        <v>1</v>
      </c>
      <c r="O110" s="40">
        <v>5</v>
      </c>
      <c r="P110" s="40">
        <v>2</v>
      </c>
      <c r="Q110" s="41">
        <v>3</v>
      </c>
      <c r="R110" s="40">
        <v>5</v>
      </c>
      <c r="S110" s="40">
        <v>7</v>
      </c>
      <c r="T110" s="40">
        <v>1</v>
      </c>
      <c r="U110" s="40">
        <v>1</v>
      </c>
      <c r="V110" s="40">
        <v>2</v>
      </c>
      <c r="W110" s="40">
        <v>6</v>
      </c>
      <c r="X110" s="40" t="s">
        <v>45</v>
      </c>
      <c r="Y110" s="40" t="s">
        <v>45</v>
      </c>
      <c r="Z110" s="40" t="s">
        <v>45</v>
      </c>
      <c r="AA110" s="40" t="s">
        <v>45</v>
      </c>
      <c r="AB110" s="40" t="s">
        <v>45</v>
      </c>
      <c r="AC110" s="40" t="s">
        <v>45</v>
      </c>
      <c r="AD110" s="40" t="s">
        <v>45</v>
      </c>
      <c r="AE110" s="40" t="s">
        <v>45</v>
      </c>
      <c r="AF110" s="40" t="s">
        <v>45</v>
      </c>
      <c r="AG110" s="40" t="s">
        <v>45</v>
      </c>
      <c r="AH110" s="40" t="s">
        <v>45</v>
      </c>
      <c r="AI110" s="40" t="s">
        <v>45</v>
      </c>
      <c r="AJ110" s="40" t="s">
        <v>45</v>
      </c>
      <c r="AK110" s="40" t="s">
        <v>45</v>
      </c>
      <c r="AL110" s="40" t="s">
        <v>45</v>
      </c>
      <c r="AM110" s="40" t="s">
        <v>45</v>
      </c>
      <c r="AN110" s="40" t="s">
        <v>45</v>
      </c>
      <c r="AO110" s="41" t="s">
        <v>45</v>
      </c>
      <c r="AP110" s="40" t="s">
        <v>60</v>
      </c>
      <c r="AQ110" s="40">
        <v>6</v>
      </c>
      <c r="AR110" s="48" t="s">
        <v>347</v>
      </c>
      <c r="AS110" s="43" t="s">
        <v>412</v>
      </c>
      <c r="AT110" s="43" t="s">
        <v>47</v>
      </c>
      <c r="AU110" s="44">
        <f t="shared" si="8"/>
        <v>-2.311361197028369</v>
      </c>
      <c r="AV110" s="44">
        <f t="shared" si="9"/>
        <v>-0.79715134065555615</v>
      </c>
      <c r="AW110" s="45">
        <f t="shared" si="10"/>
        <v>3</v>
      </c>
      <c r="AX110" s="45">
        <f t="shared" si="11"/>
        <v>2</v>
      </c>
      <c r="AY110" s="46">
        <f>VLOOKUP(AP110,COND!$A$10:$B$32,2,FALSE)</f>
        <v>1.0249999999999999</v>
      </c>
      <c r="AZ110" s="44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39.302454259391027</v>
      </c>
      <c r="BA110" s="47">
        <f t="shared" si="16"/>
        <v>0.22832093987658256</v>
      </c>
      <c r="BB110" s="45" t="str">
        <f t="shared" si="12"/>
        <v>SP</v>
      </c>
      <c r="BC110" s="45">
        <f>RANK(Table3[[#This Row],[zScore]],Table3[zScore])</f>
        <v>257</v>
      </c>
      <c r="BD110" s="45"/>
      <c r="BE110" s="45"/>
      <c r="BF110" s="45" t="str">
        <f t="shared" si="13"/>
        <v>Unlikely</v>
      </c>
      <c r="BG110" s="45"/>
      <c r="BH110" s="45" t="str">
        <f>INDEX(Table5[[#All],[Ovr]],MATCH(Table3[[#This Row],[PID]],Table5[[#All],[PID]],0))</f>
        <v/>
      </c>
      <c r="BI110" s="45" t="str">
        <f>INDEX(Table5[[#All],[Rnd]],MATCH(Table3[[#This Row],[PID]],Table5[[#All],[PID]],0))</f>
        <v/>
      </c>
      <c r="BJ110" s="45" t="str">
        <f>INDEX(Table5[[#All],[Pick]],MATCH(Table3[[#This Row],[PID]],Table5[[#All],[PID]],0))</f>
        <v/>
      </c>
      <c r="BK110" s="45" t="str">
        <f>INDEX(Table5[[#All],[Team]],MATCH(Table3[[#This Row],[PID]],Table5[[#All],[PID]],0))</f>
        <v/>
      </c>
      <c r="BL1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1" spans="1:64" ht="15" customHeight="1" x14ac:dyDescent="0.25">
      <c r="A111" s="40">
        <v>18277</v>
      </c>
      <c r="B111" s="40" t="s">
        <v>415</v>
      </c>
      <c r="C111" s="40" t="s">
        <v>1974</v>
      </c>
      <c r="D111" s="40" t="s">
        <v>1975</v>
      </c>
      <c r="E111" s="40">
        <v>18</v>
      </c>
      <c r="F111" s="40" t="s">
        <v>42</v>
      </c>
      <c r="G111" s="40" t="s">
        <v>42</v>
      </c>
      <c r="H111" s="41" t="s">
        <v>647</v>
      </c>
      <c r="I111" s="42" t="s">
        <v>43</v>
      </c>
      <c r="J111" s="40" t="s">
        <v>44</v>
      </c>
      <c r="K111" s="41" t="s">
        <v>43</v>
      </c>
      <c r="L111" s="40">
        <v>2</v>
      </c>
      <c r="M111" s="40">
        <v>2</v>
      </c>
      <c r="N111" s="41">
        <v>1</v>
      </c>
      <c r="O111" s="40">
        <v>5</v>
      </c>
      <c r="P111" s="40">
        <v>2</v>
      </c>
      <c r="Q111" s="41">
        <v>3</v>
      </c>
      <c r="R111" s="40">
        <v>4</v>
      </c>
      <c r="S111" s="40">
        <v>6</v>
      </c>
      <c r="T111" s="40">
        <v>1</v>
      </c>
      <c r="U111" s="40">
        <v>1</v>
      </c>
      <c r="V111" s="40" t="s">
        <v>45</v>
      </c>
      <c r="W111" s="40" t="s">
        <v>45</v>
      </c>
      <c r="X111" s="40">
        <v>2</v>
      </c>
      <c r="Y111" s="40">
        <v>6</v>
      </c>
      <c r="Z111" s="40" t="s">
        <v>45</v>
      </c>
      <c r="AA111" s="40" t="s">
        <v>45</v>
      </c>
      <c r="AB111" s="40" t="s">
        <v>45</v>
      </c>
      <c r="AC111" s="40" t="s">
        <v>45</v>
      </c>
      <c r="AD111" s="40" t="s">
        <v>45</v>
      </c>
      <c r="AE111" s="40" t="s">
        <v>45</v>
      </c>
      <c r="AF111" s="40" t="s">
        <v>45</v>
      </c>
      <c r="AG111" s="40" t="s">
        <v>45</v>
      </c>
      <c r="AH111" s="40" t="s">
        <v>45</v>
      </c>
      <c r="AI111" s="40" t="s">
        <v>45</v>
      </c>
      <c r="AJ111" s="40" t="s">
        <v>45</v>
      </c>
      <c r="AK111" s="40" t="s">
        <v>45</v>
      </c>
      <c r="AL111" s="40" t="s">
        <v>45</v>
      </c>
      <c r="AM111" s="40" t="s">
        <v>45</v>
      </c>
      <c r="AN111" s="40" t="s">
        <v>45</v>
      </c>
      <c r="AO111" s="41" t="s">
        <v>45</v>
      </c>
      <c r="AP111" s="40" t="s">
        <v>56</v>
      </c>
      <c r="AQ111" s="40">
        <v>10</v>
      </c>
      <c r="AR111" s="48" t="s">
        <v>347</v>
      </c>
      <c r="AS111" s="43" t="s">
        <v>563</v>
      </c>
      <c r="AT111" s="43" t="s">
        <v>47</v>
      </c>
      <c r="AU111" s="44">
        <f t="shared" si="8"/>
        <v>-2.311361197028369</v>
      </c>
      <c r="AV111" s="44">
        <f t="shared" si="9"/>
        <v>-0.79715134065555615</v>
      </c>
      <c r="AW111" s="45">
        <f t="shared" si="10"/>
        <v>3</v>
      </c>
      <c r="AX111" s="45">
        <f t="shared" si="11"/>
        <v>2</v>
      </c>
      <c r="AY111" s="46">
        <f>VLOOKUP(AP111,COND!$A$10:$B$32,2,FALSE)</f>
        <v>1</v>
      </c>
      <c r="AZ111" s="44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39.294700947483207</v>
      </c>
      <c r="BA111" s="47">
        <f t="shared" si="16"/>
        <v>0.2278051238832598</v>
      </c>
      <c r="BB111" s="45" t="str">
        <f t="shared" si="12"/>
        <v>SP</v>
      </c>
      <c r="BC111" s="45">
        <f>RANK(Table3[[#This Row],[zScore]],Table3[zScore])</f>
        <v>258</v>
      </c>
      <c r="BD111" s="45"/>
      <c r="BE111" s="45"/>
      <c r="BF111" s="45" t="str">
        <f t="shared" si="13"/>
        <v>Unlikely</v>
      </c>
      <c r="BG111" s="45"/>
      <c r="BH111" s="45" t="str">
        <f>INDEX(Table5[[#All],[Ovr]],MATCH(Table3[[#This Row],[PID]],Table5[[#All],[PID]],0))</f>
        <v/>
      </c>
      <c r="BI111" s="45" t="str">
        <f>INDEX(Table5[[#All],[Rnd]],MATCH(Table3[[#This Row],[PID]],Table5[[#All],[PID]],0))</f>
        <v/>
      </c>
      <c r="BJ111" s="45" t="str">
        <f>INDEX(Table5[[#All],[Pick]],MATCH(Table3[[#This Row],[PID]],Table5[[#All],[PID]],0))</f>
        <v/>
      </c>
      <c r="BK111" s="45" t="str">
        <f>INDEX(Table5[[#All],[Team]],MATCH(Table3[[#This Row],[PID]],Table5[[#All],[PID]],0))</f>
        <v/>
      </c>
      <c r="BL1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2" spans="1:64" ht="15" customHeight="1" x14ac:dyDescent="0.25">
      <c r="A112" s="40">
        <v>18008</v>
      </c>
      <c r="B112" s="40" t="s">
        <v>415</v>
      </c>
      <c r="C112" s="40" t="s">
        <v>925</v>
      </c>
      <c r="D112" s="40" t="s">
        <v>1864</v>
      </c>
      <c r="E112" s="40">
        <v>21</v>
      </c>
      <c r="F112" s="40" t="s">
        <v>42</v>
      </c>
      <c r="G112" s="40" t="s">
        <v>42</v>
      </c>
      <c r="H112" s="41" t="s">
        <v>638</v>
      </c>
      <c r="I112" s="42" t="s">
        <v>43</v>
      </c>
      <c r="J112" s="40" t="s">
        <v>43</v>
      </c>
      <c r="K112" s="41" t="s">
        <v>47</v>
      </c>
      <c r="L112" s="40">
        <v>3</v>
      </c>
      <c r="M112" s="40">
        <v>2</v>
      </c>
      <c r="N112" s="41">
        <v>2</v>
      </c>
      <c r="O112" s="40">
        <v>7</v>
      </c>
      <c r="P112" s="40">
        <v>3</v>
      </c>
      <c r="Q112" s="41">
        <v>3</v>
      </c>
      <c r="R112" s="40">
        <v>5</v>
      </c>
      <c r="S112" s="40">
        <v>8</v>
      </c>
      <c r="T112" s="40" t="s">
        <v>45</v>
      </c>
      <c r="U112" s="40" t="s">
        <v>45</v>
      </c>
      <c r="V112" s="40">
        <v>3</v>
      </c>
      <c r="W112" s="40">
        <v>9</v>
      </c>
      <c r="X112" s="40" t="s">
        <v>45</v>
      </c>
      <c r="Y112" s="40" t="s">
        <v>45</v>
      </c>
      <c r="Z112" s="40" t="s">
        <v>45</v>
      </c>
      <c r="AA112" s="40" t="s">
        <v>45</v>
      </c>
      <c r="AB112" s="40" t="s">
        <v>45</v>
      </c>
      <c r="AC112" s="40" t="s">
        <v>45</v>
      </c>
      <c r="AD112" s="40" t="s">
        <v>45</v>
      </c>
      <c r="AE112" s="40" t="s">
        <v>45</v>
      </c>
      <c r="AF112" s="40" t="s">
        <v>45</v>
      </c>
      <c r="AG112" s="40" t="s">
        <v>45</v>
      </c>
      <c r="AH112" s="40" t="s">
        <v>45</v>
      </c>
      <c r="AI112" s="40" t="s">
        <v>45</v>
      </c>
      <c r="AJ112" s="40" t="s">
        <v>45</v>
      </c>
      <c r="AK112" s="40" t="s">
        <v>45</v>
      </c>
      <c r="AL112" s="40" t="s">
        <v>45</v>
      </c>
      <c r="AM112" s="40" t="s">
        <v>45</v>
      </c>
      <c r="AN112" s="40" t="s">
        <v>45</v>
      </c>
      <c r="AO112" s="41" t="s">
        <v>45</v>
      </c>
      <c r="AP112" s="40" t="s">
        <v>54</v>
      </c>
      <c r="AQ112" s="40">
        <v>4</v>
      </c>
      <c r="AR112" s="48" t="s">
        <v>347</v>
      </c>
      <c r="AS112" s="43" t="s">
        <v>45</v>
      </c>
      <c r="AT112" s="43" t="s">
        <v>47</v>
      </c>
      <c r="AU112" s="44">
        <f t="shared" si="8"/>
        <v>-1.8743493064650851</v>
      </c>
      <c r="AV112" s="44">
        <f t="shared" si="9"/>
        <v>-0.21233697520715372</v>
      </c>
      <c r="AW112" s="45">
        <f t="shared" si="10"/>
        <v>2</v>
      </c>
      <c r="AX112" s="45">
        <f t="shared" si="11"/>
        <v>2</v>
      </c>
      <c r="AY112" s="46">
        <f>VLOOKUP(AP112,COND!$A$10:$B$32,2,FALSE)</f>
        <v>1.0249999999999999</v>
      </c>
      <c r="AZ112" s="44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39.207832880406606</v>
      </c>
      <c r="BA112" s="47">
        <f t="shared" si="16"/>
        <v>0.22202592412451491</v>
      </c>
      <c r="BB112" s="45" t="str">
        <f t="shared" si="12"/>
        <v>RP</v>
      </c>
      <c r="BC112" s="45">
        <f>RANK(Table3[[#This Row],[zScore]],Table3[zScore])</f>
        <v>259</v>
      </c>
      <c r="BD112" s="45"/>
      <c r="BE112" s="45"/>
      <c r="BF112" s="45" t="str">
        <f t="shared" si="13"/>
        <v>Possible</v>
      </c>
      <c r="BG112" s="45"/>
      <c r="BH112" s="45">
        <f>INDEX(Table5[[#All],[Ovr]],MATCH(Table3[[#This Row],[PID]],Table5[[#All],[PID]],0))</f>
        <v>232</v>
      </c>
      <c r="BI112" s="45" t="str">
        <f>INDEX(Table5[[#All],[Rnd]],MATCH(Table3[[#This Row],[PID]],Table5[[#All],[PID]],0))</f>
        <v>8</v>
      </c>
      <c r="BJ112" s="45">
        <f>INDEX(Table5[[#All],[Pick]],MATCH(Table3[[#This Row],[PID]],Table5[[#All],[PID]],0))</f>
        <v>14</v>
      </c>
      <c r="BK112" s="45" t="str">
        <f>INDEX(Table5[[#All],[Team]],MATCH(Table3[[#This Row],[PID]],Table5[[#All],[PID]],0))</f>
        <v>Arlington Bureaucrats</v>
      </c>
      <c r="BL1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3" spans="1:64" ht="15" customHeight="1" x14ac:dyDescent="0.25">
      <c r="A113" s="40">
        <v>945</v>
      </c>
      <c r="B113" s="40" t="s">
        <v>415</v>
      </c>
      <c r="C113" s="40" t="s">
        <v>322</v>
      </c>
      <c r="D113" s="40" t="s">
        <v>720</v>
      </c>
      <c r="E113" s="40">
        <v>18</v>
      </c>
      <c r="F113" s="40" t="s">
        <v>42</v>
      </c>
      <c r="G113" s="40" t="s">
        <v>42</v>
      </c>
      <c r="H113" s="41" t="s">
        <v>647</v>
      </c>
      <c r="I113" s="42" t="s">
        <v>43</v>
      </c>
      <c r="J113" s="40" t="s">
        <v>43</v>
      </c>
      <c r="K113" s="41" t="s">
        <v>44</v>
      </c>
      <c r="L113" s="40">
        <v>2</v>
      </c>
      <c r="M113" s="40">
        <v>2</v>
      </c>
      <c r="N113" s="41">
        <v>1</v>
      </c>
      <c r="O113" s="40">
        <v>4</v>
      </c>
      <c r="P113" s="40">
        <v>2</v>
      </c>
      <c r="Q113" s="41">
        <v>4</v>
      </c>
      <c r="R113" s="40">
        <v>3</v>
      </c>
      <c r="S113" s="40">
        <v>5</v>
      </c>
      <c r="T113" s="40" t="s">
        <v>45</v>
      </c>
      <c r="U113" s="40" t="s">
        <v>45</v>
      </c>
      <c r="V113" s="40" t="s">
        <v>45</v>
      </c>
      <c r="W113" s="40" t="s">
        <v>45</v>
      </c>
      <c r="X113" s="40">
        <v>2</v>
      </c>
      <c r="Y113" s="40">
        <v>6</v>
      </c>
      <c r="Z113" s="40">
        <v>3</v>
      </c>
      <c r="AA113" s="40">
        <v>4</v>
      </c>
      <c r="AB113" s="40" t="s">
        <v>45</v>
      </c>
      <c r="AC113" s="40" t="s">
        <v>45</v>
      </c>
      <c r="AD113" s="40" t="s">
        <v>45</v>
      </c>
      <c r="AE113" s="40" t="s">
        <v>45</v>
      </c>
      <c r="AF113" s="40" t="s">
        <v>45</v>
      </c>
      <c r="AG113" s="40" t="s">
        <v>45</v>
      </c>
      <c r="AH113" s="40" t="s">
        <v>45</v>
      </c>
      <c r="AI113" s="40" t="s">
        <v>45</v>
      </c>
      <c r="AJ113" s="40" t="s">
        <v>45</v>
      </c>
      <c r="AK113" s="40" t="s">
        <v>45</v>
      </c>
      <c r="AL113" s="40" t="s">
        <v>45</v>
      </c>
      <c r="AM113" s="40" t="s">
        <v>45</v>
      </c>
      <c r="AN113" s="40" t="s">
        <v>45</v>
      </c>
      <c r="AO113" s="41" t="s">
        <v>45</v>
      </c>
      <c r="AP113" s="40" t="s">
        <v>350</v>
      </c>
      <c r="AQ113" s="40">
        <v>9</v>
      </c>
      <c r="AR113" s="48" t="s">
        <v>347</v>
      </c>
      <c r="AS113" s="43" t="s">
        <v>659</v>
      </c>
      <c r="AT113" s="43" t="s">
        <v>47</v>
      </c>
      <c r="AU113" s="44">
        <f t="shared" si="8"/>
        <v>-2.311361197028369</v>
      </c>
      <c r="AV113" s="44">
        <f t="shared" si="9"/>
        <v>-0.74952209911061918</v>
      </c>
      <c r="AW113" s="45">
        <f t="shared" si="10"/>
        <v>3</v>
      </c>
      <c r="AX113" s="45">
        <f t="shared" si="11"/>
        <v>1</v>
      </c>
      <c r="AY113" s="46">
        <f>VLOOKUP(AP113,COND!$A$10:$B$32,2,FALSE)</f>
        <v>1</v>
      </c>
      <c r="AZ113" s="44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38.997285778381936</v>
      </c>
      <c r="BA113" s="47">
        <f t="shared" si="16"/>
        <v>0.20801854716570192</v>
      </c>
      <c r="BB113" s="45" t="str">
        <f t="shared" si="12"/>
        <v>SP</v>
      </c>
      <c r="BC113" s="45">
        <f>RANK(Table3[[#This Row],[zScore]],Table3[zScore])</f>
        <v>262</v>
      </c>
      <c r="BD113" s="45"/>
      <c r="BE113" s="45"/>
      <c r="BF113" s="45" t="str">
        <f t="shared" si="13"/>
        <v>Unlikely</v>
      </c>
      <c r="BG113" s="45"/>
      <c r="BH113" s="45" t="str">
        <f>INDEX(Table5[[#All],[Ovr]],MATCH(Table3[[#This Row],[PID]],Table5[[#All],[PID]],0))</f>
        <v/>
      </c>
      <c r="BI113" s="45" t="str">
        <f>INDEX(Table5[[#All],[Rnd]],MATCH(Table3[[#This Row],[PID]],Table5[[#All],[PID]],0))</f>
        <v/>
      </c>
      <c r="BJ113" s="45" t="str">
        <f>INDEX(Table5[[#All],[Pick]],MATCH(Table3[[#This Row],[PID]],Table5[[#All],[PID]],0))</f>
        <v/>
      </c>
      <c r="BK113" s="45" t="str">
        <f>INDEX(Table5[[#All],[Team]],MATCH(Table3[[#This Row],[PID]],Table5[[#All],[PID]],0))</f>
        <v/>
      </c>
      <c r="BL1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4" spans="1:64" ht="15" customHeight="1" x14ac:dyDescent="0.25">
      <c r="A114" s="40">
        <v>20784</v>
      </c>
      <c r="B114" s="40" t="s">
        <v>415</v>
      </c>
      <c r="C114" s="40" t="s">
        <v>188</v>
      </c>
      <c r="D114" s="40" t="s">
        <v>662</v>
      </c>
      <c r="E114" s="40">
        <v>17</v>
      </c>
      <c r="F114" s="40" t="s">
        <v>42</v>
      </c>
      <c r="G114" s="40" t="s">
        <v>42</v>
      </c>
      <c r="H114" s="41" t="s">
        <v>647</v>
      </c>
      <c r="I114" s="42" t="s">
        <v>43</v>
      </c>
      <c r="J114" s="40" t="s">
        <v>47</v>
      </c>
      <c r="K114" s="41" t="s">
        <v>43</v>
      </c>
      <c r="L114" s="40">
        <v>2</v>
      </c>
      <c r="M114" s="40">
        <v>2</v>
      </c>
      <c r="N114" s="41">
        <v>1</v>
      </c>
      <c r="O114" s="40">
        <v>5</v>
      </c>
      <c r="P114" s="40">
        <v>2</v>
      </c>
      <c r="Q114" s="41">
        <v>3</v>
      </c>
      <c r="R114" s="40">
        <v>3</v>
      </c>
      <c r="S114" s="40">
        <v>6</v>
      </c>
      <c r="T114" s="40">
        <v>1</v>
      </c>
      <c r="U114" s="40">
        <v>2</v>
      </c>
      <c r="V114" s="40" t="s">
        <v>45</v>
      </c>
      <c r="W114" s="40" t="s">
        <v>45</v>
      </c>
      <c r="X114" s="40" t="s">
        <v>45</v>
      </c>
      <c r="Y114" s="40" t="s">
        <v>45</v>
      </c>
      <c r="Z114" s="40">
        <v>3</v>
      </c>
      <c r="AA114" s="40">
        <v>5</v>
      </c>
      <c r="AB114" s="40" t="s">
        <v>45</v>
      </c>
      <c r="AC114" s="40" t="s">
        <v>45</v>
      </c>
      <c r="AD114" s="40" t="s">
        <v>45</v>
      </c>
      <c r="AE114" s="40" t="s">
        <v>45</v>
      </c>
      <c r="AF114" s="40" t="s">
        <v>45</v>
      </c>
      <c r="AG114" s="40" t="s">
        <v>45</v>
      </c>
      <c r="AH114" s="40" t="s">
        <v>45</v>
      </c>
      <c r="AI114" s="40" t="s">
        <v>45</v>
      </c>
      <c r="AJ114" s="40" t="s">
        <v>45</v>
      </c>
      <c r="AK114" s="40" t="s">
        <v>45</v>
      </c>
      <c r="AL114" s="40" t="s">
        <v>45</v>
      </c>
      <c r="AM114" s="40" t="s">
        <v>45</v>
      </c>
      <c r="AN114" s="40" t="s">
        <v>45</v>
      </c>
      <c r="AO114" s="41" t="s">
        <v>45</v>
      </c>
      <c r="AP114" s="40" t="s">
        <v>349</v>
      </c>
      <c r="AQ114" s="40">
        <v>5</v>
      </c>
      <c r="AR114" s="48" t="s">
        <v>347</v>
      </c>
      <c r="AS114" s="43" t="s">
        <v>659</v>
      </c>
      <c r="AT114" s="43" t="s">
        <v>635</v>
      </c>
      <c r="AU114" s="44">
        <f t="shared" si="8"/>
        <v>-2.311361197028369</v>
      </c>
      <c r="AV114" s="44">
        <f t="shared" si="9"/>
        <v>-0.79715134065555615</v>
      </c>
      <c r="AW114" s="45">
        <f t="shared" si="10"/>
        <v>3</v>
      </c>
      <c r="AX114" s="45">
        <f t="shared" si="11"/>
        <v>1</v>
      </c>
      <c r="AY114" s="46">
        <f>VLOOKUP(AP114,COND!$A$10:$B$32,2,FALSE)</f>
        <v>1</v>
      </c>
      <c r="AZ114" s="44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38.986083423796124</v>
      </c>
      <c r="BA114" s="47">
        <f t="shared" si="16"/>
        <v>0.20727327163352494</v>
      </c>
      <c r="BB114" s="45" t="str">
        <f t="shared" si="12"/>
        <v>SP</v>
      </c>
      <c r="BC114" s="45">
        <f>RANK(Table3[[#This Row],[zScore]],Table3[zScore])</f>
        <v>263</v>
      </c>
      <c r="BD114" s="45"/>
      <c r="BE114" s="45"/>
      <c r="BF114" s="45" t="str">
        <f t="shared" si="13"/>
        <v>Unlikely</v>
      </c>
      <c r="BG114" s="45"/>
      <c r="BH114" s="45" t="str">
        <f>INDEX(Table5[[#All],[Ovr]],MATCH(Table3[[#This Row],[PID]],Table5[[#All],[PID]],0))</f>
        <v/>
      </c>
      <c r="BI114" s="45" t="str">
        <f>INDEX(Table5[[#All],[Rnd]],MATCH(Table3[[#This Row],[PID]],Table5[[#All],[PID]],0))</f>
        <v/>
      </c>
      <c r="BJ114" s="45" t="str">
        <f>INDEX(Table5[[#All],[Pick]],MATCH(Table3[[#This Row],[PID]],Table5[[#All],[PID]],0))</f>
        <v/>
      </c>
      <c r="BK114" s="45" t="str">
        <f>INDEX(Table5[[#All],[Team]],MATCH(Table3[[#This Row],[PID]],Table5[[#All],[PID]],0))</f>
        <v/>
      </c>
      <c r="BL1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5" spans="1:64" ht="15" customHeight="1" x14ac:dyDescent="0.25">
      <c r="A115" s="40">
        <v>17624</v>
      </c>
      <c r="B115" s="40" t="s">
        <v>415</v>
      </c>
      <c r="C115" s="40" t="s">
        <v>145</v>
      </c>
      <c r="D115" s="40" t="s">
        <v>589</v>
      </c>
      <c r="E115" s="40">
        <v>18</v>
      </c>
      <c r="F115" s="40" t="s">
        <v>53</v>
      </c>
      <c r="G115" s="40" t="s">
        <v>53</v>
      </c>
      <c r="H115" s="41" t="s">
        <v>647</v>
      </c>
      <c r="I115" s="42" t="s">
        <v>43</v>
      </c>
      <c r="J115" s="40" t="s">
        <v>44</v>
      </c>
      <c r="K115" s="41" t="s">
        <v>44</v>
      </c>
      <c r="L115" s="40">
        <v>3</v>
      </c>
      <c r="M115" s="40">
        <v>2</v>
      </c>
      <c r="N115" s="41">
        <v>2</v>
      </c>
      <c r="O115" s="40">
        <v>5</v>
      </c>
      <c r="P115" s="40">
        <v>2</v>
      </c>
      <c r="Q115" s="41">
        <v>3</v>
      </c>
      <c r="R115" s="40">
        <v>5</v>
      </c>
      <c r="S115" s="40">
        <v>6</v>
      </c>
      <c r="T115" s="40">
        <v>1</v>
      </c>
      <c r="U115" s="40">
        <v>7</v>
      </c>
      <c r="V115" s="40" t="s">
        <v>45</v>
      </c>
      <c r="W115" s="40" t="s">
        <v>45</v>
      </c>
      <c r="X115" s="40">
        <v>3</v>
      </c>
      <c r="Y115" s="40">
        <v>4</v>
      </c>
      <c r="Z115" s="40" t="s">
        <v>45</v>
      </c>
      <c r="AA115" s="40" t="s">
        <v>45</v>
      </c>
      <c r="AB115" s="40" t="s">
        <v>45</v>
      </c>
      <c r="AC115" s="40" t="s">
        <v>45</v>
      </c>
      <c r="AD115" s="40" t="s">
        <v>45</v>
      </c>
      <c r="AE115" s="40" t="s">
        <v>45</v>
      </c>
      <c r="AF115" s="40" t="s">
        <v>45</v>
      </c>
      <c r="AG115" s="40" t="s">
        <v>45</v>
      </c>
      <c r="AH115" s="40" t="s">
        <v>45</v>
      </c>
      <c r="AI115" s="40" t="s">
        <v>45</v>
      </c>
      <c r="AJ115" s="40" t="s">
        <v>45</v>
      </c>
      <c r="AK115" s="40" t="s">
        <v>45</v>
      </c>
      <c r="AL115" s="40" t="s">
        <v>45</v>
      </c>
      <c r="AM115" s="40" t="s">
        <v>45</v>
      </c>
      <c r="AN115" s="40" t="s">
        <v>45</v>
      </c>
      <c r="AO115" s="41" t="s">
        <v>45</v>
      </c>
      <c r="AP115" s="40" t="s">
        <v>60</v>
      </c>
      <c r="AQ115" s="40">
        <v>8</v>
      </c>
      <c r="AR115" s="48" t="s">
        <v>347</v>
      </c>
      <c r="AS115" s="43" t="s">
        <v>644</v>
      </c>
      <c r="AT115" s="43" t="s">
        <v>47</v>
      </c>
      <c r="AU115" s="44">
        <f t="shared" si="8"/>
        <v>-1.8743493064650851</v>
      </c>
      <c r="AV115" s="44">
        <f t="shared" si="9"/>
        <v>-0.79715134065555615</v>
      </c>
      <c r="AW115" s="45">
        <f t="shared" si="10"/>
        <v>3</v>
      </c>
      <c r="AX115" s="45">
        <f t="shared" si="11"/>
        <v>2</v>
      </c>
      <c r="AY115" s="46">
        <f>VLOOKUP(AP115,COND!$A$10:$B$32,2,FALSE)</f>
        <v>1.0249999999999999</v>
      </c>
      <c r="AZ115" s="44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38.774155908735757</v>
      </c>
      <c r="BA115" s="47">
        <f t="shared" si="16"/>
        <v>0.19317405790486838</v>
      </c>
      <c r="BB115" s="45" t="str">
        <f t="shared" si="12"/>
        <v>SP</v>
      </c>
      <c r="BC115" s="45">
        <f>RANK(Table3[[#This Row],[zScore]],Table3[zScore])</f>
        <v>266</v>
      </c>
      <c r="BD115" s="45"/>
      <c r="BE115" s="45"/>
      <c r="BF115" s="45" t="str">
        <f t="shared" si="13"/>
        <v>Unlikely</v>
      </c>
      <c r="BG115" s="45"/>
      <c r="BH115" s="45">
        <f>INDEX(Table5[[#All],[Ovr]],MATCH(Table3[[#This Row],[PID]],Table5[[#All],[PID]],0))</f>
        <v>529</v>
      </c>
      <c r="BI115" s="45" t="str">
        <f>INDEX(Table5[[#All],[Rnd]],MATCH(Table3[[#This Row],[PID]],Table5[[#All],[PID]],0))</f>
        <v>18</v>
      </c>
      <c r="BJ115" s="45">
        <f>INDEX(Table5[[#All],[Pick]],MATCH(Table3[[#This Row],[PID]],Table5[[#All],[PID]],0))</f>
        <v>11</v>
      </c>
      <c r="BK115" s="45" t="str">
        <f>INDEX(Table5[[#All],[Team]],MATCH(Table3[[#This Row],[PID]],Table5[[#All],[PID]],0))</f>
        <v>Duluth Warriors</v>
      </c>
      <c r="BL1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6" spans="1:64" ht="15" customHeight="1" x14ac:dyDescent="0.25">
      <c r="A116" s="40">
        <v>17645</v>
      </c>
      <c r="B116" s="40" t="s">
        <v>415</v>
      </c>
      <c r="C116" s="40" t="s">
        <v>138</v>
      </c>
      <c r="D116" s="40" t="s">
        <v>733</v>
      </c>
      <c r="E116" s="40">
        <v>18</v>
      </c>
      <c r="F116" s="40" t="s">
        <v>53</v>
      </c>
      <c r="G116" s="40" t="s">
        <v>53</v>
      </c>
      <c r="H116" s="41" t="s">
        <v>647</v>
      </c>
      <c r="I116" s="42" t="s">
        <v>43</v>
      </c>
      <c r="J116" s="40" t="s">
        <v>43</v>
      </c>
      <c r="K116" s="41" t="s">
        <v>43</v>
      </c>
      <c r="L116" s="40">
        <v>1</v>
      </c>
      <c r="M116" s="40">
        <v>2</v>
      </c>
      <c r="N116" s="41">
        <v>1</v>
      </c>
      <c r="O116" s="40">
        <v>4</v>
      </c>
      <c r="P116" s="40">
        <v>2</v>
      </c>
      <c r="Q116" s="41">
        <v>4</v>
      </c>
      <c r="R116" s="40">
        <v>2</v>
      </c>
      <c r="S116" s="40">
        <v>3</v>
      </c>
      <c r="T116" s="40">
        <v>1</v>
      </c>
      <c r="U116" s="40">
        <v>5</v>
      </c>
      <c r="V116" s="40">
        <v>1</v>
      </c>
      <c r="W116" s="40">
        <v>4</v>
      </c>
      <c r="X116" s="40" t="s">
        <v>45</v>
      </c>
      <c r="Y116" s="40" t="s">
        <v>45</v>
      </c>
      <c r="Z116" s="40" t="s">
        <v>45</v>
      </c>
      <c r="AA116" s="40" t="s">
        <v>45</v>
      </c>
      <c r="AB116" s="40" t="s">
        <v>45</v>
      </c>
      <c r="AC116" s="40" t="s">
        <v>45</v>
      </c>
      <c r="AD116" s="40" t="s">
        <v>45</v>
      </c>
      <c r="AE116" s="40" t="s">
        <v>45</v>
      </c>
      <c r="AF116" s="40" t="s">
        <v>45</v>
      </c>
      <c r="AG116" s="40" t="s">
        <v>45</v>
      </c>
      <c r="AH116" s="40" t="s">
        <v>45</v>
      </c>
      <c r="AI116" s="40" t="s">
        <v>45</v>
      </c>
      <c r="AJ116" s="40" t="s">
        <v>45</v>
      </c>
      <c r="AK116" s="40" t="s">
        <v>45</v>
      </c>
      <c r="AL116" s="40" t="s">
        <v>45</v>
      </c>
      <c r="AM116" s="40" t="s">
        <v>45</v>
      </c>
      <c r="AN116" s="40" t="s">
        <v>45</v>
      </c>
      <c r="AO116" s="41" t="s">
        <v>45</v>
      </c>
      <c r="AP116" s="40" t="s">
        <v>65</v>
      </c>
      <c r="AQ116" s="40">
        <v>9</v>
      </c>
      <c r="AR116" s="48" t="s">
        <v>347</v>
      </c>
      <c r="AS116" s="43" t="s">
        <v>654</v>
      </c>
      <c r="AT116" s="43" t="s">
        <v>47</v>
      </c>
      <c r="AU116" s="44">
        <f t="shared" si="8"/>
        <v>-2.5060525215375429</v>
      </c>
      <c r="AV116" s="44">
        <f t="shared" si="9"/>
        <v>-0.74952209911061918</v>
      </c>
      <c r="AW116" s="45">
        <f t="shared" si="10"/>
        <v>3</v>
      </c>
      <c r="AX116" s="45">
        <f t="shared" si="11"/>
        <v>0</v>
      </c>
      <c r="AY116" s="46">
        <f>VLOOKUP(AP116,COND!$A$10:$B$32,2,FALSE)</f>
        <v>0.95</v>
      </c>
      <c r="AZ116" s="44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38.707930137806102</v>
      </c>
      <c r="BA116" s="47">
        <f t="shared" si="16"/>
        <v>0.18876815856510454</v>
      </c>
      <c r="BB116" s="45" t="str">
        <f t="shared" si="12"/>
        <v>SP</v>
      </c>
      <c r="BC116" s="45">
        <f>RANK(Table3[[#This Row],[zScore]],Table3[zScore])</f>
        <v>268</v>
      </c>
      <c r="BD116" s="45"/>
      <c r="BE116" s="45"/>
      <c r="BF116" s="45" t="str">
        <f t="shared" si="13"/>
        <v>Unlikely</v>
      </c>
      <c r="BG116" s="45"/>
      <c r="BH116" s="45" t="str">
        <f>INDEX(Table5[[#All],[Ovr]],MATCH(Table3[[#This Row],[PID]],Table5[[#All],[PID]],0))</f>
        <v/>
      </c>
      <c r="BI116" s="45" t="str">
        <f>INDEX(Table5[[#All],[Rnd]],MATCH(Table3[[#This Row],[PID]],Table5[[#All],[PID]],0))</f>
        <v/>
      </c>
      <c r="BJ116" s="45" t="str">
        <f>INDEX(Table5[[#All],[Pick]],MATCH(Table3[[#This Row],[PID]],Table5[[#All],[PID]],0))</f>
        <v/>
      </c>
      <c r="BK116" s="45" t="str">
        <f>INDEX(Table5[[#All],[Team]],MATCH(Table3[[#This Row],[PID]],Table5[[#All],[PID]],0))</f>
        <v/>
      </c>
      <c r="BL1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7" spans="1:64" ht="15" customHeight="1" x14ac:dyDescent="0.25">
      <c r="A117" s="40">
        <v>17786</v>
      </c>
      <c r="B117" s="40" t="s">
        <v>415</v>
      </c>
      <c r="C117" s="40" t="s">
        <v>1420</v>
      </c>
      <c r="D117" s="40" t="s">
        <v>372</v>
      </c>
      <c r="E117" s="40">
        <v>21</v>
      </c>
      <c r="F117" s="40" t="s">
        <v>42</v>
      </c>
      <c r="G117" s="40" t="s">
        <v>42</v>
      </c>
      <c r="H117" s="41" t="s">
        <v>639</v>
      </c>
      <c r="I117" s="42" t="s">
        <v>43</v>
      </c>
      <c r="J117" s="40" t="s">
        <v>43</v>
      </c>
      <c r="K117" s="41" t="s">
        <v>47</v>
      </c>
      <c r="L117" s="40">
        <v>4</v>
      </c>
      <c r="M117" s="40">
        <v>2</v>
      </c>
      <c r="N117" s="41">
        <v>2</v>
      </c>
      <c r="O117" s="40">
        <v>6</v>
      </c>
      <c r="P117" s="40">
        <v>2</v>
      </c>
      <c r="Q117" s="41">
        <v>3</v>
      </c>
      <c r="R117" s="40">
        <v>5</v>
      </c>
      <c r="S117" s="40">
        <v>7</v>
      </c>
      <c r="T117" s="40">
        <v>1</v>
      </c>
      <c r="U117" s="40">
        <v>2</v>
      </c>
      <c r="V117" s="40">
        <v>4</v>
      </c>
      <c r="W117" s="40">
        <v>7</v>
      </c>
      <c r="X117" s="40" t="s">
        <v>45</v>
      </c>
      <c r="Y117" s="40" t="s">
        <v>45</v>
      </c>
      <c r="Z117" s="40" t="s">
        <v>45</v>
      </c>
      <c r="AA117" s="40" t="s">
        <v>45</v>
      </c>
      <c r="AB117" s="40" t="s">
        <v>45</v>
      </c>
      <c r="AC117" s="40" t="s">
        <v>45</v>
      </c>
      <c r="AD117" s="40" t="s">
        <v>45</v>
      </c>
      <c r="AE117" s="40" t="s">
        <v>45</v>
      </c>
      <c r="AF117" s="40" t="s">
        <v>45</v>
      </c>
      <c r="AG117" s="40" t="s">
        <v>45</v>
      </c>
      <c r="AH117" s="40" t="s">
        <v>45</v>
      </c>
      <c r="AI117" s="40" t="s">
        <v>45</v>
      </c>
      <c r="AJ117" s="40" t="s">
        <v>45</v>
      </c>
      <c r="AK117" s="40" t="s">
        <v>45</v>
      </c>
      <c r="AL117" s="40" t="s">
        <v>45</v>
      </c>
      <c r="AM117" s="40" t="s">
        <v>45</v>
      </c>
      <c r="AN117" s="40" t="s">
        <v>45</v>
      </c>
      <c r="AO117" s="41" t="s">
        <v>45</v>
      </c>
      <c r="AP117" s="40" t="s">
        <v>54</v>
      </c>
      <c r="AQ117" s="40">
        <v>8</v>
      </c>
      <c r="AR117" s="48" t="s">
        <v>347</v>
      </c>
      <c r="AS117" s="43" t="s">
        <v>45</v>
      </c>
      <c r="AT117" s="43" t="s">
        <v>47</v>
      </c>
      <c r="AU117" s="44">
        <f t="shared" si="8"/>
        <v>-1.6796579819559116</v>
      </c>
      <c r="AV117" s="44">
        <f t="shared" si="9"/>
        <v>-0.60246001614638267</v>
      </c>
      <c r="AW117" s="45">
        <f t="shared" si="10"/>
        <v>3</v>
      </c>
      <c r="AX117" s="45">
        <f t="shared" si="11"/>
        <v>2</v>
      </c>
      <c r="AY117" s="46">
        <f>VLOOKUP(AP117,COND!$A$10:$B$32,2,FALSE)</f>
        <v>1.0249999999999999</v>
      </c>
      <c r="AZ117" s="44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38.7052397826982</v>
      </c>
      <c r="BA117" s="47">
        <f t="shared" si="16"/>
        <v>0.18858917335093128</v>
      </c>
      <c r="BB117" s="45" t="str">
        <f t="shared" si="12"/>
        <v>SP</v>
      </c>
      <c r="BC117" s="45">
        <f>RANK(Table3[[#This Row],[zScore]],Table3[zScore])</f>
        <v>269</v>
      </c>
      <c r="BD117" s="45"/>
      <c r="BE117" s="45"/>
      <c r="BF117" s="45" t="str">
        <f t="shared" si="13"/>
        <v>Unlikely</v>
      </c>
      <c r="BG117" s="45"/>
      <c r="BH117" s="45">
        <f>INDEX(Table5[[#All],[Ovr]],MATCH(Table3[[#This Row],[PID]],Table5[[#All],[PID]],0))</f>
        <v>406</v>
      </c>
      <c r="BI117" s="45" t="str">
        <f>INDEX(Table5[[#All],[Rnd]],MATCH(Table3[[#This Row],[PID]],Table5[[#All],[PID]],0))</f>
        <v>14</v>
      </c>
      <c r="BJ117" s="45">
        <f>INDEX(Table5[[#All],[Pick]],MATCH(Table3[[#This Row],[PID]],Table5[[#All],[PID]],0))</f>
        <v>8</v>
      </c>
      <c r="BK117" s="45" t="str">
        <f>INDEX(Table5[[#All],[Team]],MATCH(Table3[[#This Row],[PID]],Table5[[#All],[PID]],0))</f>
        <v>London Underground</v>
      </c>
      <c r="BL1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8" spans="1:64" ht="15" customHeight="1" x14ac:dyDescent="0.25">
      <c r="A118" s="40">
        <v>17858</v>
      </c>
      <c r="B118" s="40" t="s">
        <v>415</v>
      </c>
      <c r="C118" s="40" t="s">
        <v>582</v>
      </c>
      <c r="D118" s="40" t="s">
        <v>1128</v>
      </c>
      <c r="E118" s="40">
        <v>18</v>
      </c>
      <c r="F118" s="40" t="s">
        <v>42</v>
      </c>
      <c r="G118" s="40" t="s">
        <v>42</v>
      </c>
      <c r="H118" s="41" t="s">
        <v>647</v>
      </c>
      <c r="I118" s="42" t="s">
        <v>43</v>
      </c>
      <c r="J118" s="40" t="s">
        <v>47</v>
      </c>
      <c r="K118" s="41" t="s">
        <v>47</v>
      </c>
      <c r="L118" s="40">
        <v>2</v>
      </c>
      <c r="M118" s="40">
        <v>1</v>
      </c>
      <c r="N118" s="41">
        <v>1</v>
      </c>
      <c r="O118" s="40">
        <v>6</v>
      </c>
      <c r="P118" s="40">
        <v>1</v>
      </c>
      <c r="Q118" s="41">
        <v>3</v>
      </c>
      <c r="R118" s="40">
        <v>4</v>
      </c>
      <c r="S118" s="40">
        <v>7</v>
      </c>
      <c r="T118" s="40">
        <v>1</v>
      </c>
      <c r="U118" s="40">
        <v>1</v>
      </c>
      <c r="V118" s="40">
        <v>2</v>
      </c>
      <c r="W118" s="40">
        <v>7</v>
      </c>
      <c r="X118" s="40" t="s">
        <v>45</v>
      </c>
      <c r="Y118" s="40" t="s">
        <v>45</v>
      </c>
      <c r="Z118" s="40" t="s">
        <v>45</v>
      </c>
      <c r="AA118" s="40" t="s">
        <v>45</v>
      </c>
      <c r="AB118" s="40" t="s">
        <v>45</v>
      </c>
      <c r="AC118" s="40" t="s">
        <v>45</v>
      </c>
      <c r="AD118" s="40" t="s">
        <v>45</v>
      </c>
      <c r="AE118" s="40" t="s">
        <v>45</v>
      </c>
      <c r="AF118" s="40" t="s">
        <v>45</v>
      </c>
      <c r="AG118" s="40" t="s">
        <v>45</v>
      </c>
      <c r="AH118" s="40" t="s">
        <v>45</v>
      </c>
      <c r="AI118" s="40" t="s">
        <v>45</v>
      </c>
      <c r="AJ118" s="40" t="s">
        <v>45</v>
      </c>
      <c r="AK118" s="40" t="s">
        <v>45</v>
      </c>
      <c r="AL118" s="40" t="s">
        <v>45</v>
      </c>
      <c r="AM118" s="40" t="s">
        <v>45</v>
      </c>
      <c r="AN118" s="40" t="s">
        <v>45</v>
      </c>
      <c r="AO118" s="41" t="s">
        <v>45</v>
      </c>
      <c r="AP118" s="40" t="s">
        <v>56</v>
      </c>
      <c r="AQ118" s="40">
        <v>5</v>
      </c>
      <c r="AR118" s="48" t="s">
        <v>14</v>
      </c>
      <c r="AS118" s="43" t="s">
        <v>657</v>
      </c>
      <c r="AT118" s="43" t="s">
        <v>635</v>
      </c>
      <c r="AU118" s="44">
        <f t="shared" si="8"/>
        <v>-2.5067929134584248</v>
      </c>
      <c r="AV118" s="44">
        <f t="shared" si="9"/>
        <v>-0.79789173257643808</v>
      </c>
      <c r="AW118" s="45">
        <f t="shared" si="10"/>
        <v>3</v>
      </c>
      <c r="AX118" s="45">
        <f t="shared" si="11"/>
        <v>2</v>
      </c>
      <c r="AY118" s="46">
        <f>VLOOKUP(AP118,COND!$A$10:$B$32,2,FALSE)</f>
        <v>1</v>
      </c>
      <c r="AZ118" s="44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40.452286596635062</v>
      </c>
      <c r="BA118" s="47">
        <f>STANDARDIZE(AZ118,AVERAGE($AZ$5:$AZ$663),STDEVP($AZ$5:$AZ$663))</f>
        <v>0.18142217712183401</v>
      </c>
      <c r="BB118" s="45" t="str">
        <f t="shared" si="12"/>
        <v>SP</v>
      </c>
      <c r="BC118" s="45">
        <f>RANK(Table3[[#This Row],[zScore]],Table3[zScore])</f>
        <v>271</v>
      </c>
      <c r="BD118" s="45"/>
      <c r="BE118" s="45"/>
      <c r="BF118" s="45" t="str">
        <f t="shared" si="13"/>
        <v>Unlikely</v>
      </c>
      <c r="BG118" s="45"/>
      <c r="BH118" s="45">
        <f>INDEX(Table5[[#All],[Ovr]],MATCH(Table3[[#This Row],[PID]],Table5[[#All],[PID]],0))</f>
        <v>561</v>
      </c>
      <c r="BI118" s="45" t="str">
        <f>INDEX(Table5[[#All],[Rnd]],MATCH(Table3[[#This Row],[PID]],Table5[[#All],[PID]],0))</f>
        <v>19</v>
      </c>
      <c r="BJ118" s="45">
        <f>INDEX(Table5[[#All],[Pick]],MATCH(Table3[[#This Row],[PID]],Table5[[#All],[PID]],0))</f>
        <v>13</v>
      </c>
      <c r="BK118" s="45" t="str">
        <f>INDEX(Table5[[#All],[Team]],MATCH(Table3[[#This Row],[PID]],Table5[[#All],[PID]],0))</f>
        <v>Crystal Lake Sandgnats</v>
      </c>
      <c r="BL11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19" spans="1:64" ht="15" customHeight="1" x14ac:dyDescent="0.25">
      <c r="A119" s="40">
        <v>20906</v>
      </c>
      <c r="B119" s="40" t="s">
        <v>415</v>
      </c>
      <c r="C119" s="40" t="s">
        <v>192</v>
      </c>
      <c r="D119" s="40" t="s">
        <v>157</v>
      </c>
      <c r="E119" s="40">
        <v>17</v>
      </c>
      <c r="F119" s="40" t="s">
        <v>42</v>
      </c>
      <c r="G119" s="40" t="s">
        <v>53</v>
      </c>
      <c r="H119" s="41" t="s">
        <v>647</v>
      </c>
      <c r="I119" s="42" t="s">
        <v>44</v>
      </c>
      <c r="J119" s="40" t="s">
        <v>43</v>
      </c>
      <c r="K119" s="41" t="s">
        <v>43</v>
      </c>
      <c r="L119" s="40">
        <v>2</v>
      </c>
      <c r="M119" s="40">
        <v>1</v>
      </c>
      <c r="N119" s="41">
        <v>1</v>
      </c>
      <c r="O119" s="40">
        <v>5</v>
      </c>
      <c r="P119" s="40">
        <v>1</v>
      </c>
      <c r="Q119" s="41">
        <v>4</v>
      </c>
      <c r="R119" s="40">
        <v>2</v>
      </c>
      <c r="S119" s="40">
        <v>5</v>
      </c>
      <c r="T119" s="40">
        <v>1</v>
      </c>
      <c r="U119" s="40">
        <v>1</v>
      </c>
      <c r="V119" s="40">
        <v>3</v>
      </c>
      <c r="W119" s="40">
        <v>7</v>
      </c>
      <c r="X119" s="40" t="s">
        <v>45</v>
      </c>
      <c r="Y119" s="40" t="s">
        <v>45</v>
      </c>
      <c r="Z119" s="40" t="s">
        <v>45</v>
      </c>
      <c r="AA119" s="40" t="s">
        <v>45</v>
      </c>
      <c r="AB119" s="40" t="s">
        <v>45</v>
      </c>
      <c r="AC119" s="40" t="s">
        <v>45</v>
      </c>
      <c r="AD119" s="40" t="s">
        <v>45</v>
      </c>
      <c r="AE119" s="40" t="s">
        <v>45</v>
      </c>
      <c r="AF119" s="40" t="s">
        <v>45</v>
      </c>
      <c r="AG119" s="40" t="s">
        <v>45</v>
      </c>
      <c r="AH119" s="40" t="s">
        <v>45</v>
      </c>
      <c r="AI119" s="40" t="s">
        <v>45</v>
      </c>
      <c r="AJ119" s="40" t="s">
        <v>45</v>
      </c>
      <c r="AK119" s="40" t="s">
        <v>45</v>
      </c>
      <c r="AL119" s="40" t="s">
        <v>45</v>
      </c>
      <c r="AM119" s="40" t="s">
        <v>45</v>
      </c>
      <c r="AN119" s="40" t="s">
        <v>45</v>
      </c>
      <c r="AO119" s="41" t="s">
        <v>45</v>
      </c>
      <c r="AP119" s="40" t="s">
        <v>65</v>
      </c>
      <c r="AQ119" s="40">
        <v>4</v>
      </c>
      <c r="AR119" s="48" t="s">
        <v>14</v>
      </c>
      <c r="AS119" s="43" t="s">
        <v>556</v>
      </c>
      <c r="AT119" s="43" t="s">
        <v>47</v>
      </c>
      <c r="AU119" s="44">
        <f t="shared" si="8"/>
        <v>-2.5067929134584248</v>
      </c>
      <c r="AV119" s="44">
        <f t="shared" si="9"/>
        <v>-0.75026249103150122</v>
      </c>
      <c r="AW119" s="45">
        <f t="shared" si="10"/>
        <v>3</v>
      </c>
      <c r="AX119" s="45">
        <f t="shared" si="11"/>
        <v>1</v>
      </c>
      <c r="AY119" s="46">
        <f>VLOOKUP(AP119,COND!$A$10:$B$32,2,FALSE)</f>
        <v>0.95</v>
      </c>
      <c r="AZ119" s="44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38.337160916002162</v>
      </c>
      <c r="BA119" s="47">
        <f>STANDARDIZE(AZ119,AVERAGE($AZ$5:$AZ$557),STDEVP($AZ$5:$AZ$557))</f>
        <v>0.16410144881421465</v>
      </c>
      <c r="BB119" s="45" t="str">
        <f t="shared" si="12"/>
        <v>RP</v>
      </c>
      <c r="BC119" s="45">
        <f>RANK(Table3[[#This Row],[zScore]],Table3[zScore])</f>
        <v>274</v>
      </c>
      <c r="BD119" s="45"/>
      <c r="BE119" s="45"/>
      <c r="BF119" s="45" t="str">
        <f t="shared" si="13"/>
        <v>Unlikely</v>
      </c>
      <c r="BG119" s="45"/>
      <c r="BH119" s="45" t="str">
        <f>INDEX(Table5[[#All],[Ovr]],MATCH(Table3[[#This Row],[PID]],Table5[[#All],[PID]],0))</f>
        <v/>
      </c>
      <c r="BI119" s="45" t="str">
        <f>INDEX(Table5[[#All],[Rnd]],MATCH(Table3[[#This Row],[PID]],Table5[[#All],[PID]],0))</f>
        <v/>
      </c>
      <c r="BJ119" s="45" t="str">
        <f>INDEX(Table5[[#All],[Pick]],MATCH(Table3[[#This Row],[PID]],Table5[[#All],[PID]],0))</f>
        <v/>
      </c>
      <c r="BK119" s="45" t="str">
        <f>INDEX(Table5[[#All],[Team]],MATCH(Table3[[#This Row],[PID]],Table5[[#All],[PID]],0))</f>
        <v/>
      </c>
      <c r="BL1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0" spans="1:64" ht="15" customHeight="1" x14ac:dyDescent="0.25">
      <c r="A120" s="40">
        <v>21059</v>
      </c>
      <c r="B120" s="40" t="s">
        <v>415</v>
      </c>
      <c r="C120" s="40" t="s">
        <v>525</v>
      </c>
      <c r="D120" s="40" t="s">
        <v>2107</v>
      </c>
      <c r="E120" s="40">
        <v>18</v>
      </c>
      <c r="F120" s="40" t="s">
        <v>53</v>
      </c>
      <c r="G120" s="40" t="s">
        <v>53</v>
      </c>
      <c r="H120" s="41" t="s">
        <v>647</v>
      </c>
      <c r="I120" s="42" t="s">
        <v>43</v>
      </c>
      <c r="J120" s="40" t="s">
        <v>43</v>
      </c>
      <c r="K120" s="41" t="s">
        <v>43</v>
      </c>
      <c r="L120" s="40">
        <v>2</v>
      </c>
      <c r="M120" s="40">
        <v>2</v>
      </c>
      <c r="N120" s="41">
        <v>1</v>
      </c>
      <c r="O120" s="40">
        <v>5</v>
      </c>
      <c r="P120" s="40">
        <v>2</v>
      </c>
      <c r="Q120" s="41">
        <v>3</v>
      </c>
      <c r="R120" s="40" t="s">
        <v>45</v>
      </c>
      <c r="S120" s="40" t="s">
        <v>45</v>
      </c>
      <c r="T120" s="40" t="s">
        <v>45</v>
      </c>
      <c r="U120" s="40" t="s">
        <v>45</v>
      </c>
      <c r="V120" s="40">
        <v>2</v>
      </c>
      <c r="W120" s="40">
        <v>6</v>
      </c>
      <c r="X120" s="40">
        <v>2</v>
      </c>
      <c r="Y120" s="40">
        <v>7</v>
      </c>
      <c r="Z120" s="40" t="s">
        <v>45</v>
      </c>
      <c r="AA120" s="40" t="s">
        <v>45</v>
      </c>
      <c r="AB120" s="40" t="s">
        <v>45</v>
      </c>
      <c r="AC120" s="40" t="s">
        <v>45</v>
      </c>
      <c r="AD120" s="40">
        <v>3</v>
      </c>
      <c r="AE120" s="40">
        <v>5</v>
      </c>
      <c r="AF120" s="40" t="s">
        <v>45</v>
      </c>
      <c r="AG120" s="40" t="s">
        <v>45</v>
      </c>
      <c r="AH120" s="40" t="s">
        <v>45</v>
      </c>
      <c r="AI120" s="40" t="s">
        <v>45</v>
      </c>
      <c r="AJ120" s="40" t="s">
        <v>45</v>
      </c>
      <c r="AK120" s="40" t="s">
        <v>45</v>
      </c>
      <c r="AL120" s="40" t="s">
        <v>45</v>
      </c>
      <c r="AM120" s="40" t="s">
        <v>45</v>
      </c>
      <c r="AN120" s="40" t="s">
        <v>45</v>
      </c>
      <c r="AO120" s="41" t="s">
        <v>45</v>
      </c>
      <c r="AP120" s="40" t="s">
        <v>57</v>
      </c>
      <c r="AQ120" s="40">
        <v>2</v>
      </c>
      <c r="AR120" s="48" t="s">
        <v>347</v>
      </c>
      <c r="AS120" s="43" t="s">
        <v>663</v>
      </c>
      <c r="AT120" s="43" t="s">
        <v>47</v>
      </c>
      <c r="AU120" s="44">
        <f t="shared" si="8"/>
        <v>-2.311361197028369</v>
      </c>
      <c r="AV120" s="44">
        <f t="shared" si="9"/>
        <v>-0.79715134065555615</v>
      </c>
      <c r="AW120" s="45">
        <f t="shared" si="10"/>
        <v>3</v>
      </c>
      <c r="AX120" s="45">
        <f t="shared" si="11"/>
        <v>2</v>
      </c>
      <c r="AY120" s="46">
        <f>VLOOKUP(AP120,COND!$A$10:$B$32,2,FALSE)</f>
        <v>1</v>
      </c>
      <c r="AZ120" s="44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38.214965900109043</v>
      </c>
      <c r="BA120" s="47">
        <f>STANDARDIZE(AZ120,AVERAGE($AZ$5:$AZ$557),STDEVP($AZ$5:$AZ$557))</f>
        <v>0.15597200113412968</v>
      </c>
      <c r="BB120" s="45" t="str">
        <f t="shared" si="12"/>
        <v>RP</v>
      </c>
      <c r="BC120" s="45">
        <f>RANK(Table3[[#This Row],[zScore]],Table3[zScore])</f>
        <v>276</v>
      </c>
      <c r="BD120" s="45"/>
      <c r="BE120" s="45"/>
      <c r="BF120" s="45" t="str">
        <f t="shared" si="13"/>
        <v>Unlikely</v>
      </c>
      <c r="BG120" s="45"/>
      <c r="BH120" s="45" t="str">
        <f>INDEX(Table5[[#All],[Ovr]],MATCH(Table3[[#This Row],[PID]],Table5[[#All],[PID]],0))</f>
        <v/>
      </c>
      <c r="BI120" s="45" t="str">
        <f>INDEX(Table5[[#All],[Rnd]],MATCH(Table3[[#This Row],[PID]],Table5[[#All],[PID]],0))</f>
        <v/>
      </c>
      <c r="BJ120" s="45" t="str">
        <f>INDEX(Table5[[#All],[Pick]],MATCH(Table3[[#This Row],[PID]],Table5[[#All],[PID]],0))</f>
        <v/>
      </c>
      <c r="BK120" s="45" t="str">
        <f>INDEX(Table5[[#All],[Team]],MATCH(Table3[[#This Row],[PID]],Table5[[#All],[PID]],0))</f>
        <v/>
      </c>
      <c r="BL1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1" spans="1:64" ht="15" customHeight="1" x14ac:dyDescent="0.25">
      <c r="A121" s="40">
        <v>9888</v>
      </c>
      <c r="B121" s="40" t="s">
        <v>415</v>
      </c>
      <c r="C121" s="40" t="s">
        <v>343</v>
      </c>
      <c r="D121" s="40" t="s">
        <v>208</v>
      </c>
      <c r="E121" s="40">
        <v>22</v>
      </c>
      <c r="F121" s="40" t="s">
        <v>62</v>
      </c>
      <c r="G121" s="40" t="s">
        <v>42</v>
      </c>
      <c r="H121" s="41" t="s">
        <v>647</v>
      </c>
      <c r="I121" s="42" t="s">
        <v>43</v>
      </c>
      <c r="J121" s="40" t="s">
        <v>44</v>
      </c>
      <c r="K121" s="41" t="s">
        <v>44</v>
      </c>
      <c r="L121" s="40">
        <v>3</v>
      </c>
      <c r="M121" s="40">
        <v>3</v>
      </c>
      <c r="N121" s="41">
        <v>2</v>
      </c>
      <c r="O121" s="40">
        <v>5</v>
      </c>
      <c r="P121" s="40">
        <v>3</v>
      </c>
      <c r="Q121" s="41">
        <v>3</v>
      </c>
      <c r="R121" s="40">
        <v>4</v>
      </c>
      <c r="S121" s="40">
        <v>5</v>
      </c>
      <c r="T121" s="40">
        <v>1</v>
      </c>
      <c r="U121" s="40">
        <v>6</v>
      </c>
      <c r="V121" s="40" t="s">
        <v>45</v>
      </c>
      <c r="W121" s="40" t="s">
        <v>45</v>
      </c>
      <c r="X121" s="40">
        <v>4</v>
      </c>
      <c r="Y121" s="40">
        <v>6</v>
      </c>
      <c r="Z121" s="40" t="s">
        <v>45</v>
      </c>
      <c r="AA121" s="40" t="s">
        <v>45</v>
      </c>
      <c r="AB121" s="40" t="s">
        <v>45</v>
      </c>
      <c r="AC121" s="40" t="s">
        <v>45</v>
      </c>
      <c r="AD121" s="40" t="s">
        <v>45</v>
      </c>
      <c r="AE121" s="40" t="s">
        <v>45</v>
      </c>
      <c r="AF121" s="40" t="s">
        <v>45</v>
      </c>
      <c r="AG121" s="40" t="s">
        <v>45</v>
      </c>
      <c r="AH121" s="40" t="s">
        <v>45</v>
      </c>
      <c r="AI121" s="40" t="s">
        <v>45</v>
      </c>
      <c r="AJ121" s="40" t="s">
        <v>45</v>
      </c>
      <c r="AK121" s="40" t="s">
        <v>45</v>
      </c>
      <c r="AL121" s="40" t="s">
        <v>45</v>
      </c>
      <c r="AM121" s="40" t="s">
        <v>45</v>
      </c>
      <c r="AN121" s="40" t="s">
        <v>45</v>
      </c>
      <c r="AO121" s="41" t="s">
        <v>45</v>
      </c>
      <c r="AP121" s="40" t="s">
        <v>350</v>
      </c>
      <c r="AQ121" s="40">
        <v>7</v>
      </c>
      <c r="AR121" s="48" t="s">
        <v>346</v>
      </c>
      <c r="AS121" s="43" t="s">
        <v>45</v>
      </c>
      <c r="AT121" s="43" t="s">
        <v>635</v>
      </c>
      <c r="AU121" s="44">
        <f t="shared" si="8"/>
        <v>-1.6789175900350299</v>
      </c>
      <c r="AV121" s="44">
        <f t="shared" si="9"/>
        <v>-0.60171962422550074</v>
      </c>
      <c r="AW121" s="45">
        <f t="shared" si="10"/>
        <v>3</v>
      </c>
      <c r="AX121" s="45">
        <f t="shared" si="11"/>
        <v>2</v>
      </c>
      <c r="AY121" s="46">
        <f>VLOOKUP(AP121,COND!$A$10:$B$32,2,FALSE)</f>
        <v>1</v>
      </c>
      <c r="AZ121" s="44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38.029823997482978</v>
      </c>
      <c r="BA121" s="47">
        <f>STANDARDIZE(AZ121,AVERAGE($AZ$5:$AZ$557),STDEVP($AZ$5:$AZ$557))</f>
        <v>0.14365479326939606</v>
      </c>
      <c r="BB121" s="45" t="str">
        <f t="shared" si="12"/>
        <v>SP</v>
      </c>
      <c r="BC121" s="45">
        <f>RANK(Table3[[#This Row],[zScore]],Table3[zScore])</f>
        <v>277</v>
      </c>
      <c r="BD121" s="45"/>
      <c r="BE121" s="45"/>
      <c r="BF121" s="45" t="str">
        <f t="shared" si="13"/>
        <v>Unlikely</v>
      </c>
      <c r="BG121" s="45"/>
      <c r="BH121" s="45" t="str">
        <f>INDEX(Table5[[#All],[Ovr]],MATCH(Table3[[#This Row],[PID]],Table5[[#All],[PID]],0))</f>
        <v/>
      </c>
      <c r="BI121" s="45" t="str">
        <f>INDEX(Table5[[#All],[Rnd]],MATCH(Table3[[#This Row],[PID]],Table5[[#All],[PID]],0))</f>
        <v/>
      </c>
      <c r="BJ121" s="45" t="str">
        <f>INDEX(Table5[[#All],[Pick]],MATCH(Table3[[#This Row],[PID]],Table5[[#All],[PID]],0))</f>
        <v/>
      </c>
      <c r="BK121" s="45" t="str">
        <f>INDEX(Table5[[#All],[Team]],MATCH(Table3[[#This Row],[PID]],Table5[[#All],[PID]],0))</f>
        <v/>
      </c>
      <c r="BL1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2" spans="1:64" ht="15" customHeight="1" x14ac:dyDescent="0.25">
      <c r="A122" s="40">
        <v>20401</v>
      </c>
      <c r="B122" s="40" t="s">
        <v>415</v>
      </c>
      <c r="C122" s="40" t="s">
        <v>142</v>
      </c>
      <c r="D122" s="40" t="s">
        <v>2163</v>
      </c>
      <c r="E122" s="40">
        <v>17</v>
      </c>
      <c r="F122" s="40" t="s">
        <v>53</v>
      </c>
      <c r="G122" s="40" t="s">
        <v>53</v>
      </c>
      <c r="H122" s="41" t="s">
        <v>647</v>
      </c>
      <c r="I122" s="42" t="s">
        <v>43</v>
      </c>
      <c r="J122" s="40" t="s">
        <v>47</v>
      </c>
      <c r="K122" s="41" t="s">
        <v>47</v>
      </c>
      <c r="L122" s="40">
        <v>3</v>
      </c>
      <c r="M122" s="40">
        <v>2</v>
      </c>
      <c r="N122" s="41">
        <v>1</v>
      </c>
      <c r="O122" s="40">
        <v>4</v>
      </c>
      <c r="P122" s="40">
        <v>3</v>
      </c>
      <c r="Q122" s="41">
        <v>3</v>
      </c>
      <c r="R122" s="40">
        <v>4</v>
      </c>
      <c r="S122" s="40">
        <v>4</v>
      </c>
      <c r="T122" s="40" t="s">
        <v>45</v>
      </c>
      <c r="U122" s="40" t="s">
        <v>45</v>
      </c>
      <c r="V122" s="40" t="s">
        <v>45</v>
      </c>
      <c r="W122" s="40" t="s">
        <v>45</v>
      </c>
      <c r="X122" s="40">
        <v>2</v>
      </c>
      <c r="Y122" s="40">
        <v>4</v>
      </c>
      <c r="Z122" s="40" t="s">
        <v>45</v>
      </c>
      <c r="AA122" s="40" t="s">
        <v>45</v>
      </c>
      <c r="AB122" s="40">
        <v>3</v>
      </c>
      <c r="AC122" s="40">
        <v>4</v>
      </c>
      <c r="AD122" s="40">
        <v>3</v>
      </c>
      <c r="AE122" s="40">
        <v>4</v>
      </c>
      <c r="AF122" s="40">
        <v>3</v>
      </c>
      <c r="AG122" s="40">
        <v>4</v>
      </c>
      <c r="AH122" s="40" t="s">
        <v>45</v>
      </c>
      <c r="AI122" s="40" t="s">
        <v>45</v>
      </c>
      <c r="AJ122" s="40" t="s">
        <v>45</v>
      </c>
      <c r="AK122" s="40" t="s">
        <v>45</v>
      </c>
      <c r="AL122" s="40" t="s">
        <v>45</v>
      </c>
      <c r="AM122" s="40" t="s">
        <v>45</v>
      </c>
      <c r="AN122" s="40" t="s">
        <v>45</v>
      </c>
      <c r="AO122" s="41" t="s">
        <v>45</v>
      </c>
      <c r="AP122" s="40" t="s">
        <v>57</v>
      </c>
      <c r="AQ122" s="40">
        <v>7</v>
      </c>
      <c r="AR122" s="48" t="s">
        <v>347</v>
      </c>
      <c r="AS122" s="43" t="s">
        <v>644</v>
      </c>
      <c r="AT122" s="43"/>
      <c r="AU122" s="44">
        <f t="shared" si="8"/>
        <v>-2.1166698725191955</v>
      </c>
      <c r="AV122" s="44">
        <f t="shared" si="9"/>
        <v>-0.79641094873467422</v>
      </c>
      <c r="AW122" s="45">
        <f t="shared" si="10"/>
        <v>5</v>
      </c>
      <c r="AX122" s="45">
        <f t="shared" si="11"/>
        <v>0</v>
      </c>
      <c r="AY122" s="46">
        <f>VLOOKUP(AP122,COND!$A$10:$B$32,2,FALSE)</f>
        <v>1</v>
      </c>
      <c r="AZ122" s="44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38.748447050802682</v>
      </c>
      <c r="BA122" s="47">
        <f>STANDARDIZE(AZ122,AVERAGE($AZ$5:$AZ$788),STDEVP($AZ$5:$AZ$788))</f>
        <v>0.14247952407446804</v>
      </c>
      <c r="BB122" s="45" t="str">
        <f t="shared" si="12"/>
        <v>SP</v>
      </c>
      <c r="BC122" s="45">
        <f>RANK(Table3[[#This Row],[zScore]],Table3[zScore])</f>
        <v>279</v>
      </c>
      <c r="BD122" s="45"/>
      <c r="BE122" s="45"/>
      <c r="BF122" s="45" t="str">
        <f t="shared" si="13"/>
        <v>Unlikely</v>
      </c>
      <c r="BG122" s="45"/>
      <c r="BH122" s="64" t="str">
        <f>INDEX(Table5[[#All],[Ovr]],MATCH(Table3[[#This Row],[PID]],Table5[[#All],[PID]],0))</f>
        <v/>
      </c>
      <c r="BI122" s="64" t="str">
        <f>INDEX(Table5[[#All],[Rnd]],MATCH(Table3[[#This Row],[PID]],Table5[[#All],[PID]],0))</f>
        <v/>
      </c>
      <c r="BJ122" s="64" t="str">
        <f>INDEX(Table5[[#All],[Pick]],MATCH(Table3[[#This Row],[PID]],Table5[[#All],[PID]],0))</f>
        <v/>
      </c>
      <c r="BK122" s="64" t="str">
        <f>INDEX(Table5[[#All],[Team]],MATCH(Table3[[#This Row],[PID]],Table5[[#All],[PID]],0))</f>
        <v/>
      </c>
      <c r="BL122" s="64" t="str">
        <f>IF(OR(Table3[[#This Row],[POS]]="SP",Table3[[#This Row],[POS]]="RP",Table3[[#This Row],[POS]]="CL"),"P",INDEX(Batters[[#All],[zScore]],MATCH(Table3[[#This Row],[PID]],Batters[[#All],[PID]],0)))</f>
        <v>P</v>
      </c>
    </row>
    <row r="123" spans="1:64" ht="15" customHeight="1" x14ac:dyDescent="0.25">
      <c r="A123" s="40">
        <v>18401</v>
      </c>
      <c r="B123" s="40" t="s">
        <v>415</v>
      </c>
      <c r="C123" s="40" t="s">
        <v>1912</v>
      </c>
      <c r="D123" s="40" t="s">
        <v>381</v>
      </c>
      <c r="E123" s="40">
        <v>18</v>
      </c>
      <c r="F123" s="40" t="s">
        <v>42</v>
      </c>
      <c r="G123" s="40" t="s">
        <v>42</v>
      </c>
      <c r="H123" s="41" t="s">
        <v>647</v>
      </c>
      <c r="I123" s="42" t="s">
        <v>43</v>
      </c>
      <c r="J123" s="40" t="s">
        <v>43</v>
      </c>
      <c r="K123" s="41" t="s">
        <v>43</v>
      </c>
      <c r="L123" s="40">
        <v>2</v>
      </c>
      <c r="M123" s="40">
        <v>2</v>
      </c>
      <c r="N123" s="41">
        <v>1</v>
      </c>
      <c r="O123" s="40">
        <v>4</v>
      </c>
      <c r="P123" s="40">
        <v>3</v>
      </c>
      <c r="Q123" s="41">
        <v>3</v>
      </c>
      <c r="R123" s="40" t="s">
        <v>45</v>
      </c>
      <c r="S123" s="40" t="s">
        <v>45</v>
      </c>
      <c r="T123" s="40">
        <v>1</v>
      </c>
      <c r="U123" s="40">
        <v>4</v>
      </c>
      <c r="V123" s="40">
        <v>2</v>
      </c>
      <c r="W123" s="40">
        <v>5</v>
      </c>
      <c r="X123" s="40">
        <v>2</v>
      </c>
      <c r="Y123" s="40">
        <v>2</v>
      </c>
      <c r="Z123" s="40" t="s">
        <v>45</v>
      </c>
      <c r="AA123" s="40" t="s">
        <v>45</v>
      </c>
      <c r="AB123" s="40" t="s">
        <v>45</v>
      </c>
      <c r="AC123" s="40" t="s">
        <v>45</v>
      </c>
      <c r="AD123" s="40">
        <v>3</v>
      </c>
      <c r="AE123" s="40">
        <v>5</v>
      </c>
      <c r="AF123" s="40" t="s">
        <v>45</v>
      </c>
      <c r="AG123" s="40" t="s">
        <v>45</v>
      </c>
      <c r="AH123" s="40" t="s">
        <v>45</v>
      </c>
      <c r="AI123" s="40" t="s">
        <v>45</v>
      </c>
      <c r="AJ123" s="40" t="s">
        <v>45</v>
      </c>
      <c r="AK123" s="40" t="s">
        <v>45</v>
      </c>
      <c r="AL123" s="40" t="s">
        <v>45</v>
      </c>
      <c r="AM123" s="40" t="s">
        <v>45</v>
      </c>
      <c r="AN123" s="40" t="s">
        <v>45</v>
      </c>
      <c r="AO123" s="41" t="s">
        <v>45</v>
      </c>
      <c r="AP123" s="40" t="s">
        <v>64</v>
      </c>
      <c r="AQ123" s="40">
        <v>9</v>
      </c>
      <c r="AR123" s="48" t="s">
        <v>347</v>
      </c>
      <c r="AS123" s="43" t="s">
        <v>670</v>
      </c>
      <c r="AT123" s="43" t="s">
        <v>47</v>
      </c>
      <c r="AU123" s="44">
        <f t="shared" si="8"/>
        <v>-2.311361197028369</v>
      </c>
      <c r="AV123" s="44">
        <f t="shared" si="9"/>
        <v>-0.79641094873467422</v>
      </c>
      <c r="AW123" s="45">
        <f t="shared" si="10"/>
        <v>4</v>
      </c>
      <c r="AX123" s="45">
        <f t="shared" si="11"/>
        <v>0</v>
      </c>
      <c r="AY123" s="46">
        <f>VLOOKUP(AP123,COND!$A$10:$B$32,2,FALSE)</f>
        <v>1</v>
      </c>
      <c r="AZ123" s="44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37.609508785900843</v>
      </c>
      <c r="BA123" s="47">
        <f>STANDARDIZE(AZ123,AVERAGE($AZ$5:$AZ$557),STDEVP($AZ$5:$AZ$557))</f>
        <v>0.11569186453022791</v>
      </c>
      <c r="BB123" s="45" t="str">
        <f t="shared" si="12"/>
        <v>SP</v>
      </c>
      <c r="BC123" s="45">
        <f>RANK(Table3[[#This Row],[zScore]],Table3[zScore])</f>
        <v>283</v>
      </c>
      <c r="BD123" s="45"/>
      <c r="BE123" s="45"/>
      <c r="BF123" s="45" t="str">
        <f t="shared" si="13"/>
        <v>Unlikely</v>
      </c>
      <c r="BG123" s="45"/>
      <c r="BH123" s="45" t="str">
        <f>INDEX(Table5[[#All],[Ovr]],MATCH(Table3[[#This Row],[PID]],Table5[[#All],[PID]],0))</f>
        <v/>
      </c>
      <c r="BI123" s="45" t="str">
        <f>INDEX(Table5[[#All],[Rnd]],MATCH(Table3[[#This Row],[PID]],Table5[[#All],[PID]],0))</f>
        <v/>
      </c>
      <c r="BJ123" s="45" t="str">
        <f>INDEX(Table5[[#All],[Pick]],MATCH(Table3[[#This Row],[PID]],Table5[[#All],[PID]],0))</f>
        <v/>
      </c>
      <c r="BK123" s="45" t="str">
        <f>INDEX(Table5[[#All],[Team]],MATCH(Table3[[#This Row],[PID]],Table5[[#All],[PID]],0))</f>
        <v/>
      </c>
      <c r="BL1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4" spans="1:64" ht="15" customHeight="1" x14ac:dyDescent="0.25">
      <c r="A124" s="40">
        <v>20559</v>
      </c>
      <c r="B124" s="40" t="s">
        <v>415</v>
      </c>
      <c r="C124" s="40" t="s">
        <v>362</v>
      </c>
      <c r="D124" s="40" t="s">
        <v>1978</v>
      </c>
      <c r="E124" s="40">
        <v>17</v>
      </c>
      <c r="F124" s="40" t="s">
        <v>42</v>
      </c>
      <c r="G124" s="40" t="s">
        <v>42</v>
      </c>
      <c r="H124" s="41" t="s">
        <v>647</v>
      </c>
      <c r="I124" s="42" t="s">
        <v>43</v>
      </c>
      <c r="J124" s="40" t="s">
        <v>44</v>
      </c>
      <c r="K124" s="41" t="s">
        <v>43</v>
      </c>
      <c r="L124" s="40">
        <v>2</v>
      </c>
      <c r="M124" s="40">
        <v>1</v>
      </c>
      <c r="N124" s="41">
        <v>1</v>
      </c>
      <c r="O124" s="40">
        <v>4</v>
      </c>
      <c r="P124" s="40">
        <v>2</v>
      </c>
      <c r="Q124" s="41">
        <v>4</v>
      </c>
      <c r="R124" s="40">
        <v>3</v>
      </c>
      <c r="S124" s="40">
        <v>5</v>
      </c>
      <c r="T124" s="40">
        <v>1</v>
      </c>
      <c r="U124" s="40">
        <v>1</v>
      </c>
      <c r="V124" s="40" t="s">
        <v>45</v>
      </c>
      <c r="W124" s="40" t="s">
        <v>45</v>
      </c>
      <c r="X124" s="40">
        <v>2</v>
      </c>
      <c r="Y124" s="40">
        <v>6</v>
      </c>
      <c r="Z124" s="40" t="s">
        <v>45</v>
      </c>
      <c r="AA124" s="40" t="s">
        <v>45</v>
      </c>
      <c r="AB124" s="40" t="s">
        <v>45</v>
      </c>
      <c r="AC124" s="40" t="s">
        <v>45</v>
      </c>
      <c r="AD124" s="40" t="s">
        <v>45</v>
      </c>
      <c r="AE124" s="40" t="s">
        <v>45</v>
      </c>
      <c r="AF124" s="40" t="s">
        <v>45</v>
      </c>
      <c r="AG124" s="40" t="s">
        <v>45</v>
      </c>
      <c r="AH124" s="40" t="s">
        <v>45</v>
      </c>
      <c r="AI124" s="40" t="s">
        <v>45</v>
      </c>
      <c r="AJ124" s="40" t="s">
        <v>45</v>
      </c>
      <c r="AK124" s="40" t="s">
        <v>45</v>
      </c>
      <c r="AL124" s="40" t="s">
        <v>45</v>
      </c>
      <c r="AM124" s="40" t="s">
        <v>45</v>
      </c>
      <c r="AN124" s="40" t="s">
        <v>45</v>
      </c>
      <c r="AO124" s="41" t="s">
        <v>45</v>
      </c>
      <c r="AP124" s="40" t="s">
        <v>64</v>
      </c>
      <c r="AQ124" s="40">
        <v>1</v>
      </c>
      <c r="AR124" s="48" t="s">
        <v>14</v>
      </c>
      <c r="AS124" s="43" t="s">
        <v>670</v>
      </c>
      <c r="AT124" s="43" t="s">
        <v>47</v>
      </c>
      <c r="AU124" s="44">
        <f t="shared" si="8"/>
        <v>-2.5067929134584248</v>
      </c>
      <c r="AV124" s="44">
        <f t="shared" si="9"/>
        <v>-0.74952209911061918</v>
      </c>
      <c r="AW124" s="45">
        <f t="shared" si="10"/>
        <v>3</v>
      </c>
      <c r="AX124" s="45">
        <f t="shared" si="11"/>
        <v>1</v>
      </c>
      <c r="AY124" s="46">
        <f>VLOOKUP(AP124,COND!$A$10:$B$32,2,FALSE)</f>
        <v>1</v>
      </c>
      <c r="AZ124" s="44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37.595289463341132</v>
      </c>
      <c r="BA124" s="47">
        <f>STANDARDIZE(AZ124,AVERAGE($AZ$5:$AZ$557),STDEVP($AZ$5:$AZ$557))</f>
        <v>0.11474587472900286</v>
      </c>
      <c r="BB124" s="45" t="str">
        <f t="shared" si="12"/>
        <v>RP</v>
      </c>
      <c r="BC124" s="45">
        <f>RANK(Table3[[#This Row],[zScore]],Table3[zScore])</f>
        <v>284</v>
      </c>
      <c r="BD124" s="45"/>
      <c r="BE124" s="45"/>
      <c r="BF124" s="45" t="str">
        <f t="shared" si="13"/>
        <v>Unlikely</v>
      </c>
      <c r="BG124" s="45"/>
      <c r="BH124" s="45" t="str">
        <f>INDEX(Table5[[#All],[Ovr]],MATCH(Table3[[#This Row],[PID]],Table5[[#All],[PID]],0))</f>
        <v/>
      </c>
      <c r="BI124" s="45" t="str">
        <f>INDEX(Table5[[#All],[Rnd]],MATCH(Table3[[#This Row],[PID]],Table5[[#All],[PID]],0))</f>
        <v/>
      </c>
      <c r="BJ124" s="45" t="str">
        <f>INDEX(Table5[[#All],[Pick]],MATCH(Table3[[#This Row],[PID]],Table5[[#All],[PID]],0))</f>
        <v/>
      </c>
      <c r="BK124" s="45" t="str">
        <f>INDEX(Table5[[#All],[Team]],MATCH(Table3[[#This Row],[PID]],Table5[[#All],[PID]],0))</f>
        <v/>
      </c>
      <c r="BL1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5" spans="1:64" ht="15" customHeight="1" x14ac:dyDescent="0.25">
      <c r="A125" s="40">
        <v>20609</v>
      </c>
      <c r="B125" s="40" t="s">
        <v>415</v>
      </c>
      <c r="C125" s="40" t="s">
        <v>871</v>
      </c>
      <c r="D125" s="40" t="s">
        <v>2048</v>
      </c>
      <c r="E125" s="40">
        <v>18</v>
      </c>
      <c r="F125" s="40" t="s">
        <v>42</v>
      </c>
      <c r="G125" s="40" t="s">
        <v>42</v>
      </c>
      <c r="H125" s="41" t="s">
        <v>647</v>
      </c>
      <c r="I125" s="42" t="s">
        <v>47</v>
      </c>
      <c r="J125" s="40" t="s">
        <v>43</v>
      </c>
      <c r="K125" s="41" t="s">
        <v>43</v>
      </c>
      <c r="L125" s="40">
        <v>2</v>
      </c>
      <c r="M125" s="40">
        <v>2</v>
      </c>
      <c r="N125" s="41">
        <v>1</v>
      </c>
      <c r="O125" s="40">
        <v>5</v>
      </c>
      <c r="P125" s="40">
        <v>2</v>
      </c>
      <c r="Q125" s="41">
        <v>4</v>
      </c>
      <c r="R125" s="40">
        <v>4</v>
      </c>
      <c r="S125" s="40">
        <v>6</v>
      </c>
      <c r="T125" s="40" t="s">
        <v>45</v>
      </c>
      <c r="U125" s="40" t="s">
        <v>45</v>
      </c>
      <c r="V125" s="40" t="s">
        <v>45</v>
      </c>
      <c r="W125" s="40" t="s">
        <v>45</v>
      </c>
      <c r="X125" s="40">
        <v>3</v>
      </c>
      <c r="Y125" s="40">
        <v>7</v>
      </c>
      <c r="Z125" s="40" t="s">
        <v>45</v>
      </c>
      <c r="AA125" s="40" t="s">
        <v>45</v>
      </c>
      <c r="AB125" s="40" t="s">
        <v>45</v>
      </c>
      <c r="AC125" s="40" t="s">
        <v>45</v>
      </c>
      <c r="AD125" s="40" t="s">
        <v>45</v>
      </c>
      <c r="AE125" s="40" t="s">
        <v>45</v>
      </c>
      <c r="AF125" s="40" t="s">
        <v>45</v>
      </c>
      <c r="AG125" s="40" t="s">
        <v>45</v>
      </c>
      <c r="AH125" s="40" t="s">
        <v>45</v>
      </c>
      <c r="AI125" s="40" t="s">
        <v>45</v>
      </c>
      <c r="AJ125" s="40" t="s">
        <v>45</v>
      </c>
      <c r="AK125" s="40" t="s">
        <v>45</v>
      </c>
      <c r="AL125" s="40" t="s">
        <v>45</v>
      </c>
      <c r="AM125" s="40" t="s">
        <v>45</v>
      </c>
      <c r="AN125" s="40" t="s">
        <v>45</v>
      </c>
      <c r="AO125" s="41" t="s">
        <v>45</v>
      </c>
      <c r="AP125" s="40" t="s">
        <v>350</v>
      </c>
      <c r="AQ125" s="40">
        <v>2</v>
      </c>
      <c r="AR125" s="48" t="s">
        <v>347</v>
      </c>
      <c r="AS125" s="43" t="s">
        <v>644</v>
      </c>
      <c r="AT125" s="43" t="s">
        <v>47</v>
      </c>
      <c r="AU125" s="44">
        <f t="shared" si="8"/>
        <v>-2.311361197028369</v>
      </c>
      <c r="AV125" s="44">
        <f t="shared" si="9"/>
        <v>-0.55483077460144581</v>
      </c>
      <c r="AW125" s="45">
        <f t="shared" si="10"/>
        <v>2</v>
      </c>
      <c r="AX125" s="45">
        <f t="shared" si="11"/>
        <v>2</v>
      </c>
      <c r="AY125" s="46">
        <f>VLOOKUP(AP125,COND!$A$10:$B$32,2,FALSE)</f>
        <v>1</v>
      </c>
      <c r="AZ125" s="44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37.569056655137132</v>
      </c>
      <c r="BA125" s="47">
        <f>STANDARDIZE(AZ125,AVERAGE($AZ$5:$AZ$557),STDEVP($AZ$5:$AZ$557))</f>
        <v>0.11300064608577691</v>
      </c>
      <c r="BB125" s="45" t="str">
        <f t="shared" si="12"/>
        <v>RP</v>
      </c>
      <c r="BC125" s="45">
        <f>RANK(Table3[[#This Row],[zScore]],Table3[zScore])</f>
        <v>285</v>
      </c>
      <c r="BD125" s="45"/>
      <c r="BE125" s="45"/>
      <c r="BF125" s="45" t="str">
        <f t="shared" si="13"/>
        <v>Unlikely</v>
      </c>
      <c r="BG125" s="45"/>
      <c r="BH125" s="45" t="str">
        <f>INDEX(Table5[[#All],[Ovr]],MATCH(Table3[[#This Row],[PID]],Table5[[#All],[PID]],0))</f>
        <v/>
      </c>
      <c r="BI125" s="45" t="str">
        <f>INDEX(Table5[[#All],[Rnd]],MATCH(Table3[[#This Row],[PID]],Table5[[#All],[PID]],0))</f>
        <v/>
      </c>
      <c r="BJ125" s="45" t="str">
        <f>INDEX(Table5[[#All],[Pick]],MATCH(Table3[[#This Row],[PID]],Table5[[#All],[PID]],0))</f>
        <v/>
      </c>
      <c r="BK125" s="45" t="str">
        <f>INDEX(Table5[[#All],[Team]],MATCH(Table3[[#This Row],[PID]],Table5[[#All],[PID]],0))</f>
        <v/>
      </c>
      <c r="BL1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6" spans="1:64" ht="15" customHeight="1" x14ac:dyDescent="0.25">
      <c r="A126" s="40">
        <v>17921</v>
      </c>
      <c r="B126" s="40" t="s">
        <v>415</v>
      </c>
      <c r="C126" s="40" t="s">
        <v>2046</v>
      </c>
      <c r="D126" s="40" t="s">
        <v>2047</v>
      </c>
      <c r="E126" s="40">
        <v>18</v>
      </c>
      <c r="F126" s="40" t="s">
        <v>42</v>
      </c>
      <c r="G126" s="40" t="s">
        <v>42</v>
      </c>
      <c r="H126" s="41" t="s">
        <v>647</v>
      </c>
      <c r="I126" s="42" t="s">
        <v>43</v>
      </c>
      <c r="J126" s="40" t="s">
        <v>44</v>
      </c>
      <c r="K126" s="41" t="s">
        <v>43</v>
      </c>
      <c r="L126" s="40">
        <v>2</v>
      </c>
      <c r="M126" s="40">
        <v>2</v>
      </c>
      <c r="N126" s="41">
        <v>1</v>
      </c>
      <c r="O126" s="40">
        <v>5</v>
      </c>
      <c r="P126" s="40">
        <v>2</v>
      </c>
      <c r="Q126" s="41">
        <v>3</v>
      </c>
      <c r="R126" s="40">
        <v>3</v>
      </c>
      <c r="S126" s="40">
        <v>5</v>
      </c>
      <c r="T126" s="40">
        <v>1</v>
      </c>
      <c r="U126" s="40">
        <v>1</v>
      </c>
      <c r="V126" s="40" t="s">
        <v>45</v>
      </c>
      <c r="W126" s="40" t="s">
        <v>45</v>
      </c>
      <c r="X126" s="40" t="s">
        <v>45</v>
      </c>
      <c r="Y126" s="40" t="s">
        <v>45</v>
      </c>
      <c r="Z126" s="40">
        <v>2</v>
      </c>
      <c r="AA126" s="40">
        <v>5</v>
      </c>
      <c r="AB126" s="40" t="s">
        <v>45</v>
      </c>
      <c r="AC126" s="40" t="s">
        <v>45</v>
      </c>
      <c r="AD126" s="40" t="s">
        <v>45</v>
      </c>
      <c r="AE126" s="40" t="s">
        <v>45</v>
      </c>
      <c r="AF126" s="40" t="s">
        <v>45</v>
      </c>
      <c r="AG126" s="40" t="s">
        <v>45</v>
      </c>
      <c r="AH126" s="40" t="s">
        <v>45</v>
      </c>
      <c r="AI126" s="40" t="s">
        <v>45</v>
      </c>
      <c r="AJ126" s="40" t="s">
        <v>45</v>
      </c>
      <c r="AK126" s="40" t="s">
        <v>45</v>
      </c>
      <c r="AL126" s="40" t="s">
        <v>45</v>
      </c>
      <c r="AM126" s="40" t="s">
        <v>45</v>
      </c>
      <c r="AN126" s="40" t="s">
        <v>45</v>
      </c>
      <c r="AO126" s="41" t="s">
        <v>45</v>
      </c>
      <c r="AP126" s="40" t="s">
        <v>65</v>
      </c>
      <c r="AQ126" s="40">
        <v>10</v>
      </c>
      <c r="AR126" s="48" t="s">
        <v>347</v>
      </c>
      <c r="AS126" s="43" t="s">
        <v>654</v>
      </c>
      <c r="AT126" s="43" t="s">
        <v>635</v>
      </c>
      <c r="AU126" s="44">
        <f t="shared" si="8"/>
        <v>-2.311361197028369</v>
      </c>
      <c r="AV126" s="44">
        <f t="shared" si="9"/>
        <v>-0.79715134065555615</v>
      </c>
      <c r="AW126" s="45">
        <f t="shared" si="10"/>
        <v>3</v>
      </c>
      <c r="AX126" s="45">
        <f t="shared" si="11"/>
        <v>0</v>
      </c>
      <c r="AY126" s="46">
        <f>VLOOKUP(AP126,COND!$A$10:$B$32,2,FALSE)</f>
        <v>0.95</v>
      </c>
      <c r="AZ126" s="44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37.539965900109046</v>
      </c>
      <c r="BA126" s="47">
        <f>STANDARDIZE(AZ126,AVERAGE($AZ$5:$AZ$557),STDEVP($AZ$5:$AZ$557))</f>
        <v>0.11106528260759831</v>
      </c>
      <c r="BB126" s="45" t="str">
        <f t="shared" si="12"/>
        <v>SP</v>
      </c>
      <c r="BC126" s="45">
        <f>RANK(Table3[[#This Row],[zScore]],Table3[zScore])</f>
        <v>286</v>
      </c>
      <c r="BD126" s="45"/>
      <c r="BE126" s="45"/>
      <c r="BF126" s="45" t="str">
        <f t="shared" si="13"/>
        <v>Unlikely</v>
      </c>
      <c r="BG126" s="45"/>
      <c r="BH126" s="45" t="str">
        <f>INDEX(Table5[[#All],[Ovr]],MATCH(Table3[[#This Row],[PID]],Table5[[#All],[PID]],0))</f>
        <v/>
      </c>
      <c r="BI126" s="45" t="str">
        <f>INDEX(Table5[[#All],[Rnd]],MATCH(Table3[[#This Row],[PID]],Table5[[#All],[PID]],0))</f>
        <v/>
      </c>
      <c r="BJ126" s="45" t="str">
        <f>INDEX(Table5[[#All],[Pick]],MATCH(Table3[[#This Row],[PID]],Table5[[#All],[PID]],0))</f>
        <v/>
      </c>
      <c r="BK126" s="45" t="str">
        <f>INDEX(Table5[[#All],[Team]],MATCH(Table3[[#This Row],[PID]],Table5[[#All],[PID]],0))</f>
        <v/>
      </c>
      <c r="BL1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7" spans="1:64" ht="15" customHeight="1" x14ac:dyDescent="0.25">
      <c r="A127" s="40">
        <v>17918</v>
      </c>
      <c r="B127" s="40" t="s">
        <v>415</v>
      </c>
      <c r="C127" s="40" t="s">
        <v>2137</v>
      </c>
      <c r="D127" s="40" t="s">
        <v>2138</v>
      </c>
      <c r="E127" s="40">
        <v>18</v>
      </c>
      <c r="F127" s="40" t="s">
        <v>62</v>
      </c>
      <c r="G127" s="40" t="s">
        <v>42</v>
      </c>
      <c r="H127" s="41" t="s">
        <v>647</v>
      </c>
      <c r="I127" s="42" t="s">
        <v>43</v>
      </c>
      <c r="J127" s="40" t="s">
        <v>43</v>
      </c>
      <c r="K127" s="41" t="s">
        <v>43</v>
      </c>
      <c r="L127" s="40">
        <v>2</v>
      </c>
      <c r="M127" s="40">
        <v>2</v>
      </c>
      <c r="N127" s="41">
        <v>1</v>
      </c>
      <c r="O127" s="40">
        <v>5</v>
      </c>
      <c r="P127" s="40">
        <v>2</v>
      </c>
      <c r="Q127" s="41">
        <v>3</v>
      </c>
      <c r="R127" s="40">
        <v>3</v>
      </c>
      <c r="S127" s="40">
        <v>5</v>
      </c>
      <c r="T127" s="40">
        <v>1</v>
      </c>
      <c r="U127" s="40">
        <v>2</v>
      </c>
      <c r="V127" s="40">
        <v>2</v>
      </c>
      <c r="W127" s="40">
        <v>6</v>
      </c>
      <c r="X127" s="40" t="s">
        <v>45</v>
      </c>
      <c r="Y127" s="40" t="s">
        <v>45</v>
      </c>
      <c r="Z127" s="40" t="s">
        <v>45</v>
      </c>
      <c r="AA127" s="40" t="s">
        <v>45</v>
      </c>
      <c r="AB127" s="40" t="s">
        <v>45</v>
      </c>
      <c r="AC127" s="40" t="s">
        <v>45</v>
      </c>
      <c r="AD127" s="40" t="s">
        <v>45</v>
      </c>
      <c r="AE127" s="40" t="s">
        <v>45</v>
      </c>
      <c r="AF127" s="40" t="s">
        <v>45</v>
      </c>
      <c r="AG127" s="40" t="s">
        <v>45</v>
      </c>
      <c r="AH127" s="40" t="s">
        <v>45</v>
      </c>
      <c r="AI127" s="40" t="s">
        <v>45</v>
      </c>
      <c r="AJ127" s="40" t="s">
        <v>45</v>
      </c>
      <c r="AK127" s="40" t="s">
        <v>45</v>
      </c>
      <c r="AL127" s="40" t="s">
        <v>45</v>
      </c>
      <c r="AM127" s="40" t="s">
        <v>45</v>
      </c>
      <c r="AN127" s="40" t="s">
        <v>45</v>
      </c>
      <c r="AO127" s="41" t="s">
        <v>45</v>
      </c>
      <c r="AP127" s="40" t="s">
        <v>65</v>
      </c>
      <c r="AQ127" s="40">
        <v>6</v>
      </c>
      <c r="AR127" s="48" t="s">
        <v>347</v>
      </c>
      <c r="AS127" s="43" t="s">
        <v>644</v>
      </c>
      <c r="AT127" s="43" t="s">
        <v>47</v>
      </c>
      <c r="AU127" s="44">
        <f t="shared" si="8"/>
        <v>-2.311361197028369</v>
      </c>
      <c r="AV127" s="44">
        <f t="shared" si="9"/>
        <v>-0.79715134065555615</v>
      </c>
      <c r="AW127" s="45">
        <f t="shared" si="10"/>
        <v>3</v>
      </c>
      <c r="AX127" s="45">
        <f t="shared" si="11"/>
        <v>1</v>
      </c>
      <c r="AY127" s="46">
        <f>VLOOKUP(AP127,COND!$A$10:$B$32,2,FALSE)</f>
        <v>0.95</v>
      </c>
      <c r="AZ127" s="44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39.35177925260632</v>
      </c>
      <c r="BA127" s="47">
        <f>STANDARDIZE(AZ127,AVERAGE($AZ$5:$AZ$663),STDEVP($AZ$5:$AZ$663))</f>
        <v>0.10603774785653269</v>
      </c>
      <c r="BB127" s="45" t="str">
        <f t="shared" si="12"/>
        <v>SP</v>
      </c>
      <c r="BC127" s="45">
        <f>RANK(Table3[[#This Row],[zScore]],Table3[zScore])</f>
        <v>288</v>
      </c>
      <c r="BD127" s="45"/>
      <c r="BE127" s="45"/>
      <c r="BF127" s="45" t="str">
        <f t="shared" si="13"/>
        <v>Unlikely</v>
      </c>
      <c r="BG127" s="45"/>
      <c r="BH127" s="45" t="str">
        <f>INDEX(Table5[[#All],[Ovr]],MATCH(Table3[[#This Row],[PID]],Table5[[#All],[PID]],0))</f>
        <v/>
      </c>
      <c r="BI127" s="45" t="str">
        <f>INDEX(Table5[[#All],[Rnd]],MATCH(Table3[[#This Row],[PID]],Table5[[#All],[PID]],0))</f>
        <v/>
      </c>
      <c r="BJ127" s="45" t="str">
        <f>INDEX(Table5[[#All],[Pick]],MATCH(Table3[[#This Row],[PID]],Table5[[#All],[PID]],0))</f>
        <v/>
      </c>
      <c r="BK127" s="45" t="str">
        <f>INDEX(Table5[[#All],[Team]],MATCH(Table3[[#This Row],[PID]],Table5[[#All],[PID]],0))</f>
        <v/>
      </c>
      <c r="BL1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8" spans="1:64" ht="15" customHeight="1" x14ac:dyDescent="0.25">
      <c r="A128" s="40">
        <v>18263</v>
      </c>
      <c r="B128" s="40" t="s">
        <v>415</v>
      </c>
      <c r="C128" s="40" t="s">
        <v>602</v>
      </c>
      <c r="D128" s="40" t="s">
        <v>2059</v>
      </c>
      <c r="E128" s="40">
        <v>18</v>
      </c>
      <c r="F128" s="40" t="s">
        <v>53</v>
      </c>
      <c r="G128" s="40" t="s">
        <v>53</v>
      </c>
      <c r="H128" s="41" t="s">
        <v>647</v>
      </c>
      <c r="I128" s="42" t="s">
        <v>44</v>
      </c>
      <c r="J128" s="40" t="s">
        <v>43</v>
      </c>
      <c r="K128" s="41" t="s">
        <v>47</v>
      </c>
      <c r="L128" s="40">
        <v>2</v>
      </c>
      <c r="M128" s="40">
        <v>2</v>
      </c>
      <c r="N128" s="41">
        <v>1</v>
      </c>
      <c r="O128" s="40">
        <v>5</v>
      </c>
      <c r="P128" s="40">
        <v>3</v>
      </c>
      <c r="Q128" s="41">
        <v>2</v>
      </c>
      <c r="R128" s="40">
        <v>4</v>
      </c>
      <c r="S128" s="40">
        <v>6</v>
      </c>
      <c r="T128" s="40">
        <v>1</v>
      </c>
      <c r="U128" s="40">
        <v>2</v>
      </c>
      <c r="V128" s="40">
        <v>2</v>
      </c>
      <c r="W128" s="40">
        <v>7</v>
      </c>
      <c r="X128" s="40" t="s">
        <v>45</v>
      </c>
      <c r="Y128" s="40" t="s">
        <v>45</v>
      </c>
      <c r="Z128" s="40" t="s">
        <v>45</v>
      </c>
      <c r="AA128" s="40" t="s">
        <v>45</v>
      </c>
      <c r="AB128" s="40" t="s">
        <v>45</v>
      </c>
      <c r="AC128" s="40" t="s">
        <v>45</v>
      </c>
      <c r="AD128" s="40" t="s">
        <v>45</v>
      </c>
      <c r="AE128" s="40" t="s">
        <v>45</v>
      </c>
      <c r="AF128" s="40" t="s">
        <v>45</v>
      </c>
      <c r="AG128" s="40" t="s">
        <v>45</v>
      </c>
      <c r="AH128" s="40" t="s">
        <v>45</v>
      </c>
      <c r="AI128" s="40" t="s">
        <v>45</v>
      </c>
      <c r="AJ128" s="40" t="s">
        <v>45</v>
      </c>
      <c r="AK128" s="40" t="s">
        <v>45</v>
      </c>
      <c r="AL128" s="40" t="s">
        <v>45</v>
      </c>
      <c r="AM128" s="40" t="s">
        <v>45</v>
      </c>
      <c r="AN128" s="40" t="s">
        <v>45</v>
      </c>
      <c r="AO128" s="41" t="s">
        <v>45</v>
      </c>
      <c r="AP128" s="40" t="s">
        <v>57</v>
      </c>
      <c r="AQ128" s="40">
        <v>4</v>
      </c>
      <c r="AR128" s="48" t="s">
        <v>347</v>
      </c>
      <c r="AS128" s="43" t="s">
        <v>644</v>
      </c>
      <c r="AT128" s="43" t="s">
        <v>47</v>
      </c>
      <c r="AU128" s="44">
        <f t="shared" si="8"/>
        <v>-2.311361197028369</v>
      </c>
      <c r="AV128" s="44">
        <f t="shared" si="9"/>
        <v>-0.84404019027961108</v>
      </c>
      <c r="AW128" s="45">
        <f t="shared" si="10"/>
        <v>3</v>
      </c>
      <c r="AX128" s="45">
        <f t="shared" si="11"/>
        <v>2</v>
      </c>
      <c r="AY128" s="46">
        <f>VLOOKUP(AP128,COND!$A$10:$B$32,2,FALSE)</f>
        <v>1</v>
      </c>
      <c r="AZ128" s="44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37.474077757252005</v>
      </c>
      <c r="BA128" s="47">
        <f>STANDARDIZE(AZ128,AVERAGE($AZ$5:$AZ$557),STDEVP($AZ$5:$AZ$557))</f>
        <v>0.10668184514757306</v>
      </c>
      <c r="BB128" s="45" t="str">
        <f t="shared" si="12"/>
        <v>RP</v>
      </c>
      <c r="BC128" s="45">
        <f>RANK(Table3[[#This Row],[zScore]],Table3[zScore])</f>
        <v>287</v>
      </c>
      <c r="BD128" s="45"/>
      <c r="BE128" s="45"/>
      <c r="BF128" s="45" t="str">
        <f t="shared" si="13"/>
        <v>Unlikely</v>
      </c>
      <c r="BG128" s="45"/>
      <c r="BH128" s="45" t="str">
        <f>INDEX(Table5[[#All],[Ovr]],MATCH(Table3[[#This Row],[PID]],Table5[[#All],[PID]],0))</f>
        <v/>
      </c>
      <c r="BI128" s="45" t="str">
        <f>INDEX(Table5[[#All],[Rnd]],MATCH(Table3[[#This Row],[PID]],Table5[[#All],[PID]],0))</f>
        <v/>
      </c>
      <c r="BJ128" s="45" t="str">
        <f>INDEX(Table5[[#All],[Pick]],MATCH(Table3[[#This Row],[PID]],Table5[[#All],[PID]],0))</f>
        <v/>
      </c>
      <c r="BK128" s="45" t="str">
        <f>INDEX(Table5[[#All],[Team]],MATCH(Table3[[#This Row],[PID]],Table5[[#All],[PID]],0))</f>
        <v/>
      </c>
      <c r="BL1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29" spans="1:64" ht="15" customHeight="1" x14ac:dyDescent="0.25">
      <c r="A129" s="40">
        <v>5874</v>
      </c>
      <c r="B129" s="40" t="s">
        <v>415</v>
      </c>
      <c r="C129" s="40" t="s">
        <v>399</v>
      </c>
      <c r="D129" s="40" t="s">
        <v>1556</v>
      </c>
      <c r="E129" s="40">
        <v>18</v>
      </c>
      <c r="F129" s="40" t="s">
        <v>42</v>
      </c>
      <c r="G129" s="40" t="s">
        <v>53</v>
      </c>
      <c r="H129" s="41" t="s">
        <v>647</v>
      </c>
      <c r="I129" s="42" t="s">
        <v>43</v>
      </c>
      <c r="J129" s="40" t="s">
        <v>44</v>
      </c>
      <c r="K129" s="41" t="s">
        <v>43</v>
      </c>
      <c r="L129" s="40">
        <v>2</v>
      </c>
      <c r="M129" s="40">
        <v>2</v>
      </c>
      <c r="N129" s="41">
        <v>1</v>
      </c>
      <c r="O129" s="40">
        <v>5</v>
      </c>
      <c r="P129" s="40">
        <v>2</v>
      </c>
      <c r="Q129" s="41">
        <v>3</v>
      </c>
      <c r="R129" s="40">
        <v>3</v>
      </c>
      <c r="S129" s="40">
        <v>6</v>
      </c>
      <c r="T129" s="40">
        <v>1</v>
      </c>
      <c r="U129" s="40">
        <v>1</v>
      </c>
      <c r="V129" s="40" t="s">
        <v>45</v>
      </c>
      <c r="W129" s="40" t="s">
        <v>45</v>
      </c>
      <c r="X129" s="40">
        <v>2</v>
      </c>
      <c r="Y129" s="40">
        <v>7</v>
      </c>
      <c r="Z129" s="40" t="s">
        <v>45</v>
      </c>
      <c r="AA129" s="40" t="s">
        <v>45</v>
      </c>
      <c r="AB129" s="40" t="s">
        <v>45</v>
      </c>
      <c r="AC129" s="40" t="s">
        <v>45</v>
      </c>
      <c r="AD129" s="40" t="s">
        <v>45</v>
      </c>
      <c r="AE129" s="40" t="s">
        <v>45</v>
      </c>
      <c r="AF129" s="40" t="s">
        <v>45</v>
      </c>
      <c r="AG129" s="40" t="s">
        <v>45</v>
      </c>
      <c r="AH129" s="40" t="s">
        <v>45</v>
      </c>
      <c r="AI129" s="40" t="s">
        <v>45</v>
      </c>
      <c r="AJ129" s="40" t="s">
        <v>45</v>
      </c>
      <c r="AK129" s="40" t="s">
        <v>45</v>
      </c>
      <c r="AL129" s="40" t="s">
        <v>45</v>
      </c>
      <c r="AM129" s="40" t="s">
        <v>45</v>
      </c>
      <c r="AN129" s="40" t="s">
        <v>45</v>
      </c>
      <c r="AO129" s="41" t="s">
        <v>45</v>
      </c>
      <c r="AP129" s="40" t="s">
        <v>349</v>
      </c>
      <c r="AQ129" s="40">
        <v>7</v>
      </c>
      <c r="AR129" s="48" t="s">
        <v>347</v>
      </c>
      <c r="AS129" s="43" t="s">
        <v>644</v>
      </c>
      <c r="AT129" s="43" t="s">
        <v>47</v>
      </c>
      <c r="AU129" s="44">
        <f t="shared" si="8"/>
        <v>-2.311361197028369</v>
      </c>
      <c r="AV129" s="44">
        <f t="shared" si="9"/>
        <v>-0.79715134065555615</v>
      </c>
      <c r="AW129" s="45">
        <f t="shared" si="10"/>
        <v>3</v>
      </c>
      <c r="AX129" s="45">
        <f t="shared" si="11"/>
        <v>2</v>
      </c>
      <c r="AY129" s="46">
        <f>VLOOKUP(AP129,COND!$A$10:$B$32,2,FALSE)</f>
        <v>1</v>
      </c>
      <c r="AZ129" s="44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39.294700947483207</v>
      </c>
      <c r="BA129" s="47">
        <f>STANDARDIZE(AZ129,AVERAGE($AZ$5:$AZ$663),STDEVP($AZ$5:$AZ$663))</f>
        <v>0.10212790074966574</v>
      </c>
      <c r="BB129" s="45" t="str">
        <f t="shared" si="12"/>
        <v>SP</v>
      </c>
      <c r="BC129" s="45">
        <f>RANK(Table3[[#This Row],[zScore]],Table3[zScore])</f>
        <v>289</v>
      </c>
      <c r="BD129" s="45"/>
      <c r="BE129" s="45"/>
      <c r="BF129" s="45" t="str">
        <f t="shared" si="13"/>
        <v>Unlikely</v>
      </c>
      <c r="BG129" s="45"/>
      <c r="BH129" s="45" t="str">
        <f>INDEX(Table5[[#All],[Ovr]],MATCH(Table3[[#This Row],[PID]],Table5[[#All],[PID]],0))</f>
        <v/>
      </c>
      <c r="BI129" s="45" t="str">
        <f>INDEX(Table5[[#All],[Rnd]],MATCH(Table3[[#This Row],[PID]],Table5[[#All],[PID]],0))</f>
        <v/>
      </c>
      <c r="BJ129" s="45" t="str">
        <f>INDEX(Table5[[#All],[Pick]],MATCH(Table3[[#This Row],[PID]],Table5[[#All],[PID]],0))</f>
        <v/>
      </c>
      <c r="BK129" s="45" t="str">
        <f>INDEX(Table5[[#All],[Team]],MATCH(Table3[[#This Row],[PID]],Table5[[#All],[PID]],0))</f>
        <v/>
      </c>
      <c r="BL1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0" spans="1:64" ht="15" customHeight="1" x14ac:dyDescent="0.25">
      <c r="A130" s="40">
        <v>18330</v>
      </c>
      <c r="B130" s="40" t="s">
        <v>415</v>
      </c>
      <c r="C130" s="40" t="s">
        <v>646</v>
      </c>
      <c r="D130" s="40" t="s">
        <v>1943</v>
      </c>
      <c r="E130" s="40">
        <v>18</v>
      </c>
      <c r="F130" s="40" t="s">
        <v>53</v>
      </c>
      <c r="G130" s="40" t="s">
        <v>53</v>
      </c>
      <c r="H130" s="41" t="s">
        <v>647</v>
      </c>
      <c r="I130" s="42" t="s">
        <v>43</v>
      </c>
      <c r="J130" s="40" t="s">
        <v>43</v>
      </c>
      <c r="K130" s="41" t="s">
        <v>43</v>
      </c>
      <c r="L130" s="40">
        <v>2</v>
      </c>
      <c r="M130" s="40">
        <v>2</v>
      </c>
      <c r="N130" s="41">
        <v>1</v>
      </c>
      <c r="O130" s="40">
        <v>6</v>
      </c>
      <c r="P130" s="40">
        <v>2</v>
      </c>
      <c r="Q130" s="41">
        <v>2</v>
      </c>
      <c r="R130" s="40">
        <v>4</v>
      </c>
      <c r="S130" s="40">
        <v>7</v>
      </c>
      <c r="T130" s="40">
        <v>1</v>
      </c>
      <c r="U130" s="40">
        <v>2</v>
      </c>
      <c r="V130" s="40" t="s">
        <v>45</v>
      </c>
      <c r="W130" s="40" t="s">
        <v>45</v>
      </c>
      <c r="X130" s="40" t="s">
        <v>45</v>
      </c>
      <c r="Y130" s="40" t="s">
        <v>45</v>
      </c>
      <c r="Z130" s="40">
        <v>3</v>
      </c>
      <c r="AA130" s="40">
        <v>5</v>
      </c>
      <c r="AB130" s="40" t="s">
        <v>45</v>
      </c>
      <c r="AC130" s="40" t="s">
        <v>45</v>
      </c>
      <c r="AD130" s="40" t="s">
        <v>45</v>
      </c>
      <c r="AE130" s="40" t="s">
        <v>45</v>
      </c>
      <c r="AF130" s="40" t="s">
        <v>45</v>
      </c>
      <c r="AG130" s="40" t="s">
        <v>45</v>
      </c>
      <c r="AH130" s="40" t="s">
        <v>45</v>
      </c>
      <c r="AI130" s="40" t="s">
        <v>45</v>
      </c>
      <c r="AJ130" s="40" t="s">
        <v>45</v>
      </c>
      <c r="AK130" s="40" t="s">
        <v>45</v>
      </c>
      <c r="AL130" s="40" t="s">
        <v>45</v>
      </c>
      <c r="AM130" s="40" t="s">
        <v>45</v>
      </c>
      <c r="AN130" s="40" t="s">
        <v>45</v>
      </c>
      <c r="AO130" s="41" t="s">
        <v>45</v>
      </c>
      <c r="AP130" s="40" t="s">
        <v>350</v>
      </c>
      <c r="AQ130" s="40">
        <v>8</v>
      </c>
      <c r="AR130" s="48" t="s">
        <v>347</v>
      </c>
      <c r="AS130" s="43" t="s">
        <v>670</v>
      </c>
      <c r="AT130" s="43" t="s">
        <v>47</v>
      </c>
      <c r="AU130" s="44">
        <f t="shared" si="8"/>
        <v>-2.311361197028369</v>
      </c>
      <c r="AV130" s="44">
        <f t="shared" si="9"/>
        <v>-0.84478058220049301</v>
      </c>
      <c r="AW130" s="45">
        <f t="shared" si="10"/>
        <v>3</v>
      </c>
      <c r="AX130" s="45">
        <f t="shared" si="11"/>
        <v>1</v>
      </c>
      <c r="AY130" s="46">
        <f>VLOOKUP(AP130,COND!$A$10:$B$32,2,FALSE)</f>
        <v>1</v>
      </c>
      <c r="AZ130" s="44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37.392116116584461</v>
      </c>
      <c r="BA130" s="47">
        <f>STANDARDIZE(AZ130,AVERAGE($AZ$5:$AZ$557),STDEVP($AZ$5:$AZ$557))</f>
        <v>0.1012290624402692</v>
      </c>
      <c r="BB130" s="45" t="str">
        <f t="shared" si="12"/>
        <v>SP</v>
      </c>
      <c r="BC130" s="45">
        <f>RANK(Table3[[#This Row],[zScore]],Table3[zScore])</f>
        <v>290</v>
      </c>
      <c r="BD130" s="45"/>
      <c r="BE130" s="45"/>
      <c r="BF130" s="45" t="str">
        <f t="shared" si="13"/>
        <v>Unlikely</v>
      </c>
      <c r="BG130" s="45"/>
      <c r="BH130" s="45" t="str">
        <f>INDEX(Table5[[#All],[Ovr]],MATCH(Table3[[#This Row],[PID]],Table5[[#All],[PID]],0))</f>
        <v/>
      </c>
      <c r="BI130" s="45" t="str">
        <f>INDEX(Table5[[#All],[Rnd]],MATCH(Table3[[#This Row],[PID]],Table5[[#All],[PID]],0))</f>
        <v/>
      </c>
      <c r="BJ130" s="45" t="str">
        <f>INDEX(Table5[[#All],[Pick]],MATCH(Table3[[#This Row],[PID]],Table5[[#All],[PID]],0))</f>
        <v/>
      </c>
      <c r="BK130" s="45" t="str">
        <f>INDEX(Table5[[#All],[Team]],MATCH(Table3[[#This Row],[PID]],Table5[[#All],[PID]],0))</f>
        <v/>
      </c>
      <c r="BL1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1" spans="1:64" ht="15" customHeight="1" x14ac:dyDescent="0.25">
      <c r="A131" s="40">
        <v>18399</v>
      </c>
      <c r="B131" s="40" t="s">
        <v>415</v>
      </c>
      <c r="C131" s="40" t="s">
        <v>2167</v>
      </c>
      <c r="D131" s="40" t="s">
        <v>2168</v>
      </c>
      <c r="E131" s="40">
        <v>18</v>
      </c>
      <c r="F131" s="40" t="s">
        <v>62</v>
      </c>
      <c r="G131" s="40" t="s">
        <v>42</v>
      </c>
      <c r="H131" s="41" t="s">
        <v>647</v>
      </c>
      <c r="I131" s="42" t="s">
        <v>43</v>
      </c>
      <c r="J131" s="40" t="s">
        <v>44</v>
      </c>
      <c r="K131" s="41" t="s">
        <v>44</v>
      </c>
      <c r="L131" s="40">
        <v>1</v>
      </c>
      <c r="M131" s="40">
        <v>2</v>
      </c>
      <c r="N131" s="41">
        <v>1</v>
      </c>
      <c r="O131" s="40">
        <v>3</v>
      </c>
      <c r="P131" s="40">
        <v>3</v>
      </c>
      <c r="Q131" s="41">
        <v>4</v>
      </c>
      <c r="R131" s="40" t="s">
        <v>45</v>
      </c>
      <c r="S131" s="40" t="s">
        <v>45</v>
      </c>
      <c r="T131" s="40">
        <v>2</v>
      </c>
      <c r="U131" s="40">
        <v>4</v>
      </c>
      <c r="V131" s="40" t="s">
        <v>45</v>
      </c>
      <c r="W131" s="40" t="s">
        <v>45</v>
      </c>
      <c r="X131" s="40">
        <v>2</v>
      </c>
      <c r="Y131" s="40">
        <v>3</v>
      </c>
      <c r="Z131" s="40" t="s">
        <v>45</v>
      </c>
      <c r="AA131" s="40" t="s">
        <v>45</v>
      </c>
      <c r="AB131" s="40" t="s">
        <v>45</v>
      </c>
      <c r="AC131" s="40" t="s">
        <v>45</v>
      </c>
      <c r="AD131" s="40">
        <v>2</v>
      </c>
      <c r="AE131" s="40">
        <v>4</v>
      </c>
      <c r="AF131" s="40" t="s">
        <v>45</v>
      </c>
      <c r="AG131" s="40" t="s">
        <v>45</v>
      </c>
      <c r="AH131" s="40" t="s">
        <v>45</v>
      </c>
      <c r="AI131" s="40" t="s">
        <v>45</v>
      </c>
      <c r="AJ131" s="40" t="s">
        <v>45</v>
      </c>
      <c r="AK131" s="40" t="s">
        <v>45</v>
      </c>
      <c r="AL131" s="40" t="s">
        <v>45</v>
      </c>
      <c r="AM131" s="40" t="s">
        <v>45</v>
      </c>
      <c r="AN131" s="40" t="s">
        <v>45</v>
      </c>
      <c r="AO131" s="41" t="s">
        <v>45</v>
      </c>
      <c r="AP131" s="40" t="s">
        <v>65</v>
      </c>
      <c r="AQ131" s="40">
        <v>7</v>
      </c>
      <c r="AR131" s="48" t="s">
        <v>347</v>
      </c>
      <c r="AS131" s="43" t="s">
        <v>654</v>
      </c>
      <c r="AT131" s="43"/>
      <c r="AU131" s="44">
        <f t="shared" si="8"/>
        <v>-2.5060525215375429</v>
      </c>
      <c r="AV131" s="44">
        <f t="shared" si="9"/>
        <v>-0.74878170718973724</v>
      </c>
      <c r="AW131" s="45">
        <f t="shared" si="10"/>
        <v>3</v>
      </c>
      <c r="AX131" s="45">
        <f t="shared" si="11"/>
        <v>0</v>
      </c>
      <c r="AY131" s="46">
        <f>VLOOKUP(AP131,COND!$A$10:$B$32,2,FALSE)</f>
        <v>0.95</v>
      </c>
      <c r="AZ131" s="44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38.121997584302861</v>
      </c>
      <c r="BA131" s="47">
        <f>STANDARDIZE(AZ131,AVERAGE($AZ$5:$AZ$788),STDEVP($AZ$5:$AZ$788))</f>
        <v>9.7148096207166898E-2</v>
      </c>
      <c r="BB131" s="45" t="str">
        <f t="shared" si="12"/>
        <v>SP</v>
      </c>
      <c r="BC131" s="45">
        <f>RANK(Table3[[#This Row],[zScore]],Table3[zScore])</f>
        <v>291</v>
      </c>
      <c r="BD131" s="45"/>
      <c r="BE131" s="45"/>
      <c r="BF131" s="45" t="str">
        <f t="shared" si="13"/>
        <v>Unlikely</v>
      </c>
      <c r="BG131" s="45"/>
      <c r="BH131" s="64" t="str">
        <f>INDEX(Table5[[#All],[Ovr]],MATCH(Table3[[#This Row],[PID]],Table5[[#All],[PID]],0))</f>
        <v/>
      </c>
      <c r="BI131" s="64" t="str">
        <f>INDEX(Table5[[#All],[Rnd]],MATCH(Table3[[#This Row],[PID]],Table5[[#All],[PID]],0))</f>
        <v/>
      </c>
      <c r="BJ131" s="64" t="str">
        <f>INDEX(Table5[[#All],[Pick]],MATCH(Table3[[#This Row],[PID]],Table5[[#All],[PID]],0))</f>
        <v/>
      </c>
      <c r="BK131" s="64" t="str">
        <f>INDEX(Table5[[#All],[Team]],MATCH(Table3[[#This Row],[PID]],Table5[[#All],[PID]],0))</f>
        <v/>
      </c>
      <c r="BL131" s="64" t="str">
        <f>IF(OR(Table3[[#This Row],[POS]]="SP",Table3[[#This Row],[POS]]="RP",Table3[[#This Row],[POS]]="CL"),"P",INDEX(Batters[[#All],[zScore]],MATCH(Table3[[#This Row],[PID]],Batters[[#All],[PID]],0)))</f>
        <v>P</v>
      </c>
    </row>
    <row r="132" spans="1:64" ht="15" customHeight="1" x14ac:dyDescent="0.25">
      <c r="A132" s="40">
        <v>17562</v>
      </c>
      <c r="B132" s="40" t="s">
        <v>415</v>
      </c>
      <c r="C132" s="40" t="s">
        <v>162</v>
      </c>
      <c r="D132" s="40" t="s">
        <v>1923</v>
      </c>
      <c r="E132" s="40">
        <v>18</v>
      </c>
      <c r="F132" s="40" t="s">
        <v>42</v>
      </c>
      <c r="G132" s="40" t="s">
        <v>42</v>
      </c>
      <c r="H132" s="41" t="s">
        <v>647</v>
      </c>
      <c r="I132" s="42" t="s">
        <v>44</v>
      </c>
      <c r="J132" s="40" t="s">
        <v>47</v>
      </c>
      <c r="K132" s="41" t="s">
        <v>43</v>
      </c>
      <c r="L132" s="40">
        <v>1</v>
      </c>
      <c r="M132" s="40">
        <v>2</v>
      </c>
      <c r="N132" s="41">
        <v>1</v>
      </c>
      <c r="O132" s="40">
        <v>4</v>
      </c>
      <c r="P132" s="40">
        <v>3</v>
      </c>
      <c r="Q132" s="41">
        <v>3</v>
      </c>
      <c r="R132" s="40">
        <v>3</v>
      </c>
      <c r="S132" s="40">
        <v>5</v>
      </c>
      <c r="T132" s="40">
        <v>1</v>
      </c>
      <c r="U132" s="40">
        <v>1</v>
      </c>
      <c r="V132" s="40">
        <v>2</v>
      </c>
      <c r="W132" s="40">
        <v>7</v>
      </c>
      <c r="X132" s="40" t="s">
        <v>45</v>
      </c>
      <c r="Y132" s="40" t="s">
        <v>45</v>
      </c>
      <c r="Z132" s="40" t="s">
        <v>45</v>
      </c>
      <c r="AA132" s="40" t="s">
        <v>45</v>
      </c>
      <c r="AB132" s="40" t="s">
        <v>45</v>
      </c>
      <c r="AC132" s="40" t="s">
        <v>45</v>
      </c>
      <c r="AD132" s="40" t="s">
        <v>45</v>
      </c>
      <c r="AE132" s="40" t="s">
        <v>45</v>
      </c>
      <c r="AF132" s="40" t="s">
        <v>45</v>
      </c>
      <c r="AG132" s="40" t="s">
        <v>45</v>
      </c>
      <c r="AH132" s="40" t="s">
        <v>45</v>
      </c>
      <c r="AI132" s="40" t="s">
        <v>45</v>
      </c>
      <c r="AJ132" s="40" t="s">
        <v>45</v>
      </c>
      <c r="AK132" s="40" t="s">
        <v>45</v>
      </c>
      <c r="AL132" s="40" t="s">
        <v>45</v>
      </c>
      <c r="AM132" s="40" t="s">
        <v>45</v>
      </c>
      <c r="AN132" s="40" t="s">
        <v>45</v>
      </c>
      <c r="AO132" s="41" t="s">
        <v>45</v>
      </c>
      <c r="AP132" s="40" t="s">
        <v>64</v>
      </c>
      <c r="AQ132" s="40">
        <v>4</v>
      </c>
      <c r="AR132" s="48" t="s">
        <v>347</v>
      </c>
      <c r="AS132" s="43" t="s">
        <v>644</v>
      </c>
      <c r="AT132" s="43" t="s">
        <v>635</v>
      </c>
      <c r="AU132" s="44">
        <f t="shared" si="8"/>
        <v>-2.5060525215375429</v>
      </c>
      <c r="AV132" s="44">
        <f t="shared" si="9"/>
        <v>-0.79641094873467422</v>
      </c>
      <c r="AW132" s="45">
        <f t="shared" si="10"/>
        <v>3</v>
      </c>
      <c r="AX132" s="45">
        <f t="shared" si="11"/>
        <v>1</v>
      </c>
      <c r="AY132" s="46">
        <f>VLOOKUP(AP132,COND!$A$10:$B$32,2,FALSE)</f>
        <v>1</v>
      </c>
      <c r="AZ132" s="44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37.154541994949057</v>
      </c>
      <c r="BA132" s="47">
        <f>STANDARDIZE(AZ132,AVERAGE($AZ$5:$AZ$557),STDEVP($AZ$5:$AZ$557))</f>
        <v>8.5423619166981685E-2</v>
      </c>
      <c r="BB132" s="45" t="str">
        <f t="shared" si="12"/>
        <v>RP</v>
      </c>
      <c r="BC132" s="45">
        <f>RANK(Table3[[#This Row],[zScore]],Table3[zScore])</f>
        <v>292</v>
      </c>
      <c r="BD132" s="45"/>
      <c r="BE132" s="45"/>
      <c r="BF132" s="45" t="str">
        <f t="shared" si="13"/>
        <v>Unlikely</v>
      </c>
      <c r="BG132" s="45"/>
      <c r="BH132" s="45" t="str">
        <f>INDEX(Table5[[#All],[Ovr]],MATCH(Table3[[#This Row],[PID]],Table5[[#All],[PID]],0))</f>
        <v/>
      </c>
      <c r="BI132" s="45" t="str">
        <f>INDEX(Table5[[#All],[Rnd]],MATCH(Table3[[#This Row],[PID]],Table5[[#All],[PID]],0))</f>
        <v/>
      </c>
      <c r="BJ132" s="45" t="str">
        <f>INDEX(Table5[[#All],[Pick]],MATCH(Table3[[#This Row],[PID]],Table5[[#All],[PID]],0))</f>
        <v/>
      </c>
      <c r="BK132" s="45" t="str">
        <f>INDEX(Table5[[#All],[Team]],MATCH(Table3[[#This Row],[PID]],Table5[[#All],[PID]],0))</f>
        <v/>
      </c>
      <c r="BL1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3" spans="1:64" ht="15" customHeight="1" x14ac:dyDescent="0.25">
      <c r="A133" s="40">
        <v>14955</v>
      </c>
      <c r="B133" s="40" t="s">
        <v>415</v>
      </c>
      <c r="C133" s="40" t="s">
        <v>1111</v>
      </c>
      <c r="D133" s="40" t="s">
        <v>1896</v>
      </c>
      <c r="E133" s="40">
        <v>18</v>
      </c>
      <c r="F133" s="40" t="s">
        <v>53</v>
      </c>
      <c r="G133" s="40" t="s">
        <v>53</v>
      </c>
      <c r="H133" s="41" t="s">
        <v>639</v>
      </c>
      <c r="I133" s="42" t="s">
        <v>47</v>
      </c>
      <c r="J133" s="40" t="s">
        <v>43</v>
      </c>
      <c r="K133" s="41" t="s">
        <v>43</v>
      </c>
      <c r="L133" s="40">
        <v>1</v>
      </c>
      <c r="M133" s="40">
        <v>2</v>
      </c>
      <c r="N133" s="41">
        <v>2</v>
      </c>
      <c r="O133" s="40">
        <v>3</v>
      </c>
      <c r="P133" s="40">
        <v>3</v>
      </c>
      <c r="Q133" s="41">
        <v>5</v>
      </c>
      <c r="R133" s="40">
        <v>2</v>
      </c>
      <c r="S133" s="40">
        <v>4</v>
      </c>
      <c r="T133" s="40" t="s">
        <v>45</v>
      </c>
      <c r="U133" s="40" t="s">
        <v>45</v>
      </c>
      <c r="V133" s="40" t="s">
        <v>45</v>
      </c>
      <c r="W133" s="40" t="s">
        <v>45</v>
      </c>
      <c r="X133" s="40">
        <v>2</v>
      </c>
      <c r="Y133" s="40">
        <v>4</v>
      </c>
      <c r="Z133" s="40" t="s">
        <v>45</v>
      </c>
      <c r="AA133" s="40" t="s">
        <v>45</v>
      </c>
      <c r="AB133" s="40" t="s">
        <v>45</v>
      </c>
      <c r="AC133" s="40" t="s">
        <v>45</v>
      </c>
      <c r="AD133" s="40" t="s">
        <v>45</v>
      </c>
      <c r="AE133" s="40" t="s">
        <v>45</v>
      </c>
      <c r="AF133" s="40" t="s">
        <v>45</v>
      </c>
      <c r="AG133" s="40" t="s">
        <v>45</v>
      </c>
      <c r="AH133" s="40" t="s">
        <v>45</v>
      </c>
      <c r="AI133" s="40" t="s">
        <v>45</v>
      </c>
      <c r="AJ133" s="40" t="s">
        <v>45</v>
      </c>
      <c r="AK133" s="40" t="s">
        <v>45</v>
      </c>
      <c r="AL133" s="40" t="s">
        <v>45</v>
      </c>
      <c r="AM133" s="40" t="s">
        <v>45</v>
      </c>
      <c r="AN133" s="40" t="s">
        <v>45</v>
      </c>
      <c r="AO133" s="41" t="s">
        <v>45</v>
      </c>
      <c r="AP133" s="40" t="s">
        <v>67</v>
      </c>
      <c r="AQ133" s="40">
        <v>4</v>
      </c>
      <c r="AR133" s="48" t="s">
        <v>347</v>
      </c>
      <c r="AS133" s="43" t="s">
        <v>644</v>
      </c>
      <c r="AT133" s="43" t="s">
        <v>635</v>
      </c>
      <c r="AU133" s="44">
        <f t="shared" ref="AU133:AU196" si="17">($O$3*(L133-$O$1)/$O$2+$P$3*(M133-$P$1)/$P$2+$Q$3*(N133-$P$1)/$Q$2)/SUM($O$3:$Q$3)</f>
        <v>-2.2637319554834323</v>
      </c>
      <c r="AV133" s="44">
        <f t="shared" ref="AV133:AV196" si="18">($O$3*(O133-$O$1)/$O$2+$P$3*(P133-$P$1)/$P$2+$Q$3*(Q133-$Q$1)/$Q$2)/SUM($O$3:$Q$3)</f>
        <v>-0.5064611411356269</v>
      </c>
      <c r="AW133" s="45">
        <f t="shared" ref="AW133:AW196" si="19">COUNT(R133:AO133)/2</f>
        <v>2</v>
      </c>
      <c r="AX133" s="45">
        <f t="shared" ref="AX133:AX196" si="20"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0</v>
      </c>
      <c r="AY133" s="46">
        <f>VLOOKUP(AP133,COND!$A$10:$B$32,2,FALSE)</f>
        <v>0.9</v>
      </c>
      <c r="AZ133" s="44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37.032416322193114</v>
      </c>
      <c r="BA133" s="47">
        <f>STANDARDIZE(AZ133,AVERAGE($AZ$5:$AZ$557),STDEVP($AZ$5:$AZ$557))</f>
        <v>7.7298784779849236E-2</v>
      </c>
      <c r="BB133" s="45" t="str">
        <f t="shared" ref="BB133:BB196" si="21">IF(OR(AND(AQ133&gt;7,AX133&gt;1),AND(AQ133&gt;4,AW133&gt;2)),"SP","RP")</f>
        <v>RP</v>
      </c>
      <c r="BC133" s="45">
        <f>RANK(Table3[[#This Row],[zScore]],Table3[zScore])</f>
        <v>294</v>
      </c>
      <c r="BD133" s="45"/>
      <c r="BE133" s="45"/>
      <c r="BF133" s="45" t="str">
        <f t="shared" ref="BF133:BF196" si="22">IF(AVERAGE($O133:$Q133)&gt;=6,"Likely",IF(AVERAGE($O133:$Q133)&gt;=4,"Possible","Unlikely"))</f>
        <v>Unlikely</v>
      </c>
      <c r="BG133" s="45"/>
      <c r="BH133" s="45" t="str">
        <f>INDEX(Table5[[#All],[Ovr]],MATCH(Table3[[#This Row],[PID]],Table5[[#All],[PID]],0))</f>
        <v/>
      </c>
      <c r="BI133" s="45" t="str">
        <f>INDEX(Table5[[#All],[Rnd]],MATCH(Table3[[#This Row],[PID]],Table5[[#All],[PID]],0))</f>
        <v/>
      </c>
      <c r="BJ133" s="45" t="str">
        <f>INDEX(Table5[[#All],[Pick]],MATCH(Table3[[#This Row],[PID]],Table5[[#All],[PID]],0))</f>
        <v/>
      </c>
      <c r="BK133" s="45" t="str">
        <f>INDEX(Table5[[#All],[Team]],MATCH(Table3[[#This Row],[PID]],Table5[[#All],[PID]],0))</f>
        <v/>
      </c>
      <c r="BL1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4" spans="1:64" ht="15" customHeight="1" x14ac:dyDescent="0.25">
      <c r="A134" s="40">
        <v>20357</v>
      </c>
      <c r="B134" s="40" t="s">
        <v>415</v>
      </c>
      <c r="C134" s="40" t="s">
        <v>337</v>
      </c>
      <c r="D134" s="40" t="s">
        <v>1984</v>
      </c>
      <c r="E134" s="40">
        <v>18</v>
      </c>
      <c r="F134" s="40" t="s">
        <v>42</v>
      </c>
      <c r="G134" s="40" t="s">
        <v>42</v>
      </c>
      <c r="H134" s="41" t="s">
        <v>647</v>
      </c>
      <c r="I134" s="42" t="s">
        <v>43</v>
      </c>
      <c r="J134" s="40" t="s">
        <v>43</v>
      </c>
      <c r="K134" s="41" t="s">
        <v>43</v>
      </c>
      <c r="L134" s="40">
        <v>2</v>
      </c>
      <c r="M134" s="40">
        <v>2</v>
      </c>
      <c r="N134" s="41">
        <v>1</v>
      </c>
      <c r="O134" s="40">
        <v>5</v>
      </c>
      <c r="P134" s="40">
        <v>2</v>
      </c>
      <c r="Q134" s="41">
        <v>3</v>
      </c>
      <c r="R134" s="40">
        <v>4</v>
      </c>
      <c r="S134" s="40">
        <v>7</v>
      </c>
      <c r="T134" s="40">
        <v>2</v>
      </c>
      <c r="U134" s="40">
        <v>5</v>
      </c>
      <c r="V134" s="40">
        <v>2</v>
      </c>
      <c r="W134" s="40">
        <v>3</v>
      </c>
      <c r="X134" s="40" t="s">
        <v>45</v>
      </c>
      <c r="Y134" s="40" t="s">
        <v>45</v>
      </c>
      <c r="Z134" s="40" t="s">
        <v>45</v>
      </c>
      <c r="AA134" s="40" t="s">
        <v>45</v>
      </c>
      <c r="AB134" s="40" t="s">
        <v>45</v>
      </c>
      <c r="AC134" s="40" t="s">
        <v>45</v>
      </c>
      <c r="AD134" s="40" t="s">
        <v>45</v>
      </c>
      <c r="AE134" s="40" t="s">
        <v>45</v>
      </c>
      <c r="AF134" s="40" t="s">
        <v>45</v>
      </c>
      <c r="AG134" s="40" t="s">
        <v>45</v>
      </c>
      <c r="AH134" s="40" t="s">
        <v>45</v>
      </c>
      <c r="AI134" s="40" t="s">
        <v>45</v>
      </c>
      <c r="AJ134" s="40" t="s">
        <v>45</v>
      </c>
      <c r="AK134" s="40" t="s">
        <v>45</v>
      </c>
      <c r="AL134" s="40" t="s">
        <v>45</v>
      </c>
      <c r="AM134" s="40" t="s">
        <v>45</v>
      </c>
      <c r="AN134" s="40" t="s">
        <v>45</v>
      </c>
      <c r="AO134" s="41" t="s">
        <v>45</v>
      </c>
      <c r="AP134" s="40" t="s">
        <v>350</v>
      </c>
      <c r="AQ134" s="40">
        <v>5</v>
      </c>
      <c r="AR134" s="48" t="s">
        <v>347</v>
      </c>
      <c r="AS134" s="43" t="s">
        <v>644</v>
      </c>
      <c r="AT134" s="43" t="s">
        <v>47</v>
      </c>
      <c r="AU134" s="44">
        <f t="shared" si="17"/>
        <v>-2.311361197028369</v>
      </c>
      <c r="AV134" s="44">
        <f t="shared" si="18"/>
        <v>-0.79715134065555615</v>
      </c>
      <c r="AW134" s="45">
        <f t="shared" si="19"/>
        <v>3</v>
      </c>
      <c r="AX134" s="45">
        <f t="shared" si="20"/>
        <v>1</v>
      </c>
      <c r="AY134" s="46">
        <f>VLOOKUP(AP134,COND!$A$10:$B$32,2,FALSE)</f>
        <v>1</v>
      </c>
      <c r="AZ134" s="44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38.686083423796127</v>
      </c>
      <c r="BA134" s="47">
        <f>STANDARDIZE(AZ134,AVERAGE($AZ$5:$AZ$663),STDEVP($AZ$5:$AZ$663))</f>
        <v>6.0437779449745273E-2</v>
      </c>
      <c r="BB134" s="45" t="str">
        <f t="shared" si="21"/>
        <v>SP</v>
      </c>
      <c r="BC134" s="45">
        <f>RANK(Table3[[#This Row],[zScore]],Table3[zScore])</f>
        <v>296</v>
      </c>
      <c r="BD134" s="45"/>
      <c r="BE134" s="45"/>
      <c r="BF134" s="45" t="str">
        <f t="shared" si="22"/>
        <v>Unlikely</v>
      </c>
      <c r="BG134" s="45"/>
      <c r="BH134" s="45" t="str">
        <f>INDEX(Table5[[#All],[Ovr]],MATCH(Table3[[#This Row],[PID]],Table5[[#All],[PID]],0))</f>
        <v/>
      </c>
      <c r="BI134" s="45" t="str">
        <f>INDEX(Table5[[#All],[Rnd]],MATCH(Table3[[#This Row],[PID]],Table5[[#All],[PID]],0))</f>
        <v/>
      </c>
      <c r="BJ134" s="45" t="str">
        <f>INDEX(Table5[[#All],[Pick]],MATCH(Table3[[#This Row],[PID]],Table5[[#All],[PID]],0))</f>
        <v/>
      </c>
      <c r="BK134" s="45" t="str">
        <f>INDEX(Table5[[#All],[Team]],MATCH(Table3[[#This Row],[PID]],Table5[[#All],[PID]],0))</f>
        <v/>
      </c>
      <c r="BL1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5" spans="1:64" ht="15" customHeight="1" x14ac:dyDescent="0.25">
      <c r="A135" s="40">
        <v>13260</v>
      </c>
      <c r="B135" s="40" t="s">
        <v>415</v>
      </c>
      <c r="C135" s="40" t="s">
        <v>1891</v>
      </c>
      <c r="D135" s="40" t="s">
        <v>1892</v>
      </c>
      <c r="E135" s="40">
        <v>18</v>
      </c>
      <c r="F135" s="40" t="s">
        <v>42</v>
      </c>
      <c r="G135" s="40" t="s">
        <v>42</v>
      </c>
      <c r="H135" s="41" t="s">
        <v>639</v>
      </c>
      <c r="I135" s="42" t="s">
        <v>44</v>
      </c>
      <c r="J135" s="40" t="s">
        <v>44</v>
      </c>
      <c r="K135" s="41" t="s">
        <v>43</v>
      </c>
      <c r="L135" s="40">
        <v>1</v>
      </c>
      <c r="M135" s="40">
        <v>1</v>
      </c>
      <c r="N135" s="41">
        <v>1</v>
      </c>
      <c r="O135" s="40">
        <v>4</v>
      </c>
      <c r="P135" s="40">
        <v>2</v>
      </c>
      <c r="Q135" s="41">
        <v>5</v>
      </c>
      <c r="R135" s="40" t="s">
        <v>45</v>
      </c>
      <c r="S135" s="40" t="s">
        <v>45</v>
      </c>
      <c r="T135" s="40" t="s">
        <v>45</v>
      </c>
      <c r="U135" s="40" t="s">
        <v>45</v>
      </c>
      <c r="V135" s="40">
        <v>2</v>
      </c>
      <c r="W135" s="40">
        <v>7</v>
      </c>
      <c r="X135" s="40" t="s">
        <v>45</v>
      </c>
      <c r="Y135" s="40" t="s">
        <v>45</v>
      </c>
      <c r="Z135" s="40" t="s">
        <v>45</v>
      </c>
      <c r="AA135" s="40" t="s">
        <v>45</v>
      </c>
      <c r="AB135" s="40" t="s">
        <v>45</v>
      </c>
      <c r="AC135" s="40" t="s">
        <v>45</v>
      </c>
      <c r="AD135" s="40">
        <v>2</v>
      </c>
      <c r="AE135" s="40">
        <v>4</v>
      </c>
      <c r="AF135" s="40" t="s">
        <v>45</v>
      </c>
      <c r="AG135" s="40" t="s">
        <v>45</v>
      </c>
      <c r="AH135" s="40" t="s">
        <v>45</v>
      </c>
      <c r="AI135" s="40" t="s">
        <v>45</v>
      </c>
      <c r="AJ135" s="40" t="s">
        <v>45</v>
      </c>
      <c r="AK135" s="40" t="s">
        <v>45</v>
      </c>
      <c r="AL135" s="40" t="s">
        <v>45</v>
      </c>
      <c r="AM135" s="40" t="s">
        <v>45</v>
      </c>
      <c r="AN135" s="40" t="s">
        <v>45</v>
      </c>
      <c r="AO135" s="41" t="s">
        <v>45</v>
      </c>
      <c r="AP135" s="40" t="s">
        <v>68</v>
      </c>
      <c r="AQ135" s="40">
        <v>6</v>
      </c>
      <c r="AR135" s="48" t="s">
        <v>14</v>
      </c>
      <c r="AS135" s="43" t="s">
        <v>670</v>
      </c>
      <c r="AT135" s="43" t="s">
        <v>635</v>
      </c>
      <c r="AU135" s="44">
        <f t="shared" si="17"/>
        <v>-2.7014842379675978</v>
      </c>
      <c r="AV135" s="44">
        <f t="shared" si="18"/>
        <v>-0.50720153305650884</v>
      </c>
      <c r="AW135" s="45">
        <f t="shared" si="19"/>
        <v>2</v>
      </c>
      <c r="AX135" s="45">
        <f t="shared" si="20"/>
        <v>1</v>
      </c>
      <c r="AY135" s="46">
        <f>VLOOKUP(AP135,COND!$A$10:$B$32,2,FALSE)</f>
        <v>0.95</v>
      </c>
      <c r="AZ135" s="44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36.737704145044674</v>
      </c>
      <c r="BA135" s="47">
        <f>STANDARDIZE(AZ135,AVERAGE($AZ$5:$AZ$557),STDEVP($AZ$5:$AZ$557))</f>
        <v>5.7692033986447282E-2</v>
      </c>
      <c r="BB135" s="45" t="str">
        <f t="shared" si="21"/>
        <v>RP</v>
      </c>
      <c r="BC135" s="45">
        <f>RANK(Table3[[#This Row],[zScore]],Table3[zScore])</f>
        <v>297</v>
      </c>
      <c r="BD135" s="45"/>
      <c r="BE135" s="45"/>
      <c r="BF135" s="45" t="str">
        <f t="shared" si="22"/>
        <v>Unlikely</v>
      </c>
      <c r="BG135" s="45"/>
      <c r="BH135" s="45" t="str">
        <f>INDEX(Table5[[#All],[Ovr]],MATCH(Table3[[#This Row],[PID]],Table5[[#All],[PID]],0))</f>
        <v/>
      </c>
      <c r="BI135" s="45" t="str">
        <f>INDEX(Table5[[#All],[Rnd]],MATCH(Table3[[#This Row],[PID]],Table5[[#All],[PID]],0))</f>
        <v/>
      </c>
      <c r="BJ135" s="45" t="str">
        <f>INDEX(Table5[[#All],[Pick]],MATCH(Table3[[#This Row],[PID]],Table5[[#All],[PID]],0))</f>
        <v/>
      </c>
      <c r="BK135" s="45" t="str">
        <f>INDEX(Table5[[#All],[Team]],MATCH(Table3[[#This Row],[PID]],Table5[[#All],[PID]],0))</f>
        <v/>
      </c>
      <c r="BL1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6" spans="1:64" ht="15" customHeight="1" x14ac:dyDescent="0.25">
      <c r="A136" s="40">
        <v>20657</v>
      </c>
      <c r="B136" s="40" t="s">
        <v>415</v>
      </c>
      <c r="C136" s="40" t="s">
        <v>1999</v>
      </c>
      <c r="D136" s="40" t="s">
        <v>1464</v>
      </c>
      <c r="E136" s="40">
        <v>17</v>
      </c>
      <c r="F136" s="40" t="s">
        <v>42</v>
      </c>
      <c r="G136" s="40" t="s">
        <v>42</v>
      </c>
      <c r="H136" s="41" t="s">
        <v>647</v>
      </c>
      <c r="I136" s="42" t="s">
        <v>43</v>
      </c>
      <c r="J136" s="40" t="s">
        <v>44</v>
      </c>
      <c r="K136" s="41" t="s">
        <v>43</v>
      </c>
      <c r="L136" s="40">
        <v>2</v>
      </c>
      <c r="M136" s="40">
        <v>1</v>
      </c>
      <c r="N136" s="41">
        <v>1</v>
      </c>
      <c r="O136" s="40">
        <v>5</v>
      </c>
      <c r="P136" s="40">
        <v>2</v>
      </c>
      <c r="Q136" s="41">
        <v>3</v>
      </c>
      <c r="R136" s="40">
        <v>3</v>
      </c>
      <c r="S136" s="40">
        <v>5</v>
      </c>
      <c r="T136" s="40">
        <v>3</v>
      </c>
      <c r="U136" s="40">
        <v>8</v>
      </c>
      <c r="V136" s="40" t="s">
        <v>45</v>
      </c>
      <c r="W136" s="40" t="s">
        <v>45</v>
      </c>
      <c r="X136" s="40" t="s">
        <v>45</v>
      </c>
      <c r="Y136" s="40" t="s">
        <v>45</v>
      </c>
      <c r="Z136" s="40" t="s">
        <v>45</v>
      </c>
      <c r="AA136" s="40" t="s">
        <v>45</v>
      </c>
      <c r="AB136" s="40">
        <v>2</v>
      </c>
      <c r="AC136" s="40">
        <v>3</v>
      </c>
      <c r="AD136" s="40" t="s">
        <v>45</v>
      </c>
      <c r="AE136" s="40" t="s">
        <v>45</v>
      </c>
      <c r="AF136" s="40" t="s">
        <v>45</v>
      </c>
      <c r="AG136" s="40" t="s">
        <v>45</v>
      </c>
      <c r="AH136" s="40" t="s">
        <v>45</v>
      </c>
      <c r="AI136" s="40" t="s">
        <v>45</v>
      </c>
      <c r="AJ136" s="40" t="s">
        <v>45</v>
      </c>
      <c r="AK136" s="40" t="s">
        <v>45</v>
      </c>
      <c r="AL136" s="40" t="s">
        <v>45</v>
      </c>
      <c r="AM136" s="40" t="s">
        <v>45</v>
      </c>
      <c r="AN136" s="40" t="s">
        <v>45</v>
      </c>
      <c r="AO136" s="41" t="s">
        <v>45</v>
      </c>
      <c r="AP136" s="40" t="s">
        <v>64</v>
      </c>
      <c r="AQ136" s="40">
        <v>2</v>
      </c>
      <c r="AR136" s="48" t="s">
        <v>14</v>
      </c>
      <c r="AS136" s="43" t="s">
        <v>556</v>
      </c>
      <c r="AT136" s="43" t="s">
        <v>635</v>
      </c>
      <c r="AU136" s="44">
        <f t="shared" si="17"/>
        <v>-2.5067929134584248</v>
      </c>
      <c r="AV136" s="44">
        <f t="shared" si="18"/>
        <v>-0.79715134065555615</v>
      </c>
      <c r="AW136" s="45">
        <f t="shared" si="19"/>
        <v>3</v>
      </c>
      <c r="AX136" s="45">
        <f t="shared" si="20"/>
        <v>1</v>
      </c>
      <c r="AY136" s="46">
        <f>VLOOKUP(AP136,COND!$A$10:$B$32,2,FALSE)</f>
        <v>1</v>
      </c>
      <c r="AZ136" s="44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36.690333873987335</v>
      </c>
      <c r="BA136" s="47">
        <f>STANDARDIZE(AZ136,AVERAGE($AZ$5:$AZ$557),STDEVP($AZ$5:$AZ$557))</f>
        <v>5.4540562239932568E-2</v>
      </c>
      <c r="BB136" s="45" t="str">
        <f t="shared" si="21"/>
        <v>RP</v>
      </c>
      <c r="BC136" s="45">
        <f>RANK(Table3[[#This Row],[zScore]],Table3[zScore])</f>
        <v>298</v>
      </c>
      <c r="BD136" s="45"/>
      <c r="BE136" s="45"/>
      <c r="BF136" s="45" t="str">
        <f t="shared" si="22"/>
        <v>Unlikely</v>
      </c>
      <c r="BG136" s="45"/>
      <c r="BH136" s="45" t="str">
        <f>INDEX(Table5[[#All],[Ovr]],MATCH(Table3[[#This Row],[PID]],Table5[[#All],[PID]],0))</f>
        <v/>
      </c>
      <c r="BI136" s="45" t="str">
        <f>INDEX(Table5[[#All],[Rnd]],MATCH(Table3[[#This Row],[PID]],Table5[[#All],[PID]],0))</f>
        <v/>
      </c>
      <c r="BJ136" s="45" t="str">
        <f>INDEX(Table5[[#All],[Pick]],MATCH(Table3[[#This Row],[PID]],Table5[[#All],[PID]],0))</f>
        <v/>
      </c>
      <c r="BK136" s="45" t="str">
        <f>INDEX(Table5[[#All],[Team]],MATCH(Table3[[#This Row],[PID]],Table5[[#All],[PID]],0))</f>
        <v/>
      </c>
      <c r="BL1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7" spans="1:64" ht="15" customHeight="1" x14ac:dyDescent="0.25">
      <c r="A137" s="40">
        <v>20506</v>
      </c>
      <c r="B137" s="40" t="s">
        <v>415</v>
      </c>
      <c r="C137" s="40" t="s">
        <v>1893</v>
      </c>
      <c r="D137" s="40" t="s">
        <v>1894</v>
      </c>
      <c r="E137" s="40">
        <v>18</v>
      </c>
      <c r="F137" s="40" t="s">
        <v>42</v>
      </c>
      <c r="G137" s="40" t="s">
        <v>42</v>
      </c>
      <c r="H137" s="41" t="s">
        <v>639</v>
      </c>
      <c r="I137" s="42" t="s">
        <v>43</v>
      </c>
      <c r="J137" s="40" t="s">
        <v>43</v>
      </c>
      <c r="K137" s="41" t="s">
        <v>43</v>
      </c>
      <c r="L137" s="40">
        <v>3</v>
      </c>
      <c r="M137" s="40">
        <v>2</v>
      </c>
      <c r="N137" s="41">
        <v>1</v>
      </c>
      <c r="O137" s="40">
        <v>6</v>
      </c>
      <c r="P137" s="40">
        <v>2</v>
      </c>
      <c r="Q137" s="41">
        <v>3</v>
      </c>
      <c r="R137" s="40">
        <v>5</v>
      </c>
      <c r="S137" s="40">
        <v>7</v>
      </c>
      <c r="T137" s="40" t="s">
        <v>45</v>
      </c>
      <c r="U137" s="40" t="s">
        <v>45</v>
      </c>
      <c r="V137" s="40" t="s">
        <v>45</v>
      </c>
      <c r="W137" s="40" t="s">
        <v>45</v>
      </c>
      <c r="X137" s="40">
        <v>4</v>
      </c>
      <c r="Y137" s="40">
        <v>8</v>
      </c>
      <c r="Z137" s="40" t="s">
        <v>45</v>
      </c>
      <c r="AA137" s="40" t="s">
        <v>45</v>
      </c>
      <c r="AB137" s="40" t="s">
        <v>45</v>
      </c>
      <c r="AC137" s="40" t="s">
        <v>45</v>
      </c>
      <c r="AD137" s="40" t="s">
        <v>45</v>
      </c>
      <c r="AE137" s="40" t="s">
        <v>45</v>
      </c>
      <c r="AF137" s="40" t="s">
        <v>45</v>
      </c>
      <c r="AG137" s="40" t="s">
        <v>45</v>
      </c>
      <c r="AH137" s="40" t="s">
        <v>45</v>
      </c>
      <c r="AI137" s="40" t="s">
        <v>45</v>
      </c>
      <c r="AJ137" s="40" t="s">
        <v>45</v>
      </c>
      <c r="AK137" s="40" t="s">
        <v>45</v>
      </c>
      <c r="AL137" s="40" t="s">
        <v>45</v>
      </c>
      <c r="AM137" s="40" t="s">
        <v>45</v>
      </c>
      <c r="AN137" s="40" t="s">
        <v>45</v>
      </c>
      <c r="AO137" s="41" t="s">
        <v>45</v>
      </c>
      <c r="AP137" s="40" t="s">
        <v>56</v>
      </c>
      <c r="AQ137" s="40">
        <v>1</v>
      </c>
      <c r="AR137" s="48" t="s">
        <v>347</v>
      </c>
      <c r="AS137" s="43" t="s">
        <v>670</v>
      </c>
      <c r="AT137" s="43" t="s">
        <v>47</v>
      </c>
      <c r="AU137" s="44">
        <f t="shared" si="17"/>
        <v>-2.1166698725191955</v>
      </c>
      <c r="AV137" s="44">
        <f t="shared" si="18"/>
        <v>-0.60246001614638267</v>
      </c>
      <c r="AW137" s="45">
        <f t="shared" si="19"/>
        <v>2</v>
      </c>
      <c r="AX137" s="45">
        <f t="shared" si="20"/>
        <v>2</v>
      </c>
      <c r="AY137" s="46">
        <f>VLOOKUP(AP137,COND!$A$10:$B$32,2,FALSE)</f>
        <v>1</v>
      </c>
      <c r="AZ137" s="44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36.476092417440086</v>
      </c>
      <c r="BA137" s="47">
        <f>STANDARDIZE(AZ137,AVERAGE($AZ$5:$AZ$557),STDEVP($AZ$5:$AZ$557))</f>
        <v>4.0287405520108177E-2</v>
      </c>
      <c r="BB137" s="45" t="str">
        <f t="shared" si="21"/>
        <v>RP</v>
      </c>
      <c r="BC137" s="45">
        <f>RANK(Table3[[#This Row],[zScore]],Table3[zScore])</f>
        <v>301</v>
      </c>
      <c r="BD137" s="45"/>
      <c r="BE137" s="45"/>
      <c r="BF137" s="45" t="str">
        <f t="shared" si="22"/>
        <v>Unlikely</v>
      </c>
      <c r="BG137" s="45"/>
      <c r="BH137" s="45">
        <f>INDEX(Table5[[#All],[Ovr]],MATCH(Table3[[#This Row],[PID]],Table5[[#All],[PID]],0))</f>
        <v>544</v>
      </c>
      <c r="BI137" s="45" t="str">
        <f>INDEX(Table5[[#All],[Rnd]],MATCH(Table3[[#This Row],[PID]],Table5[[#All],[PID]],0))</f>
        <v>18</v>
      </c>
      <c r="BJ137" s="45">
        <f>INDEX(Table5[[#All],[Pick]],MATCH(Table3[[#This Row],[PID]],Table5[[#All],[PID]],0))</f>
        <v>26</v>
      </c>
      <c r="BK137" s="45" t="str">
        <f>INDEX(Table5[[#All],[Team]],MATCH(Table3[[#This Row],[PID]],Table5[[#All],[PID]],0))</f>
        <v>Aurora Borealis</v>
      </c>
      <c r="BL13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8" spans="1:64" ht="15" customHeight="1" x14ac:dyDescent="0.25">
      <c r="A138" s="40">
        <v>17592</v>
      </c>
      <c r="B138" s="40" t="s">
        <v>415</v>
      </c>
      <c r="C138" s="40" t="s">
        <v>172</v>
      </c>
      <c r="D138" s="40" t="s">
        <v>1971</v>
      </c>
      <c r="E138" s="40">
        <v>18</v>
      </c>
      <c r="F138" s="40" t="s">
        <v>42</v>
      </c>
      <c r="G138" s="40" t="s">
        <v>42</v>
      </c>
      <c r="H138" s="41" t="s">
        <v>647</v>
      </c>
      <c r="I138" s="42" t="s">
        <v>43</v>
      </c>
      <c r="J138" s="40" t="s">
        <v>47</v>
      </c>
      <c r="K138" s="41" t="s">
        <v>43</v>
      </c>
      <c r="L138" s="40">
        <v>2</v>
      </c>
      <c r="M138" s="40">
        <v>1</v>
      </c>
      <c r="N138" s="41">
        <v>1</v>
      </c>
      <c r="O138" s="40">
        <v>5</v>
      </c>
      <c r="P138" s="40">
        <v>1</v>
      </c>
      <c r="Q138" s="41">
        <v>3</v>
      </c>
      <c r="R138" s="40">
        <v>4</v>
      </c>
      <c r="S138" s="40">
        <v>7</v>
      </c>
      <c r="T138" s="40">
        <v>1</v>
      </c>
      <c r="U138" s="40">
        <v>1</v>
      </c>
      <c r="V138" s="40">
        <v>2</v>
      </c>
      <c r="W138" s="40">
        <v>8</v>
      </c>
      <c r="X138" s="40" t="s">
        <v>45</v>
      </c>
      <c r="Y138" s="40" t="s">
        <v>45</v>
      </c>
      <c r="Z138" s="40" t="s">
        <v>45</v>
      </c>
      <c r="AA138" s="40" t="s">
        <v>45</v>
      </c>
      <c r="AB138" s="40" t="s">
        <v>45</v>
      </c>
      <c r="AC138" s="40" t="s">
        <v>45</v>
      </c>
      <c r="AD138" s="40" t="s">
        <v>45</v>
      </c>
      <c r="AE138" s="40" t="s">
        <v>45</v>
      </c>
      <c r="AF138" s="40" t="s">
        <v>45</v>
      </c>
      <c r="AG138" s="40" t="s">
        <v>45</v>
      </c>
      <c r="AH138" s="40" t="s">
        <v>45</v>
      </c>
      <c r="AI138" s="40" t="s">
        <v>45</v>
      </c>
      <c r="AJ138" s="40" t="s">
        <v>45</v>
      </c>
      <c r="AK138" s="40" t="s">
        <v>45</v>
      </c>
      <c r="AL138" s="40" t="s">
        <v>45</v>
      </c>
      <c r="AM138" s="40" t="s">
        <v>45</v>
      </c>
      <c r="AN138" s="40" t="s">
        <v>45</v>
      </c>
      <c r="AO138" s="41" t="s">
        <v>45</v>
      </c>
      <c r="AP138" s="40" t="s">
        <v>56</v>
      </c>
      <c r="AQ138" s="40">
        <v>6</v>
      </c>
      <c r="AR138" s="48" t="s">
        <v>14</v>
      </c>
      <c r="AS138" s="43" t="s">
        <v>644</v>
      </c>
      <c r="AT138" s="43" t="s">
        <v>635</v>
      </c>
      <c r="AU138" s="44">
        <f t="shared" si="17"/>
        <v>-2.5067929134584248</v>
      </c>
      <c r="AV138" s="44">
        <f t="shared" si="18"/>
        <v>-0.99258305708561179</v>
      </c>
      <c r="AW138" s="45">
        <f t="shared" si="19"/>
        <v>3</v>
      </c>
      <c r="AX138" s="45">
        <f t="shared" si="20"/>
        <v>2</v>
      </c>
      <c r="AY138" s="46">
        <f>VLOOKUP(AP138,COND!$A$10:$B$32,2,FALSE)</f>
        <v>1</v>
      </c>
      <c r="AZ138" s="44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36.355805768706176</v>
      </c>
      <c r="BA138" s="47">
        <f>STANDARDIZE(AZ138,AVERAGE($AZ$5:$AZ$557),STDEVP($AZ$5:$AZ$557))</f>
        <v>3.2284918590932708E-2</v>
      </c>
      <c r="BB138" s="45" t="str">
        <f t="shared" si="21"/>
        <v>SP</v>
      </c>
      <c r="BC138" s="45">
        <f>RANK(Table3[[#This Row],[zScore]],Table3[zScore])</f>
        <v>302</v>
      </c>
      <c r="BD138" s="45"/>
      <c r="BE138" s="45"/>
      <c r="BF138" s="45" t="str">
        <f t="shared" si="22"/>
        <v>Unlikely</v>
      </c>
      <c r="BG138" s="45"/>
      <c r="BH138" s="45">
        <f>INDEX(Table5[[#All],[Ovr]],MATCH(Table3[[#This Row],[PID]],Table5[[#All],[PID]],0))</f>
        <v>548</v>
      </c>
      <c r="BI138" s="45" t="str">
        <f>INDEX(Table5[[#All],[Rnd]],MATCH(Table3[[#This Row],[PID]],Table5[[#All],[PID]],0))</f>
        <v>18</v>
      </c>
      <c r="BJ138" s="45">
        <f>INDEX(Table5[[#All],[Pick]],MATCH(Table3[[#This Row],[PID]],Table5[[#All],[PID]],0))</f>
        <v>30</v>
      </c>
      <c r="BK138" s="45" t="str">
        <f>INDEX(Table5[[#All],[Team]],MATCH(Table3[[#This Row],[PID]],Table5[[#All],[PID]],0))</f>
        <v>Florida Farstriders</v>
      </c>
      <c r="BL1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39" spans="1:64" ht="15" customHeight="1" x14ac:dyDescent="0.25">
      <c r="A139" s="40">
        <v>18349</v>
      </c>
      <c r="B139" s="40" t="s">
        <v>415</v>
      </c>
      <c r="C139" s="40" t="s">
        <v>160</v>
      </c>
      <c r="D139" s="40" t="s">
        <v>904</v>
      </c>
      <c r="E139" s="40">
        <v>18</v>
      </c>
      <c r="F139" s="40" t="s">
        <v>42</v>
      </c>
      <c r="G139" s="40" t="s">
        <v>42</v>
      </c>
      <c r="H139" s="41" t="s">
        <v>647</v>
      </c>
      <c r="I139" s="42" t="s">
        <v>43</v>
      </c>
      <c r="J139" s="40" t="s">
        <v>43</v>
      </c>
      <c r="K139" s="41" t="s">
        <v>43</v>
      </c>
      <c r="L139" s="40">
        <v>1</v>
      </c>
      <c r="M139" s="40">
        <v>2</v>
      </c>
      <c r="N139" s="41">
        <v>2</v>
      </c>
      <c r="O139" s="40">
        <v>3</v>
      </c>
      <c r="P139" s="40">
        <v>2</v>
      </c>
      <c r="Q139" s="41">
        <v>4</v>
      </c>
      <c r="R139" s="40" t="s">
        <v>45</v>
      </c>
      <c r="S139" s="40" t="s">
        <v>45</v>
      </c>
      <c r="T139" s="40">
        <v>2</v>
      </c>
      <c r="U139" s="40">
        <v>6</v>
      </c>
      <c r="V139" s="40">
        <v>2</v>
      </c>
      <c r="W139" s="40">
        <v>4</v>
      </c>
      <c r="X139" s="40" t="s">
        <v>45</v>
      </c>
      <c r="Y139" s="40" t="s">
        <v>45</v>
      </c>
      <c r="Z139" s="40" t="s">
        <v>45</v>
      </c>
      <c r="AA139" s="40" t="s">
        <v>45</v>
      </c>
      <c r="AB139" s="40" t="s">
        <v>45</v>
      </c>
      <c r="AC139" s="40" t="s">
        <v>45</v>
      </c>
      <c r="AD139" s="40">
        <v>2</v>
      </c>
      <c r="AE139" s="40">
        <v>3</v>
      </c>
      <c r="AF139" s="40">
        <v>2</v>
      </c>
      <c r="AG139" s="40">
        <v>3</v>
      </c>
      <c r="AH139" s="40" t="s">
        <v>45</v>
      </c>
      <c r="AI139" s="40" t="s">
        <v>45</v>
      </c>
      <c r="AJ139" s="40" t="s">
        <v>45</v>
      </c>
      <c r="AK139" s="40" t="s">
        <v>45</v>
      </c>
      <c r="AL139" s="40" t="s">
        <v>45</v>
      </c>
      <c r="AM139" s="40" t="s">
        <v>45</v>
      </c>
      <c r="AN139" s="40" t="s">
        <v>45</v>
      </c>
      <c r="AO139" s="41" t="s">
        <v>45</v>
      </c>
      <c r="AP139" s="40" t="s">
        <v>70</v>
      </c>
      <c r="AQ139" s="40">
        <v>6</v>
      </c>
      <c r="AR139" s="48" t="s">
        <v>347</v>
      </c>
      <c r="AS139" s="43" t="s">
        <v>644</v>
      </c>
      <c r="AT139" s="43" t="s">
        <v>635</v>
      </c>
      <c r="AU139" s="44">
        <f t="shared" si="17"/>
        <v>-2.2637319554834323</v>
      </c>
      <c r="AV139" s="44">
        <f t="shared" si="18"/>
        <v>-0.94421342361979277</v>
      </c>
      <c r="AW139" s="45">
        <f t="shared" si="19"/>
        <v>4</v>
      </c>
      <c r="AX139" s="45">
        <f t="shared" si="20"/>
        <v>1</v>
      </c>
      <c r="AY139" s="46">
        <f>VLOOKUP(AP139,COND!$A$10:$B$32,2,FALSE)</f>
        <v>0.9</v>
      </c>
      <c r="AZ139" s="44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37.883644457285293</v>
      </c>
      <c r="BA139" s="47">
        <f>STANDARDIZE(AZ139,AVERAGE($AZ$5:$AZ$663),STDEVP($AZ$5:$AZ$663))</f>
        <v>5.4709463441974943E-3</v>
      </c>
      <c r="BB139" s="45" t="str">
        <f t="shared" si="21"/>
        <v>SP</v>
      </c>
      <c r="BC139" s="45">
        <f>RANK(Table3[[#This Row],[zScore]],Table3[zScore])</f>
        <v>306</v>
      </c>
      <c r="BD139" s="45"/>
      <c r="BE139" s="45"/>
      <c r="BF139" s="45" t="str">
        <f t="shared" si="22"/>
        <v>Unlikely</v>
      </c>
      <c r="BG139" s="45"/>
      <c r="BH139" s="45" t="str">
        <f>INDEX(Table5[[#All],[Ovr]],MATCH(Table3[[#This Row],[PID]],Table5[[#All],[PID]],0))</f>
        <v/>
      </c>
      <c r="BI139" s="45" t="str">
        <f>INDEX(Table5[[#All],[Rnd]],MATCH(Table3[[#This Row],[PID]],Table5[[#All],[PID]],0))</f>
        <v/>
      </c>
      <c r="BJ139" s="45" t="str">
        <f>INDEX(Table5[[#All],[Pick]],MATCH(Table3[[#This Row],[PID]],Table5[[#All],[PID]],0))</f>
        <v/>
      </c>
      <c r="BK139" s="45" t="str">
        <f>INDEX(Table5[[#All],[Team]],MATCH(Table3[[#This Row],[PID]],Table5[[#All],[PID]],0))</f>
        <v/>
      </c>
      <c r="BL1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0" spans="1:64" ht="15" customHeight="1" x14ac:dyDescent="0.25">
      <c r="A140" s="40">
        <v>20736</v>
      </c>
      <c r="B140" s="40" t="s">
        <v>415</v>
      </c>
      <c r="C140" s="40" t="s">
        <v>1427</v>
      </c>
      <c r="D140" s="40" t="s">
        <v>761</v>
      </c>
      <c r="E140" s="40">
        <v>17</v>
      </c>
      <c r="F140" s="40" t="s">
        <v>42</v>
      </c>
      <c r="G140" s="40" t="s">
        <v>42</v>
      </c>
      <c r="H140" s="41" t="s">
        <v>647</v>
      </c>
      <c r="I140" s="42" t="s">
        <v>43</v>
      </c>
      <c r="J140" s="40" t="s">
        <v>43</v>
      </c>
      <c r="K140" s="41" t="s">
        <v>43</v>
      </c>
      <c r="L140" s="40">
        <v>1</v>
      </c>
      <c r="M140" s="40">
        <v>1</v>
      </c>
      <c r="N140" s="41">
        <v>1</v>
      </c>
      <c r="O140" s="40">
        <v>5</v>
      </c>
      <c r="P140" s="40">
        <v>2</v>
      </c>
      <c r="Q140" s="41">
        <v>2</v>
      </c>
      <c r="R140" s="40">
        <v>3</v>
      </c>
      <c r="S140" s="40">
        <v>6</v>
      </c>
      <c r="T140" s="40">
        <v>1</v>
      </c>
      <c r="U140" s="40">
        <v>1</v>
      </c>
      <c r="V140" s="40">
        <v>2</v>
      </c>
      <c r="W140" s="40">
        <v>7</v>
      </c>
      <c r="X140" s="40" t="s">
        <v>45</v>
      </c>
      <c r="Y140" s="40" t="s">
        <v>45</v>
      </c>
      <c r="Z140" s="40" t="s">
        <v>45</v>
      </c>
      <c r="AA140" s="40" t="s">
        <v>45</v>
      </c>
      <c r="AB140" s="40" t="s">
        <v>45</v>
      </c>
      <c r="AC140" s="40" t="s">
        <v>45</v>
      </c>
      <c r="AD140" s="40" t="s">
        <v>45</v>
      </c>
      <c r="AE140" s="40" t="s">
        <v>45</v>
      </c>
      <c r="AF140" s="40" t="s">
        <v>45</v>
      </c>
      <c r="AG140" s="40" t="s">
        <v>45</v>
      </c>
      <c r="AH140" s="40" t="s">
        <v>45</v>
      </c>
      <c r="AI140" s="40" t="s">
        <v>45</v>
      </c>
      <c r="AJ140" s="40" t="s">
        <v>45</v>
      </c>
      <c r="AK140" s="40" t="s">
        <v>45</v>
      </c>
      <c r="AL140" s="40" t="s">
        <v>45</v>
      </c>
      <c r="AM140" s="40" t="s">
        <v>45</v>
      </c>
      <c r="AN140" s="40" t="s">
        <v>45</v>
      </c>
      <c r="AO140" s="41" t="s">
        <v>45</v>
      </c>
      <c r="AP140" s="40" t="s">
        <v>68</v>
      </c>
      <c r="AQ140" s="40">
        <v>5</v>
      </c>
      <c r="AR140" s="48" t="s">
        <v>14</v>
      </c>
      <c r="AS140" s="43" t="s">
        <v>670</v>
      </c>
      <c r="AT140" s="43" t="s">
        <v>635</v>
      </c>
      <c r="AU140" s="44">
        <f t="shared" si="17"/>
        <v>-2.7014842379675978</v>
      </c>
      <c r="AV140" s="44">
        <f t="shared" si="18"/>
        <v>-1.0394719067096667</v>
      </c>
      <c r="AW140" s="45">
        <f t="shared" si="19"/>
        <v>3</v>
      </c>
      <c r="AX140" s="45">
        <f t="shared" si="20"/>
        <v>2</v>
      </c>
      <c r="AY140" s="46">
        <f>VLOOKUP(AP140,COND!$A$10:$B$32,2,FALSE)</f>
        <v>0.95</v>
      </c>
      <c r="AZ140" s="44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35.948332973119932</v>
      </c>
      <c r="BA140" s="47">
        <f>STANDARDIZE(AZ140,AVERAGE($AZ$5:$AZ$557),STDEVP($AZ$5:$AZ$557))</f>
        <v>5.1763761633617372E-3</v>
      </c>
      <c r="BB140" s="45" t="str">
        <f t="shared" si="21"/>
        <v>SP</v>
      </c>
      <c r="BC140" s="45">
        <f>RANK(Table3[[#This Row],[zScore]],Table3[zScore])</f>
        <v>307</v>
      </c>
      <c r="BD140" s="45"/>
      <c r="BE140" s="45"/>
      <c r="BF140" s="45" t="str">
        <f t="shared" si="22"/>
        <v>Unlikely</v>
      </c>
      <c r="BG140" s="45"/>
      <c r="BH140" s="45" t="str">
        <f>INDEX(Table5[[#All],[Ovr]],MATCH(Table3[[#This Row],[PID]],Table5[[#All],[PID]],0))</f>
        <v/>
      </c>
      <c r="BI140" s="45" t="str">
        <f>INDEX(Table5[[#All],[Rnd]],MATCH(Table3[[#This Row],[PID]],Table5[[#All],[PID]],0))</f>
        <v/>
      </c>
      <c r="BJ140" s="45" t="str">
        <f>INDEX(Table5[[#All],[Pick]],MATCH(Table3[[#This Row],[PID]],Table5[[#All],[PID]],0))</f>
        <v/>
      </c>
      <c r="BK140" s="45" t="str">
        <f>INDEX(Table5[[#All],[Team]],MATCH(Table3[[#This Row],[PID]],Table5[[#All],[PID]],0))</f>
        <v/>
      </c>
      <c r="BL1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1" spans="1:64" ht="15" customHeight="1" x14ac:dyDescent="0.25">
      <c r="A141" s="40">
        <v>20708</v>
      </c>
      <c r="B141" s="40" t="s">
        <v>415</v>
      </c>
      <c r="C141" s="40" t="s">
        <v>536</v>
      </c>
      <c r="D141" s="40" t="s">
        <v>1860</v>
      </c>
      <c r="E141" s="40">
        <v>18</v>
      </c>
      <c r="F141" s="40" t="s">
        <v>42</v>
      </c>
      <c r="G141" s="40" t="s">
        <v>42</v>
      </c>
      <c r="H141" s="41" t="s">
        <v>647</v>
      </c>
      <c r="I141" s="42" t="s">
        <v>43</v>
      </c>
      <c r="J141" s="40" t="s">
        <v>47</v>
      </c>
      <c r="K141" s="41" t="s">
        <v>43</v>
      </c>
      <c r="L141" s="40">
        <v>2</v>
      </c>
      <c r="M141" s="40">
        <v>2</v>
      </c>
      <c r="N141" s="41">
        <v>1</v>
      </c>
      <c r="O141" s="40">
        <v>6</v>
      </c>
      <c r="P141" s="40">
        <v>2</v>
      </c>
      <c r="Q141" s="41">
        <v>2</v>
      </c>
      <c r="R141" s="40">
        <v>4</v>
      </c>
      <c r="S141" s="40">
        <v>7</v>
      </c>
      <c r="T141" s="40">
        <v>1</v>
      </c>
      <c r="U141" s="40">
        <v>1</v>
      </c>
      <c r="V141" s="40">
        <v>2</v>
      </c>
      <c r="W141" s="40">
        <v>8</v>
      </c>
      <c r="X141" s="40" t="s">
        <v>45</v>
      </c>
      <c r="Y141" s="40" t="s">
        <v>45</v>
      </c>
      <c r="Z141" s="40" t="s">
        <v>45</v>
      </c>
      <c r="AA141" s="40" t="s">
        <v>45</v>
      </c>
      <c r="AB141" s="40" t="s">
        <v>45</v>
      </c>
      <c r="AC141" s="40" t="s">
        <v>45</v>
      </c>
      <c r="AD141" s="40" t="s">
        <v>45</v>
      </c>
      <c r="AE141" s="40" t="s">
        <v>45</v>
      </c>
      <c r="AF141" s="40" t="s">
        <v>45</v>
      </c>
      <c r="AG141" s="40" t="s">
        <v>45</v>
      </c>
      <c r="AH141" s="40" t="s">
        <v>45</v>
      </c>
      <c r="AI141" s="40" t="s">
        <v>45</v>
      </c>
      <c r="AJ141" s="40" t="s">
        <v>45</v>
      </c>
      <c r="AK141" s="40" t="s">
        <v>45</v>
      </c>
      <c r="AL141" s="40" t="s">
        <v>45</v>
      </c>
      <c r="AM141" s="40" t="s">
        <v>45</v>
      </c>
      <c r="AN141" s="40" t="s">
        <v>45</v>
      </c>
      <c r="AO141" s="41" t="s">
        <v>45</v>
      </c>
      <c r="AP141" s="40" t="s">
        <v>56</v>
      </c>
      <c r="AQ141" s="40">
        <v>4</v>
      </c>
      <c r="AR141" s="48" t="s">
        <v>347</v>
      </c>
      <c r="AS141" s="43" t="s">
        <v>644</v>
      </c>
      <c r="AT141" s="43" t="s">
        <v>635</v>
      </c>
      <c r="AU141" s="44">
        <f t="shared" si="17"/>
        <v>-2.311361197028369</v>
      </c>
      <c r="AV141" s="44">
        <f t="shared" si="18"/>
        <v>-0.84478058220049301</v>
      </c>
      <c r="AW141" s="45">
        <f t="shared" si="19"/>
        <v>3</v>
      </c>
      <c r="AX141" s="45">
        <f t="shared" si="20"/>
        <v>2</v>
      </c>
      <c r="AY141" s="46">
        <f>VLOOKUP(AP141,COND!$A$10:$B$32,2,FALSE)</f>
        <v>1</v>
      </c>
      <c r="AZ141" s="44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37.610010310755243</v>
      </c>
      <c r="BA141" s="47">
        <f>STANDARDIZE(AZ141,AVERAGE($AZ$5:$AZ$663),STDEVP($AZ$5:$AZ$663))</f>
        <v>-1.3272912182135889E-2</v>
      </c>
      <c r="BB141" s="45" t="str">
        <f t="shared" si="21"/>
        <v>RP</v>
      </c>
      <c r="BC141" s="45">
        <f>RANK(Table3[[#This Row],[zScore]],Table3[zScore])</f>
        <v>310</v>
      </c>
      <c r="BD141" s="45"/>
      <c r="BE141" s="45"/>
      <c r="BF141" s="45" t="str">
        <f t="shared" si="22"/>
        <v>Unlikely</v>
      </c>
      <c r="BG141" s="45"/>
      <c r="BH141" s="45" t="str">
        <f>INDEX(Table5[[#All],[Ovr]],MATCH(Table3[[#This Row],[PID]],Table5[[#All],[PID]],0))</f>
        <v/>
      </c>
      <c r="BI141" s="45" t="str">
        <f>INDEX(Table5[[#All],[Rnd]],MATCH(Table3[[#This Row],[PID]],Table5[[#All],[PID]],0))</f>
        <v/>
      </c>
      <c r="BJ141" s="45" t="str">
        <f>INDEX(Table5[[#All],[Pick]],MATCH(Table3[[#This Row],[PID]],Table5[[#All],[PID]],0))</f>
        <v/>
      </c>
      <c r="BK141" s="45" t="str">
        <f>INDEX(Table5[[#All],[Team]],MATCH(Table3[[#This Row],[PID]],Table5[[#All],[PID]],0))</f>
        <v/>
      </c>
      <c r="BL1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2" spans="1:64" ht="15" customHeight="1" x14ac:dyDescent="0.25">
      <c r="A142" s="40">
        <v>18168</v>
      </c>
      <c r="B142" s="40" t="s">
        <v>415</v>
      </c>
      <c r="C142" s="40" t="s">
        <v>126</v>
      </c>
      <c r="D142" s="40" t="s">
        <v>662</v>
      </c>
      <c r="E142" s="40">
        <v>21</v>
      </c>
      <c r="F142" s="40" t="s">
        <v>42</v>
      </c>
      <c r="G142" s="40" t="s">
        <v>42</v>
      </c>
      <c r="H142" s="41" t="s">
        <v>647</v>
      </c>
      <c r="I142" s="42" t="s">
        <v>43</v>
      </c>
      <c r="J142" s="40" t="s">
        <v>47</v>
      </c>
      <c r="K142" s="41" t="s">
        <v>43</v>
      </c>
      <c r="L142" s="40">
        <v>3</v>
      </c>
      <c r="M142" s="40">
        <v>2</v>
      </c>
      <c r="N142" s="41">
        <v>1</v>
      </c>
      <c r="O142" s="40">
        <v>5</v>
      </c>
      <c r="P142" s="40">
        <v>3</v>
      </c>
      <c r="Q142" s="41">
        <v>3</v>
      </c>
      <c r="R142" s="40" t="s">
        <v>45</v>
      </c>
      <c r="S142" s="40" t="s">
        <v>45</v>
      </c>
      <c r="T142" s="40">
        <v>1</v>
      </c>
      <c r="U142" s="40">
        <v>1</v>
      </c>
      <c r="V142" s="40" t="s">
        <v>45</v>
      </c>
      <c r="W142" s="40" t="s">
        <v>45</v>
      </c>
      <c r="X142" s="40" t="s">
        <v>45</v>
      </c>
      <c r="Y142" s="40" t="s">
        <v>45</v>
      </c>
      <c r="Z142" s="40">
        <v>4</v>
      </c>
      <c r="AA142" s="40">
        <v>6</v>
      </c>
      <c r="AB142" s="40" t="s">
        <v>45</v>
      </c>
      <c r="AC142" s="40" t="s">
        <v>45</v>
      </c>
      <c r="AD142" s="40">
        <v>3</v>
      </c>
      <c r="AE142" s="40">
        <v>5</v>
      </c>
      <c r="AF142" s="40" t="s">
        <v>45</v>
      </c>
      <c r="AG142" s="40" t="s">
        <v>45</v>
      </c>
      <c r="AH142" s="40" t="s">
        <v>45</v>
      </c>
      <c r="AI142" s="40" t="s">
        <v>45</v>
      </c>
      <c r="AJ142" s="40" t="s">
        <v>45</v>
      </c>
      <c r="AK142" s="40" t="s">
        <v>45</v>
      </c>
      <c r="AL142" s="40" t="s">
        <v>45</v>
      </c>
      <c r="AM142" s="40" t="s">
        <v>45</v>
      </c>
      <c r="AN142" s="40" t="s">
        <v>45</v>
      </c>
      <c r="AO142" s="41" t="s">
        <v>45</v>
      </c>
      <c r="AP142" s="40" t="s">
        <v>57</v>
      </c>
      <c r="AQ142" s="40">
        <v>7</v>
      </c>
      <c r="AR142" s="48" t="s">
        <v>347</v>
      </c>
      <c r="AS142" s="43" t="s">
        <v>45</v>
      </c>
      <c r="AT142" s="43" t="s">
        <v>635</v>
      </c>
      <c r="AU142" s="44">
        <f t="shared" si="17"/>
        <v>-2.1166698725191955</v>
      </c>
      <c r="AV142" s="44">
        <f t="shared" si="18"/>
        <v>-0.60171962422550074</v>
      </c>
      <c r="AW142" s="45">
        <f t="shared" si="19"/>
        <v>3</v>
      </c>
      <c r="AX142" s="45">
        <f t="shared" si="20"/>
        <v>1</v>
      </c>
      <c r="AY142" s="46">
        <f>VLOOKUP(AP142,COND!$A$10:$B$32,2,FALSE)</f>
        <v>1</v>
      </c>
      <c r="AZ142" s="44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37.592273540986149</v>
      </c>
      <c r="BA142" s="47">
        <f>STANDARDIZE(AZ142,AVERAGE($AZ$5:$AZ$663),STDEVP($AZ$5:$AZ$663))</f>
        <v>-1.4487875692654981E-2</v>
      </c>
      <c r="BB142" s="45" t="str">
        <f t="shared" si="21"/>
        <v>SP</v>
      </c>
      <c r="BC142" s="45">
        <f>RANK(Table3[[#This Row],[zScore]],Table3[zScore])</f>
        <v>313</v>
      </c>
      <c r="BD142" s="45"/>
      <c r="BE142" s="45"/>
      <c r="BF142" s="45" t="str">
        <f t="shared" si="22"/>
        <v>Unlikely</v>
      </c>
      <c r="BG142" s="45"/>
      <c r="BH142" s="45" t="str">
        <f>INDEX(Table5[[#All],[Ovr]],MATCH(Table3[[#This Row],[PID]],Table5[[#All],[PID]],0))</f>
        <v/>
      </c>
      <c r="BI142" s="45" t="str">
        <f>INDEX(Table5[[#All],[Rnd]],MATCH(Table3[[#This Row],[PID]],Table5[[#All],[PID]],0))</f>
        <v/>
      </c>
      <c r="BJ142" s="45" t="str">
        <f>INDEX(Table5[[#All],[Pick]],MATCH(Table3[[#This Row],[PID]],Table5[[#All],[PID]],0))</f>
        <v/>
      </c>
      <c r="BK142" s="45" t="str">
        <f>INDEX(Table5[[#All],[Team]],MATCH(Table3[[#This Row],[PID]],Table5[[#All],[PID]],0))</f>
        <v/>
      </c>
      <c r="BL1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3" spans="1:64" ht="15" customHeight="1" x14ac:dyDescent="0.25">
      <c r="A143" s="40">
        <v>20359</v>
      </c>
      <c r="B143" s="40" t="s">
        <v>415</v>
      </c>
      <c r="C143" s="40" t="s">
        <v>127</v>
      </c>
      <c r="D143" s="40" t="s">
        <v>1881</v>
      </c>
      <c r="E143" s="40">
        <v>17</v>
      </c>
      <c r="F143" s="40" t="s">
        <v>42</v>
      </c>
      <c r="G143" s="40" t="s">
        <v>42</v>
      </c>
      <c r="H143" s="41" t="s">
        <v>638</v>
      </c>
      <c r="I143" s="42" t="s">
        <v>44</v>
      </c>
      <c r="J143" s="40" t="s">
        <v>44</v>
      </c>
      <c r="K143" s="41" t="s">
        <v>43</v>
      </c>
      <c r="L143" s="40">
        <v>2</v>
      </c>
      <c r="M143" s="40">
        <v>2</v>
      </c>
      <c r="N143" s="41">
        <v>1</v>
      </c>
      <c r="O143" s="40">
        <v>5</v>
      </c>
      <c r="P143" s="40">
        <v>2</v>
      </c>
      <c r="Q143" s="41">
        <v>4</v>
      </c>
      <c r="R143" s="40">
        <v>4</v>
      </c>
      <c r="S143" s="40">
        <v>5</v>
      </c>
      <c r="T143" s="40">
        <v>3</v>
      </c>
      <c r="U143" s="40">
        <v>7</v>
      </c>
      <c r="V143" s="40" t="s">
        <v>45</v>
      </c>
      <c r="W143" s="40" t="s">
        <v>45</v>
      </c>
      <c r="X143" s="40" t="s">
        <v>45</v>
      </c>
      <c r="Y143" s="40" t="s">
        <v>45</v>
      </c>
      <c r="Z143" s="40" t="s">
        <v>45</v>
      </c>
      <c r="AA143" s="40" t="s">
        <v>45</v>
      </c>
      <c r="AB143" s="40" t="s">
        <v>45</v>
      </c>
      <c r="AC143" s="40" t="s">
        <v>45</v>
      </c>
      <c r="AD143" s="40" t="s">
        <v>45</v>
      </c>
      <c r="AE143" s="40" t="s">
        <v>45</v>
      </c>
      <c r="AF143" s="40" t="s">
        <v>45</v>
      </c>
      <c r="AG143" s="40" t="s">
        <v>45</v>
      </c>
      <c r="AH143" s="40" t="s">
        <v>45</v>
      </c>
      <c r="AI143" s="40" t="s">
        <v>45</v>
      </c>
      <c r="AJ143" s="40" t="s">
        <v>45</v>
      </c>
      <c r="AK143" s="40" t="s">
        <v>45</v>
      </c>
      <c r="AL143" s="40" t="s">
        <v>45</v>
      </c>
      <c r="AM143" s="40" t="s">
        <v>45</v>
      </c>
      <c r="AN143" s="40" t="s">
        <v>45</v>
      </c>
      <c r="AO143" s="41" t="s">
        <v>45</v>
      </c>
      <c r="AP143" s="40" t="s">
        <v>349</v>
      </c>
      <c r="AQ143" s="40">
        <v>4</v>
      </c>
      <c r="AR143" s="48" t="s">
        <v>347</v>
      </c>
      <c r="AS143" s="43" t="s">
        <v>644</v>
      </c>
      <c r="AT143" s="43" t="s">
        <v>47</v>
      </c>
      <c r="AU143" s="44">
        <f t="shared" si="17"/>
        <v>-2.311361197028369</v>
      </c>
      <c r="AV143" s="44">
        <f t="shared" si="18"/>
        <v>-0.55483077460144581</v>
      </c>
      <c r="AW143" s="45">
        <f t="shared" si="19"/>
        <v>2</v>
      </c>
      <c r="AX143" s="45">
        <f t="shared" si="20"/>
        <v>1</v>
      </c>
      <c r="AY143" s="46">
        <f>VLOOKUP(AP143,COND!$A$10:$B$32,2,FALSE)</f>
        <v>1</v>
      </c>
      <c r="AZ143" s="44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35.706556655137135</v>
      </c>
      <c r="BA143" s="47">
        <f>STANDARDIZE(AZ143,AVERAGE($AZ$5:$AZ$557),STDEVP($AZ$5:$AZ$557))</f>
        <v>-1.0908632811504433E-2</v>
      </c>
      <c r="BB143" s="45" t="str">
        <f t="shared" si="21"/>
        <v>RP</v>
      </c>
      <c r="BC143" s="45">
        <f>RANK(Table3[[#This Row],[zScore]],Table3[zScore])</f>
        <v>309</v>
      </c>
      <c r="BD143" s="45"/>
      <c r="BE143" s="45"/>
      <c r="BF143" s="45" t="str">
        <f t="shared" si="22"/>
        <v>Unlikely</v>
      </c>
      <c r="BG143" s="45"/>
      <c r="BH143" s="45" t="str">
        <f>INDEX(Table5[[#All],[Ovr]],MATCH(Table3[[#This Row],[PID]],Table5[[#All],[PID]],0))</f>
        <v/>
      </c>
      <c r="BI143" s="45" t="str">
        <f>INDEX(Table5[[#All],[Rnd]],MATCH(Table3[[#This Row],[PID]],Table5[[#All],[PID]],0))</f>
        <v/>
      </c>
      <c r="BJ143" s="45" t="str">
        <f>INDEX(Table5[[#All],[Pick]],MATCH(Table3[[#This Row],[PID]],Table5[[#All],[PID]],0))</f>
        <v/>
      </c>
      <c r="BK143" s="45" t="str">
        <f>INDEX(Table5[[#All],[Team]],MATCH(Table3[[#This Row],[PID]],Table5[[#All],[PID]],0))</f>
        <v/>
      </c>
      <c r="BL1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4" spans="1:64" ht="15" customHeight="1" x14ac:dyDescent="0.25">
      <c r="A144" s="40">
        <v>20675</v>
      </c>
      <c r="B144" s="40" t="s">
        <v>415</v>
      </c>
      <c r="C144" s="40" t="s">
        <v>2052</v>
      </c>
      <c r="D144" s="40" t="s">
        <v>2053</v>
      </c>
      <c r="E144" s="40">
        <v>18</v>
      </c>
      <c r="F144" s="40" t="s">
        <v>53</v>
      </c>
      <c r="G144" s="40" t="s">
        <v>53</v>
      </c>
      <c r="H144" s="41" t="s">
        <v>647</v>
      </c>
      <c r="I144" s="42" t="s">
        <v>43</v>
      </c>
      <c r="J144" s="40" t="s">
        <v>43</v>
      </c>
      <c r="K144" s="41" t="s">
        <v>43</v>
      </c>
      <c r="L144" s="40">
        <v>2</v>
      </c>
      <c r="M144" s="40">
        <v>1</v>
      </c>
      <c r="N144" s="41">
        <v>1</v>
      </c>
      <c r="O144" s="40">
        <v>5</v>
      </c>
      <c r="P144" s="40">
        <v>1</v>
      </c>
      <c r="Q144" s="41">
        <v>3</v>
      </c>
      <c r="R144" s="40">
        <v>4</v>
      </c>
      <c r="S144" s="40">
        <v>6</v>
      </c>
      <c r="T144" s="40">
        <v>1</v>
      </c>
      <c r="U144" s="40">
        <v>1</v>
      </c>
      <c r="V144" s="40">
        <v>3</v>
      </c>
      <c r="W144" s="40">
        <v>6</v>
      </c>
      <c r="X144" s="40" t="s">
        <v>45</v>
      </c>
      <c r="Y144" s="40" t="s">
        <v>45</v>
      </c>
      <c r="Z144" s="40" t="s">
        <v>45</v>
      </c>
      <c r="AA144" s="40" t="s">
        <v>45</v>
      </c>
      <c r="AB144" s="40" t="s">
        <v>45</v>
      </c>
      <c r="AC144" s="40" t="s">
        <v>45</v>
      </c>
      <c r="AD144" s="40" t="s">
        <v>45</v>
      </c>
      <c r="AE144" s="40" t="s">
        <v>45</v>
      </c>
      <c r="AF144" s="40" t="s">
        <v>45</v>
      </c>
      <c r="AG144" s="40" t="s">
        <v>45</v>
      </c>
      <c r="AH144" s="40" t="s">
        <v>45</v>
      </c>
      <c r="AI144" s="40" t="s">
        <v>45</v>
      </c>
      <c r="AJ144" s="40" t="s">
        <v>45</v>
      </c>
      <c r="AK144" s="40" t="s">
        <v>45</v>
      </c>
      <c r="AL144" s="40" t="s">
        <v>45</v>
      </c>
      <c r="AM144" s="40" t="s">
        <v>45</v>
      </c>
      <c r="AN144" s="40" t="s">
        <v>45</v>
      </c>
      <c r="AO144" s="41" t="s">
        <v>45</v>
      </c>
      <c r="AP144" s="40" t="s">
        <v>349</v>
      </c>
      <c r="AQ144" s="40">
        <v>9</v>
      </c>
      <c r="AR144" s="48" t="s">
        <v>347</v>
      </c>
      <c r="AS144" s="43" t="s">
        <v>659</v>
      </c>
      <c r="AT144" s="43" t="s">
        <v>635</v>
      </c>
      <c r="AU144" s="44">
        <f t="shared" si="17"/>
        <v>-2.5067929134584248</v>
      </c>
      <c r="AV144" s="44">
        <f t="shared" si="18"/>
        <v>-0.99258305708561179</v>
      </c>
      <c r="AW144" s="45">
        <f t="shared" si="19"/>
        <v>3</v>
      </c>
      <c r="AX144" s="45">
        <f t="shared" si="20"/>
        <v>2</v>
      </c>
      <c r="AY144" s="46">
        <f>VLOOKUP(AP144,COND!$A$10:$B$32,2,FALSE)</f>
        <v>1</v>
      </c>
      <c r="AZ144" s="44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35.646980275596079</v>
      </c>
      <c r="BA144" s="47">
        <f>STANDARDIZE(AZ144,AVERAGE($AZ$5:$AZ$557),STDEVP($AZ$5:$AZ$557))</f>
        <v>-1.4872158303178543E-2</v>
      </c>
      <c r="BB144" s="45" t="str">
        <f t="shared" si="21"/>
        <v>SP</v>
      </c>
      <c r="BC144" s="45">
        <f>RANK(Table3[[#This Row],[zScore]],Table3[zScore])</f>
        <v>314</v>
      </c>
      <c r="BD144" s="45"/>
      <c r="BE144" s="45"/>
      <c r="BF144" s="45" t="str">
        <f t="shared" si="22"/>
        <v>Unlikely</v>
      </c>
      <c r="BG144" s="45"/>
      <c r="BH144" s="45">
        <f>INDEX(Table5[[#All],[Ovr]],MATCH(Table3[[#This Row],[PID]],Table5[[#All],[PID]],0))</f>
        <v>601</v>
      </c>
      <c r="BI144" s="45" t="str">
        <f>INDEX(Table5[[#All],[Rnd]],MATCH(Table3[[#This Row],[PID]],Table5[[#All],[PID]],0))</f>
        <v>20</v>
      </c>
      <c r="BJ144" s="45">
        <f>INDEX(Table5[[#All],[Pick]],MATCH(Table3[[#This Row],[PID]],Table5[[#All],[PID]],0))</f>
        <v>23</v>
      </c>
      <c r="BK144" s="45" t="str">
        <f>INDEX(Table5[[#All],[Team]],MATCH(Table3[[#This Row],[PID]],Table5[[#All],[PID]],0))</f>
        <v>Shin Seiki Evas</v>
      </c>
      <c r="BL1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5" spans="1:64" ht="15" customHeight="1" x14ac:dyDescent="0.25">
      <c r="A145" s="40">
        <v>14408</v>
      </c>
      <c r="B145" s="40" t="s">
        <v>415</v>
      </c>
      <c r="C145" s="40" t="s">
        <v>2150</v>
      </c>
      <c r="D145" s="40" t="s">
        <v>910</v>
      </c>
      <c r="E145" s="40">
        <v>18</v>
      </c>
      <c r="F145" s="40" t="s">
        <v>42</v>
      </c>
      <c r="G145" s="40" t="s">
        <v>42</v>
      </c>
      <c r="H145" s="41" t="s">
        <v>647</v>
      </c>
      <c r="I145" s="42" t="s">
        <v>43</v>
      </c>
      <c r="J145" s="40" t="s">
        <v>44</v>
      </c>
      <c r="K145" s="41" t="s">
        <v>43</v>
      </c>
      <c r="L145" s="40">
        <v>2</v>
      </c>
      <c r="M145" s="40">
        <v>2</v>
      </c>
      <c r="N145" s="41">
        <v>1</v>
      </c>
      <c r="O145" s="40">
        <v>4</v>
      </c>
      <c r="P145" s="40">
        <v>2</v>
      </c>
      <c r="Q145" s="41">
        <v>3</v>
      </c>
      <c r="R145" s="40">
        <v>3</v>
      </c>
      <c r="S145" s="40">
        <v>4</v>
      </c>
      <c r="T145" s="40">
        <v>1</v>
      </c>
      <c r="U145" s="40">
        <v>1</v>
      </c>
      <c r="V145" s="40">
        <v>2</v>
      </c>
      <c r="W145" s="40">
        <v>6</v>
      </c>
      <c r="X145" s="40" t="s">
        <v>45</v>
      </c>
      <c r="Y145" s="40" t="s">
        <v>45</v>
      </c>
      <c r="Z145" s="40" t="s">
        <v>45</v>
      </c>
      <c r="AA145" s="40" t="s">
        <v>45</v>
      </c>
      <c r="AB145" s="40" t="s">
        <v>45</v>
      </c>
      <c r="AC145" s="40" t="s">
        <v>45</v>
      </c>
      <c r="AD145" s="40" t="s">
        <v>45</v>
      </c>
      <c r="AE145" s="40" t="s">
        <v>45</v>
      </c>
      <c r="AF145" s="40" t="s">
        <v>45</v>
      </c>
      <c r="AG145" s="40" t="s">
        <v>45</v>
      </c>
      <c r="AH145" s="40" t="s">
        <v>45</v>
      </c>
      <c r="AI145" s="40" t="s">
        <v>45</v>
      </c>
      <c r="AJ145" s="40" t="s">
        <v>45</v>
      </c>
      <c r="AK145" s="40" t="s">
        <v>45</v>
      </c>
      <c r="AL145" s="40" t="s">
        <v>45</v>
      </c>
      <c r="AM145" s="40" t="s">
        <v>45</v>
      </c>
      <c r="AN145" s="40" t="s">
        <v>45</v>
      </c>
      <c r="AO145" s="41" t="s">
        <v>45</v>
      </c>
      <c r="AP145" s="40" t="s">
        <v>65</v>
      </c>
      <c r="AQ145" s="40">
        <v>5</v>
      </c>
      <c r="AR145" s="48" t="s">
        <v>347</v>
      </c>
      <c r="AS145" s="43" t="s">
        <v>663</v>
      </c>
      <c r="AT145" s="43" t="s">
        <v>635</v>
      </c>
      <c r="AU145" s="44">
        <f t="shared" si="17"/>
        <v>-2.311361197028369</v>
      </c>
      <c r="AV145" s="44">
        <f t="shared" si="18"/>
        <v>-0.99184266516472974</v>
      </c>
      <c r="AW145" s="45">
        <f t="shared" si="19"/>
        <v>3</v>
      </c>
      <c r="AX145" s="45">
        <f t="shared" si="20"/>
        <v>1</v>
      </c>
      <c r="AY145" s="46">
        <f>VLOOKUP(AP145,COND!$A$10:$B$32,2,FALSE)</f>
        <v>0.95</v>
      </c>
      <c r="AZ145" s="44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35.445122466073876</v>
      </c>
      <c r="BA145" s="47">
        <f>STANDARDIZE(AZ145,AVERAGE($AZ$5:$AZ$557),STDEVP($AZ$5:$AZ$557))</f>
        <v>-2.8301449909987095E-2</v>
      </c>
      <c r="BB145" s="45" t="str">
        <f t="shared" si="21"/>
        <v>SP</v>
      </c>
      <c r="BC145" s="45">
        <f>RANK(Table3[[#This Row],[zScore]],Table3[zScore])</f>
        <v>317</v>
      </c>
      <c r="BD145" s="45"/>
      <c r="BE145" s="45"/>
      <c r="BF145" s="45" t="str">
        <f t="shared" si="22"/>
        <v>Unlikely</v>
      </c>
      <c r="BG145" s="45"/>
      <c r="BH145" s="45" t="str">
        <f>INDEX(Table5[[#All],[Ovr]],MATCH(Table3[[#This Row],[PID]],Table5[[#All],[PID]],0))</f>
        <v/>
      </c>
      <c r="BI145" s="45" t="str">
        <f>INDEX(Table5[[#All],[Rnd]],MATCH(Table3[[#This Row],[PID]],Table5[[#All],[PID]],0))</f>
        <v/>
      </c>
      <c r="BJ145" s="45" t="str">
        <f>INDEX(Table5[[#All],[Pick]],MATCH(Table3[[#This Row],[PID]],Table5[[#All],[PID]],0))</f>
        <v/>
      </c>
      <c r="BK145" s="45" t="str">
        <f>INDEX(Table5[[#All],[Team]],MATCH(Table3[[#This Row],[PID]],Table5[[#All],[PID]],0))</f>
        <v/>
      </c>
      <c r="BL1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6" spans="1:64" ht="15" customHeight="1" x14ac:dyDescent="0.25">
      <c r="A146" s="40">
        <v>17627</v>
      </c>
      <c r="B146" s="40" t="s">
        <v>415</v>
      </c>
      <c r="C146" s="40" t="s">
        <v>205</v>
      </c>
      <c r="D146" s="40" t="s">
        <v>699</v>
      </c>
      <c r="E146" s="40">
        <v>18</v>
      </c>
      <c r="F146" s="40" t="s">
        <v>42</v>
      </c>
      <c r="G146" s="40" t="s">
        <v>42</v>
      </c>
      <c r="H146" s="41" t="s">
        <v>647</v>
      </c>
      <c r="I146" s="42" t="s">
        <v>43</v>
      </c>
      <c r="J146" s="40" t="s">
        <v>44</v>
      </c>
      <c r="K146" s="41" t="s">
        <v>43</v>
      </c>
      <c r="L146" s="40">
        <v>1</v>
      </c>
      <c r="M146" s="40">
        <v>1</v>
      </c>
      <c r="N146" s="41">
        <v>1</v>
      </c>
      <c r="O146" s="40">
        <v>4</v>
      </c>
      <c r="P146" s="40">
        <v>1</v>
      </c>
      <c r="Q146" s="41">
        <v>4</v>
      </c>
      <c r="R146" s="40">
        <v>3</v>
      </c>
      <c r="S146" s="40">
        <v>4</v>
      </c>
      <c r="T146" s="40">
        <v>1</v>
      </c>
      <c r="U146" s="40">
        <v>5</v>
      </c>
      <c r="V146" s="40" t="s">
        <v>45</v>
      </c>
      <c r="W146" s="40" t="s">
        <v>45</v>
      </c>
      <c r="X146" s="40">
        <v>2</v>
      </c>
      <c r="Y146" s="40">
        <v>6</v>
      </c>
      <c r="Z146" s="40" t="s">
        <v>45</v>
      </c>
      <c r="AA146" s="40" t="s">
        <v>45</v>
      </c>
      <c r="AB146" s="40" t="s">
        <v>45</v>
      </c>
      <c r="AC146" s="40" t="s">
        <v>45</v>
      </c>
      <c r="AD146" s="40" t="s">
        <v>45</v>
      </c>
      <c r="AE146" s="40" t="s">
        <v>45</v>
      </c>
      <c r="AF146" s="40" t="s">
        <v>45</v>
      </c>
      <c r="AG146" s="40" t="s">
        <v>45</v>
      </c>
      <c r="AH146" s="40" t="s">
        <v>45</v>
      </c>
      <c r="AI146" s="40" t="s">
        <v>45</v>
      </c>
      <c r="AJ146" s="40" t="s">
        <v>45</v>
      </c>
      <c r="AK146" s="40" t="s">
        <v>45</v>
      </c>
      <c r="AL146" s="40" t="s">
        <v>45</v>
      </c>
      <c r="AM146" s="40" t="s">
        <v>45</v>
      </c>
      <c r="AN146" s="40" t="s">
        <v>45</v>
      </c>
      <c r="AO146" s="41" t="s">
        <v>45</v>
      </c>
      <c r="AP146" s="40" t="s">
        <v>64</v>
      </c>
      <c r="AQ146" s="40">
        <v>6</v>
      </c>
      <c r="AR146" s="48" t="s">
        <v>14</v>
      </c>
      <c r="AS146" s="43" t="s">
        <v>563</v>
      </c>
      <c r="AT146" s="43" t="s">
        <v>47</v>
      </c>
      <c r="AU146" s="44">
        <f t="shared" si="17"/>
        <v>-2.7014842379675978</v>
      </c>
      <c r="AV146" s="44">
        <f t="shared" si="18"/>
        <v>-0.94495381554067481</v>
      </c>
      <c r="AW146" s="45">
        <f t="shared" si="19"/>
        <v>3</v>
      </c>
      <c r="AX146" s="45">
        <f t="shared" si="20"/>
        <v>1</v>
      </c>
      <c r="AY146" s="46">
        <f>VLOOKUP(AP146,COND!$A$10:$B$32,2,FALSE)</f>
        <v>1</v>
      </c>
      <c r="AZ146" s="44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35.427861170553157</v>
      </c>
      <c r="BA146" s="47">
        <f>STANDARDIZE(AZ146,AVERAGE($AZ$5:$AZ$557),STDEVP($AZ$5:$AZ$557))</f>
        <v>-2.9449817523842188E-2</v>
      </c>
      <c r="BB146" s="45" t="str">
        <f t="shared" si="21"/>
        <v>SP</v>
      </c>
      <c r="BC146" s="45">
        <f>RANK(Table3[[#This Row],[zScore]],Table3[zScore])</f>
        <v>318</v>
      </c>
      <c r="BD146" s="45"/>
      <c r="BE146" s="45"/>
      <c r="BF146" s="45" t="str">
        <f t="shared" si="22"/>
        <v>Unlikely</v>
      </c>
      <c r="BG146" s="45"/>
      <c r="BH146" s="45" t="str">
        <f>INDEX(Table5[[#All],[Ovr]],MATCH(Table3[[#This Row],[PID]],Table5[[#All],[PID]],0))</f>
        <v/>
      </c>
      <c r="BI146" s="45" t="str">
        <f>INDEX(Table5[[#All],[Rnd]],MATCH(Table3[[#This Row],[PID]],Table5[[#All],[PID]],0))</f>
        <v/>
      </c>
      <c r="BJ146" s="45" t="str">
        <f>INDEX(Table5[[#All],[Pick]],MATCH(Table3[[#This Row],[PID]],Table5[[#All],[PID]],0))</f>
        <v/>
      </c>
      <c r="BK146" s="45" t="str">
        <f>INDEX(Table5[[#All],[Team]],MATCH(Table3[[#This Row],[PID]],Table5[[#All],[PID]],0))</f>
        <v/>
      </c>
      <c r="BL14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7" spans="1:64" ht="15" customHeight="1" x14ac:dyDescent="0.25">
      <c r="A147" s="40">
        <v>17821</v>
      </c>
      <c r="B147" s="40" t="s">
        <v>415</v>
      </c>
      <c r="C147" s="40" t="s">
        <v>545</v>
      </c>
      <c r="D147" s="40" t="s">
        <v>2139</v>
      </c>
      <c r="E147" s="40">
        <v>18</v>
      </c>
      <c r="F147" s="40" t="s">
        <v>53</v>
      </c>
      <c r="G147" s="40" t="s">
        <v>53</v>
      </c>
      <c r="H147" s="41" t="s">
        <v>647</v>
      </c>
      <c r="I147" s="42" t="s">
        <v>43</v>
      </c>
      <c r="J147" s="40" t="s">
        <v>43</v>
      </c>
      <c r="K147" s="41" t="s">
        <v>43</v>
      </c>
      <c r="L147" s="40">
        <v>1</v>
      </c>
      <c r="M147" s="40">
        <v>2</v>
      </c>
      <c r="N147" s="41">
        <v>1</v>
      </c>
      <c r="O147" s="40">
        <v>4</v>
      </c>
      <c r="P147" s="40">
        <v>2</v>
      </c>
      <c r="Q147" s="41">
        <v>3</v>
      </c>
      <c r="R147" s="40" t="s">
        <v>45</v>
      </c>
      <c r="S147" s="40" t="s">
        <v>45</v>
      </c>
      <c r="T147" s="40">
        <v>1</v>
      </c>
      <c r="U147" s="40">
        <v>7</v>
      </c>
      <c r="V147" s="40">
        <v>1</v>
      </c>
      <c r="W147" s="40">
        <v>6</v>
      </c>
      <c r="X147" s="40" t="s">
        <v>45</v>
      </c>
      <c r="Y147" s="40" t="s">
        <v>45</v>
      </c>
      <c r="Z147" s="40" t="s">
        <v>45</v>
      </c>
      <c r="AA147" s="40" t="s">
        <v>45</v>
      </c>
      <c r="AB147" s="40" t="s">
        <v>45</v>
      </c>
      <c r="AC147" s="40" t="s">
        <v>45</v>
      </c>
      <c r="AD147" s="40">
        <v>2</v>
      </c>
      <c r="AE147" s="40">
        <v>4</v>
      </c>
      <c r="AF147" s="40" t="s">
        <v>45</v>
      </c>
      <c r="AG147" s="40" t="s">
        <v>45</v>
      </c>
      <c r="AH147" s="40" t="s">
        <v>45</v>
      </c>
      <c r="AI147" s="40" t="s">
        <v>45</v>
      </c>
      <c r="AJ147" s="40" t="s">
        <v>45</v>
      </c>
      <c r="AK147" s="40" t="s">
        <v>45</v>
      </c>
      <c r="AL147" s="40" t="s">
        <v>45</v>
      </c>
      <c r="AM147" s="40" t="s">
        <v>45</v>
      </c>
      <c r="AN147" s="40" t="s">
        <v>45</v>
      </c>
      <c r="AO147" s="41" t="s">
        <v>45</v>
      </c>
      <c r="AP147" s="40" t="s">
        <v>67</v>
      </c>
      <c r="AQ147" s="40">
        <v>7</v>
      </c>
      <c r="AR147" s="48" t="s">
        <v>347</v>
      </c>
      <c r="AS147" s="43" t="s">
        <v>659</v>
      </c>
      <c r="AT147" s="43" t="s">
        <v>47</v>
      </c>
      <c r="AU147" s="44">
        <f t="shared" si="17"/>
        <v>-2.5060525215375429</v>
      </c>
      <c r="AV147" s="44">
        <f t="shared" si="18"/>
        <v>-0.99184266516472974</v>
      </c>
      <c r="AW147" s="45">
        <f t="shared" si="19"/>
        <v>3</v>
      </c>
      <c r="AX147" s="45">
        <f t="shared" si="20"/>
        <v>2</v>
      </c>
      <c r="AY147" s="46">
        <f>VLOOKUP(AP147,COND!$A$10:$B$32,2,FALSE)</f>
        <v>0.9</v>
      </c>
      <c r="AZ147" s="44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37.295742573158108</v>
      </c>
      <c r="BA147" s="47">
        <f>STANDARDIZE(AZ147,AVERAGE($AZ$5:$AZ$663),STDEVP($AZ$5:$AZ$663))</f>
        <v>-3.4800159741002465E-2</v>
      </c>
      <c r="BB147" s="45" t="str">
        <f t="shared" si="21"/>
        <v>SP</v>
      </c>
      <c r="BC147" s="45">
        <f>RANK(Table3[[#This Row],[zScore]],Table3[zScore])</f>
        <v>319</v>
      </c>
      <c r="BD147" s="45"/>
      <c r="BE147" s="45"/>
      <c r="BF147" s="45" t="str">
        <f t="shared" si="22"/>
        <v>Unlikely</v>
      </c>
      <c r="BG147" s="45"/>
      <c r="BH147" s="45" t="str">
        <f>INDEX(Table5[[#All],[Ovr]],MATCH(Table3[[#This Row],[PID]],Table5[[#All],[PID]],0))</f>
        <v/>
      </c>
      <c r="BI147" s="45" t="str">
        <f>INDEX(Table5[[#All],[Rnd]],MATCH(Table3[[#This Row],[PID]],Table5[[#All],[PID]],0))</f>
        <v/>
      </c>
      <c r="BJ147" s="45" t="str">
        <f>INDEX(Table5[[#All],[Pick]],MATCH(Table3[[#This Row],[PID]],Table5[[#All],[PID]],0))</f>
        <v/>
      </c>
      <c r="BK147" s="45" t="str">
        <f>INDEX(Table5[[#All],[Team]],MATCH(Table3[[#This Row],[PID]],Table5[[#All],[PID]],0))</f>
        <v/>
      </c>
      <c r="BL14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8" spans="1:64" ht="15" customHeight="1" x14ac:dyDescent="0.25">
      <c r="A148" s="40">
        <v>18174</v>
      </c>
      <c r="B148" s="40" t="s">
        <v>415</v>
      </c>
      <c r="C148" s="40" t="s">
        <v>2089</v>
      </c>
      <c r="D148" s="40" t="s">
        <v>1732</v>
      </c>
      <c r="E148" s="40">
        <v>18</v>
      </c>
      <c r="F148" s="40" t="s">
        <v>42</v>
      </c>
      <c r="G148" s="40" t="s">
        <v>42</v>
      </c>
      <c r="H148" s="41" t="s">
        <v>647</v>
      </c>
      <c r="I148" s="42" t="s">
        <v>43</v>
      </c>
      <c r="J148" s="40" t="s">
        <v>43</v>
      </c>
      <c r="K148" s="41" t="s">
        <v>47</v>
      </c>
      <c r="L148" s="40">
        <v>1</v>
      </c>
      <c r="M148" s="40">
        <v>2</v>
      </c>
      <c r="N148" s="41">
        <v>1</v>
      </c>
      <c r="O148" s="40">
        <v>3</v>
      </c>
      <c r="P148" s="40">
        <v>2</v>
      </c>
      <c r="Q148" s="41">
        <v>4</v>
      </c>
      <c r="R148" s="40">
        <v>2</v>
      </c>
      <c r="S148" s="40">
        <v>4</v>
      </c>
      <c r="T148" s="40" t="s">
        <v>45</v>
      </c>
      <c r="U148" s="40" t="s">
        <v>45</v>
      </c>
      <c r="V148" s="40">
        <v>1</v>
      </c>
      <c r="W148" s="40">
        <v>4</v>
      </c>
      <c r="X148" s="40">
        <v>1</v>
      </c>
      <c r="Y148" s="40">
        <v>3</v>
      </c>
      <c r="Z148" s="40" t="s">
        <v>45</v>
      </c>
      <c r="AA148" s="40" t="s">
        <v>45</v>
      </c>
      <c r="AB148" s="40" t="s">
        <v>45</v>
      </c>
      <c r="AC148" s="40" t="s">
        <v>45</v>
      </c>
      <c r="AD148" s="40" t="s">
        <v>45</v>
      </c>
      <c r="AE148" s="40" t="s">
        <v>45</v>
      </c>
      <c r="AF148" s="40" t="s">
        <v>45</v>
      </c>
      <c r="AG148" s="40" t="s">
        <v>45</v>
      </c>
      <c r="AH148" s="40" t="s">
        <v>45</v>
      </c>
      <c r="AI148" s="40" t="s">
        <v>45</v>
      </c>
      <c r="AJ148" s="40" t="s">
        <v>45</v>
      </c>
      <c r="AK148" s="40" t="s">
        <v>45</v>
      </c>
      <c r="AL148" s="40" t="s">
        <v>45</v>
      </c>
      <c r="AM148" s="40" t="s">
        <v>45</v>
      </c>
      <c r="AN148" s="40" t="s">
        <v>45</v>
      </c>
      <c r="AO148" s="41" t="s">
        <v>45</v>
      </c>
      <c r="AP148" s="40" t="s">
        <v>65</v>
      </c>
      <c r="AQ148" s="40">
        <v>7</v>
      </c>
      <c r="AR148" s="48" t="s">
        <v>347</v>
      </c>
      <c r="AS148" s="43" t="s">
        <v>644</v>
      </c>
      <c r="AT148" s="43" t="s">
        <v>47</v>
      </c>
      <c r="AU148" s="44">
        <f t="shared" si="17"/>
        <v>-2.5060525215375429</v>
      </c>
      <c r="AV148" s="44">
        <f t="shared" si="18"/>
        <v>-0.94421342361979277</v>
      </c>
      <c r="AW148" s="45">
        <f t="shared" si="19"/>
        <v>3</v>
      </c>
      <c r="AX148" s="45">
        <f t="shared" si="20"/>
        <v>0</v>
      </c>
      <c r="AY148" s="46">
        <f>VLOOKUP(AP148,COND!$A$10:$B$32,2,FALSE)</f>
        <v>0.95</v>
      </c>
      <c r="AZ148" s="44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35.308794972131807</v>
      </c>
      <c r="BA148" s="47">
        <f>STANDARDIZE(AZ148,AVERAGE($AZ$5:$AZ$557),STDEVP($AZ$5:$AZ$557))</f>
        <v>-3.7371109758704037E-2</v>
      </c>
      <c r="BB148" s="45" t="str">
        <f t="shared" si="21"/>
        <v>SP</v>
      </c>
      <c r="BC148" s="45">
        <f>RANK(Table3[[#This Row],[zScore]],Table3[zScore])</f>
        <v>320</v>
      </c>
      <c r="BD148" s="45"/>
      <c r="BE148" s="45"/>
      <c r="BF148" s="45" t="str">
        <f t="shared" si="22"/>
        <v>Unlikely</v>
      </c>
      <c r="BG148" s="45"/>
      <c r="BH148" s="45" t="str">
        <f>INDEX(Table5[[#All],[Ovr]],MATCH(Table3[[#This Row],[PID]],Table5[[#All],[PID]],0))</f>
        <v/>
      </c>
      <c r="BI148" s="45" t="str">
        <f>INDEX(Table5[[#All],[Rnd]],MATCH(Table3[[#This Row],[PID]],Table5[[#All],[PID]],0))</f>
        <v/>
      </c>
      <c r="BJ148" s="45" t="str">
        <f>INDEX(Table5[[#All],[Pick]],MATCH(Table3[[#This Row],[PID]],Table5[[#All],[PID]],0))</f>
        <v/>
      </c>
      <c r="BK148" s="45" t="str">
        <f>INDEX(Table5[[#All],[Team]],MATCH(Table3[[#This Row],[PID]],Table5[[#All],[PID]],0))</f>
        <v/>
      </c>
      <c r="BL1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49" spans="1:64" ht="15" customHeight="1" x14ac:dyDescent="0.25">
      <c r="A149" s="40">
        <v>12178</v>
      </c>
      <c r="B149" s="40" t="s">
        <v>415</v>
      </c>
      <c r="C149" s="40" t="s">
        <v>1920</v>
      </c>
      <c r="D149" s="40" t="s">
        <v>752</v>
      </c>
      <c r="E149" s="40">
        <v>18</v>
      </c>
      <c r="F149" s="40" t="s">
        <v>42</v>
      </c>
      <c r="G149" s="40" t="s">
        <v>42</v>
      </c>
      <c r="H149" s="41" t="s">
        <v>647</v>
      </c>
      <c r="I149" s="42" t="s">
        <v>43</v>
      </c>
      <c r="J149" s="40" t="s">
        <v>43</v>
      </c>
      <c r="K149" s="41" t="s">
        <v>44</v>
      </c>
      <c r="L149" s="40">
        <v>1</v>
      </c>
      <c r="M149" s="40">
        <v>2</v>
      </c>
      <c r="N149" s="41">
        <v>1</v>
      </c>
      <c r="O149" s="40">
        <v>3</v>
      </c>
      <c r="P149" s="40">
        <v>3</v>
      </c>
      <c r="Q149" s="41">
        <v>3</v>
      </c>
      <c r="R149" s="40">
        <v>2</v>
      </c>
      <c r="S149" s="40">
        <v>4</v>
      </c>
      <c r="T149" s="40">
        <v>1</v>
      </c>
      <c r="U149" s="40">
        <v>1</v>
      </c>
      <c r="V149" s="40" t="s">
        <v>45</v>
      </c>
      <c r="W149" s="40" t="s">
        <v>45</v>
      </c>
      <c r="X149" s="40">
        <v>2</v>
      </c>
      <c r="Y149" s="40">
        <v>5</v>
      </c>
      <c r="Z149" s="40" t="s">
        <v>45</v>
      </c>
      <c r="AA149" s="40" t="s">
        <v>45</v>
      </c>
      <c r="AB149" s="40" t="s">
        <v>45</v>
      </c>
      <c r="AC149" s="40" t="s">
        <v>45</v>
      </c>
      <c r="AD149" s="40" t="s">
        <v>45</v>
      </c>
      <c r="AE149" s="40" t="s">
        <v>45</v>
      </c>
      <c r="AF149" s="40" t="s">
        <v>45</v>
      </c>
      <c r="AG149" s="40" t="s">
        <v>45</v>
      </c>
      <c r="AH149" s="40" t="s">
        <v>45</v>
      </c>
      <c r="AI149" s="40" t="s">
        <v>45</v>
      </c>
      <c r="AJ149" s="40" t="s">
        <v>45</v>
      </c>
      <c r="AK149" s="40" t="s">
        <v>45</v>
      </c>
      <c r="AL149" s="40" t="s">
        <v>45</v>
      </c>
      <c r="AM149" s="40" t="s">
        <v>45</v>
      </c>
      <c r="AN149" s="40" t="s">
        <v>45</v>
      </c>
      <c r="AO149" s="41" t="s">
        <v>45</v>
      </c>
      <c r="AP149" s="40" t="s">
        <v>67</v>
      </c>
      <c r="AQ149" s="40">
        <v>6</v>
      </c>
      <c r="AR149" s="48" t="s">
        <v>347</v>
      </c>
      <c r="AS149" s="43" t="s">
        <v>663</v>
      </c>
      <c r="AT149" s="43" t="s">
        <v>47</v>
      </c>
      <c r="AU149" s="44">
        <f t="shared" si="17"/>
        <v>-2.5060525215375429</v>
      </c>
      <c r="AV149" s="44">
        <f t="shared" si="18"/>
        <v>-0.9911022732438477</v>
      </c>
      <c r="AW149" s="45">
        <f t="shared" si="19"/>
        <v>3</v>
      </c>
      <c r="AX149" s="45">
        <f t="shared" si="20"/>
        <v>0</v>
      </c>
      <c r="AY149" s="46">
        <f>VLOOKUP(AP149,COND!$A$10:$B$32,2,FALSE)</f>
        <v>0.9</v>
      </c>
      <c r="AZ149" s="44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35.182592887040634</v>
      </c>
      <c r="BA149" s="47">
        <f>STANDARDIZE(AZ149,AVERAGE($AZ$5:$AZ$557),STDEVP($AZ$5:$AZ$557))</f>
        <v>-4.5767141629297618E-2</v>
      </c>
      <c r="BB149" s="45" t="str">
        <f t="shared" si="21"/>
        <v>SP</v>
      </c>
      <c r="BC149" s="45">
        <f>RANK(Table3[[#This Row],[zScore]],Table3[zScore])</f>
        <v>323</v>
      </c>
      <c r="BD149" s="45"/>
      <c r="BE149" s="45"/>
      <c r="BF149" s="45" t="str">
        <f t="shared" si="22"/>
        <v>Unlikely</v>
      </c>
      <c r="BG149" s="45"/>
      <c r="BH149" s="45" t="str">
        <f>INDEX(Table5[[#All],[Ovr]],MATCH(Table3[[#This Row],[PID]],Table5[[#All],[PID]],0))</f>
        <v/>
      </c>
      <c r="BI149" s="45" t="str">
        <f>INDEX(Table5[[#All],[Rnd]],MATCH(Table3[[#This Row],[PID]],Table5[[#All],[PID]],0))</f>
        <v/>
      </c>
      <c r="BJ149" s="45" t="str">
        <f>INDEX(Table5[[#All],[Pick]],MATCH(Table3[[#This Row],[PID]],Table5[[#All],[PID]],0))</f>
        <v/>
      </c>
      <c r="BK149" s="45" t="str">
        <f>INDEX(Table5[[#All],[Team]],MATCH(Table3[[#This Row],[PID]],Table5[[#All],[PID]],0))</f>
        <v/>
      </c>
      <c r="BL1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0" spans="1:64" ht="15" customHeight="1" x14ac:dyDescent="0.25">
      <c r="A150" s="40">
        <v>20732</v>
      </c>
      <c r="B150" s="40" t="s">
        <v>415</v>
      </c>
      <c r="C150" s="40" t="s">
        <v>205</v>
      </c>
      <c r="D150" s="40" t="s">
        <v>2216</v>
      </c>
      <c r="E150" s="40">
        <v>19</v>
      </c>
      <c r="F150" s="40" t="s">
        <v>42</v>
      </c>
      <c r="G150" s="40" t="s">
        <v>42</v>
      </c>
      <c r="H150" s="41" t="s">
        <v>647</v>
      </c>
      <c r="I150" s="42" t="s">
        <v>43</v>
      </c>
      <c r="J150" s="40" t="s">
        <v>44</v>
      </c>
      <c r="K150" s="41" t="s">
        <v>43</v>
      </c>
      <c r="L150" s="40">
        <v>2</v>
      </c>
      <c r="M150" s="40">
        <v>2</v>
      </c>
      <c r="N150" s="41">
        <v>1</v>
      </c>
      <c r="O150" s="40">
        <v>6</v>
      </c>
      <c r="P150" s="40">
        <v>2</v>
      </c>
      <c r="Q150" s="41">
        <v>3</v>
      </c>
      <c r="R150" s="40">
        <v>4</v>
      </c>
      <c r="S150" s="40">
        <v>7</v>
      </c>
      <c r="T150" s="40" t="s">
        <v>45</v>
      </c>
      <c r="U150" s="40" t="s">
        <v>45</v>
      </c>
      <c r="V150" s="40" t="s">
        <v>45</v>
      </c>
      <c r="W150" s="40" t="s">
        <v>45</v>
      </c>
      <c r="X150" s="40" t="s">
        <v>45</v>
      </c>
      <c r="Y150" s="40" t="s">
        <v>45</v>
      </c>
      <c r="Z150" s="40" t="s">
        <v>45</v>
      </c>
      <c r="AA150" s="40" t="s">
        <v>45</v>
      </c>
      <c r="AB150" s="40">
        <v>3</v>
      </c>
      <c r="AC150" s="40">
        <v>6</v>
      </c>
      <c r="AD150" s="40" t="s">
        <v>45</v>
      </c>
      <c r="AE150" s="40" t="s">
        <v>45</v>
      </c>
      <c r="AF150" s="40" t="s">
        <v>45</v>
      </c>
      <c r="AG150" s="40" t="s">
        <v>45</v>
      </c>
      <c r="AH150" s="40" t="s">
        <v>45</v>
      </c>
      <c r="AI150" s="40" t="s">
        <v>45</v>
      </c>
      <c r="AJ150" s="40" t="s">
        <v>45</v>
      </c>
      <c r="AK150" s="40" t="s">
        <v>45</v>
      </c>
      <c r="AL150" s="40" t="s">
        <v>45</v>
      </c>
      <c r="AM150" s="40" t="s">
        <v>45</v>
      </c>
      <c r="AN150" s="40" t="s">
        <v>45</v>
      </c>
      <c r="AO150" s="41" t="s">
        <v>45</v>
      </c>
      <c r="AP150" s="40" t="s">
        <v>57</v>
      </c>
      <c r="AQ150" s="40">
        <v>3</v>
      </c>
      <c r="AR150" s="48" t="s">
        <v>347</v>
      </c>
      <c r="AS150" s="43" t="s">
        <v>644</v>
      </c>
      <c r="AT150" s="43"/>
      <c r="AU150" s="44">
        <f t="shared" si="17"/>
        <v>-2.311361197028369</v>
      </c>
      <c r="AV150" s="44">
        <f t="shared" si="18"/>
        <v>-0.60246001614638267</v>
      </c>
      <c r="AW150" s="45">
        <f t="shared" si="19"/>
        <v>2</v>
      </c>
      <c r="AX150" s="45">
        <f t="shared" si="20"/>
        <v>2</v>
      </c>
      <c r="AY150" s="46">
        <f>VLOOKUP(AP150,COND!$A$10:$B$32,2,FALSE)</f>
        <v>1</v>
      </c>
      <c r="AZ150" s="44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36.139101065783336</v>
      </c>
      <c r="BA150" s="47">
        <f>STANDARDIZE(AZ150,AVERAGE($AZ$5:$AZ$788),STDEVP($AZ$5:$AZ$788))</f>
        <v>-4.6339184578339333E-2</v>
      </c>
      <c r="BB150" s="45" t="str">
        <f t="shared" si="21"/>
        <v>RP</v>
      </c>
      <c r="BC150" s="45">
        <f>RANK(Table3[[#This Row],[zScore]],Table3[zScore])</f>
        <v>325</v>
      </c>
      <c r="BD150" s="45"/>
      <c r="BE150" s="45"/>
      <c r="BF150" s="45" t="str">
        <f t="shared" si="22"/>
        <v>Unlikely</v>
      </c>
      <c r="BG150" s="45"/>
      <c r="BH150" s="64" t="str">
        <f>INDEX(Table5[[#All],[Ovr]],MATCH(Table3[[#This Row],[PID]],Table5[[#All],[PID]],0))</f>
        <v/>
      </c>
      <c r="BI150" s="64" t="str">
        <f>INDEX(Table5[[#All],[Rnd]],MATCH(Table3[[#This Row],[PID]],Table5[[#All],[PID]],0))</f>
        <v/>
      </c>
      <c r="BJ150" s="64" t="str">
        <f>INDEX(Table5[[#All],[Pick]],MATCH(Table3[[#This Row],[PID]],Table5[[#All],[PID]],0))</f>
        <v/>
      </c>
      <c r="BK150" s="64" t="str">
        <f>INDEX(Table5[[#All],[Team]],MATCH(Table3[[#This Row],[PID]],Table5[[#All],[PID]],0))</f>
        <v/>
      </c>
      <c r="BL150" s="64" t="str">
        <f>IF(OR(Table3[[#This Row],[POS]]="SP",Table3[[#This Row],[POS]]="RP",Table3[[#This Row],[POS]]="CL"),"P",INDEX(Batters[[#All],[zScore]],MATCH(Table3[[#This Row],[PID]],Batters[[#All],[PID]],0)))</f>
        <v>P</v>
      </c>
    </row>
    <row r="151" spans="1:64" ht="15" customHeight="1" x14ac:dyDescent="0.25">
      <c r="A151" s="40">
        <v>17865</v>
      </c>
      <c r="B151" s="40" t="s">
        <v>415</v>
      </c>
      <c r="C151" s="40" t="s">
        <v>189</v>
      </c>
      <c r="D151" s="40" t="s">
        <v>2206</v>
      </c>
      <c r="E151" s="40">
        <v>18</v>
      </c>
      <c r="F151" s="40" t="s">
        <v>42</v>
      </c>
      <c r="G151" s="40" t="s">
        <v>42</v>
      </c>
      <c r="H151" s="41" t="s">
        <v>647</v>
      </c>
      <c r="I151" s="42" t="s">
        <v>47</v>
      </c>
      <c r="J151" s="40" t="s">
        <v>43</v>
      </c>
      <c r="K151" s="41" t="s">
        <v>43</v>
      </c>
      <c r="L151" s="40">
        <v>1</v>
      </c>
      <c r="M151" s="40">
        <v>2</v>
      </c>
      <c r="N151" s="41">
        <v>2</v>
      </c>
      <c r="O151" s="40">
        <v>4</v>
      </c>
      <c r="P151" s="40">
        <v>2</v>
      </c>
      <c r="Q151" s="41">
        <v>3</v>
      </c>
      <c r="R151" s="40" t="s">
        <v>45</v>
      </c>
      <c r="S151" s="40" t="s">
        <v>45</v>
      </c>
      <c r="T151" s="40">
        <v>1</v>
      </c>
      <c r="U151" s="40">
        <v>1</v>
      </c>
      <c r="V151" s="40" t="s">
        <v>45</v>
      </c>
      <c r="W151" s="40" t="s">
        <v>45</v>
      </c>
      <c r="X151" s="40">
        <v>2</v>
      </c>
      <c r="Y151" s="40">
        <v>6</v>
      </c>
      <c r="Z151" s="40" t="s">
        <v>45</v>
      </c>
      <c r="AA151" s="40" t="s">
        <v>45</v>
      </c>
      <c r="AB151" s="40" t="s">
        <v>45</v>
      </c>
      <c r="AC151" s="40" t="s">
        <v>45</v>
      </c>
      <c r="AD151" s="40">
        <v>3</v>
      </c>
      <c r="AE151" s="40">
        <v>4</v>
      </c>
      <c r="AF151" s="40" t="s">
        <v>45</v>
      </c>
      <c r="AG151" s="40" t="s">
        <v>45</v>
      </c>
      <c r="AH151" s="40" t="s">
        <v>45</v>
      </c>
      <c r="AI151" s="40" t="s">
        <v>45</v>
      </c>
      <c r="AJ151" s="40" t="s">
        <v>45</v>
      </c>
      <c r="AK151" s="40" t="s">
        <v>45</v>
      </c>
      <c r="AL151" s="40" t="s">
        <v>45</v>
      </c>
      <c r="AM151" s="40" t="s">
        <v>45</v>
      </c>
      <c r="AN151" s="40" t="s">
        <v>45</v>
      </c>
      <c r="AO151" s="41" t="s">
        <v>45</v>
      </c>
      <c r="AP151" s="40" t="s">
        <v>68</v>
      </c>
      <c r="AQ151" s="40">
        <v>5</v>
      </c>
      <c r="AR151" s="48" t="s">
        <v>347</v>
      </c>
      <c r="AS151" s="43" t="s">
        <v>644</v>
      </c>
      <c r="AT151" s="43"/>
      <c r="AU151" s="44">
        <f t="shared" si="17"/>
        <v>-2.2637319554834323</v>
      </c>
      <c r="AV151" s="44">
        <f t="shared" si="18"/>
        <v>-0.99184266516472974</v>
      </c>
      <c r="AW151" s="45">
        <f t="shared" si="19"/>
        <v>3</v>
      </c>
      <c r="AX151" s="45">
        <f t="shared" si="20"/>
        <v>1</v>
      </c>
      <c r="AY151" s="46">
        <f>VLOOKUP(AP151,COND!$A$10:$B$32,2,FALSE)</f>
        <v>0.95</v>
      </c>
      <c r="AZ151" s="44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35.978945783070074</v>
      </c>
      <c r="BA151" s="47">
        <f>STANDARDIZE(AZ151,AVERAGE($AZ$5:$AZ$788),STDEVP($AZ$5:$AZ$788))</f>
        <v>-5.7928415688149111E-2</v>
      </c>
      <c r="BB151" s="45" t="str">
        <f t="shared" si="21"/>
        <v>SP</v>
      </c>
      <c r="BC151" s="45">
        <f>RANK(Table3[[#This Row],[zScore]],Table3[zScore])</f>
        <v>327</v>
      </c>
      <c r="BD151" s="45"/>
      <c r="BE151" s="45"/>
      <c r="BF151" s="45" t="str">
        <f t="shared" si="22"/>
        <v>Unlikely</v>
      </c>
      <c r="BG151" s="45"/>
      <c r="BH151" s="64" t="str">
        <f>INDEX(Table5[[#All],[Ovr]],MATCH(Table3[[#This Row],[PID]],Table5[[#All],[PID]],0))</f>
        <v/>
      </c>
      <c r="BI151" s="64" t="str">
        <f>INDEX(Table5[[#All],[Rnd]],MATCH(Table3[[#This Row],[PID]],Table5[[#All],[PID]],0))</f>
        <v/>
      </c>
      <c r="BJ151" s="64" t="str">
        <f>INDEX(Table5[[#All],[Pick]],MATCH(Table3[[#This Row],[PID]],Table5[[#All],[PID]],0))</f>
        <v/>
      </c>
      <c r="BK151" s="64" t="str">
        <f>INDEX(Table5[[#All],[Team]],MATCH(Table3[[#This Row],[PID]],Table5[[#All],[PID]],0))</f>
        <v/>
      </c>
      <c r="BL151" s="64" t="str">
        <f>IF(OR(Table3[[#This Row],[POS]]="SP",Table3[[#This Row],[POS]]="RP",Table3[[#This Row],[POS]]="CL"),"P",INDEX(Batters[[#All],[zScore]],MATCH(Table3[[#This Row],[PID]],Batters[[#All],[PID]],0)))</f>
        <v>P</v>
      </c>
    </row>
    <row r="152" spans="1:64" ht="15" customHeight="1" x14ac:dyDescent="0.25">
      <c r="A152" s="40">
        <v>20701</v>
      </c>
      <c r="B152" s="40" t="s">
        <v>415</v>
      </c>
      <c r="C152" s="40" t="s">
        <v>163</v>
      </c>
      <c r="D152" s="40" t="s">
        <v>1935</v>
      </c>
      <c r="E152" s="40">
        <v>18</v>
      </c>
      <c r="F152" s="40" t="s">
        <v>42</v>
      </c>
      <c r="G152" s="40" t="s">
        <v>42</v>
      </c>
      <c r="H152" s="41" t="s">
        <v>647</v>
      </c>
      <c r="I152" s="42" t="s">
        <v>47</v>
      </c>
      <c r="J152" s="40" t="s">
        <v>43</v>
      </c>
      <c r="K152" s="41" t="s">
        <v>47</v>
      </c>
      <c r="L152" s="40">
        <v>2</v>
      </c>
      <c r="M152" s="40">
        <v>2</v>
      </c>
      <c r="N152" s="41">
        <v>1</v>
      </c>
      <c r="O152" s="40">
        <v>4</v>
      </c>
      <c r="P152" s="40">
        <v>2</v>
      </c>
      <c r="Q152" s="41">
        <v>3</v>
      </c>
      <c r="R152" s="40">
        <v>3</v>
      </c>
      <c r="S152" s="40">
        <v>6</v>
      </c>
      <c r="T152" s="40">
        <v>1</v>
      </c>
      <c r="U152" s="40">
        <v>1</v>
      </c>
      <c r="V152" s="40" t="s">
        <v>45</v>
      </c>
      <c r="W152" s="40" t="s">
        <v>45</v>
      </c>
      <c r="X152" s="40" t="s">
        <v>45</v>
      </c>
      <c r="Y152" s="40" t="s">
        <v>45</v>
      </c>
      <c r="Z152" s="40">
        <v>3</v>
      </c>
      <c r="AA152" s="40">
        <v>5</v>
      </c>
      <c r="AB152" s="40" t="s">
        <v>45</v>
      </c>
      <c r="AC152" s="40" t="s">
        <v>45</v>
      </c>
      <c r="AD152" s="40" t="s">
        <v>45</v>
      </c>
      <c r="AE152" s="40" t="s">
        <v>45</v>
      </c>
      <c r="AF152" s="40" t="s">
        <v>45</v>
      </c>
      <c r="AG152" s="40" t="s">
        <v>45</v>
      </c>
      <c r="AH152" s="40" t="s">
        <v>45</v>
      </c>
      <c r="AI152" s="40" t="s">
        <v>45</v>
      </c>
      <c r="AJ152" s="40" t="s">
        <v>45</v>
      </c>
      <c r="AK152" s="40" t="s">
        <v>45</v>
      </c>
      <c r="AL152" s="40" t="s">
        <v>45</v>
      </c>
      <c r="AM152" s="40" t="s">
        <v>45</v>
      </c>
      <c r="AN152" s="40" t="s">
        <v>45</v>
      </c>
      <c r="AO152" s="41" t="s">
        <v>45</v>
      </c>
      <c r="AP152" s="40" t="s">
        <v>349</v>
      </c>
      <c r="AQ152" s="40">
        <v>8</v>
      </c>
      <c r="AR152" s="48" t="s">
        <v>347</v>
      </c>
      <c r="AS152" s="43" t="s">
        <v>656</v>
      </c>
      <c r="AT152" s="43" t="s">
        <v>635</v>
      </c>
      <c r="AU152" s="44">
        <f t="shared" si="17"/>
        <v>-2.311361197028369</v>
      </c>
      <c r="AV152" s="44">
        <f t="shared" si="18"/>
        <v>-0.99184266516472974</v>
      </c>
      <c r="AW152" s="45">
        <f t="shared" si="19"/>
        <v>3</v>
      </c>
      <c r="AX152" s="45">
        <f t="shared" si="20"/>
        <v>1</v>
      </c>
      <c r="AY152" s="46">
        <f>VLOOKUP(AP152,COND!$A$10:$B$32,2,FALSE)</f>
        <v>1</v>
      </c>
      <c r="AZ152" s="44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34.975874457299724</v>
      </c>
      <c r="BA152" s="47">
        <f>STANDARDIZE(AZ152,AVERAGE($AZ$5:$AZ$557),STDEVP($AZ$5:$AZ$557))</f>
        <v>-5.9519802871700035E-2</v>
      </c>
      <c r="BB152" s="45" t="str">
        <f t="shared" si="21"/>
        <v>SP</v>
      </c>
      <c r="BC152" s="45">
        <f>RANK(Table3[[#This Row],[zScore]],Table3[zScore])</f>
        <v>328</v>
      </c>
      <c r="BD152" s="45"/>
      <c r="BE152" s="45"/>
      <c r="BF152" s="45" t="str">
        <f t="shared" si="22"/>
        <v>Unlikely</v>
      </c>
      <c r="BG152" s="45"/>
      <c r="BH152" s="45" t="str">
        <f>INDEX(Table5[[#All],[Ovr]],MATCH(Table3[[#This Row],[PID]],Table5[[#All],[PID]],0))</f>
        <v/>
      </c>
      <c r="BI152" s="45" t="str">
        <f>INDEX(Table5[[#All],[Rnd]],MATCH(Table3[[#This Row],[PID]],Table5[[#All],[PID]],0))</f>
        <v/>
      </c>
      <c r="BJ152" s="45" t="str">
        <f>INDEX(Table5[[#All],[Pick]],MATCH(Table3[[#This Row],[PID]],Table5[[#All],[PID]],0))</f>
        <v/>
      </c>
      <c r="BK152" s="45" t="str">
        <f>INDEX(Table5[[#All],[Team]],MATCH(Table3[[#This Row],[PID]],Table5[[#All],[PID]],0))</f>
        <v/>
      </c>
      <c r="BL1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3" spans="1:64" ht="15" customHeight="1" x14ac:dyDescent="0.25">
      <c r="A153" s="40">
        <v>20882</v>
      </c>
      <c r="B153" s="40" t="s">
        <v>415</v>
      </c>
      <c r="C153" s="40" t="s">
        <v>128</v>
      </c>
      <c r="D153" s="40" t="s">
        <v>1992</v>
      </c>
      <c r="E153" s="40">
        <v>17</v>
      </c>
      <c r="F153" s="40" t="s">
        <v>42</v>
      </c>
      <c r="G153" s="40" t="s">
        <v>53</v>
      </c>
      <c r="H153" s="41" t="s">
        <v>647</v>
      </c>
      <c r="I153" s="42" t="s">
        <v>43</v>
      </c>
      <c r="J153" s="40" t="s">
        <v>43</v>
      </c>
      <c r="K153" s="41" t="s">
        <v>43</v>
      </c>
      <c r="L153" s="40">
        <v>2</v>
      </c>
      <c r="M153" s="40">
        <v>2</v>
      </c>
      <c r="N153" s="41">
        <v>1</v>
      </c>
      <c r="O153" s="40">
        <v>4</v>
      </c>
      <c r="P153" s="40">
        <v>2</v>
      </c>
      <c r="Q153" s="41">
        <v>3</v>
      </c>
      <c r="R153" s="40" t="s">
        <v>45</v>
      </c>
      <c r="S153" s="40" t="s">
        <v>45</v>
      </c>
      <c r="T153" s="40">
        <v>1</v>
      </c>
      <c r="U153" s="40">
        <v>2</v>
      </c>
      <c r="V153" s="40" t="s">
        <v>45</v>
      </c>
      <c r="W153" s="40" t="s">
        <v>45</v>
      </c>
      <c r="X153" s="40" t="s">
        <v>45</v>
      </c>
      <c r="Y153" s="40" t="s">
        <v>45</v>
      </c>
      <c r="Z153" s="40" t="s">
        <v>45</v>
      </c>
      <c r="AA153" s="40" t="s">
        <v>45</v>
      </c>
      <c r="AB153" s="40">
        <v>3</v>
      </c>
      <c r="AC153" s="40">
        <v>3</v>
      </c>
      <c r="AD153" s="40">
        <v>3</v>
      </c>
      <c r="AE153" s="40">
        <v>5</v>
      </c>
      <c r="AF153" s="40" t="s">
        <v>45</v>
      </c>
      <c r="AG153" s="40" t="s">
        <v>45</v>
      </c>
      <c r="AH153" s="40" t="s">
        <v>45</v>
      </c>
      <c r="AI153" s="40" t="s">
        <v>45</v>
      </c>
      <c r="AJ153" s="40" t="s">
        <v>45</v>
      </c>
      <c r="AK153" s="40" t="s">
        <v>45</v>
      </c>
      <c r="AL153" s="40">
        <v>2</v>
      </c>
      <c r="AM153" s="40">
        <v>6</v>
      </c>
      <c r="AN153" s="40" t="s">
        <v>45</v>
      </c>
      <c r="AO153" s="41" t="s">
        <v>45</v>
      </c>
      <c r="AP153" s="40" t="s">
        <v>349</v>
      </c>
      <c r="AQ153" s="40">
        <v>10</v>
      </c>
      <c r="AR153" s="48" t="s">
        <v>347</v>
      </c>
      <c r="AS153" s="43" t="s">
        <v>644</v>
      </c>
      <c r="AT153" s="43" t="s">
        <v>47</v>
      </c>
      <c r="AU153" s="44">
        <f t="shared" si="17"/>
        <v>-2.311361197028369</v>
      </c>
      <c r="AV153" s="44">
        <f t="shared" si="18"/>
        <v>-0.99184266516472974</v>
      </c>
      <c r="AW153" s="45">
        <f t="shared" si="19"/>
        <v>4</v>
      </c>
      <c r="AX153" s="45">
        <f t="shared" si="20"/>
        <v>1</v>
      </c>
      <c r="AY153" s="46">
        <f>VLOOKUP(AP153,COND!$A$10:$B$32,2,FALSE)</f>
        <v>1</v>
      </c>
      <c r="AZ153" s="44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34.950874457299733</v>
      </c>
      <c r="BA153" s="47">
        <f>STANDARDIZE(AZ153,AVERAGE($AZ$5:$AZ$557),STDEVP($AZ$5:$AZ$557))</f>
        <v>-6.1183014668978415E-2</v>
      </c>
      <c r="BB153" s="45" t="str">
        <f t="shared" si="21"/>
        <v>SP</v>
      </c>
      <c r="BC153" s="45">
        <f>RANK(Table3[[#This Row],[zScore]],Table3[zScore])</f>
        <v>329</v>
      </c>
      <c r="BD153" s="45"/>
      <c r="BE153" s="45"/>
      <c r="BF153" s="45" t="str">
        <f t="shared" si="22"/>
        <v>Unlikely</v>
      </c>
      <c r="BG153" s="45"/>
      <c r="BH153" s="45">
        <f>INDEX(Table5[[#All],[Ovr]],MATCH(Table3[[#This Row],[PID]],Table5[[#All],[PID]],0))</f>
        <v>479</v>
      </c>
      <c r="BI153" s="45" t="str">
        <f>INDEX(Table5[[#All],[Rnd]],MATCH(Table3[[#This Row],[PID]],Table5[[#All],[PID]],0))</f>
        <v>16</v>
      </c>
      <c r="BJ153" s="45">
        <f>INDEX(Table5[[#All],[Pick]],MATCH(Table3[[#This Row],[PID]],Table5[[#All],[PID]],0))</f>
        <v>21</v>
      </c>
      <c r="BK153" s="45" t="str">
        <f>INDEX(Table5[[#All],[Team]],MATCH(Table3[[#This Row],[PID]],Table5[[#All],[PID]],0))</f>
        <v>Crystal Lake Sandgnats</v>
      </c>
      <c r="BL1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4" spans="1:64" ht="15" customHeight="1" x14ac:dyDescent="0.25">
      <c r="A154" s="40">
        <v>20776</v>
      </c>
      <c r="B154" s="40" t="s">
        <v>415</v>
      </c>
      <c r="C154" s="40" t="s">
        <v>323</v>
      </c>
      <c r="D154" s="40" t="s">
        <v>1042</v>
      </c>
      <c r="E154" s="40">
        <v>17</v>
      </c>
      <c r="F154" s="40" t="s">
        <v>42</v>
      </c>
      <c r="G154" s="40" t="s">
        <v>42</v>
      </c>
      <c r="H154" s="41" t="s">
        <v>647</v>
      </c>
      <c r="I154" s="42" t="s">
        <v>43</v>
      </c>
      <c r="J154" s="40" t="s">
        <v>44</v>
      </c>
      <c r="K154" s="41" t="s">
        <v>47</v>
      </c>
      <c r="L154" s="40">
        <v>2</v>
      </c>
      <c r="M154" s="40">
        <v>2</v>
      </c>
      <c r="N154" s="41">
        <v>1</v>
      </c>
      <c r="O154" s="40">
        <v>5</v>
      </c>
      <c r="P154" s="40">
        <v>2</v>
      </c>
      <c r="Q154" s="41">
        <v>2</v>
      </c>
      <c r="R154" s="40">
        <v>4</v>
      </c>
      <c r="S154" s="40">
        <v>6</v>
      </c>
      <c r="T154" s="40">
        <v>1</v>
      </c>
      <c r="U154" s="40">
        <v>1</v>
      </c>
      <c r="V154" s="40" t="s">
        <v>45</v>
      </c>
      <c r="W154" s="40" t="s">
        <v>45</v>
      </c>
      <c r="X154" s="40">
        <v>2</v>
      </c>
      <c r="Y154" s="40">
        <v>7</v>
      </c>
      <c r="Z154" s="40" t="s">
        <v>45</v>
      </c>
      <c r="AA154" s="40" t="s">
        <v>45</v>
      </c>
      <c r="AB154" s="40" t="s">
        <v>45</v>
      </c>
      <c r="AC154" s="40" t="s">
        <v>45</v>
      </c>
      <c r="AD154" s="40" t="s">
        <v>45</v>
      </c>
      <c r="AE154" s="40" t="s">
        <v>45</v>
      </c>
      <c r="AF154" s="40" t="s">
        <v>45</v>
      </c>
      <c r="AG154" s="40" t="s">
        <v>45</v>
      </c>
      <c r="AH154" s="40" t="s">
        <v>45</v>
      </c>
      <c r="AI154" s="40" t="s">
        <v>45</v>
      </c>
      <c r="AJ154" s="40" t="s">
        <v>45</v>
      </c>
      <c r="AK154" s="40" t="s">
        <v>45</v>
      </c>
      <c r="AL154" s="40" t="s">
        <v>45</v>
      </c>
      <c r="AM154" s="40" t="s">
        <v>45</v>
      </c>
      <c r="AN154" s="40" t="s">
        <v>45</v>
      </c>
      <c r="AO154" s="41" t="s">
        <v>45</v>
      </c>
      <c r="AP154" s="40" t="s">
        <v>350</v>
      </c>
      <c r="AQ154" s="40">
        <v>7</v>
      </c>
      <c r="AR154" s="48" t="s">
        <v>347</v>
      </c>
      <c r="AS154" s="43" t="s">
        <v>644</v>
      </c>
      <c r="AT154" s="43" t="s">
        <v>47</v>
      </c>
      <c r="AU154" s="44">
        <f t="shared" si="17"/>
        <v>-2.311361197028369</v>
      </c>
      <c r="AV154" s="44">
        <f t="shared" si="18"/>
        <v>-1.0394719067096667</v>
      </c>
      <c r="AW154" s="45">
        <f t="shared" si="19"/>
        <v>3</v>
      </c>
      <c r="AX154" s="45">
        <f t="shared" si="20"/>
        <v>2</v>
      </c>
      <c r="AY154" s="46">
        <f>VLOOKUP(AP154,COND!$A$10:$B$32,2,FALSE)</f>
        <v>1</v>
      </c>
      <c r="AZ154" s="44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34.74828962640099</v>
      </c>
      <c r="BA154" s="47">
        <f>STANDARDIZE(AZ154,AVERAGE($AZ$5:$AZ$557),STDEVP($AZ$5:$AZ$557))</f>
        <v>-7.4660673897000443E-2</v>
      </c>
      <c r="BB154" s="45" t="str">
        <f t="shared" si="21"/>
        <v>SP</v>
      </c>
      <c r="BC154" s="45">
        <f>RANK(Table3[[#This Row],[zScore]],Table3[zScore])</f>
        <v>331</v>
      </c>
      <c r="BD154" s="45"/>
      <c r="BE154" s="45"/>
      <c r="BF154" s="45" t="str">
        <f t="shared" si="22"/>
        <v>Unlikely</v>
      </c>
      <c r="BG154" s="45"/>
      <c r="BH154" s="45" t="str">
        <f>INDEX(Table5[[#All],[Ovr]],MATCH(Table3[[#This Row],[PID]],Table5[[#All],[PID]],0))</f>
        <v/>
      </c>
      <c r="BI154" s="45" t="str">
        <f>INDEX(Table5[[#All],[Rnd]],MATCH(Table3[[#This Row],[PID]],Table5[[#All],[PID]],0))</f>
        <v/>
      </c>
      <c r="BJ154" s="45" t="str">
        <f>INDEX(Table5[[#All],[Pick]],MATCH(Table3[[#This Row],[PID]],Table5[[#All],[PID]],0))</f>
        <v/>
      </c>
      <c r="BK154" s="45" t="str">
        <f>INDEX(Table5[[#All],[Team]],MATCH(Table3[[#This Row],[PID]],Table5[[#All],[PID]],0))</f>
        <v/>
      </c>
      <c r="BL1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5" spans="1:64" ht="15" customHeight="1" x14ac:dyDescent="0.25">
      <c r="A155" s="40">
        <v>20405</v>
      </c>
      <c r="B155" s="40" t="s">
        <v>415</v>
      </c>
      <c r="C155" s="40" t="s">
        <v>1990</v>
      </c>
      <c r="D155" s="40" t="s">
        <v>1991</v>
      </c>
      <c r="E155" s="40">
        <v>16</v>
      </c>
      <c r="F155" s="40" t="s">
        <v>53</v>
      </c>
      <c r="G155" s="40" t="s">
        <v>42</v>
      </c>
      <c r="H155" s="41" t="s">
        <v>647</v>
      </c>
      <c r="I155" s="42" t="s">
        <v>43</v>
      </c>
      <c r="J155" s="40" t="s">
        <v>43</v>
      </c>
      <c r="K155" s="41" t="s">
        <v>43</v>
      </c>
      <c r="L155" s="40">
        <v>2</v>
      </c>
      <c r="M155" s="40">
        <v>2</v>
      </c>
      <c r="N155" s="41">
        <v>1</v>
      </c>
      <c r="O155" s="40">
        <v>4</v>
      </c>
      <c r="P155" s="40">
        <v>2</v>
      </c>
      <c r="Q155" s="41">
        <v>3</v>
      </c>
      <c r="R155" s="40">
        <v>3</v>
      </c>
      <c r="S155" s="40">
        <v>5</v>
      </c>
      <c r="T155" s="40">
        <v>1</v>
      </c>
      <c r="U155" s="40">
        <v>3</v>
      </c>
      <c r="V155" s="40" t="s">
        <v>45</v>
      </c>
      <c r="W155" s="40" t="s">
        <v>45</v>
      </c>
      <c r="X155" s="40">
        <v>2</v>
      </c>
      <c r="Y155" s="40">
        <v>5</v>
      </c>
      <c r="Z155" s="40" t="s">
        <v>45</v>
      </c>
      <c r="AA155" s="40" t="s">
        <v>45</v>
      </c>
      <c r="AB155" s="40" t="s">
        <v>45</v>
      </c>
      <c r="AC155" s="40" t="s">
        <v>45</v>
      </c>
      <c r="AD155" s="40" t="s">
        <v>45</v>
      </c>
      <c r="AE155" s="40" t="s">
        <v>45</v>
      </c>
      <c r="AF155" s="40" t="s">
        <v>45</v>
      </c>
      <c r="AG155" s="40" t="s">
        <v>45</v>
      </c>
      <c r="AH155" s="40" t="s">
        <v>45</v>
      </c>
      <c r="AI155" s="40" t="s">
        <v>45</v>
      </c>
      <c r="AJ155" s="40" t="s">
        <v>45</v>
      </c>
      <c r="AK155" s="40" t="s">
        <v>45</v>
      </c>
      <c r="AL155" s="40" t="s">
        <v>45</v>
      </c>
      <c r="AM155" s="40" t="s">
        <v>45</v>
      </c>
      <c r="AN155" s="40" t="s">
        <v>45</v>
      </c>
      <c r="AO155" s="41" t="s">
        <v>45</v>
      </c>
      <c r="AP155" s="40" t="s">
        <v>68</v>
      </c>
      <c r="AQ155" s="40">
        <v>5</v>
      </c>
      <c r="AR155" s="48" t="s">
        <v>347</v>
      </c>
      <c r="AS155" s="43" t="s">
        <v>654</v>
      </c>
      <c r="AT155" s="43" t="s">
        <v>47</v>
      </c>
      <c r="AU155" s="44">
        <f t="shared" si="17"/>
        <v>-2.311361197028369</v>
      </c>
      <c r="AV155" s="44">
        <f t="shared" si="18"/>
        <v>-0.99184266516472974</v>
      </c>
      <c r="AW155" s="45">
        <f t="shared" si="19"/>
        <v>3</v>
      </c>
      <c r="AX155" s="45">
        <f t="shared" si="20"/>
        <v>0</v>
      </c>
      <c r="AY155" s="46">
        <f>VLOOKUP(AP155,COND!$A$10:$B$32,2,FALSE)</f>
        <v>0.95</v>
      </c>
      <c r="AZ155" s="44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34.587309966073875</v>
      </c>
      <c r="BA155" s="47">
        <f>STANDARDIZE(AZ155,AVERAGE($AZ$5:$AZ$557),STDEVP($AZ$5:$AZ$557))</f>
        <v>-8.537040470412105E-2</v>
      </c>
      <c r="BB155" s="45" t="str">
        <f t="shared" si="21"/>
        <v>SP</v>
      </c>
      <c r="BC155" s="45">
        <f>RANK(Table3[[#This Row],[zScore]],Table3[zScore])</f>
        <v>334</v>
      </c>
      <c r="BD155" s="45"/>
      <c r="BE155" s="45"/>
      <c r="BF155" s="45" t="str">
        <f t="shared" si="22"/>
        <v>Unlikely</v>
      </c>
      <c r="BG155" s="45"/>
      <c r="BH155" s="45" t="str">
        <f>INDEX(Table5[[#All],[Ovr]],MATCH(Table3[[#This Row],[PID]],Table5[[#All],[PID]],0))</f>
        <v/>
      </c>
      <c r="BI155" s="45" t="str">
        <f>INDEX(Table5[[#All],[Rnd]],MATCH(Table3[[#This Row],[PID]],Table5[[#All],[PID]],0))</f>
        <v/>
      </c>
      <c r="BJ155" s="45" t="str">
        <f>INDEX(Table5[[#All],[Pick]],MATCH(Table3[[#This Row],[PID]],Table5[[#All],[PID]],0))</f>
        <v/>
      </c>
      <c r="BK155" s="45" t="str">
        <f>INDEX(Table5[[#All],[Team]],MATCH(Table3[[#This Row],[PID]],Table5[[#All],[PID]],0))</f>
        <v/>
      </c>
      <c r="BL1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6" spans="1:64" ht="15" customHeight="1" x14ac:dyDescent="0.25">
      <c r="A156" s="40">
        <v>17566</v>
      </c>
      <c r="B156" s="40" t="s">
        <v>415</v>
      </c>
      <c r="C156" s="40" t="s">
        <v>128</v>
      </c>
      <c r="D156" s="40" t="s">
        <v>1963</v>
      </c>
      <c r="E156" s="40">
        <v>18</v>
      </c>
      <c r="F156" s="40" t="s">
        <v>53</v>
      </c>
      <c r="G156" s="40" t="s">
        <v>53</v>
      </c>
      <c r="H156" s="41" t="s">
        <v>647</v>
      </c>
      <c r="I156" s="42" t="s">
        <v>43</v>
      </c>
      <c r="J156" s="40" t="s">
        <v>47</v>
      </c>
      <c r="K156" s="41" t="s">
        <v>43</v>
      </c>
      <c r="L156" s="40">
        <v>1</v>
      </c>
      <c r="M156" s="40">
        <v>2</v>
      </c>
      <c r="N156" s="41">
        <v>1</v>
      </c>
      <c r="O156" s="40">
        <v>4</v>
      </c>
      <c r="P156" s="40">
        <v>2</v>
      </c>
      <c r="Q156" s="41">
        <v>3</v>
      </c>
      <c r="R156" s="40" t="s">
        <v>45</v>
      </c>
      <c r="S156" s="40" t="s">
        <v>45</v>
      </c>
      <c r="T156" s="40">
        <v>2</v>
      </c>
      <c r="U156" s="40">
        <v>6</v>
      </c>
      <c r="V156" s="40">
        <v>1</v>
      </c>
      <c r="W156" s="40">
        <v>4</v>
      </c>
      <c r="X156" s="40" t="s">
        <v>45</v>
      </c>
      <c r="Y156" s="40" t="s">
        <v>45</v>
      </c>
      <c r="Z156" s="40" t="s">
        <v>45</v>
      </c>
      <c r="AA156" s="40" t="s">
        <v>45</v>
      </c>
      <c r="AB156" s="40" t="s">
        <v>45</v>
      </c>
      <c r="AC156" s="40" t="s">
        <v>45</v>
      </c>
      <c r="AD156" s="40">
        <v>2</v>
      </c>
      <c r="AE156" s="40">
        <v>4</v>
      </c>
      <c r="AF156" s="40">
        <v>2</v>
      </c>
      <c r="AG156" s="40">
        <v>4</v>
      </c>
      <c r="AH156" s="40" t="s">
        <v>45</v>
      </c>
      <c r="AI156" s="40" t="s">
        <v>45</v>
      </c>
      <c r="AJ156" s="40" t="s">
        <v>45</v>
      </c>
      <c r="AK156" s="40" t="s">
        <v>45</v>
      </c>
      <c r="AL156" s="40" t="s">
        <v>45</v>
      </c>
      <c r="AM156" s="40" t="s">
        <v>45</v>
      </c>
      <c r="AN156" s="40" t="s">
        <v>45</v>
      </c>
      <c r="AO156" s="41" t="s">
        <v>45</v>
      </c>
      <c r="AP156" s="40" t="s">
        <v>65</v>
      </c>
      <c r="AQ156" s="40">
        <v>6</v>
      </c>
      <c r="AR156" s="48" t="s">
        <v>347</v>
      </c>
      <c r="AS156" s="43" t="s">
        <v>644</v>
      </c>
      <c r="AT156" s="43" t="s">
        <v>47</v>
      </c>
      <c r="AU156" s="44">
        <f t="shared" si="17"/>
        <v>-2.5060525215375429</v>
      </c>
      <c r="AV156" s="44">
        <f t="shared" si="18"/>
        <v>-0.99184266516472974</v>
      </c>
      <c r="AW156" s="45">
        <f t="shared" si="19"/>
        <v>4</v>
      </c>
      <c r="AX156" s="45">
        <f t="shared" si="20"/>
        <v>1</v>
      </c>
      <c r="AY156" s="46">
        <f>VLOOKUP(AP156,COND!$A$10:$B$32,2,FALSE)</f>
        <v>0.95</v>
      </c>
      <c r="AZ156" s="44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36.472180898208556</v>
      </c>
      <c r="BA156" s="47">
        <f>STANDARDIZE(AZ156,AVERAGE($AZ$5:$AZ$663),STDEVP($AZ$5:$AZ$663))</f>
        <v>-9.1213892159698759E-2</v>
      </c>
      <c r="BB156" s="45" t="str">
        <f t="shared" si="21"/>
        <v>SP</v>
      </c>
      <c r="BC156" s="45">
        <f>RANK(Table3[[#This Row],[zScore]],Table3[zScore])</f>
        <v>336</v>
      </c>
      <c r="BD156" s="45"/>
      <c r="BE156" s="45"/>
      <c r="BF156" s="45" t="str">
        <f t="shared" si="22"/>
        <v>Unlikely</v>
      </c>
      <c r="BG156" s="45"/>
      <c r="BH156" s="45" t="str">
        <f>INDEX(Table5[[#All],[Ovr]],MATCH(Table3[[#This Row],[PID]],Table5[[#All],[PID]],0))</f>
        <v/>
      </c>
      <c r="BI156" s="45" t="str">
        <f>INDEX(Table5[[#All],[Rnd]],MATCH(Table3[[#This Row],[PID]],Table5[[#All],[PID]],0))</f>
        <v/>
      </c>
      <c r="BJ156" s="45" t="str">
        <f>INDEX(Table5[[#All],[Pick]],MATCH(Table3[[#This Row],[PID]],Table5[[#All],[PID]],0))</f>
        <v/>
      </c>
      <c r="BK156" s="45" t="str">
        <f>INDEX(Table5[[#All],[Team]],MATCH(Table3[[#This Row],[PID]],Table5[[#All],[PID]],0))</f>
        <v/>
      </c>
      <c r="BL1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7" spans="1:64" ht="15" customHeight="1" x14ac:dyDescent="0.25">
      <c r="A157" s="40">
        <v>20299</v>
      </c>
      <c r="B157" s="40" t="s">
        <v>415</v>
      </c>
      <c r="C157" s="40" t="s">
        <v>1950</v>
      </c>
      <c r="D157" s="40" t="s">
        <v>1416</v>
      </c>
      <c r="E157" s="40">
        <v>18</v>
      </c>
      <c r="F157" s="40" t="s">
        <v>42</v>
      </c>
      <c r="G157" s="40" t="s">
        <v>42</v>
      </c>
      <c r="H157" s="41" t="s">
        <v>647</v>
      </c>
      <c r="I157" s="42" t="s">
        <v>43</v>
      </c>
      <c r="J157" s="40" t="s">
        <v>43</v>
      </c>
      <c r="K157" s="41" t="s">
        <v>43</v>
      </c>
      <c r="L157" s="40">
        <v>2</v>
      </c>
      <c r="M157" s="40">
        <v>2</v>
      </c>
      <c r="N157" s="41">
        <v>1</v>
      </c>
      <c r="O157" s="40">
        <v>4</v>
      </c>
      <c r="P157" s="40">
        <v>2</v>
      </c>
      <c r="Q157" s="41">
        <v>3</v>
      </c>
      <c r="R157" s="40" t="s">
        <v>45</v>
      </c>
      <c r="S157" s="40" t="s">
        <v>45</v>
      </c>
      <c r="T157" s="40">
        <v>1</v>
      </c>
      <c r="U157" s="40">
        <v>1</v>
      </c>
      <c r="V157" s="40">
        <v>3</v>
      </c>
      <c r="W157" s="40">
        <v>6</v>
      </c>
      <c r="X157" s="40" t="s">
        <v>45</v>
      </c>
      <c r="Y157" s="40" t="s">
        <v>45</v>
      </c>
      <c r="Z157" s="40" t="s">
        <v>45</v>
      </c>
      <c r="AA157" s="40" t="s">
        <v>45</v>
      </c>
      <c r="AB157" s="40" t="s">
        <v>45</v>
      </c>
      <c r="AC157" s="40" t="s">
        <v>45</v>
      </c>
      <c r="AD157" s="40">
        <v>3</v>
      </c>
      <c r="AE157" s="40">
        <v>5</v>
      </c>
      <c r="AF157" s="40" t="s">
        <v>45</v>
      </c>
      <c r="AG157" s="40" t="s">
        <v>45</v>
      </c>
      <c r="AH157" s="40" t="s">
        <v>45</v>
      </c>
      <c r="AI157" s="40" t="s">
        <v>45</v>
      </c>
      <c r="AJ157" s="40" t="s">
        <v>45</v>
      </c>
      <c r="AK157" s="40" t="s">
        <v>45</v>
      </c>
      <c r="AL157" s="40" t="s">
        <v>45</v>
      </c>
      <c r="AM157" s="40" t="s">
        <v>45</v>
      </c>
      <c r="AN157" s="40" t="s">
        <v>45</v>
      </c>
      <c r="AO157" s="41" t="s">
        <v>45</v>
      </c>
      <c r="AP157" s="40" t="s">
        <v>64</v>
      </c>
      <c r="AQ157" s="40">
        <v>10</v>
      </c>
      <c r="AR157" s="48" t="s">
        <v>347</v>
      </c>
      <c r="AS157" s="43" t="s">
        <v>644</v>
      </c>
      <c r="AT157" s="43" t="s">
        <v>635</v>
      </c>
      <c r="AU157" s="44">
        <f t="shared" si="17"/>
        <v>-2.311361197028369</v>
      </c>
      <c r="AV157" s="44">
        <f t="shared" si="18"/>
        <v>-0.99184266516472974</v>
      </c>
      <c r="AW157" s="45">
        <f t="shared" si="19"/>
        <v>3</v>
      </c>
      <c r="AX157" s="45">
        <f t="shared" si="20"/>
        <v>1</v>
      </c>
      <c r="AY157" s="46">
        <f>VLOOKUP(AP157,COND!$A$10:$B$32,2,FALSE)</f>
        <v>1</v>
      </c>
      <c r="AZ157" s="44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34.450874457299733</v>
      </c>
      <c r="BA157" s="47">
        <f>STANDARDIZE(AZ157,AVERAGE($AZ$5:$AZ$557),STDEVP($AZ$5:$AZ$557))</f>
        <v>-9.4447250614557346E-2</v>
      </c>
      <c r="BB157" s="45" t="str">
        <f t="shared" si="21"/>
        <v>SP</v>
      </c>
      <c r="BC157" s="45">
        <f>RANK(Table3[[#This Row],[zScore]],Table3[zScore])</f>
        <v>337</v>
      </c>
      <c r="BD157" s="45"/>
      <c r="BE157" s="45"/>
      <c r="BF157" s="45" t="str">
        <f t="shared" si="22"/>
        <v>Unlikely</v>
      </c>
      <c r="BG157" s="45"/>
      <c r="BH157" s="45" t="str">
        <f>INDEX(Table5[[#All],[Ovr]],MATCH(Table3[[#This Row],[PID]],Table5[[#All],[PID]],0))</f>
        <v/>
      </c>
      <c r="BI157" s="45" t="str">
        <f>INDEX(Table5[[#All],[Rnd]],MATCH(Table3[[#This Row],[PID]],Table5[[#All],[PID]],0))</f>
        <v/>
      </c>
      <c r="BJ157" s="45" t="str">
        <f>INDEX(Table5[[#All],[Pick]],MATCH(Table3[[#This Row],[PID]],Table5[[#All],[PID]],0))</f>
        <v/>
      </c>
      <c r="BK157" s="45" t="str">
        <f>INDEX(Table5[[#All],[Team]],MATCH(Table3[[#This Row],[PID]],Table5[[#All],[PID]],0))</f>
        <v/>
      </c>
      <c r="BL15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8" spans="1:64" ht="15" customHeight="1" x14ac:dyDescent="0.25">
      <c r="A158" s="40">
        <v>20627</v>
      </c>
      <c r="B158" s="40" t="s">
        <v>415</v>
      </c>
      <c r="C158" s="40" t="s">
        <v>1955</v>
      </c>
      <c r="D158" s="40" t="s">
        <v>1956</v>
      </c>
      <c r="E158" s="40">
        <v>18</v>
      </c>
      <c r="F158" s="40" t="s">
        <v>42</v>
      </c>
      <c r="G158" s="40" t="s">
        <v>42</v>
      </c>
      <c r="H158" s="41" t="s">
        <v>647</v>
      </c>
      <c r="I158" s="42" t="s">
        <v>43</v>
      </c>
      <c r="J158" s="40" t="s">
        <v>43</v>
      </c>
      <c r="K158" s="41" t="s">
        <v>43</v>
      </c>
      <c r="L158" s="40">
        <v>2</v>
      </c>
      <c r="M158" s="40">
        <v>1</v>
      </c>
      <c r="N158" s="41">
        <v>1</v>
      </c>
      <c r="O158" s="40">
        <v>4</v>
      </c>
      <c r="P158" s="40">
        <v>2</v>
      </c>
      <c r="Q158" s="41">
        <v>3</v>
      </c>
      <c r="R158" s="40">
        <v>4</v>
      </c>
      <c r="S158" s="40">
        <v>5</v>
      </c>
      <c r="T158" s="40">
        <v>2</v>
      </c>
      <c r="U158" s="40">
        <v>6</v>
      </c>
      <c r="V158" s="40" t="s">
        <v>45</v>
      </c>
      <c r="W158" s="40" t="s">
        <v>45</v>
      </c>
      <c r="X158" s="40" t="s">
        <v>45</v>
      </c>
      <c r="Y158" s="40" t="s">
        <v>45</v>
      </c>
      <c r="Z158" s="40" t="s">
        <v>45</v>
      </c>
      <c r="AA158" s="40" t="s">
        <v>45</v>
      </c>
      <c r="AB158" s="40" t="s">
        <v>45</v>
      </c>
      <c r="AC158" s="40" t="s">
        <v>45</v>
      </c>
      <c r="AD158" s="40">
        <v>3</v>
      </c>
      <c r="AE158" s="40">
        <v>4</v>
      </c>
      <c r="AF158" s="40" t="s">
        <v>45</v>
      </c>
      <c r="AG158" s="40" t="s">
        <v>45</v>
      </c>
      <c r="AH158" s="40" t="s">
        <v>45</v>
      </c>
      <c r="AI158" s="40" t="s">
        <v>45</v>
      </c>
      <c r="AJ158" s="40" t="s">
        <v>45</v>
      </c>
      <c r="AK158" s="40" t="s">
        <v>45</v>
      </c>
      <c r="AL158" s="40" t="s">
        <v>45</v>
      </c>
      <c r="AM158" s="40" t="s">
        <v>45</v>
      </c>
      <c r="AN158" s="40" t="s">
        <v>45</v>
      </c>
      <c r="AO158" s="41" t="s">
        <v>45</v>
      </c>
      <c r="AP158" s="40" t="s">
        <v>350</v>
      </c>
      <c r="AQ158" s="40">
        <v>8</v>
      </c>
      <c r="AR158" s="48" t="s">
        <v>14</v>
      </c>
      <c r="AS158" s="43" t="s">
        <v>659</v>
      </c>
      <c r="AT158" s="43" t="s">
        <v>635</v>
      </c>
      <c r="AU158" s="44">
        <f t="shared" si="17"/>
        <v>-2.5067929134584248</v>
      </c>
      <c r="AV158" s="44">
        <f t="shared" si="18"/>
        <v>-0.99184266516472974</v>
      </c>
      <c r="AW158" s="45">
        <f t="shared" si="19"/>
        <v>3</v>
      </c>
      <c r="AX158" s="45">
        <f t="shared" si="20"/>
        <v>1</v>
      </c>
      <c r="AY158" s="46">
        <f>VLOOKUP(AP158,COND!$A$10:$B$32,2,FALSE)</f>
        <v>1</v>
      </c>
      <c r="AZ158" s="44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34.411788114013717</v>
      </c>
      <c r="BA158" s="47">
        <f>STANDARDIZE(AZ158,AVERAGE($AZ$5:$AZ$557),STDEVP($AZ$5:$AZ$557))</f>
        <v>-9.7047605305189202E-2</v>
      </c>
      <c r="BB158" s="45" t="str">
        <f t="shared" si="21"/>
        <v>SP</v>
      </c>
      <c r="BC158" s="45">
        <f>RANK(Table3[[#This Row],[zScore]],Table3[zScore])</f>
        <v>339</v>
      </c>
      <c r="BD158" s="45"/>
      <c r="BE158" s="45"/>
      <c r="BF158" s="45" t="str">
        <f t="shared" si="22"/>
        <v>Unlikely</v>
      </c>
      <c r="BG158" s="45"/>
      <c r="BH158" s="45" t="str">
        <f>INDEX(Table5[[#All],[Ovr]],MATCH(Table3[[#This Row],[PID]],Table5[[#All],[PID]],0))</f>
        <v/>
      </c>
      <c r="BI158" s="45" t="str">
        <f>INDEX(Table5[[#All],[Rnd]],MATCH(Table3[[#This Row],[PID]],Table5[[#All],[PID]],0))</f>
        <v/>
      </c>
      <c r="BJ158" s="45" t="str">
        <f>INDEX(Table5[[#All],[Pick]],MATCH(Table3[[#This Row],[PID]],Table5[[#All],[PID]],0))</f>
        <v/>
      </c>
      <c r="BK158" s="45" t="str">
        <f>INDEX(Table5[[#All],[Team]],MATCH(Table3[[#This Row],[PID]],Table5[[#All],[PID]],0))</f>
        <v/>
      </c>
      <c r="BL1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59" spans="1:64" ht="15" customHeight="1" x14ac:dyDescent="0.25">
      <c r="A159" s="40">
        <v>20875</v>
      </c>
      <c r="B159" s="40" t="s">
        <v>415</v>
      </c>
      <c r="C159" s="40" t="s">
        <v>138</v>
      </c>
      <c r="D159" s="40" t="s">
        <v>1807</v>
      </c>
      <c r="E159" s="40">
        <v>17</v>
      </c>
      <c r="F159" s="40" t="s">
        <v>53</v>
      </c>
      <c r="G159" s="40" t="s">
        <v>42</v>
      </c>
      <c r="H159" s="41" t="s">
        <v>647</v>
      </c>
      <c r="I159" s="42" t="s">
        <v>43</v>
      </c>
      <c r="J159" s="40" t="s">
        <v>44</v>
      </c>
      <c r="K159" s="41" t="s">
        <v>44</v>
      </c>
      <c r="L159" s="40">
        <v>1</v>
      </c>
      <c r="M159" s="40">
        <v>2</v>
      </c>
      <c r="N159" s="41">
        <v>1</v>
      </c>
      <c r="O159" s="40">
        <v>5</v>
      </c>
      <c r="P159" s="40">
        <v>2</v>
      </c>
      <c r="Q159" s="41">
        <v>2</v>
      </c>
      <c r="R159" s="40">
        <v>3</v>
      </c>
      <c r="S159" s="40">
        <v>6</v>
      </c>
      <c r="T159" s="40">
        <v>1</v>
      </c>
      <c r="U159" s="40">
        <v>1</v>
      </c>
      <c r="V159" s="40">
        <v>1</v>
      </c>
      <c r="W159" s="40">
        <v>7</v>
      </c>
      <c r="X159" s="40" t="s">
        <v>45</v>
      </c>
      <c r="Y159" s="40" t="s">
        <v>45</v>
      </c>
      <c r="Z159" s="40" t="s">
        <v>45</v>
      </c>
      <c r="AA159" s="40" t="s">
        <v>45</v>
      </c>
      <c r="AB159" s="40" t="s">
        <v>45</v>
      </c>
      <c r="AC159" s="40" t="s">
        <v>45</v>
      </c>
      <c r="AD159" s="40" t="s">
        <v>45</v>
      </c>
      <c r="AE159" s="40" t="s">
        <v>45</v>
      </c>
      <c r="AF159" s="40" t="s">
        <v>45</v>
      </c>
      <c r="AG159" s="40" t="s">
        <v>45</v>
      </c>
      <c r="AH159" s="40" t="s">
        <v>45</v>
      </c>
      <c r="AI159" s="40" t="s">
        <v>45</v>
      </c>
      <c r="AJ159" s="40" t="s">
        <v>45</v>
      </c>
      <c r="AK159" s="40" t="s">
        <v>45</v>
      </c>
      <c r="AL159" s="40" t="s">
        <v>45</v>
      </c>
      <c r="AM159" s="40" t="s">
        <v>45</v>
      </c>
      <c r="AN159" s="40" t="s">
        <v>45</v>
      </c>
      <c r="AO159" s="41" t="s">
        <v>45</v>
      </c>
      <c r="AP159" s="40" t="s">
        <v>349</v>
      </c>
      <c r="AQ159" s="40">
        <v>8</v>
      </c>
      <c r="AR159" s="48" t="s">
        <v>14</v>
      </c>
      <c r="AS159" s="43" t="s">
        <v>670</v>
      </c>
      <c r="AT159" s="43" t="s">
        <v>47</v>
      </c>
      <c r="AU159" s="44">
        <f t="shared" si="17"/>
        <v>-2.5060525215375429</v>
      </c>
      <c r="AV159" s="44">
        <f t="shared" si="18"/>
        <v>-1.0394719067096667</v>
      </c>
      <c r="AW159" s="45">
        <f t="shared" si="19"/>
        <v>3</v>
      </c>
      <c r="AX159" s="45">
        <f t="shared" si="20"/>
        <v>2</v>
      </c>
      <c r="AY159" s="46">
        <f>VLOOKUP(AP159,COND!$A$10:$B$32,2,FALSE)</f>
        <v>1</v>
      </c>
      <c r="AZ159" s="44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34.109351361499158</v>
      </c>
      <c r="BA159" s="47">
        <f>STANDARDIZE(AZ159,AVERAGE($AZ$5:$AZ$557),STDEVP($AZ$5:$AZ$557))</f>
        <v>-0.11716826029370712</v>
      </c>
      <c r="BB159" s="45" t="str">
        <f t="shared" si="21"/>
        <v>SP</v>
      </c>
      <c r="BC159" s="45">
        <f>RANK(Table3[[#This Row],[zScore]],Table3[zScore])</f>
        <v>346</v>
      </c>
      <c r="BD159" s="45"/>
      <c r="BE159" s="45"/>
      <c r="BF159" s="45" t="str">
        <f t="shared" si="22"/>
        <v>Unlikely</v>
      </c>
      <c r="BG159" s="45"/>
      <c r="BH159" s="45" t="str">
        <f>INDEX(Table5[[#All],[Ovr]],MATCH(Table3[[#This Row],[PID]],Table5[[#All],[PID]],0))</f>
        <v/>
      </c>
      <c r="BI159" s="45" t="str">
        <f>INDEX(Table5[[#All],[Rnd]],MATCH(Table3[[#This Row],[PID]],Table5[[#All],[PID]],0))</f>
        <v/>
      </c>
      <c r="BJ159" s="45" t="str">
        <f>INDEX(Table5[[#All],[Pick]],MATCH(Table3[[#This Row],[PID]],Table5[[#All],[PID]],0))</f>
        <v/>
      </c>
      <c r="BK159" s="45" t="str">
        <f>INDEX(Table5[[#All],[Team]],MATCH(Table3[[#This Row],[PID]],Table5[[#All],[PID]],0))</f>
        <v/>
      </c>
      <c r="BL15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0" spans="1:64" ht="15" customHeight="1" x14ac:dyDescent="0.25">
      <c r="A160" s="40">
        <v>1293</v>
      </c>
      <c r="B160" s="40" t="s">
        <v>415</v>
      </c>
      <c r="C160" s="40" t="s">
        <v>2192</v>
      </c>
      <c r="D160" s="40" t="s">
        <v>1635</v>
      </c>
      <c r="E160" s="40">
        <v>18</v>
      </c>
      <c r="F160" s="40" t="s">
        <v>53</v>
      </c>
      <c r="G160" s="40" t="s">
        <v>53</v>
      </c>
      <c r="H160" s="41" t="s">
        <v>647</v>
      </c>
      <c r="I160" s="42" t="s">
        <v>43</v>
      </c>
      <c r="J160" s="40" t="s">
        <v>44</v>
      </c>
      <c r="K160" s="41" t="s">
        <v>43</v>
      </c>
      <c r="L160" s="40">
        <v>2</v>
      </c>
      <c r="M160" s="40">
        <v>2</v>
      </c>
      <c r="N160" s="41">
        <v>1</v>
      </c>
      <c r="O160" s="40">
        <v>4</v>
      </c>
      <c r="P160" s="40">
        <v>2</v>
      </c>
      <c r="Q160" s="41">
        <v>3</v>
      </c>
      <c r="R160" s="40" t="s">
        <v>45</v>
      </c>
      <c r="S160" s="40" t="s">
        <v>45</v>
      </c>
      <c r="T160" s="40">
        <v>1</v>
      </c>
      <c r="U160" s="40">
        <v>4</v>
      </c>
      <c r="V160" s="40" t="s">
        <v>45</v>
      </c>
      <c r="W160" s="40" t="s">
        <v>45</v>
      </c>
      <c r="X160" s="40">
        <v>3</v>
      </c>
      <c r="Y160" s="40">
        <v>6</v>
      </c>
      <c r="Z160" s="40" t="s">
        <v>45</v>
      </c>
      <c r="AA160" s="40" t="s">
        <v>45</v>
      </c>
      <c r="AB160" s="40" t="s">
        <v>45</v>
      </c>
      <c r="AC160" s="40" t="s">
        <v>45</v>
      </c>
      <c r="AD160" s="40">
        <v>3</v>
      </c>
      <c r="AE160" s="40">
        <v>4</v>
      </c>
      <c r="AF160" s="40">
        <v>3</v>
      </c>
      <c r="AG160" s="40">
        <v>5</v>
      </c>
      <c r="AH160" s="40" t="s">
        <v>45</v>
      </c>
      <c r="AI160" s="40" t="s">
        <v>45</v>
      </c>
      <c r="AJ160" s="40" t="s">
        <v>45</v>
      </c>
      <c r="AK160" s="40" t="s">
        <v>45</v>
      </c>
      <c r="AL160" s="40">
        <v>2</v>
      </c>
      <c r="AM160" s="40">
        <v>4</v>
      </c>
      <c r="AN160" s="40" t="s">
        <v>45</v>
      </c>
      <c r="AO160" s="41" t="s">
        <v>45</v>
      </c>
      <c r="AP160" s="40" t="s">
        <v>56</v>
      </c>
      <c r="AQ160" s="40">
        <v>7</v>
      </c>
      <c r="AR160" s="48" t="s">
        <v>347</v>
      </c>
      <c r="AS160" s="43" t="s">
        <v>573</v>
      </c>
      <c r="AT160" s="43"/>
      <c r="AU160" s="44">
        <f t="shared" si="17"/>
        <v>-2.311361197028369</v>
      </c>
      <c r="AV160" s="44">
        <f t="shared" si="18"/>
        <v>-0.99184266516472974</v>
      </c>
      <c r="AW160" s="45">
        <f t="shared" si="19"/>
        <v>5</v>
      </c>
      <c r="AX160" s="45">
        <f t="shared" si="20"/>
        <v>1</v>
      </c>
      <c r="AY160" s="46">
        <f>VLOOKUP(AP160,COND!$A$10:$B$32,2,FALSE)</f>
        <v>1</v>
      </c>
      <c r="AZ160" s="44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35.150874457299729</v>
      </c>
      <c r="BA160" s="47">
        <f>STANDARDIZE(AZ160,AVERAGE($AZ$5:$AZ$788),STDEVP($AZ$5:$AZ$788))</f>
        <v>-0.11784969837815451</v>
      </c>
      <c r="BB160" s="45" t="str">
        <f t="shared" si="21"/>
        <v>SP</v>
      </c>
      <c r="BC160" s="45">
        <f>RANK(Table3[[#This Row],[zScore]],Table3[zScore])</f>
        <v>347</v>
      </c>
      <c r="BD160" s="45"/>
      <c r="BE160" s="45"/>
      <c r="BF160" s="45" t="str">
        <f t="shared" si="22"/>
        <v>Unlikely</v>
      </c>
      <c r="BG160" s="45"/>
      <c r="BH160" s="64" t="str">
        <f>INDEX(Table5[[#All],[Ovr]],MATCH(Table3[[#This Row],[PID]],Table5[[#All],[PID]],0))</f>
        <v/>
      </c>
      <c r="BI160" s="64" t="str">
        <f>INDEX(Table5[[#All],[Rnd]],MATCH(Table3[[#This Row],[PID]],Table5[[#All],[PID]],0))</f>
        <v/>
      </c>
      <c r="BJ160" s="64" t="str">
        <f>INDEX(Table5[[#All],[Pick]],MATCH(Table3[[#This Row],[PID]],Table5[[#All],[PID]],0))</f>
        <v/>
      </c>
      <c r="BK160" s="64" t="str">
        <f>INDEX(Table5[[#All],[Team]],MATCH(Table3[[#This Row],[PID]],Table5[[#All],[PID]],0))</f>
        <v/>
      </c>
      <c r="BL160" s="64" t="str">
        <f>IF(OR(Table3[[#This Row],[POS]]="SP",Table3[[#This Row],[POS]]="RP",Table3[[#This Row],[POS]]="CL"),"P",INDEX(Batters[[#All],[zScore]],MATCH(Table3[[#This Row],[PID]],Batters[[#All],[PID]],0)))</f>
        <v>P</v>
      </c>
    </row>
    <row r="161" spans="1:64" ht="15" customHeight="1" x14ac:dyDescent="0.25">
      <c r="A161" s="40">
        <v>20560</v>
      </c>
      <c r="B161" s="40" t="s">
        <v>415</v>
      </c>
      <c r="C161" s="40" t="s">
        <v>339</v>
      </c>
      <c r="D161" s="40" t="s">
        <v>1993</v>
      </c>
      <c r="E161" s="40">
        <v>18</v>
      </c>
      <c r="F161" s="40" t="s">
        <v>42</v>
      </c>
      <c r="G161" s="40" t="s">
        <v>42</v>
      </c>
      <c r="H161" s="41" t="s">
        <v>647</v>
      </c>
      <c r="I161" s="42" t="s">
        <v>44</v>
      </c>
      <c r="J161" s="40" t="s">
        <v>44</v>
      </c>
      <c r="K161" s="41" t="s">
        <v>43</v>
      </c>
      <c r="L161" s="40">
        <v>2</v>
      </c>
      <c r="M161" s="40">
        <v>2</v>
      </c>
      <c r="N161" s="41">
        <v>1</v>
      </c>
      <c r="O161" s="40">
        <v>4</v>
      </c>
      <c r="P161" s="40">
        <v>2</v>
      </c>
      <c r="Q161" s="41">
        <v>3</v>
      </c>
      <c r="R161" s="40" t="s">
        <v>45</v>
      </c>
      <c r="S161" s="40" t="s">
        <v>45</v>
      </c>
      <c r="T161" s="40">
        <v>1</v>
      </c>
      <c r="U161" s="40">
        <v>6</v>
      </c>
      <c r="V161" s="40" t="s">
        <v>45</v>
      </c>
      <c r="W161" s="40" t="s">
        <v>45</v>
      </c>
      <c r="X161" s="40" t="s">
        <v>45</v>
      </c>
      <c r="Y161" s="40" t="s">
        <v>45</v>
      </c>
      <c r="Z161" s="40">
        <v>3</v>
      </c>
      <c r="AA161" s="40">
        <v>4</v>
      </c>
      <c r="AB161" s="40" t="s">
        <v>45</v>
      </c>
      <c r="AC161" s="40" t="s">
        <v>45</v>
      </c>
      <c r="AD161" s="40">
        <v>3</v>
      </c>
      <c r="AE161" s="40">
        <v>4</v>
      </c>
      <c r="AF161" s="40" t="s">
        <v>45</v>
      </c>
      <c r="AG161" s="40" t="s">
        <v>45</v>
      </c>
      <c r="AH161" s="40" t="s">
        <v>45</v>
      </c>
      <c r="AI161" s="40" t="s">
        <v>45</v>
      </c>
      <c r="AJ161" s="40" t="s">
        <v>45</v>
      </c>
      <c r="AK161" s="40" t="s">
        <v>45</v>
      </c>
      <c r="AL161" s="40" t="s">
        <v>45</v>
      </c>
      <c r="AM161" s="40" t="s">
        <v>45</v>
      </c>
      <c r="AN161" s="40" t="s">
        <v>45</v>
      </c>
      <c r="AO161" s="41" t="s">
        <v>45</v>
      </c>
      <c r="AP161" s="40" t="s">
        <v>349</v>
      </c>
      <c r="AQ161" s="40">
        <v>8</v>
      </c>
      <c r="AR161" s="48" t="s">
        <v>347</v>
      </c>
      <c r="AS161" s="43" t="s">
        <v>654</v>
      </c>
      <c r="AT161" s="43" t="s">
        <v>47</v>
      </c>
      <c r="AU161" s="44">
        <f t="shared" si="17"/>
        <v>-2.311361197028369</v>
      </c>
      <c r="AV161" s="44">
        <f t="shared" si="18"/>
        <v>-0.99184266516472974</v>
      </c>
      <c r="AW161" s="45">
        <f t="shared" si="19"/>
        <v>3</v>
      </c>
      <c r="AX161" s="45">
        <f t="shared" si="20"/>
        <v>1</v>
      </c>
      <c r="AY161" s="46">
        <f>VLOOKUP(AP161,COND!$A$10:$B$32,2,FALSE)</f>
        <v>1</v>
      </c>
      <c r="AZ161" s="44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34.00087445729973</v>
      </c>
      <c r="BA161" s="47">
        <f>STANDARDIZE(AZ161,AVERAGE($AZ$5:$AZ$557),STDEVP($AZ$5:$AZ$557))</f>
        <v>-0.12438506296557858</v>
      </c>
      <c r="BB161" s="45" t="str">
        <f t="shared" si="21"/>
        <v>SP</v>
      </c>
      <c r="BC161" s="45">
        <f>RANK(Table3[[#This Row],[zScore]],Table3[zScore])</f>
        <v>350</v>
      </c>
      <c r="BD161" s="45"/>
      <c r="BE161" s="45"/>
      <c r="BF161" s="45" t="str">
        <f t="shared" si="22"/>
        <v>Unlikely</v>
      </c>
      <c r="BG161" s="45"/>
      <c r="BH161" s="45" t="str">
        <f>INDEX(Table5[[#All],[Ovr]],MATCH(Table3[[#This Row],[PID]],Table5[[#All],[PID]],0))</f>
        <v/>
      </c>
      <c r="BI161" s="45" t="str">
        <f>INDEX(Table5[[#All],[Rnd]],MATCH(Table3[[#This Row],[PID]],Table5[[#All],[PID]],0))</f>
        <v/>
      </c>
      <c r="BJ161" s="45" t="str">
        <f>INDEX(Table5[[#All],[Pick]],MATCH(Table3[[#This Row],[PID]],Table5[[#All],[PID]],0))</f>
        <v/>
      </c>
      <c r="BK161" s="45" t="str">
        <f>INDEX(Table5[[#All],[Team]],MATCH(Table3[[#This Row],[PID]],Table5[[#All],[PID]],0))</f>
        <v/>
      </c>
      <c r="BL1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2" spans="1:64" ht="15" customHeight="1" x14ac:dyDescent="0.25">
      <c r="A162" s="40">
        <v>17896</v>
      </c>
      <c r="B162" s="40" t="s">
        <v>415</v>
      </c>
      <c r="C162" s="40" t="s">
        <v>2182</v>
      </c>
      <c r="D162" s="40" t="s">
        <v>2183</v>
      </c>
      <c r="E162" s="40">
        <v>18</v>
      </c>
      <c r="F162" s="40" t="s">
        <v>42</v>
      </c>
      <c r="G162" s="40" t="s">
        <v>42</v>
      </c>
      <c r="H162" s="41" t="s">
        <v>647</v>
      </c>
      <c r="I162" s="42" t="s">
        <v>43</v>
      </c>
      <c r="J162" s="40" t="s">
        <v>44</v>
      </c>
      <c r="K162" s="41" t="s">
        <v>44</v>
      </c>
      <c r="L162" s="40">
        <v>2</v>
      </c>
      <c r="M162" s="40">
        <v>1</v>
      </c>
      <c r="N162" s="41">
        <v>1</v>
      </c>
      <c r="O162" s="40">
        <v>5</v>
      </c>
      <c r="P162" s="40">
        <v>1</v>
      </c>
      <c r="Q162" s="41">
        <v>3</v>
      </c>
      <c r="R162" s="40">
        <v>3</v>
      </c>
      <c r="S162" s="40">
        <v>5</v>
      </c>
      <c r="T162" s="40">
        <v>1</v>
      </c>
      <c r="U162" s="40">
        <v>7</v>
      </c>
      <c r="V162" s="40" t="s">
        <v>45</v>
      </c>
      <c r="W162" s="40" t="s">
        <v>45</v>
      </c>
      <c r="X162" s="40">
        <v>3</v>
      </c>
      <c r="Y162" s="40">
        <v>6</v>
      </c>
      <c r="Z162" s="40" t="s">
        <v>45</v>
      </c>
      <c r="AA162" s="40" t="s">
        <v>45</v>
      </c>
      <c r="AB162" s="40" t="s">
        <v>45</v>
      </c>
      <c r="AC162" s="40" t="s">
        <v>45</v>
      </c>
      <c r="AD162" s="40" t="s">
        <v>45</v>
      </c>
      <c r="AE162" s="40" t="s">
        <v>45</v>
      </c>
      <c r="AF162" s="40" t="s">
        <v>45</v>
      </c>
      <c r="AG162" s="40" t="s">
        <v>45</v>
      </c>
      <c r="AH162" s="40" t="s">
        <v>45</v>
      </c>
      <c r="AI162" s="40" t="s">
        <v>45</v>
      </c>
      <c r="AJ162" s="40" t="s">
        <v>45</v>
      </c>
      <c r="AK162" s="40" t="s">
        <v>45</v>
      </c>
      <c r="AL162" s="40" t="s">
        <v>45</v>
      </c>
      <c r="AM162" s="40" t="s">
        <v>45</v>
      </c>
      <c r="AN162" s="40" t="s">
        <v>45</v>
      </c>
      <c r="AO162" s="41" t="s">
        <v>45</v>
      </c>
      <c r="AP162" s="40" t="s">
        <v>64</v>
      </c>
      <c r="AQ162" s="40">
        <v>7</v>
      </c>
      <c r="AR162" s="48" t="s">
        <v>351</v>
      </c>
      <c r="AS162" s="43" t="s">
        <v>45</v>
      </c>
      <c r="AT162" s="43"/>
      <c r="AU162" s="44">
        <f t="shared" si="17"/>
        <v>-2.5067929134584248</v>
      </c>
      <c r="AV162" s="44">
        <f t="shared" si="18"/>
        <v>-0.99258305708561179</v>
      </c>
      <c r="AW162" s="45">
        <f t="shared" si="19"/>
        <v>3</v>
      </c>
      <c r="AX162" s="45">
        <f t="shared" si="20"/>
        <v>2</v>
      </c>
      <c r="AY162" s="46">
        <f>VLOOKUP(AP162,COND!$A$10:$B$32,2,FALSE)</f>
        <v>1</v>
      </c>
      <c r="AZ162" s="44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35.046980275596077</v>
      </c>
      <c r="BA162" s="47">
        <f>STANDARDIZE(AZ162,AVERAGE($AZ$5:$AZ$788),STDEVP($AZ$5:$AZ$788))</f>
        <v>-0.12536773751073746</v>
      </c>
      <c r="BB162" s="45" t="str">
        <f t="shared" si="21"/>
        <v>SP</v>
      </c>
      <c r="BC162" s="45">
        <f>RANK(Table3[[#This Row],[zScore]],Table3[zScore])</f>
        <v>351</v>
      </c>
      <c r="BD162" s="45"/>
      <c r="BE162" s="45"/>
      <c r="BF162" s="45" t="str">
        <f t="shared" si="22"/>
        <v>Unlikely</v>
      </c>
      <c r="BG162" s="45"/>
      <c r="BH162" s="64" t="str">
        <f>INDEX(Table5[[#All],[Ovr]],MATCH(Table3[[#This Row],[PID]],Table5[[#All],[PID]],0))</f>
        <v/>
      </c>
      <c r="BI162" s="64" t="str">
        <f>INDEX(Table5[[#All],[Rnd]],MATCH(Table3[[#This Row],[PID]],Table5[[#All],[PID]],0))</f>
        <v/>
      </c>
      <c r="BJ162" s="64" t="str">
        <f>INDEX(Table5[[#All],[Pick]],MATCH(Table3[[#This Row],[PID]],Table5[[#All],[PID]],0))</f>
        <v/>
      </c>
      <c r="BK162" s="64" t="str">
        <f>INDEX(Table5[[#All],[Team]],MATCH(Table3[[#This Row],[PID]],Table5[[#All],[PID]],0))</f>
        <v/>
      </c>
      <c r="BL162" s="64" t="str">
        <f>IF(OR(Table3[[#This Row],[POS]]="SP",Table3[[#This Row],[POS]]="RP",Table3[[#This Row],[POS]]="CL"),"P",INDEX(Batters[[#All],[zScore]],MATCH(Table3[[#This Row],[PID]],Batters[[#All],[PID]],0)))</f>
        <v>P</v>
      </c>
    </row>
    <row r="163" spans="1:64" ht="15" customHeight="1" x14ac:dyDescent="0.25">
      <c r="A163" s="40">
        <v>21107</v>
      </c>
      <c r="B163" s="40" t="s">
        <v>415</v>
      </c>
      <c r="C163" s="40" t="s">
        <v>155</v>
      </c>
      <c r="D163" s="40" t="s">
        <v>1609</v>
      </c>
      <c r="E163" s="40">
        <v>17</v>
      </c>
      <c r="F163" s="40" t="s">
        <v>42</v>
      </c>
      <c r="G163" s="40" t="s">
        <v>42</v>
      </c>
      <c r="H163" s="41" t="s">
        <v>647</v>
      </c>
      <c r="I163" s="42" t="s">
        <v>43</v>
      </c>
      <c r="J163" s="40" t="s">
        <v>44</v>
      </c>
      <c r="K163" s="41" t="s">
        <v>43</v>
      </c>
      <c r="L163" s="40">
        <v>2</v>
      </c>
      <c r="M163" s="40">
        <v>2</v>
      </c>
      <c r="N163" s="41">
        <v>1</v>
      </c>
      <c r="O163" s="40">
        <v>4</v>
      </c>
      <c r="P163" s="40">
        <v>2</v>
      </c>
      <c r="Q163" s="41">
        <v>3</v>
      </c>
      <c r="R163" s="40">
        <v>2</v>
      </c>
      <c r="S163" s="40">
        <v>4</v>
      </c>
      <c r="T163" s="40" t="s">
        <v>45</v>
      </c>
      <c r="U163" s="40" t="s">
        <v>45</v>
      </c>
      <c r="V163" s="40">
        <v>2</v>
      </c>
      <c r="W163" s="40">
        <v>6</v>
      </c>
      <c r="X163" s="40">
        <v>2</v>
      </c>
      <c r="Y163" s="40">
        <v>5</v>
      </c>
      <c r="Z163" s="40" t="s">
        <v>45</v>
      </c>
      <c r="AA163" s="40" t="s">
        <v>45</v>
      </c>
      <c r="AB163" s="40" t="s">
        <v>45</v>
      </c>
      <c r="AC163" s="40" t="s">
        <v>45</v>
      </c>
      <c r="AD163" s="40" t="s">
        <v>45</v>
      </c>
      <c r="AE163" s="40" t="s">
        <v>45</v>
      </c>
      <c r="AF163" s="40" t="s">
        <v>45</v>
      </c>
      <c r="AG163" s="40" t="s">
        <v>45</v>
      </c>
      <c r="AH163" s="40" t="s">
        <v>45</v>
      </c>
      <c r="AI163" s="40" t="s">
        <v>45</v>
      </c>
      <c r="AJ163" s="40" t="s">
        <v>45</v>
      </c>
      <c r="AK163" s="40" t="s">
        <v>45</v>
      </c>
      <c r="AL163" s="40" t="s">
        <v>45</v>
      </c>
      <c r="AM163" s="40" t="s">
        <v>45</v>
      </c>
      <c r="AN163" s="40" t="s">
        <v>45</v>
      </c>
      <c r="AO163" s="41" t="s">
        <v>45</v>
      </c>
      <c r="AP163" s="40" t="s">
        <v>65</v>
      </c>
      <c r="AQ163" s="40">
        <v>9</v>
      </c>
      <c r="AR163" s="48" t="s">
        <v>347</v>
      </c>
      <c r="AS163" s="43" t="s">
        <v>657</v>
      </c>
      <c r="AT163" s="43"/>
      <c r="AU163" s="44">
        <f t="shared" si="17"/>
        <v>-2.311361197028369</v>
      </c>
      <c r="AV163" s="44">
        <f t="shared" si="18"/>
        <v>-0.99184266516472974</v>
      </c>
      <c r="AW163" s="45">
        <f t="shared" si="19"/>
        <v>3</v>
      </c>
      <c r="AX163" s="45">
        <f t="shared" si="20"/>
        <v>1</v>
      </c>
      <c r="AY163" s="46">
        <f>VLOOKUP(AP163,COND!$A$10:$B$32,2,FALSE)</f>
        <v>0.95</v>
      </c>
      <c r="AZ163" s="44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35.028330734434746</v>
      </c>
      <c r="BA163" s="47">
        <f>STANDARDIZE(AZ163,AVERAGE($AZ$5:$AZ$788),STDEVP($AZ$5:$AZ$788))</f>
        <v>-0.12671726428843066</v>
      </c>
      <c r="BB163" s="45" t="str">
        <f t="shared" si="21"/>
        <v>SP</v>
      </c>
      <c r="BC163" s="45">
        <f>RANK(Table3[[#This Row],[zScore]],Table3[zScore])</f>
        <v>352</v>
      </c>
      <c r="BD163" s="45"/>
      <c r="BE163" s="45"/>
      <c r="BF163" s="45" t="str">
        <f t="shared" si="22"/>
        <v>Unlikely</v>
      </c>
      <c r="BG163" s="45"/>
      <c r="BH163" s="64" t="str">
        <f>INDEX(Table5[[#All],[Ovr]],MATCH(Table3[[#This Row],[PID]],Table5[[#All],[PID]],0))</f>
        <v/>
      </c>
      <c r="BI163" s="64" t="str">
        <f>INDEX(Table5[[#All],[Rnd]],MATCH(Table3[[#This Row],[PID]],Table5[[#All],[PID]],0))</f>
        <v/>
      </c>
      <c r="BJ163" s="64" t="str">
        <f>INDEX(Table5[[#All],[Pick]],MATCH(Table3[[#This Row],[PID]],Table5[[#All],[PID]],0))</f>
        <v/>
      </c>
      <c r="BK163" s="64" t="str">
        <f>INDEX(Table5[[#All],[Team]],MATCH(Table3[[#This Row],[PID]],Table5[[#All],[PID]],0))</f>
        <v/>
      </c>
      <c r="BL163" s="64" t="str">
        <f>IF(OR(Table3[[#This Row],[POS]]="SP",Table3[[#This Row],[POS]]="RP",Table3[[#This Row],[POS]]="CL"),"P",INDEX(Batters[[#All],[zScore]],MATCH(Table3[[#This Row],[PID]],Batters[[#All],[PID]],0)))</f>
        <v>P</v>
      </c>
    </row>
    <row r="164" spans="1:64" ht="15" customHeight="1" x14ac:dyDescent="0.25">
      <c r="A164" s="40">
        <v>18392</v>
      </c>
      <c r="B164" s="40" t="s">
        <v>415</v>
      </c>
      <c r="C164" s="40" t="s">
        <v>650</v>
      </c>
      <c r="D164" s="40" t="s">
        <v>941</v>
      </c>
      <c r="E164" s="40">
        <v>18</v>
      </c>
      <c r="F164" s="40" t="s">
        <v>42</v>
      </c>
      <c r="G164" s="40" t="s">
        <v>42</v>
      </c>
      <c r="H164" s="41" t="s">
        <v>647</v>
      </c>
      <c r="I164" s="42" t="s">
        <v>43</v>
      </c>
      <c r="J164" s="40" t="s">
        <v>43</v>
      </c>
      <c r="K164" s="41" t="s">
        <v>43</v>
      </c>
      <c r="L164" s="40">
        <v>2</v>
      </c>
      <c r="M164" s="40">
        <v>2</v>
      </c>
      <c r="N164" s="41">
        <v>1</v>
      </c>
      <c r="O164" s="40">
        <v>5</v>
      </c>
      <c r="P164" s="40">
        <v>2</v>
      </c>
      <c r="Q164" s="41">
        <v>2</v>
      </c>
      <c r="R164" s="40">
        <v>3</v>
      </c>
      <c r="S164" s="40">
        <v>5</v>
      </c>
      <c r="T164" s="40">
        <v>1</v>
      </c>
      <c r="U164" s="40">
        <v>1</v>
      </c>
      <c r="V164" s="40" t="s">
        <v>45</v>
      </c>
      <c r="W164" s="40" t="s">
        <v>45</v>
      </c>
      <c r="X164" s="40">
        <v>2</v>
      </c>
      <c r="Y164" s="40">
        <v>7</v>
      </c>
      <c r="Z164" s="40" t="s">
        <v>45</v>
      </c>
      <c r="AA164" s="40" t="s">
        <v>45</v>
      </c>
      <c r="AB164" s="40" t="s">
        <v>45</v>
      </c>
      <c r="AC164" s="40" t="s">
        <v>45</v>
      </c>
      <c r="AD164" s="40" t="s">
        <v>45</v>
      </c>
      <c r="AE164" s="40" t="s">
        <v>45</v>
      </c>
      <c r="AF164" s="40" t="s">
        <v>45</v>
      </c>
      <c r="AG164" s="40" t="s">
        <v>45</v>
      </c>
      <c r="AH164" s="40" t="s">
        <v>45</v>
      </c>
      <c r="AI164" s="40" t="s">
        <v>45</v>
      </c>
      <c r="AJ164" s="40" t="s">
        <v>45</v>
      </c>
      <c r="AK164" s="40" t="s">
        <v>45</v>
      </c>
      <c r="AL164" s="40" t="s">
        <v>45</v>
      </c>
      <c r="AM164" s="40" t="s">
        <v>45</v>
      </c>
      <c r="AN164" s="40" t="s">
        <v>45</v>
      </c>
      <c r="AO164" s="41" t="s">
        <v>45</v>
      </c>
      <c r="AP164" s="40" t="s">
        <v>64</v>
      </c>
      <c r="AQ164" s="40">
        <v>6</v>
      </c>
      <c r="AR164" s="48" t="s">
        <v>347</v>
      </c>
      <c r="AS164" s="43" t="s">
        <v>644</v>
      </c>
      <c r="AT164" s="43" t="s">
        <v>635</v>
      </c>
      <c r="AU164" s="44">
        <f t="shared" si="17"/>
        <v>-2.311361197028369</v>
      </c>
      <c r="AV164" s="44">
        <f t="shared" si="18"/>
        <v>-1.0394719067096667</v>
      </c>
      <c r="AW164" s="45">
        <f t="shared" si="19"/>
        <v>3</v>
      </c>
      <c r="AX164" s="45">
        <f t="shared" si="20"/>
        <v>1</v>
      </c>
      <c r="AY164" s="46">
        <f>VLOOKUP(AP164,COND!$A$10:$B$32,2,FALSE)</f>
        <v>1</v>
      </c>
      <c r="AZ164" s="44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33.960832385740972</v>
      </c>
      <c r="BA164" s="47">
        <f t="shared" ref="BA164:BA170" si="23">STANDARDIZE(AZ164,AVERAGE($AZ$5:$AZ$557),STDEVP($AZ$5:$AZ$557))</f>
        <v>-0.12704900079773918</v>
      </c>
      <c r="BB164" s="45" t="str">
        <f t="shared" si="21"/>
        <v>SP</v>
      </c>
      <c r="BC164" s="45">
        <f>RANK(Table3[[#This Row],[zScore]],Table3[zScore])</f>
        <v>353</v>
      </c>
      <c r="BD164" s="45"/>
      <c r="BE164" s="45"/>
      <c r="BF164" s="45" t="str">
        <f t="shared" si="22"/>
        <v>Unlikely</v>
      </c>
      <c r="BG164" s="45"/>
      <c r="BH164" s="45" t="str">
        <f>INDEX(Table5[[#All],[Ovr]],MATCH(Table3[[#This Row],[PID]],Table5[[#All],[PID]],0))</f>
        <v/>
      </c>
      <c r="BI164" s="45" t="str">
        <f>INDEX(Table5[[#All],[Rnd]],MATCH(Table3[[#This Row],[PID]],Table5[[#All],[PID]],0))</f>
        <v/>
      </c>
      <c r="BJ164" s="45" t="str">
        <f>INDEX(Table5[[#All],[Pick]],MATCH(Table3[[#This Row],[PID]],Table5[[#All],[PID]],0))</f>
        <v/>
      </c>
      <c r="BK164" s="45" t="str">
        <f>INDEX(Table5[[#All],[Team]],MATCH(Table3[[#This Row],[PID]],Table5[[#All],[PID]],0))</f>
        <v/>
      </c>
      <c r="BL16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5" spans="1:64" ht="15" customHeight="1" x14ac:dyDescent="0.25">
      <c r="A165" s="40">
        <v>21085</v>
      </c>
      <c r="B165" s="40" t="s">
        <v>415</v>
      </c>
      <c r="C165" s="40" t="s">
        <v>128</v>
      </c>
      <c r="D165" s="40" t="s">
        <v>699</v>
      </c>
      <c r="E165" s="40">
        <v>17</v>
      </c>
      <c r="F165" s="40" t="s">
        <v>42</v>
      </c>
      <c r="G165" s="40" t="s">
        <v>42</v>
      </c>
      <c r="H165" s="41" t="s">
        <v>647</v>
      </c>
      <c r="I165" s="42" t="s">
        <v>43</v>
      </c>
      <c r="J165" s="40" t="s">
        <v>43</v>
      </c>
      <c r="K165" s="41" t="s">
        <v>43</v>
      </c>
      <c r="L165" s="40">
        <v>2</v>
      </c>
      <c r="M165" s="40">
        <v>2</v>
      </c>
      <c r="N165" s="41">
        <v>1</v>
      </c>
      <c r="O165" s="40">
        <v>5</v>
      </c>
      <c r="P165" s="40">
        <v>2</v>
      </c>
      <c r="Q165" s="41">
        <v>2</v>
      </c>
      <c r="R165" s="40">
        <v>4</v>
      </c>
      <c r="S165" s="40">
        <v>6</v>
      </c>
      <c r="T165" s="40">
        <v>1</v>
      </c>
      <c r="U165" s="40">
        <v>1</v>
      </c>
      <c r="V165" s="40" t="s">
        <v>45</v>
      </c>
      <c r="W165" s="40" t="s">
        <v>45</v>
      </c>
      <c r="X165" s="40" t="s">
        <v>45</v>
      </c>
      <c r="Y165" s="40" t="s">
        <v>45</v>
      </c>
      <c r="Z165" s="40" t="s">
        <v>45</v>
      </c>
      <c r="AA165" s="40" t="s">
        <v>45</v>
      </c>
      <c r="AB165" s="40" t="s">
        <v>45</v>
      </c>
      <c r="AC165" s="40" t="s">
        <v>45</v>
      </c>
      <c r="AD165" s="40">
        <v>3</v>
      </c>
      <c r="AE165" s="40">
        <v>5</v>
      </c>
      <c r="AF165" s="40" t="s">
        <v>45</v>
      </c>
      <c r="AG165" s="40" t="s">
        <v>45</v>
      </c>
      <c r="AH165" s="40" t="s">
        <v>45</v>
      </c>
      <c r="AI165" s="40" t="s">
        <v>45</v>
      </c>
      <c r="AJ165" s="40" t="s">
        <v>45</v>
      </c>
      <c r="AK165" s="40" t="s">
        <v>45</v>
      </c>
      <c r="AL165" s="40" t="s">
        <v>45</v>
      </c>
      <c r="AM165" s="40" t="s">
        <v>45</v>
      </c>
      <c r="AN165" s="40" t="s">
        <v>45</v>
      </c>
      <c r="AO165" s="41" t="s">
        <v>45</v>
      </c>
      <c r="AP165" s="40" t="s">
        <v>57</v>
      </c>
      <c r="AQ165" s="40">
        <v>5</v>
      </c>
      <c r="AR165" s="48" t="s">
        <v>347</v>
      </c>
      <c r="AS165" s="43" t="s">
        <v>644</v>
      </c>
      <c r="AT165" s="43" t="s">
        <v>635</v>
      </c>
      <c r="AU165" s="44">
        <f t="shared" si="17"/>
        <v>-2.311361197028369</v>
      </c>
      <c r="AV165" s="44">
        <f t="shared" si="18"/>
        <v>-1.0394719067096667</v>
      </c>
      <c r="AW165" s="45">
        <f t="shared" si="19"/>
        <v>3</v>
      </c>
      <c r="AX165" s="45">
        <f t="shared" si="20"/>
        <v>1</v>
      </c>
      <c r="AY165" s="46">
        <f>VLOOKUP(AP165,COND!$A$10:$B$32,2,FALSE)</f>
        <v>1</v>
      </c>
      <c r="AZ165" s="44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33.960832385740972</v>
      </c>
      <c r="BA165" s="47">
        <f t="shared" si="23"/>
        <v>-0.12704900079773918</v>
      </c>
      <c r="BB165" s="45" t="str">
        <f t="shared" si="21"/>
        <v>SP</v>
      </c>
      <c r="BC165" s="45">
        <f>RANK(Table3[[#This Row],[zScore]],Table3[zScore])</f>
        <v>353</v>
      </c>
      <c r="BD165" s="45"/>
      <c r="BE165" s="45"/>
      <c r="BF165" s="45" t="str">
        <f t="shared" si="22"/>
        <v>Unlikely</v>
      </c>
      <c r="BG165" s="45"/>
      <c r="BH165" s="45" t="str">
        <f>INDEX(Table5[[#All],[Ovr]],MATCH(Table3[[#This Row],[PID]],Table5[[#All],[PID]],0))</f>
        <v/>
      </c>
      <c r="BI165" s="45" t="str">
        <f>INDEX(Table5[[#All],[Rnd]],MATCH(Table3[[#This Row],[PID]],Table5[[#All],[PID]],0))</f>
        <v/>
      </c>
      <c r="BJ165" s="45" t="str">
        <f>INDEX(Table5[[#All],[Pick]],MATCH(Table3[[#This Row],[PID]],Table5[[#All],[PID]],0))</f>
        <v/>
      </c>
      <c r="BK165" s="45" t="str">
        <f>INDEX(Table5[[#All],[Team]],MATCH(Table3[[#This Row],[PID]],Table5[[#All],[PID]],0))</f>
        <v/>
      </c>
      <c r="BL1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6" spans="1:64" ht="15" customHeight="1" x14ac:dyDescent="0.25">
      <c r="A166" s="40">
        <v>17589</v>
      </c>
      <c r="B166" s="40" t="s">
        <v>415</v>
      </c>
      <c r="C166" s="40" t="s">
        <v>371</v>
      </c>
      <c r="D166" s="40" t="s">
        <v>1869</v>
      </c>
      <c r="E166" s="40">
        <v>18</v>
      </c>
      <c r="F166" s="40" t="s">
        <v>53</v>
      </c>
      <c r="G166" s="40" t="s">
        <v>42</v>
      </c>
      <c r="H166" s="41" t="s">
        <v>647</v>
      </c>
      <c r="I166" s="42" t="s">
        <v>43</v>
      </c>
      <c r="J166" s="40" t="s">
        <v>43</v>
      </c>
      <c r="K166" s="41" t="s">
        <v>43</v>
      </c>
      <c r="L166" s="40">
        <v>1</v>
      </c>
      <c r="M166" s="40">
        <v>2</v>
      </c>
      <c r="N166" s="41">
        <v>1</v>
      </c>
      <c r="O166" s="40">
        <v>4</v>
      </c>
      <c r="P166" s="40">
        <v>2</v>
      </c>
      <c r="Q166" s="41">
        <v>3</v>
      </c>
      <c r="R166" s="40">
        <v>2</v>
      </c>
      <c r="S166" s="40">
        <v>3</v>
      </c>
      <c r="T166" s="40">
        <v>1</v>
      </c>
      <c r="U166" s="40">
        <v>5</v>
      </c>
      <c r="V166" s="40" t="s">
        <v>45</v>
      </c>
      <c r="W166" s="40" t="s">
        <v>45</v>
      </c>
      <c r="X166" s="40">
        <v>2</v>
      </c>
      <c r="Y166" s="40">
        <v>4</v>
      </c>
      <c r="Z166" s="40" t="s">
        <v>45</v>
      </c>
      <c r="AA166" s="40" t="s">
        <v>45</v>
      </c>
      <c r="AB166" s="40" t="s">
        <v>45</v>
      </c>
      <c r="AC166" s="40" t="s">
        <v>45</v>
      </c>
      <c r="AD166" s="40" t="s">
        <v>45</v>
      </c>
      <c r="AE166" s="40" t="s">
        <v>45</v>
      </c>
      <c r="AF166" s="40">
        <v>2</v>
      </c>
      <c r="AG166" s="40">
        <v>2</v>
      </c>
      <c r="AH166" s="40" t="s">
        <v>45</v>
      </c>
      <c r="AI166" s="40" t="s">
        <v>45</v>
      </c>
      <c r="AJ166" s="40" t="s">
        <v>45</v>
      </c>
      <c r="AK166" s="40" t="s">
        <v>45</v>
      </c>
      <c r="AL166" s="40">
        <v>1</v>
      </c>
      <c r="AM166" s="40">
        <v>4</v>
      </c>
      <c r="AN166" s="40" t="s">
        <v>45</v>
      </c>
      <c r="AO166" s="41" t="s">
        <v>45</v>
      </c>
      <c r="AP166" s="40" t="s">
        <v>65</v>
      </c>
      <c r="AQ166" s="40">
        <v>3</v>
      </c>
      <c r="AR166" s="48" t="s">
        <v>347</v>
      </c>
      <c r="AS166" s="43" t="s">
        <v>657</v>
      </c>
      <c r="AT166" s="43" t="s">
        <v>47</v>
      </c>
      <c r="AU166" s="44">
        <f t="shared" si="17"/>
        <v>-2.5060525215375429</v>
      </c>
      <c r="AV166" s="44">
        <f t="shared" si="18"/>
        <v>-0.99184266516472974</v>
      </c>
      <c r="AW166" s="45">
        <f t="shared" si="19"/>
        <v>5</v>
      </c>
      <c r="AX166" s="45">
        <f t="shared" si="20"/>
        <v>0</v>
      </c>
      <c r="AY166" s="46">
        <f>VLOOKUP(AP166,COND!$A$10:$B$32,2,FALSE)</f>
        <v>0.95</v>
      </c>
      <c r="AZ166" s="44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33.901147413639102</v>
      </c>
      <c r="BA166" s="47">
        <f t="shared" si="23"/>
        <v>-0.13101975078654299</v>
      </c>
      <c r="BB166" s="45" t="str">
        <f t="shared" si="21"/>
        <v>RP</v>
      </c>
      <c r="BC166" s="45">
        <f>RANK(Table3[[#This Row],[zScore]],Table3[zScore])</f>
        <v>355</v>
      </c>
      <c r="BD166" s="45"/>
      <c r="BE166" s="45"/>
      <c r="BF166" s="45" t="str">
        <f t="shared" si="22"/>
        <v>Unlikely</v>
      </c>
      <c r="BG166" s="45"/>
      <c r="BH166" s="45" t="str">
        <f>INDEX(Table5[[#All],[Ovr]],MATCH(Table3[[#This Row],[PID]],Table5[[#All],[PID]],0))</f>
        <v/>
      </c>
      <c r="BI166" s="45" t="str">
        <f>INDEX(Table5[[#All],[Rnd]],MATCH(Table3[[#This Row],[PID]],Table5[[#All],[PID]],0))</f>
        <v/>
      </c>
      <c r="BJ166" s="45" t="str">
        <f>INDEX(Table5[[#All],[Pick]],MATCH(Table3[[#This Row],[PID]],Table5[[#All],[PID]],0))</f>
        <v/>
      </c>
      <c r="BK166" s="45" t="str">
        <f>INDEX(Table5[[#All],[Team]],MATCH(Table3[[#This Row],[PID]],Table5[[#All],[PID]],0))</f>
        <v/>
      </c>
      <c r="BL1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7" spans="1:64" ht="15" customHeight="1" x14ac:dyDescent="0.25">
      <c r="A167" s="40">
        <v>581</v>
      </c>
      <c r="B167" s="40" t="s">
        <v>415</v>
      </c>
      <c r="C167" s="40" t="s">
        <v>145</v>
      </c>
      <c r="D167" s="40" t="s">
        <v>131</v>
      </c>
      <c r="E167" s="40">
        <v>18</v>
      </c>
      <c r="F167" s="40" t="s">
        <v>42</v>
      </c>
      <c r="G167" s="40" t="s">
        <v>42</v>
      </c>
      <c r="H167" s="41" t="s">
        <v>647</v>
      </c>
      <c r="I167" s="42" t="s">
        <v>43</v>
      </c>
      <c r="J167" s="40" t="s">
        <v>47</v>
      </c>
      <c r="K167" s="41" t="s">
        <v>47</v>
      </c>
      <c r="L167" s="40">
        <v>2</v>
      </c>
      <c r="M167" s="40">
        <v>2</v>
      </c>
      <c r="N167" s="41">
        <v>1</v>
      </c>
      <c r="O167" s="40">
        <v>4</v>
      </c>
      <c r="P167" s="40">
        <v>2</v>
      </c>
      <c r="Q167" s="41">
        <v>3</v>
      </c>
      <c r="R167" s="40">
        <v>3</v>
      </c>
      <c r="S167" s="40">
        <v>5</v>
      </c>
      <c r="T167" s="40" t="s">
        <v>45</v>
      </c>
      <c r="U167" s="40" t="s">
        <v>45</v>
      </c>
      <c r="V167" s="40" t="s">
        <v>45</v>
      </c>
      <c r="W167" s="40" t="s">
        <v>45</v>
      </c>
      <c r="X167" s="40" t="s">
        <v>45</v>
      </c>
      <c r="Y167" s="40" t="s">
        <v>45</v>
      </c>
      <c r="Z167" s="40" t="s">
        <v>45</v>
      </c>
      <c r="AA167" s="40" t="s">
        <v>45</v>
      </c>
      <c r="AB167" s="40">
        <v>3</v>
      </c>
      <c r="AC167" s="40">
        <v>4</v>
      </c>
      <c r="AD167" s="40" t="s">
        <v>45</v>
      </c>
      <c r="AE167" s="40" t="s">
        <v>45</v>
      </c>
      <c r="AF167" s="40" t="s">
        <v>45</v>
      </c>
      <c r="AG167" s="40" t="s">
        <v>45</v>
      </c>
      <c r="AH167" s="40">
        <v>1</v>
      </c>
      <c r="AI167" s="40">
        <v>4</v>
      </c>
      <c r="AJ167" s="40" t="s">
        <v>45</v>
      </c>
      <c r="AK167" s="40" t="s">
        <v>45</v>
      </c>
      <c r="AL167" s="40" t="s">
        <v>45</v>
      </c>
      <c r="AM167" s="40" t="s">
        <v>45</v>
      </c>
      <c r="AN167" s="40" t="s">
        <v>45</v>
      </c>
      <c r="AO167" s="41" t="s">
        <v>45</v>
      </c>
      <c r="AP167" s="40" t="s">
        <v>350</v>
      </c>
      <c r="AQ167" s="40">
        <v>8</v>
      </c>
      <c r="AR167" s="48" t="s">
        <v>347</v>
      </c>
      <c r="AS167" s="43" t="s">
        <v>644</v>
      </c>
      <c r="AT167" s="43" t="s">
        <v>47</v>
      </c>
      <c r="AU167" s="44">
        <f t="shared" si="17"/>
        <v>-2.311361197028369</v>
      </c>
      <c r="AV167" s="44">
        <f t="shared" si="18"/>
        <v>-0.99184266516472974</v>
      </c>
      <c r="AW167" s="45">
        <f t="shared" si="19"/>
        <v>3</v>
      </c>
      <c r="AX167" s="45">
        <f t="shared" si="20"/>
        <v>0</v>
      </c>
      <c r="AY167" s="46">
        <f>VLOOKUP(AP167,COND!$A$10:$B$32,2,FALSE)</f>
        <v>1</v>
      </c>
      <c r="AZ167" s="44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33.800874457299727</v>
      </c>
      <c r="BA167" s="47">
        <f t="shared" si="23"/>
        <v>-0.13769075734381034</v>
      </c>
      <c r="BB167" s="45" t="str">
        <f t="shared" si="21"/>
        <v>SP</v>
      </c>
      <c r="BC167" s="45">
        <f>RANK(Table3[[#This Row],[zScore]],Table3[zScore])</f>
        <v>356</v>
      </c>
      <c r="BD167" s="45"/>
      <c r="BE167" s="45"/>
      <c r="BF167" s="45" t="str">
        <f t="shared" si="22"/>
        <v>Unlikely</v>
      </c>
      <c r="BG167" s="45"/>
      <c r="BH167" s="45" t="str">
        <f>INDEX(Table5[[#All],[Ovr]],MATCH(Table3[[#This Row],[PID]],Table5[[#All],[PID]],0))</f>
        <v/>
      </c>
      <c r="BI167" s="45" t="str">
        <f>INDEX(Table5[[#All],[Rnd]],MATCH(Table3[[#This Row],[PID]],Table5[[#All],[PID]],0))</f>
        <v/>
      </c>
      <c r="BJ167" s="45" t="str">
        <f>INDEX(Table5[[#All],[Pick]],MATCH(Table3[[#This Row],[PID]],Table5[[#All],[PID]],0))</f>
        <v/>
      </c>
      <c r="BK167" s="45" t="str">
        <f>INDEX(Table5[[#All],[Team]],MATCH(Table3[[#This Row],[PID]],Table5[[#All],[PID]],0))</f>
        <v/>
      </c>
      <c r="BL1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8" spans="1:64" ht="15" customHeight="1" x14ac:dyDescent="0.25">
      <c r="A168" s="40">
        <v>18268</v>
      </c>
      <c r="B168" s="40" t="s">
        <v>415</v>
      </c>
      <c r="C168" s="40" t="s">
        <v>366</v>
      </c>
      <c r="D168" s="40" t="s">
        <v>1245</v>
      </c>
      <c r="E168" s="40">
        <v>18</v>
      </c>
      <c r="F168" s="40" t="s">
        <v>42</v>
      </c>
      <c r="G168" s="40" t="s">
        <v>42</v>
      </c>
      <c r="H168" s="41" t="s">
        <v>647</v>
      </c>
      <c r="I168" s="42" t="s">
        <v>43</v>
      </c>
      <c r="J168" s="40" t="s">
        <v>44</v>
      </c>
      <c r="K168" s="41" t="s">
        <v>44</v>
      </c>
      <c r="L168" s="40">
        <v>2</v>
      </c>
      <c r="M168" s="40">
        <v>1</v>
      </c>
      <c r="N168" s="41">
        <v>1</v>
      </c>
      <c r="O168" s="40">
        <v>5</v>
      </c>
      <c r="P168" s="40">
        <v>1</v>
      </c>
      <c r="Q168" s="41">
        <v>3</v>
      </c>
      <c r="R168" s="40" t="s">
        <v>45</v>
      </c>
      <c r="S168" s="40" t="s">
        <v>45</v>
      </c>
      <c r="T168" s="40">
        <v>1</v>
      </c>
      <c r="U168" s="40">
        <v>2</v>
      </c>
      <c r="V168" s="40" t="s">
        <v>45</v>
      </c>
      <c r="W168" s="40" t="s">
        <v>45</v>
      </c>
      <c r="X168" s="40">
        <v>2</v>
      </c>
      <c r="Y168" s="40">
        <v>6</v>
      </c>
      <c r="Z168" s="40" t="s">
        <v>45</v>
      </c>
      <c r="AA168" s="40" t="s">
        <v>45</v>
      </c>
      <c r="AB168" s="40" t="s">
        <v>45</v>
      </c>
      <c r="AC168" s="40" t="s">
        <v>45</v>
      </c>
      <c r="AD168" s="40">
        <v>3</v>
      </c>
      <c r="AE168" s="40">
        <v>5</v>
      </c>
      <c r="AF168" s="40" t="s">
        <v>45</v>
      </c>
      <c r="AG168" s="40" t="s">
        <v>45</v>
      </c>
      <c r="AH168" s="40" t="s">
        <v>45</v>
      </c>
      <c r="AI168" s="40" t="s">
        <v>45</v>
      </c>
      <c r="AJ168" s="40" t="s">
        <v>45</v>
      </c>
      <c r="AK168" s="40" t="s">
        <v>45</v>
      </c>
      <c r="AL168" s="40" t="s">
        <v>45</v>
      </c>
      <c r="AM168" s="40" t="s">
        <v>45</v>
      </c>
      <c r="AN168" s="40" t="s">
        <v>45</v>
      </c>
      <c r="AO168" s="41" t="s">
        <v>45</v>
      </c>
      <c r="AP168" s="40" t="s">
        <v>57</v>
      </c>
      <c r="AQ168" s="40">
        <v>7</v>
      </c>
      <c r="AR168" s="48" t="s">
        <v>14</v>
      </c>
      <c r="AS168" s="43" t="s">
        <v>644</v>
      </c>
      <c r="AT168" s="43" t="s">
        <v>47</v>
      </c>
      <c r="AU168" s="44">
        <f t="shared" si="17"/>
        <v>-2.5067929134584248</v>
      </c>
      <c r="AV168" s="44">
        <f t="shared" si="18"/>
        <v>-0.99258305708561179</v>
      </c>
      <c r="AW168" s="45">
        <f t="shared" si="19"/>
        <v>3</v>
      </c>
      <c r="AX168" s="45">
        <f t="shared" si="20"/>
        <v>1</v>
      </c>
      <c r="AY168" s="46">
        <f>VLOOKUP(AP168,COND!$A$10:$B$32,2,FALSE)</f>
        <v>1</v>
      </c>
      <c r="AZ168" s="44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33.796980275596077</v>
      </c>
      <c r="BA168" s="47">
        <f t="shared" si="23"/>
        <v>-0.1379498313018207</v>
      </c>
      <c r="BB168" s="45" t="str">
        <f t="shared" si="21"/>
        <v>SP</v>
      </c>
      <c r="BC168" s="45">
        <f>RANK(Table3[[#This Row],[zScore]],Table3[zScore])</f>
        <v>357</v>
      </c>
      <c r="BD168" s="45"/>
      <c r="BE168" s="45"/>
      <c r="BF168" s="45" t="str">
        <f t="shared" si="22"/>
        <v>Unlikely</v>
      </c>
      <c r="BG168" s="45"/>
      <c r="BH168" s="45" t="str">
        <f>INDEX(Table5[[#All],[Ovr]],MATCH(Table3[[#This Row],[PID]],Table5[[#All],[PID]],0))</f>
        <v/>
      </c>
      <c r="BI168" s="45" t="str">
        <f>INDEX(Table5[[#All],[Rnd]],MATCH(Table3[[#This Row],[PID]],Table5[[#All],[PID]],0))</f>
        <v/>
      </c>
      <c r="BJ168" s="45" t="str">
        <f>INDEX(Table5[[#All],[Pick]],MATCH(Table3[[#This Row],[PID]],Table5[[#All],[PID]],0))</f>
        <v/>
      </c>
      <c r="BK168" s="45" t="str">
        <f>INDEX(Table5[[#All],[Team]],MATCH(Table3[[#This Row],[PID]],Table5[[#All],[PID]],0))</f>
        <v/>
      </c>
      <c r="BL1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69" spans="1:64" ht="15" customHeight="1" x14ac:dyDescent="0.25">
      <c r="A169" s="40">
        <v>17870</v>
      </c>
      <c r="B169" s="40" t="s">
        <v>415</v>
      </c>
      <c r="C169" s="40" t="s">
        <v>364</v>
      </c>
      <c r="D169" s="40" t="s">
        <v>853</v>
      </c>
      <c r="E169" s="40">
        <v>18</v>
      </c>
      <c r="F169" s="40" t="s">
        <v>42</v>
      </c>
      <c r="G169" s="40" t="s">
        <v>42</v>
      </c>
      <c r="H169" s="41" t="s">
        <v>647</v>
      </c>
      <c r="I169" s="42" t="s">
        <v>43</v>
      </c>
      <c r="J169" s="40" t="s">
        <v>43</v>
      </c>
      <c r="K169" s="41" t="s">
        <v>43</v>
      </c>
      <c r="L169" s="40">
        <v>2</v>
      </c>
      <c r="M169" s="40">
        <v>2</v>
      </c>
      <c r="N169" s="41">
        <v>1</v>
      </c>
      <c r="O169" s="40">
        <v>4</v>
      </c>
      <c r="P169" s="40">
        <v>2</v>
      </c>
      <c r="Q169" s="41">
        <v>3</v>
      </c>
      <c r="R169" s="40" t="s">
        <v>45</v>
      </c>
      <c r="S169" s="40" t="s">
        <v>45</v>
      </c>
      <c r="T169" s="40">
        <v>1</v>
      </c>
      <c r="U169" s="40">
        <v>5</v>
      </c>
      <c r="V169" s="40">
        <v>2</v>
      </c>
      <c r="W169" s="40">
        <v>5</v>
      </c>
      <c r="X169" s="40" t="s">
        <v>45</v>
      </c>
      <c r="Y169" s="40" t="s">
        <v>45</v>
      </c>
      <c r="Z169" s="40" t="s">
        <v>45</v>
      </c>
      <c r="AA169" s="40" t="s">
        <v>45</v>
      </c>
      <c r="AB169" s="40" t="s">
        <v>45</v>
      </c>
      <c r="AC169" s="40" t="s">
        <v>45</v>
      </c>
      <c r="AD169" s="40">
        <v>3</v>
      </c>
      <c r="AE169" s="40">
        <v>4</v>
      </c>
      <c r="AF169" s="40">
        <v>3</v>
      </c>
      <c r="AG169" s="40">
        <v>4</v>
      </c>
      <c r="AH169" s="40" t="s">
        <v>45</v>
      </c>
      <c r="AI169" s="40" t="s">
        <v>45</v>
      </c>
      <c r="AJ169" s="40" t="s">
        <v>45</v>
      </c>
      <c r="AK169" s="40" t="s">
        <v>45</v>
      </c>
      <c r="AL169" s="40" t="s">
        <v>45</v>
      </c>
      <c r="AM169" s="40" t="s">
        <v>45</v>
      </c>
      <c r="AN169" s="40" t="s">
        <v>45</v>
      </c>
      <c r="AO169" s="41" t="s">
        <v>45</v>
      </c>
      <c r="AP169" s="40" t="s">
        <v>64</v>
      </c>
      <c r="AQ169" s="40">
        <v>8</v>
      </c>
      <c r="AR169" s="48" t="s">
        <v>347</v>
      </c>
      <c r="AS169" s="43" t="s">
        <v>644</v>
      </c>
      <c r="AT169" s="43" t="s">
        <v>47</v>
      </c>
      <c r="AU169" s="44">
        <f t="shared" si="17"/>
        <v>-2.311361197028369</v>
      </c>
      <c r="AV169" s="44">
        <f t="shared" si="18"/>
        <v>-0.99184266516472974</v>
      </c>
      <c r="AW169" s="45">
        <f t="shared" si="19"/>
        <v>4</v>
      </c>
      <c r="AX169" s="45">
        <f t="shared" si="20"/>
        <v>0</v>
      </c>
      <c r="AY169" s="46">
        <f>VLOOKUP(AP169,COND!$A$10:$B$32,2,FALSE)</f>
        <v>1</v>
      </c>
      <c r="AZ169" s="44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33.700874457299733</v>
      </c>
      <c r="BA169" s="47">
        <f t="shared" si="23"/>
        <v>-0.14434360453292575</v>
      </c>
      <c r="BB169" s="45" t="str">
        <f t="shared" si="21"/>
        <v>SP</v>
      </c>
      <c r="BC169" s="45">
        <f>RANK(Table3[[#This Row],[zScore]],Table3[zScore])</f>
        <v>358</v>
      </c>
      <c r="BD169" s="45"/>
      <c r="BE169" s="45"/>
      <c r="BF169" s="45" t="str">
        <f t="shared" si="22"/>
        <v>Unlikely</v>
      </c>
      <c r="BG169" s="45"/>
      <c r="BH169" s="45" t="str">
        <f>INDEX(Table5[[#All],[Ovr]],MATCH(Table3[[#This Row],[PID]],Table5[[#All],[PID]],0))</f>
        <v/>
      </c>
      <c r="BI169" s="45" t="str">
        <f>INDEX(Table5[[#All],[Rnd]],MATCH(Table3[[#This Row],[PID]],Table5[[#All],[PID]],0))</f>
        <v/>
      </c>
      <c r="BJ169" s="45" t="str">
        <f>INDEX(Table5[[#All],[Pick]],MATCH(Table3[[#This Row],[PID]],Table5[[#All],[PID]],0))</f>
        <v/>
      </c>
      <c r="BK169" s="45" t="str">
        <f>INDEX(Table5[[#All],[Team]],MATCH(Table3[[#This Row],[PID]],Table5[[#All],[PID]],0))</f>
        <v/>
      </c>
      <c r="BL1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0" spans="1:64" ht="15" customHeight="1" x14ac:dyDescent="0.25">
      <c r="A170" s="40">
        <v>17600</v>
      </c>
      <c r="B170" s="40" t="s">
        <v>415</v>
      </c>
      <c r="C170" s="40" t="s">
        <v>1631</v>
      </c>
      <c r="D170" s="40" t="s">
        <v>942</v>
      </c>
      <c r="E170" s="40">
        <v>18</v>
      </c>
      <c r="F170" s="40" t="s">
        <v>53</v>
      </c>
      <c r="G170" s="40" t="s">
        <v>53</v>
      </c>
      <c r="H170" s="41" t="s">
        <v>647</v>
      </c>
      <c r="I170" s="42" t="s">
        <v>43</v>
      </c>
      <c r="J170" s="40" t="s">
        <v>44</v>
      </c>
      <c r="K170" s="41" t="s">
        <v>47</v>
      </c>
      <c r="L170" s="40">
        <v>2</v>
      </c>
      <c r="M170" s="40">
        <v>2</v>
      </c>
      <c r="N170" s="41">
        <v>1</v>
      </c>
      <c r="O170" s="40">
        <v>5</v>
      </c>
      <c r="P170" s="40">
        <v>2</v>
      </c>
      <c r="Q170" s="41">
        <v>2</v>
      </c>
      <c r="R170" s="40">
        <v>4</v>
      </c>
      <c r="S170" s="40">
        <v>6</v>
      </c>
      <c r="T170" s="40">
        <v>1</v>
      </c>
      <c r="U170" s="40">
        <v>2</v>
      </c>
      <c r="V170" s="40">
        <v>2</v>
      </c>
      <c r="W170" s="40">
        <v>7</v>
      </c>
      <c r="X170" s="40" t="s">
        <v>45</v>
      </c>
      <c r="Y170" s="40" t="s">
        <v>45</v>
      </c>
      <c r="Z170" s="40" t="s">
        <v>45</v>
      </c>
      <c r="AA170" s="40" t="s">
        <v>45</v>
      </c>
      <c r="AB170" s="40" t="s">
        <v>45</v>
      </c>
      <c r="AC170" s="40" t="s">
        <v>45</v>
      </c>
      <c r="AD170" s="40" t="s">
        <v>45</v>
      </c>
      <c r="AE170" s="40" t="s">
        <v>45</v>
      </c>
      <c r="AF170" s="40" t="s">
        <v>45</v>
      </c>
      <c r="AG170" s="40" t="s">
        <v>45</v>
      </c>
      <c r="AH170" s="40" t="s">
        <v>45</v>
      </c>
      <c r="AI170" s="40" t="s">
        <v>45</v>
      </c>
      <c r="AJ170" s="40" t="s">
        <v>45</v>
      </c>
      <c r="AK170" s="40" t="s">
        <v>45</v>
      </c>
      <c r="AL170" s="40" t="s">
        <v>45</v>
      </c>
      <c r="AM170" s="40" t="s">
        <v>45</v>
      </c>
      <c r="AN170" s="40" t="s">
        <v>45</v>
      </c>
      <c r="AO170" s="41" t="s">
        <v>45</v>
      </c>
      <c r="AP170" s="40" t="s">
        <v>350</v>
      </c>
      <c r="AQ170" s="40">
        <v>3</v>
      </c>
      <c r="AR170" s="48" t="s">
        <v>347</v>
      </c>
      <c r="AS170" s="43" t="s">
        <v>644</v>
      </c>
      <c r="AT170" s="43" t="s">
        <v>635</v>
      </c>
      <c r="AU170" s="44">
        <f t="shared" si="17"/>
        <v>-2.311361197028369</v>
      </c>
      <c r="AV170" s="44">
        <f t="shared" si="18"/>
        <v>-1.0394719067096667</v>
      </c>
      <c r="AW170" s="45">
        <f t="shared" si="19"/>
        <v>3</v>
      </c>
      <c r="AX170" s="45">
        <f t="shared" si="20"/>
        <v>2</v>
      </c>
      <c r="AY170" s="46">
        <f>VLOOKUP(AP170,COND!$A$10:$B$32,2,FALSE)</f>
        <v>1</v>
      </c>
      <c r="AZ170" s="44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33.610875145080939</v>
      </c>
      <c r="BA170" s="47">
        <f t="shared" si="23"/>
        <v>-0.15033112124609729</v>
      </c>
      <c r="BB170" s="45" t="str">
        <f t="shared" si="21"/>
        <v>RP</v>
      </c>
      <c r="BC170" s="45">
        <f>RANK(Table3[[#This Row],[zScore]],Table3[zScore])</f>
        <v>361</v>
      </c>
      <c r="BD170" s="45"/>
      <c r="BE170" s="45"/>
      <c r="BF170" s="45" t="str">
        <f t="shared" si="22"/>
        <v>Unlikely</v>
      </c>
      <c r="BG170" s="45"/>
      <c r="BH170" s="45">
        <f>INDEX(Table5[[#All],[Ovr]],MATCH(Table3[[#This Row],[PID]],Table5[[#All],[PID]],0))</f>
        <v>500</v>
      </c>
      <c r="BI170" s="45" t="str">
        <f>INDEX(Table5[[#All],[Rnd]],MATCH(Table3[[#This Row],[PID]],Table5[[#All],[PID]],0))</f>
        <v>17</v>
      </c>
      <c r="BJ170" s="45">
        <f>INDEX(Table5[[#All],[Pick]],MATCH(Table3[[#This Row],[PID]],Table5[[#All],[PID]],0))</f>
        <v>12</v>
      </c>
      <c r="BK170" s="45" t="str">
        <f>INDEX(Table5[[#All],[Team]],MATCH(Table3[[#This Row],[PID]],Table5[[#All],[PID]],0))</f>
        <v>Palm Springs Codgers</v>
      </c>
      <c r="BL1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1" spans="1:64" ht="15" customHeight="1" x14ac:dyDescent="0.25">
      <c r="A171" s="40">
        <v>5404</v>
      </c>
      <c r="B171" s="40" t="s">
        <v>415</v>
      </c>
      <c r="C171" s="40" t="s">
        <v>321</v>
      </c>
      <c r="D171" s="40" t="s">
        <v>595</v>
      </c>
      <c r="E171" s="40">
        <v>22</v>
      </c>
      <c r="F171" s="40" t="s">
        <v>42</v>
      </c>
      <c r="G171" s="40" t="s">
        <v>42</v>
      </c>
      <c r="H171" s="41" t="s">
        <v>647</v>
      </c>
      <c r="I171" s="42" t="s">
        <v>43</v>
      </c>
      <c r="J171" s="40" t="s">
        <v>43</v>
      </c>
      <c r="K171" s="41" t="s">
        <v>43</v>
      </c>
      <c r="L171" s="40">
        <v>3</v>
      </c>
      <c r="M171" s="40">
        <v>2</v>
      </c>
      <c r="N171" s="41">
        <v>2</v>
      </c>
      <c r="O171" s="40">
        <v>5</v>
      </c>
      <c r="P171" s="40">
        <v>2</v>
      </c>
      <c r="Q171" s="41">
        <v>3</v>
      </c>
      <c r="R171" s="40">
        <v>5</v>
      </c>
      <c r="S171" s="40">
        <v>7</v>
      </c>
      <c r="T171" s="40">
        <v>1</v>
      </c>
      <c r="U171" s="40">
        <v>2</v>
      </c>
      <c r="V171" s="40" t="s">
        <v>45</v>
      </c>
      <c r="W171" s="40" t="s">
        <v>45</v>
      </c>
      <c r="X171" s="40" t="s">
        <v>45</v>
      </c>
      <c r="Y171" s="40" t="s">
        <v>45</v>
      </c>
      <c r="Z171" s="40" t="s">
        <v>45</v>
      </c>
      <c r="AA171" s="40" t="s">
        <v>45</v>
      </c>
      <c r="AB171" s="40">
        <v>4</v>
      </c>
      <c r="AC171" s="40">
        <v>6</v>
      </c>
      <c r="AD171" s="40" t="s">
        <v>45</v>
      </c>
      <c r="AE171" s="40" t="s">
        <v>45</v>
      </c>
      <c r="AF171" s="40" t="s">
        <v>45</v>
      </c>
      <c r="AG171" s="40" t="s">
        <v>45</v>
      </c>
      <c r="AH171" s="40" t="s">
        <v>45</v>
      </c>
      <c r="AI171" s="40" t="s">
        <v>45</v>
      </c>
      <c r="AJ171" s="40" t="s">
        <v>45</v>
      </c>
      <c r="AK171" s="40" t="s">
        <v>45</v>
      </c>
      <c r="AL171" s="40" t="s">
        <v>45</v>
      </c>
      <c r="AM171" s="40" t="s">
        <v>45</v>
      </c>
      <c r="AN171" s="40" t="s">
        <v>45</v>
      </c>
      <c r="AO171" s="41" t="s">
        <v>45</v>
      </c>
      <c r="AP171" s="40" t="s">
        <v>58</v>
      </c>
      <c r="AQ171" s="40">
        <v>7</v>
      </c>
      <c r="AR171" s="48" t="s">
        <v>347</v>
      </c>
      <c r="AS171" s="43" t="s">
        <v>45</v>
      </c>
      <c r="AT171" s="43"/>
      <c r="AU171" s="44">
        <f t="shared" si="17"/>
        <v>-1.8743493064650851</v>
      </c>
      <c r="AV171" s="44">
        <f t="shared" si="18"/>
        <v>-0.79715134065555615</v>
      </c>
      <c r="AW171" s="45">
        <f t="shared" si="19"/>
        <v>3</v>
      </c>
      <c r="AX171" s="45">
        <f t="shared" si="20"/>
        <v>2</v>
      </c>
      <c r="AY171" s="46">
        <f>VLOOKUP(AP171,COND!$A$10:$B$32,2,FALSE)</f>
        <v>1</v>
      </c>
      <c r="AZ171" s="44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34.682103325595861</v>
      </c>
      <c r="BA171" s="47">
        <f>STANDARDIZE(AZ171,AVERAGE($AZ$5:$AZ$788),STDEVP($AZ$5:$AZ$788))</f>
        <v>-0.15177113319370011</v>
      </c>
      <c r="BB171" s="45" t="str">
        <f t="shared" si="21"/>
        <v>SP</v>
      </c>
      <c r="BC171" s="45">
        <f>RANK(Table3[[#This Row],[zScore]],Table3[zScore])</f>
        <v>362</v>
      </c>
      <c r="BD171" s="45"/>
      <c r="BE171" s="45"/>
      <c r="BF171" s="45" t="str">
        <f t="shared" si="22"/>
        <v>Unlikely</v>
      </c>
      <c r="BG171" s="45"/>
      <c r="BH171" s="64" t="str">
        <f>INDEX(Table5[[#All],[Ovr]],MATCH(Table3[[#This Row],[PID]],Table5[[#All],[PID]],0))</f>
        <v/>
      </c>
      <c r="BI171" s="64" t="str">
        <f>INDEX(Table5[[#All],[Rnd]],MATCH(Table3[[#This Row],[PID]],Table5[[#All],[PID]],0))</f>
        <v/>
      </c>
      <c r="BJ171" s="64" t="str">
        <f>INDEX(Table5[[#All],[Pick]],MATCH(Table3[[#This Row],[PID]],Table5[[#All],[PID]],0))</f>
        <v/>
      </c>
      <c r="BK171" s="64" t="str">
        <f>INDEX(Table5[[#All],[Team]],MATCH(Table3[[#This Row],[PID]],Table5[[#All],[PID]],0))</f>
        <v/>
      </c>
      <c r="BL171" s="64" t="str">
        <f>IF(OR(Table3[[#This Row],[POS]]="SP",Table3[[#This Row],[POS]]="RP",Table3[[#This Row],[POS]]="CL"),"P",INDEX(Batters[[#All],[zScore]],MATCH(Table3[[#This Row],[PID]],Batters[[#All],[PID]],0)))</f>
        <v>P</v>
      </c>
    </row>
    <row r="172" spans="1:64" ht="15" customHeight="1" x14ac:dyDescent="0.25">
      <c r="A172" s="40">
        <v>8488</v>
      </c>
      <c r="B172" s="40" t="s">
        <v>415</v>
      </c>
      <c r="C172" s="40" t="s">
        <v>440</v>
      </c>
      <c r="D172" s="40" t="s">
        <v>1087</v>
      </c>
      <c r="E172" s="40">
        <v>22</v>
      </c>
      <c r="F172" s="40" t="s">
        <v>42</v>
      </c>
      <c r="G172" s="40" t="s">
        <v>42</v>
      </c>
      <c r="H172" s="41" t="s">
        <v>647</v>
      </c>
      <c r="I172" s="42" t="s">
        <v>44</v>
      </c>
      <c r="J172" s="40" t="s">
        <v>44</v>
      </c>
      <c r="K172" s="41" t="s">
        <v>43</v>
      </c>
      <c r="L172" s="40">
        <v>2</v>
      </c>
      <c r="M172" s="40">
        <v>1</v>
      </c>
      <c r="N172" s="41">
        <v>2</v>
      </c>
      <c r="O172" s="40">
        <v>5</v>
      </c>
      <c r="P172" s="40">
        <v>2</v>
      </c>
      <c r="Q172" s="41">
        <v>3</v>
      </c>
      <c r="R172" s="40">
        <v>3</v>
      </c>
      <c r="S172" s="40">
        <v>5</v>
      </c>
      <c r="T172" s="40">
        <v>1</v>
      </c>
      <c r="U172" s="40">
        <v>1</v>
      </c>
      <c r="V172" s="40">
        <v>3</v>
      </c>
      <c r="W172" s="40">
        <v>7</v>
      </c>
      <c r="X172" s="40" t="s">
        <v>45</v>
      </c>
      <c r="Y172" s="40" t="s">
        <v>45</v>
      </c>
      <c r="Z172" s="40" t="s">
        <v>45</v>
      </c>
      <c r="AA172" s="40" t="s">
        <v>45</v>
      </c>
      <c r="AB172" s="40" t="s">
        <v>45</v>
      </c>
      <c r="AC172" s="40" t="s">
        <v>45</v>
      </c>
      <c r="AD172" s="40" t="s">
        <v>45</v>
      </c>
      <c r="AE172" s="40" t="s">
        <v>45</v>
      </c>
      <c r="AF172" s="40" t="s">
        <v>45</v>
      </c>
      <c r="AG172" s="40" t="s">
        <v>45</v>
      </c>
      <c r="AH172" s="40" t="s">
        <v>45</v>
      </c>
      <c r="AI172" s="40" t="s">
        <v>45</v>
      </c>
      <c r="AJ172" s="40" t="s">
        <v>45</v>
      </c>
      <c r="AK172" s="40" t="s">
        <v>45</v>
      </c>
      <c r="AL172" s="40" t="s">
        <v>45</v>
      </c>
      <c r="AM172" s="40" t="s">
        <v>45</v>
      </c>
      <c r="AN172" s="40" t="s">
        <v>45</v>
      </c>
      <c r="AO172" s="41" t="s">
        <v>45</v>
      </c>
      <c r="AP172" s="40" t="s">
        <v>65</v>
      </c>
      <c r="AQ172" s="40">
        <v>7</v>
      </c>
      <c r="AR172" s="48" t="s">
        <v>14</v>
      </c>
      <c r="AS172" s="43" t="s">
        <v>45</v>
      </c>
      <c r="AT172" s="43" t="s">
        <v>47</v>
      </c>
      <c r="AU172" s="44">
        <f t="shared" si="17"/>
        <v>-2.2644723474043147</v>
      </c>
      <c r="AV172" s="44">
        <f t="shared" si="18"/>
        <v>-0.79715134065555615</v>
      </c>
      <c r="AW172" s="45">
        <f t="shared" si="19"/>
        <v>3</v>
      </c>
      <c r="AX172" s="45">
        <f t="shared" si="20"/>
        <v>1</v>
      </c>
      <c r="AY172" s="46">
        <f>VLOOKUP(AP172,COND!$A$10:$B$32,2,FALSE)</f>
        <v>0.95</v>
      </c>
      <c r="AZ172" s="44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33.586374781537614</v>
      </c>
      <c r="BA172" s="47">
        <f>STANDARDIZE(AZ172,AVERAGE($AZ$5:$AZ$557),STDEVP($AZ$5:$AZ$557))</f>
        <v>-0.15196109299341254</v>
      </c>
      <c r="BB172" s="45" t="str">
        <f t="shared" si="21"/>
        <v>SP</v>
      </c>
      <c r="BC172" s="45">
        <f>RANK(Table3[[#This Row],[zScore]],Table3[zScore])</f>
        <v>363</v>
      </c>
      <c r="BD172" s="45"/>
      <c r="BE172" s="45"/>
      <c r="BF172" s="45" t="str">
        <f t="shared" si="22"/>
        <v>Unlikely</v>
      </c>
      <c r="BG172" s="45"/>
      <c r="BH172" s="45" t="str">
        <f>INDEX(Table5[[#All],[Ovr]],MATCH(Table3[[#This Row],[PID]],Table5[[#All],[PID]],0))</f>
        <v/>
      </c>
      <c r="BI172" s="45" t="str">
        <f>INDEX(Table5[[#All],[Rnd]],MATCH(Table3[[#This Row],[PID]],Table5[[#All],[PID]],0))</f>
        <v/>
      </c>
      <c r="BJ172" s="45" t="str">
        <f>INDEX(Table5[[#All],[Pick]],MATCH(Table3[[#This Row],[PID]],Table5[[#All],[PID]],0))</f>
        <v/>
      </c>
      <c r="BK172" s="45" t="str">
        <f>INDEX(Table5[[#All],[Team]],MATCH(Table3[[#This Row],[PID]],Table5[[#All],[PID]],0))</f>
        <v/>
      </c>
      <c r="BL1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3" spans="1:64" ht="15" customHeight="1" x14ac:dyDescent="0.25">
      <c r="A173" s="40">
        <v>17585</v>
      </c>
      <c r="B173" s="40" t="s">
        <v>415</v>
      </c>
      <c r="C173" s="40" t="s">
        <v>125</v>
      </c>
      <c r="D173" s="40" t="s">
        <v>1048</v>
      </c>
      <c r="E173" s="40">
        <v>18</v>
      </c>
      <c r="F173" s="40" t="s">
        <v>42</v>
      </c>
      <c r="G173" s="40" t="s">
        <v>42</v>
      </c>
      <c r="H173" s="41" t="s">
        <v>647</v>
      </c>
      <c r="I173" s="42" t="s">
        <v>43</v>
      </c>
      <c r="J173" s="40" t="s">
        <v>47</v>
      </c>
      <c r="K173" s="41" t="s">
        <v>43</v>
      </c>
      <c r="L173" s="40">
        <v>2</v>
      </c>
      <c r="M173" s="40">
        <v>2</v>
      </c>
      <c r="N173" s="41">
        <v>1</v>
      </c>
      <c r="O173" s="40">
        <v>4</v>
      </c>
      <c r="P173" s="40">
        <v>2</v>
      </c>
      <c r="Q173" s="41">
        <v>3</v>
      </c>
      <c r="R173" s="40">
        <v>3</v>
      </c>
      <c r="S173" s="40">
        <v>4</v>
      </c>
      <c r="T173" s="40">
        <v>1</v>
      </c>
      <c r="U173" s="40">
        <v>1</v>
      </c>
      <c r="V173" s="40" t="s">
        <v>45</v>
      </c>
      <c r="W173" s="40" t="s">
        <v>45</v>
      </c>
      <c r="X173" s="40" t="s">
        <v>45</v>
      </c>
      <c r="Y173" s="40" t="s">
        <v>45</v>
      </c>
      <c r="Z173" s="40" t="s">
        <v>45</v>
      </c>
      <c r="AA173" s="40" t="s">
        <v>45</v>
      </c>
      <c r="AB173" s="40">
        <v>2</v>
      </c>
      <c r="AC173" s="40">
        <v>5</v>
      </c>
      <c r="AD173" s="40" t="s">
        <v>45</v>
      </c>
      <c r="AE173" s="40" t="s">
        <v>45</v>
      </c>
      <c r="AF173" s="40" t="s">
        <v>45</v>
      </c>
      <c r="AG173" s="40" t="s">
        <v>45</v>
      </c>
      <c r="AH173" s="40" t="s">
        <v>45</v>
      </c>
      <c r="AI173" s="40" t="s">
        <v>45</v>
      </c>
      <c r="AJ173" s="40" t="s">
        <v>45</v>
      </c>
      <c r="AK173" s="40" t="s">
        <v>45</v>
      </c>
      <c r="AL173" s="40" t="s">
        <v>45</v>
      </c>
      <c r="AM173" s="40" t="s">
        <v>45</v>
      </c>
      <c r="AN173" s="40" t="s">
        <v>45</v>
      </c>
      <c r="AO173" s="41" t="s">
        <v>45</v>
      </c>
      <c r="AP173" s="40" t="s">
        <v>64</v>
      </c>
      <c r="AQ173" s="40">
        <v>7</v>
      </c>
      <c r="AR173" s="48" t="s">
        <v>347</v>
      </c>
      <c r="AS173" s="43" t="s">
        <v>659</v>
      </c>
      <c r="AT173" s="43" t="s">
        <v>635</v>
      </c>
      <c r="AU173" s="44">
        <f t="shared" si="17"/>
        <v>-2.311361197028369</v>
      </c>
      <c r="AV173" s="44">
        <f t="shared" si="18"/>
        <v>-0.99184266516472974</v>
      </c>
      <c r="AW173" s="45">
        <f t="shared" si="19"/>
        <v>3</v>
      </c>
      <c r="AX173" s="45">
        <f t="shared" si="20"/>
        <v>0</v>
      </c>
      <c r="AY173" s="46">
        <f>VLOOKUP(AP173,COND!$A$10:$B$32,2,FALSE)</f>
        <v>1</v>
      </c>
      <c r="AZ173" s="44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33.50087445729973</v>
      </c>
      <c r="BA173" s="47">
        <f>STANDARDIZE(AZ173,AVERAGE($AZ$5:$AZ$557),STDEVP($AZ$5:$AZ$557))</f>
        <v>-0.1576492989111575</v>
      </c>
      <c r="BB173" s="45" t="str">
        <f t="shared" si="21"/>
        <v>SP</v>
      </c>
      <c r="BC173" s="45">
        <f>RANK(Table3[[#This Row],[zScore]],Table3[zScore])</f>
        <v>364</v>
      </c>
      <c r="BD173" s="45"/>
      <c r="BE173" s="45"/>
      <c r="BF173" s="45" t="str">
        <f t="shared" si="22"/>
        <v>Unlikely</v>
      </c>
      <c r="BG173" s="45"/>
      <c r="BH173" s="45" t="str">
        <f>INDEX(Table5[[#All],[Ovr]],MATCH(Table3[[#This Row],[PID]],Table5[[#All],[PID]],0))</f>
        <v/>
      </c>
      <c r="BI173" s="45" t="str">
        <f>INDEX(Table5[[#All],[Rnd]],MATCH(Table3[[#This Row],[PID]],Table5[[#All],[PID]],0))</f>
        <v/>
      </c>
      <c r="BJ173" s="45" t="str">
        <f>INDEX(Table5[[#All],[Pick]],MATCH(Table3[[#This Row],[PID]],Table5[[#All],[PID]],0))</f>
        <v/>
      </c>
      <c r="BK173" s="45" t="str">
        <f>INDEX(Table5[[#All],[Team]],MATCH(Table3[[#This Row],[PID]],Table5[[#All],[PID]],0))</f>
        <v/>
      </c>
      <c r="BL1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4" spans="1:64" ht="15" customHeight="1" x14ac:dyDescent="0.25">
      <c r="A174" s="40">
        <v>20504</v>
      </c>
      <c r="B174" s="40" t="s">
        <v>415</v>
      </c>
      <c r="C174" s="40" t="s">
        <v>1918</v>
      </c>
      <c r="D174" s="40" t="s">
        <v>1919</v>
      </c>
      <c r="E174" s="40">
        <v>18</v>
      </c>
      <c r="F174" s="40" t="s">
        <v>53</v>
      </c>
      <c r="G174" s="40" t="s">
        <v>53</v>
      </c>
      <c r="H174" s="41" t="s">
        <v>647</v>
      </c>
      <c r="I174" s="42" t="s">
        <v>43</v>
      </c>
      <c r="J174" s="40" t="s">
        <v>43</v>
      </c>
      <c r="K174" s="41" t="s">
        <v>43</v>
      </c>
      <c r="L174" s="40">
        <v>2</v>
      </c>
      <c r="M174" s="40">
        <v>2</v>
      </c>
      <c r="N174" s="41">
        <v>1</v>
      </c>
      <c r="O174" s="40">
        <v>5</v>
      </c>
      <c r="P174" s="40">
        <v>2</v>
      </c>
      <c r="Q174" s="41">
        <v>2</v>
      </c>
      <c r="R174" s="40">
        <v>4</v>
      </c>
      <c r="S174" s="40">
        <v>5</v>
      </c>
      <c r="T174" s="40">
        <v>1</v>
      </c>
      <c r="U174" s="40">
        <v>2</v>
      </c>
      <c r="V174" s="40" t="s">
        <v>45</v>
      </c>
      <c r="W174" s="40" t="s">
        <v>45</v>
      </c>
      <c r="X174" s="40">
        <v>3</v>
      </c>
      <c r="Y174" s="40">
        <v>6</v>
      </c>
      <c r="Z174" s="40" t="s">
        <v>45</v>
      </c>
      <c r="AA174" s="40" t="s">
        <v>45</v>
      </c>
      <c r="AB174" s="40" t="s">
        <v>45</v>
      </c>
      <c r="AC174" s="40" t="s">
        <v>45</v>
      </c>
      <c r="AD174" s="40" t="s">
        <v>45</v>
      </c>
      <c r="AE174" s="40" t="s">
        <v>45</v>
      </c>
      <c r="AF174" s="40" t="s">
        <v>45</v>
      </c>
      <c r="AG174" s="40" t="s">
        <v>45</v>
      </c>
      <c r="AH174" s="40" t="s">
        <v>45</v>
      </c>
      <c r="AI174" s="40" t="s">
        <v>45</v>
      </c>
      <c r="AJ174" s="40" t="s">
        <v>45</v>
      </c>
      <c r="AK174" s="40" t="s">
        <v>45</v>
      </c>
      <c r="AL174" s="40" t="s">
        <v>45</v>
      </c>
      <c r="AM174" s="40" t="s">
        <v>45</v>
      </c>
      <c r="AN174" s="40" t="s">
        <v>45</v>
      </c>
      <c r="AO174" s="41" t="s">
        <v>45</v>
      </c>
      <c r="AP174" s="40" t="s">
        <v>57</v>
      </c>
      <c r="AQ174" s="40">
        <v>7</v>
      </c>
      <c r="AR174" s="48" t="s">
        <v>347</v>
      </c>
      <c r="AS174" s="43" t="s">
        <v>419</v>
      </c>
      <c r="AT174" s="43" t="s">
        <v>635</v>
      </c>
      <c r="AU174" s="44">
        <f t="shared" si="17"/>
        <v>-2.311361197028369</v>
      </c>
      <c r="AV174" s="44">
        <f t="shared" si="18"/>
        <v>-1.0394719067096667</v>
      </c>
      <c r="AW174" s="45">
        <f t="shared" si="19"/>
        <v>3</v>
      </c>
      <c r="AX174" s="45">
        <f t="shared" si="20"/>
        <v>1</v>
      </c>
      <c r="AY174" s="46">
        <f>VLOOKUP(AP174,COND!$A$10:$B$32,2,FALSE)</f>
        <v>1</v>
      </c>
      <c r="AZ174" s="44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33.49828962640099</v>
      </c>
      <c r="BA174" s="47">
        <f>STANDARDIZE(AZ174,AVERAGE($AZ$5:$AZ$557),STDEVP($AZ$5:$AZ$557))</f>
        <v>-0.15782126376094777</v>
      </c>
      <c r="BB174" s="45" t="str">
        <f t="shared" si="21"/>
        <v>SP</v>
      </c>
      <c r="BC174" s="45">
        <f>RANK(Table3[[#This Row],[zScore]],Table3[zScore])</f>
        <v>365</v>
      </c>
      <c r="BD174" s="45"/>
      <c r="BE174" s="45"/>
      <c r="BF174" s="45" t="str">
        <f t="shared" si="22"/>
        <v>Unlikely</v>
      </c>
      <c r="BG174" s="45"/>
      <c r="BH174" s="45" t="str">
        <f>INDEX(Table5[[#All],[Ovr]],MATCH(Table3[[#This Row],[PID]],Table5[[#All],[PID]],0))</f>
        <v/>
      </c>
      <c r="BI174" s="45" t="str">
        <f>INDEX(Table5[[#All],[Rnd]],MATCH(Table3[[#This Row],[PID]],Table5[[#All],[PID]],0))</f>
        <v/>
      </c>
      <c r="BJ174" s="45" t="str">
        <f>INDEX(Table5[[#All],[Pick]],MATCH(Table3[[#This Row],[PID]],Table5[[#All],[PID]],0))</f>
        <v/>
      </c>
      <c r="BK174" s="45" t="str">
        <f>INDEX(Table5[[#All],[Team]],MATCH(Table3[[#This Row],[PID]],Table5[[#All],[PID]],0))</f>
        <v/>
      </c>
      <c r="BL1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5" spans="1:64" ht="15" customHeight="1" x14ac:dyDescent="0.25">
      <c r="A175" s="40">
        <v>20679</v>
      </c>
      <c r="B175" s="40" t="s">
        <v>415</v>
      </c>
      <c r="C175" s="40" t="s">
        <v>2038</v>
      </c>
      <c r="D175" s="40" t="s">
        <v>653</v>
      </c>
      <c r="E175" s="40">
        <v>17</v>
      </c>
      <c r="F175" s="40" t="s">
        <v>42</v>
      </c>
      <c r="G175" s="40" t="s">
        <v>42</v>
      </c>
      <c r="H175" s="41" t="s">
        <v>647</v>
      </c>
      <c r="I175" s="42" t="s">
        <v>43</v>
      </c>
      <c r="J175" s="40" t="s">
        <v>44</v>
      </c>
      <c r="K175" s="41" t="s">
        <v>43</v>
      </c>
      <c r="L175" s="40">
        <v>2</v>
      </c>
      <c r="M175" s="40">
        <v>1</v>
      </c>
      <c r="N175" s="41">
        <v>1</v>
      </c>
      <c r="O175" s="40">
        <v>5</v>
      </c>
      <c r="P175" s="40">
        <v>1</v>
      </c>
      <c r="Q175" s="41">
        <v>3</v>
      </c>
      <c r="R175" s="40" t="s">
        <v>45</v>
      </c>
      <c r="S175" s="40" t="s">
        <v>45</v>
      </c>
      <c r="T175" s="40">
        <v>1</v>
      </c>
      <c r="U175" s="40">
        <v>2</v>
      </c>
      <c r="V175" s="40" t="s">
        <v>45</v>
      </c>
      <c r="W175" s="40" t="s">
        <v>45</v>
      </c>
      <c r="X175" s="40">
        <v>3</v>
      </c>
      <c r="Y175" s="40">
        <v>6</v>
      </c>
      <c r="Z175" s="40" t="s">
        <v>45</v>
      </c>
      <c r="AA175" s="40" t="s">
        <v>45</v>
      </c>
      <c r="AB175" s="40" t="s">
        <v>45</v>
      </c>
      <c r="AC175" s="40" t="s">
        <v>45</v>
      </c>
      <c r="AD175" s="40">
        <v>3</v>
      </c>
      <c r="AE175" s="40">
        <v>5</v>
      </c>
      <c r="AF175" s="40" t="s">
        <v>45</v>
      </c>
      <c r="AG175" s="40" t="s">
        <v>45</v>
      </c>
      <c r="AH175" s="40" t="s">
        <v>45</v>
      </c>
      <c r="AI175" s="40" t="s">
        <v>45</v>
      </c>
      <c r="AJ175" s="40" t="s">
        <v>45</v>
      </c>
      <c r="AK175" s="40" t="s">
        <v>45</v>
      </c>
      <c r="AL175" s="40" t="s">
        <v>45</v>
      </c>
      <c r="AM175" s="40" t="s">
        <v>45</v>
      </c>
      <c r="AN175" s="40" t="s">
        <v>45</v>
      </c>
      <c r="AO175" s="41" t="s">
        <v>45</v>
      </c>
      <c r="AP175" s="40" t="s">
        <v>68</v>
      </c>
      <c r="AQ175" s="40">
        <v>6</v>
      </c>
      <c r="AR175" s="48" t="s">
        <v>14</v>
      </c>
      <c r="AS175" s="43" t="s">
        <v>657</v>
      </c>
      <c r="AT175" s="43" t="s">
        <v>47</v>
      </c>
      <c r="AU175" s="44">
        <f t="shared" si="17"/>
        <v>-2.5067929134584248</v>
      </c>
      <c r="AV175" s="44">
        <f t="shared" si="18"/>
        <v>-0.99258305708561179</v>
      </c>
      <c r="AW175" s="45">
        <f t="shared" si="19"/>
        <v>3</v>
      </c>
      <c r="AX175" s="45">
        <f t="shared" si="20"/>
        <v>1</v>
      </c>
      <c r="AY175" s="46">
        <f>VLOOKUP(AP175,COND!$A$10:$B$32,2,FALSE)</f>
        <v>0.95</v>
      </c>
      <c r="AZ175" s="44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35.395202980270867</v>
      </c>
      <c r="BA175" s="47">
        <f>STANDARDIZE(AZ175,AVERAGE($AZ$5:$AZ$663),STDEVP($AZ$5:$AZ$663))</f>
        <v>-0.16498656266079167</v>
      </c>
      <c r="BB175" s="45" t="str">
        <f t="shared" si="21"/>
        <v>SP</v>
      </c>
      <c r="BC175" s="45">
        <f>RANK(Table3[[#This Row],[zScore]],Table3[zScore])</f>
        <v>370</v>
      </c>
      <c r="BD175" s="45"/>
      <c r="BE175" s="45"/>
      <c r="BF175" s="45" t="str">
        <f t="shared" si="22"/>
        <v>Unlikely</v>
      </c>
      <c r="BG175" s="45"/>
      <c r="BH175" s="45" t="str">
        <f>INDEX(Table5[[#All],[Ovr]],MATCH(Table3[[#This Row],[PID]],Table5[[#All],[PID]],0))</f>
        <v/>
      </c>
      <c r="BI175" s="45" t="str">
        <f>INDEX(Table5[[#All],[Rnd]],MATCH(Table3[[#This Row],[PID]],Table5[[#All],[PID]],0))</f>
        <v/>
      </c>
      <c r="BJ175" s="45" t="str">
        <f>INDEX(Table5[[#All],[Pick]],MATCH(Table3[[#This Row],[PID]],Table5[[#All],[PID]],0))</f>
        <v/>
      </c>
      <c r="BK175" s="45" t="str">
        <f>INDEX(Table5[[#All],[Team]],MATCH(Table3[[#This Row],[PID]],Table5[[#All],[PID]],0))</f>
        <v/>
      </c>
      <c r="BL1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6" spans="1:64" ht="15" customHeight="1" x14ac:dyDescent="0.25">
      <c r="A176" s="40">
        <v>17787</v>
      </c>
      <c r="B176" s="40" t="s">
        <v>415</v>
      </c>
      <c r="C176" s="40" t="s">
        <v>820</v>
      </c>
      <c r="D176" s="40" t="s">
        <v>2026</v>
      </c>
      <c r="E176" s="40">
        <v>21</v>
      </c>
      <c r="F176" s="40" t="s">
        <v>42</v>
      </c>
      <c r="G176" s="40" t="s">
        <v>42</v>
      </c>
      <c r="H176" s="41" t="s">
        <v>647</v>
      </c>
      <c r="I176" s="42" t="s">
        <v>43</v>
      </c>
      <c r="J176" s="40" t="s">
        <v>47</v>
      </c>
      <c r="K176" s="41" t="s">
        <v>43</v>
      </c>
      <c r="L176" s="40">
        <v>3</v>
      </c>
      <c r="M176" s="40">
        <v>1</v>
      </c>
      <c r="N176" s="41">
        <v>2</v>
      </c>
      <c r="O176" s="40">
        <v>5</v>
      </c>
      <c r="P176" s="40">
        <v>1</v>
      </c>
      <c r="Q176" s="41">
        <v>4</v>
      </c>
      <c r="R176" s="40">
        <v>5</v>
      </c>
      <c r="S176" s="40">
        <v>6</v>
      </c>
      <c r="T176" s="40">
        <v>1</v>
      </c>
      <c r="U176" s="40">
        <v>1</v>
      </c>
      <c r="V176" s="40">
        <v>2</v>
      </c>
      <c r="W176" s="40">
        <v>5</v>
      </c>
      <c r="X176" s="40" t="s">
        <v>45</v>
      </c>
      <c r="Y176" s="40" t="s">
        <v>45</v>
      </c>
      <c r="Z176" s="40" t="s">
        <v>45</v>
      </c>
      <c r="AA176" s="40" t="s">
        <v>45</v>
      </c>
      <c r="AB176" s="40" t="s">
        <v>45</v>
      </c>
      <c r="AC176" s="40" t="s">
        <v>45</v>
      </c>
      <c r="AD176" s="40">
        <v>4</v>
      </c>
      <c r="AE176" s="40">
        <v>5</v>
      </c>
      <c r="AF176" s="40" t="s">
        <v>45</v>
      </c>
      <c r="AG176" s="40" t="s">
        <v>45</v>
      </c>
      <c r="AH176" s="40" t="s">
        <v>45</v>
      </c>
      <c r="AI176" s="40" t="s">
        <v>45</v>
      </c>
      <c r="AJ176" s="40" t="s">
        <v>45</v>
      </c>
      <c r="AK176" s="40" t="s">
        <v>45</v>
      </c>
      <c r="AL176" s="40" t="s">
        <v>45</v>
      </c>
      <c r="AM176" s="40" t="s">
        <v>45</v>
      </c>
      <c r="AN176" s="40" t="s">
        <v>45</v>
      </c>
      <c r="AO176" s="41" t="s">
        <v>45</v>
      </c>
      <c r="AP176" s="40" t="s">
        <v>60</v>
      </c>
      <c r="AQ176" s="40">
        <v>3</v>
      </c>
      <c r="AR176" s="48" t="s">
        <v>14</v>
      </c>
      <c r="AS176" s="43" t="s">
        <v>45</v>
      </c>
      <c r="AT176" s="43" t="s">
        <v>635</v>
      </c>
      <c r="AU176" s="44">
        <f t="shared" si="17"/>
        <v>-2.0697810228951408</v>
      </c>
      <c r="AV176" s="44">
        <f t="shared" si="18"/>
        <v>-0.75026249103150122</v>
      </c>
      <c r="AW176" s="45">
        <f t="shared" si="19"/>
        <v>4</v>
      </c>
      <c r="AX176" s="45">
        <f t="shared" si="20"/>
        <v>1</v>
      </c>
      <c r="AY176" s="46">
        <f>VLOOKUP(AP176,COND!$A$10:$B$32,2,FALSE)</f>
        <v>1.0249999999999999</v>
      </c>
      <c r="AZ176" s="44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33.45023563295269</v>
      </c>
      <c r="BA176" s="47">
        <f>STANDARDIZE(AZ176,AVERAGE($AZ$5:$AZ$557),STDEVP($AZ$5:$AZ$557))</f>
        <v>-0.16101822251333081</v>
      </c>
      <c r="BB176" s="45" t="str">
        <f t="shared" si="21"/>
        <v>RP</v>
      </c>
      <c r="BC176" s="45">
        <f>RANK(Table3[[#This Row],[zScore]],Table3[zScore])</f>
        <v>367</v>
      </c>
      <c r="BD176" s="45"/>
      <c r="BE176" s="45"/>
      <c r="BF176" s="45" t="str">
        <f t="shared" si="22"/>
        <v>Unlikely</v>
      </c>
      <c r="BG176" s="45"/>
      <c r="BH176" s="45">
        <f>INDEX(Table5[[#All],[Ovr]],MATCH(Table3[[#This Row],[PID]],Table5[[#All],[PID]],0))</f>
        <v>603</v>
      </c>
      <c r="BI176" s="45" t="str">
        <f>INDEX(Table5[[#All],[Rnd]],MATCH(Table3[[#This Row],[PID]],Table5[[#All],[PID]],0))</f>
        <v>20</v>
      </c>
      <c r="BJ176" s="45">
        <f>INDEX(Table5[[#All],[Pick]],MATCH(Table3[[#This Row],[PID]],Table5[[#All],[PID]],0))</f>
        <v>25</v>
      </c>
      <c r="BK176" s="45" t="str">
        <f>INDEX(Table5[[#All],[Team]],MATCH(Table3[[#This Row],[PID]],Table5[[#All],[PID]],0))</f>
        <v>Toyama Wind Dancers</v>
      </c>
      <c r="BL1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7" spans="1:64" ht="15" customHeight="1" x14ac:dyDescent="0.25">
      <c r="A177" s="40">
        <v>17784</v>
      </c>
      <c r="B177" s="40" t="s">
        <v>415</v>
      </c>
      <c r="C177" s="40" t="s">
        <v>2084</v>
      </c>
      <c r="D177" s="40" t="s">
        <v>2085</v>
      </c>
      <c r="E177" s="40">
        <v>21</v>
      </c>
      <c r="F177" s="40" t="s">
        <v>53</v>
      </c>
      <c r="G177" s="40" t="s">
        <v>53</v>
      </c>
      <c r="H177" s="41" t="s">
        <v>647</v>
      </c>
      <c r="I177" s="42" t="s">
        <v>43</v>
      </c>
      <c r="J177" s="40" t="s">
        <v>47</v>
      </c>
      <c r="K177" s="41" t="s">
        <v>43</v>
      </c>
      <c r="L177" s="40">
        <v>2</v>
      </c>
      <c r="M177" s="40">
        <v>2</v>
      </c>
      <c r="N177" s="41">
        <v>3</v>
      </c>
      <c r="O177" s="40">
        <v>4</v>
      </c>
      <c r="P177" s="40">
        <v>2</v>
      </c>
      <c r="Q177" s="41">
        <v>4</v>
      </c>
      <c r="R177" s="40">
        <v>3</v>
      </c>
      <c r="S177" s="40">
        <v>5</v>
      </c>
      <c r="T177" s="40">
        <v>1</v>
      </c>
      <c r="U177" s="40">
        <v>5</v>
      </c>
      <c r="V177" s="40" t="s">
        <v>45</v>
      </c>
      <c r="W177" s="40" t="s">
        <v>45</v>
      </c>
      <c r="X177" s="40" t="s">
        <v>45</v>
      </c>
      <c r="Y177" s="40" t="s">
        <v>45</v>
      </c>
      <c r="Z177" s="40" t="s">
        <v>45</v>
      </c>
      <c r="AA177" s="40" t="s">
        <v>45</v>
      </c>
      <c r="AB177" s="40">
        <v>3</v>
      </c>
      <c r="AC177" s="40">
        <v>4</v>
      </c>
      <c r="AD177" s="40" t="s">
        <v>45</v>
      </c>
      <c r="AE177" s="40" t="s">
        <v>45</v>
      </c>
      <c r="AF177" s="40" t="s">
        <v>45</v>
      </c>
      <c r="AG177" s="40" t="s">
        <v>45</v>
      </c>
      <c r="AH177" s="40" t="s">
        <v>45</v>
      </c>
      <c r="AI177" s="40" t="s">
        <v>45</v>
      </c>
      <c r="AJ177" s="40" t="s">
        <v>45</v>
      </c>
      <c r="AK177" s="40" t="s">
        <v>45</v>
      </c>
      <c r="AL177" s="40" t="s">
        <v>45</v>
      </c>
      <c r="AM177" s="40" t="s">
        <v>45</v>
      </c>
      <c r="AN177" s="40" t="s">
        <v>45</v>
      </c>
      <c r="AO177" s="41" t="s">
        <v>45</v>
      </c>
      <c r="AP177" s="40" t="s">
        <v>64</v>
      </c>
      <c r="AQ177" s="40">
        <v>8</v>
      </c>
      <c r="AR177" s="48" t="s">
        <v>347</v>
      </c>
      <c r="AS177" s="43" t="s">
        <v>45</v>
      </c>
      <c r="AT177" s="43" t="s">
        <v>47</v>
      </c>
      <c r="AU177" s="44">
        <f t="shared" si="17"/>
        <v>-1.8267200649201485</v>
      </c>
      <c r="AV177" s="44">
        <f t="shared" si="18"/>
        <v>-0.74952209911061918</v>
      </c>
      <c r="AW177" s="45">
        <f t="shared" si="19"/>
        <v>3</v>
      </c>
      <c r="AX177" s="45">
        <f t="shared" si="20"/>
        <v>0</v>
      </c>
      <c r="AY177" s="46">
        <f>VLOOKUP(AP177,COND!$A$10:$B$32,2,FALSE)</f>
        <v>1</v>
      </c>
      <c r="AZ177" s="44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33.444214004803584</v>
      </c>
      <c r="BA177" s="47">
        <f>STANDARDIZE(AZ177,AVERAGE($AZ$5:$AZ$557),STDEVP($AZ$5:$AZ$557))</f>
        <v>-0.16141883223238768</v>
      </c>
      <c r="BB177" s="45" t="str">
        <f t="shared" si="21"/>
        <v>SP</v>
      </c>
      <c r="BC177" s="45">
        <f>RANK(Table3[[#This Row],[zScore]],Table3[zScore])</f>
        <v>368</v>
      </c>
      <c r="BD177" s="45"/>
      <c r="BE177" s="45"/>
      <c r="BF177" s="45" t="str">
        <f t="shared" si="22"/>
        <v>Unlikely</v>
      </c>
      <c r="BG177" s="45"/>
      <c r="BH177" s="45" t="str">
        <f>INDEX(Table5[[#All],[Ovr]],MATCH(Table3[[#This Row],[PID]],Table5[[#All],[PID]],0))</f>
        <v/>
      </c>
      <c r="BI177" s="45" t="str">
        <f>INDEX(Table5[[#All],[Rnd]],MATCH(Table3[[#This Row],[PID]],Table5[[#All],[PID]],0))</f>
        <v/>
      </c>
      <c r="BJ177" s="45" t="str">
        <f>INDEX(Table5[[#All],[Pick]],MATCH(Table3[[#This Row],[PID]],Table5[[#All],[PID]],0))</f>
        <v/>
      </c>
      <c r="BK177" s="45" t="str">
        <f>INDEX(Table5[[#All],[Team]],MATCH(Table3[[#This Row],[PID]],Table5[[#All],[PID]],0))</f>
        <v/>
      </c>
      <c r="BL1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78" spans="1:64" ht="15" customHeight="1" x14ac:dyDescent="0.25">
      <c r="A178" s="40">
        <v>21086</v>
      </c>
      <c r="B178" s="40" t="s">
        <v>415</v>
      </c>
      <c r="C178" s="40" t="s">
        <v>884</v>
      </c>
      <c r="D178" s="40" t="s">
        <v>148</v>
      </c>
      <c r="E178" s="40">
        <v>18</v>
      </c>
      <c r="F178" s="40" t="s">
        <v>53</v>
      </c>
      <c r="G178" s="40" t="s">
        <v>53</v>
      </c>
      <c r="H178" s="41" t="s">
        <v>647</v>
      </c>
      <c r="I178" s="42" t="s">
        <v>43</v>
      </c>
      <c r="J178" s="40" t="s">
        <v>43</v>
      </c>
      <c r="K178" s="41" t="s">
        <v>43</v>
      </c>
      <c r="L178" s="40">
        <v>2</v>
      </c>
      <c r="M178" s="40">
        <v>1</v>
      </c>
      <c r="N178" s="41">
        <v>1</v>
      </c>
      <c r="O178" s="40">
        <v>5</v>
      </c>
      <c r="P178" s="40">
        <v>1</v>
      </c>
      <c r="Q178" s="41">
        <v>3</v>
      </c>
      <c r="R178" s="40">
        <v>3</v>
      </c>
      <c r="S178" s="40">
        <v>6</v>
      </c>
      <c r="T178" s="40">
        <v>1</v>
      </c>
      <c r="U178" s="40">
        <v>2</v>
      </c>
      <c r="V178" s="40" t="s">
        <v>45</v>
      </c>
      <c r="W178" s="40" t="s">
        <v>45</v>
      </c>
      <c r="X178" s="40">
        <v>2</v>
      </c>
      <c r="Y178" s="40">
        <v>6</v>
      </c>
      <c r="Z178" s="40" t="s">
        <v>45</v>
      </c>
      <c r="AA178" s="40" t="s">
        <v>45</v>
      </c>
      <c r="AB178" s="40" t="s">
        <v>45</v>
      </c>
      <c r="AC178" s="40" t="s">
        <v>45</v>
      </c>
      <c r="AD178" s="40" t="s">
        <v>45</v>
      </c>
      <c r="AE178" s="40" t="s">
        <v>45</v>
      </c>
      <c r="AF178" s="40" t="s">
        <v>45</v>
      </c>
      <c r="AG178" s="40" t="s">
        <v>45</v>
      </c>
      <c r="AH178" s="40" t="s">
        <v>45</v>
      </c>
      <c r="AI178" s="40" t="s">
        <v>45</v>
      </c>
      <c r="AJ178" s="40" t="s">
        <v>45</v>
      </c>
      <c r="AK178" s="40" t="s">
        <v>45</v>
      </c>
      <c r="AL178" s="40" t="s">
        <v>45</v>
      </c>
      <c r="AM178" s="40" t="s">
        <v>45</v>
      </c>
      <c r="AN178" s="40" t="s">
        <v>45</v>
      </c>
      <c r="AO178" s="41" t="s">
        <v>45</v>
      </c>
      <c r="AP178" s="40" t="s">
        <v>350</v>
      </c>
      <c r="AQ178" s="40">
        <v>3</v>
      </c>
      <c r="AR178" s="48" t="s">
        <v>14</v>
      </c>
      <c r="AS178" s="43" t="s">
        <v>414</v>
      </c>
      <c r="AT178" s="43"/>
      <c r="AU178" s="44">
        <f t="shared" si="17"/>
        <v>-2.5067929134584248</v>
      </c>
      <c r="AV178" s="44">
        <f t="shared" si="18"/>
        <v>-0.99258305708561179</v>
      </c>
      <c r="AW178" s="45">
        <f t="shared" si="19"/>
        <v>3</v>
      </c>
      <c r="AX178" s="45">
        <f t="shared" si="20"/>
        <v>2</v>
      </c>
      <c r="AY178" s="46">
        <f>VLOOKUP(AP178,COND!$A$10:$B$32,2,FALSE)</f>
        <v>1</v>
      </c>
      <c r="AZ178" s="44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34.46463126181628</v>
      </c>
      <c r="BA178" s="47">
        <f>STANDARDIZE(AZ178,AVERAGE($AZ$5:$AZ$788),STDEVP($AZ$5:$AZ$788))</f>
        <v>-0.16750794789235232</v>
      </c>
      <c r="BB178" s="45" t="str">
        <f t="shared" si="21"/>
        <v>RP</v>
      </c>
      <c r="BC178" s="45">
        <f>RANK(Table3[[#This Row],[zScore]],Table3[zScore])</f>
        <v>371</v>
      </c>
      <c r="BD178" s="45"/>
      <c r="BE178" s="45"/>
      <c r="BF178" s="45" t="str">
        <f t="shared" si="22"/>
        <v>Unlikely</v>
      </c>
      <c r="BG178" s="45"/>
      <c r="BH178" s="64" t="str">
        <f>INDEX(Table5[[#All],[Ovr]],MATCH(Table3[[#This Row],[PID]],Table5[[#All],[PID]],0))</f>
        <v/>
      </c>
      <c r="BI178" s="64" t="str">
        <f>INDEX(Table5[[#All],[Rnd]],MATCH(Table3[[#This Row],[PID]],Table5[[#All],[PID]],0))</f>
        <v/>
      </c>
      <c r="BJ178" s="64" t="str">
        <f>INDEX(Table5[[#All],[Pick]],MATCH(Table3[[#This Row],[PID]],Table5[[#All],[PID]],0))</f>
        <v/>
      </c>
      <c r="BK178" s="64" t="str">
        <f>INDEX(Table5[[#All],[Team]],MATCH(Table3[[#This Row],[PID]],Table5[[#All],[PID]],0))</f>
        <v/>
      </c>
      <c r="BL178" s="64" t="str">
        <f>IF(OR(Table3[[#This Row],[POS]]="SP",Table3[[#This Row],[POS]]="RP",Table3[[#This Row],[POS]]="CL"),"P",INDEX(Batters[[#All],[zScore]],MATCH(Table3[[#This Row],[PID]],Batters[[#All],[PID]],0)))</f>
        <v>P</v>
      </c>
    </row>
    <row r="179" spans="1:64" ht="15" customHeight="1" x14ac:dyDescent="0.25">
      <c r="A179" s="40">
        <v>18407</v>
      </c>
      <c r="B179" s="40" t="s">
        <v>415</v>
      </c>
      <c r="C179" s="40" t="s">
        <v>731</v>
      </c>
      <c r="D179" s="40" t="s">
        <v>642</v>
      </c>
      <c r="E179" s="40">
        <v>18</v>
      </c>
      <c r="F179" s="40" t="s">
        <v>42</v>
      </c>
      <c r="G179" s="40" t="s">
        <v>42</v>
      </c>
      <c r="H179" s="41" t="s">
        <v>647</v>
      </c>
      <c r="I179" s="42" t="s">
        <v>43</v>
      </c>
      <c r="J179" s="40" t="s">
        <v>43</v>
      </c>
      <c r="K179" s="41" t="s">
        <v>43</v>
      </c>
      <c r="L179" s="40">
        <v>1</v>
      </c>
      <c r="M179" s="40">
        <v>1</v>
      </c>
      <c r="N179" s="41">
        <v>2</v>
      </c>
      <c r="O179" s="40">
        <v>2</v>
      </c>
      <c r="P179" s="40">
        <v>2</v>
      </c>
      <c r="Q179" s="41">
        <v>4</v>
      </c>
      <c r="R179" s="40">
        <v>2</v>
      </c>
      <c r="S179" s="40">
        <v>3</v>
      </c>
      <c r="T179" s="40">
        <v>1</v>
      </c>
      <c r="U179" s="40">
        <v>3</v>
      </c>
      <c r="V179" s="40" t="s">
        <v>45</v>
      </c>
      <c r="W179" s="40" t="s">
        <v>45</v>
      </c>
      <c r="X179" s="40">
        <v>2</v>
      </c>
      <c r="Y179" s="40">
        <v>4</v>
      </c>
      <c r="Z179" s="40" t="s">
        <v>45</v>
      </c>
      <c r="AA179" s="40" t="s">
        <v>45</v>
      </c>
      <c r="AB179" s="40" t="s">
        <v>45</v>
      </c>
      <c r="AC179" s="40" t="s">
        <v>45</v>
      </c>
      <c r="AD179" s="40" t="s">
        <v>45</v>
      </c>
      <c r="AE179" s="40" t="s">
        <v>45</v>
      </c>
      <c r="AF179" s="40">
        <v>2</v>
      </c>
      <c r="AG179" s="40">
        <v>3</v>
      </c>
      <c r="AH179" s="40" t="s">
        <v>45</v>
      </c>
      <c r="AI179" s="40" t="s">
        <v>45</v>
      </c>
      <c r="AJ179" s="40" t="s">
        <v>45</v>
      </c>
      <c r="AK179" s="40" t="s">
        <v>45</v>
      </c>
      <c r="AL179" s="40" t="s">
        <v>45</v>
      </c>
      <c r="AM179" s="40" t="s">
        <v>45</v>
      </c>
      <c r="AN179" s="40" t="s">
        <v>45</v>
      </c>
      <c r="AO179" s="41" t="s">
        <v>45</v>
      </c>
      <c r="AP179" s="40" t="s">
        <v>67</v>
      </c>
      <c r="AQ179" s="40">
        <v>5</v>
      </c>
      <c r="AR179" s="48" t="s">
        <v>347</v>
      </c>
      <c r="AS179" s="43" t="s">
        <v>45</v>
      </c>
      <c r="AT179" s="43" t="s">
        <v>47</v>
      </c>
      <c r="AU179" s="44">
        <f t="shared" si="17"/>
        <v>-2.4591636719134877</v>
      </c>
      <c r="AV179" s="44">
        <f t="shared" si="18"/>
        <v>-1.1389047481289662</v>
      </c>
      <c r="AW179" s="45">
        <f t="shared" si="19"/>
        <v>4</v>
      </c>
      <c r="AX179" s="45">
        <f t="shared" si="20"/>
        <v>0</v>
      </c>
      <c r="AY179" s="46">
        <f>VLOOKUP(AP179,COND!$A$10:$B$32,2,FALSE)</f>
        <v>0.9</v>
      </c>
      <c r="AZ179" s="44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33.335638445915826</v>
      </c>
      <c r="BA179" s="47">
        <f>STANDARDIZE(AZ179,AVERAGE($AZ$5:$AZ$557),STDEVP($AZ$5:$AZ$557))</f>
        <v>-0.16864219824991861</v>
      </c>
      <c r="BB179" s="45" t="str">
        <f t="shared" si="21"/>
        <v>SP</v>
      </c>
      <c r="BC179" s="45">
        <f>RANK(Table3[[#This Row],[zScore]],Table3[zScore])</f>
        <v>373</v>
      </c>
      <c r="BD179" s="45"/>
      <c r="BE179" s="45"/>
      <c r="BF179" s="45" t="str">
        <f t="shared" si="22"/>
        <v>Unlikely</v>
      </c>
      <c r="BG179" s="45"/>
      <c r="BH179" s="45" t="str">
        <f>INDEX(Table5[[#All],[Ovr]],MATCH(Table3[[#This Row],[PID]],Table5[[#All],[PID]],0))</f>
        <v/>
      </c>
      <c r="BI179" s="45" t="str">
        <f>INDEX(Table5[[#All],[Rnd]],MATCH(Table3[[#This Row],[PID]],Table5[[#All],[PID]],0))</f>
        <v/>
      </c>
      <c r="BJ179" s="45" t="str">
        <f>INDEX(Table5[[#All],[Pick]],MATCH(Table3[[#This Row],[PID]],Table5[[#All],[PID]],0))</f>
        <v/>
      </c>
      <c r="BK179" s="45" t="str">
        <f>INDEX(Table5[[#All],[Team]],MATCH(Table3[[#This Row],[PID]],Table5[[#All],[PID]],0))</f>
        <v/>
      </c>
      <c r="BL1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0" spans="1:64" ht="15" customHeight="1" x14ac:dyDescent="0.25">
      <c r="A180" s="40">
        <v>20525</v>
      </c>
      <c r="B180" s="40" t="s">
        <v>415</v>
      </c>
      <c r="C180" s="40" t="s">
        <v>1994</v>
      </c>
      <c r="D180" s="40" t="s">
        <v>607</v>
      </c>
      <c r="E180" s="40">
        <v>16</v>
      </c>
      <c r="F180" s="40" t="s">
        <v>53</v>
      </c>
      <c r="G180" s="40" t="s">
        <v>53</v>
      </c>
      <c r="H180" s="41" t="s">
        <v>647</v>
      </c>
      <c r="I180" s="42" t="s">
        <v>44</v>
      </c>
      <c r="J180" s="40" t="s">
        <v>47</v>
      </c>
      <c r="K180" s="41" t="s">
        <v>43</v>
      </c>
      <c r="L180" s="40">
        <v>1</v>
      </c>
      <c r="M180" s="40">
        <v>2</v>
      </c>
      <c r="N180" s="41">
        <v>1</v>
      </c>
      <c r="O180" s="40">
        <v>3</v>
      </c>
      <c r="P180" s="40">
        <v>2</v>
      </c>
      <c r="Q180" s="41">
        <v>3</v>
      </c>
      <c r="R180" s="40">
        <v>2</v>
      </c>
      <c r="S180" s="40">
        <v>3</v>
      </c>
      <c r="T180" s="40">
        <v>2</v>
      </c>
      <c r="U180" s="40">
        <v>6</v>
      </c>
      <c r="V180" s="40" t="s">
        <v>45</v>
      </c>
      <c r="W180" s="40" t="s">
        <v>45</v>
      </c>
      <c r="X180" s="40" t="s">
        <v>45</v>
      </c>
      <c r="Y180" s="40" t="s">
        <v>45</v>
      </c>
      <c r="Z180" s="40" t="s">
        <v>45</v>
      </c>
      <c r="AA180" s="40" t="s">
        <v>45</v>
      </c>
      <c r="AB180" s="40">
        <v>2</v>
      </c>
      <c r="AC180" s="40">
        <v>4</v>
      </c>
      <c r="AD180" s="40" t="s">
        <v>45</v>
      </c>
      <c r="AE180" s="40" t="s">
        <v>45</v>
      </c>
      <c r="AF180" s="40" t="s">
        <v>45</v>
      </c>
      <c r="AG180" s="40" t="s">
        <v>45</v>
      </c>
      <c r="AH180" s="40" t="s">
        <v>45</v>
      </c>
      <c r="AI180" s="40" t="s">
        <v>45</v>
      </c>
      <c r="AJ180" s="40" t="s">
        <v>45</v>
      </c>
      <c r="AK180" s="40" t="s">
        <v>45</v>
      </c>
      <c r="AL180" s="40" t="s">
        <v>45</v>
      </c>
      <c r="AM180" s="40" t="s">
        <v>45</v>
      </c>
      <c r="AN180" s="40" t="s">
        <v>45</v>
      </c>
      <c r="AO180" s="41" t="s">
        <v>45</v>
      </c>
      <c r="AP180" s="40" t="s">
        <v>67</v>
      </c>
      <c r="AQ180" s="40">
        <v>5</v>
      </c>
      <c r="AR180" s="48" t="s">
        <v>347</v>
      </c>
      <c r="AS180" s="43" t="s">
        <v>670</v>
      </c>
      <c r="AT180" s="43" t="s">
        <v>47</v>
      </c>
      <c r="AU180" s="44">
        <f t="shared" si="17"/>
        <v>-2.5060525215375429</v>
      </c>
      <c r="AV180" s="44">
        <f t="shared" si="18"/>
        <v>-1.1865339896739031</v>
      </c>
      <c r="AW180" s="45">
        <f t="shared" si="19"/>
        <v>3</v>
      </c>
      <c r="AX180" s="45">
        <f t="shared" si="20"/>
        <v>1</v>
      </c>
      <c r="AY180" s="46">
        <f>VLOOKUP(AP180,COND!$A$10:$B$32,2,FALSE)</f>
        <v>0.9</v>
      </c>
      <c r="AZ180" s="44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33.299641263693161</v>
      </c>
      <c r="BA180" s="47">
        <f>STANDARDIZE(AZ180,AVERAGE($AZ$5:$AZ$557),STDEVP($AZ$5:$AZ$557))</f>
        <v>-0.17103703577558008</v>
      </c>
      <c r="BB180" s="45" t="str">
        <f t="shared" si="21"/>
        <v>SP</v>
      </c>
      <c r="BC180" s="45">
        <f>RANK(Table3[[#This Row],[zScore]],Table3[zScore])</f>
        <v>374</v>
      </c>
      <c r="BD180" s="45"/>
      <c r="BE180" s="45"/>
      <c r="BF180" s="45" t="str">
        <f t="shared" si="22"/>
        <v>Unlikely</v>
      </c>
      <c r="BG180" s="45"/>
      <c r="BH180" s="45" t="str">
        <f>INDEX(Table5[[#All],[Ovr]],MATCH(Table3[[#This Row],[PID]],Table5[[#All],[PID]],0))</f>
        <v/>
      </c>
      <c r="BI180" s="45" t="str">
        <f>INDEX(Table5[[#All],[Rnd]],MATCH(Table3[[#This Row],[PID]],Table5[[#All],[PID]],0))</f>
        <v/>
      </c>
      <c r="BJ180" s="45" t="str">
        <f>INDEX(Table5[[#All],[Pick]],MATCH(Table3[[#This Row],[PID]],Table5[[#All],[PID]],0))</f>
        <v/>
      </c>
      <c r="BK180" s="45" t="str">
        <f>INDEX(Table5[[#All],[Team]],MATCH(Table3[[#This Row],[PID]],Table5[[#All],[PID]],0))</f>
        <v/>
      </c>
      <c r="BL1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1" spans="1:64" ht="15" customHeight="1" x14ac:dyDescent="0.25">
      <c r="A181" s="40">
        <v>18011</v>
      </c>
      <c r="B181" s="40" t="s">
        <v>415</v>
      </c>
      <c r="C181" s="40" t="s">
        <v>2173</v>
      </c>
      <c r="D181" s="40" t="s">
        <v>181</v>
      </c>
      <c r="E181" s="40">
        <v>21</v>
      </c>
      <c r="F181" s="40" t="s">
        <v>53</v>
      </c>
      <c r="G181" s="40" t="s">
        <v>53</v>
      </c>
      <c r="H181" s="41" t="s">
        <v>647</v>
      </c>
      <c r="I181" s="42" t="s">
        <v>43</v>
      </c>
      <c r="J181" s="40" t="s">
        <v>44</v>
      </c>
      <c r="K181" s="41" t="s">
        <v>43</v>
      </c>
      <c r="L181" s="40">
        <v>3</v>
      </c>
      <c r="M181" s="40">
        <v>2</v>
      </c>
      <c r="N181" s="41">
        <v>1</v>
      </c>
      <c r="O181" s="40">
        <v>5</v>
      </c>
      <c r="P181" s="40">
        <v>2</v>
      </c>
      <c r="Q181" s="41">
        <v>3</v>
      </c>
      <c r="R181" s="40">
        <v>5</v>
      </c>
      <c r="S181" s="40">
        <v>6</v>
      </c>
      <c r="T181" s="40" t="s">
        <v>45</v>
      </c>
      <c r="U181" s="40" t="s">
        <v>45</v>
      </c>
      <c r="V181" s="40">
        <v>2</v>
      </c>
      <c r="W181" s="40">
        <v>6</v>
      </c>
      <c r="X181" s="40">
        <v>3</v>
      </c>
      <c r="Y181" s="40">
        <v>5</v>
      </c>
      <c r="Z181" s="40" t="s">
        <v>45</v>
      </c>
      <c r="AA181" s="40" t="s">
        <v>45</v>
      </c>
      <c r="AB181" s="40" t="s">
        <v>45</v>
      </c>
      <c r="AC181" s="40" t="s">
        <v>45</v>
      </c>
      <c r="AD181" s="40" t="s">
        <v>45</v>
      </c>
      <c r="AE181" s="40" t="s">
        <v>45</v>
      </c>
      <c r="AF181" s="40" t="s">
        <v>45</v>
      </c>
      <c r="AG181" s="40" t="s">
        <v>45</v>
      </c>
      <c r="AH181" s="40" t="s">
        <v>45</v>
      </c>
      <c r="AI181" s="40" t="s">
        <v>45</v>
      </c>
      <c r="AJ181" s="40" t="s">
        <v>45</v>
      </c>
      <c r="AK181" s="40" t="s">
        <v>45</v>
      </c>
      <c r="AL181" s="40" t="s">
        <v>45</v>
      </c>
      <c r="AM181" s="40" t="s">
        <v>45</v>
      </c>
      <c r="AN181" s="40" t="s">
        <v>45</v>
      </c>
      <c r="AO181" s="41" t="s">
        <v>45</v>
      </c>
      <c r="AP181" s="40" t="s">
        <v>54</v>
      </c>
      <c r="AQ181" s="40">
        <v>6</v>
      </c>
      <c r="AR181" s="48" t="s">
        <v>347</v>
      </c>
      <c r="AS181" s="43" t="s">
        <v>45</v>
      </c>
      <c r="AT181" s="43"/>
      <c r="AU181" s="44">
        <f t="shared" si="17"/>
        <v>-2.1166698725191955</v>
      </c>
      <c r="AV181" s="44">
        <f t="shared" si="18"/>
        <v>-0.79715134065555615</v>
      </c>
      <c r="AW181" s="45">
        <f t="shared" si="19"/>
        <v>3</v>
      </c>
      <c r="AX181" s="45">
        <f t="shared" si="20"/>
        <v>2</v>
      </c>
      <c r="AY181" s="46">
        <f>VLOOKUP(AP181,COND!$A$10:$B$32,2,FALSE)</f>
        <v>1.0249999999999999</v>
      </c>
      <c r="AZ181" s="44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34.3413681878773</v>
      </c>
      <c r="BA181" s="47">
        <f>STANDARDIZE(AZ181,AVERAGE($AZ$5:$AZ$788),STDEVP($AZ$5:$AZ$788))</f>
        <v>-0.17642756781985727</v>
      </c>
      <c r="BB181" s="45" t="str">
        <f t="shared" si="21"/>
        <v>SP</v>
      </c>
      <c r="BC181" s="45">
        <f>RANK(Table3[[#This Row],[zScore]],Table3[zScore])</f>
        <v>375</v>
      </c>
      <c r="BD181" s="45"/>
      <c r="BE181" s="45"/>
      <c r="BF181" s="45" t="str">
        <f t="shared" si="22"/>
        <v>Unlikely</v>
      </c>
      <c r="BG181" s="45"/>
      <c r="BH181" s="64" t="str">
        <f>INDEX(Table5[[#All],[Ovr]],MATCH(Table3[[#This Row],[PID]],Table5[[#All],[PID]],0))</f>
        <v/>
      </c>
      <c r="BI181" s="64" t="str">
        <f>INDEX(Table5[[#All],[Rnd]],MATCH(Table3[[#This Row],[PID]],Table5[[#All],[PID]],0))</f>
        <v/>
      </c>
      <c r="BJ181" s="64" t="str">
        <f>INDEX(Table5[[#All],[Pick]],MATCH(Table3[[#This Row],[PID]],Table5[[#All],[PID]],0))</f>
        <v/>
      </c>
      <c r="BK181" s="64" t="str">
        <f>INDEX(Table5[[#All],[Team]],MATCH(Table3[[#This Row],[PID]],Table5[[#All],[PID]],0))</f>
        <v/>
      </c>
      <c r="BL181" s="64" t="str">
        <f>IF(OR(Table3[[#This Row],[POS]]="SP",Table3[[#This Row],[POS]]="RP",Table3[[#This Row],[POS]]="CL"),"P",INDEX(Batters[[#All],[zScore]],MATCH(Table3[[#This Row],[PID]],Batters[[#All],[PID]],0)))</f>
        <v>P</v>
      </c>
    </row>
    <row r="182" spans="1:64" ht="15" customHeight="1" x14ac:dyDescent="0.25">
      <c r="A182" s="40">
        <v>17630</v>
      </c>
      <c r="B182" s="40" t="s">
        <v>415</v>
      </c>
      <c r="C182" s="40" t="s">
        <v>1022</v>
      </c>
      <c r="D182" s="40" t="s">
        <v>203</v>
      </c>
      <c r="E182" s="40">
        <v>18</v>
      </c>
      <c r="F182" s="40" t="s">
        <v>53</v>
      </c>
      <c r="G182" s="40" t="s">
        <v>42</v>
      </c>
      <c r="H182" s="41" t="s">
        <v>647</v>
      </c>
      <c r="I182" s="42" t="s">
        <v>43</v>
      </c>
      <c r="J182" s="40" t="s">
        <v>44</v>
      </c>
      <c r="K182" s="41" t="s">
        <v>43</v>
      </c>
      <c r="L182" s="40">
        <v>2</v>
      </c>
      <c r="M182" s="40">
        <v>1</v>
      </c>
      <c r="N182" s="41">
        <v>1</v>
      </c>
      <c r="O182" s="40">
        <v>5</v>
      </c>
      <c r="P182" s="40">
        <v>2</v>
      </c>
      <c r="Q182" s="41">
        <v>2</v>
      </c>
      <c r="R182" s="40">
        <v>3</v>
      </c>
      <c r="S182" s="40">
        <v>5</v>
      </c>
      <c r="T182" s="40">
        <v>1</v>
      </c>
      <c r="U182" s="40">
        <v>1</v>
      </c>
      <c r="V182" s="40" t="s">
        <v>45</v>
      </c>
      <c r="W182" s="40" t="s">
        <v>45</v>
      </c>
      <c r="X182" s="40">
        <v>3</v>
      </c>
      <c r="Y182" s="40">
        <v>7</v>
      </c>
      <c r="Z182" s="40" t="s">
        <v>45</v>
      </c>
      <c r="AA182" s="40" t="s">
        <v>45</v>
      </c>
      <c r="AB182" s="40" t="s">
        <v>45</v>
      </c>
      <c r="AC182" s="40" t="s">
        <v>45</v>
      </c>
      <c r="AD182" s="40" t="s">
        <v>45</v>
      </c>
      <c r="AE182" s="40" t="s">
        <v>45</v>
      </c>
      <c r="AF182" s="40" t="s">
        <v>45</v>
      </c>
      <c r="AG182" s="40" t="s">
        <v>45</v>
      </c>
      <c r="AH182" s="40" t="s">
        <v>45</v>
      </c>
      <c r="AI182" s="40" t="s">
        <v>45</v>
      </c>
      <c r="AJ182" s="40" t="s">
        <v>45</v>
      </c>
      <c r="AK182" s="40" t="s">
        <v>45</v>
      </c>
      <c r="AL182" s="40" t="s">
        <v>45</v>
      </c>
      <c r="AM182" s="40" t="s">
        <v>45</v>
      </c>
      <c r="AN182" s="40" t="s">
        <v>45</v>
      </c>
      <c r="AO182" s="41" t="s">
        <v>45</v>
      </c>
      <c r="AP182" s="40" t="s">
        <v>349</v>
      </c>
      <c r="AQ182" s="40">
        <v>8</v>
      </c>
      <c r="AR182" s="48" t="s">
        <v>14</v>
      </c>
      <c r="AS182" s="43" t="s">
        <v>670</v>
      </c>
      <c r="AT182" s="43" t="s">
        <v>47</v>
      </c>
      <c r="AU182" s="44">
        <f t="shared" si="17"/>
        <v>-2.5067929134584248</v>
      </c>
      <c r="AV182" s="44">
        <f t="shared" si="18"/>
        <v>-1.0394719067096667</v>
      </c>
      <c r="AW182" s="45">
        <f t="shared" si="19"/>
        <v>3</v>
      </c>
      <c r="AX182" s="45">
        <f t="shared" si="20"/>
        <v>1</v>
      </c>
      <c r="AY182" s="46">
        <f>VLOOKUP(AP182,COND!$A$10:$B$32,2,FALSE)</f>
        <v>1</v>
      </c>
      <c r="AZ182" s="44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33.159203283114977</v>
      </c>
      <c r="BA182" s="47">
        <f>STANDARDIZE(AZ182,AVERAGE($AZ$5:$AZ$557),STDEVP($AZ$5:$AZ$557))</f>
        <v>-0.18038016001892679</v>
      </c>
      <c r="BB182" s="45" t="str">
        <f t="shared" si="21"/>
        <v>SP</v>
      </c>
      <c r="BC182" s="45">
        <f>RANK(Table3[[#This Row],[zScore]],Table3[zScore])</f>
        <v>377</v>
      </c>
      <c r="BD182" s="45"/>
      <c r="BE182" s="45"/>
      <c r="BF182" s="45" t="str">
        <f t="shared" si="22"/>
        <v>Unlikely</v>
      </c>
      <c r="BG182" s="45"/>
      <c r="BH182" s="45" t="str">
        <f>INDEX(Table5[[#All],[Ovr]],MATCH(Table3[[#This Row],[PID]],Table5[[#All],[PID]],0))</f>
        <v/>
      </c>
      <c r="BI182" s="45" t="str">
        <f>INDEX(Table5[[#All],[Rnd]],MATCH(Table3[[#This Row],[PID]],Table5[[#All],[PID]],0))</f>
        <v/>
      </c>
      <c r="BJ182" s="45" t="str">
        <f>INDEX(Table5[[#All],[Pick]],MATCH(Table3[[#This Row],[PID]],Table5[[#All],[PID]],0))</f>
        <v/>
      </c>
      <c r="BK182" s="45" t="str">
        <f>INDEX(Table5[[#All],[Team]],MATCH(Table3[[#This Row],[PID]],Table5[[#All],[PID]],0))</f>
        <v/>
      </c>
      <c r="BL1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3" spans="1:64" ht="15" customHeight="1" x14ac:dyDescent="0.25">
      <c r="A183" s="40">
        <v>20655</v>
      </c>
      <c r="B183" s="40" t="s">
        <v>415</v>
      </c>
      <c r="C183" s="40" t="s">
        <v>2114</v>
      </c>
      <c r="D183" s="40" t="s">
        <v>1320</v>
      </c>
      <c r="E183" s="40">
        <v>17</v>
      </c>
      <c r="F183" s="40" t="s">
        <v>53</v>
      </c>
      <c r="G183" s="40" t="s">
        <v>53</v>
      </c>
      <c r="H183" s="41" t="s">
        <v>647</v>
      </c>
      <c r="I183" s="42" t="s">
        <v>43</v>
      </c>
      <c r="J183" s="40" t="s">
        <v>47</v>
      </c>
      <c r="K183" s="41" t="s">
        <v>43</v>
      </c>
      <c r="L183" s="40">
        <v>3</v>
      </c>
      <c r="M183" s="40">
        <v>2</v>
      </c>
      <c r="N183" s="41">
        <v>1</v>
      </c>
      <c r="O183" s="40">
        <v>5</v>
      </c>
      <c r="P183" s="40">
        <v>2</v>
      </c>
      <c r="Q183" s="41">
        <v>3</v>
      </c>
      <c r="R183" s="40" t="s">
        <v>45</v>
      </c>
      <c r="S183" s="40" t="s">
        <v>45</v>
      </c>
      <c r="T183" s="40" t="s">
        <v>45</v>
      </c>
      <c r="U183" s="40" t="s">
        <v>45</v>
      </c>
      <c r="V183" s="40">
        <v>4</v>
      </c>
      <c r="W183" s="40">
        <v>8</v>
      </c>
      <c r="X183" s="40" t="s">
        <v>45</v>
      </c>
      <c r="Y183" s="40" t="s">
        <v>45</v>
      </c>
      <c r="Z183" s="40" t="s">
        <v>45</v>
      </c>
      <c r="AA183" s="40" t="s">
        <v>45</v>
      </c>
      <c r="AB183" s="40" t="s">
        <v>45</v>
      </c>
      <c r="AC183" s="40" t="s">
        <v>45</v>
      </c>
      <c r="AD183" s="40">
        <v>4</v>
      </c>
      <c r="AE183" s="40">
        <v>6</v>
      </c>
      <c r="AF183" s="40" t="s">
        <v>45</v>
      </c>
      <c r="AG183" s="40" t="s">
        <v>45</v>
      </c>
      <c r="AH183" s="40" t="s">
        <v>45</v>
      </c>
      <c r="AI183" s="40" t="s">
        <v>45</v>
      </c>
      <c r="AJ183" s="40" t="s">
        <v>45</v>
      </c>
      <c r="AK183" s="40" t="s">
        <v>45</v>
      </c>
      <c r="AL183" s="40" t="s">
        <v>45</v>
      </c>
      <c r="AM183" s="40" t="s">
        <v>45</v>
      </c>
      <c r="AN183" s="40" t="s">
        <v>45</v>
      </c>
      <c r="AO183" s="41" t="s">
        <v>45</v>
      </c>
      <c r="AP183" s="40" t="s">
        <v>64</v>
      </c>
      <c r="AQ183" s="40">
        <v>3</v>
      </c>
      <c r="AR183" s="48" t="s">
        <v>347</v>
      </c>
      <c r="AS183" s="43" t="s">
        <v>644</v>
      </c>
      <c r="AT183" s="43" t="s">
        <v>47</v>
      </c>
      <c r="AU183" s="44">
        <f t="shared" si="17"/>
        <v>-2.1166698725191955</v>
      </c>
      <c r="AV183" s="44">
        <f t="shared" si="18"/>
        <v>-0.79715134065555615</v>
      </c>
      <c r="AW183" s="45">
        <f t="shared" si="19"/>
        <v>2</v>
      </c>
      <c r="AX183" s="45">
        <f t="shared" si="20"/>
        <v>2</v>
      </c>
      <c r="AY183" s="46">
        <f>VLOOKUP(AP183,COND!$A$10:$B$32,2,FALSE)</f>
        <v>1</v>
      </c>
      <c r="AZ183" s="44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33.076957251765791</v>
      </c>
      <c r="BA183" s="47">
        <f>STANDARDIZE(AZ183,AVERAGE($AZ$5:$AZ$557),STDEVP($AZ$5:$AZ$557))</f>
        <v>-0.18585186280370039</v>
      </c>
      <c r="BB183" s="45" t="str">
        <f t="shared" si="21"/>
        <v>RP</v>
      </c>
      <c r="BC183" s="45">
        <f>RANK(Table3[[#This Row],[zScore]],Table3[zScore])</f>
        <v>379</v>
      </c>
      <c r="BD183" s="45"/>
      <c r="BE183" s="45"/>
      <c r="BF183" s="45" t="str">
        <f t="shared" si="22"/>
        <v>Unlikely</v>
      </c>
      <c r="BG183" s="45"/>
      <c r="BH183" s="45">
        <f>INDEX(Table5[[#All],[Ovr]],MATCH(Table3[[#This Row],[PID]],Table5[[#All],[PID]],0))</f>
        <v>540</v>
      </c>
      <c r="BI183" s="45" t="str">
        <f>INDEX(Table5[[#All],[Rnd]],MATCH(Table3[[#This Row],[PID]],Table5[[#All],[PID]],0))</f>
        <v>18</v>
      </c>
      <c r="BJ183" s="45">
        <f>INDEX(Table5[[#All],[Pick]],MATCH(Table3[[#This Row],[PID]],Table5[[#All],[PID]],0))</f>
        <v>22</v>
      </c>
      <c r="BK183" s="45" t="str">
        <f>INDEX(Table5[[#All],[Team]],MATCH(Table3[[#This Row],[PID]],Table5[[#All],[PID]],0))</f>
        <v>Fargo Dinosaurs</v>
      </c>
      <c r="BL1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4" spans="1:64" ht="15" customHeight="1" x14ac:dyDescent="0.25">
      <c r="A184" s="40">
        <v>18354</v>
      </c>
      <c r="B184" s="40" t="s">
        <v>415</v>
      </c>
      <c r="C184" s="40" t="s">
        <v>1148</v>
      </c>
      <c r="D184" s="40" t="s">
        <v>1938</v>
      </c>
      <c r="E184" s="40">
        <v>18</v>
      </c>
      <c r="F184" s="40" t="s">
        <v>42</v>
      </c>
      <c r="G184" s="40" t="s">
        <v>42</v>
      </c>
      <c r="H184" s="41" t="s">
        <v>647</v>
      </c>
      <c r="I184" s="42" t="s">
        <v>43</v>
      </c>
      <c r="J184" s="40" t="s">
        <v>44</v>
      </c>
      <c r="K184" s="41" t="s">
        <v>44</v>
      </c>
      <c r="L184" s="40">
        <v>2</v>
      </c>
      <c r="M184" s="40">
        <v>1</v>
      </c>
      <c r="N184" s="41">
        <v>1</v>
      </c>
      <c r="O184" s="40">
        <v>4</v>
      </c>
      <c r="P184" s="40">
        <v>2</v>
      </c>
      <c r="Q184" s="41">
        <v>3</v>
      </c>
      <c r="R184" s="40">
        <v>3</v>
      </c>
      <c r="S184" s="40">
        <v>4</v>
      </c>
      <c r="T184" s="40">
        <v>1</v>
      </c>
      <c r="U184" s="40">
        <v>5</v>
      </c>
      <c r="V184" s="40">
        <v>1</v>
      </c>
      <c r="W184" s="40">
        <v>5</v>
      </c>
      <c r="X184" s="40" t="s">
        <v>45</v>
      </c>
      <c r="Y184" s="40" t="s">
        <v>45</v>
      </c>
      <c r="Z184" s="40" t="s">
        <v>45</v>
      </c>
      <c r="AA184" s="40" t="s">
        <v>45</v>
      </c>
      <c r="AB184" s="40" t="s">
        <v>45</v>
      </c>
      <c r="AC184" s="40" t="s">
        <v>45</v>
      </c>
      <c r="AD184" s="40">
        <v>2</v>
      </c>
      <c r="AE184" s="40">
        <v>4</v>
      </c>
      <c r="AF184" s="40" t="s">
        <v>45</v>
      </c>
      <c r="AG184" s="40" t="s">
        <v>45</v>
      </c>
      <c r="AH184" s="40" t="s">
        <v>45</v>
      </c>
      <c r="AI184" s="40" t="s">
        <v>45</v>
      </c>
      <c r="AJ184" s="40" t="s">
        <v>45</v>
      </c>
      <c r="AK184" s="40" t="s">
        <v>45</v>
      </c>
      <c r="AL184" s="40" t="s">
        <v>45</v>
      </c>
      <c r="AM184" s="40" t="s">
        <v>45</v>
      </c>
      <c r="AN184" s="40" t="s">
        <v>45</v>
      </c>
      <c r="AO184" s="41" t="s">
        <v>45</v>
      </c>
      <c r="AP184" s="40" t="s">
        <v>64</v>
      </c>
      <c r="AQ184" s="40">
        <v>8</v>
      </c>
      <c r="AR184" s="48" t="s">
        <v>14</v>
      </c>
      <c r="AS184" s="43" t="s">
        <v>659</v>
      </c>
      <c r="AT184" s="43" t="s">
        <v>635</v>
      </c>
      <c r="AU184" s="44">
        <f t="shared" si="17"/>
        <v>-2.5067929134584248</v>
      </c>
      <c r="AV184" s="44">
        <f t="shared" si="18"/>
        <v>-0.99184266516472974</v>
      </c>
      <c r="AW184" s="45">
        <f t="shared" si="19"/>
        <v>4</v>
      </c>
      <c r="AX184" s="45">
        <f t="shared" si="20"/>
        <v>0</v>
      </c>
      <c r="AY184" s="46">
        <f>VLOOKUP(AP184,COND!$A$10:$B$32,2,FALSE)</f>
        <v>1</v>
      </c>
      <c r="AZ184" s="44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33.061788114013716</v>
      </c>
      <c r="BA184" s="47">
        <f>STANDARDIZE(AZ184,AVERAGE($AZ$5:$AZ$557),STDEVP($AZ$5:$AZ$557))</f>
        <v>-0.1868610423582524</v>
      </c>
      <c r="BB184" s="45" t="str">
        <f t="shared" si="21"/>
        <v>SP</v>
      </c>
      <c r="BC184" s="45">
        <f>RANK(Table3[[#This Row],[zScore]],Table3[zScore])</f>
        <v>380</v>
      </c>
      <c r="BD184" s="45"/>
      <c r="BE184" s="45"/>
      <c r="BF184" s="45" t="str">
        <f t="shared" si="22"/>
        <v>Unlikely</v>
      </c>
      <c r="BG184" s="45"/>
      <c r="BH184" s="45" t="str">
        <f>INDEX(Table5[[#All],[Ovr]],MATCH(Table3[[#This Row],[PID]],Table5[[#All],[PID]],0))</f>
        <v/>
      </c>
      <c r="BI184" s="45" t="str">
        <f>INDEX(Table5[[#All],[Rnd]],MATCH(Table3[[#This Row],[PID]],Table5[[#All],[PID]],0))</f>
        <v/>
      </c>
      <c r="BJ184" s="45" t="str">
        <f>INDEX(Table5[[#All],[Pick]],MATCH(Table3[[#This Row],[PID]],Table5[[#All],[PID]],0))</f>
        <v/>
      </c>
      <c r="BK184" s="45" t="str">
        <f>INDEX(Table5[[#All],[Team]],MATCH(Table3[[#This Row],[PID]],Table5[[#All],[PID]],0))</f>
        <v/>
      </c>
      <c r="BL1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5" spans="1:64" ht="15" customHeight="1" x14ac:dyDescent="0.25">
      <c r="A185" s="40">
        <v>20986</v>
      </c>
      <c r="B185" s="40" t="s">
        <v>415</v>
      </c>
      <c r="C185" s="40" t="s">
        <v>172</v>
      </c>
      <c r="D185" s="40" t="s">
        <v>1984</v>
      </c>
      <c r="E185" s="40">
        <v>18</v>
      </c>
      <c r="F185" s="40" t="s">
        <v>42</v>
      </c>
      <c r="G185" s="40" t="s">
        <v>53</v>
      </c>
      <c r="H185" s="41" t="s">
        <v>647</v>
      </c>
      <c r="I185" s="42" t="s">
        <v>43</v>
      </c>
      <c r="J185" s="40" t="s">
        <v>47</v>
      </c>
      <c r="K185" s="41" t="s">
        <v>43</v>
      </c>
      <c r="L185" s="40">
        <v>1</v>
      </c>
      <c r="M185" s="40">
        <v>2</v>
      </c>
      <c r="N185" s="41">
        <v>1</v>
      </c>
      <c r="O185" s="40">
        <v>5</v>
      </c>
      <c r="P185" s="40">
        <v>2</v>
      </c>
      <c r="Q185" s="41">
        <v>3</v>
      </c>
      <c r="R185" s="40">
        <v>3</v>
      </c>
      <c r="S185" s="40">
        <v>6</v>
      </c>
      <c r="T185" s="40" t="s">
        <v>45</v>
      </c>
      <c r="U185" s="40" t="s">
        <v>45</v>
      </c>
      <c r="V185" s="40" t="s">
        <v>45</v>
      </c>
      <c r="W185" s="40" t="s">
        <v>45</v>
      </c>
      <c r="X185" s="40" t="s">
        <v>45</v>
      </c>
      <c r="Y185" s="40" t="s">
        <v>45</v>
      </c>
      <c r="Z185" s="40" t="s">
        <v>45</v>
      </c>
      <c r="AA185" s="40" t="s">
        <v>45</v>
      </c>
      <c r="AB185" s="40" t="s">
        <v>45</v>
      </c>
      <c r="AC185" s="40" t="s">
        <v>45</v>
      </c>
      <c r="AD185" s="40" t="s">
        <v>45</v>
      </c>
      <c r="AE185" s="40" t="s">
        <v>45</v>
      </c>
      <c r="AF185" s="40" t="s">
        <v>45</v>
      </c>
      <c r="AG185" s="40" t="s">
        <v>45</v>
      </c>
      <c r="AH185" s="40">
        <v>2</v>
      </c>
      <c r="AI185" s="40">
        <v>7</v>
      </c>
      <c r="AJ185" s="40" t="s">
        <v>45</v>
      </c>
      <c r="AK185" s="40" t="s">
        <v>45</v>
      </c>
      <c r="AL185" s="40" t="s">
        <v>45</v>
      </c>
      <c r="AM185" s="40" t="s">
        <v>45</v>
      </c>
      <c r="AN185" s="40" t="s">
        <v>45</v>
      </c>
      <c r="AO185" s="41" t="s">
        <v>45</v>
      </c>
      <c r="AP185" s="40" t="s">
        <v>64</v>
      </c>
      <c r="AQ185" s="40">
        <v>4</v>
      </c>
      <c r="AR185" s="48" t="s">
        <v>347</v>
      </c>
      <c r="AS185" s="43" t="s">
        <v>644</v>
      </c>
      <c r="AT185" s="43" t="s">
        <v>47</v>
      </c>
      <c r="AU185" s="44">
        <f t="shared" si="17"/>
        <v>-2.5060525215375429</v>
      </c>
      <c r="AV185" s="44">
        <f t="shared" si="18"/>
        <v>-0.79715134065555615</v>
      </c>
      <c r="AW185" s="45">
        <f t="shared" si="19"/>
        <v>2</v>
      </c>
      <c r="AX185" s="45">
        <f t="shared" si="20"/>
        <v>2</v>
      </c>
      <c r="AY185" s="46">
        <f>VLOOKUP(AP185,COND!$A$10:$B$32,2,FALSE)</f>
        <v>1</v>
      </c>
      <c r="AZ185" s="44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33.0029745484523</v>
      </c>
      <c r="BA185" s="47">
        <f>STANDARDIZE(AZ185,AVERAGE($AZ$5:$AZ$557),STDEVP($AZ$5:$AZ$557))</f>
        <v>-0.19077381900152379</v>
      </c>
      <c r="BB185" s="45" t="str">
        <f t="shared" si="21"/>
        <v>RP</v>
      </c>
      <c r="BC185" s="45">
        <f>RANK(Table3[[#This Row],[zScore]],Table3[zScore])</f>
        <v>383</v>
      </c>
      <c r="BD185" s="45"/>
      <c r="BE185" s="45"/>
      <c r="BF185" s="45" t="str">
        <f t="shared" si="22"/>
        <v>Unlikely</v>
      </c>
      <c r="BG185" s="45"/>
      <c r="BH185" s="45" t="str">
        <f>INDEX(Table5[[#All],[Ovr]],MATCH(Table3[[#This Row],[PID]],Table5[[#All],[PID]],0))</f>
        <v/>
      </c>
      <c r="BI185" s="45" t="str">
        <f>INDEX(Table5[[#All],[Rnd]],MATCH(Table3[[#This Row],[PID]],Table5[[#All],[PID]],0))</f>
        <v/>
      </c>
      <c r="BJ185" s="45" t="str">
        <f>INDEX(Table5[[#All],[Pick]],MATCH(Table3[[#This Row],[PID]],Table5[[#All],[PID]],0))</f>
        <v/>
      </c>
      <c r="BK185" s="45" t="str">
        <f>INDEX(Table5[[#All],[Team]],MATCH(Table3[[#This Row],[PID]],Table5[[#All],[PID]],0))</f>
        <v/>
      </c>
      <c r="BL1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6" spans="1:64" ht="15" customHeight="1" x14ac:dyDescent="0.25">
      <c r="A186" s="40">
        <v>17867</v>
      </c>
      <c r="B186" s="40" t="s">
        <v>415</v>
      </c>
      <c r="C186" s="40" t="s">
        <v>916</v>
      </c>
      <c r="D186" s="40" t="s">
        <v>995</v>
      </c>
      <c r="E186" s="40">
        <v>18</v>
      </c>
      <c r="F186" s="40" t="s">
        <v>42</v>
      </c>
      <c r="G186" s="40" t="s">
        <v>42</v>
      </c>
      <c r="H186" s="41" t="s">
        <v>647</v>
      </c>
      <c r="I186" s="42" t="s">
        <v>43</v>
      </c>
      <c r="J186" s="40" t="s">
        <v>44</v>
      </c>
      <c r="K186" s="41" t="s">
        <v>43</v>
      </c>
      <c r="L186" s="40">
        <v>2</v>
      </c>
      <c r="M186" s="40">
        <v>2</v>
      </c>
      <c r="N186" s="41">
        <v>1</v>
      </c>
      <c r="O186" s="40">
        <v>5</v>
      </c>
      <c r="P186" s="40">
        <v>2</v>
      </c>
      <c r="Q186" s="41">
        <v>2</v>
      </c>
      <c r="R186" s="40">
        <v>4</v>
      </c>
      <c r="S186" s="40">
        <v>6</v>
      </c>
      <c r="T186" s="40">
        <v>1</v>
      </c>
      <c r="U186" s="40">
        <v>1</v>
      </c>
      <c r="V186" s="40" t="s">
        <v>45</v>
      </c>
      <c r="W186" s="40" t="s">
        <v>45</v>
      </c>
      <c r="X186" s="40">
        <v>3</v>
      </c>
      <c r="Y186" s="40">
        <v>7</v>
      </c>
      <c r="Z186" s="40" t="s">
        <v>45</v>
      </c>
      <c r="AA186" s="40" t="s">
        <v>45</v>
      </c>
      <c r="AB186" s="40" t="s">
        <v>45</v>
      </c>
      <c r="AC186" s="40" t="s">
        <v>45</v>
      </c>
      <c r="AD186" s="40" t="s">
        <v>45</v>
      </c>
      <c r="AE186" s="40" t="s">
        <v>45</v>
      </c>
      <c r="AF186" s="40" t="s">
        <v>45</v>
      </c>
      <c r="AG186" s="40" t="s">
        <v>45</v>
      </c>
      <c r="AH186" s="40" t="s">
        <v>45</v>
      </c>
      <c r="AI186" s="40" t="s">
        <v>45</v>
      </c>
      <c r="AJ186" s="40" t="s">
        <v>45</v>
      </c>
      <c r="AK186" s="40" t="s">
        <v>45</v>
      </c>
      <c r="AL186" s="40" t="s">
        <v>45</v>
      </c>
      <c r="AM186" s="40" t="s">
        <v>45</v>
      </c>
      <c r="AN186" s="40" t="s">
        <v>45</v>
      </c>
      <c r="AO186" s="41" t="s">
        <v>45</v>
      </c>
      <c r="AP186" s="40" t="s">
        <v>57</v>
      </c>
      <c r="AQ186" s="40">
        <v>6</v>
      </c>
      <c r="AR186" s="48" t="s">
        <v>347</v>
      </c>
      <c r="AS186" s="43" t="s">
        <v>659</v>
      </c>
      <c r="AT186" s="43" t="s">
        <v>47</v>
      </c>
      <c r="AU186" s="44">
        <f t="shared" si="17"/>
        <v>-2.311361197028369</v>
      </c>
      <c r="AV186" s="44">
        <f t="shared" si="18"/>
        <v>-1.0394719067096667</v>
      </c>
      <c r="AW186" s="45">
        <f t="shared" si="19"/>
        <v>3</v>
      </c>
      <c r="AX186" s="45">
        <f t="shared" si="20"/>
        <v>2</v>
      </c>
      <c r="AY186" s="46">
        <f>VLOOKUP(AP186,COND!$A$10:$B$32,2,FALSE)</f>
        <v>1</v>
      </c>
      <c r="AZ186" s="44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34.879582385740967</v>
      </c>
      <c r="BA186" s="47">
        <f>STANDARDIZE(AZ186,AVERAGE($AZ$5:$AZ$663),STDEVP($AZ$5:$AZ$663))</f>
        <v>-0.20030642167579579</v>
      </c>
      <c r="BB186" s="45" t="str">
        <f t="shared" si="21"/>
        <v>SP</v>
      </c>
      <c r="BC186" s="45">
        <f>RANK(Table3[[#This Row],[zScore]],Table3[zScore])</f>
        <v>387</v>
      </c>
      <c r="BD186" s="45"/>
      <c r="BE186" s="45"/>
      <c r="BF186" s="45" t="str">
        <f t="shared" si="22"/>
        <v>Unlikely</v>
      </c>
      <c r="BG186" s="45"/>
      <c r="BH186" s="45" t="str">
        <f>INDEX(Table5[[#All],[Ovr]],MATCH(Table3[[#This Row],[PID]],Table5[[#All],[PID]],0))</f>
        <v/>
      </c>
      <c r="BI186" s="45" t="str">
        <f>INDEX(Table5[[#All],[Rnd]],MATCH(Table3[[#This Row],[PID]],Table5[[#All],[PID]],0))</f>
        <v/>
      </c>
      <c r="BJ186" s="45" t="str">
        <f>INDEX(Table5[[#All],[Pick]],MATCH(Table3[[#This Row],[PID]],Table5[[#All],[PID]],0))</f>
        <v/>
      </c>
      <c r="BK186" s="45" t="str">
        <f>INDEX(Table5[[#All],[Team]],MATCH(Table3[[#This Row],[PID]],Table5[[#All],[PID]],0))</f>
        <v/>
      </c>
      <c r="BL1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7" spans="1:64" ht="15" customHeight="1" x14ac:dyDescent="0.25">
      <c r="A187" s="40">
        <v>18034</v>
      </c>
      <c r="B187" s="40" t="s">
        <v>415</v>
      </c>
      <c r="C187" s="40" t="s">
        <v>869</v>
      </c>
      <c r="D187" s="40" t="s">
        <v>1469</v>
      </c>
      <c r="E187" s="40">
        <v>21</v>
      </c>
      <c r="F187" s="40" t="s">
        <v>42</v>
      </c>
      <c r="G187" s="40" t="s">
        <v>53</v>
      </c>
      <c r="H187" s="41" t="s">
        <v>647</v>
      </c>
      <c r="I187" s="42" t="s">
        <v>43</v>
      </c>
      <c r="J187" s="40" t="s">
        <v>44</v>
      </c>
      <c r="K187" s="41" t="s">
        <v>43</v>
      </c>
      <c r="L187" s="40">
        <v>3</v>
      </c>
      <c r="M187" s="40">
        <v>1</v>
      </c>
      <c r="N187" s="41">
        <v>1</v>
      </c>
      <c r="O187" s="40">
        <v>6</v>
      </c>
      <c r="P187" s="40">
        <v>2</v>
      </c>
      <c r="Q187" s="41">
        <v>2</v>
      </c>
      <c r="R187" s="40">
        <v>5</v>
      </c>
      <c r="S187" s="40">
        <v>7</v>
      </c>
      <c r="T187" s="40" t="s">
        <v>45</v>
      </c>
      <c r="U187" s="40" t="s">
        <v>45</v>
      </c>
      <c r="V187" s="40" t="s">
        <v>45</v>
      </c>
      <c r="W187" s="40" t="s">
        <v>45</v>
      </c>
      <c r="X187" s="40">
        <v>4</v>
      </c>
      <c r="Y187" s="40">
        <v>8</v>
      </c>
      <c r="Z187" s="40" t="s">
        <v>45</v>
      </c>
      <c r="AA187" s="40" t="s">
        <v>45</v>
      </c>
      <c r="AB187" s="40" t="s">
        <v>45</v>
      </c>
      <c r="AC187" s="40" t="s">
        <v>45</v>
      </c>
      <c r="AD187" s="40" t="s">
        <v>45</v>
      </c>
      <c r="AE187" s="40" t="s">
        <v>45</v>
      </c>
      <c r="AF187" s="40" t="s">
        <v>45</v>
      </c>
      <c r="AG187" s="40" t="s">
        <v>45</v>
      </c>
      <c r="AH187" s="40" t="s">
        <v>45</v>
      </c>
      <c r="AI187" s="40" t="s">
        <v>45</v>
      </c>
      <c r="AJ187" s="40" t="s">
        <v>45</v>
      </c>
      <c r="AK187" s="40" t="s">
        <v>45</v>
      </c>
      <c r="AL187" s="40">
        <v>3</v>
      </c>
      <c r="AM187" s="40">
        <v>7</v>
      </c>
      <c r="AN187" s="40" t="s">
        <v>45</v>
      </c>
      <c r="AO187" s="41" t="s">
        <v>45</v>
      </c>
      <c r="AP187" s="40" t="s">
        <v>60</v>
      </c>
      <c r="AQ187" s="40">
        <v>4</v>
      </c>
      <c r="AR187" s="48" t="s">
        <v>14</v>
      </c>
      <c r="AS187" s="43" t="s">
        <v>45</v>
      </c>
      <c r="AT187" s="43" t="s">
        <v>47</v>
      </c>
      <c r="AU187" s="44">
        <f t="shared" si="17"/>
        <v>-2.3121015889492513</v>
      </c>
      <c r="AV187" s="44">
        <f t="shared" si="18"/>
        <v>-0.84478058220049301</v>
      </c>
      <c r="AW187" s="45">
        <f t="shared" si="19"/>
        <v>3</v>
      </c>
      <c r="AX187" s="45">
        <f t="shared" si="20"/>
        <v>3</v>
      </c>
      <c r="AY187" s="46">
        <f>VLOOKUP(AP187,COND!$A$10:$B$32,2,FALSE)</f>
        <v>1.0249999999999999</v>
      </c>
      <c r="AZ187" s="44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32.909803877197533</v>
      </c>
      <c r="BA187" s="47">
        <f>STANDARDIZE(AZ187,AVERAGE($AZ$5:$AZ$557),STDEVP($AZ$5:$AZ$557))</f>
        <v>-0.19697232138517695</v>
      </c>
      <c r="BB187" s="45" t="str">
        <f t="shared" si="21"/>
        <v>RP</v>
      </c>
      <c r="BC187" s="45">
        <f>RANK(Table3[[#This Row],[zScore]],Table3[zScore])</f>
        <v>385</v>
      </c>
      <c r="BD187" s="45"/>
      <c r="BE187" s="45"/>
      <c r="BF187" s="45" t="str">
        <f t="shared" si="22"/>
        <v>Unlikely</v>
      </c>
      <c r="BG187" s="45"/>
      <c r="BH187" s="45" t="str">
        <f>INDEX(Table5[[#All],[Ovr]],MATCH(Table3[[#This Row],[PID]],Table5[[#All],[PID]],0))</f>
        <v/>
      </c>
      <c r="BI187" s="45" t="str">
        <f>INDEX(Table5[[#All],[Rnd]],MATCH(Table3[[#This Row],[PID]],Table5[[#All],[PID]],0))</f>
        <v/>
      </c>
      <c r="BJ187" s="45" t="str">
        <f>INDEX(Table5[[#All],[Pick]],MATCH(Table3[[#This Row],[PID]],Table5[[#All],[PID]],0))</f>
        <v/>
      </c>
      <c r="BK187" s="45" t="str">
        <f>INDEX(Table5[[#All],[Team]],MATCH(Table3[[#This Row],[PID]],Table5[[#All],[PID]],0))</f>
        <v/>
      </c>
      <c r="BL1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8" spans="1:64" ht="15" customHeight="1" x14ac:dyDescent="0.25">
      <c r="A188" s="40">
        <v>20551</v>
      </c>
      <c r="B188" s="40" t="s">
        <v>415</v>
      </c>
      <c r="C188" s="40" t="s">
        <v>974</v>
      </c>
      <c r="D188" s="40" t="s">
        <v>1926</v>
      </c>
      <c r="E188" s="40">
        <v>18</v>
      </c>
      <c r="F188" s="40" t="s">
        <v>42</v>
      </c>
      <c r="G188" s="40" t="s">
        <v>42</v>
      </c>
      <c r="H188" s="41" t="s">
        <v>647</v>
      </c>
      <c r="I188" s="42" t="s">
        <v>43</v>
      </c>
      <c r="J188" s="40" t="s">
        <v>44</v>
      </c>
      <c r="K188" s="41" t="s">
        <v>43</v>
      </c>
      <c r="L188" s="40">
        <v>2</v>
      </c>
      <c r="M188" s="40">
        <v>1</v>
      </c>
      <c r="N188" s="41">
        <v>1</v>
      </c>
      <c r="O188" s="40">
        <v>4</v>
      </c>
      <c r="P188" s="40">
        <v>2</v>
      </c>
      <c r="Q188" s="41">
        <v>3</v>
      </c>
      <c r="R188" s="40">
        <v>3</v>
      </c>
      <c r="S188" s="40">
        <v>4</v>
      </c>
      <c r="T188" s="40">
        <v>1</v>
      </c>
      <c r="U188" s="40">
        <v>1</v>
      </c>
      <c r="V188" s="40" t="s">
        <v>45</v>
      </c>
      <c r="W188" s="40" t="s">
        <v>45</v>
      </c>
      <c r="X188" s="40" t="s">
        <v>45</v>
      </c>
      <c r="Y188" s="40" t="s">
        <v>45</v>
      </c>
      <c r="Z188" s="40" t="s">
        <v>45</v>
      </c>
      <c r="AA188" s="40" t="s">
        <v>45</v>
      </c>
      <c r="AB188" s="40">
        <v>3</v>
      </c>
      <c r="AC188" s="40">
        <v>5</v>
      </c>
      <c r="AD188" s="40" t="s">
        <v>45</v>
      </c>
      <c r="AE188" s="40" t="s">
        <v>45</v>
      </c>
      <c r="AF188" s="40" t="s">
        <v>45</v>
      </c>
      <c r="AG188" s="40" t="s">
        <v>45</v>
      </c>
      <c r="AH188" s="40" t="s">
        <v>45</v>
      </c>
      <c r="AI188" s="40" t="s">
        <v>45</v>
      </c>
      <c r="AJ188" s="40" t="s">
        <v>45</v>
      </c>
      <c r="AK188" s="40" t="s">
        <v>45</v>
      </c>
      <c r="AL188" s="40" t="s">
        <v>45</v>
      </c>
      <c r="AM188" s="40" t="s">
        <v>45</v>
      </c>
      <c r="AN188" s="40" t="s">
        <v>45</v>
      </c>
      <c r="AO188" s="41" t="s">
        <v>45</v>
      </c>
      <c r="AP188" s="40" t="s">
        <v>64</v>
      </c>
      <c r="AQ188" s="40">
        <v>7</v>
      </c>
      <c r="AR188" s="48" t="s">
        <v>14</v>
      </c>
      <c r="AS188" s="43" t="s">
        <v>654</v>
      </c>
      <c r="AT188" s="43" t="s">
        <v>47</v>
      </c>
      <c r="AU188" s="44">
        <f t="shared" si="17"/>
        <v>-2.5067929134584248</v>
      </c>
      <c r="AV188" s="44">
        <f t="shared" si="18"/>
        <v>-0.99184266516472974</v>
      </c>
      <c r="AW188" s="45">
        <f t="shared" si="19"/>
        <v>3</v>
      </c>
      <c r="AX188" s="45">
        <f t="shared" si="20"/>
        <v>0</v>
      </c>
      <c r="AY188" s="46">
        <f>VLOOKUP(AP188,COND!$A$10:$B$32,2,FALSE)</f>
        <v>1</v>
      </c>
      <c r="AZ188" s="44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32.86178811401372</v>
      </c>
      <c r="BA188" s="47">
        <f>STANDARDIZE(AZ188,AVERAGE($AZ$5:$AZ$557),STDEVP($AZ$5:$AZ$557))</f>
        <v>-0.20016673673648369</v>
      </c>
      <c r="BB188" s="45" t="str">
        <f t="shared" si="21"/>
        <v>SP</v>
      </c>
      <c r="BC188" s="45">
        <f>RANK(Table3[[#This Row],[zScore]],Table3[zScore])</f>
        <v>386</v>
      </c>
      <c r="BD188" s="45"/>
      <c r="BE188" s="45"/>
      <c r="BF188" s="45" t="str">
        <f t="shared" si="22"/>
        <v>Unlikely</v>
      </c>
      <c r="BG188" s="45"/>
      <c r="BH188" s="45" t="str">
        <f>INDEX(Table5[[#All],[Ovr]],MATCH(Table3[[#This Row],[PID]],Table5[[#All],[PID]],0))</f>
        <v/>
      </c>
      <c r="BI188" s="45" t="str">
        <f>INDEX(Table5[[#All],[Rnd]],MATCH(Table3[[#This Row],[PID]],Table5[[#All],[PID]],0))</f>
        <v/>
      </c>
      <c r="BJ188" s="45" t="str">
        <f>INDEX(Table5[[#All],[Pick]],MATCH(Table3[[#This Row],[PID]],Table5[[#All],[PID]],0))</f>
        <v/>
      </c>
      <c r="BK188" s="45" t="str">
        <f>INDEX(Table5[[#All],[Team]],MATCH(Table3[[#This Row],[PID]],Table5[[#All],[PID]],0))</f>
        <v/>
      </c>
      <c r="BL1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89" spans="1:64" ht="15" customHeight="1" x14ac:dyDescent="0.25">
      <c r="A189" s="40">
        <v>20192</v>
      </c>
      <c r="B189" s="40" t="s">
        <v>415</v>
      </c>
      <c r="C189" s="40" t="s">
        <v>145</v>
      </c>
      <c r="D189" s="40" t="s">
        <v>2180</v>
      </c>
      <c r="E189" s="40">
        <v>21</v>
      </c>
      <c r="F189" s="40" t="s">
        <v>53</v>
      </c>
      <c r="G189" s="40" t="s">
        <v>53</v>
      </c>
      <c r="H189" s="41" t="s">
        <v>647</v>
      </c>
      <c r="I189" s="42" t="s">
        <v>47</v>
      </c>
      <c r="J189" s="40" t="s">
        <v>43</v>
      </c>
      <c r="K189" s="41" t="s">
        <v>43</v>
      </c>
      <c r="L189" s="40">
        <v>4</v>
      </c>
      <c r="M189" s="40">
        <v>2</v>
      </c>
      <c r="N189" s="41">
        <v>1</v>
      </c>
      <c r="O189" s="40">
        <v>6</v>
      </c>
      <c r="P189" s="40">
        <v>2</v>
      </c>
      <c r="Q189" s="41">
        <v>2</v>
      </c>
      <c r="R189" s="40">
        <v>6</v>
      </c>
      <c r="S189" s="40">
        <v>7</v>
      </c>
      <c r="T189" s="40">
        <v>2</v>
      </c>
      <c r="U189" s="40">
        <v>2</v>
      </c>
      <c r="V189" s="40" t="s">
        <v>45</v>
      </c>
      <c r="W189" s="40" t="s">
        <v>45</v>
      </c>
      <c r="X189" s="40">
        <v>6</v>
      </c>
      <c r="Y189" s="40">
        <v>7</v>
      </c>
      <c r="Z189" s="40" t="s">
        <v>45</v>
      </c>
      <c r="AA189" s="40" t="s">
        <v>45</v>
      </c>
      <c r="AB189" s="40" t="s">
        <v>45</v>
      </c>
      <c r="AC189" s="40" t="s">
        <v>45</v>
      </c>
      <c r="AD189" s="40" t="s">
        <v>45</v>
      </c>
      <c r="AE189" s="40" t="s">
        <v>45</v>
      </c>
      <c r="AF189" s="40" t="s">
        <v>45</v>
      </c>
      <c r="AG189" s="40" t="s">
        <v>45</v>
      </c>
      <c r="AH189" s="40" t="s">
        <v>45</v>
      </c>
      <c r="AI189" s="40" t="s">
        <v>45</v>
      </c>
      <c r="AJ189" s="40" t="s">
        <v>45</v>
      </c>
      <c r="AK189" s="40" t="s">
        <v>45</v>
      </c>
      <c r="AL189" s="40" t="s">
        <v>45</v>
      </c>
      <c r="AM189" s="40" t="s">
        <v>45</v>
      </c>
      <c r="AN189" s="40" t="s">
        <v>45</v>
      </c>
      <c r="AO189" s="41" t="s">
        <v>45</v>
      </c>
      <c r="AP189" s="40" t="s">
        <v>60</v>
      </c>
      <c r="AQ189" s="40">
        <v>5</v>
      </c>
      <c r="AR189" s="48" t="s">
        <v>347</v>
      </c>
      <c r="AS189" s="43" t="s">
        <v>643</v>
      </c>
      <c r="AT189" s="43"/>
      <c r="AU189" s="44">
        <f t="shared" si="17"/>
        <v>-1.9219785480100218</v>
      </c>
      <c r="AV189" s="44">
        <f t="shared" si="18"/>
        <v>-0.84478058220049301</v>
      </c>
      <c r="AW189" s="45">
        <f t="shared" si="19"/>
        <v>3</v>
      </c>
      <c r="AX189" s="45">
        <f t="shared" si="20"/>
        <v>2</v>
      </c>
      <c r="AY189" s="46">
        <f>VLOOKUP(AP189,COND!$A$10:$B$32,2,FALSE)</f>
        <v>1.0249999999999999</v>
      </c>
      <c r="AZ189" s="44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33.953292650984139</v>
      </c>
      <c r="BA189" s="47">
        <f>STANDARDIZE(AZ189,AVERAGE($AZ$5:$AZ$788),STDEVP($AZ$5:$AZ$788))</f>
        <v>-0.20450967044503612</v>
      </c>
      <c r="BB189" s="45" t="str">
        <f t="shared" si="21"/>
        <v>SP</v>
      </c>
      <c r="BC189" s="45">
        <f>RANK(Table3[[#This Row],[zScore]],Table3[zScore])</f>
        <v>388</v>
      </c>
      <c r="BD189" s="45"/>
      <c r="BE189" s="45"/>
      <c r="BF189" s="45" t="str">
        <f t="shared" si="22"/>
        <v>Unlikely</v>
      </c>
      <c r="BG189" s="45"/>
      <c r="BH189" s="64" t="str">
        <f>INDEX(Table5[[#All],[Ovr]],MATCH(Table3[[#This Row],[PID]],Table5[[#All],[PID]],0))</f>
        <v/>
      </c>
      <c r="BI189" s="64" t="str">
        <f>INDEX(Table5[[#All],[Rnd]],MATCH(Table3[[#This Row],[PID]],Table5[[#All],[PID]],0))</f>
        <v/>
      </c>
      <c r="BJ189" s="64" t="str">
        <f>INDEX(Table5[[#All],[Pick]],MATCH(Table3[[#This Row],[PID]],Table5[[#All],[PID]],0))</f>
        <v/>
      </c>
      <c r="BK189" s="64" t="str">
        <f>INDEX(Table5[[#All],[Team]],MATCH(Table3[[#This Row],[PID]],Table5[[#All],[PID]],0))</f>
        <v/>
      </c>
      <c r="BL189" s="64" t="str">
        <f>IF(OR(Table3[[#This Row],[POS]]="SP",Table3[[#This Row],[POS]]="RP",Table3[[#This Row],[POS]]="CL"),"P",INDEX(Batters[[#All],[zScore]],MATCH(Table3[[#This Row],[PID]],Batters[[#All],[PID]],0)))</f>
        <v>P</v>
      </c>
    </row>
    <row r="190" spans="1:64" ht="15" customHeight="1" x14ac:dyDescent="0.25">
      <c r="A190" s="40">
        <v>17805</v>
      </c>
      <c r="B190" s="40" t="s">
        <v>415</v>
      </c>
      <c r="C190" s="40" t="s">
        <v>2184</v>
      </c>
      <c r="D190" s="40" t="s">
        <v>2185</v>
      </c>
      <c r="E190" s="40">
        <v>21</v>
      </c>
      <c r="F190" s="40" t="s">
        <v>42</v>
      </c>
      <c r="G190" s="40" t="s">
        <v>42</v>
      </c>
      <c r="H190" s="41" t="s">
        <v>647</v>
      </c>
      <c r="I190" s="42" t="s">
        <v>44</v>
      </c>
      <c r="J190" s="40" t="s">
        <v>44</v>
      </c>
      <c r="K190" s="41" t="s">
        <v>43</v>
      </c>
      <c r="L190" s="40">
        <v>4</v>
      </c>
      <c r="M190" s="40">
        <v>1</v>
      </c>
      <c r="N190" s="41">
        <v>2</v>
      </c>
      <c r="O190" s="40">
        <v>6</v>
      </c>
      <c r="P190" s="40">
        <v>1</v>
      </c>
      <c r="Q190" s="41">
        <v>3</v>
      </c>
      <c r="R190" s="40">
        <v>6</v>
      </c>
      <c r="S190" s="40">
        <v>8</v>
      </c>
      <c r="T190" s="40">
        <v>1</v>
      </c>
      <c r="U190" s="40">
        <v>1</v>
      </c>
      <c r="V190" s="40" t="s">
        <v>45</v>
      </c>
      <c r="W190" s="40" t="s">
        <v>45</v>
      </c>
      <c r="X190" s="40">
        <v>5</v>
      </c>
      <c r="Y190" s="40">
        <v>8</v>
      </c>
      <c r="Z190" s="40" t="s">
        <v>45</v>
      </c>
      <c r="AA190" s="40" t="s">
        <v>45</v>
      </c>
      <c r="AB190" s="40" t="s">
        <v>45</v>
      </c>
      <c r="AC190" s="40" t="s">
        <v>45</v>
      </c>
      <c r="AD190" s="40" t="s">
        <v>45</v>
      </c>
      <c r="AE190" s="40" t="s">
        <v>45</v>
      </c>
      <c r="AF190" s="40" t="s">
        <v>45</v>
      </c>
      <c r="AG190" s="40" t="s">
        <v>45</v>
      </c>
      <c r="AH190" s="40" t="s">
        <v>45</v>
      </c>
      <c r="AI190" s="40" t="s">
        <v>45</v>
      </c>
      <c r="AJ190" s="40" t="s">
        <v>45</v>
      </c>
      <c r="AK190" s="40" t="s">
        <v>45</v>
      </c>
      <c r="AL190" s="40" t="s">
        <v>45</v>
      </c>
      <c r="AM190" s="40" t="s">
        <v>45</v>
      </c>
      <c r="AN190" s="40" t="s">
        <v>45</v>
      </c>
      <c r="AO190" s="41" t="s">
        <v>45</v>
      </c>
      <c r="AP190" s="40" t="s">
        <v>54</v>
      </c>
      <c r="AQ190" s="40">
        <v>7</v>
      </c>
      <c r="AR190" s="48" t="s">
        <v>14</v>
      </c>
      <c r="AS190" s="43" t="s">
        <v>45</v>
      </c>
      <c r="AT190" s="43"/>
      <c r="AU190" s="44">
        <f t="shared" si="17"/>
        <v>-1.8750896983859671</v>
      </c>
      <c r="AV190" s="44">
        <f t="shared" si="18"/>
        <v>-0.79789173257643808</v>
      </c>
      <c r="AW190" s="45">
        <f t="shared" si="19"/>
        <v>3</v>
      </c>
      <c r="AX190" s="45">
        <f t="shared" si="20"/>
        <v>2</v>
      </c>
      <c r="AY190" s="46">
        <f>VLOOKUP(AP190,COND!$A$10:$B$32,2,FALSE)</f>
        <v>1.0249999999999999</v>
      </c>
      <c r="AZ190" s="44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33.908826094013897</v>
      </c>
      <c r="BA190" s="47">
        <f>STANDARDIZE(AZ190,AVERAGE($AZ$5:$AZ$788),STDEVP($AZ$5:$AZ$788))</f>
        <v>-0.207727380136875</v>
      </c>
      <c r="BB190" s="45" t="str">
        <f t="shared" si="21"/>
        <v>SP</v>
      </c>
      <c r="BC190" s="45">
        <f>RANK(Table3[[#This Row],[zScore]],Table3[zScore])</f>
        <v>390</v>
      </c>
      <c r="BD190" s="45"/>
      <c r="BE190" s="45"/>
      <c r="BF190" s="45" t="str">
        <f t="shared" si="22"/>
        <v>Unlikely</v>
      </c>
      <c r="BG190" s="45"/>
      <c r="BH190" s="64">
        <f>INDEX(Table5[[#All],[Ovr]],MATCH(Table3[[#This Row],[PID]],Table5[[#All],[PID]],0))</f>
        <v>600</v>
      </c>
      <c r="BI190" s="64" t="str">
        <f>INDEX(Table5[[#All],[Rnd]],MATCH(Table3[[#This Row],[PID]],Table5[[#All],[PID]],0))</f>
        <v>20</v>
      </c>
      <c r="BJ190" s="64">
        <f>INDEX(Table5[[#All],[Pick]],MATCH(Table3[[#This Row],[PID]],Table5[[#All],[PID]],0))</f>
        <v>22</v>
      </c>
      <c r="BK190" s="64" t="str">
        <f>INDEX(Table5[[#All],[Team]],MATCH(Table3[[#This Row],[PID]],Table5[[#All],[PID]],0))</f>
        <v>Fargo Dinosaurs</v>
      </c>
      <c r="BL190" s="64" t="str">
        <f>IF(OR(Table3[[#This Row],[POS]]="SP",Table3[[#This Row],[POS]]="RP",Table3[[#This Row],[POS]]="CL"),"P",INDEX(Batters[[#All],[zScore]],MATCH(Table3[[#This Row],[PID]],Batters[[#All],[PID]],0)))</f>
        <v>P</v>
      </c>
    </row>
    <row r="191" spans="1:64" ht="15" customHeight="1" x14ac:dyDescent="0.25">
      <c r="A191" s="40">
        <v>633</v>
      </c>
      <c r="B191" s="40" t="s">
        <v>415</v>
      </c>
      <c r="C191" s="40" t="s">
        <v>148</v>
      </c>
      <c r="D191" s="40" t="s">
        <v>1027</v>
      </c>
      <c r="E191" s="40">
        <v>18</v>
      </c>
      <c r="F191" s="40" t="s">
        <v>42</v>
      </c>
      <c r="G191" s="40" t="s">
        <v>42</v>
      </c>
      <c r="H191" s="41" t="s">
        <v>647</v>
      </c>
      <c r="I191" s="42" t="s">
        <v>44</v>
      </c>
      <c r="J191" s="40" t="s">
        <v>44</v>
      </c>
      <c r="K191" s="41" t="s">
        <v>43</v>
      </c>
      <c r="L191" s="40">
        <v>2</v>
      </c>
      <c r="M191" s="40">
        <v>2</v>
      </c>
      <c r="N191" s="41">
        <v>1</v>
      </c>
      <c r="O191" s="40">
        <v>4</v>
      </c>
      <c r="P191" s="40">
        <v>2</v>
      </c>
      <c r="Q191" s="41">
        <v>3</v>
      </c>
      <c r="R191" s="40">
        <v>3</v>
      </c>
      <c r="S191" s="40">
        <v>5</v>
      </c>
      <c r="T191" s="40">
        <v>1</v>
      </c>
      <c r="U191" s="40">
        <v>1</v>
      </c>
      <c r="V191" s="40" t="s">
        <v>45</v>
      </c>
      <c r="W191" s="40" t="s">
        <v>45</v>
      </c>
      <c r="X191" s="40" t="s">
        <v>45</v>
      </c>
      <c r="Y191" s="40" t="s">
        <v>45</v>
      </c>
      <c r="Z191" s="40">
        <v>3</v>
      </c>
      <c r="AA191" s="40">
        <v>5</v>
      </c>
      <c r="AB191" s="40" t="s">
        <v>45</v>
      </c>
      <c r="AC191" s="40" t="s">
        <v>45</v>
      </c>
      <c r="AD191" s="40" t="s">
        <v>45</v>
      </c>
      <c r="AE191" s="40" t="s">
        <v>45</v>
      </c>
      <c r="AF191" s="40" t="s">
        <v>45</v>
      </c>
      <c r="AG191" s="40" t="s">
        <v>45</v>
      </c>
      <c r="AH191" s="40" t="s">
        <v>45</v>
      </c>
      <c r="AI191" s="40" t="s">
        <v>45</v>
      </c>
      <c r="AJ191" s="40" t="s">
        <v>45</v>
      </c>
      <c r="AK191" s="40" t="s">
        <v>45</v>
      </c>
      <c r="AL191" s="40" t="s">
        <v>45</v>
      </c>
      <c r="AM191" s="40" t="s">
        <v>45</v>
      </c>
      <c r="AN191" s="40" t="s">
        <v>45</v>
      </c>
      <c r="AO191" s="41" t="s">
        <v>45</v>
      </c>
      <c r="AP191" s="40" t="s">
        <v>349</v>
      </c>
      <c r="AQ191" s="40">
        <v>8</v>
      </c>
      <c r="AR191" s="48" t="s">
        <v>347</v>
      </c>
      <c r="AS191" s="43" t="s">
        <v>659</v>
      </c>
      <c r="AT191" s="43" t="s">
        <v>47</v>
      </c>
      <c r="AU191" s="44">
        <f t="shared" si="17"/>
        <v>-2.311361197028369</v>
      </c>
      <c r="AV191" s="44">
        <f t="shared" si="18"/>
        <v>-0.99184266516472974</v>
      </c>
      <c r="AW191" s="45">
        <f t="shared" si="19"/>
        <v>3</v>
      </c>
      <c r="AX191" s="45">
        <f t="shared" si="20"/>
        <v>0</v>
      </c>
      <c r="AY191" s="46">
        <f>VLOOKUP(AP191,COND!$A$10:$B$32,2,FALSE)</f>
        <v>1</v>
      </c>
      <c r="AZ191" s="44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32.75087445729973</v>
      </c>
      <c r="BA191" s="47">
        <f>STANDARDIZE(AZ191,AVERAGE($AZ$5:$AZ$557),STDEVP($AZ$5:$AZ$557))</f>
        <v>-0.20754565282952592</v>
      </c>
      <c r="BB191" s="45" t="str">
        <f t="shared" si="21"/>
        <v>SP</v>
      </c>
      <c r="BC191" s="45">
        <f>RANK(Table3[[#This Row],[zScore]],Table3[zScore])</f>
        <v>389</v>
      </c>
      <c r="BD191" s="45"/>
      <c r="BE191" s="45"/>
      <c r="BF191" s="45" t="str">
        <f t="shared" si="22"/>
        <v>Unlikely</v>
      </c>
      <c r="BG191" s="45"/>
      <c r="BH191" s="45" t="str">
        <f>INDEX(Table5[[#All],[Ovr]],MATCH(Table3[[#This Row],[PID]],Table5[[#All],[PID]],0))</f>
        <v/>
      </c>
      <c r="BI191" s="45" t="str">
        <f>INDEX(Table5[[#All],[Rnd]],MATCH(Table3[[#This Row],[PID]],Table5[[#All],[PID]],0))</f>
        <v/>
      </c>
      <c r="BJ191" s="45" t="str">
        <f>INDEX(Table5[[#All],[Pick]],MATCH(Table3[[#This Row],[PID]],Table5[[#All],[PID]],0))</f>
        <v/>
      </c>
      <c r="BK191" s="45" t="str">
        <f>INDEX(Table5[[#All],[Team]],MATCH(Table3[[#This Row],[PID]],Table5[[#All],[PID]],0))</f>
        <v/>
      </c>
      <c r="BL1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2" spans="1:64" ht="15" customHeight="1" x14ac:dyDescent="0.25">
      <c r="A192" s="40">
        <v>20526</v>
      </c>
      <c r="B192" s="40" t="s">
        <v>415</v>
      </c>
      <c r="C192" s="40" t="s">
        <v>345</v>
      </c>
      <c r="D192" s="40" t="s">
        <v>1042</v>
      </c>
      <c r="E192" s="40">
        <v>19</v>
      </c>
      <c r="F192" s="40" t="s">
        <v>53</v>
      </c>
      <c r="G192" s="40" t="s">
        <v>53</v>
      </c>
      <c r="H192" s="41" t="s">
        <v>647</v>
      </c>
      <c r="I192" s="42" t="s">
        <v>43</v>
      </c>
      <c r="J192" s="40" t="s">
        <v>43</v>
      </c>
      <c r="K192" s="41" t="s">
        <v>43</v>
      </c>
      <c r="L192" s="40">
        <v>1</v>
      </c>
      <c r="M192" s="40">
        <v>1</v>
      </c>
      <c r="N192" s="41">
        <v>1</v>
      </c>
      <c r="O192" s="40">
        <v>3</v>
      </c>
      <c r="P192" s="40">
        <v>1</v>
      </c>
      <c r="Q192" s="41">
        <v>4</v>
      </c>
      <c r="R192" s="40">
        <v>2</v>
      </c>
      <c r="S192" s="40">
        <v>3</v>
      </c>
      <c r="T192" s="40">
        <v>1</v>
      </c>
      <c r="U192" s="40">
        <v>3</v>
      </c>
      <c r="V192" s="40">
        <v>1</v>
      </c>
      <c r="W192" s="40">
        <v>3</v>
      </c>
      <c r="X192" s="40" t="s">
        <v>45</v>
      </c>
      <c r="Y192" s="40" t="s">
        <v>45</v>
      </c>
      <c r="Z192" s="40" t="s">
        <v>45</v>
      </c>
      <c r="AA192" s="40" t="s">
        <v>45</v>
      </c>
      <c r="AB192" s="40" t="s">
        <v>45</v>
      </c>
      <c r="AC192" s="40" t="s">
        <v>45</v>
      </c>
      <c r="AD192" s="40" t="s">
        <v>45</v>
      </c>
      <c r="AE192" s="40" t="s">
        <v>45</v>
      </c>
      <c r="AF192" s="40">
        <v>2</v>
      </c>
      <c r="AG192" s="40">
        <v>3</v>
      </c>
      <c r="AH192" s="40">
        <v>1</v>
      </c>
      <c r="AI192" s="40">
        <v>3</v>
      </c>
      <c r="AJ192" s="40" t="s">
        <v>45</v>
      </c>
      <c r="AK192" s="40" t="s">
        <v>45</v>
      </c>
      <c r="AL192" s="40">
        <v>2</v>
      </c>
      <c r="AM192" s="40">
        <v>3</v>
      </c>
      <c r="AN192" s="40" t="s">
        <v>45</v>
      </c>
      <c r="AO192" s="41" t="s">
        <v>45</v>
      </c>
      <c r="AP192" s="40" t="s">
        <v>65</v>
      </c>
      <c r="AQ192" s="40">
        <v>8</v>
      </c>
      <c r="AR192" s="48" t="s">
        <v>351</v>
      </c>
      <c r="AS192" s="43" t="s">
        <v>670</v>
      </c>
      <c r="AT192" s="43" t="s">
        <v>47</v>
      </c>
      <c r="AU192" s="44">
        <f t="shared" si="17"/>
        <v>-2.7014842379675978</v>
      </c>
      <c r="AV192" s="44">
        <f t="shared" si="18"/>
        <v>-1.1396451400498482</v>
      </c>
      <c r="AW192" s="45">
        <f t="shared" si="19"/>
        <v>6</v>
      </c>
      <c r="AX192" s="45">
        <f t="shared" si="20"/>
        <v>0</v>
      </c>
      <c r="AY192" s="46">
        <f>VLOOKUP(AP192,COND!$A$10:$B$32,2,FALSE)</f>
        <v>0.95</v>
      </c>
      <c r="AZ192" s="44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32.683460333839044</v>
      </c>
      <c r="BA192" s="47">
        <f>STANDARDIZE(AZ192,AVERAGE($AZ$5:$AZ$557),STDEVP($AZ$5:$AZ$557))</f>
        <v>-0.21203061144724725</v>
      </c>
      <c r="BB192" s="45" t="str">
        <f t="shared" si="21"/>
        <v>SP</v>
      </c>
      <c r="BC192" s="45">
        <f>RANK(Table3[[#This Row],[zScore]],Table3[zScore])</f>
        <v>392</v>
      </c>
      <c r="BD192" s="45"/>
      <c r="BE192" s="45"/>
      <c r="BF192" s="45" t="str">
        <f t="shared" si="22"/>
        <v>Unlikely</v>
      </c>
      <c r="BG192" s="45"/>
      <c r="BH192" s="45" t="str">
        <f>INDEX(Table5[[#All],[Ovr]],MATCH(Table3[[#This Row],[PID]],Table5[[#All],[PID]],0))</f>
        <v/>
      </c>
      <c r="BI192" s="45" t="str">
        <f>INDEX(Table5[[#All],[Rnd]],MATCH(Table3[[#This Row],[PID]],Table5[[#All],[PID]],0))</f>
        <v/>
      </c>
      <c r="BJ192" s="45" t="str">
        <f>INDEX(Table5[[#All],[Pick]],MATCH(Table3[[#This Row],[PID]],Table5[[#All],[PID]],0))</f>
        <v/>
      </c>
      <c r="BK192" s="45" t="str">
        <f>INDEX(Table5[[#All],[Team]],MATCH(Table3[[#This Row],[PID]],Table5[[#All],[PID]],0))</f>
        <v/>
      </c>
      <c r="BL1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3" spans="1:64" ht="15" customHeight="1" x14ac:dyDescent="0.25">
      <c r="A193" s="40">
        <v>17875</v>
      </c>
      <c r="B193" s="40" t="s">
        <v>415</v>
      </c>
      <c r="C193" s="40" t="s">
        <v>334</v>
      </c>
      <c r="D193" s="40" t="s">
        <v>1929</v>
      </c>
      <c r="E193" s="40">
        <v>18</v>
      </c>
      <c r="F193" s="40" t="s">
        <v>42</v>
      </c>
      <c r="G193" s="40" t="s">
        <v>42</v>
      </c>
      <c r="H193" s="41" t="s">
        <v>647</v>
      </c>
      <c r="I193" s="42" t="s">
        <v>43</v>
      </c>
      <c r="J193" s="40" t="s">
        <v>44</v>
      </c>
      <c r="K193" s="41" t="s">
        <v>43</v>
      </c>
      <c r="L193" s="40">
        <v>1</v>
      </c>
      <c r="M193" s="40">
        <v>1</v>
      </c>
      <c r="N193" s="41">
        <v>2</v>
      </c>
      <c r="O193" s="40">
        <v>3</v>
      </c>
      <c r="P193" s="40">
        <v>1</v>
      </c>
      <c r="Q193" s="41">
        <v>4</v>
      </c>
      <c r="R193" s="40">
        <v>2</v>
      </c>
      <c r="S193" s="40">
        <v>3</v>
      </c>
      <c r="T193" s="40">
        <v>1</v>
      </c>
      <c r="U193" s="40">
        <v>1</v>
      </c>
      <c r="V193" s="40" t="s">
        <v>45</v>
      </c>
      <c r="W193" s="40" t="s">
        <v>45</v>
      </c>
      <c r="X193" s="40">
        <v>2</v>
      </c>
      <c r="Y193" s="40">
        <v>5</v>
      </c>
      <c r="Z193" s="40" t="s">
        <v>45</v>
      </c>
      <c r="AA193" s="40" t="s">
        <v>45</v>
      </c>
      <c r="AB193" s="40" t="s">
        <v>45</v>
      </c>
      <c r="AC193" s="40" t="s">
        <v>45</v>
      </c>
      <c r="AD193" s="40" t="s">
        <v>45</v>
      </c>
      <c r="AE193" s="40" t="s">
        <v>45</v>
      </c>
      <c r="AF193" s="40" t="s">
        <v>45</v>
      </c>
      <c r="AG193" s="40" t="s">
        <v>45</v>
      </c>
      <c r="AH193" s="40" t="s">
        <v>45</v>
      </c>
      <c r="AI193" s="40" t="s">
        <v>45</v>
      </c>
      <c r="AJ193" s="40" t="s">
        <v>45</v>
      </c>
      <c r="AK193" s="40" t="s">
        <v>45</v>
      </c>
      <c r="AL193" s="40" t="s">
        <v>45</v>
      </c>
      <c r="AM193" s="40" t="s">
        <v>45</v>
      </c>
      <c r="AN193" s="40" t="s">
        <v>45</v>
      </c>
      <c r="AO193" s="41" t="s">
        <v>45</v>
      </c>
      <c r="AP193" s="40" t="s">
        <v>67</v>
      </c>
      <c r="AQ193" s="40">
        <v>6</v>
      </c>
      <c r="AR193" s="48" t="s">
        <v>351</v>
      </c>
      <c r="AS193" s="43" t="s">
        <v>644</v>
      </c>
      <c r="AT193" s="43" t="s">
        <v>635</v>
      </c>
      <c r="AU193" s="44">
        <f t="shared" si="17"/>
        <v>-2.4591636719134877</v>
      </c>
      <c r="AV193" s="44">
        <f t="shared" si="18"/>
        <v>-1.1396451400498482</v>
      </c>
      <c r="AW193" s="45">
        <f t="shared" si="19"/>
        <v>3</v>
      </c>
      <c r="AX193" s="45">
        <f t="shared" si="20"/>
        <v>0</v>
      </c>
      <c r="AY193" s="46">
        <f>VLOOKUP(AP193,COND!$A$10:$B$32,2,FALSE)</f>
        <v>0.9</v>
      </c>
      <c r="AZ193" s="44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32.583894567704348</v>
      </c>
      <c r="BA193" s="47">
        <f>STANDARDIZE(AZ193,AVERAGE($AZ$5:$AZ$557),STDEVP($AZ$5:$AZ$557))</f>
        <v>-0.21865456972086092</v>
      </c>
      <c r="BB193" s="45" t="str">
        <f t="shared" si="21"/>
        <v>SP</v>
      </c>
      <c r="BC193" s="45">
        <f>RANK(Table3[[#This Row],[zScore]],Table3[zScore])</f>
        <v>393</v>
      </c>
      <c r="BD193" s="45"/>
      <c r="BE193" s="45"/>
      <c r="BF193" s="45" t="str">
        <f t="shared" si="22"/>
        <v>Unlikely</v>
      </c>
      <c r="BG193" s="45"/>
      <c r="BH193" s="45" t="str">
        <f>INDEX(Table5[[#All],[Ovr]],MATCH(Table3[[#This Row],[PID]],Table5[[#All],[PID]],0))</f>
        <v/>
      </c>
      <c r="BI193" s="45" t="str">
        <f>INDEX(Table5[[#All],[Rnd]],MATCH(Table3[[#This Row],[PID]],Table5[[#All],[PID]],0))</f>
        <v/>
      </c>
      <c r="BJ193" s="45" t="str">
        <f>INDEX(Table5[[#All],[Pick]],MATCH(Table3[[#This Row],[PID]],Table5[[#All],[PID]],0))</f>
        <v/>
      </c>
      <c r="BK193" s="45" t="str">
        <f>INDEX(Table5[[#All],[Team]],MATCH(Table3[[#This Row],[PID]],Table5[[#All],[PID]],0))</f>
        <v/>
      </c>
      <c r="BL193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4" spans="1:64" ht="15" customHeight="1" x14ac:dyDescent="0.25">
      <c r="A194" s="40">
        <v>18195</v>
      </c>
      <c r="B194" s="40" t="s">
        <v>415</v>
      </c>
      <c r="C194" s="40" t="s">
        <v>126</v>
      </c>
      <c r="D194" s="40" t="s">
        <v>696</v>
      </c>
      <c r="E194" s="40">
        <v>18</v>
      </c>
      <c r="F194" s="40" t="s">
        <v>42</v>
      </c>
      <c r="G194" s="40" t="s">
        <v>42</v>
      </c>
      <c r="H194" s="41" t="s">
        <v>647</v>
      </c>
      <c r="I194" s="42" t="s">
        <v>43</v>
      </c>
      <c r="J194" s="40" t="s">
        <v>47</v>
      </c>
      <c r="K194" s="41" t="s">
        <v>43</v>
      </c>
      <c r="L194" s="40">
        <v>2</v>
      </c>
      <c r="M194" s="40">
        <v>2</v>
      </c>
      <c r="N194" s="41">
        <v>1</v>
      </c>
      <c r="O194" s="40">
        <v>4</v>
      </c>
      <c r="P194" s="40">
        <v>2</v>
      </c>
      <c r="Q194" s="41">
        <v>3</v>
      </c>
      <c r="R194" s="40" t="s">
        <v>45</v>
      </c>
      <c r="S194" s="40" t="s">
        <v>45</v>
      </c>
      <c r="T194" s="40">
        <v>1</v>
      </c>
      <c r="U194" s="40">
        <v>5</v>
      </c>
      <c r="V194" s="40" t="s">
        <v>45</v>
      </c>
      <c r="W194" s="40" t="s">
        <v>45</v>
      </c>
      <c r="X194" s="40">
        <v>2</v>
      </c>
      <c r="Y194" s="40">
        <v>2</v>
      </c>
      <c r="Z194" s="40" t="s">
        <v>45</v>
      </c>
      <c r="AA194" s="40" t="s">
        <v>45</v>
      </c>
      <c r="AB194" s="40" t="s">
        <v>45</v>
      </c>
      <c r="AC194" s="40" t="s">
        <v>45</v>
      </c>
      <c r="AD194" s="40">
        <v>3</v>
      </c>
      <c r="AE194" s="40">
        <v>4</v>
      </c>
      <c r="AF194" s="40">
        <v>3</v>
      </c>
      <c r="AG194" s="40">
        <v>5</v>
      </c>
      <c r="AH194" s="40" t="s">
        <v>45</v>
      </c>
      <c r="AI194" s="40" t="s">
        <v>45</v>
      </c>
      <c r="AJ194" s="40" t="s">
        <v>45</v>
      </c>
      <c r="AK194" s="40" t="s">
        <v>45</v>
      </c>
      <c r="AL194" s="40" t="s">
        <v>45</v>
      </c>
      <c r="AM194" s="40" t="s">
        <v>45</v>
      </c>
      <c r="AN194" s="40" t="s">
        <v>45</v>
      </c>
      <c r="AO194" s="41" t="s">
        <v>45</v>
      </c>
      <c r="AP194" s="40" t="s">
        <v>349</v>
      </c>
      <c r="AQ194" s="40">
        <v>6</v>
      </c>
      <c r="AR194" s="48" t="s">
        <v>347</v>
      </c>
      <c r="AS194" s="43" t="s">
        <v>644</v>
      </c>
      <c r="AT194" s="43" t="s">
        <v>47</v>
      </c>
      <c r="AU194" s="44">
        <f t="shared" si="17"/>
        <v>-2.311361197028369</v>
      </c>
      <c r="AV194" s="44">
        <f t="shared" si="18"/>
        <v>-0.99184266516472974</v>
      </c>
      <c r="AW194" s="45">
        <f t="shared" si="19"/>
        <v>4</v>
      </c>
      <c r="AX194" s="45">
        <f t="shared" si="20"/>
        <v>0</v>
      </c>
      <c r="AY194" s="46">
        <f>VLOOKUP(AP194,COND!$A$10:$B$32,2,FALSE)</f>
        <v>1</v>
      </c>
      <c r="AZ194" s="44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34.45835259586724</v>
      </c>
      <c r="BA194" s="47">
        <f>STANDARDIZE(AZ194,AVERAGE($AZ$5:$AZ$663),STDEVP($AZ$5:$AZ$663))</f>
        <v>-0.22916053834432068</v>
      </c>
      <c r="BB194" s="45" t="str">
        <f t="shared" si="21"/>
        <v>SP</v>
      </c>
      <c r="BC194" s="45">
        <f>RANK(Table3[[#This Row],[zScore]],Table3[zScore])</f>
        <v>397</v>
      </c>
      <c r="BD194" s="45"/>
      <c r="BE194" s="45"/>
      <c r="BF194" s="45" t="str">
        <f t="shared" si="22"/>
        <v>Unlikely</v>
      </c>
      <c r="BG194" s="45"/>
      <c r="BH194" s="45" t="str">
        <f>INDEX(Table5[[#All],[Ovr]],MATCH(Table3[[#This Row],[PID]],Table5[[#All],[PID]],0))</f>
        <v/>
      </c>
      <c r="BI194" s="45" t="str">
        <f>INDEX(Table5[[#All],[Rnd]],MATCH(Table3[[#This Row],[PID]],Table5[[#All],[PID]],0))</f>
        <v/>
      </c>
      <c r="BJ194" s="45" t="str">
        <f>INDEX(Table5[[#All],[Pick]],MATCH(Table3[[#This Row],[PID]],Table5[[#All],[PID]],0))</f>
        <v/>
      </c>
      <c r="BK194" s="45" t="str">
        <f>INDEX(Table5[[#All],[Team]],MATCH(Table3[[#This Row],[PID]],Table5[[#All],[PID]],0))</f>
        <v/>
      </c>
      <c r="BL1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5" spans="1:64" ht="15" customHeight="1" x14ac:dyDescent="0.25">
      <c r="A195" s="40">
        <v>20331</v>
      </c>
      <c r="B195" s="40" t="s">
        <v>415</v>
      </c>
      <c r="C195" s="40" t="s">
        <v>1969</v>
      </c>
      <c r="D195" s="40" t="s">
        <v>1970</v>
      </c>
      <c r="E195" s="40">
        <v>18</v>
      </c>
      <c r="F195" s="40" t="s">
        <v>42</v>
      </c>
      <c r="G195" s="40" t="s">
        <v>42</v>
      </c>
      <c r="H195" s="41" t="s">
        <v>647</v>
      </c>
      <c r="I195" s="42" t="s">
        <v>44</v>
      </c>
      <c r="J195" s="40" t="s">
        <v>43</v>
      </c>
      <c r="K195" s="41" t="s">
        <v>43</v>
      </c>
      <c r="L195" s="40">
        <v>2</v>
      </c>
      <c r="M195" s="40">
        <v>2</v>
      </c>
      <c r="N195" s="41">
        <v>1</v>
      </c>
      <c r="O195" s="40">
        <v>4</v>
      </c>
      <c r="P195" s="40">
        <v>2</v>
      </c>
      <c r="Q195" s="41">
        <v>3</v>
      </c>
      <c r="R195" s="40">
        <v>3</v>
      </c>
      <c r="S195" s="40">
        <v>5</v>
      </c>
      <c r="T195" s="40">
        <v>1</v>
      </c>
      <c r="U195" s="40">
        <v>5</v>
      </c>
      <c r="V195" s="40" t="s">
        <v>45</v>
      </c>
      <c r="W195" s="40" t="s">
        <v>45</v>
      </c>
      <c r="X195" s="40">
        <v>2</v>
      </c>
      <c r="Y195" s="40">
        <v>4</v>
      </c>
      <c r="Z195" s="40" t="s">
        <v>45</v>
      </c>
      <c r="AA195" s="40" t="s">
        <v>45</v>
      </c>
      <c r="AB195" s="40" t="s">
        <v>45</v>
      </c>
      <c r="AC195" s="40" t="s">
        <v>45</v>
      </c>
      <c r="AD195" s="40" t="s">
        <v>45</v>
      </c>
      <c r="AE195" s="40" t="s">
        <v>45</v>
      </c>
      <c r="AF195" s="40">
        <v>3</v>
      </c>
      <c r="AG195" s="40">
        <v>3</v>
      </c>
      <c r="AH195" s="40" t="s">
        <v>45</v>
      </c>
      <c r="AI195" s="40" t="s">
        <v>45</v>
      </c>
      <c r="AJ195" s="40" t="s">
        <v>45</v>
      </c>
      <c r="AK195" s="40" t="s">
        <v>45</v>
      </c>
      <c r="AL195" s="40" t="s">
        <v>45</v>
      </c>
      <c r="AM195" s="40" t="s">
        <v>45</v>
      </c>
      <c r="AN195" s="40" t="s">
        <v>45</v>
      </c>
      <c r="AO195" s="41" t="s">
        <v>45</v>
      </c>
      <c r="AP195" s="40" t="s">
        <v>349</v>
      </c>
      <c r="AQ195" s="40">
        <v>3</v>
      </c>
      <c r="AR195" s="48" t="s">
        <v>347</v>
      </c>
      <c r="AS195" s="43" t="s">
        <v>556</v>
      </c>
      <c r="AT195" s="43" t="s">
        <v>47</v>
      </c>
      <c r="AU195" s="44">
        <f t="shared" si="17"/>
        <v>-2.311361197028369</v>
      </c>
      <c r="AV195" s="44">
        <f t="shared" si="18"/>
        <v>-0.99184266516472974</v>
      </c>
      <c r="AW195" s="45">
        <f t="shared" si="19"/>
        <v>4</v>
      </c>
      <c r="AX195" s="45">
        <f t="shared" si="20"/>
        <v>0</v>
      </c>
      <c r="AY195" s="46">
        <f>VLOOKUP(AP195,COND!$A$10:$B$32,2,FALSE)</f>
        <v>1</v>
      </c>
      <c r="AZ195" s="44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32.465830734434746</v>
      </c>
      <c r="BA195" s="47">
        <f>STANDARDIZE(AZ195,AVERAGE($AZ$5:$AZ$557),STDEVP($AZ$5:$AZ$557))</f>
        <v>-0.22650917613389998</v>
      </c>
      <c r="BB195" s="45" t="str">
        <f t="shared" si="21"/>
        <v>RP</v>
      </c>
      <c r="BC195" s="45">
        <f>RANK(Table3[[#This Row],[zScore]],Table3[zScore])</f>
        <v>394</v>
      </c>
      <c r="BD195" s="45"/>
      <c r="BE195" s="45"/>
      <c r="BF195" s="45" t="str">
        <f t="shared" si="22"/>
        <v>Unlikely</v>
      </c>
      <c r="BG195" s="45"/>
      <c r="BH195" s="45" t="str">
        <f>INDEX(Table5[[#All],[Ovr]],MATCH(Table3[[#This Row],[PID]],Table5[[#All],[PID]],0))</f>
        <v/>
      </c>
      <c r="BI195" s="45" t="str">
        <f>INDEX(Table5[[#All],[Rnd]],MATCH(Table3[[#This Row],[PID]],Table5[[#All],[PID]],0))</f>
        <v/>
      </c>
      <c r="BJ195" s="45" t="str">
        <f>INDEX(Table5[[#All],[Pick]],MATCH(Table3[[#This Row],[PID]],Table5[[#All],[PID]],0))</f>
        <v/>
      </c>
      <c r="BK195" s="45" t="str">
        <f>INDEX(Table5[[#All],[Team]],MATCH(Table3[[#This Row],[PID]],Table5[[#All],[PID]],0))</f>
        <v/>
      </c>
      <c r="BL195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6" spans="1:64" ht="15" customHeight="1" x14ac:dyDescent="0.25">
      <c r="A196" s="40">
        <v>18375</v>
      </c>
      <c r="B196" s="40" t="s">
        <v>415</v>
      </c>
      <c r="C196" s="40" t="s">
        <v>1527</v>
      </c>
      <c r="D196" s="40" t="s">
        <v>393</v>
      </c>
      <c r="E196" s="40">
        <v>18</v>
      </c>
      <c r="F196" s="40" t="s">
        <v>53</v>
      </c>
      <c r="G196" s="40" t="s">
        <v>53</v>
      </c>
      <c r="H196" s="41" t="s">
        <v>647</v>
      </c>
      <c r="I196" s="42" t="s">
        <v>43</v>
      </c>
      <c r="J196" s="40" t="s">
        <v>43</v>
      </c>
      <c r="K196" s="41" t="s">
        <v>43</v>
      </c>
      <c r="L196" s="40">
        <v>2</v>
      </c>
      <c r="M196" s="40">
        <v>2</v>
      </c>
      <c r="N196" s="41">
        <v>1</v>
      </c>
      <c r="O196" s="40">
        <v>4</v>
      </c>
      <c r="P196" s="40">
        <v>3</v>
      </c>
      <c r="Q196" s="41">
        <v>2</v>
      </c>
      <c r="R196" s="40">
        <v>3</v>
      </c>
      <c r="S196" s="40">
        <v>6</v>
      </c>
      <c r="T196" s="40">
        <v>1</v>
      </c>
      <c r="U196" s="40">
        <v>1</v>
      </c>
      <c r="V196" s="40" t="s">
        <v>45</v>
      </c>
      <c r="W196" s="40" t="s">
        <v>45</v>
      </c>
      <c r="X196" s="40">
        <v>2</v>
      </c>
      <c r="Y196" s="40">
        <v>6</v>
      </c>
      <c r="Z196" s="40" t="s">
        <v>45</v>
      </c>
      <c r="AA196" s="40" t="s">
        <v>45</v>
      </c>
      <c r="AB196" s="40" t="s">
        <v>45</v>
      </c>
      <c r="AC196" s="40" t="s">
        <v>45</v>
      </c>
      <c r="AD196" s="40" t="s">
        <v>45</v>
      </c>
      <c r="AE196" s="40" t="s">
        <v>45</v>
      </c>
      <c r="AF196" s="40" t="s">
        <v>45</v>
      </c>
      <c r="AG196" s="40" t="s">
        <v>45</v>
      </c>
      <c r="AH196" s="40" t="s">
        <v>45</v>
      </c>
      <c r="AI196" s="40" t="s">
        <v>45</v>
      </c>
      <c r="AJ196" s="40" t="s">
        <v>45</v>
      </c>
      <c r="AK196" s="40" t="s">
        <v>45</v>
      </c>
      <c r="AL196" s="40" t="s">
        <v>45</v>
      </c>
      <c r="AM196" s="40" t="s">
        <v>45</v>
      </c>
      <c r="AN196" s="40" t="s">
        <v>45</v>
      </c>
      <c r="AO196" s="41" t="s">
        <v>45</v>
      </c>
      <c r="AP196" s="40" t="s">
        <v>64</v>
      </c>
      <c r="AQ196" s="40">
        <v>3</v>
      </c>
      <c r="AR196" s="48" t="s">
        <v>347</v>
      </c>
      <c r="AS196" s="43" t="s">
        <v>548</v>
      </c>
      <c r="AT196" s="43"/>
      <c r="AU196" s="44">
        <f t="shared" si="17"/>
        <v>-2.311361197028369</v>
      </c>
      <c r="AV196" s="44">
        <f t="shared" si="18"/>
        <v>-1.0387315147887846</v>
      </c>
      <c r="AW196" s="45">
        <f t="shared" si="19"/>
        <v>3</v>
      </c>
      <c r="AX196" s="45">
        <f t="shared" si="20"/>
        <v>2</v>
      </c>
      <c r="AY196" s="46">
        <f>VLOOKUP(AP196,COND!$A$10:$B$32,2,FALSE)</f>
        <v>1</v>
      </c>
      <c r="AZ196" s="44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33.624942591577707</v>
      </c>
      <c r="BA196" s="47">
        <f>STANDARDIZE(AZ196,AVERAGE($AZ$5:$AZ$788),STDEVP($AZ$5:$AZ$788))</f>
        <v>-0.22826989026990363</v>
      </c>
      <c r="BB196" s="45" t="str">
        <f t="shared" si="21"/>
        <v>RP</v>
      </c>
      <c r="BC196" s="45">
        <f>RANK(Table3[[#This Row],[zScore]],Table3[zScore])</f>
        <v>395</v>
      </c>
      <c r="BD196" s="45"/>
      <c r="BE196" s="45"/>
      <c r="BF196" s="45" t="str">
        <f t="shared" si="22"/>
        <v>Unlikely</v>
      </c>
      <c r="BG196" s="45"/>
      <c r="BH196" s="64" t="str">
        <f>INDEX(Table5[[#All],[Ovr]],MATCH(Table3[[#This Row],[PID]],Table5[[#All],[PID]],0))</f>
        <v/>
      </c>
      <c r="BI196" s="64" t="str">
        <f>INDEX(Table5[[#All],[Rnd]],MATCH(Table3[[#This Row],[PID]],Table5[[#All],[PID]],0))</f>
        <v/>
      </c>
      <c r="BJ196" s="64" t="str">
        <f>INDEX(Table5[[#All],[Pick]],MATCH(Table3[[#This Row],[PID]],Table5[[#All],[PID]],0))</f>
        <v/>
      </c>
      <c r="BK196" s="64" t="str">
        <f>INDEX(Table5[[#All],[Team]],MATCH(Table3[[#This Row],[PID]],Table5[[#All],[PID]],0))</f>
        <v/>
      </c>
      <c r="BL196" s="64" t="str">
        <f>IF(OR(Table3[[#This Row],[POS]]="SP",Table3[[#This Row],[POS]]="RP",Table3[[#This Row],[POS]]="CL"),"P",INDEX(Batters[[#All],[zScore]],MATCH(Table3[[#This Row],[PID]],Batters[[#All],[PID]],0)))</f>
        <v>P</v>
      </c>
    </row>
    <row r="197" spans="1:64" ht="15" customHeight="1" x14ac:dyDescent="0.25">
      <c r="A197" s="40">
        <v>20761</v>
      </c>
      <c r="B197" s="40" t="s">
        <v>415</v>
      </c>
      <c r="C197" s="40" t="s">
        <v>2195</v>
      </c>
      <c r="D197" s="40" t="s">
        <v>152</v>
      </c>
      <c r="E197" s="40">
        <v>17</v>
      </c>
      <c r="F197" s="40" t="s">
        <v>42</v>
      </c>
      <c r="G197" s="40" t="s">
        <v>53</v>
      </c>
      <c r="H197" s="41" t="s">
        <v>647</v>
      </c>
      <c r="I197" s="42" t="s">
        <v>43</v>
      </c>
      <c r="J197" s="40" t="s">
        <v>47</v>
      </c>
      <c r="K197" s="41" t="s">
        <v>43</v>
      </c>
      <c r="L197" s="40">
        <v>2</v>
      </c>
      <c r="M197" s="40">
        <v>1</v>
      </c>
      <c r="N197" s="41">
        <v>1</v>
      </c>
      <c r="O197" s="40">
        <v>5</v>
      </c>
      <c r="P197" s="40">
        <v>2</v>
      </c>
      <c r="Q197" s="41">
        <v>3</v>
      </c>
      <c r="R197" s="40">
        <v>3</v>
      </c>
      <c r="S197" s="40">
        <v>6</v>
      </c>
      <c r="T197" s="40" t="s">
        <v>45</v>
      </c>
      <c r="U197" s="40" t="s">
        <v>45</v>
      </c>
      <c r="V197" s="40" t="s">
        <v>45</v>
      </c>
      <c r="W197" s="40" t="s">
        <v>45</v>
      </c>
      <c r="X197" s="40">
        <v>2</v>
      </c>
      <c r="Y197" s="40">
        <v>7</v>
      </c>
      <c r="Z197" s="40" t="s">
        <v>45</v>
      </c>
      <c r="AA197" s="40" t="s">
        <v>45</v>
      </c>
      <c r="AB197" s="40" t="s">
        <v>45</v>
      </c>
      <c r="AC197" s="40" t="s">
        <v>45</v>
      </c>
      <c r="AD197" s="40" t="s">
        <v>45</v>
      </c>
      <c r="AE197" s="40" t="s">
        <v>45</v>
      </c>
      <c r="AF197" s="40" t="s">
        <v>45</v>
      </c>
      <c r="AG197" s="40" t="s">
        <v>45</v>
      </c>
      <c r="AH197" s="40" t="s">
        <v>45</v>
      </c>
      <c r="AI197" s="40" t="s">
        <v>45</v>
      </c>
      <c r="AJ197" s="40" t="s">
        <v>45</v>
      </c>
      <c r="AK197" s="40" t="s">
        <v>45</v>
      </c>
      <c r="AL197" s="40" t="s">
        <v>45</v>
      </c>
      <c r="AM197" s="40" t="s">
        <v>45</v>
      </c>
      <c r="AN197" s="40" t="s">
        <v>45</v>
      </c>
      <c r="AO197" s="41" t="s">
        <v>45</v>
      </c>
      <c r="AP197" s="40" t="s">
        <v>68</v>
      </c>
      <c r="AQ197" s="40">
        <v>2</v>
      </c>
      <c r="AR197" s="48" t="s">
        <v>14</v>
      </c>
      <c r="AS197" s="43" t="s">
        <v>663</v>
      </c>
      <c r="AT197" s="43"/>
      <c r="AU197" s="44">
        <f t="shared" ref="AU197:AU260" si="24">($O$3*(L197-$O$1)/$O$2+$P$3*(M197-$P$1)/$P$2+$Q$3*(N197-$P$1)/$Q$2)/SUM($O$3:$Q$3)</f>
        <v>-2.5067929134584248</v>
      </c>
      <c r="AV197" s="44">
        <f t="shared" ref="AV197:AV260" si="25">($O$3*(O197-$O$1)/$O$2+$P$3*(P197-$P$1)/$P$2+$Q$3*(Q197-$Q$1)/$Q$2)/SUM($O$3:$Q$3)</f>
        <v>-0.79715134065555615</v>
      </c>
      <c r="AW197" s="45">
        <f t="shared" ref="AW197:AW260" si="26">COUNT(R197:AO197)/2</f>
        <v>2</v>
      </c>
      <c r="AX197" s="45">
        <f t="shared" ref="AX197:AX260" si="27"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2</v>
      </c>
      <c r="AY197" s="46">
        <f>VLOOKUP(AP197,COND!$A$10:$B$32,2,FALSE)</f>
        <v>0.95</v>
      </c>
      <c r="AZ197" s="44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33.617692180287968</v>
      </c>
      <c r="BA197" s="47">
        <f>STANDARDIZE(AZ197,AVERAGE($AZ$5:$AZ$788),STDEVP($AZ$5:$AZ$788))</f>
        <v>-0.22879454790625772</v>
      </c>
      <c r="BB197" s="45" t="str">
        <f t="shared" ref="BB197:BB260" si="28">IF(OR(AND(AQ197&gt;7,AX197&gt;1),AND(AQ197&gt;4,AW197&gt;2)),"SP","RP")</f>
        <v>RP</v>
      </c>
      <c r="BC197" s="45">
        <f>RANK(Table3[[#This Row],[zScore]],Table3[zScore])</f>
        <v>396</v>
      </c>
      <c r="BD197" s="45"/>
      <c r="BE197" s="45"/>
      <c r="BF197" s="45" t="str">
        <f t="shared" ref="BF197:BF260" si="29">IF(AVERAGE($O197:$Q197)&gt;=6,"Likely",IF(AVERAGE($O197:$Q197)&gt;=4,"Possible","Unlikely"))</f>
        <v>Unlikely</v>
      </c>
      <c r="BG197" s="45"/>
      <c r="BH197" s="64" t="str">
        <f>INDEX(Table5[[#All],[Ovr]],MATCH(Table3[[#This Row],[PID]],Table5[[#All],[PID]],0))</f>
        <v/>
      </c>
      <c r="BI197" s="64" t="str">
        <f>INDEX(Table5[[#All],[Rnd]],MATCH(Table3[[#This Row],[PID]],Table5[[#All],[PID]],0))</f>
        <v/>
      </c>
      <c r="BJ197" s="64" t="str">
        <f>INDEX(Table5[[#All],[Pick]],MATCH(Table3[[#This Row],[PID]],Table5[[#All],[PID]],0))</f>
        <v/>
      </c>
      <c r="BK197" s="64" t="str">
        <f>INDEX(Table5[[#All],[Team]],MATCH(Table3[[#This Row],[PID]],Table5[[#All],[PID]],0))</f>
        <v/>
      </c>
      <c r="BL197" s="64" t="str">
        <f>IF(OR(Table3[[#This Row],[POS]]="SP",Table3[[#This Row],[POS]]="RP",Table3[[#This Row],[POS]]="CL"),"P",INDEX(Batters[[#All],[zScore]],MATCH(Table3[[#This Row],[PID]],Batters[[#All],[PID]],0)))</f>
        <v>P</v>
      </c>
    </row>
    <row r="198" spans="1:64" ht="15" customHeight="1" x14ac:dyDescent="0.25">
      <c r="A198" s="40">
        <v>20659</v>
      </c>
      <c r="B198" s="40" t="s">
        <v>415</v>
      </c>
      <c r="C198" s="40" t="s">
        <v>1714</v>
      </c>
      <c r="D198" s="40" t="s">
        <v>694</v>
      </c>
      <c r="E198" s="40">
        <v>17</v>
      </c>
      <c r="F198" s="40" t="s">
        <v>42</v>
      </c>
      <c r="G198" s="40" t="s">
        <v>42</v>
      </c>
      <c r="H198" s="41" t="s">
        <v>647</v>
      </c>
      <c r="I198" s="42" t="s">
        <v>47</v>
      </c>
      <c r="J198" s="40" t="s">
        <v>43</v>
      </c>
      <c r="K198" s="41" t="s">
        <v>43</v>
      </c>
      <c r="L198" s="40">
        <v>2</v>
      </c>
      <c r="M198" s="40">
        <v>2</v>
      </c>
      <c r="N198" s="41">
        <v>1</v>
      </c>
      <c r="O198" s="40">
        <v>4</v>
      </c>
      <c r="P198" s="40">
        <v>2</v>
      </c>
      <c r="Q198" s="41">
        <v>3</v>
      </c>
      <c r="R198" s="40">
        <v>3</v>
      </c>
      <c r="S198" s="40">
        <v>5</v>
      </c>
      <c r="T198" s="40">
        <v>1</v>
      </c>
      <c r="U198" s="40">
        <v>1</v>
      </c>
      <c r="V198" s="40">
        <v>2</v>
      </c>
      <c r="W198" s="40">
        <v>6</v>
      </c>
      <c r="X198" s="40" t="s">
        <v>45</v>
      </c>
      <c r="Y198" s="40" t="s">
        <v>45</v>
      </c>
      <c r="Z198" s="40" t="s">
        <v>45</v>
      </c>
      <c r="AA198" s="40" t="s">
        <v>45</v>
      </c>
      <c r="AB198" s="40" t="s">
        <v>45</v>
      </c>
      <c r="AC198" s="40" t="s">
        <v>45</v>
      </c>
      <c r="AD198" s="40" t="s">
        <v>45</v>
      </c>
      <c r="AE198" s="40" t="s">
        <v>45</v>
      </c>
      <c r="AF198" s="40" t="s">
        <v>45</v>
      </c>
      <c r="AG198" s="40" t="s">
        <v>45</v>
      </c>
      <c r="AH198" s="40" t="s">
        <v>45</v>
      </c>
      <c r="AI198" s="40" t="s">
        <v>45</v>
      </c>
      <c r="AJ198" s="40" t="s">
        <v>45</v>
      </c>
      <c r="AK198" s="40" t="s">
        <v>45</v>
      </c>
      <c r="AL198" s="40" t="s">
        <v>45</v>
      </c>
      <c r="AM198" s="40" t="s">
        <v>45</v>
      </c>
      <c r="AN198" s="40" t="s">
        <v>45</v>
      </c>
      <c r="AO198" s="41" t="s">
        <v>45</v>
      </c>
      <c r="AP198" s="40" t="s">
        <v>65</v>
      </c>
      <c r="AQ198" s="40">
        <v>1</v>
      </c>
      <c r="AR198" s="48" t="s">
        <v>347</v>
      </c>
      <c r="AS198" s="43" t="s">
        <v>670</v>
      </c>
      <c r="AT198" s="43" t="s">
        <v>47</v>
      </c>
      <c r="AU198" s="44">
        <f t="shared" si="24"/>
        <v>-2.311361197028369</v>
      </c>
      <c r="AV198" s="44">
        <f t="shared" si="25"/>
        <v>-0.99184266516472974</v>
      </c>
      <c r="AW198" s="45">
        <f t="shared" si="26"/>
        <v>3</v>
      </c>
      <c r="AX198" s="45">
        <f t="shared" si="27"/>
        <v>1</v>
      </c>
      <c r="AY198" s="46">
        <f>VLOOKUP(AP198,COND!$A$10:$B$32,2,FALSE)</f>
        <v>0.95</v>
      </c>
      <c r="AZ198" s="44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34.386914197713004</v>
      </c>
      <c r="BA198" s="47">
        <f>STANDARDIZE(AZ198,AVERAGE($AZ$5:$AZ$663),STDEVP($AZ$5:$AZ$663))</f>
        <v>-0.23405404759867032</v>
      </c>
      <c r="BB198" s="45" t="str">
        <f t="shared" si="28"/>
        <v>RP</v>
      </c>
      <c r="BC198" s="45">
        <f>RANK(Table3[[#This Row],[zScore]],Table3[zScore])</f>
        <v>400</v>
      </c>
      <c r="BD198" s="45"/>
      <c r="BE198" s="45"/>
      <c r="BF198" s="45" t="str">
        <f t="shared" si="29"/>
        <v>Unlikely</v>
      </c>
      <c r="BG198" s="45"/>
      <c r="BH198" s="45" t="str">
        <f>INDEX(Table5[[#All],[Ovr]],MATCH(Table3[[#This Row],[PID]],Table5[[#All],[PID]],0))</f>
        <v/>
      </c>
      <c r="BI198" s="45" t="str">
        <f>INDEX(Table5[[#All],[Rnd]],MATCH(Table3[[#This Row],[PID]],Table5[[#All],[PID]],0))</f>
        <v/>
      </c>
      <c r="BJ198" s="45" t="str">
        <f>INDEX(Table5[[#All],[Pick]],MATCH(Table3[[#This Row],[PID]],Table5[[#All],[PID]],0))</f>
        <v/>
      </c>
      <c r="BK198" s="45" t="str">
        <f>INDEX(Table5[[#All],[Team]],MATCH(Table3[[#This Row],[PID]],Table5[[#All],[PID]],0))</f>
        <v/>
      </c>
      <c r="BL1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199" spans="1:64" ht="15" customHeight="1" x14ac:dyDescent="0.25">
      <c r="A199" s="40">
        <v>138</v>
      </c>
      <c r="B199" s="40" t="s">
        <v>415</v>
      </c>
      <c r="C199" s="40" t="s">
        <v>132</v>
      </c>
      <c r="D199" s="40" t="s">
        <v>186</v>
      </c>
      <c r="E199" s="40">
        <v>18</v>
      </c>
      <c r="F199" s="40" t="s">
        <v>42</v>
      </c>
      <c r="G199" s="40" t="s">
        <v>42</v>
      </c>
      <c r="H199" s="41" t="s">
        <v>647</v>
      </c>
      <c r="I199" s="42" t="s">
        <v>43</v>
      </c>
      <c r="J199" s="40" t="s">
        <v>44</v>
      </c>
      <c r="K199" s="41" t="s">
        <v>43</v>
      </c>
      <c r="L199" s="40">
        <v>2</v>
      </c>
      <c r="M199" s="40">
        <v>1</v>
      </c>
      <c r="N199" s="41">
        <v>1</v>
      </c>
      <c r="O199" s="40">
        <v>5</v>
      </c>
      <c r="P199" s="40">
        <v>2</v>
      </c>
      <c r="Q199" s="41">
        <v>3</v>
      </c>
      <c r="R199" s="40">
        <v>3</v>
      </c>
      <c r="S199" s="40">
        <v>6</v>
      </c>
      <c r="T199" s="40" t="s">
        <v>45</v>
      </c>
      <c r="U199" s="40" t="s">
        <v>45</v>
      </c>
      <c r="V199" s="40">
        <v>1</v>
      </c>
      <c r="W199" s="40">
        <v>7</v>
      </c>
      <c r="X199" s="40" t="s">
        <v>45</v>
      </c>
      <c r="Y199" s="40" t="s">
        <v>45</v>
      </c>
      <c r="Z199" s="40" t="s">
        <v>45</v>
      </c>
      <c r="AA199" s="40" t="s">
        <v>45</v>
      </c>
      <c r="AB199" s="40" t="s">
        <v>45</v>
      </c>
      <c r="AC199" s="40" t="s">
        <v>45</v>
      </c>
      <c r="AD199" s="40" t="s">
        <v>45</v>
      </c>
      <c r="AE199" s="40" t="s">
        <v>45</v>
      </c>
      <c r="AF199" s="40" t="s">
        <v>45</v>
      </c>
      <c r="AG199" s="40" t="s">
        <v>45</v>
      </c>
      <c r="AH199" s="40" t="s">
        <v>45</v>
      </c>
      <c r="AI199" s="40" t="s">
        <v>45</v>
      </c>
      <c r="AJ199" s="40" t="s">
        <v>45</v>
      </c>
      <c r="AK199" s="40" t="s">
        <v>45</v>
      </c>
      <c r="AL199" s="40" t="s">
        <v>45</v>
      </c>
      <c r="AM199" s="40" t="s">
        <v>45</v>
      </c>
      <c r="AN199" s="40" t="s">
        <v>45</v>
      </c>
      <c r="AO199" s="41" t="s">
        <v>45</v>
      </c>
      <c r="AP199" s="40" t="s">
        <v>350</v>
      </c>
      <c r="AQ199" s="40">
        <v>3</v>
      </c>
      <c r="AR199" s="48" t="s">
        <v>14</v>
      </c>
      <c r="AS199" s="43" t="s">
        <v>644</v>
      </c>
      <c r="AT199" s="43" t="s">
        <v>47</v>
      </c>
      <c r="AU199" s="44">
        <f t="shared" si="24"/>
        <v>-2.5067929134584248</v>
      </c>
      <c r="AV199" s="44">
        <f t="shared" si="25"/>
        <v>-0.79715134065555615</v>
      </c>
      <c r="AW199" s="45">
        <f t="shared" si="26"/>
        <v>2</v>
      </c>
      <c r="AX199" s="45">
        <f t="shared" si="27"/>
        <v>2</v>
      </c>
      <c r="AY199" s="46">
        <f>VLOOKUP(AP199,COND!$A$10:$B$32,2,FALSE)</f>
        <v>1</v>
      </c>
      <c r="AZ199" s="44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32.402833873987333</v>
      </c>
      <c r="BA199" s="47">
        <f>STANDARDIZE(AZ199,AVERAGE($AZ$5:$AZ$557),STDEVP($AZ$5:$AZ$557))</f>
        <v>-0.23070026099340687</v>
      </c>
      <c r="BB199" s="45" t="str">
        <f t="shared" si="28"/>
        <v>RP</v>
      </c>
      <c r="BC199" s="45">
        <f>RANK(Table3[[#This Row],[zScore]],Table3[zScore])</f>
        <v>398</v>
      </c>
      <c r="BD199" s="45"/>
      <c r="BE199" s="45"/>
      <c r="BF199" s="45" t="str">
        <f t="shared" si="29"/>
        <v>Unlikely</v>
      </c>
      <c r="BG199" s="45"/>
      <c r="BH199" s="45" t="str">
        <f>INDEX(Table5[[#All],[Ovr]],MATCH(Table3[[#This Row],[PID]],Table5[[#All],[PID]],0))</f>
        <v/>
      </c>
      <c r="BI199" s="45" t="str">
        <f>INDEX(Table5[[#All],[Rnd]],MATCH(Table3[[#This Row],[PID]],Table5[[#All],[PID]],0))</f>
        <v/>
      </c>
      <c r="BJ199" s="45" t="str">
        <f>INDEX(Table5[[#All],[Pick]],MATCH(Table3[[#This Row],[PID]],Table5[[#All],[PID]],0))</f>
        <v/>
      </c>
      <c r="BK199" s="45" t="str">
        <f>INDEX(Table5[[#All],[Team]],MATCH(Table3[[#This Row],[PID]],Table5[[#All],[PID]],0))</f>
        <v/>
      </c>
      <c r="BL1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0" spans="1:64" ht="15" customHeight="1" x14ac:dyDescent="0.25">
      <c r="A200" s="40">
        <v>6765</v>
      </c>
      <c r="B200" s="40" t="s">
        <v>415</v>
      </c>
      <c r="C200" s="40" t="s">
        <v>155</v>
      </c>
      <c r="D200" s="40" t="s">
        <v>1015</v>
      </c>
      <c r="E200" s="40">
        <v>22</v>
      </c>
      <c r="F200" s="40" t="s">
        <v>53</v>
      </c>
      <c r="G200" s="40" t="s">
        <v>53</v>
      </c>
      <c r="H200" s="41" t="s">
        <v>647</v>
      </c>
      <c r="I200" s="42" t="s">
        <v>44</v>
      </c>
      <c r="J200" s="40" t="s">
        <v>44</v>
      </c>
      <c r="K200" s="41" t="s">
        <v>43</v>
      </c>
      <c r="L200" s="40">
        <v>4</v>
      </c>
      <c r="M200" s="40">
        <v>1</v>
      </c>
      <c r="N200" s="41">
        <v>4</v>
      </c>
      <c r="O200" s="40">
        <v>5</v>
      </c>
      <c r="P200" s="40">
        <v>1</v>
      </c>
      <c r="Q200" s="41">
        <v>4</v>
      </c>
      <c r="R200" s="40">
        <v>5</v>
      </c>
      <c r="S200" s="40">
        <v>5</v>
      </c>
      <c r="T200" s="40">
        <v>1</v>
      </c>
      <c r="U200" s="40">
        <v>1</v>
      </c>
      <c r="V200" s="40" t="s">
        <v>45</v>
      </c>
      <c r="W200" s="40" t="s">
        <v>45</v>
      </c>
      <c r="X200" s="40">
        <v>5</v>
      </c>
      <c r="Y200" s="40">
        <v>7</v>
      </c>
      <c r="Z200" s="40" t="s">
        <v>45</v>
      </c>
      <c r="AA200" s="40" t="s">
        <v>45</v>
      </c>
      <c r="AB200" s="40" t="s">
        <v>45</v>
      </c>
      <c r="AC200" s="40" t="s">
        <v>45</v>
      </c>
      <c r="AD200" s="40" t="s">
        <v>45</v>
      </c>
      <c r="AE200" s="40" t="s">
        <v>45</v>
      </c>
      <c r="AF200" s="40" t="s">
        <v>45</v>
      </c>
      <c r="AG200" s="40" t="s">
        <v>45</v>
      </c>
      <c r="AH200" s="40" t="s">
        <v>45</v>
      </c>
      <c r="AI200" s="40" t="s">
        <v>45</v>
      </c>
      <c r="AJ200" s="40" t="s">
        <v>45</v>
      </c>
      <c r="AK200" s="40" t="s">
        <v>45</v>
      </c>
      <c r="AL200" s="40" t="s">
        <v>45</v>
      </c>
      <c r="AM200" s="40" t="s">
        <v>45</v>
      </c>
      <c r="AN200" s="40" t="s">
        <v>45</v>
      </c>
      <c r="AO200" s="41" t="s">
        <v>45</v>
      </c>
      <c r="AP200" s="40" t="s">
        <v>350</v>
      </c>
      <c r="AQ200" s="40">
        <v>6</v>
      </c>
      <c r="AR200" s="48" t="s">
        <v>14</v>
      </c>
      <c r="AS200" s="43" t="s">
        <v>45</v>
      </c>
      <c r="AT200" s="43" t="s">
        <v>47</v>
      </c>
      <c r="AU200" s="44">
        <f t="shared" si="24"/>
        <v>-1.3904485662777464</v>
      </c>
      <c r="AV200" s="44">
        <f t="shared" si="25"/>
        <v>-0.75026249103150122</v>
      </c>
      <c r="AW200" s="45">
        <f t="shared" si="26"/>
        <v>3</v>
      </c>
      <c r="AX200" s="45">
        <f t="shared" si="27"/>
        <v>1</v>
      </c>
      <c r="AY200" s="46">
        <f>VLOOKUP(AP200,COND!$A$10:$B$32,2,FALSE)</f>
        <v>1</v>
      </c>
      <c r="AZ200" s="44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34.329993954461564</v>
      </c>
      <c r="BA200" s="47">
        <f>STANDARDIZE(AZ200,AVERAGE($AZ$5:$AZ$663),STDEVP($AZ$5:$AZ$663))</f>
        <v>-0.23795306751383399</v>
      </c>
      <c r="BB200" s="45" t="str">
        <f t="shared" si="28"/>
        <v>SP</v>
      </c>
      <c r="BC200" s="45">
        <f>RANK(Table3[[#This Row],[zScore]],Table3[zScore])</f>
        <v>402</v>
      </c>
      <c r="BD200" s="45"/>
      <c r="BE200" s="45"/>
      <c r="BF200" s="45" t="str">
        <f t="shared" si="29"/>
        <v>Unlikely</v>
      </c>
      <c r="BG200" s="45"/>
      <c r="BH200" s="45" t="str">
        <f>INDEX(Table5[[#All],[Ovr]],MATCH(Table3[[#This Row],[PID]],Table5[[#All],[PID]],0))</f>
        <v/>
      </c>
      <c r="BI200" s="45" t="str">
        <f>INDEX(Table5[[#All],[Rnd]],MATCH(Table3[[#This Row],[PID]],Table5[[#All],[PID]],0))</f>
        <v/>
      </c>
      <c r="BJ200" s="45" t="str">
        <f>INDEX(Table5[[#All],[Pick]],MATCH(Table3[[#This Row],[PID]],Table5[[#All],[PID]],0))</f>
        <v/>
      </c>
      <c r="BK200" s="45" t="str">
        <f>INDEX(Table5[[#All],[Team]],MATCH(Table3[[#This Row],[PID]],Table5[[#All],[PID]],0))</f>
        <v/>
      </c>
      <c r="BL20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1" spans="1:64" ht="15" customHeight="1" x14ac:dyDescent="0.25">
      <c r="A201" s="40">
        <v>20307</v>
      </c>
      <c r="B201" s="40" t="s">
        <v>415</v>
      </c>
      <c r="C201" s="40" t="s">
        <v>2152</v>
      </c>
      <c r="D201" s="40" t="s">
        <v>2153</v>
      </c>
      <c r="E201" s="40">
        <v>17</v>
      </c>
      <c r="F201" s="40" t="s">
        <v>53</v>
      </c>
      <c r="G201" s="40" t="s">
        <v>53</v>
      </c>
      <c r="H201" s="41" t="s">
        <v>647</v>
      </c>
      <c r="I201" s="42" t="s">
        <v>44</v>
      </c>
      <c r="J201" s="40" t="s">
        <v>44</v>
      </c>
      <c r="K201" s="41" t="s">
        <v>43</v>
      </c>
      <c r="L201" s="40">
        <v>3</v>
      </c>
      <c r="M201" s="40">
        <v>2</v>
      </c>
      <c r="N201" s="41">
        <v>1</v>
      </c>
      <c r="O201" s="40">
        <v>5</v>
      </c>
      <c r="P201" s="40">
        <v>2</v>
      </c>
      <c r="Q201" s="41">
        <v>3</v>
      </c>
      <c r="R201" s="40">
        <v>4</v>
      </c>
      <c r="S201" s="40">
        <v>6</v>
      </c>
      <c r="T201" s="40">
        <v>3</v>
      </c>
      <c r="U201" s="40">
        <v>7</v>
      </c>
      <c r="V201" s="40" t="s">
        <v>45</v>
      </c>
      <c r="W201" s="40" t="s">
        <v>45</v>
      </c>
      <c r="X201" s="40" t="s">
        <v>45</v>
      </c>
      <c r="Y201" s="40" t="s">
        <v>45</v>
      </c>
      <c r="Z201" s="40" t="s">
        <v>45</v>
      </c>
      <c r="AA201" s="40" t="s">
        <v>45</v>
      </c>
      <c r="AB201" s="40" t="s">
        <v>45</v>
      </c>
      <c r="AC201" s="40" t="s">
        <v>45</v>
      </c>
      <c r="AD201" s="40" t="s">
        <v>45</v>
      </c>
      <c r="AE201" s="40" t="s">
        <v>45</v>
      </c>
      <c r="AF201" s="40" t="s">
        <v>45</v>
      </c>
      <c r="AG201" s="40" t="s">
        <v>45</v>
      </c>
      <c r="AH201" s="40" t="s">
        <v>45</v>
      </c>
      <c r="AI201" s="40" t="s">
        <v>45</v>
      </c>
      <c r="AJ201" s="40" t="s">
        <v>45</v>
      </c>
      <c r="AK201" s="40" t="s">
        <v>45</v>
      </c>
      <c r="AL201" s="40" t="s">
        <v>45</v>
      </c>
      <c r="AM201" s="40" t="s">
        <v>45</v>
      </c>
      <c r="AN201" s="40" t="s">
        <v>45</v>
      </c>
      <c r="AO201" s="41" t="s">
        <v>45</v>
      </c>
      <c r="AP201" s="40" t="s">
        <v>349</v>
      </c>
      <c r="AQ201" s="40">
        <v>2</v>
      </c>
      <c r="AR201" s="48" t="s">
        <v>347</v>
      </c>
      <c r="AS201" s="43" t="s">
        <v>644</v>
      </c>
      <c r="AT201" s="43" t="s">
        <v>47</v>
      </c>
      <c r="AU201" s="44">
        <f t="shared" si="24"/>
        <v>-2.1166698725191955</v>
      </c>
      <c r="AV201" s="44">
        <f t="shared" si="25"/>
        <v>-0.79715134065555615</v>
      </c>
      <c r="AW201" s="45">
        <f t="shared" si="26"/>
        <v>2</v>
      </c>
      <c r="AX201" s="45">
        <f t="shared" si="27"/>
        <v>2</v>
      </c>
      <c r="AY201" s="46">
        <f>VLOOKUP(AP201,COND!$A$10:$B$32,2,FALSE)</f>
        <v>1</v>
      </c>
      <c r="AZ201" s="44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32.326957251765783</v>
      </c>
      <c r="BA201" s="47">
        <f>STANDARDIZE(AZ201,AVERAGE($AZ$5:$AZ$557),STDEVP($AZ$5:$AZ$557))</f>
        <v>-0.23574821672206928</v>
      </c>
      <c r="BB201" s="45" t="str">
        <f t="shared" si="28"/>
        <v>RP</v>
      </c>
      <c r="BC201" s="45">
        <f>RANK(Table3[[#This Row],[zScore]],Table3[zScore])</f>
        <v>401</v>
      </c>
      <c r="BD201" s="45"/>
      <c r="BE201" s="45"/>
      <c r="BF201" s="45" t="str">
        <f t="shared" si="29"/>
        <v>Unlikely</v>
      </c>
      <c r="BG201" s="45"/>
      <c r="BH201" s="45" t="str">
        <f>INDEX(Table5[[#All],[Ovr]],MATCH(Table3[[#This Row],[PID]],Table5[[#All],[PID]],0))</f>
        <v/>
      </c>
      <c r="BI201" s="45" t="str">
        <f>INDEX(Table5[[#All],[Rnd]],MATCH(Table3[[#This Row],[PID]],Table5[[#All],[PID]],0))</f>
        <v/>
      </c>
      <c r="BJ201" s="45" t="str">
        <f>INDEX(Table5[[#All],[Pick]],MATCH(Table3[[#This Row],[PID]],Table5[[#All],[PID]],0))</f>
        <v/>
      </c>
      <c r="BK201" s="45" t="str">
        <f>INDEX(Table5[[#All],[Team]],MATCH(Table3[[#This Row],[PID]],Table5[[#All],[PID]],0))</f>
        <v/>
      </c>
      <c r="BL2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2" spans="1:64" ht="15" customHeight="1" x14ac:dyDescent="0.25">
      <c r="A202" s="40">
        <v>17824</v>
      </c>
      <c r="B202" s="40" t="s">
        <v>415</v>
      </c>
      <c r="C202" s="40" t="s">
        <v>2145</v>
      </c>
      <c r="D202" s="40" t="s">
        <v>2146</v>
      </c>
      <c r="E202" s="40">
        <v>18</v>
      </c>
      <c r="F202" s="40" t="s">
        <v>42</v>
      </c>
      <c r="G202" s="40" t="s">
        <v>42</v>
      </c>
      <c r="H202" s="41" t="s">
        <v>647</v>
      </c>
      <c r="I202" s="42" t="s">
        <v>43</v>
      </c>
      <c r="J202" s="40" t="s">
        <v>43</v>
      </c>
      <c r="K202" s="41" t="s">
        <v>43</v>
      </c>
      <c r="L202" s="40">
        <v>1</v>
      </c>
      <c r="M202" s="40">
        <v>2</v>
      </c>
      <c r="N202" s="41">
        <v>1</v>
      </c>
      <c r="O202" s="40">
        <v>4</v>
      </c>
      <c r="P202" s="40">
        <v>2</v>
      </c>
      <c r="Q202" s="41">
        <v>3</v>
      </c>
      <c r="R202" s="40">
        <v>3</v>
      </c>
      <c r="S202" s="40">
        <v>5</v>
      </c>
      <c r="T202" s="40">
        <v>1</v>
      </c>
      <c r="U202" s="40">
        <v>1</v>
      </c>
      <c r="V202" s="40" t="s">
        <v>45</v>
      </c>
      <c r="W202" s="40" t="s">
        <v>45</v>
      </c>
      <c r="X202" s="40">
        <v>2</v>
      </c>
      <c r="Y202" s="40">
        <v>6</v>
      </c>
      <c r="Z202" s="40" t="s">
        <v>45</v>
      </c>
      <c r="AA202" s="40" t="s">
        <v>45</v>
      </c>
      <c r="AB202" s="40" t="s">
        <v>45</v>
      </c>
      <c r="AC202" s="40" t="s">
        <v>45</v>
      </c>
      <c r="AD202" s="40" t="s">
        <v>45</v>
      </c>
      <c r="AE202" s="40" t="s">
        <v>45</v>
      </c>
      <c r="AF202" s="40" t="s">
        <v>45</v>
      </c>
      <c r="AG202" s="40" t="s">
        <v>45</v>
      </c>
      <c r="AH202" s="40" t="s">
        <v>45</v>
      </c>
      <c r="AI202" s="40" t="s">
        <v>45</v>
      </c>
      <c r="AJ202" s="40" t="s">
        <v>45</v>
      </c>
      <c r="AK202" s="40" t="s">
        <v>45</v>
      </c>
      <c r="AL202" s="40" t="s">
        <v>45</v>
      </c>
      <c r="AM202" s="40" t="s">
        <v>45</v>
      </c>
      <c r="AN202" s="40" t="s">
        <v>45</v>
      </c>
      <c r="AO202" s="41" t="s">
        <v>45</v>
      </c>
      <c r="AP202" s="40" t="s">
        <v>68</v>
      </c>
      <c r="AQ202" s="40">
        <v>4</v>
      </c>
      <c r="AR202" s="48" t="s">
        <v>347</v>
      </c>
      <c r="AS202" s="43" t="s">
        <v>644</v>
      </c>
      <c r="AT202" s="43" t="s">
        <v>47</v>
      </c>
      <c r="AU202" s="44">
        <f t="shared" si="24"/>
        <v>-2.5060525215375429</v>
      </c>
      <c r="AV202" s="44">
        <f t="shared" si="25"/>
        <v>-0.99184266516472974</v>
      </c>
      <c r="AW202" s="45">
        <f t="shared" si="26"/>
        <v>3</v>
      </c>
      <c r="AX202" s="45">
        <f t="shared" si="27"/>
        <v>1</v>
      </c>
      <c r="AY202" s="46">
        <f>VLOOKUP(AP202,COND!$A$10:$B$32,2,FALSE)</f>
        <v>0.95</v>
      </c>
      <c r="AZ202" s="44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34.126772413639102</v>
      </c>
      <c r="BA202" s="47">
        <f>STANDARDIZE(AZ202,AVERAGE($AZ$5:$AZ$663),STDEVP($AZ$5:$AZ$663))</f>
        <v>-0.25187368326659565</v>
      </c>
      <c r="BB202" s="45" t="str">
        <f t="shared" si="28"/>
        <v>RP</v>
      </c>
      <c r="BC202" s="45">
        <f>RANK(Table3[[#This Row],[zScore]],Table3[zScore])</f>
        <v>408</v>
      </c>
      <c r="BD202" s="45"/>
      <c r="BE202" s="45"/>
      <c r="BF202" s="45" t="str">
        <f t="shared" si="29"/>
        <v>Unlikely</v>
      </c>
      <c r="BG202" s="45"/>
      <c r="BH202" s="45" t="str">
        <f>INDEX(Table5[[#All],[Ovr]],MATCH(Table3[[#This Row],[PID]],Table5[[#All],[PID]],0))</f>
        <v/>
      </c>
      <c r="BI202" s="45" t="str">
        <f>INDEX(Table5[[#All],[Rnd]],MATCH(Table3[[#This Row],[PID]],Table5[[#All],[PID]],0))</f>
        <v/>
      </c>
      <c r="BJ202" s="45" t="str">
        <f>INDEX(Table5[[#All],[Pick]],MATCH(Table3[[#This Row],[PID]],Table5[[#All],[PID]],0))</f>
        <v/>
      </c>
      <c r="BK202" s="45" t="str">
        <f>INDEX(Table5[[#All],[Team]],MATCH(Table3[[#This Row],[PID]],Table5[[#All],[PID]],0))</f>
        <v/>
      </c>
      <c r="BL2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3" spans="1:64" ht="15" customHeight="1" x14ac:dyDescent="0.25">
      <c r="A203" s="40">
        <v>20321</v>
      </c>
      <c r="B203" s="40" t="s">
        <v>415</v>
      </c>
      <c r="C203" s="40" t="s">
        <v>754</v>
      </c>
      <c r="D203" s="40" t="s">
        <v>1422</v>
      </c>
      <c r="E203" s="40">
        <v>16</v>
      </c>
      <c r="F203" s="40" t="s">
        <v>42</v>
      </c>
      <c r="G203" s="40" t="s">
        <v>53</v>
      </c>
      <c r="H203" s="41" t="s">
        <v>647</v>
      </c>
      <c r="I203" s="42" t="s">
        <v>43</v>
      </c>
      <c r="J203" s="40" t="s">
        <v>47</v>
      </c>
      <c r="K203" s="41" t="s">
        <v>43</v>
      </c>
      <c r="L203" s="40">
        <v>2</v>
      </c>
      <c r="M203" s="40">
        <v>2</v>
      </c>
      <c r="N203" s="41">
        <v>1</v>
      </c>
      <c r="O203" s="40">
        <v>4</v>
      </c>
      <c r="P203" s="40">
        <v>2</v>
      </c>
      <c r="Q203" s="41">
        <v>2</v>
      </c>
      <c r="R203" s="40">
        <v>3</v>
      </c>
      <c r="S203" s="40">
        <v>5</v>
      </c>
      <c r="T203" s="40">
        <v>1</v>
      </c>
      <c r="U203" s="40">
        <v>1</v>
      </c>
      <c r="V203" s="40" t="s">
        <v>45</v>
      </c>
      <c r="W203" s="40" t="s">
        <v>45</v>
      </c>
      <c r="X203" s="40">
        <v>3</v>
      </c>
      <c r="Y203" s="40">
        <v>6</v>
      </c>
      <c r="Z203" s="40" t="s">
        <v>45</v>
      </c>
      <c r="AA203" s="40" t="s">
        <v>45</v>
      </c>
      <c r="AB203" s="40" t="s">
        <v>45</v>
      </c>
      <c r="AC203" s="40" t="s">
        <v>45</v>
      </c>
      <c r="AD203" s="40" t="s">
        <v>45</v>
      </c>
      <c r="AE203" s="40" t="s">
        <v>45</v>
      </c>
      <c r="AF203" s="40" t="s">
        <v>45</v>
      </c>
      <c r="AG203" s="40" t="s">
        <v>45</v>
      </c>
      <c r="AH203" s="40" t="s">
        <v>45</v>
      </c>
      <c r="AI203" s="40" t="s">
        <v>45</v>
      </c>
      <c r="AJ203" s="40" t="s">
        <v>45</v>
      </c>
      <c r="AK203" s="40" t="s">
        <v>45</v>
      </c>
      <c r="AL203" s="40" t="s">
        <v>45</v>
      </c>
      <c r="AM203" s="40" t="s">
        <v>45</v>
      </c>
      <c r="AN203" s="40" t="s">
        <v>45</v>
      </c>
      <c r="AO203" s="41" t="s">
        <v>45</v>
      </c>
      <c r="AP203" s="40" t="s">
        <v>67</v>
      </c>
      <c r="AQ203" s="40">
        <v>7</v>
      </c>
      <c r="AR203" s="48" t="s">
        <v>347</v>
      </c>
      <c r="AS203" s="43" t="s">
        <v>644</v>
      </c>
      <c r="AT203" s="43" t="s">
        <v>47</v>
      </c>
      <c r="AU203" s="44">
        <f t="shared" si="24"/>
        <v>-2.311361197028369</v>
      </c>
      <c r="AV203" s="44">
        <f t="shared" si="25"/>
        <v>-1.23416323121884</v>
      </c>
      <c r="AW203" s="45">
        <f t="shared" si="26"/>
        <v>3</v>
      </c>
      <c r="AX203" s="45">
        <f t="shared" si="27"/>
        <v>1</v>
      </c>
      <c r="AY203" s="46">
        <f>VLOOKUP(AP203,COND!$A$10:$B$32,2,FALSE)</f>
        <v>0.9</v>
      </c>
      <c r="AZ203" s="44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32.144016822595773</v>
      </c>
      <c r="BA203" s="47">
        <f>STANDARDIZE(AZ203,AVERAGE($AZ$5:$AZ$557),STDEVP($AZ$5:$AZ$557))</f>
        <v>-0.24791896392186263</v>
      </c>
      <c r="BB203" s="45" t="str">
        <f t="shared" si="28"/>
        <v>SP</v>
      </c>
      <c r="BC203" s="45">
        <f>RANK(Table3[[#This Row],[zScore]],Table3[zScore])</f>
        <v>404</v>
      </c>
      <c r="BD203" s="45"/>
      <c r="BE203" s="45"/>
      <c r="BF203" s="45" t="str">
        <f t="shared" si="29"/>
        <v>Unlikely</v>
      </c>
      <c r="BG203" s="45"/>
      <c r="BH203" s="45" t="str">
        <f>INDEX(Table5[[#All],[Ovr]],MATCH(Table3[[#This Row],[PID]],Table5[[#All],[PID]],0))</f>
        <v/>
      </c>
      <c r="BI203" s="45" t="str">
        <f>INDEX(Table5[[#All],[Rnd]],MATCH(Table3[[#This Row],[PID]],Table5[[#All],[PID]],0))</f>
        <v/>
      </c>
      <c r="BJ203" s="45" t="str">
        <f>INDEX(Table5[[#All],[Pick]],MATCH(Table3[[#This Row],[PID]],Table5[[#All],[PID]],0))</f>
        <v/>
      </c>
      <c r="BK203" s="45" t="str">
        <f>INDEX(Table5[[#All],[Team]],MATCH(Table3[[#This Row],[PID]],Table5[[#All],[PID]],0))</f>
        <v/>
      </c>
      <c r="BL2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4" spans="1:64" ht="15" customHeight="1" x14ac:dyDescent="0.25">
      <c r="A204" s="40">
        <v>20930</v>
      </c>
      <c r="B204" s="40" t="s">
        <v>415</v>
      </c>
      <c r="C204" s="40" t="s">
        <v>2119</v>
      </c>
      <c r="D204" s="40" t="s">
        <v>191</v>
      </c>
      <c r="E204" s="40">
        <v>19</v>
      </c>
      <c r="F204" s="40" t="s">
        <v>42</v>
      </c>
      <c r="G204" s="40" t="s">
        <v>42</v>
      </c>
      <c r="H204" s="41" t="s">
        <v>647</v>
      </c>
      <c r="I204" s="42" t="s">
        <v>43</v>
      </c>
      <c r="J204" s="40" t="s">
        <v>43</v>
      </c>
      <c r="K204" s="41" t="s">
        <v>43</v>
      </c>
      <c r="L204" s="40">
        <v>2</v>
      </c>
      <c r="M204" s="40">
        <v>2</v>
      </c>
      <c r="N204" s="41">
        <v>1</v>
      </c>
      <c r="O204" s="40">
        <v>4</v>
      </c>
      <c r="P204" s="40">
        <v>2</v>
      </c>
      <c r="Q204" s="41">
        <v>3</v>
      </c>
      <c r="R204" s="40">
        <v>3</v>
      </c>
      <c r="S204" s="40">
        <v>5</v>
      </c>
      <c r="T204" s="40">
        <v>1</v>
      </c>
      <c r="U204" s="40">
        <v>2</v>
      </c>
      <c r="V204" s="40" t="s">
        <v>45</v>
      </c>
      <c r="W204" s="40" t="s">
        <v>45</v>
      </c>
      <c r="X204" s="40">
        <v>2</v>
      </c>
      <c r="Y204" s="40">
        <v>5</v>
      </c>
      <c r="Z204" s="40" t="s">
        <v>45</v>
      </c>
      <c r="AA204" s="40" t="s">
        <v>45</v>
      </c>
      <c r="AB204" s="40" t="s">
        <v>45</v>
      </c>
      <c r="AC204" s="40" t="s">
        <v>45</v>
      </c>
      <c r="AD204" s="40" t="s">
        <v>45</v>
      </c>
      <c r="AE204" s="40" t="s">
        <v>45</v>
      </c>
      <c r="AF204" s="40" t="s">
        <v>45</v>
      </c>
      <c r="AG204" s="40" t="s">
        <v>45</v>
      </c>
      <c r="AH204" s="40" t="s">
        <v>45</v>
      </c>
      <c r="AI204" s="40" t="s">
        <v>45</v>
      </c>
      <c r="AJ204" s="40" t="s">
        <v>45</v>
      </c>
      <c r="AK204" s="40" t="s">
        <v>45</v>
      </c>
      <c r="AL204" s="40" t="s">
        <v>45</v>
      </c>
      <c r="AM204" s="40" t="s">
        <v>45</v>
      </c>
      <c r="AN204" s="40" t="s">
        <v>45</v>
      </c>
      <c r="AO204" s="41" t="s">
        <v>45</v>
      </c>
      <c r="AP204" s="40" t="s">
        <v>350</v>
      </c>
      <c r="AQ204" s="40">
        <v>4</v>
      </c>
      <c r="AR204" s="48" t="s">
        <v>347</v>
      </c>
      <c r="AS204" s="43" t="s">
        <v>644</v>
      </c>
      <c r="AT204" s="43" t="s">
        <v>47</v>
      </c>
      <c r="AU204" s="44">
        <f t="shared" si="24"/>
        <v>-2.311361197028369</v>
      </c>
      <c r="AV204" s="44">
        <f t="shared" si="25"/>
        <v>-0.99184266516472974</v>
      </c>
      <c r="AW204" s="45">
        <f t="shared" si="26"/>
        <v>3</v>
      </c>
      <c r="AX204" s="45">
        <f t="shared" si="27"/>
        <v>0</v>
      </c>
      <c r="AY204" s="46">
        <f>VLOOKUP(AP204,COND!$A$10:$B$32,2,FALSE)</f>
        <v>1</v>
      </c>
      <c r="AZ204" s="44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32.140830734434743</v>
      </c>
      <c r="BA204" s="47">
        <f>STANDARDIZE(AZ204,AVERAGE($AZ$5:$AZ$557),STDEVP($AZ$5:$AZ$557))</f>
        <v>-0.24813092949852647</v>
      </c>
      <c r="BB204" s="45" t="str">
        <f t="shared" si="28"/>
        <v>RP</v>
      </c>
      <c r="BC204" s="45">
        <f>RANK(Table3[[#This Row],[zScore]],Table3[zScore])</f>
        <v>405</v>
      </c>
      <c r="BD204" s="45"/>
      <c r="BE204" s="45"/>
      <c r="BF204" s="45" t="str">
        <f t="shared" si="29"/>
        <v>Unlikely</v>
      </c>
      <c r="BG204" s="45"/>
      <c r="BH204" s="45" t="str">
        <f>INDEX(Table5[[#All],[Ovr]],MATCH(Table3[[#This Row],[PID]],Table5[[#All],[PID]],0))</f>
        <v/>
      </c>
      <c r="BI204" s="45" t="str">
        <f>INDEX(Table5[[#All],[Rnd]],MATCH(Table3[[#This Row],[PID]],Table5[[#All],[PID]],0))</f>
        <v/>
      </c>
      <c r="BJ204" s="45" t="str">
        <f>INDEX(Table5[[#All],[Pick]],MATCH(Table3[[#This Row],[PID]],Table5[[#All],[PID]],0))</f>
        <v/>
      </c>
      <c r="BK204" s="45" t="str">
        <f>INDEX(Table5[[#All],[Team]],MATCH(Table3[[#This Row],[PID]],Table5[[#All],[PID]],0))</f>
        <v/>
      </c>
      <c r="BL2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5" spans="1:64" ht="15" customHeight="1" x14ac:dyDescent="0.25">
      <c r="A205" s="40">
        <v>20725</v>
      </c>
      <c r="B205" s="40" t="s">
        <v>415</v>
      </c>
      <c r="C205" s="40" t="s">
        <v>151</v>
      </c>
      <c r="D205" s="40" t="s">
        <v>344</v>
      </c>
      <c r="E205" s="40">
        <v>16</v>
      </c>
      <c r="F205" s="40" t="s">
        <v>42</v>
      </c>
      <c r="G205" s="40" t="s">
        <v>42</v>
      </c>
      <c r="H205" s="41" t="s">
        <v>647</v>
      </c>
      <c r="I205" s="42" t="s">
        <v>43</v>
      </c>
      <c r="J205" s="40" t="s">
        <v>44</v>
      </c>
      <c r="K205" s="41" t="s">
        <v>43</v>
      </c>
      <c r="L205" s="40">
        <v>1</v>
      </c>
      <c r="M205" s="40">
        <v>2</v>
      </c>
      <c r="N205" s="41">
        <v>1</v>
      </c>
      <c r="O205" s="40">
        <v>2</v>
      </c>
      <c r="P205" s="40">
        <v>2</v>
      </c>
      <c r="Q205" s="41">
        <v>4</v>
      </c>
      <c r="R205" s="40">
        <v>2</v>
      </c>
      <c r="S205" s="40">
        <v>3</v>
      </c>
      <c r="T205" s="40">
        <v>1</v>
      </c>
      <c r="U205" s="40">
        <v>1</v>
      </c>
      <c r="V205" s="40">
        <v>1</v>
      </c>
      <c r="W205" s="40">
        <v>4</v>
      </c>
      <c r="X205" s="40" t="s">
        <v>45</v>
      </c>
      <c r="Y205" s="40" t="s">
        <v>45</v>
      </c>
      <c r="Z205" s="40" t="s">
        <v>45</v>
      </c>
      <c r="AA205" s="40" t="s">
        <v>45</v>
      </c>
      <c r="AB205" s="40" t="s">
        <v>45</v>
      </c>
      <c r="AC205" s="40" t="s">
        <v>45</v>
      </c>
      <c r="AD205" s="40" t="s">
        <v>45</v>
      </c>
      <c r="AE205" s="40" t="s">
        <v>45</v>
      </c>
      <c r="AF205" s="40" t="s">
        <v>45</v>
      </c>
      <c r="AG205" s="40" t="s">
        <v>45</v>
      </c>
      <c r="AH205" s="40" t="s">
        <v>45</v>
      </c>
      <c r="AI205" s="40" t="s">
        <v>45</v>
      </c>
      <c r="AJ205" s="40" t="s">
        <v>45</v>
      </c>
      <c r="AK205" s="40" t="s">
        <v>45</v>
      </c>
      <c r="AL205" s="40" t="s">
        <v>45</v>
      </c>
      <c r="AM205" s="40" t="s">
        <v>45</v>
      </c>
      <c r="AN205" s="40" t="s">
        <v>45</v>
      </c>
      <c r="AO205" s="41" t="s">
        <v>45</v>
      </c>
      <c r="AP205" s="40" t="s">
        <v>70</v>
      </c>
      <c r="AQ205" s="40">
        <v>7</v>
      </c>
      <c r="AR205" s="48" t="s">
        <v>347</v>
      </c>
      <c r="AS205" s="43" t="s">
        <v>659</v>
      </c>
      <c r="AT205" s="43" t="s">
        <v>635</v>
      </c>
      <c r="AU205" s="44">
        <f t="shared" si="24"/>
        <v>-2.5060525215375429</v>
      </c>
      <c r="AV205" s="44">
        <f t="shared" si="25"/>
        <v>-1.1389047481289662</v>
      </c>
      <c r="AW205" s="45">
        <f t="shared" si="26"/>
        <v>3</v>
      </c>
      <c r="AX205" s="45">
        <f t="shared" si="27"/>
        <v>0</v>
      </c>
      <c r="AY205" s="46">
        <f>VLOOKUP(AP205,COND!$A$10:$B$32,2,FALSE)</f>
        <v>0.9</v>
      </c>
      <c r="AZ205" s="44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32.098625079801849</v>
      </c>
      <c r="BA205" s="47">
        <f>STANDARDIZE(AZ205,AVERAGE($AZ$5:$AZ$557),STDEVP($AZ$5:$AZ$557))</f>
        <v>-0.25093880720641892</v>
      </c>
      <c r="BB205" s="45" t="str">
        <f t="shared" si="28"/>
        <v>SP</v>
      </c>
      <c r="BC205" s="45">
        <f>RANK(Table3[[#This Row],[zScore]],Table3[zScore])</f>
        <v>407</v>
      </c>
      <c r="BD205" s="45"/>
      <c r="BE205" s="45"/>
      <c r="BF205" s="45" t="str">
        <f t="shared" si="29"/>
        <v>Unlikely</v>
      </c>
      <c r="BG205" s="45"/>
      <c r="BH205" s="45" t="str">
        <f>INDEX(Table5[[#All],[Ovr]],MATCH(Table3[[#This Row],[PID]],Table5[[#All],[PID]],0))</f>
        <v/>
      </c>
      <c r="BI205" s="45" t="str">
        <f>INDEX(Table5[[#All],[Rnd]],MATCH(Table3[[#This Row],[PID]],Table5[[#All],[PID]],0))</f>
        <v/>
      </c>
      <c r="BJ205" s="45" t="str">
        <f>INDEX(Table5[[#All],[Pick]],MATCH(Table3[[#This Row],[PID]],Table5[[#All],[PID]],0))</f>
        <v/>
      </c>
      <c r="BK205" s="45" t="str">
        <f>INDEX(Table5[[#All],[Team]],MATCH(Table3[[#This Row],[PID]],Table5[[#All],[PID]],0))</f>
        <v/>
      </c>
      <c r="BL2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6" spans="1:64" ht="15" customHeight="1" x14ac:dyDescent="0.25">
      <c r="A206" s="40">
        <v>18001</v>
      </c>
      <c r="B206" s="40" t="s">
        <v>415</v>
      </c>
      <c r="C206" s="40" t="s">
        <v>178</v>
      </c>
      <c r="D206" s="40" t="s">
        <v>2188</v>
      </c>
      <c r="E206" s="40">
        <v>21</v>
      </c>
      <c r="F206" s="40" t="s">
        <v>42</v>
      </c>
      <c r="G206" s="40" t="s">
        <v>42</v>
      </c>
      <c r="H206" s="41" t="s">
        <v>647</v>
      </c>
      <c r="I206" s="42" t="s">
        <v>43</v>
      </c>
      <c r="J206" s="40" t="s">
        <v>44</v>
      </c>
      <c r="K206" s="41" t="s">
        <v>43</v>
      </c>
      <c r="L206" s="40">
        <v>2</v>
      </c>
      <c r="M206" s="40">
        <v>1</v>
      </c>
      <c r="N206" s="41">
        <v>2</v>
      </c>
      <c r="O206" s="40">
        <v>4</v>
      </c>
      <c r="P206" s="40">
        <v>2</v>
      </c>
      <c r="Q206" s="41">
        <v>4</v>
      </c>
      <c r="R206" s="40">
        <v>4</v>
      </c>
      <c r="S206" s="40">
        <v>5</v>
      </c>
      <c r="T206" s="40">
        <v>1</v>
      </c>
      <c r="U206" s="40">
        <v>1</v>
      </c>
      <c r="V206" s="40" t="s">
        <v>45</v>
      </c>
      <c r="W206" s="40" t="s">
        <v>45</v>
      </c>
      <c r="X206" s="40">
        <v>3</v>
      </c>
      <c r="Y206" s="40">
        <v>4</v>
      </c>
      <c r="Z206" s="40" t="s">
        <v>45</v>
      </c>
      <c r="AA206" s="40" t="s">
        <v>45</v>
      </c>
      <c r="AB206" s="40" t="s">
        <v>45</v>
      </c>
      <c r="AC206" s="40" t="s">
        <v>45</v>
      </c>
      <c r="AD206" s="40" t="s">
        <v>45</v>
      </c>
      <c r="AE206" s="40" t="s">
        <v>45</v>
      </c>
      <c r="AF206" s="40" t="s">
        <v>45</v>
      </c>
      <c r="AG206" s="40" t="s">
        <v>45</v>
      </c>
      <c r="AH206" s="40" t="s">
        <v>45</v>
      </c>
      <c r="AI206" s="40" t="s">
        <v>45</v>
      </c>
      <c r="AJ206" s="40" t="s">
        <v>45</v>
      </c>
      <c r="AK206" s="40" t="s">
        <v>45</v>
      </c>
      <c r="AL206" s="40">
        <v>2</v>
      </c>
      <c r="AM206" s="40">
        <v>4</v>
      </c>
      <c r="AN206" s="40" t="s">
        <v>45</v>
      </c>
      <c r="AO206" s="41" t="s">
        <v>45</v>
      </c>
      <c r="AP206" s="40" t="s">
        <v>56</v>
      </c>
      <c r="AQ206" s="40">
        <v>7</v>
      </c>
      <c r="AR206" s="48" t="s">
        <v>14</v>
      </c>
      <c r="AS206" s="43" t="s">
        <v>45</v>
      </c>
      <c r="AT206" s="43"/>
      <c r="AU206" s="44">
        <f t="shared" si="24"/>
        <v>-2.2644723474043147</v>
      </c>
      <c r="AV206" s="44">
        <f t="shared" si="25"/>
        <v>-0.74952209911061918</v>
      </c>
      <c r="AW206" s="45">
        <f t="shared" si="26"/>
        <v>4</v>
      </c>
      <c r="AX206" s="45">
        <f t="shared" si="27"/>
        <v>0</v>
      </c>
      <c r="AY206" s="46">
        <f>VLOOKUP(AP206,COND!$A$10:$B$32,2,FALSE)</f>
        <v>1</v>
      </c>
      <c r="AZ206" s="44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33.256663548306754</v>
      </c>
      <c r="BA206" s="47">
        <f>STANDARDIZE(AZ206,AVERAGE($AZ$5:$AZ$788),STDEVP($AZ$5:$AZ$788))</f>
        <v>-0.25491946980958169</v>
      </c>
      <c r="BB206" s="45" t="str">
        <f t="shared" si="28"/>
        <v>SP</v>
      </c>
      <c r="BC206" s="45">
        <f>RANK(Table3[[#This Row],[zScore]],Table3[zScore])</f>
        <v>410</v>
      </c>
      <c r="BD206" s="45"/>
      <c r="BE206" s="45"/>
      <c r="BF206" s="45" t="str">
        <f t="shared" si="29"/>
        <v>Unlikely</v>
      </c>
      <c r="BG206" s="45"/>
      <c r="BH206" s="64" t="str">
        <f>INDEX(Table5[[#All],[Ovr]],MATCH(Table3[[#This Row],[PID]],Table5[[#All],[PID]],0))</f>
        <v/>
      </c>
      <c r="BI206" s="64" t="str">
        <f>INDEX(Table5[[#All],[Rnd]],MATCH(Table3[[#This Row],[PID]],Table5[[#All],[PID]],0))</f>
        <v/>
      </c>
      <c r="BJ206" s="64" t="str">
        <f>INDEX(Table5[[#All],[Pick]],MATCH(Table3[[#This Row],[PID]],Table5[[#All],[PID]],0))</f>
        <v/>
      </c>
      <c r="BK206" s="64" t="str">
        <f>INDEX(Table5[[#All],[Team]],MATCH(Table3[[#This Row],[PID]],Table5[[#All],[PID]],0))</f>
        <v/>
      </c>
      <c r="BL206" s="64" t="str">
        <f>IF(OR(Table3[[#This Row],[POS]]="SP",Table3[[#This Row],[POS]]="RP",Table3[[#This Row],[POS]]="CL"),"P",INDEX(Batters[[#All],[zScore]],MATCH(Table3[[#This Row],[PID]],Batters[[#All],[PID]],0)))</f>
        <v>P</v>
      </c>
    </row>
    <row r="207" spans="1:64" ht="15" customHeight="1" x14ac:dyDescent="0.25">
      <c r="A207" s="40">
        <v>20726</v>
      </c>
      <c r="B207" s="40" t="s">
        <v>415</v>
      </c>
      <c r="C207" s="40" t="s">
        <v>399</v>
      </c>
      <c r="D207" s="40" t="s">
        <v>2198</v>
      </c>
      <c r="E207" s="40">
        <v>17</v>
      </c>
      <c r="F207" s="40" t="s">
        <v>42</v>
      </c>
      <c r="G207" s="40" t="s">
        <v>42</v>
      </c>
      <c r="H207" s="41" t="s">
        <v>647</v>
      </c>
      <c r="I207" s="42" t="s">
        <v>44</v>
      </c>
      <c r="J207" s="40" t="s">
        <v>43</v>
      </c>
      <c r="K207" s="41" t="s">
        <v>43</v>
      </c>
      <c r="L207" s="40">
        <v>2</v>
      </c>
      <c r="M207" s="40">
        <v>2</v>
      </c>
      <c r="N207" s="41">
        <v>1</v>
      </c>
      <c r="O207" s="40">
        <v>4</v>
      </c>
      <c r="P207" s="40">
        <v>2</v>
      </c>
      <c r="Q207" s="41">
        <v>3</v>
      </c>
      <c r="R207" s="40">
        <v>3</v>
      </c>
      <c r="S207" s="40">
        <v>5</v>
      </c>
      <c r="T207" s="40">
        <v>1</v>
      </c>
      <c r="U207" s="40">
        <v>1</v>
      </c>
      <c r="V207" s="40" t="s">
        <v>45</v>
      </c>
      <c r="W207" s="40" t="s">
        <v>45</v>
      </c>
      <c r="X207" s="40">
        <v>2</v>
      </c>
      <c r="Y207" s="40">
        <v>6</v>
      </c>
      <c r="Z207" s="40" t="s">
        <v>45</v>
      </c>
      <c r="AA207" s="40" t="s">
        <v>45</v>
      </c>
      <c r="AB207" s="40" t="s">
        <v>45</v>
      </c>
      <c r="AC207" s="40" t="s">
        <v>45</v>
      </c>
      <c r="AD207" s="40" t="s">
        <v>45</v>
      </c>
      <c r="AE207" s="40" t="s">
        <v>45</v>
      </c>
      <c r="AF207" s="40" t="s">
        <v>45</v>
      </c>
      <c r="AG207" s="40" t="s">
        <v>45</v>
      </c>
      <c r="AH207" s="40" t="s">
        <v>45</v>
      </c>
      <c r="AI207" s="40" t="s">
        <v>45</v>
      </c>
      <c r="AJ207" s="40" t="s">
        <v>45</v>
      </c>
      <c r="AK207" s="40" t="s">
        <v>45</v>
      </c>
      <c r="AL207" s="40" t="s">
        <v>45</v>
      </c>
      <c r="AM207" s="40" t="s">
        <v>45</v>
      </c>
      <c r="AN207" s="40" t="s">
        <v>45</v>
      </c>
      <c r="AO207" s="41" t="s">
        <v>45</v>
      </c>
      <c r="AP207" s="40" t="s">
        <v>349</v>
      </c>
      <c r="AQ207" s="40">
        <v>4</v>
      </c>
      <c r="AR207" s="48" t="s">
        <v>347</v>
      </c>
      <c r="AS207" s="43" t="s">
        <v>548</v>
      </c>
      <c r="AT207" s="43"/>
      <c r="AU207" s="44">
        <f t="shared" si="24"/>
        <v>-2.311361197028369</v>
      </c>
      <c r="AV207" s="44">
        <f t="shared" si="25"/>
        <v>-0.99184266516472974</v>
      </c>
      <c r="AW207" s="45">
        <f t="shared" si="26"/>
        <v>3</v>
      </c>
      <c r="AX207" s="45">
        <f t="shared" si="27"/>
        <v>1</v>
      </c>
      <c r="AY207" s="46">
        <f>VLOOKUP(AP207,COND!$A$10:$B$32,2,FALSE)</f>
        <v>1</v>
      </c>
      <c r="AZ207" s="44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33.178330734434745</v>
      </c>
      <c r="BA207" s="47">
        <f>STANDARDIZE(AZ207,AVERAGE($AZ$5:$AZ$788),STDEVP($AZ$5:$AZ$788))</f>
        <v>-0.260587825345938</v>
      </c>
      <c r="BB207" s="45" t="str">
        <f t="shared" si="28"/>
        <v>RP</v>
      </c>
      <c r="BC207" s="45">
        <f>RANK(Table3[[#This Row],[zScore]],Table3[zScore])</f>
        <v>411</v>
      </c>
      <c r="BD207" s="45"/>
      <c r="BE207" s="45"/>
      <c r="BF207" s="45" t="str">
        <f t="shared" si="29"/>
        <v>Unlikely</v>
      </c>
      <c r="BG207" s="45"/>
      <c r="BH207" s="64" t="str">
        <f>INDEX(Table5[[#All],[Ovr]],MATCH(Table3[[#This Row],[PID]],Table5[[#All],[PID]],0))</f>
        <v/>
      </c>
      <c r="BI207" s="64" t="str">
        <f>INDEX(Table5[[#All],[Rnd]],MATCH(Table3[[#This Row],[PID]],Table5[[#All],[PID]],0))</f>
        <v/>
      </c>
      <c r="BJ207" s="64" t="str">
        <f>INDEX(Table5[[#All],[Pick]],MATCH(Table3[[#This Row],[PID]],Table5[[#All],[PID]],0))</f>
        <v/>
      </c>
      <c r="BK207" s="64" t="str">
        <f>INDEX(Table5[[#All],[Team]],MATCH(Table3[[#This Row],[PID]],Table5[[#All],[PID]],0))</f>
        <v/>
      </c>
      <c r="BL207" s="64" t="str">
        <f>IF(OR(Table3[[#This Row],[POS]]="SP",Table3[[#This Row],[POS]]="RP",Table3[[#This Row],[POS]]="CL"),"P",INDEX(Batters[[#All],[zScore]],MATCH(Table3[[#This Row],[PID]],Batters[[#All],[PID]],0)))</f>
        <v>P</v>
      </c>
    </row>
    <row r="208" spans="1:64" ht="15" customHeight="1" x14ac:dyDescent="0.25">
      <c r="A208" s="40">
        <v>17866</v>
      </c>
      <c r="B208" s="40" t="s">
        <v>415</v>
      </c>
      <c r="C208" s="40" t="s">
        <v>2034</v>
      </c>
      <c r="D208" s="40" t="s">
        <v>770</v>
      </c>
      <c r="E208" s="40">
        <v>18</v>
      </c>
      <c r="F208" s="40" t="s">
        <v>42</v>
      </c>
      <c r="G208" s="40" t="s">
        <v>42</v>
      </c>
      <c r="H208" s="41" t="s">
        <v>647</v>
      </c>
      <c r="I208" s="42" t="s">
        <v>44</v>
      </c>
      <c r="J208" s="40" t="s">
        <v>43</v>
      </c>
      <c r="K208" s="41" t="s">
        <v>43</v>
      </c>
      <c r="L208" s="40">
        <v>1</v>
      </c>
      <c r="M208" s="40">
        <v>2</v>
      </c>
      <c r="N208" s="41">
        <v>1</v>
      </c>
      <c r="O208" s="40">
        <v>3</v>
      </c>
      <c r="P208" s="40">
        <v>2</v>
      </c>
      <c r="Q208" s="41">
        <v>3</v>
      </c>
      <c r="R208" s="40">
        <v>2</v>
      </c>
      <c r="S208" s="40">
        <v>4</v>
      </c>
      <c r="T208" s="40">
        <v>1</v>
      </c>
      <c r="U208" s="40">
        <v>1</v>
      </c>
      <c r="V208" s="40" t="s">
        <v>45</v>
      </c>
      <c r="W208" s="40" t="s">
        <v>45</v>
      </c>
      <c r="X208" s="40" t="s">
        <v>45</v>
      </c>
      <c r="Y208" s="40" t="s">
        <v>45</v>
      </c>
      <c r="Z208" s="40">
        <v>2</v>
      </c>
      <c r="AA208" s="40">
        <v>4</v>
      </c>
      <c r="AB208" s="40" t="s">
        <v>45</v>
      </c>
      <c r="AC208" s="40" t="s">
        <v>45</v>
      </c>
      <c r="AD208" s="40" t="s">
        <v>45</v>
      </c>
      <c r="AE208" s="40" t="s">
        <v>45</v>
      </c>
      <c r="AF208" s="40" t="s">
        <v>45</v>
      </c>
      <c r="AG208" s="40" t="s">
        <v>45</v>
      </c>
      <c r="AH208" s="40" t="s">
        <v>45</v>
      </c>
      <c r="AI208" s="40" t="s">
        <v>45</v>
      </c>
      <c r="AJ208" s="40" t="s">
        <v>45</v>
      </c>
      <c r="AK208" s="40" t="s">
        <v>45</v>
      </c>
      <c r="AL208" s="40" t="s">
        <v>45</v>
      </c>
      <c r="AM208" s="40" t="s">
        <v>45</v>
      </c>
      <c r="AN208" s="40" t="s">
        <v>45</v>
      </c>
      <c r="AO208" s="41" t="s">
        <v>45</v>
      </c>
      <c r="AP208" s="40" t="s">
        <v>67</v>
      </c>
      <c r="AQ208" s="40">
        <v>6</v>
      </c>
      <c r="AR208" s="48" t="s">
        <v>347</v>
      </c>
      <c r="AS208" s="43" t="s">
        <v>548</v>
      </c>
      <c r="AT208" s="43" t="s">
        <v>47</v>
      </c>
      <c r="AU208" s="44">
        <f t="shared" si="24"/>
        <v>-2.5060525215375429</v>
      </c>
      <c r="AV208" s="44">
        <f t="shared" si="25"/>
        <v>-1.1865339896739031</v>
      </c>
      <c r="AW208" s="45">
        <f t="shared" si="26"/>
        <v>3</v>
      </c>
      <c r="AX208" s="45">
        <f t="shared" si="27"/>
        <v>0</v>
      </c>
      <c r="AY208" s="46">
        <f>VLOOKUP(AP208,COND!$A$10:$B$32,2,FALSE)</f>
        <v>0.9</v>
      </c>
      <c r="AZ208" s="44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31.902766263693167</v>
      </c>
      <c r="BA208" s="47">
        <f>STANDARDIZE(AZ208,AVERAGE($AZ$5:$AZ$557),STDEVP($AZ$5:$AZ$557))</f>
        <v>-0.26396899494854087</v>
      </c>
      <c r="BB208" s="45" t="str">
        <f t="shared" si="28"/>
        <v>SP</v>
      </c>
      <c r="BC208" s="45">
        <f>RANK(Table3[[#This Row],[zScore]],Table3[zScore])</f>
        <v>412</v>
      </c>
      <c r="BD208" s="45"/>
      <c r="BE208" s="45"/>
      <c r="BF208" s="45" t="str">
        <f t="shared" si="29"/>
        <v>Unlikely</v>
      </c>
      <c r="BG208" s="45"/>
      <c r="BH208" s="45" t="str">
        <f>INDEX(Table5[[#All],[Ovr]],MATCH(Table3[[#This Row],[PID]],Table5[[#All],[PID]],0))</f>
        <v/>
      </c>
      <c r="BI208" s="45" t="str">
        <f>INDEX(Table5[[#All],[Rnd]],MATCH(Table3[[#This Row],[PID]],Table5[[#All],[PID]],0))</f>
        <v/>
      </c>
      <c r="BJ208" s="45" t="str">
        <f>INDEX(Table5[[#All],[Pick]],MATCH(Table3[[#This Row],[PID]],Table5[[#All],[PID]],0))</f>
        <v/>
      </c>
      <c r="BK208" s="45" t="str">
        <f>INDEX(Table5[[#All],[Team]],MATCH(Table3[[#This Row],[PID]],Table5[[#All],[PID]],0))</f>
        <v/>
      </c>
      <c r="BL2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09" spans="1:64" ht="15" customHeight="1" x14ac:dyDescent="0.25">
      <c r="A209" s="40">
        <v>20903</v>
      </c>
      <c r="B209" s="40" t="s">
        <v>415</v>
      </c>
      <c r="C209" s="40" t="s">
        <v>140</v>
      </c>
      <c r="D209" s="40" t="s">
        <v>146</v>
      </c>
      <c r="E209" s="40">
        <v>17</v>
      </c>
      <c r="F209" s="40" t="s">
        <v>62</v>
      </c>
      <c r="G209" s="40" t="s">
        <v>42</v>
      </c>
      <c r="H209" s="41" t="s">
        <v>647</v>
      </c>
      <c r="I209" s="42" t="s">
        <v>43</v>
      </c>
      <c r="J209" s="40" t="s">
        <v>43</v>
      </c>
      <c r="K209" s="41" t="s">
        <v>43</v>
      </c>
      <c r="L209" s="40">
        <v>1</v>
      </c>
      <c r="M209" s="40">
        <v>2</v>
      </c>
      <c r="N209" s="41">
        <v>1</v>
      </c>
      <c r="O209" s="40">
        <v>3</v>
      </c>
      <c r="P209" s="40">
        <v>2</v>
      </c>
      <c r="Q209" s="41">
        <v>3</v>
      </c>
      <c r="R209" s="40">
        <v>2</v>
      </c>
      <c r="S209" s="40">
        <v>4</v>
      </c>
      <c r="T209" s="40">
        <v>1</v>
      </c>
      <c r="U209" s="40">
        <v>4</v>
      </c>
      <c r="V209" s="40">
        <v>1</v>
      </c>
      <c r="W209" s="40">
        <v>4</v>
      </c>
      <c r="X209" s="40" t="s">
        <v>45</v>
      </c>
      <c r="Y209" s="40" t="s">
        <v>45</v>
      </c>
      <c r="Z209" s="40" t="s">
        <v>45</v>
      </c>
      <c r="AA209" s="40" t="s">
        <v>45</v>
      </c>
      <c r="AB209" s="40">
        <v>2</v>
      </c>
      <c r="AC209" s="40">
        <v>4</v>
      </c>
      <c r="AD209" s="40" t="s">
        <v>45</v>
      </c>
      <c r="AE209" s="40" t="s">
        <v>45</v>
      </c>
      <c r="AF209" s="40">
        <v>2</v>
      </c>
      <c r="AG209" s="40">
        <v>4</v>
      </c>
      <c r="AH209" s="40">
        <v>1</v>
      </c>
      <c r="AI209" s="40">
        <v>1</v>
      </c>
      <c r="AJ209" s="40" t="s">
        <v>45</v>
      </c>
      <c r="AK209" s="40" t="s">
        <v>45</v>
      </c>
      <c r="AL209" s="40" t="s">
        <v>45</v>
      </c>
      <c r="AM209" s="40" t="s">
        <v>45</v>
      </c>
      <c r="AN209" s="40" t="s">
        <v>45</v>
      </c>
      <c r="AO209" s="41" t="s">
        <v>45</v>
      </c>
      <c r="AP209" s="40" t="s">
        <v>68</v>
      </c>
      <c r="AQ209" s="40">
        <v>7</v>
      </c>
      <c r="AR209" s="48" t="s">
        <v>347</v>
      </c>
      <c r="AS209" s="43" t="s">
        <v>659</v>
      </c>
      <c r="AT209" s="43" t="s">
        <v>635</v>
      </c>
      <c r="AU209" s="44">
        <f t="shared" si="24"/>
        <v>-2.5060525215375429</v>
      </c>
      <c r="AV209" s="44">
        <f t="shared" si="25"/>
        <v>-1.1865339896739031</v>
      </c>
      <c r="AW209" s="45">
        <f t="shared" si="26"/>
        <v>6</v>
      </c>
      <c r="AX209" s="45">
        <f t="shared" si="27"/>
        <v>0</v>
      </c>
      <c r="AY209" s="46">
        <f>VLOOKUP(AP209,COND!$A$10:$B$32,2,FALSE)</f>
        <v>0.95</v>
      </c>
      <c r="AZ209" s="44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31.829704217103711</v>
      </c>
      <c r="BA209" s="47">
        <f>STANDARDIZE(AZ209,AVERAGE($AZ$5:$AZ$557),STDEVP($AZ$5:$AZ$557))</f>
        <v>-0.26882970126137795</v>
      </c>
      <c r="BB209" s="45" t="str">
        <f t="shared" si="28"/>
        <v>SP</v>
      </c>
      <c r="BC209" s="45">
        <f>RANK(Table3[[#This Row],[zScore]],Table3[zScore])</f>
        <v>415</v>
      </c>
      <c r="BD209" s="45"/>
      <c r="BE209" s="45"/>
      <c r="BF209" s="45" t="str">
        <f t="shared" si="29"/>
        <v>Unlikely</v>
      </c>
      <c r="BG209" s="45"/>
      <c r="BH209" s="45" t="str">
        <f>INDEX(Table5[[#All],[Ovr]],MATCH(Table3[[#This Row],[PID]],Table5[[#All],[PID]],0))</f>
        <v/>
      </c>
      <c r="BI209" s="45" t="str">
        <f>INDEX(Table5[[#All],[Rnd]],MATCH(Table3[[#This Row],[PID]],Table5[[#All],[PID]],0))</f>
        <v/>
      </c>
      <c r="BJ209" s="45" t="str">
        <f>INDEX(Table5[[#All],[Pick]],MATCH(Table3[[#This Row],[PID]],Table5[[#All],[PID]],0))</f>
        <v/>
      </c>
      <c r="BK209" s="45" t="str">
        <f>INDEX(Table5[[#All],[Team]],MATCH(Table3[[#This Row],[PID]],Table5[[#All],[PID]],0))</f>
        <v/>
      </c>
      <c r="BL20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0" spans="1:64" ht="15" customHeight="1" x14ac:dyDescent="0.25">
      <c r="A210" s="40">
        <v>20305</v>
      </c>
      <c r="B210" s="40" t="s">
        <v>415</v>
      </c>
      <c r="C210" s="40" t="s">
        <v>1715</v>
      </c>
      <c r="D210" s="40" t="s">
        <v>694</v>
      </c>
      <c r="E210" s="40">
        <v>19</v>
      </c>
      <c r="F210" s="40" t="s">
        <v>42</v>
      </c>
      <c r="G210" s="40" t="s">
        <v>42</v>
      </c>
      <c r="H210" s="41" t="s">
        <v>647</v>
      </c>
      <c r="I210" s="42" t="s">
        <v>43</v>
      </c>
      <c r="J210" s="40" t="s">
        <v>44</v>
      </c>
      <c r="K210" s="41" t="s">
        <v>43</v>
      </c>
      <c r="L210" s="40">
        <v>2</v>
      </c>
      <c r="M210" s="40">
        <v>1</v>
      </c>
      <c r="N210" s="41">
        <v>1</v>
      </c>
      <c r="O210" s="40">
        <v>4</v>
      </c>
      <c r="P210" s="40">
        <v>2</v>
      </c>
      <c r="Q210" s="41">
        <v>3</v>
      </c>
      <c r="R210" s="40">
        <v>3</v>
      </c>
      <c r="S210" s="40">
        <v>5</v>
      </c>
      <c r="T210" s="40">
        <v>1</v>
      </c>
      <c r="U210" s="40">
        <v>1</v>
      </c>
      <c r="V210" s="40" t="s">
        <v>45</v>
      </c>
      <c r="W210" s="40" t="s">
        <v>45</v>
      </c>
      <c r="X210" s="40" t="s">
        <v>45</v>
      </c>
      <c r="Y210" s="40" t="s">
        <v>45</v>
      </c>
      <c r="Z210" s="40" t="s">
        <v>45</v>
      </c>
      <c r="AA210" s="40" t="s">
        <v>45</v>
      </c>
      <c r="AB210" s="40" t="s">
        <v>45</v>
      </c>
      <c r="AC210" s="40" t="s">
        <v>45</v>
      </c>
      <c r="AD210" s="40">
        <v>3</v>
      </c>
      <c r="AE210" s="40">
        <v>5</v>
      </c>
      <c r="AF210" s="40" t="s">
        <v>45</v>
      </c>
      <c r="AG210" s="40" t="s">
        <v>45</v>
      </c>
      <c r="AH210" s="40" t="s">
        <v>45</v>
      </c>
      <c r="AI210" s="40" t="s">
        <v>45</v>
      </c>
      <c r="AJ210" s="40" t="s">
        <v>45</v>
      </c>
      <c r="AK210" s="40" t="s">
        <v>45</v>
      </c>
      <c r="AL210" s="40" t="s">
        <v>45</v>
      </c>
      <c r="AM210" s="40" t="s">
        <v>45</v>
      </c>
      <c r="AN210" s="40" t="s">
        <v>45</v>
      </c>
      <c r="AO210" s="41" t="s">
        <v>45</v>
      </c>
      <c r="AP210" s="40" t="s">
        <v>64</v>
      </c>
      <c r="AQ210" s="40">
        <v>4</v>
      </c>
      <c r="AR210" s="48" t="s">
        <v>14</v>
      </c>
      <c r="AS210" s="43" t="s">
        <v>573</v>
      </c>
      <c r="AT210" s="43" t="s">
        <v>47</v>
      </c>
      <c r="AU210" s="44">
        <f t="shared" si="24"/>
        <v>-2.5067929134584248</v>
      </c>
      <c r="AV210" s="44">
        <f t="shared" si="25"/>
        <v>-0.99184266516472974</v>
      </c>
      <c r="AW210" s="45">
        <f t="shared" si="26"/>
        <v>3</v>
      </c>
      <c r="AX210" s="45">
        <f t="shared" si="27"/>
        <v>0</v>
      </c>
      <c r="AY210" s="46">
        <f>VLOOKUP(AP210,COND!$A$10:$B$32,2,FALSE)</f>
        <v>1</v>
      </c>
      <c r="AZ210" s="44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31.803698708313032</v>
      </c>
      <c r="BA210" s="47">
        <f>STANDARDIZE(AZ210,AVERAGE($AZ$5:$AZ$557),STDEVP($AZ$5:$AZ$557))</f>
        <v>-0.27055980802197388</v>
      </c>
      <c r="BB210" s="45" t="str">
        <f t="shared" si="28"/>
        <v>RP</v>
      </c>
      <c r="BC210" s="45">
        <f>RANK(Table3[[#This Row],[zScore]],Table3[zScore])</f>
        <v>416</v>
      </c>
      <c r="BD210" s="45"/>
      <c r="BE210" s="45"/>
      <c r="BF210" s="45" t="str">
        <f t="shared" si="29"/>
        <v>Unlikely</v>
      </c>
      <c r="BG210" s="45"/>
      <c r="BH210" s="45" t="str">
        <f>INDEX(Table5[[#All],[Ovr]],MATCH(Table3[[#This Row],[PID]],Table5[[#All],[PID]],0))</f>
        <v/>
      </c>
      <c r="BI210" s="45" t="str">
        <f>INDEX(Table5[[#All],[Rnd]],MATCH(Table3[[#This Row],[PID]],Table5[[#All],[PID]],0))</f>
        <v/>
      </c>
      <c r="BJ210" s="45" t="str">
        <f>INDEX(Table5[[#All],[Pick]],MATCH(Table3[[#This Row],[PID]],Table5[[#All],[PID]],0))</f>
        <v/>
      </c>
      <c r="BK210" s="45" t="str">
        <f>INDEX(Table5[[#All],[Team]],MATCH(Table3[[#This Row],[PID]],Table5[[#All],[PID]],0))</f>
        <v/>
      </c>
      <c r="BL2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1" spans="1:64" ht="15" customHeight="1" x14ac:dyDescent="0.25">
      <c r="A211" s="40">
        <v>9470</v>
      </c>
      <c r="B211" s="40" t="s">
        <v>415</v>
      </c>
      <c r="C211" s="40" t="s">
        <v>823</v>
      </c>
      <c r="D211" s="40" t="s">
        <v>596</v>
      </c>
      <c r="E211" s="40">
        <v>22</v>
      </c>
      <c r="F211" s="40" t="s">
        <v>42</v>
      </c>
      <c r="G211" s="40" t="s">
        <v>42</v>
      </c>
      <c r="H211" s="41" t="s">
        <v>647</v>
      </c>
      <c r="I211" s="42" t="s">
        <v>43</v>
      </c>
      <c r="J211" s="40" t="s">
        <v>43</v>
      </c>
      <c r="K211" s="41" t="s">
        <v>43</v>
      </c>
      <c r="L211" s="40">
        <v>3</v>
      </c>
      <c r="M211" s="40">
        <v>3</v>
      </c>
      <c r="N211" s="41">
        <v>2</v>
      </c>
      <c r="O211" s="40">
        <v>5</v>
      </c>
      <c r="P211" s="40">
        <v>3</v>
      </c>
      <c r="Q211" s="41">
        <v>2</v>
      </c>
      <c r="R211" s="40">
        <v>4</v>
      </c>
      <c r="S211" s="40">
        <v>6</v>
      </c>
      <c r="T211" s="40">
        <v>2</v>
      </c>
      <c r="U211" s="40">
        <v>3</v>
      </c>
      <c r="V211" s="40" t="s">
        <v>45</v>
      </c>
      <c r="W211" s="40" t="s">
        <v>45</v>
      </c>
      <c r="X211" s="40" t="s">
        <v>45</v>
      </c>
      <c r="Y211" s="40" t="s">
        <v>45</v>
      </c>
      <c r="Z211" s="40">
        <v>4</v>
      </c>
      <c r="AA211" s="40">
        <v>5</v>
      </c>
      <c r="AB211" s="40" t="s">
        <v>45</v>
      </c>
      <c r="AC211" s="40" t="s">
        <v>45</v>
      </c>
      <c r="AD211" s="40" t="s">
        <v>45</v>
      </c>
      <c r="AE211" s="40" t="s">
        <v>45</v>
      </c>
      <c r="AF211" s="40" t="s">
        <v>45</v>
      </c>
      <c r="AG211" s="40" t="s">
        <v>45</v>
      </c>
      <c r="AH211" s="40" t="s">
        <v>45</v>
      </c>
      <c r="AI211" s="40" t="s">
        <v>45</v>
      </c>
      <c r="AJ211" s="40" t="s">
        <v>45</v>
      </c>
      <c r="AK211" s="40" t="s">
        <v>45</v>
      </c>
      <c r="AL211" s="40" t="s">
        <v>45</v>
      </c>
      <c r="AM211" s="40" t="s">
        <v>45</v>
      </c>
      <c r="AN211" s="40" t="s">
        <v>45</v>
      </c>
      <c r="AO211" s="41" t="s">
        <v>45</v>
      </c>
      <c r="AP211" s="40" t="s">
        <v>57</v>
      </c>
      <c r="AQ211" s="40">
        <v>6</v>
      </c>
      <c r="AR211" s="48" t="s">
        <v>346</v>
      </c>
      <c r="AS211" s="43" t="s">
        <v>45</v>
      </c>
      <c r="AT211" s="43"/>
      <c r="AU211" s="44">
        <f t="shared" si="24"/>
        <v>-1.6789175900350299</v>
      </c>
      <c r="AV211" s="44">
        <f t="shared" si="25"/>
        <v>-0.84404019027961108</v>
      </c>
      <c r="AW211" s="45">
        <f t="shared" si="26"/>
        <v>3</v>
      </c>
      <c r="AX211" s="45">
        <f t="shared" si="27"/>
        <v>1</v>
      </c>
      <c r="AY211" s="46">
        <f>VLOOKUP(AP211,COND!$A$10:$B$32,2,FALSE)</f>
        <v>1</v>
      </c>
      <c r="AZ211" s="44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32.895077359490756</v>
      </c>
      <c r="BA211" s="47">
        <f>STANDARDIZE(AZ211,AVERAGE($AZ$5:$AZ$788),STDEVP($AZ$5:$AZ$788))</f>
        <v>-0.28108473790009164</v>
      </c>
      <c r="BB211" s="45" t="str">
        <f t="shared" si="28"/>
        <v>SP</v>
      </c>
      <c r="BC211" s="45">
        <f>RANK(Table3[[#This Row],[zScore]],Table3[zScore])</f>
        <v>418</v>
      </c>
      <c r="BD211" s="45"/>
      <c r="BE211" s="45"/>
      <c r="BF211" s="45" t="str">
        <f t="shared" si="29"/>
        <v>Unlikely</v>
      </c>
      <c r="BG211" s="45"/>
      <c r="BH211" s="64" t="str">
        <f>INDEX(Table5[[#All],[Ovr]],MATCH(Table3[[#This Row],[PID]],Table5[[#All],[PID]],0))</f>
        <v/>
      </c>
      <c r="BI211" s="64" t="str">
        <f>INDEX(Table5[[#All],[Rnd]],MATCH(Table3[[#This Row],[PID]],Table5[[#All],[PID]],0))</f>
        <v/>
      </c>
      <c r="BJ211" s="64" t="str">
        <f>INDEX(Table5[[#All],[Pick]],MATCH(Table3[[#This Row],[PID]],Table5[[#All],[PID]],0))</f>
        <v/>
      </c>
      <c r="BK211" s="64" t="str">
        <f>INDEX(Table5[[#All],[Team]],MATCH(Table3[[#This Row],[PID]],Table5[[#All],[PID]],0))</f>
        <v/>
      </c>
      <c r="BL211" s="64" t="str">
        <f>IF(OR(Table3[[#This Row],[POS]]="SP",Table3[[#This Row],[POS]]="RP",Table3[[#This Row],[POS]]="CL"),"P",INDEX(Batters[[#All],[zScore]],MATCH(Table3[[#This Row],[PID]],Batters[[#All],[PID]],0)))</f>
        <v>P</v>
      </c>
    </row>
    <row r="212" spans="1:64" ht="15" customHeight="1" x14ac:dyDescent="0.25">
      <c r="A212" s="40">
        <v>18031</v>
      </c>
      <c r="B212" s="40" t="s">
        <v>415</v>
      </c>
      <c r="C212" s="40" t="s">
        <v>125</v>
      </c>
      <c r="D212" s="40" t="s">
        <v>607</v>
      </c>
      <c r="E212" s="40">
        <v>21</v>
      </c>
      <c r="F212" s="40" t="s">
        <v>42</v>
      </c>
      <c r="G212" s="40" t="s">
        <v>42</v>
      </c>
      <c r="H212" s="41" t="s">
        <v>647</v>
      </c>
      <c r="I212" s="42" t="s">
        <v>47</v>
      </c>
      <c r="J212" s="40" t="s">
        <v>43</v>
      </c>
      <c r="K212" s="41" t="s">
        <v>43</v>
      </c>
      <c r="L212" s="40">
        <v>2</v>
      </c>
      <c r="M212" s="40">
        <v>1</v>
      </c>
      <c r="N212" s="41">
        <v>2</v>
      </c>
      <c r="O212" s="40">
        <v>4</v>
      </c>
      <c r="P212" s="40">
        <v>1</v>
      </c>
      <c r="Q212" s="41">
        <v>4</v>
      </c>
      <c r="R212" s="40">
        <v>4</v>
      </c>
      <c r="S212" s="40">
        <v>6</v>
      </c>
      <c r="T212" s="40">
        <v>1</v>
      </c>
      <c r="U212" s="40">
        <v>3</v>
      </c>
      <c r="V212" s="40">
        <v>2</v>
      </c>
      <c r="W212" s="40">
        <v>4</v>
      </c>
      <c r="X212" s="40">
        <v>3</v>
      </c>
      <c r="Y212" s="40">
        <v>4</v>
      </c>
      <c r="Z212" s="40" t="s">
        <v>45</v>
      </c>
      <c r="AA212" s="40" t="s">
        <v>45</v>
      </c>
      <c r="AB212" s="40" t="s">
        <v>45</v>
      </c>
      <c r="AC212" s="40" t="s">
        <v>45</v>
      </c>
      <c r="AD212" s="40" t="s">
        <v>45</v>
      </c>
      <c r="AE212" s="40" t="s">
        <v>45</v>
      </c>
      <c r="AF212" s="40">
        <v>4</v>
      </c>
      <c r="AG212" s="40">
        <v>4</v>
      </c>
      <c r="AH212" s="40" t="s">
        <v>45</v>
      </c>
      <c r="AI212" s="40" t="s">
        <v>45</v>
      </c>
      <c r="AJ212" s="40" t="s">
        <v>45</v>
      </c>
      <c r="AK212" s="40" t="s">
        <v>45</v>
      </c>
      <c r="AL212" s="40" t="s">
        <v>45</v>
      </c>
      <c r="AM212" s="40" t="s">
        <v>45</v>
      </c>
      <c r="AN212" s="40" t="s">
        <v>45</v>
      </c>
      <c r="AO212" s="41" t="s">
        <v>45</v>
      </c>
      <c r="AP212" s="40" t="s">
        <v>56</v>
      </c>
      <c r="AQ212" s="40">
        <v>9</v>
      </c>
      <c r="AR212" s="48" t="s">
        <v>14</v>
      </c>
      <c r="AS212" s="43" t="s">
        <v>45</v>
      </c>
      <c r="AT212" s="43" t="s">
        <v>47</v>
      </c>
      <c r="AU212" s="44">
        <f t="shared" si="24"/>
        <v>-2.2644723474043147</v>
      </c>
      <c r="AV212" s="44">
        <f t="shared" si="25"/>
        <v>-0.94495381554067481</v>
      </c>
      <c r="AW212" s="45">
        <f t="shared" si="26"/>
        <v>5</v>
      </c>
      <c r="AX212" s="45">
        <f t="shared" si="27"/>
        <v>1</v>
      </c>
      <c r="AY212" s="46">
        <f>VLOOKUP(AP212,COND!$A$10:$B$32,2,FALSE)</f>
        <v>1</v>
      </c>
      <c r="AZ212" s="44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31.623029219705639</v>
      </c>
      <c r="BA212" s="47">
        <f>STANDARDIZE(AZ212,AVERAGE($AZ$5:$AZ$557),STDEVP($AZ$5:$AZ$557))</f>
        <v>-0.28257947301638064</v>
      </c>
      <c r="BB212" s="45" t="str">
        <f t="shared" si="28"/>
        <v>SP</v>
      </c>
      <c r="BC212" s="45">
        <f>RANK(Table3[[#This Row],[zScore]],Table3[zScore])</f>
        <v>419</v>
      </c>
      <c r="BD212" s="45"/>
      <c r="BE212" s="45"/>
      <c r="BF212" s="45" t="str">
        <f t="shared" si="29"/>
        <v>Unlikely</v>
      </c>
      <c r="BG212" s="45"/>
      <c r="BH212" s="45">
        <f>INDEX(Table5[[#All],[Ovr]],MATCH(Table3[[#This Row],[PID]],Table5[[#All],[PID]],0))</f>
        <v>536</v>
      </c>
      <c r="BI212" s="45" t="str">
        <f>INDEX(Table5[[#All],[Rnd]],MATCH(Table3[[#This Row],[PID]],Table5[[#All],[PID]],0))</f>
        <v>18</v>
      </c>
      <c r="BJ212" s="45">
        <f>INDEX(Table5[[#All],[Pick]],MATCH(Table3[[#This Row],[PID]],Table5[[#All],[PID]],0))</f>
        <v>18</v>
      </c>
      <c r="BK212" s="45" t="str">
        <f>INDEX(Table5[[#All],[Team]],MATCH(Table3[[#This Row],[PID]],Table5[[#All],[PID]],0))</f>
        <v>Bakersfield Bears</v>
      </c>
      <c r="BL2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3" spans="1:64" ht="15" customHeight="1" x14ac:dyDescent="0.25">
      <c r="A213" s="40">
        <v>17962</v>
      </c>
      <c r="B213" s="40" t="s">
        <v>415</v>
      </c>
      <c r="C213" s="40" t="s">
        <v>169</v>
      </c>
      <c r="D213" s="40" t="s">
        <v>2096</v>
      </c>
      <c r="E213" s="40">
        <v>21</v>
      </c>
      <c r="F213" s="40" t="s">
        <v>42</v>
      </c>
      <c r="G213" s="40" t="s">
        <v>42</v>
      </c>
      <c r="H213" s="41" t="s">
        <v>647</v>
      </c>
      <c r="I213" s="42" t="s">
        <v>44</v>
      </c>
      <c r="J213" s="40" t="s">
        <v>43</v>
      </c>
      <c r="K213" s="41" t="s">
        <v>43</v>
      </c>
      <c r="L213" s="40">
        <v>3</v>
      </c>
      <c r="M213" s="40">
        <v>2</v>
      </c>
      <c r="N213" s="41">
        <v>1</v>
      </c>
      <c r="O213" s="40">
        <v>5</v>
      </c>
      <c r="P213" s="40">
        <v>2</v>
      </c>
      <c r="Q213" s="41">
        <v>3</v>
      </c>
      <c r="R213" s="40">
        <v>4</v>
      </c>
      <c r="S213" s="40">
        <v>5</v>
      </c>
      <c r="T213" s="40">
        <v>3</v>
      </c>
      <c r="U213" s="40">
        <v>6</v>
      </c>
      <c r="V213" s="40" t="s">
        <v>45</v>
      </c>
      <c r="W213" s="40" t="s">
        <v>45</v>
      </c>
      <c r="X213" s="40" t="s">
        <v>45</v>
      </c>
      <c r="Y213" s="40" t="s">
        <v>45</v>
      </c>
      <c r="Z213" s="40" t="s">
        <v>45</v>
      </c>
      <c r="AA213" s="40" t="s">
        <v>45</v>
      </c>
      <c r="AB213" s="40" t="s">
        <v>45</v>
      </c>
      <c r="AC213" s="40" t="s">
        <v>45</v>
      </c>
      <c r="AD213" s="40">
        <v>4</v>
      </c>
      <c r="AE213" s="40">
        <v>5</v>
      </c>
      <c r="AF213" s="40" t="s">
        <v>45</v>
      </c>
      <c r="AG213" s="40" t="s">
        <v>45</v>
      </c>
      <c r="AH213" s="40" t="s">
        <v>45</v>
      </c>
      <c r="AI213" s="40" t="s">
        <v>45</v>
      </c>
      <c r="AJ213" s="40" t="s">
        <v>45</v>
      </c>
      <c r="AK213" s="40" t="s">
        <v>45</v>
      </c>
      <c r="AL213" s="40" t="s">
        <v>45</v>
      </c>
      <c r="AM213" s="40" t="s">
        <v>45</v>
      </c>
      <c r="AN213" s="40" t="s">
        <v>45</v>
      </c>
      <c r="AO213" s="41" t="s">
        <v>45</v>
      </c>
      <c r="AP213" s="40" t="s">
        <v>58</v>
      </c>
      <c r="AQ213" s="40">
        <v>6</v>
      </c>
      <c r="AR213" s="48" t="s">
        <v>347</v>
      </c>
      <c r="AS213" s="43" t="s">
        <v>45</v>
      </c>
      <c r="AT213" s="43" t="s">
        <v>47</v>
      </c>
      <c r="AU213" s="44">
        <f t="shared" si="24"/>
        <v>-2.1166698725191955</v>
      </c>
      <c r="AV213" s="44">
        <f t="shared" si="25"/>
        <v>-0.79715134065555615</v>
      </c>
      <c r="AW213" s="45">
        <f t="shared" si="26"/>
        <v>3</v>
      </c>
      <c r="AX213" s="45">
        <f t="shared" si="27"/>
        <v>1</v>
      </c>
      <c r="AY213" s="46">
        <f>VLOOKUP(AP213,COND!$A$10:$B$32,2,FALSE)</f>
        <v>1</v>
      </c>
      <c r="AZ213" s="44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33.574048232075413</v>
      </c>
      <c r="BA213" s="47">
        <f>STANDARDIZE(AZ213,AVERAGE($AZ$5:$AZ$663),STDEVP($AZ$5:$AZ$663))</f>
        <v>-0.28973512707648025</v>
      </c>
      <c r="BB213" s="45" t="str">
        <f t="shared" si="28"/>
        <v>SP</v>
      </c>
      <c r="BC213" s="45">
        <f>RANK(Table3[[#This Row],[zScore]],Table3[zScore])</f>
        <v>421</v>
      </c>
      <c r="BD213" s="45"/>
      <c r="BE213" s="45"/>
      <c r="BF213" s="45" t="str">
        <f t="shared" si="29"/>
        <v>Unlikely</v>
      </c>
      <c r="BG213" s="45"/>
      <c r="BH213" s="45" t="str">
        <f>INDEX(Table5[[#All],[Ovr]],MATCH(Table3[[#This Row],[PID]],Table5[[#All],[PID]],0))</f>
        <v/>
      </c>
      <c r="BI213" s="45" t="str">
        <f>INDEX(Table5[[#All],[Rnd]],MATCH(Table3[[#This Row],[PID]],Table5[[#All],[PID]],0))</f>
        <v/>
      </c>
      <c r="BJ213" s="45" t="str">
        <f>INDEX(Table5[[#All],[Pick]],MATCH(Table3[[#This Row],[PID]],Table5[[#All],[PID]],0))</f>
        <v/>
      </c>
      <c r="BK213" s="45" t="str">
        <f>INDEX(Table5[[#All],[Team]],MATCH(Table3[[#This Row],[PID]],Table5[[#All],[PID]],0))</f>
        <v/>
      </c>
      <c r="BL2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4" spans="1:64" ht="15" customHeight="1" x14ac:dyDescent="0.25">
      <c r="A214" s="40">
        <v>18133</v>
      </c>
      <c r="B214" s="40" t="s">
        <v>415</v>
      </c>
      <c r="C214" s="40" t="s">
        <v>691</v>
      </c>
      <c r="D214" s="40" t="s">
        <v>855</v>
      </c>
      <c r="E214" s="40">
        <v>21</v>
      </c>
      <c r="F214" s="40" t="s">
        <v>42</v>
      </c>
      <c r="G214" s="40" t="s">
        <v>42</v>
      </c>
      <c r="H214" s="41" t="s">
        <v>647</v>
      </c>
      <c r="I214" s="42" t="s">
        <v>44</v>
      </c>
      <c r="J214" s="40" t="s">
        <v>47</v>
      </c>
      <c r="K214" s="41" t="s">
        <v>43</v>
      </c>
      <c r="L214" s="40">
        <v>3</v>
      </c>
      <c r="M214" s="40">
        <v>2</v>
      </c>
      <c r="N214" s="41">
        <v>1</v>
      </c>
      <c r="O214" s="40">
        <v>5</v>
      </c>
      <c r="P214" s="40">
        <v>2</v>
      </c>
      <c r="Q214" s="41">
        <v>2</v>
      </c>
      <c r="R214" s="40">
        <v>4</v>
      </c>
      <c r="S214" s="40">
        <v>7</v>
      </c>
      <c r="T214" s="40">
        <v>2</v>
      </c>
      <c r="U214" s="40">
        <v>7</v>
      </c>
      <c r="V214" s="40">
        <v>3</v>
      </c>
      <c r="W214" s="40">
        <v>6</v>
      </c>
      <c r="X214" s="40" t="s">
        <v>45</v>
      </c>
      <c r="Y214" s="40" t="s">
        <v>45</v>
      </c>
      <c r="Z214" s="40" t="s">
        <v>45</v>
      </c>
      <c r="AA214" s="40" t="s">
        <v>45</v>
      </c>
      <c r="AB214" s="40" t="s">
        <v>45</v>
      </c>
      <c r="AC214" s="40" t="s">
        <v>45</v>
      </c>
      <c r="AD214" s="40" t="s">
        <v>45</v>
      </c>
      <c r="AE214" s="40" t="s">
        <v>45</v>
      </c>
      <c r="AF214" s="40" t="s">
        <v>45</v>
      </c>
      <c r="AG214" s="40" t="s">
        <v>45</v>
      </c>
      <c r="AH214" s="40" t="s">
        <v>45</v>
      </c>
      <c r="AI214" s="40" t="s">
        <v>45</v>
      </c>
      <c r="AJ214" s="40" t="s">
        <v>45</v>
      </c>
      <c r="AK214" s="40" t="s">
        <v>45</v>
      </c>
      <c r="AL214" s="40" t="s">
        <v>45</v>
      </c>
      <c r="AM214" s="40" t="s">
        <v>45</v>
      </c>
      <c r="AN214" s="40" t="s">
        <v>45</v>
      </c>
      <c r="AO214" s="41" t="s">
        <v>45</v>
      </c>
      <c r="AP214" s="40" t="s">
        <v>58</v>
      </c>
      <c r="AQ214" s="40">
        <v>6</v>
      </c>
      <c r="AR214" s="48" t="s">
        <v>14</v>
      </c>
      <c r="AS214" s="43" t="s">
        <v>45</v>
      </c>
      <c r="AT214" s="43" t="s">
        <v>47</v>
      </c>
      <c r="AU214" s="44">
        <f t="shared" si="24"/>
        <v>-2.1166698725191955</v>
      </c>
      <c r="AV214" s="44">
        <f t="shared" si="25"/>
        <v>-1.0394719067096667</v>
      </c>
      <c r="AW214" s="45">
        <f t="shared" si="26"/>
        <v>3</v>
      </c>
      <c r="AX214" s="45">
        <f t="shared" si="27"/>
        <v>3</v>
      </c>
      <c r="AY214" s="46">
        <f>VLOOKUP(AP214,COND!$A$10:$B$32,2,FALSE)</f>
        <v>1</v>
      </c>
      <c r="AZ214" s="44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31.586297194020254</v>
      </c>
      <c r="BA214" s="47">
        <f>STANDARDIZE(AZ214,AVERAGE($AZ$5:$AZ$557),STDEVP($AZ$5:$AZ$557))</f>
        <v>-0.2850231985546961</v>
      </c>
      <c r="BB214" s="45" t="str">
        <f t="shared" si="28"/>
        <v>SP</v>
      </c>
      <c r="BC214" s="45">
        <f>RANK(Table3[[#This Row],[zScore]],Table3[zScore])</f>
        <v>420</v>
      </c>
      <c r="BD214" s="45"/>
      <c r="BE214" s="45"/>
      <c r="BF214" s="45" t="str">
        <f t="shared" si="29"/>
        <v>Unlikely</v>
      </c>
      <c r="BG214" s="45"/>
      <c r="BH214" s="45" t="str">
        <f>INDEX(Table5[[#All],[Ovr]],MATCH(Table3[[#This Row],[PID]],Table5[[#All],[PID]],0))</f>
        <v/>
      </c>
      <c r="BI214" s="45" t="str">
        <f>INDEX(Table5[[#All],[Rnd]],MATCH(Table3[[#This Row],[PID]],Table5[[#All],[PID]],0))</f>
        <v/>
      </c>
      <c r="BJ214" s="45" t="str">
        <f>INDEX(Table5[[#All],[Pick]],MATCH(Table3[[#This Row],[PID]],Table5[[#All],[PID]],0))</f>
        <v/>
      </c>
      <c r="BK214" s="45" t="str">
        <f>INDEX(Table5[[#All],[Team]],MATCH(Table3[[#This Row],[PID]],Table5[[#All],[PID]],0))</f>
        <v/>
      </c>
      <c r="BL2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5" spans="1:64" ht="15" customHeight="1" x14ac:dyDescent="0.25">
      <c r="A215" s="40">
        <v>20886</v>
      </c>
      <c r="B215" s="40" t="s">
        <v>415</v>
      </c>
      <c r="C215" s="40" t="s">
        <v>178</v>
      </c>
      <c r="D215" s="40" t="s">
        <v>957</v>
      </c>
      <c r="E215" s="40">
        <v>17</v>
      </c>
      <c r="F215" s="40" t="s">
        <v>42</v>
      </c>
      <c r="G215" s="40" t="s">
        <v>42</v>
      </c>
      <c r="H215" s="41" t="s">
        <v>647</v>
      </c>
      <c r="I215" s="42" t="s">
        <v>43</v>
      </c>
      <c r="J215" s="40" t="s">
        <v>44</v>
      </c>
      <c r="K215" s="41" t="s">
        <v>44</v>
      </c>
      <c r="L215" s="40">
        <v>2</v>
      </c>
      <c r="M215" s="40">
        <v>1</v>
      </c>
      <c r="N215" s="41">
        <v>1</v>
      </c>
      <c r="O215" s="40">
        <v>5</v>
      </c>
      <c r="P215" s="40">
        <v>1</v>
      </c>
      <c r="Q215" s="41">
        <v>4</v>
      </c>
      <c r="R215" s="40">
        <v>3</v>
      </c>
      <c r="S215" s="40">
        <v>5</v>
      </c>
      <c r="T215" s="40" t="s">
        <v>45</v>
      </c>
      <c r="U215" s="40" t="s">
        <v>45</v>
      </c>
      <c r="V215" s="40">
        <v>2</v>
      </c>
      <c r="W215" s="40">
        <v>8</v>
      </c>
      <c r="X215" s="40" t="s">
        <v>45</v>
      </c>
      <c r="Y215" s="40" t="s">
        <v>45</v>
      </c>
      <c r="Z215" s="40" t="s">
        <v>45</v>
      </c>
      <c r="AA215" s="40" t="s">
        <v>45</v>
      </c>
      <c r="AB215" s="40" t="s">
        <v>45</v>
      </c>
      <c r="AC215" s="40" t="s">
        <v>45</v>
      </c>
      <c r="AD215" s="40" t="s">
        <v>45</v>
      </c>
      <c r="AE215" s="40" t="s">
        <v>45</v>
      </c>
      <c r="AF215" s="40" t="s">
        <v>45</v>
      </c>
      <c r="AG215" s="40" t="s">
        <v>45</v>
      </c>
      <c r="AH215" s="40" t="s">
        <v>45</v>
      </c>
      <c r="AI215" s="40" t="s">
        <v>45</v>
      </c>
      <c r="AJ215" s="40" t="s">
        <v>45</v>
      </c>
      <c r="AK215" s="40" t="s">
        <v>45</v>
      </c>
      <c r="AL215" s="40" t="s">
        <v>45</v>
      </c>
      <c r="AM215" s="40" t="s">
        <v>45</v>
      </c>
      <c r="AN215" s="40" t="s">
        <v>45</v>
      </c>
      <c r="AO215" s="41" t="s">
        <v>45</v>
      </c>
      <c r="AP215" s="40" t="s">
        <v>350</v>
      </c>
      <c r="AQ215" s="40">
        <v>6</v>
      </c>
      <c r="AR215" s="48" t="s">
        <v>351</v>
      </c>
      <c r="AS215" s="43" t="s">
        <v>670</v>
      </c>
      <c r="AT215" s="43" t="s">
        <v>47</v>
      </c>
      <c r="AU215" s="44">
        <f t="shared" si="24"/>
        <v>-2.5067929134584248</v>
      </c>
      <c r="AV215" s="44">
        <f t="shared" si="25"/>
        <v>-0.75026249103150122</v>
      </c>
      <c r="AW215" s="45">
        <f t="shared" si="26"/>
        <v>2</v>
      </c>
      <c r="AX215" s="45">
        <f t="shared" si="27"/>
        <v>1</v>
      </c>
      <c r="AY215" s="46">
        <f>VLOOKUP(AP215,COND!$A$10:$B$32,2,FALSE)</f>
        <v>1</v>
      </c>
      <c r="AZ215" s="44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31.474806806761332</v>
      </c>
      <c r="BA215" s="47">
        <f>STANDARDIZE(AZ215,AVERAGE($AZ$5:$AZ$557),STDEVP($AZ$5:$AZ$557))</f>
        <v>-0.29244048364958558</v>
      </c>
      <c r="BB215" s="45" t="str">
        <f t="shared" si="28"/>
        <v>RP</v>
      </c>
      <c r="BC215" s="45">
        <f>RANK(Table3[[#This Row],[zScore]],Table3[zScore])</f>
        <v>422</v>
      </c>
      <c r="BD215" s="45"/>
      <c r="BE215" s="45"/>
      <c r="BF215" s="45" t="str">
        <f t="shared" si="29"/>
        <v>Unlikely</v>
      </c>
      <c r="BG215" s="45"/>
      <c r="BH215" s="45" t="str">
        <f>INDEX(Table5[[#All],[Ovr]],MATCH(Table3[[#This Row],[PID]],Table5[[#All],[PID]],0))</f>
        <v/>
      </c>
      <c r="BI215" s="45" t="str">
        <f>INDEX(Table5[[#All],[Rnd]],MATCH(Table3[[#This Row],[PID]],Table5[[#All],[PID]],0))</f>
        <v/>
      </c>
      <c r="BJ215" s="45" t="str">
        <f>INDEX(Table5[[#All],[Pick]],MATCH(Table3[[#This Row],[PID]],Table5[[#All],[PID]],0))</f>
        <v/>
      </c>
      <c r="BK215" s="45" t="str">
        <f>INDEX(Table5[[#All],[Team]],MATCH(Table3[[#This Row],[PID]],Table5[[#All],[PID]],0))</f>
        <v/>
      </c>
      <c r="BL2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6" spans="1:64" ht="15" customHeight="1" x14ac:dyDescent="0.25">
      <c r="A216" s="40">
        <v>17895</v>
      </c>
      <c r="B216" s="40" t="s">
        <v>415</v>
      </c>
      <c r="C216" s="40" t="s">
        <v>990</v>
      </c>
      <c r="D216" s="40" t="s">
        <v>2036</v>
      </c>
      <c r="E216" s="40">
        <v>18</v>
      </c>
      <c r="F216" s="40" t="s">
        <v>53</v>
      </c>
      <c r="G216" s="40" t="s">
        <v>42</v>
      </c>
      <c r="H216" s="41" t="s">
        <v>647</v>
      </c>
      <c r="I216" s="42" t="s">
        <v>47</v>
      </c>
      <c r="J216" s="40" t="s">
        <v>47</v>
      </c>
      <c r="K216" s="41" t="s">
        <v>47</v>
      </c>
      <c r="L216" s="40">
        <v>1</v>
      </c>
      <c r="M216" s="40">
        <v>1</v>
      </c>
      <c r="N216" s="41">
        <v>1</v>
      </c>
      <c r="O216" s="40">
        <v>5</v>
      </c>
      <c r="P216" s="40">
        <v>1</v>
      </c>
      <c r="Q216" s="41">
        <v>2</v>
      </c>
      <c r="R216" s="40">
        <v>2</v>
      </c>
      <c r="S216" s="40">
        <v>5</v>
      </c>
      <c r="T216" s="40">
        <v>1</v>
      </c>
      <c r="U216" s="40">
        <v>8</v>
      </c>
      <c r="V216" s="40" t="s">
        <v>45</v>
      </c>
      <c r="W216" s="40" t="s">
        <v>45</v>
      </c>
      <c r="X216" s="40" t="s">
        <v>45</v>
      </c>
      <c r="Y216" s="40" t="s">
        <v>45</v>
      </c>
      <c r="Z216" s="40" t="s">
        <v>45</v>
      </c>
      <c r="AA216" s="40" t="s">
        <v>45</v>
      </c>
      <c r="AB216" s="40">
        <v>2</v>
      </c>
      <c r="AC216" s="40">
        <v>4</v>
      </c>
      <c r="AD216" s="40" t="s">
        <v>45</v>
      </c>
      <c r="AE216" s="40" t="s">
        <v>45</v>
      </c>
      <c r="AF216" s="40" t="s">
        <v>45</v>
      </c>
      <c r="AG216" s="40" t="s">
        <v>45</v>
      </c>
      <c r="AH216" s="40" t="s">
        <v>45</v>
      </c>
      <c r="AI216" s="40" t="s">
        <v>45</v>
      </c>
      <c r="AJ216" s="40" t="s">
        <v>45</v>
      </c>
      <c r="AK216" s="40" t="s">
        <v>45</v>
      </c>
      <c r="AL216" s="40" t="s">
        <v>45</v>
      </c>
      <c r="AM216" s="40" t="s">
        <v>45</v>
      </c>
      <c r="AN216" s="40" t="s">
        <v>45</v>
      </c>
      <c r="AO216" s="41" t="s">
        <v>45</v>
      </c>
      <c r="AP216" s="40" t="s">
        <v>68</v>
      </c>
      <c r="AQ216" s="40">
        <v>8</v>
      </c>
      <c r="AR216" s="48" t="s">
        <v>14</v>
      </c>
      <c r="AS216" s="43" t="s">
        <v>659</v>
      </c>
      <c r="AT216" s="43" t="s">
        <v>47</v>
      </c>
      <c r="AU216" s="44">
        <f t="shared" si="24"/>
        <v>-2.7014842379675978</v>
      </c>
      <c r="AV216" s="44">
        <f t="shared" si="25"/>
        <v>-1.2349036231397219</v>
      </c>
      <c r="AW216" s="45">
        <f t="shared" si="26"/>
        <v>3</v>
      </c>
      <c r="AX216" s="45">
        <f t="shared" si="27"/>
        <v>1</v>
      </c>
      <c r="AY216" s="46">
        <f>VLOOKUP(AP216,COND!$A$10:$B$32,2,FALSE)</f>
        <v>0.95</v>
      </c>
      <c r="AZ216" s="44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31.461049155131438</v>
      </c>
      <c r="BA216" s="47">
        <f>STANDARDIZE(AZ216,AVERAGE($AZ$5:$AZ$557),STDEVP($AZ$5:$AZ$557))</f>
        <v>-0.29335575918933338</v>
      </c>
      <c r="BB216" s="45" t="str">
        <f t="shared" si="28"/>
        <v>SP</v>
      </c>
      <c r="BC216" s="45">
        <f>RANK(Table3[[#This Row],[zScore]],Table3[zScore])</f>
        <v>423</v>
      </c>
      <c r="BD216" s="45"/>
      <c r="BE216" s="45"/>
      <c r="BF216" s="45" t="str">
        <f t="shared" si="29"/>
        <v>Unlikely</v>
      </c>
      <c r="BG216" s="45"/>
      <c r="BH216" s="45" t="str">
        <f>INDEX(Table5[[#All],[Ovr]],MATCH(Table3[[#This Row],[PID]],Table5[[#All],[PID]],0))</f>
        <v/>
      </c>
      <c r="BI216" s="45" t="str">
        <f>INDEX(Table5[[#All],[Rnd]],MATCH(Table3[[#This Row],[PID]],Table5[[#All],[PID]],0))</f>
        <v/>
      </c>
      <c r="BJ216" s="45" t="str">
        <f>INDEX(Table5[[#All],[Pick]],MATCH(Table3[[#This Row],[PID]],Table5[[#All],[PID]],0))</f>
        <v/>
      </c>
      <c r="BK216" s="45" t="str">
        <f>INDEX(Table5[[#All],[Team]],MATCH(Table3[[#This Row],[PID]],Table5[[#All],[PID]],0))</f>
        <v/>
      </c>
      <c r="BL2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7" spans="1:64" ht="15" customHeight="1" x14ac:dyDescent="0.25">
      <c r="A217" s="40">
        <v>20983</v>
      </c>
      <c r="B217" s="40" t="s">
        <v>415</v>
      </c>
      <c r="C217" s="40" t="s">
        <v>391</v>
      </c>
      <c r="D217" s="40" t="s">
        <v>1590</v>
      </c>
      <c r="E217" s="40">
        <v>18</v>
      </c>
      <c r="F217" s="40" t="s">
        <v>62</v>
      </c>
      <c r="G217" s="40" t="s">
        <v>42</v>
      </c>
      <c r="H217" s="41" t="s">
        <v>647</v>
      </c>
      <c r="I217" s="42" t="s">
        <v>43</v>
      </c>
      <c r="J217" s="40" t="s">
        <v>43</v>
      </c>
      <c r="K217" s="41" t="s">
        <v>43</v>
      </c>
      <c r="L217" s="40">
        <v>2</v>
      </c>
      <c r="M217" s="40">
        <v>2</v>
      </c>
      <c r="N217" s="41">
        <v>1</v>
      </c>
      <c r="O217" s="40">
        <v>4</v>
      </c>
      <c r="P217" s="40">
        <v>2</v>
      </c>
      <c r="Q217" s="41">
        <v>2</v>
      </c>
      <c r="R217" s="40">
        <v>3</v>
      </c>
      <c r="S217" s="40">
        <v>6</v>
      </c>
      <c r="T217" s="40">
        <v>1</v>
      </c>
      <c r="U217" s="40">
        <v>1</v>
      </c>
      <c r="V217" s="40" t="s">
        <v>45</v>
      </c>
      <c r="W217" s="40" t="s">
        <v>45</v>
      </c>
      <c r="X217" s="40">
        <v>2</v>
      </c>
      <c r="Y217" s="40">
        <v>6</v>
      </c>
      <c r="Z217" s="40" t="s">
        <v>45</v>
      </c>
      <c r="AA217" s="40" t="s">
        <v>45</v>
      </c>
      <c r="AB217" s="40" t="s">
        <v>45</v>
      </c>
      <c r="AC217" s="40" t="s">
        <v>45</v>
      </c>
      <c r="AD217" s="40" t="s">
        <v>45</v>
      </c>
      <c r="AE217" s="40" t="s">
        <v>45</v>
      </c>
      <c r="AF217" s="40" t="s">
        <v>45</v>
      </c>
      <c r="AG217" s="40" t="s">
        <v>45</v>
      </c>
      <c r="AH217" s="40" t="s">
        <v>45</v>
      </c>
      <c r="AI217" s="40" t="s">
        <v>45</v>
      </c>
      <c r="AJ217" s="40" t="s">
        <v>45</v>
      </c>
      <c r="AK217" s="40" t="s">
        <v>45</v>
      </c>
      <c r="AL217" s="40" t="s">
        <v>45</v>
      </c>
      <c r="AM217" s="40" t="s">
        <v>45</v>
      </c>
      <c r="AN217" s="40" t="s">
        <v>45</v>
      </c>
      <c r="AO217" s="41" t="s">
        <v>45</v>
      </c>
      <c r="AP217" s="40" t="s">
        <v>349</v>
      </c>
      <c r="AQ217" s="40">
        <v>5</v>
      </c>
      <c r="AR217" s="48" t="s">
        <v>347</v>
      </c>
      <c r="AS217" s="43" t="s">
        <v>659</v>
      </c>
      <c r="AT217" s="43" t="s">
        <v>635</v>
      </c>
      <c r="AU217" s="44">
        <f t="shared" si="24"/>
        <v>-2.311361197028369</v>
      </c>
      <c r="AV217" s="44">
        <f t="shared" si="25"/>
        <v>-1.23416323121884</v>
      </c>
      <c r="AW217" s="45">
        <f t="shared" si="26"/>
        <v>3</v>
      </c>
      <c r="AX217" s="45">
        <f t="shared" si="27"/>
        <v>2</v>
      </c>
      <c r="AY217" s="46">
        <f>VLOOKUP(AP217,COND!$A$10:$B$32,2,FALSE)</f>
        <v>1</v>
      </c>
      <c r="AZ217" s="44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31.383101557812086</v>
      </c>
      <c r="BA217" s="47">
        <f>STANDARDIZE(AZ217,AVERAGE($AZ$5:$AZ$557),STDEVP($AZ$5:$AZ$557))</f>
        <v>-0.29854149372657712</v>
      </c>
      <c r="BB217" s="45" t="str">
        <f t="shared" si="28"/>
        <v>SP</v>
      </c>
      <c r="BC217" s="45">
        <f>RANK(Table3[[#This Row],[zScore]],Table3[zScore])</f>
        <v>425</v>
      </c>
      <c r="BD217" s="45"/>
      <c r="BE217" s="45"/>
      <c r="BF217" s="45" t="str">
        <f t="shared" si="29"/>
        <v>Unlikely</v>
      </c>
      <c r="BG217" s="45"/>
      <c r="BH217" s="45" t="str">
        <f>INDEX(Table5[[#All],[Ovr]],MATCH(Table3[[#This Row],[PID]],Table5[[#All],[PID]],0))</f>
        <v/>
      </c>
      <c r="BI217" s="45" t="str">
        <f>INDEX(Table5[[#All],[Rnd]],MATCH(Table3[[#This Row],[PID]],Table5[[#All],[PID]],0))</f>
        <v/>
      </c>
      <c r="BJ217" s="45" t="str">
        <f>INDEX(Table5[[#All],[Pick]],MATCH(Table3[[#This Row],[PID]],Table5[[#All],[PID]],0))</f>
        <v/>
      </c>
      <c r="BK217" s="45" t="str">
        <f>INDEX(Table5[[#All],[Team]],MATCH(Table3[[#This Row],[PID]],Table5[[#All],[PID]],0))</f>
        <v/>
      </c>
      <c r="BL2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18" spans="1:64" ht="15" customHeight="1" x14ac:dyDescent="0.25">
      <c r="A218" s="40">
        <v>21003</v>
      </c>
      <c r="B218" s="40" t="s">
        <v>415</v>
      </c>
      <c r="C218" s="40" t="s">
        <v>708</v>
      </c>
      <c r="D218" s="40" t="s">
        <v>331</v>
      </c>
      <c r="E218" s="40">
        <v>17</v>
      </c>
      <c r="F218" s="40" t="s">
        <v>53</v>
      </c>
      <c r="G218" s="40" t="s">
        <v>53</v>
      </c>
      <c r="H218" s="41" t="s">
        <v>647</v>
      </c>
      <c r="I218" s="42" t="s">
        <v>43</v>
      </c>
      <c r="J218" s="40" t="s">
        <v>44</v>
      </c>
      <c r="K218" s="41" t="s">
        <v>47</v>
      </c>
      <c r="L218" s="40">
        <v>1</v>
      </c>
      <c r="M218" s="40">
        <v>1</v>
      </c>
      <c r="N218" s="41">
        <v>1</v>
      </c>
      <c r="O218" s="40">
        <v>4</v>
      </c>
      <c r="P218" s="40">
        <v>1</v>
      </c>
      <c r="Q218" s="41">
        <v>3</v>
      </c>
      <c r="R218" s="40">
        <v>2</v>
      </c>
      <c r="S218" s="40">
        <v>5</v>
      </c>
      <c r="T218" s="40">
        <v>1</v>
      </c>
      <c r="U218" s="40">
        <v>2</v>
      </c>
      <c r="V218" s="40" t="s">
        <v>45</v>
      </c>
      <c r="W218" s="40" t="s">
        <v>45</v>
      </c>
      <c r="X218" s="40">
        <v>2</v>
      </c>
      <c r="Y218" s="40">
        <v>6</v>
      </c>
      <c r="Z218" s="40" t="s">
        <v>45</v>
      </c>
      <c r="AA218" s="40" t="s">
        <v>45</v>
      </c>
      <c r="AB218" s="40" t="s">
        <v>45</v>
      </c>
      <c r="AC218" s="40" t="s">
        <v>45</v>
      </c>
      <c r="AD218" s="40" t="s">
        <v>45</v>
      </c>
      <c r="AE218" s="40" t="s">
        <v>45</v>
      </c>
      <c r="AF218" s="40" t="s">
        <v>45</v>
      </c>
      <c r="AG218" s="40" t="s">
        <v>45</v>
      </c>
      <c r="AH218" s="40" t="s">
        <v>45</v>
      </c>
      <c r="AI218" s="40" t="s">
        <v>45</v>
      </c>
      <c r="AJ218" s="40" t="s">
        <v>45</v>
      </c>
      <c r="AK218" s="40" t="s">
        <v>45</v>
      </c>
      <c r="AL218" s="40" t="s">
        <v>45</v>
      </c>
      <c r="AM218" s="40" t="s">
        <v>45</v>
      </c>
      <c r="AN218" s="40" t="s">
        <v>45</v>
      </c>
      <c r="AO218" s="41" t="s">
        <v>45</v>
      </c>
      <c r="AP218" s="40" t="s">
        <v>67</v>
      </c>
      <c r="AQ218" s="40">
        <v>8</v>
      </c>
      <c r="AR218" s="48" t="s">
        <v>14</v>
      </c>
      <c r="AS218" s="43" t="s">
        <v>644</v>
      </c>
      <c r="AT218" s="43"/>
      <c r="AU218" s="44">
        <f t="shared" si="24"/>
        <v>-2.7014842379675978</v>
      </c>
      <c r="AV218" s="44">
        <f t="shared" si="25"/>
        <v>-1.1872743815947853</v>
      </c>
      <c r="AW218" s="45">
        <f t="shared" si="26"/>
        <v>3</v>
      </c>
      <c r="AX218" s="45">
        <f t="shared" si="27"/>
        <v>1</v>
      </c>
      <c r="AY218" s="46">
        <f>VLOOKUP(AP218,COND!$A$10:$B$32,2,FALSE)</f>
        <v>0.9</v>
      </c>
      <c r="AZ218" s="44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32.617793968459694</v>
      </c>
      <c r="BA218" s="47">
        <f>STANDARDIZE(AZ218,AVERAGE($AZ$5:$AZ$788),STDEVP($AZ$5:$AZ$788))</f>
        <v>-0.30114964769968977</v>
      </c>
      <c r="BB218" s="45" t="str">
        <f t="shared" si="28"/>
        <v>SP</v>
      </c>
      <c r="BC218" s="45">
        <f>RANK(Table3[[#This Row],[zScore]],Table3[zScore])</f>
        <v>426</v>
      </c>
      <c r="BD218" s="45"/>
      <c r="BE218" s="45"/>
      <c r="BF218" s="45" t="str">
        <f t="shared" si="29"/>
        <v>Unlikely</v>
      </c>
      <c r="BG218" s="45"/>
      <c r="BH218" s="64" t="str">
        <f>INDEX(Table5[[#All],[Ovr]],MATCH(Table3[[#This Row],[PID]],Table5[[#All],[PID]],0))</f>
        <v/>
      </c>
      <c r="BI218" s="64" t="str">
        <f>INDEX(Table5[[#All],[Rnd]],MATCH(Table3[[#This Row],[PID]],Table5[[#All],[PID]],0))</f>
        <v/>
      </c>
      <c r="BJ218" s="64" t="str">
        <f>INDEX(Table5[[#All],[Pick]],MATCH(Table3[[#This Row],[PID]],Table5[[#All],[PID]],0))</f>
        <v/>
      </c>
      <c r="BK218" s="64" t="str">
        <f>INDEX(Table5[[#All],[Team]],MATCH(Table3[[#This Row],[PID]],Table5[[#All],[PID]],0))</f>
        <v/>
      </c>
      <c r="BL218" s="64" t="str">
        <f>IF(OR(Table3[[#This Row],[POS]]="SP",Table3[[#This Row],[POS]]="RP",Table3[[#This Row],[POS]]="CL"),"P",INDEX(Batters[[#All],[zScore]],MATCH(Table3[[#This Row],[PID]],Batters[[#All],[PID]],0)))</f>
        <v>P</v>
      </c>
    </row>
    <row r="219" spans="1:64" ht="15" customHeight="1" x14ac:dyDescent="0.25">
      <c r="A219" s="40">
        <v>14682</v>
      </c>
      <c r="B219" s="40" t="s">
        <v>415</v>
      </c>
      <c r="C219" s="40" t="s">
        <v>1013</v>
      </c>
      <c r="D219" s="40" t="s">
        <v>386</v>
      </c>
      <c r="E219" s="40">
        <v>22</v>
      </c>
      <c r="F219" s="40" t="s">
        <v>53</v>
      </c>
      <c r="G219" s="40" t="s">
        <v>53</v>
      </c>
      <c r="H219" s="41" t="s">
        <v>647</v>
      </c>
      <c r="I219" s="42" t="s">
        <v>43</v>
      </c>
      <c r="J219" s="40" t="s">
        <v>43</v>
      </c>
      <c r="K219" s="41" t="s">
        <v>44</v>
      </c>
      <c r="L219" s="40">
        <v>3</v>
      </c>
      <c r="M219" s="40">
        <v>1</v>
      </c>
      <c r="N219" s="41">
        <v>2</v>
      </c>
      <c r="O219" s="40">
        <v>5</v>
      </c>
      <c r="P219" s="40">
        <v>1</v>
      </c>
      <c r="Q219" s="41">
        <v>3</v>
      </c>
      <c r="R219" s="40">
        <v>3</v>
      </c>
      <c r="S219" s="40">
        <v>4</v>
      </c>
      <c r="T219" s="40" t="s">
        <v>45</v>
      </c>
      <c r="U219" s="40" t="s">
        <v>45</v>
      </c>
      <c r="V219" s="40">
        <v>2</v>
      </c>
      <c r="W219" s="40">
        <v>6</v>
      </c>
      <c r="X219" s="40" t="s">
        <v>45</v>
      </c>
      <c r="Y219" s="40" t="s">
        <v>45</v>
      </c>
      <c r="Z219" s="40" t="s">
        <v>45</v>
      </c>
      <c r="AA219" s="40" t="s">
        <v>45</v>
      </c>
      <c r="AB219" s="40" t="s">
        <v>45</v>
      </c>
      <c r="AC219" s="40" t="s">
        <v>45</v>
      </c>
      <c r="AD219" s="40" t="s">
        <v>45</v>
      </c>
      <c r="AE219" s="40" t="s">
        <v>45</v>
      </c>
      <c r="AF219" s="40" t="s">
        <v>45</v>
      </c>
      <c r="AG219" s="40" t="s">
        <v>45</v>
      </c>
      <c r="AH219" s="40">
        <v>4</v>
      </c>
      <c r="AI219" s="40">
        <v>7</v>
      </c>
      <c r="AJ219" s="40" t="s">
        <v>45</v>
      </c>
      <c r="AK219" s="40" t="s">
        <v>45</v>
      </c>
      <c r="AL219" s="40" t="s">
        <v>45</v>
      </c>
      <c r="AM219" s="40" t="s">
        <v>45</v>
      </c>
      <c r="AN219" s="40" t="s">
        <v>45</v>
      </c>
      <c r="AO219" s="41" t="s">
        <v>45</v>
      </c>
      <c r="AP219" s="40" t="s">
        <v>68</v>
      </c>
      <c r="AQ219" s="40">
        <v>8</v>
      </c>
      <c r="AR219" s="48" t="s">
        <v>351</v>
      </c>
      <c r="AS219" s="43" t="s">
        <v>45</v>
      </c>
      <c r="AT219" s="43" t="s">
        <v>47</v>
      </c>
      <c r="AU219" s="44">
        <f t="shared" si="24"/>
        <v>-2.0697810228951408</v>
      </c>
      <c r="AV219" s="44">
        <f t="shared" si="25"/>
        <v>-0.99258305708561179</v>
      </c>
      <c r="AW219" s="45">
        <f t="shared" si="26"/>
        <v>3</v>
      </c>
      <c r="AX219" s="45">
        <f t="shared" si="27"/>
        <v>2</v>
      </c>
      <c r="AY219" s="46">
        <f>VLOOKUP(AP219,COND!$A$10:$B$32,2,FALSE)</f>
        <v>0.95</v>
      </c>
      <c r="AZ219" s="44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31.247663521023298</v>
      </c>
      <c r="BA219" s="47">
        <f>STANDARDIZE(AZ219,AVERAGE($AZ$5:$AZ$557),STDEVP($AZ$5:$AZ$557))</f>
        <v>-0.30755197935007361</v>
      </c>
      <c r="BB219" s="45" t="str">
        <f t="shared" si="28"/>
        <v>SP</v>
      </c>
      <c r="BC219" s="45">
        <f>RANK(Table3[[#This Row],[zScore]],Table3[zScore])</f>
        <v>429</v>
      </c>
      <c r="BD219" s="45"/>
      <c r="BE219" s="45"/>
      <c r="BF219" s="45" t="str">
        <f t="shared" si="29"/>
        <v>Unlikely</v>
      </c>
      <c r="BG219" s="45"/>
      <c r="BH219" s="45" t="str">
        <f>INDEX(Table5[[#All],[Ovr]],MATCH(Table3[[#This Row],[PID]],Table5[[#All],[PID]],0))</f>
        <v/>
      </c>
      <c r="BI219" s="45" t="str">
        <f>INDEX(Table5[[#All],[Rnd]],MATCH(Table3[[#This Row],[PID]],Table5[[#All],[PID]],0))</f>
        <v/>
      </c>
      <c r="BJ219" s="45" t="str">
        <f>INDEX(Table5[[#All],[Pick]],MATCH(Table3[[#This Row],[PID]],Table5[[#All],[PID]],0))</f>
        <v/>
      </c>
      <c r="BK219" s="45" t="str">
        <f>INDEX(Table5[[#All],[Team]],MATCH(Table3[[#This Row],[PID]],Table5[[#All],[PID]],0))</f>
        <v/>
      </c>
      <c r="BL2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0" spans="1:64" ht="15" customHeight="1" x14ac:dyDescent="0.25">
      <c r="A220" s="40">
        <v>20802</v>
      </c>
      <c r="B220" s="40" t="s">
        <v>415</v>
      </c>
      <c r="C220" s="40" t="s">
        <v>159</v>
      </c>
      <c r="D220" s="40" t="s">
        <v>696</v>
      </c>
      <c r="E220" s="40">
        <v>17</v>
      </c>
      <c r="F220" s="40" t="s">
        <v>53</v>
      </c>
      <c r="G220" s="40" t="s">
        <v>53</v>
      </c>
      <c r="H220" s="41" t="s">
        <v>647</v>
      </c>
      <c r="I220" s="42" t="s">
        <v>43</v>
      </c>
      <c r="J220" s="40" t="s">
        <v>44</v>
      </c>
      <c r="K220" s="41" t="s">
        <v>43</v>
      </c>
      <c r="L220" s="40">
        <v>1</v>
      </c>
      <c r="M220" s="40">
        <v>1</v>
      </c>
      <c r="N220" s="41">
        <v>1</v>
      </c>
      <c r="O220" s="40">
        <v>3</v>
      </c>
      <c r="P220" s="40">
        <v>2</v>
      </c>
      <c r="Q220" s="41">
        <v>3</v>
      </c>
      <c r="R220" s="40">
        <v>2</v>
      </c>
      <c r="S220" s="40">
        <v>3</v>
      </c>
      <c r="T220" s="40" t="s">
        <v>45</v>
      </c>
      <c r="U220" s="40" t="s">
        <v>45</v>
      </c>
      <c r="V220" s="40" t="s">
        <v>45</v>
      </c>
      <c r="W220" s="40" t="s">
        <v>45</v>
      </c>
      <c r="X220" s="40">
        <v>1</v>
      </c>
      <c r="Y220" s="40">
        <v>4</v>
      </c>
      <c r="Z220" s="40" t="s">
        <v>45</v>
      </c>
      <c r="AA220" s="40" t="s">
        <v>45</v>
      </c>
      <c r="AB220" s="40" t="s">
        <v>45</v>
      </c>
      <c r="AC220" s="40" t="s">
        <v>45</v>
      </c>
      <c r="AD220" s="40" t="s">
        <v>45</v>
      </c>
      <c r="AE220" s="40" t="s">
        <v>45</v>
      </c>
      <c r="AF220" s="40" t="s">
        <v>45</v>
      </c>
      <c r="AG220" s="40" t="s">
        <v>45</v>
      </c>
      <c r="AH220" s="40">
        <v>1</v>
      </c>
      <c r="AI220" s="40">
        <v>5</v>
      </c>
      <c r="AJ220" s="40" t="s">
        <v>45</v>
      </c>
      <c r="AK220" s="40" t="s">
        <v>45</v>
      </c>
      <c r="AL220" s="40" t="s">
        <v>45</v>
      </c>
      <c r="AM220" s="40" t="s">
        <v>45</v>
      </c>
      <c r="AN220" s="40" t="s">
        <v>45</v>
      </c>
      <c r="AO220" s="41" t="s">
        <v>45</v>
      </c>
      <c r="AP220" s="40" t="s">
        <v>70</v>
      </c>
      <c r="AQ220" s="40">
        <v>9</v>
      </c>
      <c r="AR220" s="48" t="s">
        <v>14</v>
      </c>
      <c r="AS220" s="43" t="s">
        <v>644</v>
      </c>
      <c r="AT220" s="43" t="s">
        <v>47</v>
      </c>
      <c r="AU220" s="44">
        <f t="shared" si="24"/>
        <v>-2.7014842379675978</v>
      </c>
      <c r="AV220" s="44">
        <f t="shared" si="25"/>
        <v>-1.1865339896739031</v>
      </c>
      <c r="AW220" s="45">
        <f t="shared" si="26"/>
        <v>3</v>
      </c>
      <c r="AX220" s="45">
        <f t="shared" si="27"/>
        <v>0</v>
      </c>
      <c r="AY220" s="46">
        <f>VLOOKUP(AP220,COND!$A$10:$B$32,2,FALSE)</f>
        <v>0.9</v>
      </c>
      <c r="AZ220" s="44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31.206121023035575</v>
      </c>
      <c r="BA220" s="47">
        <f>STANDARDIZE(AZ220,AVERAGE($AZ$5:$AZ$557),STDEVP($AZ$5:$AZ$557))</f>
        <v>-0.31031573825973835</v>
      </c>
      <c r="BB220" s="45" t="str">
        <f t="shared" si="28"/>
        <v>SP</v>
      </c>
      <c r="BC220" s="45">
        <f>RANK(Table3[[#This Row],[zScore]],Table3[zScore])</f>
        <v>430</v>
      </c>
      <c r="BD220" s="45"/>
      <c r="BE220" s="45"/>
      <c r="BF220" s="45" t="str">
        <f t="shared" si="29"/>
        <v>Unlikely</v>
      </c>
      <c r="BG220" s="45"/>
      <c r="BH220" s="45" t="str">
        <f>INDEX(Table5[[#All],[Ovr]],MATCH(Table3[[#This Row],[PID]],Table5[[#All],[PID]],0))</f>
        <v/>
      </c>
      <c r="BI220" s="45" t="str">
        <f>INDEX(Table5[[#All],[Rnd]],MATCH(Table3[[#This Row],[PID]],Table5[[#All],[PID]],0))</f>
        <v/>
      </c>
      <c r="BJ220" s="45" t="str">
        <f>INDEX(Table5[[#All],[Pick]],MATCH(Table3[[#This Row],[PID]],Table5[[#All],[PID]],0))</f>
        <v/>
      </c>
      <c r="BK220" s="45" t="str">
        <f>INDEX(Table5[[#All],[Team]],MATCH(Table3[[#This Row],[PID]],Table5[[#All],[PID]],0))</f>
        <v/>
      </c>
      <c r="BL2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1" spans="1:64" ht="15" customHeight="1" x14ac:dyDescent="0.25">
      <c r="A221" s="40">
        <v>17602</v>
      </c>
      <c r="B221" s="40" t="s">
        <v>415</v>
      </c>
      <c r="C221" s="40" t="s">
        <v>2044</v>
      </c>
      <c r="D221" s="40" t="s">
        <v>2045</v>
      </c>
      <c r="E221" s="40">
        <v>18</v>
      </c>
      <c r="F221" s="40" t="s">
        <v>42</v>
      </c>
      <c r="G221" s="40" t="s">
        <v>42</v>
      </c>
      <c r="H221" s="41" t="s">
        <v>647</v>
      </c>
      <c r="I221" s="42" t="s">
        <v>43</v>
      </c>
      <c r="J221" s="40" t="s">
        <v>43</v>
      </c>
      <c r="K221" s="41" t="s">
        <v>43</v>
      </c>
      <c r="L221" s="40">
        <v>2</v>
      </c>
      <c r="M221" s="40">
        <v>2</v>
      </c>
      <c r="N221" s="41">
        <v>1</v>
      </c>
      <c r="O221" s="40">
        <v>4</v>
      </c>
      <c r="P221" s="40">
        <v>2</v>
      </c>
      <c r="Q221" s="41">
        <v>3</v>
      </c>
      <c r="R221" s="40">
        <v>3</v>
      </c>
      <c r="S221" s="40">
        <v>5</v>
      </c>
      <c r="T221" s="40">
        <v>1</v>
      </c>
      <c r="U221" s="40">
        <v>1</v>
      </c>
      <c r="V221" s="40" t="s">
        <v>45</v>
      </c>
      <c r="W221" s="40" t="s">
        <v>45</v>
      </c>
      <c r="X221" s="40" t="s">
        <v>45</v>
      </c>
      <c r="Y221" s="40" t="s">
        <v>45</v>
      </c>
      <c r="Z221" s="40">
        <v>3</v>
      </c>
      <c r="AA221" s="40">
        <v>5</v>
      </c>
      <c r="AB221" s="40" t="s">
        <v>45</v>
      </c>
      <c r="AC221" s="40" t="s">
        <v>45</v>
      </c>
      <c r="AD221" s="40" t="s">
        <v>45</v>
      </c>
      <c r="AE221" s="40" t="s">
        <v>45</v>
      </c>
      <c r="AF221" s="40" t="s">
        <v>45</v>
      </c>
      <c r="AG221" s="40" t="s">
        <v>45</v>
      </c>
      <c r="AH221" s="40" t="s">
        <v>45</v>
      </c>
      <c r="AI221" s="40" t="s">
        <v>45</v>
      </c>
      <c r="AJ221" s="40" t="s">
        <v>45</v>
      </c>
      <c r="AK221" s="40" t="s">
        <v>45</v>
      </c>
      <c r="AL221" s="40" t="s">
        <v>45</v>
      </c>
      <c r="AM221" s="40" t="s">
        <v>45</v>
      </c>
      <c r="AN221" s="40" t="s">
        <v>45</v>
      </c>
      <c r="AO221" s="41" t="s">
        <v>45</v>
      </c>
      <c r="AP221" s="40" t="s">
        <v>64</v>
      </c>
      <c r="AQ221" s="40">
        <v>8</v>
      </c>
      <c r="AR221" s="48" t="s">
        <v>347</v>
      </c>
      <c r="AS221" s="43" t="s">
        <v>644</v>
      </c>
      <c r="AT221" s="43" t="s">
        <v>635</v>
      </c>
      <c r="AU221" s="44">
        <f t="shared" si="24"/>
        <v>-2.311361197028369</v>
      </c>
      <c r="AV221" s="44">
        <f t="shared" si="25"/>
        <v>-0.99184266516472974</v>
      </c>
      <c r="AW221" s="45">
        <f t="shared" si="26"/>
        <v>3</v>
      </c>
      <c r="AX221" s="45">
        <f t="shared" si="27"/>
        <v>0</v>
      </c>
      <c r="AY221" s="46">
        <f>VLOOKUP(AP221,COND!$A$10:$B$32,2,FALSE)</f>
        <v>1</v>
      </c>
      <c r="AZ221" s="44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33.200874457299733</v>
      </c>
      <c r="BA221" s="47">
        <f>STANDARDIZE(AZ221,AVERAGE($AZ$5:$AZ$663),STDEVP($AZ$5:$AZ$663))</f>
        <v>-0.31529742085023993</v>
      </c>
      <c r="BB221" s="45" t="str">
        <f t="shared" si="28"/>
        <v>SP</v>
      </c>
      <c r="BC221" s="45">
        <f>RANK(Table3[[#This Row],[zScore]],Table3[zScore])</f>
        <v>432</v>
      </c>
      <c r="BD221" s="45"/>
      <c r="BE221" s="45"/>
      <c r="BF221" s="45" t="str">
        <f t="shared" si="29"/>
        <v>Unlikely</v>
      </c>
      <c r="BG221" s="45"/>
      <c r="BH221" s="45" t="str">
        <f>INDEX(Table5[[#All],[Ovr]],MATCH(Table3[[#This Row],[PID]],Table5[[#All],[PID]],0))</f>
        <v/>
      </c>
      <c r="BI221" s="45" t="str">
        <f>INDEX(Table5[[#All],[Rnd]],MATCH(Table3[[#This Row],[PID]],Table5[[#All],[PID]],0))</f>
        <v/>
      </c>
      <c r="BJ221" s="45" t="str">
        <f>INDEX(Table5[[#All],[Pick]],MATCH(Table3[[#This Row],[PID]],Table5[[#All],[PID]],0))</f>
        <v/>
      </c>
      <c r="BK221" s="45" t="str">
        <f>INDEX(Table5[[#All],[Team]],MATCH(Table3[[#This Row],[PID]],Table5[[#All],[PID]],0))</f>
        <v/>
      </c>
      <c r="BL2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2" spans="1:64" ht="15" customHeight="1" x14ac:dyDescent="0.25">
      <c r="A222" s="40">
        <v>17936</v>
      </c>
      <c r="B222" s="40" t="s">
        <v>415</v>
      </c>
      <c r="C222" s="40" t="s">
        <v>2000</v>
      </c>
      <c r="D222" s="40" t="s">
        <v>2001</v>
      </c>
      <c r="E222" s="40">
        <v>18</v>
      </c>
      <c r="F222" s="40" t="s">
        <v>42</v>
      </c>
      <c r="G222" s="40" t="s">
        <v>42</v>
      </c>
      <c r="H222" s="41" t="s">
        <v>647</v>
      </c>
      <c r="I222" s="42" t="s">
        <v>43</v>
      </c>
      <c r="J222" s="40" t="s">
        <v>47</v>
      </c>
      <c r="K222" s="41" t="s">
        <v>44</v>
      </c>
      <c r="L222" s="40">
        <v>3</v>
      </c>
      <c r="M222" s="40">
        <v>1</v>
      </c>
      <c r="N222" s="41">
        <v>2</v>
      </c>
      <c r="O222" s="40">
        <v>4</v>
      </c>
      <c r="P222" s="40">
        <v>1</v>
      </c>
      <c r="Q222" s="41">
        <v>3</v>
      </c>
      <c r="R222" s="40">
        <v>3</v>
      </c>
      <c r="S222" s="40">
        <v>5</v>
      </c>
      <c r="T222" s="40">
        <v>4</v>
      </c>
      <c r="U222" s="40">
        <v>7</v>
      </c>
      <c r="V222" s="40">
        <v>2</v>
      </c>
      <c r="W222" s="40">
        <v>4</v>
      </c>
      <c r="X222" s="40" t="s">
        <v>45</v>
      </c>
      <c r="Y222" s="40" t="s">
        <v>45</v>
      </c>
      <c r="Z222" s="40" t="s">
        <v>45</v>
      </c>
      <c r="AA222" s="40" t="s">
        <v>45</v>
      </c>
      <c r="AB222" s="40" t="s">
        <v>45</v>
      </c>
      <c r="AC222" s="40" t="s">
        <v>45</v>
      </c>
      <c r="AD222" s="40" t="s">
        <v>45</v>
      </c>
      <c r="AE222" s="40" t="s">
        <v>45</v>
      </c>
      <c r="AF222" s="40" t="s">
        <v>45</v>
      </c>
      <c r="AG222" s="40" t="s">
        <v>45</v>
      </c>
      <c r="AH222" s="40" t="s">
        <v>45</v>
      </c>
      <c r="AI222" s="40" t="s">
        <v>45</v>
      </c>
      <c r="AJ222" s="40" t="s">
        <v>45</v>
      </c>
      <c r="AK222" s="40" t="s">
        <v>45</v>
      </c>
      <c r="AL222" s="40" t="s">
        <v>45</v>
      </c>
      <c r="AM222" s="40" t="s">
        <v>45</v>
      </c>
      <c r="AN222" s="40" t="s">
        <v>45</v>
      </c>
      <c r="AO222" s="41" t="s">
        <v>45</v>
      </c>
      <c r="AP222" s="40" t="s">
        <v>349</v>
      </c>
      <c r="AQ222" s="40">
        <v>6</v>
      </c>
      <c r="AR222" s="48" t="s">
        <v>14</v>
      </c>
      <c r="AS222" s="43" t="s">
        <v>670</v>
      </c>
      <c r="AT222" s="43" t="s">
        <v>47</v>
      </c>
      <c r="AU222" s="44">
        <f t="shared" si="24"/>
        <v>-2.0697810228951408</v>
      </c>
      <c r="AV222" s="44">
        <f t="shared" si="25"/>
        <v>-1.1872743815947853</v>
      </c>
      <c r="AW222" s="45">
        <f t="shared" si="26"/>
        <v>3</v>
      </c>
      <c r="AX222" s="45">
        <f t="shared" si="27"/>
        <v>1</v>
      </c>
      <c r="AY222" s="46">
        <f>VLOOKUP(AP222,COND!$A$10:$B$32,2,FALSE)</f>
        <v>1</v>
      </c>
      <c r="AZ222" s="44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31.125792259437134</v>
      </c>
      <c r="BA222" s="47">
        <f t="shared" ref="BA222:BA229" si="30">STANDARDIZE(AZ222,AVERAGE($AZ$5:$AZ$557),STDEVP($AZ$5:$AZ$557))</f>
        <v>-0.31565988815084872</v>
      </c>
      <c r="BB222" s="45" t="str">
        <f t="shared" si="28"/>
        <v>SP</v>
      </c>
      <c r="BC222" s="45">
        <f>RANK(Table3[[#This Row],[zScore]],Table3[zScore])</f>
        <v>433</v>
      </c>
      <c r="BD222" s="45"/>
      <c r="BE222" s="45"/>
      <c r="BF222" s="45" t="str">
        <f t="shared" si="29"/>
        <v>Unlikely</v>
      </c>
      <c r="BG222" s="45"/>
      <c r="BH222" s="45" t="str">
        <f>INDEX(Table5[[#All],[Ovr]],MATCH(Table3[[#This Row],[PID]],Table5[[#All],[PID]],0))</f>
        <v/>
      </c>
      <c r="BI222" s="45" t="str">
        <f>INDEX(Table5[[#All],[Rnd]],MATCH(Table3[[#This Row],[PID]],Table5[[#All],[PID]],0))</f>
        <v/>
      </c>
      <c r="BJ222" s="45" t="str">
        <f>INDEX(Table5[[#All],[Pick]],MATCH(Table3[[#This Row],[PID]],Table5[[#All],[PID]],0))</f>
        <v/>
      </c>
      <c r="BK222" s="45" t="str">
        <f>INDEX(Table5[[#All],[Team]],MATCH(Table3[[#This Row],[PID]],Table5[[#All],[PID]],0))</f>
        <v/>
      </c>
      <c r="BL2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3" spans="1:64" ht="15" customHeight="1" x14ac:dyDescent="0.25">
      <c r="A223" s="40">
        <v>21078</v>
      </c>
      <c r="B223" s="40" t="s">
        <v>415</v>
      </c>
      <c r="C223" s="40" t="s">
        <v>323</v>
      </c>
      <c r="D223" s="40" t="s">
        <v>2009</v>
      </c>
      <c r="E223" s="40">
        <v>18</v>
      </c>
      <c r="F223" s="40" t="s">
        <v>62</v>
      </c>
      <c r="G223" s="40" t="s">
        <v>53</v>
      </c>
      <c r="H223" s="41" t="s">
        <v>647</v>
      </c>
      <c r="I223" s="42" t="s">
        <v>44</v>
      </c>
      <c r="J223" s="40" t="s">
        <v>44</v>
      </c>
      <c r="K223" s="41" t="s">
        <v>47</v>
      </c>
      <c r="L223" s="40">
        <v>1</v>
      </c>
      <c r="M223" s="40">
        <v>2</v>
      </c>
      <c r="N223" s="41">
        <v>1</v>
      </c>
      <c r="O223" s="40">
        <v>4</v>
      </c>
      <c r="P223" s="40">
        <v>2</v>
      </c>
      <c r="Q223" s="41">
        <v>2</v>
      </c>
      <c r="R223" s="40">
        <v>2</v>
      </c>
      <c r="S223" s="40">
        <v>4</v>
      </c>
      <c r="T223" s="40">
        <v>2</v>
      </c>
      <c r="U223" s="40">
        <v>6</v>
      </c>
      <c r="V223" s="40">
        <v>2</v>
      </c>
      <c r="W223" s="40">
        <v>4</v>
      </c>
      <c r="X223" s="40" t="s">
        <v>45</v>
      </c>
      <c r="Y223" s="40" t="s">
        <v>45</v>
      </c>
      <c r="Z223" s="40" t="s">
        <v>45</v>
      </c>
      <c r="AA223" s="40" t="s">
        <v>45</v>
      </c>
      <c r="AB223" s="40" t="s">
        <v>45</v>
      </c>
      <c r="AC223" s="40" t="s">
        <v>45</v>
      </c>
      <c r="AD223" s="40" t="s">
        <v>45</v>
      </c>
      <c r="AE223" s="40" t="s">
        <v>45</v>
      </c>
      <c r="AF223" s="40">
        <v>2</v>
      </c>
      <c r="AG223" s="40">
        <v>2</v>
      </c>
      <c r="AH223" s="40" t="s">
        <v>45</v>
      </c>
      <c r="AI223" s="40" t="s">
        <v>45</v>
      </c>
      <c r="AJ223" s="40" t="s">
        <v>45</v>
      </c>
      <c r="AK223" s="40" t="s">
        <v>45</v>
      </c>
      <c r="AL223" s="40" t="s">
        <v>45</v>
      </c>
      <c r="AM223" s="40" t="s">
        <v>45</v>
      </c>
      <c r="AN223" s="40" t="s">
        <v>45</v>
      </c>
      <c r="AO223" s="41" t="s">
        <v>45</v>
      </c>
      <c r="AP223" s="40" t="s">
        <v>65</v>
      </c>
      <c r="AQ223" s="40">
        <v>7</v>
      </c>
      <c r="AR223" s="48" t="s">
        <v>347</v>
      </c>
      <c r="AS223" s="43" t="s">
        <v>556</v>
      </c>
      <c r="AT223" s="43" t="s">
        <v>635</v>
      </c>
      <c r="AU223" s="44">
        <f t="shared" si="24"/>
        <v>-2.5060525215375429</v>
      </c>
      <c r="AV223" s="44">
        <f t="shared" si="25"/>
        <v>-1.23416323121884</v>
      </c>
      <c r="AW223" s="45">
        <f t="shared" si="26"/>
        <v>4</v>
      </c>
      <c r="AX223" s="45">
        <f t="shared" si="27"/>
        <v>1</v>
      </c>
      <c r="AY223" s="46">
        <f>VLOOKUP(AP223,COND!$A$10:$B$32,2,FALSE)</f>
        <v>0.95</v>
      </c>
      <c r="AZ223" s="44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31.012248627749905</v>
      </c>
      <c r="BA223" s="47">
        <f t="shared" si="30"/>
        <v>-0.32321377245997251</v>
      </c>
      <c r="BB223" s="45" t="str">
        <f t="shared" si="28"/>
        <v>SP</v>
      </c>
      <c r="BC223" s="45">
        <f>RANK(Table3[[#This Row],[zScore]],Table3[zScore])</f>
        <v>436</v>
      </c>
      <c r="BD223" s="45"/>
      <c r="BE223" s="45"/>
      <c r="BF223" s="45" t="str">
        <f t="shared" si="29"/>
        <v>Unlikely</v>
      </c>
      <c r="BG223" s="45"/>
      <c r="BH223" s="45" t="str">
        <f>INDEX(Table5[[#All],[Ovr]],MATCH(Table3[[#This Row],[PID]],Table5[[#All],[PID]],0))</f>
        <v/>
      </c>
      <c r="BI223" s="45" t="str">
        <f>INDEX(Table5[[#All],[Rnd]],MATCH(Table3[[#This Row],[PID]],Table5[[#All],[PID]],0))</f>
        <v/>
      </c>
      <c r="BJ223" s="45" t="str">
        <f>INDEX(Table5[[#All],[Pick]],MATCH(Table3[[#This Row],[PID]],Table5[[#All],[PID]],0))</f>
        <v/>
      </c>
      <c r="BK223" s="45" t="str">
        <f>INDEX(Table5[[#All],[Team]],MATCH(Table3[[#This Row],[PID]],Table5[[#All],[PID]],0))</f>
        <v/>
      </c>
      <c r="BL2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4" spans="1:64" ht="15" customHeight="1" x14ac:dyDescent="0.25">
      <c r="A224" s="40">
        <v>5793</v>
      </c>
      <c r="B224" s="40" t="s">
        <v>415</v>
      </c>
      <c r="C224" s="40" t="s">
        <v>364</v>
      </c>
      <c r="D224" s="40" t="s">
        <v>131</v>
      </c>
      <c r="E224" s="40">
        <v>21</v>
      </c>
      <c r="F224" s="40" t="s">
        <v>42</v>
      </c>
      <c r="G224" s="40" t="s">
        <v>42</v>
      </c>
      <c r="H224" s="41" t="s">
        <v>647</v>
      </c>
      <c r="I224" s="42" t="s">
        <v>43</v>
      </c>
      <c r="J224" s="40" t="s">
        <v>47</v>
      </c>
      <c r="K224" s="41" t="s">
        <v>43</v>
      </c>
      <c r="L224" s="40">
        <v>1</v>
      </c>
      <c r="M224" s="40">
        <v>2</v>
      </c>
      <c r="N224" s="41">
        <v>1</v>
      </c>
      <c r="O224" s="40">
        <v>4</v>
      </c>
      <c r="P224" s="40">
        <v>2</v>
      </c>
      <c r="Q224" s="41">
        <v>3</v>
      </c>
      <c r="R224" s="40">
        <v>2</v>
      </c>
      <c r="S224" s="40">
        <v>3</v>
      </c>
      <c r="T224" s="40">
        <v>1</v>
      </c>
      <c r="U224" s="40">
        <v>2</v>
      </c>
      <c r="V224" s="40" t="s">
        <v>45</v>
      </c>
      <c r="W224" s="40" t="s">
        <v>45</v>
      </c>
      <c r="X224" s="40">
        <v>2</v>
      </c>
      <c r="Y224" s="40">
        <v>7</v>
      </c>
      <c r="Z224" s="40" t="s">
        <v>45</v>
      </c>
      <c r="AA224" s="40" t="s">
        <v>45</v>
      </c>
      <c r="AB224" s="40" t="s">
        <v>45</v>
      </c>
      <c r="AC224" s="40" t="s">
        <v>45</v>
      </c>
      <c r="AD224" s="40" t="s">
        <v>45</v>
      </c>
      <c r="AE224" s="40" t="s">
        <v>45</v>
      </c>
      <c r="AF224" s="40" t="s">
        <v>45</v>
      </c>
      <c r="AG224" s="40" t="s">
        <v>45</v>
      </c>
      <c r="AH224" s="40" t="s">
        <v>45</v>
      </c>
      <c r="AI224" s="40" t="s">
        <v>45</v>
      </c>
      <c r="AJ224" s="40" t="s">
        <v>45</v>
      </c>
      <c r="AK224" s="40" t="s">
        <v>45</v>
      </c>
      <c r="AL224" s="40" t="s">
        <v>45</v>
      </c>
      <c r="AM224" s="40" t="s">
        <v>45</v>
      </c>
      <c r="AN224" s="40" t="s">
        <v>45</v>
      </c>
      <c r="AO224" s="41" t="s">
        <v>45</v>
      </c>
      <c r="AP224" s="40" t="s">
        <v>68</v>
      </c>
      <c r="AQ224" s="40">
        <v>6</v>
      </c>
      <c r="AR224" s="48" t="s">
        <v>347</v>
      </c>
      <c r="AS224" s="43" t="s">
        <v>643</v>
      </c>
      <c r="AT224" s="43" t="s">
        <v>47</v>
      </c>
      <c r="AU224" s="44">
        <f t="shared" si="24"/>
        <v>-2.5060525215375429</v>
      </c>
      <c r="AV224" s="44">
        <f t="shared" si="25"/>
        <v>-0.99184266516472974</v>
      </c>
      <c r="AW224" s="45">
        <f t="shared" si="26"/>
        <v>3</v>
      </c>
      <c r="AX224" s="45">
        <f t="shared" si="27"/>
        <v>1</v>
      </c>
      <c r="AY224" s="46">
        <f>VLOOKUP(AP224,COND!$A$10:$B$32,2,FALSE)</f>
        <v>0.95</v>
      </c>
      <c r="AZ224" s="44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31.009055898208555</v>
      </c>
      <c r="BA224" s="47">
        <f t="shared" si="30"/>
        <v>-0.32342617987752026</v>
      </c>
      <c r="BB224" s="45" t="str">
        <f t="shared" si="28"/>
        <v>SP</v>
      </c>
      <c r="BC224" s="45">
        <f>RANK(Table3[[#This Row],[zScore]],Table3[zScore])</f>
        <v>437</v>
      </c>
      <c r="BD224" s="45"/>
      <c r="BE224" s="45"/>
      <c r="BF224" s="45" t="str">
        <f t="shared" si="29"/>
        <v>Unlikely</v>
      </c>
      <c r="BG224" s="45"/>
      <c r="BH224" s="45" t="str">
        <f>INDEX(Table5[[#All],[Ovr]],MATCH(Table3[[#This Row],[PID]],Table5[[#All],[PID]],0))</f>
        <v/>
      </c>
      <c r="BI224" s="45" t="str">
        <f>INDEX(Table5[[#All],[Rnd]],MATCH(Table3[[#This Row],[PID]],Table5[[#All],[PID]],0))</f>
        <v/>
      </c>
      <c r="BJ224" s="45" t="str">
        <f>INDEX(Table5[[#All],[Pick]],MATCH(Table3[[#This Row],[PID]],Table5[[#All],[PID]],0))</f>
        <v/>
      </c>
      <c r="BK224" s="45" t="str">
        <f>INDEX(Table5[[#All],[Team]],MATCH(Table3[[#This Row],[PID]],Table5[[#All],[PID]],0))</f>
        <v/>
      </c>
      <c r="BL2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5" spans="1:64" ht="15" customHeight="1" x14ac:dyDescent="0.25">
      <c r="A225" s="40">
        <v>20242</v>
      </c>
      <c r="B225" s="40" t="s">
        <v>415</v>
      </c>
      <c r="C225" s="40" t="s">
        <v>135</v>
      </c>
      <c r="D225" s="40" t="s">
        <v>1387</v>
      </c>
      <c r="E225" s="40">
        <v>21</v>
      </c>
      <c r="F225" s="40" t="s">
        <v>42</v>
      </c>
      <c r="G225" s="40" t="s">
        <v>42</v>
      </c>
      <c r="H225" s="41" t="s">
        <v>647</v>
      </c>
      <c r="I225" s="42" t="s">
        <v>43</v>
      </c>
      <c r="J225" s="40" t="s">
        <v>44</v>
      </c>
      <c r="K225" s="41" t="s">
        <v>43</v>
      </c>
      <c r="L225" s="40">
        <v>4</v>
      </c>
      <c r="M225" s="40">
        <v>2</v>
      </c>
      <c r="N225" s="41">
        <v>1</v>
      </c>
      <c r="O225" s="40">
        <v>6</v>
      </c>
      <c r="P225" s="40">
        <v>2</v>
      </c>
      <c r="Q225" s="41">
        <v>3</v>
      </c>
      <c r="R225" s="40" t="s">
        <v>45</v>
      </c>
      <c r="S225" s="40" t="s">
        <v>45</v>
      </c>
      <c r="T225" s="40" t="s">
        <v>45</v>
      </c>
      <c r="U225" s="40" t="s">
        <v>45</v>
      </c>
      <c r="V225" s="40">
        <v>5</v>
      </c>
      <c r="W225" s="40">
        <v>8</v>
      </c>
      <c r="X225" s="40" t="s">
        <v>45</v>
      </c>
      <c r="Y225" s="40" t="s">
        <v>45</v>
      </c>
      <c r="Z225" s="40" t="s">
        <v>45</v>
      </c>
      <c r="AA225" s="40" t="s">
        <v>45</v>
      </c>
      <c r="AB225" s="40" t="s">
        <v>45</v>
      </c>
      <c r="AC225" s="40" t="s">
        <v>45</v>
      </c>
      <c r="AD225" s="40">
        <v>5</v>
      </c>
      <c r="AE225" s="40">
        <v>6</v>
      </c>
      <c r="AF225" s="40" t="s">
        <v>45</v>
      </c>
      <c r="AG225" s="40" t="s">
        <v>45</v>
      </c>
      <c r="AH225" s="40" t="s">
        <v>45</v>
      </c>
      <c r="AI225" s="40" t="s">
        <v>45</v>
      </c>
      <c r="AJ225" s="40" t="s">
        <v>45</v>
      </c>
      <c r="AK225" s="40" t="s">
        <v>45</v>
      </c>
      <c r="AL225" s="40" t="s">
        <v>45</v>
      </c>
      <c r="AM225" s="40" t="s">
        <v>45</v>
      </c>
      <c r="AN225" s="40" t="s">
        <v>45</v>
      </c>
      <c r="AO225" s="41" t="s">
        <v>45</v>
      </c>
      <c r="AP225" s="40" t="s">
        <v>58</v>
      </c>
      <c r="AQ225" s="40">
        <v>5</v>
      </c>
      <c r="AR225" s="48" t="s">
        <v>347</v>
      </c>
      <c r="AS225" s="43" t="s">
        <v>45</v>
      </c>
      <c r="AT225" s="43" t="s">
        <v>47</v>
      </c>
      <c r="AU225" s="44">
        <f t="shared" si="24"/>
        <v>-1.9219785480100218</v>
      </c>
      <c r="AV225" s="44">
        <f t="shared" si="25"/>
        <v>-0.60246001614638267</v>
      </c>
      <c r="AW225" s="45">
        <f t="shared" si="26"/>
        <v>2</v>
      </c>
      <c r="AX225" s="45">
        <f t="shared" si="27"/>
        <v>2</v>
      </c>
      <c r="AY225" s="46">
        <f>VLOOKUP(AP225,COND!$A$10:$B$32,2,FALSE)</f>
        <v>1</v>
      </c>
      <c r="AZ225" s="44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30.989743868283583</v>
      </c>
      <c r="BA225" s="47">
        <f t="shared" si="30"/>
        <v>-0.32471097971754498</v>
      </c>
      <c r="BB225" s="45" t="str">
        <f t="shared" si="28"/>
        <v>RP</v>
      </c>
      <c r="BC225" s="45">
        <f>RANK(Table3[[#This Row],[zScore]],Table3[zScore])</f>
        <v>438</v>
      </c>
      <c r="BD225" s="45"/>
      <c r="BE225" s="45"/>
      <c r="BF225" s="45" t="str">
        <f t="shared" si="29"/>
        <v>Unlikely</v>
      </c>
      <c r="BG225" s="45"/>
      <c r="BH225" s="45" t="str">
        <f>INDEX(Table5[[#All],[Ovr]],MATCH(Table3[[#This Row],[PID]],Table5[[#All],[PID]],0))</f>
        <v/>
      </c>
      <c r="BI225" s="45" t="str">
        <f>INDEX(Table5[[#All],[Rnd]],MATCH(Table3[[#This Row],[PID]],Table5[[#All],[PID]],0))</f>
        <v/>
      </c>
      <c r="BJ225" s="45" t="str">
        <f>INDEX(Table5[[#All],[Pick]],MATCH(Table3[[#This Row],[PID]],Table5[[#All],[PID]],0))</f>
        <v/>
      </c>
      <c r="BK225" s="45" t="str">
        <f>INDEX(Table5[[#All],[Team]],MATCH(Table3[[#This Row],[PID]],Table5[[#All],[PID]],0))</f>
        <v/>
      </c>
      <c r="BL2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6" spans="1:64" ht="15" customHeight="1" x14ac:dyDescent="0.25">
      <c r="A226" s="40">
        <v>20756</v>
      </c>
      <c r="B226" s="40" t="s">
        <v>415</v>
      </c>
      <c r="C226" s="40" t="s">
        <v>145</v>
      </c>
      <c r="D226" s="40" t="s">
        <v>719</v>
      </c>
      <c r="E226" s="40">
        <v>17</v>
      </c>
      <c r="F226" s="40" t="s">
        <v>42</v>
      </c>
      <c r="G226" s="40" t="s">
        <v>42</v>
      </c>
      <c r="H226" s="41" t="s">
        <v>647</v>
      </c>
      <c r="I226" s="42" t="s">
        <v>43</v>
      </c>
      <c r="J226" s="40" t="s">
        <v>43</v>
      </c>
      <c r="K226" s="41" t="s">
        <v>43</v>
      </c>
      <c r="L226" s="40">
        <v>1</v>
      </c>
      <c r="M226" s="40">
        <v>2</v>
      </c>
      <c r="N226" s="41">
        <v>1</v>
      </c>
      <c r="O226" s="40">
        <v>3</v>
      </c>
      <c r="P226" s="40">
        <v>2</v>
      </c>
      <c r="Q226" s="41">
        <v>3</v>
      </c>
      <c r="R226" s="40">
        <v>2</v>
      </c>
      <c r="S226" s="40">
        <v>4</v>
      </c>
      <c r="T226" s="40">
        <v>1</v>
      </c>
      <c r="U226" s="40">
        <v>1</v>
      </c>
      <c r="V226" s="40" t="s">
        <v>45</v>
      </c>
      <c r="W226" s="40" t="s">
        <v>45</v>
      </c>
      <c r="X226" s="40">
        <v>1</v>
      </c>
      <c r="Y226" s="40">
        <v>4</v>
      </c>
      <c r="Z226" s="40" t="s">
        <v>45</v>
      </c>
      <c r="AA226" s="40" t="s">
        <v>45</v>
      </c>
      <c r="AB226" s="40" t="s">
        <v>45</v>
      </c>
      <c r="AC226" s="40" t="s">
        <v>45</v>
      </c>
      <c r="AD226" s="40" t="s">
        <v>45</v>
      </c>
      <c r="AE226" s="40" t="s">
        <v>45</v>
      </c>
      <c r="AF226" s="40" t="s">
        <v>45</v>
      </c>
      <c r="AG226" s="40" t="s">
        <v>45</v>
      </c>
      <c r="AH226" s="40" t="s">
        <v>45</v>
      </c>
      <c r="AI226" s="40" t="s">
        <v>45</v>
      </c>
      <c r="AJ226" s="40" t="s">
        <v>45</v>
      </c>
      <c r="AK226" s="40" t="s">
        <v>45</v>
      </c>
      <c r="AL226" s="40" t="s">
        <v>45</v>
      </c>
      <c r="AM226" s="40" t="s">
        <v>45</v>
      </c>
      <c r="AN226" s="40" t="s">
        <v>45</v>
      </c>
      <c r="AO226" s="41" t="s">
        <v>45</v>
      </c>
      <c r="AP226" s="40" t="s">
        <v>65</v>
      </c>
      <c r="AQ226" s="40">
        <v>6</v>
      </c>
      <c r="AR226" s="48" t="s">
        <v>347</v>
      </c>
      <c r="AS226" s="43" t="s">
        <v>644</v>
      </c>
      <c r="AT226" s="43" t="s">
        <v>635</v>
      </c>
      <c r="AU226" s="44">
        <f t="shared" si="24"/>
        <v>-2.5060525215375429</v>
      </c>
      <c r="AV226" s="44">
        <f t="shared" si="25"/>
        <v>-1.1865339896739031</v>
      </c>
      <c r="AW226" s="45">
        <f t="shared" si="26"/>
        <v>3</v>
      </c>
      <c r="AX226" s="45">
        <f t="shared" si="27"/>
        <v>0</v>
      </c>
      <c r="AY226" s="46">
        <f>VLOOKUP(AP226,COND!$A$10:$B$32,2,FALSE)</f>
        <v>0.95</v>
      </c>
      <c r="AZ226" s="44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30.944586611676119</v>
      </c>
      <c r="BA226" s="47">
        <f t="shared" si="30"/>
        <v>-0.32771522299443645</v>
      </c>
      <c r="BB226" s="45" t="str">
        <f t="shared" si="28"/>
        <v>SP</v>
      </c>
      <c r="BC226" s="45">
        <f>RANK(Table3[[#This Row],[zScore]],Table3[zScore])</f>
        <v>439</v>
      </c>
      <c r="BD226" s="45"/>
      <c r="BE226" s="45"/>
      <c r="BF226" s="45" t="str">
        <f t="shared" si="29"/>
        <v>Unlikely</v>
      </c>
      <c r="BG226" s="45"/>
      <c r="BH226" s="45" t="str">
        <f>INDEX(Table5[[#All],[Ovr]],MATCH(Table3[[#This Row],[PID]],Table5[[#All],[PID]],0))</f>
        <v/>
      </c>
      <c r="BI226" s="45" t="str">
        <f>INDEX(Table5[[#All],[Rnd]],MATCH(Table3[[#This Row],[PID]],Table5[[#All],[PID]],0))</f>
        <v/>
      </c>
      <c r="BJ226" s="45" t="str">
        <f>INDEX(Table5[[#All],[Pick]],MATCH(Table3[[#This Row],[PID]],Table5[[#All],[PID]],0))</f>
        <v/>
      </c>
      <c r="BK226" s="45" t="str">
        <f>INDEX(Table5[[#All],[Team]],MATCH(Table3[[#This Row],[PID]],Table5[[#All],[PID]],0))</f>
        <v/>
      </c>
      <c r="BL2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7" spans="1:64" ht="15" customHeight="1" x14ac:dyDescent="0.25">
      <c r="A227" s="40">
        <v>17794</v>
      </c>
      <c r="B227" s="40" t="s">
        <v>415</v>
      </c>
      <c r="C227" s="40" t="s">
        <v>128</v>
      </c>
      <c r="D227" s="40" t="s">
        <v>850</v>
      </c>
      <c r="E227" s="40">
        <v>21</v>
      </c>
      <c r="F227" s="40" t="s">
        <v>53</v>
      </c>
      <c r="G227" s="40" t="s">
        <v>42</v>
      </c>
      <c r="H227" s="41" t="s">
        <v>647</v>
      </c>
      <c r="I227" s="42" t="s">
        <v>43</v>
      </c>
      <c r="J227" s="40" t="s">
        <v>47</v>
      </c>
      <c r="K227" s="41" t="s">
        <v>47</v>
      </c>
      <c r="L227" s="40">
        <v>3</v>
      </c>
      <c r="M227" s="40">
        <v>2</v>
      </c>
      <c r="N227" s="41">
        <v>2</v>
      </c>
      <c r="O227" s="40">
        <v>6</v>
      </c>
      <c r="P227" s="40">
        <v>2</v>
      </c>
      <c r="Q227" s="41">
        <v>3</v>
      </c>
      <c r="R227" s="40" t="s">
        <v>45</v>
      </c>
      <c r="S227" s="40" t="s">
        <v>45</v>
      </c>
      <c r="T227" s="40" t="s">
        <v>45</v>
      </c>
      <c r="U227" s="40" t="s">
        <v>45</v>
      </c>
      <c r="V227" s="40" t="s">
        <v>45</v>
      </c>
      <c r="W227" s="40" t="s">
        <v>45</v>
      </c>
      <c r="X227" s="40">
        <v>4</v>
      </c>
      <c r="Y227" s="40">
        <v>8</v>
      </c>
      <c r="Z227" s="40" t="s">
        <v>45</v>
      </c>
      <c r="AA227" s="40" t="s">
        <v>45</v>
      </c>
      <c r="AB227" s="40" t="s">
        <v>45</v>
      </c>
      <c r="AC227" s="40" t="s">
        <v>45</v>
      </c>
      <c r="AD227" s="40">
        <v>4</v>
      </c>
      <c r="AE227" s="40">
        <v>5</v>
      </c>
      <c r="AF227" s="40" t="s">
        <v>45</v>
      </c>
      <c r="AG227" s="40" t="s">
        <v>45</v>
      </c>
      <c r="AH227" s="40" t="s">
        <v>45</v>
      </c>
      <c r="AI227" s="40" t="s">
        <v>45</v>
      </c>
      <c r="AJ227" s="40" t="s">
        <v>45</v>
      </c>
      <c r="AK227" s="40" t="s">
        <v>45</v>
      </c>
      <c r="AL227" s="40" t="s">
        <v>45</v>
      </c>
      <c r="AM227" s="40" t="s">
        <v>45</v>
      </c>
      <c r="AN227" s="40" t="s">
        <v>45</v>
      </c>
      <c r="AO227" s="41" t="s">
        <v>45</v>
      </c>
      <c r="AP227" s="40" t="s">
        <v>350</v>
      </c>
      <c r="AQ227" s="40">
        <v>2</v>
      </c>
      <c r="AR227" s="48" t="s">
        <v>347</v>
      </c>
      <c r="AS227" s="43" t="s">
        <v>45</v>
      </c>
      <c r="AT227" s="43" t="s">
        <v>47</v>
      </c>
      <c r="AU227" s="44">
        <f t="shared" si="24"/>
        <v>-1.8743493064650851</v>
      </c>
      <c r="AV227" s="44">
        <f t="shared" si="25"/>
        <v>-0.60246001614638267</v>
      </c>
      <c r="AW227" s="45">
        <f t="shared" si="26"/>
        <v>2</v>
      </c>
      <c r="AX227" s="45">
        <f t="shared" si="27"/>
        <v>1</v>
      </c>
      <c r="AY227" s="46">
        <f>VLOOKUP(AP227,COND!$A$10:$B$32,2,FALSE)</f>
        <v>1</v>
      </c>
      <c r="AZ227" s="44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30.934633324990365</v>
      </c>
      <c r="BA227" s="47">
        <f t="shared" si="30"/>
        <v>-0.32837739994793425</v>
      </c>
      <c r="BB227" s="45" t="str">
        <f t="shared" si="28"/>
        <v>RP</v>
      </c>
      <c r="BC227" s="45">
        <f>RANK(Table3[[#This Row],[zScore]],Table3[zScore])</f>
        <v>440</v>
      </c>
      <c r="BD227" s="45"/>
      <c r="BE227" s="45"/>
      <c r="BF227" s="45" t="str">
        <f t="shared" si="29"/>
        <v>Unlikely</v>
      </c>
      <c r="BG227" s="45"/>
      <c r="BH227" s="45">
        <f>INDEX(Table5[[#All],[Ovr]],MATCH(Table3[[#This Row],[PID]],Table5[[#All],[PID]],0))</f>
        <v>491</v>
      </c>
      <c r="BI227" s="45" t="str">
        <f>INDEX(Table5[[#All],[Rnd]],MATCH(Table3[[#This Row],[PID]],Table5[[#All],[PID]],0))</f>
        <v>17</v>
      </c>
      <c r="BJ227" s="45">
        <f>INDEX(Table5[[#All],[Pick]],MATCH(Table3[[#This Row],[PID]],Table5[[#All],[PID]],0))</f>
        <v>3</v>
      </c>
      <c r="BK227" s="45" t="str">
        <f>INDEX(Table5[[#All],[Team]],MATCH(Table3[[#This Row],[PID]],Table5[[#All],[PID]],0))</f>
        <v>New Orleans Trendsetters</v>
      </c>
      <c r="BL2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8" spans="1:64" ht="15" customHeight="1" x14ac:dyDescent="0.25">
      <c r="A228" s="40">
        <v>12196</v>
      </c>
      <c r="B228" s="40" t="s">
        <v>415</v>
      </c>
      <c r="C228" s="40" t="s">
        <v>1077</v>
      </c>
      <c r="D228" s="40" t="s">
        <v>294</v>
      </c>
      <c r="E228" s="40">
        <v>22</v>
      </c>
      <c r="F228" s="40" t="s">
        <v>62</v>
      </c>
      <c r="G228" s="40" t="s">
        <v>42</v>
      </c>
      <c r="H228" s="41" t="s">
        <v>647</v>
      </c>
      <c r="I228" s="42" t="s">
        <v>43</v>
      </c>
      <c r="J228" s="40" t="s">
        <v>43</v>
      </c>
      <c r="K228" s="41" t="s">
        <v>43</v>
      </c>
      <c r="L228" s="40">
        <v>2</v>
      </c>
      <c r="M228" s="40">
        <v>2</v>
      </c>
      <c r="N228" s="41">
        <v>2</v>
      </c>
      <c r="O228" s="40">
        <v>4</v>
      </c>
      <c r="P228" s="40">
        <v>2</v>
      </c>
      <c r="Q228" s="41">
        <v>3</v>
      </c>
      <c r="R228" s="40">
        <v>3</v>
      </c>
      <c r="S228" s="40">
        <v>4</v>
      </c>
      <c r="T228" s="40">
        <v>1</v>
      </c>
      <c r="U228" s="40">
        <v>1</v>
      </c>
      <c r="V228" s="40">
        <v>3</v>
      </c>
      <c r="W228" s="40">
        <v>6</v>
      </c>
      <c r="X228" s="40" t="s">
        <v>45</v>
      </c>
      <c r="Y228" s="40" t="s">
        <v>45</v>
      </c>
      <c r="Z228" s="40" t="s">
        <v>45</v>
      </c>
      <c r="AA228" s="40" t="s">
        <v>45</v>
      </c>
      <c r="AB228" s="40" t="s">
        <v>45</v>
      </c>
      <c r="AC228" s="40" t="s">
        <v>45</v>
      </c>
      <c r="AD228" s="40" t="s">
        <v>45</v>
      </c>
      <c r="AE228" s="40" t="s">
        <v>45</v>
      </c>
      <c r="AF228" s="40" t="s">
        <v>45</v>
      </c>
      <c r="AG228" s="40" t="s">
        <v>45</v>
      </c>
      <c r="AH228" s="40" t="s">
        <v>45</v>
      </c>
      <c r="AI228" s="40" t="s">
        <v>45</v>
      </c>
      <c r="AJ228" s="40" t="s">
        <v>45</v>
      </c>
      <c r="AK228" s="40" t="s">
        <v>45</v>
      </c>
      <c r="AL228" s="40" t="s">
        <v>45</v>
      </c>
      <c r="AM228" s="40" t="s">
        <v>45</v>
      </c>
      <c r="AN228" s="40" t="s">
        <v>45</v>
      </c>
      <c r="AO228" s="41" t="s">
        <v>45</v>
      </c>
      <c r="AP228" s="40" t="s">
        <v>68</v>
      </c>
      <c r="AQ228" s="40">
        <v>6</v>
      </c>
      <c r="AR228" s="48" t="s">
        <v>347</v>
      </c>
      <c r="AS228" s="43" t="s">
        <v>45</v>
      </c>
      <c r="AT228" s="43" t="s">
        <v>47</v>
      </c>
      <c r="AU228" s="44">
        <f t="shared" si="24"/>
        <v>-2.0690406309742588</v>
      </c>
      <c r="AV228" s="44">
        <f t="shared" si="25"/>
        <v>-0.99184266516472974</v>
      </c>
      <c r="AW228" s="45">
        <f t="shared" si="26"/>
        <v>3</v>
      </c>
      <c r="AX228" s="45">
        <f t="shared" si="27"/>
        <v>1</v>
      </c>
      <c r="AY228" s="46">
        <f>VLOOKUP(AP228,COND!$A$10:$B$32,2,FALSE)</f>
        <v>0.95</v>
      </c>
      <c r="AZ228" s="44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30.790012350935399</v>
      </c>
      <c r="BA228" s="47">
        <f t="shared" si="30"/>
        <v>-0.33799881235522194</v>
      </c>
      <c r="BB228" s="45" t="str">
        <f t="shared" si="28"/>
        <v>SP</v>
      </c>
      <c r="BC228" s="45">
        <f>RANK(Table3[[#This Row],[zScore]],Table3[zScore])</f>
        <v>442</v>
      </c>
      <c r="BD228" s="45"/>
      <c r="BE228" s="45"/>
      <c r="BF228" s="45" t="str">
        <f t="shared" si="29"/>
        <v>Unlikely</v>
      </c>
      <c r="BG228" s="45"/>
      <c r="BH228" s="45" t="str">
        <f>INDEX(Table5[[#All],[Ovr]],MATCH(Table3[[#This Row],[PID]],Table5[[#All],[PID]],0))</f>
        <v/>
      </c>
      <c r="BI228" s="45" t="str">
        <f>INDEX(Table5[[#All],[Rnd]],MATCH(Table3[[#This Row],[PID]],Table5[[#All],[PID]],0))</f>
        <v/>
      </c>
      <c r="BJ228" s="45" t="str">
        <f>INDEX(Table5[[#All],[Pick]],MATCH(Table3[[#This Row],[PID]],Table5[[#All],[PID]],0))</f>
        <v/>
      </c>
      <c r="BK228" s="45" t="str">
        <f>INDEX(Table5[[#All],[Team]],MATCH(Table3[[#This Row],[PID]],Table5[[#All],[PID]],0))</f>
        <v/>
      </c>
      <c r="BL2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29" spans="1:64" ht="15" customHeight="1" x14ac:dyDescent="0.25">
      <c r="A229" s="40">
        <v>5217</v>
      </c>
      <c r="B229" s="40" t="s">
        <v>415</v>
      </c>
      <c r="C229" s="40" t="s">
        <v>710</v>
      </c>
      <c r="D229" s="40" t="s">
        <v>2060</v>
      </c>
      <c r="E229" s="40">
        <v>21</v>
      </c>
      <c r="F229" s="40" t="s">
        <v>42</v>
      </c>
      <c r="G229" s="40" t="s">
        <v>42</v>
      </c>
      <c r="H229" s="41" t="s">
        <v>647</v>
      </c>
      <c r="I229" s="42" t="s">
        <v>43</v>
      </c>
      <c r="J229" s="40" t="s">
        <v>43</v>
      </c>
      <c r="K229" s="41" t="s">
        <v>43</v>
      </c>
      <c r="L229" s="40">
        <v>1</v>
      </c>
      <c r="M229" s="40">
        <v>2</v>
      </c>
      <c r="N229" s="41">
        <v>1</v>
      </c>
      <c r="O229" s="40">
        <v>4</v>
      </c>
      <c r="P229" s="40">
        <v>2</v>
      </c>
      <c r="Q229" s="41">
        <v>3</v>
      </c>
      <c r="R229" s="40">
        <v>3</v>
      </c>
      <c r="S229" s="40">
        <v>4</v>
      </c>
      <c r="T229" s="40">
        <v>2</v>
      </c>
      <c r="U229" s="40">
        <v>7</v>
      </c>
      <c r="V229" s="40">
        <v>1</v>
      </c>
      <c r="W229" s="40">
        <v>2</v>
      </c>
      <c r="X229" s="40">
        <v>2</v>
      </c>
      <c r="Y229" s="40">
        <v>5</v>
      </c>
      <c r="Z229" s="40" t="s">
        <v>45</v>
      </c>
      <c r="AA229" s="40" t="s">
        <v>45</v>
      </c>
      <c r="AB229" s="40" t="s">
        <v>45</v>
      </c>
      <c r="AC229" s="40" t="s">
        <v>45</v>
      </c>
      <c r="AD229" s="40" t="s">
        <v>45</v>
      </c>
      <c r="AE229" s="40" t="s">
        <v>45</v>
      </c>
      <c r="AF229" s="40" t="s">
        <v>45</v>
      </c>
      <c r="AG229" s="40" t="s">
        <v>45</v>
      </c>
      <c r="AH229" s="40" t="s">
        <v>45</v>
      </c>
      <c r="AI229" s="40" t="s">
        <v>45</v>
      </c>
      <c r="AJ229" s="40" t="s">
        <v>45</v>
      </c>
      <c r="AK229" s="40" t="s">
        <v>45</v>
      </c>
      <c r="AL229" s="40" t="s">
        <v>45</v>
      </c>
      <c r="AM229" s="40" t="s">
        <v>45</v>
      </c>
      <c r="AN229" s="40" t="s">
        <v>45</v>
      </c>
      <c r="AO229" s="41" t="s">
        <v>45</v>
      </c>
      <c r="AP229" s="40" t="s">
        <v>68</v>
      </c>
      <c r="AQ229" s="40">
        <v>10</v>
      </c>
      <c r="AR229" s="48" t="s">
        <v>347</v>
      </c>
      <c r="AS229" s="43" t="s">
        <v>643</v>
      </c>
      <c r="AT229" s="43" t="s">
        <v>47</v>
      </c>
      <c r="AU229" s="44">
        <f t="shared" si="24"/>
        <v>-2.5060525215375429</v>
      </c>
      <c r="AV229" s="44">
        <f t="shared" si="25"/>
        <v>-0.99184266516472974</v>
      </c>
      <c r="AW229" s="45">
        <f t="shared" si="26"/>
        <v>4</v>
      </c>
      <c r="AX229" s="45">
        <f t="shared" si="27"/>
        <v>1</v>
      </c>
      <c r="AY229" s="46">
        <f>VLOOKUP(AP229,COND!$A$10:$B$32,2,FALSE)</f>
        <v>0.95</v>
      </c>
      <c r="AZ229" s="44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30.766339382778003</v>
      </c>
      <c r="BA229" s="47">
        <f t="shared" si="30"/>
        <v>-0.33957373875186148</v>
      </c>
      <c r="BB229" s="45" t="str">
        <f t="shared" si="28"/>
        <v>SP</v>
      </c>
      <c r="BC229" s="45">
        <f>RANK(Table3[[#This Row],[zScore]],Table3[zScore])</f>
        <v>443</v>
      </c>
      <c r="BD229" s="45"/>
      <c r="BE229" s="45"/>
      <c r="BF229" s="45" t="str">
        <f t="shared" si="29"/>
        <v>Unlikely</v>
      </c>
      <c r="BG229" s="45"/>
      <c r="BH229" s="45">
        <f>INDEX(Table5[[#All],[Ovr]],MATCH(Table3[[#This Row],[PID]],Table5[[#All],[PID]],0))</f>
        <v>556</v>
      </c>
      <c r="BI229" s="45" t="str">
        <f>INDEX(Table5[[#All],[Rnd]],MATCH(Table3[[#This Row],[PID]],Table5[[#All],[PID]],0))</f>
        <v>19</v>
      </c>
      <c r="BJ229" s="45">
        <f>INDEX(Table5[[#All],[Pick]],MATCH(Table3[[#This Row],[PID]],Table5[[#All],[PID]],0))</f>
        <v>8</v>
      </c>
      <c r="BK229" s="45" t="str">
        <f>INDEX(Table5[[#All],[Team]],MATCH(Table3[[#This Row],[PID]],Table5[[#All],[PID]],0))</f>
        <v>London Underground</v>
      </c>
      <c r="BL2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0" spans="1:64" ht="15" customHeight="1" x14ac:dyDescent="0.25">
      <c r="A230" s="40">
        <v>18225</v>
      </c>
      <c r="B230" s="40" t="s">
        <v>415</v>
      </c>
      <c r="C230" s="40" t="s">
        <v>186</v>
      </c>
      <c r="D230" s="40" t="s">
        <v>331</v>
      </c>
      <c r="E230" s="40">
        <v>18</v>
      </c>
      <c r="F230" s="40" t="s">
        <v>42</v>
      </c>
      <c r="G230" s="40" t="s">
        <v>42</v>
      </c>
      <c r="H230" s="41" t="s">
        <v>647</v>
      </c>
      <c r="I230" s="42" t="s">
        <v>43</v>
      </c>
      <c r="J230" s="40" t="s">
        <v>44</v>
      </c>
      <c r="K230" s="41" t="s">
        <v>43</v>
      </c>
      <c r="L230" s="40">
        <v>1</v>
      </c>
      <c r="M230" s="40">
        <v>1</v>
      </c>
      <c r="N230" s="41">
        <v>1</v>
      </c>
      <c r="O230" s="40">
        <v>3</v>
      </c>
      <c r="P230" s="40">
        <v>1</v>
      </c>
      <c r="Q230" s="41">
        <v>4</v>
      </c>
      <c r="R230" s="40">
        <v>2</v>
      </c>
      <c r="S230" s="40">
        <v>4</v>
      </c>
      <c r="T230" s="40">
        <v>1</v>
      </c>
      <c r="U230" s="40">
        <v>2</v>
      </c>
      <c r="V230" s="40" t="s">
        <v>45</v>
      </c>
      <c r="W230" s="40" t="s">
        <v>45</v>
      </c>
      <c r="X230" s="40" t="s">
        <v>45</v>
      </c>
      <c r="Y230" s="40" t="s">
        <v>45</v>
      </c>
      <c r="Z230" s="40" t="s">
        <v>45</v>
      </c>
      <c r="AA230" s="40" t="s">
        <v>45</v>
      </c>
      <c r="AB230" s="40">
        <v>2</v>
      </c>
      <c r="AC230" s="40">
        <v>4</v>
      </c>
      <c r="AD230" s="40" t="s">
        <v>45</v>
      </c>
      <c r="AE230" s="40" t="s">
        <v>45</v>
      </c>
      <c r="AF230" s="40" t="s">
        <v>45</v>
      </c>
      <c r="AG230" s="40" t="s">
        <v>45</v>
      </c>
      <c r="AH230" s="40" t="s">
        <v>45</v>
      </c>
      <c r="AI230" s="40" t="s">
        <v>45</v>
      </c>
      <c r="AJ230" s="40" t="s">
        <v>45</v>
      </c>
      <c r="AK230" s="40" t="s">
        <v>45</v>
      </c>
      <c r="AL230" s="40" t="s">
        <v>45</v>
      </c>
      <c r="AM230" s="40" t="s">
        <v>45</v>
      </c>
      <c r="AN230" s="40" t="s">
        <v>45</v>
      </c>
      <c r="AO230" s="41" t="s">
        <v>45</v>
      </c>
      <c r="AP230" s="40" t="s">
        <v>67</v>
      </c>
      <c r="AQ230" s="40">
        <v>8</v>
      </c>
      <c r="AR230" s="48" t="s">
        <v>347</v>
      </c>
      <c r="AS230" s="43" t="s">
        <v>659</v>
      </c>
      <c r="AT230" s="43"/>
      <c r="AU230" s="44">
        <f t="shared" si="24"/>
        <v>-2.7014842379675978</v>
      </c>
      <c r="AV230" s="44">
        <f t="shared" si="25"/>
        <v>-1.1396451400498482</v>
      </c>
      <c r="AW230" s="45">
        <f t="shared" si="26"/>
        <v>3</v>
      </c>
      <c r="AX230" s="45">
        <f t="shared" si="27"/>
        <v>0</v>
      </c>
      <c r="AY230" s="46">
        <f>VLOOKUP(AP230,COND!$A$10:$B$32,2,FALSE)</f>
        <v>0.9</v>
      </c>
      <c r="AZ230" s="44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32.050120316268561</v>
      </c>
      <c r="BA230" s="47">
        <f>STANDARDIZE(AZ230,AVERAGE($AZ$5:$AZ$788),STDEVP($AZ$5:$AZ$788))</f>
        <v>-0.34222791273557684</v>
      </c>
      <c r="BB230" s="45" t="str">
        <f t="shared" si="28"/>
        <v>SP</v>
      </c>
      <c r="BC230" s="45">
        <f>RANK(Table3[[#This Row],[zScore]],Table3[zScore])</f>
        <v>444</v>
      </c>
      <c r="BD230" s="45"/>
      <c r="BE230" s="45"/>
      <c r="BF230" s="45" t="str">
        <f t="shared" si="29"/>
        <v>Unlikely</v>
      </c>
      <c r="BG230" s="45"/>
      <c r="BH230" s="64" t="str">
        <f>INDEX(Table5[[#All],[Ovr]],MATCH(Table3[[#This Row],[PID]],Table5[[#All],[PID]],0))</f>
        <v/>
      </c>
      <c r="BI230" s="64" t="str">
        <f>INDEX(Table5[[#All],[Rnd]],MATCH(Table3[[#This Row],[PID]],Table5[[#All],[PID]],0))</f>
        <v/>
      </c>
      <c r="BJ230" s="64" t="str">
        <f>INDEX(Table5[[#All],[Pick]],MATCH(Table3[[#This Row],[PID]],Table5[[#All],[PID]],0))</f>
        <v/>
      </c>
      <c r="BK230" s="64" t="str">
        <f>INDEX(Table5[[#All],[Team]],MATCH(Table3[[#This Row],[PID]],Table5[[#All],[PID]],0))</f>
        <v/>
      </c>
      <c r="BL230" s="64" t="str">
        <f>IF(OR(Table3[[#This Row],[POS]]="SP",Table3[[#This Row],[POS]]="RP",Table3[[#This Row],[POS]]="CL"),"P",INDEX(Batters[[#All],[zScore]],MATCH(Table3[[#This Row],[PID]],Batters[[#All],[PID]],0)))</f>
        <v>P</v>
      </c>
    </row>
    <row r="231" spans="1:64" ht="15" customHeight="1" x14ac:dyDescent="0.25">
      <c r="A231" s="40">
        <v>20682</v>
      </c>
      <c r="B231" s="40" t="s">
        <v>415</v>
      </c>
      <c r="C231" s="40" t="s">
        <v>1953</v>
      </c>
      <c r="D231" s="40" t="s">
        <v>1954</v>
      </c>
      <c r="E231" s="40">
        <v>18</v>
      </c>
      <c r="F231" s="40" t="s">
        <v>42</v>
      </c>
      <c r="G231" s="40" t="s">
        <v>42</v>
      </c>
      <c r="H231" s="41" t="s">
        <v>647</v>
      </c>
      <c r="I231" s="42" t="s">
        <v>47</v>
      </c>
      <c r="J231" s="40" t="s">
        <v>47</v>
      </c>
      <c r="K231" s="41" t="s">
        <v>43</v>
      </c>
      <c r="L231" s="40">
        <v>2</v>
      </c>
      <c r="M231" s="40">
        <v>2</v>
      </c>
      <c r="N231" s="41">
        <v>1</v>
      </c>
      <c r="O231" s="40">
        <v>4</v>
      </c>
      <c r="P231" s="40">
        <v>2</v>
      </c>
      <c r="Q231" s="41">
        <v>2</v>
      </c>
      <c r="R231" s="40">
        <v>3</v>
      </c>
      <c r="S231" s="40">
        <v>5</v>
      </c>
      <c r="T231" s="40">
        <v>1</v>
      </c>
      <c r="U231" s="40">
        <v>1</v>
      </c>
      <c r="V231" s="40">
        <v>2</v>
      </c>
      <c r="W231" s="40">
        <v>6</v>
      </c>
      <c r="X231" s="40" t="s">
        <v>45</v>
      </c>
      <c r="Y231" s="40" t="s">
        <v>45</v>
      </c>
      <c r="Z231" s="40" t="s">
        <v>45</v>
      </c>
      <c r="AA231" s="40" t="s">
        <v>45</v>
      </c>
      <c r="AB231" s="40" t="s">
        <v>45</v>
      </c>
      <c r="AC231" s="40" t="s">
        <v>45</v>
      </c>
      <c r="AD231" s="40" t="s">
        <v>45</v>
      </c>
      <c r="AE231" s="40" t="s">
        <v>45</v>
      </c>
      <c r="AF231" s="40" t="s">
        <v>45</v>
      </c>
      <c r="AG231" s="40" t="s">
        <v>45</v>
      </c>
      <c r="AH231" s="40" t="s">
        <v>45</v>
      </c>
      <c r="AI231" s="40" t="s">
        <v>45</v>
      </c>
      <c r="AJ231" s="40" t="s">
        <v>45</v>
      </c>
      <c r="AK231" s="40" t="s">
        <v>45</v>
      </c>
      <c r="AL231" s="40" t="s">
        <v>45</v>
      </c>
      <c r="AM231" s="40" t="s">
        <v>45</v>
      </c>
      <c r="AN231" s="40" t="s">
        <v>45</v>
      </c>
      <c r="AO231" s="41" t="s">
        <v>45</v>
      </c>
      <c r="AP231" s="40" t="s">
        <v>349</v>
      </c>
      <c r="AQ231" s="40">
        <v>5</v>
      </c>
      <c r="AR231" s="48" t="s">
        <v>347</v>
      </c>
      <c r="AS231" s="43" t="s">
        <v>644</v>
      </c>
      <c r="AT231" s="43" t="s">
        <v>47</v>
      </c>
      <c r="AU231" s="44">
        <f t="shared" si="24"/>
        <v>-2.311361197028369</v>
      </c>
      <c r="AV231" s="44">
        <f t="shared" si="25"/>
        <v>-1.23416323121884</v>
      </c>
      <c r="AW231" s="45">
        <f t="shared" si="26"/>
        <v>3</v>
      </c>
      <c r="AX231" s="45">
        <f t="shared" si="27"/>
        <v>1</v>
      </c>
      <c r="AY231" s="46">
        <f>VLOOKUP(AP231,COND!$A$10:$B$32,2,FALSE)</f>
        <v>1</v>
      </c>
      <c r="AZ231" s="44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30.689351557812085</v>
      </c>
      <c r="BA231" s="47">
        <f>STANDARDIZE(AZ231,AVERAGE($AZ$5:$AZ$557),STDEVP($AZ$5:$AZ$557))</f>
        <v>-0.34469562110106799</v>
      </c>
      <c r="BB231" s="45" t="str">
        <f t="shared" si="28"/>
        <v>SP</v>
      </c>
      <c r="BC231" s="45">
        <f>RANK(Table3[[#This Row],[zScore]],Table3[zScore])</f>
        <v>448</v>
      </c>
      <c r="BD231" s="45"/>
      <c r="BE231" s="45"/>
      <c r="BF231" s="45" t="str">
        <f t="shared" si="29"/>
        <v>Unlikely</v>
      </c>
      <c r="BG231" s="45"/>
      <c r="BH231" s="45" t="str">
        <f>INDEX(Table5[[#All],[Ovr]],MATCH(Table3[[#This Row],[PID]],Table5[[#All],[PID]],0))</f>
        <v/>
      </c>
      <c r="BI231" s="45" t="str">
        <f>INDEX(Table5[[#All],[Rnd]],MATCH(Table3[[#This Row],[PID]],Table5[[#All],[PID]],0))</f>
        <v/>
      </c>
      <c r="BJ231" s="45" t="str">
        <f>INDEX(Table5[[#All],[Pick]],MATCH(Table3[[#This Row],[PID]],Table5[[#All],[PID]],0))</f>
        <v/>
      </c>
      <c r="BK231" s="45" t="str">
        <f>INDEX(Table5[[#All],[Team]],MATCH(Table3[[#This Row],[PID]],Table5[[#All],[PID]],0))</f>
        <v/>
      </c>
      <c r="BL2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2" spans="1:64" ht="15" customHeight="1" x14ac:dyDescent="0.25">
      <c r="A232" s="40">
        <v>20686</v>
      </c>
      <c r="B232" s="40" t="s">
        <v>415</v>
      </c>
      <c r="C232" s="40" t="s">
        <v>1742</v>
      </c>
      <c r="D232" s="40" t="s">
        <v>1743</v>
      </c>
      <c r="E232" s="40">
        <v>17</v>
      </c>
      <c r="F232" s="40" t="s">
        <v>42</v>
      </c>
      <c r="G232" s="40" t="s">
        <v>42</v>
      </c>
      <c r="H232" s="41" t="s">
        <v>647</v>
      </c>
      <c r="I232" s="42" t="s">
        <v>43</v>
      </c>
      <c r="J232" s="40" t="s">
        <v>44</v>
      </c>
      <c r="K232" s="41" t="s">
        <v>44</v>
      </c>
      <c r="L232" s="40">
        <v>2</v>
      </c>
      <c r="M232" s="40">
        <v>2</v>
      </c>
      <c r="N232" s="41">
        <v>1</v>
      </c>
      <c r="O232" s="40">
        <v>4</v>
      </c>
      <c r="P232" s="40">
        <v>2</v>
      </c>
      <c r="Q232" s="41">
        <v>2</v>
      </c>
      <c r="R232" s="40">
        <v>3</v>
      </c>
      <c r="S232" s="40">
        <v>4</v>
      </c>
      <c r="T232" s="40">
        <v>2</v>
      </c>
      <c r="U232" s="40">
        <v>6</v>
      </c>
      <c r="V232" s="40" t="s">
        <v>45</v>
      </c>
      <c r="W232" s="40" t="s">
        <v>45</v>
      </c>
      <c r="X232" s="40">
        <v>2</v>
      </c>
      <c r="Y232" s="40">
        <v>2</v>
      </c>
      <c r="Z232" s="40" t="s">
        <v>45</v>
      </c>
      <c r="AA232" s="40" t="s">
        <v>45</v>
      </c>
      <c r="AB232" s="40" t="s">
        <v>45</v>
      </c>
      <c r="AC232" s="40" t="s">
        <v>45</v>
      </c>
      <c r="AD232" s="40" t="s">
        <v>45</v>
      </c>
      <c r="AE232" s="40" t="s">
        <v>45</v>
      </c>
      <c r="AF232" s="40" t="s">
        <v>45</v>
      </c>
      <c r="AG232" s="40" t="s">
        <v>45</v>
      </c>
      <c r="AH232" s="40" t="s">
        <v>45</v>
      </c>
      <c r="AI232" s="40" t="s">
        <v>45</v>
      </c>
      <c r="AJ232" s="40" t="s">
        <v>45</v>
      </c>
      <c r="AK232" s="40" t="s">
        <v>45</v>
      </c>
      <c r="AL232" s="40" t="s">
        <v>45</v>
      </c>
      <c r="AM232" s="40" t="s">
        <v>45</v>
      </c>
      <c r="AN232" s="40" t="s">
        <v>45</v>
      </c>
      <c r="AO232" s="41" t="s">
        <v>45</v>
      </c>
      <c r="AP232" s="40" t="s">
        <v>68</v>
      </c>
      <c r="AQ232" s="40">
        <v>5</v>
      </c>
      <c r="AR232" s="48" t="s">
        <v>347</v>
      </c>
      <c r="AS232" s="43" t="s">
        <v>644</v>
      </c>
      <c r="AT232" s="43" t="s">
        <v>47</v>
      </c>
      <c r="AU232" s="44">
        <f t="shared" si="24"/>
        <v>-2.311361197028369</v>
      </c>
      <c r="AV232" s="44">
        <f t="shared" si="25"/>
        <v>-1.23416323121884</v>
      </c>
      <c r="AW232" s="45">
        <f t="shared" si="26"/>
        <v>3</v>
      </c>
      <c r="AX232" s="45">
        <f t="shared" si="27"/>
        <v>1</v>
      </c>
      <c r="AY232" s="46">
        <f>VLOOKUP(AP232,COND!$A$10:$B$32,2,FALSE)</f>
        <v>0.95</v>
      </c>
      <c r="AZ232" s="44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30.656133979921485</v>
      </c>
      <c r="BA232" s="47">
        <f>STANDARDIZE(AZ232,AVERAGE($AZ$5:$AZ$557),STDEVP($AZ$5:$AZ$557))</f>
        <v>-0.34690553579805511</v>
      </c>
      <c r="BB232" s="45" t="str">
        <f t="shared" si="28"/>
        <v>SP</v>
      </c>
      <c r="BC232" s="45">
        <f>RANK(Table3[[#This Row],[zScore]],Table3[zScore])</f>
        <v>449</v>
      </c>
      <c r="BD232" s="45"/>
      <c r="BE232" s="45"/>
      <c r="BF232" s="45" t="str">
        <f t="shared" si="29"/>
        <v>Unlikely</v>
      </c>
      <c r="BG232" s="45"/>
      <c r="BH232" s="45" t="str">
        <f>INDEX(Table5[[#All],[Ovr]],MATCH(Table3[[#This Row],[PID]],Table5[[#All],[PID]],0))</f>
        <v/>
      </c>
      <c r="BI232" s="45" t="str">
        <f>INDEX(Table5[[#All],[Rnd]],MATCH(Table3[[#This Row],[PID]],Table5[[#All],[PID]],0))</f>
        <v/>
      </c>
      <c r="BJ232" s="45" t="str">
        <f>INDEX(Table5[[#All],[Pick]],MATCH(Table3[[#This Row],[PID]],Table5[[#All],[PID]],0))</f>
        <v/>
      </c>
      <c r="BK232" s="45" t="str">
        <f>INDEX(Table5[[#All],[Team]],MATCH(Table3[[#This Row],[PID]],Table5[[#All],[PID]],0))</f>
        <v/>
      </c>
      <c r="BL2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3" spans="1:64" ht="15" customHeight="1" x14ac:dyDescent="0.25">
      <c r="A233" s="40">
        <v>8383</v>
      </c>
      <c r="B233" s="40" t="s">
        <v>415</v>
      </c>
      <c r="C233" s="40" t="s">
        <v>1019</v>
      </c>
      <c r="D233" s="40" t="s">
        <v>1020</v>
      </c>
      <c r="E233" s="40">
        <v>22</v>
      </c>
      <c r="F233" s="40" t="s">
        <v>42</v>
      </c>
      <c r="G233" s="40" t="s">
        <v>42</v>
      </c>
      <c r="H233" s="41" t="s">
        <v>647</v>
      </c>
      <c r="I233" s="42" t="s">
        <v>44</v>
      </c>
      <c r="J233" s="40" t="s">
        <v>44</v>
      </c>
      <c r="K233" s="41" t="s">
        <v>44</v>
      </c>
      <c r="L233" s="40">
        <v>2</v>
      </c>
      <c r="M233" s="40">
        <v>2</v>
      </c>
      <c r="N233" s="41">
        <v>2</v>
      </c>
      <c r="O233" s="40">
        <v>5</v>
      </c>
      <c r="P233" s="40">
        <v>2</v>
      </c>
      <c r="Q233" s="41">
        <v>3</v>
      </c>
      <c r="R233" s="40">
        <v>4</v>
      </c>
      <c r="S233" s="40">
        <v>6</v>
      </c>
      <c r="T233" s="40">
        <v>1</v>
      </c>
      <c r="U233" s="40">
        <v>1</v>
      </c>
      <c r="V233" s="40" t="s">
        <v>45</v>
      </c>
      <c r="W233" s="40" t="s">
        <v>45</v>
      </c>
      <c r="X233" s="40" t="s">
        <v>45</v>
      </c>
      <c r="Y233" s="40" t="s">
        <v>45</v>
      </c>
      <c r="Z233" s="40">
        <v>3</v>
      </c>
      <c r="AA233" s="40">
        <v>5</v>
      </c>
      <c r="AB233" s="40" t="s">
        <v>45</v>
      </c>
      <c r="AC233" s="40" t="s">
        <v>45</v>
      </c>
      <c r="AD233" s="40" t="s">
        <v>45</v>
      </c>
      <c r="AE233" s="40" t="s">
        <v>45</v>
      </c>
      <c r="AF233" s="40" t="s">
        <v>45</v>
      </c>
      <c r="AG233" s="40" t="s">
        <v>45</v>
      </c>
      <c r="AH233" s="40" t="s">
        <v>45</v>
      </c>
      <c r="AI233" s="40" t="s">
        <v>45</v>
      </c>
      <c r="AJ233" s="40" t="s">
        <v>45</v>
      </c>
      <c r="AK233" s="40" t="s">
        <v>45</v>
      </c>
      <c r="AL233" s="40" t="s">
        <v>45</v>
      </c>
      <c r="AM233" s="40" t="s">
        <v>45</v>
      </c>
      <c r="AN233" s="40" t="s">
        <v>45</v>
      </c>
      <c r="AO233" s="41" t="s">
        <v>45</v>
      </c>
      <c r="AP233" s="40" t="s">
        <v>350</v>
      </c>
      <c r="AQ233" s="40">
        <v>8</v>
      </c>
      <c r="AR233" s="48" t="s">
        <v>347</v>
      </c>
      <c r="AS233" s="43" t="s">
        <v>45</v>
      </c>
      <c r="AT233" s="43" t="s">
        <v>47</v>
      </c>
      <c r="AU233" s="44">
        <f t="shared" si="24"/>
        <v>-2.0690406309742588</v>
      </c>
      <c r="AV233" s="44">
        <f t="shared" si="25"/>
        <v>-0.79715134065555615</v>
      </c>
      <c r="AW233" s="45">
        <f t="shared" si="26"/>
        <v>3</v>
      </c>
      <c r="AX233" s="45">
        <f t="shared" si="27"/>
        <v>1</v>
      </c>
      <c r="AY233" s="46">
        <f>VLOOKUP(AP233,COND!$A$10:$B$32,2,FALSE)</f>
        <v>1</v>
      </c>
      <c r="AZ233" s="44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32.643165060694024</v>
      </c>
      <c r="BA233" s="47">
        <f>STANDARDIZE(AZ233,AVERAGE($AZ$5:$AZ$663),STDEVP($AZ$5:$AZ$663))</f>
        <v>-0.35350035042371031</v>
      </c>
      <c r="BB233" s="45" t="str">
        <f t="shared" si="28"/>
        <v>SP</v>
      </c>
      <c r="BC233" s="45">
        <f>RANK(Table3[[#This Row],[zScore]],Table3[zScore])</f>
        <v>454</v>
      </c>
      <c r="BD233" s="45"/>
      <c r="BE233" s="45"/>
      <c r="BF233" s="45" t="str">
        <f t="shared" si="29"/>
        <v>Unlikely</v>
      </c>
      <c r="BG233" s="45"/>
      <c r="BH233" s="45" t="str">
        <f>INDEX(Table5[[#All],[Ovr]],MATCH(Table3[[#This Row],[PID]],Table5[[#All],[PID]],0))</f>
        <v/>
      </c>
      <c r="BI233" s="45" t="str">
        <f>INDEX(Table5[[#All],[Rnd]],MATCH(Table3[[#This Row],[PID]],Table5[[#All],[PID]],0))</f>
        <v/>
      </c>
      <c r="BJ233" s="45" t="str">
        <f>INDEX(Table5[[#All],[Pick]],MATCH(Table3[[#This Row],[PID]],Table5[[#All],[PID]],0))</f>
        <v/>
      </c>
      <c r="BK233" s="45" t="str">
        <f>INDEX(Table5[[#All],[Team]],MATCH(Table3[[#This Row],[PID]],Table5[[#All],[PID]],0))</f>
        <v/>
      </c>
      <c r="BL2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4" spans="1:64" ht="15" customHeight="1" x14ac:dyDescent="0.25">
      <c r="A234" s="40">
        <v>20829</v>
      </c>
      <c r="B234" s="40" t="s">
        <v>415</v>
      </c>
      <c r="C234" s="40" t="s">
        <v>364</v>
      </c>
      <c r="D234" s="40" t="s">
        <v>195</v>
      </c>
      <c r="E234" s="40">
        <v>17</v>
      </c>
      <c r="F234" s="40" t="s">
        <v>42</v>
      </c>
      <c r="G234" s="40" t="s">
        <v>42</v>
      </c>
      <c r="H234" s="41" t="s">
        <v>647</v>
      </c>
      <c r="I234" s="42" t="s">
        <v>47</v>
      </c>
      <c r="J234" s="40" t="s">
        <v>43</v>
      </c>
      <c r="K234" s="41" t="s">
        <v>43</v>
      </c>
      <c r="L234" s="40">
        <v>1</v>
      </c>
      <c r="M234" s="40">
        <v>2</v>
      </c>
      <c r="N234" s="41">
        <v>1</v>
      </c>
      <c r="O234" s="40">
        <v>3</v>
      </c>
      <c r="P234" s="40">
        <v>2</v>
      </c>
      <c r="Q234" s="41">
        <v>3</v>
      </c>
      <c r="R234" s="40">
        <v>2</v>
      </c>
      <c r="S234" s="40">
        <v>3</v>
      </c>
      <c r="T234" s="40" t="s">
        <v>45</v>
      </c>
      <c r="U234" s="40" t="s">
        <v>45</v>
      </c>
      <c r="V234" s="40" t="s">
        <v>45</v>
      </c>
      <c r="W234" s="40" t="s">
        <v>45</v>
      </c>
      <c r="X234" s="40">
        <v>1</v>
      </c>
      <c r="Y234" s="40">
        <v>3</v>
      </c>
      <c r="Z234" s="40" t="s">
        <v>45</v>
      </c>
      <c r="AA234" s="40" t="s">
        <v>45</v>
      </c>
      <c r="AB234" s="40" t="s">
        <v>45</v>
      </c>
      <c r="AC234" s="40" t="s">
        <v>45</v>
      </c>
      <c r="AD234" s="40" t="s">
        <v>45</v>
      </c>
      <c r="AE234" s="40" t="s">
        <v>45</v>
      </c>
      <c r="AF234" s="40" t="s">
        <v>45</v>
      </c>
      <c r="AG234" s="40" t="s">
        <v>45</v>
      </c>
      <c r="AH234" s="40">
        <v>1</v>
      </c>
      <c r="AI234" s="40">
        <v>5</v>
      </c>
      <c r="AJ234" s="40" t="s">
        <v>45</v>
      </c>
      <c r="AK234" s="40" t="s">
        <v>45</v>
      </c>
      <c r="AL234" s="40" t="s">
        <v>45</v>
      </c>
      <c r="AM234" s="40" t="s">
        <v>45</v>
      </c>
      <c r="AN234" s="40" t="s">
        <v>45</v>
      </c>
      <c r="AO234" s="41" t="s">
        <v>45</v>
      </c>
      <c r="AP234" s="40" t="s">
        <v>68</v>
      </c>
      <c r="AQ234" s="40">
        <v>8</v>
      </c>
      <c r="AR234" s="48" t="s">
        <v>347</v>
      </c>
      <c r="AS234" s="43" t="s">
        <v>659</v>
      </c>
      <c r="AT234" s="43" t="s">
        <v>47</v>
      </c>
      <c r="AU234" s="44">
        <f t="shared" si="24"/>
        <v>-2.5060525215375429</v>
      </c>
      <c r="AV234" s="44">
        <f t="shared" si="25"/>
        <v>-1.1865339896739031</v>
      </c>
      <c r="AW234" s="45">
        <f t="shared" si="26"/>
        <v>3</v>
      </c>
      <c r="AX234" s="45">
        <f t="shared" si="27"/>
        <v>0</v>
      </c>
      <c r="AY234" s="46">
        <f>VLOOKUP(AP234,COND!$A$10:$B$32,2,FALSE)</f>
        <v>0.95</v>
      </c>
      <c r="AZ234" s="44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30.629704217103708</v>
      </c>
      <c r="BA234" s="47">
        <f>STANDARDIZE(AZ234,AVERAGE($AZ$5:$AZ$557),STDEVP($AZ$5:$AZ$557))</f>
        <v>-0.34866386753076756</v>
      </c>
      <c r="BB234" s="45" t="str">
        <f t="shared" si="28"/>
        <v>SP</v>
      </c>
      <c r="BC234" s="45">
        <f>RANK(Table3[[#This Row],[zScore]],Table3[zScore])</f>
        <v>450</v>
      </c>
      <c r="BD234" s="45"/>
      <c r="BE234" s="45"/>
      <c r="BF234" s="45" t="str">
        <f t="shared" si="29"/>
        <v>Unlikely</v>
      </c>
      <c r="BG234" s="45"/>
      <c r="BH234" s="45" t="str">
        <f>INDEX(Table5[[#All],[Ovr]],MATCH(Table3[[#This Row],[PID]],Table5[[#All],[PID]],0))</f>
        <v/>
      </c>
      <c r="BI234" s="45" t="str">
        <f>INDEX(Table5[[#All],[Rnd]],MATCH(Table3[[#This Row],[PID]],Table5[[#All],[PID]],0))</f>
        <v/>
      </c>
      <c r="BJ234" s="45" t="str">
        <f>INDEX(Table5[[#All],[Pick]],MATCH(Table3[[#This Row],[PID]],Table5[[#All],[PID]],0))</f>
        <v/>
      </c>
      <c r="BK234" s="45" t="str">
        <f>INDEX(Table5[[#All],[Team]],MATCH(Table3[[#This Row],[PID]],Table5[[#All],[PID]],0))</f>
        <v/>
      </c>
      <c r="BL2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5" spans="1:64" ht="15" customHeight="1" x14ac:dyDescent="0.25">
      <c r="A235" s="40">
        <v>17613</v>
      </c>
      <c r="B235" s="40" t="s">
        <v>415</v>
      </c>
      <c r="C235" s="40" t="s">
        <v>190</v>
      </c>
      <c r="D235" s="40" t="s">
        <v>2106</v>
      </c>
      <c r="E235" s="40">
        <v>18</v>
      </c>
      <c r="F235" s="40" t="s">
        <v>42</v>
      </c>
      <c r="G235" s="40" t="s">
        <v>42</v>
      </c>
      <c r="H235" s="41" t="s">
        <v>647</v>
      </c>
      <c r="I235" s="42" t="s">
        <v>43</v>
      </c>
      <c r="J235" s="40" t="s">
        <v>47</v>
      </c>
      <c r="K235" s="41" t="s">
        <v>43</v>
      </c>
      <c r="L235" s="40">
        <v>1</v>
      </c>
      <c r="M235" s="40">
        <v>1</v>
      </c>
      <c r="N235" s="41">
        <v>1</v>
      </c>
      <c r="O235" s="40">
        <v>3</v>
      </c>
      <c r="P235" s="40">
        <v>1</v>
      </c>
      <c r="Q235" s="41">
        <v>4</v>
      </c>
      <c r="R235" s="40">
        <v>2</v>
      </c>
      <c r="S235" s="40">
        <v>4</v>
      </c>
      <c r="T235" s="40">
        <v>1</v>
      </c>
      <c r="U235" s="40">
        <v>1</v>
      </c>
      <c r="V235" s="40">
        <v>1</v>
      </c>
      <c r="W235" s="40">
        <v>5</v>
      </c>
      <c r="X235" s="40" t="s">
        <v>45</v>
      </c>
      <c r="Y235" s="40" t="s">
        <v>45</v>
      </c>
      <c r="Z235" s="40" t="s">
        <v>45</v>
      </c>
      <c r="AA235" s="40" t="s">
        <v>45</v>
      </c>
      <c r="AB235" s="40" t="s">
        <v>45</v>
      </c>
      <c r="AC235" s="40" t="s">
        <v>45</v>
      </c>
      <c r="AD235" s="40" t="s">
        <v>45</v>
      </c>
      <c r="AE235" s="40" t="s">
        <v>45</v>
      </c>
      <c r="AF235" s="40" t="s">
        <v>45</v>
      </c>
      <c r="AG235" s="40" t="s">
        <v>45</v>
      </c>
      <c r="AH235" s="40" t="s">
        <v>45</v>
      </c>
      <c r="AI235" s="40" t="s">
        <v>45</v>
      </c>
      <c r="AJ235" s="40" t="s">
        <v>45</v>
      </c>
      <c r="AK235" s="40" t="s">
        <v>45</v>
      </c>
      <c r="AL235" s="40" t="s">
        <v>45</v>
      </c>
      <c r="AM235" s="40" t="s">
        <v>45</v>
      </c>
      <c r="AN235" s="40" t="s">
        <v>45</v>
      </c>
      <c r="AO235" s="41" t="s">
        <v>45</v>
      </c>
      <c r="AP235" s="40" t="s">
        <v>65</v>
      </c>
      <c r="AQ235" s="40">
        <v>4</v>
      </c>
      <c r="AR235" s="48" t="s">
        <v>347</v>
      </c>
      <c r="AS235" s="43" t="s">
        <v>654</v>
      </c>
      <c r="AT235" s="43" t="s">
        <v>47</v>
      </c>
      <c r="AU235" s="44">
        <f t="shared" si="24"/>
        <v>-2.7014842379675978</v>
      </c>
      <c r="AV235" s="44">
        <f t="shared" si="25"/>
        <v>-1.1396451400498482</v>
      </c>
      <c r="AW235" s="45">
        <f t="shared" si="26"/>
        <v>3</v>
      </c>
      <c r="AX235" s="45">
        <f t="shared" si="27"/>
        <v>0</v>
      </c>
      <c r="AY235" s="46">
        <f>VLOOKUP(AP235,COND!$A$10:$B$32,2,FALSE)</f>
        <v>0.95</v>
      </c>
      <c r="AZ235" s="44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30.595537317147091</v>
      </c>
      <c r="BA235" s="47">
        <f>STANDARDIZE(AZ235,AVERAGE($AZ$5:$AZ$557),STDEVP($AZ$5:$AZ$557))</f>
        <v>-0.35093693917413937</v>
      </c>
      <c r="BB235" s="45" t="str">
        <f t="shared" si="28"/>
        <v>RP</v>
      </c>
      <c r="BC235" s="45">
        <f>RANK(Table3[[#This Row],[zScore]],Table3[zScore])</f>
        <v>451</v>
      </c>
      <c r="BD235" s="45"/>
      <c r="BE235" s="45"/>
      <c r="BF235" s="45" t="str">
        <f t="shared" si="29"/>
        <v>Unlikely</v>
      </c>
      <c r="BG235" s="45"/>
      <c r="BH235" s="45" t="str">
        <f>INDEX(Table5[[#All],[Ovr]],MATCH(Table3[[#This Row],[PID]],Table5[[#All],[PID]],0))</f>
        <v/>
      </c>
      <c r="BI235" s="45" t="str">
        <f>INDEX(Table5[[#All],[Rnd]],MATCH(Table3[[#This Row],[PID]],Table5[[#All],[PID]],0))</f>
        <v/>
      </c>
      <c r="BJ235" s="45" t="str">
        <f>INDEX(Table5[[#All],[Pick]],MATCH(Table3[[#This Row],[PID]],Table5[[#All],[PID]],0))</f>
        <v/>
      </c>
      <c r="BK235" s="45" t="str">
        <f>INDEX(Table5[[#All],[Team]],MATCH(Table3[[#This Row],[PID]],Table5[[#All],[PID]],0))</f>
        <v/>
      </c>
      <c r="BL2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6" spans="1:64" ht="15" customHeight="1" x14ac:dyDescent="0.25">
      <c r="A236" s="40">
        <v>18247</v>
      </c>
      <c r="B236" s="40" t="s">
        <v>415</v>
      </c>
      <c r="C236" s="40" t="s">
        <v>2148</v>
      </c>
      <c r="D236" s="40" t="s">
        <v>720</v>
      </c>
      <c r="E236" s="40">
        <v>18</v>
      </c>
      <c r="F236" s="40" t="s">
        <v>42</v>
      </c>
      <c r="G236" s="40" t="s">
        <v>42</v>
      </c>
      <c r="H236" s="41" t="s">
        <v>647</v>
      </c>
      <c r="I236" s="42" t="s">
        <v>43</v>
      </c>
      <c r="J236" s="40" t="s">
        <v>43</v>
      </c>
      <c r="K236" s="41" t="s">
        <v>43</v>
      </c>
      <c r="L236" s="40">
        <v>1</v>
      </c>
      <c r="M236" s="40">
        <v>1</v>
      </c>
      <c r="N236" s="41">
        <v>1</v>
      </c>
      <c r="O236" s="40">
        <v>4</v>
      </c>
      <c r="P236" s="40">
        <v>1</v>
      </c>
      <c r="Q236" s="41">
        <v>3</v>
      </c>
      <c r="R236" s="40">
        <v>2</v>
      </c>
      <c r="S236" s="40">
        <v>5</v>
      </c>
      <c r="T236" s="40">
        <v>1</v>
      </c>
      <c r="U236" s="40">
        <v>1</v>
      </c>
      <c r="V236" s="40">
        <v>1</v>
      </c>
      <c r="W236" s="40">
        <v>6</v>
      </c>
      <c r="X236" s="40" t="s">
        <v>45</v>
      </c>
      <c r="Y236" s="40" t="s">
        <v>45</v>
      </c>
      <c r="Z236" s="40" t="s">
        <v>45</v>
      </c>
      <c r="AA236" s="40" t="s">
        <v>45</v>
      </c>
      <c r="AB236" s="40" t="s">
        <v>45</v>
      </c>
      <c r="AC236" s="40" t="s">
        <v>45</v>
      </c>
      <c r="AD236" s="40" t="s">
        <v>45</v>
      </c>
      <c r="AE236" s="40" t="s">
        <v>45</v>
      </c>
      <c r="AF236" s="40" t="s">
        <v>45</v>
      </c>
      <c r="AG236" s="40" t="s">
        <v>45</v>
      </c>
      <c r="AH236" s="40" t="s">
        <v>45</v>
      </c>
      <c r="AI236" s="40" t="s">
        <v>45</v>
      </c>
      <c r="AJ236" s="40" t="s">
        <v>45</v>
      </c>
      <c r="AK236" s="40" t="s">
        <v>45</v>
      </c>
      <c r="AL236" s="40" t="s">
        <v>45</v>
      </c>
      <c r="AM236" s="40" t="s">
        <v>45</v>
      </c>
      <c r="AN236" s="40" t="s">
        <v>45</v>
      </c>
      <c r="AO236" s="41" t="s">
        <v>45</v>
      </c>
      <c r="AP236" s="40" t="s">
        <v>65</v>
      </c>
      <c r="AQ236" s="40">
        <v>4</v>
      </c>
      <c r="AR236" s="48" t="s">
        <v>14</v>
      </c>
      <c r="AS236" s="43" t="s">
        <v>419</v>
      </c>
      <c r="AT236" s="43" t="s">
        <v>47</v>
      </c>
      <c r="AU236" s="44">
        <f t="shared" si="24"/>
        <v>-2.7014842379675978</v>
      </c>
      <c r="AV236" s="44">
        <f t="shared" si="25"/>
        <v>-1.1872743815947853</v>
      </c>
      <c r="AW236" s="45">
        <f t="shared" si="26"/>
        <v>3</v>
      </c>
      <c r="AX236" s="45">
        <f t="shared" si="27"/>
        <v>1</v>
      </c>
      <c r="AY236" s="46">
        <f>VLOOKUP(AP236,COND!$A$10:$B$32,2,FALSE)</f>
        <v>0.95</v>
      </c>
      <c r="AZ236" s="44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30.563954507260974</v>
      </c>
      <c r="BA236" s="47">
        <f>STANDARDIZE(AZ236,AVERAGE($AZ$5:$AZ$557),STDEVP($AZ$5:$AZ$557))</f>
        <v>-0.35303809525389168</v>
      </c>
      <c r="BB236" s="45" t="str">
        <f t="shared" si="28"/>
        <v>RP</v>
      </c>
      <c r="BC236" s="45">
        <f>RANK(Table3[[#This Row],[zScore]],Table3[zScore])</f>
        <v>452</v>
      </c>
      <c r="BD236" s="45"/>
      <c r="BE236" s="45"/>
      <c r="BF236" s="45" t="str">
        <f t="shared" si="29"/>
        <v>Unlikely</v>
      </c>
      <c r="BG236" s="45"/>
      <c r="BH236" s="45" t="str">
        <f>INDEX(Table5[[#All],[Ovr]],MATCH(Table3[[#This Row],[PID]],Table5[[#All],[PID]],0))</f>
        <v/>
      </c>
      <c r="BI236" s="45" t="str">
        <f>INDEX(Table5[[#All],[Rnd]],MATCH(Table3[[#This Row],[PID]],Table5[[#All],[PID]],0))</f>
        <v/>
      </c>
      <c r="BJ236" s="45" t="str">
        <f>INDEX(Table5[[#All],[Pick]],MATCH(Table3[[#This Row],[PID]],Table5[[#All],[PID]],0))</f>
        <v/>
      </c>
      <c r="BK236" s="45" t="str">
        <f>INDEX(Table5[[#All],[Team]],MATCH(Table3[[#This Row],[PID]],Table5[[#All],[PID]],0))</f>
        <v/>
      </c>
      <c r="BL2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7" spans="1:64" ht="15" customHeight="1" x14ac:dyDescent="0.25">
      <c r="A237" s="40">
        <v>8483</v>
      </c>
      <c r="B237" s="40" t="s">
        <v>415</v>
      </c>
      <c r="C237" s="40" t="s">
        <v>1122</v>
      </c>
      <c r="D237" s="40" t="s">
        <v>533</v>
      </c>
      <c r="E237" s="40">
        <v>22</v>
      </c>
      <c r="F237" s="40" t="s">
        <v>53</v>
      </c>
      <c r="G237" s="40" t="s">
        <v>53</v>
      </c>
      <c r="H237" s="41" t="s">
        <v>647</v>
      </c>
      <c r="I237" s="42" t="s">
        <v>44</v>
      </c>
      <c r="J237" s="40" t="s">
        <v>44</v>
      </c>
      <c r="K237" s="41" t="s">
        <v>44</v>
      </c>
      <c r="L237" s="40">
        <v>1</v>
      </c>
      <c r="M237" s="40">
        <v>1</v>
      </c>
      <c r="N237" s="41">
        <v>2</v>
      </c>
      <c r="O237" s="40">
        <v>3</v>
      </c>
      <c r="P237" s="40">
        <v>2</v>
      </c>
      <c r="Q237" s="41">
        <v>4</v>
      </c>
      <c r="R237" s="40">
        <v>2</v>
      </c>
      <c r="S237" s="40">
        <v>4</v>
      </c>
      <c r="T237" s="40">
        <v>1</v>
      </c>
      <c r="U237" s="40">
        <v>1</v>
      </c>
      <c r="V237" s="40">
        <v>1</v>
      </c>
      <c r="W237" s="40">
        <v>4</v>
      </c>
      <c r="X237" s="40" t="s">
        <v>45</v>
      </c>
      <c r="Y237" s="40" t="s">
        <v>45</v>
      </c>
      <c r="Z237" s="40" t="s">
        <v>45</v>
      </c>
      <c r="AA237" s="40" t="s">
        <v>45</v>
      </c>
      <c r="AB237" s="40" t="s">
        <v>45</v>
      </c>
      <c r="AC237" s="40" t="s">
        <v>45</v>
      </c>
      <c r="AD237" s="40" t="s">
        <v>45</v>
      </c>
      <c r="AE237" s="40" t="s">
        <v>45</v>
      </c>
      <c r="AF237" s="40" t="s">
        <v>45</v>
      </c>
      <c r="AG237" s="40" t="s">
        <v>45</v>
      </c>
      <c r="AH237" s="40" t="s">
        <v>45</v>
      </c>
      <c r="AI237" s="40" t="s">
        <v>45</v>
      </c>
      <c r="AJ237" s="40" t="s">
        <v>45</v>
      </c>
      <c r="AK237" s="40" t="s">
        <v>45</v>
      </c>
      <c r="AL237" s="40" t="s">
        <v>45</v>
      </c>
      <c r="AM237" s="40" t="s">
        <v>45</v>
      </c>
      <c r="AN237" s="40" t="s">
        <v>45</v>
      </c>
      <c r="AO237" s="41" t="s">
        <v>45</v>
      </c>
      <c r="AP237" s="40" t="s">
        <v>67</v>
      </c>
      <c r="AQ237" s="40">
        <v>6</v>
      </c>
      <c r="AR237" s="48" t="s">
        <v>14</v>
      </c>
      <c r="AS237" s="43" t="s">
        <v>45</v>
      </c>
      <c r="AT237" s="43" t="s">
        <v>635</v>
      </c>
      <c r="AU237" s="44">
        <f t="shared" si="24"/>
        <v>-2.4591636719134877</v>
      </c>
      <c r="AV237" s="44">
        <f t="shared" si="25"/>
        <v>-0.94421342361979277</v>
      </c>
      <c r="AW237" s="45">
        <f t="shared" si="26"/>
        <v>3</v>
      </c>
      <c r="AX237" s="45">
        <f t="shared" si="27"/>
        <v>0</v>
      </c>
      <c r="AY237" s="46">
        <f>VLOOKUP(AP237,COND!$A$10:$B$32,2,FALSE)</f>
        <v>0.9</v>
      </c>
      <c r="AZ237" s="44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30.563721191051819</v>
      </c>
      <c r="BA237" s="47">
        <f>STANDARDIZE(AZ237,AVERAGE($AZ$5:$AZ$557),STDEVP($AZ$5:$AZ$557))</f>
        <v>-0.35305361742475422</v>
      </c>
      <c r="BB237" s="45" t="str">
        <f t="shared" si="28"/>
        <v>SP</v>
      </c>
      <c r="BC237" s="45">
        <f>RANK(Table3[[#This Row],[zScore]],Table3[zScore])</f>
        <v>453</v>
      </c>
      <c r="BD237" s="45"/>
      <c r="BE237" s="45"/>
      <c r="BF237" s="45" t="str">
        <f t="shared" si="29"/>
        <v>Unlikely</v>
      </c>
      <c r="BG237" s="45"/>
      <c r="BH237" s="45" t="str">
        <f>INDEX(Table5[[#All],[Ovr]],MATCH(Table3[[#This Row],[PID]],Table5[[#All],[PID]],0))</f>
        <v/>
      </c>
      <c r="BI237" s="45" t="str">
        <f>INDEX(Table5[[#All],[Rnd]],MATCH(Table3[[#This Row],[PID]],Table5[[#All],[PID]],0))</f>
        <v/>
      </c>
      <c r="BJ237" s="45" t="str">
        <f>INDEX(Table5[[#All],[Pick]],MATCH(Table3[[#This Row],[PID]],Table5[[#All],[PID]],0))</f>
        <v/>
      </c>
      <c r="BK237" s="45" t="str">
        <f>INDEX(Table5[[#All],[Team]],MATCH(Table3[[#This Row],[PID]],Table5[[#All],[PID]],0))</f>
        <v/>
      </c>
      <c r="BL23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38" spans="1:64" ht="15" customHeight="1" x14ac:dyDescent="0.25">
      <c r="A238" s="40">
        <v>16883</v>
      </c>
      <c r="B238" s="40" t="s">
        <v>415</v>
      </c>
      <c r="C238" s="40" t="s">
        <v>140</v>
      </c>
      <c r="D238" s="40" t="s">
        <v>595</v>
      </c>
      <c r="E238" s="40">
        <v>21</v>
      </c>
      <c r="F238" s="40" t="s">
        <v>53</v>
      </c>
      <c r="G238" s="40" t="s">
        <v>53</v>
      </c>
      <c r="H238" s="41" t="s">
        <v>647</v>
      </c>
      <c r="I238" s="42" t="s">
        <v>43</v>
      </c>
      <c r="J238" s="40" t="s">
        <v>47</v>
      </c>
      <c r="K238" s="41" t="s">
        <v>43</v>
      </c>
      <c r="L238" s="40">
        <v>1</v>
      </c>
      <c r="M238" s="40">
        <v>2</v>
      </c>
      <c r="N238" s="41">
        <v>1</v>
      </c>
      <c r="O238" s="40">
        <v>4</v>
      </c>
      <c r="P238" s="40">
        <v>2</v>
      </c>
      <c r="Q238" s="41">
        <v>3</v>
      </c>
      <c r="R238" s="40">
        <v>2</v>
      </c>
      <c r="S238" s="40">
        <v>4</v>
      </c>
      <c r="T238" s="40">
        <v>1</v>
      </c>
      <c r="U238" s="40">
        <v>7</v>
      </c>
      <c r="V238" s="40">
        <v>1</v>
      </c>
      <c r="W238" s="40">
        <v>3</v>
      </c>
      <c r="X238" s="40" t="s">
        <v>45</v>
      </c>
      <c r="Y238" s="40" t="s">
        <v>45</v>
      </c>
      <c r="Z238" s="40" t="s">
        <v>45</v>
      </c>
      <c r="AA238" s="40" t="s">
        <v>45</v>
      </c>
      <c r="AB238" s="40" t="s">
        <v>45</v>
      </c>
      <c r="AC238" s="40" t="s">
        <v>45</v>
      </c>
      <c r="AD238" s="40" t="s">
        <v>45</v>
      </c>
      <c r="AE238" s="40" t="s">
        <v>45</v>
      </c>
      <c r="AF238" s="40" t="s">
        <v>45</v>
      </c>
      <c r="AG238" s="40" t="s">
        <v>45</v>
      </c>
      <c r="AH238" s="40" t="s">
        <v>45</v>
      </c>
      <c r="AI238" s="40" t="s">
        <v>45</v>
      </c>
      <c r="AJ238" s="40" t="s">
        <v>45</v>
      </c>
      <c r="AK238" s="40" t="s">
        <v>45</v>
      </c>
      <c r="AL238" s="40" t="s">
        <v>45</v>
      </c>
      <c r="AM238" s="40" t="s">
        <v>45</v>
      </c>
      <c r="AN238" s="40" t="s">
        <v>45</v>
      </c>
      <c r="AO238" s="41" t="s">
        <v>45</v>
      </c>
      <c r="AP238" s="40" t="s">
        <v>67</v>
      </c>
      <c r="AQ238" s="40">
        <v>6</v>
      </c>
      <c r="AR238" s="48" t="s">
        <v>347</v>
      </c>
      <c r="AS238" s="43" t="s">
        <v>45</v>
      </c>
      <c r="AT238" s="43"/>
      <c r="AU238" s="44">
        <f t="shared" si="24"/>
        <v>-2.5060525215375429</v>
      </c>
      <c r="AV238" s="44">
        <f t="shared" si="25"/>
        <v>-0.99184266516472974</v>
      </c>
      <c r="AW238" s="45">
        <f t="shared" si="26"/>
        <v>3</v>
      </c>
      <c r="AX238" s="45">
        <f t="shared" si="27"/>
        <v>1</v>
      </c>
      <c r="AY238" s="46">
        <f>VLOOKUP(AP238,COND!$A$10:$B$32,2,FALSE)</f>
        <v>0.9</v>
      </c>
      <c r="AZ238" s="44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31.866474008829154</v>
      </c>
      <c r="BA238" s="47">
        <f>STANDARDIZE(AZ238,AVERAGE($AZ$5:$AZ$788),STDEVP($AZ$5:$AZ$788))</f>
        <v>-0.3555170123102</v>
      </c>
      <c r="BB238" s="45" t="str">
        <f t="shared" si="28"/>
        <v>SP</v>
      </c>
      <c r="BC238" s="45">
        <f>RANK(Table3[[#This Row],[zScore]],Table3[zScore])</f>
        <v>455</v>
      </c>
      <c r="BD238" s="45"/>
      <c r="BE238" s="45"/>
      <c r="BF238" s="45" t="str">
        <f t="shared" si="29"/>
        <v>Unlikely</v>
      </c>
      <c r="BG238" s="45"/>
      <c r="BH238" s="64" t="str">
        <f>INDEX(Table5[[#All],[Ovr]],MATCH(Table3[[#This Row],[PID]],Table5[[#All],[PID]],0))</f>
        <v/>
      </c>
      <c r="BI238" s="64" t="str">
        <f>INDEX(Table5[[#All],[Rnd]],MATCH(Table3[[#This Row],[PID]],Table5[[#All],[PID]],0))</f>
        <v/>
      </c>
      <c r="BJ238" s="64" t="str">
        <f>INDEX(Table5[[#All],[Pick]],MATCH(Table3[[#This Row],[PID]],Table5[[#All],[PID]],0))</f>
        <v/>
      </c>
      <c r="BK238" s="64" t="str">
        <f>INDEX(Table5[[#All],[Team]],MATCH(Table3[[#This Row],[PID]],Table5[[#All],[PID]],0))</f>
        <v/>
      </c>
      <c r="BL238" s="64" t="str">
        <f>IF(OR(Table3[[#This Row],[POS]]="SP",Table3[[#This Row],[POS]]="RP",Table3[[#This Row],[POS]]="CL"),"P",INDEX(Batters[[#All],[zScore]],MATCH(Table3[[#This Row],[PID]],Batters[[#All],[PID]],0)))</f>
        <v>P</v>
      </c>
    </row>
    <row r="239" spans="1:64" ht="15" customHeight="1" x14ac:dyDescent="0.25">
      <c r="A239" s="40">
        <v>20529</v>
      </c>
      <c r="B239" s="40" t="s">
        <v>415</v>
      </c>
      <c r="C239" s="40" t="s">
        <v>1972</v>
      </c>
      <c r="D239" s="40" t="s">
        <v>1664</v>
      </c>
      <c r="E239" s="40">
        <v>18</v>
      </c>
      <c r="F239" s="40" t="s">
        <v>42</v>
      </c>
      <c r="G239" s="40" t="s">
        <v>42</v>
      </c>
      <c r="H239" s="41" t="s">
        <v>647</v>
      </c>
      <c r="I239" s="42" t="s">
        <v>43</v>
      </c>
      <c r="J239" s="40" t="s">
        <v>44</v>
      </c>
      <c r="K239" s="41" t="s">
        <v>43</v>
      </c>
      <c r="L239" s="40">
        <v>2</v>
      </c>
      <c r="M239" s="40">
        <v>2</v>
      </c>
      <c r="N239" s="41">
        <v>1</v>
      </c>
      <c r="O239" s="40">
        <v>4</v>
      </c>
      <c r="P239" s="40">
        <v>2</v>
      </c>
      <c r="Q239" s="41">
        <v>2</v>
      </c>
      <c r="R239" s="40">
        <v>3</v>
      </c>
      <c r="S239" s="40">
        <v>4</v>
      </c>
      <c r="T239" s="40">
        <v>2</v>
      </c>
      <c r="U239" s="40">
        <v>7</v>
      </c>
      <c r="V239" s="40" t="s">
        <v>45</v>
      </c>
      <c r="W239" s="40" t="s">
        <v>45</v>
      </c>
      <c r="X239" s="40">
        <v>2</v>
      </c>
      <c r="Y239" s="40">
        <v>4</v>
      </c>
      <c r="Z239" s="40" t="s">
        <v>45</v>
      </c>
      <c r="AA239" s="40" t="s">
        <v>45</v>
      </c>
      <c r="AB239" s="40" t="s">
        <v>45</v>
      </c>
      <c r="AC239" s="40" t="s">
        <v>45</v>
      </c>
      <c r="AD239" s="40" t="s">
        <v>45</v>
      </c>
      <c r="AE239" s="40" t="s">
        <v>45</v>
      </c>
      <c r="AF239" s="40" t="s">
        <v>45</v>
      </c>
      <c r="AG239" s="40" t="s">
        <v>45</v>
      </c>
      <c r="AH239" s="40" t="s">
        <v>45</v>
      </c>
      <c r="AI239" s="40" t="s">
        <v>45</v>
      </c>
      <c r="AJ239" s="40" t="s">
        <v>45</v>
      </c>
      <c r="AK239" s="40" t="s">
        <v>45</v>
      </c>
      <c r="AL239" s="40" t="s">
        <v>45</v>
      </c>
      <c r="AM239" s="40" t="s">
        <v>45</v>
      </c>
      <c r="AN239" s="40" t="s">
        <v>45</v>
      </c>
      <c r="AO239" s="41" t="s">
        <v>45</v>
      </c>
      <c r="AP239" s="40" t="s">
        <v>65</v>
      </c>
      <c r="AQ239" s="40">
        <v>9</v>
      </c>
      <c r="AR239" s="48" t="s">
        <v>347</v>
      </c>
      <c r="AS239" s="43" t="s">
        <v>644</v>
      </c>
      <c r="AT239" s="43" t="s">
        <v>47</v>
      </c>
      <c r="AU239" s="44">
        <f t="shared" si="24"/>
        <v>-2.311361197028369</v>
      </c>
      <c r="AV239" s="44">
        <f t="shared" si="25"/>
        <v>-1.23416323121884</v>
      </c>
      <c r="AW239" s="45">
        <f t="shared" si="26"/>
        <v>3</v>
      </c>
      <c r="AX239" s="45">
        <f t="shared" si="27"/>
        <v>1</v>
      </c>
      <c r="AY239" s="46">
        <f>VLOOKUP(AP239,COND!$A$10:$B$32,2,FALSE)</f>
        <v>0.95</v>
      </c>
      <c r="AZ239" s="44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30.42423997940665</v>
      </c>
      <c r="BA239" s="47">
        <f>STANDARDIZE(AZ239,AVERAGE($AZ$5:$AZ$557),STDEVP($AZ$5:$AZ$557))</f>
        <v>-0.36233308929303448</v>
      </c>
      <c r="BB239" s="45" t="str">
        <f t="shared" si="28"/>
        <v>SP</v>
      </c>
      <c r="BC239" s="45">
        <f>RANK(Table3[[#This Row],[zScore]],Table3[zScore])</f>
        <v>458</v>
      </c>
      <c r="BD239" s="45"/>
      <c r="BE239" s="45"/>
      <c r="BF239" s="45" t="str">
        <f t="shared" si="29"/>
        <v>Unlikely</v>
      </c>
      <c r="BG239" s="45"/>
      <c r="BH239" s="45" t="str">
        <f>INDEX(Table5[[#All],[Ovr]],MATCH(Table3[[#This Row],[PID]],Table5[[#All],[PID]],0))</f>
        <v/>
      </c>
      <c r="BI239" s="45" t="str">
        <f>INDEX(Table5[[#All],[Rnd]],MATCH(Table3[[#This Row],[PID]],Table5[[#All],[PID]],0))</f>
        <v/>
      </c>
      <c r="BJ239" s="45" t="str">
        <f>INDEX(Table5[[#All],[Pick]],MATCH(Table3[[#This Row],[PID]],Table5[[#All],[PID]],0))</f>
        <v/>
      </c>
      <c r="BK239" s="45" t="str">
        <f>INDEX(Table5[[#All],[Team]],MATCH(Table3[[#This Row],[PID]],Table5[[#All],[PID]],0))</f>
        <v/>
      </c>
      <c r="BL2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0" spans="1:64" ht="15" customHeight="1" x14ac:dyDescent="0.25">
      <c r="A240" s="40">
        <v>17894</v>
      </c>
      <c r="B240" s="40" t="s">
        <v>415</v>
      </c>
      <c r="C240" s="40" t="s">
        <v>2039</v>
      </c>
      <c r="D240" s="40" t="s">
        <v>653</v>
      </c>
      <c r="E240" s="40">
        <v>18</v>
      </c>
      <c r="F240" s="40" t="s">
        <v>53</v>
      </c>
      <c r="G240" s="40" t="s">
        <v>53</v>
      </c>
      <c r="H240" s="41" t="s">
        <v>647</v>
      </c>
      <c r="I240" s="42" t="s">
        <v>43</v>
      </c>
      <c r="J240" s="40" t="s">
        <v>44</v>
      </c>
      <c r="K240" s="41" t="s">
        <v>43</v>
      </c>
      <c r="L240" s="40">
        <v>2</v>
      </c>
      <c r="M240" s="40">
        <v>1</v>
      </c>
      <c r="N240" s="41">
        <v>1</v>
      </c>
      <c r="O240" s="40">
        <v>5</v>
      </c>
      <c r="P240" s="40">
        <v>1</v>
      </c>
      <c r="Q240" s="41">
        <v>2</v>
      </c>
      <c r="R240" s="40">
        <v>3</v>
      </c>
      <c r="S240" s="40">
        <v>5</v>
      </c>
      <c r="T240" s="40">
        <v>1</v>
      </c>
      <c r="U240" s="40">
        <v>1</v>
      </c>
      <c r="V240" s="40">
        <v>2</v>
      </c>
      <c r="W240" s="40">
        <v>7</v>
      </c>
      <c r="X240" s="40" t="s">
        <v>45</v>
      </c>
      <c r="Y240" s="40" t="s">
        <v>45</v>
      </c>
      <c r="Z240" s="40" t="s">
        <v>45</v>
      </c>
      <c r="AA240" s="40" t="s">
        <v>45</v>
      </c>
      <c r="AB240" s="40" t="s">
        <v>45</v>
      </c>
      <c r="AC240" s="40" t="s">
        <v>45</v>
      </c>
      <c r="AD240" s="40" t="s">
        <v>45</v>
      </c>
      <c r="AE240" s="40" t="s">
        <v>45</v>
      </c>
      <c r="AF240" s="40" t="s">
        <v>45</v>
      </c>
      <c r="AG240" s="40" t="s">
        <v>45</v>
      </c>
      <c r="AH240" s="40" t="s">
        <v>45</v>
      </c>
      <c r="AI240" s="40" t="s">
        <v>45</v>
      </c>
      <c r="AJ240" s="40" t="s">
        <v>45</v>
      </c>
      <c r="AK240" s="40" t="s">
        <v>45</v>
      </c>
      <c r="AL240" s="40" t="s">
        <v>45</v>
      </c>
      <c r="AM240" s="40" t="s">
        <v>45</v>
      </c>
      <c r="AN240" s="40" t="s">
        <v>45</v>
      </c>
      <c r="AO240" s="41" t="s">
        <v>45</v>
      </c>
      <c r="AP240" s="40" t="s">
        <v>65</v>
      </c>
      <c r="AQ240" s="40">
        <v>9</v>
      </c>
      <c r="AR240" s="48" t="s">
        <v>14</v>
      </c>
      <c r="AS240" s="43" t="s">
        <v>644</v>
      </c>
      <c r="AT240" s="43" t="s">
        <v>47</v>
      </c>
      <c r="AU240" s="44">
        <f t="shared" si="24"/>
        <v>-2.5067929134584248</v>
      </c>
      <c r="AV240" s="44">
        <f t="shared" si="25"/>
        <v>-1.2349036231397219</v>
      </c>
      <c r="AW240" s="45">
        <f t="shared" si="26"/>
        <v>3</v>
      </c>
      <c r="AX240" s="45">
        <f t="shared" si="27"/>
        <v>1</v>
      </c>
      <c r="AY240" s="46">
        <f>VLOOKUP(AP240,COND!$A$10:$B$32,2,FALSE)</f>
        <v>0.95</v>
      </c>
      <c r="AZ240" s="44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30.373040506788183</v>
      </c>
      <c r="BA240" s="47">
        <f>STANDARDIZE(AZ240,AVERAGE($AZ$5:$AZ$557),STDEVP($AZ$5:$AZ$557))</f>
        <v>-0.36573931196797427</v>
      </c>
      <c r="BB240" s="45" t="str">
        <f t="shared" si="28"/>
        <v>SP</v>
      </c>
      <c r="BC240" s="45">
        <f>RANK(Table3[[#This Row],[zScore]],Table3[zScore])</f>
        <v>459</v>
      </c>
      <c r="BD240" s="45"/>
      <c r="BE240" s="45"/>
      <c r="BF240" s="45" t="str">
        <f t="shared" si="29"/>
        <v>Unlikely</v>
      </c>
      <c r="BG240" s="45"/>
      <c r="BH240" s="45" t="str">
        <f>INDEX(Table5[[#All],[Ovr]],MATCH(Table3[[#This Row],[PID]],Table5[[#All],[PID]],0))</f>
        <v/>
      </c>
      <c r="BI240" s="45" t="str">
        <f>INDEX(Table5[[#All],[Rnd]],MATCH(Table3[[#This Row],[PID]],Table5[[#All],[PID]],0))</f>
        <v/>
      </c>
      <c r="BJ240" s="45" t="str">
        <f>INDEX(Table5[[#All],[Pick]],MATCH(Table3[[#This Row],[PID]],Table5[[#All],[PID]],0))</f>
        <v/>
      </c>
      <c r="BK240" s="45" t="str">
        <f>INDEX(Table5[[#All],[Team]],MATCH(Table3[[#This Row],[PID]],Table5[[#All],[PID]],0))</f>
        <v/>
      </c>
      <c r="BL2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1" spans="1:64" ht="15" customHeight="1" x14ac:dyDescent="0.25">
      <c r="A241" s="40">
        <v>21010</v>
      </c>
      <c r="B241" s="40" t="s">
        <v>415</v>
      </c>
      <c r="C241" s="40" t="s">
        <v>1660</v>
      </c>
      <c r="D241" s="40" t="s">
        <v>1502</v>
      </c>
      <c r="E241" s="40">
        <v>17</v>
      </c>
      <c r="F241" s="40" t="s">
        <v>53</v>
      </c>
      <c r="G241" s="40" t="s">
        <v>42</v>
      </c>
      <c r="H241" s="41" t="s">
        <v>647</v>
      </c>
      <c r="I241" s="42" t="s">
        <v>43</v>
      </c>
      <c r="J241" s="40" t="s">
        <v>43</v>
      </c>
      <c r="K241" s="41" t="s">
        <v>43</v>
      </c>
      <c r="L241" s="40">
        <v>2</v>
      </c>
      <c r="M241" s="40">
        <v>2</v>
      </c>
      <c r="N241" s="41">
        <v>1</v>
      </c>
      <c r="O241" s="40">
        <v>3</v>
      </c>
      <c r="P241" s="40">
        <v>2</v>
      </c>
      <c r="Q241" s="41">
        <v>3</v>
      </c>
      <c r="R241" s="40">
        <v>3</v>
      </c>
      <c r="S241" s="40">
        <v>3</v>
      </c>
      <c r="T241" s="40">
        <v>1</v>
      </c>
      <c r="U241" s="40">
        <v>4</v>
      </c>
      <c r="V241" s="40">
        <v>1</v>
      </c>
      <c r="W241" s="40">
        <v>3</v>
      </c>
      <c r="X241" s="40" t="s">
        <v>45</v>
      </c>
      <c r="Y241" s="40" t="s">
        <v>45</v>
      </c>
      <c r="Z241" s="40" t="s">
        <v>45</v>
      </c>
      <c r="AA241" s="40" t="s">
        <v>45</v>
      </c>
      <c r="AB241" s="40">
        <v>2</v>
      </c>
      <c r="AC241" s="40">
        <v>4</v>
      </c>
      <c r="AD241" s="40" t="s">
        <v>45</v>
      </c>
      <c r="AE241" s="40" t="s">
        <v>45</v>
      </c>
      <c r="AF241" s="40" t="s">
        <v>45</v>
      </c>
      <c r="AG241" s="40" t="s">
        <v>45</v>
      </c>
      <c r="AH241" s="40" t="s">
        <v>45</v>
      </c>
      <c r="AI241" s="40" t="s">
        <v>45</v>
      </c>
      <c r="AJ241" s="40" t="s">
        <v>45</v>
      </c>
      <c r="AK241" s="40" t="s">
        <v>45</v>
      </c>
      <c r="AL241" s="40" t="s">
        <v>45</v>
      </c>
      <c r="AM241" s="40" t="s">
        <v>45</v>
      </c>
      <c r="AN241" s="40" t="s">
        <v>45</v>
      </c>
      <c r="AO241" s="41" t="s">
        <v>45</v>
      </c>
      <c r="AP241" s="40" t="s">
        <v>64</v>
      </c>
      <c r="AQ241" s="40">
        <v>5</v>
      </c>
      <c r="AR241" s="48" t="s">
        <v>347</v>
      </c>
      <c r="AS241" s="43" t="s">
        <v>663</v>
      </c>
      <c r="AT241" s="43" t="s">
        <v>47</v>
      </c>
      <c r="AU241" s="44">
        <f t="shared" si="24"/>
        <v>-2.311361197028369</v>
      </c>
      <c r="AV241" s="44">
        <f t="shared" si="25"/>
        <v>-1.1865339896739031</v>
      </c>
      <c r="AW241" s="45">
        <f t="shared" si="26"/>
        <v>4</v>
      </c>
      <c r="AX241" s="45">
        <f t="shared" si="27"/>
        <v>0</v>
      </c>
      <c r="AY241" s="46">
        <f>VLOOKUP(AP241,COND!$A$10:$B$32,2,FALSE)</f>
        <v>1</v>
      </c>
      <c r="AZ241" s="44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30.361871767938361</v>
      </c>
      <c r="BA241" s="47">
        <f>STANDARDIZE(AZ241,AVERAGE($AZ$5:$AZ$557),STDEVP($AZ$5:$AZ$557))</f>
        <v>-0.36648235109660432</v>
      </c>
      <c r="BB241" s="45" t="str">
        <f t="shared" si="28"/>
        <v>SP</v>
      </c>
      <c r="BC241" s="45">
        <f>RANK(Table3[[#This Row],[zScore]],Table3[zScore])</f>
        <v>460</v>
      </c>
      <c r="BD241" s="45"/>
      <c r="BE241" s="45"/>
      <c r="BF241" s="45" t="str">
        <f t="shared" si="29"/>
        <v>Unlikely</v>
      </c>
      <c r="BG241" s="45"/>
      <c r="BH241" s="45" t="str">
        <f>INDEX(Table5[[#All],[Ovr]],MATCH(Table3[[#This Row],[PID]],Table5[[#All],[PID]],0))</f>
        <v/>
      </c>
      <c r="BI241" s="45" t="str">
        <f>INDEX(Table5[[#All],[Rnd]],MATCH(Table3[[#This Row],[PID]],Table5[[#All],[PID]],0))</f>
        <v/>
      </c>
      <c r="BJ241" s="45" t="str">
        <f>INDEX(Table5[[#All],[Pick]],MATCH(Table3[[#This Row],[PID]],Table5[[#All],[PID]],0))</f>
        <v/>
      </c>
      <c r="BK241" s="45" t="str">
        <f>INDEX(Table5[[#All],[Team]],MATCH(Table3[[#This Row],[PID]],Table5[[#All],[PID]],0))</f>
        <v/>
      </c>
      <c r="BL2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2" spans="1:64" ht="15" customHeight="1" x14ac:dyDescent="0.25">
      <c r="A242" s="40">
        <v>20625</v>
      </c>
      <c r="B242" s="40" t="s">
        <v>415</v>
      </c>
      <c r="C242" s="40" t="s">
        <v>2215</v>
      </c>
      <c r="D242" s="40" t="s">
        <v>2214</v>
      </c>
      <c r="E242" s="40">
        <v>18</v>
      </c>
      <c r="F242" s="40" t="s">
        <v>42</v>
      </c>
      <c r="G242" s="40" t="s">
        <v>42</v>
      </c>
      <c r="H242" s="41" t="s">
        <v>647</v>
      </c>
      <c r="I242" s="42" t="s">
        <v>47</v>
      </c>
      <c r="J242" s="40" t="s">
        <v>43</v>
      </c>
      <c r="K242" s="41" t="s">
        <v>44</v>
      </c>
      <c r="L242" s="40">
        <v>1</v>
      </c>
      <c r="M242" s="40">
        <v>1</v>
      </c>
      <c r="N242" s="41">
        <v>1</v>
      </c>
      <c r="O242" s="40">
        <v>3</v>
      </c>
      <c r="P242" s="40">
        <v>1</v>
      </c>
      <c r="Q242" s="41">
        <v>4</v>
      </c>
      <c r="R242" s="40">
        <v>2</v>
      </c>
      <c r="S242" s="40">
        <v>4</v>
      </c>
      <c r="T242" s="40">
        <v>1</v>
      </c>
      <c r="U242" s="40">
        <v>5</v>
      </c>
      <c r="V242" s="40">
        <v>1</v>
      </c>
      <c r="W242" s="40">
        <v>4</v>
      </c>
      <c r="X242" s="40">
        <v>2</v>
      </c>
      <c r="Y242" s="40">
        <v>4</v>
      </c>
      <c r="Z242" s="40" t="s">
        <v>45</v>
      </c>
      <c r="AA242" s="40" t="s">
        <v>45</v>
      </c>
      <c r="AB242" s="40" t="s">
        <v>45</v>
      </c>
      <c r="AC242" s="40" t="s">
        <v>45</v>
      </c>
      <c r="AD242" s="40" t="s">
        <v>45</v>
      </c>
      <c r="AE242" s="40" t="s">
        <v>45</v>
      </c>
      <c r="AF242" s="40" t="s">
        <v>45</v>
      </c>
      <c r="AG242" s="40" t="s">
        <v>45</v>
      </c>
      <c r="AH242" s="40" t="s">
        <v>45</v>
      </c>
      <c r="AI242" s="40" t="s">
        <v>45</v>
      </c>
      <c r="AJ242" s="40" t="s">
        <v>45</v>
      </c>
      <c r="AK242" s="40" t="s">
        <v>45</v>
      </c>
      <c r="AL242" s="40" t="s">
        <v>45</v>
      </c>
      <c r="AM242" s="40" t="s">
        <v>45</v>
      </c>
      <c r="AN242" s="40" t="s">
        <v>45</v>
      </c>
      <c r="AO242" s="41" t="s">
        <v>45</v>
      </c>
      <c r="AP242" s="40" t="s">
        <v>65</v>
      </c>
      <c r="AQ242" s="40">
        <v>8</v>
      </c>
      <c r="AR242" s="48" t="s">
        <v>14</v>
      </c>
      <c r="AS242" s="43" t="s">
        <v>644</v>
      </c>
      <c r="AT242" s="43"/>
      <c r="AU242" s="44">
        <f t="shared" si="24"/>
        <v>-2.7014842379675978</v>
      </c>
      <c r="AV242" s="44">
        <f t="shared" si="25"/>
        <v>-1.1396451400498482</v>
      </c>
      <c r="AW242" s="45">
        <f t="shared" si="26"/>
        <v>4</v>
      </c>
      <c r="AX242" s="45">
        <f t="shared" si="27"/>
        <v>0</v>
      </c>
      <c r="AY242" s="46">
        <f>VLOOKUP(AP242,COND!$A$10:$B$32,2,FALSE)</f>
        <v>0.95</v>
      </c>
      <c r="AZ242" s="44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31.658460333839038</v>
      </c>
      <c r="BA242" s="47">
        <f>STANDARDIZE(AZ242,AVERAGE($AZ$5:$AZ$788),STDEVP($AZ$5:$AZ$788))</f>
        <v>-0.37056939467698968</v>
      </c>
      <c r="BB242" s="45" t="str">
        <f t="shared" si="28"/>
        <v>SP</v>
      </c>
      <c r="BC242" s="45">
        <f>RANK(Table3[[#This Row],[zScore]],Table3[zScore])</f>
        <v>461</v>
      </c>
      <c r="BD242" s="45"/>
      <c r="BE242" s="45"/>
      <c r="BF242" s="45" t="str">
        <f t="shared" si="29"/>
        <v>Unlikely</v>
      </c>
      <c r="BG242" s="45"/>
      <c r="BH242" s="64" t="str">
        <f>INDEX(Table5[[#All],[Ovr]],MATCH(Table3[[#This Row],[PID]],Table5[[#All],[PID]],0))</f>
        <v/>
      </c>
      <c r="BI242" s="64" t="str">
        <f>INDEX(Table5[[#All],[Rnd]],MATCH(Table3[[#This Row],[PID]],Table5[[#All],[PID]],0))</f>
        <v/>
      </c>
      <c r="BJ242" s="64" t="str">
        <f>INDEX(Table5[[#All],[Pick]],MATCH(Table3[[#This Row],[PID]],Table5[[#All],[PID]],0))</f>
        <v/>
      </c>
      <c r="BK242" s="64" t="str">
        <f>INDEX(Table5[[#All],[Team]],MATCH(Table3[[#This Row],[PID]],Table5[[#All],[PID]],0))</f>
        <v/>
      </c>
      <c r="BL242" s="64" t="str">
        <f>IF(OR(Table3[[#This Row],[POS]]="SP",Table3[[#This Row],[POS]]="RP",Table3[[#This Row],[POS]]="CL"),"P",INDEX(Batters[[#All],[zScore]],MATCH(Table3[[#This Row],[PID]],Batters[[#All],[PID]],0)))</f>
        <v>P</v>
      </c>
    </row>
    <row r="243" spans="1:64" ht="15" customHeight="1" x14ac:dyDescent="0.25">
      <c r="A243" s="40">
        <v>21101</v>
      </c>
      <c r="B243" s="40" t="s">
        <v>415</v>
      </c>
      <c r="C243" s="40" t="s">
        <v>2086</v>
      </c>
      <c r="D243" s="40" t="s">
        <v>2087</v>
      </c>
      <c r="E243" s="40">
        <v>17</v>
      </c>
      <c r="F243" s="40" t="s">
        <v>42</v>
      </c>
      <c r="G243" s="40" t="s">
        <v>42</v>
      </c>
      <c r="H243" s="41" t="s">
        <v>647</v>
      </c>
      <c r="I243" s="42" t="s">
        <v>43</v>
      </c>
      <c r="J243" s="40" t="s">
        <v>43</v>
      </c>
      <c r="K243" s="41" t="s">
        <v>43</v>
      </c>
      <c r="L243" s="40">
        <v>1</v>
      </c>
      <c r="M243" s="40">
        <v>1</v>
      </c>
      <c r="N243" s="41">
        <v>1</v>
      </c>
      <c r="O243" s="40">
        <v>3</v>
      </c>
      <c r="P243" s="40">
        <v>1</v>
      </c>
      <c r="Q243" s="41">
        <v>4</v>
      </c>
      <c r="R243" s="40">
        <v>2</v>
      </c>
      <c r="S243" s="40">
        <v>4</v>
      </c>
      <c r="T243" s="40" t="s">
        <v>45</v>
      </c>
      <c r="U243" s="40" t="s">
        <v>45</v>
      </c>
      <c r="V243" s="40" t="s">
        <v>45</v>
      </c>
      <c r="W243" s="40" t="s">
        <v>45</v>
      </c>
      <c r="X243" s="40">
        <v>1</v>
      </c>
      <c r="Y243" s="40">
        <v>4</v>
      </c>
      <c r="Z243" s="40" t="s">
        <v>45</v>
      </c>
      <c r="AA243" s="40" t="s">
        <v>45</v>
      </c>
      <c r="AB243" s="40" t="s">
        <v>45</v>
      </c>
      <c r="AC243" s="40" t="s">
        <v>45</v>
      </c>
      <c r="AD243" s="40" t="s">
        <v>45</v>
      </c>
      <c r="AE243" s="40" t="s">
        <v>45</v>
      </c>
      <c r="AF243" s="40" t="s">
        <v>45</v>
      </c>
      <c r="AG243" s="40" t="s">
        <v>45</v>
      </c>
      <c r="AH243" s="40" t="s">
        <v>45</v>
      </c>
      <c r="AI243" s="40" t="s">
        <v>45</v>
      </c>
      <c r="AJ243" s="40" t="s">
        <v>45</v>
      </c>
      <c r="AK243" s="40" t="s">
        <v>45</v>
      </c>
      <c r="AL243" s="40">
        <v>1</v>
      </c>
      <c r="AM243" s="40">
        <v>4</v>
      </c>
      <c r="AN243" s="40" t="s">
        <v>45</v>
      </c>
      <c r="AO243" s="41" t="s">
        <v>45</v>
      </c>
      <c r="AP243" s="40" t="s">
        <v>68</v>
      </c>
      <c r="AQ243" s="40">
        <v>2</v>
      </c>
      <c r="AR243" s="48" t="s">
        <v>14</v>
      </c>
      <c r="AS243" s="43" t="s">
        <v>659</v>
      </c>
      <c r="AT243" s="43" t="s">
        <v>47</v>
      </c>
      <c r="AU243" s="44">
        <f t="shared" si="24"/>
        <v>-2.7014842379675978</v>
      </c>
      <c r="AV243" s="44">
        <f t="shared" si="25"/>
        <v>-1.1396451400498482</v>
      </c>
      <c r="AW243" s="45">
        <f t="shared" si="26"/>
        <v>3</v>
      </c>
      <c r="AX243" s="45">
        <f t="shared" si="27"/>
        <v>0</v>
      </c>
      <c r="AY243" s="46">
        <f>VLOOKUP(AP243,COND!$A$10:$B$32,2,FALSE)</f>
        <v>0.95</v>
      </c>
      <c r="AZ243" s="44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30.29553731714709</v>
      </c>
      <c r="BA243" s="47">
        <f t="shared" ref="BA243:BA253" si="31">STANDARDIZE(AZ243,AVERAGE($AZ$5:$AZ$557),STDEVP($AZ$5:$AZ$557))</f>
        <v>-0.37089548074148676</v>
      </c>
      <c r="BB243" s="45" t="str">
        <f t="shared" si="28"/>
        <v>RP</v>
      </c>
      <c r="BC243" s="45">
        <f>RANK(Table3[[#This Row],[zScore]],Table3[zScore])</f>
        <v>462</v>
      </c>
      <c r="BD243" s="45"/>
      <c r="BE243" s="45"/>
      <c r="BF243" s="45" t="str">
        <f t="shared" si="29"/>
        <v>Unlikely</v>
      </c>
      <c r="BG243" s="45"/>
      <c r="BH243" s="45" t="str">
        <f>INDEX(Table5[[#All],[Ovr]],MATCH(Table3[[#This Row],[PID]],Table5[[#All],[PID]],0))</f>
        <v/>
      </c>
      <c r="BI243" s="45" t="str">
        <f>INDEX(Table5[[#All],[Rnd]],MATCH(Table3[[#This Row],[PID]],Table5[[#All],[PID]],0))</f>
        <v/>
      </c>
      <c r="BJ243" s="45" t="str">
        <f>INDEX(Table5[[#All],[Pick]],MATCH(Table3[[#This Row],[PID]],Table5[[#All],[PID]],0))</f>
        <v/>
      </c>
      <c r="BK243" s="45" t="str">
        <f>INDEX(Table5[[#All],[Team]],MATCH(Table3[[#This Row],[PID]],Table5[[#All],[PID]],0))</f>
        <v/>
      </c>
      <c r="BL2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4" spans="1:64" ht="15" customHeight="1" x14ac:dyDescent="0.25">
      <c r="A244" s="40">
        <v>20825</v>
      </c>
      <c r="B244" s="40" t="s">
        <v>415</v>
      </c>
      <c r="C244" s="40" t="s">
        <v>442</v>
      </c>
      <c r="D244" s="40" t="s">
        <v>339</v>
      </c>
      <c r="E244" s="40">
        <v>17</v>
      </c>
      <c r="F244" s="40" t="s">
        <v>42</v>
      </c>
      <c r="G244" s="40" t="s">
        <v>42</v>
      </c>
      <c r="H244" s="41" t="s">
        <v>647</v>
      </c>
      <c r="I244" s="42" t="s">
        <v>44</v>
      </c>
      <c r="J244" s="40" t="s">
        <v>44</v>
      </c>
      <c r="K244" s="41" t="s">
        <v>44</v>
      </c>
      <c r="L244" s="40">
        <v>1</v>
      </c>
      <c r="M244" s="40">
        <v>2</v>
      </c>
      <c r="N244" s="41">
        <v>1</v>
      </c>
      <c r="O244" s="40">
        <v>4</v>
      </c>
      <c r="P244" s="40">
        <v>2</v>
      </c>
      <c r="Q244" s="41">
        <v>2</v>
      </c>
      <c r="R244" s="40" t="s">
        <v>45</v>
      </c>
      <c r="S244" s="40" t="s">
        <v>45</v>
      </c>
      <c r="T244" s="40">
        <v>1</v>
      </c>
      <c r="U244" s="40">
        <v>5</v>
      </c>
      <c r="V244" s="40">
        <v>1</v>
      </c>
      <c r="W244" s="40">
        <v>4</v>
      </c>
      <c r="X244" s="40" t="s">
        <v>45</v>
      </c>
      <c r="Y244" s="40" t="s">
        <v>45</v>
      </c>
      <c r="Z244" s="40" t="s">
        <v>45</v>
      </c>
      <c r="AA244" s="40" t="s">
        <v>45</v>
      </c>
      <c r="AB244" s="40">
        <v>2</v>
      </c>
      <c r="AC244" s="40">
        <v>4</v>
      </c>
      <c r="AD244" s="40">
        <v>2</v>
      </c>
      <c r="AE244" s="40">
        <v>4</v>
      </c>
      <c r="AF244" s="40">
        <v>2</v>
      </c>
      <c r="AG244" s="40">
        <v>3</v>
      </c>
      <c r="AH244" s="40" t="s">
        <v>45</v>
      </c>
      <c r="AI244" s="40" t="s">
        <v>45</v>
      </c>
      <c r="AJ244" s="40" t="s">
        <v>45</v>
      </c>
      <c r="AK244" s="40" t="s">
        <v>45</v>
      </c>
      <c r="AL244" s="40" t="s">
        <v>45</v>
      </c>
      <c r="AM244" s="40" t="s">
        <v>45</v>
      </c>
      <c r="AN244" s="40" t="s">
        <v>45</v>
      </c>
      <c r="AO244" s="41" t="s">
        <v>45</v>
      </c>
      <c r="AP244" s="40" t="s">
        <v>68</v>
      </c>
      <c r="AQ244" s="40">
        <v>6</v>
      </c>
      <c r="AR244" s="48" t="s">
        <v>347</v>
      </c>
      <c r="AS244" s="43" t="s">
        <v>656</v>
      </c>
      <c r="AT244" s="43" t="s">
        <v>47</v>
      </c>
      <c r="AU244" s="44">
        <f t="shared" si="24"/>
        <v>-2.5060525215375429</v>
      </c>
      <c r="AV244" s="44">
        <f t="shared" si="25"/>
        <v>-1.23416323121884</v>
      </c>
      <c r="AW244" s="45">
        <f t="shared" si="26"/>
        <v>5</v>
      </c>
      <c r="AX244" s="45">
        <f t="shared" si="27"/>
        <v>0</v>
      </c>
      <c r="AY244" s="46">
        <f>VLOOKUP(AP244,COND!$A$10:$B$32,2,FALSE)</f>
        <v>0.95</v>
      </c>
      <c r="AZ244" s="44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30.238504912056158</v>
      </c>
      <c r="BA244" s="47">
        <f t="shared" si="31"/>
        <v>-0.37468975950046401</v>
      </c>
      <c r="BB244" s="45" t="str">
        <f t="shared" si="28"/>
        <v>SP</v>
      </c>
      <c r="BC244" s="45">
        <f>RANK(Table3[[#This Row],[zScore]],Table3[zScore])</f>
        <v>464</v>
      </c>
      <c r="BD244" s="45"/>
      <c r="BE244" s="45"/>
      <c r="BF244" s="45" t="str">
        <f t="shared" si="29"/>
        <v>Unlikely</v>
      </c>
      <c r="BG244" s="45"/>
      <c r="BH244" s="45" t="str">
        <f>INDEX(Table5[[#All],[Ovr]],MATCH(Table3[[#This Row],[PID]],Table5[[#All],[PID]],0))</f>
        <v/>
      </c>
      <c r="BI244" s="45" t="str">
        <f>INDEX(Table5[[#All],[Rnd]],MATCH(Table3[[#This Row],[PID]],Table5[[#All],[PID]],0))</f>
        <v/>
      </c>
      <c r="BJ244" s="45" t="str">
        <f>INDEX(Table5[[#All],[Pick]],MATCH(Table3[[#This Row],[PID]],Table5[[#All],[PID]],0))</f>
        <v/>
      </c>
      <c r="BK244" s="45" t="str">
        <f>INDEX(Table5[[#All],[Team]],MATCH(Table3[[#This Row],[PID]],Table5[[#All],[PID]],0))</f>
        <v/>
      </c>
      <c r="BL2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5" spans="1:64" ht="15" customHeight="1" x14ac:dyDescent="0.25">
      <c r="A245" s="40">
        <v>17937</v>
      </c>
      <c r="B245" s="40" t="s">
        <v>415</v>
      </c>
      <c r="C245" s="40" t="s">
        <v>1916</v>
      </c>
      <c r="D245" s="40" t="s">
        <v>1917</v>
      </c>
      <c r="E245" s="40">
        <v>18</v>
      </c>
      <c r="F245" s="40" t="s">
        <v>42</v>
      </c>
      <c r="G245" s="40" t="s">
        <v>42</v>
      </c>
      <c r="H245" s="41" t="s">
        <v>647</v>
      </c>
      <c r="I245" s="42" t="s">
        <v>43</v>
      </c>
      <c r="J245" s="40" t="s">
        <v>44</v>
      </c>
      <c r="K245" s="41" t="s">
        <v>43</v>
      </c>
      <c r="L245" s="40">
        <v>2</v>
      </c>
      <c r="M245" s="40">
        <v>2</v>
      </c>
      <c r="N245" s="41">
        <v>1</v>
      </c>
      <c r="O245" s="40">
        <v>3</v>
      </c>
      <c r="P245" s="40">
        <v>2</v>
      </c>
      <c r="Q245" s="41">
        <v>3</v>
      </c>
      <c r="R245" s="40">
        <v>3</v>
      </c>
      <c r="S245" s="40">
        <v>4</v>
      </c>
      <c r="T245" s="40">
        <v>1</v>
      </c>
      <c r="U245" s="40">
        <v>1</v>
      </c>
      <c r="V245" s="40" t="s">
        <v>45</v>
      </c>
      <c r="W245" s="40" t="s">
        <v>45</v>
      </c>
      <c r="X245" s="40" t="s">
        <v>45</v>
      </c>
      <c r="Y245" s="40" t="s">
        <v>45</v>
      </c>
      <c r="Z245" s="40">
        <v>2</v>
      </c>
      <c r="AA245" s="40">
        <v>4</v>
      </c>
      <c r="AB245" s="40" t="s">
        <v>45</v>
      </c>
      <c r="AC245" s="40" t="s">
        <v>45</v>
      </c>
      <c r="AD245" s="40" t="s">
        <v>45</v>
      </c>
      <c r="AE245" s="40" t="s">
        <v>45</v>
      </c>
      <c r="AF245" s="40" t="s">
        <v>45</v>
      </c>
      <c r="AG245" s="40" t="s">
        <v>45</v>
      </c>
      <c r="AH245" s="40" t="s">
        <v>45</v>
      </c>
      <c r="AI245" s="40" t="s">
        <v>45</v>
      </c>
      <c r="AJ245" s="40" t="s">
        <v>45</v>
      </c>
      <c r="AK245" s="40" t="s">
        <v>45</v>
      </c>
      <c r="AL245" s="40" t="s">
        <v>45</v>
      </c>
      <c r="AM245" s="40" t="s">
        <v>45</v>
      </c>
      <c r="AN245" s="40" t="s">
        <v>45</v>
      </c>
      <c r="AO245" s="41" t="s">
        <v>45</v>
      </c>
      <c r="AP245" s="40" t="s">
        <v>65</v>
      </c>
      <c r="AQ245" s="40">
        <v>7</v>
      </c>
      <c r="AR245" s="48" t="s">
        <v>347</v>
      </c>
      <c r="AS245" s="43" t="s">
        <v>644</v>
      </c>
      <c r="AT245" s="43" t="s">
        <v>47</v>
      </c>
      <c r="AU245" s="44">
        <f t="shared" si="24"/>
        <v>-2.311361197028369</v>
      </c>
      <c r="AV245" s="44">
        <f t="shared" si="25"/>
        <v>-1.1865339896739031</v>
      </c>
      <c r="AW245" s="45">
        <f t="shared" si="26"/>
        <v>3</v>
      </c>
      <c r="AX245" s="45">
        <f t="shared" si="27"/>
        <v>0</v>
      </c>
      <c r="AY245" s="46">
        <f>VLOOKUP(AP245,COND!$A$10:$B$32,2,FALSE)</f>
        <v>0.95</v>
      </c>
      <c r="AZ245" s="44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30.141695568760451</v>
      </c>
      <c r="BA245" s="47">
        <f t="shared" si="31"/>
        <v>-0.3811303371747139</v>
      </c>
      <c r="BB245" s="45" t="str">
        <f t="shared" si="28"/>
        <v>SP</v>
      </c>
      <c r="BC245" s="45">
        <f>RANK(Table3[[#This Row],[zScore]],Table3[zScore])</f>
        <v>466</v>
      </c>
      <c r="BD245" s="45"/>
      <c r="BE245" s="45"/>
      <c r="BF245" s="45" t="str">
        <f t="shared" si="29"/>
        <v>Unlikely</v>
      </c>
      <c r="BG245" s="45"/>
      <c r="BH245" s="45" t="str">
        <f>INDEX(Table5[[#All],[Ovr]],MATCH(Table3[[#This Row],[PID]],Table5[[#All],[PID]],0))</f>
        <v/>
      </c>
      <c r="BI245" s="45" t="str">
        <f>INDEX(Table5[[#All],[Rnd]],MATCH(Table3[[#This Row],[PID]],Table5[[#All],[PID]],0))</f>
        <v/>
      </c>
      <c r="BJ245" s="45" t="str">
        <f>INDEX(Table5[[#All],[Pick]],MATCH(Table3[[#This Row],[PID]],Table5[[#All],[PID]],0))</f>
        <v/>
      </c>
      <c r="BK245" s="45" t="str">
        <f>INDEX(Table5[[#All],[Team]],MATCH(Table3[[#This Row],[PID]],Table5[[#All],[PID]],0))</f>
        <v/>
      </c>
      <c r="BL2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6" spans="1:64" ht="15" customHeight="1" x14ac:dyDescent="0.25">
      <c r="A246" s="40">
        <v>20778</v>
      </c>
      <c r="B246" s="40" t="s">
        <v>415</v>
      </c>
      <c r="C246" s="40" t="s">
        <v>147</v>
      </c>
      <c r="D246" s="40" t="s">
        <v>2075</v>
      </c>
      <c r="E246" s="40">
        <v>17</v>
      </c>
      <c r="F246" s="40" t="s">
        <v>53</v>
      </c>
      <c r="G246" s="40" t="s">
        <v>42</v>
      </c>
      <c r="H246" s="41" t="s">
        <v>647</v>
      </c>
      <c r="I246" s="42" t="s">
        <v>43</v>
      </c>
      <c r="J246" s="40" t="s">
        <v>44</v>
      </c>
      <c r="K246" s="41" t="s">
        <v>43</v>
      </c>
      <c r="L246" s="40">
        <v>1</v>
      </c>
      <c r="M246" s="40">
        <v>1</v>
      </c>
      <c r="N246" s="41">
        <v>1</v>
      </c>
      <c r="O246" s="40">
        <v>3</v>
      </c>
      <c r="P246" s="40">
        <v>2</v>
      </c>
      <c r="Q246" s="41">
        <v>3</v>
      </c>
      <c r="R246" s="40">
        <v>2</v>
      </c>
      <c r="S246" s="40">
        <v>4</v>
      </c>
      <c r="T246" s="40">
        <v>1</v>
      </c>
      <c r="U246" s="40">
        <v>1</v>
      </c>
      <c r="V246" s="40" t="s">
        <v>45</v>
      </c>
      <c r="W246" s="40" t="s">
        <v>45</v>
      </c>
      <c r="X246" s="40" t="s">
        <v>45</v>
      </c>
      <c r="Y246" s="40" t="s">
        <v>45</v>
      </c>
      <c r="Z246" s="40" t="s">
        <v>45</v>
      </c>
      <c r="AA246" s="40" t="s">
        <v>45</v>
      </c>
      <c r="AB246" s="40">
        <v>2</v>
      </c>
      <c r="AC246" s="40">
        <v>4</v>
      </c>
      <c r="AD246" s="40" t="s">
        <v>45</v>
      </c>
      <c r="AE246" s="40" t="s">
        <v>45</v>
      </c>
      <c r="AF246" s="40" t="s">
        <v>45</v>
      </c>
      <c r="AG246" s="40" t="s">
        <v>45</v>
      </c>
      <c r="AH246" s="40" t="s">
        <v>45</v>
      </c>
      <c r="AI246" s="40" t="s">
        <v>45</v>
      </c>
      <c r="AJ246" s="40" t="s">
        <v>45</v>
      </c>
      <c r="AK246" s="40" t="s">
        <v>45</v>
      </c>
      <c r="AL246" s="40" t="s">
        <v>45</v>
      </c>
      <c r="AM246" s="40" t="s">
        <v>45</v>
      </c>
      <c r="AN246" s="40" t="s">
        <v>45</v>
      </c>
      <c r="AO246" s="41" t="s">
        <v>45</v>
      </c>
      <c r="AP246" s="40" t="s">
        <v>68</v>
      </c>
      <c r="AQ246" s="40">
        <v>9</v>
      </c>
      <c r="AR246" s="48" t="s">
        <v>14</v>
      </c>
      <c r="AS246" s="43" t="s">
        <v>654</v>
      </c>
      <c r="AT246" s="43" t="s">
        <v>635</v>
      </c>
      <c r="AU246" s="44">
        <f t="shared" si="24"/>
        <v>-2.7014842379675978</v>
      </c>
      <c r="AV246" s="44">
        <f t="shared" si="25"/>
        <v>-1.1865339896739031</v>
      </c>
      <c r="AW246" s="45">
        <f t="shared" si="26"/>
        <v>3</v>
      </c>
      <c r="AX246" s="45">
        <f t="shared" si="27"/>
        <v>0</v>
      </c>
      <c r="AY246" s="46">
        <f>VLOOKUP(AP246,COND!$A$10:$B$32,2,FALSE)</f>
        <v>0.95</v>
      </c>
      <c r="AZ246" s="44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30.067572190981998</v>
      </c>
      <c r="BA246" s="47">
        <f t="shared" si="31"/>
        <v>-0.38606165222972533</v>
      </c>
      <c r="BB246" s="45" t="str">
        <f t="shared" si="28"/>
        <v>SP</v>
      </c>
      <c r="BC246" s="45">
        <f>RANK(Table3[[#This Row],[zScore]],Table3[zScore])</f>
        <v>467</v>
      </c>
      <c r="BD246" s="45"/>
      <c r="BE246" s="45"/>
      <c r="BF246" s="45" t="str">
        <f t="shared" si="29"/>
        <v>Unlikely</v>
      </c>
      <c r="BG246" s="45"/>
      <c r="BH246" s="45" t="str">
        <f>INDEX(Table5[[#All],[Ovr]],MATCH(Table3[[#This Row],[PID]],Table5[[#All],[PID]],0))</f>
        <v/>
      </c>
      <c r="BI246" s="45" t="str">
        <f>INDEX(Table5[[#All],[Rnd]],MATCH(Table3[[#This Row],[PID]],Table5[[#All],[PID]],0))</f>
        <v/>
      </c>
      <c r="BJ246" s="45" t="str">
        <f>INDEX(Table5[[#All],[Pick]],MATCH(Table3[[#This Row],[PID]],Table5[[#All],[PID]],0))</f>
        <v/>
      </c>
      <c r="BK246" s="45" t="str">
        <f>INDEX(Table5[[#All],[Team]],MATCH(Table3[[#This Row],[PID]],Table5[[#All],[PID]],0))</f>
        <v/>
      </c>
      <c r="BL24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7" spans="1:64" ht="15" customHeight="1" x14ac:dyDescent="0.25">
      <c r="A247" s="40">
        <v>17639</v>
      </c>
      <c r="B247" s="40" t="s">
        <v>415</v>
      </c>
      <c r="C247" s="40" t="s">
        <v>370</v>
      </c>
      <c r="D247" s="40" t="s">
        <v>944</v>
      </c>
      <c r="E247" s="40">
        <v>18</v>
      </c>
      <c r="F247" s="40" t="s">
        <v>62</v>
      </c>
      <c r="G247" s="40" t="s">
        <v>42</v>
      </c>
      <c r="H247" s="41" t="s">
        <v>647</v>
      </c>
      <c r="I247" s="42" t="s">
        <v>43</v>
      </c>
      <c r="J247" s="40" t="s">
        <v>44</v>
      </c>
      <c r="K247" s="41" t="s">
        <v>43</v>
      </c>
      <c r="L247" s="40">
        <v>2</v>
      </c>
      <c r="M247" s="40">
        <v>2</v>
      </c>
      <c r="N247" s="41">
        <v>1</v>
      </c>
      <c r="O247" s="40">
        <v>3</v>
      </c>
      <c r="P247" s="40">
        <v>2</v>
      </c>
      <c r="Q247" s="41">
        <v>3</v>
      </c>
      <c r="R247" s="40" t="s">
        <v>45</v>
      </c>
      <c r="S247" s="40" t="s">
        <v>45</v>
      </c>
      <c r="T247" s="40">
        <v>1</v>
      </c>
      <c r="U247" s="40">
        <v>3</v>
      </c>
      <c r="V247" s="40">
        <v>2</v>
      </c>
      <c r="W247" s="40">
        <v>3</v>
      </c>
      <c r="X247" s="40">
        <v>2</v>
      </c>
      <c r="Y247" s="40">
        <v>4</v>
      </c>
      <c r="Z247" s="40" t="s">
        <v>45</v>
      </c>
      <c r="AA247" s="40" t="s">
        <v>45</v>
      </c>
      <c r="AB247" s="40" t="s">
        <v>45</v>
      </c>
      <c r="AC247" s="40" t="s">
        <v>45</v>
      </c>
      <c r="AD247" s="40">
        <v>3</v>
      </c>
      <c r="AE247" s="40">
        <v>4</v>
      </c>
      <c r="AF247" s="40" t="s">
        <v>45</v>
      </c>
      <c r="AG247" s="40" t="s">
        <v>45</v>
      </c>
      <c r="AH247" s="40" t="s">
        <v>45</v>
      </c>
      <c r="AI247" s="40" t="s">
        <v>45</v>
      </c>
      <c r="AJ247" s="40" t="s">
        <v>45</v>
      </c>
      <c r="AK247" s="40" t="s">
        <v>45</v>
      </c>
      <c r="AL247" s="40" t="s">
        <v>45</v>
      </c>
      <c r="AM247" s="40" t="s">
        <v>45</v>
      </c>
      <c r="AN247" s="40" t="s">
        <v>45</v>
      </c>
      <c r="AO247" s="41" t="s">
        <v>45</v>
      </c>
      <c r="AP247" s="40" t="s">
        <v>57</v>
      </c>
      <c r="AQ247" s="40">
        <v>6</v>
      </c>
      <c r="AR247" s="48" t="s">
        <v>347</v>
      </c>
      <c r="AS247" s="43" t="s">
        <v>644</v>
      </c>
      <c r="AT247" s="43" t="s">
        <v>635</v>
      </c>
      <c r="AU247" s="44">
        <f t="shared" si="24"/>
        <v>-2.311361197028369</v>
      </c>
      <c r="AV247" s="44">
        <f t="shared" si="25"/>
        <v>-1.1865339896739031</v>
      </c>
      <c r="AW247" s="45">
        <f t="shared" si="26"/>
        <v>4</v>
      </c>
      <c r="AX247" s="45">
        <f t="shared" si="27"/>
        <v>0</v>
      </c>
      <c r="AY247" s="46">
        <f>VLOOKUP(AP247,COND!$A$10:$B$32,2,FALSE)</f>
        <v>1</v>
      </c>
      <c r="AZ247" s="44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30.06187176793836</v>
      </c>
      <c r="BA247" s="47">
        <f t="shared" si="31"/>
        <v>-0.38644089266395176</v>
      </c>
      <c r="BB247" s="45" t="str">
        <f t="shared" si="28"/>
        <v>SP</v>
      </c>
      <c r="BC247" s="45">
        <f>RANK(Table3[[#This Row],[zScore]],Table3[zScore])</f>
        <v>468</v>
      </c>
      <c r="BD247" s="45"/>
      <c r="BE247" s="45"/>
      <c r="BF247" s="45" t="str">
        <f t="shared" si="29"/>
        <v>Unlikely</v>
      </c>
      <c r="BG247" s="45"/>
      <c r="BH247" s="45" t="str">
        <f>INDEX(Table5[[#All],[Ovr]],MATCH(Table3[[#This Row],[PID]],Table5[[#All],[PID]],0))</f>
        <v/>
      </c>
      <c r="BI247" s="45" t="str">
        <f>INDEX(Table5[[#All],[Rnd]],MATCH(Table3[[#This Row],[PID]],Table5[[#All],[PID]],0))</f>
        <v/>
      </c>
      <c r="BJ247" s="45" t="str">
        <f>INDEX(Table5[[#All],[Pick]],MATCH(Table3[[#This Row],[PID]],Table5[[#All],[PID]],0))</f>
        <v/>
      </c>
      <c r="BK247" s="45" t="str">
        <f>INDEX(Table5[[#All],[Team]],MATCH(Table3[[#This Row],[PID]],Table5[[#All],[PID]],0))</f>
        <v/>
      </c>
      <c r="BL24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8" spans="1:64" ht="15" customHeight="1" x14ac:dyDescent="0.25">
      <c r="A248" s="40">
        <v>10958</v>
      </c>
      <c r="B248" s="40" t="s">
        <v>415</v>
      </c>
      <c r="C248" s="40" t="s">
        <v>2109</v>
      </c>
      <c r="D248" s="40" t="s">
        <v>1277</v>
      </c>
      <c r="E248" s="40">
        <v>21</v>
      </c>
      <c r="F248" s="40" t="s">
        <v>53</v>
      </c>
      <c r="G248" s="40" t="s">
        <v>53</v>
      </c>
      <c r="H248" s="41" t="s">
        <v>647</v>
      </c>
      <c r="I248" s="42" t="s">
        <v>43</v>
      </c>
      <c r="J248" s="40" t="s">
        <v>43</v>
      </c>
      <c r="K248" s="41" t="s">
        <v>43</v>
      </c>
      <c r="L248" s="40">
        <v>2</v>
      </c>
      <c r="M248" s="40">
        <v>2</v>
      </c>
      <c r="N248" s="41">
        <v>1</v>
      </c>
      <c r="O248" s="40">
        <v>4</v>
      </c>
      <c r="P248" s="40">
        <v>2</v>
      </c>
      <c r="Q248" s="41">
        <v>3</v>
      </c>
      <c r="R248" s="40">
        <v>3</v>
      </c>
      <c r="S248" s="40">
        <v>5</v>
      </c>
      <c r="T248" s="40">
        <v>2</v>
      </c>
      <c r="U248" s="40">
        <v>5</v>
      </c>
      <c r="V248" s="40">
        <v>2</v>
      </c>
      <c r="W248" s="40">
        <v>6</v>
      </c>
      <c r="X248" s="40">
        <v>2</v>
      </c>
      <c r="Y248" s="40">
        <v>2</v>
      </c>
      <c r="Z248" s="40" t="s">
        <v>45</v>
      </c>
      <c r="AA248" s="40" t="s">
        <v>45</v>
      </c>
      <c r="AB248" s="40" t="s">
        <v>45</v>
      </c>
      <c r="AC248" s="40" t="s">
        <v>45</v>
      </c>
      <c r="AD248" s="40" t="s">
        <v>45</v>
      </c>
      <c r="AE248" s="40" t="s">
        <v>45</v>
      </c>
      <c r="AF248" s="40" t="s">
        <v>45</v>
      </c>
      <c r="AG248" s="40" t="s">
        <v>45</v>
      </c>
      <c r="AH248" s="40" t="s">
        <v>45</v>
      </c>
      <c r="AI248" s="40" t="s">
        <v>45</v>
      </c>
      <c r="AJ248" s="40" t="s">
        <v>45</v>
      </c>
      <c r="AK248" s="40" t="s">
        <v>45</v>
      </c>
      <c r="AL248" s="40" t="s">
        <v>45</v>
      </c>
      <c r="AM248" s="40" t="s">
        <v>45</v>
      </c>
      <c r="AN248" s="40" t="s">
        <v>45</v>
      </c>
      <c r="AO248" s="41" t="s">
        <v>45</v>
      </c>
      <c r="AP248" s="40" t="s">
        <v>349</v>
      </c>
      <c r="AQ248" s="40">
        <v>7</v>
      </c>
      <c r="AR248" s="48" t="s">
        <v>347</v>
      </c>
      <c r="AS248" s="43" t="s">
        <v>45</v>
      </c>
      <c r="AT248" s="43" t="s">
        <v>635</v>
      </c>
      <c r="AU248" s="44">
        <f t="shared" si="24"/>
        <v>-2.311361197028369</v>
      </c>
      <c r="AV248" s="44">
        <f t="shared" si="25"/>
        <v>-0.99184266516472974</v>
      </c>
      <c r="AW248" s="45">
        <f t="shared" si="26"/>
        <v>4</v>
      </c>
      <c r="AX248" s="45">
        <f t="shared" si="27"/>
        <v>1</v>
      </c>
      <c r="AY248" s="46">
        <f>VLOOKUP(AP248,COND!$A$10:$B$32,2,FALSE)</f>
        <v>1</v>
      </c>
      <c r="AZ248" s="44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29.950874457299729</v>
      </c>
      <c r="BA248" s="47">
        <f t="shared" si="31"/>
        <v>-0.39382537412476798</v>
      </c>
      <c r="BB248" s="45" t="str">
        <f t="shared" si="28"/>
        <v>SP</v>
      </c>
      <c r="BC248" s="45">
        <f>RANK(Table3[[#This Row],[zScore]],Table3[zScore])</f>
        <v>469</v>
      </c>
      <c r="BD248" s="45"/>
      <c r="BE248" s="45"/>
      <c r="BF248" s="45" t="str">
        <f t="shared" si="29"/>
        <v>Unlikely</v>
      </c>
      <c r="BG248" s="45"/>
      <c r="BH248" s="45" t="str">
        <f>INDEX(Table5[[#All],[Ovr]],MATCH(Table3[[#This Row],[PID]],Table5[[#All],[PID]],0))</f>
        <v/>
      </c>
      <c r="BI248" s="45" t="str">
        <f>INDEX(Table5[[#All],[Rnd]],MATCH(Table3[[#This Row],[PID]],Table5[[#All],[PID]],0))</f>
        <v/>
      </c>
      <c r="BJ248" s="45" t="str">
        <f>INDEX(Table5[[#All],[Pick]],MATCH(Table3[[#This Row],[PID]],Table5[[#All],[PID]],0))</f>
        <v/>
      </c>
      <c r="BK248" s="45" t="str">
        <f>INDEX(Table5[[#All],[Team]],MATCH(Table3[[#This Row],[PID]],Table5[[#All],[PID]],0))</f>
        <v/>
      </c>
      <c r="BL2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49" spans="1:64" ht="15" customHeight="1" x14ac:dyDescent="0.25">
      <c r="A249" s="40">
        <v>18035</v>
      </c>
      <c r="B249" s="40" t="s">
        <v>415</v>
      </c>
      <c r="C249" s="40" t="s">
        <v>321</v>
      </c>
      <c r="D249" s="40" t="s">
        <v>2013</v>
      </c>
      <c r="E249" s="40">
        <v>21</v>
      </c>
      <c r="F249" s="40" t="s">
        <v>62</v>
      </c>
      <c r="G249" s="40" t="s">
        <v>42</v>
      </c>
      <c r="H249" s="41" t="s">
        <v>647</v>
      </c>
      <c r="I249" s="42" t="s">
        <v>43</v>
      </c>
      <c r="J249" s="40" t="s">
        <v>47</v>
      </c>
      <c r="K249" s="41" t="s">
        <v>43</v>
      </c>
      <c r="L249" s="40">
        <v>2</v>
      </c>
      <c r="M249" s="40">
        <v>2</v>
      </c>
      <c r="N249" s="41">
        <v>1</v>
      </c>
      <c r="O249" s="40">
        <v>4</v>
      </c>
      <c r="P249" s="40">
        <v>2</v>
      </c>
      <c r="Q249" s="41">
        <v>3</v>
      </c>
      <c r="R249" s="40">
        <v>3</v>
      </c>
      <c r="S249" s="40">
        <v>4</v>
      </c>
      <c r="T249" s="40">
        <v>2</v>
      </c>
      <c r="U249" s="40">
        <v>4</v>
      </c>
      <c r="V249" s="40">
        <v>2</v>
      </c>
      <c r="W249" s="40">
        <v>2</v>
      </c>
      <c r="X249" s="40" t="s">
        <v>45</v>
      </c>
      <c r="Y249" s="40" t="s">
        <v>45</v>
      </c>
      <c r="Z249" s="40" t="s">
        <v>45</v>
      </c>
      <c r="AA249" s="40" t="s">
        <v>45</v>
      </c>
      <c r="AB249" s="40">
        <v>3</v>
      </c>
      <c r="AC249" s="40">
        <v>4</v>
      </c>
      <c r="AD249" s="40" t="s">
        <v>45</v>
      </c>
      <c r="AE249" s="40" t="s">
        <v>45</v>
      </c>
      <c r="AF249" s="40">
        <v>3</v>
      </c>
      <c r="AG249" s="40">
        <v>4</v>
      </c>
      <c r="AH249" s="40" t="s">
        <v>45</v>
      </c>
      <c r="AI249" s="40" t="s">
        <v>45</v>
      </c>
      <c r="AJ249" s="40" t="s">
        <v>45</v>
      </c>
      <c r="AK249" s="40" t="s">
        <v>45</v>
      </c>
      <c r="AL249" s="40" t="s">
        <v>45</v>
      </c>
      <c r="AM249" s="40" t="s">
        <v>45</v>
      </c>
      <c r="AN249" s="40" t="s">
        <v>45</v>
      </c>
      <c r="AO249" s="41" t="s">
        <v>45</v>
      </c>
      <c r="AP249" s="40" t="s">
        <v>350</v>
      </c>
      <c r="AQ249" s="40">
        <v>6</v>
      </c>
      <c r="AR249" s="48" t="s">
        <v>347</v>
      </c>
      <c r="AS249" s="43" t="s">
        <v>45</v>
      </c>
      <c r="AT249" s="43" t="s">
        <v>47</v>
      </c>
      <c r="AU249" s="44">
        <f t="shared" si="24"/>
        <v>-2.311361197028369</v>
      </c>
      <c r="AV249" s="44">
        <f t="shared" si="25"/>
        <v>-0.99184266516472974</v>
      </c>
      <c r="AW249" s="45">
        <f t="shared" si="26"/>
        <v>5</v>
      </c>
      <c r="AX249" s="45">
        <f t="shared" si="27"/>
        <v>0</v>
      </c>
      <c r="AY249" s="46">
        <f>VLOOKUP(AP249,COND!$A$10:$B$32,2,FALSE)</f>
        <v>1</v>
      </c>
      <c r="AZ249" s="44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29.945852595867237</v>
      </c>
      <c r="BA249" s="47">
        <f t="shared" si="31"/>
        <v>-0.39415947089192088</v>
      </c>
      <c r="BB249" s="45" t="str">
        <f t="shared" si="28"/>
        <v>SP</v>
      </c>
      <c r="BC249" s="45">
        <f>RANK(Table3[[#This Row],[zScore]],Table3[zScore])</f>
        <v>470</v>
      </c>
      <c r="BD249" s="45"/>
      <c r="BE249" s="45"/>
      <c r="BF249" s="45" t="str">
        <f t="shared" si="29"/>
        <v>Unlikely</v>
      </c>
      <c r="BG249" s="45"/>
      <c r="BH249" s="45" t="str">
        <f>INDEX(Table5[[#All],[Ovr]],MATCH(Table3[[#This Row],[PID]],Table5[[#All],[PID]],0))</f>
        <v/>
      </c>
      <c r="BI249" s="45" t="str">
        <f>INDEX(Table5[[#All],[Rnd]],MATCH(Table3[[#This Row],[PID]],Table5[[#All],[PID]],0))</f>
        <v/>
      </c>
      <c r="BJ249" s="45" t="str">
        <f>INDEX(Table5[[#All],[Pick]],MATCH(Table3[[#This Row],[PID]],Table5[[#All],[PID]],0))</f>
        <v/>
      </c>
      <c r="BK249" s="45" t="str">
        <f>INDEX(Table5[[#All],[Team]],MATCH(Table3[[#This Row],[PID]],Table5[[#All],[PID]],0))</f>
        <v/>
      </c>
      <c r="BL2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0" spans="1:64" ht="15" customHeight="1" x14ac:dyDescent="0.25">
      <c r="A250" s="40">
        <v>12669</v>
      </c>
      <c r="B250" s="40" t="s">
        <v>415</v>
      </c>
      <c r="C250" s="40" t="s">
        <v>547</v>
      </c>
      <c r="D250" s="40" t="s">
        <v>653</v>
      </c>
      <c r="E250" s="40">
        <v>22</v>
      </c>
      <c r="F250" s="40" t="s">
        <v>42</v>
      </c>
      <c r="G250" s="40" t="s">
        <v>42</v>
      </c>
      <c r="H250" s="41" t="s">
        <v>647</v>
      </c>
      <c r="I250" s="42" t="s">
        <v>43</v>
      </c>
      <c r="J250" s="40" t="s">
        <v>43</v>
      </c>
      <c r="K250" s="41" t="s">
        <v>44</v>
      </c>
      <c r="L250" s="40">
        <v>2</v>
      </c>
      <c r="M250" s="40">
        <v>2</v>
      </c>
      <c r="N250" s="41">
        <v>3</v>
      </c>
      <c r="O250" s="40">
        <v>3</v>
      </c>
      <c r="P250" s="40">
        <v>2</v>
      </c>
      <c r="Q250" s="41">
        <v>4</v>
      </c>
      <c r="R250" s="40">
        <v>3</v>
      </c>
      <c r="S250" s="40">
        <v>4</v>
      </c>
      <c r="T250" s="40">
        <v>2</v>
      </c>
      <c r="U250" s="40">
        <v>3</v>
      </c>
      <c r="V250" s="40" t="s">
        <v>45</v>
      </c>
      <c r="W250" s="40" t="s">
        <v>45</v>
      </c>
      <c r="X250" s="40">
        <v>3</v>
      </c>
      <c r="Y250" s="40">
        <v>5</v>
      </c>
      <c r="Z250" s="40" t="s">
        <v>45</v>
      </c>
      <c r="AA250" s="40" t="s">
        <v>45</v>
      </c>
      <c r="AB250" s="40" t="s">
        <v>45</v>
      </c>
      <c r="AC250" s="40" t="s">
        <v>45</v>
      </c>
      <c r="AD250" s="40" t="s">
        <v>45</v>
      </c>
      <c r="AE250" s="40" t="s">
        <v>45</v>
      </c>
      <c r="AF250" s="40">
        <v>3</v>
      </c>
      <c r="AG250" s="40">
        <v>4</v>
      </c>
      <c r="AH250" s="40" t="s">
        <v>45</v>
      </c>
      <c r="AI250" s="40" t="s">
        <v>45</v>
      </c>
      <c r="AJ250" s="40" t="s">
        <v>45</v>
      </c>
      <c r="AK250" s="40" t="s">
        <v>45</v>
      </c>
      <c r="AL250" s="40" t="s">
        <v>45</v>
      </c>
      <c r="AM250" s="40" t="s">
        <v>45</v>
      </c>
      <c r="AN250" s="40" t="s">
        <v>45</v>
      </c>
      <c r="AO250" s="41" t="s">
        <v>45</v>
      </c>
      <c r="AP250" s="40" t="s">
        <v>349</v>
      </c>
      <c r="AQ250" s="40">
        <v>6</v>
      </c>
      <c r="AR250" s="48" t="s">
        <v>347</v>
      </c>
      <c r="AS250" s="43" t="s">
        <v>45</v>
      </c>
      <c r="AT250" s="43" t="s">
        <v>47</v>
      </c>
      <c r="AU250" s="44">
        <f t="shared" si="24"/>
        <v>-1.8267200649201485</v>
      </c>
      <c r="AV250" s="44">
        <f t="shared" si="25"/>
        <v>-0.94421342361979277</v>
      </c>
      <c r="AW250" s="45">
        <f t="shared" si="26"/>
        <v>4</v>
      </c>
      <c r="AX250" s="45">
        <f t="shared" si="27"/>
        <v>0</v>
      </c>
      <c r="AY250" s="46">
        <f>VLOOKUP(AP250,COND!$A$10:$B$32,2,FALSE)</f>
        <v>1</v>
      </c>
      <c r="AZ250" s="44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29.881627826754613</v>
      </c>
      <c r="BA250" s="47">
        <f t="shared" si="31"/>
        <v>-0.39843224663854615</v>
      </c>
      <c r="BB250" s="45" t="str">
        <f t="shared" si="28"/>
        <v>SP</v>
      </c>
      <c r="BC250" s="45">
        <f>RANK(Table3[[#This Row],[zScore]],Table3[zScore])</f>
        <v>471</v>
      </c>
      <c r="BD250" s="45"/>
      <c r="BE250" s="45"/>
      <c r="BF250" s="45" t="str">
        <f t="shared" si="29"/>
        <v>Unlikely</v>
      </c>
      <c r="BG250" s="45"/>
      <c r="BH250" s="45" t="str">
        <f>INDEX(Table5[[#All],[Ovr]],MATCH(Table3[[#This Row],[PID]],Table5[[#All],[PID]],0))</f>
        <v/>
      </c>
      <c r="BI250" s="45" t="str">
        <f>INDEX(Table5[[#All],[Rnd]],MATCH(Table3[[#This Row],[PID]],Table5[[#All],[PID]],0))</f>
        <v/>
      </c>
      <c r="BJ250" s="45" t="str">
        <f>INDEX(Table5[[#All],[Pick]],MATCH(Table3[[#This Row],[PID]],Table5[[#All],[PID]],0))</f>
        <v/>
      </c>
      <c r="BK250" s="45" t="str">
        <f>INDEX(Table5[[#All],[Team]],MATCH(Table3[[#This Row],[PID]],Table5[[#All],[PID]],0))</f>
        <v/>
      </c>
      <c r="BL2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1" spans="1:64" ht="15" customHeight="1" x14ac:dyDescent="0.25">
      <c r="A251" s="40">
        <v>17864</v>
      </c>
      <c r="B251" s="40" t="s">
        <v>415</v>
      </c>
      <c r="C251" s="40" t="s">
        <v>2027</v>
      </c>
      <c r="D251" s="40" t="s">
        <v>1126</v>
      </c>
      <c r="E251" s="40">
        <v>18</v>
      </c>
      <c r="F251" s="40" t="s">
        <v>53</v>
      </c>
      <c r="G251" s="40" t="s">
        <v>53</v>
      </c>
      <c r="H251" s="41" t="s">
        <v>647</v>
      </c>
      <c r="I251" s="42" t="s">
        <v>43</v>
      </c>
      <c r="J251" s="40" t="s">
        <v>43</v>
      </c>
      <c r="K251" s="41" t="s">
        <v>43</v>
      </c>
      <c r="L251" s="40">
        <v>2</v>
      </c>
      <c r="M251" s="40">
        <v>2</v>
      </c>
      <c r="N251" s="41">
        <v>1</v>
      </c>
      <c r="O251" s="40">
        <v>3</v>
      </c>
      <c r="P251" s="40">
        <v>2</v>
      </c>
      <c r="Q251" s="41">
        <v>3</v>
      </c>
      <c r="R251" s="40">
        <v>3</v>
      </c>
      <c r="S251" s="40">
        <v>4</v>
      </c>
      <c r="T251" s="40">
        <v>1</v>
      </c>
      <c r="U251" s="40">
        <v>2</v>
      </c>
      <c r="V251" s="40" t="s">
        <v>45</v>
      </c>
      <c r="W251" s="40" t="s">
        <v>45</v>
      </c>
      <c r="X251" s="40" t="s">
        <v>45</v>
      </c>
      <c r="Y251" s="40" t="s">
        <v>45</v>
      </c>
      <c r="Z251" s="40" t="s">
        <v>45</v>
      </c>
      <c r="AA251" s="40" t="s">
        <v>45</v>
      </c>
      <c r="AB251" s="40" t="s">
        <v>45</v>
      </c>
      <c r="AC251" s="40" t="s">
        <v>45</v>
      </c>
      <c r="AD251" s="40">
        <v>3</v>
      </c>
      <c r="AE251" s="40">
        <v>4</v>
      </c>
      <c r="AF251" s="40">
        <v>3</v>
      </c>
      <c r="AG251" s="40">
        <v>4</v>
      </c>
      <c r="AH251" s="40" t="s">
        <v>45</v>
      </c>
      <c r="AI251" s="40" t="s">
        <v>45</v>
      </c>
      <c r="AJ251" s="40" t="s">
        <v>45</v>
      </c>
      <c r="AK251" s="40" t="s">
        <v>45</v>
      </c>
      <c r="AL251" s="40" t="s">
        <v>45</v>
      </c>
      <c r="AM251" s="40" t="s">
        <v>45</v>
      </c>
      <c r="AN251" s="40" t="s">
        <v>45</v>
      </c>
      <c r="AO251" s="41" t="s">
        <v>45</v>
      </c>
      <c r="AP251" s="40" t="s">
        <v>349</v>
      </c>
      <c r="AQ251" s="40">
        <v>10</v>
      </c>
      <c r="AR251" s="48" t="s">
        <v>347</v>
      </c>
      <c r="AS251" s="43" t="s">
        <v>659</v>
      </c>
      <c r="AT251" s="43" t="s">
        <v>47</v>
      </c>
      <c r="AU251" s="44">
        <f t="shared" si="24"/>
        <v>-2.311361197028369</v>
      </c>
      <c r="AV251" s="44">
        <f t="shared" si="25"/>
        <v>-1.1865339896739031</v>
      </c>
      <c r="AW251" s="45">
        <f t="shared" si="26"/>
        <v>4</v>
      </c>
      <c r="AX251" s="45">
        <f t="shared" si="27"/>
        <v>0</v>
      </c>
      <c r="AY251" s="46">
        <f>VLOOKUP(AP251,COND!$A$10:$B$32,2,FALSE)</f>
        <v>1</v>
      </c>
      <c r="AZ251" s="44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29.807047967116265</v>
      </c>
      <c r="BA251" s="47">
        <f t="shared" si="31"/>
        <v>-0.40339393073414248</v>
      </c>
      <c r="BB251" s="45" t="str">
        <f t="shared" si="28"/>
        <v>SP</v>
      </c>
      <c r="BC251" s="45">
        <f>RANK(Table3[[#This Row],[zScore]],Table3[zScore])</f>
        <v>472</v>
      </c>
      <c r="BD251" s="45"/>
      <c r="BE251" s="45"/>
      <c r="BF251" s="45" t="str">
        <f t="shared" si="29"/>
        <v>Unlikely</v>
      </c>
      <c r="BG251" s="45"/>
      <c r="BH251" s="45" t="str">
        <f>INDEX(Table5[[#All],[Ovr]],MATCH(Table3[[#This Row],[PID]],Table5[[#All],[PID]],0))</f>
        <v/>
      </c>
      <c r="BI251" s="45" t="str">
        <f>INDEX(Table5[[#All],[Rnd]],MATCH(Table3[[#This Row],[PID]],Table5[[#All],[PID]],0))</f>
        <v/>
      </c>
      <c r="BJ251" s="45" t="str">
        <f>INDEX(Table5[[#All],[Pick]],MATCH(Table3[[#This Row],[PID]],Table5[[#All],[PID]],0))</f>
        <v/>
      </c>
      <c r="BK251" s="45" t="str">
        <f>INDEX(Table5[[#All],[Team]],MATCH(Table3[[#This Row],[PID]],Table5[[#All],[PID]],0))</f>
        <v/>
      </c>
      <c r="BL2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2" spans="1:64" ht="15" customHeight="1" x14ac:dyDescent="0.25">
      <c r="A252" s="40">
        <v>9377</v>
      </c>
      <c r="B252" s="40" t="s">
        <v>415</v>
      </c>
      <c r="C252" s="40" t="s">
        <v>144</v>
      </c>
      <c r="D252" s="40" t="s">
        <v>750</v>
      </c>
      <c r="E252" s="40">
        <v>22</v>
      </c>
      <c r="F252" s="40" t="s">
        <v>53</v>
      </c>
      <c r="G252" s="40" t="s">
        <v>53</v>
      </c>
      <c r="H252" s="41" t="s">
        <v>647</v>
      </c>
      <c r="I252" s="42" t="s">
        <v>43</v>
      </c>
      <c r="J252" s="40" t="s">
        <v>43</v>
      </c>
      <c r="K252" s="41" t="s">
        <v>43</v>
      </c>
      <c r="L252" s="40">
        <v>2</v>
      </c>
      <c r="M252" s="40">
        <v>2</v>
      </c>
      <c r="N252" s="41">
        <v>2</v>
      </c>
      <c r="O252" s="40">
        <v>4</v>
      </c>
      <c r="P252" s="40">
        <v>2</v>
      </c>
      <c r="Q252" s="41">
        <v>3</v>
      </c>
      <c r="R252" s="40">
        <v>3</v>
      </c>
      <c r="S252" s="40">
        <v>4</v>
      </c>
      <c r="T252" s="40">
        <v>1</v>
      </c>
      <c r="U252" s="40">
        <v>1</v>
      </c>
      <c r="V252" s="40">
        <v>2</v>
      </c>
      <c r="W252" s="40">
        <v>4</v>
      </c>
      <c r="X252" s="40" t="s">
        <v>45</v>
      </c>
      <c r="Y252" s="40" t="s">
        <v>45</v>
      </c>
      <c r="Z252" s="40" t="s">
        <v>45</v>
      </c>
      <c r="AA252" s="40" t="s">
        <v>45</v>
      </c>
      <c r="AB252" s="40">
        <v>3</v>
      </c>
      <c r="AC252" s="40">
        <v>4</v>
      </c>
      <c r="AD252" s="40" t="s">
        <v>45</v>
      </c>
      <c r="AE252" s="40" t="s">
        <v>45</v>
      </c>
      <c r="AF252" s="40">
        <v>3</v>
      </c>
      <c r="AG252" s="40">
        <v>4</v>
      </c>
      <c r="AH252" s="40" t="s">
        <v>45</v>
      </c>
      <c r="AI252" s="40" t="s">
        <v>45</v>
      </c>
      <c r="AJ252" s="40" t="s">
        <v>45</v>
      </c>
      <c r="AK252" s="40" t="s">
        <v>45</v>
      </c>
      <c r="AL252" s="40" t="s">
        <v>45</v>
      </c>
      <c r="AM252" s="40" t="s">
        <v>45</v>
      </c>
      <c r="AN252" s="40" t="s">
        <v>45</v>
      </c>
      <c r="AO252" s="41" t="s">
        <v>45</v>
      </c>
      <c r="AP252" s="40" t="s">
        <v>349</v>
      </c>
      <c r="AQ252" s="40">
        <v>6</v>
      </c>
      <c r="AR252" s="48" t="s">
        <v>347</v>
      </c>
      <c r="AS252" s="43" t="s">
        <v>45</v>
      </c>
      <c r="AT252" s="43" t="s">
        <v>635</v>
      </c>
      <c r="AU252" s="44">
        <f t="shared" si="24"/>
        <v>-2.0690406309742588</v>
      </c>
      <c r="AV252" s="44">
        <f t="shared" si="25"/>
        <v>-0.99184266516472974</v>
      </c>
      <c r="AW252" s="45">
        <f t="shared" si="26"/>
        <v>5</v>
      </c>
      <c r="AX252" s="45">
        <f t="shared" si="27"/>
        <v>0</v>
      </c>
      <c r="AY252" s="46">
        <f>VLOOKUP(AP252,COND!$A$10:$B$32,2,FALSE)</f>
        <v>1</v>
      </c>
      <c r="AZ252" s="44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29.693105106247788</v>
      </c>
      <c r="BA252" s="47">
        <f t="shared" si="31"/>
        <v>-0.41097437515062907</v>
      </c>
      <c r="BB252" s="45" t="str">
        <f t="shared" si="28"/>
        <v>SP</v>
      </c>
      <c r="BC252" s="45">
        <f>RANK(Table3[[#This Row],[zScore]],Table3[zScore])</f>
        <v>474</v>
      </c>
      <c r="BD252" s="45"/>
      <c r="BE252" s="45"/>
      <c r="BF252" s="45" t="str">
        <f t="shared" si="29"/>
        <v>Unlikely</v>
      </c>
      <c r="BG252" s="45"/>
      <c r="BH252" s="45" t="str">
        <f>INDEX(Table5[[#All],[Ovr]],MATCH(Table3[[#This Row],[PID]],Table5[[#All],[PID]],0))</f>
        <v/>
      </c>
      <c r="BI252" s="45" t="str">
        <f>INDEX(Table5[[#All],[Rnd]],MATCH(Table3[[#This Row],[PID]],Table5[[#All],[PID]],0))</f>
        <v/>
      </c>
      <c r="BJ252" s="45" t="str">
        <f>INDEX(Table5[[#All],[Pick]],MATCH(Table3[[#This Row],[PID]],Table5[[#All],[PID]],0))</f>
        <v/>
      </c>
      <c r="BK252" s="45" t="str">
        <f>INDEX(Table5[[#All],[Team]],MATCH(Table3[[#This Row],[PID]],Table5[[#All],[PID]],0))</f>
        <v/>
      </c>
      <c r="BL2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3" spans="1:64" ht="15" customHeight="1" x14ac:dyDescent="0.25">
      <c r="A253" s="40">
        <v>17809</v>
      </c>
      <c r="B253" s="40" t="s">
        <v>415</v>
      </c>
      <c r="C253" s="40" t="s">
        <v>1094</v>
      </c>
      <c r="D253" s="40" t="s">
        <v>907</v>
      </c>
      <c r="E253" s="40">
        <v>22</v>
      </c>
      <c r="F253" s="40" t="s">
        <v>42</v>
      </c>
      <c r="G253" s="40" t="s">
        <v>42</v>
      </c>
      <c r="H253" s="41" t="s">
        <v>647</v>
      </c>
      <c r="I253" s="42" t="s">
        <v>43</v>
      </c>
      <c r="J253" s="40" t="s">
        <v>44</v>
      </c>
      <c r="K253" s="41" t="s">
        <v>43</v>
      </c>
      <c r="L253" s="40">
        <v>3</v>
      </c>
      <c r="M253" s="40">
        <v>1</v>
      </c>
      <c r="N253" s="41">
        <v>2</v>
      </c>
      <c r="O253" s="40">
        <v>5</v>
      </c>
      <c r="P253" s="40">
        <v>1</v>
      </c>
      <c r="Q253" s="41">
        <v>3</v>
      </c>
      <c r="R253" s="40">
        <v>4</v>
      </c>
      <c r="S253" s="40">
        <v>5</v>
      </c>
      <c r="T253" s="40">
        <v>3</v>
      </c>
      <c r="U253" s="40">
        <v>5</v>
      </c>
      <c r="V253" s="40">
        <v>3</v>
      </c>
      <c r="W253" s="40">
        <v>5</v>
      </c>
      <c r="X253" s="40">
        <v>4</v>
      </c>
      <c r="Y253" s="40">
        <v>6</v>
      </c>
      <c r="Z253" s="40" t="s">
        <v>45</v>
      </c>
      <c r="AA253" s="40" t="s">
        <v>45</v>
      </c>
      <c r="AB253" s="40" t="s">
        <v>45</v>
      </c>
      <c r="AC253" s="40" t="s">
        <v>45</v>
      </c>
      <c r="AD253" s="40" t="s">
        <v>45</v>
      </c>
      <c r="AE253" s="40" t="s">
        <v>45</v>
      </c>
      <c r="AF253" s="40" t="s">
        <v>45</v>
      </c>
      <c r="AG253" s="40" t="s">
        <v>45</v>
      </c>
      <c r="AH253" s="40" t="s">
        <v>45</v>
      </c>
      <c r="AI253" s="40" t="s">
        <v>45</v>
      </c>
      <c r="AJ253" s="40" t="s">
        <v>45</v>
      </c>
      <c r="AK253" s="40" t="s">
        <v>45</v>
      </c>
      <c r="AL253" s="40" t="s">
        <v>45</v>
      </c>
      <c r="AM253" s="40" t="s">
        <v>45</v>
      </c>
      <c r="AN253" s="40" t="s">
        <v>45</v>
      </c>
      <c r="AO253" s="41" t="s">
        <v>45</v>
      </c>
      <c r="AP253" s="40" t="s">
        <v>349</v>
      </c>
      <c r="AQ253" s="40">
        <v>7</v>
      </c>
      <c r="AR253" s="48" t="s">
        <v>14</v>
      </c>
      <c r="AS253" s="43" t="s">
        <v>45</v>
      </c>
      <c r="AT253" s="43" t="s">
        <v>635</v>
      </c>
      <c r="AU253" s="44">
        <f t="shared" si="24"/>
        <v>-2.0697810228951408</v>
      </c>
      <c r="AV253" s="44">
        <f t="shared" si="25"/>
        <v>-0.99258305708561179</v>
      </c>
      <c r="AW253" s="45">
        <f t="shared" si="26"/>
        <v>4</v>
      </c>
      <c r="AX253" s="45">
        <f t="shared" si="27"/>
        <v>1</v>
      </c>
      <c r="AY253" s="46">
        <f>VLOOKUP(AP253,COND!$A$10:$B$32,2,FALSE)</f>
        <v>1</v>
      </c>
      <c r="AZ253" s="44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29.684382653708735</v>
      </c>
      <c r="BA253" s="47">
        <f t="shared" si="31"/>
        <v>-0.41155466658919548</v>
      </c>
      <c r="BB253" s="45" t="str">
        <f t="shared" si="28"/>
        <v>SP</v>
      </c>
      <c r="BC253" s="45">
        <f>RANK(Table3[[#This Row],[zScore]],Table3[zScore])</f>
        <v>475</v>
      </c>
      <c r="BD253" s="45"/>
      <c r="BE253" s="45"/>
      <c r="BF253" s="45" t="str">
        <f t="shared" si="29"/>
        <v>Unlikely</v>
      </c>
      <c r="BG253" s="45"/>
      <c r="BH253" s="45" t="str">
        <f>INDEX(Table5[[#All],[Ovr]],MATCH(Table3[[#This Row],[PID]],Table5[[#All],[PID]],0))</f>
        <v/>
      </c>
      <c r="BI253" s="45" t="str">
        <f>INDEX(Table5[[#All],[Rnd]],MATCH(Table3[[#This Row],[PID]],Table5[[#All],[PID]],0))</f>
        <v/>
      </c>
      <c r="BJ253" s="45" t="str">
        <f>INDEX(Table5[[#All],[Pick]],MATCH(Table3[[#This Row],[PID]],Table5[[#All],[PID]],0))</f>
        <v/>
      </c>
      <c r="BK253" s="45" t="str">
        <f>INDEX(Table5[[#All],[Team]],MATCH(Table3[[#This Row],[PID]],Table5[[#All],[PID]],0))</f>
        <v/>
      </c>
      <c r="BL2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4" spans="1:64" ht="15" customHeight="1" x14ac:dyDescent="0.25">
      <c r="A254" s="40">
        <v>9388</v>
      </c>
      <c r="B254" s="40" t="s">
        <v>415</v>
      </c>
      <c r="C254" s="40" t="s">
        <v>1107</v>
      </c>
      <c r="D254" s="40" t="s">
        <v>297</v>
      </c>
      <c r="E254" s="40">
        <v>22</v>
      </c>
      <c r="F254" s="40" t="s">
        <v>53</v>
      </c>
      <c r="G254" s="40" t="s">
        <v>53</v>
      </c>
      <c r="H254" s="41" t="s">
        <v>647</v>
      </c>
      <c r="I254" s="42" t="s">
        <v>43</v>
      </c>
      <c r="J254" s="40" t="s">
        <v>43</v>
      </c>
      <c r="K254" s="41" t="s">
        <v>47</v>
      </c>
      <c r="L254" s="40">
        <v>3</v>
      </c>
      <c r="M254" s="40">
        <v>1</v>
      </c>
      <c r="N254" s="41">
        <v>2</v>
      </c>
      <c r="O254" s="40">
        <v>5</v>
      </c>
      <c r="P254" s="40">
        <v>1</v>
      </c>
      <c r="Q254" s="41">
        <v>3</v>
      </c>
      <c r="R254" s="40">
        <v>5</v>
      </c>
      <c r="S254" s="40">
        <v>6</v>
      </c>
      <c r="T254" s="40">
        <v>1</v>
      </c>
      <c r="U254" s="40">
        <v>1</v>
      </c>
      <c r="V254" s="40">
        <v>4</v>
      </c>
      <c r="W254" s="40">
        <v>6</v>
      </c>
      <c r="X254" s="40" t="s">
        <v>45</v>
      </c>
      <c r="Y254" s="40" t="s">
        <v>45</v>
      </c>
      <c r="Z254" s="40" t="s">
        <v>45</v>
      </c>
      <c r="AA254" s="40" t="s">
        <v>45</v>
      </c>
      <c r="AB254" s="40" t="s">
        <v>45</v>
      </c>
      <c r="AC254" s="40" t="s">
        <v>45</v>
      </c>
      <c r="AD254" s="40" t="s">
        <v>45</v>
      </c>
      <c r="AE254" s="40" t="s">
        <v>45</v>
      </c>
      <c r="AF254" s="40" t="s">
        <v>45</v>
      </c>
      <c r="AG254" s="40" t="s">
        <v>45</v>
      </c>
      <c r="AH254" s="40" t="s">
        <v>45</v>
      </c>
      <c r="AI254" s="40" t="s">
        <v>45</v>
      </c>
      <c r="AJ254" s="40" t="s">
        <v>45</v>
      </c>
      <c r="AK254" s="40" t="s">
        <v>45</v>
      </c>
      <c r="AL254" s="40" t="s">
        <v>45</v>
      </c>
      <c r="AM254" s="40" t="s">
        <v>45</v>
      </c>
      <c r="AN254" s="40" t="s">
        <v>45</v>
      </c>
      <c r="AO254" s="41" t="s">
        <v>45</v>
      </c>
      <c r="AP254" s="40" t="s">
        <v>58</v>
      </c>
      <c r="AQ254" s="40">
        <v>8</v>
      </c>
      <c r="AR254" s="48" t="s">
        <v>351</v>
      </c>
      <c r="AS254" s="43" t="s">
        <v>45</v>
      </c>
      <c r="AT254" s="43"/>
      <c r="AU254" s="44">
        <f t="shared" si="24"/>
        <v>-2.0697810228951408</v>
      </c>
      <c r="AV254" s="44">
        <f t="shared" si="25"/>
        <v>-0.99258305708561179</v>
      </c>
      <c r="AW254" s="45">
        <f t="shared" si="26"/>
        <v>3</v>
      </c>
      <c r="AX254" s="45">
        <f t="shared" si="27"/>
        <v>2</v>
      </c>
      <c r="AY254" s="46">
        <f>VLOOKUP(AP254,COND!$A$10:$B$32,2,FALSE)</f>
        <v>1</v>
      </c>
      <c r="AZ254" s="44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31.034382653708736</v>
      </c>
      <c r="BA254" s="47">
        <f>STANDARDIZE(AZ254,AVERAGE($AZ$5:$AZ$788),STDEVP($AZ$5:$AZ$788))</f>
        <v>-0.41572919423510374</v>
      </c>
      <c r="BB254" s="45" t="str">
        <f t="shared" si="28"/>
        <v>SP</v>
      </c>
      <c r="BC254" s="45">
        <f>RANK(Table3[[#This Row],[zScore]],Table3[zScore])</f>
        <v>476</v>
      </c>
      <c r="BD254" s="45"/>
      <c r="BE254" s="45"/>
      <c r="BF254" s="45" t="str">
        <f t="shared" si="29"/>
        <v>Unlikely</v>
      </c>
      <c r="BG254" s="45"/>
      <c r="BH254" s="64" t="str">
        <f>INDEX(Table5[[#All],[Ovr]],MATCH(Table3[[#This Row],[PID]],Table5[[#All],[PID]],0))</f>
        <v/>
      </c>
      <c r="BI254" s="64" t="str">
        <f>INDEX(Table5[[#All],[Rnd]],MATCH(Table3[[#This Row],[PID]],Table5[[#All],[PID]],0))</f>
        <v/>
      </c>
      <c r="BJ254" s="64" t="str">
        <f>INDEX(Table5[[#All],[Pick]],MATCH(Table3[[#This Row],[PID]],Table5[[#All],[PID]],0))</f>
        <v/>
      </c>
      <c r="BK254" s="64" t="str">
        <f>INDEX(Table5[[#All],[Team]],MATCH(Table3[[#This Row],[PID]],Table5[[#All],[PID]],0))</f>
        <v/>
      </c>
      <c r="BL254" s="64" t="str">
        <f>IF(OR(Table3[[#This Row],[POS]]="SP",Table3[[#This Row],[POS]]="RP",Table3[[#This Row],[POS]]="CL"),"P",INDEX(Batters[[#All],[zScore]],MATCH(Table3[[#This Row],[PID]],Batters[[#All],[PID]],0)))</f>
        <v>P</v>
      </c>
    </row>
    <row r="255" spans="1:64" ht="15" customHeight="1" x14ac:dyDescent="0.25">
      <c r="A255" s="40">
        <v>20759</v>
      </c>
      <c r="B255" s="40" t="s">
        <v>415</v>
      </c>
      <c r="C255" s="40" t="s">
        <v>698</v>
      </c>
      <c r="D255" s="40" t="s">
        <v>937</v>
      </c>
      <c r="E255" s="40">
        <v>16</v>
      </c>
      <c r="F255" s="40" t="s">
        <v>42</v>
      </c>
      <c r="G255" s="40" t="s">
        <v>42</v>
      </c>
      <c r="H255" s="41" t="s">
        <v>647</v>
      </c>
      <c r="I255" s="42" t="s">
        <v>43</v>
      </c>
      <c r="J255" s="40" t="s">
        <v>47</v>
      </c>
      <c r="K255" s="41" t="s">
        <v>47</v>
      </c>
      <c r="L255" s="40">
        <v>2</v>
      </c>
      <c r="M255" s="40">
        <v>1</v>
      </c>
      <c r="N255" s="41">
        <v>1</v>
      </c>
      <c r="O255" s="40">
        <v>5</v>
      </c>
      <c r="P255" s="40">
        <v>1</v>
      </c>
      <c r="Q255" s="41">
        <v>3</v>
      </c>
      <c r="R255" s="40">
        <v>4</v>
      </c>
      <c r="S255" s="40">
        <v>7</v>
      </c>
      <c r="T255" s="40" t="s">
        <v>45</v>
      </c>
      <c r="U255" s="40" t="s">
        <v>45</v>
      </c>
      <c r="V255" s="40" t="s">
        <v>45</v>
      </c>
      <c r="W255" s="40" t="s">
        <v>45</v>
      </c>
      <c r="X255" s="40">
        <v>3</v>
      </c>
      <c r="Y255" s="40">
        <v>6</v>
      </c>
      <c r="Z255" s="40" t="s">
        <v>45</v>
      </c>
      <c r="AA255" s="40" t="s">
        <v>45</v>
      </c>
      <c r="AB255" s="40" t="s">
        <v>45</v>
      </c>
      <c r="AC255" s="40" t="s">
        <v>45</v>
      </c>
      <c r="AD255" s="40" t="s">
        <v>45</v>
      </c>
      <c r="AE255" s="40" t="s">
        <v>45</v>
      </c>
      <c r="AF255" s="40" t="s">
        <v>45</v>
      </c>
      <c r="AG255" s="40" t="s">
        <v>45</v>
      </c>
      <c r="AH255" s="40" t="s">
        <v>45</v>
      </c>
      <c r="AI255" s="40" t="s">
        <v>45</v>
      </c>
      <c r="AJ255" s="40" t="s">
        <v>45</v>
      </c>
      <c r="AK255" s="40" t="s">
        <v>45</v>
      </c>
      <c r="AL255" s="40" t="s">
        <v>45</v>
      </c>
      <c r="AM255" s="40" t="s">
        <v>45</v>
      </c>
      <c r="AN255" s="40" t="s">
        <v>45</v>
      </c>
      <c r="AO255" s="41" t="s">
        <v>45</v>
      </c>
      <c r="AP255" s="40" t="s">
        <v>56</v>
      </c>
      <c r="AQ255" s="40">
        <v>3</v>
      </c>
      <c r="AR255" s="48" t="s">
        <v>14</v>
      </c>
      <c r="AS255" s="43" t="s">
        <v>644</v>
      </c>
      <c r="AT255" s="43" t="s">
        <v>635</v>
      </c>
      <c r="AU255" s="44">
        <f t="shared" si="24"/>
        <v>-2.5067929134584248</v>
      </c>
      <c r="AV255" s="44">
        <f t="shared" si="25"/>
        <v>-0.99258305708561179</v>
      </c>
      <c r="AW255" s="45">
        <f t="shared" si="26"/>
        <v>2</v>
      </c>
      <c r="AX255" s="45">
        <f t="shared" si="27"/>
        <v>2</v>
      </c>
      <c r="AY255" s="46">
        <f>VLOOKUP(AP255,COND!$A$10:$B$32,2,FALSE)</f>
        <v>1</v>
      </c>
      <c r="AZ255" s="44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29.589631261816276</v>
      </c>
      <c r="BA255" s="47">
        <f>STANDARDIZE(AZ255,AVERAGE($AZ$5:$AZ$557),STDEVP($AZ$5:$AZ$557))</f>
        <v>-0.41785833190136096</v>
      </c>
      <c r="BB255" s="45" t="str">
        <f t="shared" si="28"/>
        <v>RP</v>
      </c>
      <c r="BC255" s="45">
        <f>RANK(Table3[[#This Row],[zScore]],Table3[zScore])</f>
        <v>477</v>
      </c>
      <c r="BD255" s="45"/>
      <c r="BE255" s="45"/>
      <c r="BF255" s="45" t="str">
        <f t="shared" si="29"/>
        <v>Unlikely</v>
      </c>
      <c r="BG255" s="45"/>
      <c r="BH255" s="45" t="str">
        <f>INDEX(Table5[[#All],[Ovr]],MATCH(Table3[[#This Row],[PID]],Table5[[#All],[PID]],0))</f>
        <v/>
      </c>
      <c r="BI255" s="45" t="str">
        <f>INDEX(Table5[[#All],[Rnd]],MATCH(Table3[[#This Row],[PID]],Table5[[#All],[PID]],0))</f>
        <v/>
      </c>
      <c r="BJ255" s="45" t="str">
        <f>INDEX(Table5[[#All],[Pick]],MATCH(Table3[[#This Row],[PID]],Table5[[#All],[PID]],0))</f>
        <v/>
      </c>
      <c r="BK255" s="45" t="str">
        <f>INDEX(Table5[[#All],[Team]],MATCH(Table3[[#This Row],[PID]],Table5[[#All],[PID]],0))</f>
        <v/>
      </c>
      <c r="BL2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6" spans="1:64" ht="15" customHeight="1" x14ac:dyDescent="0.25">
      <c r="A256" s="40">
        <v>20509</v>
      </c>
      <c r="B256" s="40" t="s">
        <v>415</v>
      </c>
      <c r="C256" s="40" t="s">
        <v>447</v>
      </c>
      <c r="D256" s="40" t="s">
        <v>1997</v>
      </c>
      <c r="E256" s="40">
        <v>17</v>
      </c>
      <c r="F256" s="40" t="s">
        <v>42</v>
      </c>
      <c r="G256" s="40" t="s">
        <v>42</v>
      </c>
      <c r="H256" s="41" t="s">
        <v>647</v>
      </c>
      <c r="I256" s="42" t="s">
        <v>43</v>
      </c>
      <c r="J256" s="40" t="s">
        <v>43</v>
      </c>
      <c r="K256" s="41" t="s">
        <v>44</v>
      </c>
      <c r="L256" s="40">
        <v>2</v>
      </c>
      <c r="M256" s="40">
        <v>1</v>
      </c>
      <c r="N256" s="41">
        <v>1</v>
      </c>
      <c r="O256" s="40">
        <v>5</v>
      </c>
      <c r="P256" s="40">
        <v>1</v>
      </c>
      <c r="Q256" s="41">
        <v>2</v>
      </c>
      <c r="R256" s="40">
        <v>4</v>
      </c>
      <c r="S256" s="40">
        <v>7</v>
      </c>
      <c r="T256" s="40">
        <v>1</v>
      </c>
      <c r="U256" s="40">
        <v>2</v>
      </c>
      <c r="V256" s="40" t="s">
        <v>45</v>
      </c>
      <c r="W256" s="40" t="s">
        <v>45</v>
      </c>
      <c r="X256" s="40">
        <v>3</v>
      </c>
      <c r="Y256" s="40">
        <v>7</v>
      </c>
      <c r="Z256" s="40" t="s">
        <v>45</v>
      </c>
      <c r="AA256" s="40" t="s">
        <v>45</v>
      </c>
      <c r="AB256" s="40" t="s">
        <v>45</v>
      </c>
      <c r="AC256" s="40" t="s">
        <v>45</v>
      </c>
      <c r="AD256" s="40" t="s">
        <v>45</v>
      </c>
      <c r="AE256" s="40" t="s">
        <v>45</v>
      </c>
      <c r="AF256" s="40" t="s">
        <v>45</v>
      </c>
      <c r="AG256" s="40" t="s">
        <v>45</v>
      </c>
      <c r="AH256" s="40" t="s">
        <v>45</v>
      </c>
      <c r="AI256" s="40" t="s">
        <v>45</v>
      </c>
      <c r="AJ256" s="40" t="s">
        <v>45</v>
      </c>
      <c r="AK256" s="40" t="s">
        <v>45</v>
      </c>
      <c r="AL256" s="40" t="s">
        <v>45</v>
      </c>
      <c r="AM256" s="40" t="s">
        <v>45</v>
      </c>
      <c r="AN256" s="40" t="s">
        <v>45</v>
      </c>
      <c r="AO256" s="41" t="s">
        <v>45</v>
      </c>
      <c r="AP256" s="40" t="s">
        <v>57</v>
      </c>
      <c r="AQ256" s="40">
        <v>4</v>
      </c>
      <c r="AR256" s="48" t="s">
        <v>14</v>
      </c>
      <c r="AS256" s="43" t="s">
        <v>548</v>
      </c>
      <c r="AT256" s="43" t="s">
        <v>47</v>
      </c>
      <c r="AU256" s="44">
        <f t="shared" si="24"/>
        <v>-2.5067929134584248</v>
      </c>
      <c r="AV256" s="44">
        <f t="shared" si="25"/>
        <v>-1.2349036231397219</v>
      </c>
      <c r="AW256" s="45">
        <f t="shared" si="26"/>
        <v>3</v>
      </c>
      <c r="AX256" s="45">
        <f t="shared" si="27"/>
        <v>2</v>
      </c>
      <c r="AY256" s="46">
        <f>VLOOKUP(AP256,COND!$A$10:$B$32,2,FALSE)</f>
        <v>1</v>
      </c>
      <c r="AZ256" s="44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29.560540506788183</v>
      </c>
      <c r="BA256" s="47">
        <f>STANDARDIZE(AZ256,AVERAGE($AZ$5:$AZ$557),STDEVP($AZ$5:$AZ$557))</f>
        <v>-0.41979369537954003</v>
      </c>
      <c r="BB256" s="45" t="str">
        <f t="shared" si="28"/>
        <v>RP</v>
      </c>
      <c r="BC256" s="45">
        <f>RANK(Table3[[#This Row],[zScore]],Table3[zScore])</f>
        <v>479</v>
      </c>
      <c r="BD256" s="45"/>
      <c r="BE256" s="45"/>
      <c r="BF256" s="45" t="str">
        <f t="shared" si="29"/>
        <v>Unlikely</v>
      </c>
      <c r="BG256" s="45"/>
      <c r="BH256" s="45" t="str">
        <f>INDEX(Table5[[#All],[Ovr]],MATCH(Table3[[#This Row],[PID]],Table5[[#All],[PID]],0))</f>
        <v/>
      </c>
      <c r="BI256" s="45" t="str">
        <f>INDEX(Table5[[#All],[Rnd]],MATCH(Table3[[#This Row],[PID]],Table5[[#All],[PID]],0))</f>
        <v/>
      </c>
      <c r="BJ256" s="45" t="str">
        <f>INDEX(Table5[[#All],[Pick]],MATCH(Table3[[#This Row],[PID]],Table5[[#All],[PID]],0))</f>
        <v/>
      </c>
      <c r="BK256" s="45" t="str">
        <f>INDEX(Table5[[#All],[Team]],MATCH(Table3[[#This Row],[PID]],Table5[[#All],[PID]],0))</f>
        <v/>
      </c>
      <c r="BL2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7" spans="1:64" ht="15" customHeight="1" x14ac:dyDescent="0.25">
      <c r="A257" s="40">
        <v>15686</v>
      </c>
      <c r="B257" s="40" t="s">
        <v>415</v>
      </c>
      <c r="C257" s="40" t="s">
        <v>202</v>
      </c>
      <c r="D257" s="40" t="s">
        <v>1109</v>
      </c>
      <c r="E257" s="40">
        <v>22</v>
      </c>
      <c r="F257" s="40" t="s">
        <v>42</v>
      </c>
      <c r="G257" s="40" t="s">
        <v>42</v>
      </c>
      <c r="H257" s="41" t="s">
        <v>647</v>
      </c>
      <c r="I257" s="42" t="s">
        <v>43</v>
      </c>
      <c r="J257" s="40" t="s">
        <v>44</v>
      </c>
      <c r="K257" s="41" t="s">
        <v>43</v>
      </c>
      <c r="L257" s="40">
        <v>2</v>
      </c>
      <c r="M257" s="40">
        <v>2</v>
      </c>
      <c r="N257" s="41">
        <v>2</v>
      </c>
      <c r="O257" s="40">
        <v>4</v>
      </c>
      <c r="P257" s="40">
        <v>2</v>
      </c>
      <c r="Q257" s="41">
        <v>3</v>
      </c>
      <c r="R257" s="40">
        <v>3</v>
      </c>
      <c r="S257" s="40">
        <v>4</v>
      </c>
      <c r="T257" s="40">
        <v>1</v>
      </c>
      <c r="U257" s="40">
        <v>1</v>
      </c>
      <c r="V257" s="40" t="s">
        <v>45</v>
      </c>
      <c r="W257" s="40" t="s">
        <v>45</v>
      </c>
      <c r="X257" s="40">
        <v>3</v>
      </c>
      <c r="Y257" s="40">
        <v>6</v>
      </c>
      <c r="Z257" s="40" t="s">
        <v>45</v>
      </c>
      <c r="AA257" s="40" t="s">
        <v>45</v>
      </c>
      <c r="AB257" s="40" t="s">
        <v>45</v>
      </c>
      <c r="AC257" s="40" t="s">
        <v>45</v>
      </c>
      <c r="AD257" s="40" t="s">
        <v>45</v>
      </c>
      <c r="AE257" s="40" t="s">
        <v>45</v>
      </c>
      <c r="AF257" s="40">
        <v>3</v>
      </c>
      <c r="AG257" s="40">
        <v>4</v>
      </c>
      <c r="AH257" s="40" t="s">
        <v>45</v>
      </c>
      <c r="AI257" s="40" t="s">
        <v>45</v>
      </c>
      <c r="AJ257" s="40" t="s">
        <v>45</v>
      </c>
      <c r="AK257" s="40" t="s">
        <v>45</v>
      </c>
      <c r="AL257" s="40" t="s">
        <v>45</v>
      </c>
      <c r="AM257" s="40" t="s">
        <v>45</v>
      </c>
      <c r="AN257" s="40" t="s">
        <v>45</v>
      </c>
      <c r="AO257" s="41" t="s">
        <v>45</v>
      </c>
      <c r="AP257" s="40" t="s">
        <v>68</v>
      </c>
      <c r="AQ257" s="40">
        <v>6</v>
      </c>
      <c r="AR257" s="48" t="s">
        <v>347</v>
      </c>
      <c r="AS257" s="43" t="s">
        <v>45</v>
      </c>
      <c r="AT257" s="43"/>
      <c r="AU257" s="44">
        <f t="shared" si="24"/>
        <v>-2.0690406309742588</v>
      </c>
      <c r="AV257" s="44">
        <f t="shared" si="25"/>
        <v>-0.99184266516472974</v>
      </c>
      <c r="AW257" s="45">
        <f t="shared" si="26"/>
        <v>4</v>
      </c>
      <c r="AX257" s="45">
        <f t="shared" si="27"/>
        <v>1</v>
      </c>
      <c r="AY257" s="46">
        <f>VLOOKUP(AP257,COND!$A$10:$B$32,2,FALSE)</f>
        <v>0.95</v>
      </c>
      <c r="AZ257" s="44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30.9531373509354</v>
      </c>
      <c r="BA257" s="47">
        <f>STANDARDIZE(AZ257,AVERAGE($AZ$5:$AZ$788),STDEVP($AZ$5:$AZ$788))</f>
        <v>-0.42160830464891647</v>
      </c>
      <c r="BB257" s="45" t="str">
        <f t="shared" si="28"/>
        <v>SP</v>
      </c>
      <c r="BC257" s="45">
        <f>RANK(Table3[[#This Row],[zScore]],Table3[zScore])</f>
        <v>480</v>
      </c>
      <c r="BD257" s="45"/>
      <c r="BE257" s="45"/>
      <c r="BF257" s="45" t="str">
        <f t="shared" si="29"/>
        <v>Unlikely</v>
      </c>
      <c r="BG257" s="45"/>
      <c r="BH257" s="64" t="str">
        <f>INDEX(Table5[[#All],[Ovr]],MATCH(Table3[[#This Row],[PID]],Table5[[#All],[PID]],0))</f>
        <v/>
      </c>
      <c r="BI257" s="64" t="str">
        <f>INDEX(Table5[[#All],[Rnd]],MATCH(Table3[[#This Row],[PID]],Table5[[#All],[PID]],0))</f>
        <v/>
      </c>
      <c r="BJ257" s="64" t="str">
        <f>INDEX(Table5[[#All],[Pick]],MATCH(Table3[[#This Row],[PID]],Table5[[#All],[PID]],0))</f>
        <v/>
      </c>
      <c r="BK257" s="64" t="str">
        <f>INDEX(Table5[[#All],[Team]],MATCH(Table3[[#This Row],[PID]],Table5[[#All],[PID]],0))</f>
        <v/>
      </c>
      <c r="BL257" s="64" t="str">
        <f>IF(OR(Table3[[#This Row],[POS]]="SP",Table3[[#This Row],[POS]]="RP",Table3[[#This Row],[POS]]="CL"),"P",INDEX(Batters[[#All],[zScore]],MATCH(Table3[[#This Row],[PID]],Batters[[#All],[PID]],0)))</f>
        <v>P</v>
      </c>
    </row>
    <row r="258" spans="1:64" ht="15" customHeight="1" x14ac:dyDescent="0.25">
      <c r="A258" s="40">
        <v>17610</v>
      </c>
      <c r="B258" s="40" t="s">
        <v>415</v>
      </c>
      <c r="C258" s="40" t="s">
        <v>537</v>
      </c>
      <c r="D258" s="40" t="s">
        <v>889</v>
      </c>
      <c r="E258" s="40">
        <v>18</v>
      </c>
      <c r="F258" s="40" t="s">
        <v>42</v>
      </c>
      <c r="G258" s="40" t="s">
        <v>42</v>
      </c>
      <c r="H258" s="41" t="s">
        <v>647</v>
      </c>
      <c r="I258" s="42" t="s">
        <v>43</v>
      </c>
      <c r="J258" s="40" t="s">
        <v>44</v>
      </c>
      <c r="K258" s="41" t="s">
        <v>43</v>
      </c>
      <c r="L258" s="40">
        <v>2</v>
      </c>
      <c r="M258" s="40">
        <v>1</v>
      </c>
      <c r="N258" s="41">
        <v>1</v>
      </c>
      <c r="O258" s="40">
        <v>4</v>
      </c>
      <c r="P258" s="40">
        <v>1</v>
      </c>
      <c r="Q258" s="41">
        <v>3</v>
      </c>
      <c r="R258" s="40">
        <v>4</v>
      </c>
      <c r="S258" s="40">
        <v>5</v>
      </c>
      <c r="T258" s="40">
        <v>2</v>
      </c>
      <c r="U258" s="40">
        <v>5</v>
      </c>
      <c r="V258" s="40" t="s">
        <v>45</v>
      </c>
      <c r="W258" s="40" t="s">
        <v>45</v>
      </c>
      <c r="X258" s="40" t="s">
        <v>45</v>
      </c>
      <c r="Y258" s="40" t="s">
        <v>45</v>
      </c>
      <c r="Z258" s="40" t="s">
        <v>45</v>
      </c>
      <c r="AA258" s="40" t="s">
        <v>45</v>
      </c>
      <c r="AB258" s="40" t="s">
        <v>45</v>
      </c>
      <c r="AC258" s="40" t="s">
        <v>45</v>
      </c>
      <c r="AD258" s="40">
        <v>3</v>
      </c>
      <c r="AE258" s="40">
        <v>5</v>
      </c>
      <c r="AF258" s="40" t="s">
        <v>45</v>
      </c>
      <c r="AG258" s="40" t="s">
        <v>45</v>
      </c>
      <c r="AH258" s="40" t="s">
        <v>45</v>
      </c>
      <c r="AI258" s="40" t="s">
        <v>45</v>
      </c>
      <c r="AJ258" s="40" t="s">
        <v>45</v>
      </c>
      <c r="AK258" s="40" t="s">
        <v>45</v>
      </c>
      <c r="AL258" s="40" t="s">
        <v>45</v>
      </c>
      <c r="AM258" s="40" t="s">
        <v>45</v>
      </c>
      <c r="AN258" s="40" t="s">
        <v>45</v>
      </c>
      <c r="AO258" s="41" t="s">
        <v>45</v>
      </c>
      <c r="AP258" s="40" t="s">
        <v>57</v>
      </c>
      <c r="AQ258" s="40">
        <v>6</v>
      </c>
      <c r="AR258" s="48" t="s">
        <v>14</v>
      </c>
      <c r="AS258" s="43" t="s">
        <v>659</v>
      </c>
      <c r="AT258" s="43" t="s">
        <v>635</v>
      </c>
      <c r="AU258" s="44">
        <f t="shared" si="24"/>
        <v>-2.5067929134584248</v>
      </c>
      <c r="AV258" s="44">
        <f t="shared" si="25"/>
        <v>-1.1872743815947853</v>
      </c>
      <c r="AW258" s="45">
        <f t="shared" si="26"/>
        <v>3</v>
      </c>
      <c r="AX258" s="45">
        <f t="shared" si="27"/>
        <v>0</v>
      </c>
      <c r="AY258" s="46">
        <f>VLOOKUP(AP258,COND!$A$10:$B$32,2,FALSE)</f>
        <v>1</v>
      </c>
      <c r="AZ258" s="44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29.521824940777293</v>
      </c>
      <c r="BA258" s="47">
        <f>STANDARDIZE(AZ258,AVERAGE($AZ$5:$AZ$557),STDEVP($AZ$5:$AZ$557))</f>
        <v>-0.42236938282464576</v>
      </c>
      <c r="BB258" s="45" t="str">
        <f t="shared" si="28"/>
        <v>SP</v>
      </c>
      <c r="BC258" s="45">
        <f>RANK(Table3[[#This Row],[zScore]],Table3[zScore])</f>
        <v>481</v>
      </c>
      <c r="BD258" s="45"/>
      <c r="BE258" s="45"/>
      <c r="BF258" s="45" t="str">
        <f t="shared" si="29"/>
        <v>Unlikely</v>
      </c>
      <c r="BG258" s="45"/>
      <c r="BH258" s="45" t="str">
        <f>INDEX(Table5[[#All],[Ovr]],MATCH(Table3[[#This Row],[PID]],Table5[[#All],[PID]],0))</f>
        <v/>
      </c>
      <c r="BI258" s="45" t="str">
        <f>INDEX(Table5[[#All],[Rnd]],MATCH(Table3[[#This Row],[PID]],Table5[[#All],[PID]],0))</f>
        <v/>
      </c>
      <c r="BJ258" s="45" t="str">
        <f>INDEX(Table5[[#All],[Pick]],MATCH(Table3[[#This Row],[PID]],Table5[[#All],[PID]],0))</f>
        <v/>
      </c>
      <c r="BK258" s="45" t="str">
        <f>INDEX(Table5[[#All],[Team]],MATCH(Table3[[#This Row],[PID]],Table5[[#All],[PID]],0))</f>
        <v/>
      </c>
      <c r="BL2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59" spans="1:64" ht="15" customHeight="1" x14ac:dyDescent="0.25">
      <c r="A259" s="40">
        <v>17594</v>
      </c>
      <c r="B259" s="40" t="s">
        <v>415</v>
      </c>
      <c r="C259" s="40" t="s">
        <v>431</v>
      </c>
      <c r="D259" s="40" t="s">
        <v>1643</v>
      </c>
      <c r="E259" s="40">
        <v>18</v>
      </c>
      <c r="F259" s="40" t="s">
        <v>53</v>
      </c>
      <c r="G259" s="40" t="s">
        <v>53</v>
      </c>
      <c r="H259" s="41" t="s">
        <v>647</v>
      </c>
      <c r="I259" s="42" t="s">
        <v>43</v>
      </c>
      <c r="J259" s="40" t="s">
        <v>44</v>
      </c>
      <c r="K259" s="41" t="s">
        <v>43</v>
      </c>
      <c r="L259" s="40">
        <v>1</v>
      </c>
      <c r="M259" s="40">
        <v>2</v>
      </c>
      <c r="N259" s="41">
        <v>1</v>
      </c>
      <c r="O259" s="40">
        <v>4</v>
      </c>
      <c r="P259" s="40">
        <v>2</v>
      </c>
      <c r="Q259" s="41">
        <v>2</v>
      </c>
      <c r="R259" s="40" t="s">
        <v>45</v>
      </c>
      <c r="S259" s="40" t="s">
        <v>45</v>
      </c>
      <c r="T259" s="40" t="s">
        <v>45</v>
      </c>
      <c r="U259" s="40" t="s">
        <v>45</v>
      </c>
      <c r="V259" s="40" t="s">
        <v>45</v>
      </c>
      <c r="W259" s="40" t="s">
        <v>45</v>
      </c>
      <c r="X259" s="40">
        <v>2</v>
      </c>
      <c r="Y259" s="40">
        <v>4</v>
      </c>
      <c r="Z259" s="40" t="s">
        <v>45</v>
      </c>
      <c r="AA259" s="40" t="s">
        <v>45</v>
      </c>
      <c r="AB259" s="40" t="s">
        <v>45</v>
      </c>
      <c r="AC259" s="40" t="s">
        <v>45</v>
      </c>
      <c r="AD259" s="40">
        <v>2</v>
      </c>
      <c r="AE259" s="40">
        <v>4</v>
      </c>
      <c r="AF259" s="40" t="s">
        <v>45</v>
      </c>
      <c r="AG259" s="40" t="s">
        <v>45</v>
      </c>
      <c r="AH259" s="40">
        <v>2</v>
      </c>
      <c r="AI259" s="40">
        <v>6</v>
      </c>
      <c r="AJ259" s="40" t="s">
        <v>45</v>
      </c>
      <c r="AK259" s="40" t="s">
        <v>45</v>
      </c>
      <c r="AL259" s="40" t="s">
        <v>45</v>
      </c>
      <c r="AM259" s="40" t="s">
        <v>45</v>
      </c>
      <c r="AN259" s="40" t="s">
        <v>45</v>
      </c>
      <c r="AO259" s="41" t="s">
        <v>45</v>
      </c>
      <c r="AP259" s="40" t="s">
        <v>65</v>
      </c>
      <c r="AQ259" s="40">
        <v>5</v>
      </c>
      <c r="AR259" s="48" t="s">
        <v>347</v>
      </c>
      <c r="AS259" s="43" t="s">
        <v>644</v>
      </c>
      <c r="AT259" s="43"/>
      <c r="AU259" s="44">
        <f t="shared" si="24"/>
        <v>-2.5060525215375429</v>
      </c>
      <c r="AV259" s="44">
        <f t="shared" si="25"/>
        <v>-1.23416323121884</v>
      </c>
      <c r="AW259" s="45">
        <f t="shared" si="26"/>
        <v>3</v>
      </c>
      <c r="AX259" s="45">
        <f t="shared" si="27"/>
        <v>1</v>
      </c>
      <c r="AY259" s="46">
        <f>VLOOKUP(AP259,COND!$A$10:$B$32,2,FALSE)</f>
        <v>0.95</v>
      </c>
      <c r="AZ259" s="44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30.920067412056163</v>
      </c>
      <c r="BA259" s="47">
        <f>STANDARDIZE(AZ259,AVERAGE($AZ$5:$AZ$788),STDEVP($AZ$5:$AZ$788))</f>
        <v>-0.42400132695805209</v>
      </c>
      <c r="BB259" s="45" t="str">
        <f t="shared" si="28"/>
        <v>SP</v>
      </c>
      <c r="BC259" s="45">
        <f>RANK(Table3[[#This Row],[zScore]],Table3[zScore])</f>
        <v>482</v>
      </c>
      <c r="BD259" s="45"/>
      <c r="BE259" s="45"/>
      <c r="BF259" s="45" t="str">
        <f t="shared" si="29"/>
        <v>Unlikely</v>
      </c>
      <c r="BG259" s="45"/>
      <c r="BH259" s="64" t="str">
        <f>INDEX(Table5[[#All],[Ovr]],MATCH(Table3[[#This Row],[PID]],Table5[[#All],[PID]],0))</f>
        <v/>
      </c>
      <c r="BI259" s="64" t="str">
        <f>INDEX(Table5[[#All],[Rnd]],MATCH(Table3[[#This Row],[PID]],Table5[[#All],[PID]],0))</f>
        <v/>
      </c>
      <c r="BJ259" s="64" t="str">
        <f>INDEX(Table5[[#All],[Pick]],MATCH(Table3[[#This Row],[PID]],Table5[[#All],[PID]],0))</f>
        <v/>
      </c>
      <c r="BK259" s="64" t="str">
        <f>INDEX(Table5[[#All],[Team]],MATCH(Table3[[#This Row],[PID]],Table5[[#All],[PID]],0))</f>
        <v/>
      </c>
      <c r="BL259" s="64" t="str">
        <f>IF(OR(Table3[[#This Row],[POS]]="SP",Table3[[#This Row],[POS]]="RP",Table3[[#This Row],[POS]]="CL"),"P",INDEX(Batters[[#All],[zScore]],MATCH(Table3[[#This Row],[PID]],Batters[[#All],[PID]],0)))</f>
        <v>P</v>
      </c>
    </row>
    <row r="260" spans="1:64" ht="15" customHeight="1" x14ac:dyDescent="0.25">
      <c r="A260" s="40">
        <v>17963</v>
      </c>
      <c r="B260" s="40" t="s">
        <v>415</v>
      </c>
      <c r="C260" s="40" t="s">
        <v>290</v>
      </c>
      <c r="D260" s="40" t="s">
        <v>170</v>
      </c>
      <c r="E260" s="40">
        <v>21</v>
      </c>
      <c r="F260" s="40" t="s">
        <v>42</v>
      </c>
      <c r="G260" s="40" t="s">
        <v>42</v>
      </c>
      <c r="H260" s="41" t="s">
        <v>647</v>
      </c>
      <c r="I260" s="42" t="s">
        <v>43</v>
      </c>
      <c r="J260" s="40" t="s">
        <v>44</v>
      </c>
      <c r="K260" s="41" t="s">
        <v>44</v>
      </c>
      <c r="L260" s="40">
        <v>3</v>
      </c>
      <c r="M260" s="40">
        <v>2</v>
      </c>
      <c r="N260" s="41">
        <v>2</v>
      </c>
      <c r="O260" s="40">
        <v>4</v>
      </c>
      <c r="P260" s="40">
        <v>2</v>
      </c>
      <c r="Q260" s="41">
        <v>3</v>
      </c>
      <c r="R260" s="40">
        <v>4</v>
      </c>
      <c r="S260" s="40">
        <v>5</v>
      </c>
      <c r="T260" s="40">
        <v>2</v>
      </c>
      <c r="U260" s="40">
        <v>6</v>
      </c>
      <c r="V260" s="40" t="s">
        <v>45</v>
      </c>
      <c r="W260" s="40" t="s">
        <v>45</v>
      </c>
      <c r="X260" s="40">
        <v>2</v>
      </c>
      <c r="Y260" s="40">
        <v>3</v>
      </c>
      <c r="Z260" s="40" t="s">
        <v>45</v>
      </c>
      <c r="AA260" s="40" t="s">
        <v>45</v>
      </c>
      <c r="AB260" s="40" t="s">
        <v>45</v>
      </c>
      <c r="AC260" s="40" t="s">
        <v>45</v>
      </c>
      <c r="AD260" s="40">
        <v>3</v>
      </c>
      <c r="AE260" s="40">
        <v>4</v>
      </c>
      <c r="AF260" s="40" t="s">
        <v>45</v>
      </c>
      <c r="AG260" s="40" t="s">
        <v>45</v>
      </c>
      <c r="AH260" s="40" t="s">
        <v>45</v>
      </c>
      <c r="AI260" s="40" t="s">
        <v>45</v>
      </c>
      <c r="AJ260" s="40" t="s">
        <v>45</v>
      </c>
      <c r="AK260" s="40" t="s">
        <v>45</v>
      </c>
      <c r="AL260" s="40" t="s">
        <v>45</v>
      </c>
      <c r="AM260" s="40" t="s">
        <v>45</v>
      </c>
      <c r="AN260" s="40" t="s">
        <v>45</v>
      </c>
      <c r="AO260" s="41" t="s">
        <v>45</v>
      </c>
      <c r="AP260" s="40" t="s">
        <v>350</v>
      </c>
      <c r="AQ260" s="40">
        <v>8</v>
      </c>
      <c r="AR260" s="48" t="s">
        <v>347</v>
      </c>
      <c r="AS260" s="43" t="s">
        <v>45</v>
      </c>
      <c r="AT260" s="43" t="s">
        <v>47</v>
      </c>
      <c r="AU260" s="44">
        <f t="shared" si="24"/>
        <v>-1.8743493064650851</v>
      </c>
      <c r="AV260" s="44">
        <f t="shared" si="25"/>
        <v>-0.99184266516472974</v>
      </c>
      <c r="AW260" s="45">
        <f t="shared" si="26"/>
        <v>4</v>
      </c>
      <c r="AX260" s="45">
        <f t="shared" si="27"/>
        <v>1</v>
      </c>
      <c r="AY260" s="46">
        <f>VLOOKUP(AP260,COND!$A$10:$B$32,2,FALSE)</f>
        <v>1</v>
      </c>
      <c r="AZ260" s="44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29.438276835412385</v>
      </c>
      <c r="BA260" s="47">
        <f>STANDARDIZE(AZ260,AVERAGE($AZ$5:$AZ$557),STDEVP($AZ$5:$AZ$557))</f>
        <v>-0.42792771060397455</v>
      </c>
      <c r="BB260" s="45" t="str">
        <f t="shared" si="28"/>
        <v>SP</v>
      </c>
      <c r="BC260" s="45">
        <f>RANK(Table3[[#This Row],[zScore]],Table3[zScore])</f>
        <v>484</v>
      </c>
      <c r="BD260" s="45"/>
      <c r="BE260" s="45"/>
      <c r="BF260" s="45" t="str">
        <f t="shared" si="29"/>
        <v>Unlikely</v>
      </c>
      <c r="BG260" s="45"/>
      <c r="BH260" s="45" t="str">
        <f>INDEX(Table5[[#All],[Ovr]],MATCH(Table3[[#This Row],[PID]],Table5[[#All],[PID]],0))</f>
        <v/>
      </c>
      <c r="BI260" s="45" t="str">
        <f>INDEX(Table5[[#All],[Rnd]],MATCH(Table3[[#This Row],[PID]],Table5[[#All],[PID]],0))</f>
        <v/>
      </c>
      <c r="BJ260" s="45" t="str">
        <f>INDEX(Table5[[#All],[Pick]],MATCH(Table3[[#This Row],[PID]],Table5[[#All],[PID]],0))</f>
        <v/>
      </c>
      <c r="BK260" s="45" t="str">
        <f>INDEX(Table5[[#All],[Team]],MATCH(Table3[[#This Row],[PID]],Table5[[#All],[PID]],0))</f>
        <v/>
      </c>
      <c r="BL26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1" spans="1:64" ht="15" customHeight="1" x14ac:dyDescent="0.25">
      <c r="A261" s="40">
        <v>20780</v>
      </c>
      <c r="B261" s="40" t="s">
        <v>415</v>
      </c>
      <c r="C261" s="40" t="s">
        <v>146</v>
      </c>
      <c r="D261" s="40" t="s">
        <v>207</v>
      </c>
      <c r="E261" s="40">
        <v>17</v>
      </c>
      <c r="F261" s="40" t="s">
        <v>42</v>
      </c>
      <c r="G261" s="40" t="s">
        <v>42</v>
      </c>
      <c r="H261" s="41" t="s">
        <v>647</v>
      </c>
      <c r="I261" s="42" t="s">
        <v>43</v>
      </c>
      <c r="J261" s="40" t="s">
        <v>43</v>
      </c>
      <c r="K261" s="41" t="s">
        <v>43</v>
      </c>
      <c r="L261" s="40">
        <v>2</v>
      </c>
      <c r="M261" s="40">
        <v>2</v>
      </c>
      <c r="N261" s="41">
        <v>1</v>
      </c>
      <c r="O261" s="40">
        <v>4</v>
      </c>
      <c r="P261" s="40">
        <v>2</v>
      </c>
      <c r="Q261" s="41">
        <v>2</v>
      </c>
      <c r="R261" s="40">
        <v>3</v>
      </c>
      <c r="S261" s="40">
        <v>4</v>
      </c>
      <c r="T261" s="40">
        <v>1</v>
      </c>
      <c r="U261" s="40">
        <v>5</v>
      </c>
      <c r="V261" s="40">
        <v>2</v>
      </c>
      <c r="W261" s="40">
        <v>5</v>
      </c>
      <c r="X261" s="40">
        <v>2</v>
      </c>
      <c r="Y261" s="40">
        <v>3</v>
      </c>
      <c r="Z261" s="40" t="s">
        <v>45</v>
      </c>
      <c r="AA261" s="40" t="s">
        <v>45</v>
      </c>
      <c r="AB261" s="40" t="s">
        <v>45</v>
      </c>
      <c r="AC261" s="40" t="s">
        <v>45</v>
      </c>
      <c r="AD261" s="40" t="s">
        <v>45</v>
      </c>
      <c r="AE261" s="40" t="s">
        <v>45</v>
      </c>
      <c r="AF261" s="40" t="s">
        <v>45</v>
      </c>
      <c r="AG261" s="40" t="s">
        <v>45</v>
      </c>
      <c r="AH261" s="40" t="s">
        <v>45</v>
      </c>
      <c r="AI261" s="40" t="s">
        <v>45</v>
      </c>
      <c r="AJ261" s="40" t="s">
        <v>45</v>
      </c>
      <c r="AK261" s="40" t="s">
        <v>45</v>
      </c>
      <c r="AL261" s="40" t="s">
        <v>45</v>
      </c>
      <c r="AM261" s="40" t="s">
        <v>45</v>
      </c>
      <c r="AN261" s="40" t="s">
        <v>45</v>
      </c>
      <c r="AO261" s="41" t="s">
        <v>45</v>
      </c>
      <c r="AP261" s="40" t="s">
        <v>349</v>
      </c>
      <c r="AQ261" s="40">
        <v>5</v>
      </c>
      <c r="AR261" s="48" t="s">
        <v>347</v>
      </c>
      <c r="AS261" s="43" t="s">
        <v>644</v>
      </c>
      <c r="AT261" s="43" t="s">
        <v>47</v>
      </c>
      <c r="AU261" s="44">
        <f t="shared" ref="AU261:AU324" si="32">($O$3*(L261-$O$1)/$O$2+$P$3*(M261-$P$1)/$P$2+$Q$3*(N261-$P$1)/$Q$2)/SUM($O$3:$Q$3)</f>
        <v>-2.311361197028369</v>
      </c>
      <c r="AV261" s="44">
        <f t="shared" ref="AV261:AV324" si="33">($O$3*(O261-$O$1)/$O$2+$P$3*(P261-$P$1)/$P$2+$Q$3*(Q261-$Q$1)/$Q$2)/SUM($O$3:$Q$3)</f>
        <v>-1.23416323121884</v>
      </c>
      <c r="AW261" s="45">
        <f t="shared" ref="AW261:AW324" si="34">COUNT(R261:AO261)/2</f>
        <v>4</v>
      </c>
      <c r="AX261" s="45">
        <f t="shared" ref="AX261:AX324" si="35"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0</v>
      </c>
      <c r="AY261" s="46">
        <f>VLOOKUP(AP261,COND!$A$10:$B$32,2,FALSE)</f>
        <v>1</v>
      </c>
      <c r="AZ261" s="44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29.433101557812087</v>
      </c>
      <c r="BA261" s="47">
        <f>STANDARDIZE(AZ261,AVERAGE($AZ$5:$AZ$557),STDEVP($AZ$5:$AZ$557))</f>
        <v>-0.42827201391433495</v>
      </c>
      <c r="BB261" s="45" t="str">
        <f t="shared" ref="BB261:BB324" si="36">IF(OR(AND(AQ261&gt;7,AX261&gt;1),AND(AQ261&gt;4,AW261&gt;2)),"SP","RP")</f>
        <v>SP</v>
      </c>
      <c r="BC261" s="45">
        <f>RANK(Table3[[#This Row],[zScore]],Table3[zScore])</f>
        <v>485</v>
      </c>
      <c r="BD261" s="45"/>
      <c r="BE261" s="45"/>
      <c r="BF261" s="45" t="str">
        <f t="shared" ref="BF261:BF324" si="37">IF(AVERAGE($O261:$Q261)&gt;=6,"Likely",IF(AVERAGE($O261:$Q261)&gt;=4,"Possible","Unlikely"))</f>
        <v>Unlikely</v>
      </c>
      <c r="BG261" s="45"/>
      <c r="BH261" s="45" t="str">
        <f>INDEX(Table5[[#All],[Ovr]],MATCH(Table3[[#This Row],[PID]],Table5[[#All],[PID]],0))</f>
        <v/>
      </c>
      <c r="BI261" s="45" t="str">
        <f>INDEX(Table5[[#All],[Rnd]],MATCH(Table3[[#This Row],[PID]],Table5[[#All],[PID]],0))</f>
        <v/>
      </c>
      <c r="BJ261" s="45" t="str">
        <f>INDEX(Table5[[#All],[Pick]],MATCH(Table3[[#This Row],[PID]],Table5[[#All],[PID]],0))</f>
        <v/>
      </c>
      <c r="BK261" s="45" t="str">
        <f>INDEX(Table5[[#All],[Team]],MATCH(Table3[[#This Row],[PID]],Table5[[#All],[PID]],0))</f>
        <v/>
      </c>
      <c r="BL2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2" spans="1:64" ht="15" customHeight="1" x14ac:dyDescent="0.25">
      <c r="A262" s="40">
        <v>17835</v>
      </c>
      <c r="B262" s="40" t="s">
        <v>415</v>
      </c>
      <c r="C262" s="40" t="s">
        <v>139</v>
      </c>
      <c r="D262" s="40" t="s">
        <v>2024</v>
      </c>
      <c r="E262" s="40">
        <v>18</v>
      </c>
      <c r="F262" s="40" t="s">
        <v>42</v>
      </c>
      <c r="G262" s="40" t="s">
        <v>42</v>
      </c>
      <c r="H262" s="41" t="s">
        <v>647</v>
      </c>
      <c r="I262" s="42" t="s">
        <v>43</v>
      </c>
      <c r="J262" s="40" t="s">
        <v>43</v>
      </c>
      <c r="K262" s="41" t="s">
        <v>44</v>
      </c>
      <c r="L262" s="40">
        <v>2</v>
      </c>
      <c r="M262" s="40">
        <v>1</v>
      </c>
      <c r="N262" s="41">
        <v>1</v>
      </c>
      <c r="O262" s="40">
        <v>4</v>
      </c>
      <c r="P262" s="40">
        <v>1</v>
      </c>
      <c r="Q262" s="41">
        <v>3</v>
      </c>
      <c r="R262" s="40">
        <v>3</v>
      </c>
      <c r="S262" s="40">
        <v>5</v>
      </c>
      <c r="T262" s="40">
        <v>1</v>
      </c>
      <c r="U262" s="40">
        <v>1</v>
      </c>
      <c r="V262" s="40" t="s">
        <v>45</v>
      </c>
      <c r="W262" s="40" t="s">
        <v>45</v>
      </c>
      <c r="X262" s="40">
        <v>2</v>
      </c>
      <c r="Y262" s="40">
        <v>6</v>
      </c>
      <c r="Z262" s="40" t="s">
        <v>45</v>
      </c>
      <c r="AA262" s="40" t="s">
        <v>45</v>
      </c>
      <c r="AB262" s="40" t="s">
        <v>45</v>
      </c>
      <c r="AC262" s="40" t="s">
        <v>45</v>
      </c>
      <c r="AD262" s="40" t="s">
        <v>45</v>
      </c>
      <c r="AE262" s="40" t="s">
        <v>45</v>
      </c>
      <c r="AF262" s="40" t="s">
        <v>45</v>
      </c>
      <c r="AG262" s="40" t="s">
        <v>45</v>
      </c>
      <c r="AH262" s="40" t="s">
        <v>45</v>
      </c>
      <c r="AI262" s="40" t="s">
        <v>45</v>
      </c>
      <c r="AJ262" s="40" t="s">
        <v>45</v>
      </c>
      <c r="AK262" s="40" t="s">
        <v>45</v>
      </c>
      <c r="AL262" s="40" t="s">
        <v>45</v>
      </c>
      <c r="AM262" s="40" t="s">
        <v>45</v>
      </c>
      <c r="AN262" s="40" t="s">
        <v>45</v>
      </c>
      <c r="AO262" s="41" t="s">
        <v>45</v>
      </c>
      <c r="AP262" s="40" t="s">
        <v>349</v>
      </c>
      <c r="AQ262" s="40">
        <v>4</v>
      </c>
      <c r="AR262" s="48" t="s">
        <v>14</v>
      </c>
      <c r="AS262" s="43" t="s">
        <v>654</v>
      </c>
      <c r="AT262" s="43" t="s">
        <v>635</v>
      </c>
      <c r="AU262" s="44">
        <f t="shared" si="32"/>
        <v>-2.5067929134584248</v>
      </c>
      <c r="AV262" s="44">
        <f t="shared" si="33"/>
        <v>-1.1872743815947853</v>
      </c>
      <c r="AW262" s="45">
        <f t="shared" si="34"/>
        <v>3</v>
      </c>
      <c r="AX262" s="45">
        <f t="shared" si="35"/>
        <v>1</v>
      </c>
      <c r="AY262" s="46">
        <f>VLOOKUP(AP262,COND!$A$10:$B$32,2,FALSE)</f>
        <v>1</v>
      </c>
      <c r="AZ262" s="44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29.277996096141976</v>
      </c>
      <c r="BA262" s="47">
        <f>STANDARDIZE(AZ262,AVERAGE($AZ$5:$AZ$557),STDEVP($AZ$5:$AZ$557))</f>
        <v>-0.43859094326121995</v>
      </c>
      <c r="BB262" s="45" t="str">
        <f t="shared" si="36"/>
        <v>RP</v>
      </c>
      <c r="BC262" s="45">
        <f>RANK(Table3[[#This Row],[zScore]],Table3[zScore])</f>
        <v>487</v>
      </c>
      <c r="BD262" s="45"/>
      <c r="BE262" s="45"/>
      <c r="BF262" s="45" t="str">
        <f t="shared" si="37"/>
        <v>Unlikely</v>
      </c>
      <c r="BG262" s="45"/>
      <c r="BH262" s="45" t="str">
        <f>INDEX(Table5[[#All],[Ovr]],MATCH(Table3[[#This Row],[PID]],Table5[[#All],[PID]],0))</f>
        <v/>
      </c>
      <c r="BI262" s="45" t="str">
        <f>INDEX(Table5[[#All],[Rnd]],MATCH(Table3[[#This Row],[PID]],Table5[[#All],[PID]],0))</f>
        <v/>
      </c>
      <c r="BJ262" s="45" t="str">
        <f>INDEX(Table5[[#All],[Pick]],MATCH(Table3[[#This Row],[PID]],Table5[[#All],[PID]],0))</f>
        <v/>
      </c>
      <c r="BK262" s="45" t="str">
        <f>INDEX(Table5[[#All],[Team]],MATCH(Table3[[#This Row],[PID]],Table5[[#All],[PID]],0))</f>
        <v/>
      </c>
      <c r="BL2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3" spans="1:64" ht="15" customHeight="1" x14ac:dyDescent="0.25">
      <c r="A263" s="40">
        <v>20553</v>
      </c>
      <c r="B263" s="40" t="s">
        <v>415</v>
      </c>
      <c r="C263" s="40" t="s">
        <v>1939</v>
      </c>
      <c r="D263" s="40" t="s">
        <v>1940</v>
      </c>
      <c r="E263" s="40">
        <v>17</v>
      </c>
      <c r="F263" s="40" t="s">
        <v>62</v>
      </c>
      <c r="G263" s="40" t="s">
        <v>42</v>
      </c>
      <c r="H263" s="41" t="s">
        <v>647</v>
      </c>
      <c r="I263" s="42" t="s">
        <v>43</v>
      </c>
      <c r="J263" s="40" t="s">
        <v>44</v>
      </c>
      <c r="K263" s="41" t="s">
        <v>44</v>
      </c>
      <c r="L263" s="40">
        <v>2</v>
      </c>
      <c r="M263" s="40">
        <v>2</v>
      </c>
      <c r="N263" s="41">
        <v>1</v>
      </c>
      <c r="O263" s="40">
        <v>3</v>
      </c>
      <c r="P263" s="40">
        <v>2</v>
      </c>
      <c r="Q263" s="41">
        <v>3</v>
      </c>
      <c r="R263" s="40">
        <v>3</v>
      </c>
      <c r="S263" s="40">
        <v>4</v>
      </c>
      <c r="T263" s="40">
        <v>1</v>
      </c>
      <c r="U263" s="40">
        <v>4</v>
      </c>
      <c r="V263" s="40" t="s">
        <v>45</v>
      </c>
      <c r="W263" s="40" t="s">
        <v>45</v>
      </c>
      <c r="X263" s="40">
        <v>2</v>
      </c>
      <c r="Y263" s="40">
        <v>4</v>
      </c>
      <c r="Z263" s="40" t="s">
        <v>45</v>
      </c>
      <c r="AA263" s="40" t="s">
        <v>45</v>
      </c>
      <c r="AB263" s="40" t="s">
        <v>45</v>
      </c>
      <c r="AC263" s="40" t="s">
        <v>45</v>
      </c>
      <c r="AD263" s="40" t="s">
        <v>45</v>
      </c>
      <c r="AE263" s="40" t="s">
        <v>45</v>
      </c>
      <c r="AF263" s="40" t="s">
        <v>45</v>
      </c>
      <c r="AG263" s="40" t="s">
        <v>45</v>
      </c>
      <c r="AH263" s="40" t="s">
        <v>45</v>
      </c>
      <c r="AI263" s="40" t="s">
        <v>45</v>
      </c>
      <c r="AJ263" s="40" t="s">
        <v>45</v>
      </c>
      <c r="AK263" s="40" t="s">
        <v>45</v>
      </c>
      <c r="AL263" s="40" t="s">
        <v>45</v>
      </c>
      <c r="AM263" s="40" t="s">
        <v>45</v>
      </c>
      <c r="AN263" s="40" t="s">
        <v>45</v>
      </c>
      <c r="AO263" s="41" t="s">
        <v>45</v>
      </c>
      <c r="AP263" s="40" t="s">
        <v>64</v>
      </c>
      <c r="AQ263" s="40">
        <v>5</v>
      </c>
      <c r="AR263" s="48" t="s">
        <v>347</v>
      </c>
      <c r="AS263" s="43" t="s">
        <v>654</v>
      </c>
      <c r="AT263" s="43" t="s">
        <v>47</v>
      </c>
      <c r="AU263" s="44">
        <f t="shared" si="32"/>
        <v>-2.311361197028369</v>
      </c>
      <c r="AV263" s="44">
        <f t="shared" si="33"/>
        <v>-1.1865339896739031</v>
      </c>
      <c r="AW263" s="45">
        <f t="shared" si="34"/>
        <v>3</v>
      </c>
      <c r="AX263" s="45">
        <f t="shared" si="35"/>
        <v>0</v>
      </c>
      <c r="AY263" s="46">
        <f>VLOOKUP(AP263,COND!$A$10:$B$32,2,FALSE)</f>
        <v>1</v>
      </c>
      <c r="AZ263" s="44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29.274371767938359</v>
      </c>
      <c r="BA263" s="47">
        <f>STANDARDIZE(AZ263,AVERAGE($AZ$5:$AZ$557),STDEVP($AZ$5:$AZ$557))</f>
        <v>-0.43883206427823868</v>
      </c>
      <c r="BB263" s="45" t="str">
        <f t="shared" si="36"/>
        <v>SP</v>
      </c>
      <c r="BC263" s="45">
        <f>RANK(Table3[[#This Row],[zScore]],Table3[zScore])</f>
        <v>488</v>
      </c>
      <c r="BD263" s="45"/>
      <c r="BE263" s="45"/>
      <c r="BF263" s="45" t="str">
        <f t="shared" si="37"/>
        <v>Unlikely</v>
      </c>
      <c r="BG263" s="45"/>
      <c r="BH263" s="45" t="str">
        <f>INDEX(Table5[[#All],[Ovr]],MATCH(Table3[[#This Row],[PID]],Table5[[#All],[PID]],0))</f>
        <v/>
      </c>
      <c r="BI263" s="45" t="str">
        <f>INDEX(Table5[[#All],[Rnd]],MATCH(Table3[[#This Row],[PID]],Table5[[#All],[PID]],0))</f>
        <v/>
      </c>
      <c r="BJ263" s="45" t="str">
        <f>INDEX(Table5[[#All],[Pick]],MATCH(Table3[[#This Row],[PID]],Table5[[#All],[PID]],0))</f>
        <v/>
      </c>
      <c r="BK263" s="45" t="str">
        <f>INDEX(Table5[[#All],[Team]],MATCH(Table3[[#This Row],[PID]],Table5[[#All],[PID]],0))</f>
        <v/>
      </c>
      <c r="BL2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4" spans="1:64" ht="15" customHeight="1" x14ac:dyDescent="0.25">
      <c r="A264" s="40">
        <v>7507</v>
      </c>
      <c r="B264" s="40" t="s">
        <v>415</v>
      </c>
      <c r="C264" s="40" t="s">
        <v>333</v>
      </c>
      <c r="D264" s="40" t="s">
        <v>1044</v>
      </c>
      <c r="E264" s="40">
        <v>22</v>
      </c>
      <c r="F264" s="40" t="s">
        <v>42</v>
      </c>
      <c r="G264" s="40" t="s">
        <v>42</v>
      </c>
      <c r="H264" s="41" t="s">
        <v>647</v>
      </c>
      <c r="I264" s="42" t="s">
        <v>43</v>
      </c>
      <c r="J264" s="40" t="s">
        <v>44</v>
      </c>
      <c r="K264" s="41" t="s">
        <v>43</v>
      </c>
      <c r="L264" s="40">
        <v>1</v>
      </c>
      <c r="M264" s="40">
        <v>2</v>
      </c>
      <c r="N264" s="41">
        <v>2</v>
      </c>
      <c r="O264" s="40">
        <v>4</v>
      </c>
      <c r="P264" s="40">
        <v>2</v>
      </c>
      <c r="Q264" s="41">
        <v>3</v>
      </c>
      <c r="R264" s="40">
        <v>2</v>
      </c>
      <c r="S264" s="40">
        <v>4</v>
      </c>
      <c r="T264" s="40">
        <v>2</v>
      </c>
      <c r="U264" s="40">
        <v>6</v>
      </c>
      <c r="V264" s="40" t="s">
        <v>45</v>
      </c>
      <c r="W264" s="40" t="s">
        <v>45</v>
      </c>
      <c r="X264" s="40">
        <v>2</v>
      </c>
      <c r="Y264" s="40">
        <v>5</v>
      </c>
      <c r="Z264" s="40" t="s">
        <v>45</v>
      </c>
      <c r="AA264" s="40" t="s">
        <v>45</v>
      </c>
      <c r="AB264" s="40" t="s">
        <v>45</v>
      </c>
      <c r="AC264" s="40" t="s">
        <v>45</v>
      </c>
      <c r="AD264" s="40" t="s">
        <v>45</v>
      </c>
      <c r="AE264" s="40" t="s">
        <v>45</v>
      </c>
      <c r="AF264" s="40" t="s">
        <v>45</v>
      </c>
      <c r="AG264" s="40" t="s">
        <v>45</v>
      </c>
      <c r="AH264" s="40" t="s">
        <v>45</v>
      </c>
      <c r="AI264" s="40" t="s">
        <v>45</v>
      </c>
      <c r="AJ264" s="40" t="s">
        <v>45</v>
      </c>
      <c r="AK264" s="40" t="s">
        <v>45</v>
      </c>
      <c r="AL264" s="40" t="s">
        <v>45</v>
      </c>
      <c r="AM264" s="40" t="s">
        <v>45</v>
      </c>
      <c r="AN264" s="40" t="s">
        <v>45</v>
      </c>
      <c r="AO264" s="41" t="s">
        <v>45</v>
      </c>
      <c r="AP264" s="40" t="s">
        <v>67</v>
      </c>
      <c r="AQ264" s="40">
        <v>5</v>
      </c>
      <c r="AR264" s="48" t="s">
        <v>347</v>
      </c>
      <c r="AS264" s="43" t="s">
        <v>45</v>
      </c>
      <c r="AT264" s="43" t="s">
        <v>635</v>
      </c>
      <c r="AU264" s="44">
        <f t="shared" si="32"/>
        <v>-2.2637319554834323</v>
      </c>
      <c r="AV264" s="44">
        <f t="shared" si="33"/>
        <v>-0.99184266516472974</v>
      </c>
      <c r="AW264" s="45">
        <f t="shared" si="34"/>
        <v>3</v>
      </c>
      <c r="AX264" s="45">
        <f t="shared" si="35"/>
        <v>1</v>
      </c>
      <c r="AY264" s="46">
        <f>VLOOKUP(AP264,COND!$A$10:$B$32,2,FALSE)</f>
        <v>0.9</v>
      </c>
      <c r="AZ264" s="44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31.309001268171649</v>
      </c>
      <c r="BA264" s="47">
        <f>STANDARDIZE(AZ264,AVERAGE($AZ$5:$AZ$663),STDEVP($AZ$5:$AZ$663))</f>
        <v>-0.44489017766243016</v>
      </c>
      <c r="BB264" s="45" t="str">
        <f t="shared" si="36"/>
        <v>SP</v>
      </c>
      <c r="BC264" s="45">
        <f>RANK(Table3[[#This Row],[zScore]],Table3[zScore])</f>
        <v>495</v>
      </c>
      <c r="BD264" s="45"/>
      <c r="BE264" s="45"/>
      <c r="BF264" s="45" t="str">
        <f t="shared" si="37"/>
        <v>Unlikely</v>
      </c>
      <c r="BG264" s="45"/>
      <c r="BH264" s="45" t="str">
        <f>INDEX(Table5[[#All],[Ovr]],MATCH(Table3[[#This Row],[PID]],Table5[[#All],[PID]],0))</f>
        <v/>
      </c>
      <c r="BI264" s="45" t="str">
        <f>INDEX(Table5[[#All],[Rnd]],MATCH(Table3[[#This Row],[PID]],Table5[[#All],[PID]],0))</f>
        <v/>
      </c>
      <c r="BJ264" s="45" t="str">
        <f>INDEX(Table5[[#All],[Pick]],MATCH(Table3[[#This Row],[PID]],Table5[[#All],[PID]],0))</f>
        <v/>
      </c>
      <c r="BK264" s="45" t="str">
        <f>INDEX(Table5[[#All],[Team]],MATCH(Table3[[#This Row],[PID]],Table5[[#All],[PID]],0))</f>
        <v/>
      </c>
      <c r="BL26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5" spans="1:64" ht="15" customHeight="1" x14ac:dyDescent="0.25">
      <c r="A265" s="40">
        <v>20351</v>
      </c>
      <c r="B265" s="40" t="s">
        <v>415</v>
      </c>
      <c r="C265" s="40" t="s">
        <v>1518</v>
      </c>
      <c r="D265" s="40" t="s">
        <v>876</v>
      </c>
      <c r="E265" s="40">
        <v>17</v>
      </c>
      <c r="F265" s="40" t="s">
        <v>42</v>
      </c>
      <c r="G265" s="40" t="s">
        <v>42</v>
      </c>
      <c r="H265" s="41" t="s">
        <v>647</v>
      </c>
      <c r="I265" s="42" t="s">
        <v>43</v>
      </c>
      <c r="J265" s="40" t="s">
        <v>43</v>
      </c>
      <c r="K265" s="41" t="s">
        <v>44</v>
      </c>
      <c r="L265" s="40">
        <v>2</v>
      </c>
      <c r="M265" s="40">
        <v>1</v>
      </c>
      <c r="N265" s="41">
        <v>1</v>
      </c>
      <c r="O265" s="40">
        <v>4</v>
      </c>
      <c r="P265" s="40">
        <v>1</v>
      </c>
      <c r="Q265" s="41">
        <v>3</v>
      </c>
      <c r="R265" s="40">
        <v>3</v>
      </c>
      <c r="S265" s="40">
        <v>4</v>
      </c>
      <c r="T265" s="40">
        <v>2</v>
      </c>
      <c r="U265" s="40">
        <v>6</v>
      </c>
      <c r="V265" s="40" t="s">
        <v>45</v>
      </c>
      <c r="W265" s="40" t="s">
        <v>45</v>
      </c>
      <c r="X265" s="40">
        <v>2</v>
      </c>
      <c r="Y265" s="40">
        <v>4</v>
      </c>
      <c r="Z265" s="40" t="s">
        <v>45</v>
      </c>
      <c r="AA265" s="40" t="s">
        <v>45</v>
      </c>
      <c r="AB265" s="40" t="s">
        <v>45</v>
      </c>
      <c r="AC265" s="40" t="s">
        <v>45</v>
      </c>
      <c r="AD265" s="40" t="s">
        <v>45</v>
      </c>
      <c r="AE265" s="40" t="s">
        <v>45</v>
      </c>
      <c r="AF265" s="40" t="s">
        <v>45</v>
      </c>
      <c r="AG265" s="40" t="s">
        <v>45</v>
      </c>
      <c r="AH265" s="40" t="s">
        <v>45</v>
      </c>
      <c r="AI265" s="40" t="s">
        <v>45</v>
      </c>
      <c r="AJ265" s="40" t="s">
        <v>45</v>
      </c>
      <c r="AK265" s="40" t="s">
        <v>45</v>
      </c>
      <c r="AL265" s="40" t="s">
        <v>45</v>
      </c>
      <c r="AM265" s="40" t="s">
        <v>45</v>
      </c>
      <c r="AN265" s="40" t="s">
        <v>45</v>
      </c>
      <c r="AO265" s="41" t="s">
        <v>45</v>
      </c>
      <c r="AP265" s="40" t="s">
        <v>65</v>
      </c>
      <c r="AQ265" s="40">
        <v>9</v>
      </c>
      <c r="AR265" s="48" t="s">
        <v>14</v>
      </c>
      <c r="AS265" s="43" t="s">
        <v>670</v>
      </c>
      <c r="AT265" s="43" t="s">
        <v>47</v>
      </c>
      <c r="AU265" s="44">
        <f t="shared" si="32"/>
        <v>-2.5067929134584248</v>
      </c>
      <c r="AV265" s="44">
        <f t="shared" si="33"/>
        <v>-1.1872743815947853</v>
      </c>
      <c r="AW265" s="45">
        <f t="shared" si="34"/>
        <v>3</v>
      </c>
      <c r="AX265" s="45">
        <f t="shared" si="35"/>
        <v>1</v>
      </c>
      <c r="AY265" s="46">
        <f>VLOOKUP(AP265,COND!$A$10:$B$32,2,FALSE)</f>
        <v>0.95</v>
      </c>
      <c r="AZ265" s="44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31.277996096141976</v>
      </c>
      <c r="BA265" s="47">
        <f>STANDARDIZE(AZ265,AVERAGE($AZ$5:$AZ$663),STDEVP($AZ$5:$AZ$663))</f>
        <v>-0.44701402282385627</v>
      </c>
      <c r="BB265" s="45" t="str">
        <f t="shared" si="36"/>
        <v>SP</v>
      </c>
      <c r="BC265" s="45">
        <f>RANK(Table3[[#This Row],[zScore]],Table3[zScore])</f>
        <v>497</v>
      </c>
      <c r="BD265" s="45"/>
      <c r="BE265" s="45"/>
      <c r="BF265" s="45" t="str">
        <f t="shared" si="37"/>
        <v>Unlikely</v>
      </c>
      <c r="BG265" s="45"/>
      <c r="BH265" s="45" t="str">
        <f>INDEX(Table5[[#All],[Ovr]],MATCH(Table3[[#This Row],[PID]],Table5[[#All],[PID]],0))</f>
        <v/>
      </c>
      <c r="BI265" s="45" t="str">
        <f>INDEX(Table5[[#All],[Rnd]],MATCH(Table3[[#This Row],[PID]],Table5[[#All],[PID]],0))</f>
        <v/>
      </c>
      <c r="BJ265" s="45" t="str">
        <f>INDEX(Table5[[#All],[Pick]],MATCH(Table3[[#This Row],[PID]],Table5[[#All],[PID]],0))</f>
        <v/>
      </c>
      <c r="BK265" s="45" t="str">
        <f>INDEX(Table5[[#All],[Team]],MATCH(Table3[[#This Row],[PID]],Table5[[#All],[PID]],0))</f>
        <v/>
      </c>
      <c r="BL2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6" spans="1:64" ht="15" customHeight="1" x14ac:dyDescent="0.25">
      <c r="A266" s="40">
        <v>18025</v>
      </c>
      <c r="B266" s="40" t="s">
        <v>415</v>
      </c>
      <c r="C266" s="40" t="s">
        <v>431</v>
      </c>
      <c r="D266" s="40" t="s">
        <v>607</v>
      </c>
      <c r="E266" s="40">
        <v>21</v>
      </c>
      <c r="F266" s="40" t="s">
        <v>53</v>
      </c>
      <c r="G266" s="40" t="s">
        <v>42</v>
      </c>
      <c r="H266" s="41" t="s">
        <v>647</v>
      </c>
      <c r="I266" s="42" t="s">
        <v>43</v>
      </c>
      <c r="J266" s="40" t="s">
        <v>43</v>
      </c>
      <c r="K266" s="41" t="s">
        <v>43</v>
      </c>
      <c r="L266" s="40">
        <v>2</v>
      </c>
      <c r="M266" s="40">
        <v>2</v>
      </c>
      <c r="N266" s="41">
        <v>1</v>
      </c>
      <c r="O266" s="40">
        <v>4</v>
      </c>
      <c r="P266" s="40">
        <v>2</v>
      </c>
      <c r="Q266" s="41">
        <v>3</v>
      </c>
      <c r="R266" s="40">
        <v>3</v>
      </c>
      <c r="S266" s="40">
        <v>4</v>
      </c>
      <c r="T266" s="40">
        <v>1</v>
      </c>
      <c r="U266" s="40">
        <v>4</v>
      </c>
      <c r="V266" s="40">
        <v>2</v>
      </c>
      <c r="W266" s="40">
        <v>4</v>
      </c>
      <c r="X266" s="40" t="s">
        <v>45</v>
      </c>
      <c r="Y266" s="40" t="s">
        <v>45</v>
      </c>
      <c r="Z266" s="40" t="s">
        <v>45</v>
      </c>
      <c r="AA266" s="40" t="s">
        <v>45</v>
      </c>
      <c r="AB266" s="40">
        <v>3</v>
      </c>
      <c r="AC266" s="40">
        <v>5</v>
      </c>
      <c r="AD266" s="40" t="s">
        <v>45</v>
      </c>
      <c r="AE266" s="40" t="s">
        <v>45</v>
      </c>
      <c r="AF266" s="40">
        <v>3</v>
      </c>
      <c r="AG266" s="40">
        <v>4</v>
      </c>
      <c r="AH266" s="40" t="s">
        <v>45</v>
      </c>
      <c r="AI266" s="40" t="s">
        <v>45</v>
      </c>
      <c r="AJ266" s="40" t="s">
        <v>45</v>
      </c>
      <c r="AK266" s="40" t="s">
        <v>45</v>
      </c>
      <c r="AL266" s="40" t="s">
        <v>45</v>
      </c>
      <c r="AM266" s="40" t="s">
        <v>45</v>
      </c>
      <c r="AN266" s="40" t="s">
        <v>45</v>
      </c>
      <c r="AO266" s="41" t="s">
        <v>45</v>
      </c>
      <c r="AP266" s="40" t="s">
        <v>350</v>
      </c>
      <c r="AQ266" s="40">
        <v>8</v>
      </c>
      <c r="AR266" s="48" t="s">
        <v>347</v>
      </c>
      <c r="AS266" s="43" t="s">
        <v>45</v>
      </c>
      <c r="AT266" s="43" t="s">
        <v>635</v>
      </c>
      <c r="AU266" s="44">
        <f t="shared" si="32"/>
        <v>-2.311361197028369</v>
      </c>
      <c r="AV266" s="44">
        <f t="shared" si="33"/>
        <v>-0.99184266516472974</v>
      </c>
      <c r="AW266" s="45">
        <f t="shared" si="34"/>
        <v>5</v>
      </c>
      <c r="AX266" s="45">
        <f t="shared" si="35"/>
        <v>0</v>
      </c>
      <c r="AY266" s="46">
        <f>VLOOKUP(AP266,COND!$A$10:$B$32,2,FALSE)</f>
        <v>1</v>
      </c>
      <c r="AZ266" s="44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29.200874457299729</v>
      </c>
      <c r="BA266" s="47">
        <f t="shared" ref="BA266:BA274" si="38">STANDARDIZE(AZ266,AVERAGE($AZ$5:$AZ$557),STDEVP($AZ$5:$AZ$557))</f>
        <v>-0.44372172804313642</v>
      </c>
      <c r="BB266" s="45" t="str">
        <f t="shared" si="36"/>
        <v>SP</v>
      </c>
      <c r="BC266" s="45">
        <f>RANK(Table3[[#This Row],[zScore]],Table3[zScore])</f>
        <v>491</v>
      </c>
      <c r="BD266" s="45"/>
      <c r="BE266" s="45"/>
      <c r="BF266" s="45" t="str">
        <f t="shared" si="37"/>
        <v>Unlikely</v>
      </c>
      <c r="BG266" s="45"/>
      <c r="BH266" s="45" t="str">
        <f>INDEX(Table5[[#All],[Ovr]],MATCH(Table3[[#This Row],[PID]],Table5[[#All],[PID]],0))</f>
        <v/>
      </c>
      <c r="BI266" s="45" t="str">
        <f>INDEX(Table5[[#All],[Rnd]],MATCH(Table3[[#This Row],[PID]],Table5[[#All],[PID]],0))</f>
        <v/>
      </c>
      <c r="BJ266" s="45" t="str">
        <f>INDEX(Table5[[#All],[Pick]],MATCH(Table3[[#This Row],[PID]],Table5[[#All],[PID]],0))</f>
        <v/>
      </c>
      <c r="BK266" s="45" t="str">
        <f>INDEX(Table5[[#All],[Team]],MATCH(Table3[[#This Row],[PID]],Table5[[#All],[PID]],0))</f>
        <v/>
      </c>
      <c r="BL2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7" spans="1:64" ht="15" customHeight="1" x14ac:dyDescent="0.25">
      <c r="A267" s="40">
        <v>6047</v>
      </c>
      <c r="B267" s="40" t="s">
        <v>415</v>
      </c>
      <c r="C267" s="40" t="s">
        <v>429</v>
      </c>
      <c r="D267" s="40" t="s">
        <v>1021</v>
      </c>
      <c r="E267" s="40">
        <v>22</v>
      </c>
      <c r="F267" s="40" t="s">
        <v>42</v>
      </c>
      <c r="G267" s="40" t="s">
        <v>42</v>
      </c>
      <c r="H267" s="41" t="s">
        <v>647</v>
      </c>
      <c r="I267" s="42" t="s">
        <v>43</v>
      </c>
      <c r="J267" s="40" t="s">
        <v>44</v>
      </c>
      <c r="K267" s="41" t="s">
        <v>43</v>
      </c>
      <c r="L267" s="40">
        <v>2</v>
      </c>
      <c r="M267" s="40">
        <v>2</v>
      </c>
      <c r="N267" s="41">
        <v>2</v>
      </c>
      <c r="O267" s="40">
        <v>4</v>
      </c>
      <c r="P267" s="40">
        <v>2</v>
      </c>
      <c r="Q267" s="41">
        <v>3</v>
      </c>
      <c r="R267" s="40">
        <v>3</v>
      </c>
      <c r="S267" s="40">
        <v>4</v>
      </c>
      <c r="T267" s="40">
        <v>1</v>
      </c>
      <c r="U267" s="40">
        <v>4</v>
      </c>
      <c r="V267" s="40" t="s">
        <v>45</v>
      </c>
      <c r="W267" s="40" t="s">
        <v>45</v>
      </c>
      <c r="X267" s="40">
        <v>3</v>
      </c>
      <c r="Y267" s="40">
        <v>6</v>
      </c>
      <c r="Z267" s="40" t="s">
        <v>45</v>
      </c>
      <c r="AA267" s="40" t="s">
        <v>45</v>
      </c>
      <c r="AB267" s="40" t="s">
        <v>45</v>
      </c>
      <c r="AC267" s="40" t="s">
        <v>45</v>
      </c>
      <c r="AD267" s="40" t="s">
        <v>45</v>
      </c>
      <c r="AE267" s="40" t="s">
        <v>45</v>
      </c>
      <c r="AF267" s="40" t="s">
        <v>45</v>
      </c>
      <c r="AG267" s="40" t="s">
        <v>45</v>
      </c>
      <c r="AH267" s="40" t="s">
        <v>45</v>
      </c>
      <c r="AI267" s="40" t="s">
        <v>45</v>
      </c>
      <c r="AJ267" s="40" t="s">
        <v>45</v>
      </c>
      <c r="AK267" s="40" t="s">
        <v>45</v>
      </c>
      <c r="AL267" s="40" t="s">
        <v>45</v>
      </c>
      <c r="AM267" s="40" t="s">
        <v>45</v>
      </c>
      <c r="AN267" s="40" t="s">
        <v>45</v>
      </c>
      <c r="AO267" s="41" t="s">
        <v>45</v>
      </c>
      <c r="AP267" s="40" t="s">
        <v>64</v>
      </c>
      <c r="AQ267" s="40">
        <v>9</v>
      </c>
      <c r="AR267" s="48" t="s">
        <v>347</v>
      </c>
      <c r="AS267" s="43" t="s">
        <v>45</v>
      </c>
      <c r="AT267" s="43" t="s">
        <v>635</v>
      </c>
      <c r="AU267" s="44">
        <f t="shared" si="32"/>
        <v>-2.0690406309742588</v>
      </c>
      <c r="AV267" s="44">
        <f t="shared" si="33"/>
        <v>-0.99184266516472974</v>
      </c>
      <c r="AW267" s="45">
        <f t="shared" si="34"/>
        <v>3</v>
      </c>
      <c r="AX267" s="45">
        <f t="shared" si="35"/>
        <v>1</v>
      </c>
      <c r="AY267" s="46">
        <f>VLOOKUP(AP267,COND!$A$10:$B$32,2,FALSE)</f>
        <v>1</v>
      </c>
      <c r="AZ267" s="44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29.199338570510552</v>
      </c>
      <c r="BA267" s="47">
        <f t="shared" si="38"/>
        <v>-0.44382390824421819</v>
      </c>
      <c r="BB267" s="45" t="str">
        <f t="shared" si="36"/>
        <v>SP</v>
      </c>
      <c r="BC267" s="45">
        <f>RANK(Table3[[#This Row],[zScore]],Table3[zScore])</f>
        <v>492</v>
      </c>
      <c r="BD267" s="45"/>
      <c r="BE267" s="45"/>
      <c r="BF267" s="45" t="str">
        <f t="shared" si="37"/>
        <v>Unlikely</v>
      </c>
      <c r="BG267" s="45"/>
      <c r="BH267" s="45" t="str">
        <f>INDEX(Table5[[#All],[Ovr]],MATCH(Table3[[#This Row],[PID]],Table5[[#All],[PID]],0))</f>
        <v/>
      </c>
      <c r="BI267" s="45" t="str">
        <f>INDEX(Table5[[#All],[Rnd]],MATCH(Table3[[#This Row],[PID]],Table5[[#All],[PID]],0))</f>
        <v/>
      </c>
      <c r="BJ267" s="45" t="str">
        <f>INDEX(Table5[[#All],[Pick]],MATCH(Table3[[#This Row],[PID]],Table5[[#All],[PID]],0))</f>
        <v/>
      </c>
      <c r="BK267" s="45" t="str">
        <f>INDEX(Table5[[#All],[Team]],MATCH(Table3[[#This Row],[PID]],Table5[[#All],[PID]],0))</f>
        <v/>
      </c>
      <c r="BL2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8" spans="1:64" ht="15" customHeight="1" x14ac:dyDescent="0.25">
      <c r="A268" s="40">
        <v>20436</v>
      </c>
      <c r="B268" s="40" t="s">
        <v>415</v>
      </c>
      <c r="C268" s="40" t="s">
        <v>2051</v>
      </c>
      <c r="D268" s="40" t="s">
        <v>1189</v>
      </c>
      <c r="E268" s="40">
        <v>18</v>
      </c>
      <c r="F268" s="40" t="s">
        <v>42</v>
      </c>
      <c r="G268" s="40" t="s">
        <v>42</v>
      </c>
      <c r="H268" s="41" t="s">
        <v>647</v>
      </c>
      <c r="I268" s="42" t="s">
        <v>43</v>
      </c>
      <c r="J268" s="40" t="s">
        <v>44</v>
      </c>
      <c r="K268" s="41" t="s">
        <v>43</v>
      </c>
      <c r="L268" s="40">
        <v>1</v>
      </c>
      <c r="M268" s="40">
        <v>2</v>
      </c>
      <c r="N268" s="41">
        <v>1</v>
      </c>
      <c r="O268" s="40">
        <v>3</v>
      </c>
      <c r="P268" s="40">
        <v>2</v>
      </c>
      <c r="Q268" s="41">
        <v>3</v>
      </c>
      <c r="R268" s="40">
        <v>3</v>
      </c>
      <c r="S268" s="40">
        <v>4</v>
      </c>
      <c r="T268" s="40">
        <v>1</v>
      </c>
      <c r="U268" s="40">
        <v>2</v>
      </c>
      <c r="V268" s="40" t="s">
        <v>45</v>
      </c>
      <c r="W268" s="40" t="s">
        <v>45</v>
      </c>
      <c r="X268" s="40">
        <v>2</v>
      </c>
      <c r="Y268" s="40">
        <v>5</v>
      </c>
      <c r="Z268" s="40" t="s">
        <v>45</v>
      </c>
      <c r="AA268" s="40" t="s">
        <v>45</v>
      </c>
      <c r="AB268" s="40" t="s">
        <v>45</v>
      </c>
      <c r="AC268" s="40" t="s">
        <v>45</v>
      </c>
      <c r="AD268" s="40" t="s">
        <v>45</v>
      </c>
      <c r="AE268" s="40" t="s">
        <v>45</v>
      </c>
      <c r="AF268" s="40" t="s">
        <v>45</v>
      </c>
      <c r="AG268" s="40" t="s">
        <v>45</v>
      </c>
      <c r="AH268" s="40" t="s">
        <v>45</v>
      </c>
      <c r="AI268" s="40" t="s">
        <v>45</v>
      </c>
      <c r="AJ268" s="40" t="s">
        <v>45</v>
      </c>
      <c r="AK268" s="40" t="s">
        <v>45</v>
      </c>
      <c r="AL268" s="40" t="s">
        <v>45</v>
      </c>
      <c r="AM268" s="40" t="s">
        <v>45</v>
      </c>
      <c r="AN268" s="40" t="s">
        <v>45</v>
      </c>
      <c r="AO268" s="41" t="s">
        <v>45</v>
      </c>
      <c r="AP268" s="40" t="s">
        <v>68</v>
      </c>
      <c r="AQ268" s="40">
        <v>4</v>
      </c>
      <c r="AR268" s="48" t="s">
        <v>347</v>
      </c>
      <c r="AS268" s="43" t="s">
        <v>654</v>
      </c>
      <c r="AT268" s="43" t="s">
        <v>47</v>
      </c>
      <c r="AU268" s="44">
        <f t="shared" si="32"/>
        <v>-2.5060525215375429</v>
      </c>
      <c r="AV268" s="44">
        <f t="shared" si="33"/>
        <v>-1.1865339896739031</v>
      </c>
      <c r="AW268" s="45">
        <f t="shared" si="34"/>
        <v>3</v>
      </c>
      <c r="AX268" s="45">
        <f t="shared" si="35"/>
        <v>0</v>
      </c>
      <c r="AY268" s="46">
        <f>VLOOKUP(AP268,COND!$A$10:$B$32,2,FALSE)</f>
        <v>0.95</v>
      </c>
      <c r="AZ268" s="44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29.184469006248523</v>
      </c>
      <c r="BA268" s="47">
        <f t="shared" si="38"/>
        <v>-0.44481315763225832</v>
      </c>
      <c r="BB268" s="45" t="str">
        <f t="shared" si="36"/>
        <v>RP</v>
      </c>
      <c r="BC268" s="45">
        <f>RANK(Table3[[#This Row],[zScore]],Table3[zScore])</f>
        <v>494</v>
      </c>
      <c r="BD268" s="45"/>
      <c r="BE268" s="45"/>
      <c r="BF268" s="45" t="str">
        <f t="shared" si="37"/>
        <v>Unlikely</v>
      </c>
      <c r="BG268" s="45"/>
      <c r="BH268" s="45" t="str">
        <f>INDEX(Table5[[#All],[Ovr]],MATCH(Table3[[#This Row],[PID]],Table5[[#All],[PID]],0))</f>
        <v/>
      </c>
      <c r="BI268" s="45" t="str">
        <f>INDEX(Table5[[#All],[Rnd]],MATCH(Table3[[#This Row],[PID]],Table5[[#All],[PID]],0))</f>
        <v/>
      </c>
      <c r="BJ268" s="45" t="str">
        <f>INDEX(Table5[[#All],[Pick]],MATCH(Table3[[#This Row],[PID]],Table5[[#All],[PID]],0))</f>
        <v/>
      </c>
      <c r="BK268" s="45" t="str">
        <f>INDEX(Table5[[#All],[Team]],MATCH(Table3[[#This Row],[PID]],Table5[[#All],[PID]],0))</f>
        <v/>
      </c>
      <c r="BL2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69" spans="1:64" ht="15" customHeight="1" x14ac:dyDescent="0.25">
      <c r="A269" s="40">
        <v>17581</v>
      </c>
      <c r="B269" s="40" t="s">
        <v>415</v>
      </c>
      <c r="C269" s="40" t="s">
        <v>183</v>
      </c>
      <c r="D269" s="40" t="s">
        <v>429</v>
      </c>
      <c r="E269" s="40">
        <v>18</v>
      </c>
      <c r="F269" s="40" t="s">
        <v>42</v>
      </c>
      <c r="G269" s="40" t="s">
        <v>42</v>
      </c>
      <c r="H269" s="41" t="s">
        <v>647</v>
      </c>
      <c r="I269" s="42" t="s">
        <v>43</v>
      </c>
      <c r="J269" s="40" t="s">
        <v>47</v>
      </c>
      <c r="K269" s="41" t="s">
        <v>43</v>
      </c>
      <c r="L269" s="40">
        <v>2</v>
      </c>
      <c r="M269" s="40">
        <v>2</v>
      </c>
      <c r="N269" s="41">
        <v>1</v>
      </c>
      <c r="O269" s="40">
        <v>4</v>
      </c>
      <c r="P269" s="40">
        <v>2</v>
      </c>
      <c r="Q269" s="41">
        <v>2</v>
      </c>
      <c r="R269" s="40">
        <v>3</v>
      </c>
      <c r="S269" s="40">
        <v>5</v>
      </c>
      <c r="T269" s="40">
        <v>1</v>
      </c>
      <c r="U269" s="40">
        <v>5</v>
      </c>
      <c r="V269" s="40">
        <v>2</v>
      </c>
      <c r="W269" s="40">
        <v>5</v>
      </c>
      <c r="X269" s="40" t="s">
        <v>45</v>
      </c>
      <c r="Y269" s="40" t="s">
        <v>45</v>
      </c>
      <c r="Z269" s="40" t="s">
        <v>45</v>
      </c>
      <c r="AA269" s="40" t="s">
        <v>45</v>
      </c>
      <c r="AB269" s="40">
        <v>3</v>
      </c>
      <c r="AC269" s="40">
        <v>5</v>
      </c>
      <c r="AD269" s="40" t="s">
        <v>45</v>
      </c>
      <c r="AE269" s="40" t="s">
        <v>45</v>
      </c>
      <c r="AF269" s="40" t="s">
        <v>45</v>
      </c>
      <c r="AG269" s="40" t="s">
        <v>45</v>
      </c>
      <c r="AH269" s="40" t="s">
        <v>45</v>
      </c>
      <c r="AI269" s="40" t="s">
        <v>45</v>
      </c>
      <c r="AJ269" s="40" t="s">
        <v>45</v>
      </c>
      <c r="AK269" s="40" t="s">
        <v>45</v>
      </c>
      <c r="AL269" s="40" t="s">
        <v>45</v>
      </c>
      <c r="AM269" s="40" t="s">
        <v>45</v>
      </c>
      <c r="AN269" s="40" t="s">
        <v>45</v>
      </c>
      <c r="AO269" s="41" t="s">
        <v>45</v>
      </c>
      <c r="AP269" s="40" t="s">
        <v>349</v>
      </c>
      <c r="AQ269" s="40">
        <v>9</v>
      </c>
      <c r="AR269" s="48" t="s">
        <v>347</v>
      </c>
      <c r="AS269" s="43" t="s">
        <v>644</v>
      </c>
      <c r="AT269" s="43" t="s">
        <v>47</v>
      </c>
      <c r="AU269" s="44">
        <f t="shared" si="32"/>
        <v>-2.311361197028369</v>
      </c>
      <c r="AV269" s="44">
        <f t="shared" si="33"/>
        <v>-1.23416323121884</v>
      </c>
      <c r="AW269" s="45">
        <f t="shared" si="34"/>
        <v>4</v>
      </c>
      <c r="AX269" s="45">
        <f t="shared" si="35"/>
        <v>0</v>
      </c>
      <c r="AY269" s="46">
        <f>VLOOKUP(AP269,COND!$A$10:$B$32,2,FALSE)</f>
        <v>1</v>
      </c>
      <c r="AZ269" s="44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29.154463136217526</v>
      </c>
      <c r="BA269" s="47">
        <f t="shared" si="38"/>
        <v>-0.44680940231318528</v>
      </c>
      <c r="BB269" s="45" t="str">
        <f t="shared" si="36"/>
        <v>SP</v>
      </c>
      <c r="BC269" s="45">
        <f>RANK(Table3[[#This Row],[zScore]],Table3[zScore])</f>
        <v>496</v>
      </c>
      <c r="BD269" s="45"/>
      <c r="BE269" s="45"/>
      <c r="BF269" s="45" t="str">
        <f t="shared" si="37"/>
        <v>Unlikely</v>
      </c>
      <c r="BG269" s="45"/>
      <c r="BH269" s="45" t="str">
        <f>INDEX(Table5[[#All],[Ovr]],MATCH(Table3[[#This Row],[PID]],Table5[[#All],[PID]],0))</f>
        <v/>
      </c>
      <c r="BI269" s="45" t="str">
        <f>INDEX(Table5[[#All],[Rnd]],MATCH(Table3[[#This Row],[PID]],Table5[[#All],[PID]],0))</f>
        <v/>
      </c>
      <c r="BJ269" s="45" t="str">
        <f>INDEX(Table5[[#All],[Pick]],MATCH(Table3[[#This Row],[PID]],Table5[[#All],[PID]],0))</f>
        <v/>
      </c>
      <c r="BK269" s="45" t="str">
        <f>INDEX(Table5[[#All],[Team]],MATCH(Table3[[#This Row],[PID]],Table5[[#All],[PID]],0))</f>
        <v/>
      </c>
      <c r="BL2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0" spans="1:64" ht="15" customHeight="1" x14ac:dyDescent="0.25">
      <c r="A270" s="40">
        <v>17778</v>
      </c>
      <c r="B270" s="40" t="s">
        <v>415</v>
      </c>
      <c r="C270" s="40" t="s">
        <v>202</v>
      </c>
      <c r="D270" s="40" t="s">
        <v>1012</v>
      </c>
      <c r="E270" s="40">
        <v>22</v>
      </c>
      <c r="F270" s="40" t="s">
        <v>53</v>
      </c>
      <c r="G270" s="40" t="s">
        <v>42</v>
      </c>
      <c r="H270" s="41" t="s">
        <v>647</v>
      </c>
      <c r="I270" s="42" t="s">
        <v>43</v>
      </c>
      <c r="J270" s="40" t="s">
        <v>44</v>
      </c>
      <c r="K270" s="41" t="s">
        <v>43</v>
      </c>
      <c r="L270" s="40">
        <v>2</v>
      </c>
      <c r="M270" s="40">
        <v>1</v>
      </c>
      <c r="N270" s="41">
        <v>2</v>
      </c>
      <c r="O270" s="40">
        <v>5</v>
      </c>
      <c r="P270" s="40">
        <v>1</v>
      </c>
      <c r="Q270" s="41">
        <v>3</v>
      </c>
      <c r="R270" s="40">
        <v>4</v>
      </c>
      <c r="S270" s="40">
        <v>5</v>
      </c>
      <c r="T270" s="40">
        <v>1</v>
      </c>
      <c r="U270" s="40">
        <v>2</v>
      </c>
      <c r="V270" s="40">
        <v>3</v>
      </c>
      <c r="W270" s="40">
        <v>7</v>
      </c>
      <c r="X270" s="40" t="s">
        <v>45</v>
      </c>
      <c r="Y270" s="40" t="s">
        <v>45</v>
      </c>
      <c r="Z270" s="40" t="s">
        <v>45</v>
      </c>
      <c r="AA270" s="40" t="s">
        <v>45</v>
      </c>
      <c r="AB270" s="40" t="s">
        <v>45</v>
      </c>
      <c r="AC270" s="40" t="s">
        <v>45</v>
      </c>
      <c r="AD270" s="40" t="s">
        <v>45</v>
      </c>
      <c r="AE270" s="40" t="s">
        <v>45</v>
      </c>
      <c r="AF270" s="40" t="s">
        <v>45</v>
      </c>
      <c r="AG270" s="40" t="s">
        <v>45</v>
      </c>
      <c r="AH270" s="40" t="s">
        <v>45</v>
      </c>
      <c r="AI270" s="40" t="s">
        <v>45</v>
      </c>
      <c r="AJ270" s="40" t="s">
        <v>45</v>
      </c>
      <c r="AK270" s="40" t="s">
        <v>45</v>
      </c>
      <c r="AL270" s="40" t="s">
        <v>45</v>
      </c>
      <c r="AM270" s="40" t="s">
        <v>45</v>
      </c>
      <c r="AN270" s="40" t="s">
        <v>45</v>
      </c>
      <c r="AO270" s="41" t="s">
        <v>45</v>
      </c>
      <c r="AP270" s="40" t="s">
        <v>350</v>
      </c>
      <c r="AQ270" s="40">
        <v>7</v>
      </c>
      <c r="AR270" s="48" t="s">
        <v>14</v>
      </c>
      <c r="AS270" s="43" t="s">
        <v>45</v>
      </c>
      <c r="AT270" s="43" t="s">
        <v>47</v>
      </c>
      <c r="AU270" s="44">
        <f t="shared" si="32"/>
        <v>-2.2644723474043147</v>
      </c>
      <c r="AV270" s="44">
        <f t="shared" si="33"/>
        <v>-0.99258305708561179</v>
      </c>
      <c r="AW270" s="45">
        <f t="shared" si="34"/>
        <v>3</v>
      </c>
      <c r="AX270" s="45">
        <f t="shared" si="35"/>
        <v>1</v>
      </c>
      <c r="AY270" s="46">
        <f>VLOOKUP(AP270,COND!$A$10:$B$32,2,FALSE)</f>
        <v>1</v>
      </c>
      <c r="AZ270" s="44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29.145444388806901</v>
      </c>
      <c r="BA270" s="47">
        <f t="shared" si="38"/>
        <v>-0.44740940579678651</v>
      </c>
      <c r="BB270" s="45" t="str">
        <f t="shared" si="36"/>
        <v>SP</v>
      </c>
      <c r="BC270" s="45">
        <f>RANK(Table3[[#This Row],[zScore]],Table3[zScore])</f>
        <v>498</v>
      </c>
      <c r="BD270" s="45"/>
      <c r="BE270" s="45"/>
      <c r="BF270" s="45" t="str">
        <f t="shared" si="37"/>
        <v>Unlikely</v>
      </c>
      <c r="BG270" s="45"/>
      <c r="BH270" s="45" t="str">
        <f>INDEX(Table5[[#All],[Ovr]],MATCH(Table3[[#This Row],[PID]],Table5[[#All],[PID]],0))</f>
        <v/>
      </c>
      <c r="BI270" s="45" t="str">
        <f>INDEX(Table5[[#All],[Rnd]],MATCH(Table3[[#This Row],[PID]],Table5[[#All],[PID]],0))</f>
        <v/>
      </c>
      <c r="BJ270" s="45" t="str">
        <f>INDEX(Table5[[#All],[Pick]],MATCH(Table3[[#This Row],[PID]],Table5[[#All],[PID]],0))</f>
        <v/>
      </c>
      <c r="BK270" s="45" t="str">
        <f>INDEX(Table5[[#All],[Team]],MATCH(Table3[[#This Row],[PID]],Table5[[#All],[PID]],0))</f>
        <v/>
      </c>
      <c r="BL2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1" spans="1:64" ht="15" customHeight="1" x14ac:dyDescent="0.25">
      <c r="A271" s="40">
        <v>17629</v>
      </c>
      <c r="B271" s="40" t="s">
        <v>415</v>
      </c>
      <c r="C271" s="40" t="s">
        <v>795</v>
      </c>
      <c r="D271" s="40" t="s">
        <v>1998</v>
      </c>
      <c r="E271" s="40">
        <v>18</v>
      </c>
      <c r="F271" s="40" t="s">
        <v>42</v>
      </c>
      <c r="G271" s="40" t="s">
        <v>42</v>
      </c>
      <c r="H271" s="41" t="s">
        <v>647</v>
      </c>
      <c r="I271" s="42" t="s">
        <v>43</v>
      </c>
      <c r="J271" s="40" t="s">
        <v>44</v>
      </c>
      <c r="K271" s="41" t="s">
        <v>43</v>
      </c>
      <c r="L271" s="40">
        <v>2</v>
      </c>
      <c r="M271" s="40">
        <v>2</v>
      </c>
      <c r="N271" s="41">
        <v>1</v>
      </c>
      <c r="O271" s="40">
        <v>4</v>
      </c>
      <c r="P271" s="40">
        <v>2</v>
      </c>
      <c r="Q271" s="41">
        <v>2</v>
      </c>
      <c r="R271" s="40">
        <v>4</v>
      </c>
      <c r="S271" s="40">
        <v>4</v>
      </c>
      <c r="T271" s="40">
        <v>1</v>
      </c>
      <c r="U271" s="40">
        <v>1</v>
      </c>
      <c r="V271" s="40">
        <v>2</v>
      </c>
      <c r="W271" s="40">
        <v>5</v>
      </c>
      <c r="X271" s="40" t="s">
        <v>45</v>
      </c>
      <c r="Y271" s="40" t="s">
        <v>45</v>
      </c>
      <c r="Z271" s="40" t="s">
        <v>45</v>
      </c>
      <c r="AA271" s="40" t="s">
        <v>45</v>
      </c>
      <c r="AB271" s="40" t="s">
        <v>45</v>
      </c>
      <c r="AC271" s="40" t="s">
        <v>45</v>
      </c>
      <c r="AD271" s="40" t="s">
        <v>45</v>
      </c>
      <c r="AE271" s="40" t="s">
        <v>45</v>
      </c>
      <c r="AF271" s="40">
        <v>3</v>
      </c>
      <c r="AG271" s="40">
        <v>5</v>
      </c>
      <c r="AH271" s="40" t="s">
        <v>45</v>
      </c>
      <c r="AI271" s="40" t="s">
        <v>45</v>
      </c>
      <c r="AJ271" s="40" t="s">
        <v>45</v>
      </c>
      <c r="AK271" s="40" t="s">
        <v>45</v>
      </c>
      <c r="AL271" s="40" t="s">
        <v>45</v>
      </c>
      <c r="AM271" s="40" t="s">
        <v>45</v>
      </c>
      <c r="AN271" s="40" t="s">
        <v>45</v>
      </c>
      <c r="AO271" s="41" t="s">
        <v>45</v>
      </c>
      <c r="AP271" s="40" t="s">
        <v>57</v>
      </c>
      <c r="AQ271" s="40">
        <v>6</v>
      </c>
      <c r="AR271" s="48" t="s">
        <v>347</v>
      </c>
      <c r="AS271" s="43" t="s">
        <v>644</v>
      </c>
      <c r="AT271" s="43" t="s">
        <v>47</v>
      </c>
      <c r="AU271" s="44">
        <f t="shared" si="32"/>
        <v>-2.311361197028369</v>
      </c>
      <c r="AV271" s="44">
        <f t="shared" si="33"/>
        <v>-1.23416323121884</v>
      </c>
      <c r="AW271" s="45">
        <f t="shared" si="34"/>
        <v>4</v>
      </c>
      <c r="AX271" s="45">
        <f t="shared" si="35"/>
        <v>0</v>
      </c>
      <c r="AY271" s="46">
        <f>VLOOKUP(AP271,COND!$A$10:$B$32,2,FALSE)</f>
        <v>1</v>
      </c>
      <c r="AZ271" s="44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29.133101557812086</v>
      </c>
      <c r="BA271" s="47">
        <f t="shared" si="38"/>
        <v>-0.44823055548168234</v>
      </c>
      <c r="BB271" s="45" t="str">
        <f t="shared" si="36"/>
        <v>SP</v>
      </c>
      <c r="BC271" s="45">
        <f>RANK(Table3[[#This Row],[zScore]],Table3[zScore])</f>
        <v>499</v>
      </c>
      <c r="BD271" s="45"/>
      <c r="BE271" s="45"/>
      <c r="BF271" s="45" t="str">
        <f t="shared" si="37"/>
        <v>Unlikely</v>
      </c>
      <c r="BG271" s="45"/>
      <c r="BH271" s="45" t="str">
        <f>INDEX(Table5[[#All],[Ovr]],MATCH(Table3[[#This Row],[PID]],Table5[[#All],[PID]],0))</f>
        <v/>
      </c>
      <c r="BI271" s="45" t="str">
        <f>INDEX(Table5[[#All],[Rnd]],MATCH(Table3[[#This Row],[PID]],Table5[[#All],[PID]],0))</f>
        <v/>
      </c>
      <c r="BJ271" s="45" t="str">
        <f>INDEX(Table5[[#All],[Pick]],MATCH(Table3[[#This Row],[PID]],Table5[[#All],[PID]],0))</f>
        <v/>
      </c>
      <c r="BK271" s="45" t="str">
        <f>INDEX(Table5[[#All],[Team]],MATCH(Table3[[#This Row],[PID]],Table5[[#All],[PID]],0))</f>
        <v/>
      </c>
      <c r="BL2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2" spans="1:64" ht="15" customHeight="1" x14ac:dyDescent="0.25">
      <c r="A272" s="40">
        <v>20530</v>
      </c>
      <c r="B272" s="40" t="s">
        <v>415</v>
      </c>
      <c r="C272" s="40" t="s">
        <v>1930</v>
      </c>
      <c r="D272" s="40" t="s">
        <v>1931</v>
      </c>
      <c r="E272" s="40">
        <v>18</v>
      </c>
      <c r="F272" s="40" t="s">
        <v>53</v>
      </c>
      <c r="G272" s="40" t="s">
        <v>53</v>
      </c>
      <c r="H272" s="41" t="s">
        <v>647</v>
      </c>
      <c r="I272" s="42" t="s">
        <v>43</v>
      </c>
      <c r="J272" s="40" t="s">
        <v>43</v>
      </c>
      <c r="K272" s="41" t="s">
        <v>44</v>
      </c>
      <c r="L272" s="40">
        <v>3</v>
      </c>
      <c r="M272" s="40">
        <v>1</v>
      </c>
      <c r="N272" s="41">
        <v>1</v>
      </c>
      <c r="O272" s="40">
        <v>5</v>
      </c>
      <c r="P272" s="40">
        <v>1</v>
      </c>
      <c r="Q272" s="41">
        <v>2</v>
      </c>
      <c r="R272" s="40">
        <v>5</v>
      </c>
      <c r="S272" s="40">
        <v>7</v>
      </c>
      <c r="T272" s="40">
        <v>1</v>
      </c>
      <c r="U272" s="40">
        <v>2</v>
      </c>
      <c r="V272" s="40" t="s">
        <v>45</v>
      </c>
      <c r="W272" s="40" t="s">
        <v>45</v>
      </c>
      <c r="X272" s="40">
        <v>3</v>
      </c>
      <c r="Y272" s="40">
        <v>7</v>
      </c>
      <c r="Z272" s="40" t="s">
        <v>45</v>
      </c>
      <c r="AA272" s="40" t="s">
        <v>45</v>
      </c>
      <c r="AB272" s="40" t="s">
        <v>45</v>
      </c>
      <c r="AC272" s="40" t="s">
        <v>45</v>
      </c>
      <c r="AD272" s="40" t="s">
        <v>45</v>
      </c>
      <c r="AE272" s="40" t="s">
        <v>45</v>
      </c>
      <c r="AF272" s="40" t="s">
        <v>45</v>
      </c>
      <c r="AG272" s="40" t="s">
        <v>45</v>
      </c>
      <c r="AH272" s="40" t="s">
        <v>45</v>
      </c>
      <c r="AI272" s="40" t="s">
        <v>45</v>
      </c>
      <c r="AJ272" s="40" t="s">
        <v>45</v>
      </c>
      <c r="AK272" s="40" t="s">
        <v>45</v>
      </c>
      <c r="AL272" s="40" t="s">
        <v>45</v>
      </c>
      <c r="AM272" s="40" t="s">
        <v>45</v>
      </c>
      <c r="AN272" s="40" t="s">
        <v>45</v>
      </c>
      <c r="AO272" s="41" t="s">
        <v>45</v>
      </c>
      <c r="AP272" s="40" t="s">
        <v>60</v>
      </c>
      <c r="AQ272" s="40">
        <v>3</v>
      </c>
      <c r="AR272" s="48" t="s">
        <v>14</v>
      </c>
      <c r="AS272" s="43" t="s">
        <v>659</v>
      </c>
      <c r="AT272" s="43" t="s">
        <v>47</v>
      </c>
      <c r="AU272" s="44">
        <f t="shared" si="32"/>
        <v>-2.3121015889492513</v>
      </c>
      <c r="AV272" s="44">
        <f t="shared" si="33"/>
        <v>-1.2349036231397219</v>
      </c>
      <c r="AW272" s="45">
        <f t="shared" si="34"/>
        <v>3</v>
      </c>
      <c r="AX272" s="45">
        <f t="shared" si="35"/>
        <v>2</v>
      </c>
      <c r="AY272" s="46">
        <f>VLOOKUP(AP272,COND!$A$10:$B$32,2,FALSE)</f>
        <v>1.0249999999999999</v>
      </c>
      <c r="AZ272" s="44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29.094970154906051</v>
      </c>
      <c r="BA272" s="47">
        <f t="shared" si="38"/>
        <v>-0.45076737944808692</v>
      </c>
      <c r="BB272" s="45" t="str">
        <f t="shared" si="36"/>
        <v>RP</v>
      </c>
      <c r="BC272" s="45">
        <f>RANK(Table3[[#This Row],[zScore]],Table3[zScore])</f>
        <v>500</v>
      </c>
      <c r="BD272" s="45"/>
      <c r="BE272" s="45"/>
      <c r="BF272" s="45" t="str">
        <f t="shared" si="37"/>
        <v>Unlikely</v>
      </c>
      <c r="BG272" s="45"/>
      <c r="BH272" s="45" t="str">
        <f>INDEX(Table5[[#All],[Ovr]],MATCH(Table3[[#This Row],[PID]],Table5[[#All],[PID]],0))</f>
        <v/>
      </c>
      <c r="BI272" s="45" t="str">
        <f>INDEX(Table5[[#All],[Rnd]],MATCH(Table3[[#This Row],[PID]],Table5[[#All],[PID]],0))</f>
        <v/>
      </c>
      <c r="BJ272" s="45" t="str">
        <f>INDEX(Table5[[#All],[Pick]],MATCH(Table3[[#This Row],[PID]],Table5[[#All],[PID]],0))</f>
        <v/>
      </c>
      <c r="BK272" s="45" t="str">
        <f>INDEX(Table5[[#All],[Team]],MATCH(Table3[[#This Row],[PID]],Table5[[#All],[PID]],0))</f>
        <v/>
      </c>
      <c r="BL2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3" spans="1:64" ht="15" customHeight="1" x14ac:dyDescent="0.25">
      <c r="A273" s="40">
        <v>20554</v>
      </c>
      <c r="B273" s="40" t="s">
        <v>415</v>
      </c>
      <c r="C273" s="40" t="s">
        <v>1913</v>
      </c>
      <c r="D273" s="40" t="s">
        <v>1914</v>
      </c>
      <c r="E273" s="40">
        <v>19</v>
      </c>
      <c r="F273" s="40" t="s">
        <v>42</v>
      </c>
      <c r="G273" s="40" t="s">
        <v>42</v>
      </c>
      <c r="H273" s="41" t="s">
        <v>647</v>
      </c>
      <c r="I273" s="42" t="s">
        <v>44</v>
      </c>
      <c r="J273" s="40" t="s">
        <v>44</v>
      </c>
      <c r="K273" s="41" t="s">
        <v>43</v>
      </c>
      <c r="L273" s="40">
        <v>2</v>
      </c>
      <c r="M273" s="40">
        <v>2</v>
      </c>
      <c r="N273" s="41">
        <v>1</v>
      </c>
      <c r="O273" s="40">
        <v>4</v>
      </c>
      <c r="P273" s="40">
        <v>2</v>
      </c>
      <c r="Q273" s="41">
        <v>2</v>
      </c>
      <c r="R273" s="40" t="s">
        <v>45</v>
      </c>
      <c r="S273" s="40" t="s">
        <v>45</v>
      </c>
      <c r="T273" s="40" t="s">
        <v>45</v>
      </c>
      <c r="U273" s="40" t="s">
        <v>45</v>
      </c>
      <c r="V273" s="40" t="s">
        <v>45</v>
      </c>
      <c r="W273" s="40" t="s">
        <v>45</v>
      </c>
      <c r="X273" s="40">
        <v>2</v>
      </c>
      <c r="Y273" s="40">
        <v>4</v>
      </c>
      <c r="Z273" s="40" t="s">
        <v>45</v>
      </c>
      <c r="AA273" s="40" t="s">
        <v>45</v>
      </c>
      <c r="AB273" s="40" t="s">
        <v>45</v>
      </c>
      <c r="AC273" s="40" t="s">
        <v>45</v>
      </c>
      <c r="AD273" s="40">
        <v>3</v>
      </c>
      <c r="AE273" s="40">
        <v>4</v>
      </c>
      <c r="AF273" s="40" t="s">
        <v>45</v>
      </c>
      <c r="AG273" s="40" t="s">
        <v>45</v>
      </c>
      <c r="AH273" s="40">
        <v>2</v>
      </c>
      <c r="AI273" s="40">
        <v>5</v>
      </c>
      <c r="AJ273" s="40" t="s">
        <v>45</v>
      </c>
      <c r="AK273" s="40" t="s">
        <v>45</v>
      </c>
      <c r="AL273" s="40" t="s">
        <v>45</v>
      </c>
      <c r="AM273" s="40" t="s">
        <v>45</v>
      </c>
      <c r="AN273" s="40" t="s">
        <v>45</v>
      </c>
      <c r="AO273" s="41" t="s">
        <v>45</v>
      </c>
      <c r="AP273" s="40" t="s">
        <v>68</v>
      </c>
      <c r="AQ273" s="40">
        <v>7</v>
      </c>
      <c r="AR273" s="48" t="s">
        <v>347</v>
      </c>
      <c r="AS273" s="43" t="s">
        <v>556</v>
      </c>
      <c r="AT273" s="43" t="s">
        <v>635</v>
      </c>
      <c r="AU273" s="44">
        <f t="shared" si="32"/>
        <v>-2.311361197028369</v>
      </c>
      <c r="AV273" s="44">
        <f t="shared" si="33"/>
        <v>-1.23416323121884</v>
      </c>
      <c r="AW273" s="45">
        <f t="shared" si="34"/>
        <v>3</v>
      </c>
      <c r="AX273" s="45">
        <f t="shared" si="35"/>
        <v>0</v>
      </c>
      <c r="AY273" s="46">
        <f>VLOOKUP(AP273,COND!$A$10:$B$32,2,FALSE)</f>
        <v>0.95</v>
      </c>
      <c r="AZ273" s="44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29.086739979406651</v>
      </c>
      <c r="BA273" s="47">
        <f t="shared" si="38"/>
        <v>-0.45131492044745802</v>
      </c>
      <c r="BB273" s="45" t="str">
        <f t="shared" si="36"/>
        <v>SP</v>
      </c>
      <c r="BC273" s="45">
        <f>RANK(Table3[[#This Row],[zScore]],Table3[zScore])</f>
        <v>501</v>
      </c>
      <c r="BD273" s="45"/>
      <c r="BE273" s="45"/>
      <c r="BF273" s="45" t="str">
        <f t="shared" si="37"/>
        <v>Unlikely</v>
      </c>
      <c r="BG273" s="45"/>
      <c r="BH273" s="45" t="str">
        <f>INDEX(Table5[[#All],[Ovr]],MATCH(Table3[[#This Row],[PID]],Table5[[#All],[PID]],0))</f>
        <v/>
      </c>
      <c r="BI273" s="45" t="str">
        <f>INDEX(Table5[[#All],[Rnd]],MATCH(Table3[[#This Row],[PID]],Table5[[#All],[PID]],0))</f>
        <v/>
      </c>
      <c r="BJ273" s="45" t="str">
        <f>INDEX(Table5[[#All],[Pick]],MATCH(Table3[[#This Row],[PID]],Table5[[#All],[PID]],0))</f>
        <v/>
      </c>
      <c r="BK273" s="45" t="str">
        <f>INDEX(Table5[[#All],[Team]],MATCH(Table3[[#This Row],[PID]],Table5[[#All],[PID]],0))</f>
        <v/>
      </c>
      <c r="BL2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4" spans="1:64" ht="15" customHeight="1" x14ac:dyDescent="0.25">
      <c r="A274" s="40">
        <v>21081</v>
      </c>
      <c r="B274" s="40" t="s">
        <v>415</v>
      </c>
      <c r="C274" s="40" t="s">
        <v>650</v>
      </c>
      <c r="D274" s="40" t="s">
        <v>766</v>
      </c>
      <c r="E274" s="40">
        <v>17</v>
      </c>
      <c r="F274" s="40" t="s">
        <v>42</v>
      </c>
      <c r="G274" s="40" t="s">
        <v>42</v>
      </c>
      <c r="H274" s="41" t="s">
        <v>647</v>
      </c>
      <c r="I274" s="42" t="s">
        <v>43</v>
      </c>
      <c r="J274" s="40" t="s">
        <v>47</v>
      </c>
      <c r="K274" s="41" t="s">
        <v>43</v>
      </c>
      <c r="L274" s="40">
        <v>1</v>
      </c>
      <c r="M274" s="40">
        <v>2</v>
      </c>
      <c r="N274" s="41">
        <v>1</v>
      </c>
      <c r="O274" s="40">
        <v>4</v>
      </c>
      <c r="P274" s="40">
        <v>2</v>
      </c>
      <c r="Q274" s="41">
        <v>3</v>
      </c>
      <c r="R274" s="40">
        <v>2</v>
      </c>
      <c r="S274" s="40">
        <v>5</v>
      </c>
      <c r="T274" s="40" t="s">
        <v>45</v>
      </c>
      <c r="U274" s="40" t="s">
        <v>45</v>
      </c>
      <c r="V274" s="40" t="s">
        <v>45</v>
      </c>
      <c r="W274" s="40" t="s">
        <v>45</v>
      </c>
      <c r="X274" s="40">
        <v>1</v>
      </c>
      <c r="Y274" s="40">
        <v>6</v>
      </c>
      <c r="Z274" s="40" t="s">
        <v>45</v>
      </c>
      <c r="AA274" s="40" t="s">
        <v>45</v>
      </c>
      <c r="AB274" s="40" t="s">
        <v>45</v>
      </c>
      <c r="AC274" s="40" t="s">
        <v>45</v>
      </c>
      <c r="AD274" s="40" t="s">
        <v>45</v>
      </c>
      <c r="AE274" s="40" t="s">
        <v>45</v>
      </c>
      <c r="AF274" s="40" t="s">
        <v>45</v>
      </c>
      <c r="AG274" s="40" t="s">
        <v>45</v>
      </c>
      <c r="AH274" s="40" t="s">
        <v>45</v>
      </c>
      <c r="AI274" s="40" t="s">
        <v>45</v>
      </c>
      <c r="AJ274" s="40" t="s">
        <v>45</v>
      </c>
      <c r="AK274" s="40" t="s">
        <v>45</v>
      </c>
      <c r="AL274" s="40" t="s">
        <v>45</v>
      </c>
      <c r="AM274" s="40" t="s">
        <v>45</v>
      </c>
      <c r="AN274" s="40" t="s">
        <v>45</v>
      </c>
      <c r="AO274" s="41" t="s">
        <v>45</v>
      </c>
      <c r="AP274" s="40" t="s">
        <v>65</v>
      </c>
      <c r="AQ274" s="40">
        <v>4</v>
      </c>
      <c r="AR274" s="48" t="s">
        <v>347</v>
      </c>
      <c r="AS274" s="43" t="s">
        <v>670</v>
      </c>
      <c r="AT274" s="43" t="s">
        <v>635</v>
      </c>
      <c r="AU274" s="44">
        <f t="shared" si="32"/>
        <v>-2.5060525215375429</v>
      </c>
      <c r="AV274" s="44">
        <f t="shared" si="33"/>
        <v>-0.99184266516472974</v>
      </c>
      <c r="AW274" s="45">
        <f t="shared" si="34"/>
        <v>2</v>
      </c>
      <c r="AX274" s="45">
        <f t="shared" si="35"/>
        <v>1</v>
      </c>
      <c r="AY274" s="46">
        <f>VLOOKUP(AP274,COND!$A$10:$B$32,2,FALSE)</f>
        <v>0.95</v>
      </c>
      <c r="AZ274" s="44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28.975522413639101</v>
      </c>
      <c r="BA274" s="47">
        <f t="shared" si="38"/>
        <v>-0.45871405514542746</v>
      </c>
      <c r="BB274" s="45" t="str">
        <f t="shared" si="36"/>
        <v>RP</v>
      </c>
      <c r="BC274" s="45">
        <f>RANK(Table3[[#This Row],[zScore]],Table3[zScore])</f>
        <v>502</v>
      </c>
      <c r="BD274" s="45"/>
      <c r="BE274" s="45"/>
      <c r="BF274" s="45" t="str">
        <f t="shared" si="37"/>
        <v>Unlikely</v>
      </c>
      <c r="BG274" s="45"/>
      <c r="BH274" s="45" t="str">
        <f>INDEX(Table5[[#All],[Ovr]],MATCH(Table3[[#This Row],[PID]],Table5[[#All],[PID]],0))</f>
        <v/>
      </c>
      <c r="BI274" s="45" t="str">
        <f>INDEX(Table5[[#All],[Rnd]],MATCH(Table3[[#This Row],[PID]],Table5[[#All],[PID]],0))</f>
        <v/>
      </c>
      <c r="BJ274" s="45" t="str">
        <f>INDEX(Table5[[#All],[Pick]],MATCH(Table3[[#This Row],[PID]],Table5[[#All],[PID]],0))</f>
        <v/>
      </c>
      <c r="BK274" s="45" t="str">
        <f>INDEX(Table5[[#All],[Team]],MATCH(Table3[[#This Row],[PID]],Table5[[#All],[PID]],0))</f>
        <v/>
      </c>
      <c r="BL2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5" spans="1:64" ht="15" customHeight="1" x14ac:dyDescent="0.25">
      <c r="A275" s="40">
        <v>17840</v>
      </c>
      <c r="B275" s="40" t="s">
        <v>415</v>
      </c>
      <c r="C275" s="40" t="s">
        <v>756</v>
      </c>
      <c r="D275" s="40" t="s">
        <v>2126</v>
      </c>
      <c r="E275" s="40">
        <v>18</v>
      </c>
      <c r="F275" s="40" t="s">
        <v>42</v>
      </c>
      <c r="G275" s="40" t="s">
        <v>42</v>
      </c>
      <c r="H275" s="41" t="s">
        <v>647</v>
      </c>
      <c r="I275" s="42" t="s">
        <v>47</v>
      </c>
      <c r="J275" s="40" t="s">
        <v>47</v>
      </c>
      <c r="K275" s="41" t="s">
        <v>43</v>
      </c>
      <c r="L275" s="40">
        <v>2</v>
      </c>
      <c r="M275" s="40">
        <v>1</v>
      </c>
      <c r="N275" s="41">
        <v>1</v>
      </c>
      <c r="O275" s="40">
        <v>4</v>
      </c>
      <c r="P275" s="40">
        <v>1</v>
      </c>
      <c r="Q275" s="41">
        <v>3</v>
      </c>
      <c r="R275" s="40">
        <v>4</v>
      </c>
      <c r="S275" s="40">
        <v>6</v>
      </c>
      <c r="T275" s="40">
        <v>1</v>
      </c>
      <c r="U275" s="40">
        <v>4</v>
      </c>
      <c r="V275" s="40" t="s">
        <v>45</v>
      </c>
      <c r="W275" s="40" t="s">
        <v>45</v>
      </c>
      <c r="X275" s="40">
        <v>2</v>
      </c>
      <c r="Y275" s="40">
        <v>4</v>
      </c>
      <c r="Z275" s="40" t="s">
        <v>45</v>
      </c>
      <c r="AA275" s="40" t="s">
        <v>45</v>
      </c>
      <c r="AB275" s="40" t="s">
        <v>45</v>
      </c>
      <c r="AC275" s="40" t="s">
        <v>45</v>
      </c>
      <c r="AD275" s="40" t="s">
        <v>45</v>
      </c>
      <c r="AE275" s="40" t="s">
        <v>45</v>
      </c>
      <c r="AF275" s="40" t="s">
        <v>45</v>
      </c>
      <c r="AG275" s="40" t="s">
        <v>45</v>
      </c>
      <c r="AH275" s="40" t="s">
        <v>45</v>
      </c>
      <c r="AI275" s="40" t="s">
        <v>45</v>
      </c>
      <c r="AJ275" s="40" t="s">
        <v>45</v>
      </c>
      <c r="AK275" s="40" t="s">
        <v>45</v>
      </c>
      <c r="AL275" s="40" t="s">
        <v>45</v>
      </c>
      <c r="AM275" s="40" t="s">
        <v>45</v>
      </c>
      <c r="AN275" s="40" t="s">
        <v>45</v>
      </c>
      <c r="AO275" s="41" t="s">
        <v>45</v>
      </c>
      <c r="AP275" s="40" t="s">
        <v>58</v>
      </c>
      <c r="AQ275" s="40">
        <v>8</v>
      </c>
      <c r="AR275" s="48" t="s">
        <v>14</v>
      </c>
      <c r="AS275" s="43" t="s">
        <v>644</v>
      </c>
      <c r="AT275" s="43" t="s">
        <v>47</v>
      </c>
      <c r="AU275" s="44">
        <f t="shared" si="32"/>
        <v>-2.5067929134584248</v>
      </c>
      <c r="AV275" s="44">
        <f t="shared" si="33"/>
        <v>-1.1872743815947853</v>
      </c>
      <c r="AW275" s="45">
        <f t="shared" si="34"/>
        <v>3</v>
      </c>
      <c r="AX275" s="45">
        <f t="shared" si="35"/>
        <v>1</v>
      </c>
      <c r="AY275" s="46">
        <f>VLOOKUP(AP275,COND!$A$10:$B$32,2,FALSE)</f>
        <v>1</v>
      </c>
      <c r="AZ275" s="44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31.028153785412606</v>
      </c>
      <c r="BA275" s="47">
        <f>STANDARDIZE(AZ275,AVERAGE($AZ$5:$AZ$663),STDEVP($AZ$5:$AZ$663))</f>
        <v>-0.46412814759808019</v>
      </c>
      <c r="BB275" s="45" t="str">
        <f t="shared" si="36"/>
        <v>SP</v>
      </c>
      <c r="BC275" s="45">
        <f>RANK(Table3[[#This Row],[zScore]],Table3[zScore])</f>
        <v>506</v>
      </c>
      <c r="BD275" s="45"/>
      <c r="BE275" s="45"/>
      <c r="BF275" s="45" t="str">
        <f t="shared" si="37"/>
        <v>Unlikely</v>
      </c>
      <c r="BG275" s="45"/>
      <c r="BH275" s="45" t="str">
        <f>INDEX(Table5[[#All],[Ovr]],MATCH(Table3[[#This Row],[PID]],Table5[[#All],[PID]],0))</f>
        <v/>
      </c>
      <c r="BI275" s="45" t="str">
        <f>INDEX(Table5[[#All],[Rnd]],MATCH(Table3[[#This Row],[PID]],Table5[[#All],[PID]],0))</f>
        <v/>
      </c>
      <c r="BJ275" s="45" t="str">
        <f>INDEX(Table5[[#All],[Pick]],MATCH(Table3[[#This Row],[PID]],Table5[[#All],[PID]],0))</f>
        <v/>
      </c>
      <c r="BK275" s="45" t="str">
        <f>INDEX(Table5[[#All],[Team]],MATCH(Table3[[#This Row],[PID]],Table5[[#All],[PID]],0))</f>
        <v/>
      </c>
      <c r="BL2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6" spans="1:64" ht="15" customHeight="1" x14ac:dyDescent="0.25">
      <c r="A276" s="40">
        <v>20832</v>
      </c>
      <c r="B276" s="40" t="s">
        <v>415</v>
      </c>
      <c r="C276" s="40" t="s">
        <v>184</v>
      </c>
      <c r="D276" s="40" t="s">
        <v>1050</v>
      </c>
      <c r="E276" s="40">
        <v>16</v>
      </c>
      <c r="F276" s="40" t="s">
        <v>53</v>
      </c>
      <c r="G276" s="40" t="s">
        <v>53</v>
      </c>
      <c r="H276" s="41" t="s">
        <v>647</v>
      </c>
      <c r="I276" s="42" t="s">
        <v>43</v>
      </c>
      <c r="J276" s="40" t="s">
        <v>44</v>
      </c>
      <c r="K276" s="41" t="s">
        <v>44</v>
      </c>
      <c r="L276" s="40">
        <v>1</v>
      </c>
      <c r="M276" s="40">
        <v>1</v>
      </c>
      <c r="N276" s="41">
        <v>1</v>
      </c>
      <c r="O276" s="40">
        <v>4</v>
      </c>
      <c r="P276" s="40">
        <v>1</v>
      </c>
      <c r="Q276" s="41">
        <v>3</v>
      </c>
      <c r="R276" s="40">
        <v>3</v>
      </c>
      <c r="S276" s="40">
        <v>6</v>
      </c>
      <c r="T276" s="40">
        <v>1</v>
      </c>
      <c r="U276" s="40">
        <v>5</v>
      </c>
      <c r="V276" s="40">
        <v>1</v>
      </c>
      <c r="W276" s="40">
        <v>3</v>
      </c>
      <c r="X276" s="40" t="s">
        <v>45</v>
      </c>
      <c r="Y276" s="40" t="s">
        <v>45</v>
      </c>
      <c r="Z276" s="40" t="s">
        <v>45</v>
      </c>
      <c r="AA276" s="40" t="s">
        <v>45</v>
      </c>
      <c r="AB276" s="40" t="s">
        <v>45</v>
      </c>
      <c r="AC276" s="40" t="s">
        <v>45</v>
      </c>
      <c r="AD276" s="40" t="s">
        <v>45</v>
      </c>
      <c r="AE276" s="40" t="s">
        <v>45</v>
      </c>
      <c r="AF276" s="40" t="s">
        <v>45</v>
      </c>
      <c r="AG276" s="40" t="s">
        <v>45</v>
      </c>
      <c r="AH276" s="40" t="s">
        <v>45</v>
      </c>
      <c r="AI276" s="40" t="s">
        <v>45</v>
      </c>
      <c r="AJ276" s="40" t="s">
        <v>45</v>
      </c>
      <c r="AK276" s="40" t="s">
        <v>45</v>
      </c>
      <c r="AL276" s="40" t="s">
        <v>45</v>
      </c>
      <c r="AM276" s="40" t="s">
        <v>45</v>
      </c>
      <c r="AN276" s="40" t="s">
        <v>45</v>
      </c>
      <c r="AO276" s="41" t="s">
        <v>45</v>
      </c>
      <c r="AP276" s="40" t="s">
        <v>64</v>
      </c>
      <c r="AQ276" s="40">
        <v>3</v>
      </c>
      <c r="AR276" s="48" t="s">
        <v>347</v>
      </c>
      <c r="AS276" s="43" t="s">
        <v>659</v>
      </c>
      <c r="AT276" s="43" t="s">
        <v>47</v>
      </c>
      <c r="AU276" s="44">
        <f t="shared" si="32"/>
        <v>-2.7014842379675978</v>
      </c>
      <c r="AV276" s="44">
        <f t="shared" si="33"/>
        <v>-1.1872743815947853</v>
      </c>
      <c r="AW276" s="45">
        <f t="shared" si="34"/>
        <v>3</v>
      </c>
      <c r="AX276" s="45">
        <f t="shared" si="35"/>
        <v>1</v>
      </c>
      <c r="AY276" s="46">
        <f>VLOOKUP(AP276,COND!$A$10:$B$32,2,FALSE)</f>
        <v>1</v>
      </c>
      <c r="AZ276" s="44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28.941004744485234</v>
      </c>
      <c r="BA276" s="47">
        <f>STANDARDIZE(AZ276,AVERAGE($AZ$5:$AZ$557),STDEVP($AZ$5:$AZ$557))</f>
        <v>-0.46101046292747883</v>
      </c>
      <c r="BB276" s="45" t="str">
        <f t="shared" si="36"/>
        <v>RP</v>
      </c>
      <c r="BC276" s="45">
        <f>RANK(Table3[[#This Row],[zScore]],Table3[zScore])</f>
        <v>503</v>
      </c>
      <c r="BD276" s="45"/>
      <c r="BE276" s="45"/>
      <c r="BF276" s="45" t="str">
        <f t="shared" si="37"/>
        <v>Unlikely</v>
      </c>
      <c r="BG276" s="45"/>
      <c r="BH276" s="45" t="str">
        <f>INDEX(Table5[[#All],[Ovr]],MATCH(Table3[[#This Row],[PID]],Table5[[#All],[PID]],0))</f>
        <v/>
      </c>
      <c r="BI276" s="45" t="str">
        <f>INDEX(Table5[[#All],[Rnd]],MATCH(Table3[[#This Row],[PID]],Table5[[#All],[PID]],0))</f>
        <v/>
      </c>
      <c r="BJ276" s="45" t="str">
        <f>INDEX(Table5[[#All],[Pick]],MATCH(Table3[[#This Row],[PID]],Table5[[#All],[PID]],0))</f>
        <v/>
      </c>
      <c r="BK276" s="45" t="str">
        <f>INDEX(Table5[[#All],[Team]],MATCH(Table3[[#This Row],[PID]],Table5[[#All],[PID]],0))</f>
        <v/>
      </c>
      <c r="BL2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7" spans="1:64" ht="15" customHeight="1" x14ac:dyDescent="0.25">
      <c r="A277" s="40">
        <v>20384</v>
      </c>
      <c r="B277" s="40" t="s">
        <v>415</v>
      </c>
      <c r="C277" s="40" t="s">
        <v>2066</v>
      </c>
      <c r="D277" s="40" t="s">
        <v>2067</v>
      </c>
      <c r="E277" s="40">
        <v>17</v>
      </c>
      <c r="F277" s="40" t="s">
        <v>42</v>
      </c>
      <c r="G277" s="40" t="s">
        <v>42</v>
      </c>
      <c r="H277" s="41" t="s">
        <v>647</v>
      </c>
      <c r="I277" s="42" t="s">
        <v>47</v>
      </c>
      <c r="J277" s="40" t="s">
        <v>43</v>
      </c>
      <c r="K277" s="41" t="s">
        <v>43</v>
      </c>
      <c r="L277" s="40">
        <v>2</v>
      </c>
      <c r="M277" s="40">
        <v>2</v>
      </c>
      <c r="N277" s="41">
        <v>1</v>
      </c>
      <c r="O277" s="40">
        <v>4</v>
      </c>
      <c r="P277" s="40">
        <v>2</v>
      </c>
      <c r="Q277" s="41">
        <v>3</v>
      </c>
      <c r="R277" s="40" t="s">
        <v>45</v>
      </c>
      <c r="S277" s="40" t="s">
        <v>45</v>
      </c>
      <c r="T277" s="40" t="s">
        <v>45</v>
      </c>
      <c r="U277" s="40" t="s">
        <v>45</v>
      </c>
      <c r="V277" s="40">
        <v>3</v>
      </c>
      <c r="W277" s="40">
        <v>6</v>
      </c>
      <c r="X277" s="40" t="s">
        <v>45</v>
      </c>
      <c r="Y277" s="40" t="s">
        <v>45</v>
      </c>
      <c r="Z277" s="40" t="s">
        <v>45</v>
      </c>
      <c r="AA277" s="40" t="s">
        <v>45</v>
      </c>
      <c r="AB277" s="40" t="s">
        <v>45</v>
      </c>
      <c r="AC277" s="40" t="s">
        <v>45</v>
      </c>
      <c r="AD277" s="40">
        <v>3</v>
      </c>
      <c r="AE277" s="40">
        <v>4</v>
      </c>
      <c r="AF277" s="40" t="s">
        <v>45</v>
      </c>
      <c r="AG277" s="40" t="s">
        <v>45</v>
      </c>
      <c r="AH277" s="40" t="s">
        <v>45</v>
      </c>
      <c r="AI277" s="40" t="s">
        <v>45</v>
      </c>
      <c r="AJ277" s="40" t="s">
        <v>45</v>
      </c>
      <c r="AK277" s="40" t="s">
        <v>45</v>
      </c>
      <c r="AL277" s="40" t="s">
        <v>45</v>
      </c>
      <c r="AM277" s="40" t="s">
        <v>45</v>
      </c>
      <c r="AN277" s="40" t="s">
        <v>45</v>
      </c>
      <c r="AO277" s="41" t="s">
        <v>45</v>
      </c>
      <c r="AP277" s="40" t="s">
        <v>68</v>
      </c>
      <c r="AQ277" s="40">
        <v>3</v>
      </c>
      <c r="AR277" s="48" t="s">
        <v>347</v>
      </c>
      <c r="AS277" s="43" t="s">
        <v>644</v>
      </c>
      <c r="AT277" s="43" t="s">
        <v>47</v>
      </c>
      <c r="AU277" s="44">
        <f t="shared" si="32"/>
        <v>-2.311361197028369</v>
      </c>
      <c r="AV277" s="44">
        <f t="shared" si="33"/>
        <v>-0.99184266516472974</v>
      </c>
      <c r="AW277" s="45">
        <f t="shared" si="34"/>
        <v>2</v>
      </c>
      <c r="AX277" s="45">
        <f t="shared" si="35"/>
        <v>1</v>
      </c>
      <c r="AY277" s="46">
        <f>VLOOKUP(AP277,COND!$A$10:$B$32,2,FALSE)</f>
        <v>0.95</v>
      </c>
      <c r="AZ277" s="44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28.935664197713002</v>
      </c>
      <c r="BA277" s="47">
        <f>STANDARDIZE(AZ277,AVERAGE($AZ$5:$AZ$557),STDEVP($AZ$5:$AZ$557))</f>
        <v>-0.46136576134329865</v>
      </c>
      <c r="BB277" s="45" t="str">
        <f t="shared" si="36"/>
        <v>RP</v>
      </c>
      <c r="BC277" s="45">
        <f>RANK(Table3[[#This Row],[zScore]],Table3[zScore])</f>
        <v>505</v>
      </c>
      <c r="BD277" s="45"/>
      <c r="BE277" s="45"/>
      <c r="BF277" s="45" t="str">
        <f t="shared" si="37"/>
        <v>Unlikely</v>
      </c>
      <c r="BG277" s="45"/>
      <c r="BH277" s="45" t="str">
        <f>INDEX(Table5[[#All],[Ovr]],MATCH(Table3[[#This Row],[PID]],Table5[[#All],[PID]],0))</f>
        <v/>
      </c>
      <c r="BI277" s="45" t="str">
        <f>INDEX(Table5[[#All],[Rnd]],MATCH(Table3[[#This Row],[PID]],Table5[[#All],[PID]],0))</f>
        <v/>
      </c>
      <c r="BJ277" s="45" t="str">
        <f>INDEX(Table5[[#All],[Pick]],MATCH(Table3[[#This Row],[PID]],Table5[[#All],[PID]],0))</f>
        <v/>
      </c>
      <c r="BK277" s="45" t="str">
        <f>INDEX(Table5[[#All],[Team]],MATCH(Table3[[#This Row],[PID]],Table5[[#All],[PID]],0))</f>
        <v/>
      </c>
      <c r="BL2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8" spans="1:64" ht="15" customHeight="1" x14ac:dyDescent="0.25">
      <c r="A278" s="40">
        <v>2589</v>
      </c>
      <c r="B278" s="40" t="s">
        <v>415</v>
      </c>
      <c r="C278" s="40" t="s">
        <v>584</v>
      </c>
      <c r="D278" s="40" t="s">
        <v>400</v>
      </c>
      <c r="E278" s="40">
        <v>22</v>
      </c>
      <c r="F278" s="40" t="s">
        <v>53</v>
      </c>
      <c r="G278" s="40" t="s">
        <v>42</v>
      </c>
      <c r="H278" s="41" t="s">
        <v>647</v>
      </c>
      <c r="I278" s="42" t="s">
        <v>43</v>
      </c>
      <c r="J278" s="40" t="s">
        <v>44</v>
      </c>
      <c r="K278" s="41" t="s">
        <v>43</v>
      </c>
      <c r="L278" s="40">
        <v>1</v>
      </c>
      <c r="M278" s="40">
        <v>2</v>
      </c>
      <c r="N278" s="41">
        <v>2</v>
      </c>
      <c r="O278" s="40">
        <v>4</v>
      </c>
      <c r="P278" s="40">
        <v>2</v>
      </c>
      <c r="Q278" s="41">
        <v>3</v>
      </c>
      <c r="R278" s="40">
        <v>3</v>
      </c>
      <c r="S278" s="40">
        <v>4</v>
      </c>
      <c r="T278" s="40" t="s">
        <v>45</v>
      </c>
      <c r="U278" s="40" t="s">
        <v>45</v>
      </c>
      <c r="V278" s="40">
        <v>1</v>
      </c>
      <c r="W278" s="40">
        <v>5</v>
      </c>
      <c r="X278" s="40">
        <v>1</v>
      </c>
      <c r="Y278" s="40">
        <v>4</v>
      </c>
      <c r="Z278" s="40" t="s">
        <v>45</v>
      </c>
      <c r="AA278" s="40" t="s">
        <v>45</v>
      </c>
      <c r="AB278" s="40" t="s">
        <v>45</v>
      </c>
      <c r="AC278" s="40" t="s">
        <v>45</v>
      </c>
      <c r="AD278" s="40" t="s">
        <v>45</v>
      </c>
      <c r="AE278" s="40" t="s">
        <v>45</v>
      </c>
      <c r="AF278" s="40" t="s">
        <v>45</v>
      </c>
      <c r="AG278" s="40" t="s">
        <v>45</v>
      </c>
      <c r="AH278" s="40" t="s">
        <v>45</v>
      </c>
      <c r="AI278" s="40" t="s">
        <v>45</v>
      </c>
      <c r="AJ278" s="40" t="s">
        <v>45</v>
      </c>
      <c r="AK278" s="40" t="s">
        <v>45</v>
      </c>
      <c r="AL278" s="40" t="s">
        <v>45</v>
      </c>
      <c r="AM278" s="40" t="s">
        <v>45</v>
      </c>
      <c r="AN278" s="40" t="s">
        <v>45</v>
      </c>
      <c r="AO278" s="41" t="s">
        <v>45</v>
      </c>
      <c r="AP278" s="40" t="s">
        <v>68</v>
      </c>
      <c r="AQ278" s="40">
        <v>7</v>
      </c>
      <c r="AR278" s="48" t="s">
        <v>347</v>
      </c>
      <c r="AS278" s="43" t="s">
        <v>45</v>
      </c>
      <c r="AT278" s="43" t="s">
        <v>47</v>
      </c>
      <c r="AU278" s="44">
        <f t="shared" si="32"/>
        <v>-2.2637319554834323</v>
      </c>
      <c r="AV278" s="44">
        <f t="shared" si="33"/>
        <v>-0.99184266516472974</v>
      </c>
      <c r="AW278" s="45">
        <f t="shared" si="34"/>
        <v>3</v>
      </c>
      <c r="AX278" s="45">
        <f t="shared" si="35"/>
        <v>0</v>
      </c>
      <c r="AY278" s="46">
        <f>VLOOKUP(AP278,COND!$A$10:$B$32,2,FALSE)</f>
        <v>0.95</v>
      </c>
      <c r="AZ278" s="44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28.849880290328283</v>
      </c>
      <c r="BA278" s="47">
        <f>STANDARDIZE(AZ278,AVERAGE($AZ$5:$AZ$557),STDEVP($AZ$5:$AZ$557))</f>
        <v>-0.46707283361445662</v>
      </c>
      <c r="BB278" s="45" t="str">
        <f t="shared" si="36"/>
        <v>SP</v>
      </c>
      <c r="BC278" s="45">
        <f>RANK(Table3[[#This Row],[zScore]],Table3[zScore])</f>
        <v>507</v>
      </c>
      <c r="BD278" s="45"/>
      <c r="BE278" s="45"/>
      <c r="BF278" s="45" t="str">
        <f t="shared" si="37"/>
        <v>Unlikely</v>
      </c>
      <c r="BG278" s="45"/>
      <c r="BH278" s="45" t="str">
        <f>INDEX(Table5[[#All],[Ovr]],MATCH(Table3[[#This Row],[PID]],Table5[[#All],[PID]],0))</f>
        <v/>
      </c>
      <c r="BI278" s="45" t="str">
        <f>INDEX(Table5[[#All],[Rnd]],MATCH(Table3[[#This Row],[PID]],Table5[[#All],[PID]],0))</f>
        <v/>
      </c>
      <c r="BJ278" s="45" t="str">
        <f>INDEX(Table5[[#All],[Pick]],MATCH(Table3[[#This Row],[PID]],Table5[[#All],[PID]],0))</f>
        <v/>
      </c>
      <c r="BK278" s="45" t="str">
        <f>INDEX(Table5[[#All],[Team]],MATCH(Table3[[#This Row],[PID]],Table5[[#All],[PID]],0))</f>
        <v/>
      </c>
      <c r="BL2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79" spans="1:64" ht="15" customHeight="1" x14ac:dyDescent="0.25">
      <c r="A279" s="40">
        <v>1191</v>
      </c>
      <c r="B279" s="40" t="s">
        <v>415</v>
      </c>
      <c r="C279" s="40" t="s">
        <v>293</v>
      </c>
      <c r="D279" s="40" t="s">
        <v>805</v>
      </c>
      <c r="E279" s="40">
        <v>18</v>
      </c>
      <c r="F279" s="40" t="s">
        <v>42</v>
      </c>
      <c r="G279" s="40" t="s">
        <v>42</v>
      </c>
      <c r="H279" s="41" t="s">
        <v>647</v>
      </c>
      <c r="I279" s="42" t="s">
        <v>43</v>
      </c>
      <c r="J279" s="40" t="s">
        <v>43</v>
      </c>
      <c r="K279" s="41" t="s">
        <v>43</v>
      </c>
      <c r="L279" s="40">
        <v>1</v>
      </c>
      <c r="M279" s="40">
        <v>1</v>
      </c>
      <c r="N279" s="41">
        <v>1</v>
      </c>
      <c r="O279" s="40">
        <v>4</v>
      </c>
      <c r="P279" s="40">
        <v>1</v>
      </c>
      <c r="Q279" s="41">
        <v>3</v>
      </c>
      <c r="R279" s="40">
        <v>3</v>
      </c>
      <c r="S279" s="40">
        <v>5</v>
      </c>
      <c r="T279" s="40">
        <v>1</v>
      </c>
      <c r="U279" s="40">
        <v>2</v>
      </c>
      <c r="V279" s="40">
        <v>1</v>
      </c>
      <c r="W279" s="40">
        <v>5</v>
      </c>
      <c r="X279" s="40" t="s">
        <v>45</v>
      </c>
      <c r="Y279" s="40" t="s">
        <v>45</v>
      </c>
      <c r="Z279" s="40" t="s">
        <v>45</v>
      </c>
      <c r="AA279" s="40" t="s">
        <v>45</v>
      </c>
      <c r="AB279" s="40" t="s">
        <v>45</v>
      </c>
      <c r="AC279" s="40" t="s">
        <v>45</v>
      </c>
      <c r="AD279" s="40" t="s">
        <v>45</v>
      </c>
      <c r="AE279" s="40" t="s">
        <v>45</v>
      </c>
      <c r="AF279" s="40" t="s">
        <v>45</v>
      </c>
      <c r="AG279" s="40" t="s">
        <v>45</v>
      </c>
      <c r="AH279" s="40" t="s">
        <v>45</v>
      </c>
      <c r="AI279" s="40" t="s">
        <v>45</v>
      </c>
      <c r="AJ279" s="40" t="s">
        <v>45</v>
      </c>
      <c r="AK279" s="40" t="s">
        <v>45</v>
      </c>
      <c r="AL279" s="40" t="s">
        <v>45</v>
      </c>
      <c r="AM279" s="40" t="s">
        <v>45</v>
      </c>
      <c r="AN279" s="40" t="s">
        <v>45</v>
      </c>
      <c r="AO279" s="41" t="s">
        <v>45</v>
      </c>
      <c r="AP279" s="40" t="s">
        <v>68</v>
      </c>
      <c r="AQ279" s="40">
        <v>6</v>
      </c>
      <c r="AR279" s="48" t="s">
        <v>14</v>
      </c>
      <c r="AS279" s="43" t="s">
        <v>644</v>
      </c>
      <c r="AT279" s="43" t="s">
        <v>47</v>
      </c>
      <c r="AU279" s="44">
        <f t="shared" si="32"/>
        <v>-2.7014842379675978</v>
      </c>
      <c r="AV279" s="44">
        <f t="shared" si="33"/>
        <v>-1.1872743815947853</v>
      </c>
      <c r="AW279" s="45">
        <f t="shared" si="34"/>
        <v>3</v>
      </c>
      <c r="AX279" s="45">
        <f t="shared" si="35"/>
        <v>0</v>
      </c>
      <c r="AY279" s="46">
        <f>VLOOKUP(AP279,COND!$A$10:$B$32,2,FALSE)</f>
        <v>0.95</v>
      </c>
      <c r="AZ279" s="44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30.894667125873106</v>
      </c>
      <c r="BA279" s="47">
        <f>STANDARDIZE(AZ279,AVERAGE($AZ$5:$AZ$663),STDEVP($AZ$5:$AZ$663))</f>
        <v>-0.47327194450095117</v>
      </c>
      <c r="BB279" s="45" t="str">
        <f t="shared" si="36"/>
        <v>SP</v>
      </c>
      <c r="BC279" s="45">
        <f>RANK(Table3[[#This Row],[zScore]],Table3[zScore])</f>
        <v>509</v>
      </c>
      <c r="BD279" s="45"/>
      <c r="BE279" s="45"/>
      <c r="BF279" s="45" t="str">
        <f t="shared" si="37"/>
        <v>Unlikely</v>
      </c>
      <c r="BG279" s="45"/>
      <c r="BH279" s="45" t="str">
        <f>INDEX(Table5[[#All],[Ovr]],MATCH(Table3[[#This Row],[PID]],Table5[[#All],[PID]],0))</f>
        <v/>
      </c>
      <c r="BI279" s="45" t="str">
        <f>INDEX(Table5[[#All],[Rnd]],MATCH(Table3[[#This Row],[PID]],Table5[[#All],[PID]],0))</f>
        <v/>
      </c>
      <c r="BJ279" s="45" t="str">
        <f>INDEX(Table5[[#All],[Pick]],MATCH(Table3[[#This Row],[PID]],Table5[[#All],[PID]],0))</f>
        <v/>
      </c>
      <c r="BK279" s="45" t="str">
        <f>INDEX(Table5[[#All],[Team]],MATCH(Table3[[#This Row],[PID]],Table5[[#All],[PID]],0))</f>
        <v/>
      </c>
      <c r="BL2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0" spans="1:64" ht="15" customHeight="1" x14ac:dyDescent="0.25">
      <c r="A280" s="40">
        <v>17845</v>
      </c>
      <c r="B280" s="40" t="s">
        <v>415</v>
      </c>
      <c r="C280" s="40" t="s">
        <v>2190</v>
      </c>
      <c r="D280" s="40" t="s">
        <v>2191</v>
      </c>
      <c r="E280" s="40">
        <v>18</v>
      </c>
      <c r="F280" s="40" t="s">
        <v>42</v>
      </c>
      <c r="G280" s="40" t="s">
        <v>42</v>
      </c>
      <c r="H280" s="41" t="s">
        <v>647</v>
      </c>
      <c r="I280" s="42" t="s">
        <v>43</v>
      </c>
      <c r="J280" s="40" t="s">
        <v>43</v>
      </c>
      <c r="K280" s="41" t="s">
        <v>43</v>
      </c>
      <c r="L280" s="40">
        <v>2</v>
      </c>
      <c r="M280" s="40">
        <v>1</v>
      </c>
      <c r="N280" s="41">
        <v>1</v>
      </c>
      <c r="O280" s="40">
        <v>4</v>
      </c>
      <c r="P280" s="40">
        <v>1</v>
      </c>
      <c r="Q280" s="41">
        <v>3</v>
      </c>
      <c r="R280" s="40">
        <v>3</v>
      </c>
      <c r="S280" s="40">
        <v>5</v>
      </c>
      <c r="T280" s="40">
        <v>1</v>
      </c>
      <c r="U280" s="40">
        <v>4</v>
      </c>
      <c r="V280" s="40">
        <v>2</v>
      </c>
      <c r="W280" s="40">
        <v>4</v>
      </c>
      <c r="X280" s="40" t="s">
        <v>45</v>
      </c>
      <c r="Y280" s="40" t="s">
        <v>45</v>
      </c>
      <c r="Z280" s="40" t="s">
        <v>45</v>
      </c>
      <c r="AA280" s="40" t="s">
        <v>45</v>
      </c>
      <c r="AB280" s="40" t="s">
        <v>45</v>
      </c>
      <c r="AC280" s="40" t="s">
        <v>45</v>
      </c>
      <c r="AD280" s="40">
        <v>3</v>
      </c>
      <c r="AE280" s="40">
        <v>4</v>
      </c>
      <c r="AF280" s="40">
        <v>3</v>
      </c>
      <c r="AG280" s="40">
        <v>4</v>
      </c>
      <c r="AH280" s="40" t="s">
        <v>45</v>
      </c>
      <c r="AI280" s="40" t="s">
        <v>45</v>
      </c>
      <c r="AJ280" s="40" t="s">
        <v>45</v>
      </c>
      <c r="AK280" s="40" t="s">
        <v>45</v>
      </c>
      <c r="AL280" s="40" t="s">
        <v>45</v>
      </c>
      <c r="AM280" s="40" t="s">
        <v>45</v>
      </c>
      <c r="AN280" s="40" t="s">
        <v>45</v>
      </c>
      <c r="AO280" s="41" t="s">
        <v>45</v>
      </c>
      <c r="AP280" s="40" t="s">
        <v>350</v>
      </c>
      <c r="AQ280" s="40">
        <v>9</v>
      </c>
      <c r="AR280" s="48" t="s">
        <v>14</v>
      </c>
      <c r="AS280" s="43" t="s">
        <v>663</v>
      </c>
      <c r="AT280" s="43"/>
      <c r="AU280" s="44">
        <f t="shared" si="32"/>
        <v>-2.5067929134584248</v>
      </c>
      <c r="AV280" s="44">
        <f t="shared" si="33"/>
        <v>-1.1872743815947853</v>
      </c>
      <c r="AW280" s="45">
        <f t="shared" si="34"/>
        <v>5</v>
      </c>
      <c r="AX280" s="45">
        <f t="shared" si="35"/>
        <v>0</v>
      </c>
      <c r="AY280" s="46">
        <f>VLOOKUP(AP280,COND!$A$10:$B$32,2,FALSE)</f>
        <v>1</v>
      </c>
      <c r="AZ280" s="44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30.253153785412607</v>
      </c>
      <c r="BA280" s="47">
        <f>STANDARDIZE(AZ280,AVERAGE($AZ$5:$AZ$788),STDEVP($AZ$5:$AZ$788))</f>
        <v>-0.47226084121517087</v>
      </c>
      <c r="BB280" s="45" t="str">
        <f t="shared" si="36"/>
        <v>SP</v>
      </c>
      <c r="BC280" s="45">
        <f>RANK(Table3[[#This Row],[zScore]],Table3[zScore])</f>
        <v>508</v>
      </c>
      <c r="BD280" s="45"/>
      <c r="BE280" s="45"/>
      <c r="BF280" s="45" t="str">
        <f t="shared" si="37"/>
        <v>Unlikely</v>
      </c>
      <c r="BG280" s="45"/>
      <c r="BH280" s="64" t="str">
        <f>INDEX(Table5[[#All],[Ovr]],MATCH(Table3[[#This Row],[PID]],Table5[[#All],[PID]],0))</f>
        <v/>
      </c>
      <c r="BI280" s="64" t="str">
        <f>INDEX(Table5[[#All],[Rnd]],MATCH(Table3[[#This Row],[PID]],Table5[[#All],[PID]],0))</f>
        <v/>
      </c>
      <c r="BJ280" s="64" t="str">
        <f>INDEX(Table5[[#All],[Pick]],MATCH(Table3[[#This Row],[PID]],Table5[[#All],[PID]],0))</f>
        <v/>
      </c>
      <c r="BK280" s="64" t="str">
        <f>INDEX(Table5[[#All],[Team]],MATCH(Table3[[#This Row],[PID]],Table5[[#All],[PID]],0))</f>
        <v/>
      </c>
      <c r="BL280" s="64" t="str">
        <f>IF(OR(Table3[[#This Row],[POS]]="SP",Table3[[#This Row],[POS]]="RP",Table3[[#This Row],[POS]]="CL"),"P",INDEX(Batters[[#All],[zScore]],MATCH(Table3[[#This Row],[PID]],Batters[[#All],[PID]],0)))</f>
        <v>P</v>
      </c>
    </row>
    <row r="281" spans="1:64" ht="15" customHeight="1" x14ac:dyDescent="0.25">
      <c r="A281" s="40">
        <v>18010</v>
      </c>
      <c r="B281" s="40" t="s">
        <v>415</v>
      </c>
      <c r="C281" s="40" t="s">
        <v>434</v>
      </c>
      <c r="D281" s="40" t="s">
        <v>2179</v>
      </c>
      <c r="E281" s="40">
        <v>21</v>
      </c>
      <c r="F281" s="40" t="s">
        <v>53</v>
      </c>
      <c r="G281" s="40" t="s">
        <v>53</v>
      </c>
      <c r="H281" s="41" t="s">
        <v>647</v>
      </c>
      <c r="I281" s="42" t="s">
        <v>44</v>
      </c>
      <c r="J281" s="40" t="s">
        <v>47</v>
      </c>
      <c r="K281" s="41" t="s">
        <v>43</v>
      </c>
      <c r="L281" s="40">
        <v>2</v>
      </c>
      <c r="M281" s="40">
        <v>1</v>
      </c>
      <c r="N281" s="41">
        <v>3</v>
      </c>
      <c r="O281" s="40">
        <v>4</v>
      </c>
      <c r="P281" s="40">
        <v>1</v>
      </c>
      <c r="Q281" s="41">
        <v>4</v>
      </c>
      <c r="R281" s="40">
        <v>3</v>
      </c>
      <c r="S281" s="40">
        <v>5</v>
      </c>
      <c r="T281" s="40">
        <v>1</v>
      </c>
      <c r="U281" s="40">
        <v>1</v>
      </c>
      <c r="V281" s="40" t="s">
        <v>45</v>
      </c>
      <c r="W281" s="40" t="s">
        <v>45</v>
      </c>
      <c r="X281" s="40">
        <v>3</v>
      </c>
      <c r="Y281" s="40">
        <v>6</v>
      </c>
      <c r="Z281" s="40" t="s">
        <v>45</v>
      </c>
      <c r="AA281" s="40" t="s">
        <v>45</v>
      </c>
      <c r="AB281" s="40" t="s">
        <v>45</v>
      </c>
      <c r="AC281" s="40" t="s">
        <v>45</v>
      </c>
      <c r="AD281" s="40" t="s">
        <v>45</v>
      </c>
      <c r="AE281" s="40" t="s">
        <v>45</v>
      </c>
      <c r="AF281" s="40" t="s">
        <v>45</v>
      </c>
      <c r="AG281" s="40" t="s">
        <v>45</v>
      </c>
      <c r="AH281" s="40" t="s">
        <v>45</v>
      </c>
      <c r="AI281" s="40" t="s">
        <v>45</v>
      </c>
      <c r="AJ281" s="40" t="s">
        <v>45</v>
      </c>
      <c r="AK281" s="40" t="s">
        <v>45</v>
      </c>
      <c r="AL281" s="40" t="s">
        <v>45</v>
      </c>
      <c r="AM281" s="40" t="s">
        <v>45</v>
      </c>
      <c r="AN281" s="40" t="s">
        <v>45</v>
      </c>
      <c r="AO281" s="41" t="s">
        <v>45</v>
      </c>
      <c r="AP281" s="40" t="s">
        <v>65</v>
      </c>
      <c r="AQ281" s="40">
        <v>4</v>
      </c>
      <c r="AR281" s="48" t="s">
        <v>14</v>
      </c>
      <c r="AS281" s="43" t="s">
        <v>45</v>
      </c>
      <c r="AT281" s="43"/>
      <c r="AU281" s="44">
        <f t="shared" si="32"/>
        <v>-2.0221517813502041</v>
      </c>
      <c r="AV281" s="44">
        <f t="shared" si="33"/>
        <v>-0.94495381554067481</v>
      </c>
      <c r="AW281" s="45">
        <f t="shared" si="34"/>
        <v>3</v>
      </c>
      <c r="AX281" s="45">
        <f t="shared" si="35"/>
        <v>1</v>
      </c>
      <c r="AY281" s="46">
        <f>VLOOKUP(AP281,COND!$A$10:$B$32,2,FALSE)</f>
        <v>0.95</v>
      </c>
      <c r="AZ281" s="44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30.210460232957111</v>
      </c>
      <c r="BA281" s="47">
        <f>STANDARDIZE(AZ281,AVERAGE($AZ$5:$AZ$788),STDEVP($AZ$5:$AZ$788))</f>
        <v>-0.47535025192909275</v>
      </c>
      <c r="BB281" s="45" t="str">
        <f t="shared" si="36"/>
        <v>RP</v>
      </c>
      <c r="BC281" s="45">
        <f>RANK(Table3[[#This Row],[zScore]],Table3[zScore])</f>
        <v>510</v>
      </c>
      <c r="BD281" s="45"/>
      <c r="BE281" s="45"/>
      <c r="BF281" s="45" t="str">
        <f t="shared" si="37"/>
        <v>Unlikely</v>
      </c>
      <c r="BG281" s="45"/>
      <c r="BH281" s="64" t="str">
        <f>INDEX(Table5[[#All],[Ovr]],MATCH(Table3[[#This Row],[PID]],Table5[[#All],[PID]],0))</f>
        <v/>
      </c>
      <c r="BI281" s="64" t="str">
        <f>INDEX(Table5[[#All],[Rnd]],MATCH(Table3[[#This Row],[PID]],Table5[[#All],[PID]],0))</f>
        <v/>
      </c>
      <c r="BJ281" s="64" t="str">
        <f>INDEX(Table5[[#All],[Pick]],MATCH(Table3[[#This Row],[PID]],Table5[[#All],[PID]],0))</f>
        <v/>
      </c>
      <c r="BK281" s="64" t="str">
        <f>INDEX(Table5[[#All],[Team]],MATCH(Table3[[#This Row],[PID]],Table5[[#All],[PID]],0))</f>
        <v/>
      </c>
      <c r="BL281" s="64" t="str">
        <f>IF(OR(Table3[[#This Row],[POS]]="SP",Table3[[#This Row],[POS]]="RP",Table3[[#This Row],[POS]]="CL"),"P",INDEX(Batters[[#All],[zScore]],MATCH(Table3[[#This Row],[PID]],Batters[[#All],[PID]],0)))</f>
        <v>P</v>
      </c>
    </row>
    <row r="282" spans="1:64" ht="15" customHeight="1" x14ac:dyDescent="0.25">
      <c r="A282" s="40">
        <v>17860</v>
      </c>
      <c r="B282" s="40" t="s">
        <v>415</v>
      </c>
      <c r="C282" s="40" t="s">
        <v>1698</v>
      </c>
      <c r="D282" s="40" t="s">
        <v>2058</v>
      </c>
      <c r="E282" s="40">
        <v>18</v>
      </c>
      <c r="F282" s="40" t="s">
        <v>42</v>
      </c>
      <c r="G282" s="40" t="s">
        <v>42</v>
      </c>
      <c r="H282" s="41" t="s">
        <v>647</v>
      </c>
      <c r="I282" s="42" t="s">
        <v>43</v>
      </c>
      <c r="J282" s="40" t="s">
        <v>47</v>
      </c>
      <c r="K282" s="41" t="s">
        <v>43</v>
      </c>
      <c r="L282" s="40">
        <v>2</v>
      </c>
      <c r="M282" s="40">
        <v>1</v>
      </c>
      <c r="N282" s="41">
        <v>1</v>
      </c>
      <c r="O282" s="40">
        <v>4</v>
      </c>
      <c r="P282" s="40">
        <v>1</v>
      </c>
      <c r="Q282" s="41">
        <v>3</v>
      </c>
      <c r="R282" s="40">
        <v>3</v>
      </c>
      <c r="S282" s="40">
        <v>5</v>
      </c>
      <c r="T282" s="40">
        <v>1</v>
      </c>
      <c r="U282" s="40">
        <v>2</v>
      </c>
      <c r="V282" s="40">
        <v>2</v>
      </c>
      <c r="W282" s="40">
        <v>6</v>
      </c>
      <c r="X282" s="40" t="s">
        <v>45</v>
      </c>
      <c r="Y282" s="40" t="s">
        <v>45</v>
      </c>
      <c r="Z282" s="40" t="s">
        <v>45</v>
      </c>
      <c r="AA282" s="40" t="s">
        <v>45</v>
      </c>
      <c r="AB282" s="40" t="s">
        <v>45</v>
      </c>
      <c r="AC282" s="40" t="s">
        <v>45</v>
      </c>
      <c r="AD282" s="40" t="s">
        <v>45</v>
      </c>
      <c r="AE282" s="40" t="s">
        <v>45</v>
      </c>
      <c r="AF282" s="40" t="s">
        <v>45</v>
      </c>
      <c r="AG282" s="40" t="s">
        <v>45</v>
      </c>
      <c r="AH282" s="40" t="s">
        <v>45</v>
      </c>
      <c r="AI282" s="40" t="s">
        <v>45</v>
      </c>
      <c r="AJ282" s="40" t="s">
        <v>45</v>
      </c>
      <c r="AK282" s="40" t="s">
        <v>45</v>
      </c>
      <c r="AL282" s="40" t="s">
        <v>45</v>
      </c>
      <c r="AM282" s="40" t="s">
        <v>45</v>
      </c>
      <c r="AN282" s="40" t="s">
        <v>45</v>
      </c>
      <c r="AO282" s="41" t="s">
        <v>45</v>
      </c>
      <c r="AP282" s="40" t="s">
        <v>349</v>
      </c>
      <c r="AQ282" s="40">
        <v>7</v>
      </c>
      <c r="AR282" s="48" t="s">
        <v>351</v>
      </c>
      <c r="AS282" s="43" t="s">
        <v>573</v>
      </c>
      <c r="AT282" s="43" t="s">
        <v>47</v>
      </c>
      <c r="AU282" s="44">
        <f t="shared" si="32"/>
        <v>-2.5067929134584248</v>
      </c>
      <c r="AV282" s="44">
        <f t="shared" si="33"/>
        <v>-1.1872743815947853</v>
      </c>
      <c r="AW282" s="45">
        <f t="shared" si="34"/>
        <v>3</v>
      </c>
      <c r="AX282" s="45">
        <f t="shared" si="35"/>
        <v>1</v>
      </c>
      <c r="AY282" s="46">
        <f>VLOOKUP(AP282,COND!$A$10:$B$32,2,FALSE)</f>
        <v>1</v>
      </c>
      <c r="AZ282" s="44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30.803153785412608</v>
      </c>
      <c r="BA282" s="47">
        <f>STANDARDIZE(AZ282,AVERAGE($AZ$5:$AZ$663),STDEVP($AZ$5:$AZ$663))</f>
        <v>-0.47954058139665889</v>
      </c>
      <c r="BB282" s="45" t="str">
        <f t="shared" si="36"/>
        <v>SP</v>
      </c>
      <c r="BC282" s="45">
        <f>RANK(Table3[[#This Row],[zScore]],Table3[zScore])</f>
        <v>511</v>
      </c>
      <c r="BD282" s="45"/>
      <c r="BE282" s="45"/>
      <c r="BF282" s="45" t="str">
        <f t="shared" si="37"/>
        <v>Unlikely</v>
      </c>
      <c r="BG282" s="45"/>
      <c r="BH282" s="45" t="str">
        <f>INDEX(Table5[[#All],[Ovr]],MATCH(Table3[[#This Row],[PID]],Table5[[#All],[PID]],0))</f>
        <v/>
      </c>
      <c r="BI282" s="45" t="str">
        <f>INDEX(Table5[[#All],[Rnd]],MATCH(Table3[[#This Row],[PID]],Table5[[#All],[PID]],0))</f>
        <v/>
      </c>
      <c r="BJ282" s="45" t="str">
        <f>INDEX(Table5[[#All],[Pick]],MATCH(Table3[[#This Row],[PID]],Table5[[#All],[PID]],0))</f>
        <v/>
      </c>
      <c r="BK282" s="45" t="str">
        <f>INDEX(Table5[[#All],[Team]],MATCH(Table3[[#This Row],[PID]],Table5[[#All],[PID]],0))</f>
        <v/>
      </c>
      <c r="BL2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3" spans="1:64" ht="15" customHeight="1" x14ac:dyDescent="0.25">
      <c r="A283" s="40">
        <v>21030</v>
      </c>
      <c r="B283" s="40" t="s">
        <v>415</v>
      </c>
      <c r="C283" s="40" t="s">
        <v>129</v>
      </c>
      <c r="D283" s="40" t="s">
        <v>715</v>
      </c>
      <c r="E283" s="40">
        <v>16</v>
      </c>
      <c r="F283" s="40" t="s">
        <v>53</v>
      </c>
      <c r="G283" s="40" t="s">
        <v>42</v>
      </c>
      <c r="H283" s="41" t="s">
        <v>647</v>
      </c>
      <c r="I283" s="42" t="s">
        <v>43</v>
      </c>
      <c r="J283" s="40" t="s">
        <v>43</v>
      </c>
      <c r="K283" s="41" t="s">
        <v>47</v>
      </c>
      <c r="L283" s="40">
        <v>2</v>
      </c>
      <c r="M283" s="40">
        <v>2</v>
      </c>
      <c r="N283" s="41">
        <v>1</v>
      </c>
      <c r="O283" s="40">
        <v>4</v>
      </c>
      <c r="P283" s="40">
        <v>2</v>
      </c>
      <c r="Q283" s="41">
        <v>2</v>
      </c>
      <c r="R283" s="40">
        <v>3</v>
      </c>
      <c r="S283" s="40">
        <v>5</v>
      </c>
      <c r="T283" s="40">
        <v>1</v>
      </c>
      <c r="U283" s="40">
        <v>2</v>
      </c>
      <c r="V283" s="40" t="s">
        <v>45</v>
      </c>
      <c r="W283" s="40" t="s">
        <v>45</v>
      </c>
      <c r="X283" s="40">
        <v>2</v>
      </c>
      <c r="Y283" s="40">
        <v>5</v>
      </c>
      <c r="Z283" s="40" t="s">
        <v>45</v>
      </c>
      <c r="AA283" s="40" t="s">
        <v>45</v>
      </c>
      <c r="AB283" s="40" t="s">
        <v>45</v>
      </c>
      <c r="AC283" s="40" t="s">
        <v>45</v>
      </c>
      <c r="AD283" s="40" t="s">
        <v>45</v>
      </c>
      <c r="AE283" s="40" t="s">
        <v>45</v>
      </c>
      <c r="AF283" s="40" t="s">
        <v>45</v>
      </c>
      <c r="AG283" s="40" t="s">
        <v>45</v>
      </c>
      <c r="AH283" s="40" t="s">
        <v>45</v>
      </c>
      <c r="AI283" s="40" t="s">
        <v>45</v>
      </c>
      <c r="AJ283" s="40" t="s">
        <v>45</v>
      </c>
      <c r="AK283" s="40" t="s">
        <v>45</v>
      </c>
      <c r="AL283" s="40" t="s">
        <v>45</v>
      </c>
      <c r="AM283" s="40" t="s">
        <v>45</v>
      </c>
      <c r="AN283" s="40" t="s">
        <v>45</v>
      </c>
      <c r="AO283" s="41" t="s">
        <v>45</v>
      </c>
      <c r="AP283" s="40" t="s">
        <v>349</v>
      </c>
      <c r="AQ283" s="40">
        <v>8</v>
      </c>
      <c r="AR283" s="48" t="s">
        <v>347</v>
      </c>
      <c r="AS283" s="43" t="s">
        <v>670</v>
      </c>
      <c r="AT283" s="43" t="s">
        <v>47</v>
      </c>
      <c r="AU283" s="44">
        <f t="shared" si="32"/>
        <v>-2.311361197028369</v>
      </c>
      <c r="AV283" s="44">
        <f t="shared" si="33"/>
        <v>-1.23416323121884</v>
      </c>
      <c r="AW283" s="45">
        <f t="shared" si="34"/>
        <v>3</v>
      </c>
      <c r="AX283" s="45">
        <f t="shared" si="35"/>
        <v>0</v>
      </c>
      <c r="AY283" s="46">
        <f>VLOOKUP(AP283,COND!$A$10:$B$32,2,FALSE)</f>
        <v>1</v>
      </c>
      <c r="AZ283" s="44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28.654463136217526</v>
      </c>
      <c r="BA283" s="47">
        <f>STANDARDIZE(AZ283,AVERAGE($AZ$5:$AZ$557),STDEVP($AZ$5:$AZ$557))</f>
        <v>-0.4800736382587642</v>
      </c>
      <c r="BB283" s="45" t="str">
        <f t="shared" si="36"/>
        <v>SP</v>
      </c>
      <c r="BC283" s="45">
        <f>RANK(Table3[[#This Row],[zScore]],Table3[zScore])</f>
        <v>512</v>
      </c>
      <c r="BD283" s="45"/>
      <c r="BE283" s="45"/>
      <c r="BF283" s="45" t="str">
        <f t="shared" si="37"/>
        <v>Unlikely</v>
      </c>
      <c r="BG283" s="45"/>
      <c r="BH283" s="45" t="str">
        <f>INDEX(Table5[[#All],[Ovr]],MATCH(Table3[[#This Row],[PID]],Table5[[#All],[PID]],0))</f>
        <v/>
      </c>
      <c r="BI283" s="45" t="str">
        <f>INDEX(Table5[[#All],[Rnd]],MATCH(Table3[[#This Row],[PID]],Table5[[#All],[PID]],0))</f>
        <v/>
      </c>
      <c r="BJ283" s="45" t="str">
        <f>INDEX(Table5[[#All],[Pick]],MATCH(Table3[[#This Row],[PID]],Table5[[#All],[PID]],0))</f>
        <v/>
      </c>
      <c r="BK283" s="45" t="str">
        <f>INDEX(Table5[[#All],[Team]],MATCH(Table3[[#This Row],[PID]],Table5[[#All],[PID]],0))</f>
        <v/>
      </c>
      <c r="BL2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4" spans="1:64" ht="15" customHeight="1" x14ac:dyDescent="0.25">
      <c r="A284" s="40">
        <v>17560</v>
      </c>
      <c r="B284" s="40" t="s">
        <v>415</v>
      </c>
      <c r="C284" s="40" t="s">
        <v>190</v>
      </c>
      <c r="D284" s="40" t="s">
        <v>642</v>
      </c>
      <c r="E284" s="40">
        <v>18</v>
      </c>
      <c r="F284" s="40" t="s">
        <v>42</v>
      </c>
      <c r="G284" s="40" t="s">
        <v>42</v>
      </c>
      <c r="H284" s="41" t="s">
        <v>647</v>
      </c>
      <c r="I284" s="42" t="s">
        <v>43</v>
      </c>
      <c r="J284" s="40" t="s">
        <v>43</v>
      </c>
      <c r="K284" s="41" t="s">
        <v>43</v>
      </c>
      <c r="L284" s="40">
        <v>1</v>
      </c>
      <c r="M284" s="40">
        <v>1</v>
      </c>
      <c r="N284" s="41">
        <v>1</v>
      </c>
      <c r="O284" s="40">
        <v>3</v>
      </c>
      <c r="P284" s="40">
        <v>1</v>
      </c>
      <c r="Q284" s="41">
        <v>3</v>
      </c>
      <c r="R284" s="40">
        <v>2</v>
      </c>
      <c r="S284" s="40">
        <v>3</v>
      </c>
      <c r="T284" s="40">
        <v>1</v>
      </c>
      <c r="U284" s="40">
        <v>5</v>
      </c>
      <c r="V284" s="40">
        <v>1</v>
      </c>
      <c r="W284" s="40">
        <v>4</v>
      </c>
      <c r="X284" s="40" t="s">
        <v>45</v>
      </c>
      <c r="Y284" s="40" t="s">
        <v>45</v>
      </c>
      <c r="Z284" s="40" t="s">
        <v>45</v>
      </c>
      <c r="AA284" s="40" t="s">
        <v>45</v>
      </c>
      <c r="AB284" s="40" t="s">
        <v>45</v>
      </c>
      <c r="AC284" s="40" t="s">
        <v>45</v>
      </c>
      <c r="AD284" s="40" t="s">
        <v>45</v>
      </c>
      <c r="AE284" s="40" t="s">
        <v>45</v>
      </c>
      <c r="AF284" s="40" t="s">
        <v>45</v>
      </c>
      <c r="AG284" s="40" t="s">
        <v>45</v>
      </c>
      <c r="AH284" s="40" t="s">
        <v>45</v>
      </c>
      <c r="AI284" s="40" t="s">
        <v>45</v>
      </c>
      <c r="AJ284" s="40" t="s">
        <v>45</v>
      </c>
      <c r="AK284" s="40" t="s">
        <v>45</v>
      </c>
      <c r="AL284" s="40" t="s">
        <v>45</v>
      </c>
      <c r="AM284" s="40" t="s">
        <v>45</v>
      </c>
      <c r="AN284" s="40" t="s">
        <v>45</v>
      </c>
      <c r="AO284" s="41" t="s">
        <v>45</v>
      </c>
      <c r="AP284" s="40" t="s">
        <v>67</v>
      </c>
      <c r="AQ284" s="40">
        <v>6</v>
      </c>
      <c r="AR284" s="48" t="s">
        <v>14</v>
      </c>
      <c r="AS284" s="43" t="s">
        <v>644</v>
      </c>
      <c r="AT284" s="43" t="s">
        <v>47</v>
      </c>
      <c r="AU284" s="44">
        <f t="shared" si="32"/>
        <v>-2.7014842379675978</v>
      </c>
      <c r="AV284" s="44">
        <f t="shared" si="33"/>
        <v>-1.3819657061039585</v>
      </c>
      <c r="AW284" s="45">
        <f t="shared" si="34"/>
        <v>3</v>
      </c>
      <c r="AX284" s="45">
        <f t="shared" si="35"/>
        <v>0</v>
      </c>
      <c r="AY284" s="46">
        <f>VLOOKUP(AP284,COND!$A$10:$B$32,2,FALSE)</f>
        <v>0.9</v>
      </c>
      <c r="AZ284" s="44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28.588641374112214</v>
      </c>
      <c r="BA284" s="47">
        <f>STANDARDIZE(AZ284,AVERAGE($AZ$5:$AZ$557),STDEVP($AZ$5:$AZ$557))</f>
        <v>-0.48445265950881394</v>
      </c>
      <c r="BB284" s="45" t="str">
        <f t="shared" si="36"/>
        <v>SP</v>
      </c>
      <c r="BC284" s="45">
        <f>RANK(Table3[[#This Row],[zScore]],Table3[zScore])</f>
        <v>514</v>
      </c>
      <c r="BD284" s="45"/>
      <c r="BE284" s="45"/>
      <c r="BF284" s="45" t="str">
        <f t="shared" si="37"/>
        <v>Unlikely</v>
      </c>
      <c r="BG284" s="45"/>
      <c r="BH284" s="45" t="str">
        <f>INDEX(Table5[[#All],[Ovr]],MATCH(Table3[[#This Row],[PID]],Table5[[#All],[PID]],0))</f>
        <v/>
      </c>
      <c r="BI284" s="45" t="str">
        <f>INDEX(Table5[[#All],[Rnd]],MATCH(Table3[[#This Row],[PID]],Table5[[#All],[PID]],0))</f>
        <v/>
      </c>
      <c r="BJ284" s="45" t="str">
        <f>INDEX(Table5[[#All],[Pick]],MATCH(Table3[[#This Row],[PID]],Table5[[#All],[PID]],0))</f>
        <v/>
      </c>
      <c r="BK284" s="45" t="str">
        <f>INDEX(Table5[[#All],[Team]],MATCH(Table3[[#This Row],[PID]],Table5[[#All],[PID]],0))</f>
        <v/>
      </c>
      <c r="BL2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5" spans="1:64" ht="15" customHeight="1" x14ac:dyDescent="0.25">
      <c r="A285" s="40">
        <v>20510</v>
      </c>
      <c r="B285" s="40" t="s">
        <v>415</v>
      </c>
      <c r="C285" s="40" t="s">
        <v>2076</v>
      </c>
      <c r="D285" s="40" t="s">
        <v>2077</v>
      </c>
      <c r="E285" s="40">
        <v>17</v>
      </c>
      <c r="F285" s="40" t="s">
        <v>53</v>
      </c>
      <c r="G285" s="40" t="s">
        <v>53</v>
      </c>
      <c r="H285" s="41" t="s">
        <v>647</v>
      </c>
      <c r="I285" s="42" t="s">
        <v>43</v>
      </c>
      <c r="J285" s="40" t="s">
        <v>44</v>
      </c>
      <c r="K285" s="41" t="s">
        <v>43</v>
      </c>
      <c r="L285" s="40">
        <v>1</v>
      </c>
      <c r="M285" s="40">
        <v>2</v>
      </c>
      <c r="N285" s="41">
        <v>1</v>
      </c>
      <c r="O285" s="40">
        <v>3</v>
      </c>
      <c r="P285" s="40">
        <v>2</v>
      </c>
      <c r="Q285" s="41">
        <v>4</v>
      </c>
      <c r="R285" s="40">
        <v>2</v>
      </c>
      <c r="S285" s="40">
        <v>5</v>
      </c>
      <c r="T285" s="40" t="s">
        <v>45</v>
      </c>
      <c r="U285" s="40" t="s">
        <v>45</v>
      </c>
      <c r="V285" s="40">
        <v>2</v>
      </c>
      <c r="W285" s="40">
        <v>5</v>
      </c>
      <c r="X285" s="40" t="s">
        <v>45</v>
      </c>
      <c r="Y285" s="40" t="s">
        <v>45</v>
      </c>
      <c r="Z285" s="40" t="s">
        <v>45</v>
      </c>
      <c r="AA285" s="40" t="s">
        <v>45</v>
      </c>
      <c r="AB285" s="40" t="s">
        <v>45</v>
      </c>
      <c r="AC285" s="40" t="s">
        <v>45</v>
      </c>
      <c r="AD285" s="40" t="s">
        <v>45</v>
      </c>
      <c r="AE285" s="40" t="s">
        <v>45</v>
      </c>
      <c r="AF285" s="40" t="s">
        <v>45</v>
      </c>
      <c r="AG285" s="40" t="s">
        <v>45</v>
      </c>
      <c r="AH285" s="40" t="s">
        <v>45</v>
      </c>
      <c r="AI285" s="40" t="s">
        <v>45</v>
      </c>
      <c r="AJ285" s="40" t="s">
        <v>45</v>
      </c>
      <c r="AK285" s="40" t="s">
        <v>45</v>
      </c>
      <c r="AL285" s="40" t="s">
        <v>45</v>
      </c>
      <c r="AM285" s="40" t="s">
        <v>45</v>
      </c>
      <c r="AN285" s="40" t="s">
        <v>45</v>
      </c>
      <c r="AO285" s="41" t="s">
        <v>45</v>
      </c>
      <c r="AP285" s="40" t="s">
        <v>67</v>
      </c>
      <c r="AQ285" s="40">
        <v>5</v>
      </c>
      <c r="AR285" s="48" t="s">
        <v>347</v>
      </c>
      <c r="AS285" s="43" t="s">
        <v>644</v>
      </c>
      <c r="AT285" s="43" t="s">
        <v>635</v>
      </c>
      <c r="AU285" s="44">
        <f t="shared" si="32"/>
        <v>-2.5060525215375429</v>
      </c>
      <c r="AV285" s="44">
        <f t="shared" si="33"/>
        <v>-0.94421342361979277</v>
      </c>
      <c r="AW285" s="45">
        <f t="shared" si="34"/>
        <v>2</v>
      </c>
      <c r="AX285" s="45">
        <f t="shared" si="35"/>
        <v>0</v>
      </c>
      <c r="AY285" s="46">
        <f>VLOOKUP(AP285,COND!$A$10:$B$32,2,FALSE)</f>
        <v>0.9</v>
      </c>
      <c r="AZ285" s="44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28.566742197942794</v>
      </c>
      <c r="BA285" s="47">
        <f>STANDARDIZE(AZ285,AVERAGE($AZ$5:$AZ$557),STDEVP($AZ$5:$AZ$557))</f>
        <v>-0.48590957823504066</v>
      </c>
      <c r="BB285" s="45" t="str">
        <f t="shared" si="36"/>
        <v>RP</v>
      </c>
      <c r="BC285" s="45">
        <f>RANK(Table3[[#This Row],[zScore]],Table3[zScore])</f>
        <v>515</v>
      </c>
      <c r="BD285" s="45"/>
      <c r="BE285" s="45"/>
      <c r="BF285" s="45" t="str">
        <f t="shared" si="37"/>
        <v>Unlikely</v>
      </c>
      <c r="BG285" s="45"/>
      <c r="BH285" s="45" t="str">
        <f>INDEX(Table5[[#All],[Ovr]],MATCH(Table3[[#This Row],[PID]],Table5[[#All],[PID]],0))</f>
        <v/>
      </c>
      <c r="BI285" s="45" t="str">
        <f>INDEX(Table5[[#All],[Rnd]],MATCH(Table3[[#This Row],[PID]],Table5[[#All],[PID]],0))</f>
        <v/>
      </c>
      <c r="BJ285" s="45" t="str">
        <f>INDEX(Table5[[#All],[Pick]],MATCH(Table3[[#This Row],[PID]],Table5[[#All],[PID]],0))</f>
        <v/>
      </c>
      <c r="BK285" s="45" t="str">
        <f>INDEX(Table5[[#All],[Team]],MATCH(Table3[[#This Row],[PID]],Table5[[#All],[PID]],0))</f>
        <v/>
      </c>
      <c r="BL2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6" spans="1:64" ht="15" customHeight="1" x14ac:dyDescent="0.25">
      <c r="A286" s="40">
        <v>17983</v>
      </c>
      <c r="B286" s="40" t="s">
        <v>415</v>
      </c>
      <c r="C286" s="40" t="s">
        <v>182</v>
      </c>
      <c r="D286" s="40" t="s">
        <v>957</v>
      </c>
      <c r="E286" s="40">
        <v>21</v>
      </c>
      <c r="F286" s="40" t="s">
        <v>42</v>
      </c>
      <c r="G286" s="40" t="s">
        <v>42</v>
      </c>
      <c r="H286" s="41" t="s">
        <v>647</v>
      </c>
      <c r="I286" s="42" t="s">
        <v>44</v>
      </c>
      <c r="J286" s="40" t="s">
        <v>44</v>
      </c>
      <c r="K286" s="41" t="s">
        <v>47</v>
      </c>
      <c r="L286" s="40">
        <v>3</v>
      </c>
      <c r="M286" s="40">
        <v>2</v>
      </c>
      <c r="N286" s="41">
        <v>2</v>
      </c>
      <c r="O286" s="40">
        <v>5</v>
      </c>
      <c r="P286" s="40">
        <v>2</v>
      </c>
      <c r="Q286" s="41">
        <v>2</v>
      </c>
      <c r="R286" s="40">
        <v>5</v>
      </c>
      <c r="S286" s="40">
        <v>7</v>
      </c>
      <c r="T286" s="40">
        <v>1</v>
      </c>
      <c r="U286" s="40">
        <v>1</v>
      </c>
      <c r="V286" s="40">
        <v>3</v>
      </c>
      <c r="W286" s="40">
        <v>7</v>
      </c>
      <c r="X286" s="40" t="s">
        <v>45</v>
      </c>
      <c r="Y286" s="40" t="s">
        <v>45</v>
      </c>
      <c r="Z286" s="40" t="s">
        <v>45</v>
      </c>
      <c r="AA286" s="40" t="s">
        <v>45</v>
      </c>
      <c r="AB286" s="40" t="s">
        <v>45</v>
      </c>
      <c r="AC286" s="40" t="s">
        <v>45</v>
      </c>
      <c r="AD286" s="40" t="s">
        <v>45</v>
      </c>
      <c r="AE286" s="40" t="s">
        <v>45</v>
      </c>
      <c r="AF286" s="40" t="s">
        <v>45</v>
      </c>
      <c r="AG286" s="40" t="s">
        <v>45</v>
      </c>
      <c r="AH286" s="40" t="s">
        <v>45</v>
      </c>
      <c r="AI286" s="40" t="s">
        <v>45</v>
      </c>
      <c r="AJ286" s="40" t="s">
        <v>45</v>
      </c>
      <c r="AK286" s="40" t="s">
        <v>45</v>
      </c>
      <c r="AL286" s="40" t="s">
        <v>45</v>
      </c>
      <c r="AM286" s="40" t="s">
        <v>45</v>
      </c>
      <c r="AN286" s="40" t="s">
        <v>45</v>
      </c>
      <c r="AO286" s="41" t="s">
        <v>45</v>
      </c>
      <c r="AP286" s="40" t="s">
        <v>58</v>
      </c>
      <c r="AQ286" s="40">
        <v>4</v>
      </c>
      <c r="AR286" s="48" t="s">
        <v>347</v>
      </c>
      <c r="AS286" s="43" t="s">
        <v>45</v>
      </c>
      <c r="AT286" s="43" t="s">
        <v>635</v>
      </c>
      <c r="AU286" s="44">
        <f t="shared" si="32"/>
        <v>-1.8743493064650851</v>
      </c>
      <c r="AV286" s="44">
        <f t="shared" si="33"/>
        <v>-1.0394719067096667</v>
      </c>
      <c r="AW286" s="45">
        <f t="shared" si="34"/>
        <v>3</v>
      </c>
      <c r="AX286" s="45">
        <f t="shared" si="35"/>
        <v>2</v>
      </c>
      <c r="AY286" s="46">
        <f>VLOOKUP(AP286,COND!$A$10:$B$32,2,FALSE)</f>
        <v>1</v>
      </c>
      <c r="AZ286" s="44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28.543907404287971</v>
      </c>
      <c r="BA286" s="47">
        <f>STANDARDIZE(AZ286,AVERAGE($AZ$5:$AZ$557),STDEVP($AZ$5:$AZ$557))</f>
        <v>-0.48742874216284598</v>
      </c>
      <c r="BB286" s="45" t="str">
        <f t="shared" si="36"/>
        <v>RP</v>
      </c>
      <c r="BC286" s="45">
        <f>RANK(Table3[[#This Row],[zScore]],Table3[zScore])</f>
        <v>516</v>
      </c>
      <c r="BD286" s="45"/>
      <c r="BE286" s="45"/>
      <c r="BF286" s="45" t="str">
        <f t="shared" si="37"/>
        <v>Unlikely</v>
      </c>
      <c r="BG286" s="45"/>
      <c r="BH286" s="45" t="str">
        <f>INDEX(Table5[[#All],[Ovr]],MATCH(Table3[[#This Row],[PID]],Table5[[#All],[PID]],0))</f>
        <v/>
      </c>
      <c r="BI286" s="45" t="str">
        <f>INDEX(Table5[[#All],[Rnd]],MATCH(Table3[[#This Row],[PID]],Table5[[#All],[PID]],0))</f>
        <v/>
      </c>
      <c r="BJ286" s="45" t="str">
        <f>INDEX(Table5[[#All],[Pick]],MATCH(Table3[[#This Row],[PID]],Table5[[#All],[PID]],0))</f>
        <v/>
      </c>
      <c r="BK286" s="45" t="str">
        <f>INDEX(Table5[[#All],[Team]],MATCH(Table3[[#This Row],[PID]],Table5[[#All],[PID]],0))</f>
        <v/>
      </c>
      <c r="BL2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7" spans="1:64" ht="15" customHeight="1" x14ac:dyDescent="0.25">
      <c r="A287" s="40">
        <v>20356</v>
      </c>
      <c r="B287" s="40" t="s">
        <v>415</v>
      </c>
      <c r="C287" s="40" t="s">
        <v>182</v>
      </c>
      <c r="D287" s="40" t="s">
        <v>189</v>
      </c>
      <c r="E287" s="40">
        <v>16</v>
      </c>
      <c r="F287" s="40" t="s">
        <v>53</v>
      </c>
      <c r="G287" s="40" t="s">
        <v>42</v>
      </c>
      <c r="H287" s="41" t="s">
        <v>647</v>
      </c>
      <c r="I287" s="42" t="s">
        <v>44</v>
      </c>
      <c r="J287" s="40" t="s">
        <v>44</v>
      </c>
      <c r="K287" s="41" t="s">
        <v>43</v>
      </c>
      <c r="L287" s="40">
        <v>2</v>
      </c>
      <c r="M287" s="40">
        <v>2</v>
      </c>
      <c r="N287" s="41">
        <v>1</v>
      </c>
      <c r="O287" s="40">
        <v>5</v>
      </c>
      <c r="P287" s="40">
        <v>2</v>
      </c>
      <c r="Q287" s="41">
        <v>2</v>
      </c>
      <c r="R287" s="40">
        <v>4</v>
      </c>
      <c r="S287" s="40">
        <v>6</v>
      </c>
      <c r="T287" s="40" t="s">
        <v>45</v>
      </c>
      <c r="U287" s="40" t="s">
        <v>45</v>
      </c>
      <c r="V287" s="40" t="s">
        <v>45</v>
      </c>
      <c r="W287" s="40" t="s">
        <v>45</v>
      </c>
      <c r="X287" s="40">
        <v>3</v>
      </c>
      <c r="Y287" s="40">
        <v>6</v>
      </c>
      <c r="Z287" s="40" t="s">
        <v>45</v>
      </c>
      <c r="AA287" s="40" t="s">
        <v>45</v>
      </c>
      <c r="AB287" s="40" t="s">
        <v>45</v>
      </c>
      <c r="AC287" s="40" t="s">
        <v>45</v>
      </c>
      <c r="AD287" s="40" t="s">
        <v>45</v>
      </c>
      <c r="AE287" s="40" t="s">
        <v>45</v>
      </c>
      <c r="AF287" s="40" t="s">
        <v>45</v>
      </c>
      <c r="AG287" s="40" t="s">
        <v>45</v>
      </c>
      <c r="AH287" s="40" t="s">
        <v>45</v>
      </c>
      <c r="AI287" s="40" t="s">
        <v>45</v>
      </c>
      <c r="AJ287" s="40" t="s">
        <v>45</v>
      </c>
      <c r="AK287" s="40" t="s">
        <v>45</v>
      </c>
      <c r="AL287" s="40" t="s">
        <v>45</v>
      </c>
      <c r="AM287" s="40" t="s">
        <v>45</v>
      </c>
      <c r="AN287" s="40" t="s">
        <v>45</v>
      </c>
      <c r="AO287" s="41" t="s">
        <v>45</v>
      </c>
      <c r="AP287" s="40" t="s">
        <v>68</v>
      </c>
      <c r="AQ287" s="40">
        <v>4</v>
      </c>
      <c r="AR287" s="48" t="s">
        <v>347</v>
      </c>
      <c r="AS287" s="43" t="s">
        <v>659</v>
      </c>
      <c r="AT287" s="43" t="s">
        <v>635</v>
      </c>
      <c r="AU287" s="44">
        <f t="shared" si="32"/>
        <v>-2.311361197028369</v>
      </c>
      <c r="AV287" s="44">
        <f t="shared" si="33"/>
        <v>-1.0394719067096667</v>
      </c>
      <c r="AW287" s="45">
        <f t="shared" si="34"/>
        <v>2</v>
      </c>
      <c r="AX287" s="45">
        <f t="shared" si="35"/>
        <v>2</v>
      </c>
      <c r="AY287" s="46">
        <f>VLOOKUP(AP287,COND!$A$10:$B$32,2,FALSE)</f>
        <v>0.95</v>
      </c>
      <c r="AZ287" s="44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28.529081387826899</v>
      </c>
      <c r="BA287" s="47">
        <f>STANDARDIZE(AZ287,AVERAGE($AZ$5:$AZ$557),STDEVP($AZ$5:$AZ$557))</f>
        <v>-0.48841509438223424</v>
      </c>
      <c r="BB287" s="45" t="str">
        <f t="shared" si="36"/>
        <v>RP</v>
      </c>
      <c r="BC287" s="45">
        <f>RANK(Table3[[#This Row],[zScore]],Table3[zScore])</f>
        <v>517</v>
      </c>
      <c r="BD287" s="45"/>
      <c r="BE287" s="45"/>
      <c r="BF287" s="45" t="str">
        <f t="shared" si="37"/>
        <v>Unlikely</v>
      </c>
      <c r="BG287" s="45"/>
      <c r="BH287" s="45" t="str">
        <f>INDEX(Table5[[#All],[Ovr]],MATCH(Table3[[#This Row],[PID]],Table5[[#All],[PID]],0))</f>
        <v/>
      </c>
      <c r="BI287" s="45" t="str">
        <f>INDEX(Table5[[#All],[Rnd]],MATCH(Table3[[#This Row],[PID]],Table5[[#All],[PID]],0))</f>
        <v/>
      </c>
      <c r="BJ287" s="45" t="str">
        <f>INDEX(Table5[[#All],[Pick]],MATCH(Table3[[#This Row],[PID]],Table5[[#All],[PID]],0))</f>
        <v/>
      </c>
      <c r="BK287" s="45" t="str">
        <f>INDEX(Table5[[#All],[Team]],MATCH(Table3[[#This Row],[PID]],Table5[[#All],[PID]],0))</f>
        <v/>
      </c>
      <c r="BL2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8" spans="1:64" ht="15" customHeight="1" x14ac:dyDescent="0.25">
      <c r="A288" s="40">
        <v>20380</v>
      </c>
      <c r="B288" s="40" t="s">
        <v>415</v>
      </c>
      <c r="C288" s="40" t="s">
        <v>2120</v>
      </c>
      <c r="D288" s="40" t="s">
        <v>2121</v>
      </c>
      <c r="E288" s="40">
        <v>16</v>
      </c>
      <c r="F288" s="40" t="s">
        <v>42</v>
      </c>
      <c r="G288" s="40" t="s">
        <v>42</v>
      </c>
      <c r="H288" s="41" t="s">
        <v>647</v>
      </c>
      <c r="I288" s="42" t="s">
        <v>43</v>
      </c>
      <c r="J288" s="40" t="s">
        <v>43</v>
      </c>
      <c r="K288" s="41" t="s">
        <v>43</v>
      </c>
      <c r="L288" s="40">
        <v>1</v>
      </c>
      <c r="M288" s="40">
        <v>1</v>
      </c>
      <c r="N288" s="41">
        <v>1</v>
      </c>
      <c r="O288" s="40">
        <v>4</v>
      </c>
      <c r="P288" s="40">
        <v>1</v>
      </c>
      <c r="Q288" s="41">
        <v>3</v>
      </c>
      <c r="R288" s="40">
        <v>2</v>
      </c>
      <c r="S288" s="40">
        <v>4</v>
      </c>
      <c r="T288" s="40" t="s">
        <v>45</v>
      </c>
      <c r="U288" s="40" t="s">
        <v>45</v>
      </c>
      <c r="V288" s="40">
        <v>2</v>
      </c>
      <c r="W288" s="40">
        <v>6</v>
      </c>
      <c r="X288" s="40">
        <v>2</v>
      </c>
      <c r="Y288" s="40">
        <v>5</v>
      </c>
      <c r="Z288" s="40" t="s">
        <v>45</v>
      </c>
      <c r="AA288" s="40" t="s">
        <v>45</v>
      </c>
      <c r="AB288" s="40" t="s">
        <v>45</v>
      </c>
      <c r="AC288" s="40" t="s">
        <v>45</v>
      </c>
      <c r="AD288" s="40" t="s">
        <v>45</v>
      </c>
      <c r="AE288" s="40" t="s">
        <v>45</v>
      </c>
      <c r="AF288" s="40" t="s">
        <v>45</v>
      </c>
      <c r="AG288" s="40" t="s">
        <v>45</v>
      </c>
      <c r="AH288" s="40" t="s">
        <v>45</v>
      </c>
      <c r="AI288" s="40" t="s">
        <v>45</v>
      </c>
      <c r="AJ288" s="40" t="s">
        <v>45</v>
      </c>
      <c r="AK288" s="40" t="s">
        <v>45</v>
      </c>
      <c r="AL288" s="40" t="s">
        <v>45</v>
      </c>
      <c r="AM288" s="40" t="s">
        <v>45</v>
      </c>
      <c r="AN288" s="40" t="s">
        <v>45</v>
      </c>
      <c r="AO288" s="41" t="s">
        <v>45</v>
      </c>
      <c r="AP288" s="40" t="s">
        <v>65</v>
      </c>
      <c r="AQ288" s="40">
        <v>3</v>
      </c>
      <c r="AR288" s="48" t="s">
        <v>14</v>
      </c>
      <c r="AS288" s="43" t="s">
        <v>670</v>
      </c>
      <c r="AT288" s="43" t="s">
        <v>47</v>
      </c>
      <c r="AU288" s="44">
        <f t="shared" si="32"/>
        <v>-2.7014842379675978</v>
      </c>
      <c r="AV288" s="44">
        <f t="shared" si="33"/>
        <v>-1.1872743815947853</v>
      </c>
      <c r="AW288" s="45">
        <f t="shared" si="34"/>
        <v>3</v>
      </c>
      <c r="AX288" s="45">
        <f t="shared" si="35"/>
        <v>1</v>
      </c>
      <c r="AY288" s="46">
        <f>VLOOKUP(AP288,COND!$A$10:$B$32,2,FALSE)</f>
        <v>0.95</v>
      </c>
      <c r="AZ288" s="44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30.563954507260974</v>
      </c>
      <c r="BA288" s="47">
        <f>STANDARDIZE(AZ288,AVERAGE($AZ$5:$AZ$663),STDEVP($AZ$5:$AZ$663))</f>
        <v>-0.49592566157079182</v>
      </c>
      <c r="BB288" s="45" t="str">
        <f t="shared" si="36"/>
        <v>RP</v>
      </c>
      <c r="BC288" s="45">
        <f>RANK(Table3[[#This Row],[zScore]],Table3[zScore])</f>
        <v>521</v>
      </c>
      <c r="BD288" s="45"/>
      <c r="BE288" s="45"/>
      <c r="BF288" s="45" t="str">
        <f t="shared" si="37"/>
        <v>Unlikely</v>
      </c>
      <c r="BG288" s="45"/>
      <c r="BH288" s="45" t="str">
        <f>INDEX(Table5[[#All],[Ovr]],MATCH(Table3[[#This Row],[PID]],Table5[[#All],[PID]],0))</f>
        <v/>
      </c>
      <c r="BI288" s="45" t="str">
        <f>INDEX(Table5[[#All],[Rnd]],MATCH(Table3[[#This Row],[PID]],Table5[[#All],[PID]],0))</f>
        <v/>
      </c>
      <c r="BJ288" s="45" t="str">
        <f>INDEX(Table5[[#All],[Pick]],MATCH(Table3[[#This Row],[PID]],Table5[[#All],[PID]],0))</f>
        <v/>
      </c>
      <c r="BK288" s="45" t="str">
        <f>INDEX(Table5[[#All],[Team]],MATCH(Table3[[#This Row],[PID]],Table5[[#All],[PID]],0))</f>
        <v/>
      </c>
      <c r="BL2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89" spans="1:64" ht="15" customHeight="1" x14ac:dyDescent="0.25">
      <c r="A289" s="40">
        <v>20241</v>
      </c>
      <c r="B289" s="40" t="s">
        <v>415</v>
      </c>
      <c r="C289" s="40" t="s">
        <v>1988</v>
      </c>
      <c r="D289" s="40" t="s">
        <v>1989</v>
      </c>
      <c r="E289" s="40">
        <v>21</v>
      </c>
      <c r="F289" s="40" t="s">
        <v>42</v>
      </c>
      <c r="G289" s="40" t="s">
        <v>42</v>
      </c>
      <c r="H289" s="41" t="s">
        <v>647</v>
      </c>
      <c r="I289" s="42" t="s">
        <v>43</v>
      </c>
      <c r="J289" s="40" t="s">
        <v>44</v>
      </c>
      <c r="K289" s="41" t="s">
        <v>43</v>
      </c>
      <c r="L289" s="40">
        <v>3</v>
      </c>
      <c r="M289" s="40">
        <v>2</v>
      </c>
      <c r="N289" s="41">
        <v>2</v>
      </c>
      <c r="O289" s="40">
        <v>4</v>
      </c>
      <c r="P289" s="40">
        <v>2</v>
      </c>
      <c r="Q289" s="41">
        <v>3</v>
      </c>
      <c r="R289" s="40" t="s">
        <v>45</v>
      </c>
      <c r="S289" s="40" t="s">
        <v>45</v>
      </c>
      <c r="T289" s="40">
        <v>1</v>
      </c>
      <c r="U289" s="40">
        <v>1</v>
      </c>
      <c r="V289" s="40" t="s">
        <v>45</v>
      </c>
      <c r="W289" s="40" t="s">
        <v>45</v>
      </c>
      <c r="X289" s="40">
        <v>3</v>
      </c>
      <c r="Y289" s="40">
        <v>5</v>
      </c>
      <c r="Z289" s="40" t="s">
        <v>45</v>
      </c>
      <c r="AA289" s="40" t="s">
        <v>45</v>
      </c>
      <c r="AB289" s="40" t="s">
        <v>45</v>
      </c>
      <c r="AC289" s="40" t="s">
        <v>45</v>
      </c>
      <c r="AD289" s="40">
        <v>4</v>
      </c>
      <c r="AE289" s="40">
        <v>5</v>
      </c>
      <c r="AF289" s="40">
        <v>4</v>
      </c>
      <c r="AG289" s="40">
        <v>5</v>
      </c>
      <c r="AH289" s="40" t="s">
        <v>45</v>
      </c>
      <c r="AI289" s="40" t="s">
        <v>45</v>
      </c>
      <c r="AJ289" s="40" t="s">
        <v>45</v>
      </c>
      <c r="AK289" s="40" t="s">
        <v>45</v>
      </c>
      <c r="AL289" s="40" t="s">
        <v>45</v>
      </c>
      <c r="AM289" s="40" t="s">
        <v>45</v>
      </c>
      <c r="AN289" s="40" t="s">
        <v>45</v>
      </c>
      <c r="AO289" s="41" t="s">
        <v>45</v>
      </c>
      <c r="AP289" s="40" t="s">
        <v>57</v>
      </c>
      <c r="AQ289" s="40">
        <v>10</v>
      </c>
      <c r="AR289" s="48" t="s">
        <v>347</v>
      </c>
      <c r="AS289" s="43" t="s">
        <v>643</v>
      </c>
      <c r="AT289" s="43" t="s">
        <v>635</v>
      </c>
      <c r="AU289" s="44">
        <f t="shared" si="32"/>
        <v>-1.8743493064650851</v>
      </c>
      <c r="AV289" s="44">
        <f t="shared" si="33"/>
        <v>-0.99184266516472974</v>
      </c>
      <c r="AW289" s="45">
        <f t="shared" si="34"/>
        <v>4</v>
      </c>
      <c r="AX289" s="45">
        <f t="shared" si="35"/>
        <v>0</v>
      </c>
      <c r="AY289" s="46">
        <f>VLOOKUP(AP289,COND!$A$10:$B$32,2,FALSE)</f>
        <v>1</v>
      </c>
      <c r="AZ289" s="44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28.488276835412385</v>
      </c>
      <c r="BA289" s="47">
        <f>STANDARDIZE(AZ289,AVERAGE($AZ$5:$AZ$557),STDEVP($AZ$5:$AZ$557))</f>
        <v>-0.49112975890057448</v>
      </c>
      <c r="BB289" s="45" t="str">
        <f t="shared" si="36"/>
        <v>SP</v>
      </c>
      <c r="BC289" s="45">
        <f>RANK(Table3[[#This Row],[zScore]],Table3[zScore])</f>
        <v>519</v>
      </c>
      <c r="BD289" s="45"/>
      <c r="BE289" s="45"/>
      <c r="BF289" s="45" t="str">
        <f t="shared" si="37"/>
        <v>Unlikely</v>
      </c>
      <c r="BG289" s="45"/>
      <c r="BH289" s="45" t="str">
        <f>INDEX(Table5[[#All],[Ovr]],MATCH(Table3[[#This Row],[PID]],Table5[[#All],[PID]],0))</f>
        <v/>
      </c>
      <c r="BI289" s="45" t="str">
        <f>INDEX(Table5[[#All],[Rnd]],MATCH(Table3[[#This Row],[PID]],Table5[[#All],[PID]],0))</f>
        <v/>
      </c>
      <c r="BJ289" s="45" t="str">
        <f>INDEX(Table5[[#All],[Pick]],MATCH(Table3[[#This Row],[PID]],Table5[[#All],[PID]],0))</f>
        <v/>
      </c>
      <c r="BK289" s="45" t="str">
        <f>INDEX(Table5[[#All],[Team]],MATCH(Table3[[#This Row],[PID]],Table5[[#All],[PID]],0))</f>
        <v/>
      </c>
      <c r="BL2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0" spans="1:64" ht="15" customHeight="1" x14ac:dyDescent="0.25">
      <c r="A290" s="40">
        <v>10101</v>
      </c>
      <c r="B290" s="40" t="s">
        <v>415</v>
      </c>
      <c r="C290" s="40" t="s">
        <v>290</v>
      </c>
      <c r="D290" s="40" t="s">
        <v>1085</v>
      </c>
      <c r="E290" s="40">
        <v>22</v>
      </c>
      <c r="F290" s="40" t="s">
        <v>42</v>
      </c>
      <c r="G290" s="40" t="s">
        <v>42</v>
      </c>
      <c r="H290" s="41" t="s">
        <v>647</v>
      </c>
      <c r="I290" s="42" t="s">
        <v>43</v>
      </c>
      <c r="J290" s="40" t="s">
        <v>44</v>
      </c>
      <c r="K290" s="41" t="s">
        <v>43</v>
      </c>
      <c r="L290" s="40">
        <v>3</v>
      </c>
      <c r="M290" s="40">
        <v>1</v>
      </c>
      <c r="N290" s="41">
        <v>2</v>
      </c>
      <c r="O290" s="40">
        <v>4</v>
      </c>
      <c r="P290" s="40">
        <v>2</v>
      </c>
      <c r="Q290" s="41">
        <v>3</v>
      </c>
      <c r="R290" s="40">
        <v>4</v>
      </c>
      <c r="S290" s="40">
        <v>5</v>
      </c>
      <c r="T290" s="40">
        <v>1</v>
      </c>
      <c r="U290" s="40">
        <v>3</v>
      </c>
      <c r="V290" s="40" t="s">
        <v>45</v>
      </c>
      <c r="W290" s="40" t="s">
        <v>45</v>
      </c>
      <c r="X290" s="40" t="s">
        <v>45</v>
      </c>
      <c r="Y290" s="40" t="s">
        <v>45</v>
      </c>
      <c r="Z290" s="40" t="s">
        <v>45</v>
      </c>
      <c r="AA290" s="40" t="s">
        <v>45</v>
      </c>
      <c r="AB290" s="40" t="s">
        <v>45</v>
      </c>
      <c r="AC290" s="40" t="s">
        <v>45</v>
      </c>
      <c r="AD290" s="40">
        <v>3</v>
      </c>
      <c r="AE290" s="40">
        <v>5</v>
      </c>
      <c r="AF290" s="40" t="s">
        <v>45</v>
      </c>
      <c r="AG290" s="40" t="s">
        <v>45</v>
      </c>
      <c r="AH290" s="40" t="s">
        <v>45</v>
      </c>
      <c r="AI290" s="40" t="s">
        <v>45</v>
      </c>
      <c r="AJ290" s="40" t="s">
        <v>45</v>
      </c>
      <c r="AK290" s="40" t="s">
        <v>45</v>
      </c>
      <c r="AL290" s="40" t="s">
        <v>45</v>
      </c>
      <c r="AM290" s="40" t="s">
        <v>45</v>
      </c>
      <c r="AN290" s="40" t="s">
        <v>45</v>
      </c>
      <c r="AO290" s="41" t="s">
        <v>45</v>
      </c>
      <c r="AP290" s="40" t="s">
        <v>57</v>
      </c>
      <c r="AQ290" s="40">
        <v>6</v>
      </c>
      <c r="AR290" s="48" t="s">
        <v>14</v>
      </c>
      <c r="AS290" s="43" t="s">
        <v>45</v>
      </c>
      <c r="AT290" s="43" t="s">
        <v>47</v>
      </c>
      <c r="AU290" s="44">
        <f t="shared" si="32"/>
        <v>-2.0697810228951408</v>
      </c>
      <c r="AV290" s="44">
        <f t="shared" si="33"/>
        <v>-0.99184266516472974</v>
      </c>
      <c r="AW290" s="45">
        <f t="shared" si="34"/>
        <v>3</v>
      </c>
      <c r="AX290" s="45">
        <f t="shared" si="35"/>
        <v>0</v>
      </c>
      <c r="AY290" s="46">
        <f>VLOOKUP(AP290,COND!$A$10:$B$32,2,FALSE)</f>
        <v>1</v>
      </c>
      <c r="AZ290" s="44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28.417960729823214</v>
      </c>
      <c r="BA290" s="47">
        <f>STANDARDIZE(AZ290,AVERAGE($AZ$5:$AZ$557),STDEVP($AZ$5:$AZ$557))</f>
        <v>-0.49580778195475939</v>
      </c>
      <c r="BB290" s="45" t="str">
        <f t="shared" si="36"/>
        <v>SP</v>
      </c>
      <c r="BC290" s="45">
        <f>RANK(Table3[[#This Row],[zScore]],Table3[zScore])</f>
        <v>520</v>
      </c>
      <c r="BD290" s="45"/>
      <c r="BE290" s="45"/>
      <c r="BF290" s="45" t="str">
        <f t="shared" si="37"/>
        <v>Unlikely</v>
      </c>
      <c r="BG290" s="45"/>
      <c r="BH290" s="45" t="str">
        <f>INDEX(Table5[[#All],[Ovr]],MATCH(Table3[[#This Row],[PID]],Table5[[#All],[PID]],0))</f>
        <v/>
      </c>
      <c r="BI290" s="45" t="str">
        <f>INDEX(Table5[[#All],[Rnd]],MATCH(Table3[[#This Row],[PID]],Table5[[#All],[PID]],0))</f>
        <v/>
      </c>
      <c r="BJ290" s="45" t="str">
        <f>INDEX(Table5[[#All],[Pick]],MATCH(Table3[[#This Row],[PID]],Table5[[#All],[PID]],0))</f>
        <v/>
      </c>
      <c r="BK290" s="45" t="str">
        <f>INDEX(Table5[[#All],[Team]],MATCH(Table3[[#This Row],[PID]],Table5[[#All],[PID]],0))</f>
        <v/>
      </c>
      <c r="BL290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1" spans="1:64" ht="15" customHeight="1" x14ac:dyDescent="0.25">
      <c r="A291" s="40">
        <v>18009</v>
      </c>
      <c r="B291" s="40" t="s">
        <v>415</v>
      </c>
      <c r="C291" s="40" t="s">
        <v>831</v>
      </c>
      <c r="D291" s="40" t="s">
        <v>131</v>
      </c>
      <c r="E291" s="40">
        <v>21</v>
      </c>
      <c r="F291" s="40" t="s">
        <v>42</v>
      </c>
      <c r="G291" s="40" t="s">
        <v>42</v>
      </c>
      <c r="H291" s="41" t="s">
        <v>647</v>
      </c>
      <c r="I291" s="42" t="s">
        <v>43</v>
      </c>
      <c r="J291" s="40" t="s">
        <v>44</v>
      </c>
      <c r="K291" s="41" t="s">
        <v>47</v>
      </c>
      <c r="L291" s="40">
        <v>2</v>
      </c>
      <c r="M291" s="40">
        <v>1</v>
      </c>
      <c r="N291" s="41">
        <v>2</v>
      </c>
      <c r="O291" s="40">
        <v>5</v>
      </c>
      <c r="P291" s="40">
        <v>1</v>
      </c>
      <c r="Q291" s="41">
        <v>3</v>
      </c>
      <c r="R291" s="40">
        <v>5</v>
      </c>
      <c r="S291" s="40">
        <v>7</v>
      </c>
      <c r="T291" s="40">
        <v>1</v>
      </c>
      <c r="U291" s="40">
        <v>1</v>
      </c>
      <c r="V291" s="40">
        <v>2</v>
      </c>
      <c r="W291" s="40">
        <v>5</v>
      </c>
      <c r="X291" s="40" t="s">
        <v>45</v>
      </c>
      <c r="Y291" s="40" t="s">
        <v>45</v>
      </c>
      <c r="Z291" s="40" t="s">
        <v>45</v>
      </c>
      <c r="AA291" s="40" t="s">
        <v>45</v>
      </c>
      <c r="AB291" s="40" t="s">
        <v>45</v>
      </c>
      <c r="AC291" s="40" t="s">
        <v>45</v>
      </c>
      <c r="AD291" s="40" t="s">
        <v>45</v>
      </c>
      <c r="AE291" s="40" t="s">
        <v>45</v>
      </c>
      <c r="AF291" s="40" t="s">
        <v>45</v>
      </c>
      <c r="AG291" s="40" t="s">
        <v>45</v>
      </c>
      <c r="AH291" s="40" t="s">
        <v>45</v>
      </c>
      <c r="AI291" s="40" t="s">
        <v>45</v>
      </c>
      <c r="AJ291" s="40" t="s">
        <v>45</v>
      </c>
      <c r="AK291" s="40" t="s">
        <v>45</v>
      </c>
      <c r="AL291" s="40" t="s">
        <v>45</v>
      </c>
      <c r="AM291" s="40" t="s">
        <v>45</v>
      </c>
      <c r="AN291" s="40" t="s">
        <v>45</v>
      </c>
      <c r="AO291" s="41" t="s">
        <v>45</v>
      </c>
      <c r="AP291" s="40" t="s">
        <v>58</v>
      </c>
      <c r="AQ291" s="40">
        <v>2</v>
      </c>
      <c r="AR291" s="48" t="s">
        <v>14</v>
      </c>
      <c r="AS291" s="43" t="s">
        <v>45</v>
      </c>
      <c r="AT291" s="43" t="s">
        <v>47</v>
      </c>
      <c r="AU291" s="44">
        <f t="shared" si="32"/>
        <v>-2.2644723474043147</v>
      </c>
      <c r="AV291" s="44">
        <f t="shared" si="33"/>
        <v>-0.99258305708561179</v>
      </c>
      <c r="AW291" s="45">
        <f t="shared" si="34"/>
        <v>3</v>
      </c>
      <c r="AX291" s="45">
        <f t="shared" si="35"/>
        <v>1</v>
      </c>
      <c r="AY291" s="46">
        <f>VLOOKUP(AP291,COND!$A$10:$B$32,2,FALSE)</f>
        <v>1</v>
      </c>
      <c r="AZ291" s="44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28.323172169366558</v>
      </c>
      <c r="BA291" s="47">
        <f>STANDARDIZE(AZ291,AVERAGE($AZ$5:$AZ$557),STDEVP($AZ$5:$AZ$557))</f>
        <v>-0.50211392003470334</v>
      </c>
      <c r="BB291" s="45" t="str">
        <f t="shared" si="36"/>
        <v>RP</v>
      </c>
      <c r="BC291" s="45">
        <f>RANK(Table3[[#This Row],[zScore]],Table3[zScore])</f>
        <v>524</v>
      </c>
      <c r="BD291" s="45"/>
      <c r="BE291" s="45"/>
      <c r="BF291" s="45" t="str">
        <f t="shared" si="37"/>
        <v>Unlikely</v>
      </c>
      <c r="BG291" s="45"/>
      <c r="BH291" s="45" t="str">
        <f>INDEX(Table5[[#All],[Ovr]],MATCH(Table3[[#This Row],[PID]],Table5[[#All],[PID]],0))</f>
        <v/>
      </c>
      <c r="BI291" s="45" t="str">
        <f>INDEX(Table5[[#All],[Rnd]],MATCH(Table3[[#This Row],[PID]],Table5[[#All],[PID]],0))</f>
        <v/>
      </c>
      <c r="BJ291" s="45" t="str">
        <f>INDEX(Table5[[#All],[Pick]],MATCH(Table3[[#This Row],[PID]],Table5[[#All],[PID]],0))</f>
        <v/>
      </c>
      <c r="BK291" s="45" t="str">
        <f>INDEX(Table5[[#All],[Team]],MATCH(Table3[[#This Row],[PID]],Table5[[#All],[PID]],0))</f>
        <v/>
      </c>
      <c r="BL2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2" spans="1:64" ht="15" customHeight="1" x14ac:dyDescent="0.25">
      <c r="A292" s="40">
        <v>20277</v>
      </c>
      <c r="B292" s="40" t="s">
        <v>415</v>
      </c>
      <c r="C292" s="40" t="s">
        <v>1757</v>
      </c>
      <c r="D292" s="40" t="s">
        <v>1206</v>
      </c>
      <c r="E292" s="40">
        <v>21</v>
      </c>
      <c r="F292" s="40" t="s">
        <v>42</v>
      </c>
      <c r="G292" s="40" t="s">
        <v>42</v>
      </c>
      <c r="H292" s="41" t="s">
        <v>647</v>
      </c>
      <c r="I292" s="42" t="s">
        <v>43</v>
      </c>
      <c r="J292" s="40" t="s">
        <v>44</v>
      </c>
      <c r="K292" s="41" t="s">
        <v>43</v>
      </c>
      <c r="L292" s="40">
        <v>3</v>
      </c>
      <c r="M292" s="40">
        <v>2</v>
      </c>
      <c r="N292" s="41">
        <v>2</v>
      </c>
      <c r="O292" s="40">
        <v>4</v>
      </c>
      <c r="P292" s="40">
        <v>3</v>
      </c>
      <c r="Q292" s="41">
        <v>4</v>
      </c>
      <c r="R292" s="40">
        <v>5</v>
      </c>
      <c r="S292" s="40">
        <v>5</v>
      </c>
      <c r="T292" s="40" t="s">
        <v>45</v>
      </c>
      <c r="U292" s="40" t="s">
        <v>45</v>
      </c>
      <c r="V292" s="40" t="s">
        <v>45</v>
      </c>
      <c r="W292" s="40" t="s">
        <v>45</v>
      </c>
      <c r="X292" s="40" t="s">
        <v>45</v>
      </c>
      <c r="Y292" s="40" t="s">
        <v>45</v>
      </c>
      <c r="Z292" s="40" t="s">
        <v>45</v>
      </c>
      <c r="AA292" s="40" t="s">
        <v>45</v>
      </c>
      <c r="AB292" s="40" t="s">
        <v>45</v>
      </c>
      <c r="AC292" s="40" t="s">
        <v>45</v>
      </c>
      <c r="AD292" s="40" t="s">
        <v>45</v>
      </c>
      <c r="AE292" s="40" t="s">
        <v>45</v>
      </c>
      <c r="AF292" s="40" t="s">
        <v>45</v>
      </c>
      <c r="AG292" s="40" t="s">
        <v>45</v>
      </c>
      <c r="AH292" s="40">
        <v>3</v>
      </c>
      <c r="AI292" s="40">
        <v>5</v>
      </c>
      <c r="AJ292" s="40" t="s">
        <v>45</v>
      </c>
      <c r="AK292" s="40" t="s">
        <v>45</v>
      </c>
      <c r="AL292" s="40" t="s">
        <v>45</v>
      </c>
      <c r="AM292" s="40" t="s">
        <v>45</v>
      </c>
      <c r="AN292" s="40" t="s">
        <v>45</v>
      </c>
      <c r="AO292" s="41" t="s">
        <v>45</v>
      </c>
      <c r="AP292" s="40" t="s">
        <v>56</v>
      </c>
      <c r="AQ292" s="40">
        <v>1</v>
      </c>
      <c r="AR292" s="48" t="s">
        <v>347</v>
      </c>
      <c r="AS292" s="43" t="s">
        <v>643</v>
      </c>
      <c r="AT292" s="43"/>
      <c r="AU292" s="44">
        <f t="shared" si="32"/>
        <v>-1.8743493064650851</v>
      </c>
      <c r="AV292" s="44">
        <f t="shared" si="33"/>
        <v>-0.55409038268056388</v>
      </c>
      <c r="AW292" s="45">
        <f t="shared" si="34"/>
        <v>2</v>
      </c>
      <c r="AX292" s="45">
        <f t="shared" si="35"/>
        <v>0</v>
      </c>
      <c r="AY292" s="46">
        <f>VLOOKUP(AP292,COND!$A$10:$B$32,2,FALSE)</f>
        <v>1</v>
      </c>
      <c r="AZ292" s="44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29.766156360840917</v>
      </c>
      <c r="BA292" s="47">
        <f>STANDARDIZE(AZ292,AVERAGE($AZ$5:$AZ$788),STDEVP($AZ$5:$AZ$788))</f>
        <v>-0.50750117551839968</v>
      </c>
      <c r="BB292" s="45" t="str">
        <f t="shared" si="36"/>
        <v>RP</v>
      </c>
      <c r="BC292" s="45">
        <f>RANK(Table3[[#This Row],[zScore]],Table3[zScore])</f>
        <v>527</v>
      </c>
      <c r="BD292" s="45"/>
      <c r="BE292" s="45"/>
      <c r="BF292" s="45" t="str">
        <f t="shared" si="37"/>
        <v>Unlikely</v>
      </c>
      <c r="BG292" s="45"/>
      <c r="BH292" s="64" t="str">
        <f>INDEX(Table5[[#All],[Ovr]],MATCH(Table3[[#This Row],[PID]],Table5[[#All],[PID]],0))</f>
        <v/>
      </c>
      <c r="BI292" s="64" t="str">
        <f>INDEX(Table5[[#All],[Rnd]],MATCH(Table3[[#This Row],[PID]],Table5[[#All],[PID]],0))</f>
        <v/>
      </c>
      <c r="BJ292" s="64" t="str">
        <f>INDEX(Table5[[#All],[Pick]],MATCH(Table3[[#This Row],[PID]],Table5[[#All],[PID]],0))</f>
        <v/>
      </c>
      <c r="BK292" s="64" t="str">
        <f>INDEX(Table5[[#All],[Team]],MATCH(Table3[[#This Row],[PID]],Table5[[#All],[PID]],0))</f>
        <v/>
      </c>
      <c r="BL292" s="64" t="str">
        <f>IF(OR(Table3[[#This Row],[POS]]="SP",Table3[[#This Row],[POS]]="RP",Table3[[#This Row],[POS]]="CL"),"P",INDEX(Batters[[#All],[zScore]],MATCH(Table3[[#This Row],[PID]],Batters[[#All],[PID]],0)))</f>
        <v>P</v>
      </c>
    </row>
    <row r="293" spans="1:64" ht="15" customHeight="1" x14ac:dyDescent="0.25">
      <c r="A293" s="40">
        <v>17777</v>
      </c>
      <c r="B293" s="40" t="s">
        <v>415</v>
      </c>
      <c r="C293" s="40" t="s">
        <v>867</v>
      </c>
      <c r="D293" s="40" t="s">
        <v>382</v>
      </c>
      <c r="E293" s="40">
        <v>22</v>
      </c>
      <c r="F293" s="40" t="s">
        <v>53</v>
      </c>
      <c r="G293" s="40" t="s">
        <v>53</v>
      </c>
      <c r="H293" s="41" t="s">
        <v>647</v>
      </c>
      <c r="I293" s="42" t="s">
        <v>43</v>
      </c>
      <c r="J293" s="40" t="s">
        <v>43</v>
      </c>
      <c r="K293" s="41" t="s">
        <v>43</v>
      </c>
      <c r="L293" s="40">
        <v>2</v>
      </c>
      <c r="M293" s="40">
        <v>2</v>
      </c>
      <c r="N293" s="41">
        <v>1</v>
      </c>
      <c r="O293" s="40">
        <v>5</v>
      </c>
      <c r="P293" s="40">
        <v>2</v>
      </c>
      <c r="Q293" s="41">
        <v>2</v>
      </c>
      <c r="R293" s="40">
        <v>3</v>
      </c>
      <c r="S293" s="40">
        <v>6</v>
      </c>
      <c r="T293" s="40">
        <v>1</v>
      </c>
      <c r="U293" s="40">
        <v>1</v>
      </c>
      <c r="V293" s="40">
        <v>3</v>
      </c>
      <c r="W293" s="40">
        <v>7</v>
      </c>
      <c r="X293" s="40" t="s">
        <v>45</v>
      </c>
      <c r="Y293" s="40" t="s">
        <v>45</v>
      </c>
      <c r="Z293" s="40" t="s">
        <v>45</v>
      </c>
      <c r="AA293" s="40" t="s">
        <v>45</v>
      </c>
      <c r="AB293" s="40" t="s">
        <v>45</v>
      </c>
      <c r="AC293" s="40" t="s">
        <v>45</v>
      </c>
      <c r="AD293" s="40" t="s">
        <v>45</v>
      </c>
      <c r="AE293" s="40" t="s">
        <v>45</v>
      </c>
      <c r="AF293" s="40" t="s">
        <v>45</v>
      </c>
      <c r="AG293" s="40" t="s">
        <v>45</v>
      </c>
      <c r="AH293" s="40" t="s">
        <v>45</v>
      </c>
      <c r="AI293" s="40" t="s">
        <v>45</v>
      </c>
      <c r="AJ293" s="40" t="s">
        <v>45</v>
      </c>
      <c r="AK293" s="40" t="s">
        <v>45</v>
      </c>
      <c r="AL293" s="40" t="s">
        <v>45</v>
      </c>
      <c r="AM293" s="40" t="s">
        <v>45</v>
      </c>
      <c r="AN293" s="40" t="s">
        <v>45</v>
      </c>
      <c r="AO293" s="41" t="s">
        <v>45</v>
      </c>
      <c r="AP293" s="40" t="s">
        <v>64</v>
      </c>
      <c r="AQ293" s="40">
        <v>7</v>
      </c>
      <c r="AR293" s="48" t="s">
        <v>347</v>
      </c>
      <c r="AS293" s="43" t="s">
        <v>45</v>
      </c>
      <c r="AT293" s="43"/>
      <c r="AU293" s="44">
        <f t="shared" si="32"/>
        <v>-2.311361197028369</v>
      </c>
      <c r="AV293" s="44">
        <f t="shared" si="33"/>
        <v>-1.0394719067096667</v>
      </c>
      <c r="AW293" s="45">
        <f t="shared" si="34"/>
        <v>3</v>
      </c>
      <c r="AX293" s="45">
        <f t="shared" si="35"/>
        <v>2</v>
      </c>
      <c r="AY293" s="46">
        <f>VLOOKUP(AP293,COND!$A$10:$B$32,2,FALSE)</f>
        <v>1</v>
      </c>
      <c r="AZ293" s="44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29.748289626400993</v>
      </c>
      <c r="BA293" s="47">
        <f>STANDARDIZE(AZ293,AVERAGE($AZ$5:$AZ$788),STDEVP($AZ$5:$AZ$788))</f>
        <v>-0.50879405647177156</v>
      </c>
      <c r="BB293" s="45" t="str">
        <f t="shared" si="36"/>
        <v>SP</v>
      </c>
      <c r="BC293" s="45">
        <f>RANK(Table3[[#This Row],[zScore]],Table3[zScore])</f>
        <v>528</v>
      </c>
      <c r="BD293" s="45"/>
      <c r="BE293" s="45"/>
      <c r="BF293" s="45" t="str">
        <f t="shared" si="37"/>
        <v>Unlikely</v>
      </c>
      <c r="BG293" s="45"/>
      <c r="BH293" s="64" t="str">
        <f>INDEX(Table5[[#All],[Ovr]],MATCH(Table3[[#This Row],[PID]],Table5[[#All],[PID]],0))</f>
        <v/>
      </c>
      <c r="BI293" s="64" t="str">
        <f>INDEX(Table5[[#All],[Rnd]],MATCH(Table3[[#This Row],[PID]],Table5[[#All],[PID]],0))</f>
        <v/>
      </c>
      <c r="BJ293" s="64" t="str">
        <f>INDEX(Table5[[#All],[Pick]],MATCH(Table3[[#This Row],[PID]],Table5[[#All],[PID]],0))</f>
        <v/>
      </c>
      <c r="BK293" s="64" t="str">
        <f>INDEX(Table5[[#All],[Team]],MATCH(Table3[[#This Row],[PID]],Table5[[#All],[PID]],0))</f>
        <v/>
      </c>
      <c r="BL293" s="64" t="str">
        <f>IF(OR(Table3[[#This Row],[POS]]="SP",Table3[[#This Row],[POS]]="RP",Table3[[#This Row],[POS]]="CL"),"P",INDEX(Batters[[#All],[zScore]],MATCH(Table3[[#This Row],[PID]],Batters[[#All],[PID]],0)))</f>
        <v>P</v>
      </c>
    </row>
    <row r="294" spans="1:64" ht="15" customHeight="1" x14ac:dyDescent="0.25">
      <c r="A294" s="40">
        <v>17968</v>
      </c>
      <c r="B294" s="40" t="s">
        <v>415</v>
      </c>
      <c r="C294" s="40" t="s">
        <v>138</v>
      </c>
      <c r="D294" s="40" t="s">
        <v>436</v>
      </c>
      <c r="E294" s="40">
        <v>21</v>
      </c>
      <c r="F294" s="40" t="s">
        <v>42</v>
      </c>
      <c r="G294" s="40" t="s">
        <v>42</v>
      </c>
      <c r="H294" s="41" t="s">
        <v>647</v>
      </c>
      <c r="I294" s="42" t="s">
        <v>43</v>
      </c>
      <c r="J294" s="40" t="s">
        <v>44</v>
      </c>
      <c r="K294" s="41" t="s">
        <v>44</v>
      </c>
      <c r="L294" s="40">
        <v>3</v>
      </c>
      <c r="M294" s="40">
        <v>2</v>
      </c>
      <c r="N294" s="41">
        <v>2</v>
      </c>
      <c r="O294" s="40">
        <v>4</v>
      </c>
      <c r="P294" s="40">
        <v>2</v>
      </c>
      <c r="Q294" s="41">
        <v>3</v>
      </c>
      <c r="R294" s="40">
        <v>5</v>
      </c>
      <c r="S294" s="40">
        <v>5</v>
      </c>
      <c r="T294" s="40">
        <v>2</v>
      </c>
      <c r="U294" s="40">
        <v>3</v>
      </c>
      <c r="V294" s="40">
        <v>2</v>
      </c>
      <c r="W294" s="40">
        <v>4</v>
      </c>
      <c r="X294" s="40">
        <v>3</v>
      </c>
      <c r="Y294" s="40">
        <v>3</v>
      </c>
      <c r="Z294" s="40" t="s">
        <v>45</v>
      </c>
      <c r="AA294" s="40" t="s">
        <v>45</v>
      </c>
      <c r="AB294" s="40" t="s">
        <v>45</v>
      </c>
      <c r="AC294" s="40" t="s">
        <v>45</v>
      </c>
      <c r="AD294" s="40" t="s">
        <v>45</v>
      </c>
      <c r="AE294" s="40" t="s">
        <v>45</v>
      </c>
      <c r="AF294" s="40">
        <v>4</v>
      </c>
      <c r="AG294" s="40">
        <v>4</v>
      </c>
      <c r="AH294" s="40" t="s">
        <v>45</v>
      </c>
      <c r="AI294" s="40" t="s">
        <v>45</v>
      </c>
      <c r="AJ294" s="40" t="s">
        <v>45</v>
      </c>
      <c r="AK294" s="40" t="s">
        <v>45</v>
      </c>
      <c r="AL294" s="40" t="s">
        <v>45</v>
      </c>
      <c r="AM294" s="40" t="s">
        <v>45</v>
      </c>
      <c r="AN294" s="40" t="s">
        <v>45</v>
      </c>
      <c r="AO294" s="41" t="s">
        <v>45</v>
      </c>
      <c r="AP294" s="40" t="s">
        <v>60</v>
      </c>
      <c r="AQ294" s="40">
        <v>9</v>
      </c>
      <c r="AR294" s="48" t="s">
        <v>347</v>
      </c>
      <c r="AS294" s="43" t="s">
        <v>45</v>
      </c>
      <c r="AT294" s="43" t="s">
        <v>635</v>
      </c>
      <c r="AU294" s="44">
        <f t="shared" si="32"/>
        <v>-1.8743493064650851</v>
      </c>
      <c r="AV294" s="44">
        <f t="shared" si="33"/>
        <v>-0.99184266516472974</v>
      </c>
      <c r="AW294" s="45">
        <f t="shared" si="34"/>
        <v>5</v>
      </c>
      <c r="AX294" s="45">
        <f t="shared" si="35"/>
        <v>0</v>
      </c>
      <c r="AY294" s="46">
        <f>VLOOKUP(AP294,COND!$A$10:$B$32,2,FALSE)</f>
        <v>1.0249999999999999</v>
      </c>
      <c r="AZ294" s="44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28.245483756297695</v>
      </c>
      <c r="BA294" s="47">
        <f>STANDARDIZE(AZ294,AVERAGE($AZ$5:$AZ$557),STDEVP($AZ$5:$AZ$557))</f>
        <v>-0.50728241143982389</v>
      </c>
      <c r="BB294" s="45" t="str">
        <f t="shared" si="36"/>
        <v>SP</v>
      </c>
      <c r="BC294" s="45">
        <f>RANK(Table3[[#This Row],[zScore]],Table3[zScore])</f>
        <v>526</v>
      </c>
      <c r="BD294" s="45"/>
      <c r="BE294" s="45"/>
      <c r="BF294" s="45" t="str">
        <f t="shared" si="37"/>
        <v>Unlikely</v>
      </c>
      <c r="BG294" s="45"/>
      <c r="BH294" s="45" t="str">
        <f>INDEX(Table5[[#All],[Ovr]],MATCH(Table3[[#This Row],[PID]],Table5[[#All],[PID]],0))</f>
        <v/>
      </c>
      <c r="BI294" s="45" t="str">
        <f>INDEX(Table5[[#All],[Rnd]],MATCH(Table3[[#This Row],[PID]],Table5[[#All],[PID]],0))</f>
        <v/>
      </c>
      <c r="BJ294" s="45" t="str">
        <f>INDEX(Table5[[#All],[Pick]],MATCH(Table3[[#This Row],[PID]],Table5[[#All],[PID]],0))</f>
        <v/>
      </c>
      <c r="BK294" s="45" t="str">
        <f>INDEX(Table5[[#All],[Team]],MATCH(Table3[[#This Row],[PID]],Table5[[#All],[PID]],0))</f>
        <v/>
      </c>
      <c r="BL2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5" spans="1:64" ht="15" customHeight="1" x14ac:dyDescent="0.25">
      <c r="A295" s="40">
        <v>17881</v>
      </c>
      <c r="B295" s="40" t="s">
        <v>415</v>
      </c>
      <c r="C295" s="40" t="s">
        <v>138</v>
      </c>
      <c r="D295" s="40" t="s">
        <v>1082</v>
      </c>
      <c r="E295" s="40">
        <v>18</v>
      </c>
      <c r="F295" s="40" t="s">
        <v>62</v>
      </c>
      <c r="G295" s="40" t="s">
        <v>42</v>
      </c>
      <c r="H295" s="41" t="s">
        <v>647</v>
      </c>
      <c r="I295" s="42" t="s">
        <v>43</v>
      </c>
      <c r="J295" s="40" t="s">
        <v>44</v>
      </c>
      <c r="K295" s="41" t="s">
        <v>43</v>
      </c>
      <c r="L295" s="40">
        <v>1</v>
      </c>
      <c r="M295" s="40">
        <v>1</v>
      </c>
      <c r="N295" s="41">
        <v>1</v>
      </c>
      <c r="O295" s="40">
        <v>3</v>
      </c>
      <c r="P295" s="40">
        <v>1</v>
      </c>
      <c r="Q295" s="41">
        <v>3</v>
      </c>
      <c r="R295" s="40">
        <v>2</v>
      </c>
      <c r="S295" s="40">
        <v>3</v>
      </c>
      <c r="T295" s="40" t="s">
        <v>45</v>
      </c>
      <c r="U295" s="40" t="s">
        <v>45</v>
      </c>
      <c r="V295" s="40">
        <v>1</v>
      </c>
      <c r="W295" s="40">
        <v>4</v>
      </c>
      <c r="X295" s="40">
        <v>2</v>
      </c>
      <c r="Y295" s="40">
        <v>4</v>
      </c>
      <c r="Z295" s="40" t="s">
        <v>45</v>
      </c>
      <c r="AA295" s="40" t="s">
        <v>45</v>
      </c>
      <c r="AB295" s="40" t="s">
        <v>45</v>
      </c>
      <c r="AC295" s="40" t="s">
        <v>45</v>
      </c>
      <c r="AD295" s="40" t="s">
        <v>45</v>
      </c>
      <c r="AE295" s="40" t="s">
        <v>45</v>
      </c>
      <c r="AF295" s="40">
        <v>2</v>
      </c>
      <c r="AG295" s="40">
        <v>4</v>
      </c>
      <c r="AH295" s="40" t="s">
        <v>45</v>
      </c>
      <c r="AI295" s="40" t="s">
        <v>45</v>
      </c>
      <c r="AJ295" s="40" t="s">
        <v>45</v>
      </c>
      <c r="AK295" s="40" t="s">
        <v>45</v>
      </c>
      <c r="AL295" s="40" t="s">
        <v>45</v>
      </c>
      <c r="AM295" s="40" t="s">
        <v>45</v>
      </c>
      <c r="AN295" s="40" t="s">
        <v>45</v>
      </c>
      <c r="AO295" s="41" t="s">
        <v>45</v>
      </c>
      <c r="AP295" s="40" t="s">
        <v>67</v>
      </c>
      <c r="AQ295" s="40">
        <v>7</v>
      </c>
      <c r="AR295" s="48" t="s">
        <v>347</v>
      </c>
      <c r="AS295" s="43" t="s">
        <v>670</v>
      </c>
      <c r="AT295" s="43" t="s">
        <v>47</v>
      </c>
      <c r="AU295" s="44">
        <f t="shared" si="32"/>
        <v>-2.7014842379675978</v>
      </c>
      <c r="AV295" s="44">
        <f t="shared" si="33"/>
        <v>-1.3819657061039585</v>
      </c>
      <c r="AW295" s="45">
        <f t="shared" si="34"/>
        <v>4</v>
      </c>
      <c r="AX295" s="45">
        <f t="shared" si="35"/>
        <v>0</v>
      </c>
      <c r="AY295" s="46">
        <f>VLOOKUP(AP295,COND!$A$10:$B$32,2,FALSE)</f>
        <v>0.9</v>
      </c>
      <c r="AZ295" s="44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28.138350127294576</v>
      </c>
      <c r="BA295" s="47">
        <f>STANDARDIZE(AZ295,AVERAGE($AZ$5:$AZ$557),STDEVP($AZ$5:$AZ$557))</f>
        <v>-0.51440984806555556</v>
      </c>
      <c r="BB295" s="45" t="str">
        <f t="shared" si="36"/>
        <v>SP</v>
      </c>
      <c r="BC295" s="45">
        <f>RANK(Table3[[#This Row],[zScore]],Table3[zScore])</f>
        <v>531</v>
      </c>
      <c r="BD295" s="45"/>
      <c r="BE295" s="45"/>
      <c r="BF295" s="45" t="str">
        <f t="shared" si="37"/>
        <v>Unlikely</v>
      </c>
      <c r="BG295" s="45"/>
      <c r="BH295" s="45" t="str">
        <f>INDEX(Table5[[#All],[Ovr]],MATCH(Table3[[#This Row],[PID]],Table5[[#All],[PID]],0))</f>
        <v/>
      </c>
      <c r="BI295" s="45" t="str">
        <f>INDEX(Table5[[#All],[Rnd]],MATCH(Table3[[#This Row],[PID]],Table5[[#All],[PID]],0))</f>
        <v/>
      </c>
      <c r="BJ295" s="45" t="str">
        <f>INDEX(Table5[[#All],[Pick]],MATCH(Table3[[#This Row],[PID]],Table5[[#All],[PID]],0))</f>
        <v/>
      </c>
      <c r="BK295" s="45" t="str">
        <f>INDEX(Table5[[#All],[Team]],MATCH(Table3[[#This Row],[PID]],Table5[[#All],[PID]],0))</f>
        <v/>
      </c>
      <c r="BL295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6" spans="1:64" ht="15" customHeight="1" x14ac:dyDescent="0.25">
      <c r="A296" s="40">
        <v>17583</v>
      </c>
      <c r="B296" s="40" t="s">
        <v>415</v>
      </c>
      <c r="C296" s="40" t="s">
        <v>125</v>
      </c>
      <c r="D296" s="40" t="s">
        <v>133</v>
      </c>
      <c r="E296" s="40">
        <v>18</v>
      </c>
      <c r="F296" s="40" t="s">
        <v>42</v>
      </c>
      <c r="G296" s="40" t="s">
        <v>42</v>
      </c>
      <c r="H296" s="41" t="s">
        <v>647</v>
      </c>
      <c r="I296" s="42" t="s">
        <v>44</v>
      </c>
      <c r="J296" s="40" t="s">
        <v>44</v>
      </c>
      <c r="K296" s="41" t="s">
        <v>43</v>
      </c>
      <c r="L296" s="40">
        <v>1</v>
      </c>
      <c r="M296" s="40">
        <v>2</v>
      </c>
      <c r="N296" s="41">
        <v>1</v>
      </c>
      <c r="O296" s="40">
        <v>3</v>
      </c>
      <c r="P296" s="40">
        <v>2</v>
      </c>
      <c r="Q296" s="41">
        <v>3</v>
      </c>
      <c r="R296" s="40">
        <v>2</v>
      </c>
      <c r="S296" s="40">
        <v>4</v>
      </c>
      <c r="T296" s="40">
        <v>1</v>
      </c>
      <c r="U296" s="40">
        <v>5</v>
      </c>
      <c r="V296" s="40" t="s">
        <v>45</v>
      </c>
      <c r="W296" s="40" t="s">
        <v>45</v>
      </c>
      <c r="X296" s="40">
        <v>2</v>
      </c>
      <c r="Y296" s="40">
        <v>4</v>
      </c>
      <c r="Z296" s="40" t="s">
        <v>45</v>
      </c>
      <c r="AA296" s="40" t="s">
        <v>45</v>
      </c>
      <c r="AB296" s="40" t="s">
        <v>45</v>
      </c>
      <c r="AC296" s="40" t="s">
        <v>45</v>
      </c>
      <c r="AD296" s="40" t="s">
        <v>45</v>
      </c>
      <c r="AE296" s="40" t="s">
        <v>45</v>
      </c>
      <c r="AF296" s="40" t="s">
        <v>45</v>
      </c>
      <c r="AG296" s="40" t="s">
        <v>45</v>
      </c>
      <c r="AH296" s="40" t="s">
        <v>45</v>
      </c>
      <c r="AI296" s="40" t="s">
        <v>45</v>
      </c>
      <c r="AJ296" s="40" t="s">
        <v>45</v>
      </c>
      <c r="AK296" s="40" t="s">
        <v>45</v>
      </c>
      <c r="AL296" s="40" t="s">
        <v>45</v>
      </c>
      <c r="AM296" s="40" t="s">
        <v>45</v>
      </c>
      <c r="AN296" s="40" t="s">
        <v>45</v>
      </c>
      <c r="AO296" s="41" t="s">
        <v>45</v>
      </c>
      <c r="AP296" s="40" t="s">
        <v>68</v>
      </c>
      <c r="AQ296" s="40">
        <v>7</v>
      </c>
      <c r="AR296" s="48" t="s">
        <v>347</v>
      </c>
      <c r="AS296" s="43" t="s">
        <v>644</v>
      </c>
      <c r="AT296" s="43" t="s">
        <v>635</v>
      </c>
      <c r="AU296" s="44">
        <f t="shared" si="32"/>
        <v>-2.5060525215375429</v>
      </c>
      <c r="AV296" s="44">
        <f t="shared" si="33"/>
        <v>-1.1865339896739031</v>
      </c>
      <c r="AW296" s="45">
        <f t="shared" si="34"/>
        <v>3</v>
      </c>
      <c r="AX296" s="45">
        <f t="shared" si="35"/>
        <v>0</v>
      </c>
      <c r="AY296" s="46">
        <f>VLOOKUP(AP296,COND!$A$10:$B$32,2,FALSE)</f>
        <v>0.95</v>
      </c>
      <c r="AZ296" s="44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29.954704217103711</v>
      </c>
      <c r="BA296" s="47">
        <f>STANDARDIZE(AZ296,AVERAGE($AZ$5:$AZ$663),STDEVP($AZ$5:$AZ$663))</f>
        <v>-0.53765912718774189</v>
      </c>
      <c r="BB296" s="45" t="str">
        <f t="shared" si="36"/>
        <v>SP</v>
      </c>
      <c r="BC296" s="45">
        <f>RANK(Table3[[#This Row],[zScore]],Table3[zScore])</f>
        <v>536</v>
      </c>
      <c r="BD296" s="45"/>
      <c r="BE296" s="45"/>
      <c r="BF296" s="45" t="str">
        <f t="shared" si="37"/>
        <v>Unlikely</v>
      </c>
      <c r="BG296" s="45"/>
      <c r="BH296" s="45" t="str">
        <f>INDEX(Table5[[#All],[Ovr]],MATCH(Table3[[#This Row],[PID]],Table5[[#All],[PID]],0))</f>
        <v/>
      </c>
      <c r="BI296" s="45" t="str">
        <f>INDEX(Table5[[#All],[Rnd]],MATCH(Table3[[#This Row],[PID]],Table5[[#All],[PID]],0))</f>
        <v/>
      </c>
      <c r="BJ296" s="45" t="str">
        <f>INDEX(Table5[[#All],[Pick]],MATCH(Table3[[#This Row],[PID]],Table5[[#All],[PID]],0))</f>
        <v/>
      </c>
      <c r="BK296" s="45" t="str">
        <f>INDEX(Table5[[#All],[Team]],MATCH(Table3[[#This Row],[PID]],Table5[[#All],[PID]],0))</f>
        <v/>
      </c>
      <c r="BL296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7" spans="1:64" ht="15" customHeight="1" x14ac:dyDescent="0.25">
      <c r="A297" s="40">
        <v>20186</v>
      </c>
      <c r="B297" s="40" t="s">
        <v>415</v>
      </c>
      <c r="C297" s="40" t="s">
        <v>2200</v>
      </c>
      <c r="D297" s="40" t="s">
        <v>2201</v>
      </c>
      <c r="E297" s="40">
        <v>22</v>
      </c>
      <c r="F297" s="40" t="s">
        <v>53</v>
      </c>
      <c r="G297" s="40" t="s">
        <v>53</v>
      </c>
      <c r="H297" s="41" t="s">
        <v>647</v>
      </c>
      <c r="I297" s="42" t="s">
        <v>43</v>
      </c>
      <c r="J297" s="40" t="s">
        <v>44</v>
      </c>
      <c r="K297" s="41" t="s">
        <v>43</v>
      </c>
      <c r="L297" s="40">
        <v>3</v>
      </c>
      <c r="M297" s="40">
        <v>2</v>
      </c>
      <c r="N297" s="41">
        <v>2</v>
      </c>
      <c r="O297" s="40">
        <v>3</v>
      </c>
      <c r="P297" s="40">
        <v>2</v>
      </c>
      <c r="Q297" s="41">
        <v>4</v>
      </c>
      <c r="R297" s="40" t="s">
        <v>45</v>
      </c>
      <c r="S297" s="40" t="s">
        <v>45</v>
      </c>
      <c r="T297" s="40">
        <v>3</v>
      </c>
      <c r="U297" s="40">
        <v>5</v>
      </c>
      <c r="V297" s="40">
        <v>3</v>
      </c>
      <c r="W297" s="40">
        <v>4</v>
      </c>
      <c r="X297" s="40" t="s">
        <v>45</v>
      </c>
      <c r="Y297" s="40" t="s">
        <v>45</v>
      </c>
      <c r="Z297" s="40" t="s">
        <v>45</v>
      </c>
      <c r="AA297" s="40" t="s">
        <v>45</v>
      </c>
      <c r="AB297" s="40" t="s">
        <v>45</v>
      </c>
      <c r="AC297" s="40" t="s">
        <v>45</v>
      </c>
      <c r="AD297" s="40">
        <v>3</v>
      </c>
      <c r="AE297" s="40">
        <v>4</v>
      </c>
      <c r="AF297" s="40" t="s">
        <v>45</v>
      </c>
      <c r="AG297" s="40" t="s">
        <v>45</v>
      </c>
      <c r="AH297" s="40" t="s">
        <v>45</v>
      </c>
      <c r="AI297" s="40" t="s">
        <v>45</v>
      </c>
      <c r="AJ297" s="40" t="s">
        <v>45</v>
      </c>
      <c r="AK297" s="40" t="s">
        <v>45</v>
      </c>
      <c r="AL297" s="40" t="s">
        <v>45</v>
      </c>
      <c r="AM297" s="40" t="s">
        <v>45</v>
      </c>
      <c r="AN297" s="40" t="s">
        <v>45</v>
      </c>
      <c r="AO297" s="41" t="s">
        <v>45</v>
      </c>
      <c r="AP297" s="40" t="s">
        <v>350</v>
      </c>
      <c r="AQ297" s="40">
        <v>6</v>
      </c>
      <c r="AR297" s="48" t="s">
        <v>347</v>
      </c>
      <c r="AS297" s="43" t="s">
        <v>45</v>
      </c>
      <c r="AT297" s="43"/>
      <c r="AU297" s="44">
        <f t="shared" si="32"/>
        <v>-1.8743493064650851</v>
      </c>
      <c r="AV297" s="44">
        <f t="shared" si="33"/>
        <v>-0.94421342361979277</v>
      </c>
      <c r="AW297" s="45">
        <f t="shared" si="34"/>
        <v>3</v>
      </c>
      <c r="AX297" s="45">
        <f t="shared" si="35"/>
        <v>0</v>
      </c>
      <c r="AY297" s="46">
        <f>VLOOKUP(AP297,COND!$A$10:$B$32,2,FALSE)</f>
        <v>1</v>
      </c>
      <c r="AZ297" s="44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29.384840124653348</v>
      </c>
      <c r="BA297" s="47">
        <f>STANDARDIZE(AZ297,AVERAGE($AZ$5:$AZ$788),STDEVP($AZ$5:$AZ$788))</f>
        <v>-0.53509415847989528</v>
      </c>
      <c r="BB297" s="45" t="str">
        <f t="shared" si="36"/>
        <v>SP</v>
      </c>
      <c r="BC297" s="45">
        <f>RANK(Table3[[#This Row],[zScore]],Table3[zScore])</f>
        <v>534</v>
      </c>
      <c r="BD297" s="45"/>
      <c r="BE297" s="45"/>
      <c r="BF297" s="45" t="str">
        <f t="shared" si="37"/>
        <v>Unlikely</v>
      </c>
      <c r="BG297" s="45"/>
      <c r="BH297" s="64" t="str">
        <f>INDEX(Table5[[#All],[Ovr]],MATCH(Table3[[#This Row],[PID]],Table5[[#All],[PID]],0))</f>
        <v/>
      </c>
      <c r="BI297" s="64" t="str">
        <f>INDEX(Table5[[#All],[Rnd]],MATCH(Table3[[#This Row],[PID]],Table5[[#All],[PID]],0))</f>
        <v/>
      </c>
      <c r="BJ297" s="64" t="str">
        <f>INDEX(Table5[[#All],[Pick]],MATCH(Table3[[#This Row],[PID]],Table5[[#All],[PID]],0))</f>
        <v/>
      </c>
      <c r="BK297" s="64" t="str">
        <f>INDEX(Table5[[#All],[Team]],MATCH(Table3[[#This Row],[PID]],Table5[[#All],[PID]],0))</f>
        <v/>
      </c>
      <c r="BL297" s="64" t="str">
        <f>IF(OR(Table3[[#This Row],[POS]]="SP",Table3[[#This Row],[POS]]="RP",Table3[[#This Row],[POS]]="CL"),"P",INDEX(Batters[[#All],[zScore]],MATCH(Table3[[#This Row],[PID]],Batters[[#All],[PID]],0)))</f>
        <v>P</v>
      </c>
    </row>
    <row r="298" spans="1:64" ht="15" customHeight="1" x14ac:dyDescent="0.25">
      <c r="A298" s="40">
        <v>21084</v>
      </c>
      <c r="B298" s="40" t="s">
        <v>415</v>
      </c>
      <c r="C298" s="40" t="s">
        <v>125</v>
      </c>
      <c r="D298" s="40" t="s">
        <v>298</v>
      </c>
      <c r="E298" s="40">
        <v>17</v>
      </c>
      <c r="F298" s="40" t="s">
        <v>53</v>
      </c>
      <c r="G298" s="40" t="s">
        <v>42</v>
      </c>
      <c r="H298" s="41" t="s">
        <v>647</v>
      </c>
      <c r="I298" s="42" t="s">
        <v>43</v>
      </c>
      <c r="J298" s="40" t="s">
        <v>47</v>
      </c>
      <c r="K298" s="41" t="s">
        <v>43</v>
      </c>
      <c r="L298" s="40">
        <v>1</v>
      </c>
      <c r="M298" s="40">
        <v>2</v>
      </c>
      <c r="N298" s="41">
        <v>1</v>
      </c>
      <c r="O298" s="40">
        <v>4</v>
      </c>
      <c r="P298" s="40">
        <v>2</v>
      </c>
      <c r="Q298" s="41">
        <v>3</v>
      </c>
      <c r="R298" s="40">
        <v>3</v>
      </c>
      <c r="S298" s="40">
        <v>5</v>
      </c>
      <c r="T298" s="40">
        <v>1</v>
      </c>
      <c r="U298" s="40">
        <v>5</v>
      </c>
      <c r="V298" s="40" t="s">
        <v>45</v>
      </c>
      <c r="W298" s="40" t="s">
        <v>45</v>
      </c>
      <c r="X298" s="40" t="s">
        <v>45</v>
      </c>
      <c r="Y298" s="40" t="s">
        <v>45</v>
      </c>
      <c r="Z298" s="40" t="s">
        <v>45</v>
      </c>
      <c r="AA298" s="40" t="s">
        <v>45</v>
      </c>
      <c r="AB298" s="40" t="s">
        <v>45</v>
      </c>
      <c r="AC298" s="40" t="s">
        <v>45</v>
      </c>
      <c r="AD298" s="40" t="s">
        <v>45</v>
      </c>
      <c r="AE298" s="40" t="s">
        <v>45</v>
      </c>
      <c r="AF298" s="40" t="s">
        <v>45</v>
      </c>
      <c r="AG298" s="40" t="s">
        <v>45</v>
      </c>
      <c r="AH298" s="40" t="s">
        <v>45</v>
      </c>
      <c r="AI298" s="40" t="s">
        <v>45</v>
      </c>
      <c r="AJ298" s="40" t="s">
        <v>45</v>
      </c>
      <c r="AK298" s="40" t="s">
        <v>45</v>
      </c>
      <c r="AL298" s="40" t="s">
        <v>45</v>
      </c>
      <c r="AM298" s="40" t="s">
        <v>45</v>
      </c>
      <c r="AN298" s="40" t="s">
        <v>45</v>
      </c>
      <c r="AO298" s="41" t="s">
        <v>45</v>
      </c>
      <c r="AP298" s="40" t="s">
        <v>68</v>
      </c>
      <c r="AQ298" s="40">
        <v>2</v>
      </c>
      <c r="AR298" s="48" t="s">
        <v>347</v>
      </c>
      <c r="AS298" s="43" t="s">
        <v>670</v>
      </c>
      <c r="AT298" s="43" t="s">
        <v>47</v>
      </c>
      <c r="AU298" s="44">
        <f t="shared" si="32"/>
        <v>-2.5060525215375429</v>
      </c>
      <c r="AV298" s="44">
        <f t="shared" si="33"/>
        <v>-0.99184266516472974</v>
      </c>
      <c r="AW298" s="45">
        <f t="shared" si="34"/>
        <v>2</v>
      </c>
      <c r="AX298" s="45">
        <f t="shared" si="35"/>
        <v>0</v>
      </c>
      <c r="AY298" s="46">
        <f>VLOOKUP(AP298,COND!$A$10:$B$32,2,FALSE)</f>
        <v>0.95</v>
      </c>
      <c r="AZ298" s="44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27.847397413639101</v>
      </c>
      <c r="BA298" s="47">
        <f>STANDARDIZE(AZ298,AVERAGE($AZ$5:$AZ$557),STDEVP($AZ$5:$AZ$557))</f>
        <v>-0.53376648749764</v>
      </c>
      <c r="BB298" s="45" t="str">
        <f t="shared" si="36"/>
        <v>RP</v>
      </c>
      <c r="BC298" s="45">
        <f>RANK(Table3[[#This Row],[zScore]],Table3[zScore])</f>
        <v>532</v>
      </c>
      <c r="BD298" s="45"/>
      <c r="BE298" s="45"/>
      <c r="BF298" s="45" t="str">
        <f t="shared" si="37"/>
        <v>Unlikely</v>
      </c>
      <c r="BG298" s="45"/>
      <c r="BH298" s="45" t="str">
        <f>INDEX(Table5[[#All],[Ovr]],MATCH(Table3[[#This Row],[PID]],Table5[[#All],[PID]],0))</f>
        <v/>
      </c>
      <c r="BI298" s="45" t="str">
        <f>INDEX(Table5[[#All],[Rnd]],MATCH(Table3[[#This Row],[PID]],Table5[[#All],[PID]],0))</f>
        <v/>
      </c>
      <c r="BJ298" s="45" t="str">
        <f>INDEX(Table5[[#All],[Pick]],MATCH(Table3[[#This Row],[PID]],Table5[[#All],[PID]],0))</f>
        <v/>
      </c>
      <c r="BK298" s="45" t="str">
        <f>INDEX(Table5[[#All],[Team]],MATCH(Table3[[#This Row],[PID]],Table5[[#All],[PID]],0))</f>
        <v/>
      </c>
      <c r="BL2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299" spans="1:64" ht="15" customHeight="1" x14ac:dyDescent="0.25">
      <c r="A299" s="40">
        <v>9231</v>
      </c>
      <c r="B299" s="40" t="s">
        <v>415</v>
      </c>
      <c r="C299" s="40" t="s">
        <v>136</v>
      </c>
      <c r="D299" s="40" t="s">
        <v>1010</v>
      </c>
      <c r="E299" s="40">
        <v>22</v>
      </c>
      <c r="F299" s="40" t="s">
        <v>53</v>
      </c>
      <c r="G299" s="40" t="s">
        <v>53</v>
      </c>
      <c r="H299" s="41" t="s">
        <v>647</v>
      </c>
      <c r="I299" s="42" t="s">
        <v>43</v>
      </c>
      <c r="J299" s="40" t="s">
        <v>43</v>
      </c>
      <c r="K299" s="41" t="s">
        <v>43</v>
      </c>
      <c r="L299" s="40">
        <v>3</v>
      </c>
      <c r="M299" s="40">
        <v>2</v>
      </c>
      <c r="N299" s="41">
        <v>2</v>
      </c>
      <c r="O299" s="40">
        <v>5</v>
      </c>
      <c r="P299" s="40">
        <v>2</v>
      </c>
      <c r="Q299" s="41">
        <v>3</v>
      </c>
      <c r="R299" s="40">
        <v>5</v>
      </c>
      <c r="S299" s="40">
        <v>6</v>
      </c>
      <c r="T299" s="40" t="s">
        <v>45</v>
      </c>
      <c r="U299" s="40" t="s">
        <v>45</v>
      </c>
      <c r="V299" s="40" t="s">
        <v>45</v>
      </c>
      <c r="W299" s="40" t="s">
        <v>45</v>
      </c>
      <c r="X299" s="40">
        <v>3</v>
      </c>
      <c r="Y299" s="40">
        <v>6</v>
      </c>
      <c r="Z299" s="40" t="s">
        <v>45</v>
      </c>
      <c r="AA299" s="40" t="s">
        <v>45</v>
      </c>
      <c r="AB299" s="40" t="s">
        <v>45</v>
      </c>
      <c r="AC299" s="40" t="s">
        <v>45</v>
      </c>
      <c r="AD299" s="40" t="s">
        <v>45</v>
      </c>
      <c r="AE299" s="40" t="s">
        <v>45</v>
      </c>
      <c r="AF299" s="40" t="s">
        <v>45</v>
      </c>
      <c r="AG299" s="40" t="s">
        <v>45</v>
      </c>
      <c r="AH299" s="40" t="s">
        <v>45</v>
      </c>
      <c r="AI299" s="40" t="s">
        <v>45</v>
      </c>
      <c r="AJ299" s="40" t="s">
        <v>45</v>
      </c>
      <c r="AK299" s="40" t="s">
        <v>45</v>
      </c>
      <c r="AL299" s="40" t="s">
        <v>45</v>
      </c>
      <c r="AM299" s="40" t="s">
        <v>45</v>
      </c>
      <c r="AN299" s="40" t="s">
        <v>45</v>
      </c>
      <c r="AO299" s="41" t="s">
        <v>45</v>
      </c>
      <c r="AP299" s="40" t="s">
        <v>58</v>
      </c>
      <c r="AQ299" s="40">
        <v>3</v>
      </c>
      <c r="AR299" s="48" t="s">
        <v>347</v>
      </c>
      <c r="AS299" s="43" t="s">
        <v>45</v>
      </c>
      <c r="AT299" s="43" t="s">
        <v>635</v>
      </c>
      <c r="AU299" s="44">
        <f t="shared" si="32"/>
        <v>-1.8743493064650851</v>
      </c>
      <c r="AV299" s="44">
        <f t="shared" si="33"/>
        <v>-0.79715134065555615</v>
      </c>
      <c r="AW299" s="45">
        <f t="shared" si="34"/>
        <v>2</v>
      </c>
      <c r="AX299" s="45">
        <f t="shared" si="35"/>
        <v>2</v>
      </c>
      <c r="AY299" s="46">
        <f>VLOOKUP(AP299,COND!$A$10:$B$32,2,FALSE)</f>
        <v>1</v>
      </c>
      <c r="AZ299" s="44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27.822998159316072</v>
      </c>
      <c r="BA299" s="47">
        <f>STANDARDIZE(AZ299,AVERAGE($AZ$5:$AZ$557),STDEVP($AZ$5:$AZ$557))</f>
        <v>-0.5353897326030348</v>
      </c>
      <c r="BB299" s="45" t="str">
        <f t="shared" si="36"/>
        <v>RP</v>
      </c>
      <c r="BC299" s="45">
        <f>RANK(Table3[[#This Row],[zScore]],Table3[zScore])</f>
        <v>535</v>
      </c>
      <c r="BD299" s="45"/>
      <c r="BE299" s="45"/>
      <c r="BF299" s="45" t="str">
        <f t="shared" si="37"/>
        <v>Unlikely</v>
      </c>
      <c r="BG299" s="45"/>
      <c r="BH299" s="45" t="str">
        <f>INDEX(Table5[[#All],[Ovr]],MATCH(Table3[[#This Row],[PID]],Table5[[#All],[PID]],0))</f>
        <v/>
      </c>
      <c r="BI299" s="45" t="str">
        <f>INDEX(Table5[[#All],[Rnd]],MATCH(Table3[[#This Row],[PID]],Table5[[#All],[PID]],0))</f>
        <v/>
      </c>
      <c r="BJ299" s="45" t="str">
        <f>INDEX(Table5[[#All],[Pick]],MATCH(Table3[[#This Row],[PID]],Table5[[#All],[PID]],0))</f>
        <v/>
      </c>
      <c r="BK299" s="45" t="str">
        <f>INDEX(Table5[[#All],[Team]],MATCH(Table3[[#This Row],[PID]],Table5[[#All],[PID]],0))</f>
        <v/>
      </c>
      <c r="BL2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0" spans="1:64" ht="15" customHeight="1" x14ac:dyDescent="0.25">
      <c r="A300" s="40">
        <v>17827</v>
      </c>
      <c r="B300" s="40" t="s">
        <v>415</v>
      </c>
      <c r="C300" s="40" t="s">
        <v>588</v>
      </c>
      <c r="D300" s="40" t="s">
        <v>2170</v>
      </c>
      <c r="E300" s="40">
        <v>18</v>
      </c>
      <c r="F300" s="40" t="s">
        <v>62</v>
      </c>
      <c r="G300" s="40" t="s">
        <v>42</v>
      </c>
      <c r="H300" s="41" t="s">
        <v>647</v>
      </c>
      <c r="I300" s="42" t="s">
        <v>43</v>
      </c>
      <c r="J300" s="40" t="s">
        <v>44</v>
      </c>
      <c r="K300" s="41" t="s">
        <v>43</v>
      </c>
      <c r="L300" s="40">
        <v>2</v>
      </c>
      <c r="M300" s="40">
        <v>2</v>
      </c>
      <c r="N300" s="41">
        <v>1</v>
      </c>
      <c r="O300" s="40">
        <v>4</v>
      </c>
      <c r="P300" s="40">
        <v>2</v>
      </c>
      <c r="Q300" s="41">
        <v>2</v>
      </c>
      <c r="R300" s="40">
        <v>3</v>
      </c>
      <c r="S300" s="40">
        <v>5</v>
      </c>
      <c r="T300" s="40">
        <v>1</v>
      </c>
      <c r="U300" s="40">
        <v>2</v>
      </c>
      <c r="V300" s="40">
        <v>2</v>
      </c>
      <c r="W300" s="40">
        <v>6</v>
      </c>
      <c r="X300" s="40" t="s">
        <v>45</v>
      </c>
      <c r="Y300" s="40" t="s">
        <v>45</v>
      </c>
      <c r="Z300" s="40" t="s">
        <v>45</v>
      </c>
      <c r="AA300" s="40" t="s">
        <v>45</v>
      </c>
      <c r="AB300" s="40" t="s">
        <v>45</v>
      </c>
      <c r="AC300" s="40" t="s">
        <v>45</v>
      </c>
      <c r="AD300" s="40" t="s">
        <v>45</v>
      </c>
      <c r="AE300" s="40" t="s">
        <v>45</v>
      </c>
      <c r="AF300" s="40" t="s">
        <v>45</v>
      </c>
      <c r="AG300" s="40" t="s">
        <v>45</v>
      </c>
      <c r="AH300" s="40" t="s">
        <v>45</v>
      </c>
      <c r="AI300" s="40" t="s">
        <v>45</v>
      </c>
      <c r="AJ300" s="40" t="s">
        <v>45</v>
      </c>
      <c r="AK300" s="40" t="s">
        <v>45</v>
      </c>
      <c r="AL300" s="40" t="s">
        <v>45</v>
      </c>
      <c r="AM300" s="40" t="s">
        <v>45</v>
      </c>
      <c r="AN300" s="40" t="s">
        <v>45</v>
      </c>
      <c r="AO300" s="41" t="s">
        <v>45</v>
      </c>
      <c r="AP300" s="40" t="s">
        <v>64</v>
      </c>
      <c r="AQ300" s="40">
        <v>8</v>
      </c>
      <c r="AR300" s="48" t="s">
        <v>347</v>
      </c>
      <c r="AS300" s="43" t="s">
        <v>644</v>
      </c>
      <c r="AT300" s="43"/>
      <c r="AU300" s="44">
        <f t="shared" si="32"/>
        <v>-2.311361197028369</v>
      </c>
      <c r="AV300" s="44">
        <f t="shared" si="33"/>
        <v>-1.23416323121884</v>
      </c>
      <c r="AW300" s="45">
        <f t="shared" si="34"/>
        <v>3</v>
      </c>
      <c r="AX300" s="45">
        <f t="shared" si="35"/>
        <v>1</v>
      </c>
      <c r="AY300" s="46">
        <f>VLOOKUP(AP300,COND!$A$10:$B$32,2,FALSE)</f>
        <v>1</v>
      </c>
      <c r="AZ300" s="44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29.304463136217525</v>
      </c>
      <c r="BA300" s="47">
        <f>STANDARDIZE(AZ300,AVERAGE($AZ$5:$AZ$788),STDEVP($AZ$5:$AZ$788))</f>
        <v>-0.54091043552747164</v>
      </c>
      <c r="BB300" s="45" t="str">
        <f t="shared" si="36"/>
        <v>SP</v>
      </c>
      <c r="BC300" s="45">
        <f>RANK(Table3[[#This Row],[zScore]],Table3[zScore])</f>
        <v>538</v>
      </c>
      <c r="BD300" s="45"/>
      <c r="BE300" s="45"/>
      <c r="BF300" s="45" t="str">
        <f t="shared" si="37"/>
        <v>Unlikely</v>
      </c>
      <c r="BG300" s="45"/>
      <c r="BH300" s="64" t="str">
        <f>INDEX(Table5[[#All],[Ovr]],MATCH(Table3[[#This Row],[PID]],Table5[[#All],[PID]],0))</f>
        <v/>
      </c>
      <c r="BI300" s="64" t="str">
        <f>INDEX(Table5[[#All],[Rnd]],MATCH(Table3[[#This Row],[PID]],Table5[[#All],[PID]],0))</f>
        <v/>
      </c>
      <c r="BJ300" s="64" t="str">
        <f>INDEX(Table5[[#All],[Pick]],MATCH(Table3[[#This Row],[PID]],Table5[[#All],[PID]],0))</f>
        <v/>
      </c>
      <c r="BK300" s="64" t="str">
        <f>INDEX(Table5[[#All],[Team]],MATCH(Table3[[#This Row],[PID]],Table5[[#All],[PID]],0))</f>
        <v/>
      </c>
      <c r="BL300" s="64" t="str">
        <f>IF(OR(Table3[[#This Row],[POS]]="SP",Table3[[#This Row],[POS]]="RP",Table3[[#This Row],[POS]]="CL"),"P",INDEX(Batters[[#All],[zScore]],MATCH(Table3[[#This Row],[PID]],Batters[[#All],[PID]],0)))</f>
        <v>P</v>
      </c>
    </row>
    <row r="301" spans="1:64" ht="15" customHeight="1" x14ac:dyDescent="0.25">
      <c r="A301" s="40">
        <v>20425</v>
      </c>
      <c r="B301" s="40" t="s">
        <v>415</v>
      </c>
      <c r="C301" s="40" t="s">
        <v>2204</v>
      </c>
      <c r="D301" s="40" t="s">
        <v>2205</v>
      </c>
      <c r="E301" s="40">
        <v>16</v>
      </c>
      <c r="F301" s="40" t="s">
        <v>42</v>
      </c>
      <c r="G301" s="40" t="s">
        <v>42</v>
      </c>
      <c r="H301" s="41" t="s">
        <v>647</v>
      </c>
      <c r="I301" s="42" t="s">
        <v>43</v>
      </c>
      <c r="J301" s="40" t="s">
        <v>43</v>
      </c>
      <c r="K301" s="41" t="s">
        <v>43</v>
      </c>
      <c r="L301" s="40">
        <v>2</v>
      </c>
      <c r="M301" s="40">
        <v>1</v>
      </c>
      <c r="N301" s="41">
        <v>1</v>
      </c>
      <c r="O301" s="40">
        <v>4</v>
      </c>
      <c r="P301" s="40">
        <v>1</v>
      </c>
      <c r="Q301" s="41">
        <v>3</v>
      </c>
      <c r="R301" s="40">
        <v>3</v>
      </c>
      <c r="S301" s="40">
        <v>4</v>
      </c>
      <c r="T301" s="40" t="s">
        <v>45</v>
      </c>
      <c r="U301" s="40" t="s">
        <v>45</v>
      </c>
      <c r="V301" s="40">
        <v>1</v>
      </c>
      <c r="W301" s="40">
        <v>4</v>
      </c>
      <c r="X301" s="40">
        <v>2</v>
      </c>
      <c r="Y301" s="40">
        <v>5</v>
      </c>
      <c r="Z301" s="40" t="s">
        <v>45</v>
      </c>
      <c r="AA301" s="40" t="s">
        <v>45</v>
      </c>
      <c r="AB301" s="40" t="s">
        <v>45</v>
      </c>
      <c r="AC301" s="40" t="s">
        <v>45</v>
      </c>
      <c r="AD301" s="40" t="s">
        <v>45</v>
      </c>
      <c r="AE301" s="40" t="s">
        <v>45</v>
      </c>
      <c r="AF301" s="40" t="s">
        <v>45</v>
      </c>
      <c r="AG301" s="40" t="s">
        <v>45</v>
      </c>
      <c r="AH301" s="40" t="s">
        <v>45</v>
      </c>
      <c r="AI301" s="40" t="s">
        <v>45</v>
      </c>
      <c r="AJ301" s="40" t="s">
        <v>45</v>
      </c>
      <c r="AK301" s="40" t="s">
        <v>45</v>
      </c>
      <c r="AL301" s="40" t="s">
        <v>45</v>
      </c>
      <c r="AM301" s="40" t="s">
        <v>45</v>
      </c>
      <c r="AN301" s="40" t="s">
        <v>45</v>
      </c>
      <c r="AO301" s="41" t="s">
        <v>45</v>
      </c>
      <c r="AP301" s="40" t="s">
        <v>64</v>
      </c>
      <c r="AQ301" s="40">
        <v>9</v>
      </c>
      <c r="AR301" s="48" t="s">
        <v>14</v>
      </c>
      <c r="AS301" s="43" t="s">
        <v>644</v>
      </c>
      <c r="AT301" s="43"/>
      <c r="AU301" s="44">
        <f t="shared" si="32"/>
        <v>-2.5067929134584248</v>
      </c>
      <c r="AV301" s="44">
        <f t="shared" si="33"/>
        <v>-1.1872743815947853</v>
      </c>
      <c r="AW301" s="45">
        <f t="shared" si="34"/>
        <v>3</v>
      </c>
      <c r="AX301" s="45">
        <f t="shared" si="35"/>
        <v>0</v>
      </c>
      <c r="AY301" s="46">
        <f>VLOOKUP(AP301,COND!$A$10:$B$32,2,FALSE)</f>
        <v>1</v>
      </c>
      <c r="AZ301" s="44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29.253153785412607</v>
      </c>
      <c r="BA301" s="47">
        <f>STANDARDIZE(AZ301,AVERAGE($AZ$5:$AZ$788),STDEVP($AZ$5:$AZ$788))</f>
        <v>-0.54462330665166125</v>
      </c>
      <c r="BB301" s="45" t="str">
        <f t="shared" si="36"/>
        <v>SP</v>
      </c>
      <c r="BC301" s="45">
        <f>RANK(Table3[[#This Row],[zScore]],Table3[zScore])</f>
        <v>539</v>
      </c>
      <c r="BD301" s="45"/>
      <c r="BE301" s="45"/>
      <c r="BF301" s="45" t="str">
        <f t="shared" si="37"/>
        <v>Unlikely</v>
      </c>
      <c r="BG301" s="45"/>
      <c r="BH301" s="64" t="str">
        <f>INDEX(Table5[[#All],[Ovr]],MATCH(Table3[[#This Row],[PID]],Table5[[#All],[PID]],0))</f>
        <v/>
      </c>
      <c r="BI301" s="64" t="str">
        <f>INDEX(Table5[[#All],[Rnd]],MATCH(Table3[[#This Row],[PID]],Table5[[#All],[PID]],0))</f>
        <v/>
      </c>
      <c r="BJ301" s="64" t="str">
        <f>INDEX(Table5[[#All],[Pick]],MATCH(Table3[[#This Row],[PID]],Table5[[#All],[PID]],0))</f>
        <v/>
      </c>
      <c r="BK301" s="64" t="str">
        <f>INDEX(Table5[[#All],[Team]],MATCH(Table3[[#This Row],[PID]],Table5[[#All],[PID]],0))</f>
        <v/>
      </c>
      <c r="BL301" s="64" t="str">
        <f>IF(OR(Table3[[#This Row],[POS]]="SP",Table3[[#This Row],[POS]]="RP",Table3[[#This Row],[POS]]="CL"),"P",INDEX(Batters[[#All],[zScore]],MATCH(Table3[[#This Row],[PID]],Batters[[#All],[PID]],0)))</f>
        <v>P</v>
      </c>
    </row>
    <row r="302" spans="1:64" ht="15" customHeight="1" x14ac:dyDescent="0.25">
      <c r="A302" s="40">
        <v>18042</v>
      </c>
      <c r="B302" s="40" t="s">
        <v>415</v>
      </c>
      <c r="C302" s="40" t="s">
        <v>401</v>
      </c>
      <c r="D302" s="40" t="s">
        <v>1091</v>
      </c>
      <c r="E302" s="40">
        <v>22</v>
      </c>
      <c r="F302" s="40" t="s">
        <v>53</v>
      </c>
      <c r="G302" s="40" t="s">
        <v>53</v>
      </c>
      <c r="H302" s="41" t="s">
        <v>639</v>
      </c>
      <c r="I302" s="42" t="s">
        <v>44</v>
      </c>
      <c r="J302" s="40" t="s">
        <v>43</v>
      </c>
      <c r="K302" s="41" t="s">
        <v>43</v>
      </c>
      <c r="L302" s="40">
        <v>3</v>
      </c>
      <c r="M302" s="40">
        <v>2</v>
      </c>
      <c r="N302" s="41">
        <v>2</v>
      </c>
      <c r="O302" s="40">
        <v>5</v>
      </c>
      <c r="P302" s="40">
        <v>2</v>
      </c>
      <c r="Q302" s="41">
        <v>3</v>
      </c>
      <c r="R302" s="40">
        <v>5</v>
      </c>
      <c r="S302" s="40">
        <v>7</v>
      </c>
      <c r="T302" s="40">
        <v>3</v>
      </c>
      <c r="U302" s="40">
        <v>7</v>
      </c>
      <c r="V302" s="40" t="s">
        <v>45</v>
      </c>
      <c r="W302" s="40" t="s">
        <v>45</v>
      </c>
      <c r="X302" s="40" t="s">
        <v>45</v>
      </c>
      <c r="Y302" s="40" t="s">
        <v>45</v>
      </c>
      <c r="Z302" s="40" t="s">
        <v>45</v>
      </c>
      <c r="AA302" s="40" t="s">
        <v>45</v>
      </c>
      <c r="AB302" s="40" t="s">
        <v>45</v>
      </c>
      <c r="AC302" s="40" t="s">
        <v>45</v>
      </c>
      <c r="AD302" s="40" t="s">
        <v>45</v>
      </c>
      <c r="AE302" s="40" t="s">
        <v>45</v>
      </c>
      <c r="AF302" s="40" t="s">
        <v>45</v>
      </c>
      <c r="AG302" s="40" t="s">
        <v>45</v>
      </c>
      <c r="AH302" s="40" t="s">
        <v>45</v>
      </c>
      <c r="AI302" s="40" t="s">
        <v>45</v>
      </c>
      <c r="AJ302" s="40" t="s">
        <v>45</v>
      </c>
      <c r="AK302" s="40" t="s">
        <v>45</v>
      </c>
      <c r="AL302" s="40" t="s">
        <v>45</v>
      </c>
      <c r="AM302" s="40" t="s">
        <v>45</v>
      </c>
      <c r="AN302" s="40" t="s">
        <v>45</v>
      </c>
      <c r="AO302" s="41" t="s">
        <v>45</v>
      </c>
      <c r="AP302" s="40" t="s">
        <v>56</v>
      </c>
      <c r="AQ302" s="40">
        <v>3</v>
      </c>
      <c r="AR302" s="48" t="s">
        <v>347</v>
      </c>
      <c r="AS302" s="43" t="s">
        <v>45</v>
      </c>
      <c r="AT302" s="43" t="s">
        <v>47</v>
      </c>
      <c r="AU302" s="44">
        <f t="shared" si="32"/>
        <v>-1.8743493064650851</v>
      </c>
      <c r="AV302" s="44">
        <f t="shared" si="33"/>
        <v>-0.79715134065555615</v>
      </c>
      <c r="AW302" s="45">
        <f t="shared" si="34"/>
        <v>2</v>
      </c>
      <c r="AX302" s="45">
        <f t="shared" si="35"/>
        <v>2</v>
      </c>
      <c r="AY302" s="46">
        <f>VLOOKUP(AP302,COND!$A$10:$B$32,2,FALSE)</f>
        <v>1</v>
      </c>
      <c r="AZ302" s="44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27.672998159316066</v>
      </c>
      <c r="BA302" s="47">
        <f t="shared" ref="BA302:BA308" si="39">STANDARDIZE(AZ302,AVERAGE($AZ$5:$AZ$557),STDEVP($AZ$5:$AZ$557))</f>
        <v>-0.54536900338670891</v>
      </c>
      <c r="BB302" s="45" t="str">
        <f t="shared" si="36"/>
        <v>RP</v>
      </c>
      <c r="BC302" s="45">
        <f>RANK(Table3[[#This Row],[zScore]],Table3[zScore])</f>
        <v>540</v>
      </c>
      <c r="BD302" s="45"/>
      <c r="BE302" s="45"/>
      <c r="BF302" s="45" t="str">
        <f t="shared" si="37"/>
        <v>Unlikely</v>
      </c>
      <c r="BG302" s="45"/>
      <c r="BH302" s="45" t="str">
        <f>INDEX(Table5[[#All],[Ovr]],MATCH(Table3[[#This Row],[PID]],Table5[[#All],[PID]],0))</f>
        <v/>
      </c>
      <c r="BI302" s="45" t="str">
        <f>INDEX(Table5[[#All],[Rnd]],MATCH(Table3[[#This Row],[PID]],Table5[[#All],[PID]],0))</f>
        <v/>
      </c>
      <c r="BJ302" s="45" t="str">
        <f>INDEX(Table5[[#All],[Pick]],MATCH(Table3[[#This Row],[PID]],Table5[[#All],[PID]],0))</f>
        <v/>
      </c>
      <c r="BK302" s="45" t="str">
        <f>INDEX(Table5[[#All],[Team]],MATCH(Table3[[#This Row],[PID]],Table5[[#All],[PID]],0))</f>
        <v/>
      </c>
      <c r="BL3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3" spans="1:64" ht="15" customHeight="1" x14ac:dyDescent="0.25">
      <c r="A303" s="40">
        <v>8097</v>
      </c>
      <c r="B303" s="40" t="s">
        <v>415</v>
      </c>
      <c r="C303" s="40" t="s">
        <v>411</v>
      </c>
      <c r="D303" s="40" t="s">
        <v>1126</v>
      </c>
      <c r="E303" s="40">
        <v>22</v>
      </c>
      <c r="F303" s="40" t="s">
        <v>53</v>
      </c>
      <c r="G303" s="40" t="s">
        <v>53</v>
      </c>
      <c r="H303" s="41" t="s">
        <v>647</v>
      </c>
      <c r="I303" s="42" t="s">
        <v>43</v>
      </c>
      <c r="J303" s="40" t="s">
        <v>44</v>
      </c>
      <c r="K303" s="41" t="s">
        <v>47</v>
      </c>
      <c r="L303" s="40">
        <v>1</v>
      </c>
      <c r="M303" s="40">
        <v>1</v>
      </c>
      <c r="N303" s="41">
        <v>1</v>
      </c>
      <c r="O303" s="40">
        <v>4</v>
      </c>
      <c r="P303" s="40">
        <v>1</v>
      </c>
      <c r="Q303" s="41">
        <v>3</v>
      </c>
      <c r="R303" s="40">
        <v>3</v>
      </c>
      <c r="S303" s="40">
        <v>4</v>
      </c>
      <c r="T303" s="40">
        <v>1</v>
      </c>
      <c r="U303" s="40">
        <v>1</v>
      </c>
      <c r="V303" s="40">
        <v>2</v>
      </c>
      <c r="W303" s="40">
        <v>6</v>
      </c>
      <c r="X303" s="40" t="s">
        <v>45</v>
      </c>
      <c r="Y303" s="40" t="s">
        <v>45</v>
      </c>
      <c r="Z303" s="40" t="s">
        <v>45</v>
      </c>
      <c r="AA303" s="40" t="s">
        <v>45</v>
      </c>
      <c r="AB303" s="40" t="s">
        <v>45</v>
      </c>
      <c r="AC303" s="40" t="s">
        <v>45</v>
      </c>
      <c r="AD303" s="40" t="s">
        <v>45</v>
      </c>
      <c r="AE303" s="40" t="s">
        <v>45</v>
      </c>
      <c r="AF303" s="40" t="s">
        <v>45</v>
      </c>
      <c r="AG303" s="40" t="s">
        <v>45</v>
      </c>
      <c r="AH303" s="40" t="s">
        <v>45</v>
      </c>
      <c r="AI303" s="40" t="s">
        <v>45</v>
      </c>
      <c r="AJ303" s="40" t="s">
        <v>45</v>
      </c>
      <c r="AK303" s="40" t="s">
        <v>45</v>
      </c>
      <c r="AL303" s="40" t="s">
        <v>45</v>
      </c>
      <c r="AM303" s="40" t="s">
        <v>45</v>
      </c>
      <c r="AN303" s="40" t="s">
        <v>45</v>
      </c>
      <c r="AO303" s="41" t="s">
        <v>45</v>
      </c>
      <c r="AP303" s="40" t="s">
        <v>67</v>
      </c>
      <c r="AQ303" s="40">
        <v>7</v>
      </c>
      <c r="AR303" s="48" t="s">
        <v>14</v>
      </c>
      <c r="AS303" s="43" t="s">
        <v>45</v>
      </c>
      <c r="AT303" s="43" t="s">
        <v>47</v>
      </c>
      <c r="AU303" s="44">
        <f t="shared" si="32"/>
        <v>-2.7014842379675978</v>
      </c>
      <c r="AV303" s="44">
        <f t="shared" si="33"/>
        <v>-1.1872743815947853</v>
      </c>
      <c r="AW303" s="45">
        <f t="shared" si="34"/>
        <v>3</v>
      </c>
      <c r="AX303" s="45">
        <f t="shared" si="35"/>
        <v>1</v>
      </c>
      <c r="AY303" s="46">
        <f>VLOOKUP(AP303,COND!$A$10:$B$32,2,FALSE)</f>
        <v>0.9</v>
      </c>
      <c r="AZ303" s="44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27.617793968459697</v>
      </c>
      <c r="BA303" s="47">
        <f t="shared" si="39"/>
        <v>-0.54904165384637094</v>
      </c>
      <c r="BB303" s="45" t="str">
        <f t="shared" si="36"/>
        <v>SP</v>
      </c>
      <c r="BC303" s="45">
        <f>RANK(Table3[[#This Row],[zScore]],Table3[zScore])</f>
        <v>541</v>
      </c>
      <c r="BD303" s="45"/>
      <c r="BE303" s="45"/>
      <c r="BF303" s="45" t="str">
        <f t="shared" si="37"/>
        <v>Unlikely</v>
      </c>
      <c r="BG303" s="45"/>
      <c r="BH303" s="45" t="str">
        <f>INDEX(Table5[[#All],[Ovr]],MATCH(Table3[[#This Row],[PID]],Table5[[#All],[PID]],0))</f>
        <v/>
      </c>
      <c r="BI303" s="45" t="str">
        <f>INDEX(Table5[[#All],[Rnd]],MATCH(Table3[[#This Row],[PID]],Table5[[#All],[PID]],0))</f>
        <v/>
      </c>
      <c r="BJ303" s="45" t="str">
        <f>INDEX(Table5[[#All],[Pick]],MATCH(Table3[[#This Row],[PID]],Table5[[#All],[PID]],0))</f>
        <v/>
      </c>
      <c r="BK303" s="45" t="str">
        <f>INDEX(Table5[[#All],[Team]],MATCH(Table3[[#This Row],[PID]],Table5[[#All],[PID]],0))</f>
        <v/>
      </c>
      <c r="BL3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4" spans="1:64" ht="15" customHeight="1" x14ac:dyDescent="0.25">
      <c r="A304" s="40">
        <v>20383</v>
      </c>
      <c r="B304" s="40" t="s">
        <v>415</v>
      </c>
      <c r="C304" s="40" t="s">
        <v>1970</v>
      </c>
      <c r="D304" s="40" t="s">
        <v>1979</v>
      </c>
      <c r="E304" s="40">
        <v>19</v>
      </c>
      <c r="F304" s="40" t="s">
        <v>42</v>
      </c>
      <c r="G304" s="40" t="s">
        <v>42</v>
      </c>
      <c r="H304" s="41" t="s">
        <v>647</v>
      </c>
      <c r="I304" s="42" t="s">
        <v>43</v>
      </c>
      <c r="J304" s="40" t="s">
        <v>44</v>
      </c>
      <c r="K304" s="41" t="s">
        <v>43</v>
      </c>
      <c r="L304" s="40">
        <v>2</v>
      </c>
      <c r="M304" s="40">
        <v>2</v>
      </c>
      <c r="N304" s="41">
        <v>1</v>
      </c>
      <c r="O304" s="40">
        <v>4</v>
      </c>
      <c r="P304" s="40">
        <v>2</v>
      </c>
      <c r="Q304" s="41">
        <v>3</v>
      </c>
      <c r="R304" s="40" t="s">
        <v>45</v>
      </c>
      <c r="S304" s="40" t="s">
        <v>45</v>
      </c>
      <c r="T304" s="40" t="s">
        <v>45</v>
      </c>
      <c r="U304" s="40" t="s">
        <v>45</v>
      </c>
      <c r="V304" s="40" t="s">
        <v>45</v>
      </c>
      <c r="W304" s="40" t="s">
        <v>45</v>
      </c>
      <c r="X304" s="40">
        <v>3</v>
      </c>
      <c r="Y304" s="40">
        <v>6</v>
      </c>
      <c r="Z304" s="40" t="s">
        <v>45</v>
      </c>
      <c r="AA304" s="40" t="s">
        <v>45</v>
      </c>
      <c r="AB304" s="40" t="s">
        <v>45</v>
      </c>
      <c r="AC304" s="40" t="s">
        <v>45</v>
      </c>
      <c r="AD304" s="40">
        <v>3</v>
      </c>
      <c r="AE304" s="40">
        <v>5</v>
      </c>
      <c r="AF304" s="40" t="s">
        <v>45</v>
      </c>
      <c r="AG304" s="40" t="s">
        <v>45</v>
      </c>
      <c r="AH304" s="40" t="s">
        <v>45</v>
      </c>
      <c r="AI304" s="40" t="s">
        <v>45</v>
      </c>
      <c r="AJ304" s="40" t="s">
        <v>45</v>
      </c>
      <c r="AK304" s="40" t="s">
        <v>45</v>
      </c>
      <c r="AL304" s="40" t="s">
        <v>45</v>
      </c>
      <c r="AM304" s="40" t="s">
        <v>45</v>
      </c>
      <c r="AN304" s="40" t="s">
        <v>45</v>
      </c>
      <c r="AO304" s="41" t="s">
        <v>45</v>
      </c>
      <c r="AP304" s="40" t="s">
        <v>349</v>
      </c>
      <c r="AQ304" s="40">
        <v>2</v>
      </c>
      <c r="AR304" s="48" t="s">
        <v>347</v>
      </c>
      <c r="AS304" s="43" t="s">
        <v>659</v>
      </c>
      <c r="AT304" s="43" t="s">
        <v>635</v>
      </c>
      <c r="AU304" s="44">
        <f t="shared" si="32"/>
        <v>-2.311361197028369</v>
      </c>
      <c r="AV304" s="44">
        <f t="shared" si="33"/>
        <v>-0.99184266516472974</v>
      </c>
      <c r="AW304" s="45">
        <f t="shared" si="34"/>
        <v>2</v>
      </c>
      <c r="AX304" s="45">
        <f t="shared" si="35"/>
        <v>1</v>
      </c>
      <c r="AY304" s="46">
        <f>VLOOKUP(AP304,COND!$A$10:$B$32,2,FALSE)</f>
        <v>1</v>
      </c>
      <c r="AZ304" s="44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27.553330734434741</v>
      </c>
      <c r="BA304" s="47">
        <f t="shared" si="39"/>
        <v>-0.55333029429921332</v>
      </c>
      <c r="BB304" s="45" t="str">
        <f t="shared" si="36"/>
        <v>RP</v>
      </c>
      <c r="BC304" s="45">
        <f>RANK(Table3[[#This Row],[zScore]],Table3[zScore])</f>
        <v>543</v>
      </c>
      <c r="BD304" s="45"/>
      <c r="BE304" s="45"/>
      <c r="BF304" s="45" t="str">
        <f t="shared" si="37"/>
        <v>Unlikely</v>
      </c>
      <c r="BG304" s="45"/>
      <c r="BH304" s="45" t="str">
        <f>INDEX(Table5[[#All],[Ovr]],MATCH(Table3[[#This Row],[PID]],Table5[[#All],[PID]],0))</f>
        <v/>
      </c>
      <c r="BI304" s="45" t="str">
        <f>INDEX(Table5[[#All],[Rnd]],MATCH(Table3[[#This Row],[PID]],Table5[[#All],[PID]],0))</f>
        <v/>
      </c>
      <c r="BJ304" s="45" t="str">
        <f>INDEX(Table5[[#All],[Pick]],MATCH(Table3[[#This Row],[PID]],Table5[[#All],[PID]],0))</f>
        <v/>
      </c>
      <c r="BK304" s="45" t="str">
        <f>INDEX(Table5[[#All],[Team]],MATCH(Table3[[#This Row],[PID]],Table5[[#All],[PID]],0))</f>
        <v/>
      </c>
      <c r="BL3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5" spans="1:64" ht="15" customHeight="1" x14ac:dyDescent="0.25">
      <c r="A305" s="40">
        <v>20556</v>
      </c>
      <c r="B305" s="40" t="s">
        <v>415</v>
      </c>
      <c r="C305" s="40" t="s">
        <v>154</v>
      </c>
      <c r="D305" s="40" t="s">
        <v>195</v>
      </c>
      <c r="E305" s="40">
        <v>18</v>
      </c>
      <c r="F305" s="40" t="s">
        <v>42</v>
      </c>
      <c r="G305" s="40" t="s">
        <v>42</v>
      </c>
      <c r="H305" s="41" t="s">
        <v>647</v>
      </c>
      <c r="I305" s="42" t="s">
        <v>43</v>
      </c>
      <c r="J305" s="40" t="s">
        <v>44</v>
      </c>
      <c r="K305" s="41" t="s">
        <v>43</v>
      </c>
      <c r="L305" s="40">
        <v>2</v>
      </c>
      <c r="M305" s="40">
        <v>1</v>
      </c>
      <c r="N305" s="41">
        <v>1</v>
      </c>
      <c r="O305" s="40">
        <v>4</v>
      </c>
      <c r="P305" s="40">
        <v>1</v>
      </c>
      <c r="Q305" s="41">
        <v>4</v>
      </c>
      <c r="R305" s="40">
        <v>4</v>
      </c>
      <c r="S305" s="40">
        <v>6</v>
      </c>
      <c r="T305" s="40" t="s">
        <v>45</v>
      </c>
      <c r="U305" s="40" t="s">
        <v>45</v>
      </c>
      <c r="V305" s="40">
        <v>2</v>
      </c>
      <c r="W305" s="40">
        <v>5</v>
      </c>
      <c r="X305" s="40" t="s">
        <v>45</v>
      </c>
      <c r="Y305" s="40" t="s">
        <v>45</v>
      </c>
      <c r="Z305" s="40" t="s">
        <v>45</v>
      </c>
      <c r="AA305" s="40" t="s">
        <v>45</v>
      </c>
      <c r="AB305" s="40" t="s">
        <v>45</v>
      </c>
      <c r="AC305" s="40" t="s">
        <v>45</v>
      </c>
      <c r="AD305" s="40" t="s">
        <v>45</v>
      </c>
      <c r="AE305" s="40" t="s">
        <v>45</v>
      </c>
      <c r="AF305" s="40" t="s">
        <v>45</v>
      </c>
      <c r="AG305" s="40" t="s">
        <v>45</v>
      </c>
      <c r="AH305" s="40" t="s">
        <v>45</v>
      </c>
      <c r="AI305" s="40" t="s">
        <v>45</v>
      </c>
      <c r="AJ305" s="40" t="s">
        <v>45</v>
      </c>
      <c r="AK305" s="40" t="s">
        <v>45</v>
      </c>
      <c r="AL305" s="40" t="s">
        <v>45</v>
      </c>
      <c r="AM305" s="40" t="s">
        <v>45</v>
      </c>
      <c r="AN305" s="40" t="s">
        <v>45</v>
      </c>
      <c r="AO305" s="41" t="s">
        <v>45</v>
      </c>
      <c r="AP305" s="40" t="s">
        <v>350</v>
      </c>
      <c r="AQ305" s="40">
        <v>9</v>
      </c>
      <c r="AR305" s="48" t="s">
        <v>14</v>
      </c>
      <c r="AS305" s="43" t="s">
        <v>659</v>
      </c>
      <c r="AT305" s="43" t="s">
        <v>47</v>
      </c>
      <c r="AU305" s="44">
        <f t="shared" si="32"/>
        <v>-2.5067929134584248</v>
      </c>
      <c r="AV305" s="44">
        <f t="shared" si="33"/>
        <v>-0.94495381554067481</v>
      </c>
      <c r="AW305" s="45">
        <f t="shared" si="34"/>
        <v>2</v>
      </c>
      <c r="AX305" s="45">
        <f t="shared" si="35"/>
        <v>1</v>
      </c>
      <c r="AY305" s="46">
        <f>VLOOKUP(AP305,COND!$A$10:$B$32,2,FALSE)</f>
        <v>1</v>
      </c>
      <c r="AZ305" s="44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27.549565106494818</v>
      </c>
      <c r="BA305" s="47">
        <f t="shared" si="39"/>
        <v>-0.5535808157717671</v>
      </c>
      <c r="BB305" s="45" t="str">
        <f t="shared" si="36"/>
        <v>RP</v>
      </c>
      <c r="BC305" s="45">
        <f>RANK(Table3[[#This Row],[zScore]],Table3[zScore])</f>
        <v>544</v>
      </c>
      <c r="BD305" s="45"/>
      <c r="BE305" s="45"/>
      <c r="BF305" s="45" t="str">
        <f t="shared" si="37"/>
        <v>Unlikely</v>
      </c>
      <c r="BG305" s="45"/>
      <c r="BH305" s="45" t="str">
        <f>INDEX(Table5[[#All],[Ovr]],MATCH(Table3[[#This Row],[PID]],Table5[[#All],[PID]],0))</f>
        <v/>
      </c>
      <c r="BI305" s="45" t="str">
        <f>INDEX(Table5[[#All],[Rnd]],MATCH(Table3[[#This Row],[PID]],Table5[[#All],[PID]],0))</f>
        <v/>
      </c>
      <c r="BJ305" s="45" t="str">
        <f>INDEX(Table5[[#All],[Pick]],MATCH(Table3[[#This Row],[PID]],Table5[[#All],[PID]],0))</f>
        <v/>
      </c>
      <c r="BK305" s="45" t="str">
        <f>INDEX(Table5[[#All],[Team]],MATCH(Table3[[#This Row],[PID]],Table5[[#All],[PID]],0))</f>
        <v/>
      </c>
      <c r="BL3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6" spans="1:64" ht="15" customHeight="1" x14ac:dyDescent="0.25">
      <c r="A306" s="40">
        <v>20755</v>
      </c>
      <c r="B306" s="40" t="s">
        <v>415</v>
      </c>
      <c r="C306" s="40" t="s">
        <v>1920</v>
      </c>
      <c r="D306" s="40" t="s">
        <v>319</v>
      </c>
      <c r="E306" s="40">
        <v>17</v>
      </c>
      <c r="F306" s="40" t="s">
        <v>42</v>
      </c>
      <c r="G306" s="40" t="s">
        <v>53</v>
      </c>
      <c r="H306" s="41" t="s">
        <v>647</v>
      </c>
      <c r="I306" s="42" t="s">
        <v>43</v>
      </c>
      <c r="J306" s="40" t="s">
        <v>43</v>
      </c>
      <c r="K306" s="41" t="s">
        <v>43</v>
      </c>
      <c r="L306" s="40">
        <v>1</v>
      </c>
      <c r="M306" s="40">
        <v>2</v>
      </c>
      <c r="N306" s="41">
        <v>1</v>
      </c>
      <c r="O306" s="40">
        <v>5</v>
      </c>
      <c r="P306" s="40">
        <v>2</v>
      </c>
      <c r="Q306" s="41">
        <v>2</v>
      </c>
      <c r="R306" s="40">
        <v>3</v>
      </c>
      <c r="S306" s="40">
        <v>4</v>
      </c>
      <c r="T306" s="40">
        <v>2</v>
      </c>
      <c r="U306" s="40">
        <v>8</v>
      </c>
      <c r="V306" s="40" t="s">
        <v>45</v>
      </c>
      <c r="W306" s="40" t="s">
        <v>45</v>
      </c>
      <c r="X306" s="40" t="s">
        <v>45</v>
      </c>
      <c r="Y306" s="40" t="s">
        <v>45</v>
      </c>
      <c r="Z306" s="40" t="s">
        <v>45</v>
      </c>
      <c r="AA306" s="40" t="s">
        <v>45</v>
      </c>
      <c r="AB306" s="40" t="s">
        <v>45</v>
      </c>
      <c r="AC306" s="40" t="s">
        <v>45</v>
      </c>
      <c r="AD306" s="40" t="s">
        <v>45</v>
      </c>
      <c r="AE306" s="40" t="s">
        <v>45</v>
      </c>
      <c r="AF306" s="40" t="s">
        <v>45</v>
      </c>
      <c r="AG306" s="40" t="s">
        <v>45</v>
      </c>
      <c r="AH306" s="40" t="s">
        <v>45</v>
      </c>
      <c r="AI306" s="40" t="s">
        <v>45</v>
      </c>
      <c r="AJ306" s="40" t="s">
        <v>45</v>
      </c>
      <c r="AK306" s="40" t="s">
        <v>45</v>
      </c>
      <c r="AL306" s="40" t="s">
        <v>45</v>
      </c>
      <c r="AM306" s="40" t="s">
        <v>45</v>
      </c>
      <c r="AN306" s="40" t="s">
        <v>45</v>
      </c>
      <c r="AO306" s="41" t="s">
        <v>45</v>
      </c>
      <c r="AP306" s="40" t="s">
        <v>68</v>
      </c>
      <c r="AQ306" s="40">
        <v>6</v>
      </c>
      <c r="AR306" s="48" t="s">
        <v>347</v>
      </c>
      <c r="AS306" s="43" t="s">
        <v>644</v>
      </c>
      <c r="AT306" s="43" t="s">
        <v>47</v>
      </c>
      <c r="AU306" s="44">
        <f t="shared" si="32"/>
        <v>-2.5060525215375429</v>
      </c>
      <c r="AV306" s="44">
        <f t="shared" si="33"/>
        <v>-1.0394719067096667</v>
      </c>
      <c r="AW306" s="45">
        <f t="shared" si="34"/>
        <v>2</v>
      </c>
      <c r="AX306" s="45">
        <f t="shared" si="35"/>
        <v>1</v>
      </c>
      <c r="AY306" s="46">
        <f>VLOOKUP(AP306,COND!$A$10:$B$32,2,FALSE)</f>
        <v>0.95</v>
      </c>
      <c r="AZ306" s="44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27.363599198588599</v>
      </c>
      <c r="BA306" s="47">
        <f t="shared" si="39"/>
        <v>-0.56595284344861962</v>
      </c>
      <c r="BB306" s="45" t="str">
        <f t="shared" si="36"/>
        <v>RP</v>
      </c>
      <c r="BC306" s="45">
        <f>RANK(Table3[[#This Row],[zScore]],Table3[zScore])</f>
        <v>545</v>
      </c>
      <c r="BD306" s="45"/>
      <c r="BE306" s="45"/>
      <c r="BF306" s="45" t="str">
        <f t="shared" si="37"/>
        <v>Unlikely</v>
      </c>
      <c r="BG306" s="45"/>
      <c r="BH306" s="45" t="str">
        <f>INDEX(Table5[[#All],[Ovr]],MATCH(Table3[[#This Row],[PID]],Table5[[#All],[PID]],0))</f>
        <v/>
      </c>
      <c r="BI306" s="45" t="str">
        <f>INDEX(Table5[[#All],[Rnd]],MATCH(Table3[[#This Row],[PID]],Table5[[#All],[PID]],0))</f>
        <v/>
      </c>
      <c r="BJ306" s="45" t="str">
        <f>INDEX(Table5[[#All],[Pick]],MATCH(Table3[[#This Row],[PID]],Table5[[#All],[PID]],0))</f>
        <v/>
      </c>
      <c r="BK306" s="45" t="str">
        <f>INDEX(Table5[[#All],[Team]],MATCH(Table3[[#This Row],[PID]],Table5[[#All],[PID]],0))</f>
        <v/>
      </c>
      <c r="BL3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7" spans="1:64" ht="15" customHeight="1" x14ac:dyDescent="0.25">
      <c r="A307" s="40">
        <v>20361</v>
      </c>
      <c r="B307" s="40" t="s">
        <v>415</v>
      </c>
      <c r="C307" s="40" t="s">
        <v>1990</v>
      </c>
      <c r="D307" s="40" t="s">
        <v>2127</v>
      </c>
      <c r="E307" s="40">
        <v>18</v>
      </c>
      <c r="F307" s="40" t="s">
        <v>53</v>
      </c>
      <c r="G307" s="40" t="s">
        <v>53</v>
      </c>
      <c r="H307" s="41" t="s">
        <v>647</v>
      </c>
      <c r="I307" s="42" t="s">
        <v>44</v>
      </c>
      <c r="J307" s="40" t="s">
        <v>44</v>
      </c>
      <c r="K307" s="41" t="s">
        <v>43</v>
      </c>
      <c r="L307" s="40">
        <v>2</v>
      </c>
      <c r="M307" s="40">
        <v>2</v>
      </c>
      <c r="N307" s="41">
        <v>1</v>
      </c>
      <c r="O307" s="40">
        <v>5</v>
      </c>
      <c r="P307" s="40">
        <v>2</v>
      </c>
      <c r="Q307" s="41">
        <v>2</v>
      </c>
      <c r="R307" s="40" t="s">
        <v>45</v>
      </c>
      <c r="S307" s="40" t="s">
        <v>45</v>
      </c>
      <c r="T307" s="40" t="s">
        <v>45</v>
      </c>
      <c r="U307" s="40" t="s">
        <v>45</v>
      </c>
      <c r="V307" s="40">
        <v>3</v>
      </c>
      <c r="W307" s="40">
        <v>7</v>
      </c>
      <c r="X307" s="40" t="s">
        <v>45</v>
      </c>
      <c r="Y307" s="40" t="s">
        <v>45</v>
      </c>
      <c r="Z307" s="40" t="s">
        <v>45</v>
      </c>
      <c r="AA307" s="40" t="s">
        <v>45</v>
      </c>
      <c r="AB307" s="40" t="s">
        <v>45</v>
      </c>
      <c r="AC307" s="40" t="s">
        <v>45</v>
      </c>
      <c r="AD307" s="40">
        <v>4</v>
      </c>
      <c r="AE307" s="40">
        <v>6</v>
      </c>
      <c r="AF307" s="40" t="s">
        <v>45</v>
      </c>
      <c r="AG307" s="40" t="s">
        <v>45</v>
      </c>
      <c r="AH307" s="40" t="s">
        <v>45</v>
      </c>
      <c r="AI307" s="40" t="s">
        <v>45</v>
      </c>
      <c r="AJ307" s="40" t="s">
        <v>45</v>
      </c>
      <c r="AK307" s="40" t="s">
        <v>45</v>
      </c>
      <c r="AL307" s="40" t="s">
        <v>45</v>
      </c>
      <c r="AM307" s="40" t="s">
        <v>45</v>
      </c>
      <c r="AN307" s="40" t="s">
        <v>45</v>
      </c>
      <c r="AO307" s="41" t="s">
        <v>45</v>
      </c>
      <c r="AP307" s="40" t="s">
        <v>350</v>
      </c>
      <c r="AQ307" s="40">
        <v>6</v>
      </c>
      <c r="AR307" s="48" t="s">
        <v>347</v>
      </c>
      <c r="AS307" s="43" t="s">
        <v>654</v>
      </c>
      <c r="AT307" s="43" t="s">
        <v>635</v>
      </c>
      <c r="AU307" s="44">
        <f t="shared" si="32"/>
        <v>-2.311361197028369</v>
      </c>
      <c r="AV307" s="44">
        <f t="shared" si="33"/>
        <v>-1.0394719067096667</v>
      </c>
      <c r="AW307" s="45">
        <f t="shared" si="34"/>
        <v>2</v>
      </c>
      <c r="AX307" s="45">
        <f t="shared" si="35"/>
        <v>2</v>
      </c>
      <c r="AY307" s="46">
        <f>VLOOKUP(AP307,COND!$A$10:$B$32,2,FALSE)</f>
        <v>1</v>
      </c>
      <c r="AZ307" s="44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27.242082385740964</v>
      </c>
      <c r="BA307" s="47">
        <f t="shared" si="39"/>
        <v>-0.5740371713164566</v>
      </c>
      <c r="BB307" s="45" t="str">
        <f t="shared" si="36"/>
        <v>RP</v>
      </c>
      <c r="BC307" s="45">
        <f>RANK(Table3[[#This Row],[zScore]],Table3[zScore])</f>
        <v>547</v>
      </c>
      <c r="BD307" s="45"/>
      <c r="BE307" s="45"/>
      <c r="BF307" s="45" t="str">
        <f t="shared" si="37"/>
        <v>Unlikely</v>
      </c>
      <c r="BG307" s="45"/>
      <c r="BH307" s="45" t="str">
        <f>INDEX(Table5[[#All],[Ovr]],MATCH(Table3[[#This Row],[PID]],Table5[[#All],[PID]],0))</f>
        <v/>
      </c>
      <c r="BI307" s="45" t="str">
        <f>INDEX(Table5[[#All],[Rnd]],MATCH(Table3[[#This Row],[PID]],Table5[[#All],[PID]],0))</f>
        <v/>
      </c>
      <c r="BJ307" s="45" t="str">
        <f>INDEX(Table5[[#All],[Pick]],MATCH(Table3[[#This Row],[PID]],Table5[[#All],[PID]],0))</f>
        <v/>
      </c>
      <c r="BK307" s="45" t="str">
        <f>INDEX(Table5[[#All],[Team]],MATCH(Table3[[#This Row],[PID]],Table5[[#All],[PID]],0))</f>
        <v/>
      </c>
      <c r="BL3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8" spans="1:64" ht="15" customHeight="1" x14ac:dyDescent="0.25">
      <c r="A308" s="40">
        <v>20804</v>
      </c>
      <c r="B308" s="40" t="s">
        <v>415</v>
      </c>
      <c r="C308" s="40" t="s">
        <v>1118</v>
      </c>
      <c r="D308" s="40" t="s">
        <v>207</v>
      </c>
      <c r="E308" s="40">
        <v>18</v>
      </c>
      <c r="F308" s="40" t="s">
        <v>42</v>
      </c>
      <c r="G308" s="40" t="s">
        <v>42</v>
      </c>
      <c r="H308" s="41" t="s">
        <v>647</v>
      </c>
      <c r="I308" s="42" t="s">
        <v>44</v>
      </c>
      <c r="J308" s="40" t="s">
        <v>44</v>
      </c>
      <c r="K308" s="41" t="s">
        <v>43</v>
      </c>
      <c r="L308" s="40">
        <v>1</v>
      </c>
      <c r="M308" s="40">
        <v>1</v>
      </c>
      <c r="N308" s="41">
        <v>1</v>
      </c>
      <c r="O308" s="40">
        <v>3</v>
      </c>
      <c r="P308" s="40">
        <v>1</v>
      </c>
      <c r="Q308" s="41">
        <v>3</v>
      </c>
      <c r="R308" s="40">
        <v>2</v>
      </c>
      <c r="S308" s="40">
        <v>4</v>
      </c>
      <c r="T308" s="40">
        <v>1</v>
      </c>
      <c r="U308" s="40">
        <v>5</v>
      </c>
      <c r="V308" s="40">
        <v>1</v>
      </c>
      <c r="W308" s="40">
        <v>4</v>
      </c>
      <c r="X308" s="40">
        <v>1</v>
      </c>
      <c r="Y308" s="40">
        <v>3</v>
      </c>
      <c r="Z308" s="40" t="s">
        <v>45</v>
      </c>
      <c r="AA308" s="40" t="s">
        <v>45</v>
      </c>
      <c r="AB308" s="40" t="s">
        <v>45</v>
      </c>
      <c r="AC308" s="40" t="s">
        <v>45</v>
      </c>
      <c r="AD308" s="40" t="s">
        <v>45</v>
      </c>
      <c r="AE308" s="40" t="s">
        <v>45</v>
      </c>
      <c r="AF308" s="40">
        <v>2</v>
      </c>
      <c r="AG308" s="40">
        <v>3</v>
      </c>
      <c r="AH308" s="40" t="s">
        <v>45</v>
      </c>
      <c r="AI308" s="40" t="s">
        <v>45</v>
      </c>
      <c r="AJ308" s="40" t="s">
        <v>45</v>
      </c>
      <c r="AK308" s="40" t="s">
        <v>45</v>
      </c>
      <c r="AL308" s="40" t="s">
        <v>45</v>
      </c>
      <c r="AM308" s="40" t="s">
        <v>45</v>
      </c>
      <c r="AN308" s="40" t="s">
        <v>45</v>
      </c>
      <c r="AO308" s="41" t="s">
        <v>45</v>
      </c>
      <c r="AP308" s="40" t="s">
        <v>65</v>
      </c>
      <c r="AQ308" s="40">
        <v>10</v>
      </c>
      <c r="AR308" s="48" t="s">
        <v>14</v>
      </c>
      <c r="AS308" s="43" t="s">
        <v>656</v>
      </c>
      <c r="AT308" s="43" t="s">
        <v>47</v>
      </c>
      <c r="AU308" s="44">
        <f t="shared" si="32"/>
        <v>-2.7014842379675978</v>
      </c>
      <c r="AV308" s="44">
        <f t="shared" si="33"/>
        <v>-1.3819657061039585</v>
      </c>
      <c r="AW308" s="45">
        <f t="shared" si="34"/>
        <v>5</v>
      </c>
      <c r="AX308" s="45">
        <f t="shared" si="35"/>
        <v>0</v>
      </c>
      <c r="AY308" s="46">
        <f>VLOOKUP(AP308,COND!$A$10:$B$32,2,FALSE)</f>
        <v>0.95</v>
      </c>
      <c r="AZ308" s="44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27.154369578810943</v>
      </c>
      <c r="BA308" s="47">
        <f t="shared" si="39"/>
        <v>-0.57987257032679507</v>
      </c>
      <c r="BB308" s="45" t="str">
        <f t="shared" si="36"/>
        <v>SP</v>
      </c>
      <c r="BC308" s="45">
        <f>RANK(Table3[[#This Row],[zScore]],Table3[zScore])</f>
        <v>548</v>
      </c>
      <c r="BD308" s="45"/>
      <c r="BE308" s="45"/>
      <c r="BF308" s="45" t="str">
        <f t="shared" si="37"/>
        <v>Unlikely</v>
      </c>
      <c r="BG308" s="45"/>
      <c r="BH308" s="45" t="str">
        <f>INDEX(Table5[[#All],[Ovr]],MATCH(Table3[[#This Row],[PID]],Table5[[#All],[PID]],0))</f>
        <v/>
      </c>
      <c r="BI308" s="45" t="str">
        <f>INDEX(Table5[[#All],[Rnd]],MATCH(Table3[[#This Row],[PID]],Table5[[#All],[PID]],0))</f>
        <v/>
      </c>
      <c r="BJ308" s="45" t="str">
        <f>INDEX(Table5[[#All],[Pick]],MATCH(Table3[[#This Row],[PID]],Table5[[#All],[PID]],0))</f>
        <v/>
      </c>
      <c r="BK308" s="45" t="str">
        <f>INDEX(Table5[[#All],[Team]],MATCH(Table3[[#This Row],[PID]],Table5[[#All],[PID]],0))</f>
        <v/>
      </c>
      <c r="BL3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09" spans="1:64" ht="15" customHeight="1" x14ac:dyDescent="0.25">
      <c r="A309" s="40">
        <v>17939</v>
      </c>
      <c r="B309" s="40" t="s">
        <v>415</v>
      </c>
      <c r="C309" s="40" t="s">
        <v>2210</v>
      </c>
      <c r="D309" s="40" t="s">
        <v>1378</v>
      </c>
      <c r="E309" s="40">
        <v>18</v>
      </c>
      <c r="F309" s="40" t="s">
        <v>53</v>
      </c>
      <c r="G309" s="40" t="s">
        <v>53</v>
      </c>
      <c r="H309" s="41" t="s">
        <v>647</v>
      </c>
      <c r="I309" s="42" t="s">
        <v>43</v>
      </c>
      <c r="J309" s="40" t="s">
        <v>43</v>
      </c>
      <c r="K309" s="41" t="s">
        <v>43</v>
      </c>
      <c r="L309" s="40">
        <v>1</v>
      </c>
      <c r="M309" s="40">
        <v>1</v>
      </c>
      <c r="N309" s="41">
        <v>1</v>
      </c>
      <c r="O309" s="40">
        <v>3</v>
      </c>
      <c r="P309" s="40">
        <v>1</v>
      </c>
      <c r="Q309" s="41">
        <v>3</v>
      </c>
      <c r="R309" s="40">
        <v>2</v>
      </c>
      <c r="S309" s="40">
        <v>4</v>
      </c>
      <c r="T309" s="40">
        <v>2</v>
      </c>
      <c r="U309" s="40">
        <v>7</v>
      </c>
      <c r="V309" s="40">
        <v>2</v>
      </c>
      <c r="W309" s="40">
        <v>5</v>
      </c>
      <c r="X309" s="40" t="s">
        <v>45</v>
      </c>
      <c r="Y309" s="40" t="s">
        <v>45</v>
      </c>
      <c r="Z309" s="40" t="s">
        <v>45</v>
      </c>
      <c r="AA309" s="40" t="s">
        <v>45</v>
      </c>
      <c r="AB309" s="40" t="s">
        <v>45</v>
      </c>
      <c r="AC309" s="40" t="s">
        <v>45</v>
      </c>
      <c r="AD309" s="40" t="s">
        <v>45</v>
      </c>
      <c r="AE309" s="40" t="s">
        <v>45</v>
      </c>
      <c r="AF309" s="40">
        <v>1</v>
      </c>
      <c r="AG309" s="40">
        <v>1</v>
      </c>
      <c r="AH309" s="40" t="s">
        <v>45</v>
      </c>
      <c r="AI309" s="40" t="s">
        <v>45</v>
      </c>
      <c r="AJ309" s="40" t="s">
        <v>45</v>
      </c>
      <c r="AK309" s="40" t="s">
        <v>45</v>
      </c>
      <c r="AL309" s="40" t="s">
        <v>45</v>
      </c>
      <c r="AM309" s="40" t="s">
        <v>45</v>
      </c>
      <c r="AN309" s="40" t="s">
        <v>45</v>
      </c>
      <c r="AO309" s="41" t="s">
        <v>45</v>
      </c>
      <c r="AP309" s="40" t="s">
        <v>70</v>
      </c>
      <c r="AQ309" s="40">
        <v>4</v>
      </c>
      <c r="AR309" s="48" t="s">
        <v>14</v>
      </c>
      <c r="AS309" s="43" t="s">
        <v>670</v>
      </c>
      <c r="AT309" s="43"/>
      <c r="AU309" s="44">
        <f t="shared" si="32"/>
        <v>-2.7014842379675978</v>
      </c>
      <c r="AV309" s="44">
        <f t="shared" si="33"/>
        <v>-1.3819657061039585</v>
      </c>
      <c r="AW309" s="45">
        <f t="shared" si="34"/>
        <v>4</v>
      </c>
      <c r="AX309" s="45">
        <f t="shared" si="35"/>
        <v>1</v>
      </c>
      <c r="AY309" s="46">
        <f>VLOOKUP(AP309,COND!$A$10:$B$32,2,FALSE)</f>
        <v>0.9</v>
      </c>
      <c r="AZ309" s="44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28.685182620929847</v>
      </c>
      <c r="BA309" s="47">
        <f>STANDARDIZE(AZ309,AVERAGE($AZ$5:$AZ$788),STDEVP($AZ$5:$AZ$788))</f>
        <v>-0.58572310041046816</v>
      </c>
      <c r="BB309" s="45" t="str">
        <f t="shared" si="36"/>
        <v>RP</v>
      </c>
      <c r="BC309" s="45">
        <f>RANK(Table3[[#This Row],[zScore]],Table3[zScore])</f>
        <v>550</v>
      </c>
      <c r="BD309" s="45"/>
      <c r="BE309" s="45"/>
      <c r="BF309" s="45" t="str">
        <f t="shared" si="37"/>
        <v>Unlikely</v>
      </c>
      <c r="BG309" s="45"/>
      <c r="BH309" s="64" t="str">
        <f>INDEX(Table5[[#All],[Ovr]],MATCH(Table3[[#This Row],[PID]],Table5[[#All],[PID]],0))</f>
        <v/>
      </c>
      <c r="BI309" s="64" t="str">
        <f>INDEX(Table5[[#All],[Rnd]],MATCH(Table3[[#This Row],[PID]],Table5[[#All],[PID]],0))</f>
        <v/>
      </c>
      <c r="BJ309" s="64" t="str">
        <f>INDEX(Table5[[#All],[Pick]],MATCH(Table3[[#This Row],[PID]],Table5[[#All],[PID]],0))</f>
        <v/>
      </c>
      <c r="BK309" s="64" t="str">
        <f>INDEX(Table5[[#All],[Team]],MATCH(Table3[[#This Row],[PID]],Table5[[#All],[PID]],0))</f>
        <v/>
      </c>
      <c r="BL309" s="64" t="str">
        <f>IF(OR(Table3[[#This Row],[POS]]="SP",Table3[[#This Row],[POS]]="RP",Table3[[#This Row],[POS]]="CL"),"P",INDEX(Batters[[#All],[zScore]],MATCH(Table3[[#This Row],[PID]],Batters[[#All],[PID]],0)))</f>
        <v>P</v>
      </c>
    </row>
    <row r="310" spans="1:64" ht="15" customHeight="1" x14ac:dyDescent="0.25">
      <c r="A310" s="40">
        <v>20807</v>
      </c>
      <c r="B310" s="40" t="s">
        <v>415</v>
      </c>
      <c r="C310" s="40" t="s">
        <v>2140</v>
      </c>
      <c r="D310" s="40" t="s">
        <v>662</v>
      </c>
      <c r="E310" s="40">
        <v>17</v>
      </c>
      <c r="F310" s="40" t="s">
        <v>53</v>
      </c>
      <c r="G310" s="40" t="s">
        <v>53</v>
      </c>
      <c r="H310" s="41" t="s">
        <v>647</v>
      </c>
      <c r="I310" s="42" t="s">
        <v>43</v>
      </c>
      <c r="J310" s="40" t="s">
        <v>44</v>
      </c>
      <c r="K310" s="41" t="s">
        <v>47</v>
      </c>
      <c r="L310" s="40">
        <v>2</v>
      </c>
      <c r="M310" s="40">
        <v>2</v>
      </c>
      <c r="N310" s="41">
        <v>1</v>
      </c>
      <c r="O310" s="40">
        <v>4</v>
      </c>
      <c r="P310" s="40">
        <v>2</v>
      </c>
      <c r="Q310" s="41">
        <v>2</v>
      </c>
      <c r="R310" s="40">
        <v>3</v>
      </c>
      <c r="S310" s="40">
        <v>6</v>
      </c>
      <c r="T310" s="40">
        <v>1</v>
      </c>
      <c r="U310" s="40">
        <v>1</v>
      </c>
      <c r="V310" s="40" t="s">
        <v>45</v>
      </c>
      <c r="W310" s="40" t="s">
        <v>45</v>
      </c>
      <c r="X310" s="40" t="s">
        <v>45</v>
      </c>
      <c r="Y310" s="40" t="s">
        <v>45</v>
      </c>
      <c r="Z310" s="40" t="s">
        <v>45</v>
      </c>
      <c r="AA310" s="40" t="s">
        <v>45</v>
      </c>
      <c r="AB310" s="40" t="s">
        <v>45</v>
      </c>
      <c r="AC310" s="40" t="s">
        <v>45</v>
      </c>
      <c r="AD310" s="40">
        <v>2</v>
      </c>
      <c r="AE310" s="40">
        <v>5</v>
      </c>
      <c r="AF310" s="40" t="s">
        <v>45</v>
      </c>
      <c r="AG310" s="40" t="s">
        <v>45</v>
      </c>
      <c r="AH310" s="40">
        <v>1</v>
      </c>
      <c r="AI310" s="40">
        <v>1</v>
      </c>
      <c r="AJ310" s="40" t="s">
        <v>45</v>
      </c>
      <c r="AK310" s="40" t="s">
        <v>45</v>
      </c>
      <c r="AL310" s="40" t="s">
        <v>45</v>
      </c>
      <c r="AM310" s="40" t="s">
        <v>45</v>
      </c>
      <c r="AN310" s="40" t="s">
        <v>45</v>
      </c>
      <c r="AO310" s="41" t="s">
        <v>45</v>
      </c>
      <c r="AP310" s="40" t="s">
        <v>64</v>
      </c>
      <c r="AQ310" s="40">
        <v>4</v>
      </c>
      <c r="AR310" s="48" t="s">
        <v>347</v>
      </c>
      <c r="AS310" s="43" t="s">
        <v>663</v>
      </c>
      <c r="AT310" s="43" t="s">
        <v>47</v>
      </c>
      <c r="AU310" s="44">
        <f t="shared" si="32"/>
        <v>-2.311361197028369</v>
      </c>
      <c r="AV310" s="44">
        <f t="shared" si="33"/>
        <v>-1.23416323121884</v>
      </c>
      <c r="AW310" s="45">
        <f t="shared" si="34"/>
        <v>4</v>
      </c>
      <c r="AX310" s="45">
        <f t="shared" si="35"/>
        <v>1</v>
      </c>
      <c r="AY310" s="46">
        <f>VLOOKUP(AP310,COND!$A$10:$B$32,2,FALSE)</f>
        <v>1</v>
      </c>
      <c r="AZ310" s="44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29.199239979406649</v>
      </c>
      <c r="BA310" s="47">
        <f>STANDARDIZE(AZ310,AVERAGE($AZ$5:$AZ$663),STDEVP($AZ$5:$AZ$663))</f>
        <v>-0.58940820519085202</v>
      </c>
      <c r="BB310" s="45" t="str">
        <f t="shared" si="36"/>
        <v>RP</v>
      </c>
      <c r="BC310" s="45">
        <f>RANK(Table3[[#This Row],[zScore]],Table3[zScore])</f>
        <v>553</v>
      </c>
      <c r="BD310" s="45"/>
      <c r="BE310" s="45"/>
      <c r="BF310" s="45" t="str">
        <f t="shared" si="37"/>
        <v>Unlikely</v>
      </c>
      <c r="BG310" s="45"/>
      <c r="BH310" s="45" t="str">
        <f>INDEX(Table5[[#All],[Ovr]],MATCH(Table3[[#This Row],[PID]],Table5[[#All],[PID]],0))</f>
        <v/>
      </c>
      <c r="BI310" s="45" t="str">
        <f>INDEX(Table5[[#All],[Rnd]],MATCH(Table3[[#This Row],[PID]],Table5[[#All],[PID]],0))</f>
        <v/>
      </c>
      <c r="BJ310" s="45" t="str">
        <f>INDEX(Table5[[#All],[Pick]],MATCH(Table3[[#This Row],[PID]],Table5[[#All],[PID]],0))</f>
        <v/>
      </c>
      <c r="BK310" s="45" t="str">
        <f>INDEX(Table5[[#All],[Team]],MATCH(Table3[[#This Row],[PID]],Table5[[#All],[PID]],0))</f>
        <v/>
      </c>
      <c r="BL3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1" spans="1:64" ht="15" customHeight="1" x14ac:dyDescent="0.25">
      <c r="A311" s="40">
        <v>20656</v>
      </c>
      <c r="B311" s="40" t="s">
        <v>415</v>
      </c>
      <c r="C311" s="40" t="s">
        <v>2165</v>
      </c>
      <c r="D311" s="40" t="s">
        <v>2166</v>
      </c>
      <c r="E311" s="40">
        <v>17</v>
      </c>
      <c r="F311" s="40" t="s">
        <v>53</v>
      </c>
      <c r="G311" s="40" t="s">
        <v>53</v>
      </c>
      <c r="H311" s="41" t="s">
        <v>647</v>
      </c>
      <c r="I311" s="42" t="s">
        <v>43</v>
      </c>
      <c r="J311" s="40" t="s">
        <v>44</v>
      </c>
      <c r="K311" s="41" t="s">
        <v>43</v>
      </c>
      <c r="L311" s="40">
        <v>2</v>
      </c>
      <c r="M311" s="40">
        <v>2</v>
      </c>
      <c r="N311" s="41">
        <v>1</v>
      </c>
      <c r="O311" s="40">
        <v>5</v>
      </c>
      <c r="P311" s="40">
        <v>2</v>
      </c>
      <c r="Q311" s="41">
        <v>2</v>
      </c>
      <c r="R311" s="40">
        <v>3</v>
      </c>
      <c r="S311" s="40">
        <v>6</v>
      </c>
      <c r="T311" s="40" t="s">
        <v>45</v>
      </c>
      <c r="U311" s="40" t="s">
        <v>45</v>
      </c>
      <c r="V311" s="40">
        <v>2</v>
      </c>
      <c r="W311" s="40">
        <v>6</v>
      </c>
      <c r="X311" s="40" t="s">
        <v>45</v>
      </c>
      <c r="Y311" s="40" t="s">
        <v>45</v>
      </c>
      <c r="Z311" s="40" t="s">
        <v>45</v>
      </c>
      <c r="AA311" s="40" t="s">
        <v>45</v>
      </c>
      <c r="AB311" s="40" t="s">
        <v>45</v>
      </c>
      <c r="AC311" s="40" t="s">
        <v>45</v>
      </c>
      <c r="AD311" s="40" t="s">
        <v>45</v>
      </c>
      <c r="AE311" s="40" t="s">
        <v>45</v>
      </c>
      <c r="AF311" s="40" t="s">
        <v>45</v>
      </c>
      <c r="AG311" s="40" t="s">
        <v>45</v>
      </c>
      <c r="AH311" s="40" t="s">
        <v>45</v>
      </c>
      <c r="AI311" s="40" t="s">
        <v>45</v>
      </c>
      <c r="AJ311" s="40" t="s">
        <v>45</v>
      </c>
      <c r="AK311" s="40" t="s">
        <v>45</v>
      </c>
      <c r="AL311" s="40" t="s">
        <v>45</v>
      </c>
      <c r="AM311" s="40" t="s">
        <v>45</v>
      </c>
      <c r="AN311" s="40" t="s">
        <v>45</v>
      </c>
      <c r="AO311" s="41" t="s">
        <v>45</v>
      </c>
      <c r="AP311" s="40" t="s">
        <v>68</v>
      </c>
      <c r="AQ311" s="40">
        <v>2</v>
      </c>
      <c r="AR311" s="48" t="s">
        <v>347</v>
      </c>
      <c r="AS311" s="43" t="s">
        <v>670</v>
      </c>
      <c r="AT311" s="43"/>
      <c r="AU311" s="44">
        <f t="shared" si="32"/>
        <v>-2.311361197028369</v>
      </c>
      <c r="AV311" s="44">
        <f t="shared" si="33"/>
        <v>-1.0394719067096667</v>
      </c>
      <c r="AW311" s="45">
        <f t="shared" si="34"/>
        <v>2</v>
      </c>
      <c r="AX311" s="45">
        <f t="shared" si="35"/>
        <v>2</v>
      </c>
      <c r="AY311" s="46">
        <f>VLOOKUP(AP311,COND!$A$10:$B$32,2,FALSE)</f>
        <v>0.95</v>
      </c>
      <c r="AZ311" s="44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28.679081387826898</v>
      </c>
      <c r="BA311" s="47">
        <f>STANDARDIZE(AZ311,AVERAGE($AZ$5:$AZ$788),STDEVP($AZ$5:$AZ$788))</f>
        <v>-0.58616460068000031</v>
      </c>
      <c r="BB311" s="45" t="str">
        <f t="shared" si="36"/>
        <v>RP</v>
      </c>
      <c r="BC311" s="45">
        <f>RANK(Table3[[#This Row],[zScore]],Table3[zScore])</f>
        <v>551</v>
      </c>
      <c r="BD311" s="45"/>
      <c r="BE311" s="45"/>
      <c r="BF311" s="45" t="str">
        <f t="shared" si="37"/>
        <v>Unlikely</v>
      </c>
      <c r="BG311" s="45"/>
      <c r="BH311" s="64" t="str">
        <f>INDEX(Table5[[#All],[Ovr]],MATCH(Table3[[#This Row],[PID]],Table5[[#All],[PID]],0))</f>
        <v/>
      </c>
      <c r="BI311" s="64" t="str">
        <f>INDEX(Table5[[#All],[Rnd]],MATCH(Table3[[#This Row],[PID]],Table5[[#All],[PID]],0))</f>
        <v/>
      </c>
      <c r="BJ311" s="64" t="str">
        <f>INDEX(Table5[[#All],[Pick]],MATCH(Table3[[#This Row],[PID]],Table5[[#All],[PID]],0))</f>
        <v/>
      </c>
      <c r="BK311" s="64" t="str">
        <f>INDEX(Table5[[#All],[Team]],MATCH(Table3[[#This Row],[PID]],Table5[[#All],[PID]],0))</f>
        <v/>
      </c>
      <c r="BL311" s="64" t="str">
        <f>IF(OR(Table3[[#This Row],[POS]]="SP",Table3[[#This Row],[POS]]="RP",Table3[[#This Row],[POS]]="CL"),"P",INDEX(Batters[[#All],[zScore]],MATCH(Table3[[#This Row],[PID]],Batters[[#All],[PID]],0)))</f>
        <v>P</v>
      </c>
    </row>
    <row r="312" spans="1:64" ht="15" customHeight="1" x14ac:dyDescent="0.25">
      <c r="A312" s="40">
        <v>17758</v>
      </c>
      <c r="B312" s="40" t="s">
        <v>415</v>
      </c>
      <c r="C312" s="40" t="s">
        <v>151</v>
      </c>
      <c r="D312" s="40" t="s">
        <v>2014</v>
      </c>
      <c r="E312" s="40">
        <v>21</v>
      </c>
      <c r="F312" s="40" t="s">
        <v>53</v>
      </c>
      <c r="G312" s="40" t="s">
        <v>42</v>
      </c>
      <c r="H312" s="41" t="s">
        <v>647</v>
      </c>
      <c r="I312" s="42" t="s">
        <v>43</v>
      </c>
      <c r="J312" s="40" t="s">
        <v>47</v>
      </c>
      <c r="K312" s="41" t="s">
        <v>47</v>
      </c>
      <c r="L312" s="40">
        <v>2</v>
      </c>
      <c r="M312" s="40">
        <v>2</v>
      </c>
      <c r="N312" s="41">
        <v>2</v>
      </c>
      <c r="O312" s="40">
        <v>3</v>
      </c>
      <c r="P312" s="40">
        <v>2</v>
      </c>
      <c r="Q312" s="41">
        <v>3</v>
      </c>
      <c r="R312" s="40" t="s">
        <v>45</v>
      </c>
      <c r="S312" s="40" t="s">
        <v>45</v>
      </c>
      <c r="T312" s="40">
        <v>1</v>
      </c>
      <c r="U312" s="40">
        <v>3</v>
      </c>
      <c r="V312" s="40">
        <v>1</v>
      </c>
      <c r="W312" s="40">
        <v>1</v>
      </c>
      <c r="X312" s="40">
        <v>2</v>
      </c>
      <c r="Y312" s="40">
        <v>4</v>
      </c>
      <c r="Z312" s="40" t="s">
        <v>45</v>
      </c>
      <c r="AA312" s="40" t="s">
        <v>45</v>
      </c>
      <c r="AB312" s="40">
        <v>3</v>
      </c>
      <c r="AC312" s="40">
        <v>4</v>
      </c>
      <c r="AD312" s="40">
        <v>3</v>
      </c>
      <c r="AE312" s="40">
        <v>4</v>
      </c>
      <c r="AF312" s="40">
        <v>3</v>
      </c>
      <c r="AG312" s="40">
        <v>4</v>
      </c>
      <c r="AH312" s="40" t="s">
        <v>45</v>
      </c>
      <c r="AI312" s="40" t="s">
        <v>45</v>
      </c>
      <c r="AJ312" s="40" t="s">
        <v>45</v>
      </c>
      <c r="AK312" s="40" t="s">
        <v>45</v>
      </c>
      <c r="AL312" s="40" t="s">
        <v>45</v>
      </c>
      <c r="AM312" s="40" t="s">
        <v>45</v>
      </c>
      <c r="AN312" s="40" t="s">
        <v>45</v>
      </c>
      <c r="AO312" s="41" t="s">
        <v>45</v>
      </c>
      <c r="AP312" s="40" t="s">
        <v>350</v>
      </c>
      <c r="AQ312" s="40">
        <v>6</v>
      </c>
      <c r="AR312" s="48" t="s">
        <v>347</v>
      </c>
      <c r="AS312" s="43" t="s">
        <v>45</v>
      </c>
      <c r="AT312" s="43" t="s">
        <v>47</v>
      </c>
      <c r="AU312" s="44">
        <f t="shared" si="32"/>
        <v>-2.0690406309742588</v>
      </c>
      <c r="AV312" s="44">
        <f t="shared" si="33"/>
        <v>-1.1865339896739031</v>
      </c>
      <c r="AW312" s="45">
        <f t="shared" si="34"/>
        <v>6</v>
      </c>
      <c r="AX312" s="45">
        <f t="shared" si="35"/>
        <v>0</v>
      </c>
      <c r="AY312" s="46">
        <f>VLOOKUP(AP312,COND!$A$10:$B$32,2,FALSE)</f>
        <v>1</v>
      </c>
      <c r="AZ312" s="44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26.984124278318912</v>
      </c>
      <c r="BA312" s="47">
        <f t="shared" ref="BA312:BA317" si="40">STANDARDIZE(AZ312,AVERAGE($AZ$5:$AZ$557),STDEVP($AZ$5:$AZ$557))</f>
        <v>-0.59119873001518086</v>
      </c>
      <c r="BB312" s="45" t="str">
        <f t="shared" si="36"/>
        <v>SP</v>
      </c>
      <c r="BC312" s="45">
        <f>RANK(Table3[[#This Row],[zScore]],Table3[zScore])</f>
        <v>554</v>
      </c>
      <c r="BD312" s="45"/>
      <c r="BE312" s="45"/>
      <c r="BF312" s="45" t="str">
        <f t="shared" si="37"/>
        <v>Unlikely</v>
      </c>
      <c r="BG312" s="45"/>
      <c r="BH312" s="45" t="str">
        <f>INDEX(Table5[[#All],[Ovr]],MATCH(Table3[[#This Row],[PID]],Table5[[#All],[PID]],0))</f>
        <v/>
      </c>
      <c r="BI312" s="45" t="str">
        <f>INDEX(Table5[[#All],[Rnd]],MATCH(Table3[[#This Row],[PID]],Table5[[#All],[PID]],0))</f>
        <v/>
      </c>
      <c r="BJ312" s="45" t="str">
        <f>INDEX(Table5[[#All],[Pick]],MATCH(Table3[[#This Row],[PID]],Table5[[#All],[PID]],0))</f>
        <v/>
      </c>
      <c r="BK312" s="45" t="str">
        <f>INDEX(Table5[[#All],[Team]],MATCH(Table3[[#This Row],[PID]],Table5[[#All],[PID]],0))</f>
        <v/>
      </c>
      <c r="BL3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3" spans="1:64" ht="15" customHeight="1" x14ac:dyDescent="0.25">
      <c r="A313" s="40">
        <v>10321</v>
      </c>
      <c r="B313" s="40" t="s">
        <v>415</v>
      </c>
      <c r="C313" s="40" t="s">
        <v>1034</v>
      </c>
      <c r="D313" s="40" t="s">
        <v>2064</v>
      </c>
      <c r="E313" s="40">
        <v>21</v>
      </c>
      <c r="F313" s="40" t="s">
        <v>62</v>
      </c>
      <c r="G313" s="40" t="s">
        <v>42</v>
      </c>
      <c r="H313" s="41" t="s">
        <v>647</v>
      </c>
      <c r="I313" s="42" t="s">
        <v>43</v>
      </c>
      <c r="J313" s="40" t="s">
        <v>44</v>
      </c>
      <c r="K313" s="41" t="s">
        <v>43</v>
      </c>
      <c r="L313" s="40">
        <v>2</v>
      </c>
      <c r="M313" s="40">
        <v>2</v>
      </c>
      <c r="N313" s="41">
        <v>1</v>
      </c>
      <c r="O313" s="40">
        <v>4</v>
      </c>
      <c r="P313" s="40">
        <v>3</v>
      </c>
      <c r="Q313" s="41">
        <v>2</v>
      </c>
      <c r="R313" s="40">
        <v>3</v>
      </c>
      <c r="S313" s="40">
        <v>5</v>
      </c>
      <c r="T313" s="40">
        <v>1</v>
      </c>
      <c r="U313" s="40">
        <v>5</v>
      </c>
      <c r="V313" s="40" t="s">
        <v>45</v>
      </c>
      <c r="W313" s="40" t="s">
        <v>45</v>
      </c>
      <c r="X313" s="40">
        <v>2</v>
      </c>
      <c r="Y313" s="40">
        <v>5</v>
      </c>
      <c r="Z313" s="40" t="s">
        <v>45</v>
      </c>
      <c r="AA313" s="40" t="s">
        <v>45</v>
      </c>
      <c r="AB313" s="40" t="s">
        <v>45</v>
      </c>
      <c r="AC313" s="40" t="s">
        <v>45</v>
      </c>
      <c r="AD313" s="40" t="s">
        <v>45</v>
      </c>
      <c r="AE313" s="40" t="s">
        <v>45</v>
      </c>
      <c r="AF313" s="40" t="s">
        <v>45</v>
      </c>
      <c r="AG313" s="40" t="s">
        <v>45</v>
      </c>
      <c r="AH313" s="40" t="s">
        <v>45</v>
      </c>
      <c r="AI313" s="40" t="s">
        <v>45</v>
      </c>
      <c r="AJ313" s="40" t="s">
        <v>45</v>
      </c>
      <c r="AK313" s="40" t="s">
        <v>45</v>
      </c>
      <c r="AL313" s="40" t="s">
        <v>45</v>
      </c>
      <c r="AM313" s="40" t="s">
        <v>45</v>
      </c>
      <c r="AN313" s="40" t="s">
        <v>45</v>
      </c>
      <c r="AO313" s="41" t="s">
        <v>45</v>
      </c>
      <c r="AP313" s="40" t="s">
        <v>349</v>
      </c>
      <c r="AQ313" s="40">
        <v>9</v>
      </c>
      <c r="AR313" s="48" t="s">
        <v>347</v>
      </c>
      <c r="AS313" s="43" t="s">
        <v>45</v>
      </c>
      <c r="AT313" s="43" t="s">
        <v>635</v>
      </c>
      <c r="AU313" s="44">
        <f t="shared" si="32"/>
        <v>-2.311361197028369</v>
      </c>
      <c r="AV313" s="44">
        <f t="shared" si="33"/>
        <v>-1.0387315147887846</v>
      </c>
      <c r="AW313" s="45">
        <f t="shared" si="34"/>
        <v>3</v>
      </c>
      <c r="AX313" s="45">
        <f t="shared" si="35"/>
        <v>0</v>
      </c>
      <c r="AY313" s="46">
        <f>VLOOKUP(AP313,COND!$A$10:$B$32,2,FALSE)</f>
        <v>1</v>
      </c>
      <c r="AZ313" s="44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26.963097464818635</v>
      </c>
      <c r="BA313" s="47">
        <f t="shared" si="40"/>
        <v>-0.59259761178609471</v>
      </c>
      <c r="BB313" s="45" t="str">
        <f t="shared" si="36"/>
        <v>SP</v>
      </c>
      <c r="BC313" s="45">
        <f>RANK(Table3[[#This Row],[zScore]],Table3[zScore])</f>
        <v>555</v>
      </c>
      <c r="BD313" s="45"/>
      <c r="BE313" s="45"/>
      <c r="BF313" s="45" t="str">
        <f t="shared" si="37"/>
        <v>Unlikely</v>
      </c>
      <c r="BG313" s="45"/>
      <c r="BH313" s="45" t="str">
        <f>INDEX(Table5[[#All],[Ovr]],MATCH(Table3[[#This Row],[PID]],Table5[[#All],[PID]],0))</f>
        <v/>
      </c>
      <c r="BI313" s="45" t="str">
        <f>INDEX(Table5[[#All],[Rnd]],MATCH(Table3[[#This Row],[PID]],Table5[[#All],[PID]],0))</f>
        <v/>
      </c>
      <c r="BJ313" s="45" t="str">
        <f>INDEX(Table5[[#All],[Pick]],MATCH(Table3[[#This Row],[PID]],Table5[[#All],[PID]],0))</f>
        <v/>
      </c>
      <c r="BK313" s="45" t="str">
        <f>INDEX(Table5[[#All],[Team]],MATCH(Table3[[#This Row],[PID]],Table5[[#All],[PID]],0))</f>
        <v/>
      </c>
      <c r="BL3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4" spans="1:64" ht="15" customHeight="1" x14ac:dyDescent="0.25">
      <c r="A314" s="40">
        <v>20680</v>
      </c>
      <c r="B314" s="40" t="s">
        <v>415</v>
      </c>
      <c r="C314" s="40" t="s">
        <v>2099</v>
      </c>
      <c r="D314" s="40" t="s">
        <v>2100</v>
      </c>
      <c r="E314" s="40">
        <v>16</v>
      </c>
      <c r="F314" s="40" t="s">
        <v>53</v>
      </c>
      <c r="G314" s="40" t="s">
        <v>53</v>
      </c>
      <c r="H314" s="41" t="s">
        <v>647</v>
      </c>
      <c r="I314" s="42" t="s">
        <v>43</v>
      </c>
      <c r="J314" s="40" t="s">
        <v>43</v>
      </c>
      <c r="K314" s="41" t="s">
        <v>43</v>
      </c>
      <c r="L314" s="40">
        <v>2</v>
      </c>
      <c r="M314" s="40">
        <v>2</v>
      </c>
      <c r="N314" s="41">
        <v>1</v>
      </c>
      <c r="O314" s="40">
        <v>3</v>
      </c>
      <c r="P314" s="40">
        <v>2</v>
      </c>
      <c r="Q314" s="41">
        <v>2</v>
      </c>
      <c r="R314" s="40">
        <v>3</v>
      </c>
      <c r="S314" s="40">
        <v>5</v>
      </c>
      <c r="T314" s="40">
        <v>1</v>
      </c>
      <c r="U314" s="40">
        <v>3</v>
      </c>
      <c r="V314" s="40">
        <v>1</v>
      </c>
      <c r="W314" s="40">
        <v>3</v>
      </c>
      <c r="X314" s="40" t="s">
        <v>45</v>
      </c>
      <c r="Y314" s="40" t="s">
        <v>45</v>
      </c>
      <c r="Z314" s="40" t="s">
        <v>45</v>
      </c>
      <c r="AA314" s="40" t="s">
        <v>45</v>
      </c>
      <c r="AB314" s="40" t="s">
        <v>45</v>
      </c>
      <c r="AC314" s="40" t="s">
        <v>45</v>
      </c>
      <c r="AD314" s="40" t="s">
        <v>45</v>
      </c>
      <c r="AE314" s="40" t="s">
        <v>45</v>
      </c>
      <c r="AF314" s="40">
        <v>2</v>
      </c>
      <c r="AG314" s="40">
        <v>4</v>
      </c>
      <c r="AH314" s="40" t="s">
        <v>45</v>
      </c>
      <c r="AI314" s="40" t="s">
        <v>45</v>
      </c>
      <c r="AJ314" s="40" t="s">
        <v>45</v>
      </c>
      <c r="AK314" s="40" t="s">
        <v>45</v>
      </c>
      <c r="AL314" s="40" t="s">
        <v>45</v>
      </c>
      <c r="AM314" s="40" t="s">
        <v>45</v>
      </c>
      <c r="AN314" s="40" t="s">
        <v>45</v>
      </c>
      <c r="AO314" s="41" t="s">
        <v>45</v>
      </c>
      <c r="AP314" s="40" t="s">
        <v>68</v>
      </c>
      <c r="AQ314" s="40">
        <v>5</v>
      </c>
      <c r="AR314" s="48" t="s">
        <v>347</v>
      </c>
      <c r="AS314" s="43" t="s">
        <v>654</v>
      </c>
      <c r="AT314" s="43" t="s">
        <v>47</v>
      </c>
      <c r="AU314" s="44">
        <f t="shared" si="32"/>
        <v>-2.311361197028369</v>
      </c>
      <c r="AV314" s="44">
        <f t="shared" si="33"/>
        <v>-1.4288545557280135</v>
      </c>
      <c r="AW314" s="45">
        <f t="shared" si="34"/>
        <v>4</v>
      </c>
      <c r="AX314" s="45">
        <f t="shared" si="35"/>
        <v>0</v>
      </c>
      <c r="AY314" s="46">
        <f>VLOOKUP(AP314,COND!$A$10:$B$32,2,FALSE)</f>
        <v>0.95</v>
      </c>
      <c r="AZ314" s="44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26.954789693389049</v>
      </c>
      <c r="BA314" s="47">
        <f t="shared" si="40"/>
        <v>-0.59315031512412608</v>
      </c>
      <c r="BB314" s="45" t="str">
        <f t="shared" si="36"/>
        <v>SP</v>
      </c>
      <c r="BC314" s="45">
        <f>RANK(Table3[[#This Row],[zScore]],Table3[zScore])</f>
        <v>556</v>
      </c>
      <c r="BD314" s="45"/>
      <c r="BE314" s="45"/>
      <c r="BF314" s="45" t="str">
        <f t="shared" si="37"/>
        <v>Unlikely</v>
      </c>
      <c r="BG314" s="45"/>
      <c r="BH314" s="45" t="str">
        <f>INDEX(Table5[[#All],[Ovr]],MATCH(Table3[[#This Row],[PID]],Table5[[#All],[PID]],0))</f>
        <v/>
      </c>
      <c r="BI314" s="45" t="str">
        <f>INDEX(Table5[[#All],[Rnd]],MATCH(Table3[[#This Row],[PID]],Table5[[#All],[PID]],0))</f>
        <v/>
      </c>
      <c r="BJ314" s="45" t="str">
        <f>INDEX(Table5[[#All],[Pick]],MATCH(Table3[[#This Row],[PID]],Table5[[#All],[PID]],0))</f>
        <v/>
      </c>
      <c r="BK314" s="45" t="str">
        <f>INDEX(Table5[[#All],[Team]],MATCH(Table3[[#This Row],[PID]],Table5[[#All],[PID]],0))</f>
        <v/>
      </c>
      <c r="BL3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5" spans="1:64" ht="15" customHeight="1" x14ac:dyDescent="0.25">
      <c r="A315" s="40">
        <v>11912</v>
      </c>
      <c r="B315" s="40" t="s">
        <v>415</v>
      </c>
      <c r="C315" s="40" t="s">
        <v>187</v>
      </c>
      <c r="D315" s="40" t="s">
        <v>1114</v>
      </c>
      <c r="E315" s="40">
        <v>22</v>
      </c>
      <c r="F315" s="40" t="s">
        <v>42</v>
      </c>
      <c r="G315" s="40" t="s">
        <v>42</v>
      </c>
      <c r="H315" s="41" t="s">
        <v>647</v>
      </c>
      <c r="I315" s="42" t="s">
        <v>43</v>
      </c>
      <c r="J315" s="40" t="s">
        <v>43</v>
      </c>
      <c r="K315" s="41" t="s">
        <v>44</v>
      </c>
      <c r="L315" s="40">
        <v>2</v>
      </c>
      <c r="M315" s="40">
        <v>2</v>
      </c>
      <c r="N315" s="41">
        <v>2</v>
      </c>
      <c r="O315" s="40">
        <v>4</v>
      </c>
      <c r="P315" s="40">
        <v>2</v>
      </c>
      <c r="Q315" s="41">
        <v>3</v>
      </c>
      <c r="R315" s="40">
        <v>4</v>
      </c>
      <c r="S315" s="40">
        <v>5</v>
      </c>
      <c r="T315" s="40">
        <v>1</v>
      </c>
      <c r="U315" s="40">
        <v>4</v>
      </c>
      <c r="V315" s="40">
        <v>2</v>
      </c>
      <c r="W315" s="40">
        <v>4</v>
      </c>
      <c r="X315" s="40" t="s">
        <v>45</v>
      </c>
      <c r="Y315" s="40" t="s">
        <v>45</v>
      </c>
      <c r="Z315" s="40" t="s">
        <v>45</v>
      </c>
      <c r="AA315" s="40" t="s">
        <v>45</v>
      </c>
      <c r="AB315" s="40" t="s">
        <v>45</v>
      </c>
      <c r="AC315" s="40" t="s">
        <v>45</v>
      </c>
      <c r="AD315" s="40" t="s">
        <v>45</v>
      </c>
      <c r="AE315" s="40" t="s">
        <v>45</v>
      </c>
      <c r="AF315" s="40" t="s">
        <v>45</v>
      </c>
      <c r="AG315" s="40" t="s">
        <v>45</v>
      </c>
      <c r="AH315" s="40" t="s">
        <v>45</v>
      </c>
      <c r="AI315" s="40" t="s">
        <v>45</v>
      </c>
      <c r="AJ315" s="40" t="s">
        <v>45</v>
      </c>
      <c r="AK315" s="40" t="s">
        <v>45</v>
      </c>
      <c r="AL315" s="40" t="s">
        <v>45</v>
      </c>
      <c r="AM315" s="40" t="s">
        <v>45</v>
      </c>
      <c r="AN315" s="40" t="s">
        <v>45</v>
      </c>
      <c r="AO315" s="41" t="s">
        <v>45</v>
      </c>
      <c r="AP315" s="40" t="s">
        <v>56</v>
      </c>
      <c r="AQ315" s="40">
        <v>2</v>
      </c>
      <c r="AR315" s="48" t="s">
        <v>347</v>
      </c>
      <c r="AS315" s="43" t="s">
        <v>45</v>
      </c>
      <c r="AT315" s="43" t="s">
        <v>47</v>
      </c>
      <c r="AU315" s="44">
        <f t="shared" si="32"/>
        <v>-2.0690406309742588</v>
      </c>
      <c r="AV315" s="44">
        <f t="shared" si="33"/>
        <v>-0.99184266516472974</v>
      </c>
      <c r="AW315" s="45">
        <f t="shared" si="34"/>
        <v>3</v>
      </c>
      <c r="AX315" s="45">
        <f t="shared" si="35"/>
        <v>0</v>
      </c>
      <c r="AY315" s="46">
        <f>VLOOKUP(AP315,COND!$A$10:$B$32,2,FALSE)</f>
        <v>1</v>
      </c>
      <c r="AZ315" s="44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26.886871641985024</v>
      </c>
      <c r="BA315" s="47">
        <f t="shared" si="40"/>
        <v>-0.59766879929786088</v>
      </c>
      <c r="BB315" s="45" t="str">
        <f t="shared" si="36"/>
        <v>RP</v>
      </c>
      <c r="BC315" s="45">
        <f>RANK(Table3[[#This Row],[zScore]],Table3[zScore])</f>
        <v>558</v>
      </c>
      <c r="BD315" s="45"/>
      <c r="BE315" s="45"/>
      <c r="BF315" s="45" t="str">
        <f t="shared" si="37"/>
        <v>Unlikely</v>
      </c>
      <c r="BG315" s="45"/>
      <c r="BH315" s="45" t="str">
        <f>INDEX(Table5[[#All],[Ovr]],MATCH(Table3[[#This Row],[PID]],Table5[[#All],[PID]],0))</f>
        <v/>
      </c>
      <c r="BI315" s="45" t="str">
        <f>INDEX(Table5[[#All],[Rnd]],MATCH(Table3[[#This Row],[PID]],Table5[[#All],[PID]],0))</f>
        <v/>
      </c>
      <c r="BJ315" s="45" t="str">
        <f>INDEX(Table5[[#All],[Pick]],MATCH(Table3[[#This Row],[PID]],Table5[[#All],[PID]],0))</f>
        <v/>
      </c>
      <c r="BK315" s="45" t="str">
        <f>INDEX(Table5[[#All],[Team]],MATCH(Table3[[#This Row],[PID]],Table5[[#All],[PID]],0))</f>
        <v/>
      </c>
      <c r="BL3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6" spans="1:64" ht="15" customHeight="1" x14ac:dyDescent="0.25">
      <c r="A316" s="40">
        <v>20611</v>
      </c>
      <c r="B316" s="40" t="s">
        <v>415</v>
      </c>
      <c r="C316" s="40" t="s">
        <v>1763</v>
      </c>
      <c r="D316" s="40" t="s">
        <v>2072</v>
      </c>
      <c r="E316" s="40">
        <v>18</v>
      </c>
      <c r="F316" s="40" t="s">
        <v>42</v>
      </c>
      <c r="G316" s="40" t="s">
        <v>42</v>
      </c>
      <c r="H316" s="41" t="s">
        <v>647</v>
      </c>
      <c r="I316" s="42" t="s">
        <v>43</v>
      </c>
      <c r="J316" s="40" t="s">
        <v>44</v>
      </c>
      <c r="K316" s="41" t="s">
        <v>43</v>
      </c>
      <c r="L316" s="40">
        <v>2</v>
      </c>
      <c r="M316" s="40">
        <v>1</v>
      </c>
      <c r="N316" s="41">
        <v>1</v>
      </c>
      <c r="O316" s="40">
        <v>3</v>
      </c>
      <c r="P316" s="40">
        <v>1</v>
      </c>
      <c r="Q316" s="41">
        <v>3</v>
      </c>
      <c r="R316" s="40">
        <v>2</v>
      </c>
      <c r="S316" s="40">
        <v>3</v>
      </c>
      <c r="T316" s="40">
        <v>1</v>
      </c>
      <c r="U316" s="40">
        <v>1</v>
      </c>
      <c r="V316" s="40" t="s">
        <v>45</v>
      </c>
      <c r="W316" s="40" t="s">
        <v>45</v>
      </c>
      <c r="X316" s="40">
        <v>1</v>
      </c>
      <c r="Y316" s="40">
        <v>3</v>
      </c>
      <c r="Z316" s="40" t="s">
        <v>45</v>
      </c>
      <c r="AA316" s="40" t="s">
        <v>45</v>
      </c>
      <c r="AB316" s="40" t="s">
        <v>45</v>
      </c>
      <c r="AC316" s="40" t="s">
        <v>45</v>
      </c>
      <c r="AD316" s="40">
        <v>2</v>
      </c>
      <c r="AE316" s="40">
        <v>4</v>
      </c>
      <c r="AF316" s="40" t="s">
        <v>45</v>
      </c>
      <c r="AG316" s="40" t="s">
        <v>45</v>
      </c>
      <c r="AH316" s="40" t="s">
        <v>45</v>
      </c>
      <c r="AI316" s="40" t="s">
        <v>45</v>
      </c>
      <c r="AJ316" s="40" t="s">
        <v>45</v>
      </c>
      <c r="AK316" s="40" t="s">
        <v>45</v>
      </c>
      <c r="AL316" s="40" t="s">
        <v>45</v>
      </c>
      <c r="AM316" s="40" t="s">
        <v>45</v>
      </c>
      <c r="AN316" s="40" t="s">
        <v>45</v>
      </c>
      <c r="AO316" s="41" t="s">
        <v>45</v>
      </c>
      <c r="AP316" s="40" t="s">
        <v>68</v>
      </c>
      <c r="AQ316" s="40">
        <v>8</v>
      </c>
      <c r="AR316" s="48" t="s">
        <v>347</v>
      </c>
      <c r="AS316" s="43" t="s">
        <v>644</v>
      </c>
      <c r="AT316" s="43" t="s">
        <v>635</v>
      </c>
      <c r="AU316" s="44">
        <f t="shared" si="32"/>
        <v>-2.5067929134584248</v>
      </c>
      <c r="AV316" s="44">
        <f t="shared" si="33"/>
        <v>-1.3819657061039585</v>
      </c>
      <c r="AW316" s="45">
        <f t="shared" si="34"/>
        <v>4</v>
      </c>
      <c r="AX316" s="45">
        <f t="shared" si="35"/>
        <v>0</v>
      </c>
      <c r="AY316" s="46">
        <f>VLOOKUP(AP316,COND!$A$10:$B$32,2,FALSE)</f>
        <v>0.95</v>
      </c>
      <c r="AZ316" s="44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26.866360930467685</v>
      </c>
      <c r="BA316" s="47">
        <f t="shared" si="40"/>
        <v>-0.59903334559250987</v>
      </c>
      <c r="BB316" s="45" t="str">
        <f t="shared" si="36"/>
        <v>SP</v>
      </c>
      <c r="BC316" s="45">
        <f>RANK(Table3[[#This Row],[zScore]],Table3[zScore])</f>
        <v>559</v>
      </c>
      <c r="BD316" s="45"/>
      <c r="BE316" s="45"/>
      <c r="BF316" s="45" t="str">
        <f t="shared" si="37"/>
        <v>Unlikely</v>
      </c>
      <c r="BG316" s="45"/>
      <c r="BH316" s="45" t="str">
        <f>INDEX(Table5[[#All],[Ovr]],MATCH(Table3[[#This Row],[PID]],Table5[[#All],[PID]],0))</f>
        <v/>
      </c>
      <c r="BI316" s="45" t="str">
        <f>INDEX(Table5[[#All],[Rnd]],MATCH(Table3[[#This Row],[PID]],Table5[[#All],[PID]],0))</f>
        <v/>
      </c>
      <c r="BJ316" s="45" t="str">
        <f>INDEX(Table5[[#All],[Pick]],MATCH(Table3[[#This Row],[PID]],Table5[[#All],[PID]],0))</f>
        <v/>
      </c>
      <c r="BK316" s="45" t="str">
        <f>INDEX(Table5[[#All],[Team]],MATCH(Table3[[#This Row],[PID]],Table5[[#All],[PID]],0))</f>
        <v/>
      </c>
      <c r="BL3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7" spans="1:64" ht="15" customHeight="1" x14ac:dyDescent="0.25">
      <c r="A317" s="40">
        <v>17859</v>
      </c>
      <c r="B317" s="40" t="s">
        <v>415</v>
      </c>
      <c r="C317" s="40" t="s">
        <v>148</v>
      </c>
      <c r="D317" s="40" t="s">
        <v>1981</v>
      </c>
      <c r="E317" s="40">
        <v>18</v>
      </c>
      <c r="F317" s="40" t="s">
        <v>62</v>
      </c>
      <c r="G317" s="40" t="s">
        <v>42</v>
      </c>
      <c r="H317" s="41" t="s">
        <v>647</v>
      </c>
      <c r="I317" s="42" t="s">
        <v>43</v>
      </c>
      <c r="J317" s="40" t="s">
        <v>44</v>
      </c>
      <c r="K317" s="41" t="s">
        <v>43</v>
      </c>
      <c r="L317" s="40">
        <v>1</v>
      </c>
      <c r="M317" s="40">
        <v>1</v>
      </c>
      <c r="N317" s="41">
        <v>1</v>
      </c>
      <c r="O317" s="40">
        <v>3</v>
      </c>
      <c r="P317" s="40">
        <v>1</v>
      </c>
      <c r="Q317" s="41">
        <v>3</v>
      </c>
      <c r="R317" s="40">
        <v>2</v>
      </c>
      <c r="S317" s="40">
        <v>4</v>
      </c>
      <c r="T317" s="40">
        <v>1</v>
      </c>
      <c r="U317" s="40">
        <v>4</v>
      </c>
      <c r="V317" s="40" t="s">
        <v>45</v>
      </c>
      <c r="W317" s="40" t="s">
        <v>45</v>
      </c>
      <c r="X317" s="40">
        <v>1</v>
      </c>
      <c r="Y317" s="40">
        <v>4</v>
      </c>
      <c r="Z317" s="40" t="s">
        <v>45</v>
      </c>
      <c r="AA317" s="40" t="s">
        <v>45</v>
      </c>
      <c r="AB317" s="40">
        <v>2</v>
      </c>
      <c r="AC317" s="40">
        <v>4</v>
      </c>
      <c r="AD317" s="40" t="s">
        <v>45</v>
      </c>
      <c r="AE317" s="40" t="s">
        <v>45</v>
      </c>
      <c r="AF317" s="40" t="s">
        <v>45</v>
      </c>
      <c r="AG317" s="40" t="s">
        <v>45</v>
      </c>
      <c r="AH317" s="40" t="s">
        <v>45</v>
      </c>
      <c r="AI317" s="40" t="s">
        <v>45</v>
      </c>
      <c r="AJ317" s="40" t="s">
        <v>45</v>
      </c>
      <c r="AK317" s="40" t="s">
        <v>45</v>
      </c>
      <c r="AL317" s="40" t="s">
        <v>45</v>
      </c>
      <c r="AM317" s="40" t="s">
        <v>45</v>
      </c>
      <c r="AN317" s="40" t="s">
        <v>45</v>
      </c>
      <c r="AO317" s="41" t="s">
        <v>45</v>
      </c>
      <c r="AP317" s="40" t="s">
        <v>68</v>
      </c>
      <c r="AQ317" s="40">
        <v>10</v>
      </c>
      <c r="AR317" s="48" t="s">
        <v>347</v>
      </c>
      <c r="AS317" s="43" t="s">
        <v>573</v>
      </c>
      <c r="AT317" s="43" t="s">
        <v>635</v>
      </c>
      <c r="AU317" s="44">
        <f t="shared" si="32"/>
        <v>-2.7014842379675978</v>
      </c>
      <c r="AV317" s="44">
        <f t="shared" si="33"/>
        <v>-1.3819657061039585</v>
      </c>
      <c r="AW317" s="45">
        <f t="shared" si="34"/>
        <v>4</v>
      </c>
      <c r="AX317" s="45">
        <f t="shared" si="35"/>
        <v>0</v>
      </c>
      <c r="AY317" s="46">
        <f>VLOOKUP(AP317,COND!$A$10:$B$32,2,FALSE)</f>
        <v>0.95</v>
      </c>
      <c r="AZ317" s="44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26.829369578810944</v>
      </c>
      <c r="BA317" s="47">
        <f t="shared" si="40"/>
        <v>-0.60149432369142131</v>
      </c>
      <c r="BB317" s="45" t="str">
        <f t="shared" si="36"/>
        <v>SP</v>
      </c>
      <c r="BC317" s="45">
        <f>RANK(Table3[[#This Row],[zScore]],Table3[zScore])</f>
        <v>560</v>
      </c>
      <c r="BD317" s="45"/>
      <c r="BE317" s="45"/>
      <c r="BF317" s="45" t="str">
        <f t="shared" si="37"/>
        <v>Unlikely</v>
      </c>
      <c r="BG317" s="45"/>
      <c r="BH317" s="45" t="str">
        <f>INDEX(Table5[[#All],[Ovr]],MATCH(Table3[[#This Row],[PID]],Table5[[#All],[PID]],0))</f>
        <v/>
      </c>
      <c r="BI317" s="45" t="str">
        <f>INDEX(Table5[[#All],[Rnd]],MATCH(Table3[[#This Row],[PID]],Table5[[#All],[PID]],0))</f>
        <v/>
      </c>
      <c r="BJ317" s="45" t="str">
        <f>INDEX(Table5[[#All],[Pick]],MATCH(Table3[[#This Row],[PID]],Table5[[#All],[PID]],0))</f>
        <v/>
      </c>
      <c r="BK317" s="45" t="str">
        <f>INDEX(Table5[[#All],[Team]],MATCH(Table3[[#This Row],[PID]],Table5[[#All],[PID]],0))</f>
        <v/>
      </c>
      <c r="BL3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18" spans="1:64" ht="15" customHeight="1" x14ac:dyDescent="0.25">
      <c r="A318" s="40">
        <v>6953</v>
      </c>
      <c r="B318" s="40" t="s">
        <v>415</v>
      </c>
      <c r="C318" s="40" t="s">
        <v>385</v>
      </c>
      <c r="D318" s="40" t="s">
        <v>605</v>
      </c>
      <c r="E318" s="40">
        <v>22</v>
      </c>
      <c r="F318" s="40" t="s">
        <v>42</v>
      </c>
      <c r="G318" s="40" t="s">
        <v>42</v>
      </c>
      <c r="H318" s="41" t="s">
        <v>647</v>
      </c>
      <c r="I318" s="42" t="s">
        <v>44</v>
      </c>
      <c r="J318" s="40" t="s">
        <v>44</v>
      </c>
      <c r="K318" s="41" t="s">
        <v>43</v>
      </c>
      <c r="L318" s="40">
        <v>3</v>
      </c>
      <c r="M318" s="40">
        <v>2</v>
      </c>
      <c r="N318" s="41">
        <v>2</v>
      </c>
      <c r="O318" s="40">
        <v>4</v>
      </c>
      <c r="P318" s="40">
        <v>2</v>
      </c>
      <c r="Q318" s="41">
        <v>3</v>
      </c>
      <c r="R318" s="40">
        <v>4</v>
      </c>
      <c r="S318" s="40">
        <v>5</v>
      </c>
      <c r="T318" s="40">
        <v>3</v>
      </c>
      <c r="U318" s="40">
        <v>4</v>
      </c>
      <c r="V318" s="40" t="s">
        <v>45</v>
      </c>
      <c r="W318" s="40" t="s">
        <v>45</v>
      </c>
      <c r="X318" s="40" t="s">
        <v>45</v>
      </c>
      <c r="Y318" s="40" t="s">
        <v>45</v>
      </c>
      <c r="Z318" s="40" t="s">
        <v>45</v>
      </c>
      <c r="AA318" s="40" t="s">
        <v>45</v>
      </c>
      <c r="AB318" s="40">
        <v>4</v>
      </c>
      <c r="AC318" s="40">
        <v>4</v>
      </c>
      <c r="AD318" s="40">
        <v>4</v>
      </c>
      <c r="AE318" s="40">
        <v>5</v>
      </c>
      <c r="AF318" s="40" t="s">
        <v>45</v>
      </c>
      <c r="AG318" s="40" t="s">
        <v>45</v>
      </c>
      <c r="AH318" s="40" t="s">
        <v>45</v>
      </c>
      <c r="AI318" s="40" t="s">
        <v>45</v>
      </c>
      <c r="AJ318" s="40" t="s">
        <v>45</v>
      </c>
      <c r="AK318" s="40" t="s">
        <v>45</v>
      </c>
      <c r="AL318" s="40" t="s">
        <v>45</v>
      </c>
      <c r="AM318" s="40" t="s">
        <v>45</v>
      </c>
      <c r="AN318" s="40" t="s">
        <v>45</v>
      </c>
      <c r="AO318" s="41" t="s">
        <v>45</v>
      </c>
      <c r="AP318" s="40" t="s">
        <v>350</v>
      </c>
      <c r="AQ318" s="40">
        <v>8</v>
      </c>
      <c r="AR318" s="48" t="s">
        <v>347</v>
      </c>
      <c r="AS318" s="43" t="s">
        <v>45</v>
      </c>
      <c r="AT318" s="43"/>
      <c r="AU318" s="44">
        <f t="shared" si="32"/>
        <v>-1.8743493064650851</v>
      </c>
      <c r="AV318" s="44">
        <f t="shared" si="33"/>
        <v>-0.99184266516472974</v>
      </c>
      <c r="AW318" s="45">
        <f t="shared" si="34"/>
        <v>4</v>
      </c>
      <c r="AX318" s="45">
        <f t="shared" si="35"/>
        <v>0</v>
      </c>
      <c r="AY318" s="46">
        <f>VLOOKUP(AP318,COND!$A$10:$B$32,2,FALSE)</f>
        <v>1</v>
      </c>
      <c r="AZ318" s="44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28.338276835412387</v>
      </c>
      <c r="BA318" s="47">
        <f>STANDARDIZE(AZ318,AVERAGE($AZ$5:$AZ$788),STDEVP($AZ$5:$AZ$788))</f>
        <v>-0.61082605832469394</v>
      </c>
      <c r="BB318" s="45" t="str">
        <f t="shared" si="36"/>
        <v>SP</v>
      </c>
      <c r="BC318" s="45">
        <f>RANK(Table3[[#This Row],[zScore]],Table3[zScore])</f>
        <v>564</v>
      </c>
      <c r="BD318" s="45"/>
      <c r="BE318" s="45"/>
      <c r="BF318" s="45" t="str">
        <f t="shared" si="37"/>
        <v>Unlikely</v>
      </c>
      <c r="BG318" s="45"/>
      <c r="BH318" s="64" t="str">
        <f>INDEX(Table5[[#All],[Ovr]],MATCH(Table3[[#This Row],[PID]],Table5[[#All],[PID]],0))</f>
        <v/>
      </c>
      <c r="BI318" s="64" t="str">
        <f>INDEX(Table5[[#All],[Rnd]],MATCH(Table3[[#This Row],[PID]],Table5[[#All],[PID]],0))</f>
        <v/>
      </c>
      <c r="BJ318" s="64" t="str">
        <f>INDEX(Table5[[#All],[Pick]],MATCH(Table3[[#This Row],[PID]],Table5[[#All],[PID]],0))</f>
        <v/>
      </c>
      <c r="BK318" s="64" t="str">
        <f>INDEX(Table5[[#All],[Team]],MATCH(Table3[[#This Row],[PID]],Table5[[#All],[PID]],0))</f>
        <v/>
      </c>
      <c r="BL318" s="64" t="str">
        <f>IF(OR(Table3[[#This Row],[POS]]="SP",Table3[[#This Row],[POS]]="RP",Table3[[#This Row],[POS]]="CL"),"P",INDEX(Batters[[#All],[zScore]],MATCH(Table3[[#This Row],[PID]],Batters[[#All],[PID]],0)))</f>
        <v>P</v>
      </c>
    </row>
    <row r="319" spans="1:64" ht="15" customHeight="1" x14ac:dyDescent="0.25">
      <c r="A319" s="40">
        <v>17965</v>
      </c>
      <c r="B319" s="40" t="s">
        <v>415</v>
      </c>
      <c r="C319" s="40" t="s">
        <v>747</v>
      </c>
      <c r="D319" s="40" t="s">
        <v>1407</v>
      </c>
      <c r="E319" s="40">
        <v>21</v>
      </c>
      <c r="F319" s="40" t="s">
        <v>42</v>
      </c>
      <c r="G319" s="40" t="s">
        <v>42</v>
      </c>
      <c r="H319" s="41" t="s">
        <v>647</v>
      </c>
      <c r="I319" s="42" t="s">
        <v>43</v>
      </c>
      <c r="J319" s="40" t="s">
        <v>47</v>
      </c>
      <c r="K319" s="41" t="s">
        <v>43</v>
      </c>
      <c r="L319" s="40">
        <v>2</v>
      </c>
      <c r="M319" s="40">
        <v>3</v>
      </c>
      <c r="N319" s="41">
        <v>2</v>
      </c>
      <c r="O319" s="40">
        <v>3</v>
      </c>
      <c r="P319" s="40">
        <v>3</v>
      </c>
      <c r="Q319" s="41">
        <v>4</v>
      </c>
      <c r="R319" s="40" t="s">
        <v>45</v>
      </c>
      <c r="S319" s="40" t="s">
        <v>45</v>
      </c>
      <c r="T319" s="40">
        <v>3</v>
      </c>
      <c r="U319" s="40">
        <v>5</v>
      </c>
      <c r="V319" s="40" t="s">
        <v>45</v>
      </c>
      <c r="W319" s="40" t="s">
        <v>45</v>
      </c>
      <c r="X319" s="40" t="s">
        <v>45</v>
      </c>
      <c r="Y319" s="40" t="s">
        <v>45</v>
      </c>
      <c r="Z319" s="40" t="s">
        <v>45</v>
      </c>
      <c r="AA319" s="40" t="s">
        <v>45</v>
      </c>
      <c r="AB319" s="40" t="s">
        <v>45</v>
      </c>
      <c r="AC319" s="40" t="s">
        <v>45</v>
      </c>
      <c r="AD319" s="40">
        <v>3</v>
      </c>
      <c r="AE319" s="40">
        <v>5</v>
      </c>
      <c r="AF319" s="40" t="s">
        <v>45</v>
      </c>
      <c r="AG319" s="40" t="s">
        <v>45</v>
      </c>
      <c r="AH319" s="40" t="s">
        <v>45</v>
      </c>
      <c r="AI319" s="40" t="s">
        <v>45</v>
      </c>
      <c r="AJ319" s="40" t="s">
        <v>45</v>
      </c>
      <c r="AK319" s="40" t="s">
        <v>45</v>
      </c>
      <c r="AL319" s="40" t="s">
        <v>45</v>
      </c>
      <c r="AM319" s="40" t="s">
        <v>45</v>
      </c>
      <c r="AN319" s="40" t="s">
        <v>45</v>
      </c>
      <c r="AO319" s="41" t="s">
        <v>45</v>
      </c>
      <c r="AP319" s="40" t="s">
        <v>57</v>
      </c>
      <c r="AQ319" s="40">
        <v>4</v>
      </c>
      <c r="AR319" s="48" t="s">
        <v>347</v>
      </c>
      <c r="AS319" s="43" t="s">
        <v>45</v>
      </c>
      <c r="AT319" s="43" t="s">
        <v>47</v>
      </c>
      <c r="AU319" s="44">
        <f t="shared" si="32"/>
        <v>-1.8736089145442034</v>
      </c>
      <c r="AV319" s="44">
        <f t="shared" si="33"/>
        <v>-0.74878170718973724</v>
      </c>
      <c r="AW319" s="45">
        <f t="shared" si="34"/>
        <v>2</v>
      </c>
      <c r="AX319" s="45">
        <f t="shared" si="35"/>
        <v>0</v>
      </c>
      <c r="AY319" s="46">
        <f>VLOOKUP(AP319,COND!$A$10:$B$32,2,FALSE)</f>
        <v>1</v>
      </c>
      <c r="AZ319" s="44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26.667161869631595</v>
      </c>
      <c r="BA319" s="47">
        <f>STANDARDIZE(AZ319,AVERAGE($AZ$5:$AZ$557),STDEVP($AZ$5:$AZ$557))</f>
        <v>-0.61228575471208868</v>
      </c>
      <c r="BB319" s="45" t="str">
        <f t="shared" si="36"/>
        <v>RP</v>
      </c>
      <c r="BC319" s="45">
        <f>RANK(Table3[[#This Row],[zScore]],Table3[zScore])</f>
        <v>565</v>
      </c>
      <c r="BD319" s="45"/>
      <c r="BE319" s="45"/>
      <c r="BF319" s="45" t="str">
        <f t="shared" si="37"/>
        <v>Unlikely</v>
      </c>
      <c r="BG319" s="45"/>
      <c r="BH319" s="45" t="str">
        <f>INDEX(Table5[[#All],[Ovr]],MATCH(Table3[[#This Row],[PID]],Table5[[#All],[PID]],0))</f>
        <v/>
      </c>
      <c r="BI319" s="45" t="str">
        <f>INDEX(Table5[[#All],[Rnd]],MATCH(Table3[[#This Row],[PID]],Table5[[#All],[PID]],0))</f>
        <v/>
      </c>
      <c r="BJ319" s="45" t="str">
        <f>INDEX(Table5[[#All],[Pick]],MATCH(Table3[[#This Row],[PID]],Table5[[#All],[PID]],0))</f>
        <v/>
      </c>
      <c r="BK319" s="45" t="str">
        <f>INDEX(Table5[[#All],[Team]],MATCH(Table3[[#This Row],[PID]],Table5[[#All],[PID]],0))</f>
        <v/>
      </c>
      <c r="BL3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0" spans="1:64" ht="15" customHeight="1" x14ac:dyDescent="0.25">
      <c r="A320" s="40">
        <v>20527</v>
      </c>
      <c r="B320" s="40" t="s">
        <v>415</v>
      </c>
      <c r="C320" s="40" t="s">
        <v>2040</v>
      </c>
      <c r="D320" s="40" t="s">
        <v>653</v>
      </c>
      <c r="E320" s="40">
        <v>17</v>
      </c>
      <c r="F320" s="40" t="s">
        <v>62</v>
      </c>
      <c r="G320" s="40" t="s">
        <v>42</v>
      </c>
      <c r="H320" s="41" t="s">
        <v>647</v>
      </c>
      <c r="I320" s="42" t="s">
        <v>43</v>
      </c>
      <c r="J320" s="40" t="s">
        <v>44</v>
      </c>
      <c r="K320" s="41" t="s">
        <v>43</v>
      </c>
      <c r="L320" s="40">
        <v>2</v>
      </c>
      <c r="M320" s="40">
        <v>2</v>
      </c>
      <c r="N320" s="41">
        <v>1</v>
      </c>
      <c r="O320" s="40">
        <v>4</v>
      </c>
      <c r="P320" s="40">
        <v>2</v>
      </c>
      <c r="Q320" s="41">
        <v>3</v>
      </c>
      <c r="R320" s="40">
        <v>3</v>
      </c>
      <c r="S320" s="40">
        <v>5</v>
      </c>
      <c r="T320" s="40" t="s">
        <v>45</v>
      </c>
      <c r="U320" s="40" t="s">
        <v>45</v>
      </c>
      <c r="V320" s="40" t="s">
        <v>45</v>
      </c>
      <c r="W320" s="40" t="s">
        <v>45</v>
      </c>
      <c r="X320" s="40">
        <v>3</v>
      </c>
      <c r="Y320" s="40">
        <v>6</v>
      </c>
      <c r="Z320" s="40" t="s">
        <v>45</v>
      </c>
      <c r="AA320" s="40" t="s">
        <v>45</v>
      </c>
      <c r="AB320" s="40" t="s">
        <v>45</v>
      </c>
      <c r="AC320" s="40" t="s">
        <v>45</v>
      </c>
      <c r="AD320" s="40" t="s">
        <v>45</v>
      </c>
      <c r="AE320" s="40" t="s">
        <v>45</v>
      </c>
      <c r="AF320" s="40" t="s">
        <v>45</v>
      </c>
      <c r="AG320" s="40" t="s">
        <v>45</v>
      </c>
      <c r="AH320" s="40" t="s">
        <v>45</v>
      </c>
      <c r="AI320" s="40" t="s">
        <v>45</v>
      </c>
      <c r="AJ320" s="40" t="s">
        <v>45</v>
      </c>
      <c r="AK320" s="40" t="s">
        <v>45</v>
      </c>
      <c r="AL320" s="40" t="s">
        <v>45</v>
      </c>
      <c r="AM320" s="40" t="s">
        <v>45</v>
      </c>
      <c r="AN320" s="40" t="s">
        <v>45</v>
      </c>
      <c r="AO320" s="41" t="s">
        <v>45</v>
      </c>
      <c r="AP320" s="40" t="s">
        <v>349</v>
      </c>
      <c r="AQ320" s="40">
        <v>8</v>
      </c>
      <c r="AR320" s="48" t="s">
        <v>347</v>
      </c>
      <c r="AS320" s="43" t="s">
        <v>548</v>
      </c>
      <c r="AT320" s="43" t="s">
        <v>47</v>
      </c>
      <c r="AU320" s="44">
        <f t="shared" si="32"/>
        <v>-2.311361197028369</v>
      </c>
      <c r="AV320" s="44">
        <f t="shared" si="33"/>
        <v>-0.99184266516472974</v>
      </c>
      <c r="AW320" s="45">
        <f t="shared" si="34"/>
        <v>2</v>
      </c>
      <c r="AX320" s="45">
        <f t="shared" si="35"/>
        <v>1</v>
      </c>
      <c r="AY320" s="46">
        <f>VLOOKUP(AP320,COND!$A$10:$B$32,2,FALSE)</f>
        <v>1</v>
      </c>
      <c r="AZ320" s="44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26.650874457299729</v>
      </c>
      <c r="BA320" s="47">
        <f>STANDARDIZE(AZ320,AVERAGE($AZ$5:$AZ$557),STDEVP($AZ$5:$AZ$557))</f>
        <v>-0.61336933136558902</v>
      </c>
      <c r="BB320" s="45" t="str">
        <f t="shared" si="36"/>
        <v>RP</v>
      </c>
      <c r="BC320" s="45">
        <f>RANK(Table3[[#This Row],[zScore]],Table3[zScore])</f>
        <v>566</v>
      </c>
      <c r="BD320" s="45"/>
      <c r="BE320" s="45"/>
      <c r="BF320" s="45" t="str">
        <f t="shared" si="37"/>
        <v>Unlikely</v>
      </c>
      <c r="BG320" s="45"/>
      <c r="BH320" s="45" t="str">
        <f>INDEX(Table5[[#All],[Ovr]],MATCH(Table3[[#This Row],[PID]],Table5[[#All],[PID]],0))</f>
        <v/>
      </c>
      <c r="BI320" s="45" t="str">
        <f>INDEX(Table5[[#All],[Rnd]],MATCH(Table3[[#This Row],[PID]],Table5[[#All],[PID]],0))</f>
        <v/>
      </c>
      <c r="BJ320" s="45" t="str">
        <f>INDEX(Table5[[#All],[Pick]],MATCH(Table3[[#This Row],[PID]],Table5[[#All],[PID]],0))</f>
        <v/>
      </c>
      <c r="BK320" s="45" t="str">
        <f>INDEX(Table5[[#All],[Team]],MATCH(Table3[[#This Row],[PID]],Table5[[#All],[PID]],0))</f>
        <v/>
      </c>
      <c r="BL3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1" spans="1:64" ht="15" customHeight="1" x14ac:dyDescent="0.25">
      <c r="A321" s="40">
        <v>21007</v>
      </c>
      <c r="B321" s="40" t="s">
        <v>415</v>
      </c>
      <c r="C321" s="40" t="s">
        <v>197</v>
      </c>
      <c r="D321" s="40" t="s">
        <v>720</v>
      </c>
      <c r="E321" s="40">
        <v>17</v>
      </c>
      <c r="F321" s="40" t="s">
        <v>53</v>
      </c>
      <c r="G321" s="40" t="s">
        <v>53</v>
      </c>
      <c r="H321" s="41" t="s">
        <v>647</v>
      </c>
      <c r="I321" s="42" t="s">
        <v>43</v>
      </c>
      <c r="J321" s="40" t="s">
        <v>44</v>
      </c>
      <c r="K321" s="41" t="s">
        <v>43</v>
      </c>
      <c r="L321" s="40">
        <v>1</v>
      </c>
      <c r="M321" s="40">
        <v>2</v>
      </c>
      <c r="N321" s="41">
        <v>1</v>
      </c>
      <c r="O321" s="40">
        <v>4</v>
      </c>
      <c r="P321" s="40">
        <v>3</v>
      </c>
      <c r="Q321" s="41">
        <v>2</v>
      </c>
      <c r="R321" s="40" t="s">
        <v>45</v>
      </c>
      <c r="S321" s="40" t="s">
        <v>45</v>
      </c>
      <c r="T321" s="40" t="s">
        <v>45</v>
      </c>
      <c r="U321" s="40" t="s">
        <v>45</v>
      </c>
      <c r="V321" s="40" t="s">
        <v>45</v>
      </c>
      <c r="W321" s="40" t="s">
        <v>45</v>
      </c>
      <c r="X321" s="40">
        <v>2</v>
      </c>
      <c r="Y321" s="40">
        <v>6</v>
      </c>
      <c r="Z321" s="40" t="s">
        <v>45</v>
      </c>
      <c r="AA321" s="40" t="s">
        <v>45</v>
      </c>
      <c r="AB321" s="40" t="s">
        <v>45</v>
      </c>
      <c r="AC321" s="40" t="s">
        <v>45</v>
      </c>
      <c r="AD321" s="40">
        <v>2</v>
      </c>
      <c r="AE321" s="40">
        <v>4</v>
      </c>
      <c r="AF321" s="40" t="s">
        <v>45</v>
      </c>
      <c r="AG321" s="40" t="s">
        <v>45</v>
      </c>
      <c r="AH321" s="40" t="s">
        <v>45</v>
      </c>
      <c r="AI321" s="40" t="s">
        <v>45</v>
      </c>
      <c r="AJ321" s="40" t="s">
        <v>45</v>
      </c>
      <c r="AK321" s="40" t="s">
        <v>45</v>
      </c>
      <c r="AL321" s="40" t="s">
        <v>45</v>
      </c>
      <c r="AM321" s="40" t="s">
        <v>45</v>
      </c>
      <c r="AN321" s="40" t="s">
        <v>45</v>
      </c>
      <c r="AO321" s="41" t="s">
        <v>45</v>
      </c>
      <c r="AP321" s="40" t="s">
        <v>68</v>
      </c>
      <c r="AQ321" s="40">
        <v>10</v>
      </c>
      <c r="AR321" s="48" t="s">
        <v>347</v>
      </c>
      <c r="AS321" s="43" t="s">
        <v>657</v>
      </c>
      <c r="AT321" s="43" t="s">
        <v>635</v>
      </c>
      <c r="AU321" s="44">
        <f t="shared" si="32"/>
        <v>-2.5060525215375429</v>
      </c>
      <c r="AV321" s="44">
        <f t="shared" si="33"/>
        <v>-1.0387315147887846</v>
      </c>
      <c r="AW321" s="45">
        <f t="shared" si="34"/>
        <v>2</v>
      </c>
      <c r="AX321" s="45">
        <f t="shared" si="35"/>
        <v>1</v>
      </c>
      <c r="AY321" s="46">
        <f>VLOOKUP(AP321,COND!$A$10:$B$32,2,FALSE)</f>
        <v>0.95</v>
      </c>
      <c r="AZ321" s="44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26.625451239920963</v>
      </c>
      <c r="BA321" s="47">
        <f>STANDARDIZE(AZ321,AVERAGE($AZ$5:$AZ$557),STDEVP($AZ$5:$AZ$557))</f>
        <v>-0.61506069916835504</v>
      </c>
      <c r="BB321" s="45" t="str">
        <f t="shared" si="36"/>
        <v>RP</v>
      </c>
      <c r="BC321" s="45">
        <f>RANK(Table3[[#This Row],[zScore]],Table3[zScore])</f>
        <v>567</v>
      </c>
      <c r="BD321" s="45"/>
      <c r="BE321" s="45"/>
      <c r="BF321" s="45" t="str">
        <f t="shared" si="37"/>
        <v>Unlikely</v>
      </c>
      <c r="BG321" s="45"/>
      <c r="BH321" s="45" t="str">
        <f>INDEX(Table5[[#All],[Ovr]],MATCH(Table3[[#This Row],[PID]],Table5[[#All],[PID]],0))</f>
        <v/>
      </c>
      <c r="BI321" s="45" t="str">
        <f>INDEX(Table5[[#All],[Rnd]],MATCH(Table3[[#This Row],[PID]],Table5[[#All],[PID]],0))</f>
        <v/>
      </c>
      <c r="BJ321" s="45" t="str">
        <f>INDEX(Table5[[#All],[Pick]],MATCH(Table3[[#This Row],[PID]],Table5[[#All],[PID]],0))</f>
        <v/>
      </c>
      <c r="BK321" s="45" t="str">
        <f>INDEX(Table5[[#All],[Team]],MATCH(Table3[[#This Row],[PID]],Table5[[#All],[PID]],0))</f>
        <v/>
      </c>
      <c r="BL3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2" spans="1:64" ht="15" customHeight="1" x14ac:dyDescent="0.25">
      <c r="A322" s="40">
        <v>20880</v>
      </c>
      <c r="B322" s="40" t="s">
        <v>415</v>
      </c>
      <c r="C322" s="40" t="s">
        <v>136</v>
      </c>
      <c r="D322" s="40" t="s">
        <v>200</v>
      </c>
      <c r="E322" s="40">
        <v>17</v>
      </c>
      <c r="F322" s="40" t="s">
        <v>42</v>
      </c>
      <c r="G322" s="40" t="s">
        <v>42</v>
      </c>
      <c r="H322" s="41" t="s">
        <v>647</v>
      </c>
      <c r="I322" s="42" t="s">
        <v>43</v>
      </c>
      <c r="J322" s="40" t="s">
        <v>43</v>
      </c>
      <c r="K322" s="41" t="s">
        <v>43</v>
      </c>
      <c r="L322" s="40">
        <v>1</v>
      </c>
      <c r="M322" s="40">
        <v>1</v>
      </c>
      <c r="N322" s="41">
        <v>1</v>
      </c>
      <c r="O322" s="40">
        <v>4</v>
      </c>
      <c r="P322" s="40">
        <v>2</v>
      </c>
      <c r="Q322" s="41">
        <v>3</v>
      </c>
      <c r="R322" s="40">
        <v>3</v>
      </c>
      <c r="S322" s="40">
        <v>5</v>
      </c>
      <c r="T322" s="40" t="s">
        <v>45</v>
      </c>
      <c r="U322" s="40" t="s">
        <v>45</v>
      </c>
      <c r="V322" s="40" t="s">
        <v>45</v>
      </c>
      <c r="W322" s="40" t="s">
        <v>45</v>
      </c>
      <c r="X322" s="40">
        <v>2</v>
      </c>
      <c r="Y322" s="40">
        <v>4</v>
      </c>
      <c r="Z322" s="40" t="s">
        <v>45</v>
      </c>
      <c r="AA322" s="40" t="s">
        <v>45</v>
      </c>
      <c r="AB322" s="40" t="s">
        <v>45</v>
      </c>
      <c r="AC322" s="40" t="s">
        <v>45</v>
      </c>
      <c r="AD322" s="40" t="s">
        <v>45</v>
      </c>
      <c r="AE322" s="40" t="s">
        <v>45</v>
      </c>
      <c r="AF322" s="40" t="s">
        <v>45</v>
      </c>
      <c r="AG322" s="40" t="s">
        <v>45</v>
      </c>
      <c r="AH322" s="40" t="s">
        <v>45</v>
      </c>
      <c r="AI322" s="40" t="s">
        <v>45</v>
      </c>
      <c r="AJ322" s="40" t="s">
        <v>45</v>
      </c>
      <c r="AK322" s="40" t="s">
        <v>45</v>
      </c>
      <c r="AL322" s="40" t="s">
        <v>45</v>
      </c>
      <c r="AM322" s="40" t="s">
        <v>45</v>
      </c>
      <c r="AN322" s="40" t="s">
        <v>45</v>
      </c>
      <c r="AO322" s="41" t="s">
        <v>45</v>
      </c>
      <c r="AP322" s="40" t="s">
        <v>64</v>
      </c>
      <c r="AQ322" s="40">
        <v>2</v>
      </c>
      <c r="AR322" s="48" t="s">
        <v>347</v>
      </c>
      <c r="AS322" s="43" t="s">
        <v>654</v>
      </c>
      <c r="AT322" s="43" t="s">
        <v>47</v>
      </c>
      <c r="AU322" s="44">
        <f t="shared" si="32"/>
        <v>-2.7014842379675978</v>
      </c>
      <c r="AV322" s="44">
        <f t="shared" si="33"/>
        <v>-0.99184266516472974</v>
      </c>
      <c r="AW322" s="45">
        <f t="shared" si="34"/>
        <v>2</v>
      </c>
      <c r="AX322" s="45">
        <f t="shared" si="35"/>
        <v>0</v>
      </c>
      <c r="AY322" s="46">
        <f>VLOOKUP(AP322,COND!$A$10:$B$32,2,FALSE)</f>
        <v>1</v>
      </c>
      <c r="AZ322" s="44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26.59170735665629</v>
      </c>
      <c r="BA322" s="47">
        <f>STANDARDIZE(AZ322,AVERAGE($AZ$5:$AZ$557),STDEVP($AZ$5:$AZ$557))</f>
        <v>-0.61730562815762735</v>
      </c>
      <c r="BB322" s="45" t="str">
        <f t="shared" si="36"/>
        <v>RP</v>
      </c>
      <c r="BC322" s="45">
        <f>RANK(Table3[[#This Row],[zScore]],Table3[zScore])</f>
        <v>568</v>
      </c>
      <c r="BD322" s="45"/>
      <c r="BE322" s="45"/>
      <c r="BF322" s="45" t="str">
        <f t="shared" si="37"/>
        <v>Unlikely</v>
      </c>
      <c r="BG322" s="45"/>
      <c r="BH322" s="45" t="str">
        <f>INDEX(Table5[[#All],[Ovr]],MATCH(Table3[[#This Row],[PID]],Table5[[#All],[PID]],0))</f>
        <v/>
      </c>
      <c r="BI322" s="45" t="str">
        <f>INDEX(Table5[[#All],[Rnd]],MATCH(Table3[[#This Row],[PID]],Table5[[#All],[PID]],0))</f>
        <v/>
      </c>
      <c r="BJ322" s="45" t="str">
        <f>INDEX(Table5[[#All],[Pick]],MATCH(Table3[[#This Row],[PID]],Table5[[#All],[PID]],0))</f>
        <v/>
      </c>
      <c r="BK322" s="45" t="str">
        <f>INDEX(Table5[[#All],[Team]],MATCH(Table3[[#This Row],[PID]],Table5[[#All],[PID]],0))</f>
        <v/>
      </c>
      <c r="BL3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3" spans="1:64" ht="15" customHeight="1" x14ac:dyDescent="0.25">
      <c r="A323" s="40">
        <v>17802</v>
      </c>
      <c r="B323" s="40" t="s">
        <v>415</v>
      </c>
      <c r="C323" s="40" t="s">
        <v>816</v>
      </c>
      <c r="D323" s="40" t="s">
        <v>733</v>
      </c>
      <c r="E323" s="40">
        <v>21</v>
      </c>
      <c r="F323" s="40" t="s">
        <v>42</v>
      </c>
      <c r="G323" s="40" t="s">
        <v>42</v>
      </c>
      <c r="H323" s="41" t="s">
        <v>647</v>
      </c>
      <c r="I323" s="42" t="s">
        <v>43</v>
      </c>
      <c r="J323" s="40" t="s">
        <v>44</v>
      </c>
      <c r="K323" s="41" t="s">
        <v>43</v>
      </c>
      <c r="L323" s="40">
        <v>2</v>
      </c>
      <c r="M323" s="40">
        <v>2</v>
      </c>
      <c r="N323" s="41">
        <v>2</v>
      </c>
      <c r="O323" s="40">
        <v>5</v>
      </c>
      <c r="P323" s="40">
        <v>2</v>
      </c>
      <c r="Q323" s="41">
        <v>2</v>
      </c>
      <c r="R323" s="40" t="s">
        <v>45</v>
      </c>
      <c r="S323" s="40" t="s">
        <v>45</v>
      </c>
      <c r="T323" s="40">
        <v>2</v>
      </c>
      <c r="U323" s="40">
        <v>4</v>
      </c>
      <c r="V323" s="40" t="s">
        <v>45</v>
      </c>
      <c r="W323" s="40" t="s">
        <v>45</v>
      </c>
      <c r="X323" s="40">
        <v>3</v>
      </c>
      <c r="Y323" s="40">
        <v>5</v>
      </c>
      <c r="Z323" s="40" t="s">
        <v>45</v>
      </c>
      <c r="AA323" s="40" t="s">
        <v>45</v>
      </c>
      <c r="AB323" s="40" t="s">
        <v>45</v>
      </c>
      <c r="AC323" s="40" t="s">
        <v>45</v>
      </c>
      <c r="AD323" s="40">
        <v>3</v>
      </c>
      <c r="AE323" s="40">
        <v>6</v>
      </c>
      <c r="AF323" s="40" t="s">
        <v>45</v>
      </c>
      <c r="AG323" s="40" t="s">
        <v>45</v>
      </c>
      <c r="AH323" s="40" t="s">
        <v>45</v>
      </c>
      <c r="AI323" s="40" t="s">
        <v>45</v>
      </c>
      <c r="AJ323" s="40" t="s">
        <v>45</v>
      </c>
      <c r="AK323" s="40" t="s">
        <v>45</v>
      </c>
      <c r="AL323" s="40" t="s">
        <v>45</v>
      </c>
      <c r="AM323" s="40" t="s">
        <v>45</v>
      </c>
      <c r="AN323" s="40" t="s">
        <v>45</v>
      </c>
      <c r="AO323" s="41" t="s">
        <v>45</v>
      </c>
      <c r="AP323" s="40" t="s">
        <v>57</v>
      </c>
      <c r="AQ323" s="40">
        <v>6</v>
      </c>
      <c r="AR323" s="48" t="s">
        <v>347</v>
      </c>
      <c r="AS323" s="43" t="s">
        <v>45</v>
      </c>
      <c r="AT323" s="43" t="s">
        <v>635</v>
      </c>
      <c r="AU323" s="44">
        <f t="shared" si="32"/>
        <v>-2.0690406309742588</v>
      </c>
      <c r="AV323" s="44">
        <f t="shared" si="33"/>
        <v>-1.0394719067096667</v>
      </c>
      <c r="AW323" s="45">
        <f t="shared" si="34"/>
        <v>3</v>
      </c>
      <c r="AX323" s="45">
        <f t="shared" si="35"/>
        <v>1</v>
      </c>
      <c r="AY323" s="46">
        <f>VLOOKUP(AP323,COND!$A$10:$B$32,2,FALSE)</f>
        <v>1</v>
      </c>
      <c r="AZ323" s="44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28.70808489612152</v>
      </c>
      <c r="BA323" s="47">
        <f>STANDARDIZE(AZ323,AVERAGE($AZ$5:$AZ$663),STDEVP($AZ$5:$AZ$663))</f>
        <v>-0.62305218388404104</v>
      </c>
      <c r="BB323" s="45" t="str">
        <f t="shared" si="36"/>
        <v>SP</v>
      </c>
      <c r="BC323" s="45">
        <f>RANK(Table3[[#This Row],[zScore]],Table3[zScore])</f>
        <v>572</v>
      </c>
      <c r="BD323" s="45"/>
      <c r="BE323" s="45"/>
      <c r="BF323" s="45" t="str">
        <f t="shared" si="37"/>
        <v>Unlikely</v>
      </c>
      <c r="BG323" s="45"/>
      <c r="BH323" s="45" t="str">
        <f>INDEX(Table5[[#All],[Ovr]],MATCH(Table3[[#This Row],[PID]],Table5[[#All],[PID]],0))</f>
        <v/>
      </c>
      <c r="BI323" s="45" t="str">
        <f>INDEX(Table5[[#All],[Rnd]],MATCH(Table3[[#This Row],[PID]],Table5[[#All],[PID]],0))</f>
        <v/>
      </c>
      <c r="BJ323" s="45" t="str">
        <f>INDEX(Table5[[#All],[Pick]],MATCH(Table3[[#This Row],[PID]],Table5[[#All],[PID]],0))</f>
        <v/>
      </c>
      <c r="BK323" s="45" t="str">
        <f>INDEX(Table5[[#All],[Team]],MATCH(Table3[[#This Row],[PID]],Table5[[#All],[PID]],0))</f>
        <v/>
      </c>
      <c r="BL3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4" spans="1:64" ht="15" customHeight="1" x14ac:dyDescent="0.25">
      <c r="A324" s="40">
        <v>17829</v>
      </c>
      <c r="B324" s="40" t="s">
        <v>415</v>
      </c>
      <c r="C324" s="40" t="s">
        <v>2149</v>
      </c>
      <c r="D324" s="40" t="s">
        <v>836</v>
      </c>
      <c r="E324" s="40">
        <v>18</v>
      </c>
      <c r="F324" s="40" t="s">
        <v>42</v>
      </c>
      <c r="G324" s="40" t="s">
        <v>42</v>
      </c>
      <c r="H324" s="41" t="s">
        <v>647</v>
      </c>
      <c r="I324" s="42" t="s">
        <v>43</v>
      </c>
      <c r="J324" s="40" t="s">
        <v>43</v>
      </c>
      <c r="K324" s="41" t="s">
        <v>43</v>
      </c>
      <c r="L324" s="40">
        <v>2</v>
      </c>
      <c r="M324" s="40">
        <v>1</v>
      </c>
      <c r="N324" s="41">
        <v>1</v>
      </c>
      <c r="O324" s="40">
        <v>5</v>
      </c>
      <c r="P324" s="40">
        <v>1</v>
      </c>
      <c r="Q324" s="41">
        <v>2</v>
      </c>
      <c r="R324" s="40">
        <v>3</v>
      </c>
      <c r="S324" s="40">
        <v>6</v>
      </c>
      <c r="T324" s="40">
        <v>1</v>
      </c>
      <c r="U324" s="40">
        <v>1</v>
      </c>
      <c r="V324" s="40" t="s">
        <v>45</v>
      </c>
      <c r="W324" s="40" t="s">
        <v>45</v>
      </c>
      <c r="X324" s="40" t="s">
        <v>45</v>
      </c>
      <c r="Y324" s="40" t="s">
        <v>45</v>
      </c>
      <c r="Z324" s="40" t="s">
        <v>45</v>
      </c>
      <c r="AA324" s="40" t="s">
        <v>45</v>
      </c>
      <c r="AB324" s="40" t="s">
        <v>45</v>
      </c>
      <c r="AC324" s="40" t="s">
        <v>45</v>
      </c>
      <c r="AD324" s="40">
        <v>3</v>
      </c>
      <c r="AE324" s="40">
        <v>5</v>
      </c>
      <c r="AF324" s="40" t="s">
        <v>45</v>
      </c>
      <c r="AG324" s="40" t="s">
        <v>45</v>
      </c>
      <c r="AH324" s="40" t="s">
        <v>45</v>
      </c>
      <c r="AI324" s="40" t="s">
        <v>45</v>
      </c>
      <c r="AJ324" s="40" t="s">
        <v>45</v>
      </c>
      <c r="AK324" s="40" t="s">
        <v>45</v>
      </c>
      <c r="AL324" s="40" t="s">
        <v>45</v>
      </c>
      <c r="AM324" s="40" t="s">
        <v>45</v>
      </c>
      <c r="AN324" s="40" t="s">
        <v>45</v>
      </c>
      <c r="AO324" s="41" t="s">
        <v>45</v>
      </c>
      <c r="AP324" s="40" t="s">
        <v>350</v>
      </c>
      <c r="AQ324" s="40">
        <v>2</v>
      </c>
      <c r="AR324" s="48" t="s">
        <v>14</v>
      </c>
      <c r="AS324" s="43" t="s">
        <v>644</v>
      </c>
      <c r="AT324" s="43" t="s">
        <v>635</v>
      </c>
      <c r="AU324" s="44">
        <f t="shared" si="32"/>
        <v>-2.5067929134584248</v>
      </c>
      <c r="AV324" s="44">
        <f t="shared" si="33"/>
        <v>-1.2349036231397219</v>
      </c>
      <c r="AW324" s="45">
        <f t="shared" si="34"/>
        <v>3</v>
      </c>
      <c r="AX324" s="45">
        <f t="shared" si="35"/>
        <v>1</v>
      </c>
      <c r="AY324" s="46">
        <f>VLOOKUP(AP324,COND!$A$10:$B$32,2,FALSE)</f>
        <v>1</v>
      </c>
      <c r="AZ324" s="44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28.673040506788183</v>
      </c>
      <c r="BA324" s="47">
        <f>STANDARDIZE(AZ324,AVERAGE($AZ$5:$AZ$663),STDEVP($AZ$5:$AZ$663))</f>
        <v>-0.62545271424231508</v>
      </c>
      <c r="BB324" s="45" t="str">
        <f t="shared" si="36"/>
        <v>RP</v>
      </c>
      <c r="BC324" s="45">
        <f>RANK(Table3[[#This Row],[zScore]],Table3[zScore])</f>
        <v>574</v>
      </c>
      <c r="BD324" s="45"/>
      <c r="BE324" s="45"/>
      <c r="BF324" s="45" t="str">
        <f t="shared" si="37"/>
        <v>Unlikely</v>
      </c>
      <c r="BG324" s="45"/>
      <c r="BH324" s="45" t="str">
        <f>INDEX(Table5[[#All],[Ovr]],MATCH(Table3[[#This Row],[PID]],Table5[[#All],[PID]],0))</f>
        <v/>
      </c>
      <c r="BI324" s="45" t="str">
        <f>INDEX(Table5[[#All],[Rnd]],MATCH(Table3[[#This Row],[PID]],Table5[[#All],[PID]],0))</f>
        <v/>
      </c>
      <c r="BJ324" s="45" t="str">
        <f>INDEX(Table5[[#All],[Pick]],MATCH(Table3[[#This Row],[PID]],Table5[[#All],[PID]],0))</f>
        <v/>
      </c>
      <c r="BK324" s="45" t="str">
        <f>INDEX(Table5[[#All],[Team]],MATCH(Table3[[#This Row],[PID]],Table5[[#All],[PID]],0))</f>
        <v/>
      </c>
      <c r="BL3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5" spans="1:64" ht="15" customHeight="1" x14ac:dyDescent="0.25">
      <c r="A325" s="40">
        <v>9256</v>
      </c>
      <c r="B325" s="40" t="s">
        <v>415</v>
      </c>
      <c r="C325" s="40" t="s">
        <v>176</v>
      </c>
      <c r="D325" s="40" t="s">
        <v>1033</v>
      </c>
      <c r="E325" s="40">
        <v>22</v>
      </c>
      <c r="F325" s="40" t="s">
        <v>42</v>
      </c>
      <c r="G325" s="40" t="s">
        <v>42</v>
      </c>
      <c r="H325" s="41" t="s">
        <v>647</v>
      </c>
      <c r="I325" s="42" t="s">
        <v>43</v>
      </c>
      <c r="J325" s="40" t="s">
        <v>44</v>
      </c>
      <c r="K325" s="41" t="s">
        <v>43</v>
      </c>
      <c r="L325" s="40">
        <v>3</v>
      </c>
      <c r="M325" s="40">
        <v>1</v>
      </c>
      <c r="N325" s="41">
        <v>2</v>
      </c>
      <c r="O325" s="40">
        <v>4</v>
      </c>
      <c r="P325" s="40">
        <v>1</v>
      </c>
      <c r="Q325" s="41">
        <v>3</v>
      </c>
      <c r="R325" s="40">
        <v>5</v>
      </c>
      <c r="S325" s="40">
        <v>6</v>
      </c>
      <c r="T325" s="40">
        <v>1</v>
      </c>
      <c r="U325" s="40">
        <v>2</v>
      </c>
      <c r="V325" s="40">
        <v>3</v>
      </c>
      <c r="W325" s="40">
        <v>6</v>
      </c>
      <c r="X325" s="40" t="s">
        <v>45</v>
      </c>
      <c r="Y325" s="40" t="s">
        <v>45</v>
      </c>
      <c r="Z325" s="40" t="s">
        <v>45</v>
      </c>
      <c r="AA325" s="40" t="s">
        <v>45</v>
      </c>
      <c r="AB325" s="40" t="s">
        <v>45</v>
      </c>
      <c r="AC325" s="40" t="s">
        <v>45</v>
      </c>
      <c r="AD325" s="40" t="s">
        <v>45</v>
      </c>
      <c r="AE325" s="40" t="s">
        <v>45</v>
      </c>
      <c r="AF325" s="40" t="s">
        <v>45</v>
      </c>
      <c r="AG325" s="40" t="s">
        <v>45</v>
      </c>
      <c r="AH325" s="40" t="s">
        <v>45</v>
      </c>
      <c r="AI325" s="40" t="s">
        <v>45</v>
      </c>
      <c r="AJ325" s="40" t="s">
        <v>45</v>
      </c>
      <c r="AK325" s="40" t="s">
        <v>45</v>
      </c>
      <c r="AL325" s="40" t="s">
        <v>45</v>
      </c>
      <c r="AM325" s="40" t="s">
        <v>45</v>
      </c>
      <c r="AN325" s="40" t="s">
        <v>45</v>
      </c>
      <c r="AO325" s="41" t="s">
        <v>45</v>
      </c>
      <c r="AP325" s="40" t="s">
        <v>56</v>
      </c>
      <c r="AQ325" s="40">
        <v>7</v>
      </c>
      <c r="AR325" s="48" t="s">
        <v>14</v>
      </c>
      <c r="AS325" s="43" t="s">
        <v>45</v>
      </c>
      <c r="AT325" s="43" t="s">
        <v>635</v>
      </c>
      <c r="AU325" s="44">
        <f t="shared" ref="AU325:AU388" si="41">($O$3*(L325-$O$1)/$O$2+$P$3*(M325-$P$1)/$P$2+$Q$3*(N325-$P$1)/$Q$2)/SUM($O$3:$Q$3)</f>
        <v>-2.0697810228951408</v>
      </c>
      <c r="AV325" s="44">
        <f t="shared" ref="AV325:AV388" si="42">($O$3*(O325-$O$1)/$O$2+$P$3*(P325-$P$1)/$P$2+$Q$3*(Q325-$Q$1)/$Q$2)/SUM($O$3:$Q$3)</f>
        <v>-1.1872743815947853</v>
      </c>
      <c r="AW325" s="45">
        <f t="shared" ref="AW325:AW388" si="43">COUNT(R325:AO325)/2</f>
        <v>3</v>
      </c>
      <c r="AX325" s="45">
        <f t="shared" ref="AX325:AX388" si="44"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2</v>
      </c>
      <c r="AY325" s="46">
        <f>VLOOKUP(AP325,COND!$A$10:$B$32,2,FALSE)</f>
        <v>1</v>
      </c>
      <c r="AZ325" s="44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26.540556163525263</v>
      </c>
      <c r="BA325" s="47">
        <f>STANDARDIZE(AZ325,AVERAGE($AZ$5:$AZ$557),STDEVP($AZ$5:$AZ$557))</f>
        <v>-0.62070863887204408</v>
      </c>
      <c r="BB325" s="45" t="str">
        <f t="shared" ref="BB325:BB388" si="45">IF(OR(AND(AQ325&gt;7,AX325&gt;1),AND(AQ325&gt;4,AW325&gt;2)),"SP","RP")</f>
        <v>SP</v>
      </c>
      <c r="BC325" s="45">
        <f>RANK(Table3[[#This Row],[zScore]],Table3[zScore])</f>
        <v>570</v>
      </c>
      <c r="BD325" s="45"/>
      <c r="BE325" s="45"/>
      <c r="BF325" s="45" t="str">
        <f t="shared" ref="BF325:BF388" si="46">IF(AVERAGE($O325:$Q325)&gt;=6,"Likely",IF(AVERAGE($O325:$Q325)&gt;=4,"Possible","Unlikely"))</f>
        <v>Unlikely</v>
      </c>
      <c r="BG325" s="45"/>
      <c r="BH325" s="45" t="str">
        <f>INDEX(Table5[[#All],[Ovr]],MATCH(Table3[[#This Row],[PID]],Table5[[#All],[PID]],0))</f>
        <v/>
      </c>
      <c r="BI325" s="45" t="str">
        <f>INDEX(Table5[[#All],[Rnd]],MATCH(Table3[[#This Row],[PID]],Table5[[#All],[PID]],0))</f>
        <v/>
      </c>
      <c r="BJ325" s="45" t="str">
        <f>INDEX(Table5[[#All],[Pick]],MATCH(Table3[[#This Row],[PID]],Table5[[#All],[PID]],0))</f>
        <v/>
      </c>
      <c r="BK325" s="45" t="str">
        <f>INDEX(Table5[[#All],[Team]],MATCH(Table3[[#This Row],[PID]],Table5[[#All],[PID]],0))</f>
        <v/>
      </c>
      <c r="BL3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6" spans="1:64" ht="15" customHeight="1" x14ac:dyDescent="0.25">
      <c r="A326" s="40">
        <v>20577</v>
      </c>
      <c r="B326" s="40" t="s">
        <v>415</v>
      </c>
      <c r="C326" s="40" t="s">
        <v>2128</v>
      </c>
      <c r="D326" s="40" t="s">
        <v>2129</v>
      </c>
      <c r="E326" s="40">
        <v>17</v>
      </c>
      <c r="F326" s="40" t="s">
        <v>53</v>
      </c>
      <c r="G326" s="40" t="s">
        <v>53</v>
      </c>
      <c r="H326" s="41" t="s">
        <v>647</v>
      </c>
      <c r="I326" s="42" t="s">
        <v>43</v>
      </c>
      <c r="J326" s="40" t="s">
        <v>44</v>
      </c>
      <c r="K326" s="41" t="s">
        <v>47</v>
      </c>
      <c r="L326" s="40">
        <v>2</v>
      </c>
      <c r="M326" s="40">
        <v>1</v>
      </c>
      <c r="N326" s="41">
        <v>1</v>
      </c>
      <c r="O326" s="40">
        <v>3</v>
      </c>
      <c r="P326" s="40">
        <v>1</v>
      </c>
      <c r="Q326" s="41">
        <v>3</v>
      </c>
      <c r="R326" s="40">
        <v>3</v>
      </c>
      <c r="S326" s="40">
        <v>3</v>
      </c>
      <c r="T326" s="40">
        <v>1</v>
      </c>
      <c r="U326" s="40">
        <v>3</v>
      </c>
      <c r="V326" s="40">
        <v>1</v>
      </c>
      <c r="W326" s="40">
        <v>3</v>
      </c>
      <c r="X326" s="40" t="s">
        <v>45</v>
      </c>
      <c r="Y326" s="40" t="s">
        <v>45</v>
      </c>
      <c r="Z326" s="40" t="s">
        <v>45</v>
      </c>
      <c r="AA326" s="40" t="s">
        <v>45</v>
      </c>
      <c r="AB326" s="40" t="s">
        <v>45</v>
      </c>
      <c r="AC326" s="40" t="s">
        <v>45</v>
      </c>
      <c r="AD326" s="40">
        <v>2</v>
      </c>
      <c r="AE326" s="40">
        <v>3</v>
      </c>
      <c r="AF326" s="40" t="s">
        <v>45</v>
      </c>
      <c r="AG326" s="40" t="s">
        <v>45</v>
      </c>
      <c r="AH326" s="40" t="s">
        <v>45</v>
      </c>
      <c r="AI326" s="40" t="s">
        <v>45</v>
      </c>
      <c r="AJ326" s="40" t="s">
        <v>45</v>
      </c>
      <c r="AK326" s="40" t="s">
        <v>45</v>
      </c>
      <c r="AL326" s="40" t="s">
        <v>45</v>
      </c>
      <c r="AM326" s="40" t="s">
        <v>45</v>
      </c>
      <c r="AN326" s="40" t="s">
        <v>45</v>
      </c>
      <c r="AO326" s="41" t="s">
        <v>45</v>
      </c>
      <c r="AP326" s="40" t="s">
        <v>64</v>
      </c>
      <c r="AQ326" s="40">
        <v>5</v>
      </c>
      <c r="AR326" s="48" t="s">
        <v>14</v>
      </c>
      <c r="AS326" s="43" t="s">
        <v>670</v>
      </c>
      <c r="AT326" s="43" t="s">
        <v>47</v>
      </c>
      <c r="AU326" s="44">
        <f t="shared" si="41"/>
        <v>-2.5067929134584248</v>
      </c>
      <c r="AV326" s="44">
        <f t="shared" si="42"/>
        <v>-1.3819657061039585</v>
      </c>
      <c r="AW326" s="45">
        <f t="shared" si="43"/>
        <v>4</v>
      </c>
      <c r="AX326" s="45">
        <f t="shared" si="44"/>
        <v>0</v>
      </c>
      <c r="AY326" s="46">
        <f>VLOOKUP(AP326,COND!$A$10:$B$32,2,FALSE)</f>
        <v>1</v>
      </c>
      <c r="AZ326" s="44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26.512844112848416</v>
      </c>
      <c r="BA326" s="47">
        <f>STANDARDIZE(AZ326,AVERAGE($AZ$5:$AZ$557),STDEVP($AZ$5:$AZ$557))</f>
        <v>-0.62255227925654499</v>
      </c>
      <c r="BB326" s="45" t="str">
        <f t="shared" si="45"/>
        <v>SP</v>
      </c>
      <c r="BC326" s="45">
        <f>RANK(Table3[[#This Row],[zScore]],Table3[zScore])</f>
        <v>571</v>
      </c>
      <c r="BD326" s="45"/>
      <c r="BE326" s="45"/>
      <c r="BF326" s="45" t="str">
        <f t="shared" si="46"/>
        <v>Unlikely</v>
      </c>
      <c r="BG326" s="45"/>
      <c r="BH326" s="45" t="str">
        <f>INDEX(Table5[[#All],[Ovr]],MATCH(Table3[[#This Row],[PID]],Table5[[#All],[PID]],0))</f>
        <v/>
      </c>
      <c r="BI326" s="45" t="str">
        <f>INDEX(Table5[[#All],[Rnd]],MATCH(Table3[[#This Row],[PID]],Table5[[#All],[PID]],0))</f>
        <v/>
      </c>
      <c r="BJ326" s="45" t="str">
        <f>INDEX(Table5[[#All],[Pick]],MATCH(Table3[[#This Row],[PID]],Table5[[#All],[PID]],0))</f>
        <v/>
      </c>
      <c r="BK326" s="45" t="str">
        <f>INDEX(Table5[[#All],[Team]],MATCH(Table3[[#This Row],[PID]],Table5[[#All],[PID]],0))</f>
        <v/>
      </c>
      <c r="BL3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7" spans="1:64" ht="15" customHeight="1" x14ac:dyDescent="0.25">
      <c r="A327" s="40">
        <v>7733</v>
      </c>
      <c r="B327" s="40" t="s">
        <v>415</v>
      </c>
      <c r="C327" s="40" t="s">
        <v>580</v>
      </c>
      <c r="D327" s="40" t="s">
        <v>581</v>
      </c>
      <c r="E327" s="40">
        <v>22</v>
      </c>
      <c r="F327" s="40" t="s">
        <v>42</v>
      </c>
      <c r="G327" s="40" t="s">
        <v>42</v>
      </c>
      <c r="H327" s="41" t="s">
        <v>647</v>
      </c>
      <c r="I327" s="42" t="s">
        <v>44</v>
      </c>
      <c r="J327" s="40" t="s">
        <v>47</v>
      </c>
      <c r="K327" s="41" t="s">
        <v>43</v>
      </c>
      <c r="L327" s="40">
        <v>2</v>
      </c>
      <c r="M327" s="40">
        <v>1</v>
      </c>
      <c r="N327" s="41">
        <v>1</v>
      </c>
      <c r="O327" s="40">
        <v>5</v>
      </c>
      <c r="P327" s="40">
        <v>1</v>
      </c>
      <c r="Q327" s="41">
        <v>2</v>
      </c>
      <c r="R327" s="40">
        <v>4</v>
      </c>
      <c r="S327" s="40">
        <v>6</v>
      </c>
      <c r="T327" s="40">
        <v>1</v>
      </c>
      <c r="U327" s="40">
        <v>1</v>
      </c>
      <c r="V327" s="40">
        <v>2</v>
      </c>
      <c r="W327" s="40">
        <v>6</v>
      </c>
      <c r="X327" s="40" t="s">
        <v>45</v>
      </c>
      <c r="Y327" s="40" t="s">
        <v>45</v>
      </c>
      <c r="Z327" s="40" t="s">
        <v>45</v>
      </c>
      <c r="AA327" s="40" t="s">
        <v>45</v>
      </c>
      <c r="AB327" s="40" t="s">
        <v>45</v>
      </c>
      <c r="AC327" s="40" t="s">
        <v>45</v>
      </c>
      <c r="AD327" s="40" t="s">
        <v>45</v>
      </c>
      <c r="AE327" s="40" t="s">
        <v>45</v>
      </c>
      <c r="AF327" s="40" t="s">
        <v>45</v>
      </c>
      <c r="AG327" s="40" t="s">
        <v>45</v>
      </c>
      <c r="AH327" s="40" t="s">
        <v>45</v>
      </c>
      <c r="AI327" s="40" t="s">
        <v>45</v>
      </c>
      <c r="AJ327" s="40" t="s">
        <v>45</v>
      </c>
      <c r="AK327" s="40" t="s">
        <v>45</v>
      </c>
      <c r="AL327" s="40" t="s">
        <v>45</v>
      </c>
      <c r="AM327" s="40" t="s">
        <v>45</v>
      </c>
      <c r="AN327" s="40" t="s">
        <v>45</v>
      </c>
      <c r="AO327" s="41" t="s">
        <v>45</v>
      </c>
      <c r="AP327" s="40" t="s">
        <v>350</v>
      </c>
      <c r="AQ327" s="40">
        <v>6</v>
      </c>
      <c r="AR327" s="48" t="s">
        <v>14</v>
      </c>
      <c r="AS327" s="43" t="s">
        <v>45</v>
      </c>
      <c r="AT327" s="43" t="s">
        <v>635</v>
      </c>
      <c r="AU327" s="44">
        <f t="shared" si="41"/>
        <v>-2.5067929134584248</v>
      </c>
      <c r="AV327" s="44">
        <f t="shared" si="42"/>
        <v>-1.2349036231397219</v>
      </c>
      <c r="AW327" s="45">
        <f t="shared" si="43"/>
        <v>3</v>
      </c>
      <c r="AX327" s="45">
        <f t="shared" si="44"/>
        <v>2</v>
      </c>
      <c r="AY327" s="46">
        <f>VLOOKUP(AP327,COND!$A$10:$B$32,2,FALSE)</f>
        <v>1</v>
      </c>
      <c r="AZ327" s="44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26.480554730651029</v>
      </c>
      <c r="BA327" s="47">
        <f>STANDARDIZE(AZ327,AVERAGE($AZ$5:$AZ$557),STDEVP($AZ$5:$AZ$557))</f>
        <v>-0.62470044251244672</v>
      </c>
      <c r="BB327" s="45" t="str">
        <f t="shared" si="45"/>
        <v>SP</v>
      </c>
      <c r="BC327" s="45">
        <f>RANK(Table3[[#This Row],[zScore]],Table3[zScore])</f>
        <v>573</v>
      </c>
      <c r="BD327" s="45"/>
      <c r="BE327" s="45"/>
      <c r="BF327" s="45" t="str">
        <f t="shared" si="46"/>
        <v>Unlikely</v>
      </c>
      <c r="BG327" s="45"/>
      <c r="BH327" s="45" t="str">
        <f>INDEX(Table5[[#All],[Ovr]],MATCH(Table3[[#This Row],[PID]],Table5[[#All],[PID]],0))</f>
        <v/>
      </c>
      <c r="BI327" s="45" t="str">
        <f>INDEX(Table5[[#All],[Rnd]],MATCH(Table3[[#This Row],[PID]],Table5[[#All],[PID]],0))</f>
        <v/>
      </c>
      <c r="BJ327" s="45" t="str">
        <f>INDEX(Table5[[#All],[Pick]],MATCH(Table3[[#This Row],[PID]],Table5[[#All],[PID]],0))</f>
        <v/>
      </c>
      <c r="BK327" s="45" t="str">
        <f>INDEX(Table5[[#All],[Team]],MATCH(Table3[[#This Row],[PID]],Table5[[#All],[PID]],0))</f>
        <v/>
      </c>
      <c r="BL3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8" spans="1:64" ht="15" customHeight="1" x14ac:dyDescent="0.25">
      <c r="A328" s="40">
        <v>20477</v>
      </c>
      <c r="B328" s="40" t="s">
        <v>415</v>
      </c>
      <c r="C328" s="40" t="s">
        <v>2098</v>
      </c>
      <c r="D328" s="40" t="s">
        <v>586</v>
      </c>
      <c r="E328" s="40">
        <v>18</v>
      </c>
      <c r="F328" s="40" t="s">
        <v>42</v>
      </c>
      <c r="G328" s="40" t="s">
        <v>42</v>
      </c>
      <c r="H328" s="41" t="s">
        <v>647</v>
      </c>
      <c r="I328" s="42" t="s">
        <v>43</v>
      </c>
      <c r="J328" s="40" t="s">
        <v>44</v>
      </c>
      <c r="K328" s="41" t="s">
        <v>43</v>
      </c>
      <c r="L328" s="40">
        <v>1</v>
      </c>
      <c r="M328" s="40">
        <v>1</v>
      </c>
      <c r="N328" s="41">
        <v>1</v>
      </c>
      <c r="O328" s="40">
        <v>3</v>
      </c>
      <c r="P328" s="40">
        <v>1</v>
      </c>
      <c r="Q328" s="41">
        <v>3</v>
      </c>
      <c r="R328" s="40">
        <v>2</v>
      </c>
      <c r="S328" s="40">
        <v>3</v>
      </c>
      <c r="T328" s="40" t="s">
        <v>45</v>
      </c>
      <c r="U328" s="40" t="s">
        <v>45</v>
      </c>
      <c r="V328" s="40">
        <v>2</v>
      </c>
      <c r="W328" s="40">
        <v>4</v>
      </c>
      <c r="X328" s="40">
        <v>2</v>
      </c>
      <c r="Y328" s="40">
        <v>4</v>
      </c>
      <c r="Z328" s="40" t="s">
        <v>45</v>
      </c>
      <c r="AA328" s="40" t="s">
        <v>45</v>
      </c>
      <c r="AB328" s="40" t="s">
        <v>45</v>
      </c>
      <c r="AC328" s="40" t="s">
        <v>45</v>
      </c>
      <c r="AD328" s="40" t="s">
        <v>45</v>
      </c>
      <c r="AE328" s="40" t="s">
        <v>45</v>
      </c>
      <c r="AF328" s="40" t="s">
        <v>45</v>
      </c>
      <c r="AG328" s="40" t="s">
        <v>45</v>
      </c>
      <c r="AH328" s="40" t="s">
        <v>45</v>
      </c>
      <c r="AI328" s="40" t="s">
        <v>45</v>
      </c>
      <c r="AJ328" s="40" t="s">
        <v>45</v>
      </c>
      <c r="AK328" s="40" t="s">
        <v>45</v>
      </c>
      <c r="AL328" s="40" t="s">
        <v>45</v>
      </c>
      <c r="AM328" s="40" t="s">
        <v>45</v>
      </c>
      <c r="AN328" s="40" t="s">
        <v>45</v>
      </c>
      <c r="AO328" s="41" t="s">
        <v>45</v>
      </c>
      <c r="AP328" s="40" t="s">
        <v>65</v>
      </c>
      <c r="AQ328" s="40">
        <v>9</v>
      </c>
      <c r="AR328" s="48" t="s">
        <v>347</v>
      </c>
      <c r="AS328" s="43" t="s">
        <v>659</v>
      </c>
      <c r="AT328" s="43" t="s">
        <v>47</v>
      </c>
      <c r="AU328" s="44">
        <f t="shared" si="41"/>
        <v>-2.7014842379675978</v>
      </c>
      <c r="AV328" s="44">
        <f t="shared" si="42"/>
        <v>-1.3819657061039585</v>
      </c>
      <c r="AW328" s="45">
        <f t="shared" si="43"/>
        <v>3</v>
      </c>
      <c r="AX328" s="45">
        <f t="shared" si="44"/>
        <v>0</v>
      </c>
      <c r="AY328" s="46">
        <f>VLOOKUP(AP328,COND!$A$10:$B$32,2,FALSE)</f>
        <v>0.95</v>
      </c>
      <c r="AZ328" s="44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26.354369578810942</v>
      </c>
      <c r="BA328" s="47">
        <f>STANDARDIZE(AZ328,AVERAGE($AZ$5:$AZ$557),STDEVP($AZ$5:$AZ$557))</f>
        <v>-0.63309534783972143</v>
      </c>
      <c r="BB328" s="45" t="str">
        <f t="shared" si="45"/>
        <v>SP</v>
      </c>
      <c r="BC328" s="45">
        <f>RANK(Table3[[#This Row],[zScore]],Table3[zScore])</f>
        <v>575</v>
      </c>
      <c r="BD328" s="45"/>
      <c r="BE328" s="45"/>
      <c r="BF328" s="45" t="str">
        <f t="shared" si="46"/>
        <v>Unlikely</v>
      </c>
      <c r="BG328" s="45"/>
      <c r="BH328" s="45" t="str">
        <f>INDEX(Table5[[#All],[Ovr]],MATCH(Table3[[#This Row],[PID]],Table5[[#All],[PID]],0))</f>
        <v/>
      </c>
      <c r="BI328" s="45" t="str">
        <f>INDEX(Table5[[#All],[Rnd]],MATCH(Table3[[#This Row],[PID]],Table5[[#All],[PID]],0))</f>
        <v/>
      </c>
      <c r="BJ328" s="45" t="str">
        <f>INDEX(Table5[[#All],[Pick]],MATCH(Table3[[#This Row],[PID]],Table5[[#All],[PID]],0))</f>
        <v/>
      </c>
      <c r="BK328" s="45" t="str">
        <f>INDEX(Table5[[#All],[Team]],MATCH(Table3[[#This Row],[PID]],Table5[[#All],[PID]],0))</f>
        <v/>
      </c>
      <c r="BL3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29" spans="1:64" ht="15" customHeight="1" x14ac:dyDescent="0.25">
      <c r="A329" s="40">
        <v>20302</v>
      </c>
      <c r="B329" s="40" t="s">
        <v>415</v>
      </c>
      <c r="C329" s="40" t="s">
        <v>1762</v>
      </c>
      <c r="D329" s="40" t="s">
        <v>842</v>
      </c>
      <c r="E329" s="40">
        <v>17</v>
      </c>
      <c r="F329" s="40" t="s">
        <v>53</v>
      </c>
      <c r="G329" s="40" t="s">
        <v>53</v>
      </c>
      <c r="H329" s="41" t="s">
        <v>647</v>
      </c>
      <c r="I329" s="42" t="s">
        <v>43</v>
      </c>
      <c r="J329" s="40" t="s">
        <v>44</v>
      </c>
      <c r="K329" s="41" t="s">
        <v>43</v>
      </c>
      <c r="L329" s="40">
        <v>2</v>
      </c>
      <c r="M329" s="40">
        <v>1</v>
      </c>
      <c r="N329" s="41">
        <v>1</v>
      </c>
      <c r="O329" s="40">
        <v>5</v>
      </c>
      <c r="P329" s="40">
        <v>1</v>
      </c>
      <c r="Q329" s="41">
        <v>3</v>
      </c>
      <c r="R329" s="40">
        <v>3</v>
      </c>
      <c r="S329" s="40">
        <v>4</v>
      </c>
      <c r="T329" s="40">
        <v>3</v>
      </c>
      <c r="U329" s="40">
        <v>8</v>
      </c>
      <c r="V329" s="40" t="s">
        <v>45</v>
      </c>
      <c r="W329" s="40" t="s">
        <v>45</v>
      </c>
      <c r="X329" s="40" t="s">
        <v>45</v>
      </c>
      <c r="Y329" s="40" t="s">
        <v>45</v>
      </c>
      <c r="Z329" s="40" t="s">
        <v>45</v>
      </c>
      <c r="AA329" s="40" t="s">
        <v>45</v>
      </c>
      <c r="AB329" s="40" t="s">
        <v>45</v>
      </c>
      <c r="AC329" s="40" t="s">
        <v>45</v>
      </c>
      <c r="AD329" s="40" t="s">
        <v>45</v>
      </c>
      <c r="AE329" s="40" t="s">
        <v>45</v>
      </c>
      <c r="AF329" s="40" t="s">
        <v>45</v>
      </c>
      <c r="AG329" s="40" t="s">
        <v>45</v>
      </c>
      <c r="AH329" s="40" t="s">
        <v>45</v>
      </c>
      <c r="AI329" s="40" t="s">
        <v>45</v>
      </c>
      <c r="AJ329" s="40" t="s">
        <v>45</v>
      </c>
      <c r="AK329" s="40" t="s">
        <v>45</v>
      </c>
      <c r="AL329" s="40" t="s">
        <v>45</v>
      </c>
      <c r="AM329" s="40" t="s">
        <v>45</v>
      </c>
      <c r="AN329" s="40" t="s">
        <v>45</v>
      </c>
      <c r="AO329" s="41" t="s">
        <v>45</v>
      </c>
      <c r="AP329" s="40" t="s">
        <v>65</v>
      </c>
      <c r="AQ329" s="40">
        <v>5</v>
      </c>
      <c r="AR329" s="48" t="s">
        <v>14</v>
      </c>
      <c r="AS329" s="43" t="s">
        <v>663</v>
      </c>
      <c r="AT329" s="43"/>
      <c r="AU329" s="44">
        <f t="shared" si="41"/>
        <v>-2.5067929134584248</v>
      </c>
      <c r="AV329" s="44">
        <f t="shared" si="42"/>
        <v>-0.99258305708561179</v>
      </c>
      <c r="AW329" s="45">
        <f t="shared" si="43"/>
        <v>2</v>
      </c>
      <c r="AX329" s="45">
        <f t="shared" si="44"/>
        <v>1</v>
      </c>
      <c r="AY329" s="46">
        <f>VLOOKUP(AP329,COND!$A$10:$B$32,2,FALSE)</f>
        <v>0.95</v>
      </c>
      <c r="AZ329" s="44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27.932077980270869</v>
      </c>
      <c r="BA329" s="47">
        <f>STANDARDIZE(AZ329,AVERAGE($AZ$5:$AZ$788),STDEVP($AZ$5:$AZ$788))</f>
        <v>-0.64021960894021412</v>
      </c>
      <c r="BB329" s="45" t="str">
        <f t="shared" si="45"/>
        <v>RP</v>
      </c>
      <c r="BC329" s="45">
        <f>RANK(Table3[[#This Row],[zScore]],Table3[zScore])</f>
        <v>577</v>
      </c>
      <c r="BD329" s="45"/>
      <c r="BE329" s="45"/>
      <c r="BF329" s="45" t="str">
        <f t="shared" si="46"/>
        <v>Unlikely</v>
      </c>
      <c r="BG329" s="45"/>
      <c r="BH329" s="64" t="str">
        <f>INDEX(Table5[[#All],[Ovr]],MATCH(Table3[[#This Row],[PID]],Table5[[#All],[PID]],0))</f>
        <v/>
      </c>
      <c r="BI329" s="64" t="str">
        <f>INDEX(Table5[[#All],[Rnd]],MATCH(Table3[[#This Row],[PID]],Table5[[#All],[PID]],0))</f>
        <v/>
      </c>
      <c r="BJ329" s="64" t="str">
        <f>INDEX(Table5[[#All],[Pick]],MATCH(Table3[[#This Row],[PID]],Table5[[#All],[PID]],0))</f>
        <v/>
      </c>
      <c r="BK329" s="64" t="str">
        <f>INDEX(Table5[[#All],[Team]],MATCH(Table3[[#This Row],[PID]],Table5[[#All],[PID]],0))</f>
        <v/>
      </c>
      <c r="BL329" s="64" t="str">
        <f>IF(OR(Table3[[#This Row],[POS]]="SP",Table3[[#This Row],[POS]]="RP",Table3[[#This Row],[POS]]="CL"),"P",INDEX(Batters[[#All],[zScore]],MATCH(Table3[[#This Row],[PID]],Batters[[#All],[PID]],0)))</f>
        <v>P</v>
      </c>
    </row>
    <row r="330" spans="1:64" ht="15" customHeight="1" x14ac:dyDescent="0.25">
      <c r="A330" s="40">
        <v>20728</v>
      </c>
      <c r="B330" s="40" t="s">
        <v>415</v>
      </c>
      <c r="C330" s="40" t="s">
        <v>167</v>
      </c>
      <c r="D330" s="40" t="s">
        <v>932</v>
      </c>
      <c r="E330" s="40">
        <v>17</v>
      </c>
      <c r="F330" s="40" t="s">
        <v>53</v>
      </c>
      <c r="G330" s="40" t="s">
        <v>42</v>
      </c>
      <c r="H330" s="41" t="s">
        <v>647</v>
      </c>
      <c r="I330" s="42" t="s">
        <v>43</v>
      </c>
      <c r="J330" s="40" t="s">
        <v>43</v>
      </c>
      <c r="K330" s="41" t="s">
        <v>43</v>
      </c>
      <c r="L330" s="40">
        <v>1</v>
      </c>
      <c r="M330" s="40">
        <v>2</v>
      </c>
      <c r="N330" s="41">
        <v>1</v>
      </c>
      <c r="O330" s="40">
        <v>3</v>
      </c>
      <c r="P330" s="40">
        <v>2</v>
      </c>
      <c r="Q330" s="41">
        <v>2</v>
      </c>
      <c r="R330" s="40">
        <v>2</v>
      </c>
      <c r="S330" s="40">
        <v>3</v>
      </c>
      <c r="T330" s="40">
        <v>1</v>
      </c>
      <c r="U330" s="40">
        <v>1</v>
      </c>
      <c r="V330" s="40">
        <v>1</v>
      </c>
      <c r="W330" s="40">
        <v>4</v>
      </c>
      <c r="X330" s="40">
        <v>1</v>
      </c>
      <c r="Y330" s="40">
        <v>5</v>
      </c>
      <c r="Z330" s="40" t="s">
        <v>45</v>
      </c>
      <c r="AA330" s="40" t="s">
        <v>45</v>
      </c>
      <c r="AB330" s="40" t="s">
        <v>45</v>
      </c>
      <c r="AC330" s="40" t="s">
        <v>45</v>
      </c>
      <c r="AD330" s="40" t="s">
        <v>45</v>
      </c>
      <c r="AE330" s="40" t="s">
        <v>45</v>
      </c>
      <c r="AF330" s="40" t="s">
        <v>45</v>
      </c>
      <c r="AG330" s="40" t="s">
        <v>45</v>
      </c>
      <c r="AH330" s="40" t="s">
        <v>45</v>
      </c>
      <c r="AI330" s="40" t="s">
        <v>45</v>
      </c>
      <c r="AJ330" s="40" t="s">
        <v>45</v>
      </c>
      <c r="AK330" s="40" t="s">
        <v>45</v>
      </c>
      <c r="AL330" s="40" t="s">
        <v>45</v>
      </c>
      <c r="AM330" s="40" t="s">
        <v>45</v>
      </c>
      <c r="AN330" s="40" t="s">
        <v>45</v>
      </c>
      <c r="AO330" s="41" t="s">
        <v>45</v>
      </c>
      <c r="AP330" s="40" t="s">
        <v>65</v>
      </c>
      <c r="AQ330" s="40">
        <v>7</v>
      </c>
      <c r="AR330" s="48" t="s">
        <v>14</v>
      </c>
      <c r="AS330" s="43" t="s">
        <v>644</v>
      </c>
      <c r="AT330" s="43" t="s">
        <v>47</v>
      </c>
      <c r="AU330" s="44">
        <f t="shared" si="41"/>
        <v>-2.5060525215375429</v>
      </c>
      <c r="AV330" s="44">
        <f t="shared" si="42"/>
        <v>-1.4288545557280135</v>
      </c>
      <c r="AW330" s="45">
        <f t="shared" si="43"/>
        <v>4</v>
      </c>
      <c r="AX330" s="45">
        <f t="shared" si="44"/>
        <v>0</v>
      </c>
      <c r="AY330" s="46">
        <f>VLOOKUP(AP330,COND!$A$10:$B$32,2,FALSE)</f>
        <v>0.95</v>
      </c>
      <c r="AZ330" s="44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26.275613462075615</v>
      </c>
      <c r="BA330" s="47">
        <f t="shared" ref="BA330:BA335" si="47">STANDARDIZE(AZ330,AVERAGE($AZ$5:$AZ$557),STDEVP($AZ$5:$AZ$557))</f>
        <v>-0.63833487193820437</v>
      </c>
      <c r="BB330" s="45" t="str">
        <f t="shared" si="45"/>
        <v>SP</v>
      </c>
      <c r="BC330" s="45">
        <f>RANK(Table3[[#This Row],[zScore]],Table3[zScore])</f>
        <v>576</v>
      </c>
      <c r="BD330" s="45"/>
      <c r="BE330" s="45"/>
      <c r="BF330" s="45" t="str">
        <f t="shared" si="46"/>
        <v>Unlikely</v>
      </c>
      <c r="BG330" s="45"/>
      <c r="BH330" s="45" t="str">
        <f>INDEX(Table5[[#All],[Ovr]],MATCH(Table3[[#This Row],[PID]],Table5[[#All],[PID]],0))</f>
        <v/>
      </c>
      <c r="BI330" s="45" t="str">
        <f>INDEX(Table5[[#All],[Rnd]],MATCH(Table3[[#This Row],[PID]],Table5[[#All],[PID]],0))</f>
        <v/>
      </c>
      <c r="BJ330" s="45" t="str">
        <f>INDEX(Table5[[#All],[Pick]],MATCH(Table3[[#This Row],[PID]],Table5[[#All],[PID]],0))</f>
        <v/>
      </c>
      <c r="BK330" s="45" t="str">
        <f>INDEX(Table5[[#All],[Team]],MATCH(Table3[[#This Row],[PID]],Table5[[#All],[PID]],0))</f>
        <v/>
      </c>
      <c r="BL3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1" spans="1:64" ht="15" customHeight="1" x14ac:dyDescent="0.25">
      <c r="A331" s="40">
        <v>18027</v>
      </c>
      <c r="B331" s="40" t="s">
        <v>415</v>
      </c>
      <c r="C331" s="40" t="s">
        <v>1331</v>
      </c>
      <c r="D331" s="40" t="s">
        <v>207</v>
      </c>
      <c r="E331" s="40">
        <v>21</v>
      </c>
      <c r="F331" s="40" t="s">
        <v>42</v>
      </c>
      <c r="G331" s="40" t="s">
        <v>42</v>
      </c>
      <c r="H331" s="41" t="s">
        <v>647</v>
      </c>
      <c r="I331" s="42" t="s">
        <v>43</v>
      </c>
      <c r="J331" s="40" t="s">
        <v>47</v>
      </c>
      <c r="K331" s="41" t="s">
        <v>43</v>
      </c>
      <c r="L331" s="40">
        <v>3</v>
      </c>
      <c r="M331" s="40">
        <v>1</v>
      </c>
      <c r="N331" s="41">
        <v>2</v>
      </c>
      <c r="O331" s="40">
        <v>4</v>
      </c>
      <c r="P331" s="40">
        <v>1</v>
      </c>
      <c r="Q331" s="41">
        <v>3</v>
      </c>
      <c r="R331" s="40">
        <v>4</v>
      </c>
      <c r="S331" s="40">
        <v>6</v>
      </c>
      <c r="T331" s="40">
        <v>1</v>
      </c>
      <c r="U331" s="40">
        <v>1</v>
      </c>
      <c r="V331" s="40">
        <v>3</v>
      </c>
      <c r="W331" s="40">
        <v>6</v>
      </c>
      <c r="X331" s="40" t="s">
        <v>45</v>
      </c>
      <c r="Y331" s="40" t="s">
        <v>45</v>
      </c>
      <c r="Z331" s="40" t="s">
        <v>45</v>
      </c>
      <c r="AA331" s="40" t="s">
        <v>45</v>
      </c>
      <c r="AB331" s="40" t="s">
        <v>45</v>
      </c>
      <c r="AC331" s="40" t="s">
        <v>45</v>
      </c>
      <c r="AD331" s="40" t="s">
        <v>45</v>
      </c>
      <c r="AE331" s="40" t="s">
        <v>45</v>
      </c>
      <c r="AF331" s="40" t="s">
        <v>45</v>
      </c>
      <c r="AG331" s="40" t="s">
        <v>45</v>
      </c>
      <c r="AH331" s="40" t="s">
        <v>45</v>
      </c>
      <c r="AI331" s="40" t="s">
        <v>45</v>
      </c>
      <c r="AJ331" s="40" t="s">
        <v>45</v>
      </c>
      <c r="AK331" s="40" t="s">
        <v>45</v>
      </c>
      <c r="AL331" s="40" t="s">
        <v>45</v>
      </c>
      <c r="AM331" s="40" t="s">
        <v>45</v>
      </c>
      <c r="AN331" s="40" t="s">
        <v>45</v>
      </c>
      <c r="AO331" s="41" t="s">
        <v>45</v>
      </c>
      <c r="AP331" s="40" t="s">
        <v>57</v>
      </c>
      <c r="AQ331" s="40">
        <v>3</v>
      </c>
      <c r="AR331" s="48" t="s">
        <v>14</v>
      </c>
      <c r="AS331" s="43" t="s">
        <v>45</v>
      </c>
      <c r="AT331" s="43" t="s">
        <v>47</v>
      </c>
      <c r="AU331" s="44">
        <f t="shared" si="41"/>
        <v>-2.0697810228951408</v>
      </c>
      <c r="AV331" s="44">
        <f t="shared" si="42"/>
        <v>-1.1872743815947853</v>
      </c>
      <c r="AW331" s="45">
        <f t="shared" si="43"/>
        <v>3</v>
      </c>
      <c r="AX331" s="45">
        <f t="shared" si="44"/>
        <v>2</v>
      </c>
      <c r="AY331" s="46">
        <f>VLOOKUP(AP331,COND!$A$10:$B$32,2,FALSE)</f>
        <v>1</v>
      </c>
      <c r="AZ331" s="44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26.148528355349001</v>
      </c>
      <c r="BA331" s="47">
        <f t="shared" si="47"/>
        <v>-0.64678964988885079</v>
      </c>
      <c r="BB331" s="45" t="str">
        <f t="shared" si="45"/>
        <v>RP</v>
      </c>
      <c r="BC331" s="45">
        <f>RANK(Table3[[#This Row],[zScore]],Table3[zScore])</f>
        <v>578</v>
      </c>
      <c r="BD331" s="45"/>
      <c r="BE331" s="45"/>
      <c r="BF331" s="45" t="str">
        <f t="shared" si="46"/>
        <v>Unlikely</v>
      </c>
      <c r="BG331" s="45"/>
      <c r="BH331" s="45" t="str">
        <f>INDEX(Table5[[#All],[Ovr]],MATCH(Table3[[#This Row],[PID]],Table5[[#All],[PID]],0))</f>
        <v/>
      </c>
      <c r="BI331" s="45" t="str">
        <f>INDEX(Table5[[#All],[Rnd]],MATCH(Table3[[#This Row],[PID]],Table5[[#All],[PID]],0))</f>
        <v/>
      </c>
      <c r="BJ331" s="45" t="str">
        <f>INDEX(Table5[[#All],[Pick]],MATCH(Table3[[#This Row],[PID]],Table5[[#All],[PID]],0))</f>
        <v/>
      </c>
      <c r="BK331" s="45" t="str">
        <f>INDEX(Table5[[#All],[Team]],MATCH(Table3[[#This Row],[PID]],Table5[[#All],[PID]],0))</f>
        <v/>
      </c>
      <c r="BL3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2" spans="1:64" ht="15" customHeight="1" x14ac:dyDescent="0.25">
      <c r="A332" s="40">
        <v>20275</v>
      </c>
      <c r="B332" s="40" t="s">
        <v>415</v>
      </c>
      <c r="C332" s="40" t="s">
        <v>650</v>
      </c>
      <c r="D332" s="40" t="s">
        <v>1961</v>
      </c>
      <c r="E332" s="40">
        <v>21</v>
      </c>
      <c r="F332" s="40" t="s">
        <v>42</v>
      </c>
      <c r="G332" s="40" t="s">
        <v>42</v>
      </c>
      <c r="H332" s="41" t="s">
        <v>647</v>
      </c>
      <c r="I332" s="42" t="s">
        <v>43</v>
      </c>
      <c r="J332" s="40" t="s">
        <v>43</v>
      </c>
      <c r="K332" s="41" t="s">
        <v>43</v>
      </c>
      <c r="L332" s="40">
        <v>3</v>
      </c>
      <c r="M332" s="40">
        <v>1</v>
      </c>
      <c r="N332" s="41">
        <v>2</v>
      </c>
      <c r="O332" s="40">
        <v>4</v>
      </c>
      <c r="P332" s="40">
        <v>1</v>
      </c>
      <c r="Q332" s="41">
        <v>3</v>
      </c>
      <c r="R332" s="40">
        <v>4</v>
      </c>
      <c r="S332" s="40">
        <v>5</v>
      </c>
      <c r="T332" s="40">
        <v>1</v>
      </c>
      <c r="U332" s="40">
        <v>1</v>
      </c>
      <c r="V332" s="40">
        <v>4</v>
      </c>
      <c r="W332" s="40">
        <v>6</v>
      </c>
      <c r="X332" s="40" t="s">
        <v>45</v>
      </c>
      <c r="Y332" s="40" t="s">
        <v>45</v>
      </c>
      <c r="Z332" s="40" t="s">
        <v>45</v>
      </c>
      <c r="AA332" s="40" t="s">
        <v>45</v>
      </c>
      <c r="AB332" s="40" t="s">
        <v>45</v>
      </c>
      <c r="AC332" s="40" t="s">
        <v>45</v>
      </c>
      <c r="AD332" s="40" t="s">
        <v>45</v>
      </c>
      <c r="AE332" s="40" t="s">
        <v>45</v>
      </c>
      <c r="AF332" s="40" t="s">
        <v>45</v>
      </c>
      <c r="AG332" s="40" t="s">
        <v>45</v>
      </c>
      <c r="AH332" s="40" t="s">
        <v>45</v>
      </c>
      <c r="AI332" s="40" t="s">
        <v>45</v>
      </c>
      <c r="AJ332" s="40" t="s">
        <v>45</v>
      </c>
      <c r="AK332" s="40" t="s">
        <v>45</v>
      </c>
      <c r="AL332" s="40" t="s">
        <v>45</v>
      </c>
      <c r="AM332" s="40" t="s">
        <v>45</v>
      </c>
      <c r="AN332" s="40" t="s">
        <v>45</v>
      </c>
      <c r="AO332" s="41" t="s">
        <v>45</v>
      </c>
      <c r="AP332" s="40" t="s">
        <v>349</v>
      </c>
      <c r="AQ332" s="40">
        <v>5</v>
      </c>
      <c r="AR332" s="48" t="s">
        <v>14</v>
      </c>
      <c r="AS332" s="43" t="s">
        <v>45</v>
      </c>
      <c r="AT332" s="43" t="s">
        <v>47</v>
      </c>
      <c r="AU332" s="44">
        <f t="shared" si="41"/>
        <v>-2.0697810228951408</v>
      </c>
      <c r="AV332" s="44">
        <f t="shared" si="42"/>
        <v>-1.1872743815947853</v>
      </c>
      <c r="AW332" s="45">
        <f t="shared" si="43"/>
        <v>3</v>
      </c>
      <c r="AX332" s="45">
        <f t="shared" si="44"/>
        <v>1</v>
      </c>
      <c r="AY332" s="46">
        <f>VLOOKUP(AP332,COND!$A$10:$B$32,2,FALSE)</f>
        <v>1</v>
      </c>
      <c r="AZ332" s="44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26.125792259437134</v>
      </c>
      <c r="BA332" s="47">
        <f t="shared" si="47"/>
        <v>-0.64830224760663802</v>
      </c>
      <c r="BB332" s="45" t="str">
        <f t="shared" si="45"/>
        <v>SP</v>
      </c>
      <c r="BC332" s="45">
        <f>RANK(Table3[[#This Row],[zScore]],Table3[zScore])</f>
        <v>580</v>
      </c>
      <c r="BD332" s="45"/>
      <c r="BE332" s="45"/>
      <c r="BF332" s="45" t="str">
        <f t="shared" si="46"/>
        <v>Unlikely</v>
      </c>
      <c r="BG332" s="45"/>
      <c r="BH332" s="45" t="str">
        <f>INDEX(Table5[[#All],[Ovr]],MATCH(Table3[[#This Row],[PID]],Table5[[#All],[PID]],0))</f>
        <v/>
      </c>
      <c r="BI332" s="45" t="str">
        <f>INDEX(Table5[[#All],[Rnd]],MATCH(Table3[[#This Row],[PID]],Table5[[#All],[PID]],0))</f>
        <v/>
      </c>
      <c r="BJ332" s="45" t="str">
        <f>INDEX(Table5[[#All],[Pick]],MATCH(Table3[[#This Row],[PID]],Table5[[#All],[PID]],0))</f>
        <v/>
      </c>
      <c r="BK332" s="45" t="str">
        <f>INDEX(Table5[[#All],[Team]],MATCH(Table3[[#This Row],[PID]],Table5[[#All],[PID]],0))</f>
        <v/>
      </c>
      <c r="BL3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3" spans="1:64" ht="15" customHeight="1" x14ac:dyDescent="0.25">
      <c r="A333" s="40">
        <v>9718</v>
      </c>
      <c r="B333" s="40" t="s">
        <v>415</v>
      </c>
      <c r="C333" s="40" t="s">
        <v>1072</v>
      </c>
      <c r="D333" s="40" t="s">
        <v>1073</v>
      </c>
      <c r="E333" s="40">
        <v>22</v>
      </c>
      <c r="F333" s="40" t="s">
        <v>42</v>
      </c>
      <c r="G333" s="40" t="s">
        <v>42</v>
      </c>
      <c r="H333" s="41" t="s">
        <v>647</v>
      </c>
      <c r="I333" s="42" t="s">
        <v>43</v>
      </c>
      <c r="J333" s="40" t="s">
        <v>43</v>
      </c>
      <c r="K333" s="41" t="s">
        <v>43</v>
      </c>
      <c r="L333" s="40">
        <v>3</v>
      </c>
      <c r="M333" s="40">
        <v>1</v>
      </c>
      <c r="N333" s="41">
        <v>2</v>
      </c>
      <c r="O333" s="40">
        <v>4</v>
      </c>
      <c r="P333" s="40">
        <v>1</v>
      </c>
      <c r="Q333" s="41">
        <v>3</v>
      </c>
      <c r="R333" s="40">
        <v>4</v>
      </c>
      <c r="S333" s="40">
        <v>4</v>
      </c>
      <c r="T333" s="40">
        <v>4</v>
      </c>
      <c r="U333" s="40">
        <v>6</v>
      </c>
      <c r="V333" s="40" t="s">
        <v>45</v>
      </c>
      <c r="W333" s="40" t="s">
        <v>45</v>
      </c>
      <c r="X333" s="40" t="s">
        <v>45</v>
      </c>
      <c r="Y333" s="40" t="s">
        <v>45</v>
      </c>
      <c r="Z333" s="40" t="s">
        <v>45</v>
      </c>
      <c r="AA333" s="40" t="s">
        <v>45</v>
      </c>
      <c r="AB333" s="40" t="s">
        <v>45</v>
      </c>
      <c r="AC333" s="40" t="s">
        <v>45</v>
      </c>
      <c r="AD333" s="40" t="s">
        <v>45</v>
      </c>
      <c r="AE333" s="40" t="s">
        <v>45</v>
      </c>
      <c r="AF333" s="40" t="s">
        <v>45</v>
      </c>
      <c r="AG333" s="40" t="s">
        <v>45</v>
      </c>
      <c r="AH333" s="40" t="s">
        <v>45</v>
      </c>
      <c r="AI333" s="40" t="s">
        <v>45</v>
      </c>
      <c r="AJ333" s="40" t="s">
        <v>45</v>
      </c>
      <c r="AK333" s="40" t="s">
        <v>45</v>
      </c>
      <c r="AL333" s="40">
        <v>3</v>
      </c>
      <c r="AM333" s="40">
        <v>5</v>
      </c>
      <c r="AN333" s="40" t="s">
        <v>45</v>
      </c>
      <c r="AO333" s="41" t="s">
        <v>45</v>
      </c>
      <c r="AP333" s="40" t="s">
        <v>349</v>
      </c>
      <c r="AQ333" s="40">
        <v>6</v>
      </c>
      <c r="AR333" s="48" t="s">
        <v>351</v>
      </c>
      <c r="AS333" s="43" t="s">
        <v>45</v>
      </c>
      <c r="AT333" s="43" t="s">
        <v>47</v>
      </c>
      <c r="AU333" s="44">
        <f t="shared" si="41"/>
        <v>-2.0697810228951408</v>
      </c>
      <c r="AV333" s="44">
        <f t="shared" si="42"/>
        <v>-1.1872743815947853</v>
      </c>
      <c r="AW333" s="45">
        <f t="shared" si="43"/>
        <v>3</v>
      </c>
      <c r="AX333" s="45">
        <f t="shared" si="44"/>
        <v>1</v>
      </c>
      <c r="AY333" s="46">
        <f>VLOOKUP(AP333,COND!$A$10:$B$32,2,FALSE)</f>
        <v>1</v>
      </c>
      <c r="AZ333" s="44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26.125792259437134</v>
      </c>
      <c r="BA333" s="47">
        <f t="shared" si="47"/>
        <v>-0.64830224760663802</v>
      </c>
      <c r="BB333" s="45" t="str">
        <f t="shared" si="45"/>
        <v>SP</v>
      </c>
      <c r="BC333" s="45">
        <f>RANK(Table3[[#This Row],[zScore]],Table3[zScore])</f>
        <v>580</v>
      </c>
      <c r="BD333" s="45"/>
      <c r="BE333" s="45"/>
      <c r="BF333" s="45" t="str">
        <f t="shared" si="46"/>
        <v>Unlikely</v>
      </c>
      <c r="BG333" s="45"/>
      <c r="BH333" s="45" t="str">
        <f>INDEX(Table5[[#All],[Ovr]],MATCH(Table3[[#This Row],[PID]],Table5[[#All],[PID]],0))</f>
        <v/>
      </c>
      <c r="BI333" s="45" t="str">
        <f>INDEX(Table5[[#All],[Rnd]],MATCH(Table3[[#This Row],[PID]],Table5[[#All],[PID]],0))</f>
        <v/>
      </c>
      <c r="BJ333" s="45" t="str">
        <f>INDEX(Table5[[#All],[Pick]],MATCH(Table3[[#This Row],[PID]],Table5[[#All],[PID]],0))</f>
        <v/>
      </c>
      <c r="BK333" s="45" t="str">
        <f>INDEX(Table5[[#All],[Team]],MATCH(Table3[[#This Row],[PID]],Table5[[#All],[PID]],0))</f>
        <v/>
      </c>
      <c r="BL3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4" spans="1:64" ht="15" customHeight="1" x14ac:dyDescent="0.25">
      <c r="A334" s="40">
        <v>9389</v>
      </c>
      <c r="B334" s="40" t="s">
        <v>415</v>
      </c>
      <c r="C334" s="40" t="s">
        <v>715</v>
      </c>
      <c r="D334" s="40" t="s">
        <v>830</v>
      </c>
      <c r="E334" s="40">
        <v>22</v>
      </c>
      <c r="F334" s="40" t="s">
        <v>53</v>
      </c>
      <c r="G334" s="40" t="s">
        <v>53</v>
      </c>
      <c r="H334" s="41" t="s">
        <v>647</v>
      </c>
      <c r="I334" s="42" t="s">
        <v>43</v>
      </c>
      <c r="J334" s="40" t="s">
        <v>44</v>
      </c>
      <c r="K334" s="41" t="s">
        <v>47</v>
      </c>
      <c r="L334" s="40">
        <v>3</v>
      </c>
      <c r="M334" s="40">
        <v>1</v>
      </c>
      <c r="N334" s="41">
        <v>2</v>
      </c>
      <c r="O334" s="40">
        <v>4</v>
      </c>
      <c r="P334" s="40">
        <v>1</v>
      </c>
      <c r="Q334" s="41">
        <v>3</v>
      </c>
      <c r="R334" s="40">
        <v>4</v>
      </c>
      <c r="S334" s="40">
        <v>5</v>
      </c>
      <c r="T334" s="40">
        <v>1</v>
      </c>
      <c r="U334" s="40">
        <v>1</v>
      </c>
      <c r="V334" s="40">
        <v>3</v>
      </c>
      <c r="W334" s="40">
        <v>6</v>
      </c>
      <c r="X334" s="40" t="s">
        <v>45</v>
      </c>
      <c r="Y334" s="40" t="s">
        <v>45</v>
      </c>
      <c r="Z334" s="40" t="s">
        <v>45</v>
      </c>
      <c r="AA334" s="40" t="s">
        <v>45</v>
      </c>
      <c r="AB334" s="40" t="s">
        <v>45</v>
      </c>
      <c r="AC334" s="40" t="s">
        <v>45</v>
      </c>
      <c r="AD334" s="40" t="s">
        <v>45</v>
      </c>
      <c r="AE334" s="40" t="s">
        <v>45</v>
      </c>
      <c r="AF334" s="40" t="s">
        <v>45</v>
      </c>
      <c r="AG334" s="40" t="s">
        <v>45</v>
      </c>
      <c r="AH334" s="40" t="s">
        <v>45</v>
      </c>
      <c r="AI334" s="40" t="s">
        <v>45</v>
      </c>
      <c r="AJ334" s="40" t="s">
        <v>45</v>
      </c>
      <c r="AK334" s="40" t="s">
        <v>45</v>
      </c>
      <c r="AL334" s="40" t="s">
        <v>45</v>
      </c>
      <c r="AM334" s="40" t="s">
        <v>45</v>
      </c>
      <c r="AN334" s="40" t="s">
        <v>45</v>
      </c>
      <c r="AO334" s="41" t="s">
        <v>45</v>
      </c>
      <c r="AP334" s="40" t="s">
        <v>349</v>
      </c>
      <c r="AQ334" s="40">
        <v>6</v>
      </c>
      <c r="AR334" s="48" t="s">
        <v>14</v>
      </c>
      <c r="AS334" s="43" t="s">
        <v>45</v>
      </c>
      <c r="AT334" s="43" t="s">
        <v>47</v>
      </c>
      <c r="AU334" s="44">
        <f t="shared" si="41"/>
        <v>-2.0697810228951408</v>
      </c>
      <c r="AV334" s="44">
        <f t="shared" si="42"/>
        <v>-1.1872743815947853</v>
      </c>
      <c r="AW334" s="45">
        <f t="shared" si="43"/>
        <v>3</v>
      </c>
      <c r="AX334" s="45">
        <f t="shared" si="44"/>
        <v>1</v>
      </c>
      <c r="AY334" s="46">
        <f>VLOOKUP(AP334,COND!$A$10:$B$32,2,FALSE)</f>
        <v>1</v>
      </c>
      <c r="AZ334" s="44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26.125792259437134</v>
      </c>
      <c r="BA334" s="47">
        <f t="shared" si="47"/>
        <v>-0.64830224760663802</v>
      </c>
      <c r="BB334" s="45" t="str">
        <f t="shared" si="45"/>
        <v>SP</v>
      </c>
      <c r="BC334" s="45">
        <f>RANK(Table3[[#This Row],[zScore]],Table3[zScore])</f>
        <v>580</v>
      </c>
      <c r="BD334" s="45"/>
      <c r="BE334" s="45"/>
      <c r="BF334" s="45" t="str">
        <f t="shared" si="46"/>
        <v>Unlikely</v>
      </c>
      <c r="BG334" s="45"/>
      <c r="BH334" s="45" t="str">
        <f>INDEX(Table5[[#All],[Ovr]],MATCH(Table3[[#This Row],[PID]],Table5[[#All],[PID]],0))</f>
        <v/>
      </c>
      <c r="BI334" s="45" t="str">
        <f>INDEX(Table5[[#All],[Rnd]],MATCH(Table3[[#This Row],[PID]],Table5[[#All],[PID]],0))</f>
        <v/>
      </c>
      <c r="BJ334" s="45" t="str">
        <f>INDEX(Table5[[#All],[Pick]],MATCH(Table3[[#This Row],[PID]],Table5[[#All],[PID]],0))</f>
        <v/>
      </c>
      <c r="BK334" s="45" t="str">
        <f>INDEX(Table5[[#All],[Team]],MATCH(Table3[[#This Row],[PID]],Table5[[#All],[PID]],0))</f>
        <v/>
      </c>
      <c r="BL3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5" spans="1:64" ht="15" customHeight="1" x14ac:dyDescent="0.25">
      <c r="A335" s="40">
        <v>6026</v>
      </c>
      <c r="B335" s="40" t="s">
        <v>415</v>
      </c>
      <c r="C335" s="40" t="s">
        <v>144</v>
      </c>
      <c r="D335" s="40" t="s">
        <v>208</v>
      </c>
      <c r="E335" s="40">
        <v>21</v>
      </c>
      <c r="F335" s="40" t="s">
        <v>62</v>
      </c>
      <c r="G335" s="40" t="s">
        <v>42</v>
      </c>
      <c r="H335" s="41" t="s">
        <v>647</v>
      </c>
      <c r="I335" s="42" t="s">
        <v>43</v>
      </c>
      <c r="J335" s="40" t="s">
        <v>44</v>
      </c>
      <c r="K335" s="41" t="s">
        <v>43</v>
      </c>
      <c r="L335" s="40">
        <v>1</v>
      </c>
      <c r="M335" s="40">
        <v>1</v>
      </c>
      <c r="N335" s="41">
        <v>1</v>
      </c>
      <c r="O335" s="40">
        <v>4</v>
      </c>
      <c r="P335" s="40">
        <v>1</v>
      </c>
      <c r="Q335" s="41">
        <v>3</v>
      </c>
      <c r="R335" s="40">
        <v>2</v>
      </c>
      <c r="S335" s="40">
        <v>5</v>
      </c>
      <c r="T335" s="40">
        <v>1</v>
      </c>
      <c r="U335" s="40">
        <v>5</v>
      </c>
      <c r="V335" s="40" t="s">
        <v>45</v>
      </c>
      <c r="W335" s="40" t="s">
        <v>45</v>
      </c>
      <c r="X335" s="40" t="s">
        <v>45</v>
      </c>
      <c r="Y335" s="40" t="s">
        <v>45</v>
      </c>
      <c r="Z335" s="40" t="s">
        <v>45</v>
      </c>
      <c r="AA335" s="40" t="s">
        <v>45</v>
      </c>
      <c r="AB335" s="40" t="s">
        <v>45</v>
      </c>
      <c r="AC335" s="40" t="s">
        <v>45</v>
      </c>
      <c r="AD335" s="40">
        <v>2</v>
      </c>
      <c r="AE335" s="40">
        <v>4</v>
      </c>
      <c r="AF335" s="40">
        <v>2</v>
      </c>
      <c r="AG335" s="40">
        <v>3</v>
      </c>
      <c r="AH335" s="40" t="s">
        <v>45</v>
      </c>
      <c r="AI335" s="40" t="s">
        <v>45</v>
      </c>
      <c r="AJ335" s="40" t="s">
        <v>45</v>
      </c>
      <c r="AK335" s="40" t="s">
        <v>45</v>
      </c>
      <c r="AL335" s="40" t="s">
        <v>45</v>
      </c>
      <c r="AM335" s="40" t="s">
        <v>45</v>
      </c>
      <c r="AN335" s="40" t="s">
        <v>45</v>
      </c>
      <c r="AO335" s="41" t="s">
        <v>45</v>
      </c>
      <c r="AP335" s="40" t="s">
        <v>65</v>
      </c>
      <c r="AQ335" s="40">
        <v>5</v>
      </c>
      <c r="AR335" s="48" t="s">
        <v>351</v>
      </c>
      <c r="AS335" s="43" t="s">
        <v>643</v>
      </c>
      <c r="AT335" s="43" t="s">
        <v>47</v>
      </c>
      <c r="AU335" s="44">
        <f t="shared" si="41"/>
        <v>-2.7014842379675978</v>
      </c>
      <c r="AV335" s="44">
        <f t="shared" si="42"/>
        <v>-1.1872743815947853</v>
      </c>
      <c r="AW335" s="45">
        <f t="shared" si="43"/>
        <v>4</v>
      </c>
      <c r="AX335" s="45">
        <f t="shared" si="44"/>
        <v>0</v>
      </c>
      <c r="AY335" s="46">
        <f>VLOOKUP(AP335,COND!$A$10:$B$32,2,FALSE)</f>
        <v>0.95</v>
      </c>
      <c r="AZ335" s="44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26.057792125873107</v>
      </c>
      <c r="BA335" s="47">
        <f t="shared" si="47"/>
        <v>-0.65282619258104746</v>
      </c>
      <c r="BB335" s="45" t="str">
        <f t="shared" si="45"/>
        <v>SP</v>
      </c>
      <c r="BC335" s="45">
        <f>RANK(Table3[[#This Row],[zScore]],Table3[zScore])</f>
        <v>584</v>
      </c>
      <c r="BD335" s="45"/>
      <c r="BE335" s="45"/>
      <c r="BF335" s="45" t="str">
        <f t="shared" si="46"/>
        <v>Unlikely</v>
      </c>
      <c r="BG335" s="45"/>
      <c r="BH335" s="45" t="str">
        <f>INDEX(Table5[[#All],[Ovr]],MATCH(Table3[[#This Row],[PID]],Table5[[#All],[PID]],0))</f>
        <v/>
      </c>
      <c r="BI335" s="45" t="str">
        <f>INDEX(Table5[[#All],[Rnd]],MATCH(Table3[[#This Row],[PID]],Table5[[#All],[PID]],0))</f>
        <v/>
      </c>
      <c r="BJ335" s="45" t="str">
        <f>INDEX(Table5[[#All],[Pick]],MATCH(Table3[[#This Row],[PID]],Table5[[#All],[PID]],0))</f>
        <v/>
      </c>
      <c r="BK335" s="45" t="str">
        <f>INDEX(Table5[[#All],[Team]],MATCH(Table3[[#This Row],[PID]],Table5[[#All],[PID]],0))</f>
        <v/>
      </c>
      <c r="BL3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6" spans="1:64" ht="15" customHeight="1" x14ac:dyDescent="0.25">
      <c r="A336" s="40">
        <v>7821</v>
      </c>
      <c r="B336" s="40" t="s">
        <v>415</v>
      </c>
      <c r="C336" s="40" t="s">
        <v>199</v>
      </c>
      <c r="D336" s="40" t="s">
        <v>161</v>
      </c>
      <c r="E336" s="40">
        <v>21</v>
      </c>
      <c r="F336" s="40" t="s">
        <v>42</v>
      </c>
      <c r="G336" s="40" t="s">
        <v>42</v>
      </c>
      <c r="H336" s="41" t="s">
        <v>647</v>
      </c>
      <c r="I336" s="42" t="s">
        <v>43</v>
      </c>
      <c r="J336" s="40" t="s">
        <v>47</v>
      </c>
      <c r="K336" s="41" t="s">
        <v>43</v>
      </c>
      <c r="L336" s="40">
        <v>2</v>
      </c>
      <c r="M336" s="40">
        <v>1</v>
      </c>
      <c r="N336" s="41">
        <v>2</v>
      </c>
      <c r="O336" s="40">
        <v>3</v>
      </c>
      <c r="P336" s="40">
        <v>1</v>
      </c>
      <c r="Q336" s="41">
        <v>4</v>
      </c>
      <c r="R336" s="40">
        <v>3</v>
      </c>
      <c r="S336" s="40">
        <v>4</v>
      </c>
      <c r="T336" s="40">
        <v>2</v>
      </c>
      <c r="U336" s="40">
        <v>5</v>
      </c>
      <c r="V336" s="40" t="s">
        <v>45</v>
      </c>
      <c r="W336" s="40" t="s">
        <v>45</v>
      </c>
      <c r="X336" s="40">
        <v>2</v>
      </c>
      <c r="Y336" s="40">
        <v>2</v>
      </c>
      <c r="Z336" s="40" t="s">
        <v>45</v>
      </c>
      <c r="AA336" s="40" t="s">
        <v>45</v>
      </c>
      <c r="AB336" s="40" t="s">
        <v>45</v>
      </c>
      <c r="AC336" s="40" t="s">
        <v>45</v>
      </c>
      <c r="AD336" s="40">
        <v>2</v>
      </c>
      <c r="AE336" s="40">
        <v>4</v>
      </c>
      <c r="AF336" s="40" t="s">
        <v>45</v>
      </c>
      <c r="AG336" s="40" t="s">
        <v>45</v>
      </c>
      <c r="AH336" s="40" t="s">
        <v>45</v>
      </c>
      <c r="AI336" s="40" t="s">
        <v>45</v>
      </c>
      <c r="AJ336" s="40" t="s">
        <v>45</v>
      </c>
      <c r="AK336" s="40" t="s">
        <v>45</v>
      </c>
      <c r="AL336" s="40" t="s">
        <v>45</v>
      </c>
      <c r="AM336" s="40" t="s">
        <v>45</v>
      </c>
      <c r="AN336" s="40" t="s">
        <v>45</v>
      </c>
      <c r="AO336" s="41" t="s">
        <v>45</v>
      </c>
      <c r="AP336" s="40" t="s">
        <v>68</v>
      </c>
      <c r="AQ336" s="40">
        <v>6</v>
      </c>
      <c r="AR336" s="48" t="s">
        <v>14</v>
      </c>
      <c r="AS336" s="43" t="s">
        <v>45</v>
      </c>
      <c r="AT336" s="43"/>
      <c r="AU336" s="44">
        <f t="shared" si="41"/>
        <v>-2.2644723474043147</v>
      </c>
      <c r="AV336" s="44">
        <f t="shared" si="42"/>
        <v>-1.1396451400498482</v>
      </c>
      <c r="AW336" s="45">
        <f t="shared" si="43"/>
        <v>4</v>
      </c>
      <c r="AX336" s="45">
        <f t="shared" si="44"/>
        <v>0</v>
      </c>
      <c r="AY336" s="46">
        <f>VLOOKUP(AP336,COND!$A$10:$B$32,2,FALSE)</f>
        <v>0.95</v>
      </c>
      <c r="AZ336" s="44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27.621080278219917</v>
      </c>
      <c r="BA336" s="47">
        <f>STANDARDIZE(AZ336,AVERAGE($AZ$5:$AZ$788),STDEVP($AZ$5:$AZ$788))</f>
        <v>-0.662724169405704</v>
      </c>
      <c r="BB336" s="45" t="str">
        <f t="shared" si="45"/>
        <v>SP</v>
      </c>
      <c r="BC336" s="45">
        <f>RANK(Table3[[#This Row],[zScore]],Table3[zScore])</f>
        <v>587</v>
      </c>
      <c r="BD336" s="45"/>
      <c r="BE336" s="45"/>
      <c r="BF336" s="45" t="str">
        <f t="shared" si="46"/>
        <v>Unlikely</v>
      </c>
      <c r="BG336" s="45"/>
      <c r="BH336" s="64" t="str">
        <f>INDEX(Table5[[#All],[Ovr]],MATCH(Table3[[#This Row],[PID]],Table5[[#All],[PID]],0))</f>
        <v/>
      </c>
      <c r="BI336" s="64" t="str">
        <f>INDEX(Table5[[#All],[Rnd]],MATCH(Table3[[#This Row],[PID]],Table5[[#All],[PID]],0))</f>
        <v/>
      </c>
      <c r="BJ336" s="64" t="str">
        <f>INDEX(Table5[[#All],[Pick]],MATCH(Table3[[#This Row],[PID]],Table5[[#All],[PID]],0))</f>
        <v/>
      </c>
      <c r="BK336" s="64" t="str">
        <f>INDEX(Table5[[#All],[Team]],MATCH(Table3[[#This Row],[PID]],Table5[[#All],[PID]],0))</f>
        <v/>
      </c>
      <c r="BL336" s="64" t="str">
        <f>IF(OR(Table3[[#This Row],[POS]]="SP",Table3[[#This Row],[POS]]="RP",Table3[[#This Row],[POS]]="CL"),"P",INDEX(Batters[[#All],[zScore]],MATCH(Table3[[#This Row],[PID]],Batters[[#All],[PID]],0)))</f>
        <v>P</v>
      </c>
    </row>
    <row r="337" spans="1:64" ht="15" customHeight="1" x14ac:dyDescent="0.25">
      <c r="A337" s="40">
        <v>11151</v>
      </c>
      <c r="B337" s="40" t="s">
        <v>415</v>
      </c>
      <c r="C337" s="40" t="s">
        <v>1129</v>
      </c>
      <c r="D337" s="40" t="s">
        <v>522</v>
      </c>
      <c r="E337" s="40">
        <v>22</v>
      </c>
      <c r="F337" s="40" t="s">
        <v>53</v>
      </c>
      <c r="G337" s="40" t="s">
        <v>42</v>
      </c>
      <c r="H337" s="41" t="s">
        <v>647</v>
      </c>
      <c r="I337" s="42" t="s">
        <v>44</v>
      </c>
      <c r="J337" s="40" t="s">
        <v>43</v>
      </c>
      <c r="K337" s="41" t="s">
        <v>43</v>
      </c>
      <c r="L337" s="40">
        <v>2</v>
      </c>
      <c r="M337" s="40">
        <v>2</v>
      </c>
      <c r="N337" s="41">
        <v>2</v>
      </c>
      <c r="O337" s="40">
        <v>3</v>
      </c>
      <c r="P337" s="40">
        <v>2</v>
      </c>
      <c r="Q337" s="41">
        <v>3</v>
      </c>
      <c r="R337" s="40">
        <v>3</v>
      </c>
      <c r="S337" s="40">
        <v>4</v>
      </c>
      <c r="T337" s="40">
        <v>1</v>
      </c>
      <c r="U337" s="40">
        <v>1</v>
      </c>
      <c r="V337" s="40" t="s">
        <v>45</v>
      </c>
      <c r="W337" s="40" t="s">
        <v>45</v>
      </c>
      <c r="X337" s="40">
        <v>2</v>
      </c>
      <c r="Y337" s="40">
        <v>5</v>
      </c>
      <c r="Z337" s="40" t="s">
        <v>45</v>
      </c>
      <c r="AA337" s="40" t="s">
        <v>45</v>
      </c>
      <c r="AB337" s="40" t="s">
        <v>45</v>
      </c>
      <c r="AC337" s="40" t="s">
        <v>45</v>
      </c>
      <c r="AD337" s="40" t="s">
        <v>45</v>
      </c>
      <c r="AE337" s="40" t="s">
        <v>45</v>
      </c>
      <c r="AF337" s="40" t="s">
        <v>45</v>
      </c>
      <c r="AG337" s="40" t="s">
        <v>45</v>
      </c>
      <c r="AH337" s="40" t="s">
        <v>45</v>
      </c>
      <c r="AI337" s="40" t="s">
        <v>45</v>
      </c>
      <c r="AJ337" s="40" t="s">
        <v>45</v>
      </c>
      <c r="AK337" s="40" t="s">
        <v>45</v>
      </c>
      <c r="AL337" s="40" t="s">
        <v>45</v>
      </c>
      <c r="AM337" s="40" t="s">
        <v>45</v>
      </c>
      <c r="AN337" s="40" t="s">
        <v>45</v>
      </c>
      <c r="AO337" s="41" t="s">
        <v>45</v>
      </c>
      <c r="AP337" s="40" t="s">
        <v>65</v>
      </c>
      <c r="AQ337" s="40">
        <v>6</v>
      </c>
      <c r="AR337" s="48" t="s">
        <v>347</v>
      </c>
      <c r="AS337" s="43" t="s">
        <v>45</v>
      </c>
      <c r="AT337" s="43" t="s">
        <v>47</v>
      </c>
      <c r="AU337" s="44">
        <f t="shared" si="41"/>
        <v>-2.0690406309742588</v>
      </c>
      <c r="AV337" s="44">
        <f t="shared" si="42"/>
        <v>-1.1865339896739031</v>
      </c>
      <c r="AW337" s="45">
        <f t="shared" si="43"/>
        <v>3</v>
      </c>
      <c r="AX337" s="45">
        <f t="shared" si="44"/>
        <v>0</v>
      </c>
      <c r="AY337" s="46">
        <f>VLOOKUP(AP337,COND!$A$10:$B$32,2,FALSE)</f>
        <v>0.95</v>
      </c>
      <c r="AZ337" s="44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25.875543064402962</v>
      </c>
      <c r="BA337" s="47">
        <f t="shared" ref="BA337:BA342" si="48">STANDARDIZE(AZ337,AVERAGE($AZ$5:$AZ$557),STDEVP($AZ$5:$AZ$557))</f>
        <v>-0.66495094414425382</v>
      </c>
      <c r="BB337" s="45" t="str">
        <f t="shared" si="45"/>
        <v>SP</v>
      </c>
      <c r="BC337" s="45">
        <f>RANK(Table3[[#This Row],[zScore]],Table3[zScore])</f>
        <v>588</v>
      </c>
      <c r="BD337" s="45"/>
      <c r="BE337" s="45"/>
      <c r="BF337" s="45" t="str">
        <f t="shared" si="46"/>
        <v>Unlikely</v>
      </c>
      <c r="BG337" s="45"/>
      <c r="BH337" s="45" t="str">
        <f>INDEX(Table5[[#All],[Ovr]],MATCH(Table3[[#This Row],[PID]],Table5[[#All],[PID]],0))</f>
        <v/>
      </c>
      <c r="BI337" s="45" t="str">
        <f>INDEX(Table5[[#All],[Rnd]],MATCH(Table3[[#This Row],[PID]],Table5[[#All],[PID]],0))</f>
        <v/>
      </c>
      <c r="BJ337" s="45" t="str">
        <f>INDEX(Table5[[#All],[Pick]],MATCH(Table3[[#This Row],[PID]],Table5[[#All],[PID]],0))</f>
        <v/>
      </c>
      <c r="BK337" s="45" t="str">
        <f>INDEX(Table5[[#All],[Team]],MATCH(Table3[[#This Row],[PID]],Table5[[#All],[PID]],0))</f>
        <v/>
      </c>
      <c r="BL33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8" spans="1:64" ht="15" customHeight="1" x14ac:dyDescent="0.25">
      <c r="A338" s="40">
        <v>17812</v>
      </c>
      <c r="B338" s="40" t="s">
        <v>415</v>
      </c>
      <c r="C338" s="40" t="s">
        <v>707</v>
      </c>
      <c r="D338" s="40" t="s">
        <v>662</v>
      </c>
      <c r="E338" s="40">
        <v>21</v>
      </c>
      <c r="F338" s="40" t="s">
        <v>62</v>
      </c>
      <c r="G338" s="40" t="s">
        <v>42</v>
      </c>
      <c r="H338" s="41" t="s">
        <v>647</v>
      </c>
      <c r="I338" s="42" t="s">
        <v>43</v>
      </c>
      <c r="J338" s="40" t="s">
        <v>44</v>
      </c>
      <c r="K338" s="41" t="s">
        <v>43</v>
      </c>
      <c r="L338" s="40">
        <v>3</v>
      </c>
      <c r="M338" s="40">
        <v>1</v>
      </c>
      <c r="N338" s="41">
        <v>3</v>
      </c>
      <c r="O338" s="40">
        <v>4</v>
      </c>
      <c r="P338" s="40">
        <v>1</v>
      </c>
      <c r="Q338" s="41">
        <v>3</v>
      </c>
      <c r="R338" s="40">
        <v>3</v>
      </c>
      <c r="S338" s="40">
        <v>3</v>
      </c>
      <c r="T338" s="40">
        <v>4</v>
      </c>
      <c r="U338" s="40">
        <v>7</v>
      </c>
      <c r="V338" s="40" t="s">
        <v>45</v>
      </c>
      <c r="W338" s="40" t="s">
        <v>45</v>
      </c>
      <c r="X338" s="40">
        <v>3</v>
      </c>
      <c r="Y338" s="40">
        <v>5</v>
      </c>
      <c r="Z338" s="40" t="s">
        <v>45</v>
      </c>
      <c r="AA338" s="40" t="s">
        <v>45</v>
      </c>
      <c r="AB338" s="40">
        <v>3</v>
      </c>
      <c r="AC338" s="40">
        <v>3</v>
      </c>
      <c r="AD338" s="40" t="s">
        <v>45</v>
      </c>
      <c r="AE338" s="40" t="s">
        <v>45</v>
      </c>
      <c r="AF338" s="40" t="s">
        <v>45</v>
      </c>
      <c r="AG338" s="40" t="s">
        <v>45</v>
      </c>
      <c r="AH338" s="40" t="s">
        <v>45</v>
      </c>
      <c r="AI338" s="40" t="s">
        <v>45</v>
      </c>
      <c r="AJ338" s="40" t="s">
        <v>45</v>
      </c>
      <c r="AK338" s="40" t="s">
        <v>45</v>
      </c>
      <c r="AL338" s="40" t="s">
        <v>45</v>
      </c>
      <c r="AM338" s="40" t="s">
        <v>45</v>
      </c>
      <c r="AN338" s="40" t="s">
        <v>45</v>
      </c>
      <c r="AO338" s="41" t="s">
        <v>45</v>
      </c>
      <c r="AP338" s="40" t="s">
        <v>349</v>
      </c>
      <c r="AQ338" s="40">
        <v>10</v>
      </c>
      <c r="AR338" s="48" t="s">
        <v>14</v>
      </c>
      <c r="AS338" s="43" t="s">
        <v>45</v>
      </c>
      <c r="AT338" s="43" t="s">
        <v>47</v>
      </c>
      <c r="AU338" s="44">
        <f t="shared" si="41"/>
        <v>-1.8274604568410304</v>
      </c>
      <c r="AV338" s="44">
        <f t="shared" si="42"/>
        <v>-1.1872743815947853</v>
      </c>
      <c r="AW338" s="45">
        <f t="shared" si="43"/>
        <v>4</v>
      </c>
      <c r="AX338" s="45">
        <f t="shared" si="44"/>
        <v>1</v>
      </c>
      <c r="AY338" s="46">
        <f>VLOOKUP(AP338,COND!$A$10:$B$32,2,FALSE)</f>
        <v>1</v>
      </c>
      <c r="AZ338" s="44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25.839020276736086</v>
      </c>
      <c r="BA338" s="47">
        <f t="shared" si="48"/>
        <v>-0.66738074939693626</v>
      </c>
      <c r="BB338" s="45" t="str">
        <f t="shared" si="45"/>
        <v>SP</v>
      </c>
      <c r="BC338" s="45">
        <f>RANK(Table3[[#This Row],[zScore]],Table3[zScore])</f>
        <v>589</v>
      </c>
      <c r="BD338" s="45"/>
      <c r="BE338" s="45"/>
      <c r="BF338" s="45" t="str">
        <f t="shared" si="46"/>
        <v>Unlikely</v>
      </c>
      <c r="BG338" s="45"/>
      <c r="BH338" s="45">
        <f>INDEX(Table5[[#All],[Ovr]],MATCH(Table3[[#This Row],[PID]],Table5[[#All],[PID]],0))</f>
        <v>541</v>
      </c>
      <c r="BI338" s="45" t="str">
        <f>INDEX(Table5[[#All],[Rnd]],MATCH(Table3[[#This Row],[PID]],Table5[[#All],[PID]],0))</f>
        <v>18</v>
      </c>
      <c r="BJ338" s="45">
        <f>INDEX(Table5[[#All],[Pick]],MATCH(Table3[[#This Row],[PID]],Table5[[#All],[PID]],0))</f>
        <v>23</v>
      </c>
      <c r="BK338" s="45" t="str">
        <f>INDEX(Table5[[#All],[Team]],MATCH(Table3[[#This Row],[PID]],Table5[[#All],[PID]],0))</f>
        <v>Shin Seiki Evas</v>
      </c>
      <c r="BL3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39" spans="1:64" ht="15" customHeight="1" x14ac:dyDescent="0.25">
      <c r="A339" s="40">
        <v>20461</v>
      </c>
      <c r="B339" s="40" t="s">
        <v>415</v>
      </c>
      <c r="C339" s="40" t="s">
        <v>2028</v>
      </c>
      <c r="D339" s="40" t="s">
        <v>2029</v>
      </c>
      <c r="E339" s="40">
        <v>17</v>
      </c>
      <c r="F339" s="40" t="s">
        <v>42</v>
      </c>
      <c r="G339" s="40" t="s">
        <v>53</v>
      </c>
      <c r="H339" s="41" t="s">
        <v>647</v>
      </c>
      <c r="I339" s="42" t="s">
        <v>44</v>
      </c>
      <c r="J339" s="40" t="s">
        <v>43</v>
      </c>
      <c r="K339" s="41" t="s">
        <v>43</v>
      </c>
      <c r="L339" s="40">
        <v>1</v>
      </c>
      <c r="M339" s="40">
        <v>1</v>
      </c>
      <c r="N339" s="41">
        <v>1</v>
      </c>
      <c r="O339" s="40">
        <v>3</v>
      </c>
      <c r="P339" s="40">
        <v>1</v>
      </c>
      <c r="Q339" s="41">
        <v>3</v>
      </c>
      <c r="R339" s="40">
        <v>3</v>
      </c>
      <c r="S339" s="40">
        <v>4</v>
      </c>
      <c r="T339" s="40">
        <v>1</v>
      </c>
      <c r="U339" s="40">
        <v>1</v>
      </c>
      <c r="V339" s="40" t="s">
        <v>45</v>
      </c>
      <c r="W339" s="40" t="s">
        <v>45</v>
      </c>
      <c r="X339" s="40">
        <v>1</v>
      </c>
      <c r="Y339" s="40">
        <v>4</v>
      </c>
      <c r="Z339" s="40" t="s">
        <v>45</v>
      </c>
      <c r="AA339" s="40" t="s">
        <v>45</v>
      </c>
      <c r="AB339" s="40" t="s">
        <v>45</v>
      </c>
      <c r="AC339" s="40" t="s">
        <v>45</v>
      </c>
      <c r="AD339" s="40" t="s">
        <v>45</v>
      </c>
      <c r="AE339" s="40" t="s">
        <v>45</v>
      </c>
      <c r="AF339" s="40" t="s">
        <v>45</v>
      </c>
      <c r="AG339" s="40" t="s">
        <v>45</v>
      </c>
      <c r="AH339" s="40" t="s">
        <v>45</v>
      </c>
      <c r="AI339" s="40" t="s">
        <v>45</v>
      </c>
      <c r="AJ339" s="40" t="s">
        <v>45</v>
      </c>
      <c r="AK339" s="40" t="s">
        <v>45</v>
      </c>
      <c r="AL339" s="40" t="s">
        <v>45</v>
      </c>
      <c r="AM339" s="40" t="s">
        <v>45</v>
      </c>
      <c r="AN339" s="40" t="s">
        <v>45</v>
      </c>
      <c r="AO339" s="41" t="s">
        <v>45</v>
      </c>
      <c r="AP339" s="40" t="s">
        <v>68</v>
      </c>
      <c r="AQ339" s="40">
        <v>1</v>
      </c>
      <c r="AR339" s="48" t="s">
        <v>347</v>
      </c>
      <c r="AS339" s="43" t="s">
        <v>670</v>
      </c>
      <c r="AT339" s="43" t="s">
        <v>635</v>
      </c>
      <c r="AU339" s="44">
        <f t="shared" si="41"/>
        <v>-2.7014842379675978</v>
      </c>
      <c r="AV339" s="44">
        <f t="shared" si="42"/>
        <v>-1.3819657061039585</v>
      </c>
      <c r="AW339" s="45">
        <f t="shared" si="43"/>
        <v>3</v>
      </c>
      <c r="AX339" s="45">
        <f t="shared" si="44"/>
        <v>0</v>
      </c>
      <c r="AY339" s="46">
        <f>VLOOKUP(AP339,COND!$A$10:$B$32,2,FALSE)</f>
        <v>0.95</v>
      </c>
      <c r="AZ339" s="44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25.771651099870397</v>
      </c>
      <c r="BA339" s="47">
        <f t="shared" si="48"/>
        <v>-0.67186271778637574</v>
      </c>
      <c r="BB339" s="45" t="str">
        <f t="shared" si="45"/>
        <v>RP</v>
      </c>
      <c r="BC339" s="45">
        <f>RANK(Table3[[#This Row],[zScore]],Table3[zScore])</f>
        <v>591</v>
      </c>
      <c r="BD339" s="45"/>
      <c r="BE339" s="45"/>
      <c r="BF339" s="45" t="str">
        <f t="shared" si="46"/>
        <v>Unlikely</v>
      </c>
      <c r="BG339" s="45"/>
      <c r="BH339" s="45" t="str">
        <f>INDEX(Table5[[#All],[Ovr]],MATCH(Table3[[#This Row],[PID]],Table5[[#All],[PID]],0))</f>
        <v/>
      </c>
      <c r="BI339" s="45" t="str">
        <f>INDEX(Table5[[#All],[Rnd]],MATCH(Table3[[#This Row],[PID]],Table5[[#All],[PID]],0))</f>
        <v/>
      </c>
      <c r="BJ339" s="45" t="str">
        <f>INDEX(Table5[[#All],[Pick]],MATCH(Table3[[#This Row],[PID]],Table5[[#All],[PID]],0))</f>
        <v/>
      </c>
      <c r="BK339" s="45" t="str">
        <f>INDEX(Table5[[#All],[Team]],MATCH(Table3[[#This Row],[PID]],Table5[[#All],[PID]],0))</f>
        <v/>
      </c>
      <c r="BL3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0" spans="1:64" ht="15" customHeight="1" x14ac:dyDescent="0.25">
      <c r="A340" s="40">
        <v>21104</v>
      </c>
      <c r="B340" s="40" t="s">
        <v>415</v>
      </c>
      <c r="C340" s="40" t="s">
        <v>2116</v>
      </c>
      <c r="D340" s="40" t="s">
        <v>2117</v>
      </c>
      <c r="E340" s="40">
        <v>17</v>
      </c>
      <c r="F340" s="40" t="s">
        <v>53</v>
      </c>
      <c r="G340" s="40" t="s">
        <v>53</v>
      </c>
      <c r="H340" s="41" t="s">
        <v>647</v>
      </c>
      <c r="I340" s="42" t="s">
        <v>43</v>
      </c>
      <c r="J340" s="40" t="s">
        <v>47</v>
      </c>
      <c r="K340" s="41" t="s">
        <v>43</v>
      </c>
      <c r="L340" s="40">
        <v>2</v>
      </c>
      <c r="M340" s="40">
        <v>1</v>
      </c>
      <c r="N340" s="41">
        <v>1</v>
      </c>
      <c r="O340" s="40">
        <v>3</v>
      </c>
      <c r="P340" s="40">
        <v>1</v>
      </c>
      <c r="Q340" s="41">
        <v>3</v>
      </c>
      <c r="R340" s="40">
        <v>3</v>
      </c>
      <c r="S340" s="40">
        <v>4</v>
      </c>
      <c r="T340" s="40">
        <v>2</v>
      </c>
      <c r="U340" s="40">
        <v>4</v>
      </c>
      <c r="V340" s="40">
        <v>2</v>
      </c>
      <c r="W340" s="40">
        <v>5</v>
      </c>
      <c r="X340" s="40" t="s">
        <v>45</v>
      </c>
      <c r="Y340" s="40" t="s">
        <v>45</v>
      </c>
      <c r="Z340" s="40" t="s">
        <v>45</v>
      </c>
      <c r="AA340" s="40" t="s">
        <v>45</v>
      </c>
      <c r="AB340" s="40" t="s">
        <v>45</v>
      </c>
      <c r="AC340" s="40" t="s">
        <v>45</v>
      </c>
      <c r="AD340" s="40" t="s">
        <v>45</v>
      </c>
      <c r="AE340" s="40" t="s">
        <v>45</v>
      </c>
      <c r="AF340" s="40" t="s">
        <v>45</v>
      </c>
      <c r="AG340" s="40" t="s">
        <v>45</v>
      </c>
      <c r="AH340" s="40" t="s">
        <v>45</v>
      </c>
      <c r="AI340" s="40" t="s">
        <v>45</v>
      </c>
      <c r="AJ340" s="40" t="s">
        <v>45</v>
      </c>
      <c r="AK340" s="40" t="s">
        <v>45</v>
      </c>
      <c r="AL340" s="40" t="s">
        <v>45</v>
      </c>
      <c r="AM340" s="40" t="s">
        <v>45</v>
      </c>
      <c r="AN340" s="40" t="s">
        <v>45</v>
      </c>
      <c r="AO340" s="41" t="s">
        <v>45</v>
      </c>
      <c r="AP340" s="40" t="s">
        <v>64</v>
      </c>
      <c r="AQ340" s="40">
        <v>8</v>
      </c>
      <c r="AR340" s="48" t="s">
        <v>14</v>
      </c>
      <c r="AS340" s="43" t="s">
        <v>644</v>
      </c>
      <c r="AT340" s="43" t="s">
        <v>47</v>
      </c>
      <c r="AU340" s="44">
        <f t="shared" si="41"/>
        <v>-2.5067929134584248</v>
      </c>
      <c r="AV340" s="44">
        <f t="shared" si="42"/>
        <v>-1.3819657061039585</v>
      </c>
      <c r="AW340" s="45">
        <f t="shared" si="43"/>
        <v>3</v>
      </c>
      <c r="AX340" s="45">
        <f t="shared" si="44"/>
        <v>0</v>
      </c>
      <c r="AY340" s="46">
        <f>VLOOKUP(AP340,COND!$A$10:$B$32,2,FALSE)</f>
        <v>1</v>
      </c>
      <c r="AZ340" s="44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25.659327295229144</v>
      </c>
      <c r="BA340" s="47">
        <f t="shared" si="48"/>
        <v>-0.67933544886615926</v>
      </c>
      <c r="BB340" s="45" t="str">
        <f t="shared" si="45"/>
        <v>SP</v>
      </c>
      <c r="BC340" s="45">
        <f>RANK(Table3[[#This Row],[zScore]],Table3[zScore])</f>
        <v>592</v>
      </c>
      <c r="BD340" s="45"/>
      <c r="BE340" s="45"/>
      <c r="BF340" s="45" t="str">
        <f t="shared" si="46"/>
        <v>Unlikely</v>
      </c>
      <c r="BG340" s="45"/>
      <c r="BH340" s="45" t="str">
        <f>INDEX(Table5[[#All],[Ovr]],MATCH(Table3[[#This Row],[PID]],Table5[[#All],[PID]],0))</f>
        <v/>
      </c>
      <c r="BI340" s="45" t="str">
        <f>INDEX(Table5[[#All],[Rnd]],MATCH(Table3[[#This Row],[PID]],Table5[[#All],[PID]],0))</f>
        <v/>
      </c>
      <c r="BJ340" s="45" t="str">
        <f>INDEX(Table5[[#All],[Pick]],MATCH(Table3[[#This Row],[PID]],Table5[[#All],[PID]],0))</f>
        <v/>
      </c>
      <c r="BK340" s="45" t="str">
        <f>INDEX(Table5[[#All],[Team]],MATCH(Table3[[#This Row],[PID]],Table5[[#All],[PID]],0))</f>
        <v/>
      </c>
      <c r="BL3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1" spans="1:64" ht="15" customHeight="1" x14ac:dyDescent="0.25">
      <c r="A341" s="40">
        <v>15771</v>
      </c>
      <c r="B341" s="40" t="s">
        <v>415</v>
      </c>
      <c r="C341" s="40" t="s">
        <v>2143</v>
      </c>
      <c r="D341" s="40" t="s">
        <v>2144</v>
      </c>
      <c r="E341" s="40">
        <v>21</v>
      </c>
      <c r="F341" s="40" t="s">
        <v>42</v>
      </c>
      <c r="G341" s="40" t="s">
        <v>42</v>
      </c>
      <c r="H341" s="41" t="s">
        <v>647</v>
      </c>
      <c r="I341" s="42" t="s">
        <v>43</v>
      </c>
      <c r="J341" s="40" t="s">
        <v>44</v>
      </c>
      <c r="K341" s="41" t="s">
        <v>43</v>
      </c>
      <c r="L341" s="40">
        <v>1</v>
      </c>
      <c r="M341" s="40">
        <v>2</v>
      </c>
      <c r="N341" s="41">
        <v>1</v>
      </c>
      <c r="O341" s="40">
        <v>3</v>
      </c>
      <c r="P341" s="40">
        <v>2</v>
      </c>
      <c r="Q341" s="41">
        <v>3</v>
      </c>
      <c r="R341" s="40" t="s">
        <v>45</v>
      </c>
      <c r="S341" s="40" t="s">
        <v>45</v>
      </c>
      <c r="T341" s="40">
        <v>1</v>
      </c>
      <c r="U341" s="40">
        <v>2</v>
      </c>
      <c r="V341" s="40" t="s">
        <v>45</v>
      </c>
      <c r="W341" s="40" t="s">
        <v>45</v>
      </c>
      <c r="X341" s="40">
        <v>2</v>
      </c>
      <c r="Y341" s="40">
        <v>3</v>
      </c>
      <c r="Z341" s="40" t="s">
        <v>45</v>
      </c>
      <c r="AA341" s="40" t="s">
        <v>45</v>
      </c>
      <c r="AB341" s="40" t="s">
        <v>45</v>
      </c>
      <c r="AC341" s="40" t="s">
        <v>45</v>
      </c>
      <c r="AD341" s="40">
        <v>2</v>
      </c>
      <c r="AE341" s="40">
        <v>4</v>
      </c>
      <c r="AF341" s="40" t="s">
        <v>45</v>
      </c>
      <c r="AG341" s="40" t="s">
        <v>45</v>
      </c>
      <c r="AH341" s="40" t="s">
        <v>45</v>
      </c>
      <c r="AI341" s="40" t="s">
        <v>45</v>
      </c>
      <c r="AJ341" s="40" t="s">
        <v>45</v>
      </c>
      <c r="AK341" s="40" t="s">
        <v>45</v>
      </c>
      <c r="AL341" s="40" t="s">
        <v>45</v>
      </c>
      <c r="AM341" s="40" t="s">
        <v>45</v>
      </c>
      <c r="AN341" s="40" t="s">
        <v>45</v>
      </c>
      <c r="AO341" s="41" t="s">
        <v>45</v>
      </c>
      <c r="AP341" s="40" t="s">
        <v>65</v>
      </c>
      <c r="AQ341" s="40">
        <v>6</v>
      </c>
      <c r="AR341" s="48" t="s">
        <v>347</v>
      </c>
      <c r="AS341" s="43" t="s">
        <v>643</v>
      </c>
      <c r="AT341" s="43" t="s">
        <v>47</v>
      </c>
      <c r="AU341" s="44">
        <f t="shared" si="41"/>
        <v>-2.5060525215375429</v>
      </c>
      <c r="AV341" s="44">
        <f t="shared" si="42"/>
        <v>-1.1865339896739031</v>
      </c>
      <c r="AW341" s="45">
        <f t="shared" si="43"/>
        <v>3</v>
      </c>
      <c r="AX341" s="45">
        <f t="shared" si="44"/>
        <v>0</v>
      </c>
      <c r="AY341" s="46">
        <f>VLOOKUP(AP341,COND!$A$10:$B$32,2,FALSE)</f>
        <v>0.95</v>
      </c>
      <c r="AZ341" s="44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25.644586611676118</v>
      </c>
      <c r="BA341" s="47">
        <f t="shared" si="48"/>
        <v>-0.68031612401757324</v>
      </c>
      <c r="BB341" s="45" t="str">
        <f t="shared" si="45"/>
        <v>SP</v>
      </c>
      <c r="BC341" s="45">
        <f>RANK(Table3[[#This Row],[zScore]],Table3[zScore])</f>
        <v>593</v>
      </c>
      <c r="BD341" s="45"/>
      <c r="BE341" s="45"/>
      <c r="BF341" s="45" t="str">
        <f t="shared" si="46"/>
        <v>Unlikely</v>
      </c>
      <c r="BG341" s="45"/>
      <c r="BH341" s="45" t="str">
        <f>INDEX(Table5[[#All],[Ovr]],MATCH(Table3[[#This Row],[PID]],Table5[[#All],[PID]],0))</f>
        <v/>
      </c>
      <c r="BI341" s="45" t="str">
        <f>INDEX(Table5[[#All],[Rnd]],MATCH(Table3[[#This Row],[PID]],Table5[[#All],[PID]],0))</f>
        <v/>
      </c>
      <c r="BJ341" s="45" t="str">
        <f>INDEX(Table5[[#All],[Pick]],MATCH(Table3[[#This Row],[PID]],Table5[[#All],[PID]],0))</f>
        <v/>
      </c>
      <c r="BK341" s="45" t="str">
        <f>INDEX(Table5[[#All],[Team]],MATCH(Table3[[#This Row],[PID]],Table5[[#All],[PID]],0))</f>
        <v/>
      </c>
      <c r="BL3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2" spans="1:64" ht="15" customHeight="1" x14ac:dyDescent="0.25">
      <c r="A342" s="40">
        <v>12613</v>
      </c>
      <c r="B342" s="40" t="s">
        <v>415</v>
      </c>
      <c r="C342" s="40" t="s">
        <v>1130</v>
      </c>
      <c r="D342" s="40" t="s">
        <v>1131</v>
      </c>
      <c r="E342" s="40">
        <v>22</v>
      </c>
      <c r="F342" s="40" t="s">
        <v>42</v>
      </c>
      <c r="G342" s="40" t="s">
        <v>42</v>
      </c>
      <c r="H342" s="41" t="s">
        <v>647</v>
      </c>
      <c r="I342" s="42" t="s">
        <v>43</v>
      </c>
      <c r="J342" s="40" t="s">
        <v>47</v>
      </c>
      <c r="K342" s="41" t="s">
        <v>43</v>
      </c>
      <c r="L342" s="40">
        <v>2</v>
      </c>
      <c r="M342" s="40">
        <v>2</v>
      </c>
      <c r="N342" s="41">
        <v>1</v>
      </c>
      <c r="O342" s="40">
        <v>3</v>
      </c>
      <c r="P342" s="40">
        <v>2</v>
      </c>
      <c r="Q342" s="41">
        <v>3</v>
      </c>
      <c r="R342" s="40">
        <v>4</v>
      </c>
      <c r="S342" s="40">
        <v>4</v>
      </c>
      <c r="T342" s="40">
        <v>1</v>
      </c>
      <c r="U342" s="40">
        <v>3</v>
      </c>
      <c r="V342" s="40">
        <v>2</v>
      </c>
      <c r="W342" s="40">
        <v>4</v>
      </c>
      <c r="X342" s="40">
        <v>2</v>
      </c>
      <c r="Y342" s="40">
        <v>4</v>
      </c>
      <c r="Z342" s="40" t="s">
        <v>45</v>
      </c>
      <c r="AA342" s="40" t="s">
        <v>45</v>
      </c>
      <c r="AB342" s="40" t="s">
        <v>45</v>
      </c>
      <c r="AC342" s="40" t="s">
        <v>45</v>
      </c>
      <c r="AD342" s="40" t="s">
        <v>45</v>
      </c>
      <c r="AE342" s="40" t="s">
        <v>45</v>
      </c>
      <c r="AF342" s="40">
        <v>3</v>
      </c>
      <c r="AG342" s="40">
        <v>4</v>
      </c>
      <c r="AH342" s="40" t="s">
        <v>45</v>
      </c>
      <c r="AI342" s="40" t="s">
        <v>45</v>
      </c>
      <c r="AJ342" s="40" t="s">
        <v>45</v>
      </c>
      <c r="AK342" s="40" t="s">
        <v>45</v>
      </c>
      <c r="AL342" s="40" t="s">
        <v>45</v>
      </c>
      <c r="AM342" s="40" t="s">
        <v>45</v>
      </c>
      <c r="AN342" s="40" t="s">
        <v>45</v>
      </c>
      <c r="AO342" s="41" t="s">
        <v>45</v>
      </c>
      <c r="AP342" s="40" t="s">
        <v>350</v>
      </c>
      <c r="AQ342" s="40">
        <v>7</v>
      </c>
      <c r="AR342" s="48" t="s">
        <v>347</v>
      </c>
      <c r="AS342" s="43" t="s">
        <v>45</v>
      </c>
      <c r="AT342" s="43" t="s">
        <v>47</v>
      </c>
      <c r="AU342" s="44">
        <f t="shared" si="41"/>
        <v>-2.311361197028369</v>
      </c>
      <c r="AV342" s="44">
        <f t="shared" si="42"/>
        <v>-1.1865339896739031</v>
      </c>
      <c r="AW342" s="45">
        <f t="shared" si="43"/>
        <v>5</v>
      </c>
      <c r="AX342" s="45">
        <f t="shared" si="44"/>
        <v>0</v>
      </c>
      <c r="AY342" s="46">
        <f>VLOOKUP(AP342,COND!$A$10:$B$32,2,FALSE)</f>
        <v>1</v>
      </c>
      <c r="AZ342" s="44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25.607047967116266</v>
      </c>
      <c r="BA342" s="47">
        <f t="shared" si="48"/>
        <v>-0.68281351267700552</v>
      </c>
      <c r="BB342" s="45" t="str">
        <f t="shared" si="45"/>
        <v>SP</v>
      </c>
      <c r="BC342" s="45">
        <f>RANK(Table3[[#This Row],[zScore]],Table3[zScore])</f>
        <v>594</v>
      </c>
      <c r="BD342" s="45"/>
      <c r="BE342" s="45"/>
      <c r="BF342" s="45" t="str">
        <f t="shared" si="46"/>
        <v>Unlikely</v>
      </c>
      <c r="BG342" s="45"/>
      <c r="BH342" s="45" t="str">
        <f>INDEX(Table5[[#All],[Ovr]],MATCH(Table3[[#This Row],[PID]],Table5[[#All],[PID]],0))</f>
        <v/>
      </c>
      <c r="BI342" s="45" t="str">
        <f>INDEX(Table5[[#All],[Rnd]],MATCH(Table3[[#This Row],[PID]],Table5[[#All],[PID]],0))</f>
        <v/>
      </c>
      <c r="BJ342" s="45" t="str">
        <f>INDEX(Table5[[#All],[Pick]],MATCH(Table3[[#This Row],[PID]],Table5[[#All],[PID]],0))</f>
        <v/>
      </c>
      <c r="BK342" s="45" t="str">
        <f>INDEX(Table5[[#All],[Team]],MATCH(Table3[[#This Row],[PID]],Table5[[#All],[PID]],0))</f>
        <v/>
      </c>
      <c r="BL3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3" spans="1:64" ht="15" customHeight="1" x14ac:dyDescent="0.25">
      <c r="A343" s="40">
        <v>20585</v>
      </c>
      <c r="B343" s="40" t="s">
        <v>415</v>
      </c>
      <c r="C343" s="40" t="s">
        <v>1580</v>
      </c>
      <c r="D343" s="40" t="s">
        <v>2196</v>
      </c>
      <c r="E343" s="40">
        <v>18</v>
      </c>
      <c r="F343" s="40" t="s">
        <v>53</v>
      </c>
      <c r="G343" s="40" t="s">
        <v>53</v>
      </c>
      <c r="H343" s="41" t="s">
        <v>647</v>
      </c>
      <c r="I343" s="42" t="s">
        <v>43</v>
      </c>
      <c r="J343" s="40" t="s">
        <v>44</v>
      </c>
      <c r="K343" s="41" t="s">
        <v>43</v>
      </c>
      <c r="L343" s="40">
        <v>2</v>
      </c>
      <c r="M343" s="40">
        <v>1</v>
      </c>
      <c r="N343" s="41">
        <v>1</v>
      </c>
      <c r="O343" s="40">
        <v>4</v>
      </c>
      <c r="P343" s="40">
        <v>1</v>
      </c>
      <c r="Q343" s="41">
        <v>2</v>
      </c>
      <c r="R343" s="40">
        <v>3</v>
      </c>
      <c r="S343" s="40">
        <v>4</v>
      </c>
      <c r="T343" s="40">
        <v>1</v>
      </c>
      <c r="U343" s="40">
        <v>1</v>
      </c>
      <c r="V343" s="40" t="s">
        <v>45</v>
      </c>
      <c r="W343" s="40" t="s">
        <v>45</v>
      </c>
      <c r="X343" s="40" t="s">
        <v>45</v>
      </c>
      <c r="Y343" s="40" t="s">
        <v>45</v>
      </c>
      <c r="Z343" s="40" t="s">
        <v>45</v>
      </c>
      <c r="AA343" s="40" t="s">
        <v>45</v>
      </c>
      <c r="AB343" s="40" t="s">
        <v>45</v>
      </c>
      <c r="AC343" s="40" t="s">
        <v>45</v>
      </c>
      <c r="AD343" s="40" t="s">
        <v>45</v>
      </c>
      <c r="AE343" s="40" t="s">
        <v>45</v>
      </c>
      <c r="AF343" s="40" t="s">
        <v>45</v>
      </c>
      <c r="AG343" s="40" t="s">
        <v>45</v>
      </c>
      <c r="AH343" s="40" t="s">
        <v>45</v>
      </c>
      <c r="AI343" s="40" t="s">
        <v>45</v>
      </c>
      <c r="AJ343" s="40" t="s">
        <v>45</v>
      </c>
      <c r="AK343" s="40" t="s">
        <v>45</v>
      </c>
      <c r="AL343" s="40">
        <v>2</v>
      </c>
      <c r="AM343" s="40">
        <v>6</v>
      </c>
      <c r="AN343" s="40" t="s">
        <v>45</v>
      </c>
      <c r="AO343" s="41" t="s">
        <v>45</v>
      </c>
      <c r="AP343" s="40" t="s">
        <v>68</v>
      </c>
      <c r="AQ343" s="40">
        <v>6</v>
      </c>
      <c r="AR343" s="48" t="s">
        <v>347</v>
      </c>
      <c r="AS343" s="43" t="s">
        <v>654</v>
      </c>
      <c r="AT343" s="43"/>
      <c r="AU343" s="44">
        <f t="shared" si="41"/>
        <v>-2.5067929134584248</v>
      </c>
      <c r="AV343" s="44">
        <f t="shared" si="42"/>
        <v>-1.4295949476488956</v>
      </c>
      <c r="AW343" s="45">
        <f t="shared" si="43"/>
        <v>3</v>
      </c>
      <c r="AX343" s="45">
        <f t="shared" si="44"/>
        <v>1</v>
      </c>
      <c r="AY343" s="46">
        <f>VLOOKUP(AP343,COND!$A$10:$B$32,2,FALSE)</f>
        <v>0.95</v>
      </c>
      <c r="AZ343" s="44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27.299557707586033</v>
      </c>
      <c r="BA343" s="47">
        <f>STANDARDIZE(AZ343,AVERAGE($AZ$5:$AZ$788),STDEVP($AZ$5:$AZ$788))</f>
        <v>-0.68599033531025</v>
      </c>
      <c r="BB343" s="45" t="str">
        <f t="shared" si="45"/>
        <v>SP</v>
      </c>
      <c r="BC343" s="45">
        <f>RANK(Table3[[#This Row],[zScore]],Table3[zScore])</f>
        <v>597</v>
      </c>
      <c r="BD343" s="45"/>
      <c r="BE343" s="45"/>
      <c r="BF343" s="45" t="str">
        <f t="shared" si="46"/>
        <v>Unlikely</v>
      </c>
      <c r="BG343" s="45"/>
      <c r="BH343" s="64">
        <f>INDEX(Table5[[#All],[Ovr]],MATCH(Table3[[#This Row],[PID]],Table5[[#All],[PID]],0))</f>
        <v>599</v>
      </c>
      <c r="BI343" s="64" t="str">
        <f>INDEX(Table5[[#All],[Rnd]],MATCH(Table3[[#This Row],[PID]],Table5[[#All],[PID]],0))</f>
        <v>20</v>
      </c>
      <c r="BJ343" s="64">
        <f>INDEX(Table5[[#All],[Pick]],MATCH(Table3[[#This Row],[PID]],Table5[[#All],[PID]],0))</f>
        <v>21</v>
      </c>
      <c r="BK343" s="64" t="str">
        <f>INDEX(Table5[[#All],[Team]],MATCH(Table3[[#This Row],[PID]],Table5[[#All],[PID]],0))</f>
        <v>Crystal Lake Sandgnats</v>
      </c>
      <c r="BL343" s="64" t="str">
        <f>IF(OR(Table3[[#This Row],[POS]]="SP",Table3[[#This Row],[POS]]="RP",Table3[[#This Row],[POS]]="CL"),"P",INDEX(Batters[[#All],[zScore]],MATCH(Table3[[#This Row],[PID]],Batters[[#All],[PID]],0)))</f>
        <v>P</v>
      </c>
    </row>
    <row r="344" spans="1:64" ht="15" customHeight="1" x14ac:dyDescent="0.25">
      <c r="A344" s="40">
        <v>9829</v>
      </c>
      <c r="B344" s="40" t="s">
        <v>415</v>
      </c>
      <c r="C344" s="40" t="s">
        <v>172</v>
      </c>
      <c r="D344" s="40" t="s">
        <v>763</v>
      </c>
      <c r="E344" s="40">
        <v>22</v>
      </c>
      <c r="F344" s="40" t="s">
        <v>42</v>
      </c>
      <c r="G344" s="40" t="s">
        <v>42</v>
      </c>
      <c r="H344" s="41" t="s">
        <v>647</v>
      </c>
      <c r="I344" s="42" t="s">
        <v>43</v>
      </c>
      <c r="J344" s="40" t="s">
        <v>44</v>
      </c>
      <c r="K344" s="41" t="s">
        <v>43</v>
      </c>
      <c r="L344" s="40">
        <v>3</v>
      </c>
      <c r="M344" s="40">
        <v>1</v>
      </c>
      <c r="N344" s="41">
        <v>2</v>
      </c>
      <c r="O344" s="40">
        <v>5</v>
      </c>
      <c r="P344" s="40">
        <v>1</v>
      </c>
      <c r="Q344" s="41">
        <v>2</v>
      </c>
      <c r="R344" s="40">
        <v>4</v>
      </c>
      <c r="S344" s="40">
        <v>6</v>
      </c>
      <c r="T344" s="40" t="s">
        <v>45</v>
      </c>
      <c r="U344" s="40" t="s">
        <v>45</v>
      </c>
      <c r="V344" s="40">
        <v>3</v>
      </c>
      <c r="W344" s="40">
        <v>6</v>
      </c>
      <c r="X344" s="40" t="s">
        <v>45</v>
      </c>
      <c r="Y344" s="40" t="s">
        <v>45</v>
      </c>
      <c r="Z344" s="40" t="s">
        <v>45</v>
      </c>
      <c r="AA344" s="40" t="s">
        <v>45</v>
      </c>
      <c r="AB344" s="40">
        <v>3</v>
      </c>
      <c r="AC344" s="40">
        <v>5</v>
      </c>
      <c r="AD344" s="40" t="s">
        <v>45</v>
      </c>
      <c r="AE344" s="40" t="s">
        <v>45</v>
      </c>
      <c r="AF344" s="40" t="s">
        <v>45</v>
      </c>
      <c r="AG344" s="40" t="s">
        <v>45</v>
      </c>
      <c r="AH344" s="40" t="s">
        <v>45</v>
      </c>
      <c r="AI344" s="40" t="s">
        <v>45</v>
      </c>
      <c r="AJ344" s="40" t="s">
        <v>45</v>
      </c>
      <c r="AK344" s="40" t="s">
        <v>45</v>
      </c>
      <c r="AL344" s="40" t="s">
        <v>45</v>
      </c>
      <c r="AM344" s="40" t="s">
        <v>45</v>
      </c>
      <c r="AN344" s="40" t="s">
        <v>45</v>
      </c>
      <c r="AO344" s="41" t="s">
        <v>45</v>
      </c>
      <c r="AP344" s="40" t="s">
        <v>58</v>
      </c>
      <c r="AQ344" s="40">
        <v>7</v>
      </c>
      <c r="AR344" s="48" t="s">
        <v>14</v>
      </c>
      <c r="AS344" s="43" t="s">
        <v>45</v>
      </c>
      <c r="AT344" s="43" t="s">
        <v>47</v>
      </c>
      <c r="AU344" s="44">
        <f t="shared" si="41"/>
        <v>-2.0697810228951408</v>
      </c>
      <c r="AV344" s="44">
        <f t="shared" si="42"/>
        <v>-1.2349036231397219</v>
      </c>
      <c r="AW344" s="45">
        <f t="shared" si="43"/>
        <v>3</v>
      </c>
      <c r="AX344" s="45">
        <f t="shared" si="44"/>
        <v>2</v>
      </c>
      <c r="AY344" s="46">
        <f>VLOOKUP(AP344,COND!$A$10:$B$32,2,FALSE)</f>
        <v>1</v>
      </c>
      <c r="AZ344" s="44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25.587971332626534</v>
      </c>
      <c r="BA344" s="47">
        <f>STANDARDIZE(AZ344,AVERAGE($AZ$5:$AZ$557),STDEVP($AZ$5:$AZ$557))</f>
        <v>-0.68408265201843355</v>
      </c>
      <c r="BB344" s="45" t="str">
        <f t="shared" si="45"/>
        <v>SP</v>
      </c>
      <c r="BC344" s="45">
        <f>RANK(Table3[[#This Row],[zScore]],Table3[zScore])</f>
        <v>595</v>
      </c>
      <c r="BD344" s="45"/>
      <c r="BE344" s="45"/>
      <c r="BF344" s="45" t="str">
        <f t="shared" si="46"/>
        <v>Unlikely</v>
      </c>
      <c r="BG344" s="45"/>
      <c r="BH344" s="45" t="str">
        <f>INDEX(Table5[[#All],[Ovr]],MATCH(Table3[[#This Row],[PID]],Table5[[#All],[PID]],0))</f>
        <v/>
      </c>
      <c r="BI344" s="45" t="str">
        <f>INDEX(Table5[[#All],[Rnd]],MATCH(Table3[[#This Row],[PID]],Table5[[#All],[PID]],0))</f>
        <v/>
      </c>
      <c r="BJ344" s="45" t="str">
        <f>INDEX(Table5[[#All],[Pick]],MATCH(Table3[[#This Row],[PID]],Table5[[#All],[PID]],0))</f>
        <v/>
      </c>
      <c r="BK344" s="45" t="str">
        <f>INDEX(Table5[[#All],[Team]],MATCH(Table3[[#This Row],[PID]],Table5[[#All],[PID]],0))</f>
        <v/>
      </c>
      <c r="BL3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5" spans="1:64" ht="15" customHeight="1" x14ac:dyDescent="0.25">
      <c r="A345" s="40">
        <v>21028</v>
      </c>
      <c r="B345" s="40" t="s">
        <v>415</v>
      </c>
      <c r="C345" s="40" t="s">
        <v>2134</v>
      </c>
      <c r="D345" s="40" t="s">
        <v>1329</v>
      </c>
      <c r="E345" s="40">
        <v>17</v>
      </c>
      <c r="F345" s="40" t="s">
        <v>53</v>
      </c>
      <c r="G345" s="40" t="s">
        <v>53</v>
      </c>
      <c r="H345" s="41" t="s">
        <v>647</v>
      </c>
      <c r="I345" s="42" t="s">
        <v>43</v>
      </c>
      <c r="J345" s="40" t="s">
        <v>44</v>
      </c>
      <c r="K345" s="41" t="s">
        <v>43</v>
      </c>
      <c r="L345" s="40">
        <v>1</v>
      </c>
      <c r="M345" s="40">
        <v>1</v>
      </c>
      <c r="N345" s="41">
        <v>1</v>
      </c>
      <c r="O345" s="40">
        <v>2</v>
      </c>
      <c r="P345" s="40">
        <v>1</v>
      </c>
      <c r="Q345" s="41">
        <v>4</v>
      </c>
      <c r="R345" s="40">
        <v>2</v>
      </c>
      <c r="S345" s="40">
        <v>3</v>
      </c>
      <c r="T345" s="40">
        <v>1</v>
      </c>
      <c r="U345" s="40">
        <v>1</v>
      </c>
      <c r="V345" s="40" t="s">
        <v>45</v>
      </c>
      <c r="W345" s="40" t="s">
        <v>45</v>
      </c>
      <c r="X345" s="40" t="s">
        <v>45</v>
      </c>
      <c r="Y345" s="40" t="s">
        <v>45</v>
      </c>
      <c r="Z345" s="40" t="s">
        <v>45</v>
      </c>
      <c r="AA345" s="40" t="s">
        <v>45</v>
      </c>
      <c r="AB345" s="40">
        <v>2</v>
      </c>
      <c r="AC345" s="40">
        <v>3</v>
      </c>
      <c r="AD345" s="40" t="s">
        <v>45</v>
      </c>
      <c r="AE345" s="40" t="s">
        <v>45</v>
      </c>
      <c r="AF345" s="40" t="s">
        <v>45</v>
      </c>
      <c r="AG345" s="40" t="s">
        <v>45</v>
      </c>
      <c r="AH345" s="40" t="s">
        <v>45</v>
      </c>
      <c r="AI345" s="40" t="s">
        <v>45</v>
      </c>
      <c r="AJ345" s="40" t="s">
        <v>45</v>
      </c>
      <c r="AK345" s="40" t="s">
        <v>45</v>
      </c>
      <c r="AL345" s="40" t="s">
        <v>45</v>
      </c>
      <c r="AM345" s="40" t="s">
        <v>45</v>
      </c>
      <c r="AN345" s="40" t="s">
        <v>45</v>
      </c>
      <c r="AO345" s="41" t="s">
        <v>45</v>
      </c>
      <c r="AP345" s="40" t="s">
        <v>67</v>
      </c>
      <c r="AQ345" s="40">
        <v>4</v>
      </c>
      <c r="AR345" s="48" t="s">
        <v>14</v>
      </c>
      <c r="AS345" s="43" t="s">
        <v>663</v>
      </c>
      <c r="AT345" s="43" t="s">
        <v>47</v>
      </c>
      <c r="AU345" s="44">
        <f t="shared" si="41"/>
        <v>-2.7014842379675978</v>
      </c>
      <c r="AV345" s="44">
        <f t="shared" si="42"/>
        <v>-1.3343364645590219</v>
      </c>
      <c r="AW345" s="45">
        <f t="shared" si="43"/>
        <v>3</v>
      </c>
      <c r="AX345" s="45">
        <f t="shared" si="44"/>
        <v>0</v>
      </c>
      <c r="AY345" s="46">
        <f>VLOOKUP(AP345,COND!$A$10:$B$32,2,FALSE)</f>
        <v>0.9</v>
      </c>
      <c r="AZ345" s="44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27.703392651348267</v>
      </c>
      <c r="BA345" s="47">
        <f>STANDARDIZE(AZ345,AVERAGE($AZ$5:$AZ$663),STDEVP($AZ$5:$AZ$663))</f>
        <v>-0.69187330704187799</v>
      </c>
      <c r="BB345" s="45" t="str">
        <f t="shared" si="45"/>
        <v>RP</v>
      </c>
      <c r="BC345" s="45">
        <f>RANK(Table3[[#This Row],[zScore]],Table3[zScore])</f>
        <v>598</v>
      </c>
      <c r="BD345" s="45"/>
      <c r="BE345" s="45"/>
      <c r="BF345" s="45" t="str">
        <f t="shared" si="46"/>
        <v>Unlikely</v>
      </c>
      <c r="BG345" s="45"/>
      <c r="BH345" s="45" t="str">
        <f>INDEX(Table5[[#All],[Ovr]],MATCH(Table3[[#This Row],[PID]],Table5[[#All],[PID]],0))</f>
        <v/>
      </c>
      <c r="BI345" s="45" t="str">
        <f>INDEX(Table5[[#All],[Rnd]],MATCH(Table3[[#This Row],[PID]],Table5[[#All],[PID]],0))</f>
        <v/>
      </c>
      <c r="BJ345" s="45" t="str">
        <f>INDEX(Table5[[#All],[Pick]],MATCH(Table3[[#This Row],[PID]],Table5[[#All],[PID]],0))</f>
        <v/>
      </c>
      <c r="BK345" s="45" t="str">
        <f>INDEX(Table5[[#All],[Team]],MATCH(Table3[[#This Row],[PID]],Table5[[#All],[PID]],0))</f>
        <v/>
      </c>
      <c r="BL3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6" spans="1:64" ht="15" customHeight="1" x14ac:dyDescent="0.25">
      <c r="A346" s="40">
        <v>16353</v>
      </c>
      <c r="B346" s="40" t="s">
        <v>415</v>
      </c>
      <c r="C346" s="40" t="s">
        <v>1102</v>
      </c>
      <c r="D346" s="40" t="s">
        <v>385</v>
      </c>
      <c r="E346" s="40">
        <v>22</v>
      </c>
      <c r="F346" s="40" t="s">
        <v>42</v>
      </c>
      <c r="G346" s="40" t="s">
        <v>42</v>
      </c>
      <c r="H346" s="41" t="s">
        <v>647</v>
      </c>
      <c r="I346" s="42" t="s">
        <v>43</v>
      </c>
      <c r="J346" s="40" t="s">
        <v>44</v>
      </c>
      <c r="K346" s="41" t="s">
        <v>43</v>
      </c>
      <c r="L346" s="40">
        <v>2</v>
      </c>
      <c r="M346" s="40">
        <v>2</v>
      </c>
      <c r="N346" s="41">
        <v>1</v>
      </c>
      <c r="O346" s="40">
        <v>4</v>
      </c>
      <c r="P346" s="40">
        <v>2</v>
      </c>
      <c r="Q346" s="41">
        <v>2</v>
      </c>
      <c r="R346" s="40">
        <v>3</v>
      </c>
      <c r="S346" s="40">
        <v>4</v>
      </c>
      <c r="T346" s="40">
        <v>1</v>
      </c>
      <c r="U346" s="40">
        <v>1</v>
      </c>
      <c r="V346" s="40">
        <v>3</v>
      </c>
      <c r="W346" s="40">
        <v>6</v>
      </c>
      <c r="X346" s="40" t="s">
        <v>45</v>
      </c>
      <c r="Y346" s="40" t="s">
        <v>45</v>
      </c>
      <c r="Z346" s="40" t="s">
        <v>45</v>
      </c>
      <c r="AA346" s="40" t="s">
        <v>45</v>
      </c>
      <c r="AB346" s="40" t="s">
        <v>45</v>
      </c>
      <c r="AC346" s="40" t="s">
        <v>45</v>
      </c>
      <c r="AD346" s="40" t="s">
        <v>45</v>
      </c>
      <c r="AE346" s="40" t="s">
        <v>45</v>
      </c>
      <c r="AF346" s="40" t="s">
        <v>45</v>
      </c>
      <c r="AG346" s="40" t="s">
        <v>45</v>
      </c>
      <c r="AH346" s="40" t="s">
        <v>45</v>
      </c>
      <c r="AI346" s="40" t="s">
        <v>45</v>
      </c>
      <c r="AJ346" s="40" t="s">
        <v>45</v>
      </c>
      <c r="AK346" s="40" t="s">
        <v>45</v>
      </c>
      <c r="AL346" s="40" t="s">
        <v>45</v>
      </c>
      <c r="AM346" s="40" t="s">
        <v>45</v>
      </c>
      <c r="AN346" s="40" t="s">
        <v>45</v>
      </c>
      <c r="AO346" s="41" t="s">
        <v>45</v>
      </c>
      <c r="AP346" s="40" t="s">
        <v>67</v>
      </c>
      <c r="AQ346" s="40">
        <v>6</v>
      </c>
      <c r="AR346" s="48" t="s">
        <v>347</v>
      </c>
      <c r="AS346" s="43" t="s">
        <v>45</v>
      </c>
      <c r="AT346" s="43"/>
      <c r="AU346" s="44">
        <f t="shared" si="41"/>
        <v>-2.311361197028369</v>
      </c>
      <c r="AV346" s="44">
        <f t="shared" si="42"/>
        <v>-1.23416323121884</v>
      </c>
      <c r="AW346" s="45">
        <f t="shared" si="43"/>
        <v>3</v>
      </c>
      <c r="AX346" s="45">
        <f t="shared" si="44"/>
        <v>1</v>
      </c>
      <c r="AY346" s="46">
        <f>VLOOKUP(AP346,COND!$A$10:$B$32,2,FALSE)</f>
        <v>0.9</v>
      </c>
      <c r="AZ346" s="44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27.047916402030879</v>
      </c>
      <c r="BA346" s="47">
        <f>STANDARDIZE(AZ346,AVERAGE($AZ$5:$AZ$788),STDEVP($AZ$5:$AZ$788))</f>
        <v>-0.7041997205858781</v>
      </c>
      <c r="BB346" s="45" t="str">
        <f t="shared" si="45"/>
        <v>SP</v>
      </c>
      <c r="BC346" s="45">
        <f>RANK(Table3[[#This Row],[zScore]],Table3[zScore])</f>
        <v>600</v>
      </c>
      <c r="BD346" s="45"/>
      <c r="BE346" s="45"/>
      <c r="BF346" s="45" t="str">
        <f t="shared" si="46"/>
        <v>Unlikely</v>
      </c>
      <c r="BG346" s="45"/>
      <c r="BH346" s="64" t="str">
        <f>INDEX(Table5[[#All],[Ovr]],MATCH(Table3[[#This Row],[PID]],Table5[[#All],[PID]],0))</f>
        <v/>
      </c>
      <c r="BI346" s="64" t="str">
        <f>INDEX(Table5[[#All],[Rnd]],MATCH(Table3[[#This Row],[PID]],Table5[[#All],[PID]],0))</f>
        <v/>
      </c>
      <c r="BJ346" s="64" t="str">
        <f>INDEX(Table5[[#All],[Pick]],MATCH(Table3[[#This Row],[PID]],Table5[[#All],[PID]],0))</f>
        <v/>
      </c>
      <c r="BK346" s="64" t="str">
        <f>INDEX(Table5[[#All],[Team]],MATCH(Table3[[#This Row],[PID]],Table5[[#All],[PID]],0))</f>
        <v/>
      </c>
      <c r="BL346" s="64" t="str">
        <f>IF(OR(Table3[[#This Row],[POS]]="SP",Table3[[#This Row],[POS]]="RP",Table3[[#This Row],[POS]]="CL"),"P",INDEX(Batters[[#All],[zScore]],MATCH(Table3[[#This Row],[PID]],Batters[[#All],[PID]],0)))</f>
        <v>P</v>
      </c>
    </row>
    <row r="347" spans="1:64" ht="15" customHeight="1" x14ac:dyDescent="0.25">
      <c r="A347" s="40">
        <v>20404</v>
      </c>
      <c r="B347" s="40" t="s">
        <v>415</v>
      </c>
      <c r="C347" s="40" t="s">
        <v>2164</v>
      </c>
      <c r="D347" s="40" t="s">
        <v>2163</v>
      </c>
      <c r="E347" s="40">
        <v>18</v>
      </c>
      <c r="F347" s="40" t="s">
        <v>42</v>
      </c>
      <c r="G347" s="40" t="s">
        <v>42</v>
      </c>
      <c r="H347" s="41" t="s">
        <v>647</v>
      </c>
      <c r="I347" s="42" t="s">
        <v>43</v>
      </c>
      <c r="J347" s="40" t="s">
        <v>43</v>
      </c>
      <c r="K347" s="41" t="s">
        <v>43</v>
      </c>
      <c r="L347" s="40">
        <v>2</v>
      </c>
      <c r="M347" s="40">
        <v>1</v>
      </c>
      <c r="N347" s="41">
        <v>1</v>
      </c>
      <c r="O347" s="40">
        <v>4</v>
      </c>
      <c r="P347" s="40">
        <v>1</v>
      </c>
      <c r="Q347" s="41">
        <v>2</v>
      </c>
      <c r="R347" s="40">
        <v>3</v>
      </c>
      <c r="S347" s="40">
        <v>4</v>
      </c>
      <c r="T347" s="40">
        <v>1</v>
      </c>
      <c r="U347" s="40">
        <v>1</v>
      </c>
      <c r="V347" s="40" t="s">
        <v>45</v>
      </c>
      <c r="W347" s="40" t="s">
        <v>45</v>
      </c>
      <c r="X347" s="40">
        <v>3</v>
      </c>
      <c r="Y347" s="40">
        <v>6</v>
      </c>
      <c r="Z347" s="40" t="s">
        <v>45</v>
      </c>
      <c r="AA347" s="40" t="s">
        <v>45</v>
      </c>
      <c r="AB347" s="40" t="s">
        <v>45</v>
      </c>
      <c r="AC347" s="40" t="s">
        <v>45</v>
      </c>
      <c r="AD347" s="40" t="s">
        <v>45</v>
      </c>
      <c r="AE347" s="40" t="s">
        <v>45</v>
      </c>
      <c r="AF347" s="40" t="s">
        <v>45</v>
      </c>
      <c r="AG347" s="40" t="s">
        <v>45</v>
      </c>
      <c r="AH347" s="40" t="s">
        <v>45</v>
      </c>
      <c r="AI347" s="40" t="s">
        <v>45</v>
      </c>
      <c r="AJ347" s="40" t="s">
        <v>45</v>
      </c>
      <c r="AK347" s="40" t="s">
        <v>45</v>
      </c>
      <c r="AL347" s="40" t="s">
        <v>45</v>
      </c>
      <c r="AM347" s="40" t="s">
        <v>45</v>
      </c>
      <c r="AN347" s="40" t="s">
        <v>45</v>
      </c>
      <c r="AO347" s="41" t="s">
        <v>45</v>
      </c>
      <c r="AP347" s="40" t="s">
        <v>68</v>
      </c>
      <c r="AQ347" s="40">
        <v>8</v>
      </c>
      <c r="AR347" s="48" t="s">
        <v>14</v>
      </c>
      <c r="AS347" s="43" t="s">
        <v>663</v>
      </c>
      <c r="AT347" s="43"/>
      <c r="AU347" s="44">
        <f t="shared" si="41"/>
        <v>-2.5067929134584248</v>
      </c>
      <c r="AV347" s="44">
        <f t="shared" si="42"/>
        <v>-1.4295949476488956</v>
      </c>
      <c r="AW347" s="45">
        <f t="shared" si="43"/>
        <v>3</v>
      </c>
      <c r="AX347" s="45">
        <f t="shared" si="44"/>
        <v>1</v>
      </c>
      <c r="AY347" s="46">
        <f>VLOOKUP(AP347,COND!$A$10:$B$32,2,FALSE)</f>
        <v>0.95</v>
      </c>
      <c r="AZ347" s="44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26.97390534111388</v>
      </c>
      <c r="BA347" s="47">
        <f>STANDARDIZE(AZ347,AVERAGE($AZ$5:$AZ$788),STDEVP($AZ$5:$AZ$788))</f>
        <v>-0.70955534342340243</v>
      </c>
      <c r="BB347" s="45" t="str">
        <f t="shared" si="45"/>
        <v>SP</v>
      </c>
      <c r="BC347" s="45">
        <f>RANK(Table3[[#This Row],[zScore]],Table3[zScore])</f>
        <v>602</v>
      </c>
      <c r="BD347" s="45"/>
      <c r="BE347" s="45"/>
      <c r="BF347" s="45" t="str">
        <f t="shared" si="46"/>
        <v>Unlikely</v>
      </c>
      <c r="BG347" s="45"/>
      <c r="BH347" s="64" t="str">
        <f>INDEX(Table5[[#All],[Ovr]],MATCH(Table3[[#This Row],[PID]],Table5[[#All],[PID]],0))</f>
        <v/>
      </c>
      <c r="BI347" s="64" t="str">
        <f>INDEX(Table5[[#All],[Rnd]],MATCH(Table3[[#This Row],[PID]],Table5[[#All],[PID]],0))</f>
        <v/>
      </c>
      <c r="BJ347" s="64" t="str">
        <f>INDEX(Table5[[#All],[Pick]],MATCH(Table3[[#This Row],[PID]],Table5[[#All],[PID]],0))</f>
        <v/>
      </c>
      <c r="BK347" s="64" t="str">
        <f>INDEX(Table5[[#All],[Team]],MATCH(Table3[[#This Row],[PID]],Table5[[#All],[PID]],0))</f>
        <v/>
      </c>
      <c r="BL347" s="64" t="str">
        <f>IF(OR(Table3[[#This Row],[POS]]="SP",Table3[[#This Row],[POS]]="RP",Table3[[#This Row],[POS]]="CL"),"P",INDEX(Batters[[#All],[zScore]],MATCH(Table3[[#This Row],[PID]],Batters[[#All],[PID]],0)))</f>
        <v>P</v>
      </c>
    </row>
    <row r="348" spans="1:64" ht="15" customHeight="1" x14ac:dyDescent="0.25">
      <c r="A348" s="40">
        <v>16340</v>
      </c>
      <c r="B348" s="40" t="s">
        <v>415</v>
      </c>
      <c r="C348" s="40" t="s">
        <v>1060</v>
      </c>
      <c r="D348" s="40" t="s">
        <v>2105</v>
      </c>
      <c r="E348" s="40">
        <v>21</v>
      </c>
      <c r="F348" s="40" t="s">
        <v>42</v>
      </c>
      <c r="G348" s="40" t="s">
        <v>42</v>
      </c>
      <c r="H348" s="41" t="s">
        <v>647</v>
      </c>
      <c r="I348" s="42" t="s">
        <v>43</v>
      </c>
      <c r="J348" s="40" t="s">
        <v>43</v>
      </c>
      <c r="K348" s="41" t="s">
        <v>43</v>
      </c>
      <c r="L348" s="40">
        <v>2</v>
      </c>
      <c r="M348" s="40">
        <v>2</v>
      </c>
      <c r="N348" s="41">
        <v>2</v>
      </c>
      <c r="O348" s="40">
        <v>4</v>
      </c>
      <c r="P348" s="40">
        <v>2</v>
      </c>
      <c r="Q348" s="41">
        <v>2</v>
      </c>
      <c r="R348" s="40">
        <v>2</v>
      </c>
      <c r="S348" s="40">
        <v>4</v>
      </c>
      <c r="T348" s="40" t="s">
        <v>45</v>
      </c>
      <c r="U348" s="40" t="s">
        <v>45</v>
      </c>
      <c r="V348" s="40">
        <v>2</v>
      </c>
      <c r="W348" s="40">
        <v>5</v>
      </c>
      <c r="X348" s="40">
        <v>3</v>
      </c>
      <c r="Y348" s="40">
        <v>6</v>
      </c>
      <c r="Z348" s="40" t="s">
        <v>45</v>
      </c>
      <c r="AA348" s="40" t="s">
        <v>45</v>
      </c>
      <c r="AB348" s="40" t="s">
        <v>45</v>
      </c>
      <c r="AC348" s="40" t="s">
        <v>45</v>
      </c>
      <c r="AD348" s="40" t="s">
        <v>45</v>
      </c>
      <c r="AE348" s="40" t="s">
        <v>45</v>
      </c>
      <c r="AF348" s="40" t="s">
        <v>45</v>
      </c>
      <c r="AG348" s="40" t="s">
        <v>45</v>
      </c>
      <c r="AH348" s="40" t="s">
        <v>45</v>
      </c>
      <c r="AI348" s="40" t="s">
        <v>45</v>
      </c>
      <c r="AJ348" s="40" t="s">
        <v>45</v>
      </c>
      <c r="AK348" s="40" t="s">
        <v>45</v>
      </c>
      <c r="AL348" s="40" t="s">
        <v>45</v>
      </c>
      <c r="AM348" s="40" t="s">
        <v>45</v>
      </c>
      <c r="AN348" s="40" t="s">
        <v>45</v>
      </c>
      <c r="AO348" s="41" t="s">
        <v>45</v>
      </c>
      <c r="AP348" s="40" t="s">
        <v>67</v>
      </c>
      <c r="AQ348" s="40">
        <v>6</v>
      </c>
      <c r="AR348" s="48" t="s">
        <v>347</v>
      </c>
      <c r="AS348" s="43" t="s">
        <v>45</v>
      </c>
      <c r="AT348" s="43" t="s">
        <v>47</v>
      </c>
      <c r="AU348" s="44">
        <f t="shared" si="41"/>
        <v>-2.0690406309742588</v>
      </c>
      <c r="AV348" s="44">
        <f t="shared" si="42"/>
        <v>-1.23416323121884</v>
      </c>
      <c r="AW348" s="45">
        <f t="shared" si="43"/>
        <v>3</v>
      </c>
      <c r="AX348" s="45">
        <f t="shared" si="44"/>
        <v>1</v>
      </c>
      <c r="AY348" s="46">
        <f>VLOOKUP(AP348,COND!$A$10:$B$32,2,FALSE)</f>
        <v>0.9</v>
      </c>
      <c r="AZ348" s="44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27.390443661373375</v>
      </c>
      <c r="BA348" s="47">
        <f>STANDARDIZE(AZ348,AVERAGE($AZ$5:$AZ$663),STDEVP($AZ$5:$AZ$663))</f>
        <v>-0.71331022077663409</v>
      </c>
      <c r="BB348" s="45" t="str">
        <f t="shared" si="45"/>
        <v>SP</v>
      </c>
      <c r="BC348" s="45">
        <f>RANK(Table3[[#This Row],[zScore]],Table3[zScore])</f>
        <v>604</v>
      </c>
      <c r="BD348" s="45"/>
      <c r="BE348" s="45"/>
      <c r="BF348" s="45" t="str">
        <f t="shared" si="46"/>
        <v>Unlikely</v>
      </c>
      <c r="BG348" s="45"/>
      <c r="BH348" s="45" t="str">
        <f>INDEX(Table5[[#All],[Ovr]],MATCH(Table3[[#This Row],[PID]],Table5[[#All],[PID]],0))</f>
        <v/>
      </c>
      <c r="BI348" s="45" t="str">
        <f>INDEX(Table5[[#All],[Rnd]],MATCH(Table3[[#This Row],[PID]],Table5[[#All],[PID]],0))</f>
        <v/>
      </c>
      <c r="BJ348" s="45" t="str">
        <f>INDEX(Table5[[#All],[Pick]],MATCH(Table3[[#This Row],[PID]],Table5[[#All],[PID]],0))</f>
        <v/>
      </c>
      <c r="BK348" s="45" t="str">
        <f>INDEX(Table5[[#All],[Team]],MATCH(Table3[[#This Row],[PID]],Table5[[#All],[PID]],0))</f>
        <v/>
      </c>
      <c r="BL3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49" spans="1:64" ht="15" customHeight="1" x14ac:dyDescent="0.25">
      <c r="A349" s="40">
        <v>9065</v>
      </c>
      <c r="B349" s="40" t="s">
        <v>415</v>
      </c>
      <c r="C349" s="40" t="s">
        <v>1136</v>
      </c>
      <c r="D349" s="40" t="s">
        <v>566</v>
      </c>
      <c r="E349" s="40">
        <v>22</v>
      </c>
      <c r="F349" s="40" t="s">
        <v>62</v>
      </c>
      <c r="G349" s="40" t="s">
        <v>42</v>
      </c>
      <c r="H349" s="41" t="s">
        <v>647</v>
      </c>
      <c r="I349" s="42" t="s">
        <v>43</v>
      </c>
      <c r="J349" s="40" t="s">
        <v>44</v>
      </c>
      <c r="K349" s="41" t="s">
        <v>43</v>
      </c>
      <c r="L349" s="40">
        <v>2</v>
      </c>
      <c r="M349" s="40">
        <v>2</v>
      </c>
      <c r="N349" s="41">
        <v>1</v>
      </c>
      <c r="O349" s="40">
        <v>3</v>
      </c>
      <c r="P349" s="40">
        <v>2</v>
      </c>
      <c r="Q349" s="41">
        <v>3</v>
      </c>
      <c r="R349" s="40">
        <v>3</v>
      </c>
      <c r="S349" s="40">
        <v>4</v>
      </c>
      <c r="T349" s="40">
        <v>1</v>
      </c>
      <c r="U349" s="40">
        <v>1</v>
      </c>
      <c r="V349" s="40">
        <v>2</v>
      </c>
      <c r="W349" s="40">
        <v>4</v>
      </c>
      <c r="X349" s="40" t="s">
        <v>45</v>
      </c>
      <c r="Y349" s="40" t="s">
        <v>45</v>
      </c>
      <c r="Z349" s="40" t="s">
        <v>45</v>
      </c>
      <c r="AA349" s="40" t="s">
        <v>45</v>
      </c>
      <c r="AB349" s="40" t="s">
        <v>45</v>
      </c>
      <c r="AC349" s="40" t="s">
        <v>45</v>
      </c>
      <c r="AD349" s="40" t="s">
        <v>45</v>
      </c>
      <c r="AE349" s="40" t="s">
        <v>45</v>
      </c>
      <c r="AF349" s="40" t="s">
        <v>45</v>
      </c>
      <c r="AG349" s="40" t="s">
        <v>45</v>
      </c>
      <c r="AH349" s="40" t="s">
        <v>45</v>
      </c>
      <c r="AI349" s="40" t="s">
        <v>45</v>
      </c>
      <c r="AJ349" s="40" t="s">
        <v>45</v>
      </c>
      <c r="AK349" s="40" t="s">
        <v>45</v>
      </c>
      <c r="AL349" s="40" t="s">
        <v>45</v>
      </c>
      <c r="AM349" s="40" t="s">
        <v>45</v>
      </c>
      <c r="AN349" s="40" t="s">
        <v>45</v>
      </c>
      <c r="AO349" s="41" t="s">
        <v>45</v>
      </c>
      <c r="AP349" s="40" t="s">
        <v>65</v>
      </c>
      <c r="AQ349" s="40">
        <v>8</v>
      </c>
      <c r="AR349" s="48" t="s">
        <v>347</v>
      </c>
      <c r="AS349" s="43" t="s">
        <v>45</v>
      </c>
      <c r="AT349" s="43" t="s">
        <v>47</v>
      </c>
      <c r="AU349" s="44">
        <f t="shared" si="41"/>
        <v>-2.311361197028369</v>
      </c>
      <c r="AV349" s="44">
        <f t="shared" si="42"/>
        <v>-1.1865339896739031</v>
      </c>
      <c r="AW349" s="45">
        <f t="shared" si="43"/>
        <v>3</v>
      </c>
      <c r="AX349" s="45">
        <f t="shared" si="44"/>
        <v>0</v>
      </c>
      <c r="AY349" s="46">
        <f>VLOOKUP(AP349,COND!$A$10:$B$32,2,FALSE)</f>
        <v>0.95</v>
      </c>
      <c r="AZ349" s="44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25.141695568760451</v>
      </c>
      <c r="BA349" s="47">
        <f>STANDARDIZE(AZ349,AVERAGE($AZ$5:$AZ$557),STDEVP($AZ$5:$AZ$557))</f>
        <v>-0.71377269663050324</v>
      </c>
      <c r="BB349" s="45" t="str">
        <f t="shared" si="45"/>
        <v>SP</v>
      </c>
      <c r="BC349" s="45">
        <f>RANK(Table3[[#This Row],[zScore]],Table3[zScore])</f>
        <v>605</v>
      </c>
      <c r="BD349" s="45"/>
      <c r="BE349" s="45"/>
      <c r="BF349" s="45" t="str">
        <f t="shared" si="46"/>
        <v>Unlikely</v>
      </c>
      <c r="BG349" s="45"/>
      <c r="BH349" s="45" t="str">
        <f>INDEX(Table5[[#All],[Ovr]],MATCH(Table3[[#This Row],[PID]],Table5[[#All],[PID]],0))</f>
        <v/>
      </c>
      <c r="BI349" s="45" t="str">
        <f>INDEX(Table5[[#All],[Rnd]],MATCH(Table3[[#This Row],[PID]],Table5[[#All],[PID]],0))</f>
        <v/>
      </c>
      <c r="BJ349" s="45" t="str">
        <f>INDEX(Table5[[#All],[Pick]],MATCH(Table3[[#This Row],[PID]],Table5[[#All],[PID]],0))</f>
        <v/>
      </c>
      <c r="BK349" s="45" t="str">
        <f>INDEX(Table5[[#All],[Team]],MATCH(Table3[[#This Row],[PID]],Table5[[#All],[PID]],0))</f>
        <v/>
      </c>
      <c r="BL3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0" spans="1:64" ht="15" customHeight="1" x14ac:dyDescent="0.25">
      <c r="A350" s="40">
        <v>20735</v>
      </c>
      <c r="B350" s="40" t="s">
        <v>415</v>
      </c>
      <c r="C350" s="40" t="s">
        <v>178</v>
      </c>
      <c r="D350" s="40" t="s">
        <v>157</v>
      </c>
      <c r="E350" s="40">
        <v>18</v>
      </c>
      <c r="F350" s="40" t="s">
        <v>42</v>
      </c>
      <c r="G350" s="40" t="s">
        <v>42</v>
      </c>
      <c r="H350" s="41" t="s">
        <v>647</v>
      </c>
      <c r="I350" s="42" t="s">
        <v>43</v>
      </c>
      <c r="J350" s="40" t="s">
        <v>44</v>
      </c>
      <c r="K350" s="41" t="s">
        <v>44</v>
      </c>
      <c r="L350" s="40">
        <v>2</v>
      </c>
      <c r="M350" s="40">
        <v>2</v>
      </c>
      <c r="N350" s="41">
        <v>1</v>
      </c>
      <c r="O350" s="40">
        <v>4</v>
      </c>
      <c r="P350" s="40">
        <v>2</v>
      </c>
      <c r="Q350" s="41">
        <v>3</v>
      </c>
      <c r="R350" s="40">
        <v>3</v>
      </c>
      <c r="S350" s="40">
        <v>6</v>
      </c>
      <c r="T350" s="40" t="s">
        <v>45</v>
      </c>
      <c r="U350" s="40" t="s">
        <v>45</v>
      </c>
      <c r="V350" s="40" t="s">
        <v>45</v>
      </c>
      <c r="W350" s="40" t="s">
        <v>45</v>
      </c>
      <c r="X350" s="40" t="s">
        <v>45</v>
      </c>
      <c r="Y350" s="40" t="s">
        <v>45</v>
      </c>
      <c r="Z350" s="40" t="s">
        <v>45</v>
      </c>
      <c r="AA350" s="40" t="s">
        <v>45</v>
      </c>
      <c r="AB350" s="40" t="s">
        <v>45</v>
      </c>
      <c r="AC350" s="40" t="s">
        <v>45</v>
      </c>
      <c r="AD350" s="40" t="s">
        <v>45</v>
      </c>
      <c r="AE350" s="40" t="s">
        <v>45</v>
      </c>
      <c r="AF350" s="40">
        <v>3</v>
      </c>
      <c r="AG350" s="40">
        <v>5</v>
      </c>
      <c r="AH350" s="40" t="s">
        <v>45</v>
      </c>
      <c r="AI350" s="40" t="s">
        <v>45</v>
      </c>
      <c r="AJ350" s="40" t="s">
        <v>45</v>
      </c>
      <c r="AK350" s="40" t="s">
        <v>45</v>
      </c>
      <c r="AL350" s="40" t="s">
        <v>45</v>
      </c>
      <c r="AM350" s="40" t="s">
        <v>45</v>
      </c>
      <c r="AN350" s="40" t="s">
        <v>45</v>
      </c>
      <c r="AO350" s="41" t="s">
        <v>45</v>
      </c>
      <c r="AP350" s="40" t="s">
        <v>350</v>
      </c>
      <c r="AQ350" s="40">
        <v>4</v>
      </c>
      <c r="AR350" s="48" t="s">
        <v>347</v>
      </c>
      <c r="AS350" s="43" t="s">
        <v>670</v>
      </c>
      <c r="AT350" s="43" t="s">
        <v>47</v>
      </c>
      <c r="AU350" s="44">
        <f t="shared" si="41"/>
        <v>-2.311361197028369</v>
      </c>
      <c r="AV350" s="44">
        <f t="shared" si="42"/>
        <v>-0.99184266516472974</v>
      </c>
      <c r="AW350" s="45">
        <f t="shared" si="43"/>
        <v>2</v>
      </c>
      <c r="AX350" s="45">
        <f t="shared" si="44"/>
        <v>1</v>
      </c>
      <c r="AY350" s="46">
        <f>VLOOKUP(AP350,COND!$A$10:$B$32,2,FALSE)</f>
        <v>1</v>
      </c>
      <c r="AZ350" s="44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27.253330734434741</v>
      </c>
      <c r="BA350" s="47">
        <f>STANDARDIZE(AZ350,AVERAGE($AZ$5:$AZ$663),STDEVP($AZ$5:$AZ$663))</f>
        <v>-0.72270241592939444</v>
      </c>
      <c r="BB350" s="45" t="str">
        <f t="shared" si="45"/>
        <v>RP</v>
      </c>
      <c r="BC350" s="45">
        <f>RANK(Table3[[#This Row],[zScore]],Table3[zScore])</f>
        <v>609</v>
      </c>
      <c r="BD350" s="45"/>
      <c r="BE350" s="45"/>
      <c r="BF350" s="45" t="str">
        <f t="shared" si="46"/>
        <v>Unlikely</v>
      </c>
      <c r="BG350" s="45"/>
      <c r="BH350" s="45" t="str">
        <f>INDEX(Table5[[#All],[Ovr]],MATCH(Table3[[#This Row],[PID]],Table5[[#All],[PID]],0))</f>
        <v/>
      </c>
      <c r="BI350" s="45" t="str">
        <f>INDEX(Table5[[#All],[Rnd]],MATCH(Table3[[#This Row],[PID]],Table5[[#All],[PID]],0))</f>
        <v/>
      </c>
      <c r="BJ350" s="45" t="str">
        <f>INDEX(Table5[[#All],[Pick]],MATCH(Table3[[#This Row],[PID]],Table5[[#All],[PID]],0))</f>
        <v/>
      </c>
      <c r="BK350" s="45" t="str">
        <f>INDEX(Table5[[#All],[Team]],MATCH(Table3[[#This Row],[PID]],Table5[[#All],[PID]],0))</f>
        <v/>
      </c>
      <c r="BL3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1" spans="1:64" ht="15" customHeight="1" x14ac:dyDescent="0.25">
      <c r="A351" s="40">
        <v>20273</v>
      </c>
      <c r="B351" s="40" t="s">
        <v>415</v>
      </c>
      <c r="C351" s="40" t="s">
        <v>2080</v>
      </c>
      <c r="D351" s="40" t="s">
        <v>2081</v>
      </c>
      <c r="E351" s="40">
        <v>22</v>
      </c>
      <c r="F351" s="40" t="s">
        <v>42</v>
      </c>
      <c r="G351" s="40" t="s">
        <v>42</v>
      </c>
      <c r="H351" s="41" t="s">
        <v>647</v>
      </c>
      <c r="I351" s="42" t="s">
        <v>44</v>
      </c>
      <c r="J351" s="40" t="s">
        <v>44</v>
      </c>
      <c r="K351" s="41" t="s">
        <v>43</v>
      </c>
      <c r="L351" s="40">
        <v>3</v>
      </c>
      <c r="M351" s="40">
        <v>2</v>
      </c>
      <c r="N351" s="41">
        <v>2</v>
      </c>
      <c r="O351" s="40">
        <v>4</v>
      </c>
      <c r="P351" s="40">
        <v>2</v>
      </c>
      <c r="Q351" s="41">
        <v>3</v>
      </c>
      <c r="R351" s="40">
        <v>4</v>
      </c>
      <c r="S351" s="40">
        <v>5</v>
      </c>
      <c r="T351" s="40">
        <v>1</v>
      </c>
      <c r="U351" s="40">
        <v>1</v>
      </c>
      <c r="V351" s="40" t="s">
        <v>45</v>
      </c>
      <c r="W351" s="40" t="s">
        <v>45</v>
      </c>
      <c r="X351" s="40">
        <v>3</v>
      </c>
      <c r="Y351" s="40">
        <v>4</v>
      </c>
      <c r="Z351" s="40" t="s">
        <v>45</v>
      </c>
      <c r="AA351" s="40" t="s">
        <v>45</v>
      </c>
      <c r="AB351" s="40" t="s">
        <v>45</v>
      </c>
      <c r="AC351" s="40" t="s">
        <v>45</v>
      </c>
      <c r="AD351" s="40" t="s">
        <v>45</v>
      </c>
      <c r="AE351" s="40" t="s">
        <v>45</v>
      </c>
      <c r="AF351" s="40">
        <v>3</v>
      </c>
      <c r="AG351" s="40">
        <v>4</v>
      </c>
      <c r="AH351" s="40" t="s">
        <v>45</v>
      </c>
      <c r="AI351" s="40" t="s">
        <v>45</v>
      </c>
      <c r="AJ351" s="40" t="s">
        <v>45</v>
      </c>
      <c r="AK351" s="40" t="s">
        <v>45</v>
      </c>
      <c r="AL351" s="40" t="s">
        <v>45</v>
      </c>
      <c r="AM351" s="40" t="s">
        <v>45</v>
      </c>
      <c r="AN351" s="40" t="s">
        <v>45</v>
      </c>
      <c r="AO351" s="41" t="s">
        <v>45</v>
      </c>
      <c r="AP351" s="40" t="s">
        <v>58</v>
      </c>
      <c r="AQ351" s="40">
        <v>4</v>
      </c>
      <c r="AR351" s="48" t="s">
        <v>347</v>
      </c>
      <c r="AS351" s="43" t="s">
        <v>45</v>
      </c>
      <c r="AT351" s="43" t="s">
        <v>47</v>
      </c>
      <c r="AU351" s="44">
        <f t="shared" si="41"/>
        <v>-1.8743493064650851</v>
      </c>
      <c r="AV351" s="44">
        <f t="shared" si="42"/>
        <v>-0.99184266516472974</v>
      </c>
      <c r="AW351" s="45">
        <f t="shared" si="43"/>
        <v>4</v>
      </c>
      <c r="AX351" s="45">
        <f t="shared" si="44"/>
        <v>0</v>
      </c>
      <c r="AY351" s="46">
        <f>VLOOKUP(AP351,COND!$A$10:$B$32,2,FALSE)</f>
        <v>1</v>
      </c>
      <c r="AZ351" s="44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27.248862993641765</v>
      </c>
      <c r="BA351" s="47">
        <f>STANDARDIZE(AZ351,AVERAGE($AZ$5:$AZ$663),STDEVP($AZ$5:$AZ$663))</f>
        <v>-0.72300845485917642</v>
      </c>
      <c r="BB351" s="45" t="str">
        <f t="shared" si="45"/>
        <v>RP</v>
      </c>
      <c r="BC351" s="45">
        <f>RANK(Table3[[#This Row],[zScore]],Table3[zScore])</f>
        <v>610</v>
      </c>
      <c r="BD351" s="45"/>
      <c r="BE351" s="45"/>
      <c r="BF351" s="45" t="str">
        <f t="shared" si="46"/>
        <v>Unlikely</v>
      </c>
      <c r="BG351" s="45"/>
      <c r="BH351" s="45" t="str">
        <f>INDEX(Table5[[#All],[Ovr]],MATCH(Table3[[#This Row],[PID]],Table5[[#All],[PID]],0))</f>
        <v/>
      </c>
      <c r="BI351" s="45" t="str">
        <f>INDEX(Table5[[#All],[Rnd]],MATCH(Table3[[#This Row],[PID]],Table5[[#All],[PID]],0))</f>
        <v/>
      </c>
      <c r="BJ351" s="45" t="str">
        <f>INDEX(Table5[[#All],[Pick]],MATCH(Table3[[#This Row],[PID]],Table5[[#All],[PID]],0))</f>
        <v/>
      </c>
      <c r="BK351" s="45" t="str">
        <f>INDEX(Table5[[#All],[Team]],MATCH(Table3[[#This Row],[PID]],Table5[[#All],[PID]],0))</f>
        <v/>
      </c>
      <c r="BL3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2" spans="1:64" ht="15" customHeight="1" x14ac:dyDescent="0.25">
      <c r="A352" s="40">
        <v>15739</v>
      </c>
      <c r="B352" s="40" t="s">
        <v>415</v>
      </c>
      <c r="C352" s="40" t="s">
        <v>892</v>
      </c>
      <c r="D352" s="40" t="s">
        <v>591</v>
      </c>
      <c r="E352" s="40">
        <v>22</v>
      </c>
      <c r="F352" s="40" t="s">
        <v>62</v>
      </c>
      <c r="G352" s="40" t="s">
        <v>42</v>
      </c>
      <c r="H352" s="41" t="s">
        <v>647</v>
      </c>
      <c r="I352" s="42" t="s">
        <v>43</v>
      </c>
      <c r="J352" s="40" t="s">
        <v>43</v>
      </c>
      <c r="K352" s="41" t="s">
        <v>43</v>
      </c>
      <c r="L352" s="40">
        <v>2</v>
      </c>
      <c r="M352" s="40">
        <v>2</v>
      </c>
      <c r="N352" s="41">
        <v>1</v>
      </c>
      <c r="O352" s="40">
        <v>4</v>
      </c>
      <c r="P352" s="40">
        <v>2</v>
      </c>
      <c r="Q352" s="41">
        <v>2</v>
      </c>
      <c r="R352" s="40">
        <v>3</v>
      </c>
      <c r="S352" s="40">
        <v>4</v>
      </c>
      <c r="T352" s="40">
        <v>1</v>
      </c>
      <c r="U352" s="40">
        <v>2</v>
      </c>
      <c r="V352" s="40">
        <v>2</v>
      </c>
      <c r="W352" s="40">
        <v>5</v>
      </c>
      <c r="X352" s="40">
        <v>3</v>
      </c>
      <c r="Y352" s="40">
        <v>5</v>
      </c>
      <c r="Z352" s="40" t="s">
        <v>45</v>
      </c>
      <c r="AA352" s="40" t="s">
        <v>45</v>
      </c>
      <c r="AB352" s="40" t="s">
        <v>45</v>
      </c>
      <c r="AC352" s="40" t="s">
        <v>45</v>
      </c>
      <c r="AD352" s="40" t="s">
        <v>45</v>
      </c>
      <c r="AE352" s="40" t="s">
        <v>45</v>
      </c>
      <c r="AF352" s="40" t="s">
        <v>45</v>
      </c>
      <c r="AG352" s="40" t="s">
        <v>45</v>
      </c>
      <c r="AH352" s="40" t="s">
        <v>45</v>
      </c>
      <c r="AI352" s="40" t="s">
        <v>45</v>
      </c>
      <c r="AJ352" s="40" t="s">
        <v>45</v>
      </c>
      <c r="AK352" s="40" t="s">
        <v>45</v>
      </c>
      <c r="AL352" s="40" t="s">
        <v>45</v>
      </c>
      <c r="AM352" s="40" t="s">
        <v>45</v>
      </c>
      <c r="AN352" s="40" t="s">
        <v>45</v>
      </c>
      <c r="AO352" s="41" t="s">
        <v>45</v>
      </c>
      <c r="AP352" s="40" t="s">
        <v>68</v>
      </c>
      <c r="AQ352" s="40">
        <v>10</v>
      </c>
      <c r="AR352" s="48" t="s">
        <v>347</v>
      </c>
      <c r="AS352" s="43" t="s">
        <v>45</v>
      </c>
      <c r="AT352" s="43" t="s">
        <v>47</v>
      </c>
      <c r="AU352" s="44">
        <f t="shared" si="41"/>
        <v>-2.311361197028369</v>
      </c>
      <c r="AV352" s="44">
        <f t="shared" si="42"/>
        <v>-1.23416323121884</v>
      </c>
      <c r="AW352" s="45">
        <f t="shared" si="43"/>
        <v>4</v>
      </c>
      <c r="AX352" s="45">
        <f t="shared" si="44"/>
        <v>0</v>
      </c>
      <c r="AY352" s="46">
        <f>VLOOKUP(AP352,COND!$A$10:$B$32,2,FALSE)</f>
        <v>0.95</v>
      </c>
      <c r="AZ352" s="44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25.011739979406649</v>
      </c>
      <c r="BA352" s="47">
        <f>STANDARDIZE(AZ352,AVERAGE($AZ$5:$AZ$557),STDEVP($AZ$5:$AZ$557))</f>
        <v>-0.72241844340392647</v>
      </c>
      <c r="BB352" s="45" t="str">
        <f t="shared" si="45"/>
        <v>SP</v>
      </c>
      <c r="BC352" s="45">
        <f>RANK(Table3[[#This Row],[zScore]],Table3[zScore])</f>
        <v>608</v>
      </c>
      <c r="BD352" s="45"/>
      <c r="BE352" s="45"/>
      <c r="BF352" s="45" t="str">
        <f t="shared" si="46"/>
        <v>Unlikely</v>
      </c>
      <c r="BG352" s="45"/>
      <c r="BH352" s="45" t="str">
        <f>INDEX(Table5[[#All],[Ovr]],MATCH(Table3[[#This Row],[PID]],Table5[[#All],[PID]],0))</f>
        <v/>
      </c>
      <c r="BI352" s="45" t="str">
        <f>INDEX(Table5[[#All],[Rnd]],MATCH(Table3[[#This Row],[PID]],Table5[[#All],[PID]],0))</f>
        <v/>
      </c>
      <c r="BJ352" s="45" t="str">
        <f>INDEX(Table5[[#All],[Pick]],MATCH(Table3[[#This Row],[PID]],Table5[[#All],[PID]],0))</f>
        <v/>
      </c>
      <c r="BK352" s="45" t="str">
        <f>INDEX(Table5[[#All],[Team]],MATCH(Table3[[#This Row],[PID]],Table5[[#All],[PID]],0))</f>
        <v/>
      </c>
      <c r="BL3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3" spans="1:64" ht="15" customHeight="1" x14ac:dyDescent="0.25">
      <c r="A353" s="40">
        <v>20266</v>
      </c>
      <c r="B353" s="40" t="s">
        <v>415</v>
      </c>
      <c r="C353" s="40" t="s">
        <v>2082</v>
      </c>
      <c r="D353" s="40" t="s">
        <v>2083</v>
      </c>
      <c r="E353" s="40">
        <v>21</v>
      </c>
      <c r="F353" s="40" t="s">
        <v>62</v>
      </c>
      <c r="G353" s="40" t="s">
        <v>42</v>
      </c>
      <c r="H353" s="41" t="s">
        <v>647</v>
      </c>
      <c r="I353" s="42" t="s">
        <v>43</v>
      </c>
      <c r="J353" s="40" t="s">
        <v>43</v>
      </c>
      <c r="K353" s="41" t="s">
        <v>43</v>
      </c>
      <c r="L353" s="40">
        <v>3</v>
      </c>
      <c r="M353" s="40">
        <v>1</v>
      </c>
      <c r="N353" s="41">
        <v>2</v>
      </c>
      <c r="O353" s="40">
        <v>4</v>
      </c>
      <c r="P353" s="40">
        <v>1</v>
      </c>
      <c r="Q353" s="41">
        <v>3</v>
      </c>
      <c r="R353" s="40">
        <v>4</v>
      </c>
      <c r="S353" s="40">
        <v>5</v>
      </c>
      <c r="T353" s="40">
        <v>3</v>
      </c>
      <c r="U353" s="40">
        <v>5</v>
      </c>
      <c r="V353" s="40" t="s">
        <v>45</v>
      </c>
      <c r="W353" s="40" t="s">
        <v>45</v>
      </c>
      <c r="X353" s="40">
        <v>2</v>
      </c>
      <c r="Y353" s="40">
        <v>2</v>
      </c>
      <c r="Z353" s="40" t="s">
        <v>45</v>
      </c>
      <c r="AA353" s="40" t="s">
        <v>45</v>
      </c>
      <c r="AB353" s="40" t="s">
        <v>45</v>
      </c>
      <c r="AC353" s="40" t="s">
        <v>45</v>
      </c>
      <c r="AD353" s="40" t="s">
        <v>45</v>
      </c>
      <c r="AE353" s="40" t="s">
        <v>45</v>
      </c>
      <c r="AF353" s="40">
        <v>3</v>
      </c>
      <c r="AG353" s="40">
        <v>4</v>
      </c>
      <c r="AH353" s="40" t="s">
        <v>45</v>
      </c>
      <c r="AI353" s="40" t="s">
        <v>45</v>
      </c>
      <c r="AJ353" s="40" t="s">
        <v>45</v>
      </c>
      <c r="AK353" s="40" t="s">
        <v>45</v>
      </c>
      <c r="AL353" s="40" t="s">
        <v>45</v>
      </c>
      <c r="AM353" s="40" t="s">
        <v>45</v>
      </c>
      <c r="AN353" s="40" t="s">
        <v>45</v>
      </c>
      <c r="AO353" s="41" t="s">
        <v>45</v>
      </c>
      <c r="AP353" s="40" t="s">
        <v>64</v>
      </c>
      <c r="AQ353" s="40">
        <v>8</v>
      </c>
      <c r="AR353" s="48" t="s">
        <v>14</v>
      </c>
      <c r="AS353" s="43" t="s">
        <v>643</v>
      </c>
      <c r="AT353" s="43" t="s">
        <v>47</v>
      </c>
      <c r="AU353" s="44">
        <f t="shared" si="41"/>
        <v>-2.0697810228951408</v>
      </c>
      <c r="AV353" s="44">
        <f t="shared" si="42"/>
        <v>-1.1872743815947853</v>
      </c>
      <c r="AW353" s="45">
        <f t="shared" si="43"/>
        <v>4</v>
      </c>
      <c r="AX353" s="45">
        <f t="shared" si="44"/>
        <v>0</v>
      </c>
      <c r="AY353" s="46">
        <f>VLOOKUP(AP353,COND!$A$10:$B$32,2,FALSE)</f>
        <v>1</v>
      </c>
      <c r="AZ353" s="44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24.840556163525264</v>
      </c>
      <c r="BA353" s="47">
        <f>STANDARDIZE(AZ353,AVERAGE($AZ$5:$AZ$557),STDEVP($AZ$5:$AZ$557))</f>
        <v>-0.73380704108701234</v>
      </c>
      <c r="BB353" s="45" t="str">
        <f t="shared" si="45"/>
        <v>SP</v>
      </c>
      <c r="BC353" s="45">
        <f>RANK(Table3[[#This Row],[zScore]],Table3[zScore])</f>
        <v>612</v>
      </c>
      <c r="BD353" s="45"/>
      <c r="BE353" s="45"/>
      <c r="BF353" s="45" t="str">
        <f t="shared" si="46"/>
        <v>Unlikely</v>
      </c>
      <c r="BG353" s="45"/>
      <c r="BH353" s="45" t="str">
        <f>INDEX(Table5[[#All],[Ovr]],MATCH(Table3[[#This Row],[PID]],Table5[[#All],[PID]],0))</f>
        <v/>
      </c>
      <c r="BI353" s="45" t="str">
        <f>INDEX(Table5[[#All],[Rnd]],MATCH(Table3[[#This Row],[PID]],Table5[[#All],[PID]],0))</f>
        <v/>
      </c>
      <c r="BJ353" s="45" t="str">
        <f>INDEX(Table5[[#All],[Pick]],MATCH(Table3[[#This Row],[PID]],Table5[[#All],[PID]],0))</f>
        <v/>
      </c>
      <c r="BK353" s="45" t="str">
        <f>INDEX(Table5[[#All],[Team]],MATCH(Table3[[#This Row],[PID]],Table5[[#All],[PID]],0))</f>
        <v/>
      </c>
      <c r="BL3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4" spans="1:64" ht="15" customHeight="1" x14ac:dyDescent="0.25">
      <c r="A354" s="40">
        <v>20581</v>
      </c>
      <c r="B354" s="40" t="s">
        <v>415</v>
      </c>
      <c r="C354" s="40" t="s">
        <v>1765</v>
      </c>
      <c r="D354" s="40" t="s">
        <v>1766</v>
      </c>
      <c r="E354" s="40">
        <v>17</v>
      </c>
      <c r="F354" s="40" t="s">
        <v>53</v>
      </c>
      <c r="G354" s="40" t="s">
        <v>53</v>
      </c>
      <c r="H354" s="41" t="s">
        <v>647</v>
      </c>
      <c r="I354" s="42" t="s">
        <v>43</v>
      </c>
      <c r="J354" s="40" t="s">
        <v>44</v>
      </c>
      <c r="K354" s="41" t="s">
        <v>43</v>
      </c>
      <c r="L354" s="40">
        <v>2</v>
      </c>
      <c r="M354" s="40">
        <v>1</v>
      </c>
      <c r="N354" s="41">
        <v>1</v>
      </c>
      <c r="O354" s="40">
        <v>5</v>
      </c>
      <c r="P354" s="40">
        <v>1</v>
      </c>
      <c r="Q354" s="41">
        <v>3</v>
      </c>
      <c r="R354" s="40">
        <v>4</v>
      </c>
      <c r="S354" s="40">
        <v>5</v>
      </c>
      <c r="T354" s="40" t="s">
        <v>45</v>
      </c>
      <c r="U354" s="40" t="s">
        <v>45</v>
      </c>
      <c r="V354" s="40">
        <v>2</v>
      </c>
      <c r="W354" s="40">
        <v>7</v>
      </c>
      <c r="X354" s="40" t="s">
        <v>45</v>
      </c>
      <c r="Y354" s="40" t="s">
        <v>45</v>
      </c>
      <c r="Z354" s="40" t="s">
        <v>45</v>
      </c>
      <c r="AA354" s="40" t="s">
        <v>45</v>
      </c>
      <c r="AB354" s="40" t="s">
        <v>45</v>
      </c>
      <c r="AC354" s="40" t="s">
        <v>45</v>
      </c>
      <c r="AD354" s="40" t="s">
        <v>45</v>
      </c>
      <c r="AE354" s="40" t="s">
        <v>45</v>
      </c>
      <c r="AF354" s="40" t="s">
        <v>45</v>
      </c>
      <c r="AG354" s="40" t="s">
        <v>45</v>
      </c>
      <c r="AH354" s="40" t="s">
        <v>45</v>
      </c>
      <c r="AI354" s="40" t="s">
        <v>45</v>
      </c>
      <c r="AJ354" s="40" t="s">
        <v>45</v>
      </c>
      <c r="AK354" s="40" t="s">
        <v>45</v>
      </c>
      <c r="AL354" s="40" t="s">
        <v>45</v>
      </c>
      <c r="AM354" s="40" t="s">
        <v>45</v>
      </c>
      <c r="AN354" s="40" t="s">
        <v>45</v>
      </c>
      <c r="AO354" s="41" t="s">
        <v>45</v>
      </c>
      <c r="AP354" s="40" t="s">
        <v>350</v>
      </c>
      <c r="AQ354" s="40">
        <v>8</v>
      </c>
      <c r="AR354" s="48" t="s">
        <v>14</v>
      </c>
      <c r="AS354" s="43" t="s">
        <v>563</v>
      </c>
      <c r="AT354" s="43"/>
      <c r="AU354" s="44">
        <f t="shared" si="41"/>
        <v>-2.5067929134584248</v>
      </c>
      <c r="AV354" s="44">
        <f t="shared" si="42"/>
        <v>-0.99258305708561179</v>
      </c>
      <c r="AW354" s="45">
        <f t="shared" si="43"/>
        <v>2</v>
      </c>
      <c r="AX354" s="45">
        <f t="shared" si="44"/>
        <v>1</v>
      </c>
      <c r="AY354" s="46">
        <f>VLOOKUP(AP354,COND!$A$10:$B$32,2,FALSE)</f>
        <v>1</v>
      </c>
      <c r="AZ354" s="44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26.596980275596078</v>
      </c>
      <c r="BA354" s="47">
        <f>STANDARDIZE(AZ354,AVERAGE($AZ$5:$AZ$788),STDEVP($AZ$5:$AZ$788))</f>
        <v>-0.73683057044908129</v>
      </c>
      <c r="BB354" s="45" t="str">
        <f t="shared" si="45"/>
        <v>RP</v>
      </c>
      <c r="BC354" s="45">
        <f>RANK(Table3[[#This Row],[zScore]],Table3[zScore])</f>
        <v>614</v>
      </c>
      <c r="BD354" s="45"/>
      <c r="BE354" s="45"/>
      <c r="BF354" s="45" t="str">
        <f t="shared" si="46"/>
        <v>Unlikely</v>
      </c>
      <c r="BG354" s="45"/>
      <c r="BH354" s="64" t="str">
        <f>INDEX(Table5[[#All],[Ovr]],MATCH(Table3[[#This Row],[PID]],Table5[[#All],[PID]],0))</f>
        <v/>
      </c>
      <c r="BI354" s="64" t="str">
        <f>INDEX(Table5[[#All],[Rnd]],MATCH(Table3[[#This Row],[PID]],Table5[[#All],[PID]],0))</f>
        <v/>
      </c>
      <c r="BJ354" s="64" t="str">
        <f>INDEX(Table5[[#All],[Pick]],MATCH(Table3[[#This Row],[PID]],Table5[[#All],[PID]],0))</f>
        <v/>
      </c>
      <c r="BK354" s="64" t="str">
        <f>INDEX(Table5[[#All],[Team]],MATCH(Table3[[#This Row],[PID]],Table5[[#All],[PID]],0))</f>
        <v/>
      </c>
      <c r="BL354" s="64" t="str">
        <f>IF(OR(Table3[[#This Row],[POS]]="SP",Table3[[#This Row],[POS]]="RP",Table3[[#This Row],[POS]]="CL"),"P",INDEX(Batters[[#All],[zScore]],MATCH(Table3[[#This Row],[PID]],Batters[[#All],[PID]],0)))</f>
        <v>P</v>
      </c>
    </row>
    <row r="355" spans="1:64" ht="15" customHeight="1" x14ac:dyDescent="0.25">
      <c r="A355" s="40">
        <v>17960</v>
      </c>
      <c r="B355" s="40" t="s">
        <v>415</v>
      </c>
      <c r="C355" s="40" t="s">
        <v>172</v>
      </c>
      <c r="D355" s="40" t="s">
        <v>143</v>
      </c>
      <c r="E355" s="40">
        <v>21</v>
      </c>
      <c r="F355" s="40" t="s">
        <v>53</v>
      </c>
      <c r="G355" s="40" t="s">
        <v>53</v>
      </c>
      <c r="H355" s="41" t="s">
        <v>647</v>
      </c>
      <c r="I355" s="42" t="s">
        <v>43</v>
      </c>
      <c r="J355" s="40" t="s">
        <v>44</v>
      </c>
      <c r="K355" s="41" t="s">
        <v>47</v>
      </c>
      <c r="L355" s="40">
        <v>2</v>
      </c>
      <c r="M355" s="40">
        <v>2</v>
      </c>
      <c r="N355" s="41">
        <v>1</v>
      </c>
      <c r="O355" s="40">
        <v>3</v>
      </c>
      <c r="P355" s="40">
        <v>2</v>
      </c>
      <c r="Q355" s="41">
        <v>3</v>
      </c>
      <c r="R355" s="40">
        <v>3</v>
      </c>
      <c r="S355" s="40">
        <v>4</v>
      </c>
      <c r="T355" s="40">
        <v>1</v>
      </c>
      <c r="U355" s="40">
        <v>1</v>
      </c>
      <c r="V355" s="40">
        <v>2</v>
      </c>
      <c r="W355" s="40">
        <v>3</v>
      </c>
      <c r="X355" s="40" t="s">
        <v>45</v>
      </c>
      <c r="Y355" s="40" t="s">
        <v>45</v>
      </c>
      <c r="Z355" s="40" t="s">
        <v>45</v>
      </c>
      <c r="AA355" s="40" t="s">
        <v>45</v>
      </c>
      <c r="AB355" s="40">
        <v>3</v>
      </c>
      <c r="AC355" s="40">
        <v>4</v>
      </c>
      <c r="AD355" s="40" t="s">
        <v>45</v>
      </c>
      <c r="AE355" s="40" t="s">
        <v>45</v>
      </c>
      <c r="AF355" s="40" t="s">
        <v>45</v>
      </c>
      <c r="AG355" s="40" t="s">
        <v>45</v>
      </c>
      <c r="AH355" s="40" t="s">
        <v>45</v>
      </c>
      <c r="AI355" s="40" t="s">
        <v>45</v>
      </c>
      <c r="AJ355" s="40" t="s">
        <v>45</v>
      </c>
      <c r="AK355" s="40" t="s">
        <v>45</v>
      </c>
      <c r="AL355" s="40" t="s">
        <v>45</v>
      </c>
      <c r="AM355" s="40" t="s">
        <v>45</v>
      </c>
      <c r="AN355" s="40" t="s">
        <v>45</v>
      </c>
      <c r="AO355" s="41" t="s">
        <v>45</v>
      </c>
      <c r="AP355" s="40" t="s">
        <v>64</v>
      </c>
      <c r="AQ355" s="40">
        <v>8</v>
      </c>
      <c r="AR355" s="48" t="s">
        <v>347</v>
      </c>
      <c r="AS355" s="43" t="s">
        <v>45</v>
      </c>
      <c r="AT355" s="43" t="s">
        <v>47</v>
      </c>
      <c r="AU355" s="44">
        <f t="shared" si="41"/>
        <v>-2.311361197028369</v>
      </c>
      <c r="AV355" s="44">
        <f t="shared" si="42"/>
        <v>-1.1865339896739031</v>
      </c>
      <c r="AW355" s="45">
        <f t="shared" si="43"/>
        <v>4</v>
      </c>
      <c r="AX355" s="45">
        <f t="shared" si="44"/>
        <v>0</v>
      </c>
      <c r="AY355" s="46">
        <f>VLOOKUP(AP355,COND!$A$10:$B$32,2,FALSE)</f>
        <v>1</v>
      </c>
      <c r="AZ355" s="44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24.807047967116265</v>
      </c>
      <c r="BA355" s="47">
        <f>STANDARDIZE(AZ355,AVERAGE($AZ$5:$AZ$557),STDEVP($AZ$5:$AZ$557))</f>
        <v>-0.73603629018993189</v>
      </c>
      <c r="BB355" s="45" t="str">
        <f t="shared" si="45"/>
        <v>SP</v>
      </c>
      <c r="BC355" s="45">
        <f>RANK(Table3[[#This Row],[zScore]],Table3[zScore])</f>
        <v>613</v>
      </c>
      <c r="BD355" s="45"/>
      <c r="BE355" s="45"/>
      <c r="BF355" s="45" t="str">
        <f t="shared" si="46"/>
        <v>Unlikely</v>
      </c>
      <c r="BG355" s="45"/>
      <c r="BH355" s="45" t="str">
        <f>INDEX(Table5[[#All],[Ovr]],MATCH(Table3[[#This Row],[PID]],Table5[[#All],[PID]],0))</f>
        <v/>
      </c>
      <c r="BI355" s="45" t="str">
        <f>INDEX(Table5[[#All],[Rnd]],MATCH(Table3[[#This Row],[PID]],Table5[[#All],[PID]],0))</f>
        <v/>
      </c>
      <c r="BJ355" s="45" t="str">
        <f>INDEX(Table5[[#All],[Pick]],MATCH(Table3[[#This Row],[PID]],Table5[[#All],[PID]],0))</f>
        <v/>
      </c>
      <c r="BK355" s="45" t="str">
        <f>INDEX(Table5[[#All],[Team]],MATCH(Table3[[#This Row],[PID]],Table5[[#All],[PID]],0))</f>
        <v/>
      </c>
      <c r="BL3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6" spans="1:64" ht="15" customHeight="1" x14ac:dyDescent="0.25">
      <c r="A356" s="40">
        <v>12587</v>
      </c>
      <c r="B356" s="40" t="s">
        <v>415</v>
      </c>
      <c r="C356" s="40" t="s">
        <v>881</v>
      </c>
      <c r="D356" s="40" t="s">
        <v>790</v>
      </c>
      <c r="E356" s="40">
        <v>22</v>
      </c>
      <c r="F356" s="40" t="s">
        <v>53</v>
      </c>
      <c r="G356" s="40" t="s">
        <v>42</v>
      </c>
      <c r="H356" s="41" t="s">
        <v>647</v>
      </c>
      <c r="I356" s="42" t="s">
        <v>43</v>
      </c>
      <c r="J356" s="40" t="s">
        <v>43</v>
      </c>
      <c r="K356" s="41" t="s">
        <v>43</v>
      </c>
      <c r="L356" s="40">
        <v>2</v>
      </c>
      <c r="M356" s="40">
        <v>2</v>
      </c>
      <c r="N356" s="41">
        <v>2</v>
      </c>
      <c r="O356" s="40">
        <v>3</v>
      </c>
      <c r="P356" s="40">
        <v>2</v>
      </c>
      <c r="Q356" s="41">
        <v>3</v>
      </c>
      <c r="R356" s="40">
        <v>3</v>
      </c>
      <c r="S356" s="40">
        <v>4</v>
      </c>
      <c r="T356" s="40">
        <v>3</v>
      </c>
      <c r="U356" s="40">
        <v>4</v>
      </c>
      <c r="V356" s="40">
        <v>2</v>
      </c>
      <c r="W356" s="40">
        <v>4</v>
      </c>
      <c r="X356" s="40" t="s">
        <v>45</v>
      </c>
      <c r="Y356" s="40" t="s">
        <v>45</v>
      </c>
      <c r="Z356" s="40" t="s">
        <v>45</v>
      </c>
      <c r="AA356" s="40" t="s">
        <v>45</v>
      </c>
      <c r="AB356" s="40" t="s">
        <v>45</v>
      </c>
      <c r="AC356" s="40" t="s">
        <v>45</v>
      </c>
      <c r="AD356" s="40" t="s">
        <v>45</v>
      </c>
      <c r="AE356" s="40" t="s">
        <v>45</v>
      </c>
      <c r="AF356" s="40">
        <v>3</v>
      </c>
      <c r="AG356" s="40">
        <v>4</v>
      </c>
      <c r="AH356" s="40" t="s">
        <v>45</v>
      </c>
      <c r="AI356" s="40" t="s">
        <v>45</v>
      </c>
      <c r="AJ356" s="40" t="s">
        <v>45</v>
      </c>
      <c r="AK356" s="40" t="s">
        <v>45</v>
      </c>
      <c r="AL356" s="40" t="s">
        <v>45</v>
      </c>
      <c r="AM356" s="40" t="s">
        <v>45</v>
      </c>
      <c r="AN356" s="40" t="s">
        <v>45</v>
      </c>
      <c r="AO356" s="41" t="s">
        <v>45</v>
      </c>
      <c r="AP356" s="40" t="s">
        <v>68</v>
      </c>
      <c r="AQ356" s="40">
        <v>6</v>
      </c>
      <c r="AR356" s="48" t="s">
        <v>347</v>
      </c>
      <c r="AS356" s="43" t="s">
        <v>45</v>
      </c>
      <c r="AT356" s="43"/>
      <c r="AU356" s="44">
        <f t="shared" si="41"/>
        <v>-2.0690406309742588</v>
      </c>
      <c r="AV356" s="44">
        <f t="shared" si="42"/>
        <v>-1.1865339896739031</v>
      </c>
      <c r="AW356" s="45">
        <f t="shared" si="43"/>
        <v>4</v>
      </c>
      <c r="AX356" s="45">
        <f t="shared" si="44"/>
        <v>0</v>
      </c>
      <c r="AY356" s="46">
        <f>VLOOKUP(AP356,COND!$A$10:$B$32,2,FALSE)</f>
        <v>0.95</v>
      </c>
      <c r="AZ356" s="44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26.488668064402965</v>
      </c>
      <c r="BA356" s="47">
        <f>STANDARDIZE(AZ356,AVERAGE($AZ$5:$AZ$788),STDEVP($AZ$5:$AZ$788))</f>
        <v>-0.74466830908789272</v>
      </c>
      <c r="BB356" s="45" t="str">
        <f t="shared" si="45"/>
        <v>SP</v>
      </c>
      <c r="BC356" s="45">
        <f>RANK(Table3[[#This Row],[zScore]],Table3[zScore])</f>
        <v>616</v>
      </c>
      <c r="BD356" s="45"/>
      <c r="BE356" s="45"/>
      <c r="BF356" s="45" t="str">
        <f t="shared" si="46"/>
        <v>Unlikely</v>
      </c>
      <c r="BG356" s="45"/>
      <c r="BH356" s="64" t="str">
        <f>INDEX(Table5[[#All],[Ovr]],MATCH(Table3[[#This Row],[PID]],Table5[[#All],[PID]],0))</f>
        <v/>
      </c>
      <c r="BI356" s="64" t="str">
        <f>INDEX(Table5[[#All],[Rnd]],MATCH(Table3[[#This Row],[PID]],Table5[[#All],[PID]],0))</f>
        <v/>
      </c>
      <c r="BJ356" s="64" t="str">
        <f>INDEX(Table5[[#All],[Pick]],MATCH(Table3[[#This Row],[PID]],Table5[[#All],[PID]],0))</f>
        <v/>
      </c>
      <c r="BK356" s="64" t="str">
        <f>INDEX(Table5[[#All],[Team]],MATCH(Table3[[#This Row],[PID]],Table5[[#All],[PID]],0))</f>
        <v/>
      </c>
      <c r="BL356" s="64" t="str">
        <f>IF(OR(Table3[[#This Row],[POS]]="SP",Table3[[#This Row],[POS]]="RP",Table3[[#This Row],[POS]]="CL"),"P",INDEX(Batters[[#All],[zScore]],MATCH(Table3[[#This Row],[PID]],Batters[[#All],[PID]],0)))</f>
        <v>P</v>
      </c>
    </row>
    <row r="357" spans="1:64" ht="15" customHeight="1" x14ac:dyDescent="0.25">
      <c r="A357" s="40">
        <v>17776</v>
      </c>
      <c r="B357" s="40" t="s">
        <v>415</v>
      </c>
      <c r="C357" s="40" t="s">
        <v>2212</v>
      </c>
      <c r="D357" s="40" t="s">
        <v>605</v>
      </c>
      <c r="E357" s="40">
        <v>21</v>
      </c>
      <c r="F357" s="40" t="s">
        <v>53</v>
      </c>
      <c r="G357" s="40" t="s">
        <v>53</v>
      </c>
      <c r="H357" s="41" t="s">
        <v>647</v>
      </c>
      <c r="I357" s="42" t="s">
        <v>47</v>
      </c>
      <c r="J357" s="40" t="s">
        <v>43</v>
      </c>
      <c r="K357" s="41" t="s">
        <v>43</v>
      </c>
      <c r="L357" s="40">
        <v>2</v>
      </c>
      <c r="M357" s="40">
        <v>1</v>
      </c>
      <c r="N357" s="41">
        <v>2</v>
      </c>
      <c r="O357" s="40">
        <v>3</v>
      </c>
      <c r="P357" s="40">
        <v>1</v>
      </c>
      <c r="Q357" s="41">
        <v>4</v>
      </c>
      <c r="R357" s="40">
        <v>3</v>
      </c>
      <c r="S357" s="40">
        <v>4</v>
      </c>
      <c r="T357" s="40">
        <v>1</v>
      </c>
      <c r="U357" s="40">
        <v>1</v>
      </c>
      <c r="V357" s="40">
        <v>2</v>
      </c>
      <c r="W357" s="40">
        <v>4</v>
      </c>
      <c r="X357" s="40">
        <v>2</v>
      </c>
      <c r="Y357" s="40">
        <v>4</v>
      </c>
      <c r="Z357" s="40" t="s">
        <v>45</v>
      </c>
      <c r="AA357" s="40" t="s">
        <v>45</v>
      </c>
      <c r="AB357" s="40" t="s">
        <v>45</v>
      </c>
      <c r="AC357" s="40" t="s">
        <v>45</v>
      </c>
      <c r="AD357" s="40" t="s">
        <v>45</v>
      </c>
      <c r="AE357" s="40" t="s">
        <v>45</v>
      </c>
      <c r="AF357" s="40">
        <v>3</v>
      </c>
      <c r="AG357" s="40">
        <v>4</v>
      </c>
      <c r="AH357" s="40" t="s">
        <v>45</v>
      </c>
      <c r="AI357" s="40" t="s">
        <v>45</v>
      </c>
      <c r="AJ357" s="40" t="s">
        <v>45</v>
      </c>
      <c r="AK357" s="40" t="s">
        <v>45</v>
      </c>
      <c r="AL357" s="40" t="s">
        <v>45</v>
      </c>
      <c r="AM357" s="40" t="s">
        <v>45</v>
      </c>
      <c r="AN357" s="40" t="s">
        <v>45</v>
      </c>
      <c r="AO357" s="41" t="s">
        <v>45</v>
      </c>
      <c r="AP357" s="40" t="s">
        <v>349</v>
      </c>
      <c r="AQ357" s="40">
        <v>7</v>
      </c>
      <c r="AR357" s="48" t="s">
        <v>14</v>
      </c>
      <c r="AS357" s="43" t="s">
        <v>45</v>
      </c>
      <c r="AT357" s="43"/>
      <c r="AU357" s="44">
        <f t="shared" si="41"/>
        <v>-2.2644723474043147</v>
      </c>
      <c r="AV357" s="44">
        <f t="shared" si="42"/>
        <v>-1.1396451400498482</v>
      </c>
      <c r="AW357" s="45">
        <f t="shared" si="43"/>
        <v>5</v>
      </c>
      <c r="AX357" s="45">
        <f t="shared" si="44"/>
        <v>0</v>
      </c>
      <c r="AY357" s="46">
        <f>VLOOKUP(AP357,COND!$A$10:$B$32,2,FALSE)</f>
        <v>1</v>
      </c>
      <c r="AZ357" s="44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26.479202729522171</v>
      </c>
      <c r="BA357" s="47">
        <f>STANDARDIZE(AZ357,AVERAGE($AZ$5:$AZ$788),STDEVP($AZ$5:$AZ$788))</f>
        <v>-0.74535324405604897</v>
      </c>
      <c r="BB357" s="45" t="str">
        <f t="shared" si="45"/>
        <v>SP</v>
      </c>
      <c r="BC357" s="45">
        <f>RANK(Table3[[#This Row],[zScore]],Table3[zScore])</f>
        <v>617</v>
      </c>
      <c r="BD357" s="45"/>
      <c r="BE357" s="45"/>
      <c r="BF357" s="45" t="str">
        <f t="shared" si="46"/>
        <v>Unlikely</v>
      </c>
      <c r="BG357" s="45"/>
      <c r="BH357" s="64" t="str">
        <f>INDEX(Table5[[#All],[Ovr]],MATCH(Table3[[#This Row],[PID]],Table5[[#All],[PID]],0))</f>
        <v/>
      </c>
      <c r="BI357" s="64" t="str">
        <f>INDEX(Table5[[#All],[Rnd]],MATCH(Table3[[#This Row],[PID]],Table5[[#All],[PID]],0))</f>
        <v/>
      </c>
      <c r="BJ357" s="64" t="str">
        <f>INDEX(Table5[[#All],[Pick]],MATCH(Table3[[#This Row],[PID]],Table5[[#All],[PID]],0))</f>
        <v/>
      </c>
      <c r="BK357" s="64" t="str">
        <f>INDEX(Table5[[#All],[Team]],MATCH(Table3[[#This Row],[PID]],Table5[[#All],[PID]],0))</f>
        <v/>
      </c>
      <c r="BL357" s="64" t="str">
        <f>IF(OR(Table3[[#This Row],[POS]]="SP",Table3[[#This Row],[POS]]="RP",Table3[[#This Row],[POS]]="CL"),"P",INDEX(Batters[[#All],[zScore]],MATCH(Table3[[#This Row],[PID]],Batters[[#All],[PID]],0)))</f>
        <v>P</v>
      </c>
    </row>
    <row r="358" spans="1:64" ht="15" customHeight="1" x14ac:dyDescent="0.25">
      <c r="A358" s="40">
        <v>20193</v>
      </c>
      <c r="B358" s="40" t="s">
        <v>415</v>
      </c>
      <c r="C358" s="40" t="s">
        <v>2135</v>
      </c>
      <c r="D358" s="40" t="s">
        <v>2136</v>
      </c>
      <c r="E358" s="40">
        <v>22</v>
      </c>
      <c r="F358" s="40" t="s">
        <v>42</v>
      </c>
      <c r="G358" s="40" t="s">
        <v>42</v>
      </c>
      <c r="H358" s="41" t="s">
        <v>647</v>
      </c>
      <c r="I358" s="42" t="s">
        <v>43</v>
      </c>
      <c r="J358" s="40" t="s">
        <v>44</v>
      </c>
      <c r="K358" s="41" t="s">
        <v>43</v>
      </c>
      <c r="L358" s="40">
        <v>5</v>
      </c>
      <c r="M358" s="40">
        <v>1</v>
      </c>
      <c r="N358" s="41">
        <v>1</v>
      </c>
      <c r="O358" s="40">
        <v>6</v>
      </c>
      <c r="P358" s="40">
        <v>1</v>
      </c>
      <c r="Q358" s="41">
        <v>1</v>
      </c>
      <c r="R358" s="40">
        <v>6</v>
      </c>
      <c r="S358" s="40">
        <v>7</v>
      </c>
      <c r="T358" s="40">
        <v>1</v>
      </c>
      <c r="U358" s="40">
        <v>2</v>
      </c>
      <c r="V358" s="40" t="s">
        <v>45</v>
      </c>
      <c r="W358" s="40" t="s">
        <v>45</v>
      </c>
      <c r="X358" s="40">
        <v>6</v>
      </c>
      <c r="Y358" s="40">
        <v>8</v>
      </c>
      <c r="Z358" s="40" t="s">
        <v>45</v>
      </c>
      <c r="AA358" s="40" t="s">
        <v>45</v>
      </c>
      <c r="AB358" s="40" t="s">
        <v>45</v>
      </c>
      <c r="AC358" s="40" t="s">
        <v>45</v>
      </c>
      <c r="AD358" s="40" t="s">
        <v>45</v>
      </c>
      <c r="AE358" s="40" t="s">
        <v>45</v>
      </c>
      <c r="AF358" s="40" t="s">
        <v>45</v>
      </c>
      <c r="AG358" s="40" t="s">
        <v>45</v>
      </c>
      <c r="AH358" s="40" t="s">
        <v>45</v>
      </c>
      <c r="AI358" s="40" t="s">
        <v>45</v>
      </c>
      <c r="AJ358" s="40" t="s">
        <v>45</v>
      </c>
      <c r="AK358" s="40" t="s">
        <v>45</v>
      </c>
      <c r="AL358" s="40" t="s">
        <v>45</v>
      </c>
      <c r="AM358" s="40" t="s">
        <v>45</v>
      </c>
      <c r="AN358" s="40" t="s">
        <v>45</v>
      </c>
      <c r="AO358" s="41" t="s">
        <v>45</v>
      </c>
      <c r="AP358" s="40" t="s">
        <v>54</v>
      </c>
      <c r="AQ358" s="40">
        <v>5</v>
      </c>
      <c r="AR358" s="48" t="s">
        <v>14</v>
      </c>
      <c r="AS358" s="43" t="s">
        <v>45</v>
      </c>
      <c r="AT358" s="43" t="s">
        <v>47</v>
      </c>
      <c r="AU358" s="44">
        <f t="shared" si="41"/>
        <v>-1.9227189399309039</v>
      </c>
      <c r="AV358" s="44">
        <f t="shared" si="42"/>
        <v>-1.2825328646846588</v>
      </c>
      <c r="AW358" s="45">
        <f t="shared" si="43"/>
        <v>3</v>
      </c>
      <c r="AX358" s="45">
        <f t="shared" si="44"/>
        <v>2</v>
      </c>
      <c r="AY358" s="46">
        <f>VLOOKUP(AP358,COND!$A$10:$B$32,2,FALSE)</f>
        <v>1.0249999999999999</v>
      </c>
      <c r="AZ358" s="44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24.678570918996694</v>
      </c>
      <c r="BA358" s="47">
        <f>STANDARDIZE(AZ358,AVERAGE($AZ$5:$AZ$557),STDEVP($AZ$5:$AZ$557))</f>
        <v>-0.74458367187441366</v>
      </c>
      <c r="BB358" s="45" t="str">
        <f t="shared" si="45"/>
        <v>SP</v>
      </c>
      <c r="BC358" s="45">
        <f>RANK(Table3[[#This Row],[zScore]],Table3[zScore])</f>
        <v>615</v>
      </c>
      <c r="BD358" s="45"/>
      <c r="BE358" s="45"/>
      <c r="BF358" s="45" t="str">
        <f t="shared" si="46"/>
        <v>Unlikely</v>
      </c>
      <c r="BG358" s="45"/>
      <c r="BH358" s="45" t="str">
        <f>INDEX(Table5[[#All],[Ovr]],MATCH(Table3[[#This Row],[PID]],Table5[[#All],[PID]],0))</f>
        <v/>
      </c>
      <c r="BI358" s="45" t="str">
        <f>INDEX(Table5[[#All],[Rnd]],MATCH(Table3[[#This Row],[PID]],Table5[[#All],[PID]],0))</f>
        <v/>
      </c>
      <c r="BJ358" s="45" t="str">
        <f>INDEX(Table5[[#All],[Pick]],MATCH(Table3[[#This Row],[PID]],Table5[[#All],[PID]],0))</f>
        <v/>
      </c>
      <c r="BK358" s="45" t="str">
        <f>INDEX(Table5[[#All],[Team]],MATCH(Table3[[#This Row],[PID]],Table5[[#All],[PID]],0))</f>
        <v/>
      </c>
      <c r="BL3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59" spans="1:64" ht="15" customHeight="1" x14ac:dyDescent="0.25">
      <c r="A359" s="40">
        <v>10014</v>
      </c>
      <c r="B359" s="40" t="s">
        <v>415</v>
      </c>
      <c r="C359" s="40" t="s">
        <v>983</v>
      </c>
      <c r="D359" s="40" t="s">
        <v>152</v>
      </c>
      <c r="E359" s="40">
        <v>22</v>
      </c>
      <c r="F359" s="40" t="s">
        <v>53</v>
      </c>
      <c r="G359" s="40" t="s">
        <v>42</v>
      </c>
      <c r="H359" s="41" t="s">
        <v>647</v>
      </c>
      <c r="I359" s="42" t="s">
        <v>43</v>
      </c>
      <c r="J359" s="40" t="s">
        <v>47</v>
      </c>
      <c r="K359" s="41" t="s">
        <v>43</v>
      </c>
      <c r="L359" s="40">
        <v>2</v>
      </c>
      <c r="M359" s="40">
        <v>1</v>
      </c>
      <c r="N359" s="41">
        <v>2</v>
      </c>
      <c r="O359" s="40">
        <v>4</v>
      </c>
      <c r="P359" s="40">
        <v>1</v>
      </c>
      <c r="Q359" s="41">
        <v>3</v>
      </c>
      <c r="R359" s="40">
        <v>4</v>
      </c>
      <c r="S359" s="40">
        <v>5</v>
      </c>
      <c r="T359" s="40" t="s">
        <v>45</v>
      </c>
      <c r="U359" s="40" t="s">
        <v>45</v>
      </c>
      <c r="V359" s="40">
        <v>3</v>
      </c>
      <c r="W359" s="40">
        <v>6</v>
      </c>
      <c r="X359" s="40">
        <v>2</v>
      </c>
      <c r="Y359" s="40">
        <v>4</v>
      </c>
      <c r="Z359" s="40" t="s">
        <v>45</v>
      </c>
      <c r="AA359" s="40" t="s">
        <v>45</v>
      </c>
      <c r="AB359" s="40" t="s">
        <v>45</v>
      </c>
      <c r="AC359" s="40" t="s">
        <v>45</v>
      </c>
      <c r="AD359" s="40" t="s">
        <v>45</v>
      </c>
      <c r="AE359" s="40" t="s">
        <v>45</v>
      </c>
      <c r="AF359" s="40" t="s">
        <v>45</v>
      </c>
      <c r="AG359" s="40" t="s">
        <v>45</v>
      </c>
      <c r="AH359" s="40" t="s">
        <v>45</v>
      </c>
      <c r="AI359" s="40" t="s">
        <v>45</v>
      </c>
      <c r="AJ359" s="40" t="s">
        <v>45</v>
      </c>
      <c r="AK359" s="40" t="s">
        <v>45</v>
      </c>
      <c r="AL359" s="40" t="s">
        <v>45</v>
      </c>
      <c r="AM359" s="40" t="s">
        <v>45</v>
      </c>
      <c r="AN359" s="40" t="s">
        <v>45</v>
      </c>
      <c r="AO359" s="41" t="s">
        <v>45</v>
      </c>
      <c r="AP359" s="40" t="s">
        <v>350</v>
      </c>
      <c r="AQ359" s="40">
        <v>6</v>
      </c>
      <c r="AR359" s="48" t="s">
        <v>351</v>
      </c>
      <c r="AS359" s="43" t="s">
        <v>45</v>
      </c>
      <c r="AT359" s="43"/>
      <c r="AU359" s="44">
        <f t="shared" si="41"/>
        <v>-2.2644723474043147</v>
      </c>
      <c r="AV359" s="44">
        <f t="shared" si="42"/>
        <v>-1.1872743815947853</v>
      </c>
      <c r="AW359" s="45">
        <f t="shared" si="43"/>
        <v>3</v>
      </c>
      <c r="AX359" s="45">
        <f t="shared" si="44"/>
        <v>1</v>
      </c>
      <c r="AY359" s="46">
        <f>VLOOKUP(AP359,COND!$A$10:$B$32,2,FALSE)</f>
        <v>1</v>
      </c>
      <c r="AZ359" s="44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26.387827451157847</v>
      </c>
      <c r="BA359" s="47">
        <f>STANDARDIZE(AZ359,AVERAGE($AZ$5:$AZ$788),STDEVP($AZ$5:$AZ$788))</f>
        <v>-0.75196538447843708</v>
      </c>
      <c r="BB359" s="45" t="str">
        <f t="shared" si="45"/>
        <v>SP</v>
      </c>
      <c r="BC359" s="45">
        <f>RANK(Table3[[#This Row],[zScore]],Table3[zScore])</f>
        <v>618</v>
      </c>
      <c r="BD359" s="45"/>
      <c r="BE359" s="45"/>
      <c r="BF359" s="45" t="str">
        <f t="shared" si="46"/>
        <v>Unlikely</v>
      </c>
      <c r="BG359" s="45"/>
      <c r="BH359" s="64" t="str">
        <f>INDEX(Table5[[#All],[Ovr]],MATCH(Table3[[#This Row],[PID]],Table5[[#All],[PID]],0))</f>
        <v/>
      </c>
      <c r="BI359" s="64" t="str">
        <f>INDEX(Table5[[#All],[Rnd]],MATCH(Table3[[#This Row],[PID]],Table5[[#All],[PID]],0))</f>
        <v/>
      </c>
      <c r="BJ359" s="64" t="str">
        <f>INDEX(Table5[[#All],[Pick]],MATCH(Table3[[#This Row],[PID]],Table5[[#All],[PID]],0))</f>
        <v/>
      </c>
      <c r="BK359" s="64" t="str">
        <f>INDEX(Table5[[#All],[Team]],MATCH(Table3[[#This Row],[PID]],Table5[[#All],[PID]],0))</f>
        <v/>
      </c>
      <c r="BL359" s="64" t="str">
        <f>IF(OR(Table3[[#This Row],[POS]]="SP",Table3[[#This Row],[POS]]="RP",Table3[[#This Row],[POS]]="CL"),"P",INDEX(Batters[[#All],[zScore]],MATCH(Table3[[#This Row],[PID]],Batters[[#All],[PID]],0)))</f>
        <v>P</v>
      </c>
    </row>
    <row r="360" spans="1:64" ht="15" customHeight="1" x14ac:dyDescent="0.25">
      <c r="A360" s="40">
        <v>17842</v>
      </c>
      <c r="B360" s="40" t="s">
        <v>415</v>
      </c>
      <c r="C360" s="40" t="s">
        <v>1959</v>
      </c>
      <c r="D360" s="40" t="s">
        <v>1960</v>
      </c>
      <c r="E360" s="40">
        <v>18</v>
      </c>
      <c r="F360" s="40" t="s">
        <v>42</v>
      </c>
      <c r="G360" s="40" t="s">
        <v>42</v>
      </c>
      <c r="H360" s="41" t="s">
        <v>647</v>
      </c>
      <c r="I360" s="42" t="s">
        <v>43</v>
      </c>
      <c r="J360" s="40" t="s">
        <v>44</v>
      </c>
      <c r="K360" s="41" t="s">
        <v>44</v>
      </c>
      <c r="L360" s="40">
        <v>1</v>
      </c>
      <c r="M360" s="40">
        <v>2</v>
      </c>
      <c r="N360" s="41">
        <v>1</v>
      </c>
      <c r="O360" s="40">
        <v>2</v>
      </c>
      <c r="P360" s="40">
        <v>2</v>
      </c>
      <c r="Q360" s="41">
        <v>3</v>
      </c>
      <c r="R360" s="40">
        <v>2</v>
      </c>
      <c r="S360" s="40">
        <v>3</v>
      </c>
      <c r="T360" s="40">
        <v>1</v>
      </c>
      <c r="U360" s="40">
        <v>3</v>
      </c>
      <c r="V360" s="40" t="s">
        <v>45</v>
      </c>
      <c r="W360" s="40" t="s">
        <v>45</v>
      </c>
      <c r="X360" s="40">
        <v>1</v>
      </c>
      <c r="Y360" s="40">
        <v>3</v>
      </c>
      <c r="Z360" s="40" t="s">
        <v>45</v>
      </c>
      <c r="AA360" s="40" t="s">
        <v>45</v>
      </c>
      <c r="AB360" s="40" t="s">
        <v>45</v>
      </c>
      <c r="AC360" s="40" t="s">
        <v>45</v>
      </c>
      <c r="AD360" s="40" t="s">
        <v>45</v>
      </c>
      <c r="AE360" s="40" t="s">
        <v>45</v>
      </c>
      <c r="AF360" s="40" t="s">
        <v>45</v>
      </c>
      <c r="AG360" s="40" t="s">
        <v>45</v>
      </c>
      <c r="AH360" s="40" t="s">
        <v>45</v>
      </c>
      <c r="AI360" s="40" t="s">
        <v>45</v>
      </c>
      <c r="AJ360" s="40" t="s">
        <v>45</v>
      </c>
      <c r="AK360" s="40" t="s">
        <v>45</v>
      </c>
      <c r="AL360" s="40" t="s">
        <v>45</v>
      </c>
      <c r="AM360" s="40" t="s">
        <v>45</v>
      </c>
      <c r="AN360" s="40" t="s">
        <v>45</v>
      </c>
      <c r="AO360" s="41" t="s">
        <v>45</v>
      </c>
      <c r="AP360" s="40" t="s">
        <v>68</v>
      </c>
      <c r="AQ360" s="40">
        <v>6</v>
      </c>
      <c r="AR360" s="48" t="s">
        <v>347</v>
      </c>
      <c r="AS360" s="43" t="s">
        <v>656</v>
      </c>
      <c r="AT360" s="43" t="s">
        <v>635</v>
      </c>
      <c r="AU360" s="44">
        <f t="shared" si="41"/>
        <v>-2.5060525215375429</v>
      </c>
      <c r="AV360" s="44">
        <f t="shared" si="42"/>
        <v>-1.3812253141830766</v>
      </c>
      <c r="AW360" s="45">
        <f t="shared" si="43"/>
        <v>3</v>
      </c>
      <c r="AX360" s="45">
        <f t="shared" si="44"/>
        <v>0</v>
      </c>
      <c r="AY360" s="46">
        <f>VLOOKUP(AP360,COND!$A$10:$B$32,2,FALSE)</f>
        <v>0.95</v>
      </c>
      <c r="AZ360" s="44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26.737929825143677</v>
      </c>
      <c r="BA360" s="47">
        <f>STANDARDIZE(AZ360,AVERAGE($AZ$5:$AZ$663),STDEVP($AZ$5:$AZ$663))</f>
        <v>-0.75800722657017594</v>
      </c>
      <c r="BB360" s="45" t="str">
        <f t="shared" si="45"/>
        <v>SP</v>
      </c>
      <c r="BC360" s="45">
        <f>RANK(Table3[[#This Row],[zScore]],Table3[zScore])</f>
        <v>622</v>
      </c>
      <c r="BD360" s="45"/>
      <c r="BE360" s="45"/>
      <c r="BF360" s="45" t="str">
        <f t="shared" si="46"/>
        <v>Unlikely</v>
      </c>
      <c r="BG360" s="45"/>
      <c r="BH360" s="45" t="str">
        <f>INDEX(Table5[[#All],[Ovr]],MATCH(Table3[[#This Row],[PID]],Table5[[#All],[PID]],0))</f>
        <v/>
      </c>
      <c r="BI360" s="45" t="str">
        <f>INDEX(Table5[[#All],[Rnd]],MATCH(Table3[[#This Row],[PID]],Table5[[#All],[PID]],0))</f>
        <v/>
      </c>
      <c r="BJ360" s="45" t="str">
        <f>INDEX(Table5[[#All],[Pick]],MATCH(Table3[[#This Row],[PID]],Table5[[#All],[PID]],0))</f>
        <v/>
      </c>
      <c r="BK360" s="45" t="str">
        <f>INDEX(Table5[[#All],[Team]],MATCH(Table3[[#This Row],[PID]],Table5[[#All],[PID]],0))</f>
        <v/>
      </c>
      <c r="BL36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1" spans="1:64" ht="15" customHeight="1" x14ac:dyDescent="0.25">
      <c r="A361" s="40">
        <v>8317</v>
      </c>
      <c r="B361" s="40" t="s">
        <v>415</v>
      </c>
      <c r="C361" s="40" t="s">
        <v>1058</v>
      </c>
      <c r="D361" s="40" t="s">
        <v>1059</v>
      </c>
      <c r="E361" s="40">
        <v>22</v>
      </c>
      <c r="F361" s="40" t="s">
        <v>62</v>
      </c>
      <c r="G361" s="40" t="s">
        <v>42</v>
      </c>
      <c r="H361" s="41" t="s">
        <v>647</v>
      </c>
      <c r="I361" s="42" t="s">
        <v>44</v>
      </c>
      <c r="J361" s="40" t="s">
        <v>44</v>
      </c>
      <c r="K361" s="41" t="s">
        <v>43</v>
      </c>
      <c r="L361" s="40">
        <v>2</v>
      </c>
      <c r="M361" s="40">
        <v>2</v>
      </c>
      <c r="N361" s="41">
        <v>2</v>
      </c>
      <c r="O361" s="40">
        <v>4</v>
      </c>
      <c r="P361" s="40">
        <v>2</v>
      </c>
      <c r="Q361" s="41">
        <v>3</v>
      </c>
      <c r="R361" s="40">
        <v>3</v>
      </c>
      <c r="S361" s="40">
        <v>5</v>
      </c>
      <c r="T361" s="40">
        <v>1</v>
      </c>
      <c r="U361" s="40">
        <v>1</v>
      </c>
      <c r="V361" s="40" t="s">
        <v>45</v>
      </c>
      <c r="W361" s="40" t="s">
        <v>45</v>
      </c>
      <c r="X361" s="40" t="s">
        <v>45</v>
      </c>
      <c r="Y361" s="40" t="s">
        <v>45</v>
      </c>
      <c r="Z361" s="40">
        <v>3</v>
      </c>
      <c r="AA361" s="40">
        <v>4</v>
      </c>
      <c r="AB361" s="40" t="s">
        <v>45</v>
      </c>
      <c r="AC361" s="40" t="s">
        <v>45</v>
      </c>
      <c r="AD361" s="40" t="s">
        <v>45</v>
      </c>
      <c r="AE361" s="40" t="s">
        <v>45</v>
      </c>
      <c r="AF361" s="40" t="s">
        <v>45</v>
      </c>
      <c r="AG361" s="40" t="s">
        <v>45</v>
      </c>
      <c r="AH361" s="40" t="s">
        <v>45</v>
      </c>
      <c r="AI361" s="40" t="s">
        <v>45</v>
      </c>
      <c r="AJ361" s="40" t="s">
        <v>45</v>
      </c>
      <c r="AK361" s="40" t="s">
        <v>45</v>
      </c>
      <c r="AL361" s="40" t="s">
        <v>45</v>
      </c>
      <c r="AM361" s="40" t="s">
        <v>45</v>
      </c>
      <c r="AN361" s="40" t="s">
        <v>45</v>
      </c>
      <c r="AO361" s="41" t="s">
        <v>45</v>
      </c>
      <c r="AP361" s="40" t="s">
        <v>64</v>
      </c>
      <c r="AQ361" s="40">
        <v>3</v>
      </c>
      <c r="AR361" s="48" t="s">
        <v>347</v>
      </c>
      <c r="AS361" s="43" t="s">
        <v>45</v>
      </c>
      <c r="AT361" s="43" t="s">
        <v>47</v>
      </c>
      <c r="AU361" s="44">
        <f t="shared" si="41"/>
        <v>-2.0690406309742588</v>
      </c>
      <c r="AV361" s="44">
        <f t="shared" si="42"/>
        <v>-0.99184266516472974</v>
      </c>
      <c r="AW361" s="45">
        <f t="shared" si="43"/>
        <v>3</v>
      </c>
      <c r="AX361" s="45">
        <f t="shared" si="44"/>
        <v>0</v>
      </c>
      <c r="AY361" s="46">
        <f>VLOOKUP(AP361,COND!$A$10:$B$32,2,FALSE)</f>
        <v>1</v>
      </c>
      <c r="AZ361" s="44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26.736871641985026</v>
      </c>
      <c r="BA361" s="47">
        <f>STANDARDIZE(AZ361,AVERAGE($AZ$5:$AZ$663),STDEVP($AZ$5:$AZ$663))</f>
        <v>-0.75807971180519584</v>
      </c>
      <c r="BB361" s="45" t="str">
        <f t="shared" si="45"/>
        <v>RP</v>
      </c>
      <c r="BC361" s="45">
        <f>RANK(Table3[[#This Row],[zScore]],Table3[zScore])</f>
        <v>623</v>
      </c>
      <c r="BD361" s="45"/>
      <c r="BE361" s="45"/>
      <c r="BF361" s="45" t="str">
        <f t="shared" si="46"/>
        <v>Unlikely</v>
      </c>
      <c r="BG361" s="45"/>
      <c r="BH361" s="45" t="str">
        <f>INDEX(Table5[[#All],[Ovr]],MATCH(Table3[[#This Row],[PID]],Table5[[#All],[PID]],0))</f>
        <v/>
      </c>
      <c r="BI361" s="45" t="str">
        <f>INDEX(Table5[[#All],[Rnd]],MATCH(Table3[[#This Row],[PID]],Table5[[#All],[PID]],0))</f>
        <v/>
      </c>
      <c r="BJ361" s="45" t="str">
        <f>INDEX(Table5[[#All],[Pick]],MATCH(Table3[[#This Row],[PID]],Table5[[#All],[PID]],0))</f>
        <v/>
      </c>
      <c r="BK361" s="45" t="str">
        <f>INDEX(Table5[[#All],[Team]],MATCH(Table3[[#This Row],[PID]],Table5[[#All],[PID]],0))</f>
        <v/>
      </c>
      <c r="BL3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2" spans="1:64" ht="15" customHeight="1" x14ac:dyDescent="0.25">
      <c r="A362" s="40">
        <v>12519</v>
      </c>
      <c r="B362" s="40" t="s">
        <v>415</v>
      </c>
      <c r="C362" s="40" t="s">
        <v>1135</v>
      </c>
      <c r="D362" s="40" t="s">
        <v>372</v>
      </c>
      <c r="E362" s="40">
        <v>22</v>
      </c>
      <c r="F362" s="40" t="s">
        <v>53</v>
      </c>
      <c r="G362" s="40" t="s">
        <v>42</v>
      </c>
      <c r="H362" s="41" t="s">
        <v>647</v>
      </c>
      <c r="I362" s="42" t="s">
        <v>43</v>
      </c>
      <c r="J362" s="40" t="s">
        <v>43</v>
      </c>
      <c r="K362" s="41" t="s">
        <v>43</v>
      </c>
      <c r="L362" s="40">
        <v>3</v>
      </c>
      <c r="M362" s="40">
        <v>2</v>
      </c>
      <c r="N362" s="41">
        <v>2</v>
      </c>
      <c r="O362" s="40">
        <v>4</v>
      </c>
      <c r="P362" s="40">
        <v>2</v>
      </c>
      <c r="Q362" s="41">
        <v>2</v>
      </c>
      <c r="R362" s="40">
        <v>4</v>
      </c>
      <c r="S362" s="40">
        <v>5</v>
      </c>
      <c r="T362" s="40">
        <v>1</v>
      </c>
      <c r="U362" s="40">
        <v>1</v>
      </c>
      <c r="V362" s="40" t="s">
        <v>45</v>
      </c>
      <c r="W362" s="40" t="s">
        <v>45</v>
      </c>
      <c r="X362" s="40" t="s">
        <v>45</v>
      </c>
      <c r="Y362" s="40" t="s">
        <v>45</v>
      </c>
      <c r="Z362" s="40" t="s">
        <v>45</v>
      </c>
      <c r="AA362" s="40" t="s">
        <v>45</v>
      </c>
      <c r="AB362" s="40" t="s">
        <v>45</v>
      </c>
      <c r="AC362" s="40" t="s">
        <v>45</v>
      </c>
      <c r="AD362" s="40">
        <v>3</v>
      </c>
      <c r="AE362" s="40">
        <v>4</v>
      </c>
      <c r="AF362" s="40">
        <v>3</v>
      </c>
      <c r="AG362" s="40">
        <v>4</v>
      </c>
      <c r="AH362" s="40" t="s">
        <v>45</v>
      </c>
      <c r="AI362" s="40" t="s">
        <v>45</v>
      </c>
      <c r="AJ362" s="40" t="s">
        <v>45</v>
      </c>
      <c r="AK362" s="40" t="s">
        <v>45</v>
      </c>
      <c r="AL362" s="40" t="s">
        <v>45</v>
      </c>
      <c r="AM362" s="40" t="s">
        <v>45</v>
      </c>
      <c r="AN362" s="40" t="s">
        <v>45</v>
      </c>
      <c r="AO362" s="41" t="s">
        <v>45</v>
      </c>
      <c r="AP362" s="40" t="s">
        <v>350</v>
      </c>
      <c r="AQ362" s="40">
        <v>6</v>
      </c>
      <c r="AR362" s="48" t="s">
        <v>347</v>
      </c>
      <c r="AS362" s="43" t="s">
        <v>45</v>
      </c>
      <c r="AT362" s="43" t="s">
        <v>47</v>
      </c>
      <c r="AU362" s="44">
        <f t="shared" si="41"/>
        <v>-1.8743493064650851</v>
      </c>
      <c r="AV362" s="44">
        <f t="shared" si="42"/>
        <v>-1.23416323121884</v>
      </c>
      <c r="AW362" s="45">
        <f t="shared" si="43"/>
        <v>4</v>
      </c>
      <c r="AX362" s="45">
        <f t="shared" si="44"/>
        <v>0</v>
      </c>
      <c r="AY362" s="46">
        <f>VLOOKUP(AP362,COND!$A$10:$B$32,2,FALSE)</f>
        <v>1</v>
      </c>
      <c r="AZ362" s="44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24.518318876471927</v>
      </c>
      <c r="BA362" s="47">
        <f>STANDARDIZE(AZ362,AVERAGE($AZ$5:$AZ$557),STDEVP($AZ$5:$AZ$557))</f>
        <v>-0.7552449953810233</v>
      </c>
      <c r="BB362" s="45" t="str">
        <f t="shared" si="45"/>
        <v>SP</v>
      </c>
      <c r="BC362" s="45">
        <f>RANK(Table3[[#This Row],[zScore]],Table3[zScore])</f>
        <v>620</v>
      </c>
      <c r="BD362" s="45"/>
      <c r="BE362" s="45"/>
      <c r="BF362" s="45" t="str">
        <f t="shared" si="46"/>
        <v>Unlikely</v>
      </c>
      <c r="BG362" s="45"/>
      <c r="BH362" s="45" t="str">
        <f>INDEX(Table5[[#All],[Ovr]],MATCH(Table3[[#This Row],[PID]],Table5[[#All],[PID]],0))</f>
        <v/>
      </c>
      <c r="BI362" s="45" t="str">
        <f>INDEX(Table5[[#All],[Rnd]],MATCH(Table3[[#This Row],[PID]],Table5[[#All],[PID]],0))</f>
        <v/>
      </c>
      <c r="BJ362" s="45" t="str">
        <f>INDEX(Table5[[#All],[Pick]],MATCH(Table3[[#This Row],[PID]],Table5[[#All],[PID]],0))</f>
        <v/>
      </c>
      <c r="BK362" s="45" t="str">
        <f>INDEX(Table5[[#All],[Team]],MATCH(Table3[[#This Row],[PID]],Table5[[#All],[PID]],0))</f>
        <v/>
      </c>
      <c r="BL3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3" spans="1:64" ht="15" customHeight="1" x14ac:dyDescent="0.25">
      <c r="A363" s="40">
        <v>5564</v>
      </c>
      <c r="B363" s="40" t="s">
        <v>415</v>
      </c>
      <c r="C363" s="40" t="s">
        <v>1123</v>
      </c>
      <c r="D363" s="40" t="s">
        <v>200</v>
      </c>
      <c r="E363" s="40">
        <v>22</v>
      </c>
      <c r="F363" s="40" t="s">
        <v>42</v>
      </c>
      <c r="G363" s="40" t="s">
        <v>42</v>
      </c>
      <c r="H363" s="41" t="s">
        <v>647</v>
      </c>
      <c r="I363" s="42" t="s">
        <v>43</v>
      </c>
      <c r="J363" s="40" t="s">
        <v>44</v>
      </c>
      <c r="K363" s="41" t="s">
        <v>43</v>
      </c>
      <c r="L363" s="40">
        <v>2</v>
      </c>
      <c r="M363" s="40">
        <v>1</v>
      </c>
      <c r="N363" s="41">
        <v>1</v>
      </c>
      <c r="O363" s="40">
        <v>3</v>
      </c>
      <c r="P363" s="40">
        <v>1</v>
      </c>
      <c r="Q363" s="41">
        <v>3</v>
      </c>
      <c r="R363" s="40">
        <v>3</v>
      </c>
      <c r="S363" s="40">
        <v>4</v>
      </c>
      <c r="T363" s="40">
        <v>1</v>
      </c>
      <c r="U363" s="40">
        <v>1</v>
      </c>
      <c r="V363" s="40" t="s">
        <v>45</v>
      </c>
      <c r="W363" s="40" t="s">
        <v>45</v>
      </c>
      <c r="X363" s="40" t="s">
        <v>45</v>
      </c>
      <c r="Y363" s="40" t="s">
        <v>45</v>
      </c>
      <c r="Z363" s="40" t="s">
        <v>45</v>
      </c>
      <c r="AA363" s="40" t="s">
        <v>45</v>
      </c>
      <c r="AB363" s="40" t="s">
        <v>45</v>
      </c>
      <c r="AC363" s="40" t="s">
        <v>45</v>
      </c>
      <c r="AD363" s="40" t="s">
        <v>45</v>
      </c>
      <c r="AE363" s="40" t="s">
        <v>45</v>
      </c>
      <c r="AF363" s="40" t="s">
        <v>45</v>
      </c>
      <c r="AG363" s="40" t="s">
        <v>45</v>
      </c>
      <c r="AH363" s="40" t="s">
        <v>45</v>
      </c>
      <c r="AI363" s="40" t="s">
        <v>45</v>
      </c>
      <c r="AJ363" s="40" t="s">
        <v>45</v>
      </c>
      <c r="AK363" s="40" t="s">
        <v>45</v>
      </c>
      <c r="AL363" s="40">
        <v>3</v>
      </c>
      <c r="AM363" s="40">
        <v>6</v>
      </c>
      <c r="AN363" s="40" t="s">
        <v>45</v>
      </c>
      <c r="AO363" s="41" t="s">
        <v>45</v>
      </c>
      <c r="AP363" s="40" t="s">
        <v>67</v>
      </c>
      <c r="AQ363" s="40">
        <v>5</v>
      </c>
      <c r="AR363" s="48" t="s">
        <v>14</v>
      </c>
      <c r="AS363" s="43" t="s">
        <v>45</v>
      </c>
      <c r="AT363" s="43" t="s">
        <v>47</v>
      </c>
      <c r="AU363" s="44">
        <f t="shared" si="41"/>
        <v>-2.5067929134584248</v>
      </c>
      <c r="AV363" s="44">
        <f t="shared" si="42"/>
        <v>-1.3819657061039585</v>
      </c>
      <c r="AW363" s="45">
        <f t="shared" si="43"/>
        <v>3</v>
      </c>
      <c r="AX363" s="45">
        <f t="shared" si="44"/>
        <v>1</v>
      </c>
      <c r="AY363" s="46">
        <f>VLOOKUP(AP363,COND!$A$10:$B$32,2,FALSE)</f>
        <v>0.9</v>
      </c>
      <c r="AZ363" s="44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24.419684701563572</v>
      </c>
      <c r="BA363" s="47">
        <f>STANDARDIZE(AZ363,AVERAGE($AZ$5:$AZ$557),STDEVP($AZ$5:$AZ$557))</f>
        <v>-0.76180697631392136</v>
      </c>
      <c r="BB363" s="45" t="str">
        <f t="shared" si="45"/>
        <v>SP</v>
      </c>
      <c r="BC363" s="45">
        <f>RANK(Table3[[#This Row],[zScore]],Table3[zScore])</f>
        <v>625</v>
      </c>
      <c r="BD363" s="45"/>
      <c r="BE363" s="45"/>
      <c r="BF363" s="45" t="str">
        <f t="shared" si="46"/>
        <v>Unlikely</v>
      </c>
      <c r="BG363" s="45"/>
      <c r="BH363" s="45" t="str">
        <f>INDEX(Table5[[#All],[Ovr]],MATCH(Table3[[#This Row],[PID]],Table5[[#All],[PID]],0))</f>
        <v/>
      </c>
      <c r="BI363" s="45" t="str">
        <f>INDEX(Table5[[#All],[Rnd]],MATCH(Table3[[#This Row],[PID]],Table5[[#All],[PID]],0))</f>
        <v/>
      </c>
      <c r="BJ363" s="45" t="str">
        <f>INDEX(Table5[[#All],[Pick]],MATCH(Table3[[#This Row],[PID]],Table5[[#All],[PID]],0))</f>
        <v/>
      </c>
      <c r="BK363" s="45" t="str">
        <f>INDEX(Table5[[#All],[Team]],MATCH(Table3[[#This Row],[PID]],Table5[[#All],[PID]],0))</f>
        <v/>
      </c>
      <c r="BL3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4" spans="1:64" ht="15" customHeight="1" x14ac:dyDescent="0.25">
      <c r="A364" s="40">
        <v>17816</v>
      </c>
      <c r="B364" s="40" t="s">
        <v>415</v>
      </c>
      <c r="C364" s="40" t="s">
        <v>1111</v>
      </c>
      <c r="D364" s="40" t="s">
        <v>1112</v>
      </c>
      <c r="E364" s="40">
        <v>22</v>
      </c>
      <c r="F364" s="40" t="s">
        <v>42</v>
      </c>
      <c r="G364" s="40" t="s">
        <v>53</v>
      </c>
      <c r="H364" s="41" t="s">
        <v>647</v>
      </c>
      <c r="I364" s="42" t="s">
        <v>47</v>
      </c>
      <c r="J364" s="40" t="s">
        <v>47</v>
      </c>
      <c r="K364" s="41" t="s">
        <v>43</v>
      </c>
      <c r="L364" s="40">
        <v>4</v>
      </c>
      <c r="M364" s="40">
        <v>1</v>
      </c>
      <c r="N364" s="41">
        <v>3</v>
      </c>
      <c r="O364" s="40">
        <v>4</v>
      </c>
      <c r="P364" s="40">
        <v>1</v>
      </c>
      <c r="Q364" s="41">
        <v>3</v>
      </c>
      <c r="R364" s="40">
        <v>4</v>
      </c>
      <c r="S364" s="40">
        <v>5</v>
      </c>
      <c r="T364" s="40">
        <v>5</v>
      </c>
      <c r="U364" s="40">
        <v>6</v>
      </c>
      <c r="V364" s="40">
        <v>3</v>
      </c>
      <c r="W364" s="40">
        <v>5</v>
      </c>
      <c r="X364" s="40" t="s">
        <v>45</v>
      </c>
      <c r="Y364" s="40" t="s">
        <v>45</v>
      </c>
      <c r="Z364" s="40" t="s">
        <v>45</v>
      </c>
      <c r="AA364" s="40" t="s">
        <v>45</v>
      </c>
      <c r="AB364" s="40" t="s">
        <v>45</v>
      </c>
      <c r="AC364" s="40" t="s">
        <v>45</v>
      </c>
      <c r="AD364" s="40" t="s">
        <v>45</v>
      </c>
      <c r="AE364" s="40" t="s">
        <v>45</v>
      </c>
      <c r="AF364" s="40" t="s">
        <v>45</v>
      </c>
      <c r="AG364" s="40" t="s">
        <v>45</v>
      </c>
      <c r="AH364" s="40" t="s">
        <v>45</v>
      </c>
      <c r="AI364" s="40" t="s">
        <v>45</v>
      </c>
      <c r="AJ364" s="40" t="s">
        <v>45</v>
      </c>
      <c r="AK364" s="40" t="s">
        <v>45</v>
      </c>
      <c r="AL364" s="40" t="s">
        <v>45</v>
      </c>
      <c r="AM364" s="40" t="s">
        <v>45</v>
      </c>
      <c r="AN364" s="40" t="s">
        <v>45</v>
      </c>
      <c r="AO364" s="41" t="s">
        <v>45</v>
      </c>
      <c r="AP364" s="40" t="s">
        <v>349</v>
      </c>
      <c r="AQ364" s="40">
        <v>7</v>
      </c>
      <c r="AR364" s="48" t="s">
        <v>347</v>
      </c>
      <c r="AS364" s="43" t="s">
        <v>45</v>
      </c>
      <c r="AT364" s="43"/>
      <c r="AU364" s="44">
        <f t="shared" si="41"/>
        <v>-1.6327691323318567</v>
      </c>
      <c r="AV364" s="44">
        <f t="shared" si="42"/>
        <v>-1.1872743815947853</v>
      </c>
      <c r="AW364" s="45">
        <f t="shared" si="43"/>
        <v>3</v>
      </c>
      <c r="AX364" s="45">
        <f t="shared" si="44"/>
        <v>1</v>
      </c>
      <c r="AY364" s="46">
        <f>VLOOKUP(AP364,COND!$A$10:$B$32,2,FALSE)</f>
        <v>1</v>
      </c>
      <c r="AZ364" s="44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26.202958541637923</v>
      </c>
      <c r="BA364" s="47">
        <f>STANDARDIZE(AZ364,AVERAGE($AZ$5:$AZ$788),STDEVP($AZ$5:$AZ$788))</f>
        <v>-0.76534295455385426</v>
      </c>
      <c r="BB364" s="45" t="str">
        <f t="shared" si="45"/>
        <v>SP</v>
      </c>
      <c r="BC364" s="45">
        <f>RANK(Table3[[#This Row],[zScore]],Table3[zScore])</f>
        <v>626</v>
      </c>
      <c r="BD364" s="45"/>
      <c r="BE364" s="45"/>
      <c r="BF364" s="45" t="str">
        <f t="shared" si="46"/>
        <v>Unlikely</v>
      </c>
      <c r="BG364" s="45"/>
      <c r="BH364" s="64" t="str">
        <f>INDEX(Table5[[#All],[Ovr]],MATCH(Table3[[#This Row],[PID]],Table5[[#All],[PID]],0))</f>
        <v/>
      </c>
      <c r="BI364" s="64" t="str">
        <f>INDEX(Table5[[#All],[Rnd]],MATCH(Table3[[#This Row],[PID]],Table5[[#All],[PID]],0))</f>
        <v/>
      </c>
      <c r="BJ364" s="64" t="str">
        <f>INDEX(Table5[[#All],[Pick]],MATCH(Table3[[#This Row],[PID]],Table5[[#All],[PID]],0))</f>
        <v/>
      </c>
      <c r="BK364" s="64" t="str">
        <f>INDEX(Table5[[#All],[Team]],MATCH(Table3[[#This Row],[PID]],Table5[[#All],[PID]],0))</f>
        <v/>
      </c>
      <c r="BL364" s="64" t="str">
        <f>IF(OR(Table3[[#This Row],[POS]]="SP",Table3[[#This Row],[POS]]="RP",Table3[[#This Row],[POS]]="CL"),"P",INDEX(Batters[[#All],[zScore]],MATCH(Table3[[#This Row],[PID]],Batters[[#All],[PID]],0)))</f>
        <v>P</v>
      </c>
    </row>
    <row r="365" spans="1:64" ht="15" customHeight="1" x14ac:dyDescent="0.25">
      <c r="A365" s="40">
        <v>18019</v>
      </c>
      <c r="B365" s="40" t="s">
        <v>415</v>
      </c>
      <c r="C365" s="40" t="s">
        <v>125</v>
      </c>
      <c r="D365" s="40" t="s">
        <v>570</v>
      </c>
      <c r="E365" s="40">
        <v>21</v>
      </c>
      <c r="F365" s="40" t="s">
        <v>53</v>
      </c>
      <c r="G365" s="40" t="s">
        <v>53</v>
      </c>
      <c r="H365" s="41" t="s">
        <v>647</v>
      </c>
      <c r="I365" s="42" t="s">
        <v>43</v>
      </c>
      <c r="J365" s="40" t="s">
        <v>43</v>
      </c>
      <c r="K365" s="41" t="s">
        <v>43</v>
      </c>
      <c r="L365" s="40">
        <v>2</v>
      </c>
      <c r="M365" s="40">
        <v>2</v>
      </c>
      <c r="N365" s="41">
        <v>1</v>
      </c>
      <c r="O365" s="40">
        <v>4</v>
      </c>
      <c r="P365" s="40">
        <v>2</v>
      </c>
      <c r="Q365" s="41">
        <v>2</v>
      </c>
      <c r="R365" s="40">
        <v>3</v>
      </c>
      <c r="S365" s="40">
        <v>3</v>
      </c>
      <c r="T365" s="40">
        <v>1</v>
      </c>
      <c r="U365" s="40">
        <v>3</v>
      </c>
      <c r="V365" s="40">
        <v>2</v>
      </c>
      <c r="W365" s="40">
        <v>4</v>
      </c>
      <c r="X365" s="40">
        <v>3</v>
      </c>
      <c r="Y365" s="40">
        <v>5</v>
      </c>
      <c r="Z365" s="40" t="s">
        <v>45</v>
      </c>
      <c r="AA365" s="40" t="s">
        <v>45</v>
      </c>
      <c r="AB365" s="40" t="s">
        <v>45</v>
      </c>
      <c r="AC365" s="40" t="s">
        <v>45</v>
      </c>
      <c r="AD365" s="40" t="s">
        <v>45</v>
      </c>
      <c r="AE365" s="40" t="s">
        <v>45</v>
      </c>
      <c r="AF365" s="40">
        <v>3</v>
      </c>
      <c r="AG365" s="40">
        <v>4</v>
      </c>
      <c r="AH365" s="40" t="s">
        <v>45</v>
      </c>
      <c r="AI365" s="40" t="s">
        <v>45</v>
      </c>
      <c r="AJ365" s="40" t="s">
        <v>45</v>
      </c>
      <c r="AK365" s="40" t="s">
        <v>45</v>
      </c>
      <c r="AL365" s="40" t="s">
        <v>45</v>
      </c>
      <c r="AM365" s="40" t="s">
        <v>45</v>
      </c>
      <c r="AN365" s="40" t="s">
        <v>45</v>
      </c>
      <c r="AO365" s="41" t="s">
        <v>45</v>
      </c>
      <c r="AP365" s="40" t="s">
        <v>64</v>
      </c>
      <c r="AQ365" s="40">
        <v>8</v>
      </c>
      <c r="AR365" s="48" t="s">
        <v>347</v>
      </c>
      <c r="AS365" s="43" t="s">
        <v>45</v>
      </c>
      <c r="AT365" s="43" t="s">
        <v>47</v>
      </c>
      <c r="AU365" s="44">
        <f t="shared" si="41"/>
        <v>-2.311361197028369</v>
      </c>
      <c r="AV365" s="44">
        <f t="shared" si="42"/>
        <v>-1.23416323121884</v>
      </c>
      <c r="AW365" s="45">
        <f t="shared" si="43"/>
        <v>5</v>
      </c>
      <c r="AX365" s="45">
        <f t="shared" si="44"/>
        <v>0</v>
      </c>
      <c r="AY365" s="46">
        <f>VLOOKUP(AP365,COND!$A$10:$B$32,2,FALSE)</f>
        <v>1</v>
      </c>
      <c r="AZ365" s="44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24.354463136217525</v>
      </c>
      <c r="BA365" s="47">
        <f>STANDARDIZE(AZ365,AVERAGE($AZ$5:$AZ$557),STDEVP($AZ$5:$AZ$557))</f>
        <v>-0.76614606739074309</v>
      </c>
      <c r="BB365" s="45" t="str">
        <f t="shared" si="45"/>
        <v>SP</v>
      </c>
      <c r="BC365" s="45">
        <f>RANK(Table3[[#This Row],[zScore]],Table3[zScore])</f>
        <v>627</v>
      </c>
      <c r="BD365" s="45"/>
      <c r="BE365" s="45"/>
      <c r="BF365" s="45" t="str">
        <f t="shared" si="46"/>
        <v>Unlikely</v>
      </c>
      <c r="BG365" s="45"/>
      <c r="BH365" s="45" t="str">
        <f>INDEX(Table5[[#All],[Ovr]],MATCH(Table3[[#This Row],[PID]],Table5[[#All],[PID]],0))</f>
        <v/>
      </c>
      <c r="BI365" s="45" t="str">
        <f>INDEX(Table5[[#All],[Rnd]],MATCH(Table3[[#This Row],[PID]],Table5[[#All],[PID]],0))</f>
        <v/>
      </c>
      <c r="BJ365" s="45" t="str">
        <f>INDEX(Table5[[#All],[Pick]],MATCH(Table3[[#This Row],[PID]],Table5[[#All],[PID]],0))</f>
        <v/>
      </c>
      <c r="BK365" s="45" t="str">
        <f>INDEX(Table5[[#All],[Team]],MATCH(Table3[[#This Row],[PID]],Table5[[#All],[PID]],0))</f>
        <v/>
      </c>
      <c r="BL3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6" spans="1:64" ht="15" customHeight="1" x14ac:dyDescent="0.25">
      <c r="A366" s="40">
        <v>4781</v>
      </c>
      <c r="B366" s="40" t="s">
        <v>415</v>
      </c>
      <c r="C366" s="40" t="s">
        <v>945</v>
      </c>
      <c r="D366" s="40" t="s">
        <v>661</v>
      </c>
      <c r="E366" s="40">
        <v>22</v>
      </c>
      <c r="F366" s="40" t="s">
        <v>42</v>
      </c>
      <c r="G366" s="40" t="s">
        <v>42</v>
      </c>
      <c r="H366" s="41" t="s">
        <v>647</v>
      </c>
      <c r="I366" s="42" t="s">
        <v>43</v>
      </c>
      <c r="J366" s="40" t="s">
        <v>44</v>
      </c>
      <c r="K366" s="41" t="s">
        <v>43</v>
      </c>
      <c r="L366" s="40">
        <v>2</v>
      </c>
      <c r="M366" s="40">
        <v>2</v>
      </c>
      <c r="N366" s="41">
        <v>1</v>
      </c>
      <c r="O366" s="40">
        <v>3</v>
      </c>
      <c r="P366" s="40">
        <v>2</v>
      </c>
      <c r="Q366" s="41">
        <v>3</v>
      </c>
      <c r="R366" s="40">
        <v>2</v>
      </c>
      <c r="S366" s="40">
        <v>3</v>
      </c>
      <c r="T366" s="40">
        <v>2</v>
      </c>
      <c r="U366" s="40">
        <v>4</v>
      </c>
      <c r="V366" s="40" t="s">
        <v>45</v>
      </c>
      <c r="W366" s="40" t="s">
        <v>45</v>
      </c>
      <c r="X366" s="40">
        <v>3</v>
      </c>
      <c r="Y366" s="40">
        <v>4</v>
      </c>
      <c r="Z366" s="40" t="s">
        <v>45</v>
      </c>
      <c r="AA366" s="40" t="s">
        <v>45</v>
      </c>
      <c r="AB366" s="40" t="s">
        <v>45</v>
      </c>
      <c r="AC366" s="40" t="s">
        <v>45</v>
      </c>
      <c r="AD366" s="40" t="s">
        <v>45</v>
      </c>
      <c r="AE366" s="40" t="s">
        <v>45</v>
      </c>
      <c r="AF366" s="40" t="s">
        <v>45</v>
      </c>
      <c r="AG366" s="40" t="s">
        <v>45</v>
      </c>
      <c r="AH366" s="40" t="s">
        <v>45</v>
      </c>
      <c r="AI366" s="40" t="s">
        <v>45</v>
      </c>
      <c r="AJ366" s="40" t="s">
        <v>45</v>
      </c>
      <c r="AK366" s="40" t="s">
        <v>45</v>
      </c>
      <c r="AL366" s="40" t="s">
        <v>45</v>
      </c>
      <c r="AM366" s="40" t="s">
        <v>45</v>
      </c>
      <c r="AN366" s="40" t="s">
        <v>45</v>
      </c>
      <c r="AO366" s="41" t="s">
        <v>45</v>
      </c>
      <c r="AP366" s="40" t="s">
        <v>65</v>
      </c>
      <c r="AQ366" s="40">
        <v>3</v>
      </c>
      <c r="AR366" s="48" t="s">
        <v>347</v>
      </c>
      <c r="AS366" s="43" t="s">
        <v>45</v>
      </c>
      <c r="AT366" s="43" t="s">
        <v>47</v>
      </c>
      <c r="AU366" s="44">
        <f t="shared" si="41"/>
        <v>-2.311361197028369</v>
      </c>
      <c r="AV366" s="44">
        <f t="shared" si="42"/>
        <v>-1.1865339896739031</v>
      </c>
      <c r="AW366" s="45">
        <f t="shared" si="43"/>
        <v>3</v>
      </c>
      <c r="AX366" s="45">
        <f t="shared" si="44"/>
        <v>0</v>
      </c>
      <c r="AY366" s="46">
        <f>VLOOKUP(AP366,COND!$A$10:$B$32,2,FALSE)</f>
        <v>0.95</v>
      </c>
      <c r="AZ366" s="44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24.219610790322427</v>
      </c>
      <c r="BA366" s="47">
        <f>STANDARDIZE(AZ366,AVERAGE($AZ$5:$AZ$557),STDEVP($AZ$5:$AZ$557))</f>
        <v>-0.77511758789408181</v>
      </c>
      <c r="BB366" s="45" t="str">
        <f t="shared" si="45"/>
        <v>RP</v>
      </c>
      <c r="BC366" s="45">
        <f>RANK(Table3[[#This Row],[zScore]],Table3[zScore])</f>
        <v>630</v>
      </c>
      <c r="BD366" s="45"/>
      <c r="BE366" s="45"/>
      <c r="BF366" s="45" t="str">
        <f t="shared" si="46"/>
        <v>Unlikely</v>
      </c>
      <c r="BG366" s="45"/>
      <c r="BH366" s="45" t="str">
        <f>INDEX(Table5[[#All],[Ovr]],MATCH(Table3[[#This Row],[PID]],Table5[[#All],[PID]],0))</f>
        <v/>
      </c>
      <c r="BI366" s="45" t="str">
        <f>INDEX(Table5[[#All],[Rnd]],MATCH(Table3[[#This Row],[PID]],Table5[[#All],[PID]],0))</f>
        <v/>
      </c>
      <c r="BJ366" s="45" t="str">
        <f>INDEX(Table5[[#All],[Pick]],MATCH(Table3[[#This Row],[PID]],Table5[[#All],[PID]],0))</f>
        <v/>
      </c>
      <c r="BK366" s="45" t="str">
        <f>INDEX(Table5[[#All],[Team]],MATCH(Table3[[#This Row],[PID]],Table5[[#All],[PID]],0))</f>
        <v/>
      </c>
      <c r="BL3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7" spans="1:64" ht="15" customHeight="1" x14ac:dyDescent="0.25">
      <c r="A367" s="40">
        <v>9845</v>
      </c>
      <c r="B367" s="40" t="s">
        <v>415</v>
      </c>
      <c r="C367" s="40" t="s">
        <v>142</v>
      </c>
      <c r="D367" s="40" t="s">
        <v>296</v>
      </c>
      <c r="E367" s="40">
        <v>22</v>
      </c>
      <c r="F367" s="40" t="s">
        <v>42</v>
      </c>
      <c r="G367" s="40" t="s">
        <v>42</v>
      </c>
      <c r="H367" s="41" t="s">
        <v>647</v>
      </c>
      <c r="I367" s="42" t="s">
        <v>43</v>
      </c>
      <c r="J367" s="40" t="s">
        <v>47</v>
      </c>
      <c r="K367" s="41" t="s">
        <v>43</v>
      </c>
      <c r="L367" s="40">
        <v>2</v>
      </c>
      <c r="M367" s="40">
        <v>1</v>
      </c>
      <c r="N367" s="41">
        <v>1</v>
      </c>
      <c r="O367" s="40">
        <v>4</v>
      </c>
      <c r="P367" s="40">
        <v>2</v>
      </c>
      <c r="Q367" s="41">
        <v>2</v>
      </c>
      <c r="R367" s="40">
        <v>4</v>
      </c>
      <c r="S367" s="40">
        <v>5</v>
      </c>
      <c r="T367" s="40">
        <v>3</v>
      </c>
      <c r="U367" s="40">
        <v>5</v>
      </c>
      <c r="V367" s="40" t="s">
        <v>45</v>
      </c>
      <c r="W367" s="40" t="s">
        <v>45</v>
      </c>
      <c r="X367" s="40" t="s">
        <v>45</v>
      </c>
      <c r="Y367" s="40" t="s">
        <v>45</v>
      </c>
      <c r="Z367" s="40" t="s">
        <v>45</v>
      </c>
      <c r="AA367" s="40" t="s">
        <v>45</v>
      </c>
      <c r="AB367" s="40" t="s">
        <v>45</v>
      </c>
      <c r="AC367" s="40" t="s">
        <v>45</v>
      </c>
      <c r="AD367" s="40">
        <v>3</v>
      </c>
      <c r="AE367" s="40">
        <v>4</v>
      </c>
      <c r="AF367" s="40" t="s">
        <v>45</v>
      </c>
      <c r="AG367" s="40" t="s">
        <v>45</v>
      </c>
      <c r="AH367" s="40" t="s">
        <v>45</v>
      </c>
      <c r="AI367" s="40" t="s">
        <v>45</v>
      </c>
      <c r="AJ367" s="40" t="s">
        <v>45</v>
      </c>
      <c r="AK367" s="40" t="s">
        <v>45</v>
      </c>
      <c r="AL367" s="40" t="s">
        <v>45</v>
      </c>
      <c r="AM367" s="40" t="s">
        <v>45</v>
      </c>
      <c r="AN367" s="40" t="s">
        <v>45</v>
      </c>
      <c r="AO367" s="41" t="s">
        <v>45</v>
      </c>
      <c r="AP367" s="40" t="s">
        <v>350</v>
      </c>
      <c r="AQ367" s="40">
        <v>6</v>
      </c>
      <c r="AR367" s="48" t="s">
        <v>351</v>
      </c>
      <c r="AS367" s="43" t="s">
        <v>45</v>
      </c>
      <c r="AT367" s="43" t="s">
        <v>47</v>
      </c>
      <c r="AU367" s="44">
        <f t="shared" si="41"/>
        <v>-2.5067929134584248</v>
      </c>
      <c r="AV367" s="44">
        <f t="shared" si="42"/>
        <v>-1.23416323121884</v>
      </c>
      <c r="AW367" s="45">
        <f t="shared" si="43"/>
        <v>3</v>
      </c>
      <c r="AX367" s="45">
        <f t="shared" si="44"/>
        <v>0</v>
      </c>
      <c r="AY367" s="46">
        <f>VLOOKUP(AP367,COND!$A$10:$B$32,2,FALSE)</f>
        <v>1</v>
      </c>
      <c r="AZ367" s="44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24.207492373108227</v>
      </c>
      <c r="BA367" s="47">
        <f>STANDARDIZE(AZ367,AVERAGE($AZ$5:$AZ$557),STDEVP($AZ$5:$AZ$557))</f>
        <v>-0.775923807673082</v>
      </c>
      <c r="BB367" s="45" t="str">
        <f t="shared" si="45"/>
        <v>SP</v>
      </c>
      <c r="BC367" s="45">
        <f>RANK(Table3[[#This Row],[zScore]],Table3[zScore])</f>
        <v>631</v>
      </c>
      <c r="BD367" s="45"/>
      <c r="BE367" s="45"/>
      <c r="BF367" s="45" t="str">
        <f t="shared" si="46"/>
        <v>Unlikely</v>
      </c>
      <c r="BG367" s="45"/>
      <c r="BH367" s="45" t="str">
        <f>INDEX(Table5[[#All],[Ovr]],MATCH(Table3[[#This Row],[PID]],Table5[[#All],[PID]],0))</f>
        <v/>
      </c>
      <c r="BI367" s="45" t="str">
        <f>INDEX(Table5[[#All],[Rnd]],MATCH(Table3[[#This Row],[PID]],Table5[[#All],[PID]],0))</f>
        <v/>
      </c>
      <c r="BJ367" s="45" t="str">
        <f>INDEX(Table5[[#All],[Pick]],MATCH(Table3[[#This Row],[PID]],Table5[[#All],[PID]],0))</f>
        <v/>
      </c>
      <c r="BK367" s="45" t="str">
        <f>INDEX(Table5[[#All],[Team]],MATCH(Table3[[#This Row],[PID]],Table5[[#All],[PID]],0))</f>
        <v/>
      </c>
      <c r="BL3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8" spans="1:64" ht="15" customHeight="1" x14ac:dyDescent="0.25">
      <c r="A368" s="40">
        <v>17625</v>
      </c>
      <c r="B368" s="40" t="s">
        <v>415</v>
      </c>
      <c r="C368" s="40" t="s">
        <v>848</v>
      </c>
      <c r="D368" s="40" t="s">
        <v>679</v>
      </c>
      <c r="E368" s="40">
        <v>18</v>
      </c>
      <c r="F368" s="40" t="s">
        <v>53</v>
      </c>
      <c r="G368" s="40" t="s">
        <v>53</v>
      </c>
      <c r="H368" s="41" t="s">
        <v>647</v>
      </c>
      <c r="I368" s="42" t="s">
        <v>43</v>
      </c>
      <c r="J368" s="40" t="s">
        <v>43</v>
      </c>
      <c r="K368" s="41" t="s">
        <v>43</v>
      </c>
      <c r="L368" s="40">
        <v>2</v>
      </c>
      <c r="M368" s="40">
        <v>1</v>
      </c>
      <c r="N368" s="41">
        <v>1</v>
      </c>
      <c r="O368" s="40">
        <v>4</v>
      </c>
      <c r="P368" s="40">
        <v>2</v>
      </c>
      <c r="Q368" s="41">
        <v>1</v>
      </c>
      <c r="R368" s="40">
        <v>4</v>
      </c>
      <c r="S368" s="40">
        <v>5</v>
      </c>
      <c r="T368" s="40">
        <v>1</v>
      </c>
      <c r="U368" s="40">
        <v>1</v>
      </c>
      <c r="V368" s="40" t="s">
        <v>45</v>
      </c>
      <c r="W368" s="40" t="s">
        <v>45</v>
      </c>
      <c r="X368" s="40" t="s">
        <v>45</v>
      </c>
      <c r="Y368" s="40" t="s">
        <v>45</v>
      </c>
      <c r="Z368" s="40" t="s">
        <v>45</v>
      </c>
      <c r="AA368" s="40" t="s">
        <v>45</v>
      </c>
      <c r="AB368" s="40">
        <v>3</v>
      </c>
      <c r="AC368" s="40">
        <v>5</v>
      </c>
      <c r="AD368" s="40" t="s">
        <v>45</v>
      </c>
      <c r="AE368" s="40" t="s">
        <v>45</v>
      </c>
      <c r="AF368" s="40" t="s">
        <v>45</v>
      </c>
      <c r="AG368" s="40" t="s">
        <v>45</v>
      </c>
      <c r="AH368" s="40" t="s">
        <v>45</v>
      </c>
      <c r="AI368" s="40" t="s">
        <v>45</v>
      </c>
      <c r="AJ368" s="40" t="s">
        <v>45</v>
      </c>
      <c r="AK368" s="40" t="s">
        <v>45</v>
      </c>
      <c r="AL368" s="40" t="s">
        <v>45</v>
      </c>
      <c r="AM368" s="40" t="s">
        <v>45</v>
      </c>
      <c r="AN368" s="40" t="s">
        <v>45</v>
      </c>
      <c r="AO368" s="41" t="s">
        <v>45</v>
      </c>
      <c r="AP368" s="40" t="s">
        <v>57</v>
      </c>
      <c r="AQ368" s="40">
        <v>6</v>
      </c>
      <c r="AR368" s="48" t="s">
        <v>347</v>
      </c>
      <c r="AS368" s="43" t="s">
        <v>654</v>
      </c>
      <c r="AT368" s="43" t="s">
        <v>47</v>
      </c>
      <c r="AU368" s="44">
        <f t="shared" si="41"/>
        <v>-2.5067929134584248</v>
      </c>
      <c r="AV368" s="44">
        <f t="shared" si="42"/>
        <v>-1.4764837972729503</v>
      </c>
      <c r="AW368" s="45">
        <f t="shared" si="43"/>
        <v>3</v>
      </c>
      <c r="AX368" s="45">
        <f t="shared" si="44"/>
        <v>0</v>
      </c>
      <c r="AY368" s="46">
        <f>VLOOKUP(AP368,COND!$A$10:$B$32,2,FALSE)</f>
        <v>1</v>
      </c>
      <c r="AZ368" s="44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24.182241335053078</v>
      </c>
      <c r="BA368" s="47">
        <f>STANDARDIZE(AZ368,AVERAGE($AZ$5:$AZ$557),STDEVP($AZ$5:$AZ$557))</f>
        <v>-0.77760372064855654</v>
      </c>
      <c r="BB368" s="45" t="str">
        <f t="shared" si="45"/>
        <v>SP</v>
      </c>
      <c r="BC368" s="45">
        <f>RANK(Table3[[#This Row],[zScore]],Table3[zScore])</f>
        <v>632</v>
      </c>
      <c r="BD368" s="45"/>
      <c r="BE368" s="45"/>
      <c r="BF368" s="45" t="str">
        <f t="shared" si="46"/>
        <v>Unlikely</v>
      </c>
      <c r="BG368" s="45"/>
      <c r="BH368" s="45" t="str">
        <f>INDEX(Table5[[#All],[Ovr]],MATCH(Table3[[#This Row],[PID]],Table5[[#All],[PID]],0))</f>
        <v/>
      </c>
      <c r="BI368" s="45" t="str">
        <f>INDEX(Table5[[#All],[Rnd]],MATCH(Table3[[#This Row],[PID]],Table5[[#All],[PID]],0))</f>
        <v/>
      </c>
      <c r="BJ368" s="45" t="str">
        <f>INDEX(Table5[[#All],[Pick]],MATCH(Table3[[#This Row],[PID]],Table5[[#All],[PID]],0))</f>
        <v/>
      </c>
      <c r="BK368" s="45" t="str">
        <f>INDEX(Table5[[#All],[Team]],MATCH(Table3[[#This Row],[PID]],Table5[[#All],[PID]],0))</f>
        <v/>
      </c>
      <c r="BL3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69" spans="1:64" ht="15" customHeight="1" x14ac:dyDescent="0.25">
      <c r="A369" s="40">
        <v>14043</v>
      </c>
      <c r="B369" s="40" t="s">
        <v>415</v>
      </c>
      <c r="C369" s="40" t="s">
        <v>731</v>
      </c>
      <c r="D369" s="40" t="s">
        <v>593</v>
      </c>
      <c r="E369" s="40">
        <v>22</v>
      </c>
      <c r="F369" s="40" t="s">
        <v>42</v>
      </c>
      <c r="G369" s="40" t="s">
        <v>42</v>
      </c>
      <c r="H369" s="41" t="s">
        <v>647</v>
      </c>
      <c r="I369" s="42" t="s">
        <v>43</v>
      </c>
      <c r="J369" s="40" t="s">
        <v>44</v>
      </c>
      <c r="K369" s="41" t="s">
        <v>44</v>
      </c>
      <c r="L369" s="40">
        <v>2</v>
      </c>
      <c r="M369" s="40">
        <v>1</v>
      </c>
      <c r="N369" s="41">
        <v>2</v>
      </c>
      <c r="O369" s="40">
        <v>3</v>
      </c>
      <c r="P369" s="40">
        <v>2</v>
      </c>
      <c r="Q369" s="41">
        <v>3</v>
      </c>
      <c r="R369" s="40">
        <v>3</v>
      </c>
      <c r="S369" s="40">
        <v>4</v>
      </c>
      <c r="T369" s="40">
        <v>1</v>
      </c>
      <c r="U369" s="40">
        <v>2</v>
      </c>
      <c r="V369" s="40" t="s">
        <v>45</v>
      </c>
      <c r="W369" s="40" t="s">
        <v>45</v>
      </c>
      <c r="X369" s="40">
        <v>3</v>
      </c>
      <c r="Y369" s="40">
        <v>5</v>
      </c>
      <c r="Z369" s="40" t="s">
        <v>45</v>
      </c>
      <c r="AA369" s="40" t="s">
        <v>45</v>
      </c>
      <c r="AB369" s="40" t="s">
        <v>45</v>
      </c>
      <c r="AC369" s="40" t="s">
        <v>45</v>
      </c>
      <c r="AD369" s="40" t="s">
        <v>45</v>
      </c>
      <c r="AE369" s="40" t="s">
        <v>45</v>
      </c>
      <c r="AF369" s="40" t="s">
        <v>45</v>
      </c>
      <c r="AG369" s="40" t="s">
        <v>45</v>
      </c>
      <c r="AH369" s="40" t="s">
        <v>45</v>
      </c>
      <c r="AI369" s="40" t="s">
        <v>45</v>
      </c>
      <c r="AJ369" s="40" t="s">
        <v>45</v>
      </c>
      <c r="AK369" s="40" t="s">
        <v>45</v>
      </c>
      <c r="AL369" s="40" t="s">
        <v>45</v>
      </c>
      <c r="AM369" s="40" t="s">
        <v>45</v>
      </c>
      <c r="AN369" s="40" t="s">
        <v>45</v>
      </c>
      <c r="AO369" s="41" t="s">
        <v>45</v>
      </c>
      <c r="AP369" s="40" t="s">
        <v>67</v>
      </c>
      <c r="AQ369" s="40">
        <v>8</v>
      </c>
      <c r="AR369" s="48" t="s">
        <v>14</v>
      </c>
      <c r="AS369" s="43" t="s">
        <v>45</v>
      </c>
      <c r="AT369" s="43"/>
      <c r="AU369" s="44">
        <f t="shared" si="41"/>
        <v>-2.2644723474043147</v>
      </c>
      <c r="AV369" s="44">
        <f t="shared" si="42"/>
        <v>-1.1865339896739031</v>
      </c>
      <c r="AW369" s="45">
        <f t="shared" si="43"/>
        <v>3</v>
      </c>
      <c r="AX369" s="45">
        <f t="shared" si="44"/>
        <v>0</v>
      </c>
      <c r="AY369" s="46">
        <f>VLOOKUP(AP369,COND!$A$10:$B$32,2,FALSE)</f>
        <v>0.9</v>
      </c>
      <c r="AZ369" s="44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25.984783163336967</v>
      </c>
      <c r="BA369" s="47">
        <f>STANDARDIZE(AZ369,AVERAGE($AZ$5:$AZ$788),STDEVP($AZ$5:$AZ$788))</f>
        <v>-0.78113066282525045</v>
      </c>
      <c r="BB369" s="45" t="str">
        <f t="shared" si="45"/>
        <v>SP</v>
      </c>
      <c r="BC369" s="45">
        <f>RANK(Table3[[#This Row],[zScore]],Table3[zScore])</f>
        <v>633</v>
      </c>
      <c r="BD369" s="45"/>
      <c r="BE369" s="45"/>
      <c r="BF369" s="45" t="str">
        <f t="shared" si="46"/>
        <v>Unlikely</v>
      </c>
      <c r="BG369" s="45"/>
      <c r="BH369" s="64" t="str">
        <f>INDEX(Table5[[#All],[Ovr]],MATCH(Table3[[#This Row],[PID]],Table5[[#All],[PID]],0))</f>
        <v/>
      </c>
      <c r="BI369" s="64" t="str">
        <f>INDEX(Table5[[#All],[Rnd]],MATCH(Table3[[#This Row],[PID]],Table5[[#All],[PID]],0))</f>
        <v/>
      </c>
      <c r="BJ369" s="64" t="str">
        <f>INDEX(Table5[[#All],[Pick]],MATCH(Table3[[#This Row],[PID]],Table5[[#All],[PID]],0))</f>
        <v/>
      </c>
      <c r="BK369" s="64" t="str">
        <f>INDEX(Table5[[#All],[Team]],MATCH(Table3[[#This Row],[PID]],Table5[[#All],[PID]],0))</f>
        <v/>
      </c>
      <c r="BL369" s="64" t="str">
        <f>IF(OR(Table3[[#This Row],[POS]]="SP",Table3[[#This Row],[POS]]="RP",Table3[[#This Row],[POS]]="CL"),"P",INDEX(Batters[[#All],[zScore]],MATCH(Table3[[#This Row],[PID]],Batters[[#All],[PID]],0)))</f>
        <v>P</v>
      </c>
    </row>
    <row r="370" spans="1:64" ht="15" customHeight="1" x14ac:dyDescent="0.25">
      <c r="A370" s="40">
        <v>17843</v>
      </c>
      <c r="B370" s="40" t="s">
        <v>415</v>
      </c>
      <c r="C370" s="40" t="s">
        <v>194</v>
      </c>
      <c r="D370" s="40" t="s">
        <v>1074</v>
      </c>
      <c r="E370" s="40">
        <v>18</v>
      </c>
      <c r="F370" s="40" t="s">
        <v>53</v>
      </c>
      <c r="G370" s="40" t="s">
        <v>53</v>
      </c>
      <c r="H370" s="41" t="s">
        <v>647</v>
      </c>
      <c r="I370" s="42" t="s">
        <v>43</v>
      </c>
      <c r="J370" s="40" t="s">
        <v>43</v>
      </c>
      <c r="K370" s="41" t="s">
        <v>43</v>
      </c>
      <c r="L370" s="40">
        <v>1</v>
      </c>
      <c r="M370" s="40">
        <v>2</v>
      </c>
      <c r="N370" s="41">
        <v>1</v>
      </c>
      <c r="O370" s="40">
        <v>3</v>
      </c>
      <c r="P370" s="40">
        <v>2</v>
      </c>
      <c r="Q370" s="41">
        <v>3</v>
      </c>
      <c r="R370" s="40" t="s">
        <v>45</v>
      </c>
      <c r="S370" s="40" t="s">
        <v>45</v>
      </c>
      <c r="T370" s="40" t="s">
        <v>45</v>
      </c>
      <c r="U370" s="40" t="s">
        <v>45</v>
      </c>
      <c r="V370" s="40" t="s">
        <v>45</v>
      </c>
      <c r="W370" s="40" t="s">
        <v>45</v>
      </c>
      <c r="X370" s="40">
        <v>2</v>
      </c>
      <c r="Y370" s="40">
        <v>5</v>
      </c>
      <c r="Z370" s="40" t="s">
        <v>45</v>
      </c>
      <c r="AA370" s="40" t="s">
        <v>45</v>
      </c>
      <c r="AB370" s="40" t="s">
        <v>45</v>
      </c>
      <c r="AC370" s="40" t="s">
        <v>45</v>
      </c>
      <c r="AD370" s="40">
        <v>2</v>
      </c>
      <c r="AE370" s="40">
        <v>4</v>
      </c>
      <c r="AF370" s="40" t="s">
        <v>45</v>
      </c>
      <c r="AG370" s="40" t="s">
        <v>45</v>
      </c>
      <c r="AH370" s="40" t="s">
        <v>45</v>
      </c>
      <c r="AI370" s="40" t="s">
        <v>45</v>
      </c>
      <c r="AJ370" s="40" t="s">
        <v>45</v>
      </c>
      <c r="AK370" s="40" t="s">
        <v>45</v>
      </c>
      <c r="AL370" s="40" t="s">
        <v>45</v>
      </c>
      <c r="AM370" s="40" t="s">
        <v>45</v>
      </c>
      <c r="AN370" s="40" t="s">
        <v>45</v>
      </c>
      <c r="AO370" s="41" t="s">
        <v>45</v>
      </c>
      <c r="AP370" s="40" t="s">
        <v>68</v>
      </c>
      <c r="AQ370" s="40">
        <v>1</v>
      </c>
      <c r="AR370" s="48" t="s">
        <v>347</v>
      </c>
      <c r="AS370" s="43" t="s">
        <v>663</v>
      </c>
      <c r="AT370" s="43" t="s">
        <v>47</v>
      </c>
      <c r="AU370" s="44">
        <f t="shared" si="41"/>
        <v>-2.5060525215375429</v>
      </c>
      <c r="AV370" s="44">
        <f t="shared" si="42"/>
        <v>-1.1865339896739031</v>
      </c>
      <c r="AW370" s="45">
        <f t="shared" si="43"/>
        <v>2</v>
      </c>
      <c r="AX370" s="45">
        <f t="shared" si="44"/>
        <v>0</v>
      </c>
      <c r="AY370" s="46">
        <f>VLOOKUP(AP370,COND!$A$10:$B$32,2,FALSE)</f>
        <v>0.95</v>
      </c>
      <c r="AZ370" s="44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24.033219006248526</v>
      </c>
      <c r="BA370" s="47">
        <f t="shared" ref="BA370:BA376" si="49">STANDARDIZE(AZ370,AVERAGE($AZ$5:$AZ$557),STDEVP($AZ$5:$AZ$557))</f>
        <v>-0.78751794846158507</v>
      </c>
      <c r="BB370" s="45" t="str">
        <f t="shared" si="45"/>
        <v>RP</v>
      </c>
      <c r="BC370" s="45">
        <f>RANK(Table3[[#This Row],[zScore]],Table3[zScore])</f>
        <v>636</v>
      </c>
      <c r="BD370" s="45"/>
      <c r="BE370" s="45"/>
      <c r="BF370" s="45" t="str">
        <f t="shared" si="46"/>
        <v>Unlikely</v>
      </c>
      <c r="BG370" s="45"/>
      <c r="BH370" s="45" t="str">
        <f>INDEX(Table5[[#All],[Ovr]],MATCH(Table3[[#This Row],[PID]],Table5[[#All],[PID]],0))</f>
        <v/>
      </c>
      <c r="BI370" s="45" t="str">
        <f>INDEX(Table5[[#All],[Rnd]],MATCH(Table3[[#This Row],[PID]],Table5[[#All],[PID]],0))</f>
        <v/>
      </c>
      <c r="BJ370" s="45" t="str">
        <f>INDEX(Table5[[#All],[Pick]],MATCH(Table3[[#This Row],[PID]],Table5[[#All],[PID]],0))</f>
        <v/>
      </c>
      <c r="BK370" s="45" t="str">
        <f>INDEX(Table5[[#All],[Team]],MATCH(Table3[[#This Row],[PID]],Table5[[#All],[PID]],0))</f>
        <v/>
      </c>
      <c r="BL3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1" spans="1:64" ht="15" customHeight="1" x14ac:dyDescent="0.25">
      <c r="A371" s="40">
        <v>13808</v>
      </c>
      <c r="B371" s="40" t="s">
        <v>415</v>
      </c>
      <c r="C371" s="40" t="s">
        <v>1985</v>
      </c>
      <c r="D371" s="40" t="s">
        <v>1263</v>
      </c>
      <c r="E371" s="40">
        <v>21</v>
      </c>
      <c r="F371" s="40" t="s">
        <v>53</v>
      </c>
      <c r="G371" s="40" t="s">
        <v>53</v>
      </c>
      <c r="H371" s="41" t="s">
        <v>647</v>
      </c>
      <c r="I371" s="42" t="s">
        <v>47</v>
      </c>
      <c r="J371" s="40" t="s">
        <v>43</v>
      </c>
      <c r="K371" s="41" t="s">
        <v>43</v>
      </c>
      <c r="L371" s="40">
        <v>2</v>
      </c>
      <c r="M371" s="40">
        <v>1</v>
      </c>
      <c r="N371" s="41">
        <v>2</v>
      </c>
      <c r="O371" s="40">
        <v>4</v>
      </c>
      <c r="P371" s="40">
        <v>1</v>
      </c>
      <c r="Q371" s="41">
        <v>4</v>
      </c>
      <c r="R371" s="40">
        <v>3</v>
      </c>
      <c r="S371" s="40">
        <v>5</v>
      </c>
      <c r="T371" s="40" t="s">
        <v>45</v>
      </c>
      <c r="U371" s="40" t="s">
        <v>45</v>
      </c>
      <c r="V371" s="40" t="s">
        <v>45</v>
      </c>
      <c r="W371" s="40" t="s">
        <v>45</v>
      </c>
      <c r="X371" s="40">
        <v>2</v>
      </c>
      <c r="Y371" s="40">
        <v>6</v>
      </c>
      <c r="Z371" s="40" t="s">
        <v>45</v>
      </c>
      <c r="AA371" s="40" t="s">
        <v>45</v>
      </c>
      <c r="AB371" s="40" t="s">
        <v>45</v>
      </c>
      <c r="AC371" s="40" t="s">
        <v>45</v>
      </c>
      <c r="AD371" s="40" t="s">
        <v>45</v>
      </c>
      <c r="AE371" s="40" t="s">
        <v>45</v>
      </c>
      <c r="AF371" s="40" t="s">
        <v>45</v>
      </c>
      <c r="AG371" s="40" t="s">
        <v>45</v>
      </c>
      <c r="AH371" s="40" t="s">
        <v>45</v>
      </c>
      <c r="AI371" s="40" t="s">
        <v>45</v>
      </c>
      <c r="AJ371" s="40" t="s">
        <v>45</v>
      </c>
      <c r="AK371" s="40" t="s">
        <v>45</v>
      </c>
      <c r="AL371" s="40" t="s">
        <v>45</v>
      </c>
      <c r="AM371" s="40" t="s">
        <v>45</v>
      </c>
      <c r="AN371" s="40" t="s">
        <v>45</v>
      </c>
      <c r="AO371" s="41" t="s">
        <v>45</v>
      </c>
      <c r="AP371" s="40" t="s">
        <v>64</v>
      </c>
      <c r="AQ371" s="40">
        <v>2</v>
      </c>
      <c r="AR371" s="48" t="s">
        <v>14</v>
      </c>
      <c r="AS371" s="43" t="s">
        <v>643</v>
      </c>
      <c r="AT371" s="43" t="s">
        <v>47</v>
      </c>
      <c r="AU371" s="44">
        <f t="shared" si="41"/>
        <v>-2.2644723474043147</v>
      </c>
      <c r="AV371" s="44">
        <f t="shared" si="42"/>
        <v>-0.94495381554067481</v>
      </c>
      <c r="AW371" s="45">
        <f t="shared" si="43"/>
        <v>2</v>
      </c>
      <c r="AX371" s="45">
        <f t="shared" si="44"/>
        <v>1</v>
      </c>
      <c r="AY371" s="46">
        <f>VLOOKUP(AP371,COND!$A$10:$B$32,2,FALSE)</f>
        <v>1</v>
      </c>
      <c r="AZ371" s="44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23.978127758720358</v>
      </c>
      <c r="BA371" s="47">
        <f t="shared" si="49"/>
        <v>-0.79118308497421164</v>
      </c>
      <c r="BB371" s="45" t="str">
        <f t="shared" si="45"/>
        <v>RP</v>
      </c>
      <c r="BC371" s="45">
        <f>RANK(Table3[[#This Row],[zScore]],Table3[zScore])</f>
        <v>637</v>
      </c>
      <c r="BD371" s="45"/>
      <c r="BE371" s="45"/>
      <c r="BF371" s="45" t="str">
        <f t="shared" si="46"/>
        <v>Unlikely</v>
      </c>
      <c r="BG371" s="45"/>
      <c r="BH371" s="45" t="str">
        <f>INDEX(Table5[[#All],[Ovr]],MATCH(Table3[[#This Row],[PID]],Table5[[#All],[PID]],0))</f>
        <v/>
      </c>
      <c r="BI371" s="45" t="str">
        <f>INDEX(Table5[[#All],[Rnd]],MATCH(Table3[[#This Row],[PID]],Table5[[#All],[PID]],0))</f>
        <v/>
      </c>
      <c r="BJ371" s="45" t="str">
        <f>INDEX(Table5[[#All],[Pick]],MATCH(Table3[[#This Row],[PID]],Table5[[#All],[PID]],0))</f>
        <v/>
      </c>
      <c r="BK371" s="45" t="str">
        <f>INDEX(Table5[[#All],[Team]],MATCH(Table3[[#This Row],[PID]],Table5[[#All],[PID]],0))</f>
        <v/>
      </c>
      <c r="BL3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2" spans="1:64" ht="15" customHeight="1" x14ac:dyDescent="0.25">
      <c r="A372" s="40">
        <v>16308</v>
      </c>
      <c r="B372" s="40" t="s">
        <v>415</v>
      </c>
      <c r="C372" s="40" t="s">
        <v>712</v>
      </c>
      <c r="D372" s="40" t="s">
        <v>534</v>
      </c>
      <c r="E372" s="40">
        <v>22</v>
      </c>
      <c r="F372" s="40" t="s">
        <v>53</v>
      </c>
      <c r="G372" s="40" t="s">
        <v>53</v>
      </c>
      <c r="H372" s="41" t="s">
        <v>647</v>
      </c>
      <c r="I372" s="42" t="s">
        <v>43</v>
      </c>
      <c r="J372" s="40" t="s">
        <v>47</v>
      </c>
      <c r="K372" s="41" t="s">
        <v>47</v>
      </c>
      <c r="L372" s="40">
        <v>2</v>
      </c>
      <c r="M372" s="40">
        <v>2</v>
      </c>
      <c r="N372" s="41">
        <v>1</v>
      </c>
      <c r="O372" s="40">
        <v>4</v>
      </c>
      <c r="P372" s="40">
        <v>2</v>
      </c>
      <c r="Q372" s="41">
        <v>3</v>
      </c>
      <c r="R372" s="40" t="s">
        <v>45</v>
      </c>
      <c r="S372" s="40" t="s">
        <v>45</v>
      </c>
      <c r="T372" s="40" t="s">
        <v>45</v>
      </c>
      <c r="U372" s="40" t="s">
        <v>45</v>
      </c>
      <c r="V372" s="40">
        <v>3</v>
      </c>
      <c r="W372" s="40">
        <v>6</v>
      </c>
      <c r="X372" s="40" t="s">
        <v>45</v>
      </c>
      <c r="Y372" s="40" t="s">
        <v>45</v>
      </c>
      <c r="Z372" s="40" t="s">
        <v>45</v>
      </c>
      <c r="AA372" s="40" t="s">
        <v>45</v>
      </c>
      <c r="AB372" s="40" t="s">
        <v>45</v>
      </c>
      <c r="AC372" s="40" t="s">
        <v>45</v>
      </c>
      <c r="AD372" s="40">
        <v>3</v>
      </c>
      <c r="AE372" s="40">
        <v>5</v>
      </c>
      <c r="AF372" s="40" t="s">
        <v>45</v>
      </c>
      <c r="AG372" s="40" t="s">
        <v>45</v>
      </c>
      <c r="AH372" s="40" t="s">
        <v>45</v>
      </c>
      <c r="AI372" s="40" t="s">
        <v>45</v>
      </c>
      <c r="AJ372" s="40" t="s">
        <v>45</v>
      </c>
      <c r="AK372" s="40" t="s">
        <v>45</v>
      </c>
      <c r="AL372" s="40" t="s">
        <v>45</v>
      </c>
      <c r="AM372" s="40" t="s">
        <v>45</v>
      </c>
      <c r="AN372" s="40" t="s">
        <v>45</v>
      </c>
      <c r="AO372" s="41" t="s">
        <v>45</v>
      </c>
      <c r="AP372" s="40" t="s">
        <v>68</v>
      </c>
      <c r="AQ372" s="40">
        <v>6</v>
      </c>
      <c r="AR372" s="48" t="s">
        <v>347</v>
      </c>
      <c r="AS372" s="43" t="s">
        <v>45</v>
      </c>
      <c r="AT372" s="43" t="s">
        <v>635</v>
      </c>
      <c r="AU372" s="44">
        <f t="shared" si="41"/>
        <v>-2.311361197028369</v>
      </c>
      <c r="AV372" s="44">
        <f t="shared" si="42"/>
        <v>-0.99184266516472974</v>
      </c>
      <c r="AW372" s="45">
        <f t="shared" si="43"/>
        <v>2</v>
      </c>
      <c r="AX372" s="45">
        <f t="shared" si="44"/>
        <v>1</v>
      </c>
      <c r="AY372" s="46">
        <f>VLOOKUP(AP372,COND!$A$10:$B$32,2,FALSE)</f>
        <v>0.95</v>
      </c>
      <c r="AZ372" s="44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23.881997466073877</v>
      </c>
      <c r="BA372" s="47">
        <f t="shared" si="49"/>
        <v>-0.79757848644643192</v>
      </c>
      <c r="BB372" s="45" t="str">
        <f t="shared" si="45"/>
        <v>RP</v>
      </c>
      <c r="BC372" s="45">
        <f>RANK(Table3[[#This Row],[zScore]],Table3[zScore])</f>
        <v>638</v>
      </c>
      <c r="BD372" s="45"/>
      <c r="BE372" s="45"/>
      <c r="BF372" s="45" t="str">
        <f t="shared" si="46"/>
        <v>Unlikely</v>
      </c>
      <c r="BG372" s="45"/>
      <c r="BH372" s="45" t="str">
        <f>INDEX(Table5[[#All],[Ovr]],MATCH(Table3[[#This Row],[PID]],Table5[[#All],[PID]],0))</f>
        <v/>
      </c>
      <c r="BI372" s="45" t="str">
        <f>INDEX(Table5[[#All],[Rnd]],MATCH(Table3[[#This Row],[PID]],Table5[[#All],[PID]],0))</f>
        <v/>
      </c>
      <c r="BJ372" s="45" t="str">
        <f>INDEX(Table5[[#All],[Pick]],MATCH(Table3[[#This Row],[PID]],Table5[[#All],[PID]],0))</f>
        <v/>
      </c>
      <c r="BK372" s="45" t="str">
        <f>INDEX(Table5[[#All],[Team]],MATCH(Table3[[#This Row],[PID]],Table5[[#All],[PID]],0))</f>
        <v/>
      </c>
      <c r="BL3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3" spans="1:64" ht="15" customHeight="1" x14ac:dyDescent="0.25">
      <c r="A373" s="40">
        <v>16916</v>
      </c>
      <c r="B373" s="40" t="s">
        <v>415</v>
      </c>
      <c r="C373" s="40" t="s">
        <v>731</v>
      </c>
      <c r="D373" s="40" t="s">
        <v>1961</v>
      </c>
      <c r="E373" s="40">
        <v>21</v>
      </c>
      <c r="F373" s="40" t="s">
        <v>42</v>
      </c>
      <c r="G373" s="40" t="s">
        <v>42</v>
      </c>
      <c r="H373" s="41" t="s">
        <v>647</v>
      </c>
      <c r="I373" s="42" t="s">
        <v>43</v>
      </c>
      <c r="J373" s="40" t="s">
        <v>44</v>
      </c>
      <c r="K373" s="41" t="s">
        <v>43</v>
      </c>
      <c r="L373" s="40">
        <v>3</v>
      </c>
      <c r="M373" s="40">
        <v>1</v>
      </c>
      <c r="N373" s="41">
        <v>1</v>
      </c>
      <c r="O373" s="40">
        <v>4</v>
      </c>
      <c r="P373" s="40">
        <v>1</v>
      </c>
      <c r="Q373" s="41">
        <v>3</v>
      </c>
      <c r="R373" s="40">
        <v>5</v>
      </c>
      <c r="S373" s="40">
        <v>6</v>
      </c>
      <c r="T373" s="40">
        <v>1</v>
      </c>
      <c r="U373" s="40">
        <v>3</v>
      </c>
      <c r="V373" s="40" t="s">
        <v>45</v>
      </c>
      <c r="W373" s="40" t="s">
        <v>45</v>
      </c>
      <c r="X373" s="40">
        <v>3</v>
      </c>
      <c r="Y373" s="40">
        <v>4</v>
      </c>
      <c r="Z373" s="40" t="s">
        <v>45</v>
      </c>
      <c r="AA373" s="40" t="s">
        <v>45</v>
      </c>
      <c r="AB373" s="40" t="s">
        <v>45</v>
      </c>
      <c r="AC373" s="40" t="s">
        <v>45</v>
      </c>
      <c r="AD373" s="40" t="s">
        <v>45</v>
      </c>
      <c r="AE373" s="40" t="s">
        <v>45</v>
      </c>
      <c r="AF373" s="40" t="s">
        <v>45</v>
      </c>
      <c r="AG373" s="40" t="s">
        <v>45</v>
      </c>
      <c r="AH373" s="40" t="s">
        <v>45</v>
      </c>
      <c r="AI373" s="40" t="s">
        <v>45</v>
      </c>
      <c r="AJ373" s="40" t="s">
        <v>45</v>
      </c>
      <c r="AK373" s="40" t="s">
        <v>45</v>
      </c>
      <c r="AL373" s="40" t="s">
        <v>45</v>
      </c>
      <c r="AM373" s="40" t="s">
        <v>45</v>
      </c>
      <c r="AN373" s="40" t="s">
        <v>45</v>
      </c>
      <c r="AO373" s="41" t="s">
        <v>45</v>
      </c>
      <c r="AP373" s="40" t="s">
        <v>60</v>
      </c>
      <c r="AQ373" s="40">
        <v>4</v>
      </c>
      <c r="AR373" s="48" t="s">
        <v>347</v>
      </c>
      <c r="AS373" s="43" t="s">
        <v>643</v>
      </c>
      <c r="AT373" s="43" t="s">
        <v>47</v>
      </c>
      <c r="AU373" s="44">
        <f t="shared" si="41"/>
        <v>-2.3121015889492513</v>
      </c>
      <c r="AV373" s="44">
        <f t="shared" si="42"/>
        <v>-1.1872743815947853</v>
      </c>
      <c r="AW373" s="45">
        <f t="shared" si="43"/>
        <v>3</v>
      </c>
      <c r="AX373" s="45">
        <f t="shared" si="44"/>
        <v>1</v>
      </c>
      <c r="AY373" s="46">
        <f>VLOOKUP(AP373,COND!$A$10:$B$32,2,FALSE)</f>
        <v>1.0249999999999999</v>
      </c>
      <c r="AZ373" s="44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23.805362133993693</v>
      </c>
      <c r="BA373" s="47">
        <f t="shared" si="49"/>
        <v>-0.80267691798259788</v>
      </c>
      <c r="BB373" s="45" t="str">
        <f t="shared" si="45"/>
        <v>RP</v>
      </c>
      <c r="BC373" s="45">
        <f>RANK(Table3[[#This Row],[zScore]],Table3[zScore])</f>
        <v>639</v>
      </c>
      <c r="BD373" s="45"/>
      <c r="BE373" s="45"/>
      <c r="BF373" s="45" t="str">
        <f t="shared" si="46"/>
        <v>Unlikely</v>
      </c>
      <c r="BG373" s="45"/>
      <c r="BH373" s="45" t="str">
        <f>INDEX(Table5[[#All],[Ovr]],MATCH(Table3[[#This Row],[PID]],Table5[[#All],[PID]],0))</f>
        <v/>
      </c>
      <c r="BI373" s="45" t="str">
        <f>INDEX(Table5[[#All],[Rnd]],MATCH(Table3[[#This Row],[PID]],Table5[[#All],[PID]],0))</f>
        <v/>
      </c>
      <c r="BJ373" s="45" t="str">
        <f>INDEX(Table5[[#All],[Pick]],MATCH(Table3[[#This Row],[PID]],Table5[[#All],[PID]],0))</f>
        <v/>
      </c>
      <c r="BK373" s="45" t="str">
        <f>INDEX(Table5[[#All],[Team]],MATCH(Table3[[#This Row],[PID]],Table5[[#All],[PID]],0))</f>
        <v/>
      </c>
      <c r="BL3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4" spans="1:64" ht="15" customHeight="1" x14ac:dyDescent="0.25">
      <c r="A374" s="40">
        <v>20381</v>
      </c>
      <c r="B374" s="40" t="s">
        <v>415</v>
      </c>
      <c r="C374" s="40" t="s">
        <v>1962</v>
      </c>
      <c r="D374" s="40" t="s">
        <v>1167</v>
      </c>
      <c r="E374" s="40">
        <v>17</v>
      </c>
      <c r="F374" s="40" t="s">
        <v>42</v>
      </c>
      <c r="G374" s="40" t="s">
        <v>42</v>
      </c>
      <c r="H374" s="41" t="s">
        <v>647</v>
      </c>
      <c r="I374" s="42" t="s">
        <v>43</v>
      </c>
      <c r="J374" s="40" t="s">
        <v>44</v>
      </c>
      <c r="K374" s="41" t="s">
        <v>43</v>
      </c>
      <c r="L374" s="40">
        <v>2</v>
      </c>
      <c r="M374" s="40">
        <v>1</v>
      </c>
      <c r="N374" s="41">
        <v>1</v>
      </c>
      <c r="O374" s="40">
        <v>4</v>
      </c>
      <c r="P374" s="40">
        <v>1</v>
      </c>
      <c r="Q374" s="41">
        <v>3</v>
      </c>
      <c r="R374" s="40">
        <v>4</v>
      </c>
      <c r="S374" s="40">
        <v>6</v>
      </c>
      <c r="T374" s="40" t="s">
        <v>45</v>
      </c>
      <c r="U374" s="40" t="s">
        <v>45</v>
      </c>
      <c r="V374" s="40" t="s">
        <v>45</v>
      </c>
      <c r="W374" s="40" t="s">
        <v>45</v>
      </c>
      <c r="X374" s="40">
        <v>2</v>
      </c>
      <c r="Y374" s="40">
        <v>5</v>
      </c>
      <c r="Z374" s="40" t="s">
        <v>45</v>
      </c>
      <c r="AA374" s="40" t="s">
        <v>45</v>
      </c>
      <c r="AB374" s="40" t="s">
        <v>45</v>
      </c>
      <c r="AC374" s="40" t="s">
        <v>45</v>
      </c>
      <c r="AD374" s="40" t="s">
        <v>45</v>
      </c>
      <c r="AE374" s="40" t="s">
        <v>45</v>
      </c>
      <c r="AF374" s="40" t="s">
        <v>45</v>
      </c>
      <c r="AG374" s="40" t="s">
        <v>45</v>
      </c>
      <c r="AH374" s="40" t="s">
        <v>45</v>
      </c>
      <c r="AI374" s="40" t="s">
        <v>45</v>
      </c>
      <c r="AJ374" s="40" t="s">
        <v>45</v>
      </c>
      <c r="AK374" s="40" t="s">
        <v>45</v>
      </c>
      <c r="AL374" s="40" t="s">
        <v>45</v>
      </c>
      <c r="AM374" s="40" t="s">
        <v>45</v>
      </c>
      <c r="AN374" s="40" t="s">
        <v>45</v>
      </c>
      <c r="AO374" s="41" t="s">
        <v>45</v>
      </c>
      <c r="AP374" s="40" t="s">
        <v>349</v>
      </c>
      <c r="AQ374" s="40">
        <v>2</v>
      </c>
      <c r="AR374" s="48" t="s">
        <v>14</v>
      </c>
      <c r="AS374" s="43" t="s">
        <v>670</v>
      </c>
      <c r="AT374" s="43" t="s">
        <v>47</v>
      </c>
      <c r="AU374" s="44">
        <f t="shared" si="41"/>
        <v>-2.5067929134584248</v>
      </c>
      <c r="AV374" s="44">
        <f t="shared" si="42"/>
        <v>-1.1872743815947853</v>
      </c>
      <c r="AW374" s="45">
        <f t="shared" si="43"/>
        <v>2</v>
      </c>
      <c r="AX374" s="45">
        <f t="shared" si="44"/>
        <v>1</v>
      </c>
      <c r="AY374" s="46">
        <f>VLOOKUP(AP374,COND!$A$10:$B$32,2,FALSE)</f>
        <v>1</v>
      </c>
      <c r="AZ374" s="44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23.802996096141978</v>
      </c>
      <c r="BA374" s="47">
        <f t="shared" si="49"/>
        <v>-0.8028343268653092</v>
      </c>
      <c r="BB374" s="45" t="str">
        <f t="shared" si="45"/>
        <v>RP</v>
      </c>
      <c r="BC374" s="45">
        <f>RANK(Table3[[#This Row],[zScore]],Table3[zScore])</f>
        <v>640</v>
      </c>
      <c r="BD374" s="45"/>
      <c r="BE374" s="45"/>
      <c r="BF374" s="45" t="str">
        <f t="shared" si="46"/>
        <v>Unlikely</v>
      </c>
      <c r="BG374" s="45"/>
      <c r="BH374" s="45">
        <f>INDEX(Table5[[#All],[Ovr]],MATCH(Table3[[#This Row],[PID]],Table5[[#All],[PID]],0))</f>
        <v>440</v>
      </c>
      <c r="BI374" s="45" t="str">
        <f>INDEX(Table5[[#All],[Rnd]],MATCH(Table3[[#This Row],[PID]],Table5[[#All],[PID]],0))</f>
        <v>15</v>
      </c>
      <c r="BJ374" s="45">
        <f>INDEX(Table5[[#All],[Pick]],MATCH(Table3[[#This Row],[PID]],Table5[[#All],[PID]],0))</f>
        <v>12</v>
      </c>
      <c r="BK374" s="45" t="str">
        <f>INDEX(Table5[[#All],[Team]],MATCH(Table3[[#This Row],[PID]],Table5[[#All],[PID]],0))</f>
        <v>Palm Springs Codgers</v>
      </c>
      <c r="BL3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5" spans="1:64" ht="15" customHeight="1" x14ac:dyDescent="0.25">
      <c r="A375" s="40">
        <v>20711</v>
      </c>
      <c r="B375" s="40" t="s">
        <v>415</v>
      </c>
      <c r="C375" s="40" t="s">
        <v>2004</v>
      </c>
      <c r="D375" s="40" t="s">
        <v>2005</v>
      </c>
      <c r="E375" s="40">
        <v>18</v>
      </c>
      <c r="F375" s="40" t="s">
        <v>62</v>
      </c>
      <c r="G375" s="40" t="s">
        <v>42</v>
      </c>
      <c r="H375" s="41" t="s">
        <v>647</v>
      </c>
      <c r="I375" s="42" t="s">
        <v>43</v>
      </c>
      <c r="J375" s="40" t="s">
        <v>43</v>
      </c>
      <c r="K375" s="41" t="s">
        <v>43</v>
      </c>
      <c r="L375" s="40">
        <v>1</v>
      </c>
      <c r="M375" s="40">
        <v>2</v>
      </c>
      <c r="N375" s="41">
        <v>1</v>
      </c>
      <c r="O375" s="40">
        <v>3</v>
      </c>
      <c r="P375" s="40">
        <v>2</v>
      </c>
      <c r="Q375" s="41">
        <v>2</v>
      </c>
      <c r="R375" s="40" t="s">
        <v>45</v>
      </c>
      <c r="S375" s="40" t="s">
        <v>45</v>
      </c>
      <c r="T375" s="40">
        <v>1</v>
      </c>
      <c r="U375" s="40">
        <v>3</v>
      </c>
      <c r="V375" s="40">
        <v>1</v>
      </c>
      <c r="W375" s="40">
        <v>5</v>
      </c>
      <c r="X375" s="40" t="s">
        <v>45</v>
      </c>
      <c r="Y375" s="40" t="s">
        <v>45</v>
      </c>
      <c r="Z375" s="40" t="s">
        <v>45</v>
      </c>
      <c r="AA375" s="40" t="s">
        <v>45</v>
      </c>
      <c r="AB375" s="40" t="s">
        <v>45</v>
      </c>
      <c r="AC375" s="40" t="s">
        <v>45</v>
      </c>
      <c r="AD375" s="40">
        <v>2</v>
      </c>
      <c r="AE375" s="40">
        <v>4</v>
      </c>
      <c r="AF375" s="40" t="s">
        <v>45</v>
      </c>
      <c r="AG375" s="40" t="s">
        <v>45</v>
      </c>
      <c r="AH375" s="40" t="s">
        <v>45</v>
      </c>
      <c r="AI375" s="40" t="s">
        <v>45</v>
      </c>
      <c r="AJ375" s="40" t="s">
        <v>45</v>
      </c>
      <c r="AK375" s="40" t="s">
        <v>45</v>
      </c>
      <c r="AL375" s="40" t="s">
        <v>45</v>
      </c>
      <c r="AM375" s="40" t="s">
        <v>45</v>
      </c>
      <c r="AN375" s="40" t="s">
        <v>45</v>
      </c>
      <c r="AO375" s="41" t="s">
        <v>45</v>
      </c>
      <c r="AP375" s="40" t="s">
        <v>64</v>
      </c>
      <c r="AQ375" s="40">
        <v>3</v>
      </c>
      <c r="AR375" s="48" t="s">
        <v>347</v>
      </c>
      <c r="AS375" s="43" t="s">
        <v>670</v>
      </c>
      <c r="AT375" s="43" t="s">
        <v>635</v>
      </c>
      <c r="AU375" s="44">
        <f t="shared" si="41"/>
        <v>-2.5060525215375429</v>
      </c>
      <c r="AV375" s="44">
        <f t="shared" si="42"/>
        <v>-1.4288545557280135</v>
      </c>
      <c r="AW375" s="45">
        <f t="shared" si="43"/>
        <v>3</v>
      </c>
      <c r="AX375" s="45">
        <f t="shared" si="44"/>
        <v>0</v>
      </c>
      <c r="AY375" s="46">
        <f>VLOOKUP(AP375,COND!$A$10:$B$32,2,FALSE)</f>
        <v>1</v>
      </c>
      <c r="AZ375" s="44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23.800613462075614</v>
      </c>
      <c r="BA375" s="47">
        <f t="shared" si="49"/>
        <v>-0.8029928398688202</v>
      </c>
      <c r="BB375" s="45" t="str">
        <f t="shared" si="45"/>
        <v>RP</v>
      </c>
      <c r="BC375" s="45">
        <f>RANK(Table3[[#This Row],[zScore]],Table3[zScore])</f>
        <v>641</v>
      </c>
      <c r="BD375" s="45"/>
      <c r="BE375" s="45"/>
      <c r="BF375" s="45" t="str">
        <f t="shared" si="46"/>
        <v>Unlikely</v>
      </c>
      <c r="BG375" s="45"/>
      <c r="BH375" s="45" t="str">
        <f>INDEX(Table5[[#All],[Ovr]],MATCH(Table3[[#This Row],[PID]],Table5[[#All],[PID]],0))</f>
        <v/>
      </c>
      <c r="BI375" s="45" t="str">
        <f>INDEX(Table5[[#All],[Rnd]],MATCH(Table3[[#This Row],[PID]],Table5[[#All],[PID]],0))</f>
        <v/>
      </c>
      <c r="BJ375" s="45" t="str">
        <f>INDEX(Table5[[#All],[Pick]],MATCH(Table3[[#This Row],[PID]],Table5[[#All],[PID]],0))</f>
        <v/>
      </c>
      <c r="BK375" s="45" t="str">
        <f>INDEX(Table5[[#All],[Team]],MATCH(Table3[[#This Row],[PID]],Table5[[#All],[PID]],0))</f>
        <v/>
      </c>
      <c r="BL3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6" spans="1:64" ht="15" customHeight="1" x14ac:dyDescent="0.25">
      <c r="A376" s="40">
        <v>7163</v>
      </c>
      <c r="B376" s="40" t="s">
        <v>415</v>
      </c>
      <c r="C376" s="40" t="s">
        <v>681</v>
      </c>
      <c r="D376" s="40" t="s">
        <v>696</v>
      </c>
      <c r="E376" s="40">
        <v>22</v>
      </c>
      <c r="F376" s="40" t="s">
        <v>53</v>
      </c>
      <c r="G376" s="40" t="s">
        <v>53</v>
      </c>
      <c r="H376" s="41" t="s">
        <v>647</v>
      </c>
      <c r="I376" s="42" t="s">
        <v>44</v>
      </c>
      <c r="J376" s="40" t="s">
        <v>43</v>
      </c>
      <c r="K376" s="41" t="s">
        <v>43</v>
      </c>
      <c r="L376" s="40">
        <v>3</v>
      </c>
      <c r="M376" s="40">
        <v>1</v>
      </c>
      <c r="N376" s="41">
        <v>2</v>
      </c>
      <c r="O376" s="40">
        <v>4</v>
      </c>
      <c r="P376" s="40">
        <v>1</v>
      </c>
      <c r="Q376" s="41">
        <v>3</v>
      </c>
      <c r="R376" s="40">
        <v>4</v>
      </c>
      <c r="S376" s="40">
        <v>5</v>
      </c>
      <c r="T376" s="40">
        <v>3</v>
      </c>
      <c r="U376" s="40">
        <v>4</v>
      </c>
      <c r="V376" s="40" t="s">
        <v>45</v>
      </c>
      <c r="W376" s="40" t="s">
        <v>45</v>
      </c>
      <c r="X376" s="40" t="s">
        <v>45</v>
      </c>
      <c r="Y376" s="40" t="s">
        <v>45</v>
      </c>
      <c r="Z376" s="40" t="s">
        <v>45</v>
      </c>
      <c r="AA376" s="40" t="s">
        <v>45</v>
      </c>
      <c r="AB376" s="40">
        <v>3</v>
      </c>
      <c r="AC376" s="40">
        <v>3</v>
      </c>
      <c r="AD376" s="40" t="s">
        <v>45</v>
      </c>
      <c r="AE376" s="40" t="s">
        <v>45</v>
      </c>
      <c r="AF376" s="40" t="s">
        <v>45</v>
      </c>
      <c r="AG376" s="40" t="s">
        <v>45</v>
      </c>
      <c r="AH376" s="40" t="s">
        <v>45</v>
      </c>
      <c r="AI376" s="40" t="s">
        <v>45</v>
      </c>
      <c r="AJ376" s="40" t="s">
        <v>45</v>
      </c>
      <c r="AK376" s="40" t="s">
        <v>45</v>
      </c>
      <c r="AL376" s="40">
        <v>3</v>
      </c>
      <c r="AM376" s="40">
        <v>4</v>
      </c>
      <c r="AN376" s="40" t="s">
        <v>45</v>
      </c>
      <c r="AO376" s="41" t="s">
        <v>45</v>
      </c>
      <c r="AP376" s="40" t="s">
        <v>57</v>
      </c>
      <c r="AQ376" s="40">
        <v>3</v>
      </c>
      <c r="AR376" s="48" t="s">
        <v>351</v>
      </c>
      <c r="AS376" s="43" t="s">
        <v>45</v>
      </c>
      <c r="AT376" s="43" t="s">
        <v>47</v>
      </c>
      <c r="AU376" s="44">
        <f t="shared" si="41"/>
        <v>-2.0697810228951408</v>
      </c>
      <c r="AV376" s="44">
        <f t="shared" si="42"/>
        <v>-1.1872743815947853</v>
      </c>
      <c r="AW376" s="45">
        <f t="shared" si="43"/>
        <v>4</v>
      </c>
      <c r="AX376" s="45">
        <f t="shared" si="44"/>
        <v>0</v>
      </c>
      <c r="AY376" s="46">
        <f>VLOOKUP(AP376,COND!$A$10:$B$32,2,FALSE)</f>
        <v>1</v>
      </c>
      <c r="AZ376" s="44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23.798528355348999</v>
      </c>
      <c r="BA376" s="47">
        <f t="shared" si="49"/>
        <v>-0.80313155883307186</v>
      </c>
      <c r="BB376" s="45" t="str">
        <f t="shared" si="45"/>
        <v>RP</v>
      </c>
      <c r="BC376" s="45">
        <f>RANK(Table3[[#This Row],[zScore]],Table3[zScore])</f>
        <v>642</v>
      </c>
      <c r="BD376" s="45"/>
      <c r="BE376" s="45"/>
      <c r="BF376" s="45" t="str">
        <f t="shared" si="46"/>
        <v>Unlikely</v>
      </c>
      <c r="BG376" s="45"/>
      <c r="BH376" s="45" t="str">
        <f>INDEX(Table5[[#All],[Ovr]],MATCH(Table3[[#This Row],[PID]],Table5[[#All],[PID]],0))</f>
        <v/>
      </c>
      <c r="BI376" s="45" t="str">
        <f>INDEX(Table5[[#All],[Rnd]],MATCH(Table3[[#This Row],[PID]],Table5[[#All],[PID]],0))</f>
        <v/>
      </c>
      <c r="BJ376" s="45" t="str">
        <f>INDEX(Table5[[#All],[Pick]],MATCH(Table3[[#This Row],[PID]],Table5[[#All],[PID]],0))</f>
        <v/>
      </c>
      <c r="BK376" s="45" t="str">
        <f>INDEX(Table5[[#All],[Team]],MATCH(Table3[[#This Row],[PID]],Table5[[#All],[PID]],0))</f>
        <v/>
      </c>
      <c r="BL3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7" spans="1:64" ht="15" customHeight="1" x14ac:dyDescent="0.25">
      <c r="A377" s="40">
        <v>10186</v>
      </c>
      <c r="B377" s="40" t="s">
        <v>415</v>
      </c>
      <c r="C377" s="40" t="s">
        <v>142</v>
      </c>
      <c r="D377" s="40" t="s">
        <v>1144</v>
      </c>
      <c r="E377" s="40">
        <v>22</v>
      </c>
      <c r="F377" s="40" t="s">
        <v>42</v>
      </c>
      <c r="G377" s="40" t="s">
        <v>42</v>
      </c>
      <c r="H377" s="41" t="s">
        <v>647</v>
      </c>
      <c r="I377" s="42" t="s">
        <v>44</v>
      </c>
      <c r="J377" s="40" t="s">
        <v>43</v>
      </c>
      <c r="K377" s="41" t="s">
        <v>43</v>
      </c>
      <c r="L377" s="40">
        <v>2</v>
      </c>
      <c r="M377" s="40">
        <v>1</v>
      </c>
      <c r="N377" s="41">
        <v>2</v>
      </c>
      <c r="O377" s="40">
        <v>3</v>
      </c>
      <c r="P377" s="40">
        <v>1</v>
      </c>
      <c r="Q377" s="41">
        <v>4</v>
      </c>
      <c r="R377" s="40">
        <v>3</v>
      </c>
      <c r="S377" s="40">
        <v>4</v>
      </c>
      <c r="T377" s="40">
        <v>2</v>
      </c>
      <c r="U377" s="40">
        <v>4</v>
      </c>
      <c r="V377" s="40" t="s">
        <v>45</v>
      </c>
      <c r="W377" s="40" t="s">
        <v>45</v>
      </c>
      <c r="X377" s="40">
        <v>3</v>
      </c>
      <c r="Y377" s="40">
        <v>4</v>
      </c>
      <c r="Z377" s="40" t="s">
        <v>45</v>
      </c>
      <c r="AA377" s="40" t="s">
        <v>45</v>
      </c>
      <c r="AB377" s="40" t="s">
        <v>45</v>
      </c>
      <c r="AC377" s="40" t="s">
        <v>45</v>
      </c>
      <c r="AD377" s="40" t="s">
        <v>45</v>
      </c>
      <c r="AE377" s="40" t="s">
        <v>45</v>
      </c>
      <c r="AF377" s="40">
        <v>2</v>
      </c>
      <c r="AG377" s="40">
        <v>3</v>
      </c>
      <c r="AH377" s="40" t="s">
        <v>45</v>
      </c>
      <c r="AI377" s="40" t="s">
        <v>45</v>
      </c>
      <c r="AJ377" s="40" t="s">
        <v>45</v>
      </c>
      <c r="AK377" s="40" t="s">
        <v>45</v>
      </c>
      <c r="AL377" s="40" t="s">
        <v>45</v>
      </c>
      <c r="AM377" s="40" t="s">
        <v>45</v>
      </c>
      <c r="AN377" s="40" t="s">
        <v>45</v>
      </c>
      <c r="AO377" s="41" t="s">
        <v>45</v>
      </c>
      <c r="AP377" s="40" t="s">
        <v>349</v>
      </c>
      <c r="AQ377" s="40">
        <v>9</v>
      </c>
      <c r="AR377" s="48" t="s">
        <v>14</v>
      </c>
      <c r="AS377" s="43" t="s">
        <v>45</v>
      </c>
      <c r="AT377" s="43"/>
      <c r="AU377" s="44">
        <f t="shared" si="41"/>
        <v>-2.2644723474043147</v>
      </c>
      <c r="AV377" s="44">
        <f t="shared" si="42"/>
        <v>-1.1396451400498482</v>
      </c>
      <c r="AW377" s="45">
        <f t="shared" si="43"/>
        <v>4</v>
      </c>
      <c r="AX377" s="45">
        <f t="shared" si="44"/>
        <v>0</v>
      </c>
      <c r="AY377" s="46">
        <f>VLOOKUP(AP377,COND!$A$10:$B$32,2,FALSE)</f>
        <v>1</v>
      </c>
      <c r="AZ377" s="44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25.604202729522171</v>
      </c>
      <c r="BA377" s="47">
        <f>STANDARDIZE(AZ377,AVERAGE($AZ$5:$AZ$788),STDEVP($AZ$5:$AZ$788))</f>
        <v>-0.80867040131297807</v>
      </c>
      <c r="BB377" s="45" t="str">
        <f t="shared" si="45"/>
        <v>SP</v>
      </c>
      <c r="BC377" s="45">
        <f>RANK(Table3[[#This Row],[zScore]],Table3[zScore])</f>
        <v>643</v>
      </c>
      <c r="BD377" s="45"/>
      <c r="BE377" s="45"/>
      <c r="BF377" s="45" t="str">
        <f t="shared" si="46"/>
        <v>Unlikely</v>
      </c>
      <c r="BG377" s="45"/>
      <c r="BH377" s="64" t="str">
        <f>INDEX(Table5[[#All],[Ovr]],MATCH(Table3[[#This Row],[PID]],Table5[[#All],[PID]],0))</f>
        <v/>
      </c>
      <c r="BI377" s="64" t="str">
        <f>INDEX(Table5[[#All],[Rnd]],MATCH(Table3[[#This Row],[PID]],Table5[[#All],[PID]],0))</f>
        <v/>
      </c>
      <c r="BJ377" s="64" t="str">
        <f>INDEX(Table5[[#All],[Pick]],MATCH(Table3[[#This Row],[PID]],Table5[[#All],[PID]],0))</f>
        <v/>
      </c>
      <c r="BK377" s="64" t="str">
        <f>INDEX(Table5[[#All],[Team]],MATCH(Table3[[#This Row],[PID]],Table5[[#All],[PID]],0))</f>
        <v/>
      </c>
      <c r="BL377" s="64" t="str">
        <f>IF(OR(Table3[[#This Row],[POS]]="SP",Table3[[#This Row],[POS]]="RP",Table3[[#This Row],[POS]]="CL"),"P",INDEX(Batters[[#All],[zScore]],MATCH(Table3[[#This Row],[PID]],Batters[[#All],[PID]],0)))</f>
        <v>P</v>
      </c>
    </row>
    <row r="378" spans="1:64" ht="15" customHeight="1" x14ac:dyDescent="0.25">
      <c r="A378" s="40">
        <v>13416</v>
      </c>
      <c r="B378" s="40" t="s">
        <v>415</v>
      </c>
      <c r="C378" s="40" t="s">
        <v>411</v>
      </c>
      <c r="D378" s="40" t="s">
        <v>587</v>
      </c>
      <c r="E378" s="40">
        <v>22</v>
      </c>
      <c r="F378" s="40" t="s">
        <v>53</v>
      </c>
      <c r="G378" s="40" t="s">
        <v>53</v>
      </c>
      <c r="H378" s="41" t="s">
        <v>647</v>
      </c>
      <c r="I378" s="42" t="s">
        <v>43</v>
      </c>
      <c r="J378" s="40" t="s">
        <v>43</v>
      </c>
      <c r="K378" s="41" t="s">
        <v>43</v>
      </c>
      <c r="L378" s="40">
        <v>2</v>
      </c>
      <c r="M378" s="40">
        <v>2</v>
      </c>
      <c r="N378" s="41">
        <v>2</v>
      </c>
      <c r="O378" s="40">
        <v>4</v>
      </c>
      <c r="P378" s="40">
        <v>2</v>
      </c>
      <c r="Q378" s="41">
        <v>2</v>
      </c>
      <c r="R378" s="40">
        <v>3</v>
      </c>
      <c r="S378" s="40">
        <v>4</v>
      </c>
      <c r="T378" s="40">
        <v>1</v>
      </c>
      <c r="U378" s="40">
        <v>1</v>
      </c>
      <c r="V378" s="40" t="s">
        <v>45</v>
      </c>
      <c r="W378" s="40" t="s">
        <v>45</v>
      </c>
      <c r="X378" s="40">
        <v>3</v>
      </c>
      <c r="Y378" s="40">
        <v>5</v>
      </c>
      <c r="Z378" s="40" t="s">
        <v>45</v>
      </c>
      <c r="AA378" s="40" t="s">
        <v>45</v>
      </c>
      <c r="AB378" s="40" t="s">
        <v>45</v>
      </c>
      <c r="AC378" s="40" t="s">
        <v>45</v>
      </c>
      <c r="AD378" s="40" t="s">
        <v>45</v>
      </c>
      <c r="AE378" s="40" t="s">
        <v>45</v>
      </c>
      <c r="AF378" s="40" t="s">
        <v>45</v>
      </c>
      <c r="AG378" s="40" t="s">
        <v>45</v>
      </c>
      <c r="AH378" s="40" t="s">
        <v>45</v>
      </c>
      <c r="AI378" s="40" t="s">
        <v>45</v>
      </c>
      <c r="AJ378" s="40" t="s">
        <v>45</v>
      </c>
      <c r="AK378" s="40" t="s">
        <v>45</v>
      </c>
      <c r="AL378" s="40" t="s">
        <v>45</v>
      </c>
      <c r="AM378" s="40" t="s">
        <v>45</v>
      </c>
      <c r="AN378" s="40" t="s">
        <v>45</v>
      </c>
      <c r="AO378" s="41" t="s">
        <v>45</v>
      </c>
      <c r="AP378" s="40" t="s">
        <v>68</v>
      </c>
      <c r="AQ378" s="40">
        <v>1</v>
      </c>
      <c r="AR378" s="48" t="s">
        <v>347</v>
      </c>
      <c r="AS378" s="43" t="s">
        <v>45</v>
      </c>
      <c r="AT378" s="43" t="s">
        <v>47</v>
      </c>
      <c r="AU378" s="44">
        <f t="shared" si="41"/>
        <v>-2.0690406309742588</v>
      </c>
      <c r="AV378" s="44">
        <f t="shared" si="42"/>
        <v>-1.23416323121884</v>
      </c>
      <c r="AW378" s="45">
        <f t="shared" si="43"/>
        <v>3</v>
      </c>
      <c r="AX378" s="45">
        <f t="shared" si="44"/>
        <v>0</v>
      </c>
      <c r="AY378" s="46">
        <f>VLOOKUP(AP378,COND!$A$10:$B$32,2,FALSE)</f>
        <v>0.95</v>
      </c>
      <c r="AZ378" s="44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23.703641842609088</v>
      </c>
      <c r="BA378" s="47">
        <f>STANDARDIZE(AZ378,AVERAGE($AZ$5:$AZ$557),STDEVP($AZ$5:$AZ$557))</f>
        <v>-0.80944421352873908</v>
      </c>
      <c r="BB378" s="45" t="str">
        <f t="shared" si="45"/>
        <v>RP</v>
      </c>
      <c r="BC378" s="45">
        <f>RANK(Table3[[#This Row],[zScore]],Table3[zScore])</f>
        <v>644</v>
      </c>
      <c r="BD378" s="45"/>
      <c r="BE378" s="45"/>
      <c r="BF378" s="45" t="str">
        <f t="shared" si="46"/>
        <v>Unlikely</v>
      </c>
      <c r="BG378" s="45"/>
      <c r="BH378" s="45" t="str">
        <f>INDEX(Table5[[#All],[Ovr]],MATCH(Table3[[#This Row],[PID]],Table5[[#All],[PID]],0))</f>
        <v/>
      </c>
      <c r="BI378" s="45" t="str">
        <f>INDEX(Table5[[#All],[Rnd]],MATCH(Table3[[#This Row],[PID]],Table5[[#All],[PID]],0))</f>
        <v/>
      </c>
      <c r="BJ378" s="45" t="str">
        <f>INDEX(Table5[[#All],[Pick]],MATCH(Table3[[#This Row],[PID]],Table5[[#All],[PID]],0))</f>
        <v/>
      </c>
      <c r="BK378" s="45" t="str">
        <f>INDEX(Table5[[#All],[Team]],MATCH(Table3[[#This Row],[PID]],Table5[[#All],[PID]],0))</f>
        <v/>
      </c>
      <c r="BL3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79" spans="1:64" ht="15" customHeight="1" x14ac:dyDescent="0.25">
      <c r="A379" s="40">
        <v>20911</v>
      </c>
      <c r="B379" s="40" t="s">
        <v>415</v>
      </c>
      <c r="C379" s="40" t="s">
        <v>208</v>
      </c>
      <c r="D379" s="40" t="s">
        <v>201</v>
      </c>
      <c r="E379" s="40">
        <v>18</v>
      </c>
      <c r="F379" s="40" t="s">
        <v>62</v>
      </c>
      <c r="G379" s="40" t="s">
        <v>42</v>
      </c>
      <c r="H379" s="41" t="s">
        <v>647</v>
      </c>
      <c r="I379" s="42" t="s">
        <v>43</v>
      </c>
      <c r="J379" s="40" t="s">
        <v>44</v>
      </c>
      <c r="K379" s="41" t="s">
        <v>43</v>
      </c>
      <c r="L379" s="40">
        <v>1</v>
      </c>
      <c r="M379" s="40">
        <v>1</v>
      </c>
      <c r="N379" s="41">
        <v>1</v>
      </c>
      <c r="O379" s="40">
        <v>4</v>
      </c>
      <c r="P379" s="40">
        <v>1</v>
      </c>
      <c r="Q379" s="41">
        <v>3</v>
      </c>
      <c r="R379" s="40">
        <v>2</v>
      </c>
      <c r="S379" s="40">
        <v>5</v>
      </c>
      <c r="T379" s="40" t="s">
        <v>45</v>
      </c>
      <c r="U379" s="40" t="s">
        <v>45</v>
      </c>
      <c r="V379" s="40" t="s">
        <v>45</v>
      </c>
      <c r="W379" s="40" t="s">
        <v>45</v>
      </c>
      <c r="X379" s="40" t="s">
        <v>45</v>
      </c>
      <c r="Y379" s="40" t="s">
        <v>45</v>
      </c>
      <c r="Z379" s="40" t="s">
        <v>45</v>
      </c>
      <c r="AA379" s="40" t="s">
        <v>45</v>
      </c>
      <c r="AB379" s="40">
        <v>2</v>
      </c>
      <c r="AC379" s="40">
        <v>5</v>
      </c>
      <c r="AD379" s="40" t="s">
        <v>45</v>
      </c>
      <c r="AE379" s="40" t="s">
        <v>45</v>
      </c>
      <c r="AF379" s="40" t="s">
        <v>45</v>
      </c>
      <c r="AG379" s="40" t="s">
        <v>45</v>
      </c>
      <c r="AH379" s="40" t="s">
        <v>45</v>
      </c>
      <c r="AI379" s="40" t="s">
        <v>45</v>
      </c>
      <c r="AJ379" s="40" t="s">
        <v>45</v>
      </c>
      <c r="AK379" s="40" t="s">
        <v>45</v>
      </c>
      <c r="AL379" s="40" t="s">
        <v>45</v>
      </c>
      <c r="AM379" s="40" t="s">
        <v>45</v>
      </c>
      <c r="AN379" s="40" t="s">
        <v>45</v>
      </c>
      <c r="AO379" s="41" t="s">
        <v>45</v>
      </c>
      <c r="AP379" s="40" t="s">
        <v>68</v>
      </c>
      <c r="AQ379" s="40">
        <v>4</v>
      </c>
      <c r="AR379" s="48" t="s">
        <v>347</v>
      </c>
      <c r="AS379" s="43" t="s">
        <v>663</v>
      </c>
      <c r="AT379" s="43" t="s">
        <v>47</v>
      </c>
      <c r="AU379" s="44">
        <f t="shared" si="41"/>
        <v>-2.7014842379675978</v>
      </c>
      <c r="AV379" s="44">
        <f t="shared" si="42"/>
        <v>-1.1872743815947853</v>
      </c>
      <c r="AW379" s="45">
        <f t="shared" si="43"/>
        <v>2</v>
      </c>
      <c r="AX379" s="45">
        <f t="shared" si="44"/>
        <v>0</v>
      </c>
      <c r="AY379" s="46">
        <f>VLOOKUP(AP379,COND!$A$10:$B$32,2,FALSE)</f>
        <v>0.95</v>
      </c>
      <c r="AZ379" s="44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23.684579507260977</v>
      </c>
      <c r="BA379" s="47">
        <f>STANDARDIZE(AZ379,AVERAGE($AZ$5:$AZ$557),STDEVP($AZ$5:$AZ$557))</f>
        <v>-0.81071240157012558</v>
      </c>
      <c r="BB379" s="45" t="str">
        <f t="shared" si="45"/>
        <v>RP</v>
      </c>
      <c r="BC379" s="45">
        <f>RANK(Table3[[#This Row],[zScore]],Table3[zScore])</f>
        <v>645</v>
      </c>
      <c r="BD379" s="45"/>
      <c r="BE379" s="45"/>
      <c r="BF379" s="45" t="str">
        <f t="shared" si="46"/>
        <v>Unlikely</v>
      </c>
      <c r="BG379" s="45"/>
      <c r="BH379" s="45" t="str">
        <f>INDEX(Table5[[#All],[Ovr]],MATCH(Table3[[#This Row],[PID]],Table5[[#All],[PID]],0))</f>
        <v/>
      </c>
      <c r="BI379" s="45" t="str">
        <f>INDEX(Table5[[#All],[Rnd]],MATCH(Table3[[#This Row],[PID]],Table5[[#All],[PID]],0))</f>
        <v/>
      </c>
      <c r="BJ379" s="45" t="str">
        <f>INDEX(Table5[[#All],[Pick]],MATCH(Table3[[#This Row],[PID]],Table5[[#All],[PID]],0))</f>
        <v/>
      </c>
      <c r="BK379" s="45" t="str">
        <f>INDEX(Table5[[#All],[Team]],MATCH(Table3[[#This Row],[PID]],Table5[[#All],[PID]],0))</f>
        <v/>
      </c>
      <c r="BL3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0" spans="1:64" ht="15" customHeight="1" x14ac:dyDescent="0.25">
      <c r="A380" s="40">
        <v>20358</v>
      </c>
      <c r="B380" s="40" t="s">
        <v>415</v>
      </c>
      <c r="C380" s="40" t="s">
        <v>1193</v>
      </c>
      <c r="D380" s="40" t="s">
        <v>2174</v>
      </c>
      <c r="E380" s="40">
        <v>17</v>
      </c>
      <c r="F380" s="40" t="s">
        <v>42</v>
      </c>
      <c r="G380" s="40" t="s">
        <v>42</v>
      </c>
      <c r="H380" s="41" t="s">
        <v>647</v>
      </c>
      <c r="I380" s="42" t="s">
        <v>43</v>
      </c>
      <c r="J380" s="40" t="s">
        <v>44</v>
      </c>
      <c r="K380" s="41" t="s">
        <v>43</v>
      </c>
      <c r="L380" s="40">
        <v>1</v>
      </c>
      <c r="M380" s="40">
        <v>1</v>
      </c>
      <c r="N380" s="41">
        <v>1</v>
      </c>
      <c r="O380" s="40">
        <v>3</v>
      </c>
      <c r="P380" s="40">
        <v>2</v>
      </c>
      <c r="Q380" s="41">
        <v>2</v>
      </c>
      <c r="R380" s="40">
        <v>2</v>
      </c>
      <c r="S380" s="40">
        <v>4</v>
      </c>
      <c r="T380" s="40">
        <v>1</v>
      </c>
      <c r="U380" s="40">
        <v>2</v>
      </c>
      <c r="V380" s="40" t="s">
        <v>45</v>
      </c>
      <c r="W380" s="40" t="s">
        <v>45</v>
      </c>
      <c r="X380" s="40">
        <v>2</v>
      </c>
      <c r="Y380" s="40">
        <v>5</v>
      </c>
      <c r="Z380" s="40" t="s">
        <v>45</v>
      </c>
      <c r="AA380" s="40" t="s">
        <v>45</v>
      </c>
      <c r="AB380" s="40" t="s">
        <v>45</v>
      </c>
      <c r="AC380" s="40" t="s">
        <v>45</v>
      </c>
      <c r="AD380" s="40" t="s">
        <v>45</v>
      </c>
      <c r="AE380" s="40" t="s">
        <v>45</v>
      </c>
      <c r="AF380" s="40" t="s">
        <v>45</v>
      </c>
      <c r="AG380" s="40" t="s">
        <v>45</v>
      </c>
      <c r="AH380" s="40" t="s">
        <v>45</v>
      </c>
      <c r="AI380" s="40" t="s">
        <v>45</v>
      </c>
      <c r="AJ380" s="40" t="s">
        <v>45</v>
      </c>
      <c r="AK380" s="40" t="s">
        <v>45</v>
      </c>
      <c r="AL380" s="40" t="s">
        <v>45</v>
      </c>
      <c r="AM380" s="40" t="s">
        <v>45</v>
      </c>
      <c r="AN380" s="40" t="s">
        <v>45</v>
      </c>
      <c r="AO380" s="41" t="s">
        <v>45</v>
      </c>
      <c r="AP380" s="40" t="s">
        <v>65</v>
      </c>
      <c r="AQ380" s="40">
        <v>8</v>
      </c>
      <c r="AR380" s="48" t="s">
        <v>14</v>
      </c>
      <c r="AS380" s="43" t="s">
        <v>670</v>
      </c>
      <c r="AT380" s="43"/>
      <c r="AU380" s="44">
        <f t="shared" si="41"/>
        <v>-2.7014842379675978</v>
      </c>
      <c r="AV380" s="44">
        <f t="shared" si="42"/>
        <v>-1.4288545557280135</v>
      </c>
      <c r="AW380" s="45">
        <f t="shared" si="43"/>
        <v>3</v>
      </c>
      <c r="AX380" s="45">
        <f t="shared" si="44"/>
        <v>0</v>
      </c>
      <c r="AY380" s="46">
        <f>VLOOKUP(AP380,COND!$A$10:$B$32,2,FALSE)</f>
        <v>0.95</v>
      </c>
      <c r="AZ380" s="44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25.463481435953902</v>
      </c>
      <c r="BA380" s="47">
        <f>STANDARDIZE(AZ380,AVERAGE($AZ$5:$AZ$788),STDEVP($AZ$5:$AZ$788))</f>
        <v>-0.81885334105499019</v>
      </c>
      <c r="BB380" s="45" t="str">
        <f t="shared" si="45"/>
        <v>SP</v>
      </c>
      <c r="BC380" s="45">
        <f>RANK(Table3[[#This Row],[zScore]],Table3[zScore])</f>
        <v>646</v>
      </c>
      <c r="BD380" s="45"/>
      <c r="BE380" s="45"/>
      <c r="BF380" s="45" t="str">
        <f t="shared" si="46"/>
        <v>Unlikely</v>
      </c>
      <c r="BG380" s="45"/>
      <c r="BH380" s="64" t="str">
        <f>INDEX(Table5[[#All],[Ovr]],MATCH(Table3[[#This Row],[PID]],Table5[[#All],[PID]],0))</f>
        <v/>
      </c>
      <c r="BI380" s="64" t="str">
        <f>INDEX(Table5[[#All],[Rnd]],MATCH(Table3[[#This Row],[PID]],Table5[[#All],[PID]],0))</f>
        <v/>
      </c>
      <c r="BJ380" s="64" t="str">
        <f>INDEX(Table5[[#All],[Pick]],MATCH(Table3[[#This Row],[PID]],Table5[[#All],[PID]],0))</f>
        <v/>
      </c>
      <c r="BK380" s="64" t="str">
        <f>INDEX(Table5[[#All],[Team]],MATCH(Table3[[#This Row],[PID]],Table5[[#All],[PID]],0))</f>
        <v/>
      </c>
      <c r="BL380" s="64" t="str">
        <f>IF(OR(Table3[[#This Row],[POS]]="SP",Table3[[#This Row],[POS]]="RP",Table3[[#This Row],[POS]]="CL"),"P",INDEX(Batters[[#All],[zScore]],MATCH(Table3[[#This Row],[PID]],Batters[[#All],[PID]],0)))</f>
        <v>P</v>
      </c>
    </row>
    <row r="381" spans="1:64" ht="15" customHeight="1" x14ac:dyDescent="0.25">
      <c r="A381" s="40">
        <v>20238</v>
      </c>
      <c r="B381" s="40" t="s">
        <v>415</v>
      </c>
      <c r="C381" s="40" t="s">
        <v>1314</v>
      </c>
      <c r="D381" s="40" t="s">
        <v>1112</v>
      </c>
      <c r="E381" s="40">
        <v>22</v>
      </c>
      <c r="F381" s="40" t="s">
        <v>42</v>
      </c>
      <c r="G381" s="40" t="s">
        <v>42</v>
      </c>
      <c r="H381" s="41" t="s">
        <v>647</v>
      </c>
      <c r="I381" s="42" t="s">
        <v>43</v>
      </c>
      <c r="J381" s="40" t="s">
        <v>43</v>
      </c>
      <c r="K381" s="41" t="s">
        <v>43</v>
      </c>
      <c r="L381" s="40">
        <v>3</v>
      </c>
      <c r="M381" s="40">
        <v>2</v>
      </c>
      <c r="N381" s="41">
        <v>2</v>
      </c>
      <c r="O381" s="40">
        <v>3</v>
      </c>
      <c r="P381" s="40">
        <v>2</v>
      </c>
      <c r="Q381" s="41">
        <v>3</v>
      </c>
      <c r="R381" s="40">
        <v>4</v>
      </c>
      <c r="S381" s="40">
        <v>5</v>
      </c>
      <c r="T381" s="40">
        <v>1</v>
      </c>
      <c r="U381" s="40">
        <v>3</v>
      </c>
      <c r="V381" s="40">
        <v>2</v>
      </c>
      <c r="W381" s="40">
        <v>4</v>
      </c>
      <c r="X381" s="40">
        <v>3</v>
      </c>
      <c r="Y381" s="40">
        <v>4</v>
      </c>
      <c r="Z381" s="40" t="s">
        <v>45</v>
      </c>
      <c r="AA381" s="40" t="s">
        <v>45</v>
      </c>
      <c r="AB381" s="40" t="s">
        <v>45</v>
      </c>
      <c r="AC381" s="40" t="s">
        <v>45</v>
      </c>
      <c r="AD381" s="40" t="s">
        <v>45</v>
      </c>
      <c r="AE381" s="40" t="s">
        <v>45</v>
      </c>
      <c r="AF381" s="40">
        <v>3</v>
      </c>
      <c r="AG381" s="40">
        <v>4</v>
      </c>
      <c r="AH381" s="40" t="s">
        <v>45</v>
      </c>
      <c r="AI381" s="40" t="s">
        <v>45</v>
      </c>
      <c r="AJ381" s="40" t="s">
        <v>45</v>
      </c>
      <c r="AK381" s="40" t="s">
        <v>45</v>
      </c>
      <c r="AL381" s="40" t="s">
        <v>45</v>
      </c>
      <c r="AM381" s="40" t="s">
        <v>45</v>
      </c>
      <c r="AN381" s="40" t="s">
        <v>45</v>
      </c>
      <c r="AO381" s="41" t="s">
        <v>45</v>
      </c>
      <c r="AP381" s="40" t="s">
        <v>56</v>
      </c>
      <c r="AQ381" s="40">
        <v>7</v>
      </c>
      <c r="AR381" s="48" t="s">
        <v>347</v>
      </c>
      <c r="AS381" s="43" t="s">
        <v>45</v>
      </c>
      <c r="AT381" s="43"/>
      <c r="AU381" s="44">
        <f t="shared" si="41"/>
        <v>-1.8743493064650851</v>
      </c>
      <c r="AV381" s="44">
        <f t="shared" si="42"/>
        <v>-1.1865339896739031</v>
      </c>
      <c r="AW381" s="45">
        <f t="shared" si="43"/>
        <v>5</v>
      </c>
      <c r="AX381" s="45">
        <f t="shared" si="44"/>
        <v>0</v>
      </c>
      <c r="AY381" s="46">
        <f>VLOOKUP(AP381,COND!$A$10:$B$32,2,FALSE)</f>
        <v>1</v>
      </c>
      <c r="AZ381" s="44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25.394450345228922</v>
      </c>
      <c r="BA381" s="47">
        <f>STANDARDIZE(AZ381,AVERAGE($AZ$5:$AZ$788),STDEVP($AZ$5:$AZ$788))</f>
        <v>-0.82384860097161983</v>
      </c>
      <c r="BB381" s="45" t="str">
        <f t="shared" si="45"/>
        <v>SP</v>
      </c>
      <c r="BC381" s="45">
        <f>RANK(Table3[[#This Row],[zScore]],Table3[zScore])</f>
        <v>649</v>
      </c>
      <c r="BD381" s="45"/>
      <c r="BE381" s="45"/>
      <c r="BF381" s="45" t="str">
        <f t="shared" si="46"/>
        <v>Unlikely</v>
      </c>
      <c r="BG381" s="45"/>
      <c r="BH381" s="64" t="str">
        <f>INDEX(Table5[[#All],[Ovr]],MATCH(Table3[[#This Row],[PID]],Table5[[#All],[PID]],0))</f>
        <v/>
      </c>
      <c r="BI381" s="64" t="str">
        <f>INDEX(Table5[[#All],[Rnd]],MATCH(Table3[[#This Row],[PID]],Table5[[#All],[PID]],0))</f>
        <v/>
      </c>
      <c r="BJ381" s="64" t="str">
        <f>INDEX(Table5[[#All],[Pick]],MATCH(Table3[[#This Row],[PID]],Table5[[#All],[PID]],0))</f>
        <v/>
      </c>
      <c r="BK381" s="64" t="str">
        <f>INDEX(Table5[[#All],[Team]],MATCH(Table3[[#This Row],[PID]],Table5[[#All],[PID]],0))</f>
        <v/>
      </c>
      <c r="BL381" s="64" t="str">
        <f>IF(OR(Table3[[#This Row],[POS]]="SP",Table3[[#This Row],[POS]]="RP",Table3[[#This Row],[POS]]="CL"),"P",INDEX(Batters[[#All],[zScore]],MATCH(Table3[[#This Row],[PID]],Batters[[#All],[PID]],0)))</f>
        <v>P</v>
      </c>
    </row>
    <row r="382" spans="1:64" ht="15" customHeight="1" x14ac:dyDescent="0.25">
      <c r="A382" s="40">
        <v>12218</v>
      </c>
      <c r="B382" s="40" t="s">
        <v>415</v>
      </c>
      <c r="C382" s="40" t="s">
        <v>204</v>
      </c>
      <c r="D382" s="40" t="s">
        <v>1086</v>
      </c>
      <c r="E382" s="40">
        <v>22</v>
      </c>
      <c r="F382" s="40" t="s">
        <v>62</v>
      </c>
      <c r="G382" s="40" t="s">
        <v>42</v>
      </c>
      <c r="H382" s="41" t="s">
        <v>647</v>
      </c>
      <c r="I382" s="42" t="s">
        <v>44</v>
      </c>
      <c r="J382" s="40" t="s">
        <v>44</v>
      </c>
      <c r="K382" s="41" t="s">
        <v>43</v>
      </c>
      <c r="L382" s="40">
        <v>3</v>
      </c>
      <c r="M382" s="40">
        <v>1</v>
      </c>
      <c r="N382" s="41">
        <v>2</v>
      </c>
      <c r="O382" s="40">
        <v>4</v>
      </c>
      <c r="P382" s="40">
        <v>1</v>
      </c>
      <c r="Q382" s="41">
        <v>3</v>
      </c>
      <c r="R382" s="40">
        <v>4</v>
      </c>
      <c r="S382" s="40">
        <v>5</v>
      </c>
      <c r="T382" s="40" t="s">
        <v>45</v>
      </c>
      <c r="U382" s="40" t="s">
        <v>45</v>
      </c>
      <c r="V382" s="40">
        <v>3</v>
      </c>
      <c r="W382" s="40">
        <v>5</v>
      </c>
      <c r="X382" s="40">
        <v>2</v>
      </c>
      <c r="Y382" s="40">
        <v>3</v>
      </c>
      <c r="Z382" s="40" t="s">
        <v>45</v>
      </c>
      <c r="AA382" s="40" t="s">
        <v>45</v>
      </c>
      <c r="AB382" s="40" t="s">
        <v>45</v>
      </c>
      <c r="AC382" s="40" t="s">
        <v>45</v>
      </c>
      <c r="AD382" s="40" t="s">
        <v>45</v>
      </c>
      <c r="AE382" s="40" t="s">
        <v>45</v>
      </c>
      <c r="AF382" s="40">
        <v>4</v>
      </c>
      <c r="AG382" s="40">
        <v>5</v>
      </c>
      <c r="AH382" s="40" t="s">
        <v>45</v>
      </c>
      <c r="AI382" s="40" t="s">
        <v>45</v>
      </c>
      <c r="AJ382" s="40" t="s">
        <v>45</v>
      </c>
      <c r="AK382" s="40" t="s">
        <v>45</v>
      </c>
      <c r="AL382" s="40" t="s">
        <v>45</v>
      </c>
      <c r="AM382" s="40" t="s">
        <v>45</v>
      </c>
      <c r="AN382" s="40" t="s">
        <v>45</v>
      </c>
      <c r="AO382" s="41" t="s">
        <v>45</v>
      </c>
      <c r="AP382" s="40" t="s">
        <v>56</v>
      </c>
      <c r="AQ382" s="40">
        <v>3</v>
      </c>
      <c r="AR382" s="48" t="s">
        <v>14</v>
      </c>
      <c r="AS382" s="43" t="s">
        <v>45</v>
      </c>
      <c r="AT382" s="43" t="s">
        <v>635</v>
      </c>
      <c r="AU382" s="44">
        <f t="shared" si="41"/>
        <v>-2.0697810228951408</v>
      </c>
      <c r="AV382" s="44">
        <f t="shared" si="42"/>
        <v>-1.1872743815947853</v>
      </c>
      <c r="AW382" s="45">
        <f t="shared" si="43"/>
        <v>4</v>
      </c>
      <c r="AX382" s="45">
        <f t="shared" si="44"/>
        <v>0</v>
      </c>
      <c r="AY382" s="46">
        <f>VLOOKUP(AP382,COND!$A$10:$B$32,2,FALSE)</f>
        <v>1</v>
      </c>
      <c r="AZ382" s="44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23.498528355349002</v>
      </c>
      <c r="BA382" s="47">
        <f>STANDARDIZE(AZ382,AVERAGE($AZ$5:$AZ$557),STDEVP($AZ$5:$AZ$557))</f>
        <v>-0.82309010040041897</v>
      </c>
      <c r="BB382" s="45" t="str">
        <f t="shared" si="45"/>
        <v>RP</v>
      </c>
      <c r="BC382" s="45">
        <f>RANK(Table3[[#This Row],[zScore]],Table3[zScore])</f>
        <v>648</v>
      </c>
      <c r="BD382" s="45"/>
      <c r="BE382" s="45"/>
      <c r="BF382" s="45" t="str">
        <f t="shared" si="46"/>
        <v>Unlikely</v>
      </c>
      <c r="BG382" s="45"/>
      <c r="BH382" s="45" t="str">
        <f>INDEX(Table5[[#All],[Ovr]],MATCH(Table3[[#This Row],[PID]],Table5[[#All],[PID]],0))</f>
        <v/>
      </c>
      <c r="BI382" s="45" t="str">
        <f>INDEX(Table5[[#All],[Rnd]],MATCH(Table3[[#This Row],[PID]],Table5[[#All],[PID]],0))</f>
        <v/>
      </c>
      <c r="BJ382" s="45" t="str">
        <f>INDEX(Table5[[#All],[Pick]],MATCH(Table3[[#This Row],[PID]],Table5[[#All],[PID]],0))</f>
        <v/>
      </c>
      <c r="BK382" s="45" t="str">
        <f>INDEX(Table5[[#All],[Team]],MATCH(Table3[[#This Row],[PID]],Table5[[#All],[PID]],0))</f>
        <v/>
      </c>
      <c r="BL3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3" spans="1:64" ht="15" customHeight="1" x14ac:dyDescent="0.25">
      <c r="A383" s="40">
        <v>12727</v>
      </c>
      <c r="B383" s="40" t="s">
        <v>415</v>
      </c>
      <c r="C383" s="40" t="s">
        <v>1019</v>
      </c>
      <c r="D383" s="40" t="s">
        <v>393</v>
      </c>
      <c r="E383" s="40">
        <v>22</v>
      </c>
      <c r="F383" s="40" t="s">
        <v>53</v>
      </c>
      <c r="G383" s="40" t="s">
        <v>42</v>
      </c>
      <c r="H383" s="41" t="s">
        <v>647</v>
      </c>
      <c r="I383" s="42" t="s">
        <v>43</v>
      </c>
      <c r="J383" s="40" t="s">
        <v>44</v>
      </c>
      <c r="K383" s="41" t="s">
        <v>43</v>
      </c>
      <c r="L383" s="40">
        <v>3</v>
      </c>
      <c r="M383" s="40">
        <v>2</v>
      </c>
      <c r="N383" s="41">
        <v>1</v>
      </c>
      <c r="O383" s="40">
        <v>5</v>
      </c>
      <c r="P383" s="40">
        <v>2</v>
      </c>
      <c r="Q383" s="41">
        <v>1</v>
      </c>
      <c r="R383" s="40">
        <v>5</v>
      </c>
      <c r="S383" s="40">
        <v>6</v>
      </c>
      <c r="T383" s="40">
        <v>2</v>
      </c>
      <c r="U383" s="40">
        <v>6</v>
      </c>
      <c r="V383" s="40" t="s">
        <v>45</v>
      </c>
      <c r="W383" s="40" t="s">
        <v>45</v>
      </c>
      <c r="X383" s="40">
        <v>3</v>
      </c>
      <c r="Y383" s="40">
        <v>6</v>
      </c>
      <c r="Z383" s="40" t="s">
        <v>45</v>
      </c>
      <c r="AA383" s="40" t="s">
        <v>45</v>
      </c>
      <c r="AB383" s="40" t="s">
        <v>45</v>
      </c>
      <c r="AC383" s="40" t="s">
        <v>45</v>
      </c>
      <c r="AD383" s="40" t="s">
        <v>45</v>
      </c>
      <c r="AE383" s="40" t="s">
        <v>45</v>
      </c>
      <c r="AF383" s="40" t="s">
        <v>45</v>
      </c>
      <c r="AG383" s="40" t="s">
        <v>45</v>
      </c>
      <c r="AH383" s="40" t="s">
        <v>45</v>
      </c>
      <c r="AI383" s="40" t="s">
        <v>45</v>
      </c>
      <c r="AJ383" s="40" t="s">
        <v>45</v>
      </c>
      <c r="AK383" s="40" t="s">
        <v>45</v>
      </c>
      <c r="AL383" s="40" t="s">
        <v>45</v>
      </c>
      <c r="AM383" s="40" t="s">
        <v>45</v>
      </c>
      <c r="AN383" s="40" t="s">
        <v>45</v>
      </c>
      <c r="AO383" s="41" t="s">
        <v>45</v>
      </c>
      <c r="AP383" s="40" t="s">
        <v>60</v>
      </c>
      <c r="AQ383" s="40">
        <v>8</v>
      </c>
      <c r="AR383" s="48" t="s">
        <v>347</v>
      </c>
      <c r="AS383" s="43" t="s">
        <v>45</v>
      </c>
      <c r="AT383" s="43"/>
      <c r="AU383" s="44">
        <f t="shared" si="41"/>
        <v>-2.1166698725191955</v>
      </c>
      <c r="AV383" s="44">
        <f t="shared" si="42"/>
        <v>-1.2817924727637771</v>
      </c>
      <c r="AW383" s="45">
        <f t="shared" si="43"/>
        <v>3</v>
      </c>
      <c r="AX383" s="45">
        <f t="shared" si="44"/>
        <v>3</v>
      </c>
      <c r="AY383" s="46">
        <f>VLOOKUP(AP383,COND!$A$10:$B$32,2,FALSE)</f>
        <v>1.0249999999999999</v>
      </c>
      <c r="AZ383" s="44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25.370586984476137</v>
      </c>
      <c r="BA383" s="47">
        <f>STANDARDIZE(AZ383,AVERAGE($AZ$5:$AZ$788),STDEVP($AZ$5:$AZ$788))</f>
        <v>-0.82557541258929168</v>
      </c>
      <c r="BB383" s="45" t="str">
        <f t="shared" si="45"/>
        <v>SP</v>
      </c>
      <c r="BC383" s="45">
        <f>RANK(Table3[[#This Row],[zScore]],Table3[zScore])</f>
        <v>651</v>
      </c>
      <c r="BD383" s="45"/>
      <c r="BE383" s="45"/>
      <c r="BF383" s="45" t="str">
        <f t="shared" si="46"/>
        <v>Unlikely</v>
      </c>
      <c r="BG383" s="45"/>
      <c r="BH383" s="64" t="str">
        <f>INDEX(Table5[[#All],[Ovr]],MATCH(Table3[[#This Row],[PID]],Table5[[#All],[PID]],0))</f>
        <v/>
      </c>
      <c r="BI383" s="64" t="str">
        <f>INDEX(Table5[[#All],[Rnd]],MATCH(Table3[[#This Row],[PID]],Table5[[#All],[PID]],0))</f>
        <v/>
      </c>
      <c r="BJ383" s="64" t="str">
        <f>INDEX(Table5[[#All],[Pick]],MATCH(Table3[[#This Row],[PID]],Table5[[#All],[PID]],0))</f>
        <v/>
      </c>
      <c r="BK383" s="64" t="str">
        <f>INDEX(Table5[[#All],[Team]],MATCH(Table3[[#This Row],[PID]],Table5[[#All],[PID]],0))</f>
        <v/>
      </c>
      <c r="BL383" s="64" t="str">
        <f>IF(OR(Table3[[#This Row],[POS]]="SP",Table3[[#This Row],[POS]]="RP",Table3[[#This Row],[POS]]="CL"),"P",INDEX(Batters[[#All],[zScore]],MATCH(Table3[[#This Row],[PID]],Batters[[#All],[PID]],0)))</f>
        <v>P</v>
      </c>
    </row>
    <row r="384" spans="1:64" ht="15" customHeight="1" x14ac:dyDescent="0.25">
      <c r="A384" s="40">
        <v>17836</v>
      </c>
      <c r="B384" s="40" t="s">
        <v>415</v>
      </c>
      <c r="C384" s="40" t="s">
        <v>128</v>
      </c>
      <c r="D384" s="40" t="s">
        <v>200</v>
      </c>
      <c r="E384" s="40">
        <v>18</v>
      </c>
      <c r="F384" s="40" t="s">
        <v>62</v>
      </c>
      <c r="G384" s="40" t="s">
        <v>42</v>
      </c>
      <c r="H384" s="41" t="s">
        <v>647</v>
      </c>
      <c r="I384" s="42" t="s">
        <v>43</v>
      </c>
      <c r="J384" s="40" t="s">
        <v>44</v>
      </c>
      <c r="K384" s="41" t="s">
        <v>43</v>
      </c>
      <c r="L384" s="40">
        <v>2</v>
      </c>
      <c r="M384" s="40">
        <v>1</v>
      </c>
      <c r="N384" s="41">
        <v>1</v>
      </c>
      <c r="O384" s="40">
        <v>4</v>
      </c>
      <c r="P384" s="40">
        <v>1</v>
      </c>
      <c r="Q384" s="41">
        <v>2</v>
      </c>
      <c r="R384" s="40">
        <v>4</v>
      </c>
      <c r="S384" s="40">
        <v>5</v>
      </c>
      <c r="T384" s="40" t="s">
        <v>45</v>
      </c>
      <c r="U384" s="40" t="s">
        <v>45</v>
      </c>
      <c r="V384" s="40">
        <v>2</v>
      </c>
      <c r="W384" s="40">
        <v>5</v>
      </c>
      <c r="X384" s="40" t="s">
        <v>45</v>
      </c>
      <c r="Y384" s="40" t="s">
        <v>45</v>
      </c>
      <c r="Z384" s="40" t="s">
        <v>45</v>
      </c>
      <c r="AA384" s="40" t="s">
        <v>45</v>
      </c>
      <c r="AB384" s="40" t="s">
        <v>45</v>
      </c>
      <c r="AC384" s="40" t="s">
        <v>45</v>
      </c>
      <c r="AD384" s="40" t="s">
        <v>45</v>
      </c>
      <c r="AE384" s="40" t="s">
        <v>45</v>
      </c>
      <c r="AF384" s="40" t="s">
        <v>45</v>
      </c>
      <c r="AG384" s="40" t="s">
        <v>45</v>
      </c>
      <c r="AH384" s="40">
        <v>1</v>
      </c>
      <c r="AI384" s="40">
        <v>3</v>
      </c>
      <c r="AJ384" s="40" t="s">
        <v>45</v>
      </c>
      <c r="AK384" s="40" t="s">
        <v>45</v>
      </c>
      <c r="AL384" s="40" t="s">
        <v>45</v>
      </c>
      <c r="AM384" s="40" t="s">
        <v>45</v>
      </c>
      <c r="AN384" s="40" t="s">
        <v>45</v>
      </c>
      <c r="AO384" s="41" t="s">
        <v>45</v>
      </c>
      <c r="AP384" s="40" t="s">
        <v>58</v>
      </c>
      <c r="AQ384" s="40">
        <v>4</v>
      </c>
      <c r="AR384" s="48" t="s">
        <v>347</v>
      </c>
      <c r="AS384" s="43" t="s">
        <v>670</v>
      </c>
      <c r="AT384" s="43" t="s">
        <v>635</v>
      </c>
      <c r="AU384" s="44">
        <f t="shared" si="41"/>
        <v>-2.5067929134584248</v>
      </c>
      <c r="AV384" s="44">
        <f t="shared" si="42"/>
        <v>-1.4295949476488956</v>
      </c>
      <c r="AW384" s="45">
        <f t="shared" si="43"/>
        <v>3</v>
      </c>
      <c r="AX384" s="45">
        <f t="shared" si="44"/>
        <v>0</v>
      </c>
      <c r="AY384" s="46">
        <f>VLOOKUP(AP384,COND!$A$10:$B$32,2,FALSE)</f>
        <v>1</v>
      </c>
      <c r="AZ384" s="44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23.48640534111388</v>
      </c>
      <c r="BA384" s="47">
        <f>STANDARDIZE(AZ384,AVERAGE($AZ$5:$AZ$557),STDEVP($AZ$5:$AZ$557))</f>
        <v>-0.82389662601219649</v>
      </c>
      <c r="BB384" s="45" t="str">
        <f t="shared" si="45"/>
        <v>RP</v>
      </c>
      <c r="BC384" s="45">
        <f>RANK(Table3[[#This Row],[zScore]],Table3[zScore])</f>
        <v>650</v>
      </c>
      <c r="BD384" s="45"/>
      <c r="BE384" s="45"/>
      <c r="BF384" s="45" t="str">
        <f t="shared" si="46"/>
        <v>Unlikely</v>
      </c>
      <c r="BG384" s="45"/>
      <c r="BH384" s="45" t="str">
        <f>INDEX(Table5[[#All],[Ovr]],MATCH(Table3[[#This Row],[PID]],Table5[[#All],[PID]],0))</f>
        <v/>
      </c>
      <c r="BI384" s="45" t="str">
        <f>INDEX(Table5[[#All],[Rnd]],MATCH(Table3[[#This Row],[PID]],Table5[[#All],[PID]],0))</f>
        <v/>
      </c>
      <c r="BJ384" s="45" t="str">
        <f>INDEX(Table5[[#All],[Pick]],MATCH(Table3[[#This Row],[PID]],Table5[[#All],[PID]],0))</f>
        <v/>
      </c>
      <c r="BK384" s="45" t="str">
        <f>INDEX(Table5[[#All],[Team]],MATCH(Table3[[#This Row],[PID]],Table5[[#All],[PID]],0))</f>
        <v/>
      </c>
      <c r="BL3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5" spans="1:64" ht="15" customHeight="1" x14ac:dyDescent="0.25">
      <c r="A385" s="40">
        <v>20977</v>
      </c>
      <c r="B385" s="40" t="s">
        <v>415</v>
      </c>
      <c r="C385" s="40" t="s">
        <v>819</v>
      </c>
      <c r="D385" s="40" t="s">
        <v>2181</v>
      </c>
      <c r="E385" s="40">
        <v>18</v>
      </c>
      <c r="F385" s="40" t="s">
        <v>53</v>
      </c>
      <c r="G385" s="40" t="s">
        <v>42</v>
      </c>
      <c r="H385" s="41" t="s">
        <v>647</v>
      </c>
      <c r="I385" s="42" t="s">
        <v>44</v>
      </c>
      <c r="J385" s="40" t="s">
        <v>44</v>
      </c>
      <c r="K385" s="41" t="s">
        <v>43</v>
      </c>
      <c r="L385" s="40">
        <v>1</v>
      </c>
      <c r="M385" s="40">
        <v>2</v>
      </c>
      <c r="N385" s="41">
        <v>1</v>
      </c>
      <c r="O385" s="40">
        <v>3</v>
      </c>
      <c r="P385" s="40">
        <v>2</v>
      </c>
      <c r="Q385" s="41">
        <v>2</v>
      </c>
      <c r="R385" s="40">
        <v>2</v>
      </c>
      <c r="S385" s="40">
        <v>4</v>
      </c>
      <c r="T385" s="40">
        <v>1</v>
      </c>
      <c r="U385" s="40">
        <v>2</v>
      </c>
      <c r="V385" s="40" t="s">
        <v>45</v>
      </c>
      <c r="W385" s="40" t="s">
        <v>45</v>
      </c>
      <c r="X385" s="40">
        <v>1</v>
      </c>
      <c r="Y385" s="40">
        <v>4</v>
      </c>
      <c r="Z385" s="40" t="s">
        <v>45</v>
      </c>
      <c r="AA385" s="40" t="s">
        <v>45</v>
      </c>
      <c r="AB385" s="40" t="s">
        <v>45</v>
      </c>
      <c r="AC385" s="40" t="s">
        <v>45</v>
      </c>
      <c r="AD385" s="40" t="s">
        <v>45</v>
      </c>
      <c r="AE385" s="40" t="s">
        <v>45</v>
      </c>
      <c r="AF385" s="40" t="s">
        <v>45</v>
      </c>
      <c r="AG385" s="40" t="s">
        <v>45</v>
      </c>
      <c r="AH385" s="40" t="s">
        <v>45</v>
      </c>
      <c r="AI385" s="40" t="s">
        <v>45</v>
      </c>
      <c r="AJ385" s="40" t="s">
        <v>45</v>
      </c>
      <c r="AK385" s="40" t="s">
        <v>45</v>
      </c>
      <c r="AL385" s="40" t="s">
        <v>45</v>
      </c>
      <c r="AM385" s="40" t="s">
        <v>45</v>
      </c>
      <c r="AN385" s="40" t="s">
        <v>45</v>
      </c>
      <c r="AO385" s="41" t="s">
        <v>45</v>
      </c>
      <c r="AP385" s="40" t="s">
        <v>68</v>
      </c>
      <c r="AQ385" s="40">
        <v>9</v>
      </c>
      <c r="AR385" s="48" t="s">
        <v>347</v>
      </c>
      <c r="AS385" s="43" t="s">
        <v>45</v>
      </c>
      <c r="AT385" s="43"/>
      <c r="AU385" s="44">
        <f t="shared" si="41"/>
        <v>-2.5060525215375429</v>
      </c>
      <c r="AV385" s="44">
        <f t="shared" si="42"/>
        <v>-1.4288545557280135</v>
      </c>
      <c r="AW385" s="45">
        <f t="shared" si="43"/>
        <v>3</v>
      </c>
      <c r="AX385" s="45">
        <f t="shared" si="44"/>
        <v>0</v>
      </c>
      <c r="AY385" s="46">
        <f>VLOOKUP(AP385,COND!$A$10:$B$32,2,FALSE)</f>
        <v>0.95</v>
      </c>
      <c r="AZ385" s="44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25.350613462075614</v>
      </c>
      <c r="BA385" s="47">
        <f>STANDARDIZE(AZ385,AVERAGE($AZ$5:$AZ$788),STDEVP($AZ$5:$AZ$788))</f>
        <v>-0.82702074591364449</v>
      </c>
      <c r="BB385" s="45" t="str">
        <f t="shared" si="45"/>
        <v>SP</v>
      </c>
      <c r="BC385" s="45">
        <f>RANK(Table3[[#This Row],[zScore]],Table3[zScore])</f>
        <v>652</v>
      </c>
      <c r="BD385" s="45"/>
      <c r="BE385" s="45"/>
      <c r="BF385" s="45" t="str">
        <f t="shared" si="46"/>
        <v>Unlikely</v>
      </c>
      <c r="BG385" s="45"/>
      <c r="BH385" s="64" t="str">
        <f>INDEX(Table5[[#All],[Ovr]],MATCH(Table3[[#This Row],[PID]],Table5[[#All],[PID]],0))</f>
        <v/>
      </c>
      <c r="BI385" s="64" t="str">
        <f>INDEX(Table5[[#All],[Rnd]],MATCH(Table3[[#This Row],[PID]],Table5[[#All],[PID]],0))</f>
        <v/>
      </c>
      <c r="BJ385" s="64" t="str">
        <f>INDEX(Table5[[#All],[Pick]],MATCH(Table3[[#This Row],[PID]],Table5[[#All],[PID]],0))</f>
        <v/>
      </c>
      <c r="BK385" s="64" t="str">
        <f>INDEX(Table5[[#All],[Team]],MATCH(Table3[[#This Row],[PID]],Table5[[#All],[PID]],0))</f>
        <v/>
      </c>
      <c r="BL385" s="64" t="str">
        <f>IF(OR(Table3[[#This Row],[POS]]="SP",Table3[[#This Row],[POS]]="RP",Table3[[#This Row],[POS]]="CL"),"P",INDEX(Batters[[#All],[zScore]],MATCH(Table3[[#This Row],[PID]],Batters[[#All],[PID]],0)))</f>
        <v>P</v>
      </c>
    </row>
    <row r="386" spans="1:64" ht="15" customHeight="1" x14ac:dyDescent="0.25">
      <c r="A386" s="40">
        <v>7311</v>
      </c>
      <c r="B386" s="40" t="s">
        <v>415</v>
      </c>
      <c r="C386" s="40" t="s">
        <v>1052</v>
      </c>
      <c r="D386" s="40" t="s">
        <v>403</v>
      </c>
      <c r="E386" s="40">
        <v>22</v>
      </c>
      <c r="F386" s="40" t="s">
        <v>42</v>
      </c>
      <c r="G386" s="40" t="s">
        <v>42</v>
      </c>
      <c r="H386" s="41" t="s">
        <v>647</v>
      </c>
      <c r="I386" s="42" t="s">
        <v>43</v>
      </c>
      <c r="J386" s="40" t="s">
        <v>43</v>
      </c>
      <c r="K386" s="41" t="s">
        <v>43</v>
      </c>
      <c r="L386" s="40">
        <v>3</v>
      </c>
      <c r="M386" s="40">
        <v>1</v>
      </c>
      <c r="N386" s="41">
        <v>3</v>
      </c>
      <c r="O386" s="40">
        <v>4</v>
      </c>
      <c r="P386" s="40">
        <v>1</v>
      </c>
      <c r="Q386" s="41">
        <v>3</v>
      </c>
      <c r="R386" s="40">
        <v>5</v>
      </c>
      <c r="S386" s="40">
        <v>6</v>
      </c>
      <c r="T386" s="40">
        <v>1</v>
      </c>
      <c r="U386" s="40">
        <v>1</v>
      </c>
      <c r="V386" s="40">
        <v>4</v>
      </c>
      <c r="W386" s="40">
        <v>5</v>
      </c>
      <c r="X386" s="40" t="s">
        <v>45</v>
      </c>
      <c r="Y386" s="40" t="s">
        <v>45</v>
      </c>
      <c r="Z386" s="40" t="s">
        <v>45</v>
      </c>
      <c r="AA386" s="40" t="s">
        <v>45</v>
      </c>
      <c r="AB386" s="40" t="s">
        <v>45</v>
      </c>
      <c r="AC386" s="40" t="s">
        <v>45</v>
      </c>
      <c r="AD386" s="40" t="s">
        <v>45</v>
      </c>
      <c r="AE386" s="40" t="s">
        <v>45</v>
      </c>
      <c r="AF386" s="40" t="s">
        <v>45</v>
      </c>
      <c r="AG386" s="40" t="s">
        <v>45</v>
      </c>
      <c r="AH386" s="40" t="s">
        <v>45</v>
      </c>
      <c r="AI386" s="40" t="s">
        <v>45</v>
      </c>
      <c r="AJ386" s="40" t="s">
        <v>45</v>
      </c>
      <c r="AK386" s="40" t="s">
        <v>45</v>
      </c>
      <c r="AL386" s="40" t="s">
        <v>45</v>
      </c>
      <c r="AM386" s="40" t="s">
        <v>45</v>
      </c>
      <c r="AN386" s="40" t="s">
        <v>45</v>
      </c>
      <c r="AO386" s="41" t="s">
        <v>45</v>
      </c>
      <c r="AP386" s="40" t="s">
        <v>350</v>
      </c>
      <c r="AQ386" s="40">
        <v>8</v>
      </c>
      <c r="AR386" s="48" t="s">
        <v>14</v>
      </c>
      <c r="AS386" s="43" t="s">
        <v>45</v>
      </c>
      <c r="AT386" s="43" t="s">
        <v>47</v>
      </c>
      <c r="AU386" s="44">
        <f t="shared" si="41"/>
        <v>-1.8274604568410304</v>
      </c>
      <c r="AV386" s="44">
        <f t="shared" si="42"/>
        <v>-1.1872743815947853</v>
      </c>
      <c r="AW386" s="45">
        <f t="shared" si="43"/>
        <v>3</v>
      </c>
      <c r="AX386" s="45">
        <f t="shared" si="44"/>
        <v>1</v>
      </c>
      <c r="AY386" s="46">
        <f>VLOOKUP(AP386,COND!$A$10:$B$32,2,FALSE)</f>
        <v>1</v>
      </c>
      <c r="AZ386" s="44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25.639020276736087</v>
      </c>
      <c r="BA386" s="47">
        <f>STANDARDIZE(AZ386,AVERAGE($AZ$5:$AZ$663),STDEVP($AZ$5:$AZ$663))</f>
        <v>-0.83328220730554547</v>
      </c>
      <c r="BB386" s="45" t="str">
        <f t="shared" si="45"/>
        <v>SP</v>
      </c>
      <c r="BC386" s="45">
        <f>RANK(Table3[[#This Row],[zScore]],Table3[zScore])</f>
        <v>655</v>
      </c>
      <c r="BD386" s="45"/>
      <c r="BE386" s="45"/>
      <c r="BF386" s="45" t="str">
        <f t="shared" si="46"/>
        <v>Unlikely</v>
      </c>
      <c r="BG386" s="45"/>
      <c r="BH386" s="45" t="str">
        <f>INDEX(Table5[[#All],[Ovr]],MATCH(Table3[[#This Row],[PID]],Table5[[#All],[PID]],0))</f>
        <v/>
      </c>
      <c r="BI386" s="45" t="str">
        <f>INDEX(Table5[[#All],[Rnd]],MATCH(Table3[[#This Row],[PID]],Table5[[#All],[PID]],0))</f>
        <v/>
      </c>
      <c r="BJ386" s="45" t="str">
        <f>INDEX(Table5[[#All],[Pick]],MATCH(Table3[[#This Row],[PID]],Table5[[#All],[PID]],0))</f>
        <v/>
      </c>
      <c r="BK386" s="45" t="str">
        <f>INDEX(Table5[[#All],[Team]],MATCH(Table3[[#This Row],[PID]],Table5[[#All],[PID]],0))</f>
        <v/>
      </c>
      <c r="BL3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7" spans="1:64" ht="15" customHeight="1" x14ac:dyDescent="0.25">
      <c r="A387" s="40">
        <v>20808</v>
      </c>
      <c r="B387" s="40" t="s">
        <v>415</v>
      </c>
      <c r="C387" s="40" t="s">
        <v>166</v>
      </c>
      <c r="D387" s="40" t="s">
        <v>2123</v>
      </c>
      <c r="E387" s="40">
        <v>18</v>
      </c>
      <c r="F387" s="40" t="s">
        <v>42</v>
      </c>
      <c r="G387" s="40" t="s">
        <v>42</v>
      </c>
      <c r="H387" s="41" t="s">
        <v>647</v>
      </c>
      <c r="I387" s="42" t="s">
        <v>43</v>
      </c>
      <c r="J387" s="40" t="s">
        <v>44</v>
      </c>
      <c r="K387" s="41" t="s">
        <v>43</v>
      </c>
      <c r="L387" s="40">
        <v>1</v>
      </c>
      <c r="M387" s="40">
        <v>1</v>
      </c>
      <c r="N387" s="41">
        <v>1</v>
      </c>
      <c r="O387" s="40">
        <v>3</v>
      </c>
      <c r="P387" s="40">
        <v>1</v>
      </c>
      <c r="Q387" s="41">
        <v>3</v>
      </c>
      <c r="R387" s="40">
        <v>2</v>
      </c>
      <c r="S387" s="40">
        <v>3</v>
      </c>
      <c r="T387" s="40">
        <v>1</v>
      </c>
      <c r="U387" s="40">
        <v>1</v>
      </c>
      <c r="V387" s="40" t="s">
        <v>45</v>
      </c>
      <c r="W387" s="40" t="s">
        <v>45</v>
      </c>
      <c r="X387" s="40">
        <v>2</v>
      </c>
      <c r="Y387" s="40">
        <v>4</v>
      </c>
      <c r="Z387" s="40" t="s">
        <v>45</v>
      </c>
      <c r="AA387" s="40" t="s">
        <v>45</v>
      </c>
      <c r="AB387" s="40" t="s">
        <v>45</v>
      </c>
      <c r="AC387" s="40" t="s">
        <v>45</v>
      </c>
      <c r="AD387" s="40" t="s">
        <v>45</v>
      </c>
      <c r="AE387" s="40" t="s">
        <v>45</v>
      </c>
      <c r="AF387" s="40" t="s">
        <v>45</v>
      </c>
      <c r="AG387" s="40" t="s">
        <v>45</v>
      </c>
      <c r="AH387" s="40" t="s">
        <v>45</v>
      </c>
      <c r="AI387" s="40" t="s">
        <v>45</v>
      </c>
      <c r="AJ387" s="40" t="s">
        <v>45</v>
      </c>
      <c r="AK387" s="40" t="s">
        <v>45</v>
      </c>
      <c r="AL387" s="40" t="s">
        <v>45</v>
      </c>
      <c r="AM387" s="40" t="s">
        <v>45</v>
      </c>
      <c r="AN387" s="40" t="s">
        <v>45</v>
      </c>
      <c r="AO387" s="41" t="s">
        <v>45</v>
      </c>
      <c r="AP387" s="40" t="s">
        <v>68</v>
      </c>
      <c r="AQ387" s="40">
        <v>1</v>
      </c>
      <c r="AR387" s="48" t="s">
        <v>14</v>
      </c>
      <c r="AS387" s="43" t="s">
        <v>670</v>
      </c>
      <c r="AT387" s="43" t="s">
        <v>635</v>
      </c>
      <c r="AU387" s="44">
        <f t="shared" si="41"/>
        <v>-2.7014842379675978</v>
      </c>
      <c r="AV387" s="44">
        <f t="shared" si="42"/>
        <v>-1.3819657061039585</v>
      </c>
      <c r="AW387" s="45">
        <f t="shared" si="43"/>
        <v>3</v>
      </c>
      <c r="AX387" s="45">
        <f t="shared" si="44"/>
        <v>0</v>
      </c>
      <c r="AY387" s="46">
        <f>VLOOKUP(AP387,COND!$A$10:$B$32,2,FALSE)</f>
        <v>0.95</v>
      </c>
      <c r="AZ387" s="44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25.621651099870398</v>
      </c>
      <c r="BA387" s="47">
        <f>STANDARDIZE(AZ387,AVERAGE($AZ$5:$AZ$663),STDEVP($AZ$5:$AZ$663))</f>
        <v>-0.83447199081033763</v>
      </c>
      <c r="BB387" s="45" t="str">
        <f t="shared" si="45"/>
        <v>RP</v>
      </c>
      <c r="BC387" s="45">
        <f>RANK(Table3[[#This Row],[zScore]],Table3[zScore])</f>
        <v>656</v>
      </c>
      <c r="BD387" s="45"/>
      <c r="BE387" s="45"/>
      <c r="BF387" s="45" t="str">
        <f t="shared" si="46"/>
        <v>Unlikely</v>
      </c>
      <c r="BG387" s="45"/>
      <c r="BH387" s="45" t="str">
        <f>INDEX(Table5[[#All],[Ovr]],MATCH(Table3[[#This Row],[PID]],Table5[[#All],[PID]],0))</f>
        <v/>
      </c>
      <c r="BI387" s="45" t="str">
        <f>INDEX(Table5[[#All],[Rnd]],MATCH(Table3[[#This Row],[PID]],Table5[[#All],[PID]],0))</f>
        <v/>
      </c>
      <c r="BJ387" s="45" t="str">
        <f>INDEX(Table5[[#All],[Pick]],MATCH(Table3[[#This Row],[PID]],Table5[[#All],[PID]],0))</f>
        <v/>
      </c>
      <c r="BK387" s="45" t="str">
        <f>INDEX(Table5[[#All],[Team]],MATCH(Table3[[#This Row],[PID]],Table5[[#All],[PID]],0))</f>
        <v/>
      </c>
      <c r="BL3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8" spans="1:64" ht="15" customHeight="1" x14ac:dyDescent="0.25">
      <c r="A388" s="40">
        <v>9599</v>
      </c>
      <c r="B388" s="40" t="s">
        <v>415</v>
      </c>
      <c r="C388" s="40" t="s">
        <v>2101</v>
      </c>
      <c r="D388" s="40" t="s">
        <v>997</v>
      </c>
      <c r="E388" s="40">
        <v>21</v>
      </c>
      <c r="F388" s="40" t="s">
        <v>42</v>
      </c>
      <c r="G388" s="40" t="s">
        <v>42</v>
      </c>
      <c r="H388" s="41" t="s">
        <v>647</v>
      </c>
      <c r="I388" s="42" t="s">
        <v>43</v>
      </c>
      <c r="J388" s="40" t="s">
        <v>43</v>
      </c>
      <c r="K388" s="41" t="s">
        <v>43</v>
      </c>
      <c r="L388" s="40">
        <v>1</v>
      </c>
      <c r="M388" s="40">
        <v>2</v>
      </c>
      <c r="N388" s="41">
        <v>1</v>
      </c>
      <c r="O388" s="40">
        <v>4</v>
      </c>
      <c r="P388" s="40">
        <v>2</v>
      </c>
      <c r="Q388" s="41">
        <v>2</v>
      </c>
      <c r="R388" s="40" t="s">
        <v>45</v>
      </c>
      <c r="S388" s="40" t="s">
        <v>45</v>
      </c>
      <c r="T388" s="40" t="s">
        <v>45</v>
      </c>
      <c r="U388" s="40" t="s">
        <v>45</v>
      </c>
      <c r="V388" s="40">
        <v>2</v>
      </c>
      <c r="W388" s="40">
        <v>5</v>
      </c>
      <c r="X388" s="40">
        <v>2</v>
      </c>
      <c r="Y388" s="40">
        <v>4</v>
      </c>
      <c r="Z388" s="40" t="s">
        <v>45</v>
      </c>
      <c r="AA388" s="40" t="s">
        <v>45</v>
      </c>
      <c r="AB388" s="40" t="s">
        <v>45</v>
      </c>
      <c r="AC388" s="40" t="s">
        <v>45</v>
      </c>
      <c r="AD388" s="40">
        <v>3</v>
      </c>
      <c r="AE388" s="40">
        <v>4</v>
      </c>
      <c r="AF388" s="40" t="s">
        <v>45</v>
      </c>
      <c r="AG388" s="40" t="s">
        <v>45</v>
      </c>
      <c r="AH388" s="40" t="s">
        <v>45</v>
      </c>
      <c r="AI388" s="40" t="s">
        <v>45</v>
      </c>
      <c r="AJ388" s="40" t="s">
        <v>45</v>
      </c>
      <c r="AK388" s="40" t="s">
        <v>45</v>
      </c>
      <c r="AL388" s="40" t="s">
        <v>45</v>
      </c>
      <c r="AM388" s="40" t="s">
        <v>45</v>
      </c>
      <c r="AN388" s="40" t="s">
        <v>45</v>
      </c>
      <c r="AO388" s="41" t="s">
        <v>45</v>
      </c>
      <c r="AP388" s="40" t="s">
        <v>64</v>
      </c>
      <c r="AQ388" s="40">
        <v>8</v>
      </c>
      <c r="AR388" s="48" t="s">
        <v>347</v>
      </c>
      <c r="AS388" s="43" t="s">
        <v>45</v>
      </c>
      <c r="AT388" s="43" t="s">
        <v>47</v>
      </c>
      <c r="AU388" s="44">
        <f t="shared" si="41"/>
        <v>-2.5060525215375429</v>
      </c>
      <c r="AV388" s="44">
        <f t="shared" si="42"/>
        <v>-1.23416323121884</v>
      </c>
      <c r="AW388" s="45">
        <f t="shared" si="43"/>
        <v>3</v>
      </c>
      <c r="AX388" s="45">
        <f t="shared" si="44"/>
        <v>0</v>
      </c>
      <c r="AY388" s="46">
        <f>VLOOKUP(AP388,COND!$A$10:$B$32,2,FALSE)</f>
        <v>1</v>
      </c>
      <c r="AZ388" s="44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23.315524871315692</v>
      </c>
      <c r="BA388" s="47">
        <f>STANDARDIZE(AZ388,AVERAGE($AZ$5:$AZ$557),STDEVP($AZ$5:$AZ$557))</f>
        <v>-0.83526504254391309</v>
      </c>
      <c r="BB388" s="45" t="str">
        <f t="shared" si="45"/>
        <v>SP</v>
      </c>
      <c r="BC388" s="45">
        <f>RANK(Table3[[#This Row],[zScore]],Table3[zScore])</f>
        <v>657</v>
      </c>
      <c r="BD388" s="45"/>
      <c r="BE388" s="45"/>
      <c r="BF388" s="45" t="str">
        <f t="shared" si="46"/>
        <v>Unlikely</v>
      </c>
      <c r="BG388" s="45"/>
      <c r="BH388" s="45" t="str">
        <f>INDEX(Table5[[#All],[Ovr]],MATCH(Table3[[#This Row],[PID]],Table5[[#All],[PID]],0))</f>
        <v/>
      </c>
      <c r="BI388" s="45" t="str">
        <f>INDEX(Table5[[#All],[Rnd]],MATCH(Table3[[#This Row],[PID]],Table5[[#All],[PID]],0))</f>
        <v/>
      </c>
      <c r="BJ388" s="45" t="str">
        <f>INDEX(Table5[[#All],[Pick]],MATCH(Table3[[#This Row],[PID]],Table5[[#All],[PID]],0))</f>
        <v/>
      </c>
      <c r="BK388" s="45" t="str">
        <f>INDEX(Table5[[#All],[Team]],MATCH(Table3[[#This Row],[PID]],Table5[[#All],[PID]],0))</f>
        <v/>
      </c>
      <c r="BL3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89" spans="1:64" ht="15" customHeight="1" x14ac:dyDescent="0.25">
      <c r="A389" s="40">
        <v>15582</v>
      </c>
      <c r="B389" s="40" t="s">
        <v>415</v>
      </c>
      <c r="C389" s="40" t="s">
        <v>160</v>
      </c>
      <c r="D389" s="40" t="s">
        <v>662</v>
      </c>
      <c r="E389" s="40">
        <v>21</v>
      </c>
      <c r="F389" s="40" t="s">
        <v>42</v>
      </c>
      <c r="G389" s="40" t="s">
        <v>42</v>
      </c>
      <c r="H389" s="41" t="s">
        <v>647</v>
      </c>
      <c r="I389" s="42" t="s">
        <v>43</v>
      </c>
      <c r="J389" s="40" t="s">
        <v>47</v>
      </c>
      <c r="K389" s="41" t="s">
        <v>43</v>
      </c>
      <c r="L389" s="40">
        <v>1</v>
      </c>
      <c r="M389" s="40">
        <v>2</v>
      </c>
      <c r="N389" s="41">
        <v>1</v>
      </c>
      <c r="O389" s="40">
        <v>2</v>
      </c>
      <c r="P389" s="40">
        <v>3</v>
      </c>
      <c r="Q389" s="41">
        <v>2</v>
      </c>
      <c r="R389" s="40" t="s">
        <v>45</v>
      </c>
      <c r="S389" s="40" t="s">
        <v>45</v>
      </c>
      <c r="T389" s="40" t="s">
        <v>45</v>
      </c>
      <c r="U389" s="40" t="s">
        <v>45</v>
      </c>
      <c r="V389" s="40">
        <v>2</v>
      </c>
      <c r="W389" s="40">
        <v>4</v>
      </c>
      <c r="X389" s="40" t="s">
        <v>45</v>
      </c>
      <c r="Y389" s="40" t="s">
        <v>45</v>
      </c>
      <c r="Z389" s="40">
        <v>3</v>
      </c>
      <c r="AA389" s="40">
        <v>3</v>
      </c>
      <c r="AB389" s="40" t="s">
        <v>45</v>
      </c>
      <c r="AC389" s="40" t="s">
        <v>45</v>
      </c>
      <c r="AD389" s="40">
        <v>2</v>
      </c>
      <c r="AE389" s="40">
        <v>3</v>
      </c>
      <c r="AF389" s="40" t="s">
        <v>45</v>
      </c>
      <c r="AG389" s="40" t="s">
        <v>45</v>
      </c>
      <c r="AH389" s="40" t="s">
        <v>45</v>
      </c>
      <c r="AI389" s="40" t="s">
        <v>45</v>
      </c>
      <c r="AJ389" s="40" t="s">
        <v>45</v>
      </c>
      <c r="AK389" s="40" t="s">
        <v>45</v>
      </c>
      <c r="AL389" s="40" t="s">
        <v>45</v>
      </c>
      <c r="AM389" s="40" t="s">
        <v>45</v>
      </c>
      <c r="AN389" s="40" t="s">
        <v>45</v>
      </c>
      <c r="AO389" s="41" t="s">
        <v>45</v>
      </c>
      <c r="AP389" s="40" t="s">
        <v>70</v>
      </c>
      <c r="AQ389" s="40">
        <v>6</v>
      </c>
      <c r="AR389" s="48" t="s">
        <v>347</v>
      </c>
      <c r="AS389" s="43" t="s">
        <v>45</v>
      </c>
      <c r="AT389" s="43" t="s">
        <v>47</v>
      </c>
      <c r="AU389" s="44">
        <f t="shared" ref="AU389:AU452" si="50">($O$3*(L389-$O$1)/$O$2+$P$3*(M389-$P$1)/$P$2+$Q$3*(N389-$P$1)/$Q$2)/SUM($O$3:$Q$3)</f>
        <v>-2.5060525215375429</v>
      </c>
      <c r="AV389" s="44">
        <f t="shared" ref="AV389:AV452" si="51">($O$3*(O389-$O$1)/$O$2+$P$3*(P389-$P$1)/$P$2+$Q$3*(Q389-$Q$1)/$Q$2)/SUM($O$3:$Q$3)</f>
        <v>-1.4281141638071317</v>
      </c>
      <c r="AW389" s="45">
        <f t="shared" ref="AW389:AW452" si="52">COUNT(R389:AO389)/2</f>
        <v>3</v>
      </c>
      <c r="AX389" s="45">
        <f t="shared" ref="AX389:AX452" si="53"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0</v>
      </c>
      <c r="AY389" s="46">
        <f>VLOOKUP(AP389,COND!$A$10:$B$32,2,FALSE)</f>
        <v>0.9</v>
      </c>
      <c r="AZ389" s="44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23.113034207654998</v>
      </c>
      <c r="BA389" s="47">
        <f>STANDARDIZE(AZ389,AVERAGE($AZ$5:$AZ$557),STDEVP($AZ$5:$AZ$557))</f>
        <v>-0.84873643696948542</v>
      </c>
      <c r="BB389" s="45" t="str">
        <f t="shared" ref="BB389:BB452" si="54">IF(OR(AND(AQ389&gt;7,AX389&gt;1),AND(AQ389&gt;4,AW389&gt;2)),"SP","RP")</f>
        <v>SP</v>
      </c>
      <c r="BC389" s="45">
        <f>RANK(Table3[[#This Row],[zScore]],Table3[zScore])</f>
        <v>658</v>
      </c>
      <c r="BD389" s="45"/>
      <c r="BE389" s="45"/>
      <c r="BF389" s="45" t="str">
        <f t="shared" ref="BF389:BF452" si="55">IF(AVERAGE($O389:$Q389)&gt;=6,"Likely",IF(AVERAGE($O389:$Q389)&gt;=4,"Possible","Unlikely"))</f>
        <v>Unlikely</v>
      </c>
      <c r="BG389" s="45"/>
      <c r="BH389" s="45" t="str">
        <f>INDEX(Table5[[#All],[Ovr]],MATCH(Table3[[#This Row],[PID]],Table5[[#All],[PID]],0))</f>
        <v/>
      </c>
      <c r="BI389" s="45" t="str">
        <f>INDEX(Table5[[#All],[Rnd]],MATCH(Table3[[#This Row],[PID]],Table5[[#All],[PID]],0))</f>
        <v/>
      </c>
      <c r="BJ389" s="45" t="str">
        <f>INDEX(Table5[[#All],[Pick]],MATCH(Table3[[#This Row],[PID]],Table5[[#All],[PID]],0))</f>
        <v/>
      </c>
      <c r="BK389" s="45" t="str">
        <f>INDEX(Table5[[#All],[Team]],MATCH(Table3[[#This Row],[PID]],Table5[[#All],[PID]],0))</f>
        <v/>
      </c>
      <c r="BL3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0" spans="1:64" ht="15" customHeight="1" x14ac:dyDescent="0.25">
      <c r="A390" s="40">
        <v>4825</v>
      </c>
      <c r="B390" s="40" t="s">
        <v>415</v>
      </c>
      <c r="C390" s="40" t="s">
        <v>339</v>
      </c>
      <c r="D390" s="40" t="s">
        <v>131</v>
      </c>
      <c r="E390" s="40">
        <v>22</v>
      </c>
      <c r="F390" s="40" t="s">
        <v>42</v>
      </c>
      <c r="G390" s="40" t="s">
        <v>42</v>
      </c>
      <c r="H390" s="41" t="s">
        <v>647</v>
      </c>
      <c r="I390" s="42" t="s">
        <v>43</v>
      </c>
      <c r="J390" s="40" t="s">
        <v>44</v>
      </c>
      <c r="K390" s="41" t="s">
        <v>43</v>
      </c>
      <c r="L390" s="40">
        <v>1</v>
      </c>
      <c r="M390" s="40">
        <v>2</v>
      </c>
      <c r="N390" s="41">
        <v>2</v>
      </c>
      <c r="O390" s="40">
        <v>3</v>
      </c>
      <c r="P390" s="40">
        <v>2</v>
      </c>
      <c r="Q390" s="41">
        <v>3</v>
      </c>
      <c r="R390" s="40" t="s">
        <v>45</v>
      </c>
      <c r="S390" s="40" t="s">
        <v>45</v>
      </c>
      <c r="T390" s="40">
        <v>1</v>
      </c>
      <c r="U390" s="40">
        <v>1</v>
      </c>
      <c r="V390" s="40" t="s">
        <v>45</v>
      </c>
      <c r="W390" s="40" t="s">
        <v>45</v>
      </c>
      <c r="X390" s="40" t="s">
        <v>45</v>
      </c>
      <c r="Y390" s="40" t="s">
        <v>45</v>
      </c>
      <c r="Z390" s="40">
        <v>3</v>
      </c>
      <c r="AA390" s="40">
        <v>3</v>
      </c>
      <c r="AB390" s="40" t="s">
        <v>45</v>
      </c>
      <c r="AC390" s="40" t="s">
        <v>45</v>
      </c>
      <c r="AD390" s="40">
        <v>2</v>
      </c>
      <c r="AE390" s="40">
        <v>3</v>
      </c>
      <c r="AF390" s="40" t="s">
        <v>45</v>
      </c>
      <c r="AG390" s="40" t="s">
        <v>45</v>
      </c>
      <c r="AH390" s="40" t="s">
        <v>45</v>
      </c>
      <c r="AI390" s="40" t="s">
        <v>45</v>
      </c>
      <c r="AJ390" s="40" t="s">
        <v>45</v>
      </c>
      <c r="AK390" s="40" t="s">
        <v>45</v>
      </c>
      <c r="AL390" s="40" t="s">
        <v>45</v>
      </c>
      <c r="AM390" s="40" t="s">
        <v>45</v>
      </c>
      <c r="AN390" s="40" t="s">
        <v>45</v>
      </c>
      <c r="AO390" s="41" t="s">
        <v>45</v>
      </c>
      <c r="AP390" s="40" t="s">
        <v>65</v>
      </c>
      <c r="AQ390" s="40">
        <v>9</v>
      </c>
      <c r="AR390" s="48" t="s">
        <v>347</v>
      </c>
      <c r="AS390" s="43" t="s">
        <v>45</v>
      </c>
      <c r="AT390" s="43" t="s">
        <v>47</v>
      </c>
      <c r="AU390" s="44">
        <f t="shared" si="50"/>
        <v>-2.2637319554834323</v>
      </c>
      <c r="AV390" s="44">
        <f t="shared" si="51"/>
        <v>-1.1865339896739031</v>
      </c>
      <c r="AW390" s="45">
        <f t="shared" si="52"/>
        <v>3</v>
      </c>
      <c r="AX390" s="45">
        <f t="shared" si="53"/>
        <v>0</v>
      </c>
      <c r="AY390" s="46">
        <f>VLOOKUP(AP390,COND!$A$10:$B$32,2,FALSE)</f>
        <v>0.95</v>
      </c>
      <c r="AZ390" s="44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25.150745124653991</v>
      </c>
      <c r="BA390" s="47">
        <f>STANDARDIZE(AZ390,AVERAGE($AZ$5:$AZ$663),STDEVP($AZ$5:$AZ$663))</f>
        <v>-0.8667289115586847</v>
      </c>
      <c r="BB390" s="45" t="str">
        <f t="shared" si="54"/>
        <v>SP</v>
      </c>
      <c r="BC390" s="45">
        <f>RANK(Table3[[#This Row],[zScore]],Table3[zScore])</f>
        <v>661</v>
      </c>
      <c r="BD390" s="45"/>
      <c r="BE390" s="45"/>
      <c r="BF390" s="45" t="str">
        <f t="shared" si="55"/>
        <v>Unlikely</v>
      </c>
      <c r="BG390" s="45"/>
      <c r="BH390" s="45" t="str">
        <f>INDEX(Table5[[#All],[Ovr]],MATCH(Table3[[#This Row],[PID]],Table5[[#All],[PID]],0))</f>
        <v/>
      </c>
      <c r="BI390" s="45" t="str">
        <f>INDEX(Table5[[#All],[Rnd]],MATCH(Table3[[#This Row],[PID]],Table5[[#All],[PID]],0))</f>
        <v/>
      </c>
      <c r="BJ390" s="45" t="str">
        <f>INDEX(Table5[[#All],[Pick]],MATCH(Table3[[#This Row],[PID]],Table5[[#All],[PID]],0))</f>
        <v/>
      </c>
      <c r="BK390" s="45" t="str">
        <f>INDEX(Table5[[#All],[Team]],MATCH(Table3[[#This Row],[PID]],Table5[[#All],[PID]],0))</f>
        <v/>
      </c>
      <c r="BL390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1" spans="1:64" ht="15" customHeight="1" x14ac:dyDescent="0.25">
      <c r="A391" s="40">
        <v>20270</v>
      </c>
      <c r="B391" s="40" t="s">
        <v>415</v>
      </c>
      <c r="C391" s="40" t="s">
        <v>1379</v>
      </c>
      <c r="D391" s="40" t="s">
        <v>2161</v>
      </c>
      <c r="E391" s="40">
        <v>22</v>
      </c>
      <c r="F391" s="40" t="s">
        <v>53</v>
      </c>
      <c r="G391" s="40" t="s">
        <v>53</v>
      </c>
      <c r="H391" s="41" t="s">
        <v>647</v>
      </c>
      <c r="I391" s="42" t="s">
        <v>43</v>
      </c>
      <c r="J391" s="40" t="s">
        <v>43</v>
      </c>
      <c r="K391" s="41" t="s">
        <v>43</v>
      </c>
      <c r="L391" s="40">
        <v>3</v>
      </c>
      <c r="M391" s="40">
        <v>1</v>
      </c>
      <c r="N391" s="41">
        <v>2</v>
      </c>
      <c r="O391" s="40">
        <v>4</v>
      </c>
      <c r="P391" s="40">
        <v>1</v>
      </c>
      <c r="Q391" s="41">
        <v>3</v>
      </c>
      <c r="R391" s="40">
        <v>4</v>
      </c>
      <c r="S391" s="40">
        <v>5</v>
      </c>
      <c r="T391" s="40">
        <v>3</v>
      </c>
      <c r="U391" s="40">
        <v>4</v>
      </c>
      <c r="V391" s="40">
        <v>4</v>
      </c>
      <c r="W391" s="40">
        <v>5</v>
      </c>
      <c r="X391" s="40" t="s">
        <v>45</v>
      </c>
      <c r="Y391" s="40" t="s">
        <v>45</v>
      </c>
      <c r="Z391" s="40" t="s">
        <v>45</v>
      </c>
      <c r="AA391" s="40" t="s">
        <v>45</v>
      </c>
      <c r="AB391" s="40" t="s">
        <v>45</v>
      </c>
      <c r="AC391" s="40" t="s">
        <v>45</v>
      </c>
      <c r="AD391" s="40" t="s">
        <v>45</v>
      </c>
      <c r="AE391" s="40" t="s">
        <v>45</v>
      </c>
      <c r="AF391" s="40">
        <v>4</v>
      </c>
      <c r="AG391" s="40">
        <v>4</v>
      </c>
      <c r="AH391" s="40" t="s">
        <v>45</v>
      </c>
      <c r="AI391" s="40" t="s">
        <v>45</v>
      </c>
      <c r="AJ391" s="40" t="s">
        <v>45</v>
      </c>
      <c r="AK391" s="40" t="s">
        <v>45</v>
      </c>
      <c r="AL391" s="40" t="s">
        <v>45</v>
      </c>
      <c r="AM391" s="40" t="s">
        <v>45</v>
      </c>
      <c r="AN391" s="40" t="s">
        <v>45</v>
      </c>
      <c r="AO391" s="41" t="s">
        <v>45</v>
      </c>
      <c r="AP391" s="40" t="s">
        <v>57</v>
      </c>
      <c r="AQ391" s="40">
        <v>8</v>
      </c>
      <c r="AR391" s="48" t="s">
        <v>14</v>
      </c>
      <c r="AS391" s="43" t="s">
        <v>45</v>
      </c>
      <c r="AT391" s="43"/>
      <c r="AU391" s="44">
        <f t="shared" si="50"/>
        <v>-2.0697810228951408</v>
      </c>
      <c r="AV391" s="44">
        <f t="shared" si="51"/>
        <v>-1.1872743815947853</v>
      </c>
      <c r="AW391" s="45">
        <f t="shared" si="52"/>
        <v>4</v>
      </c>
      <c r="AX391" s="45">
        <f t="shared" si="53"/>
        <v>0</v>
      </c>
      <c r="AY391" s="46">
        <f>VLOOKUP(AP391,COND!$A$10:$B$32,2,FALSE)</f>
        <v>1</v>
      </c>
      <c r="AZ391" s="44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24.840556163525264</v>
      </c>
      <c r="BA391" s="47">
        <f>STANDARDIZE(AZ391,AVERAGE($AZ$5:$AZ$788),STDEVP($AZ$5:$AZ$788))</f>
        <v>-0.86392974955062385</v>
      </c>
      <c r="BB391" s="45" t="str">
        <f t="shared" si="54"/>
        <v>SP</v>
      </c>
      <c r="BC391" s="45">
        <f>RANK(Table3[[#This Row],[zScore]],Table3[zScore])</f>
        <v>660</v>
      </c>
      <c r="BD391" s="45"/>
      <c r="BE391" s="45"/>
      <c r="BF391" s="45" t="str">
        <f t="shared" si="55"/>
        <v>Unlikely</v>
      </c>
      <c r="BG391" s="45"/>
      <c r="BH391" s="64" t="str">
        <f>INDEX(Table5[[#All],[Ovr]],MATCH(Table3[[#This Row],[PID]],Table5[[#All],[PID]],0))</f>
        <v/>
      </c>
      <c r="BI391" s="64" t="str">
        <f>INDEX(Table5[[#All],[Rnd]],MATCH(Table3[[#This Row],[PID]],Table5[[#All],[PID]],0))</f>
        <v/>
      </c>
      <c r="BJ391" s="64" t="str">
        <f>INDEX(Table5[[#All],[Pick]],MATCH(Table3[[#This Row],[PID]],Table5[[#All],[PID]],0))</f>
        <v/>
      </c>
      <c r="BK391" s="64" t="str">
        <f>INDEX(Table5[[#All],[Team]],MATCH(Table3[[#This Row],[PID]],Table5[[#All],[PID]],0))</f>
        <v/>
      </c>
      <c r="BL391" s="64" t="str">
        <f>IF(OR(Table3[[#This Row],[POS]]="SP",Table3[[#This Row],[POS]]="RP",Table3[[#This Row],[POS]]="CL"),"P",INDEX(Batters[[#All],[zScore]],MATCH(Table3[[#This Row],[PID]],Batters[[#All],[PID]],0)))</f>
        <v>P</v>
      </c>
    </row>
    <row r="392" spans="1:64" ht="15" customHeight="1" x14ac:dyDescent="0.25">
      <c r="A392" s="40">
        <v>9026</v>
      </c>
      <c r="B392" s="40" t="s">
        <v>415</v>
      </c>
      <c r="C392" s="40" t="s">
        <v>205</v>
      </c>
      <c r="D392" s="40" t="s">
        <v>903</v>
      </c>
      <c r="E392" s="40">
        <v>21</v>
      </c>
      <c r="F392" s="40" t="s">
        <v>42</v>
      </c>
      <c r="G392" s="40" t="s">
        <v>42</v>
      </c>
      <c r="H392" s="41" t="s">
        <v>647</v>
      </c>
      <c r="I392" s="42" t="s">
        <v>44</v>
      </c>
      <c r="J392" s="40" t="s">
        <v>44</v>
      </c>
      <c r="K392" s="41" t="s">
        <v>44</v>
      </c>
      <c r="L392" s="40">
        <v>1</v>
      </c>
      <c r="M392" s="40">
        <v>1</v>
      </c>
      <c r="N392" s="41">
        <v>1</v>
      </c>
      <c r="O392" s="40">
        <v>3</v>
      </c>
      <c r="P392" s="40">
        <v>1</v>
      </c>
      <c r="Q392" s="41">
        <v>3</v>
      </c>
      <c r="R392" s="40">
        <v>2</v>
      </c>
      <c r="S392" s="40">
        <v>3</v>
      </c>
      <c r="T392" s="40" t="s">
        <v>45</v>
      </c>
      <c r="U392" s="40" t="s">
        <v>45</v>
      </c>
      <c r="V392" s="40">
        <v>1</v>
      </c>
      <c r="W392" s="40">
        <v>5</v>
      </c>
      <c r="X392" s="40">
        <v>1</v>
      </c>
      <c r="Y392" s="40">
        <v>5</v>
      </c>
      <c r="Z392" s="40" t="s">
        <v>45</v>
      </c>
      <c r="AA392" s="40" t="s">
        <v>45</v>
      </c>
      <c r="AB392" s="40" t="s">
        <v>45</v>
      </c>
      <c r="AC392" s="40" t="s">
        <v>45</v>
      </c>
      <c r="AD392" s="40" t="s">
        <v>45</v>
      </c>
      <c r="AE392" s="40" t="s">
        <v>45</v>
      </c>
      <c r="AF392" s="40" t="s">
        <v>45</v>
      </c>
      <c r="AG392" s="40" t="s">
        <v>45</v>
      </c>
      <c r="AH392" s="40" t="s">
        <v>45</v>
      </c>
      <c r="AI392" s="40" t="s">
        <v>45</v>
      </c>
      <c r="AJ392" s="40" t="s">
        <v>45</v>
      </c>
      <c r="AK392" s="40" t="s">
        <v>45</v>
      </c>
      <c r="AL392" s="40" t="s">
        <v>45</v>
      </c>
      <c r="AM392" s="40" t="s">
        <v>45</v>
      </c>
      <c r="AN392" s="40" t="s">
        <v>45</v>
      </c>
      <c r="AO392" s="41" t="s">
        <v>45</v>
      </c>
      <c r="AP392" s="40" t="s">
        <v>67</v>
      </c>
      <c r="AQ392" s="40">
        <v>6</v>
      </c>
      <c r="AR392" s="48" t="s">
        <v>347</v>
      </c>
      <c r="AS392" s="43" t="s">
        <v>643</v>
      </c>
      <c r="AT392" s="43" t="s">
        <v>47</v>
      </c>
      <c r="AU392" s="44">
        <f t="shared" si="50"/>
        <v>-2.7014842379675978</v>
      </c>
      <c r="AV392" s="44">
        <f t="shared" si="51"/>
        <v>-1.3819657061039585</v>
      </c>
      <c r="AW392" s="45">
        <f t="shared" si="52"/>
        <v>3</v>
      </c>
      <c r="AX392" s="45">
        <f t="shared" si="53"/>
        <v>0</v>
      </c>
      <c r="AY392" s="46">
        <f>VLOOKUP(AP392,COND!$A$10:$B$32,2,FALSE)</f>
        <v>0.9</v>
      </c>
      <c r="AZ392" s="44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22.838641374112214</v>
      </c>
      <c r="BA392" s="47">
        <f>STANDARDIZE(AZ392,AVERAGE($AZ$5:$AZ$557),STDEVP($AZ$5:$AZ$557))</f>
        <v>-0.86699137288297168</v>
      </c>
      <c r="BB392" s="45" t="str">
        <f t="shared" si="54"/>
        <v>SP</v>
      </c>
      <c r="BC392" s="45">
        <f>RANK(Table3[[#This Row],[zScore]],Table3[zScore])</f>
        <v>662</v>
      </c>
      <c r="BD392" s="45"/>
      <c r="BE392" s="45"/>
      <c r="BF392" s="45" t="str">
        <f t="shared" si="55"/>
        <v>Unlikely</v>
      </c>
      <c r="BG392" s="45"/>
      <c r="BH392" s="45" t="str">
        <f>INDEX(Table5[[#All],[Ovr]],MATCH(Table3[[#This Row],[PID]],Table5[[#All],[PID]],0))</f>
        <v/>
      </c>
      <c r="BI392" s="45" t="str">
        <f>INDEX(Table5[[#All],[Rnd]],MATCH(Table3[[#This Row],[PID]],Table5[[#All],[PID]],0))</f>
        <v/>
      </c>
      <c r="BJ392" s="45" t="str">
        <f>INDEX(Table5[[#All],[Pick]],MATCH(Table3[[#This Row],[PID]],Table5[[#All],[PID]],0))</f>
        <v/>
      </c>
      <c r="BK392" s="45" t="str">
        <f>INDEX(Table5[[#All],[Team]],MATCH(Table3[[#This Row],[PID]],Table5[[#All],[PID]],0))</f>
        <v/>
      </c>
      <c r="BL3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3" spans="1:64" ht="15" customHeight="1" x14ac:dyDescent="0.25">
      <c r="A393" s="40">
        <v>20633</v>
      </c>
      <c r="B393" s="40" t="s">
        <v>415</v>
      </c>
      <c r="C393" s="40" t="s">
        <v>1713</v>
      </c>
      <c r="D393" s="40" t="s">
        <v>360</v>
      </c>
      <c r="E393" s="40">
        <v>17</v>
      </c>
      <c r="F393" s="40" t="s">
        <v>42</v>
      </c>
      <c r="G393" s="40" t="s">
        <v>42</v>
      </c>
      <c r="H393" s="41" t="s">
        <v>647</v>
      </c>
      <c r="I393" s="42" t="s">
        <v>44</v>
      </c>
      <c r="J393" s="40" t="s">
        <v>43</v>
      </c>
      <c r="K393" s="41" t="s">
        <v>43</v>
      </c>
      <c r="L393" s="40">
        <v>2</v>
      </c>
      <c r="M393" s="40">
        <v>1</v>
      </c>
      <c r="N393" s="41">
        <v>1</v>
      </c>
      <c r="O393" s="40">
        <v>3</v>
      </c>
      <c r="P393" s="40">
        <v>1</v>
      </c>
      <c r="Q393" s="41">
        <v>2</v>
      </c>
      <c r="R393" s="40">
        <v>2</v>
      </c>
      <c r="S393" s="40">
        <v>4</v>
      </c>
      <c r="T393" s="40">
        <v>1</v>
      </c>
      <c r="U393" s="40">
        <v>5</v>
      </c>
      <c r="V393" s="40" t="s">
        <v>45</v>
      </c>
      <c r="W393" s="40" t="s">
        <v>45</v>
      </c>
      <c r="X393" s="40" t="s">
        <v>45</v>
      </c>
      <c r="Y393" s="40" t="s">
        <v>45</v>
      </c>
      <c r="Z393" s="40" t="s">
        <v>45</v>
      </c>
      <c r="AA393" s="40" t="s">
        <v>45</v>
      </c>
      <c r="AB393" s="40" t="s">
        <v>45</v>
      </c>
      <c r="AC393" s="40" t="s">
        <v>45</v>
      </c>
      <c r="AD393" s="40">
        <v>2</v>
      </c>
      <c r="AE393" s="40">
        <v>4</v>
      </c>
      <c r="AF393" s="40" t="s">
        <v>45</v>
      </c>
      <c r="AG393" s="40" t="s">
        <v>45</v>
      </c>
      <c r="AH393" s="40" t="s">
        <v>45</v>
      </c>
      <c r="AI393" s="40" t="s">
        <v>45</v>
      </c>
      <c r="AJ393" s="40" t="s">
        <v>45</v>
      </c>
      <c r="AK393" s="40" t="s">
        <v>45</v>
      </c>
      <c r="AL393" s="40" t="s">
        <v>45</v>
      </c>
      <c r="AM393" s="40" t="s">
        <v>45</v>
      </c>
      <c r="AN393" s="40" t="s">
        <v>45</v>
      </c>
      <c r="AO393" s="41" t="s">
        <v>45</v>
      </c>
      <c r="AP393" s="40" t="s">
        <v>68</v>
      </c>
      <c r="AQ393" s="40">
        <v>5</v>
      </c>
      <c r="AR393" s="48" t="s">
        <v>351</v>
      </c>
      <c r="AS393" s="43" t="s">
        <v>563</v>
      </c>
      <c r="AT393" s="43" t="s">
        <v>47</v>
      </c>
      <c r="AU393" s="44">
        <f t="shared" si="50"/>
        <v>-2.5067929134584248</v>
      </c>
      <c r="AV393" s="44">
        <f t="shared" si="51"/>
        <v>-1.6242862721580691</v>
      </c>
      <c r="AW393" s="45">
        <f t="shared" si="52"/>
        <v>3</v>
      </c>
      <c r="AX393" s="45">
        <f t="shared" si="53"/>
        <v>0</v>
      </c>
      <c r="AY393" s="46">
        <f>VLOOKUP(AP393,COND!$A$10:$B$32,2,FALSE)</f>
        <v>0.95</v>
      </c>
      <c r="AZ393" s="44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22.685088421053592</v>
      </c>
      <c r="BA393" s="47">
        <f>STANDARDIZE(AZ393,AVERAGE($AZ$5:$AZ$557),STDEVP($AZ$5:$AZ$557))</f>
        <v>-0.8772070162043365</v>
      </c>
      <c r="BB393" s="45" t="str">
        <f t="shared" si="54"/>
        <v>SP</v>
      </c>
      <c r="BC393" s="45">
        <f>RANK(Table3[[#This Row],[zScore]],Table3[zScore])</f>
        <v>663</v>
      </c>
      <c r="BD393" s="45"/>
      <c r="BE393" s="45"/>
      <c r="BF393" s="45" t="str">
        <f t="shared" si="55"/>
        <v>Unlikely</v>
      </c>
      <c r="BG393" s="45"/>
      <c r="BH393" s="45" t="str">
        <f>INDEX(Table5[[#All],[Ovr]],MATCH(Table3[[#This Row],[PID]],Table5[[#All],[PID]],0))</f>
        <v/>
      </c>
      <c r="BI393" s="45" t="str">
        <f>INDEX(Table5[[#All],[Rnd]],MATCH(Table3[[#This Row],[PID]],Table5[[#All],[PID]],0))</f>
        <v/>
      </c>
      <c r="BJ393" s="45" t="str">
        <f>INDEX(Table5[[#All],[Pick]],MATCH(Table3[[#This Row],[PID]],Table5[[#All],[PID]],0))</f>
        <v/>
      </c>
      <c r="BK393" s="45" t="str">
        <f>INDEX(Table5[[#All],[Team]],MATCH(Table3[[#This Row],[PID]],Table5[[#All],[PID]],0))</f>
        <v/>
      </c>
      <c r="BL393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4" spans="1:64" ht="15" customHeight="1" x14ac:dyDescent="0.25">
      <c r="A394" s="40">
        <v>7901</v>
      </c>
      <c r="B394" s="40" t="s">
        <v>415</v>
      </c>
      <c r="C394" s="40" t="s">
        <v>417</v>
      </c>
      <c r="D394" s="40" t="s">
        <v>1632</v>
      </c>
      <c r="E394" s="40">
        <v>21</v>
      </c>
      <c r="F394" s="40" t="s">
        <v>42</v>
      </c>
      <c r="G394" s="40" t="s">
        <v>42</v>
      </c>
      <c r="H394" s="41" t="s">
        <v>647</v>
      </c>
      <c r="I394" s="42" t="s">
        <v>43</v>
      </c>
      <c r="J394" s="40" t="s">
        <v>44</v>
      </c>
      <c r="K394" s="41" t="s">
        <v>43</v>
      </c>
      <c r="L394" s="40">
        <v>2</v>
      </c>
      <c r="M394" s="40">
        <v>2</v>
      </c>
      <c r="N394" s="41">
        <v>2</v>
      </c>
      <c r="O394" s="40">
        <v>3</v>
      </c>
      <c r="P394" s="40">
        <v>2</v>
      </c>
      <c r="Q394" s="41">
        <v>3</v>
      </c>
      <c r="R394" s="40">
        <v>3</v>
      </c>
      <c r="S394" s="40">
        <v>5</v>
      </c>
      <c r="T394" s="40">
        <v>1</v>
      </c>
      <c r="U394" s="40">
        <v>3</v>
      </c>
      <c r="V394" s="40" t="s">
        <v>45</v>
      </c>
      <c r="W394" s="40" t="s">
        <v>45</v>
      </c>
      <c r="X394" s="40" t="s">
        <v>45</v>
      </c>
      <c r="Y394" s="40" t="s">
        <v>45</v>
      </c>
      <c r="Z394" s="40" t="s">
        <v>45</v>
      </c>
      <c r="AA394" s="40" t="s">
        <v>45</v>
      </c>
      <c r="AB394" s="40">
        <v>3</v>
      </c>
      <c r="AC394" s="40">
        <v>4</v>
      </c>
      <c r="AD394" s="40" t="s">
        <v>45</v>
      </c>
      <c r="AE394" s="40" t="s">
        <v>45</v>
      </c>
      <c r="AF394" s="40" t="s">
        <v>45</v>
      </c>
      <c r="AG394" s="40" t="s">
        <v>45</v>
      </c>
      <c r="AH394" s="40" t="s">
        <v>45</v>
      </c>
      <c r="AI394" s="40" t="s">
        <v>45</v>
      </c>
      <c r="AJ394" s="40" t="s">
        <v>45</v>
      </c>
      <c r="AK394" s="40" t="s">
        <v>45</v>
      </c>
      <c r="AL394" s="40" t="s">
        <v>45</v>
      </c>
      <c r="AM394" s="40" t="s">
        <v>45</v>
      </c>
      <c r="AN394" s="40" t="s">
        <v>45</v>
      </c>
      <c r="AO394" s="41" t="s">
        <v>45</v>
      </c>
      <c r="AP394" s="40" t="s">
        <v>64</v>
      </c>
      <c r="AQ394" s="40">
        <v>6</v>
      </c>
      <c r="AR394" s="48" t="s">
        <v>347</v>
      </c>
      <c r="AS394" s="43" t="s">
        <v>45</v>
      </c>
      <c r="AT394" s="43"/>
      <c r="AU394" s="44">
        <f t="shared" si="50"/>
        <v>-2.0690406309742588</v>
      </c>
      <c r="AV394" s="44">
        <f t="shared" si="51"/>
        <v>-1.1865339896739031</v>
      </c>
      <c r="AW394" s="45">
        <f t="shared" si="52"/>
        <v>3</v>
      </c>
      <c r="AX394" s="45">
        <f t="shared" si="53"/>
        <v>0</v>
      </c>
      <c r="AY394" s="46">
        <f>VLOOKUP(AP394,COND!$A$10:$B$32,2,FALSE)</f>
        <v>1</v>
      </c>
      <c r="AZ394" s="44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24.621624278318912</v>
      </c>
      <c r="BA394" s="47">
        <f>STANDARDIZE(AZ394,AVERAGE($AZ$5:$AZ$788),STDEVP($AZ$5:$AZ$788))</f>
        <v>-0.87977220052681426</v>
      </c>
      <c r="BB394" s="45" t="str">
        <f t="shared" si="54"/>
        <v>SP</v>
      </c>
      <c r="BC394" s="45">
        <f>RANK(Table3[[#This Row],[zScore]],Table3[zScore])</f>
        <v>666</v>
      </c>
      <c r="BD394" s="45"/>
      <c r="BE394" s="45"/>
      <c r="BF394" s="45" t="str">
        <f t="shared" si="55"/>
        <v>Unlikely</v>
      </c>
      <c r="BG394" s="45"/>
      <c r="BH394" s="64" t="str">
        <f>INDEX(Table5[[#All],[Ovr]],MATCH(Table3[[#This Row],[PID]],Table5[[#All],[PID]],0))</f>
        <v/>
      </c>
      <c r="BI394" s="64" t="str">
        <f>INDEX(Table5[[#All],[Rnd]],MATCH(Table3[[#This Row],[PID]],Table5[[#All],[PID]],0))</f>
        <v/>
      </c>
      <c r="BJ394" s="64" t="str">
        <f>INDEX(Table5[[#All],[Pick]],MATCH(Table3[[#This Row],[PID]],Table5[[#All],[PID]],0))</f>
        <v/>
      </c>
      <c r="BK394" s="64" t="str">
        <f>INDEX(Table5[[#All],[Team]],MATCH(Table3[[#This Row],[PID]],Table5[[#All],[PID]],0))</f>
        <v/>
      </c>
      <c r="BL394" s="64" t="str">
        <f>IF(OR(Table3[[#This Row],[POS]]="SP",Table3[[#This Row],[POS]]="RP",Table3[[#This Row],[POS]]="CL"),"P",INDEX(Batters[[#All],[zScore]],MATCH(Table3[[#This Row],[PID]],Batters[[#All],[PID]],0)))</f>
        <v>P</v>
      </c>
    </row>
    <row r="395" spans="1:64" ht="15" customHeight="1" x14ac:dyDescent="0.25">
      <c r="A395" s="40">
        <v>8726</v>
      </c>
      <c r="B395" s="40" t="s">
        <v>415</v>
      </c>
      <c r="C395" s="40" t="s">
        <v>130</v>
      </c>
      <c r="D395" s="40" t="s">
        <v>1127</v>
      </c>
      <c r="E395" s="40">
        <v>22</v>
      </c>
      <c r="F395" s="40" t="s">
        <v>42</v>
      </c>
      <c r="G395" s="40" t="s">
        <v>42</v>
      </c>
      <c r="H395" s="41" t="s">
        <v>647</v>
      </c>
      <c r="I395" s="42" t="s">
        <v>43</v>
      </c>
      <c r="J395" s="40" t="s">
        <v>47</v>
      </c>
      <c r="K395" s="41" t="s">
        <v>43</v>
      </c>
      <c r="L395" s="40">
        <v>2</v>
      </c>
      <c r="M395" s="40">
        <v>1</v>
      </c>
      <c r="N395" s="41">
        <v>2</v>
      </c>
      <c r="O395" s="40">
        <v>3</v>
      </c>
      <c r="P395" s="40">
        <v>1</v>
      </c>
      <c r="Q395" s="41">
        <v>3</v>
      </c>
      <c r="R395" s="40">
        <v>3</v>
      </c>
      <c r="S395" s="40">
        <v>4</v>
      </c>
      <c r="T395" s="40" t="s">
        <v>45</v>
      </c>
      <c r="U395" s="40" t="s">
        <v>45</v>
      </c>
      <c r="V395" s="40">
        <v>1</v>
      </c>
      <c r="W395" s="40">
        <v>4</v>
      </c>
      <c r="X395" s="40">
        <v>2</v>
      </c>
      <c r="Y395" s="40">
        <v>4</v>
      </c>
      <c r="Z395" s="40" t="s">
        <v>45</v>
      </c>
      <c r="AA395" s="40" t="s">
        <v>45</v>
      </c>
      <c r="AB395" s="40" t="s">
        <v>45</v>
      </c>
      <c r="AC395" s="40" t="s">
        <v>45</v>
      </c>
      <c r="AD395" s="40" t="s">
        <v>45</v>
      </c>
      <c r="AE395" s="40" t="s">
        <v>45</v>
      </c>
      <c r="AF395" s="40" t="s">
        <v>45</v>
      </c>
      <c r="AG395" s="40" t="s">
        <v>45</v>
      </c>
      <c r="AH395" s="40" t="s">
        <v>45</v>
      </c>
      <c r="AI395" s="40" t="s">
        <v>45</v>
      </c>
      <c r="AJ395" s="40" t="s">
        <v>45</v>
      </c>
      <c r="AK395" s="40" t="s">
        <v>45</v>
      </c>
      <c r="AL395" s="40" t="s">
        <v>45</v>
      </c>
      <c r="AM395" s="40" t="s">
        <v>45</v>
      </c>
      <c r="AN395" s="40" t="s">
        <v>45</v>
      </c>
      <c r="AO395" s="41" t="s">
        <v>45</v>
      </c>
      <c r="AP395" s="40" t="s">
        <v>68</v>
      </c>
      <c r="AQ395" s="40">
        <v>6</v>
      </c>
      <c r="AR395" s="48" t="s">
        <v>14</v>
      </c>
      <c r="AS395" s="43" t="s">
        <v>45</v>
      </c>
      <c r="AT395" s="43" t="s">
        <v>47</v>
      </c>
      <c r="AU395" s="44">
        <f t="shared" si="50"/>
        <v>-2.2644723474043147</v>
      </c>
      <c r="AV395" s="44">
        <f t="shared" si="51"/>
        <v>-1.3819657061039585</v>
      </c>
      <c r="AW395" s="45">
        <f t="shared" si="52"/>
        <v>3</v>
      </c>
      <c r="AX395" s="45">
        <f t="shared" si="53"/>
        <v>0</v>
      </c>
      <c r="AY395" s="46">
        <f>VLOOKUP(AP395,COND!$A$10:$B$32,2,FALSE)</f>
        <v>0.95</v>
      </c>
      <c r="AZ395" s="44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22.668966792067522</v>
      </c>
      <c r="BA395" s="47">
        <f>STANDARDIZE(AZ395,AVERAGE($AZ$5:$AZ$557),STDEVP($AZ$5:$AZ$557))</f>
        <v>-0.87827956354517589</v>
      </c>
      <c r="BB395" s="45" t="str">
        <f t="shared" si="54"/>
        <v>SP</v>
      </c>
      <c r="BC395" s="45">
        <f>RANK(Table3[[#This Row],[zScore]],Table3[zScore])</f>
        <v>665</v>
      </c>
      <c r="BD395" s="45"/>
      <c r="BE395" s="45"/>
      <c r="BF395" s="45" t="str">
        <f t="shared" si="55"/>
        <v>Unlikely</v>
      </c>
      <c r="BG395" s="45"/>
      <c r="BH395" s="45" t="str">
        <f>INDEX(Table5[[#All],[Ovr]],MATCH(Table3[[#This Row],[PID]],Table5[[#All],[PID]],0))</f>
        <v/>
      </c>
      <c r="BI395" s="45" t="str">
        <f>INDEX(Table5[[#All],[Rnd]],MATCH(Table3[[#This Row],[PID]],Table5[[#All],[PID]],0))</f>
        <v/>
      </c>
      <c r="BJ395" s="45" t="str">
        <f>INDEX(Table5[[#All],[Pick]],MATCH(Table3[[#This Row],[PID]],Table5[[#All],[PID]],0))</f>
        <v/>
      </c>
      <c r="BK395" s="45" t="str">
        <f>INDEX(Table5[[#All],[Team]],MATCH(Table3[[#This Row],[PID]],Table5[[#All],[PID]],0))</f>
        <v/>
      </c>
      <c r="BL395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6" spans="1:64" ht="15" customHeight="1" x14ac:dyDescent="0.25">
      <c r="A396" s="40">
        <v>7268</v>
      </c>
      <c r="B396" s="40" t="s">
        <v>415</v>
      </c>
      <c r="C396" s="40" t="s">
        <v>584</v>
      </c>
      <c r="D396" s="40" t="s">
        <v>1138</v>
      </c>
      <c r="E396" s="40">
        <v>22</v>
      </c>
      <c r="F396" s="40" t="s">
        <v>53</v>
      </c>
      <c r="G396" s="40" t="s">
        <v>42</v>
      </c>
      <c r="H396" s="41" t="s">
        <v>647</v>
      </c>
      <c r="I396" s="42" t="s">
        <v>43</v>
      </c>
      <c r="J396" s="40" t="s">
        <v>44</v>
      </c>
      <c r="K396" s="41" t="s">
        <v>43</v>
      </c>
      <c r="L396" s="40">
        <v>2</v>
      </c>
      <c r="M396" s="40">
        <v>2</v>
      </c>
      <c r="N396" s="41">
        <v>3</v>
      </c>
      <c r="O396" s="40">
        <v>3</v>
      </c>
      <c r="P396" s="40">
        <v>2</v>
      </c>
      <c r="Q396" s="41">
        <v>3</v>
      </c>
      <c r="R396" s="40">
        <v>3</v>
      </c>
      <c r="S396" s="40">
        <v>4</v>
      </c>
      <c r="T396" s="40">
        <v>2</v>
      </c>
      <c r="U396" s="40">
        <v>4</v>
      </c>
      <c r="V396" s="40" t="s">
        <v>45</v>
      </c>
      <c r="W396" s="40" t="s">
        <v>45</v>
      </c>
      <c r="X396" s="40">
        <v>3</v>
      </c>
      <c r="Y396" s="40">
        <v>4</v>
      </c>
      <c r="Z396" s="40" t="s">
        <v>45</v>
      </c>
      <c r="AA396" s="40" t="s">
        <v>45</v>
      </c>
      <c r="AB396" s="40" t="s">
        <v>45</v>
      </c>
      <c r="AC396" s="40" t="s">
        <v>45</v>
      </c>
      <c r="AD396" s="40" t="s">
        <v>45</v>
      </c>
      <c r="AE396" s="40" t="s">
        <v>45</v>
      </c>
      <c r="AF396" s="40">
        <v>3</v>
      </c>
      <c r="AG396" s="40">
        <v>4</v>
      </c>
      <c r="AH396" s="40" t="s">
        <v>45</v>
      </c>
      <c r="AI396" s="40" t="s">
        <v>45</v>
      </c>
      <c r="AJ396" s="40" t="s">
        <v>45</v>
      </c>
      <c r="AK396" s="40" t="s">
        <v>45</v>
      </c>
      <c r="AL396" s="40" t="s">
        <v>45</v>
      </c>
      <c r="AM396" s="40" t="s">
        <v>45</v>
      </c>
      <c r="AN396" s="40" t="s">
        <v>45</v>
      </c>
      <c r="AO396" s="41" t="s">
        <v>45</v>
      </c>
      <c r="AP396" s="40" t="s">
        <v>64</v>
      </c>
      <c r="AQ396" s="40">
        <v>9</v>
      </c>
      <c r="AR396" s="48" t="s">
        <v>347</v>
      </c>
      <c r="AS396" s="43" t="s">
        <v>45</v>
      </c>
      <c r="AT396" s="43"/>
      <c r="AU396" s="44">
        <f t="shared" si="50"/>
        <v>-1.8267200649201485</v>
      </c>
      <c r="AV396" s="44">
        <f t="shared" si="51"/>
        <v>-1.1865339896739031</v>
      </c>
      <c r="AW396" s="45">
        <f t="shared" si="52"/>
        <v>4</v>
      </c>
      <c r="AX396" s="45">
        <f t="shared" si="53"/>
        <v>0</v>
      </c>
      <c r="AY396" s="46">
        <f>VLOOKUP(AP396,COND!$A$10:$B$32,2,FALSE)</f>
        <v>1</v>
      </c>
      <c r="AZ396" s="44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24.60397619353791</v>
      </c>
      <c r="BA396" s="47">
        <f>STANDARDIZE(AZ396,AVERAGE($AZ$5:$AZ$788),STDEVP($AZ$5:$AZ$788))</f>
        <v>-0.88104925945179968</v>
      </c>
      <c r="BB396" s="45" t="str">
        <f t="shared" si="54"/>
        <v>SP</v>
      </c>
      <c r="BC396" s="45">
        <f>RANK(Table3[[#This Row],[zScore]],Table3[zScore])</f>
        <v>667</v>
      </c>
      <c r="BD396" s="45"/>
      <c r="BE396" s="45"/>
      <c r="BF396" s="45" t="str">
        <f t="shared" si="55"/>
        <v>Unlikely</v>
      </c>
      <c r="BG396" s="45"/>
      <c r="BH396" s="64" t="str">
        <f>INDEX(Table5[[#All],[Ovr]],MATCH(Table3[[#This Row],[PID]],Table5[[#All],[PID]],0))</f>
        <v/>
      </c>
      <c r="BI396" s="64" t="str">
        <f>INDEX(Table5[[#All],[Rnd]],MATCH(Table3[[#This Row],[PID]],Table5[[#All],[PID]],0))</f>
        <v/>
      </c>
      <c r="BJ396" s="64" t="str">
        <f>INDEX(Table5[[#All],[Pick]],MATCH(Table3[[#This Row],[PID]],Table5[[#All],[PID]],0))</f>
        <v/>
      </c>
      <c r="BK396" s="64" t="str">
        <f>INDEX(Table5[[#All],[Team]],MATCH(Table3[[#This Row],[PID]],Table5[[#All],[PID]],0))</f>
        <v/>
      </c>
      <c r="BL396" s="64" t="str">
        <f>IF(OR(Table3[[#This Row],[POS]]="SP",Table3[[#This Row],[POS]]="RP",Table3[[#This Row],[POS]]="CL"),"P",INDEX(Batters[[#All],[zScore]],MATCH(Table3[[#This Row],[PID]],Batters[[#All],[PID]],0)))</f>
        <v>P</v>
      </c>
    </row>
    <row r="397" spans="1:64" ht="15" customHeight="1" x14ac:dyDescent="0.25">
      <c r="A397" s="40">
        <v>20385</v>
      </c>
      <c r="B397" s="40" t="s">
        <v>415</v>
      </c>
      <c r="C397" s="40" t="s">
        <v>129</v>
      </c>
      <c r="D397" s="40" t="s">
        <v>854</v>
      </c>
      <c r="E397" s="40">
        <v>16</v>
      </c>
      <c r="F397" s="40" t="s">
        <v>42</v>
      </c>
      <c r="G397" s="40" t="s">
        <v>42</v>
      </c>
      <c r="H397" s="41" t="s">
        <v>647</v>
      </c>
      <c r="I397" s="42" t="s">
        <v>43</v>
      </c>
      <c r="J397" s="40" t="s">
        <v>44</v>
      </c>
      <c r="K397" s="41" t="s">
        <v>47</v>
      </c>
      <c r="L397" s="40">
        <v>1</v>
      </c>
      <c r="M397" s="40">
        <v>1</v>
      </c>
      <c r="N397" s="41">
        <v>1</v>
      </c>
      <c r="O397" s="40">
        <v>3</v>
      </c>
      <c r="P397" s="40">
        <v>1</v>
      </c>
      <c r="Q397" s="41">
        <v>4</v>
      </c>
      <c r="R397" s="40">
        <v>3</v>
      </c>
      <c r="S397" s="40">
        <v>4</v>
      </c>
      <c r="T397" s="40" t="s">
        <v>45</v>
      </c>
      <c r="U397" s="40" t="s">
        <v>45</v>
      </c>
      <c r="V397" s="40" t="s">
        <v>45</v>
      </c>
      <c r="W397" s="40" t="s">
        <v>45</v>
      </c>
      <c r="X397" s="40">
        <v>2</v>
      </c>
      <c r="Y397" s="40">
        <v>5</v>
      </c>
      <c r="Z397" s="40" t="s">
        <v>45</v>
      </c>
      <c r="AA397" s="40" t="s">
        <v>45</v>
      </c>
      <c r="AB397" s="40" t="s">
        <v>45</v>
      </c>
      <c r="AC397" s="40" t="s">
        <v>45</v>
      </c>
      <c r="AD397" s="40" t="s">
        <v>45</v>
      </c>
      <c r="AE397" s="40" t="s">
        <v>45</v>
      </c>
      <c r="AF397" s="40" t="s">
        <v>45</v>
      </c>
      <c r="AG397" s="40" t="s">
        <v>45</v>
      </c>
      <c r="AH397" s="40" t="s">
        <v>45</v>
      </c>
      <c r="AI397" s="40" t="s">
        <v>45</v>
      </c>
      <c r="AJ397" s="40" t="s">
        <v>45</v>
      </c>
      <c r="AK397" s="40" t="s">
        <v>45</v>
      </c>
      <c r="AL397" s="40" t="s">
        <v>45</v>
      </c>
      <c r="AM397" s="40" t="s">
        <v>45</v>
      </c>
      <c r="AN397" s="40" t="s">
        <v>45</v>
      </c>
      <c r="AO397" s="41" t="s">
        <v>45</v>
      </c>
      <c r="AP397" s="40" t="s">
        <v>68</v>
      </c>
      <c r="AQ397" s="40">
        <v>1</v>
      </c>
      <c r="AR397" s="48" t="s">
        <v>347</v>
      </c>
      <c r="AS397" s="43" t="s">
        <v>659</v>
      </c>
      <c r="AT397" s="43" t="s">
        <v>635</v>
      </c>
      <c r="AU397" s="44">
        <f t="shared" si="50"/>
        <v>-2.7014842379675978</v>
      </c>
      <c r="AV397" s="44">
        <f t="shared" si="51"/>
        <v>-1.1396451400498482</v>
      </c>
      <c r="AW397" s="45">
        <f t="shared" si="52"/>
        <v>2</v>
      </c>
      <c r="AX397" s="45">
        <f t="shared" si="53"/>
        <v>0</v>
      </c>
      <c r="AY397" s="46">
        <f>VLOOKUP(AP397,COND!$A$10:$B$32,2,FALSE)</f>
        <v>0.95</v>
      </c>
      <c r="AZ397" s="44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24.844287317147092</v>
      </c>
      <c r="BA397" s="47">
        <f>STANDARDIZE(AZ397,AVERAGE($AZ$5:$AZ$663),STDEVP($AZ$5:$AZ$663))</f>
        <v>-0.88772118120427435</v>
      </c>
      <c r="BB397" s="45" t="str">
        <f t="shared" si="54"/>
        <v>RP</v>
      </c>
      <c r="BC397" s="45">
        <f>RANK(Table3[[#This Row],[zScore]],Table3[zScore])</f>
        <v>670</v>
      </c>
      <c r="BD397" s="45"/>
      <c r="BE397" s="45"/>
      <c r="BF397" s="45" t="str">
        <f t="shared" si="55"/>
        <v>Unlikely</v>
      </c>
      <c r="BG397" s="45"/>
      <c r="BH397" s="45" t="str">
        <f>INDEX(Table5[[#All],[Ovr]],MATCH(Table3[[#This Row],[PID]],Table5[[#All],[PID]],0))</f>
        <v/>
      </c>
      <c r="BI397" s="45" t="str">
        <f>INDEX(Table5[[#All],[Rnd]],MATCH(Table3[[#This Row],[PID]],Table5[[#All],[PID]],0))</f>
        <v/>
      </c>
      <c r="BJ397" s="45" t="str">
        <f>INDEX(Table5[[#All],[Pick]],MATCH(Table3[[#This Row],[PID]],Table5[[#All],[PID]],0))</f>
        <v/>
      </c>
      <c r="BK397" s="45" t="str">
        <f>INDEX(Table5[[#All],[Team]],MATCH(Table3[[#This Row],[PID]],Table5[[#All],[PID]],0))</f>
        <v/>
      </c>
      <c r="BL397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8" spans="1:64" ht="15" customHeight="1" x14ac:dyDescent="0.25">
      <c r="A398" s="40">
        <v>17773</v>
      </c>
      <c r="B398" s="40" t="s">
        <v>415</v>
      </c>
      <c r="C398" s="40" t="s">
        <v>2141</v>
      </c>
      <c r="D398" s="40" t="s">
        <v>2142</v>
      </c>
      <c r="E398" s="40">
        <v>21</v>
      </c>
      <c r="F398" s="40" t="s">
        <v>62</v>
      </c>
      <c r="G398" s="40" t="s">
        <v>42</v>
      </c>
      <c r="H398" s="41" t="s">
        <v>647</v>
      </c>
      <c r="I398" s="42" t="s">
        <v>43</v>
      </c>
      <c r="J398" s="40" t="s">
        <v>47</v>
      </c>
      <c r="K398" s="41" t="s">
        <v>43</v>
      </c>
      <c r="L398" s="40">
        <v>2</v>
      </c>
      <c r="M398" s="40">
        <v>1</v>
      </c>
      <c r="N398" s="41">
        <v>1</v>
      </c>
      <c r="O398" s="40">
        <v>3</v>
      </c>
      <c r="P398" s="40">
        <v>1</v>
      </c>
      <c r="Q398" s="41">
        <v>3</v>
      </c>
      <c r="R398" s="40">
        <v>3</v>
      </c>
      <c r="S398" s="40">
        <v>4</v>
      </c>
      <c r="T398" s="40">
        <v>2</v>
      </c>
      <c r="U398" s="40">
        <v>3</v>
      </c>
      <c r="V398" s="40">
        <v>2</v>
      </c>
      <c r="W398" s="40">
        <v>3</v>
      </c>
      <c r="X398" s="40">
        <v>2</v>
      </c>
      <c r="Y398" s="40">
        <v>3</v>
      </c>
      <c r="Z398" s="40" t="s">
        <v>45</v>
      </c>
      <c r="AA398" s="40" t="s">
        <v>45</v>
      </c>
      <c r="AB398" s="40">
        <v>3</v>
      </c>
      <c r="AC398" s="40">
        <v>3</v>
      </c>
      <c r="AD398" s="40" t="s">
        <v>45</v>
      </c>
      <c r="AE398" s="40" t="s">
        <v>45</v>
      </c>
      <c r="AF398" s="40">
        <v>3</v>
      </c>
      <c r="AG398" s="40">
        <v>3</v>
      </c>
      <c r="AH398" s="40" t="s">
        <v>45</v>
      </c>
      <c r="AI398" s="40" t="s">
        <v>45</v>
      </c>
      <c r="AJ398" s="40" t="s">
        <v>45</v>
      </c>
      <c r="AK398" s="40" t="s">
        <v>45</v>
      </c>
      <c r="AL398" s="40" t="s">
        <v>45</v>
      </c>
      <c r="AM398" s="40" t="s">
        <v>45</v>
      </c>
      <c r="AN398" s="40" t="s">
        <v>45</v>
      </c>
      <c r="AO398" s="41" t="s">
        <v>45</v>
      </c>
      <c r="AP398" s="40" t="s">
        <v>68</v>
      </c>
      <c r="AQ398" s="40">
        <v>4</v>
      </c>
      <c r="AR398" s="48" t="s">
        <v>347</v>
      </c>
      <c r="AS398" s="43" t="s">
        <v>45</v>
      </c>
      <c r="AT398" s="43" t="s">
        <v>635</v>
      </c>
      <c r="AU398" s="44">
        <f t="shared" si="50"/>
        <v>-2.5067929134584248</v>
      </c>
      <c r="AV398" s="44">
        <f t="shared" si="51"/>
        <v>-1.3819657061039585</v>
      </c>
      <c r="AW398" s="45">
        <f t="shared" si="52"/>
        <v>6</v>
      </c>
      <c r="AX398" s="45">
        <f t="shared" si="53"/>
        <v>0</v>
      </c>
      <c r="AY398" s="46">
        <f>VLOOKUP(AP398,COND!$A$10:$B$32,2,FALSE)</f>
        <v>0.95</v>
      </c>
      <c r="AZ398" s="44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22.610542883944301</v>
      </c>
      <c r="BA398" s="47">
        <f>STANDARDIZE(AZ398,AVERAGE($AZ$5:$AZ$557),STDEVP($AZ$5:$AZ$557))</f>
        <v>-0.88216641687452324</v>
      </c>
      <c r="BB398" s="45" t="str">
        <f t="shared" si="54"/>
        <v>RP</v>
      </c>
      <c r="BC398" s="45">
        <f>RANK(Table3[[#This Row],[zScore]],Table3[zScore])</f>
        <v>668</v>
      </c>
      <c r="BD398" s="45"/>
      <c r="BE398" s="45"/>
      <c r="BF398" s="45" t="str">
        <f t="shared" si="55"/>
        <v>Unlikely</v>
      </c>
      <c r="BG398" s="45"/>
      <c r="BH398" s="45" t="str">
        <f>INDEX(Table5[[#All],[Ovr]],MATCH(Table3[[#This Row],[PID]],Table5[[#All],[PID]],0))</f>
        <v/>
      </c>
      <c r="BI398" s="45" t="str">
        <f>INDEX(Table5[[#All],[Rnd]],MATCH(Table3[[#This Row],[PID]],Table5[[#All],[PID]],0))</f>
        <v/>
      </c>
      <c r="BJ398" s="45" t="str">
        <f>INDEX(Table5[[#All],[Pick]],MATCH(Table3[[#This Row],[PID]],Table5[[#All],[PID]],0))</f>
        <v/>
      </c>
      <c r="BK398" s="45" t="str">
        <f>INDEX(Table5[[#All],[Team]],MATCH(Table3[[#This Row],[PID]],Table5[[#All],[PID]],0))</f>
        <v/>
      </c>
      <c r="BL3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399" spans="1:64" ht="15" customHeight="1" x14ac:dyDescent="0.25">
      <c r="A399" s="40">
        <v>17019</v>
      </c>
      <c r="B399" s="40" t="s">
        <v>415</v>
      </c>
      <c r="C399" s="40" t="s">
        <v>2010</v>
      </c>
      <c r="D399" s="40" t="s">
        <v>2011</v>
      </c>
      <c r="E399" s="40">
        <v>21</v>
      </c>
      <c r="F399" s="40" t="s">
        <v>42</v>
      </c>
      <c r="G399" s="40" t="s">
        <v>42</v>
      </c>
      <c r="H399" s="41" t="s">
        <v>647</v>
      </c>
      <c r="I399" s="42" t="s">
        <v>44</v>
      </c>
      <c r="J399" s="40" t="s">
        <v>44</v>
      </c>
      <c r="K399" s="41" t="s">
        <v>44</v>
      </c>
      <c r="L399" s="40">
        <v>1</v>
      </c>
      <c r="M399" s="40">
        <v>2</v>
      </c>
      <c r="N399" s="41">
        <v>1</v>
      </c>
      <c r="O399" s="40">
        <v>3</v>
      </c>
      <c r="P399" s="40">
        <v>2</v>
      </c>
      <c r="Q399" s="41">
        <v>3</v>
      </c>
      <c r="R399" s="40">
        <v>2</v>
      </c>
      <c r="S399" s="40">
        <v>3</v>
      </c>
      <c r="T399" s="40">
        <v>2</v>
      </c>
      <c r="U399" s="40">
        <v>5</v>
      </c>
      <c r="V399" s="40" t="s">
        <v>45</v>
      </c>
      <c r="W399" s="40" t="s">
        <v>45</v>
      </c>
      <c r="X399" s="40">
        <v>2</v>
      </c>
      <c r="Y399" s="40">
        <v>4</v>
      </c>
      <c r="Z399" s="40" t="s">
        <v>45</v>
      </c>
      <c r="AA399" s="40" t="s">
        <v>45</v>
      </c>
      <c r="AB399" s="40" t="s">
        <v>45</v>
      </c>
      <c r="AC399" s="40" t="s">
        <v>45</v>
      </c>
      <c r="AD399" s="40" t="s">
        <v>45</v>
      </c>
      <c r="AE399" s="40" t="s">
        <v>45</v>
      </c>
      <c r="AF399" s="40" t="s">
        <v>45</v>
      </c>
      <c r="AG399" s="40" t="s">
        <v>45</v>
      </c>
      <c r="AH399" s="40" t="s">
        <v>45</v>
      </c>
      <c r="AI399" s="40" t="s">
        <v>45</v>
      </c>
      <c r="AJ399" s="40" t="s">
        <v>45</v>
      </c>
      <c r="AK399" s="40" t="s">
        <v>45</v>
      </c>
      <c r="AL399" s="40" t="s">
        <v>45</v>
      </c>
      <c r="AM399" s="40" t="s">
        <v>45</v>
      </c>
      <c r="AN399" s="40" t="s">
        <v>45</v>
      </c>
      <c r="AO399" s="41" t="s">
        <v>45</v>
      </c>
      <c r="AP399" s="40" t="s">
        <v>70</v>
      </c>
      <c r="AQ399" s="40">
        <v>4</v>
      </c>
      <c r="AR399" s="48" t="s">
        <v>347</v>
      </c>
      <c r="AS399" s="43" t="s">
        <v>643</v>
      </c>
      <c r="AT399" s="43" t="s">
        <v>635</v>
      </c>
      <c r="AU399" s="44">
        <f t="shared" si="50"/>
        <v>-2.5060525215375429</v>
      </c>
      <c r="AV399" s="44">
        <f t="shared" si="51"/>
        <v>-1.1865339896739031</v>
      </c>
      <c r="AW399" s="45">
        <f t="shared" si="52"/>
        <v>3</v>
      </c>
      <c r="AX399" s="45">
        <f t="shared" si="53"/>
        <v>0</v>
      </c>
      <c r="AY399" s="46">
        <f>VLOOKUP(AP399,COND!$A$10:$B$32,2,FALSE)</f>
        <v>0.9</v>
      </c>
      <c r="AZ399" s="44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24.814233795393335</v>
      </c>
      <c r="BA399" s="47">
        <f>STANDARDIZE(AZ399,AVERAGE($AZ$5:$AZ$663),STDEVP($AZ$5:$AZ$663))</f>
        <v>-0.88977983860180299</v>
      </c>
      <c r="BB399" s="45" t="str">
        <f t="shared" si="54"/>
        <v>RP</v>
      </c>
      <c r="BC399" s="45">
        <f>RANK(Table3[[#This Row],[zScore]],Table3[zScore])</f>
        <v>671</v>
      </c>
      <c r="BD399" s="45"/>
      <c r="BE399" s="45"/>
      <c r="BF399" s="45" t="str">
        <f t="shared" si="55"/>
        <v>Unlikely</v>
      </c>
      <c r="BG399" s="45"/>
      <c r="BH399" s="45" t="str">
        <f>INDEX(Table5[[#All],[Ovr]],MATCH(Table3[[#This Row],[PID]],Table5[[#All],[PID]],0))</f>
        <v/>
      </c>
      <c r="BI399" s="45" t="str">
        <f>INDEX(Table5[[#All],[Rnd]],MATCH(Table3[[#This Row],[PID]],Table5[[#All],[PID]],0))</f>
        <v/>
      </c>
      <c r="BJ399" s="45" t="str">
        <f>INDEX(Table5[[#All],[Pick]],MATCH(Table3[[#This Row],[PID]],Table5[[#All],[PID]],0))</f>
        <v/>
      </c>
      <c r="BK399" s="45" t="str">
        <f>INDEX(Table5[[#All],[Team]],MATCH(Table3[[#This Row],[PID]],Table5[[#All],[PID]],0))</f>
        <v/>
      </c>
      <c r="BL3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0" spans="1:64" ht="15" customHeight="1" x14ac:dyDescent="0.25">
      <c r="A400" s="40">
        <v>18023</v>
      </c>
      <c r="B400" s="40" t="s">
        <v>415</v>
      </c>
      <c r="C400" s="40" t="s">
        <v>999</v>
      </c>
      <c r="D400" s="40" t="s">
        <v>697</v>
      </c>
      <c r="E400" s="40">
        <v>21</v>
      </c>
      <c r="F400" s="40" t="s">
        <v>53</v>
      </c>
      <c r="G400" s="40" t="s">
        <v>42</v>
      </c>
      <c r="H400" s="41" t="s">
        <v>647</v>
      </c>
      <c r="I400" s="42" t="s">
        <v>43</v>
      </c>
      <c r="J400" s="40" t="s">
        <v>43</v>
      </c>
      <c r="K400" s="41" t="s">
        <v>43</v>
      </c>
      <c r="L400" s="40">
        <v>2</v>
      </c>
      <c r="M400" s="40">
        <v>1</v>
      </c>
      <c r="N400" s="41">
        <v>2</v>
      </c>
      <c r="O400" s="40">
        <v>4</v>
      </c>
      <c r="P400" s="40">
        <v>1</v>
      </c>
      <c r="Q400" s="41">
        <v>3</v>
      </c>
      <c r="R400" s="40">
        <v>4</v>
      </c>
      <c r="S400" s="40">
        <v>5</v>
      </c>
      <c r="T400" s="40">
        <v>1</v>
      </c>
      <c r="U400" s="40">
        <v>1</v>
      </c>
      <c r="V400" s="40" t="s">
        <v>45</v>
      </c>
      <c r="W400" s="40" t="s">
        <v>45</v>
      </c>
      <c r="X400" s="40">
        <v>3</v>
      </c>
      <c r="Y400" s="40">
        <v>5</v>
      </c>
      <c r="Z400" s="40" t="s">
        <v>45</v>
      </c>
      <c r="AA400" s="40" t="s">
        <v>45</v>
      </c>
      <c r="AB400" s="40" t="s">
        <v>45</v>
      </c>
      <c r="AC400" s="40" t="s">
        <v>45</v>
      </c>
      <c r="AD400" s="40" t="s">
        <v>45</v>
      </c>
      <c r="AE400" s="40" t="s">
        <v>45</v>
      </c>
      <c r="AF400" s="40">
        <v>3</v>
      </c>
      <c r="AG400" s="40">
        <v>4</v>
      </c>
      <c r="AH400" s="40" t="s">
        <v>45</v>
      </c>
      <c r="AI400" s="40" t="s">
        <v>45</v>
      </c>
      <c r="AJ400" s="40" t="s">
        <v>45</v>
      </c>
      <c r="AK400" s="40" t="s">
        <v>45</v>
      </c>
      <c r="AL400" s="40" t="s">
        <v>45</v>
      </c>
      <c r="AM400" s="40" t="s">
        <v>45</v>
      </c>
      <c r="AN400" s="40" t="s">
        <v>45</v>
      </c>
      <c r="AO400" s="41" t="s">
        <v>45</v>
      </c>
      <c r="AP400" s="40" t="s">
        <v>350</v>
      </c>
      <c r="AQ400" s="40">
        <v>7</v>
      </c>
      <c r="AR400" s="48" t="s">
        <v>14</v>
      </c>
      <c r="AS400" s="43" t="s">
        <v>45</v>
      </c>
      <c r="AT400" s="43" t="s">
        <v>635</v>
      </c>
      <c r="AU400" s="44">
        <f t="shared" si="50"/>
        <v>-2.2644723474043147</v>
      </c>
      <c r="AV400" s="44">
        <f t="shared" si="51"/>
        <v>-1.1872743815947853</v>
      </c>
      <c r="AW400" s="45">
        <f t="shared" si="52"/>
        <v>4</v>
      </c>
      <c r="AX400" s="45">
        <f t="shared" si="53"/>
        <v>0</v>
      </c>
      <c r="AY400" s="46">
        <f>VLOOKUP(AP400,COND!$A$10:$B$32,2,FALSE)</f>
        <v>1</v>
      </c>
      <c r="AZ400" s="44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24.80161789862343</v>
      </c>
      <c r="BA400" s="47">
        <f>STANDARDIZE(AZ400,AVERAGE($AZ$5:$AZ$663),STDEVP($AZ$5:$AZ$663))</f>
        <v>-0.89064402381858454</v>
      </c>
      <c r="BB400" s="45" t="str">
        <f t="shared" si="54"/>
        <v>SP</v>
      </c>
      <c r="BC400" s="45">
        <f>RANK(Table3[[#This Row],[zScore]],Table3[zScore])</f>
        <v>672</v>
      </c>
      <c r="BD400" s="45"/>
      <c r="BE400" s="45"/>
      <c r="BF400" s="45" t="str">
        <f t="shared" si="55"/>
        <v>Unlikely</v>
      </c>
      <c r="BG400" s="45"/>
      <c r="BH400" s="45" t="str">
        <f>INDEX(Table5[[#All],[Ovr]],MATCH(Table3[[#This Row],[PID]],Table5[[#All],[PID]],0))</f>
        <v/>
      </c>
      <c r="BI400" s="45" t="str">
        <f>INDEX(Table5[[#All],[Rnd]],MATCH(Table3[[#This Row],[PID]],Table5[[#All],[PID]],0))</f>
        <v/>
      </c>
      <c r="BJ400" s="45" t="str">
        <f>INDEX(Table5[[#All],[Pick]],MATCH(Table3[[#This Row],[PID]],Table5[[#All],[PID]],0))</f>
        <v/>
      </c>
      <c r="BK400" s="45" t="str">
        <f>INDEX(Table5[[#All],[Team]],MATCH(Table3[[#This Row],[PID]],Table5[[#All],[PID]],0))</f>
        <v/>
      </c>
      <c r="BL40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1" spans="1:64" ht="15" customHeight="1" x14ac:dyDescent="0.25">
      <c r="A401" s="40">
        <v>11923</v>
      </c>
      <c r="B401" s="40" t="s">
        <v>415</v>
      </c>
      <c r="C401" s="40" t="s">
        <v>714</v>
      </c>
      <c r="D401" s="40" t="s">
        <v>1701</v>
      </c>
      <c r="E401" s="40">
        <v>21</v>
      </c>
      <c r="F401" s="40" t="s">
        <v>42</v>
      </c>
      <c r="G401" s="40" t="s">
        <v>53</v>
      </c>
      <c r="H401" s="41" t="s">
        <v>647</v>
      </c>
      <c r="I401" s="42" t="s">
        <v>43</v>
      </c>
      <c r="J401" s="40" t="s">
        <v>43</v>
      </c>
      <c r="K401" s="41" t="s">
        <v>43</v>
      </c>
      <c r="L401" s="40">
        <v>1</v>
      </c>
      <c r="M401" s="40">
        <v>1</v>
      </c>
      <c r="N401" s="41">
        <v>1</v>
      </c>
      <c r="O401" s="40">
        <v>4</v>
      </c>
      <c r="P401" s="40">
        <v>1</v>
      </c>
      <c r="Q401" s="41">
        <v>2</v>
      </c>
      <c r="R401" s="40">
        <v>2</v>
      </c>
      <c r="S401" s="40">
        <v>5</v>
      </c>
      <c r="T401" s="40">
        <v>1</v>
      </c>
      <c r="U401" s="40">
        <v>1</v>
      </c>
      <c r="V401" s="40" t="s">
        <v>45</v>
      </c>
      <c r="W401" s="40" t="s">
        <v>45</v>
      </c>
      <c r="X401" s="40" t="s">
        <v>45</v>
      </c>
      <c r="Y401" s="40" t="s">
        <v>45</v>
      </c>
      <c r="Z401" s="40" t="s">
        <v>45</v>
      </c>
      <c r="AA401" s="40" t="s">
        <v>45</v>
      </c>
      <c r="AB401" s="40" t="s">
        <v>45</v>
      </c>
      <c r="AC401" s="40" t="s">
        <v>45</v>
      </c>
      <c r="AD401" s="40" t="s">
        <v>45</v>
      </c>
      <c r="AE401" s="40" t="s">
        <v>45</v>
      </c>
      <c r="AF401" s="40" t="s">
        <v>45</v>
      </c>
      <c r="AG401" s="40" t="s">
        <v>45</v>
      </c>
      <c r="AH401" s="40" t="s">
        <v>45</v>
      </c>
      <c r="AI401" s="40" t="s">
        <v>45</v>
      </c>
      <c r="AJ401" s="40" t="s">
        <v>45</v>
      </c>
      <c r="AK401" s="40" t="s">
        <v>45</v>
      </c>
      <c r="AL401" s="40">
        <v>2</v>
      </c>
      <c r="AM401" s="40">
        <v>7</v>
      </c>
      <c r="AN401" s="40" t="s">
        <v>45</v>
      </c>
      <c r="AO401" s="41" t="s">
        <v>45</v>
      </c>
      <c r="AP401" s="40" t="s">
        <v>65</v>
      </c>
      <c r="AQ401" s="40">
        <v>6</v>
      </c>
      <c r="AR401" s="48" t="s">
        <v>347</v>
      </c>
      <c r="AS401" s="43" t="s">
        <v>45</v>
      </c>
      <c r="AT401" s="43" t="s">
        <v>47</v>
      </c>
      <c r="AU401" s="44">
        <f t="shared" si="50"/>
        <v>-2.7014842379675978</v>
      </c>
      <c r="AV401" s="44">
        <f t="shared" si="51"/>
        <v>-1.4295949476488956</v>
      </c>
      <c r="AW401" s="45">
        <f t="shared" si="52"/>
        <v>3</v>
      </c>
      <c r="AX401" s="45">
        <f t="shared" si="53"/>
        <v>1</v>
      </c>
      <c r="AY401" s="46">
        <f>VLOOKUP(AP401,COND!$A$10:$B$32,2,FALSE)</f>
        <v>0.95</v>
      </c>
      <c r="AZ401" s="44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22.563491139720711</v>
      </c>
      <c r="BA401" s="47">
        <f>STANDARDIZE(AZ401,AVERAGE($AZ$5:$AZ$557),STDEVP($AZ$5:$AZ$557))</f>
        <v>-0.88529669751753226</v>
      </c>
      <c r="BB401" s="45" t="str">
        <f t="shared" si="54"/>
        <v>SP</v>
      </c>
      <c r="BC401" s="45">
        <f>RANK(Table3[[#This Row],[zScore]],Table3[zScore])</f>
        <v>669</v>
      </c>
      <c r="BD401" s="45"/>
      <c r="BE401" s="45"/>
      <c r="BF401" s="45" t="str">
        <f t="shared" si="55"/>
        <v>Unlikely</v>
      </c>
      <c r="BG401" s="45"/>
      <c r="BH401" s="45" t="str">
        <f>INDEX(Table5[[#All],[Ovr]],MATCH(Table3[[#This Row],[PID]],Table5[[#All],[PID]],0))</f>
        <v/>
      </c>
      <c r="BI401" s="45" t="str">
        <f>INDEX(Table5[[#All],[Rnd]],MATCH(Table3[[#This Row],[PID]],Table5[[#All],[PID]],0))</f>
        <v/>
      </c>
      <c r="BJ401" s="45" t="str">
        <f>INDEX(Table5[[#All],[Pick]],MATCH(Table3[[#This Row],[PID]],Table5[[#All],[PID]],0))</f>
        <v/>
      </c>
      <c r="BK401" s="45" t="str">
        <f>INDEX(Table5[[#All],[Team]],MATCH(Table3[[#This Row],[PID]],Table5[[#All],[PID]],0))</f>
        <v/>
      </c>
      <c r="BL4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2" spans="1:64" ht="15" customHeight="1" x14ac:dyDescent="0.25">
      <c r="A402" s="40">
        <v>9694</v>
      </c>
      <c r="B402" s="40" t="s">
        <v>415</v>
      </c>
      <c r="C402" s="40" t="s">
        <v>291</v>
      </c>
      <c r="D402" s="40" t="s">
        <v>331</v>
      </c>
      <c r="E402" s="40">
        <v>22</v>
      </c>
      <c r="F402" s="40" t="s">
        <v>53</v>
      </c>
      <c r="G402" s="40" t="s">
        <v>53</v>
      </c>
      <c r="H402" s="41" t="s">
        <v>647</v>
      </c>
      <c r="I402" s="42" t="s">
        <v>43</v>
      </c>
      <c r="J402" s="40" t="s">
        <v>44</v>
      </c>
      <c r="K402" s="41" t="s">
        <v>43</v>
      </c>
      <c r="L402" s="40">
        <v>2</v>
      </c>
      <c r="M402" s="40">
        <v>1</v>
      </c>
      <c r="N402" s="41">
        <v>1</v>
      </c>
      <c r="O402" s="40">
        <v>4</v>
      </c>
      <c r="P402" s="40">
        <v>1</v>
      </c>
      <c r="Q402" s="41">
        <v>3</v>
      </c>
      <c r="R402" s="40">
        <v>4</v>
      </c>
      <c r="S402" s="40">
        <v>5</v>
      </c>
      <c r="T402" s="40">
        <v>1</v>
      </c>
      <c r="U402" s="40">
        <v>1</v>
      </c>
      <c r="V402" s="40">
        <v>1</v>
      </c>
      <c r="W402" s="40">
        <v>3</v>
      </c>
      <c r="X402" s="40" t="s">
        <v>45</v>
      </c>
      <c r="Y402" s="40" t="s">
        <v>45</v>
      </c>
      <c r="Z402" s="40" t="s">
        <v>45</v>
      </c>
      <c r="AA402" s="40" t="s">
        <v>45</v>
      </c>
      <c r="AB402" s="40" t="s">
        <v>45</v>
      </c>
      <c r="AC402" s="40" t="s">
        <v>45</v>
      </c>
      <c r="AD402" s="40" t="s">
        <v>45</v>
      </c>
      <c r="AE402" s="40" t="s">
        <v>45</v>
      </c>
      <c r="AF402" s="40">
        <v>3</v>
      </c>
      <c r="AG402" s="40">
        <v>4</v>
      </c>
      <c r="AH402" s="40" t="s">
        <v>45</v>
      </c>
      <c r="AI402" s="40" t="s">
        <v>45</v>
      </c>
      <c r="AJ402" s="40" t="s">
        <v>45</v>
      </c>
      <c r="AK402" s="40" t="s">
        <v>45</v>
      </c>
      <c r="AL402" s="40" t="s">
        <v>45</v>
      </c>
      <c r="AM402" s="40" t="s">
        <v>45</v>
      </c>
      <c r="AN402" s="40" t="s">
        <v>45</v>
      </c>
      <c r="AO402" s="41" t="s">
        <v>45</v>
      </c>
      <c r="AP402" s="40" t="s">
        <v>349</v>
      </c>
      <c r="AQ402" s="40">
        <v>8</v>
      </c>
      <c r="AR402" s="48" t="s">
        <v>14</v>
      </c>
      <c r="AS402" s="43" t="s">
        <v>45</v>
      </c>
      <c r="AT402" s="43"/>
      <c r="AU402" s="44">
        <f t="shared" si="50"/>
        <v>-2.5067929134584248</v>
      </c>
      <c r="AV402" s="44">
        <f t="shared" si="51"/>
        <v>-1.1872743815947853</v>
      </c>
      <c r="AW402" s="45">
        <f t="shared" si="52"/>
        <v>4</v>
      </c>
      <c r="AX402" s="45">
        <f t="shared" si="53"/>
        <v>0</v>
      </c>
      <c r="AY402" s="46">
        <f>VLOOKUP(AP402,COND!$A$10:$B$32,2,FALSE)</f>
        <v>1</v>
      </c>
      <c r="AZ402" s="44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24.453153785412606</v>
      </c>
      <c r="BA402" s="47">
        <f>STANDARDIZE(AZ402,AVERAGE($AZ$5:$AZ$788),STDEVP($AZ$5:$AZ$788))</f>
        <v>-0.89196314074681526</v>
      </c>
      <c r="BB402" s="45" t="str">
        <f t="shared" si="54"/>
        <v>SP</v>
      </c>
      <c r="BC402" s="45">
        <f>RANK(Table3[[#This Row],[zScore]],Table3[zScore])</f>
        <v>673</v>
      </c>
      <c r="BD402" s="45"/>
      <c r="BE402" s="45"/>
      <c r="BF402" s="45" t="str">
        <f t="shared" si="55"/>
        <v>Unlikely</v>
      </c>
      <c r="BG402" s="45"/>
      <c r="BH402" s="64" t="str">
        <f>INDEX(Table5[[#All],[Ovr]],MATCH(Table3[[#This Row],[PID]],Table5[[#All],[PID]],0))</f>
        <v/>
      </c>
      <c r="BI402" s="64" t="str">
        <f>INDEX(Table5[[#All],[Rnd]],MATCH(Table3[[#This Row],[PID]],Table5[[#All],[PID]],0))</f>
        <v/>
      </c>
      <c r="BJ402" s="64" t="str">
        <f>INDEX(Table5[[#All],[Pick]],MATCH(Table3[[#This Row],[PID]],Table5[[#All],[PID]],0))</f>
        <v/>
      </c>
      <c r="BK402" s="64" t="str">
        <f>INDEX(Table5[[#All],[Team]],MATCH(Table3[[#This Row],[PID]],Table5[[#All],[PID]],0))</f>
        <v/>
      </c>
      <c r="BL402" s="64" t="str">
        <f>IF(OR(Table3[[#This Row],[POS]]="SP",Table3[[#This Row],[POS]]="RP",Table3[[#This Row],[POS]]="CL"),"P",INDEX(Batters[[#All],[zScore]],MATCH(Table3[[#This Row],[PID]],Batters[[#All],[PID]],0)))</f>
        <v>P</v>
      </c>
    </row>
    <row r="403" spans="1:64" ht="15" customHeight="1" x14ac:dyDescent="0.25">
      <c r="A403" s="40">
        <v>14492</v>
      </c>
      <c r="B403" s="40" t="s">
        <v>415</v>
      </c>
      <c r="C403" s="40" t="s">
        <v>128</v>
      </c>
      <c r="D403" s="40" t="s">
        <v>679</v>
      </c>
      <c r="E403" s="40">
        <v>22</v>
      </c>
      <c r="F403" s="40" t="s">
        <v>62</v>
      </c>
      <c r="G403" s="40" t="s">
        <v>42</v>
      </c>
      <c r="H403" s="41" t="s">
        <v>647</v>
      </c>
      <c r="I403" s="42" t="s">
        <v>44</v>
      </c>
      <c r="J403" s="40" t="s">
        <v>44</v>
      </c>
      <c r="K403" s="41" t="s">
        <v>43</v>
      </c>
      <c r="L403" s="40">
        <v>2</v>
      </c>
      <c r="M403" s="40">
        <v>1</v>
      </c>
      <c r="N403" s="41">
        <v>2</v>
      </c>
      <c r="O403" s="40">
        <v>3</v>
      </c>
      <c r="P403" s="40">
        <v>1</v>
      </c>
      <c r="Q403" s="41">
        <v>3</v>
      </c>
      <c r="R403" s="40">
        <v>2</v>
      </c>
      <c r="S403" s="40">
        <v>3</v>
      </c>
      <c r="T403" s="40">
        <v>1</v>
      </c>
      <c r="U403" s="40">
        <v>1</v>
      </c>
      <c r="V403" s="40">
        <v>3</v>
      </c>
      <c r="W403" s="40">
        <v>5</v>
      </c>
      <c r="X403" s="40">
        <v>2</v>
      </c>
      <c r="Y403" s="40">
        <v>4</v>
      </c>
      <c r="Z403" s="40" t="s">
        <v>45</v>
      </c>
      <c r="AA403" s="40" t="s">
        <v>45</v>
      </c>
      <c r="AB403" s="40" t="s">
        <v>45</v>
      </c>
      <c r="AC403" s="40" t="s">
        <v>45</v>
      </c>
      <c r="AD403" s="40" t="s">
        <v>45</v>
      </c>
      <c r="AE403" s="40" t="s">
        <v>45</v>
      </c>
      <c r="AF403" s="40" t="s">
        <v>45</v>
      </c>
      <c r="AG403" s="40" t="s">
        <v>45</v>
      </c>
      <c r="AH403" s="40" t="s">
        <v>45</v>
      </c>
      <c r="AI403" s="40" t="s">
        <v>45</v>
      </c>
      <c r="AJ403" s="40" t="s">
        <v>45</v>
      </c>
      <c r="AK403" s="40" t="s">
        <v>45</v>
      </c>
      <c r="AL403" s="40" t="s">
        <v>45</v>
      </c>
      <c r="AM403" s="40" t="s">
        <v>45</v>
      </c>
      <c r="AN403" s="40" t="s">
        <v>45</v>
      </c>
      <c r="AO403" s="41" t="s">
        <v>45</v>
      </c>
      <c r="AP403" s="40" t="s">
        <v>65</v>
      </c>
      <c r="AQ403" s="40">
        <v>6</v>
      </c>
      <c r="AR403" s="48" t="s">
        <v>14</v>
      </c>
      <c r="AS403" s="43" t="s">
        <v>45</v>
      </c>
      <c r="AT403" s="43" t="s">
        <v>635</v>
      </c>
      <c r="AU403" s="44">
        <f t="shared" si="50"/>
        <v>-2.2644723474043147</v>
      </c>
      <c r="AV403" s="44">
        <f t="shared" si="51"/>
        <v>-1.3819657061039585</v>
      </c>
      <c r="AW403" s="45">
        <f t="shared" si="52"/>
        <v>4</v>
      </c>
      <c r="AX403" s="45">
        <f t="shared" si="53"/>
        <v>0</v>
      </c>
      <c r="AY403" s="46">
        <f>VLOOKUP(AP403,COND!$A$10:$B$32,2,FALSE)</f>
        <v>0.95</v>
      </c>
      <c r="AZ403" s="44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22.38209179206752</v>
      </c>
      <c r="BA403" s="47">
        <f>STANDARDIZE(AZ403,AVERAGE($AZ$5:$AZ$557),STDEVP($AZ$5:$AZ$557))</f>
        <v>-0.89736491891895198</v>
      </c>
      <c r="BB403" s="45" t="str">
        <f t="shared" si="54"/>
        <v>SP</v>
      </c>
      <c r="BC403" s="45">
        <f>RANK(Table3[[#This Row],[zScore]],Table3[zScore])</f>
        <v>674</v>
      </c>
      <c r="BD403" s="45"/>
      <c r="BE403" s="45"/>
      <c r="BF403" s="45" t="str">
        <f t="shared" si="55"/>
        <v>Unlikely</v>
      </c>
      <c r="BG403" s="45"/>
      <c r="BH403" s="45" t="str">
        <f>INDEX(Table5[[#All],[Ovr]],MATCH(Table3[[#This Row],[PID]],Table5[[#All],[PID]],0))</f>
        <v/>
      </c>
      <c r="BI403" s="45" t="str">
        <f>INDEX(Table5[[#All],[Rnd]],MATCH(Table3[[#This Row],[PID]],Table5[[#All],[PID]],0))</f>
        <v/>
      </c>
      <c r="BJ403" s="45" t="str">
        <f>INDEX(Table5[[#All],[Pick]],MATCH(Table3[[#This Row],[PID]],Table5[[#All],[PID]],0))</f>
        <v/>
      </c>
      <c r="BK403" s="45" t="str">
        <f>INDEX(Table5[[#All],[Team]],MATCH(Table3[[#This Row],[PID]],Table5[[#All],[PID]],0))</f>
        <v/>
      </c>
      <c r="BL4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4" spans="1:64" ht="15" customHeight="1" x14ac:dyDescent="0.25">
      <c r="A404" s="40">
        <v>11754</v>
      </c>
      <c r="B404" s="40" t="s">
        <v>415</v>
      </c>
      <c r="C404" s="40" t="s">
        <v>1098</v>
      </c>
      <c r="D404" s="40" t="s">
        <v>1099</v>
      </c>
      <c r="E404" s="40">
        <v>22</v>
      </c>
      <c r="F404" s="40" t="s">
        <v>53</v>
      </c>
      <c r="G404" s="40" t="s">
        <v>53</v>
      </c>
      <c r="H404" s="41" t="s">
        <v>647</v>
      </c>
      <c r="I404" s="42" t="s">
        <v>44</v>
      </c>
      <c r="J404" s="40" t="s">
        <v>44</v>
      </c>
      <c r="K404" s="41" t="s">
        <v>43</v>
      </c>
      <c r="L404" s="40">
        <v>2</v>
      </c>
      <c r="M404" s="40">
        <v>1</v>
      </c>
      <c r="N404" s="41">
        <v>1</v>
      </c>
      <c r="O404" s="40">
        <v>4</v>
      </c>
      <c r="P404" s="40">
        <v>1</v>
      </c>
      <c r="Q404" s="41">
        <v>3</v>
      </c>
      <c r="R404" s="40">
        <v>3</v>
      </c>
      <c r="S404" s="40">
        <v>5</v>
      </c>
      <c r="T404" s="40">
        <v>1</v>
      </c>
      <c r="U404" s="40">
        <v>5</v>
      </c>
      <c r="V404" s="40" t="s">
        <v>45</v>
      </c>
      <c r="W404" s="40" t="s">
        <v>45</v>
      </c>
      <c r="X404" s="40" t="s">
        <v>45</v>
      </c>
      <c r="Y404" s="40" t="s">
        <v>45</v>
      </c>
      <c r="Z404" s="40" t="s">
        <v>45</v>
      </c>
      <c r="AA404" s="40" t="s">
        <v>45</v>
      </c>
      <c r="AB404" s="40">
        <v>3</v>
      </c>
      <c r="AC404" s="40">
        <v>4</v>
      </c>
      <c r="AD404" s="40" t="s">
        <v>45</v>
      </c>
      <c r="AE404" s="40" t="s">
        <v>45</v>
      </c>
      <c r="AF404" s="40">
        <v>3</v>
      </c>
      <c r="AG404" s="40">
        <v>4</v>
      </c>
      <c r="AH404" s="40" t="s">
        <v>45</v>
      </c>
      <c r="AI404" s="40" t="s">
        <v>45</v>
      </c>
      <c r="AJ404" s="40" t="s">
        <v>45</v>
      </c>
      <c r="AK404" s="40" t="s">
        <v>45</v>
      </c>
      <c r="AL404" s="40" t="s">
        <v>45</v>
      </c>
      <c r="AM404" s="40" t="s">
        <v>45</v>
      </c>
      <c r="AN404" s="40" t="s">
        <v>45</v>
      </c>
      <c r="AO404" s="41" t="s">
        <v>45</v>
      </c>
      <c r="AP404" s="40" t="s">
        <v>350</v>
      </c>
      <c r="AQ404" s="40">
        <v>8</v>
      </c>
      <c r="AR404" s="48" t="s">
        <v>14</v>
      </c>
      <c r="AS404" s="43" t="s">
        <v>45</v>
      </c>
      <c r="AT404" s="43"/>
      <c r="AU404" s="44">
        <f t="shared" si="50"/>
        <v>-2.5067929134584248</v>
      </c>
      <c r="AV404" s="44">
        <f t="shared" si="51"/>
        <v>-1.1872743815947853</v>
      </c>
      <c r="AW404" s="45">
        <f t="shared" si="52"/>
        <v>4</v>
      </c>
      <c r="AX404" s="45">
        <f t="shared" si="53"/>
        <v>0</v>
      </c>
      <c r="AY404" s="46">
        <f>VLOOKUP(AP404,COND!$A$10:$B$32,2,FALSE)</f>
        <v>1</v>
      </c>
      <c r="AZ404" s="44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24.303153785412604</v>
      </c>
      <c r="BA404" s="47">
        <f>STANDARDIZE(AZ404,AVERAGE($AZ$5:$AZ$788),STDEVP($AZ$5:$AZ$788))</f>
        <v>-0.90281751056228898</v>
      </c>
      <c r="BB404" s="45" t="str">
        <f t="shared" si="54"/>
        <v>SP</v>
      </c>
      <c r="BC404" s="45">
        <f>RANK(Table3[[#This Row],[zScore]],Table3[zScore])</f>
        <v>675</v>
      </c>
      <c r="BD404" s="45"/>
      <c r="BE404" s="45"/>
      <c r="BF404" s="45" t="str">
        <f t="shared" si="55"/>
        <v>Unlikely</v>
      </c>
      <c r="BG404" s="45"/>
      <c r="BH404" s="64" t="str">
        <f>INDEX(Table5[[#All],[Ovr]],MATCH(Table3[[#This Row],[PID]],Table5[[#All],[PID]],0))</f>
        <v/>
      </c>
      <c r="BI404" s="64" t="str">
        <f>INDEX(Table5[[#All],[Rnd]],MATCH(Table3[[#This Row],[PID]],Table5[[#All],[PID]],0))</f>
        <v/>
      </c>
      <c r="BJ404" s="64" t="str">
        <f>INDEX(Table5[[#All],[Pick]],MATCH(Table3[[#This Row],[PID]],Table5[[#All],[PID]],0))</f>
        <v/>
      </c>
      <c r="BK404" s="64" t="str">
        <f>INDEX(Table5[[#All],[Team]],MATCH(Table3[[#This Row],[PID]],Table5[[#All],[PID]],0))</f>
        <v/>
      </c>
      <c r="BL404" s="64" t="str">
        <f>IF(OR(Table3[[#This Row],[POS]]="SP",Table3[[#This Row],[POS]]="RP",Table3[[#This Row],[POS]]="CL"),"P",INDEX(Batters[[#All],[zScore]],MATCH(Table3[[#This Row],[PID]],Batters[[#All],[PID]],0)))</f>
        <v>P</v>
      </c>
    </row>
    <row r="405" spans="1:64" ht="15" customHeight="1" x14ac:dyDescent="0.25">
      <c r="A405" s="40">
        <v>16346</v>
      </c>
      <c r="B405" s="40" t="s">
        <v>415</v>
      </c>
      <c r="C405" s="40" t="s">
        <v>1948</v>
      </c>
      <c r="D405" s="40" t="s">
        <v>1949</v>
      </c>
      <c r="E405" s="40">
        <v>21</v>
      </c>
      <c r="F405" s="40" t="s">
        <v>42</v>
      </c>
      <c r="G405" s="40" t="s">
        <v>42</v>
      </c>
      <c r="H405" s="41" t="s">
        <v>647</v>
      </c>
      <c r="I405" s="42" t="s">
        <v>43</v>
      </c>
      <c r="J405" s="40" t="s">
        <v>44</v>
      </c>
      <c r="K405" s="41" t="s">
        <v>43</v>
      </c>
      <c r="L405" s="40">
        <v>2</v>
      </c>
      <c r="M405" s="40">
        <v>2</v>
      </c>
      <c r="N405" s="41">
        <v>1</v>
      </c>
      <c r="O405" s="40">
        <v>4</v>
      </c>
      <c r="P405" s="40">
        <v>2</v>
      </c>
      <c r="Q405" s="41">
        <v>2</v>
      </c>
      <c r="R405" s="40">
        <v>3</v>
      </c>
      <c r="S405" s="40">
        <v>4</v>
      </c>
      <c r="T405" s="40">
        <v>1</v>
      </c>
      <c r="U405" s="40">
        <v>1</v>
      </c>
      <c r="V405" s="40">
        <v>3</v>
      </c>
      <c r="W405" s="40">
        <v>6</v>
      </c>
      <c r="X405" s="40" t="s">
        <v>45</v>
      </c>
      <c r="Y405" s="40" t="s">
        <v>45</v>
      </c>
      <c r="Z405" s="40" t="s">
        <v>45</v>
      </c>
      <c r="AA405" s="40" t="s">
        <v>45</v>
      </c>
      <c r="AB405" s="40" t="s">
        <v>45</v>
      </c>
      <c r="AC405" s="40" t="s">
        <v>45</v>
      </c>
      <c r="AD405" s="40" t="s">
        <v>45</v>
      </c>
      <c r="AE405" s="40" t="s">
        <v>45</v>
      </c>
      <c r="AF405" s="40" t="s">
        <v>45</v>
      </c>
      <c r="AG405" s="40" t="s">
        <v>45</v>
      </c>
      <c r="AH405" s="40" t="s">
        <v>45</v>
      </c>
      <c r="AI405" s="40" t="s">
        <v>45</v>
      </c>
      <c r="AJ405" s="40" t="s">
        <v>45</v>
      </c>
      <c r="AK405" s="40" t="s">
        <v>45</v>
      </c>
      <c r="AL405" s="40" t="s">
        <v>45</v>
      </c>
      <c r="AM405" s="40" t="s">
        <v>45</v>
      </c>
      <c r="AN405" s="40" t="s">
        <v>45</v>
      </c>
      <c r="AO405" s="41" t="s">
        <v>45</v>
      </c>
      <c r="AP405" s="40" t="s">
        <v>65</v>
      </c>
      <c r="AQ405" s="40">
        <v>3</v>
      </c>
      <c r="AR405" s="48" t="s">
        <v>347</v>
      </c>
      <c r="AS405" s="43" t="s">
        <v>45</v>
      </c>
      <c r="AT405" s="43" t="s">
        <v>47</v>
      </c>
      <c r="AU405" s="44">
        <f t="shared" si="50"/>
        <v>-2.311361197028369</v>
      </c>
      <c r="AV405" s="44">
        <f t="shared" si="51"/>
        <v>-1.23416323121884</v>
      </c>
      <c r="AW405" s="45">
        <f t="shared" si="52"/>
        <v>3</v>
      </c>
      <c r="AX405" s="45">
        <f t="shared" si="53"/>
        <v>1</v>
      </c>
      <c r="AY405" s="46">
        <f>VLOOKUP(AP405,COND!$A$10:$B$32,2,FALSE)</f>
        <v>0.95</v>
      </c>
      <c r="AZ405" s="44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24.488027980436318</v>
      </c>
      <c r="BA405" s="47">
        <f>STANDARDIZE(AZ405,AVERAGE($AZ$5:$AZ$663),STDEVP($AZ$5:$AZ$663))</f>
        <v>-0.91212484094729851</v>
      </c>
      <c r="BB405" s="45" t="str">
        <f t="shared" si="54"/>
        <v>RP</v>
      </c>
      <c r="BC405" s="45">
        <f>RANK(Table3[[#This Row],[zScore]],Table3[zScore])</f>
        <v>678</v>
      </c>
      <c r="BD405" s="45"/>
      <c r="BE405" s="45"/>
      <c r="BF405" s="45" t="str">
        <f t="shared" si="55"/>
        <v>Unlikely</v>
      </c>
      <c r="BG405" s="45"/>
      <c r="BH405" s="45" t="str">
        <f>INDEX(Table5[[#All],[Ovr]],MATCH(Table3[[#This Row],[PID]],Table5[[#All],[PID]],0))</f>
        <v/>
      </c>
      <c r="BI405" s="45" t="str">
        <f>INDEX(Table5[[#All],[Rnd]],MATCH(Table3[[#This Row],[PID]],Table5[[#All],[PID]],0))</f>
        <v/>
      </c>
      <c r="BJ405" s="45" t="str">
        <f>INDEX(Table5[[#All],[Pick]],MATCH(Table3[[#This Row],[PID]],Table5[[#All],[PID]],0))</f>
        <v/>
      </c>
      <c r="BK405" s="45" t="str">
        <f>INDEX(Table5[[#All],[Team]],MATCH(Table3[[#This Row],[PID]],Table5[[#All],[PID]],0))</f>
        <v/>
      </c>
      <c r="BL4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6" spans="1:64" ht="15" customHeight="1" x14ac:dyDescent="0.25">
      <c r="A406" s="40">
        <v>12183</v>
      </c>
      <c r="B406" s="40" t="s">
        <v>415</v>
      </c>
      <c r="C406" s="40" t="s">
        <v>404</v>
      </c>
      <c r="D406" s="40" t="s">
        <v>195</v>
      </c>
      <c r="E406" s="40">
        <v>22</v>
      </c>
      <c r="F406" s="40" t="s">
        <v>42</v>
      </c>
      <c r="G406" s="40" t="s">
        <v>42</v>
      </c>
      <c r="H406" s="41" t="s">
        <v>647</v>
      </c>
      <c r="I406" s="42" t="s">
        <v>44</v>
      </c>
      <c r="J406" s="40" t="s">
        <v>44</v>
      </c>
      <c r="K406" s="41" t="s">
        <v>43</v>
      </c>
      <c r="L406" s="40">
        <v>2</v>
      </c>
      <c r="M406" s="40">
        <v>2</v>
      </c>
      <c r="N406" s="41">
        <v>1</v>
      </c>
      <c r="O406" s="40">
        <v>5</v>
      </c>
      <c r="P406" s="40">
        <v>2</v>
      </c>
      <c r="Q406" s="41">
        <v>2</v>
      </c>
      <c r="R406" s="40" t="s">
        <v>45</v>
      </c>
      <c r="S406" s="40" t="s">
        <v>45</v>
      </c>
      <c r="T406" s="40" t="s">
        <v>45</v>
      </c>
      <c r="U406" s="40" t="s">
        <v>45</v>
      </c>
      <c r="V406" s="40">
        <v>3</v>
      </c>
      <c r="W406" s="40">
        <v>6</v>
      </c>
      <c r="X406" s="40" t="s">
        <v>45</v>
      </c>
      <c r="Y406" s="40" t="s">
        <v>45</v>
      </c>
      <c r="Z406" s="40" t="s">
        <v>45</v>
      </c>
      <c r="AA406" s="40" t="s">
        <v>45</v>
      </c>
      <c r="AB406" s="40" t="s">
        <v>45</v>
      </c>
      <c r="AC406" s="40" t="s">
        <v>45</v>
      </c>
      <c r="AD406" s="40">
        <v>4</v>
      </c>
      <c r="AE406" s="40">
        <v>6</v>
      </c>
      <c r="AF406" s="40" t="s">
        <v>45</v>
      </c>
      <c r="AG406" s="40" t="s">
        <v>45</v>
      </c>
      <c r="AH406" s="40" t="s">
        <v>45</v>
      </c>
      <c r="AI406" s="40" t="s">
        <v>45</v>
      </c>
      <c r="AJ406" s="40" t="s">
        <v>45</v>
      </c>
      <c r="AK406" s="40" t="s">
        <v>45</v>
      </c>
      <c r="AL406" s="40" t="s">
        <v>45</v>
      </c>
      <c r="AM406" s="40" t="s">
        <v>45</v>
      </c>
      <c r="AN406" s="40" t="s">
        <v>45</v>
      </c>
      <c r="AO406" s="41" t="s">
        <v>45</v>
      </c>
      <c r="AP406" s="40" t="s">
        <v>58</v>
      </c>
      <c r="AQ406" s="40">
        <v>5</v>
      </c>
      <c r="AR406" s="48" t="s">
        <v>347</v>
      </c>
      <c r="AS406" s="43" t="s">
        <v>45</v>
      </c>
      <c r="AT406" s="43" t="s">
        <v>47</v>
      </c>
      <c r="AU406" s="44">
        <f t="shared" si="50"/>
        <v>-2.311361197028369</v>
      </c>
      <c r="AV406" s="44">
        <f t="shared" si="51"/>
        <v>-1.0394719067096667</v>
      </c>
      <c r="AW406" s="45">
        <f t="shared" si="52"/>
        <v>2</v>
      </c>
      <c r="AX406" s="45">
        <f t="shared" si="53"/>
        <v>2</v>
      </c>
      <c r="AY406" s="46">
        <f>VLOOKUP(AP406,COND!$A$10:$B$32,2,FALSE)</f>
        <v>1</v>
      </c>
      <c r="AZ406" s="44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22.242082385740964</v>
      </c>
      <c r="BA406" s="47">
        <f>STANDARDIZE(AZ406,AVERAGE($AZ$5:$AZ$557),STDEVP($AZ$5:$AZ$557))</f>
        <v>-0.90667953077224595</v>
      </c>
      <c r="BB406" s="45" t="str">
        <f t="shared" si="54"/>
        <v>RP</v>
      </c>
      <c r="BC406" s="45">
        <f>RANK(Table3[[#This Row],[zScore]],Table3[zScore])</f>
        <v>676</v>
      </c>
      <c r="BD406" s="45"/>
      <c r="BE406" s="45"/>
      <c r="BF406" s="45" t="str">
        <f t="shared" si="55"/>
        <v>Unlikely</v>
      </c>
      <c r="BG406" s="45"/>
      <c r="BH406" s="45" t="str">
        <f>INDEX(Table5[[#All],[Ovr]],MATCH(Table3[[#This Row],[PID]],Table5[[#All],[PID]],0))</f>
        <v/>
      </c>
      <c r="BI406" s="45" t="str">
        <f>INDEX(Table5[[#All],[Rnd]],MATCH(Table3[[#This Row],[PID]],Table5[[#All],[PID]],0))</f>
        <v/>
      </c>
      <c r="BJ406" s="45" t="str">
        <f>INDEX(Table5[[#All],[Pick]],MATCH(Table3[[#This Row],[PID]],Table5[[#All],[PID]],0))</f>
        <v/>
      </c>
      <c r="BK406" s="45" t="str">
        <f>INDEX(Table5[[#All],[Team]],MATCH(Table3[[#This Row],[PID]],Table5[[#All],[PID]],0))</f>
        <v/>
      </c>
      <c r="BL4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7" spans="1:64" ht="15" customHeight="1" x14ac:dyDescent="0.25">
      <c r="A407" s="40">
        <v>17851</v>
      </c>
      <c r="B407" s="40" t="s">
        <v>415</v>
      </c>
      <c r="C407" s="40" t="s">
        <v>2042</v>
      </c>
      <c r="D407" s="40" t="s">
        <v>2043</v>
      </c>
      <c r="E407" s="40">
        <v>18</v>
      </c>
      <c r="F407" s="40" t="s">
        <v>42</v>
      </c>
      <c r="G407" s="40" t="s">
        <v>42</v>
      </c>
      <c r="H407" s="41" t="s">
        <v>647</v>
      </c>
      <c r="I407" s="42" t="s">
        <v>43</v>
      </c>
      <c r="J407" s="40" t="s">
        <v>47</v>
      </c>
      <c r="K407" s="41" t="s">
        <v>47</v>
      </c>
      <c r="L407" s="40">
        <v>1</v>
      </c>
      <c r="M407" s="40">
        <v>1</v>
      </c>
      <c r="N407" s="41">
        <v>1</v>
      </c>
      <c r="O407" s="40">
        <v>2</v>
      </c>
      <c r="P407" s="40">
        <v>1</v>
      </c>
      <c r="Q407" s="41">
        <v>3</v>
      </c>
      <c r="R407" s="40">
        <v>1</v>
      </c>
      <c r="S407" s="40">
        <v>2</v>
      </c>
      <c r="T407" s="40">
        <v>1</v>
      </c>
      <c r="U407" s="40">
        <v>5</v>
      </c>
      <c r="V407" s="40" t="s">
        <v>45</v>
      </c>
      <c r="W407" s="40" t="s">
        <v>45</v>
      </c>
      <c r="X407" s="40">
        <v>1</v>
      </c>
      <c r="Y407" s="40">
        <v>3</v>
      </c>
      <c r="Z407" s="40" t="s">
        <v>45</v>
      </c>
      <c r="AA407" s="40" t="s">
        <v>45</v>
      </c>
      <c r="AB407" s="40" t="s">
        <v>45</v>
      </c>
      <c r="AC407" s="40" t="s">
        <v>45</v>
      </c>
      <c r="AD407" s="40" t="s">
        <v>45</v>
      </c>
      <c r="AE407" s="40" t="s">
        <v>45</v>
      </c>
      <c r="AF407" s="40" t="s">
        <v>45</v>
      </c>
      <c r="AG407" s="40" t="s">
        <v>45</v>
      </c>
      <c r="AH407" s="40" t="s">
        <v>45</v>
      </c>
      <c r="AI407" s="40" t="s">
        <v>45</v>
      </c>
      <c r="AJ407" s="40" t="s">
        <v>45</v>
      </c>
      <c r="AK407" s="40" t="s">
        <v>45</v>
      </c>
      <c r="AL407" s="40" t="s">
        <v>45</v>
      </c>
      <c r="AM407" s="40" t="s">
        <v>45</v>
      </c>
      <c r="AN407" s="40" t="s">
        <v>45</v>
      </c>
      <c r="AO407" s="41" t="s">
        <v>45</v>
      </c>
      <c r="AP407" s="40" t="s">
        <v>70</v>
      </c>
      <c r="AQ407" s="40">
        <v>3</v>
      </c>
      <c r="AR407" s="48" t="s">
        <v>351</v>
      </c>
      <c r="AS407" s="43" t="s">
        <v>644</v>
      </c>
      <c r="AT407" s="43" t="s">
        <v>47</v>
      </c>
      <c r="AU407" s="44">
        <f t="shared" si="50"/>
        <v>-2.7014842379675978</v>
      </c>
      <c r="AV407" s="44">
        <f t="shared" si="51"/>
        <v>-1.5766570306131322</v>
      </c>
      <c r="AW407" s="45">
        <f t="shared" si="52"/>
        <v>3</v>
      </c>
      <c r="AX407" s="45">
        <f t="shared" si="53"/>
        <v>0</v>
      </c>
      <c r="AY407" s="46">
        <f>VLOOKUP(AP407,COND!$A$10:$B$32,2,FALSE)</f>
        <v>0.9</v>
      </c>
      <c r="AZ407" s="44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24.459710971822979</v>
      </c>
      <c r="BA407" s="47">
        <f>STANDARDIZE(AZ407,AVERAGE($AZ$5:$AZ$663),STDEVP($AZ$5:$AZ$663))</f>
        <v>-0.91406454770564016</v>
      </c>
      <c r="BB407" s="45" t="str">
        <f t="shared" si="54"/>
        <v>RP</v>
      </c>
      <c r="BC407" s="45">
        <f>RANK(Table3[[#This Row],[zScore]],Table3[zScore])</f>
        <v>679</v>
      </c>
      <c r="BD407" s="45"/>
      <c r="BE407" s="45"/>
      <c r="BF407" s="45" t="str">
        <f t="shared" si="55"/>
        <v>Unlikely</v>
      </c>
      <c r="BG407" s="45"/>
      <c r="BH407" s="45" t="str">
        <f>INDEX(Table5[[#All],[Ovr]],MATCH(Table3[[#This Row],[PID]],Table5[[#All],[PID]],0))</f>
        <v/>
      </c>
      <c r="BI407" s="45" t="str">
        <f>INDEX(Table5[[#All],[Rnd]],MATCH(Table3[[#This Row],[PID]],Table5[[#All],[PID]],0))</f>
        <v/>
      </c>
      <c r="BJ407" s="45" t="str">
        <f>INDEX(Table5[[#All],[Pick]],MATCH(Table3[[#This Row],[PID]],Table5[[#All],[PID]],0))</f>
        <v/>
      </c>
      <c r="BK407" s="45" t="str">
        <f>INDEX(Table5[[#All],[Team]],MATCH(Table3[[#This Row],[PID]],Table5[[#All],[PID]],0))</f>
        <v/>
      </c>
      <c r="BL4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8" spans="1:64" ht="15" customHeight="1" x14ac:dyDescent="0.25">
      <c r="A408" s="40">
        <v>20734</v>
      </c>
      <c r="B408" s="40" t="s">
        <v>415</v>
      </c>
      <c r="C408" s="40" t="s">
        <v>689</v>
      </c>
      <c r="D408" s="40" t="s">
        <v>206</v>
      </c>
      <c r="E408" s="40">
        <v>18</v>
      </c>
      <c r="F408" s="40" t="s">
        <v>53</v>
      </c>
      <c r="G408" s="40" t="s">
        <v>42</v>
      </c>
      <c r="H408" s="41" t="s">
        <v>647</v>
      </c>
      <c r="I408" s="42" t="s">
        <v>44</v>
      </c>
      <c r="J408" s="40" t="s">
        <v>44</v>
      </c>
      <c r="K408" s="41" t="s">
        <v>43</v>
      </c>
      <c r="L408" s="40">
        <v>2</v>
      </c>
      <c r="M408" s="40">
        <v>1</v>
      </c>
      <c r="N408" s="41">
        <v>1</v>
      </c>
      <c r="O408" s="40">
        <v>5</v>
      </c>
      <c r="P408" s="40">
        <v>1</v>
      </c>
      <c r="Q408" s="41">
        <v>2</v>
      </c>
      <c r="R408" s="40">
        <v>3</v>
      </c>
      <c r="S408" s="40">
        <v>6</v>
      </c>
      <c r="T408" s="40" t="s">
        <v>45</v>
      </c>
      <c r="U408" s="40" t="s">
        <v>45</v>
      </c>
      <c r="V408" s="40" t="s">
        <v>45</v>
      </c>
      <c r="W408" s="40" t="s">
        <v>45</v>
      </c>
      <c r="X408" s="40" t="s">
        <v>45</v>
      </c>
      <c r="Y408" s="40" t="s">
        <v>45</v>
      </c>
      <c r="Z408" s="40" t="s">
        <v>45</v>
      </c>
      <c r="AA408" s="40" t="s">
        <v>45</v>
      </c>
      <c r="AB408" s="40">
        <v>3</v>
      </c>
      <c r="AC408" s="40">
        <v>5</v>
      </c>
      <c r="AD408" s="40" t="s">
        <v>45</v>
      </c>
      <c r="AE408" s="40" t="s">
        <v>45</v>
      </c>
      <c r="AF408" s="40" t="s">
        <v>45</v>
      </c>
      <c r="AG408" s="40" t="s">
        <v>45</v>
      </c>
      <c r="AH408" s="40" t="s">
        <v>45</v>
      </c>
      <c r="AI408" s="40" t="s">
        <v>45</v>
      </c>
      <c r="AJ408" s="40" t="s">
        <v>45</v>
      </c>
      <c r="AK408" s="40" t="s">
        <v>45</v>
      </c>
      <c r="AL408" s="40" t="s">
        <v>45</v>
      </c>
      <c r="AM408" s="40" t="s">
        <v>45</v>
      </c>
      <c r="AN408" s="40" t="s">
        <v>45</v>
      </c>
      <c r="AO408" s="41" t="s">
        <v>45</v>
      </c>
      <c r="AP408" s="40" t="s">
        <v>349</v>
      </c>
      <c r="AQ408" s="40">
        <v>5</v>
      </c>
      <c r="AR408" s="48" t="s">
        <v>14</v>
      </c>
      <c r="AS408" s="43" t="s">
        <v>670</v>
      </c>
      <c r="AT408" s="43" t="s">
        <v>635</v>
      </c>
      <c r="AU408" s="44">
        <f t="shared" si="50"/>
        <v>-2.5067929134584248</v>
      </c>
      <c r="AV408" s="44">
        <f t="shared" si="51"/>
        <v>-1.2349036231397219</v>
      </c>
      <c r="AW408" s="45">
        <f t="shared" si="52"/>
        <v>2</v>
      </c>
      <c r="AX408" s="45">
        <f t="shared" si="53"/>
        <v>1</v>
      </c>
      <c r="AY408" s="46">
        <f>VLOOKUP(AP408,COND!$A$10:$B$32,2,FALSE)</f>
        <v>1</v>
      </c>
      <c r="AZ408" s="44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22.174304730651023</v>
      </c>
      <c r="BA408" s="47">
        <f>STANDARDIZE(AZ408,AVERAGE($AZ$5:$AZ$557),STDEVP($AZ$5:$AZ$557))</f>
        <v>-0.91118867459374564</v>
      </c>
      <c r="BB408" s="45" t="str">
        <f t="shared" si="54"/>
        <v>RP</v>
      </c>
      <c r="BC408" s="45">
        <f>RANK(Table3[[#This Row],[zScore]],Table3[zScore])</f>
        <v>677</v>
      </c>
      <c r="BD408" s="45"/>
      <c r="BE408" s="45"/>
      <c r="BF408" s="45" t="str">
        <f t="shared" si="55"/>
        <v>Unlikely</v>
      </c>
      <c r="BG408" s="45"/>
      <c r="BH408" s="45" t="str">
        <f>INDEX(Table5[[#All],[Ovr]],MATCH(Table3[[#This Row],[PID]],Table5[[#All],[PID]],0))</f>
        <v/>
      </c>
      <c r="BI408" s="45" t="str">
        <f>INDEX(Table5[[#All],[Rnd]],MATCH(Table3[[#This Row],[PID]],Table5[[#All],[PID]],0))</f>
        <v/>
      </c>
      <c r="BJ408" s="45" t="str">
        <f>INDEX(Table5[[#All],[Pick]],MATCH(Table3[[#This Row],[PID]],Table5[[#All],[PID]],0))</f>
        <v/>
      </c>
      <c r="BK408" s="45" t="str">
        <f>INDEX(Table5[[#All],[Team]],MATCH(Table3[[#This Row],[PID]],Table5[[#All],[PID]],0))</f>
        <v/>
      </c>
      <c r="BL4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09" spans="1:64" ht="15" customHeight="1" x14ac:dyDescent="0.25">
      <c r="A409" s="40">
        <v>20306</v>
      </c>
      <c r="B409" s="40" t="s">
        <v>415</v>
      </c>
      <c r="C409" s="40" t="s">
        <v>2213</v>
      </c>
      <c r="D409" s="40" t="s">
        <v>2214</v>
      </c>
      <c r="E409" s="40">
        <v>17</v>
      </c>
      <c r="F409" s="40" t="s">
        <v>42</v>
      </c>
      <c r="G409" s="40" t="s">
        <v>42</v>
      </c>
      <c r="H409" s="41" t="s">
        <v>647</v>
      </c>
      <c r="I409" s="42" t="s">
        <v>43</v>
      </c>
      <c r="J409" s="40" t="s">
        <v>43</v>
      </c>
      <c r="K409" s="41" t="s">
        <v>43</v>
      </c>
      <c r="L409" s="40">
        <v>2</v>
      </c>
      <c r="M409" s="40">
        <v>1</v>
      </c>
      <c r="N409" s="41">
        <v>1</v>
      </c>
      <c r="O409" s="40">
        <v>4</v>
      </c>
      <c r="P409" s="40">
        <v>1</v>
      </c>
      <c r="Q409" s="41">
        <v>3</v>
      </c>
      <c r="R409" s="40">
        <v>3</v>
      </c>
      <c r="S409" s="40">
        <v>4</v>
      </c>
      <c r="T409" s="40" t="s">
        <v>45</v>
      </c>
      <c r="U409" s="40" t="s">
        <v>45</v>
      </c>
      <c r="V409" s="40" t="s">
        <v>45</v>
      </c>
      <c r="W409" s="40" t="s">
        <v>45</v>
      </c>
      <c r="X409" s="40">
        <v>2</v>
      </c>
      <c r="Y409" s="40">
        <v>6</v>
      </c>
      <c r="Z409" s="40" t="s">
        <v>45</v>
      </c>
      <c r="AA409" s="40" t="s">
        <v>45</v>
      </c>
      <c r="AB409" s="40" t="s">
        <v>45</v>
      </c>
      <c r="AC409" s="40" t="s">
        <v>45</v>
      </c>
      <c r="AD409" s="40" t="s">
        <v>45</v>
      </c>
      <c r="AE409" s="40" t="s">
        <v>45</v>
      </c>
      <c r="AF409" s="40" t="s">
        <v>45</v>
      </c>
      <c r="AG409" s="40" t="s">
        <v>45</v>
      </c>
      <c r="AH409" s="40" t="s">
        <v>45</v>
      </c>
      <c r="AI409" s="40" t="s">
        <v>45</v>
      </c>
      <c r="AJ409" s="40" t="s">
        <v>45</v>
      </c>
      <c r="AK409" s="40" t="s">
        <v>45</v>
      </c>
      <c r="AL409" s="40" t="s">
        <v>45</v>
      </c>
      <c r="AM409" s="40" t="s">
        <v>45</v>
      </c>
      <c r="AN409" s="40" t="s">
        <v>45</v>
      </c>
      <c r="AO409" s="41" t="s">
        <v>45</v>
      </c>
      <c r="AP409" s="40" t="s">
        <v>64</v>
      </c>
      <c r="AQ409" s="40">
        <v>3</v>
      </c>
      <c r="AR409" s="48" t="s">
        <v>14</v>
      </c>
      <c r="AS409" s="43" t="s">
        <v>654</v>
      </c>
      <c r="AT409" s="43"/>
      <c r="AU409" s="44">
        <f t="shared" si="50"/>
        <v>-2.5067929134584248</v>
      </c>
      <c r="AV409" s="44">
        <f t="shared" si="51"/>
        <v>-1.1872743815947853</v>
      </c>
      <c r="AW409" s="45">
        <f t="shared" si="52"/>
        <v>2</v>
      </c>
      <c r="AX409" s="45">
        <f t="shared" si="53"/>
        <v>1</v>
      </c>
      <c r="AY409" s="46">
        <f>VLOOKUP(AP409,COND!$A$10:$B$32,2,FALSE)</f>
        <v>1</v>
      </c>
      <c r="AZ409" s="44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24.102996096141979</v>
      </c>
      <c r="BA409" s="47">
        <f>STANDARDIZE(AZ409,AVERAGE($AZ$5:$AZ$788),STDEVP($AZ$5:$AZ$788))</f>
        <v>-0.91730141443398239</v>
      </c>
      <c r="BB409" s="45" t="str">
        <f t="shared" si="54"/>
        <v>RP</v>
      </c>
      <c r="BC409" s="45">
        <f>RANK(Table3[[#This Row],[zScore]],Table3[zScore])</f>
        <v>681</v>
      </c>
      <c r="BD409" s="45"/>
      <c r="BE409" s="45"/>
      <c r="BF409" s="45" t="str">
        <f t="shared" si="55"/>
        <v>Unlikely</v>
      </c>
      <c r="BG409" s="45"/>
      <c r="BH409" s="64" t="str">
        <f>INDEX(Table5[[#All],[Ovr]],MATCH(Table3[[#This Row],[PID]],Table5[[#All],[PID]],0))</f>
        <v/>
      </c>
      <c r="BI409" s="64" t="str">
        <f>INDEX(Table5[[#All],[Rnd]],MATCH(Table3[[#This Row],[PID]],Table5[[#All],[PID]],0))</f>
        <v/>
      </c>
      <c r="BJ409" s="64" t="str">
        <f>INDEX(Table5[[#All],[Pick]],MATCH(Table3[[#This Row],[PID]],Table5[[#All],[PID]],0))</f>
        <v/>
      </c>
      <c r="BK409" s="64" t="str">
        <f>INDEX(Table5[[#All],[Team]],MATCH(Table3[[#This Row],[PID]],Table5[[#All],[PID]],0))</f>
        <v/>
      </c>
      <c r="BL409" s="64" t="str">
        <f>IF(OR(Table3[[#This Row],[POS]]="SP",Table3[[#This Row],[POS]]="RP",Table3[[#This Row],[POS]]="CL"),"P",INDEX(Batters[[#All],[zScore]],MATCH(Table3[[#This Row],[PID]],Batters[[#All],[PID]],0)))</f>
        <v>P</v>
      </c>
    </row>
    <row r="410" spans="1:64" ht="15" customHeight="1" x14ac:dyDescent="0.25">
      <c r="A410" s="40">
        <v>6846</v>
      </c>
      <c r="B410" s="40" t="s">
        <v>415</v>
      </c>
      <c r="C410" s="40" t="s">
        <v>1141</v>
      </c>
      <c r="D410" s="40" t="s">
        <v>1142</v>
      </c>
      <c r="E410" s="40">
        <v>22</v>
      </c>
      <c r="F410" s="40" t="s">
        <v>53</v>
      </c>
      <c r="G410" s="40" t="s">
        <v>53</v>
      </c>
      <c r="H410" s="41" t="s">
        <v>647</v>
      </c>
      <c r="I410" s="42" t="s">
        <v>43</v>
      </c>
      <c r="J410" s="40" t="s">
        <v>44</v>
      </c>
      <c r="K410" s="41" t="s">
        <v>43</v>
      </c>
      <c r="L410" s="40">
        <v>3</v>
      </c>
      <c r="M410" s="40">
        <v>1</v>
      </c>
      <c r="N410" s="41">
        <v>3</v>
      </c>
      <c r="O410" s="40">
        <v>4</v>
      </c>
      <c r="P410" s="40">
        <v>1</v>
      </c>
      <c r="Q410" s="41">
        <v>3</v>
      </c>
      <c r="R410" s="40">
        <v>4</v>
      </c>
      <c r="S410" s="40">
        <v>4</v>
      </c>
      <c r="T410" s="40">
        <v>3</v>
      </c>
      <c r="U410" s="40">
        <v>5</v>
      </c>
      <c r="V410" s="40" t="s">
        <v>45</v>
      </c>
      <c r="W410" s="40" t="s">
        <v>45</v>
      </c>
      <c r="X410" s="40" t="s">
        <v>45</v>
      </c>
      <c r="Y410" s="40" t="s">
        <v>45</v>
      </c>
      <c r="Z410" s="40" t="s">
        <v>45</v>
      </c>
      <c r="AA410" s="40" t="s">
        <v>45</v>
      </c>
      <c r="AB410" s="40" t="s">
        <v>45</v>
      </c>
      <c r="AC410" s="40" t="s">
        <v>45</v>
      </c>
      <c r="AD410" s="40">
        <v>3</v>
      </c>
      <c r="AE410" s="40">
        <v>4</v>
      </c>
      <c r="AF410" s="40" t="s">
        <v>45</v>
      </c>
      <c r="AG410" s="40" t="s">
        <v>45</v>
      </c>
      <c r="AH410" s="40" t="s">
        <v>45</v>
      </c>
      <c r="AI410" s="40" t="s">
        <v>45</v>
      </c>
      <c r="AJ410" s="40" t="s">
        <v>45</v>
      </c>
      <c r="AK410" s="40" t="s">
        <v>45</v>
      </c>
      <c r="AL410" s="40" t="s">
        <v>45</v>
      </c>
      <c r="AM410" s="40" t="s">
        <v>45</v>
      </c>
      <c r="AN410" s="40" t="s">
        <v>45</v>
      </c>
      <c r="AO410" s="41" t="s">
        <v>45</v>
      </c>
      <c r="AP410" s="40" t="s">
        <v>350</v>
      </c>
      <c r="AQ410" s="40">
        <v>9</v>
      </c>
      <c r="AR410" s="48" t="s">
        <v>351</v>
      </c>
      <c r="AS410" s="43" t="s">
        <v>45</v>
      </c>
      <c r="AT410" s="43"/>
      <c r="AU410" s="44">
        <f t="shared" si="50"/>
        <v>-1.8274604568410304</v>
      </c>
      <c r="AV410" s="44">
        <f t="shared" si="51"/>
        <v>-1.1872743815947853</v>
      </c>
      <c r="AW410" s="45">
        <f t="shared" si="52"/>
        <v>3</v>
      </c>
      <c r="AX410" s="45">
        <f t="shared" si="53"/>
        <v>0</v>
      </c>
      <c r="AY410" s="46">
        <f>VLOOKUP(AP410,COND!$A$10:$B$32,2,FALSE)</f>
        <v>1</v>
      </c>
      <c r="AZ410" s="44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24.089020276736086</v>
      </c>
      <c r="BA410" s="47">
        <f>STANDARDIZE(AZ410,AVERAGE($AZ$5:$AZ$788),STDEVP($AZ$5:$AZ$788))</f>
        <v>-0.91831273918268796</v>
      </c>
      <c r="BB410" s="45" t="str">
        <f t="shared" si="54"/>
        <v>SP</v>
      </c>
      <c r="BC410" s="45">
        <f>RANK(Table3[[#This Row],[zScore]],Table3[zScore])</f>
        <v>682</v>
      </c>
      <c r="BD410" s="45"/>
      <c r="BE410" s="45"/>
      <c r="BF410" s="45" t="str">
        <f t="shared" si="55"/>
        <v>Unlikely</v>
      </c>
      <c r="BG410" s="45"/>
      <c r="BH410" s="64" t="str">
        <f>INDEX(Table5[[#All],[Ovr]],MATCH(Table3[[#This Row],[PID]],Table5[[#All],[PID]],0))</f>
        <v/>
      </c>
      <c r="BI410" s="64" t="str">
        <f>INDEX(Table5[[#All],[Rnd]],MATCH(Table3[[#This Row],[PID]],Table5[[#All],[PID]],0))</f>
        <v/>
      </c>
      <c r="BJ410" s="64" t="str">
        <f>INDEX(Table5[[#All],[Pick]],MATCH(Table3[[#This Row],[PID]],Table5[[#All],[PID]],0))</f>
        <v/>
      </c>
      <c r="BK410" s="64" t="str">
        <f>INDEX(Table5[[#All],[Team]],MATCH(Table3[[#This Row],[PID]],Table5[[#All],[PID]],0))</f>
        <v/>
      </c>
      <c r="BL410" s="64" t="str">
        <f>IF(OR(Table3[[#This Row],[POS]]="SP",Table3[[#This Row],[POS]]="RP",Table3[[#This Row],[POS]]="CL"),"P",INDEX(Batters[[#All],[zScore]],MATCH(Table3[[#This Row],[PID]],Batters[[#All],[PID]],0)))</f>
        <v>P</v>
      </c>
    </row>
    <row r="411" spans="1:64" ht="15" customHeight="1" x14ac:dyDescent="0.25">
      <c r="A411" s="40">
        <v>20360</v>
      </c>
      <c r="B411" s="40" t="s">
        <v>415</v>
      </c>
      <c r="C411" s="40" t="s">
        <v>1952</v>
      </c>
      <c r="D411" s="40" t="s">
        <v>759</v>
      </c>
      <c r="E411" s="40">
        <v>18</v>
      </c>
      <c r="F411" s="40" t="s">
        <v>42</v>
      </c>
      <c r="G411" s="40" t="s">
        <v>42</v>
      </c>
      <c r="H411" s="41" t="s">
        <v>647</v>
      </c>
      <c r="I411" s="42" t="s">
        <v>43</v>
      </c>
      <c r="J411" s="40" t="s">
        <v>43</v>
      </c>
      <c r="K411" s="41" t="s">
        <v>43</v>
      </c>
      <c r="L411" s="40">
        <v>2</v>
      </c>
      <c r="M411" s="40">
        <v>2</v>
      </c>
      <c r="N411" s="41">
        <v>1</v>
      </c>
      <c r="O411" s="40">
        <v>4</v>
      </c>
      <c r="P411" s="40">
        <v>2</v>
      </c>
      <c r="Q411" s="41">
        <v>2</v>
      </c>
      <c r="R411" s="40">
        <v>4</v>
      </c>
      <c r="S411" s="40">
        <v>6</v>
      </c>
      <c r="T411" s="40" t="s">
        <v>45</v>
      </c>
      <c r="U411" s="40" t="s">
        <v>45</v>
      </c>
      <c r="V411" s="40" t="s">
        <v>45</v>
      </c>
      <c r="W411" s="40" t="s">
        <v>45</v>
      </c>
      <c r="X411" s="40">
        <v>2</v>
      </c>
      <c r="Y411" s="40">
        <v>5</v>
      </c>
      <c r="Z411" s="40" t="s">
        <v>45</v>
      </c>
      <c r="AA411" s="40" t="s">
        <v>45</v>
      </c>
      <c r="AB411" s="40" t="s">
        <v>45</v>
      </c>
      <c r="AC411" s="40" t="s">
        <v>45</v>
      </c>
      <c r="AD411" s="40" t="s">
        <v>45</v>
      </c>
      <c r="AE411" s="40" t="s">
        <v>45</v>
      </c>
      <c r="AF411" s="40" t="s">
        <v>45</v>
      </c>
      <c r="AG411" s="40" t="s">
        <v>45</v>
      </c>
      <c r="AH411" s="40" t="s">
        <v>45</v>
      </c>
      <c r="AI411" s="40" t="s">
        <v>45</v>
      </c>
      <c r="AJ411" s="40" t="s">
        <v>45</v>
      </c>
      <c r="AK411" s="40" t="s">
        <v>45</v>
      </c>
      <c r="AL411" s="40" t="s">
        <v>45</v>
      </c>
      <c r="AM411" s="40" t="s">
        <v>45</v>
      </c>
      <c r="AN411" s="40" t="s">
        <v>45</v>
      </c>
      <c r="AO411" s="41" t="s">
        <v>45</v>
      </c>
      <c r="AP411" s="40" t="s">
        <v>64</v>
      </c>
      <c r="AQ411" s="40">
        <v>8</v>
      </c>
      <c r="AR411" s="48" t="s">
        <v>347</v>
      </c>
      <c r="AS411" s="43" t="s">
        <v>412</v>
      </c>
      <c r="AT411" s="43" t="s">
        <v>635</v>
      </c>
      <c r="AU411" s="44">
        <f t="shared" si="50"/>
        <v>-2.311361197028369</v>
      </c>
      <c r="AV411" s="44">
        <f t="shared" si="51"/>
        <v>-1.23416323121884</v>
      </c>
      <c r="AW411" s="45">
        <f t="shared" si="52"/>
        <v>2</v>
      </c>
      <c r="AX411" s="45">
        <f t="shared" si="53"/>
        <v>1</v>
      </c>
      <c r="AY411" s="46">
        <f>VLOOKUP(AP411,COND!$A$10:$B$32,2,FALSE)</f>
        <v>1</v>
      </c>
      <c r="AZ411" s="44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22.104463136217525</v>
      </c>
      <c r="BA411" s="47">
        <f>STANDARDIZE(AZ411,AVERAGE($AZ$5:$AZ$557),STDEVP($AZ$5:$AZ$557))</f>
        <v>-0.9158351291458483</v>
      </c>
      <c r="BB411" s="45" t="str">
        <f t="shared" si="54"/>
        <v>RP</v>
      </c>
      <c r="BC411" s="45">
        <f>RANK(Table3[[#This Row],[zScore]],Table3[zScore])</f>
        <v>680</v>
      </c>
      <c r="BD411" s="45"/>
      <c r="BE411" s="45"/>
      <c r="BF411" s="45" t="str">
        <f t="shared" si="55"/>
        <v>Unlikely</v>
      </c>
      <c r="BG411" s="45"/>
      <c r="BH411" s="45" t="str">
        <f>INDEX(Table5[[#All],[Ovr]],MATCH(Table3[[#This Row],[PID]],Table5[[#All],[PID]],0))</f>
        <v/>
      </c>
      <c r="BI411" s="45" t="str">
        <f>INDEX(Table5[[#All],[Rnd]],MATCH(Table3[[#This Row],[PID]],Table5[[#All],[PID]],0))</f>
        <v/>
      </c>
      <c r="BJ411" s="45" t="str">
        <f>INDEX(Table5[[#All],[Pick]],MATCH(Table3[[#This Row],[PID]],Table5[[#All],[PID]],0))</f>
        <v/>
      </c>
      <c r="BK411" s="45" t="str">
        <f>INDEX(Table5[[#All],[Team]],MATCH(Table3[[#This Row],[PID]],Table5[[#All],[PID]],0))</f>
        <v/>
      </c>
      <c r="BL4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2" spans="1:64" ht="15" customHeight="1" x14ac:dyDescent="0.25">
      <c r="A412" s="40">
        <v>15677</v>
      </c>
      <c r="B412" s="40" t="s">
        <v>415</v>
      </c>
      <c r="C412" s="40" t="s">
        <v>874</v>
      </c>
      <c r="D412" s="40" t="s">
        <v>1128</v>
      </c>
      <c r="E412" s="40">
        <v>22</v>
      </c>
      <c r="F412" s="40" t="s">
        <v>53</v>
      </c>
      <c r="G412" s="40" t="s">
        <v>53</v>
      </c>
      <c r="H412" s="41" t="s">
        <v>647</v>
      </c>
      <c r="I412" s="42" t="s">
        <v>43</v>
      </c>
      <c r="J412" s="40" t="s">
        <v>44</v>
      </c>
      <c r="K412" s="41" t="s">
        <v>44</v>
      </c>
      <c r="L412" s="40">
        <v>3</v>
      </c>
      <c r="M412" s="40">
        <v>2</v>
      </c>
      <c r="N412" s="41">
        <v>1</v>
      </c>
      <c r="O412" s="40">
        <v>4</v>
      </c>
      <c r="P412" s="40">
        <v>2</v>
      </c>
      <c r="Q412" s="41">
        <v>2</v>
      </c>
      <c r="R412" s="40">
        <v>3</v>
      </c>
      <c r="S412" s="40">
        <v>4</v>
      </c>
      <c r="T412" s="40">
        <v>1</v>
      </c>
      <c r="U412" s="40">
        <v>1</v>
      </c>
      <c r="V412" s="40">
        <v>4</v>
      </c>
      <c r="W412" s="40">
        <v>5</v>
      </c>
      <c r="X412" s="40" t="s">
        <v>45</v>
      </c>
      <c r="Y412" s="40" t="s">
        <v>45</v>
      </c>
      <c r="Z412" s="40" t="s">
        <v>45</v>
      </c>
      <c r="AA412" s="40" t="s">
        <v>45</v>
      </c>
      <c r="AB412" s="40" t="s">
        <v>45</v>
      </c>
      <c r="AC412" s="40" t="s">
        <v>45</v>
      </c>
      <c r="AD412" s="40" t="s">
        <v>45</v>
      </c>
      <c r="AE412" s="40" t="s">
        <v>45</v>
      </c>
      <c r="AF412" s="40" t="s">
        <v>45</v>
      </c>
      <c r="AG412" s="40" t="s">
        <v>45</v>
      </c>
      <c r="AH412" s="40" t="s">
        <v>45</v>
      </c>
      <c r="AI412" s="40" t="s">
        <v>45</v>
      </c>
      <c r="AJ412" s="40" t="s">
        <v>45</v>
      </c>
      <c r="AK412" s="40" t="s">
        <v>45</v>
      </c>
      <c r="AL412" s="40" t="s">
        <v>45</v>
      </c>
      <c r="AM412" s="40" t="s">
        <v>45</v>
      </c>
      <c r="AN412" s="40" t="s">
        <v>45</v>
      </c>
      <c r="AO412" s="41" t="s">
        <v>45</v>
      </c>
      <c r="AP412" s="40" t="s">
        <v>64</v>
      </c>
      <c r="AQ412" s="40">
        <v>2</v>
      </c>
      <c r="AR412" s="48" t="s">
        <v>347</v>
      </c>
      <c r="AS412" s="43" t="s">
        <v>45</v>
      </c>
      <c r="AT412" s="43" t="s">
        <v>635</v>
      </c>
      <c r="AU412" s="44">
        <f t="shared" si="50"/>
        <v>-2.1166698725191955</v>
      </c>
      <c r="AV412" s="44">
        <f t="shared" si="51"/>
        <v>-1.23416323121884</v>
      </c>
      <c r="AW412" s="45">
        <f t="shared" si="52"/>
        <v>3</v>
      </c>
      <c r="AX412" s="45">
        <f t="shared" si="53"/>
        <v>0</v>
      </c>
      <c r="AY412" s="46">
        <f>VLOOKUP(AP412,COND!$A$10:$B$32,2,FALSE)</f>
        <v>1</v>
      </c>
      <c r="AZ412" s="44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21.973731331063391</v>
      </c>
      <c r="BA412" s="47">
        <f>STANDARDIZE(AZ412,AVERAGE($AZ$5:$AZ$557),STDEVP($AZ$5:$AZ$557))</f>
        <v>-0.92453251637032541</v>
      </c>
      <c r="BB412" s="45" t="str">
        <f t="shared" si="54"/>
        <v>RP</v>
      </c>
      <c r="BC412" s="45">
        <f>RANK(Table3[[#This Row],[zScore]],Table3[zScore])</f>
        <v>683</v>
      </c>
      <c r="BD412" s="45"/>
      <c r="BE412" s="45"/>
      <c r="BF412" s="45" t="str">
        <f t="shared" si="55"/>
        <v>Unlikely</v>
      </c>
      <c r="BG412" s="45"/>
      <c r="BH412" s="45" t="str">
        <f>INDEX(Table5[[#All],[Ovr]],MATCH(Table3[[#This Row],[PID]],Table5[[#All],[PID]],0))</f>
        <v/>
      </c>
      <c r="BI412" s="45" t="str">
        <f>INDEX(Table5[[#All],[Rnd]],MATCH(Table3[[#This Row],[PID]],Table5[[#All],[PID]],0))</f>
        <v/>
      </c>
      <c r="BJ412" s="45" t="str">
        <f>INDEX(Table5[[#All],[Pick]],MATCH(Table3[[#This Row],[PID]],Table5[[#All],[PID]],0))</f>
        <v/>
      </c>
      <c r="BK412" s="45" t="str">
        <f>INDEX(Table5[[#All],[Team]],MATCH(Table3[[#This Row],[PID]],Table5[[#All],[PID]],0))</f>
        <v/>
      </c>
      <c r="BL4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3" spans="1:64" ht="15" customHeight="1" x14ac:dyDescent="0.25">
      <c r="A413" s="40">
        <v>20632</v>
      </c>
      <c r="B413" s="40" t="s">
        <v>415</v>
      </c>
      <c r="C413" s="40" t="s">
        <v>2209</v>
      </c>
      <c r="D413" s="40" t="s">
        <v>842</v>
      </c>
      <c r="E413" s="40">
        <v>18</v>
      </c>
      <c r="F413" s="40" t="s">
        <v>53</v>
      </c>
      <c r="G413" s="40" t="s">
        <v>42</v>
      </c>
      <c r="H413" s="41" t="s">
        <v>647</v>
      </c>
      <c r="I413" s="42" t="s">
        <v>43</v>
      </c>
      <c r="J413" s="40" t="s">
        <v>43</v>
      </c>
      <c r="K413" s="41" t="s">
        <v>43</v>
      </c>
      <c r="L413" s="40">
        <v>2</v>
      </c>
      <c r="M413" s="40">
        <v>1</v>
      </c>
      <c r="N413" s="41">
        <v>1</v>
      </c>
      <c r="O413" s="40">
        <v>4</v>
      </c>
      <c r="P413" s="40">
        <v>1</v>
      </c>
      <c r="Q413" s="41">
        <v>2</v>
      </c>
      <c r="R413" s="40">
        <v>4</v>
      </c>
      <c r="S413" s="40">
        <v>5</v>
      </c>
      <c r="T413" s="40" t="s">
        <v>45</v>
      </c>
      <c r="U413" s="40" t="s">
        <v>45</v>
      </c>
      <c r="V413" s="40">
        <v>2</v>
      </c>
      <c r="W413" s="40">
        <v>4</v>
      </c>
      <c r="X413" s="40" t="s">
        <v>45</v>
      </c>
      <c r="Y413" s="40" t="s">
        <v>45</v>
      </c>
      <c r="Z413" s="40" t="s">
        <v>45</v>
      </c>
      <c r="AA413" s="40" t="s">
        <v>45</v>
      </c>
      <c r="AB413" s="40">
        <v>3</v>
      </c>
      <c r="AC413" s="40">
        <v>5</v>
      </c>
      <c r="AD413" s="40" t="s">
        <v>45</v>
      </c>
      <c r="AE413" s="40" t="s">
        <v>45</v>
      </c>
      <c r="AF413" s="40" t="s">
        <v>45</v>
      </c>
      <c r="AG413" s="40" t="s">
        <v>45</v>
      </c>
      <c r="AH413" s="40" t="s">
        <v>45</v>
      </c>
      <c r="AI413" s="40" t="s">
        <v>45</v>
      </c>
      <c r="AJ413" s="40" t="s">
        <v>45</v>
      </c>
      <c r="AK413" s="40" t="s">
        <v>45</v>
      </c>
      <c r="AL413" s="40" t="s">
        <v>45</v>
      </c>
      <c r="AM413" s="40" t="s">
        <v>45</v>
      </c>
      <c r="AN413" s="40" t="s">
        <v>45</v>
      </c>
      <c r="AO413" s="41" t="s">
        <v>45</v>
      </c>
      <c r="AP413" s="40" t="s">
        <v>56</v>
      </c>
      <c r="AQ413" s="40">
        <v>2</v>
      </c>
      <c r="AR413" s="48" t="s">
        <v>14</v>
      </c>
      <c r="AS413" s="43" t="s">
        <v>563</v>
      </c>
      <c r="AT413" s="43"/>
      <c r="AU413" s="44">
        <f t="shared" si="50"/>
        <v>-2.5067929134584248</v>
      </c>
      <c r="AV413" s="44">
        <f t="shared" si="51"/>
        <v>-1.4295949476488956</v>
      </c>
      <c r="AW413" s="45">
        <f t="shared" si="52"/>
        <v>3</v>
      </c>
      <c r="AX413" s="45">
        <f t="shared" si="53"/>
        <v>0</v>
      </c>
      <c r="AY413" s="46">
        <f>VLOOKUP(AP413,COND!$A$10:$B$32,2,FALSE)</f>
        <v>1</v>
      </c>
      <c r="AZ413" s="44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23.78640534111388</v>
      </c>
      <c r="BA413" s="47">
        <f>STANDARDIZE(AZ413,AVERAGE($AZ$5:$AZ$788),STDEVP($AZ$5:$AZ$788))</f>
        <v>-0.94021070200221557</v>
      </c>
      <c r="BB413" s="45" t="str">
        <f t="shared" si="54"/>
        <v>RP</v>
      </c>
      <c r="BC413" s="45">
        <f>RANK(Table3[[#This Row],[zScore]],Table3[zScore])</f>
        <v>685</v>
      </c>
      <c r="BD413" s="45"/>
      <c r="BE413" s="45"/>
      <c r="BF413" s="45" t="str">
        <f t="shared" si="55"/>
        <v>Unlikely</v>
      </c>
      <c r="BG413" s="45"/>
      <c r="BH413" s="64" t="str">
        <f>INDEX(Table5[[#All],[Ovr]],MATCH(Table3[[#This Row],[PID]],Table5[[#All],[PID]],0))</f>
        <v/>
      </c>
      <c r="BI413" s="64" t="str">
        <f>INDEX(Table5[[#All],[Rnd]],MATCH(Table3[[#This Row],[PID]],Table5[[#All],[PID]],0))</f>
        <v/>
      </c>
      <c r="BJ413" s="64" t="str">
        <f>INDEX(Table5[[#All],[Pick]],MATCH(Table3[[#This Row],[PID]],Table5[[#All],[PID]],0))</f>
        <v/>
      </c>
      <c r="BK413" s="64" t="str">
        <f>INDEX(Table5[[#All],[Team]],MATCH(Table3[[#This Row],[PID]],Table5[[#All],[PID]],0))</f>
        <v/>
      </c>
      <c r="BL413" s="64" t="str">
        <f>IF(OR(Table3[[#This Row],[POS]]="SP",Table3[[#This Row],[POS]]="RP",Table3[[#This Row],[POS]]="CL"),"P",INDEX(Batters[[#All],[zScore]],MATCH(Table3[[#This Row],[PID]],Batters[[#All],[PID]],0)))</f>
        <v>P</v>
      </c>
    </row>
    <row r="414" spans="1:64" ht="15" customHeight="1" x14ac:dyDescent="0.25">
      <c r="A414" s="40">
        <v>20557</v>
      </c>
      <c r="B414" s="40" t="s">
        <v>415</v>
      </c>
      <c r="C414" s="40" t="s">
        <v>2021</v>
      </c>
      <c r="D414" s="40" t="s">
        <v>2022</v>
      </c>
      <c r="E414" s="40">
        <v>17</v>
      </c>
      <c r="F414" s="40" t="s">
        <v>62</v>
      </c>
      <c r="G414" s="40" t="s">
        <v>42</v>
      </c>
      <c r="H414" s="41" t="s">
        <v>647</v>
      </c>
      <c r="I414" s="42" t="s">
        <v>47</v>
      </c>
      <c r="J414" s="40" t="s">
        <v>43</v>
      </c>
      <c r="K414" s="41" t="s">
        <v>43</v>
      </c>
      <c r="L414" s="40">
        <v>1</v>
      </c>
      <c r="M414" s="40">
        <v>1</v>
      </c>
      <c r="N414" s="41">
        <v>1</v>
      </c>
      <c r="O414" s="40">
        <v>3</v>
      </c>
      <c r="P414" s="40">
        <v>1</v>
      </c>
      <c r="Q414" s="41">
        <v>2</v>
      </c>
      <c r="R414" s="40">
        <v>2</v>
      </c>
      <c r="S414" s="40">
        <v>4</v>
      </c>
      <c r="T414" s="40">
        <v>1</v>
      </c>
      <c r="U414" s="40">
        <v>3</v>
      </c>
      <c r="V414" s="40">
        <v>2</v>
      </c>
      <c r="W414" s="40">
        <v>3</v>
      </c>
      <c r="X414" s="40" t="s">
        <v>45</v>
      </c>
      <c r="Y414" s="40" t="s">
        <v>45</v>
      </c>
      <c r="Z414" s="40" t="s">
        <v>45</v>
      </c>
      <c r="AA414" s="40" t="s">
        <v>45</v>
      </c>
      <c r="AB414" s="40" t="s">
        <v>45</v>
      </c>
      <c r="AC414" s="40" t="s">
        <v>45</v>
      </c>
      <c r="AD414" s="40" t="s">
        <v>45</v>
      </c>
      <c r="AE414" s="40" t="s">
        <v>45</v>
      </c>
      <c r="AF414" s="40" t="s">
        <v>45</v>
      </c>
      <c r="AG414" s="40" t="s">
        <v>45</v>
      </c>
      <c r="AH414" s="40" t="s">
        <v>45</v>
      </c>
      <c r="AI414" s="40" t="s">
        <v>45</v>
      </c>
      <c r="AJ414" s="40" t="s">
        <v>45</v>
      </c>
      <c r="AK414" s="40" t="s">
        <v>45</v>
      </c>
      <c r="AL414" s="40" t="s">
        <v>45</v>
      </c>
      <c r="AM414" s="40" t="s">
        <v>45</v>
      </c>
      <c r="AN414" s="40" t="s">
        <v>45</v>
      </c>
      <c r="AO414" s="41" t="s">
        <v>45</v>
      </c>
      <c r="AP414" s="40" t="s">
        <v>68</v>
      </c>
      <c r="AQ414" s="40">
        <v>4</v>
      </c>
      <c r="AR414" s="48" t="s">
        <v>14</v>
      </c>
      <c r="AS414" s="43" t="s">
        <v>644</v>
      </c>
      <c r="AT414" s="43" t="s">
        <v>47</v>
      </c>
      <c r="AU414" s="44">
        <f t="shared" si="50"/>
        <v>-2.7014842379675978</v>
      </c>
      <c r="AV414" s="44">
        <f t="shared" si="51"/>
        <v>-1.6242862721580691</v>
      </c>
      <c r="AW414" s="45">
        <f t="shared" si="52"/>
        <v>3</v>
      </c>
      <c r="AX414" s="45">
        <f t="shared" si="53"/>
        <v>0</v>
      </c>
      <c r="AY414" s="46">
        <f>VLOOKUP(AP414,COND!$A$10:$B$32,2,FALSE)</f>
        <v>0.95</v>
      </c>
      <c r="AZ414" s="44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21.772764882593702</v>
      </c>
      <c r="BA414" s="47">
        <f>STANDARDIZE(AZ414,AVERAGE($AZ$5:$AZ$557),STDEVP($AZ$5:$AZ$557))</f>
        <v>-0.93790250708840694</v>
      </c>
      <c r="BB414" s="45" t="str">
        <f t="shared" si="54"/>
        <v>RP</v>
      </c>
      <c r="BC414" s="45">
        <f>RANK(Table3[[#This Row],[zScore]],Table3[zScore])</f>
        <v>684</v>
      </c>
      <c r="BD414" s="45"/>
      <c r="BE414" s="45"/>
      <c r="BF414" s="45" t="str">
        <f t="shared" si="55"/>
        <v>Unlikely</v>
      </c>
      <c r="BG414" s="45"/>
      <c r="BH414" s="45" t="str">
        <f>INDEX(Table5[[#All],[Ovr]],MATCH(Table3[[#This Row],[PID]],Table5[[#All],[PID]],0))</f>
        <v/>
      </c>
      <c r="BI414" s="45" t="str">
        <f>INDEX(Table5[[#All],[Rnd]],MATCH(Table3[[#This Row],[PID]],Table5[[#All],[PID]],0))</f>
        <v/>
      </c>
      <c r="BJ414" s="45" t="str">
        <f>INDEX(Table5[[#All],[Pick]],MATCH(Table3[[#This Row],[PID]],Table5[[#All],[PID]],0))</f>
        <v/>
      </c>
      <c r="BK414" s="45" t="str">
        <f>INDEX(Table5[[#All],[Team]],MATCH(Table3[[#This Row],[PID]],Table5[[#All],[PID]],0))</f>
        <v/>
      </c>
      <c r="BL4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5" spans="1:64" ht="15" customHeight="1" x14ac:dyDescent="0.25">
      <c r="A415" s="40">
        <v>15966</v>
      </c>
      <c r="B415" s="40" t="s">
        <v>415</v>
      </c>
      <c r="C415" s="40" t="s">
        <v>574</v>
      </c>
      <c r="D415" s="40" t="s">
        <v>1038</v>
      </c>
      <c r="E415" s="40">
        <v>22</v>
      </c>
      <c r="F415" s="40" t="s">
        <v>42</v>
      </c>
      <c r="G415" s="40" t="s">
        <v>42</v>
      </c>
      <c r="H415" s="41" t="s">
        <v>647</v>
      </c>
      <c r="I415" s="42" t="s">
        <v>44</v>
      </c>
      <c r="J415" s="40" t="s">
        <v>44</v>
      </c>
      <c r="K415" s="41" t="s">
        <v>43</v>
      </c>
      <c r="L415" s="40">
        <v>2</v>
      </c>
      <c r="M415" s="40">
        <v>2</v>
      </c>
      <c r="N415" s="41">
        <v>2</v>
      </c>
      <c r="O415" s="40">
        <v>4</v>
      </c>
      <c r="P415" s="40">
        <v>2</v>
      </c>
      <c r="Q415" s="41">
        <v>3</v>
      </c>
      <c r="R415" s="40">
        <v>3</v>
      </c>
      <c r="S415" s="40">
        <v>5</v>
      </c>
      <c r="T415" s="40" t="s">
        <v>45</v>
      </c>
      <c r="U415" s="40" t="s">
        <v>45</v>
      </c>
      <c r="V415" s="40" t="s">
        <v>45</v>
      </c>
      <c r="W415" s="40" t="s">
        <v>45</v>
      </c>
      <c r="X415" s="40">
        <v>3</v>
      </c>
      <c r="Y415" s="40">
        <v>5</v>
      </c>
      <c r="Z415" s="40" t="s">
        <v>45</v>
      </c>
      <c r="AA415" s="40" t="s">
        <v>45</v>
      </c>
      <c r="AB415" s="40" t="s">
        <v>45</v>
      </c>
      <c r="AC415" s="40" t="s">
        <v>45</v>
      </c>
      <c r="AD415" s="40" t="s">
        <v>45</v>
      </c>
      <c r="AE415" s="40" t="s">
        <v>45</v>
      </c>
      <c r="AF415" s="40" t="s">
        <v>45</v>
      </c>
      <c r="AG415" s="40" t="s">
        <v>45</v>
      </c>
      <c r="AH415" s="40" t="s">
        <v>45</v>
      </c>
      <c r="AI415" s="40" t="s">
        <v>45</v>
      </c>
      <c r="AJ415" s="40" t="s">
        <v>45</v>
      </c>
      <c r="AK415" s="40" t="s">
        <v>45</v>
      </c>
      <c r="AL415" s="40" t="s">
        <v>45</v>
      </c>
      <c r="AM415" s="40" t="s">
        <v>45</v>
      </c>
      <c r="AN415" s="40" t="s">
        <v>45</v>
      </c>
      <c r="AO415" s="41" t="s">
        <v>45</v>
      </c>
      <c r="AP415" s="40" t="s">
        <v>68</v>
      </c>
      <c r="AQ415" s="40">
        <v>5</v>
      </c>
      <c r="AR415" s="48" t="s">
        <v>347</v>
      </c>
      <c r="AS415" s="43" t="s">
        <v>45</v>
      </c>
      <c r="AT415" s="43" t="s">
        <v>47</v>
      </c>
      <c r="AU415" s="44">
        <f t="shared" si="50"/>
        <v>-2.0690406309742588</v>
      </c>
      <c r="AV415" s="44">
        <f t="shared" si="51"/>
        <v>-0.99184266516472974</v>
      </c>
      <c r="AW415" s="45">
        <f t="shared" si="52"/>
        <v>2</v>
      </c>
      <c r="AX415" s="45">
        <f t="shared" si="53"/>
        <v>0</v>
      </c>
      <c r="AY415" s="46">
        <f>VLOOKUP(AP415,COND!$A$10:$B$32,2,FALSE)</f>
        <v>0.95</v>
      </c>
      <c r="AZ415" s="44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21.719074850935399</v>
      </c>
      <c r="BA415" s="47">
        <f>STANDARDIZE(AZ415,AVERAGE($AZ$5:$AZ$557),STDEVP($AZ$5:$AZ$557))</f>
        <v>-0.94147442285042171</v>
      </c>
      <c r="BB415" s="45" t="str">
        <f t="shared" si="54"/>
        <v>RP</v>
      </c>
      <c r="BC415" s="45">
        <f>RANK(Table3[[#This Row],[zScore]],Table3[zScore])</f>
        <v>686</v>
      </c>
      <c r="BD415" s="45"/>
      <c r="BE415" s="45"/>
      <c r="BF415" s="45" t="str">
        <f t="shared" si="55"/>
        <v>Unlikely</v>
      </c>
      <c r="BG415" s="45"/>
      <c r="BH415" s="45" t="str">
        <f>INDEX(Table5[[#All],[Ovr]],MATCH(Table3[[#This Row],[PID]],Table5[[#All],[PID]],0))</f>
        <v/>
      </c>
      <c r="BI415" s="45" t="str">
        <f>INDEX(Table5[[#All],[Rnd]],MATCH(Table3[[#This Row],[PID]],Table5[[#All],[PID]],0))</f>
        <v/>
      </c>
      <c r="BJ415" s="45" t="str">
        <f>INDEX(Table5[[#All],[Pick]],MATCH(Table3[[#This Row],[PID]],Table5[[#All],[PID]],0))</f>
        <v/>
      </c>
      <c r="BK415" s="45" t="str">
        <f>INDEX(Table5[[#All],[Team]],MATCH(Table3[[#This Row],[PID]],Table5[[#All],[PID]],0))</f>
        <v/>
      </c>
      <c r="BL4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6" spans="1:64" ht="15" customHeight="1" x14ac:dyDescent="0.25">
      <c r="A416" s="40">
        <v>6062</v>
      </c>
      <c r="B416" s="40" t="s">
        <v>415</v>
      </c>
      <c r="C416" s="40" t="s">
        <v>884</v>
      </c>
      <c r="D416" s="40" t="s">
        <v>539</v>
      </c>
      <c r="E416" s="40">
        <v>22</v>
      </c>
      <c r="F416" s="40" t="s">
        <v>53</v>
      </c>
      <c r="G416" s="40" t="s">
        <v>53</v>
      </c>
      <c r="H416" s="41" t="s">
        <v>647</v>
      </c>
      <c r="I416" s="42" t="s">
        <v>43</v>
      </c>
      <c r="J416" s="40" t="s">
        <v>43</v>
      </c>
      <c r="K416" s="41" t="s">
        <v>47</v>
      </c>
      <c r="L416" s="40">
        <v>2</v>
      </c>
      <c r="M416" s="40">
        <v>1</v>
      </c>
      <c r="N416" s="41">
        <v>1</v>
      </c>
      <c r="O416" s="40">
        <v>3</v>
      </c>
      <c r="P416" s="40">
        <v>1</v>
      </c>
      <c r="Q416" s="41">
        <v>3</v>
      </c>
      <c r="R416" s="40">
        <v>3</v>
      </c>
      <c r="S416" s="40">
        <v>4</v>
      </c>
      <c r="T416" s="40">
        <v>1</v>
      </c>
      <c r="U416" s="40">
        <v>4</v>
      </c>
      <c r="V416" s="40" t="s">
        <v>45</v>
      </c>
      <c r="W416" s="40" t="s">
        <v>45</v>
      </c>
      <c r="X416" s="40">
        <v>2</v>
      </c>
      <c r="Y416" s="40">
        <v>4</v>
      </c>
      <c r="Z416" s="40" t="s">
        <v>45</v>
      </c>
      <c r="AA416" s="40" t="s">
        <v>45</v>
      </c>
      <c r="AB416" s="40" t="s">
        <v>45</v>
      </c>
      <c r="AC416" s="40" t="s">
        <v>45</v>
      </c>
      <c r="AD416" s="40" t="s">
        <v>45</v>
      </c>
      <c r="AE416" s="40" t="s">
        <v>45</v>
      </c>
      <c r="AF416" s="40" t="s">
        <v>45</v>
      </c>
      <c r="AG416" s="40" t="s">
        <v>45</v>
      </c>
      <c r="AH416" s="40">
        <v>1</v>
      </c>
      <c r="AI416" s="40">
        <v>4</v>
      </c>
      <c r="AJ416" s="40" t="s">
        <v>45</v>
      </c>
      <c r="AK416" s="40" t="s">
        <v>45</v>
      </c>
      <c r="AL416" s="40" t="s">
        <v>45</v>
      </c>
      <c r="AM416" s="40" t="s">
        <v>45</v>
      </c>
      <c r="AN416" s="40" t="s">
        <v>45</v>
      </c>
      <c r="AO416" s="41" t="s">
        <v>45</v>
      </c>
      <c r="AP416" s="40" t="s">
        <v>68</v>
      </c>
      <c r="AQ416" s="40">
        <v>2</v>
      </c>
      <c r="AR416" s="48" t="s">
        <v>351</v>
      </c>
      <c r="AS416" s="43" t="s">
        <v>45</v>
      </c>
      <c r="AT416" s="43" t="s">
        <v>47</v>
      </c>
      <c r="AU416" s="44">
        <f t="shared" si="50"/>
        <v>-2.5067929134584248</v>
      </c>
      <c r="AV416" s="44">
        <f t="shared" si="51"/>
        <v>-1.3819657061039585</v>
      </c>
      <c r="AW416" s="45">
        <f t="shared" si="52"/>
        <v>4</v>
      </c>
      <c r="AX416" s="45">
        <f t="shared" si="53"/>
        <v>0</v>
      </c>
      <c r="AY416" s="46">
        <f>VLOOKUP(AP416,COND!$A$10:$B$32,2,FALSE)</f>
        <v>0.95</v>
      </c>
      <c r="AZ416" s="44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21.708042883944305</v>
      </c>
      <c r="BA416" s="47">
        <f>STANDARDIZE(AZ416,AVERAGE($AZ$5:$AZ$557),STDEVP($AZ$5:$AZ$557))</f>
        <v>-0.94220836275629294</v>
      </c>
      <c r="BB416" s="45" t="str">
        <f t="shared" si="54"/>
        <v>RP</v>
      </c>
      <c r="BC416" s="45">
        <f>RANK(Table3[[#This Row],[zScore]],Table3[zScore])</f>
        <v>687</v>
      </c>
      <c r="BD416" s="45"/>
      <c r="BE416" s="45"/>
      <c r="BF416" s="45" t="str">
        <f t="shared" si="55"/>
        <v>Unlikely</v>
      </c>
      <c r="BG416" s="45"/>
      <c r="BH416" s="45" t="str">
        <f>INDEX(Table5[[#All],[Ovr]],MATCH(Table3[[#This Row],[PID]],Table5[[#All],[PID]],0))</f>
        <v/>
      </c>
      <c r="BI416" s="45" t="str">
        <f>INDEX(Table5[[#All],[Rnd]],MATCH(Table3[[#This Row],[PID]],Table5[[#All],[PID]],0))</f>
        <v/>
      </c>
      <c r="BJ416" s="45" t="str">
        <f>INDEX(Table5[[#All],[Pick]],MATCH(Table3[[#This Row],[PID]],Table5[[#All],[PID]],0))</f>
        <v/>
      </c>
      <c r="BK416" s="45" t="str">
        <f>INDEX(Table5[[#All],[Team]],MATCH(Table3[[#This Row],[PID]],Table5[[#All],[PID]],0))</f>
        <v/>
      </c>
      <c r="BL4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7" spans="1:64" ht="15" customHeight="1" x14ac:dyDescent="0.25">
      <c r="A417" s="40">
        <v>5565</v>
      </c>
      <c r="B417" s="40" t="s">
        <v>415</v>
      </c>
      <c r="C417" s="40" t="s">
        <v>365</v>
      </c>
      <c r="D417" s="40" t="s">
        <v>1977</v>
      </c>
      <c r="E417" s="40">
        <v>21</v>
      </c>
      <c r="F417" s="40" t="s">
        <v>42</v>
      </c>
      <c r="G417" s="40" t="s">
        <v>42</v>
      </c>
      <c r="H417" s="41" t="s">
        <v>647</v>
      </c>
      <c r="I417" s="42" t="s">
        <v>43</v>
      </c>
      <c r="J417" s="40" t="s">
        <v>44</v>
      </c>
      <c r="K417" s="41" t="s">
        <v>43</v>
      </c>
      <c r="L417" s="40">
        <v>2</v>
      </c>
      <c r="M417" s="40">
        <v>1</v>
      </c>
      <c r="N417" s="41">
        <v>2</v>
      </c>
      <c r="O417" s="40">
        <v>3</v>
      </c>
      <c r="P417" s="40">
        <v>1</v>
      </c>
      <c r="Q417" s="41">
        <v>3</v>
      </c>
      <c r="R417" s="40">
        <v>3</v>
      </c>
      <c r="S417" s="40">
        <v>4</v>
      </c>
      <c r="T417" s="40">
        <v>1</v>
      </c>
      <c r="U417" s="40">
        <v>4</v>
      </c>
      <c r="V417" s="40">
        <v>2</v>
      </c>
      <c r="W417" s="40">
        <v>3</v>
      </c>
      <c r="X417" s="40" t="s">
        <v>45</v>
      </c>
      <c r="Y417" s="40" t="s">
        <v>45</v>
      </c>
      <c r="Z417" s="40" t="s">
        <v>45</v>
      </c>
      <c r="AA417" s="40" t="s">
        <v>45</v>
      </c>
      <c r="AB417" s="40">
        <v>2</v>
      </c>
      <c r="AC417" s="40">
        <v>3</v>
      </c>
      <c r="AD417" s="40" t="s">
        <v>45</v>
      </c>
      <c r="AE417" s="40" t="s">
        <v>45</v>
      </c>
      <c r="AF417" s="40">
        <v>3</v>
      </c>
      <c r="AG417" s="40">
        <v>3</v>
      </c>
      <c r="AH417" s="40">
        <v>1</v>
      </c>
      <c r="AI417" s="40">
        <v>3</v>
      </c>
      <c r="AJ417" s="40" t="s">
        <v>45</v>
      </c>
      <c r="AK417" s="40" t="s">
        <v>45</v>
      </c>
      <c r="AL417" s="40" t="s">
        <v>45</v>
      </c>
      <c r="AM417" s="40" t="s">
        <v>45</v>
      </c>
      <c r="AN417" s="40" t="s">
        <v>45</v>
      </c>
      <c r="AO417" s="41" t="s">
        <v>45</v>
      </c>
      <c r="AP417" s="40" t="s">
        <v>349</v>
      </c>
      <c r="AQ417" s="40">
        <v>9</v>
      </c>
      <c r="AR417" s="48" t="s">
        <v>351</v>
      </c>
      <c r="AS417" s="43" t="s">
        <v>45</v>
      </c>
      <c r="AT417" s="43" t="s">
        <v>635</v>
      </c>
      <c r="AU417" s="44">
        <f t="shared" si="50"/>
        <v>-2.2644723474043147</v>
      </c>
      <c r="AV417" s="44">
        <f t="shared" si="51"/>
        <v>-1.3819657061039585</v>
      </c>
      <c r="AW417" s="45">
        <f t="shared" si="52"/>
        <v>6</v>
      </c>
      <c r="AX417" s="45">
        <f t="shared" si="53"/>
        <v>0</v>
      </c>
      <c r="AY417" s="46">
        <f>VLOOKUP(AP417,COND!$A$10:$B$32,2,FALSE)</f>
        <v>1</v>
      </c>
      <c r="AZ417" s="44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21.607791408439965</v>
      </c>
      <c r="BA417" s="47">
        <f>STANDARDIZE(AZ417,AVERAGE($AZ$5:$AZ$557),STDEVP($AZ$5:$AZ$557))</f>
        <v>-0.94887794022643046</v>
      </c>
      <c r="BB417" s="45" t="str">
        <f t="shared" si="54"/>
        <v>SP</v>
      </c>
      <c r="BC417" s="45">
        <f>RANK(Table3[[#This Row],[zScore]],Table3[zScore])</f>
        <v>688</v>
      </c>
      <c r="BD417" s="45"/>
      <c r="BE417" s="45"/>
      <c r="BF417" s="45" t="str">
        <f t="shared" si="55"/>
        <v>Unlikely</v>
      </c>
      <c r="BG417" s="45"/>
      <c r="BH417" s="45" t="str">
        <f>INDEX(Table5[[#All],[Ovr]],MATCH(Table3[[#This Row],[PID]],Table5[[#All],[PID]],0))</f>
        <v/>
      </c>
      <c r="BI417" s="45" t="str">
        <f>INDEX(Table5[[#All],[Rnd]],MATCH(Table3[[#This Row],[PID]],Table5[[#All],[PID]],0))</f>
        <v/>
      </c>
      <c r="BJ417" s="45" t="str">
        <f>INDEX(Table5[[#All],[Pick]],MATCH(Table3[[#This Row],[PID]],Table5[[#All],[PID]],0))</f>
        <v/>
      </c>
      <c r="BK417" s="45" t="str">
        <f>INDEX(Table5[[#All],[Team]],MATCH(Table3[[#This Row],[PID]],Table5[[#All],[PID]],0))</f>
        <v/>
      </c>
      <c r="BL4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18" spans="1:64" ht="15" customHeight="1" x14ac:dyDescent="0.25">
      <c r="A418" s="40">
        <v>7105</v>
      </c>
      <c r="B418" s="40" t="s">
        <v>415</v>
      </c>
      <c r="C418" s="40" t="s">
        <v>445</v>
      </c>
      <c r="D418" s="40" t="s">
        <v>1110</v>
      </c>
      <c r="E418" s="40">
        <v>22</v>
      </c>
      <c r="F418" s="40" t="s">
        <v>42</v>
      </c>
      <c r="G418" s="40" t="s">
        <v>42</v>
      </c>
      <c r="H418" s="41" t="s">
        <v>647</v>
      </c>
      <c r="I418" s="42" t="s">
        <v>43</v>
      </c>
      <c r="J418" s="40" t="s">
        <v>44</v>
      </c>
      <c r="K418" s="41" t="s">
        <v>43</v>
      </c>
      <c r="L418" s="40">
        <v>3</v>
      </c>
      <c r="M418" s="40">
        <v>2</v>
      </c>
      <c r="N418" s="41">
        <v>1</v>
      </c>
      <c r="O418" s="40">
        <v>4</v>
      </c>
      <c r="P418" s="40">
        <v>2</v>
      </c>
      <c r="Q418" s="41">
        <v>2</v>
      </c>
      <c r="R418" s="40">
        <v>4</v>
      </c>
      <c r="S418" s="40">
        <v>5</v>
      </c>
      <c r="T418" s="40">
        <v>1</v>
      </c>
      <c r="U418" s="40">
        <v>4</v>
      </c>
      <c r="V418" s="40">
        <v>3</v>
      </c>
      <c r="W418" s="40">
        <v>5</v>
      </c>
      <c r="X418" s="40">
        <v>3</v>
      </c>
      <c r="Y418" s="40">
        <v>5</v>
      </c>
      <c r="Z418" s="40" t="s">
        <v>45</v>
      </c>
      <c r="AA418" s="40" t="s">
        <v>45</v>
      </c>
      <c r="AB418" s="40" t="s">
        <v>45</v>
      </c>
      <c r="AC418" s="40" t="s">
        <v>45</v>
      </c>
      <c r="AD418" s="40" t="s">
        <v>45</v>
      </c>
      <c r="AE418" s="40" t="s">
        <v>45</v>
      </c>
      <c r="AF418" s="40" t="s">
        <v>45</v>
      </c>
      <c r="AG418" s="40" t="s">
        <v>45</v>
      </c>
      <c r="AH418" s="40" t="s">
        <v>45</v>
      </c>
      <c r="AI418" s="40" t="s">
        <v>45</v>
      </c>
      <c r="AJ418" s="40" t="s">
        <v>45</v>
      </c>
      <c r="AK418" s="40" t="s">
        <v>45</v>
      </c>
      <c r="AL418" s="40" t="s">
        <v>45</v>
      </c>
      <c r="AM418" s="40" t="s">
        <v>45</v>
      </c>
      <c r="AN418" s="40" t="s">
        <v>45</v>
      </c>
      <c r="AO418" s="41" t="s">
        <v>45</v>
      </c>
      <c r="AP418" s="40" t="s">
        <v>57</v>
      </c>
      <c r="AQ418" s="40">
        <v>8</v>
      </c>
      <c r="AR418" s="48" t="s">
        <v>347</v>
      </c>
      <c r="AS418" s="43" t="s">
        <v>45</v>
      </c>
      <c r="AT418" s="43"/>
      <c r="AU418" s="44">
        <f t="shared" si="50"/>
        <v>-2.1166698725191955</v>
      </c>
      <c r="AV418" s="44">
        <f t="shared" si="51"/>
        <v>-1.23416323121884</v>
      </c>
      <c r="AW418" s="45">
        <f t="shared" si="52"/>
        <v>4</v>
      </c>
      <c r="AX418" s="45">
        <f t="shared" si="53"/>
        <v>0</v>
      </c>
      <c r="AY418" s="46">
        <f>VLOOKUP(AP418,COND!$A$10:$B$32,2,FALSE)</f>
        <v>1</v>
      </c>
      <c r="AZ418" s="44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23.593401401119358</v>
      </c>
      <c r="BA418" s="47">
        <f>STANDARDIZE(AZ418,AVERAGE($AZ$5:$AZ$788),STDEVP($AZ$5:$AZ$788))</f>
        <v>-0.95417694293917565</v>
      </c>
      <c r="BB418" s="45" t="str">
        <f t="shared" si="54"/>
        <v>SP</v>
      </c>
      <c r="BC418" s="45">
        <f>RANK(Table3[[#This Row],[zScore]],Table3[zScore])</f>
        <v>689</v>
      </c>
      <c r="BD418" s="45"/>
      <c r="BE418" s="45"/>
      <c r="BF418" s="45" t="str">
        <f t="shared" si="55"/>
        <v>Unlikely</v>
      </c>
      <c r="BG418" s="45"/>
      <c r="BH418" s="64" t="str">
        <f>INDEX(Table5[[#All],[Ovr]],MATCH(Table3[[#This Row],[PID]],Table5[[#All],[PID]],0))</f>
        <v/>
      </c>
      <c r="BI418" s="64" t="str">
        <f>INDEX(Table5[[#All],[Rnd]],MATCH(Table3[[#This Row],[PID]],Table5[[#All],[PID]],0))</f>
        <v/>
      </c>
      <c r="BJ418" s="64" t="str">
        <f>INDEX(Table5[[#All],[Pick]],MATCH(Table3[[#This Row],[PID]],Table5[[#All],[PID]],0))</f>
        <v/>
      </c>
      <c r="BK418" s="64" t="str">
        <f>INDEX(Table5[[#All],[Team]],MATCH(Table3[[#This Row],[PID]],Table5[[#All],[PID]],0))</f>
        <v/>
      </c>
      <c r="BL418" s="64" t="str">
        <f>IF(OR(Table3[[#This Row],[POS]]="SP",Table3[[#This Row],[POS]]="RP",Table3[[#This Row],[POS]]="CL"),"P",INDEX(Batters[[#All],[zScore]],MATCH(Table3[[#This Row],[PID]],Batters[[#All],[PID]],0)))</f>
        <v>P</v>
      </c>
    </row>
    <row r="419" spans="1:64" ht="15" customHeight="1" x14ac:dyDescent="0.25">
      <c r="A419" s="40">
        <v>15961</v>
      </c>
      <c r="B419" s="40" t="s">
        <v>415</v>
      </c>
      <c r="C419" s="40" t="s">
        <v>788</v>
      </c>
      <c r="D419" s="40" t="s">
        <v>2187</v>
      </c>
      <c r="E419" s="40">
        <v>21</v>
      </c>
      <c r="F419" s="40" t="s">
        <v>42</v>
      </c>
      <c r="G419" s="40" t="s">
        <v>42</v>
      </c>
      <c r="H419" s="41" t="s">
        <v>647</v>
      </c>
      <c r="I419" s="42" t="s">
        <v>43</v>
      </c>
      <c r="J419" s="40" t="s">
        <v>43</v>
      </c>
      <c r="K419" s="41" t="s">
        <v>43</v>
      </c>
      <c r="L419" s="40">
        <v>2</v>
      </c>
      <c r="M419" s="40">
        <v>1</v>
      </c>
      <c r="N419" s="41">
        <v>1</v>
      </c>
      <c r="O419" s="40">
        <v>4</v>
      </c>
      <c r="P419" s="40">
        <v>1</v>
      </c>
      <c r="Q419" s="41">
        <v>3</v>
      </c>
      <c r="R419" s="40">
        <v>4</v>
      </c>
      <c r="S419" s="40">
        <v>5</v>
      </c>
      <c r="T419" s="40">
        <v>1</v>
      </c>
      <c r="U419" s="40">
        <v>1</v>
      </c>
      <c r="V419" s="40" t="s">
        <v>45</v>
      </c>
      <c r="W419" s="40" t="s">
        <v>45</v>
      </c>
      <c r="X419" s="40">
        <v>2</v>
      </c>
      <c r="Y419" s="40">
        <v>5</v>
      </c>
      <c r="Z419" s="40" t="s">
        <v>45</v>
      </c>
      <c r="AA419" s="40" t="s">
        <v>45</v>
      </c>
      <c r="AB419" s="40" t="s">
        <v>45</v>
      </c>
      <c r="AC419" s="40" t="s">
        <v>45</v>
      </c>
      <c r="AD419" s="40" t="s">
        <v>45</v>
      </c>
      <c r="AE419" s="40" t="s">
        <v>45</v>
      </c>
      <c r="AF419" s="40" t="s">
        <v>45</v>
      </c>
      <c r="AG419" s="40" t="s">
        <v>45</v>
      </c>
      <c r="AH419" s="40" t="s">
        <v>45</v>
      </c>
      <c r="AI419" s="40" t="s">
        <v>45</v>
      </c>
      <c r="AJ419" s="40" t="s">
        <v>45</v>
      </c>
      <c r="AK419" s="40" t="s">
        <v>45</v>
      </c>
      <c r="AL419" s="40" t="s">
        <v>45</v>
      </c>
      <c r="AM419" s="40" t="s">
        <v>45</v>
      </c>
      <c r="AN419" s="40" t="s">
        <v>45</v>
      </c>
      <c r="AO419" s="41" t="s">
        <v>45</v>
      </c>
      <c r="AP419" s="40" t="s">
        <v>57</v>
      </c>
      <c r="AQ419" s="40">
        <v>2</v>
      </c>
      <c r="AR419" s="48" t="s">
        <v>14</v>
      </c>
      <c r="AS419" s="43" t="s">
        <v>45</v>
      </c>
      <c r="AT419" s="43"/>
      <c r="AU419" s="44">
        <f t="shared" si="50"/>
        <v>-2.5067929134584248</v>
      </c>
      <c r="AV419" s="44">
        <f t="shared" si="51"/>
        <v>-1.1872743815947853</v>
      </c>
      <c r="AW419" s="45">
        <f t="shared" si="52"/>
        <v>3</v>
      </c>
      <c r="AX419" s="45">
        <f t="shared" si="53"/>
        <v>0</v>
      </c>
      <c r="AY419" s="46">
        <f>VLOOKUP(AP419,COND!$A$10:$B$32,2,FALSE)</f>
        <v>1</v>
      </c>
      <c r="AZ419" s="44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23.390496096141977</v>
      </c>
      <c r="BA419" s="47">
        <f>STANDARDIZE(AZ419,AVERAGE($AZ$5:$AZ$788),STDEVP($AZ$5:$AZ$788))</f>
        <v>-0.96885967105748194</v>
      </c>
      <c r="BB419" s="45" t="str">
        <f t="shared" si="54"/>
        <v>RP</v>
      </c>
      <c r="BC419" s="45">
        <f>RANK(Table3[[#This Row],[zScore]],Table3[zScore])</f>
        <v>691</v>
      </c>
      <c r="BD419" s="45"/>
      <c r="BE419" s="45"/>
      <c r="BF419" s="45" t="str">
        <f t="shared" si="55"/>
        <v>Unlikely</v>
      </c>
      <c r="BG419" s="45"/>
      <c r="BH419" s="64" t="str">
        <f>INDEX(Table5[[#All],[Ovr]],MATCH(Table3[[#This Row],[PID]],Table5[[#All],[PID]],0))</f>
        <v/>
      </c>
      <c r="BI419" s="64" t="str">
        <f>INDEX(Table5[[#All],[Rnd]],MATCH(Table3[[#This Row],[PID]],Table5[[#All],[PID]],0))</f>
        <v/>
      </c>
      <c r="BJ419" s="64" t="str">
        <f>INDEX(Table5[[#All],[Pick]],MATCH(Table3[[#This Row],[PID]],Table5[[#All],[PID]],0))</f>
        <v/>
      </c>
      <c r="BK419" s="64" t="str">
        <f>INDEX(Table5[[#All],[Team]],MATCH(Table3[[#This Row],[PID]],Table5[[#All],[PID]],0))</f>
        <v/>
      </c>
      <c r="BL419" s="64" t="str">
        <f>IF(OR(Table3[[#This Row],[POS]]="SP",Table3[[#This Row],[POS]]="RP",Table3[[#This Row],[POS]]="CL"),"P",INDEX(Batters[[#All],[zScore]],MATCH(Table3[[#This Row],[PID]],Batters[[#All],[PID]],0)))</f>
        <v>P</v>
      </c>
    </row>
    <row r="420" spans="1:64" ht="15" customHeight="1" x14ac:dyDescent="0.25">
      <c r="A420" s="40">
        <v>20608</v>
      </c>
      <c r="B420" s="40" t="s">
        <v>415</v>
      </c>
      <c r="C420" s="40" t="s">
        <v>1158</v>
      </c>
      <c r="D420" s="40" t="s">
        <v>2176</v>
      </c>
      <c r="E420" s="40">
        <v>18</v>
      </c>
      <c r="F420" s="40" t="s">
        <v>62</v>
      </c>
      <c r="G420" s="40" t="s">
        <v>42</v>
      </c>
      <c r="H420" s="41" t="s">
        <v>647</v>
      </c>
      <c r="I420" s="42" t="s">
        <v>44</v>
      </c>
      <c r="J420" s="40" t="s">
        <v>47</v>
      </c>
      <c r="K420" s="41" t="s">
        <v>43</v>
      </c>
      <c r="L420" s="40">
        <v>2</v>
      </c>
      <c r="M420" s="40">
        <v>2</v>
      </c>
      <c r="N420" s="41">
        <v>1</v>
      </c>
      <c r="O420" s="40">
        <v>4</v>
      </c>
      <c r="P420" s="40">
        <v>2</v>
      </c>
      <c r="Q420" s="41">
        <v>2</v>
      </c>
      <c r="R420" s="40">
        <v>3</v>
      </c>
      <c r="S420" s="40">
        <v>5</v>
      </c>
      <c r="T420" s="40" t="s">
        <v>45</v>
      </c>
      <c r="U420" s="40" t="s">
        <v>45</v>
      </c>
      <c r="V420" s="40" t="s">
        <v>45</v>
      </c>
      <c r="W420" s="40" t="s">
        <v>45</v>
      </c>
      <c r="X420" s="40" t="s">
        <v>45</v>
      </c>
      <c r="Y420" s="40" t="s">
        <v>45</v>
      </c>
      <c r="Z420" s="40" t="s">
        <v>45</v>
      </c>
      <c r="AA420" s="40" t="s">
        <v>45</v>
      </c>
      <c r="AB420" s="40">
        <v>2</v>
      </c>
      <c r="AC420" s="40">
        <v>5</v>
      </c>
      <c r="AD420" s="40" t="s">
        <v>45</v>
      </c>
      <c r="AE420" s="40" t="s">
        <v>45</v>
      </c>
      <c r="AF420" s="40" t="s">
        <v>45</v>
      </c>
      <c r="AG420" s="40" t="s">
        <v>45</v>
      </c>
      <c r="AH420" s="40" t="s">
        <v>45</v>
      </c>
      <c r="AI420" s="40" t="s">
        <v>45</v>
      </c>
      <c r="AJ420" s="40" t="s">
        <v>45</v>
      </c>
      <c r="AK420" s="40" t="s">
        <v>45</v>
      </c>
      <c r="AL420" s="40" t="s">
        <v>45</v>
      </c>
      <c r="AM420" s="40" t="s">
        <v>45</v>
      </c>
      <c r="AN420" s="40" t="s">
        <v>45</v>
      </c>
      <c r="AO420" s="41" t="s">
        <v>45</v>
      </c>
      <c r="AP420" s="40" t="s">
        <v>68</v>
      </c>
      <c r="AQ420" s="40">
        <v>2</v>
      </c>
      <c r="AR420" s="48" t="s">
        <v>347</v>
      </c>
      <c r="AS420" s="43" t="s">
        <v>644</v>
      </c>
      <c r="AT420" s="43"/>
      <c r="AU420" s="44">
        <f t="shared" si="50"/>
        <v>-2.311361197028369</v>
      </c>
      <c r="AV420" s="44">
        <f t="shared" si="51"/>
        <v>-1.23416323121884</v>
      </c>
      <c r="AW420" s="45">
        <f t="shared" si="52"/>
        <v>2</v>
      </c>
      <c r="AX420" s="45">
        <f t="shared" si="53"/>
        <v>0</v>
      </c>
      <c r="AY420" s="46">
        <f>VLOOKUP(AP420,COND!$A$10:$B$32,2,FALSE)</f>
        <v>0.95</v>
      </c>
      <c r="AZ420" s="44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23.358652980436318</v>
      </c>
      <c r="BA420" s="47">
        <f>STANDARDIZE(AZ420,AVERAGE($AZ$5:$AZ$788),STDEVP($AZ$5:$AZ$788))</f>
        <v>-0.97116391741712282</v>
      </c>
      <c r="BB420" s="45" t="str">
        <f t="shared" si="54"/>
        <v>RP</v>
      </c>
      <c r="BC420" s="45">
        <f>RANK(Table3[[#This Row],[zScore]],Table3[zScore])</f>
        <v>692</v>
      </c>
      <c r="BD420" s="45"/>
      <c r="BE420" s="45"/>
      <c r="BF420" s="45" t="str">
        <f t="shared" si="55"/>
        <v>Unlikely</v>
      </c>
      <c r="BG420" s="45"/>
      <c r="BH420" s="64" t="str">
        <f>INDEX(Table5[[#All],[Ovr]],MATCH(Table3[[#This Row],[PID]],Table5[[#All],[PID]],0))</f>
        <v/>
      </c>
      <c r="BI420" s="64" t="str">
        <f>INDEX(Table5[[#All],[Rnd]],MATCH(Table3[[#This Row],[PID]],Table5[[#All],[PID]],0))</f>
        <v/>
      </c>
      <c r="BJ420" s="64" t="str">
        <f>INDEX(Table5[[#All],[Pick]],MATCH(Table3[[#This Row],[PID]],Table5[[#All],[PID]],0))</f>
        <v/>
      </c>
      <c r="BK420" s="64" t="str">
        <f>INDEX(Table5[[#All],[Team]],MATCH(Table3[[#This Row],[PID]],Table5[[#All],[PID]],0))</f>
        <v/>
      </c>
      <c r="BL420" s="64" t="str">
        <f>IF(OR(Table3[[#This Row],[POS]]="SP",Table3[[#This Row],[POS]]="RP",Table3[[#This Row],[POS]]="CL"),"P",INDEX(Batters[[#All],[zScore]],MATCH(Table3[[#This Row],[PID]],Batters[[#All],[PID]],0)))</f>
        <v>P</v>
      </c>
    </row>
    <row r="421" spans="1:64" ht="15" customHeight="1" x14ac:dyDescent="0.25">
      <c r="A421" s="40">
        <v>21006</v>
      </c>
      <c r="B421" s="40" t="s">
        <v>415</v>
      </c>
      <c r="C421" s="40" t="s">
        <v>537</v>
      </c>
      <c r="D421" s="40" t="s">
        <v>699</v>
      </c>
      <c r="E421" s="40">
        <v>18</v>
      </c>
      <c r="F421" s="40" t="s">
        <v>53</v>
      </c>
      <c r="G421" s="40" t="s">
        <v>53</v>
      </c>
      <c r="H421" s="41" t="s">
        <v>647</v>
      </c>
      <c r="I421" s="42" t="s">
        <v>43</v>
      </c>
      <c r="J421" s="40" t="s">
        <v>44</v>
      </c>
      <c r="K421" s="41" t="s">
        <v>43</v>
      </c>
      <c r="L421" s="40">
        <v>1</v>
      </c>
      <c r="M421" s="40">
        <v>1</v>
      </c>
      <c r="N421" s="41">
        <v>1</v>
      </c>
      <c r="O421" s="40">
        <v>3</v>
      </c>
      <c r="P421" s="40">
        <v>1</v>
      </c>
      <c r="Q421" s="41">
        <v>2</v>
      </c>
      <c r="R421" s="40">
        <v>2</v>
      </c>
      <c r="S421" s="40">
        <v>4</v>
      </c>
      <c r="T421" s="40" t="s">
        <v>45</v>
      </c>
      <c r="U421" s="40" t="s">
        <v>45</v>
      </c>
      <c r="V421" s="40">
        <v>1</v>
      </c>
      <c r="W421" s="40">
        <v>4</v>
      </c>
      <c r="X421" s="40" t="s">
        <v>45</v>
      </c>
      <c r="Y421" s="40" t="s">
        <v>45</v>
      </c>
      <c r="Z421" s="40" t="s">
        <v>45</v>
      </c>
      <c r="AA421" s="40" t="s">
        <v>45</v>
      </c>
      <c r="AB421" s="40" t="s">
        <v>45</v>
      </c>
      <c r="AC421" s="40" t="s">
        <v>45</v>
      </c>
      <c r="AD421" s="40" t="s">
        <v>45</v>
      </c>
      <c r="AE421" s="40" t="s">
        <v>45</v>
      </c>
      <c r="AF421" s="40" t="s">
        <v>45</v>
      </c>
      <c r="AG421" s="40" t="s">
        <v>45</v>
      </c>
      <c r="AH421" s="40">
        <v>1</v>
      </c>
      <c r="AI421" s="40">
        <v>5</v>
      </c>
      <c r="AJ421" s="40" t="s">
        <v>45</v>
      </c>
      <c r="AK421" s="40" t="s">
        <v>45</v>
      </c>
      <c r="AL421" s="40" t="s">
        <v>45</v>
      </c>
      <c r="AM421" s="40" t="s">
        <v>45</v>
      </c>
      <c r="AN421" s="40" t="s">
        <v>45</v>
      </c>
      <c r="AO421" s="41" t="s">
        <v>45</v>
      </c>
      <c r="AP421" s="40" t="s">
        <v>65</v>
      </c>
      <c r="AQ421" s="40">
        <v>2</v>
      </c>
      <c r="AR421" s="48" t="s">
        <v>14</v>
      </c>
      <c r="AS421" s="43" t="s">
        <v>654</v>
      </c>
      <c r="AT421" s="43" t="s">
        <v>635</v>
      </c>
      <c r="AU421" s="44">
        <f t="shared" si="50"/>
        <v>-2.7014842379675978</v>
      </c>
      <c r="AV421" s="44">
        <f t="shared" si="51"/>
        <v>-1.6242862721580691</v>
      </c>
      <c r="AW421" s="45">
        <f t="shared" si="52"/>
        <v>3</v>
      </c>
      <c r="AX421" s="45">
        <f t="shared" si="53"/>
        <v>0</v>
      </c>
      <c r="AY421" s="46">
        <f>VLOOKUP(AP421,COND!$A$10:$B$32,2,FALSE)</f>
        <v>0.95</v>
      </c>
      <c r="AZ421" s="44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21.247764882593703</v>
      </c>
      <c r="BA421" s="47">
        <f>STANDARDIZE(AZ421,AVERAGE($AZ$5:$AZ$557),STDEVP($AZ$5:$AZ$557))</f>
        <v>-0.97282995483126478</v>
      </c>
      <c r="BB421" s="45" t="str">
        <f t="shared" si="54"/>
        <v>RP</v>
      </c>
      <c r="BC421" s="45">
        <f>RANK(Table3[[#This Row],[zScore]],Table3[zScore])</f>
        <v>693</v>
      </c>
      <c r="BD421" s="45"/>
      <c r="BE421" s="45"/>
      <c r="BF421" s="45" t="str">
        <f t="shared" si="55"/>
        <v>Unlikely</v>
      </c>
      <c r="BG421" s="45"/>
      <c r="BH421" s="45" t="str">
        <f>INDEX(Table5[[#All],[Ovr]],MATCH(Table3[[#This Row],[PID]],Table5[[#All],[PID]],0))</f>
        <v/>
      </c>
      <c r="BI421" s="45" t="str">
        <f>INDEX(Table5[[#All],[Rnd]],MATCH(Table3[[#This Row],[PID]],Table5[[#All],[PID]],0))</f>
        <v/>
      </c>
      <c r="BJ421" s="45" t="str">
        <f>INDEX(Table5[[#All],[Pick]],MATCH(Table3[[#This Row],[PID]],Table5[[#All],[PID]],0))</f>
        <v/>
      </c>
      <c r="BK421" s="45" t="str">
        <f>INDEX(Table5[[#All],[Team]],MATCH(Table3[[#This Row],[PID]],Table5[[#All],[PID]],0))</f>
        <v/>
      </c>
      <c r="BL4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2" spans="1:64" ht="15" customHeight="1" x14ac:dyDescent="0.25">
      <c r="A422" s="40">
        <v>7358</v>
      </c>
      <c r="B422" s="40" t="s">
        <v>415</v>
      </c>
      <c r="C422" s="40" t="s">
        <v>145</v>
      </c>
      <c r="D422" s="40" t="s">
        <v>345</v>
      </c>
      <c r="E422" s="40">
        <v>22</v>
      </c>
      <c r="F422" s="40" t="s">
        <v>42</v>
      </c>
      <c r="G422" s="40" t="s">
        <v>42</v>
      </c>
      <c r="H422" s="41" t="s">
        <v>647</v>
      </c>
      <c r="I422" s="42" t="s">
        <v>43</v>
      </c>
      <c r="J422" s="40" t="s">
        <v>43</v>
      </c>
      <c r="K422" s="41" t="s">
        <v>43</v>
      </c>
      <c r="L422" s="40">
        <v>2</v>
      </c>
      <c r="M422" s="40">
        <v>1</v>
      </c>
      <c r="N422" s="41">
        <v>1</v>
      </c>
      <c r="O422" s="40">
        <v>3</v>
      </c>
      <c r="P422" s="40">
        <v>2</v>
      </c>
      <c r="Q422" s="41">
        <v>3</v>
      </c>
      <c r="R422" s="40">
        <v>3</v>
      </c>
      <c r="S422" s="40">
        <v>4</v>
      </c>
      <c r="T422" s="40">
        <v>1</v>
      </c>
      <c r="U422" s="40">
        <v>3</v>
      </c>
      <c r="V422" s="40">
        <v>2</v>
      </c>
      <c r="W422" s="40">
        <v>4</v>
      </c>
      <c r="X422" s="40" t="s">
        <v>45</v>
      </c>
      <c r="Y422" s="40" t="s">
        <v>45</v>
      </c>
      <c r="Z422" s="40" t="s">
        <v>45</v>
      </c>
      <c r="AA422" s="40" t="s">
        <v>45</v>
      </c>
      <c r="AB422" s="40" t="s">
        <v>45</v>
      </c>
      <c r="AC422" s="40" t="s">
        <v>45</v>
      </c>
      <c r="AD422" s="40" t="s">
        <v>45</v>
      </c>
      <c r="AE422" s="40" t="s">
        <v>45</v>
      </c>
      <c r="AF422" s="40" t="s">
        <v>45</v>
      </c>
      <c r="AG422" s="40" t="s">
        <v>45</v>
      </c>
      <c r="AH422" s="40" t="s">
        <v>45</v>
      </c>
      <c r="AI422" s="40" t="s">
        <v>45</v>
      </c>
      <c r="AJ422" s="40" t="s">
        <v>45</v>
      </c>
      <c r="AK422" s="40" t="s">
        <v>45</v>
      </c>
      <c r="AL422" s="40" t="s">
        <v>45</v>
      </c>
      <c r="AM422" s="40" t="s">
        <v>45</v>
      </c>
      <c r="AN422" s="40" t="s">
        <v>45</v>
      </c>
      <c r="AO422" s="41" t="s">
        <v>45</v>
      </c>
      <c r="AP422" s="40" t="s">
        <v>64</v>
      </c>
      <c r="AQ422" s="40">
        <v>4</v>
      </c>
      <c r="AR422" s="48" t="s">
        <v>347</v>
      </c>
      <c r="AS422" s="43" t="s">
        <v>45</v>
      </c>
      <c r="AT422" s="43" t="s">
        <v>47</v>
      </c>
      <c r="AU422" s="44">
        <f t="shared" si="50"/>
        <v>-2.5067929134584248</v>
      </c>
      <c r="AV422" s="44">
        <f t="shared" si="51"/>
        <v>-1.1865339896739031</v>
      </c>
      <c r="AW422" s="45">
        <f t="shared" si="52"/>
        <v>3</v>
      </c>
      <c r="AX422" s="45">
        <f t="shared" si="53"/>
        <v>0</v>
      </c>
      <c r="AY422" s="46">
        <f>VLOOKUP(AP422,COND!$A$10:$B$32,2,FALSE)</f>
        <v>1</v>
      </c>
      <c r="AZ422" s="44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23.404563542638741</v>
      </c>
      <c r="BA422" s="47">
        <f>STANDARDIZE(AZ422,AVERAGE($AZ$5:$AZ$663),STDEVP($AZ$5:$AZ$663))</f>
        <v>-0.98634183615027438</v>
      </c>
      <c r="BB422" s="45" t="str">
        <f t="shared" si="54"/>
        <v>RP</v>
      </c>
      <c r="BC422" s="45">
        <f>RANK(Table3[[#This Row],[zScore]],Table3[zScore])</f>
        <v>694</v>
      </c>
      <c r="BD422" s="45"/>
      <c r="BE422" s="45"/>
      <c r="BF422" s="45" t="str">
        <f t="shared" si="55"/>
        <v>Unlikely</v>
      </c>
      <c r="BG422" s="45"/>
      <c r="BH422" s="45" t="str">
        <f>INDEX(Table5[[#All],[Ovr]],MATCH(Table3[[#This Row],[PID]],Table5[[#All],[PID]],0))</f>
        <v/>
      </c>
      <c r="BI422" s="45" t="str">
        <f>INDEX(Table5[[#All],[Rnd]],MATCH(Table3[[#This Row],[PID]],Table5[[#All],[PID]],0))</f>
        <v/>
      </c>
      <c r="BJ422" s="45" t="str">
        <f>INDEX(Table5[[#All],[Pick]],MATCH(Table3[[#This Row],[PID]],Table5[[#All],[PID]],0))</f>
        <v/>
      </c>
      <c r="BK422" s="45" t="str">
        <f>INDEX(Table5[[#All],[Team]],MATCH(Table3[[#This Row],[PID]],Table5[[#All],[PID]],0))</f>
        <v/>
      </c>
      <c r="BL4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3" spans="1:64" ht="15" customHeight="1" x14ac:dyDescent="0.25">
      <c r="A423" s="40">
        <v>20212</v>
      </c>
      <c r="B423" s="40" t="s">
        <v>415</v>
      </c>
      <c r="C423" s="40" t="s">
        <v>333</v>
      </c>
      <c r="D423" s="40" t="s">
        <v>1927</v>
      </c>
      <c r="E423" s="40">
        <v>22</v>
      </c>
      <c r="F423" s="40" t="s">
        <v>62</v>
      </c>
      <c r="G423" s="40" t="s">
        <v>42</v>
      </c>
      <c r="H423" s="41" t="s">
        <v>647</v>
      </c>
      <c r="I423" s="42" t="s">
        <v>43</v>
      </c>
      <c r="J423" s="40" t="s">
        <v>44</v>
      </c>
      <c r="K423" s="41" t="s">
        <v>47</v>
      </c>
      <c r="L423" s="40">
        <v>3</v>
      </c>
      <c r="M423" s="40">
        <v>1</v>
      </c>
      <c r="N423" s="41">
        <v>2</v>
      </c>
      <c r="O423" s="40">
        <v>3</v>
      </c>
      <c r="P423" s="40">
        <v>1</v>
      </c>
      <c r="Q423" s="41">
        <v>3</v>
      </c>
      <c r="R423" s="40">
        <v>4</v>
      </c>
      <c r="S423" s="40">
        <v>5</v>
      </c>
      <c r="T423" s="40">
        <v>2</v>
      </c>
      <c r="U423" s="40">
        <v>4</v>
      </c>
      <c r="V423" s="40">
        <v>3</v>
      </c>
      <c r="W423" s="40">
        <v>4</v>
      </c>
      <c r="X423" s="40" t="s">
        <v>45</v>
      </c>
      <c r="Y423" s="40" t="s">
        <v>45</v>
      </c>
      <c r="Z423" s="40" t="s">
        <v>45</v>
      </c>
      <c r="AA423" s="40" t="s">
        <v>45</v>
      </c>
      <c r="AB423" s="40">
        <v>3</v>
      </c>
      <c r="AC423" s="40">
        <v>3</v>
      </c>
      <c r="AD423" s="40" t="s">
        <v>45</v>
      </c>
      <c r="AE423" s="40" t="s">
        <v>45</v>
      </c>
      <c r="AF423" s="40" t="s">
        <v>45</v>
      </c>
      <c r="AG423" s="40" t="s">
        <v>45</v>
      </c>
      <c r="AH423" s="40" t="s">
        <v>45</v>
      </c>
      <c r="AI423" s="40" t="s">
        <v>45</v>
      </c>
      <c r="AJ423" s="40" t="s">
        <v>45</v>
      </c>
      <c r="AK423" s="40" t="s">
        <v>45</v>
      </c>
      <c r="AL423" s="40" t="s">
        <v>45</v>
      </c>
      <c r="AM423" s="40" t="s">
        <v>45</v>
      </c>
      <c r="AN423" s="40" t="s">
        <v>45</v>
      </c>
      <c r="AO423" s="41" t="s">
        <v>45</v>
      </c>
      <c r="AP423" s="40" t="s">
        <v>350</v>
      </c>
      <c r="AQ423" s="40">
        <v>8</v>
      </c>
      <c r="AR423" s="48" t="s">
        <v>14</v>
      </c>
      <c r="AS423" s="43" t="s">
        <v>45</v>
      </c>
      <c r="AT423" s="43" t="s">
        <v>635</v>
      </c>
      <c r="AU423" s="44">
        <f t="shared" si="50"/>
        <v>-2.0697810228951408</v>
      </c>
      <c r="AV423" s="44">
        <f t="shared" si="51"/>
        <v>-1.3819657061039585</v>
      </c>
      <c r="AW423" s="45">
        <f t="shared" si="52"/>
        <v>4</v>
      </c>
      <c r="AX423" s="45">
        <f t="shared" si="53"/>
        <v>0</v>
      </c>
      <c r="AY423" s="46">
        <f>VLOOKUP(AP423,COND!$A$10:$B$32,2,FALSE)</f>
        <v>1</v>
      </c>
      <c r="AZ423" s="44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20.9467296733418</v>
      </c>
      <c r="BA423" s="47">
        <f>STANDARDIZE(AZ423,AVERAGE($AZ$5:$AZ$557),STDEVP($AZ$5:$AZ$557))</f>
        <v>-0.99285736728822882</v>
      </c>
      <c r="BB423" s="45" t="str">
        <f t="shared" si="54"/>
        <v>SP</v>
      </c>
      <c r="BC423" s="45">
        <f>RANK(Table3[[#This Row],[zScore]],Table3[zScore])</f>
        <v>695</v>
      </c>
      <c r="BD423" s="45"/>
      <c r="BE423" s="45"/>
      <c r="BF423" s="45" t="str">
        <f t="shared" si="55"/>
        <v>Unlikely</v>
      </c>
      <c r="BG423" s="45"/>
      <c r="BH423" s="45" t="str">
        <f>INDEX(Table5[[#All],[Ovr]],MATCH(Table3[[#This Row],[PID]],Table5[[#All],[PID]],0))</f>
        <v/>
      </c>
      <c r="BI423" s="45" t="str">
        <f>INDEX(Table5[[#All],[Rnd]],MATCH(Table3[[#This Row],[PID]],Table5[[#All],[PID]],0))</f>
        <v/>
      </c>
      <c r="BJ423" s="45" t="str">
        <f>INDEX(Table5[[#All],[Pick]],MATCH(Table3[[#This Row],[PID]],Table5[[#All],[PID]],0))</f>
        <v/>
      </c>
      <c r="BK423" s="45" t="str">
        <f>INDEX(Table5[[#All],[Team]],MATCH(Table3[[#This Row],[PID]],Table5[[#All],[PID]],0))</f>
        <v/>
      </c>
      <c r="BL4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4" spans="1:64" ht="15" customHeight="1" x14ac:dyDescent="0.25">
      <c r="A424" s="40">
        <v>16897</v>
      </c>
      <c r="B424" s="40" t="s">
        <v>415</v>
      </c>
      <c r="C424" s="40" t="s">
        <v>136</v>
      </c>
      <c r="D424" s="40" t="s">
        <v>1923</v>
      </c>
      <c r="E424" s="40">
        <v>21</v>
      </c>
      <c r="F424" s="40" t="s">
        <v>42</v>
      </c>
      <c r="G424" s="40" t="s">
        <v>42</v>
      </c>
      <c r="H424" s="41" t="s">
        <v>647</v>
      </c>
      <c r="I424" s="42" t="s">
        <v>43</v>
      </c>
      <c r="J424" s="40" t="s">
        <v>47</v>
      </c>
      <c r="K424" s="41" t="s">
        <v>43</v>
      </c>
      <c r="L424" s="40">
        <v>1</v>
      </c>
      <c r="M424" s="40">
        <v>2</v>
      </c>
      <c r="N424" s="41">
        <v>2</v>
      </c>
      <c r="O424" s="40">
        <v>2</v>
      </c>
      <c r="P424" s="40">
        <v>2</v>
      </c>
      <c r="Q424" s="41">
        <v>3</v>
      </c>
      <c r="R424" s="40">
        <v>2</v>
      </c>
      <c r="S424" s="40">
        <v>3</v>
      </c>
      <c r="T424" s="40" t="s">
        <v>45</v>
      </c>
      <c r="U424" s="40" t="s">
        <v>45</v>
      </c>
      <c r="V424" s="40">
        <v>1</v>
      </c>
      <c r="W424" s="40">
        <v>3</v>
      </c>
      <c r="X424" s="40" t="s">
        <v>45</v>
      </c>
      <c r="Y424" s="40" t="s">
        <v>45</v>
      </c>
      <c r="Z424" s="40" t="s">
        <v>45</v>
      </c>
      <c r="AA424" s="40" t="s">
        <v>45</v>
      </c>
      <c r="AB424" s="40">
        <v>2</v>
      </c>
      <c r="AC424" s="40">
        <v>3</v>
      </c>
      <c r="AD424" s="40">
        <v>2</v>
      </c>
      <c r="AE424" s="40">
        <v>3</v>
      </c>
      <c r="AF424" s="40" t="s">
        <v>45</v>
      </c>
      <c r="AG424" s="40" t="s">
        <v>45</v>
      </c>
      <c r="AH424" s="40" t="s">
        <v>45</v>
      </c>
      <c r="AI424" s="40" t="s">
        <v>45</v>
      </c>
      <c r="AJ424" s="40" t="s">
        <v>45</v>
      </c>
      <c r="AK424" s="40" t="s">
        <v>45</v>
      </c>
      <c r="AL424" s="40" t="s">
        <v>45</v>
      </c>
      <c r="AM424" s="40" t="s">
        <v>45</v>
      </c>
      <c r="AN424" s="40" t="s">
        <v>45</v>
      </c>
      <c r="AO424" s="41" t="s">
        <v>45</v>
      </c>
      <c r="AP424" s="40" t="s">
        <v>65</v>
      </c>
      <c r="AQ424" s="40">
        <v>6</v>
      </c>
      <c r="AR424" s="48" t="s">
        <v>347</v>
      </c>
      <c r="AS424" s="43" t="s">
        <v>1176</v>
      </c>
      <c r="AT424" s="43" t="s">
        <v>635</v>
      </c>
      <c r="AU424" s="44">
        <f t="shared" si="50"/>
        <v>-2.2637319554834323</v>
      </c>
      <c r="AV424" s="44">
        <f t="shared" si="51"/>
        <v>-1.3812253141830766</v>
      </c>
      <c r="AW424" s="45">
        <f t="shared" si="52"/>
        <v>4</v>
      </c>
      <c r="AX424" s="45">
        <f t="shared" si="53"/>
        <v>0</v>
      </c>
      <c r="AY424" s="46">
        <f>VLOOKUP(AP424,COND!$A$10:$B$32,2,FALSE)</f>
        <v>0.95</v>
      </c>
      <c r="AZ424" s="44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23.145944710005203</v>
      </c>
      <c r="BA424" s="47">
        <f>STANDARDIZE(AZ424,AVERAGE($AZ$5:$AZ$663),STDEVP($AZ$5:$AZ$663))</f>
        <v>-1.0040571500926305</v>
      </c>
      <c r="BB424" s="45" t="str">
        <f t="shared" si="54"/>
        <v>SP</v>
      </c>
      <c r="BC424" s="45">
        <f>RANK(Table3[[#This Row],[zScore]],Table3[zScore])</f>
        <v>697</v>
      </c>
      <c r="BD424" s="45"/>
      <c r="BE424" s="45"/>
      <c r="BF424" s="45" t="str">
        <f t="shared" si="55"/>
        <v>Unlikely</v>
      </c>
      <c r="BG424" s="45"/>
      <c r="BH424" s="45" t="str">
        <f>INDEX(Table5[[#All],[Ovr]],MATCH(Table3[[#This Row],[PID]],Table5[[#All],[PID]],0))</f>
        <v/>
      </c>
      <c r="BI424" s="45" t="str">
        <f>INDEX(Table5[[#All],[Rnd]],MATCH(Table3[[#This Row],[PID]],Table5[[#All],[PID]],0))</f>
        <v/>
      </c>
      <c r="BJ424" s="45" t="str">
        <f>INDEX(Table5[[#All],[Pick]],MATCH(Table3[[#This Row],[PID]],Table5[[#All],[PID]],0))</f>
        <v/>
      </c>
      <c r="BK424" s="45" t="str">
        <f>INDEX(Table5[[#All],[Team]],MATCH(Table3[[#This Row],[PID]],Table5[[#All],[PID]],0))</f>
        <v/>
      </c>
      <c r="BL4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5" spans="1:64" ht="15" customHeight="1" x14ac:dyDescent="0.25">
      <c r="A425" s="40">
        <v>11781</v>
      </c>
      <c r="B425" s="40" t="s">
        <v>415</v>
      </c>
      <c r="C425" s="40" t="s">
        <v>700</v>
      </c>
      <c r="D425" s="40" t="s">
        <v>696</v>
      </c>
      <c r="E425" s="40">
        <v>22</v>
      </c>
      <c r="F425" s="40" t="s">
        <v>53</v>
      </c>
      <c r="G425" s="40" t="s">
        <v>42</v>
      </c>
      <c r="H425" s="41" t="s">
        <v>647</v>
      </c>
      <c r="I425" s="42" t="s">
        <v>43</v>
      </c>
      <c r="J425" s="40" t="s">
        <v>44</v>
      </c>
      <c r="K425" s="41" t="s">
        <v>43</v>
      </c>
      <c r="L425" s="40">
        <v>2</v>
      </c>
      <c r="M425" s="40">
        <v>1</v>
      </c>
      <c r="N425" s="41">
        <v>3</v>
      </c>
      <c r="O425" s="40">
        <v>3</v>
      </c>
      <c r="P425" s="40">
        <v>1</v>
      </c>
      <c r="Q425" s="41">
        <v>3</v>
      </c>
      <c r="R425" s="40">
        <v>4</v>
      </c>
      <c r="S425" s="40">
        <v>4</v>
      </c>
      <c r="T425" s="40" t="s">
        <v>45</v>
      </c>
      <c r="U425" s="40" t="s">
        <v>45</v>
      </c>
      <c r="V425" s="40" t="s">
        <v>45</v>
      </c>
      <c r="W425" s="40" t="s">
        <v>45</v>
      </c>
      <c r="X425" s="40">
        <v>3</v>
      </c>
      <c r="Y425" s="40">
        <v>4</v>
      </c>
      <c r="Z425" s="40" t="s">
        <v>45</v>
      </c>
      <c r="AA425" s="40" t="s">
        <v>45</v>
      </c>
      <c r="AB425" s="40" t="s">
        <v>45</v>
      </c>
      <c r="AC425" s="40" t="s">
        <v>45</v>
      </c>
      <c r="AD425" s="40" t="s">
        <v>45</v>
      </c>
      <c r="AE425" s="40" t="s">
        <v>45</v>
      </c>
      <c r="AF425" s="40" t="s">
        <v>45</v>
      </c>
      <c r="AG425" s="40" t="s">
        <v>45</v>
      </c>
      <c r="AH425" s="40">
        <v>2</v>
      </c>
      <c r="AI425" s="40">
        <v>4</v>
      </c>
      <c r="AJ425" s="40" t="s">
        <v>45</v>
      </c>
      <c r="AK425" s="40" t="s">
        <v>45</v>
      </c>
      <c r="AL425" s="40" t="s">
        <v>45</v>
      </c>
      <c r="AM425" s="40" t="s">
        <v>45</v>
      </c>
      <c r="AN425" s="40" t="s">
        <v>45</v>
      </c>
      <c r="AO425" s="41" t="s">
        <v>45</v>
      </c>
      <c r="AP425" s="40" t="s">
        <v>57</v>
      </c>
      <c r="AQ425" s="40">
        <v>6</v>
      </c>
      <c r="AR425" s="48" t="s">
        <v>14</v>
      </c>
      <c r="AS425" s="43" t="s">
        <v>45</v>
      </c>
      <c r="AT425" s="43" t="s">
        <v>47</v>
      </c>
      <c r="AU425" s="44">
        <f t="shared" si="50"/>
        <v>-2.0221517813502041</v>
      </c>
      <c r="AV425" s="44">
        <f t="shared" si="51"/>
        <v>-1.3819657061039585</v>
      </c>
      <c r="AW425" s="45">
        <f t="shared" si="52"/>
        <v>3</v>
      </c>
      <c r="AX425" s="45">
        <f t="shared" si="53"/>
        <v>0</v>
      </c>
      <c r="AY425" s="46">
        <f>VLOOKUP(AP425,COND!$A$10:$B$32,2,FALSE)</f>
        <v>1</v>
      </c>
      <c r="AZ425" s="44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20.819849133609519</v>
      </c>
      <c r="BA425" s="47">
        <f>STANDARDIZE(AZ425,AVERAGE($AZ$5:$AZ$557),STDEVP($AZ$5:$AZ$557))</f>
        <v>-1.0012985357093429</v>
      </c>
      <c r="BB425" s="45" t="str">
        <f t="shared" si="54"/>
        <v>SP</v>
      </c>
      <c r="BC425" s="45">
        <f>RANK(Table3[[#This Row],[zScore]],Table3[zScore])</f>
        <v>696</v>
      </c>
      <c r="BD425" s="45"/>
      <c r="BE425" s="45"/>
      <c r="BF425" s="45" t="str">
        <f t="shared" si="55"/>
        <v>Unlikely</v>
      </c>
      <c r="BG425" s="45"/>
      <c r="BH425" s="45" t="str">
        <f>INDEX(Table5[[#All],[Ovr]],MATCH(Table3[[#This Row],[PID]],Table5[[#All],[PID]],0))</f>
        <v/>
      </c>
      <c r="BI425" s="45" t="str">
        <f>INDEX(Table5[[#All],[Rnd]],MATCH(Table3[[#This Row],[PID]],Table5[[#All],[PID]],0))</f>
        <v/>
      </c>
      <c r="BJ425" s="45" t="str">
        <f>INDEX(Table5[[#All],[Pick]],MATCH(Table3[[#This Row],[PID]],Table5[[#All],[PID]],0))</f>
        <v/>
      </c>
      <c r="BK425" s="45" t="str">
        <f>INDEX(Table5[[#All],[Team]],MATCH(Table3[[#This Row],[PID]],Table5[[#All],[PID]],0))</f>
        <v/>
      </c>
      <c r="BL4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6" spans="1:64" ht="15" customHeight="1" x14ac:dyDescent="0.25">
      <c r="A426" s="40">
        <v>20980</v>
      </c>
      <c r="B426" s="40" t="s">
        <v>415</v>
      </c>
      <c r="C426" s="40" t="s">
        <v>417</v>
      </c>
      <c r="D426" s="40" t="s">
        <v>181</v>
      </c>
      <c r="E426" s="40">
        <v>17</v>
      </c>
      <c r="F426" s="40" t="s">
        <v>53</v>
      </c>
      <c r="G426" s="40" t="s">
        <v>53</v>
      </c>
      <c r="H426" s="41" t="s">
        <v>647</v>
      </c>
      <c r="I426" s="42" t="s">
        <v>43</v>
      </c>
      <c r="J426" s="40" t="s">
        <v>44</v>
      </c>
      <c r="K426" s="41" t="s">
        <v>43</v>
      </c>
      <c r="L426" s="40">
        <v>1</v>
      </c>
      <c r="M426" s="40">
        <v>1</v>
      </c>
      <c r="N426" s="41">
        <v>1</v>
      </c>
      <c r="O426" s="40">
        <v>4</v>
      </c>
      <c r="P426" s="40">
        <v>2</v>
      </c>
      <c r="Q426" s="41">
        <v>2</v>
      </c>
      <c r="R426" s="40">
        <v>2</v>
      </c>
      <c r="S426" s="40">
        <v>4</v>
      </c>
      <c r="T426" s="40" t="s">
        <v>45</v>
      </c>
      <c r="U426" s="40" t="s">
        <v>45</v>
      </c>
      <c r="V426" s="40" t="s">
        <v>45</v>
      </c>
      <c r="W426" s="40" t="s">
        <v>45</v>
      </c>
      <c r="X426" s="40">
        <v>2</v>
      </c>
      <c r="Y426" s="40">
        <v>5</v>
      </c>
      <c r="Z426" s="40" t="s">
        <v>45</v>
      </c>
      <c r="AA426" s="40" t="s">
        <v>45</v>
      </c>
      <c r="AB426" s="40" t="s">
        <v>45</v>
      </c>
      <c r="AC426" s="40" t="s">
        <v>45</v>
      </c>
      <c r="AD426" s="40" t="s">
        <v>45</v>
      </c>
      <c r="AE426" s="40" t="s">
        <v>45</v>
      </c>
      <c r="AF426" s="40" t="s">
        <v>45</v>
      </c>
      <c r="AG426" s="40" t="s">
        <v>45</v>
      </c>
      <c r="AH426" s="40" t="s">
        <v>45</v>
      </c>
      <c r="AI426" s="40" t="s">
        <v>45</v>
      </c>
      <c r="AJ426" s="40" t="s">
        <v>45</v>
      </c>
      <c r="AK426" s="40" t="s">
        <v>45</v>
      </c>
      <c r="AL426" s="40" t="s">
        <v>45</v>
      </c>
      <c r="AM426" s="40" t="s">
        <v>45</v>
      </c>
      <c r="AN426" s="40" t="s">
        <v>45</v>
      </c>
      <c r="AO426" s="41" t="s">
        <v>45</v>
      </c>
      <c r="AP426" s="40" t="s">
        <v>68</v>
      </c>
      <c r="AQ426" s="40">
        <v>2</v>
      </c>
      <c r="AR426" s="48" t="s">
        <v>14</v>
      </c>
      <c r="AS426" s="43" t="s">
        <v>654</v>
      </c>
      <c r="AT426" s="43"/>
      <c r="AU426" s="44">
        <f t="shared" si="50"/>
        <v>-2.7014842379675978</v>
      </c>
      <c r="AV426" s="44">
        <f t="shared" si="51"/>
        <v>-1.23416323121884</v>
      </c>
      <c r="AW426" s="45">
        <f t="shared" si="52"/>
        <v>2</v>
      </c>
      <c r="AX426" s="45">
        <f t="shared" si="53"/>
        <v>0</v>
      </c>
      <c r="AY426" s="46">
        <f>VLOOKUP(AP426,COND!$A$10:$B$32,2,FALSE)</f>
        <v>0.95</v>
      </c>
      <c r="AZ426" s="44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22.838235771546788</v>
      </c>
      <c r="BA426" s="47">
        <f>STANDARDIZE(AZ426,AVERAGE($AZ$5:$AZ$788),STDEVP($AZ$5:$AZ$788))</f>
        <v>-1.0088225897079461</v>
      </c>
      <c r="BB426" s="45" t="str">
        <f t="shared" si="54"/>
        <v>RP</v>
      </c>
      <c r="BC426" s="45">
        <f>RANK(Table3[[#This Row],[zScore]],Table3[zScore])</f>
        <v>699</v>
      </c>
      <c r="BD426" s="45"/>
      <c r="BE426" s="45"/>
      <c r="BF426" s="45" t="str">
        <f t="shared" si="55"/>
        <v>Unlikely</v>
      </c>
      <c r="BG426" s="45"/>
      <c r="BH426" s="64" t="str">
        <f>INDEX(Table5[[#All],[Ovr]],MATCH(Table3[[#This Row],[PID]],Table5[[#All],[PID]],0))</f>
        <v/>
      </c>
      <c r="BI426" s="64" t="str">
        <f>INDEX(Table5[[#All],[Rnd]],MATCH(Table3[[#This Row],[PID]],Table5[[#All],[PID]],0))</f>
        <v/>
      </c>
      <c r="BJ426" s="64" t="str">
        <f>INDEX(Table5[[#All],[Pick]],MATCH(Table3[[#This Row],[PID]],Table5[[#All],[PID]],0))</f>
        <v/>
      </c>
      <c r="BK426" s="64" t="str">
        <f>INDEX(Table5[[#All],[Team]],MATCH(Table3[[#This Row],[PID]],Table5[[#All],[PID]],0))</f>
        <v/>
      </c>
      <c r="BL426" s="64" t="str">
        <f>IF(OR(Table3[[#This Row],[POS]]="SP",Table3[[#This Row],[POS]]="RP",Table3[[#This Row],[POS]]="CL"),"P",INDEX(Batters[[#All],[zScore]],MATCH(Table3[[#This Row],[PID]],Batters[[#All],[PID]],0)))</f>
        <v>P</v>
      </c>
    </row>
    <row r="427" spans="1:64" ht="15" customHeight="1" x14ac:dyDescent="0.25">
      <c r="A427" s="40">
        <v>10548</v>
      </c>
      <c r="B427" s="40" t="s">
        <v>415</v>
      </c>
      <c r="C427" s="40" t="s">
        <v>169</v>
      </c>
      <c r="D427" s="40" t="s">
        <v>855</v>
      </c>
      <c r="E427" s="40">
        <v>22</v>
      </c>
      <c r="F427" s="40" t="s">
        <v>42</v>
      </c>
      <c r="G427" s="40" t="s">
        <v>42</v>
      </c>
      <c r="H427" s="41" t="s">
        <v>647</v>
      </c>
      <c r="I427" s="42" t="s">
        <v>44</v>
      </c>
      <c r="J427" s="40" t="s">
        <v>44</v>
      </c>
      <c r="K427" s="41" t="s">
        <v>44</v>
      </c>
      <c r="L427" s="40">
        <v>3</v>
      </c>
      <c r="M427" s="40">
        <v>1</v>
      </c>
      <c r="N427" s="41">
        <v>1</v>
      </c>
      <c r="O427" s="40">
        <v>4</v>
      </c>
      <c r="P427" s="40">
        <v>1</v>
      </c>
      <c r="Q427" s="41">
        <v>2</v>
      </c>
      <c r="R427" s="40">
        <v>4</v>
      </c>
      <c r="S427" s="40">
        <v>5</v>
      </c>
      <c r="T427" s="40" t="s">
        <v>45</v>
      </c>
      <c r="U427" s="40" t="s">
        <v>45</v>
      </c>
      <c r="V427" s="40" t="s">
        <v>45</v>
      </c>
      <c r="W427" s="40" t="s">
        <v>45</v>
      </c>
      <c r="X427" s="40">
        <v>3</v>
      </c>
      <c r="Y427" s="40">
        <v>5</v>
      </c>
      <c r="Z427" s="40" t="s">
        <v>45</v>
      </c>
      <c r="AA427" s="40" t="s">
        <v>45</v>
      </c>
      <c r="AB427" s="40" t="s">
        <v>45</v>
      </c>
      <c r="AC427" s="40" t="s">
        <v>45</v>
      </c>
      <c r="AD427" s="40" t="s">
        <v>45</v>
      </c>
      <c r="AE427" s="40" t="s">
        <v>45</v>
      </c>
      <c r="AF427" s="40" t="s">
        <v>45</v>
      </c>
      <c r="AG427" s="40" t="s">
        <v>45</v>
      </c>
      <c r="AH427" s="40">
        <v>3</v>
      </c>
      <c r="AI427" s="40">
        <v>6</v>
      </c>
      <c r="AJ427" s="40" t="s">
        <v>45</v>
      </c>
      <c r="AK427" s="40" t="s">
        <v>45</v>
      </c>
      <c r="AL427" s="40" t="s">
        <v>45</v>
      </c>
      <c r="AM427" s="40" t="s">
        <v>45</v>
      </c>
      <c r="AN427" s="40" t="s">
        <v>45</v>
      </c>
      <c r="AO427" s="41" t="s">
        <v>45</v>
      </c>
      <c r="AP427" s="40" t="s">
        <v>350</v>
      </c>
      <c r="AQ427" s="40">
        <v>6</v>
      </c>
      <c r="AR427" s="48" t="s">
        <v>351</v>
      </c>
      <c r="AS427" s="43" t="s">
        <v>45</v>
      </c>
      <c r="AT427" s="43" t="s">
        <v>47</v>
      </c>
      <c r="AU427" s="44">
        <f t="shared" si="50"/>
        <v>-2.3121015889492513</v>
      </c>
      <c r="AV427" s="44">
        <f t="shared" si="51"/>
        <v>-1.4295949476488956</v>
      </c>
      <c r="AW427" s="45">
        <f t="shared" si="52"/>
        <v>3</v>
      </c>
      <c r="AX427" s="45">
        <f t="shared" si="53"/>
        <v>1</v>
      </c>
      <c r="AY427" s="46">
        <f>VLOOKUP(AP427,COND!$A$10:$B$32,2,FALSE)</f>
        <v>1</v>
      </c>
      <c r="AZ427" s="44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20.603288711001433</v>
      </c>
      <c r="BA427" s="47">
        <f>STANDARDIZE(AZ427,AVERAGE($AZ$5:$AZ$557),STDEVP($AZ$5:$AZ$557))</f>
        <v>-1.0157059696975621</v>
      </c>
      <c r="BB427" s="45" t="str">
        <f t="shared" si="54"/>
        <v>SP</v>
      </c>
      <c r="BC427" s="45">
        <f>RANK(Table3[[#This Row],[zScore]],Table3[zScore])</f>
        <v>700</v>
      </c>
      <c r="BD427" s="45"/>
      <c r="BE427" s="45"/>
      <c r="BF427" s="45" t="str">
        <f t="shared" si="55"/>
        <v>Unlikely</v>
      </c>
      <c r="BG427" s="45"/>
      <c r="BH427" s="45" t="str">
        <f>INDEX(Table5[[#All],[Ovr]],MATCH(Table3[[#This Row],[PID]],Table5[[#All],[PID]],0))</f>
        <v/>
      </c>
      <c r="BI427" s="45" t="str">
        <f>INDEX(Table5[[#All],[Rnd]],MATCH(Table3[[#This Row],[PID]],Table5[[#All],[PID]],0))</f>
        <v/>
      </c>
      <c r="BJ427" s="45" t="str">
        <f>INDEX(Table5[[#All],[Pick]],MATCH(Table3[[#This Row],[PID]],Table5[[#All],[PID]],0))</f>
        <v/>
      </c>
      <c r="BK427" s="45" t="str">
        <f>INDEX(Table5[[#All],[Team]],MATCH(Table3[[#This Row],[PID]],Table5[[#All],[PID]],0))</f>
        <v/>
      </c>
      <c r="BL4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8" spans="1:64" ht="15" customHeight="1" x14ac:dyDescent="0.25">
      <c r="A428" s="40">
        <v>13070</v>
      </c>
      <c r="B428" s="40" t="s">
        <v>415</v>
      </c>
      <c r="C428" s="40" t="s">
        <v>916</v>
      </c>
      <c r="D428" s="40" t="s">
        <v>1034</v>
      </c>
      <c r="E428" s="40">
        <v>21</v>
      </c>
      <c r="F428" s="40" t="s">
        <v>42</v>
      </c>
      <c r="G428" s="40" t="s">
        <v>42</v>
      </c>
      <c r="H428" s="41" t="s">
        <v>647</v>
      </c>
      <c r="I428" s="42" t="s">
        <v>43</v>
      </c>
      <c r="J428" s="40" t="s">
        <v>43</v>
      </c>
      <c r="K428" s="41" t="s">
        <v>44</v>
      </c>
      <c r="L428" s="40">
        <v>3</v>
      </c>
      <c r="M428" s="40">
        <v>2</v>
      </c>
      <c r="N428" s="41">
        <v>1</v>
      </c>
      <c r="O428" s="40">
        <v>5</v>
      </c>
      <c r="P428" s="40">
        <v>2</v>
      </c>
      <c r="Q428" s="41">
        <v>2</v>
      </c>
      <c r="R428" s="40">
        <v>4</v>
      </c>
      <c r="S428" s="40">
        <v>6</v>
      </c>
      <c r="T428" s="40" t="s">
        <v>45</v>
      </c>
      <c r="U428" s="40" t="s">
        <v>45</v>
      </c>
      <c r="V428" s="40" t="s">
        <v>45</v>
      </c>
      <c r="W428" s="40" t="s">
        <v>45</v>
      </c>
      <c r="X428" s="40">
        <v>4</v>
      </c>
      <c r="Y428" s="40">
        <v>6</v>
      </c>
      <c r="Z428" s="40" t="s">
        <v>45</v>
      </c>
      <c r="AA428" s="40" t="s">
        <v>45</v>
      </c>
      <c r="AB428" s="40" t="s">
        <v>45</v>
      </c>
      <c r="AC428" s="40" t="s">
        <v>45</v>
      </c>
      <c r="AD428" s="40" t="s">
        <v>45</v>
      </c>
      <c r="AE428" s="40" t="s">
        <v>45</v>
      </c>
      <c r="AF428" s="40" t="s">
        <v>45</v>
      </c>
      <c r="AG428" s="40" t="s">
        <v>45</v>
      </c>
      <c r="AH428" s="40" t="s">
        <v>45</v>
      </c>
      <c r="AI428" s="40" t="s">
        <v>45</v>
      </c>
      <c r="AJ428" s="40" t="s">
        <v>45</v>
      </c>
      <c r="AK428" s="40" t="s">
        <v>45</v>
      </c>
      <c r="AL428" s="40" t="s">
        <v>45</v>
      </c>
      <c r="AM428" s="40" t="s">
        <v>45</v>
      </c>
      <c r="AN428" s="40" t="s">
        <v>45</v>
      </c>
      <c r="AO428" s="41" t="s">
        <v>45</v>
      </c>
      <c r="AP428" s="40" t="s">
        <v>349</v>
      </c>
      <c r="AQ428" s="40">
        <v>4</v>
      </c>
      <c r="AR428" s="48" t="s">
        <v>347</v>
      </c>
      <c r="AS428" s="43" t="s">
        <v>45</v>
      </c>
      <c r="AT428" s="43" t="s">
        <v>47</v>
      </c>
      <c r="AU428" s="44">
        <f t="shared" si="50"/>
        <v>-2.1166698725191955</v>
      </c>
      <c r="AV428" s="44">
        <f t="shared" si="51"/>
        <v>-1.0394719067096667</v>
      </c>
      <c r="AW428" s="45">
        <f t="shared" si="52"/>
        <v>2</v>
      </c>
      <c r="AX428" s="45">
        <f t="shared" si="53"/>
        <v>2</v>
      </c>
      <c r="AY428" s="46">
        <f>VLOOKUP(AP428,COND!$A$10:$B$32,2,FALSE)</f>
        <v>1</v>
      </c>
      <c r="AZ428" s="44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22.872866496737686</v>
      </c>
      <c r="BA428" s="47">
        <f>STANDARDIZE(AZ428,AVERAGE($AZ$5:$AZ$663),STDEVP($AZ$5:$AZ$663))</f>
        <v>-1.0227629273540519</v>
      </c>
      <c r="BB428" s="45" t="str">
        <f t="shared" si="54"/>
        <v>RP</v>
      </c>
      <c r="BC428" s="45">
        <f>RANK(Table3[[#This Row],[zScore]],Table3[zScore])</f>
        <v>702</v>
      </c>
      <c r="BD428" s="45"/>
      <c r="BE428" s="45"/>
      <c r="BF428" s="45" t="str">
        <f t="shared" si="55"/>
        <v>Unlikely</v>
      </c>
      <c r="BG428" s="45"/>
      <c r="BH428" s="45" t="str">
        <f>INDEX(Table5[[#All],[Ovr]],MATCH(Table3[[#This Row],[PID]],Table5[[#All],[PID]],0))</f>
        <v/>
      </c>
      <c r="BI428" s="45" t="str">
        <f>INDEX(Table5[[#All],[Rnd]],MATCH(Table3[[#This Row],[PID]],Table5[[#All],[PID]],0))</f>
        <v/>
      </c>
      <c r="BJ428" s="45" t="str">
        <f>INDEX(Table5[[#All],[Pick]],MATCH(Table3[[#This Row],[PID]],Table5[[#All],[PID]],0))</f>
        <v/>
      </c>
      <c r="BK428" s="45" t="str">
        <f>INDEX(Table5[[#All],[Team]],MATCH(Table3[[#This Row],[PID]],Table5[[#All],[PID]],0))</f>
        <v/>
      </c>
      <c r="BL4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29" spans="1:64" ht="15" customHeight="1" x14ac:dyDescent="0.25">
      <c r="A429" s="40">
        <v>16715</v>
      </c>
      <c r="B429" s="40" t="s">
        <v>415</v>
      </c>
      <c r="C429" s="40" t="s">
        <v>1088</v>
      </c>
      <c r="D429" s="40" t="s">
        <v>1089</v>
      </c>
      <c r="E429" s="40">
        <v>22</v>
      </c>
      <c r="F429" s="40" t="s">
        <v>62</v>
      </c>
      <c r="G429" s="40" t="s">
        <v>42</v>
      </c>
      <c r="H429" s="41" t="s">
        <v>647</v>
      </c>
      <c r="I429" s="42" t="s">
        <v>44</v>
      </c>
      <c r="J429" s="40" t="s">
        <v>43</v>
      </c>
      <c r="K429" s="41" t="s">
        <v>43</v>
      </c>
      <c r="L429" s="40">
        <v>2</v>
      </c>
      <c r="M429" s="40">
        <v>2</v>
      </c>
      <c r="N429" s="41">
        <v>1</v>
      </c>
      <c r="O429" s="40">
        <v>4</v>
      </c>
      <c r="P429" s="40">
        <v>2</v>
      </c>
      <c r="Q429" s="41">
        <v>3</v>
      </c>
      <c r="R429" s="40">
        <v>3</v>
      </c>
      <c r="S429" s="40">
        <v>5</v>
      </c>
      <c r="T429" s="40" t="s">
        <v>45</v>
      </c>
      <c r="U429" s="40" t="s">
        <v>45</v>
      </c>
      <c r="V429" s="40">
        <v>2</v>
      </c>
      <c r="W429" s="40">
        <v>5</v>
      </c>
      <c r="X429" s="40" t="s">
        <v>45</v>
      </c>
      <c r="Y429" s="40" t="s">
        <v>45</v>
      </c>
      <c r="Z429" s="40" t="s">
        <v>45</v>
      </c>
      <c r="AA429" s="40" t="s">
        <v>45</v>
      </c>
      <c r="AB429" s="40" t="s">
        <v>45</v>
      </c>
      <c r="AC429" s="40" t="s">
        <v>45</v>
      </c>
      <c r="AD429" s="40" t="s">
        <v>45</v>
      </c>
      <c r="AE429" s="40" t="s">
        <v>45</v>
      </c>
      <c r="AF429" s="40" t="s">
        <v>45</v>
      </c>
      <c r="AG429" s="40" t="s">
        <v>45</v>
      </c>
      <c r="AH429" s="40" t="s">
        <v>45</v>
      </c>
      <c r="AI429" s="40" t="s">
        <v>45</v>
      </c>
      <c r="AJ429" s="40" t="s">
        <v>45</v>
      </c>
      <c r="AK429" s="40" t="s">
        <v>45</v>
      </c>
      <c r="AL429" s="40" t="s">
        <v>45</v>
      </c>
      <c r="AM429" s="40" t="s">
        <v>45</v>
      </c>
      <c r="AN429" s="40" t="s">
        <v>45</v>
      </c>
      <c r="AO429" s="41" t="s">
        <v>45</v>
      </c>
      <c r="AP429" s="40" t="s">
        <v>349</v>
      </c>
      <c r="AQ429" s="40">
        <v>8</v>
      </c>
      <c r="AR429" s="48" t="s">
        <v>347</v>
      </c>
      <c r="AS429" s="43" t="s">
        <v>45</v>
      </c>
      <c r="AT429" s="43" t="s">
        <v>635</v>
      </c>
      <c r="AU429" s="44">
        <f t="shared" si="50"/>
        <v>-2.311361197028369</v>
      </c>
      <c r="AV429" s="44">
        <f t="shared" si="51"/>
        <v>-0.99184266516472974</v>
      </c>
      <c r="AW429" s="45">
        <f t="shared" si="52"/>
        <v>2</v>
      </c>
      <c r="AX429" s="45">
        <f t="shared" si="53"/>
        <v>0</v>
      </c>
      <c r="AY429" s="46">
        <f>VLOOKUP(AP429,COND!$A$10:$B$32,2,FALSE)</f>
        <v>1</v>
      </c>
      <c r="AZ429" s="44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20.550874457299727</v>
      </c>
      <c r="BA429" s="47">
        <f>STANDARDIZE(AZ429,AVERAGE($AZ$5:$AZ$557),STDEVP($AZ$5:$AZ$557))</f>
        <v>-1.0191930099016522</v>
      </c>
      <c r="BB429" s="45" t="str">
        <f t="shared" si="54"/>
        <v>RP</v>
      </c>
      <c r="BC429" s="45">
        <f>RANK(Table3[[#This Row],[zScore]],Table3[zScore])</f>
        <v>701</v>
      </c>
      <c r="BD429" s="45"/>
      <c r="BE429" s="45"/>
      <c r="BF429" s="45" t="str">
        <f t="shared" si="55"/>
        <v>Unlikely</v>
      </c>
      <c r="BG429" s="45"/>
      <c r="BH429" s="45" t="str">
        <f>INDEX(Table5[[#All],[Ovr]],MATCH(Table3[[#This Row],[PID]],Table5[[#All],[PID]],0))</f>
        <v/>
      </c>
      <c r="BI429" s="45" t="str">
        <f>INDEX(Table5[[#All],[Rnd]],MATCH(Table3[[#This Row],[PID]],Table5[[#All],[PID]],0))</f>
        <v/>
      </c>
      <c r="BJ429" s="45" t="str">
        <f>INDEX(Table5[[#All],[Pick]],MATCH(Table3[[#This Row],[PID]],Table5[[#All],[PID]],0))</f>
        <v/>
      </c>
      <c r="BK429" s="45" t="str">
        <f>INDEX(Table5[[#All],[Team]],MATCH(Table3[[#This Row],[PID]],Table5[[#All],[PID]],0))</f>
        <v/>
      </c>
      <c r="BL4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0" spans="1:64" ht="15" customHeight="1" x14ac:dyDescent="0.25">
      <c r="A430" s="40">
        <v>14903</v>
      </c>
      <c r="B430" s="40" t="s">
        <v>415</v>
      </c>
      <c r="C430" s="40" t="s">
        <v>1150</v>
      </c>
      <c r="D430" s="40" t="s">
        <v>1151</v>
      </c>
      <c r="E430" s="40">
        <v>22</v>
      </c>
      <c r="F430" s="40" t="s">
        <v>42</v>
      </c>
      <c r="G430" s="40" t="s">
        <v>42</v>
      </c>
      <c r="H430" s="41" t="s">
        <v>647</v>
      </c>
      <c r="I430" s="42" t="s">
        <v>44</v>
      </c>
      <c r="J430" s="40" t="s">
        <v>43</v>
      </c>
      <c r="K430" s="41" t="s">
        <v>44</v>
      </c>
      <c r="L430" s="40">
        <v>1</v>
      </c>
      <c r="M430" s="40">
        <v>2</v>
      </c>
      <c r="N430" s="41">
        <v>1</v>
      </c>
      <c r="O430" s="40">
        <v>2</v>
      </c>
      <c r="P430" s="40">
        <v>2</v>
      </c>
      <c r="Q430" s="41">
        <v>3</v>
      </c>
      <c r="R430" s="40">
        <v>2</v>
      </c>
      <c r="S430" s="40">
        <v>3</v>
      </c>
      <c r="T430" s="40">
        <v>1</v>
      </c>
      <c r="U430" s="40">
        <v>2</v>
      </c>
      <c r="V430" s="40">
        <v>2</v>
      </c>
      <c r="W430" s="40">
        <v>4</v>
      </c>
      <c r="X430" s="40" t="s">
        <v>45</v>
      </c>
      <c r="Y430" s="40" t="s">
        <v>45</v>
      </c>
      <c r="Z430" s="40" t="s">
        <v>45</v>
      </c>
      <c r="AA430" s="40" t="s">
        <v>45</v>
      </c>
      <c r="AB430" s="40" t="s">
        <v>45</v>
      </c>
      <c r="AC430" s="40" t="s">
        <v>45</v>
      </c>
      <c r="AD430" s="40" t="s">
        <v>45</v>
      </c>
      <c r="AE430" s="40" t="s">
        <v>45</v>
      </c>
      <c r="AF430" s="40" t="s">
        <v>45</v>
      </c>
      <c r="AG430" s="40" t="s">
        <v>45</v>
      </c>
      <c r="AH430" s="40" t="s">
        <v>45</v>
      </c>
      <c r="AI430" s="40" t="s">
        <v>45</v>
      </c>
      <c r="AJ430" s="40" t="s">
        <v>45</v>
      </c>
      <c r="AK430" s="40" t="s">
        <v>45</v>
      </c>
      <c r="AL430" s="40" t="s">
        <v>45</v>
      </c>
      <c r="AM430" s="40" t="s">
        <v>45</v>
      </c>
      <c r="AN430" s="40" t="s">
        <v>45</v>
      </c>
      <c r="AO430" s="41" t="s">
        <v>45</v>
      </c>
      <c r="AP430" s="40" t="s">
        <v>70</v>
      </c>
      <c r="AQ430" s="40">
        <v>7</v>
      </c>
      <c r="AR430" s="48" t="s">
        <v>347</v>
      </c>
      <c r="AS430" s="43" t="s">
        <v>45</v>
      </c>
      <c r="AT430" s="43"/>
      <c r="AU430" s="44">
        <f t="shared" si="50"/>
        <v>-2.5060525215375429</v>
      </c>
      <c r="AV430" s="44">
        <f t="shared" si="51"/>
        <v>-1.3812253141830766</v>
      </c>
      <c r="AW430" s="45">
        <f t="shared" si="52"/>
        <v>3</v>
      </c>
      <c r="AX430" s="45">
        <f t="shared" si="53"/>
        <v>0</v>
      </c>
      <c r="AY430" s="46">
        <f>VLOOKUP(AP430,COND!$A$10:$B$32,2,FALSE)</f>
        <v>0.9</v>
      </c>
      <c r="AZ430" s="44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22.586854890827865</v>
      </c>
      <c r="BA430" s="47">
        <f>STANDARDIZE(AZ430,AVERAGE($AZ$5:$AZ$788),STDEVP($AZ$5:$AZ$788))</f>
        <v>-1.0270131300003638</v>
      </c>
      <c r="BB430" s="45" t="str">
        <f t="shared" si="54"/>
        <v>SP</v>
      </c>
      <c r="BC430" s="45">
        <f>RANK(Table3[[#This Row],[zScore]],Table3[zScore])</f>
        <v>703</v>
      </c>
      <c r="BD430" s="45"/>
      <c r="BE430" s="45"/>
      <c r="BF430" s="45" t="str">
        <f t="shared" si="55"/>
        <v>Unlikely</v>
      </c>
      <c r="BG430" s="45"/>
      <c r="BH430" s="64" t="str">
        <f>INDEX(Table5[[#All],[Ovr]],MATCH(Table3[[#This Row],[PID]],Table5[[#All],[PID]],0))</f>
        <v/>
      </c>
      <c r="BI430" s="64" t="str">
        <f>INDEX(Table5[[#All],[Rnd]],MATCH(Table3[[#This Row],[PID]],Table5[[#All],[PID]],0))</f>
        <v/>
      </c>
      <c r="BJ430" s="64" t="str">
        <f>INDEX(Table5[[#All],[Pick]],MATCH(Table3[[#This Row],[PID]],Table5[[#All],[PID]],0))</f>
        <v/>
      </c>
      <c r="BK430" s="64" t="str">
        <f>INDEX(Table5[[#All],[Team]],MATCH(Table3[[#This Row],[PID]],Table5[[#All],[PID]],0))</f>
        <v/>
      </c>
      <c r="BL430" s="64" t="str">
        <f>IF(OR(Table3[[#This Row],[POS]]="SP",Table3[[#This Row],[POS]]="RP",Table3[[#This Row],[POS]]="CL"),"P",INDEX(Batters[[#All],[zScore]],MATCH(Table3[[#This Row],[PID]],Batters[[#All],[PID]],0)))</f>
        <v>P</v>
      </c>
    </row>
    <row r="431" spans="1:64" ht="15" customHeight="1" x14ac:dyDescent="0.25">
      <c r="A431" s="40">
        <v>17984</v>
      </c>
      <c r="B431" s="40" t="s">
        <v>415</v>
      </c>
      <c r="C431" s="40" t="s">
        <v>645</v>
      </c>
      <c r="D431" s="40" t="s">
        <v>913</v>
      </c>
      <c r="E431" s="40">
        <v>21</v>
      </c>
      <c r="F431" s="40" t="s">
        <v>62</v>
      </c>
      <c r="G431" s="40" t="s">
        <v>42</v>
      </c>
      <c r="H431" s="41" t="s">
        <v>647</v>
      </c>
      <c r="I431" s="42" t="s">
        <v>44</v>
      </c>
      <c r="J431" s="40" t="s">
        <v>44</v>
      </c>
      <c r="K431" s="41" t="s">
        <v>43</v>
      </c>
      <c r="L431" s="40">
        <v>2</v>
      </c>
      <c r="M431" s="40">
        <v>2</v>
      </c>
      <c r="N431" s="41">
        <v>1</v>
      </c>
      <c r="O431" s="40">
        <v>5</v>
      </c>
      <c r="P431" s="40">
        <v>2</v>
      </c>
      <c r="Q431" s="41">
        <v>2</v>
      </c>
      <c r="R431" s="40">
        <v>5</v>
      </c>
      <c r="S431" s="40">
        <v>7</v>
      </c>
      <c r="T431" s="40" t="s">
        <v>45</v>
      </c>
      <c r="U431" s="40" t="s">
        <v>45</v>
      </c>
      <c r="V431" s="40">
        <v>2</v>
      </c>
      <c r="W431" s="40">
        <v>6</v>
      </c>
      <c r="X431" s="40" t="s">
        <v>45</v>
      </c>
      <c r="Y431" s="40" t="s">
        <v>45</v>
      </c>
      <c r="Z431" s="40" t="s">
        <v>45</v>
      </c>
      <c r="AA431" s="40" t="s">
        <v>45</v>
      </c>
      <c r="AB431" s="40" t="s">
        <v>45</v>
      </c>
      <c r="AC431" s="40" t="s">
        <v>45</v>
      </c>
      <c r="AD431" s="40" t="s">
        <v>45</v>
      </c>
      <c r="AE431" s="40" t="s">
        <v>45</v>
      </c>
      <c r="AF431" s="40" t="s">
        <v>45</v>
      </c>
      <c r="AG431" s="40" t="s">
        <v>45</v>
      </c>
      <c r="AH431" s="40" t="s">
        <v>45</v>
      </c>
      <c r="AI431" s="40" t="s">
        <v>45</v>
      </c>
      <c r="AJ431" s="40" t="s">
        <v>45</v>
      </c>
      <c r="AK431" s="40" t="s">
        <v>45</v>
      </c>
      <c r="AL431" s="40" t="s">
        <v>45</v>
      </c>
      <c r="AM431" s="40" t="s">
        <v>45</v>
      </c>
      <c r="AN431" s="40" t="s">
        <v>45</v>
      </c>
      <c r="AO431" s="41" t="s">
        <v>45</v>
      </c>
      <c r="AP431" s="40" t="s">
        <v>56</v>
      </c>
      <c r="AQ431" s="40">
        <v>3</v>
      </c>
      <c r="AR431" s="48" t="s">
        <v>347</v>
      </c>
      <c r="AS431" s="43" t="s">
        <v>45</v>
      </c>
      <c r="AT431" s="43" t="s">
        <v>47</v>
      </c>
      <c r="AU431" s="44">
        <f t="shared" si="50"/>
        <v>-2.311361197028369</v>
      </c>
      <c r="AV431" s="44">
        <f t="shared" si="51"/>
        <v>-1.0394719067096667</v>
      </c>
      <c r="AW431" s="45">
        <f t="shared" si="52"/>
        <v>2</v>
      </c>
      <c r="AX431" s="45">
        <f t="shared" si="53"/>
        <v>2</v>
      </c>
      <c r="AY431" s="46">
        <f>VLOOKUP(AP431,COND!$A$10:$B$32,2,FALSE)</f>
        <v>1</v>
      </c>
      <c r="AZ431" s="44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22.685875145080942</v>
      </c>
      <c r="BA431" s="47">
        <f>STANDARDIZE(AZ431,AVERAGE($AZ$5:$AZ$663),STDEVP($AZ$5:$AZ$663))</f>
        <v>-1.0355717799243467</v>
      </c>
      <c r="BB431" s="45" t="str">
        <f t="shared" si="54"/>
        <v>RP</v>
      </c>
      <c r="BC431" s="45">
        <f>RANK(Table3[[#This Row],[zScore]],Table3[zScore])</f>
        <v>705</v>
      </c>
      <c r="BD431" s="45"/>
      <c r="BE431" s="45"/>
      <c r="BF431" s="45" t="str">
        <f t="shared" si="55"/>
        <v>Unlikely</v>
      </c>
      <c r="BG431" s="45"/>
      <c r="BH431" s="45" t="str">
        <f>INDEX(Table5[[#All],[Ovr]],MATCH(Table3[[#This Row],[PID]],Table5[[#All],[PID]],0))</f>
        <v/>
      </c>
      <c r="BI431" s="45" t="str">
        <f>INDEX(Table5[[#All],[Rnd]],MATCH(Table3[[#This Row],[PID]],Table5[[#All],[PID]],0))</f>
        <v/>
      </c>
      <c r="BJ431" s="45" t="str">
        <f>INDEX(Table5[[#All],[Pick]],MATCH(Table3[[#This Row],[PID]],Table5[[#All],[PID]],0))</f>
        <v/>
      </c>
      <c r="BK431" s="45" t="str">
        <f>INDEX(Table5[[#All],[Team]],MATCH(Table3[[#This Row],[PID]],Table5[[#All],[PID]],0))</f>
        <v/>
      </c>
      <c r="BL4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2" spans="1:64" ht="15" customHeight="1" x14ac:dyDescent="0.25">
      <c r="A432" s="40">
        <v>13922</v>
      </c>
      <c r="B432" s="40" t="s">
        <v>415</v>
      </c>
      <c r="C432" s="40" t="s">
        <v>641</v>
      </c>
      <c r="D432" s="40" t="s">
        <v>752</v>
      </c>
      <c r="E432" s="40">
        <v>21</v>
      </c>
      <c r="F432" s="40" t="s">
        <v>42</v>
      </c>
      <c r="G432" s="40" t="s">
        <v>42</v>
      </c>
      <c r="H432" s="41" t="s">
        <v>647</v>
      </c>
      <c r="I432" s="42" t="s">
        <v>43</v>
      </c>
      <c r="J432" s="40" t="s">
        <v>44</v>
      </c>
      <c r="K432" s="41" t="s">
        <v>43</v>
      </c>
      <c r="L432" s="40">
        <v>2</v>
      </c>
      <c r="M432" s="40">
        <v>1</v>
      </c>
      <c r="N432" s="41">
        <v>1</v>
      </c>
      <c r="O432" s="40">
        <v>4</v>
      </c>
      <c r="P432" s="40">
        <v>1</v>
      </c>
      <c r="Q432" s="41">
        <v>2</v>
      </c>
      <c r="R432" s="40">
        <v>3</v>
      </c>
      <c r="S432" s="40">
        <v>4</v>
      </c>
      <c r="T432" s="40">
        <v>1</v>
      </c>
      <c r="U432" s="40">
        <v>1</v>
      </c>
      <c r="V432" s="40">
        <v>2</v>
      </c>
      <c r="W432" s="40">
        <v>6</v>
      </c>
      <c r="X432" s="40" t="s">
        <v>45</v>
      </c>
      <c r="Y432" s="40" t="s">
        <v>45</v>
      </c>
      <c r="Z432" s="40" t="s">
        <v>45</v>
      </c>
      <c r="AA432" s="40" t="s">
        <v>45</v>
      </c>
      <c r="AB432" s="40" t="s">
        <v>45</v>
      </c>
      <c r="AC432" s="40" t="s">
        <v>45</v>
      </c>
      <c r="AD432" s="40" t="s">
        <v>45</v>
      </c>
      <c r="AE432" s="40" t="s">
        <v>45</v>
      </c>
      <c r="AF432" s="40" t="s">
        <v>45</v>
      </c>
      <c r="AG432" s="40" t="s">
        <v>45</v>
      </c>
      <c r="AH432" s="40" t="s">
        <v>45</v>
      </c>
      <c r="AI432" s="40" t="s">
        <v>45</v>
      </c>
      <c r="AJ432" s="40" t="s">
        <v>45</v>
      </c>
      <c r="AK432" s="40" t="s">
        <v>45</v>
      </c>
      <c r="AL432" s="40" t="s">
        <v>45</v>
      </c>
      <c r="AM432" s="40" t="s">
        <v>45</v>
      </c>
      <c r="AN432" s="40" t="s">
        <v>45</v>
      </c>
      <c r="AO432" s="41" t="s">
        <v>45</v>
      </c>
      <c r="AP432" s="40" t="s">
        <v>64</v>
      </c>
      <c r="AQ432" s="40">
        <v>8</v>
      </c>
      <c r="AR432" s="48" t="s">
        <v>347</v>
      </c>
      <c r="AS432" s="43" t="s">
        <v>45</v>
      </c>
      <c r="AT432" s="43" t="s">
        <v>47</v>
      </c>
      <c r="AU432" s="44">
        <f t="shared" si="50"/>
        <v>-2.5067929134584248</v>
      </c>
      <c r="AV432" s="44">
        <f t="shared" si="51"/>
        <v>-1.4295949476488956</v>
      </c>
      <c r="AW432" s="45">
        <f t="shared" si="52"/>
        <v>3</v>
      </c>
      <c r="AX432" s="45">
        <f t="shared" si="53"/>
        <v>1</v>
      </c>
      <c r="AY432" s="46">
        <f>VLOOKUP(AP432,COND!$A$10:$B$32,2,FALSE)</f>
        <v>1</v>
      </c>
      <c r="AZ432" s="44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20.356742464330399</v>
      </c>
      <c r="BA432" s="47">
        <f>STANDARDIZE(AZ432,AVERAGE($AZ$5:$AZ$557),STDEVP($AZ$5:$AZ$557))</f>
        <v>-1.0321083147390866</v>
      </c>
      <c r="BB432" s="45" t="str">
        <f t="shared" si="54"/>
        <v>SP</v>
      </c>
      <c r="BC432" s="45">
        <f>RANK(Table3[[#This Row],[zScore]],Table3[zScore])</f>
        <v>704</v>
      </c>
      <c r="BD432" s="45"/>
      <c r="BE432" s="45"/>
      <c r="BF432" s="45" t="str">
        <f t="shared" si="55"/>
        <v>Unlikely</v>
      </c>
      <c r="BG432" s="45"/>
      <c r="BH432" s="45" t="str">
        <f>INDEX(Table5[[#All],[Ovr]],MATCH(Table3[[#This Row],[PID]],Table5[[#All],[PID]],0))</f>
        <v/>
      </c>
      <c r="BI432" s="45" t="str">
        <f>INDEX(Table5[[#All],[Rnd]],MATCH(Table3[[#This Row],[PID]],Table5[[#All],[PID]],0))</f>
        <v/>
      </c>
      <c r="BJ432" s="45" t="str">
        <f>INDEX(Table5[[#All],[Pick]],MATCH(Table3[[#This Row],[PID]],Table5[[#All],[PID]],0))</f>
        <v/>
      </c>
      <c r="BK432" s="45" t="str">
        <f>INDEX(Table5[[#All],[Team]],MATCH(Table3[[#This Row],[PID]],Table5[[#All],[PID]],0))</f>
        <v/>
      </c>
      <c r="BL4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3" spans="1:64" ht="15" customHeight="1" x14ac:dyDescent="0.25">
      <c r="A433" s="40">
        <v>20811</v>
      </c>
      <c r="B433" s="40" t="s">
        <v>415</v>
      </c>
      <c r="C433" s="40" t="s">
        <v>824</v>
      </c>
      <c r="D433" s="40" t="s">
        <v>156</v>
      </c>
      <c r="E433" s="40">
        <v>18</v>
      </c>
      <c r="F433" s="40" t="s">
        <v>62</v>
      </c>
      <c r="G433" s="40" t="s">
        <v>42</v>
      </c>
      <c r="H433" s="41" t="s">
        <v>647</v>
      </c>
      <c r="I433" s="42" t="s">
        <v>44</v>
      </c>
      <c r="J433" s="40" t="s">
        <v>44</v>
      </c>
      <c r="K433" s="41" t="s">
        <v>43</v>
      </c>
      <c r="L433" s="40">
        <v>1</v>
      </c>
      <c r="M433" s="40">
        <v>2</v>
      </c>
      <c r="N433" s="41">
        <v>1</v>
      </c>
      <c r="O433" s="40">
        <v>3</v>
      </c>
      <c r="P433" s="40">
        <v>2</v>
      </c>
      <c r="Q433" s="41">
        <v>1</v>
      </c>
      <c r="R433" s="40">
        <v>2</v>
      </c>
      <c r="S433" s="40">
        <v>4</v>
      </c>
      <c r="T433" s="40">
        <v>1</v>
      </c>
      <c r="U433" s="40">
        <v>1</v>
      </c>
      <c r="V433" s="40" t="s">
        <v>45</v>
      </c>
      <c r="W433" s="40" t="s">
        <v>45</v>
      </c>
      <c r="X433" s="40" t="s">
        <v>45</v>
      </c>
      <c r="Y433" s="40" t="s">
        <v>45</v>
      </c>
      <c r="Z433" s="40" t="s">
        <v>45</v>
      </c>
      <c r="AA433" s="40" t="s">
        <v>45</v>
      </c>
      <c r="AB433" s="40" t="s">
        <v>45</v>
      </c>
      <c r="AC433" s="40" t="s">
        <v>45</v>
      </c>
      <c r="AD433" s="40">
        <v>2</v>
      </c>
      <c r="AE433" s="40">
        <v>4</v>
      </c>
      <c r="AF433" s="40" t="s">
        <v>45</v>
      </c>
      <c r="AG433" s="40" t="s">
        <v>45</v>
      </c>
      <c r="AH433" s="40" t="s">
        <v>45</v>
      </c>
      <c r="AI433" s="40" t="s">
        <v>45</v>
      </c>
      <c r="AJ433" s="40" t="s">
        <v>45</v>
      </c>
      <c r="AK433" s="40" t="s">
        <v>45</v>
      </c>
      <c r="AL433" s="40" t="s">
        <v>45</v>
      </c>
      <c r="AM433" s="40" t="s">
        <v>45</v>
      </c>
      <c r="AN433" s="40" t="s">
        <v>45</v>
      </c>
      <c r="AO433" s="41" t="s">
        <v>45</v>
      </c>
      <c r="AP433" s="40" t="s">
        <v>68</v>
      </c>
      <c r="AQ433" s="40">
        <v>1</v>
      </c>
      <c r="AR433" s="48" t="s">
        <v>347</v>
      </c>
      <c r="AS433" s="43" t="s">
        <v>556</v>
      </c>
      <c r="AT433" s="43" t="s">
        <v>635</v>
      </c>
      <c r="AU433" s="44">
        <f t="shared" si="50"/>
        <v>-2.5060525215375429</v>
      </c>
      <c r="AV433" s="44">
        <f t="shared" si="51"/>
        <v>-1.6711751217821238</v>
      </c>
      <c r="AW433" s="45">
        <f t="shared" si="52"/>
        <v>3</v>
      </c>
      <c r="AX433" s="45">
        <f t="shared" si="53"/>
        <v>0</v>
      </c>
      <c r="AY433" s="46">
        <f>VLOOKUP(AP433,COND!$A$10:$B$32,2,FALSE)</f>
        <v>0.95</v>
      </c>
      <c r="AZ433" s="44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20.286696571695138</v>
      </c>
      <c r="BA433" s="47">
        <f>STANDARDIZE(AZ433,AVERAGE($AZ$5:$AZ$557),STDEVP($AZ$5:$AZ$557))</f>
        <v>-1.0367683609383624</v>
      </c>
      <c r="BB433" s="45" t="str">
        <f t="shared" si="54"/>
        <v>RP</v>
      </c>
      <c r="BC433" s="45">
        <f>RANK(Table3[[#This Row],[zScore]],Table3[zScore])</f>
        <v>706</v>
      </c>
      <c r="BD433" s="45"/>
      <c r="BE433" s="45"/>
      <c r="BF433" s="45" t="str">
        <f t="shared" si="55"/>
        <v>Unlikely</v>
      </c>
      <c r="BG433" s="45"/>
      <c r="BH433" s="45" t="str">
        <f>INDEX(Table5[[#All],[Ovr]],MATCH(Table3[[#This Row],[PID]],Table5[[#All],[PID]],0))</f>
        <v/>
      </c>
      <c r="BI433" s="45" t="str">
        <f>INDEX(Table5[[#All],[Rnd]],MATCH(Table3[[#This Row],[PID]],Table5[[#All],[PID]],0))</f>
        <v/>
      </c>
      <c r="BJ433" s="45" t="str">
        <f>INDEX(Table5[[#All],[Pick]],MATCH(Table3[[#This Row],[PID]],Table5[[#All],[PID]],0))</f>
        <v/>
      </c>
      <c r="BK433" s="45" t="str">
        <f>INDEX(Table5[[#All],[Team]],MATCH(Table3[[#This Row],[PID]],Table5[[#All],[PID]],0))</f>
        <v/>
      </c>
      <c r="BL4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4" spans="1:64" ht="15" customHeight="1" x14ac:dyDescent="0.25">
      <c r="A434" s="40">
        <v>20933</v>
      </c>
      <c r="B434" s="40" t="s">
        <v>415</v>
      </c>
      <c r="C434" s="40" t="s">
        <v>384</v>
      </c>
      <c r="D434" s="40" t="s">
        <v>1707</v>
      </c>
      <c r="E434" s="40">
        <v>18</v>
      </c>
      <c r="F434" s="40" t="s">
        <v>53</v>
      </c>
      <c r="G434" s="40" t="s">
        <v>53</v>
      </c>
      <c r="H434" s="41" t="s">
        <v>647</v>
      </c>
      <c r="I434" s="42" t="s">
        <v>47</v>
      </c>
      <c r="J434" s="40" t="s">
        <v>43</v>
      </c>
      <c r="K434" s="41" t="s">
        <v>43</v>
      </c>
      <c r="L434" s="40">
        <v>1</v>
      </c>
      <c r="M434" s="40">
        <v>1</v>
      </c>
      <c r="N434" s="41">
        <v>1</v>
      </c>
      <c r="O434" s="40">
        <v>5</v>
      </c>
      <c r="P434" s="40">
        <v>1</v>
      </c>
      <c r="Q434" s="41">
        <v>1</v>
      </c>
      <c r="R434" s="40">
        <v>3</v>
      </c>
      <c r="S434" s="40">
        <v>5</v>
      </c>
      <c r="T434" s="40">
        <v>2</v>
      </c>
      <c r="U434" s="40">
        <v>7</v>
      </c>
      <c r="V434" s="40" t="s">
        <v>45</v>
      </c>
      <c r="W434" s="40" t="s">
        <v>45</v>
      </c>
      <c r="X434" s="40" t="s">
        <v>45</v>
      </c>
      <c r="Y434" s="40" t="s">
        <v>45</v>
      </c>
      <c r="Z434" s="40" t="s">
        <v>45</v>
      </c>
      <c r="AA434" s="40" t="s">
        <v>45</v>
      </c>
      <c r="AB434" s="40" t="s">
        <v>45</v>
      </c>
      <c r="AC434" s="40" t="s">
        <v>45</v>
      </c>
      <c r="AD434" s="40" t="s">
        <v>45</v>
      </c>
      <c r="AE434" s="40" t="s">
        <v>45</v>
      </c>
      <c r="AF434" s="40" t="s">
        <v>45</v>
      </c>
      <c r="AG434" s="40" t="s">
        <v>45</v>
      </c>
      <c r="AH434" s="40" t="s">
        <v>45</v>
      </c>
      <c r="AI434" s="40" t="s">
        <v>45</v>
      </c>
      <c r="AJ434" s="40" t="s">
        <v>45</v>
      </c>
      <c r="AK434" s="40" t="s">
        <v>45</v>
      </c>
      <c r="AL434" s="40" t="s">
        <v>45</v>
      </c>
      <c r="AM434" s="40" t="s">
        <v>45</v>
      </c>
      <c r="AN434" s="40" t="s">
        <v>45</v>
      </c>
      <c r="AO434" s="41" t="s">
        <v>45</v>
      </c>
      <c r="AP434" s="40" t="s">
        <v>65</v>
      </c>
      <c r="AQ434" s="40">
        <v>3</v>
      </c>
      <c r="AR434" s="48" t="s">
        <v>14</v>
      </c>
      <c r="AS434" s="43" t="s">
        <v>654</v>
      </c>
      <c r="AT434" s="43" t="s">
        <v>47</v>
      </c>
      <c r="AU434" s="44">
        <f t="shared" si="50"/>
        <v>-2.7014842379675978</v>
      </c>
      <c r="AV434" s="44">
        <f t="shared" si="51"/>
        <v>-1.4772241891938322</v>
      </c>
      <c r="AW434" s="45">
        <f t="shared" si="52"/>
        <v>2</v>
      </c>
      <c r="AX434" s="45">
        <f t="shared" si="53"/>
        <v>1</v>
      </c>
      <c r="AY434" s="46">
        <f>VLOOKUP(AP434,COND!$A$10:$B$32,2,FALSE)</f>
        <v>0.95</v>
      </c>
      <c r="AZ434" s="44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20.104110480098175</v>
      </c>
      <c r="BA434" s="47">
        <f>STANDARDIZE(AZ434,AVERAGE($AZ$5:$AZ$557),STDEVP($AZ$5:$AZ$557))</f>
        <v>-1.0489155346008874</v>
      </c>
      <c r="BB434" s="45" t="str">
        <f t="shared" si="54"/>
        <v>RP</v>
      </c>
      <c r="BC434" s="45">
        <f>RANK(Table3[[#This Row],[zScore]],Table3[zScore])</f>
        <v>707</v>
      </c>
      <c r="BD434" s="45"/>
      <c r="BE434" s="45"/>
      <c r="BF434" s="45" t="str">
        <f t="shared" si="55"/>
        <v>Unlikely</v>
      </c>
      <c r="BG434" s="45"/>
      <c r="BH434" s="45" t="str">
        <f>INDEX(Table5[[#All],[Ovr]],MATCH(Table3[[#This Row],[PID]],Table5[[#All],[PID]],0))</f>
        <v/>
      </c>
      <c r="BI434" s="45" t="str">
        <f>INDEX(Table5[[#All],[Rnd]],MATCH(Table3[[#This Row],[PID]],Table5[[#All],[PID]],0))</f>
        <v/>
      </c>
      <c r="BJ434" s="45" t="str">
        <f>INDEX(Table5[[#All],[Pick]],MATCH(Table3[[#This Row],[PID]],Table5[[#All],[PID]],0))</f>
        <v/>
      </c>
      <c r="BK434" s="45" t="str">
        <f>INDEX(Table5[[#All],[Team]],MATCH(Table3[[#This Row],[PID]],Table5[[#All],[PID]],0))</f>
        <v/>
      </c>
      <c r="BL4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5" spans="1:64" ht="15" customHeight="1" x14ac:dyDescent="0.25">
      <c r="A435" s="40">
        <v>20235</v>
      </c>
      <c r="B435" s="40" t="s">
        <v>415</v>
      </c>
      <c r="C435" s="40" t="s">
        <v>208</v>
      </c>
      <c r="D435" s="40" t="s">
        <v>1983</v>
      </c>
      <c r="E435" s="40">
        <v>23</v>
      </c>
      <c r="F435" s="40" t="s">
        <v>42</v>
      </c>
      <c r="G435" s="40" t="s">
        <v>42</v>
      </c>
      <c r="H435" s="41" t="s">
        <v>647</v>
      </c>
      <c r="I435" s="42" t="s">
        <v>43</v>
      </c>
      <c r="J435" s="40" t="s">
        <v>44</v>
      </c>
      <c r="K435" s="41" t="s">
        <v>47</v>
      </c>
      <c r="L435" s="40">
        <v>3</v>
      </c>
      <c r="M435" s="40">
        <v>2</v>
      </c>
      <c r="N435" s="41">
        <v>1</v>
      </c>
      <c r="O435" s="40">
        <v>3</v>
      </c>
      <c r="P435" s="40">
        <v>2</v>
      </c>
      <c r="Q435" s="41">
        <v>2</v>
      </c>
      <c r="R435" s="40">
        <v>4</v>
      </c>
      <c r="S435" s="40">
        <v>4</v>
      </c>
      <c r="T435" s="40">
        <v>3</v>
      </c>
      <c r="U435" s="40">
        <v>4</v>
      </c>
      <c r="V435" s="40">
        <v>2</v>
      </c>
      <c r="W435" s="40">
        <v>3</v>
      </c>
      <c r="X435" s="40" t="s">
        <v>45</v>
      </c>
      <c r="Y435" s="40" t="s">
        <v>45</v>
      </c>
      <c r="Z435" s="40" t="s">
        <v>45</v>
      </c>
      <c r="AA435" s="40" t="s">
        <v>45</v>
      </c>
      <c r="AB435" s="40" t="s">
        <v>45</v>
      </c>
      <c r="AC435" s="40" t="s">
        <v>45</v>
      </c>
      <c r="AD435" s="40">
        <v>3</v>
      </c>
      <c r="AE435" s="40">
        <v>4</v>
      </c>
      <c r="AF435" s="40" t="s">
        <v>45</v>
      </c>
      <c r="AG435" s="40" t="s">
        <v>45</v>
      </c>
      <c r="AH435" s="40" t="s">
        <v>45</v>
      </c>
      <c r="AI435" s="40" t="s">
        <v>45</v>
      </c>
      <c r="AJ435" s="40" t="s">
        <v>45</v>
      </c>
      <c r="AK435" s="40" t="s">
        <v>45</v>
      </c>
      <c r="AL435" s="40" t="s">
        <v>45</v>
      </c>
      <c r="AM435" s="40" t="s">
        <v>45</v>
      </c>
      <c r="AN435" s="40" t="s">
        <v>45</v>
      </c>
      <c r="AO435" s="41" t="s">
        <v>45</v>
      </c>
      <c r="AP435" s="40" t="s">
        <v>349</v>
      </c>
      <c r="AQ435" s="40">
        <v>10</v>
      </c>
      <c r="AR435" s="48" t="s">
        <v>347</v>
      </c>
      <c r="AS435" s="43" t="s">
        <v>1460</v>
      </c>
      <c r="AT435" s="43" t="s">
        <v>47</v>
      </c>
      <c r="AU435" s="44">
        <f t="shared" si="50"/>
        <v>-2.1166698725191955</v>
      </c>
      <c r="AV435" s="44">
        <f t="shared" si="51"/>
        <v>-1.4288545557280135</v>
      </c>
      <c r="AW435" s="45">
        <f t="shared" si="52"/>
        <v>4</v>
      </c>
      <c r="AX435" s="45">
        <f t="shared" si="53"/>
        <v>0</v>
      </c>
      <c r="AY435" s="46">
        <f>VLOOKUP(AP435,COND!$A$10:$B$32,2,FALSE)</f>
        <v>1</v>
      </c>
      <c r="AZ435" s="44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19.999574910935891</v>
      </c>
      <c r="BA435" s="47">
        <f>STANDARDIZE(AZ435,AVERAGE($AZ$5:$AZ$557),STDEVP($AZ$5:$AZ$557))</f>
        <v>-1.0558701262755266</v>
      </c>
      <c r="BB435" s="45" t="str">
        <f t="shared" si="54"/>
        <v>SP</v>
      </c>
      <c r="BC435" s="45">
        <f>RANK(Table3[[#This Row],[zScore]],Table3[zScore])</f>
        <v>708</v>
      </c>
      <c r="BD435" s="45"/>
      <c r="BE435" s="45"/>
      <c r="BF435" s="45" t="str">
        <f t="shared" si="55"/>
        <v>Unlikely</v>
      </c>
      <c r="BG435" s="45"/>
      <c r="BH435" s="45" t="str">
        <f>INDEX(Table5[[#All],[Ovr]],MATCH(Table3[[#This Row],[PID]],Table5[[#All],[PID]],0))</f>
        <v/>
      </c>
      <c r="BI435" s="45" t="str">
        <f>INDEX(Table5[[#All],[Rnd]],MATCH(Table3[[#This Row],[PID]],Table5[[#All],[PID]],0))</f>
        <v/>
      </c>
      <c r="BJ435" s="45" t="str">
        <f>INDEX(Table5[[#All],[Pick]],MATCH(Table3[[#This Row],[PID]],Table5[[#All],[PID]],0))</f>
        <v/>
      </c>
      <c r="BK435" s="45" t="str">
        <f>INDEX(Table5[[#All],[Team]],MATCH(Table3[[#This Row],[PID]],Table5[[#All],[PID]],0))</f>
        <v/>
      </c>
      <c r="BL4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6" spans="1:64" ht="15" customHeight="1" x14ac:dyDescent="0.25">
      <c r="A436" s="40">
        <v>17044</v>
      </c>
      <c r="B436" s="40" t="s">
        <v>415</v>
      </c>
      <c r="C436" s="40" t="s">
        <v>2094</v>
      </c>
      <c r="D436" s="40" t="s">
        <v>2095</v>
      </c>
      <c r="E436" s="40">
        <v>21</v>
      </c>
      <c r="F436" s="40" t="s">
        <v>42</v>
      </c>
      <c r="G436" s="40" t="s">
        <v>42</v>
      </c>
      <c r="H436" s="41" t="s">
        <v>647</v>
      </c>
      <c r="I436" s="42" t="s">
        <v>44</v>
      </c>
      <c r="J436" s="40" t="s">
        <v>43</v>
      </c>
      <c r="K436" s="41" t="s">
        <v>43</v>
      </c>
      <c r="L436" s="40">
        <v>2</v>
      </c>
      <c r="M436" s="40">
        <v>1</v>
      </c>
      <c r="N436" s="41">
        <v>1</v>
      </c>
      <c r="O436" s="40">
        <v>4</v>
      </c>
      <c r="P436" s="40">
        <v>1</v>
      </c>
      <c r="Q436" s="41">
        <v>2</v>
      </c>
      <c r="R436" s="40">
        <v>3</v>
      </c>
      <c r="S436" s="40">
        <v>4</v>
      </c>
      <c r="T436" s="40">
        <v>1</v>
      </c>
      <c r="U436" s="40">
        <v>1</v>
      </c>
      <c r="V436" s="40">
        <v>2</v>
      </c>
      <c r="W436" s="40">
        <v>5</v>
      </c>
      <c r="X436" s="40" t="s">
        <v>45</v>
      </c>
      <c r="Y436" s="40" t="s">
        <v>45</v>
      </c>
      <c r="Z436" s="40" t="s">
        <v>45</v>
      </c>
      <c r="AA436" s="40" t="s">
        <v>45</v>
      </c>
      <c r="AB436" s="40" t="s">
        <v>45</v>
      </c>
      <c r="AC436" s="40" t="s">
        <v>45</v>
      </c>
      <c r="AD436" s="40" t="s">
        <v>45</v>
      </c>
      <c r="AE436" s="40" t="s">
        <v>45</v>
      </c>
      <c r="AF436" s="40" t="s">
        <v>45</v>
      </c>
      <c r="AG436" s="40" t="s">
        <v>45</v>
      </c>
      <c r="AH436" s="40" t="s">
        <v>45</v>
      </c>
      <c r="AI436" s="40" t="s">
        <v>45</v>
      </c>
      <c r="AJ436" s="40" t="s">
        <v>45</v>
      </c>
      <c r="AK436" s="40" t="s">
        <v>45</v>
      </c>
      <c r="AL436" s="40" t="s">
        <v>45</v>
      </c>
      <c r="AM436" s="40" t="s">
        <v>45</v>
      </c>
      <c r="AN436" s="40" t="s">
        <v>45</v>
      </c>
      <c r="AO436" s="41" t="s">
        <v>45</v>
      </c>
      <c r="AP436" s="40" t="s">
        <v>64</v>
      </c>
      <c r="AQ436" s="40">
        <v>6</v>
      </c>
      <c r="AR436" s="48" t="s">
        <v>351</v>
      </c>
      <c r="AS436" s="43" t="s">
        <v>45</v>
      </c>
      <c r="AT436" s="43" t="s">
        <v>47</v>
      </c>
      <c r="AU436" s="44">
        <f t="shared" si="50"/>
        <v>-2.5067929134584248</v>
      </c>
      <c r="AV436" s="44">
        <f t="shared" si="51"/>
        <v>-1.4295949476488956</v>
      </c>
      <c r="AW436" s="45">
        <f t="shared" si="52"/>
        <v>3</v>
      </c>
      <c r="AX436" s="45">
        <f t="shared" si="53"/>
        <v>0</v>
      </c>
      <c r="AY436" s="46">
        <f>VLOOKUP(AP436,COND!$A$10:$B$32,2,FALSE)</f>
        <v>1</v>
      </c>
      <c r="AZ436" s="44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19.946573902722143</v>
      </c>
      <c r="BA436" s="47">
        <f>STANDARDIZE(AZ436,AVERAGE($AZ$5:$AZ$557),STDEVP($AZ$5:$AZ$557))</f>
        <v>-1.059396202360678</v>
      </c>
      <c r="BB436" s="45" t="str">
        <f t="shared" si="54"/>
        <v>SP</v>
      </c>
      <c r="BC436" s="45">
        <f>RANK(Table3[[#This Row],[zScore]],Table3[zScore])</f>
        <v>709</v>
      </c>
      <c r="BD436" s="45"/>
      <c r="BE436" s="45"/>
      <c r="BF436" s="45" t="str">
        <f t="shared" si="55"/>
        <v>Unlikely</v>
      </c>
      <c r="BG436" s="45"/>
      <c r="BH436" s="45" t="str">
        <f>INDEX(Table5[[#All],[Ovr]],MATCH(Table3[[#This Row],[PID]],Table5[[#All],[PID]],0))</f>
        <v/>
      </c>
      <c r="BI436" s="45" t="str">
        <f>INDEX(Table5[[#All],[Rnd]],MATCH(Table3[[#This Row],[PID]],Table5[[#All],[PID]],0))</f>
        <v/>
      </c>
      <c r="BJ436" s="45" t="str">
        <f>INDEX(Table5[[#All],[Pick]],MATCH(Table3[[#This Row],[PID]],Table5[[#All],[PID]],0))</f>
        <v/>
      </c>
      <c r="BK436" s="45" t="str">
        <f>INDEX(Table5[[#All],[Team]],MATCH(Table3[[#This Row],[PID]],Table5[[#All],[PID]],0))</f>
        <v/>
      </c>
      <c r="BL4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7" spans="1:64" ht="15" customHeight="1" x14ac:dyDescent="0.25">
      <c r="A437" s="40">
        <v>20411</v>
      </c>
      <c r="B437" s="40" t="s">
        <v>415</v>
      </c>
      <c r="C437" s="40" t="s">
        <v>822</v>
      </c>
      <c r="D437" s="40" t="s">
        <v>2189</v>
      </c>
      <c r="E437" s="40">
        <v>18</v>
      </c>
      <c r="F437" s="40" t="s">
        <v>42</v>
      </c>
      <c r="G437" s="40" t="s">
        <v>42</v>
      </c>
      <c r="H437" s="41" t="s">
        <v>647</v>
      </c>
      <c r="I437" s="42" t="s">
        <v>43</v>
      </c>
      <c r="J437" s="40" t="s">
        <v>44</v>
      </c>
      <c r="K437" s="41" t="s">
        <v>43</v>
      </c>
      <c r="L437" s="40">
        <v>1</v>
      </c>
      <c r="M437" s="40">
        <v>1</v>
      </c>
      <c r="N437" s="41">
        <v>1</v>
      </c>
      <c r="O437" s="40">
        <v>3</v>
      </c>
      <c r="P437" s="40">
        <v>2</v>
      </c>
      <c r="Q437" s="41">
        <v>1</v>
      </c>
      <c r="R437" s="40">
        <v>2</v>
      </c>
      <c r="S437" s="40">
        <v>4</v>
      </c>
      <c r="T437" s="40">
        <v>1</v>
      </c>
      <c r="U437" s="40">
        <v>3</v>
      </c>
      <c r="V437" s="40" t="s">
        <v>45</v>
      </c>
      <c r="W437" s="40" t="s">
        <v>45</v>
      </c>
      <c r="X437" s="40">
        <v>2</v>
      </c>
      <c r="Y437" s="40">
        <v>4</v>
      </c>
      <c r="Z437" s="40" t="s">
        <v>45</v>
      </c>
      <c r="AA437" s="40" t="s">
        <v>45</v>
      </c>
      <c r="AB437" s="40" t="s">
        <v>45</v>
      </c>
      <c r="AC437" s="40" t="s">
        <v>45</v>
      </c>
      <c r="AD437" s="40" t="s">
        <v>45</v>
      </c>
      <c r="AE437" s="40" t="s">
        <v>45</v>
      </c>
      <c r="AF437" s="40">
        <v>2</v>
      </c>
      <c r="AG437" s="40">
        <v>2</v>
      </c>
      <c r="AH437" s="40" t="s">
        <v>45</v>
      </c>
      <c r="AI437" s="40" t="s">
        <v>45</v>
      </c>
      <c r="AJ437" s="40" t="s">
        <v>45</v>
      </c>
      <c r="AK437" s="40" t="s">
        <v>45</v>
      </c>
      <c r="AL437" s="40" t="s">
        <v>45</v>
      </c>
      <c r="AM437" s="40" t="s">
        <v>45</v>
      </c>
      <c r="AN437" s="40" t="s">
        <v>45</v>
      </c>
      <c r="AO437" s="41" t="s">
        <v>45</v>
      </c>
      <c r="AP437" s="40" t="s">
        <v>68</v>
      </c>
      <c r="AQ437" s="40">
        <v>5</v>
      </c>
      <c r="AR437" s="48" t="s">
        <v>14</v>
      </c>
      <c r="AS437" s="43" t="s">
        <v>654</v>
      </c>
      <c r="AT437" s="43"/>
      <c r="AU437" s="44">
        <f t="shared" si="50"/>
        <v>-2.7014842379675978</v>
      </c>
      <c r="AV437" s="44">
        <f t="shared" si="51"/>
        <v>-1.6711751217821238</v>
      </c>
      <c r="AW437" s="45">
        <f t="shared" si="52"/>
        <v>4</v>
      </c>
      <c r="AX437" s="45">
        <f t="shared" si="53"/>
        <v>0</v>
      </c>
      <c r="AY437" s="46">
        <f>VLOOKUP(AP437,COND!$A$10:$B$32,2,FALSE)</f>
        <v>0.95</v>
      </c>
      <c r="AZ437" s="44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22.093530913902661</v>
      </c>
      <c r="BA437" s="47">
        <f>STANDARDIZE(AZ437,AVERAGE($AZ$5:$AZ$788),STDEVP($AZ$5:$AZ$788))</f>
        <v>-1.0627112692296059</v>
      </c>
      <c r="BB437" s="45" t="str">
        <f t="shared" si="54"/>
        <v>SP</v>
      </c>
      <c r="BC437" s="45">
        <f>RANK(Table3[[#This Row],[zScore]],Table3[zScore])</f>
        <v>712</v>
      </c>
      <c r="BD437" s="45"/>
      <c r="BE437" s="45"/>
      <c r="BF437" s="45" t="str">
        <f t="shared" si="55"/>
        <v>Unlikely</v>
      </c>
      <c r="BG437" s="45"/>
      <c r="BH437" s="64" t="str">
        <f>INDEX(Table5[[#All],[Ovr]],MATCH(Table3[[#This Row],[PID]],Table5[[#All],[PID]],0))</f>
        <v/>
      </c>
      <c r="BI437" s="64" t="str">
        <f>INDEX(Table5[[#All],[Rnd]],MATCH(Table3[[#This Row],[PID]],Table5[[#All],[PID]],0))</f>
        <v/>
      </c>
      <c r="BJ437" s="64" t="str">
        <f>INDEX(Table5[[#All],[Pick]],MATCH(Table3[[#This Row],[PID]],Table5[[#All],[PID]],0))</f>
        <v/>
      </c>
      <c r="BK437" s="64" t="str">
        <f>INDEX(Table5[[#All],[Team]],MATCH(Table3[[#This Row],[PID]],Table5[[#All],[PID]],0))</f>
        <v/>
      </c>
      <c r="BL437" s="64" t="str">
        <f>IF(OR(Table3[[#This Row],[POS]]="SP",Table3[[#This Row],[POS]]="RP",Table3[[#This Row],[POS]]="CL"),"P",INDEX(Batters[[#All],[zScore]],MATCH(Table3[[#This Row],[PID]],Batters[[#All],[PID]],0)))</f>
        <v>P</v>
      </c>
    </row>
    <row r="438" spans="1:64" ht="15" customHeight="1" x14ac:dyDescent="0.25">
      <c r="A438" s="40">
        <v>18016</v>
      </c>
      <c r="B438" s="40" t="s">
        <v>415</v>
      </c>
      <c r="C438" s="40" t="s">
        <v>1942</v>
      </c>
      <c r="D438" s="40" t="s">
        <v>133</v>
      </c>
      <c r="E438" s="40">
        <v>21</v>
      </c>
      <c r="F438" s="40" t="s">
        <v>42</v>
      </c>
      <c r="G438" s="40" t="s">
        <v>42</v>
      </c>
      <c r="H438" s="41" t="s">
        <v>647</v>
      </c>
      <c r="I438" s="42" t="s">
        <v>43</v>
      </c>
      <c r="J438" s="40" t="s">
        <v>43</v>
      </c>
      <c r="K438" s="41" t="s">
        <v>43</v>
      </c>
      <c r="L438" s="40">
        <v>2</v>
      </c>
      <c r="M438" s="40">
        <v>1</v>
      </c>
      <c r="N438" s="41">
        <v>1</v>
      </c>
      <c r="O438" s="40">
        <v>4</v>
      </c>
      <c r="P438" s="40">
        <v>1</v>
      </c>
      <c r="Q438" s="41">
        <v>2</v>
      </c>
      <c r="R438" s="40">
        <v>3</v>
      </c>
      <c r="S438" s="40">
        <v>4</v>
      </c>
      <c r="T438" s="40">
        <v>3</v>
      </c>
      <c r="U438" s="40">
        <v>5</v>
      </c>
      <c r="V438" s="40" t="s">
        <v>45</v>
      </c>
      <c r="W438" s="40" t="s">
        <v>45</v>
      </c>
      <c r="X438" s="40">
        <v>2</v>
      </c>
      <c r="Y438" s="40">
        <v>2</v>
      </c>
      <c r="Z438" s="40" t="s">
        <v>45</v>
      </c>
      <c r="AA438" s="40" t="s">
        <v>45</v>
      </c>
      <c r="AB438" s="40" t="s">
        <v>45</v>
      </c>
      <c r="AC438" s="40" t="s">
        <v>45</v>
      </c>
      <c r="AD438" s="40" t="s">
        <v>45</v>
      </c>
      <c r="AE438" s="40" t="s">
        <v>45</v>
      </c>
      <c r="AF438" s="40">
        <v>2</v>
      </c>
      <c r="AG438" s="40">
        <v>4</v>
      </c>
      <c r="AH438" s="40" t="s">
        <v>45</v>
      </c>
      <c r="AI438" s="40" t="s">
        <v>45</v>
      </c>
      <c r="AJ438" s="40" t="s">
        <v>45</v>
      </c>
      <c r="AK438" s="40" t="s">
        <v>45</v>
      </c>
      <c r="AL438" s="40" t="s">
        <v>45</v>
      </c>
      <c r="AM438" s="40" t="s">
        <v>45</v>
      </c>
      <c r="AN438" s="40" t="s">
        <v>45</v>
      </c>
      <c r="AO438" s="41" t="s">
        <v>45</v>
      </c>
      <c r="AP438" s="40" t="s">
        <v>64</v>
      </c>
      <c r="AQ438" s="40">
        <v>10</v>
      </c>
      <c r="AR438" s="48" t="s">
        <v>14</v>
      </c>
      <c r="AS438" s="43" t="s">
        <v>45</v>
      </c>
      <c r="AT438" s="43" t="s">
        <v>635</v>
      </c>
      <c r="AU438" s="44">
        <f t="shared" si="50"/>
        <v>-2.5067929134584248</v>
      </c>
      <c r="AV438" s="44">
        <f t="shared" si="51"/>
        <v>-1.4295949476488956</v>
      </c>
      <c r="AW438" s="45">
        <f t="shared" si="52"/>
        <v>4</v>
      </c>
      <c r="AX438" s="45">
        <f t="shared" si="53"/>
        <v>0</v>
      </c>
      <c r="AY438" s="46">
        <f>VLOOKUP(AP438,COND!$A$10:$B$32,2,FALSE)</f>
        <v>1</v>
      </c>
      <c r="AZ438" s="44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19.906742464330399</v>
      </c>
      <c r="BA438" s="47">
        <f>STANDARDIZE(AZ438,AVERAGE($AZ$5:$AZ$557),STDEVP($AZ$5:$AZ$557))</f>
        <v>-1.0620461270901076</v>
      </c>
      <c r="BB438" s="45" t="str">
        <f t="shared" si="54"/>
        <v>SP</v>
      </c>
      <c r="BC438" s="45">
        <f>RANK(Table3[[#This Row],[zScore]],Table3[zScore])</f>
        <v>710</v>
      </c>
      <c r="BD438" s="45"/>
      <c r="BE438" s="45"/>
      <c r="BF438" s="45" t="str">
        <f t="shared" si="55"/>
        <v>Unlikely</v>
      </c>
      <c r="BG438" s="45"/>
      <c r="BH438" s="45" t="str">
        <f>INDEX(Table5[[#All],[Ovr]],MATCH(Table3[[#This Row],[PID]],Table5[[#All],[PID]],0))</f>
        <v/>
      </c>
      <c r="BI438" s="45" t="str">
        <f>INDEX(Table5[[#All],[Rnd]],MATCH(Table3[[#This Row],[PID]],Table5[[#All],[PID]],0))</f>
        <v/>
      </c>
      <c r="BJ438" s="45" t="str">
        <f>INDEX(Table5[[#All],[Pick]],MATCH(Table3[[#This Row],[PID]],Table5[[#All],[PID]],0))</f>
        <v/>
      </c>
      <c r="BK438" s="45" t="str">
        <f>INDEX(Table5[[#All],[Team]],MATCH(Table3[[#This Row],[PID]],Table5[[#All],[PID]],0))</f>
        <v/>
      </c>
      <c r="BL4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39" spans="1:64" ht="15" customHeight="1" x14ac:dyDescent="0.25">
      <c r="A439" s="40">
        <v>12868</v>
      </c>
      <c r="B439" s="40" t="s">
        <v>415</v>
      </c>
      <c r="C439" s="40" t="s">
        <v>1078</v>
      </c>
      <c r="D439" s="40" t="s">
        <v>1079</v>
      </c>
      <c r="E439" s="40">
        <v>22</v>
      </c>
      <c r="F439" s="40" t="s">
        <v>42</v>
      </c>
      <c r="G439" s="40" t="s">
        <v>42</v>
      </c>
      <c r="H439" s="41" t="s">
        <v>647</v>
      </c>
      <c r="I439" s="42" t="s">
        <v>44</v>
      </c>
      <c r="J439" s="40" t="s">
        <v>44</v>
      </c>
      <c r="K439" s="41" t="s">
        <v>44</v>
      </c>
      <c r="L439" s="40">
        <v>2</v>
      </c>
      <c r="M439" s="40">
        <v>1</v>
      </c>
      <c r="N439" s="41">
        <v>2</v>
      </c>
      <c r="O439" s="40">
        <v>4</v>
      </c>
      <c r="P439" s="40">
        <v>1</v>
      </c>
      <c r="Q439" s="41">
        <v>2</v>
      </c>
      <c r="R439" s="40">
        <v>3</v>
      </c>
      <c r="S439" s="40">
        <v>4</v>
      </c>
      <c r="T439" s="40" t="s">
        <v>45</v>
      </c>
      <c r="U439" s="40" t="s">
        <v>45</v>
      </c>
      <c r="V439" s="40" t="s">
        <v>45</v>
      </c>
      <c r="W439" s="40" t="s">
        <v>45</v>
      </c>
      <c r="X439" s="40">
        <v>2</v>
      </c>
      <c r="Y439" s="40">
        <v>5</v>
      </c>
      <c r="Z439" s="40" t="s">
        <v>45</v>
      </c>
      <c r="AA439" s="40" t="s">
        <v>45</v>
      </c>
      <c r="AB439" s="40" t="s">
        <v>45</v>
      </c>
      <c r="AC439" s="40" t="s">
        <v>45</v>
      </c>
      <c r="AD439" s="40">
        <v>2</v>
      </c>
      <c r="AE439" s="40">
        <v>4</v>
      </c>
      <c r="AF439" s="40">
        <v>2</v>
      </c>
      <c r="AG439" s="40">
        <v>2</v>
      </c>
      <c r="AH439" s="40" t="s">
        <v>45</v>
      </c>
      <c r="AI439" s="40" t="s">
        <v>45</v>
      </c>
      <c r="AJ439" s="40" t="s">
        <v>45</v>
      </c>
      <c r="AK439" s="40" t="s">
        <v>45</v>
      </c>
      <c r="AL439" s="40" t="s">
        <v>45</v>
      </c>
      <c r="AM439" s="40" t="s">
        <v>45</v>
      </c>
      <c r="AN439" s="40" t="s">
        <v>45</v>
      </c>
      <c r="AO439" s="41" t="s">
        <v>45</v>
      </c>
      <c r="AP439" s="40" t="s">
        <v>64</v>
      </c>
      <c r="AQ439" s="40">
        <v>6</v>
      </c>
      <c r="AR439" s="48" t="s">
        <v>14</v>
      </c>
      <c r="AS439" s="43" t="s">
        <v>45</v>
      </c>
      <c r="AT439" s="43" t="s">
        <v>47</v>
      </c>
      <c r="AU439" s="44">
        <f t="shared" si="50"/>
        <v>-2.2644723474043147</v>
      </c>
      <c r="AV439" s="44">
        <f t="shared" si="51"/>
        <v>-1.4295949476488956</v>
      </c>
      <c r="AW439" s="45">
        <f t="shared" si="52"/>
        <v>4</v>
      </c>
      <c r="AX439" s="45">
        <f t="shared" si="53"/>
        <v>0</v>
      </c>
      <c r="AY439" s="46">
        <f>VLOOKUP(AP439,COND!$A$10:$B$32,2,FALSE)</f>
        <v>1</v>
      </c>
      <c r="AZ439" s="44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19.881326413102691</v>
      </c>
      <c r="BA439" s="47">
        <f>STANDARDIZE(AZ439,AVERAGE($AZ$5:$AZ$557),STDEVP($AZ$5:$AZ$557))</f>
        <v>-1.0637370181397943</v>
      </c>
      <c r="BB439" s="45" t="str">
        <f t="shared" si="54"/>
        <v>SP</v>
      </c>
      <c r="BC439" s="45">
        <f>RANK(Table3[[#This Row],[zScore]],Table3[zScore])</f>
        <v>713</v>
      </c>
      <c r="BD439" s="45"/>
      <c r="BE439" s="45"/>
      <c r="BF439" s="45" t="str">
        <f t="shared" si="55"/>
        <v>Unlikely</v>
      </c>
      <c r="BG439" s="45"/>
      <c r="BH439" s="45" t="str">
        <f>INDEX(Table5[[#All],[Ovr]],MATCH(Table3[[#This Row],[PID]],Table5[[#All],[PID]],0))</f>
        <v/>
      </c>
      <c r="BI439" s="45" t="str">
        <f>INDEX(Table5[[#All],[Rnd]],MATCH(Table3[[#This Row],[PID]],Table5[[#All],[PID]],0))</f>
        <v/>
      </c>
      <c r="BJ439" s="45" t="str">
        <f>INDEX(Table5[[#All],[Pick]],MATCH(Table3[[#This Row],[PID]],Table5[[#All],[PID]],0))</f>
        <v/>
      </c>
      <c r="BK439" s="45" t="str">
        <f>INDEX(Table5[[#All],[Team]],MATCH(Table3[[#This Row],[PID]],Table5[[#All],[PID]],0))</f>
        <v/>
      </c>
      <c r="BL4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0" spans="1:64" ht="15" customHeight="1" x14ac:dyDescent="0.25">
      <c r="A440" s="40">
        <v>9867</v>
      </c>
      <c r="B440" s="40" t="s">
        <v>415</v>
      </c>
      <c r="C440" s="40" t="s">
        <v>2070</v>
      </c>
      <c r="D440" s="40" t="s">
        <v>2071</v>
      </c>
      <c r="E440" s="40">
        <v>21</v>
      </c>
      <c r="F440" s="40" t="s">
        <v>62</v>
      </c>
      <c r="G440" s="40" t="s">
        <v>42</v>
      </c>
      <c r="H440" s="41" t="s">
        <v>647</v>
      </c>
      <c r="I440" s="42" t="s">
        <v>44</v>
      </c>
      <c r="J440" s="40" t="s">
        <v>47</v>
      </c>
      <c r="K440" s="41" t="s">
        <v>43</v>
      </c>
      <c r="L440" s="40">
        <v>2</v>
      </c>
      <c r="M440" s="40">
        <v>1</v>
      </c>
      <c r="N440" s="41">
        <v>1</v>
      </c>
      <c r="O440" s="40">
        <v>3</v>
      </c>
      <c r="P440" s="40">
        <v>1</v>
      </c>
      <c r="Q440" s="41">
        <v>3</v>
      </c>
      <c r="R440" s="40">
        <v>3</v>
      </c>
      <c r="S440" s="40">
        <v>4</v>
      </c>
      <c r="T440" s="40" t="s">
        <v>45</v>
      </c>
      <c r="U440" s="40" t="s">
        <v>45</v>
      </c>
      <c r="V440" s="40">
        <v>1</v>
      </c>
      <c r="W440" s="40">
        <v>2</v>
      </c>
      <c r="X440" s="40" t="s">
        <v>45</v>
      </c>
      <c r="Y440" s="40" t="s">
        <v>45</v>
      </c>
      <c r="Z440" s="40" t="s">
        <v>45</v>
      </c>
      <c r="AA440" s="40" t="s">
        <v>45</v>
      </c>
      <c r="AB440" s="40" t="s">
        <v>45</v>
      </c>
      <c r="AC440" s="40" t="s">
        <v>45</v>
      </c>
      <c r="AD440" s="40" t="s">
        <v>45</v>
      </c>
      <c r="AE440" s="40" t="s">
        <v>45</v>
      </c>
      <c r="AF440" s="40" t="s">
        <v>45</v>
      </c>
      <c r="AG440" s="40" t="s">
        <v>45</v>
      </c>
      <c r="AH440" s="40">
        <v>2</v>
      </c>
      <c r="AI440" s="40">
        <v>5</v>
      </c>
      <c r="AJ440" s="40" t="s">
        <v>45</v>
      </c>
      <c r="AK440" s="40" t="s">
        <v>45</v>
      </c>
      <c r="AL440" s="40" t="s">
        <v>45</v>
      </c>
      <c r="AM440" s="40" t="s">
        <v>45</v>
      </c>
      <c r="AN440" s="40" t="s">
        <v>45</v>
      </c>
      <c r="AO440" s="41" t="s">
        <v>45</v>
      </c>
      <c r="AP440" s="40" t="s">
        <v>349</v>
      </c>
      <c r="AQ440" s="40">
        <v>3</v>
      </c>
      <c r="AR440" s="48" t="s">
        <v>14</v>
      </c>
      <c r="AS440" s="43" t="s">
        <v>643</v>
      </c>
      <c r="AT440" s="43" t="s">
        <v>47</v>
      </c>
      <c r="AU440" s="44">
        <f t="shared" si="50"/>
        <v>-2.5067929134584248</v>
      </c>
      <c r="AV440" s="44">
        <f t="shared" si="51"/>
        <v>-1.3819657061039585</v>
      </c>
      <c r="AW440" s="45">
        <f t="shared" si="52"/>
        <v>3</v>
      </c>
      <c r="AX440" s="45">
        <f t="shared" si="53"/>
        <v>0</v>
      </c>
      <c r="AY440" s="46">
        <f>VLOOKUP(AP440,COND!$A$10:$B$32,2,FALSE)</f>
        <v>1</v>
      </c>
      <c r="AZ440" s="44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19.841360930467687</v>
      </c>
      <c r="BA440" s="47">
        <f>STANDARDIZE(AZ440,AVERAGE($AZ$5:$AZ$557),STDEVP($AZ$5:$AZ$557))</f>
        <v>-1.0663958606278938</v>
      </c>
      <c r="BB440" s="45" t="str">
        <f t="shared" si="54"/>
        <v>RP</v>
      </c>
      <c r="BC440" s="45">
        <f>RANK(Table3[[#This Row],[zScore]],Table3[zScore])</f>
        <v>714</v>
      </c>
      <c r="BD440" s="45"/>
      <c r="BE440" s="45"/>
      <c r="BF440" s="45" t="str">
        <f t="shared" si="55"/>
        <v>Unlikely</v>
      </c>
      <c r="BG440" s="45"/>
      <c r="BH440" s="45" t="str">
        <f>INDEX(Table5[[#All],[Ovr]],MATCH(Table3[[#This Row],[PID]],Table5[[#All],[PID]],0))</f>
        <v/>
      </c>
      <c r="BI440" s="45" t="str">
        <f>INDEX(Table5[[#All],[Rnd]],MATCH(Table3[[#This Row],[PID]],Table5[[#All],[PID]],0))</f>
        <v/>
      </c>
      <c r="BJ440" s="45" t="str">
        <f>INDEX(Table5[[#All],[Pick]],MATCH(Table3[[#This Row],[PID]],Table5[[#All],[PID]],0))</f>
        <v/>
      </c>
      <c r="BK440" s="45" t="str">
        <f>INDEX(Table5[[#All],[Team]],MATCH(Table3[[#This Row],[PID]],Table5[[#All],[PID]],0))</f>
        <v/>
      </c>
      <c r="BL4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1" spans="1:64" ht="15" customHeight="1" x14ac:dyDescent="0.25">
      <c r="A441" s="40">
        <v>9717</v>
      </c>
      <c r="B441" s="40" t="s">
        <v>415</v>
      </c>
      <c r="C441" s="40" t="s">
        <v>833</v>
      </c>
      <c r="D441" s="40" t="s">
        <v>2186</v>
      </c>
      <c r="E441" s="40">
        <v>21</v>
      </c>
      <c r="F441" s="40" t="s">
        <v>42</v>
      </c>
      <c r="G441" s="40" t="s">
        <v>42</v>
      </c>
      <c r="H441" s="41" t="s">
        <v>647</v>
      </c>
      <c r="I441" s="42" t="s">
        <v>43</v>
      </c>
      <c r="J441" s="40" t="s">
        <v>43</v>
      </c>
      <c r="K441" s="41" t="s">
        <v>43</v>
      </c>
      <c r="L441" s="40">
        <v>2</v>
      </c>
      <c r="M441" s="40">
        <v>1</v>
      </c>
      <c r="N441" s="41">
        <v>1</v>
      </c>
      <c r="O441" s="40">
        <v>3</v>
      </c>
      <c r="P441" s="40">
        <v>1</v>
      </c>
      <c r="Q441" s="41">
        <v>3</v>
      </c>
      <c r="R441" s="40">
        <v>3</v>
      </c>
      <c r="S441" s="40">
        <v>4</v>
      </c>
      <c r="T441" s="40">
        <v>1</v>
      </c>
      <c r="U441" s="40">
        <v>1</v>
      </c>
      <c r="V441" s="40">
        <v>1</v>
      </c>
      <c r="W441" s="40">
        <v>3</v>
      </c>
      <c r="X441" s="40">
        <v>2</v>
      </c>
      <c r="Y441" s="40">
        <v>3</v>
      </c>
      <c r="Z441" s="40" t="s">
        <v>45</v>
      </c>
      <c r="AA441" s="40" t="s">
        <v>45</v>
      </c>
      <c r="AB441" s="40" t="s">
        <v>45</v>
      </c>
      <c r="AC441" s="40" t="s">
        <v>45</v>
      </c>
      <c r="AD441" s="40" t="s">
        <v>45</v>
      </c>
      <c r="AE441" s="40" t="s">
        <v>45</v>
      </c>
      <c r="AF441" s="40">
        <v>3</v>
      </c>
      <c r="AG441" s="40">
        <v>4</v>
      </c>
      <c r="AH441" s="40" t="s">
        <v>45</v>
      </c>
      <c r="AI441" s="40" t="s">
        <v>45</v>
      </c>
      <c r="AJ441" s="40" t="s">
        <v>45</v>
      </c>
      <c r="AK441" s="40" t="s">
        <v>45</v>
      </c>
      <c r="AL441" s="40" t="s">
        <v>45</v>
      </c>
      <c r="AM441" s="40" t="s">
        <v>45</v>
      </c>
      <c r="AN441" s="40" t="s">
        <v>45</v>
      </c>
      <c r="AO441" s="41" t="s">
        <v>45</v>
      </c>
      <c r="AP441" s="40" t="s">
        <v>349</v>
      </c>
      <c r="AQ441" s="40">
        <v>6</v>
      </c>
      <c r="AR441" s="48" t="s">
        <v>14</v>
      </c>
      <c r="AS441" s="43" t="s">
        <v>45</v>
      </c>
      <c r="AT441" s="43"/>
      <c r="AU441" s="44">
        <f t="shared" si="50"/>
        <v>-2.5067929134584248</v>
      </c>
      <c r="AV441" s="44">
        <f t="shared" si="51"/>
        <v>-1.3819657061039585</v>
      </c>
      <c r="AW441" s="45">
        <f t="shared" si="52"/>
        <v>5</v>
      </c>
      <c r="AX441" s="45">
        <f t="shared" si="53"/>
        <v>0</v>
      </c>
      <c r="AY441" s="46">
        <f>VLOOKUP(AP441,COND!$A$10:$B$32,2,FALSE)</f>
        <v>1</v>
      </c>
      <c r="AZ441" s="44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22.000344112848413</v>
      </c>
      <c r="BA441" s="47">
        <f>STANDARDIZE(AZ441,AVERAGE($AZ$5:$AZ$788),STDEVP($AZ$5:$AZ$788))</f>
        <v>-1.0694544959000309</v>
      </c>
      <c r="BB441" s="45" t="str">
        <f t="shared" si="54"/>
        <v>SP</v>
      </c>
      <c r="BC441" s="45">
        <f>RANK(Table3[[#This Row],[zScore]],Table3[zScore])</f>
        <v>716</v>
      </c>
      <c r="BD441" s="45"/>
      <c r="BE441" s="45"/>
      <c r="BF441" s="45" t="str">
        <f t="shared" si="55"/>
        <v>Unlikely</v>
      </c>
      <c r="BG441" s="45"/>
      <c r="BH441" s="64" t="str">
        <f>INDEX(Table5[[#All],[Ovr]],MATCH(Table3[[#This Row],[PID]],Table5[[#All],[PID]],0))</f>
        <v/>
      </c>
      <c r="BI441" s="64" t="str">
        <f>INDEX(Table5[[#All],[Rnd]],MATCH(Table3[[#This Row],[PID]],Table5[[#All],[PID]],0))</f>
        <v/>
      </c>
      <c r="BJ441" s="64" t="str">
        <f>INDEX(Table5[[#All],[Pick]],MATCH(Table3[[#This Row],[PID]],Table5[[#All],[PID]],0))</f>
        <v/>
      </c>
      <c r="BK441" s="64" t="str">
        <f>INDEX(Table5[[#All],[Team]],MATCH(Table3[[#This Row],[PID]],Table5[[#All],[PID]],0))</f>
        <v/>
      </c>
      <c r="BL441" s="64" t="str">
        <f>IF(OR(Table3[[#This Row],[POS]]="SP",Table3[[#This Row],[POS]]="RP",Table3[[#This Row],[POS]]="CL"),"P",INDEX(Batters[[#All],[zScore]],MATCH(Table3[[#This Row],[PID]],Batters[[#All],[PID]],0)))</f>
        <v>P</v>
      </c>
    </row>
    <row r="442" spans="1:64" ht="15" customHeight="1" x14ac:dyDescent="0.25">
      <c r="A442" s="40">
        <v>14719</v>
      </c>
      <c r="B442" s="40" t="s">
        <v>415</v>
      </c>
      <c r="C442" s="40" t="s">
        <v>1145</v>
      </c>
      <c r="D442" s="40" t="s">
        <v>1146</v>
      </c>
      <c r="E442" s="40">
        <v>22</v>
      </c>
      <c r="F442" s="40" t="s">
        <v>53</v>
      </c>
      <c r="G442" s="40" t="s">
        <v>53</v>
      </c>
      <c r="H442" s="41" t="s">
        <v>647</v>
      </c>
      <c r="I442" s="42" t="s">
        <v>44</v>
      </c>
      <c r="J442" s="40" t="s">
        <v>44</v>
      </c>
      <c r="K442" s="41" t="s">
        <v>43</v>
      </c>
      <c r="L442" s="40">
        <v>1</v>
      </c>
      <c r="M442" s="40">
        <v>2</v>
      </c>
      <c r="N442" s="41">
        <v>1</v>
      </c>
      <c r="O442" s="40">
        <v>2</v>
      </c>
      <c r="P442" s="40">
        <v>2</v>
      </c>
      <c r="Q442" s="41">
        <v>2</v>
      </c>
      <c r="R442" s="40">
        <v>2</v>
      </c>
      <c r="S442" s="40">
        <v>4</v>
      </c>
      <c r="T442" s="40">
        <v>1</v>
      </c>
      <c r="U442" s="40">
        <v>2</v>
      </c>
      <c r="V442" s="40" t="s">
        <v>45</v>
      </c>
      <c r="W442" s="40" t="s">
        <v>45</v>
      </c>
      <c r="X442" s="40" t="s">
        <v>45</v>
      </c>
      <c r="Y442" s="40" t="s">
        <v>45</v>
      </c>
      <c r="Z442" s="40">
        <v>3</v>
      </c>
      <c r="AA442" s="40">
        <v>4</v>
      </c>
      <c r="AB442" s="40" t="s">
        <v>45</v>
      </c>
      <c r="AC442" s="40" t="s">
        <v>45</v>
      </c>
      <c r="AD442" s="40" t="s">
        <v>45</v>
      </c>
      <c r="AE442" s="40" t="s">
        <v>45</v>
      </c>
      <c r="AF442" s="40" t="s">
        <v>45</v>
      </c>
      <c r="AG442" s="40" t="s">
        <v>45</v>
      </c>
      <c r="AH442" s="40" t="s">
        <v>45</v>
      </c>
      <c r="AI442" s="40" t="s">
        <v>45</v>
      </c>
      <c r="AJ442" s="40" t="s">
        <v>45</v>
      </c>
      <c r="AK442" s="40" t="s">
        <v>45</v>
      </c>
      <c r="AL442" s="40" t="s">
        <v>45</v>
      </c>
      <c r="AM442" s="40" t="s">
        <v>45</v>
      </c>
      <c r="AN442" s="40" t="s">
        <v>45</v>
      </c>
      <c r="AO442" s="41" t="s">
        <v>45</v>
      </c>
      <c r="AP442" s="40" t="s">
        <v>73</v>
      </c>
      <c r="AQ442" s="40">
        <v>8</v>
      </c>
      <c r="AR442" s="48" t="s">
        <v>347</v>
      </c>
      <c r="AS442" s="43" t="s">
        <v>45</v>
      </c>
      <c r="AT442" s="43" t="s">
        <v>47</v>
      </c>
      <c r="AU442" s="44">
        <f t="shared" si="50"/>
        <v>-2.5060525215375429</v>
      </c>
      <c r="AV442" s="44">
        <f t="shared" si="51"/>
        <v>-1.6235458802371869</v>
      </c>
      <c r="AW442" s="45">
        <f t="shared" si="52"/>
        <v>3</v>
      </c>
      <c r="AX442" s="45">
        <f t="shared" si="53"/>
        <v>0</v>
      </c>
      <c r="AY442" s="46">
        <f>VLOOKUP(AP442,COND!$A$10:$B$32,2,FALSE)</f>
        <v>0.85</v>
      </c>
      <c r="AZ442" s="44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19.798691107306439</v>
      </c>
      <c r="BA442" s="47">
        <f>STANDARDIZE(AZ442,AVERAGE($AZ$5:$AZ$557),STDEVP($AZ$5:$AZ$557))</f>
        <v>-1.0692346187586774</v>
      </c>
      <c r="BB442" s="45" t="str">
        <f t="shared" si="54"/>
        <v>SP</v>
      </c>
      <c r="BC442" s="45">
        <f>RANK(Table3[[#This Row],[zScore]],Table3[zScore])</f>
        <v>715</v>
      </c>
      <c r="BD442" s="45"/>
      <c r="BE442" s="45"/>
      <c r="BF442" s="45" t="str">
        <f t="shared" si="55"/>
        <v>Unlikely</v>
      </c>
      <c r="BG442" s="45"/>
      <c r="BH442" s="45" t="str">
        <f>INDEX(Table5[[#All],[Ovr]],MATCH(Table3[[#This Row],[PID]],Table5[[#All],[PID]],0))</f>
        <v/>
      </c>
      <c r="BI442" s="45" t="str">
        <f>INDEX(Table5[[#All],[Rnd]],MATCH(Table3[[#This Row],[PID]],Table5[[#All],[PID]],0))</f>
        <v/>
      </c>
      <c r="BJ442" s="45" t="str">
        <f>INDEX(Table5[[#All],[Pick]],MATCH(Table3[[#This Row],[PID]],Table5[[#All],[PID]],0))</f>
        <v/>
      </c>
      <c r="BK442" s="45" t="str">
        <f>INDEX(Table5[[#All],[Team]],MATCH(Table3[[#This Row],[PID]],Table5[[#All],[PID]],0))</f>
        <v/>
      </c>
      <c r="BL4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3" spans="1:64" ht="15" customHeight="1" x14ac:dyDescent="0.25">
      <c r="A443" s="40">
        <v>17973</v>
      </c>
      <c r="B443" s="40" t="s">
        <v>415</v>
      </c>
      <c r="C443" s="40" t="s">
        <v>165</v>
      </c>
      <c r="D443" s="40" t="s">
        <v>405</v>
      </c>
      <c r="E443" s="40">
        <v>22</v>
      </c>
      <c r="F443" s="40" t="s">
        <v>42</v>
      </c>
      <c r="G443" s="40" t="s">
        <v>42</v>
      </c>
      <c r="H443" s="41" t="s">
        <v>647</v>
      </c>
      <c r="I443" s="42" t="s">
        <v>43</v>
      </c>
      <c r="J443" s="40" t="s">
        <v>44</v>
      </c>
      <c r="K443" s="41" t="s">
        <v>43</v>
      </c>
      <c r="L443" s="40">
        <v>2</v>
      </c>
      <c r="M443" s="40">
        <v>2</v>
      </c>
      <c r="N443" s="41">
        <v>1</v>
      </c>
      <c r="O443" s="40">
        <v>3</v>
      </c>
      <c r="P443" s="40">
        <v>2</v>
      </c>
      <c r="Q443" s="41">
        <v>2</v>
      </c>
      <c r="R443" s="40">
        <v>3</v>
      </c>
      <c r="S443" s="40">
        <v>4</v>
      </c>
      <c r="T443" s="40">
        <v>1</v>
      </c>
      <c r="U443" s="40">
        <v>4</v>
      </c>
      <c r="V443" s="40" t="s">
        <v>45</v>
      </c>
      <c r="W443" s="40" t="s">
        <v>45</v>
      </c>
      <c r="X443" s="40" t="s">
        <v>45</v>
      </c>
      <c r="Y443" s="40" t="s">
        <v>45</v>
      </c>
      <c r="Z443" s="40" t="s">
        <v>45</v>
      </c>
      <c r="AA443" s="40" t="s">
        <v>45</v>
      </c>
      <c r="AB443" s="40" t="s">
        <v>45</v>
      </c>
      <c r="AC443" s="40" t="s">
        <v>45</v>
      </c>
      <c r="AD443" s="40">
        <v>3</v>
      </c>
      <c r="AE443" s="40">
        <v>3</v>
      </c>
      <c r="AF443" s="40">
        <v>3</v>
      </c>
      <c r="AG443" s="40">
        <v>3</v>
      </c>
      <c r="AH443" s="40" t="s">
        <v>45</v>
      </c>
      <c r="AI443" s="40" t="s">
        <v>45</v>
      </c>
      <c r="AJ443" s="40" t="s">
        <v>45</v>
      </c>
      <c r="AK443" s="40" t="s">
        <v>45</v>
      </c>
      <c r="AL443" s="40" t="s">
        <v>45</v>
      </c>
      <c r="AM443" s="40" t="s">
        <v>45</v>
      </c>
      <c r="AN443" s="40" t="s">
        <v>45</v>
      </c>
      <c r="AO443" s="41" t="s">
        <v>45</v>
      </c>
      <c r="AP443" s="40" t="s">
        <v>350</v>
      </c>
      <c r="AQ443" s="40">
        <v>8</v>
      </c>
      <c r="AR443" s="48" t="s">
        <v>347</v>
      </c>
      <c r="AS443" s="43" t="s">
        <v>45</v>
      </c>
      <c r="AT443" s="43" t="s">
        <v>635</v>
      </c>
      <c r="AU443" s="44">
        <f t="shared" si="50"/>
        <v>-2.311361197028369</v>
      </c>
      <c r="AV443" s="44">
        <f t="shared" si="51"/>
        <v>-1.4288545557280135</v>
      </c>
      <c r="AW443" s="45">
        <f t="shared" si="52"/>
        <v>4</v>
      </c>
      <c r="AX443" s="45">
        <f t="shared" si="53"/>
        <v>0</v>
      </c>
      <c r="AY443" s="46">
        <f>VLOOKUP(AP443,COND!$A$10:$B$32,2,FALSE)</f>
        <v>1</v>
      </c>
      <c r="AZ443" s="44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19.660636646034057</v>
      </c>
      <c r="BA443" s="47">
        <f>STANDARDIZE(AZ443,AVERAGE($AZ$5:$AZ$557),STDEVP($AZ$5:$AZ$557))</f>
        <v>-1.0784191711048863</v>
      </c>
      <c r="BB443" s="45" t="str">
        <f t="shared" si="54"/>
        <v>SP</v>
      </c>
      <c r="BC443" s="45">
        <f>RANK(Table3[[#This Row],[zScore]],Table3[zScore])</f>
        <v>717</v>
      </c>
      <c r="BD443" s="45"/>
      <c r="BE443" s="45"/>
      <c r="BF443" s="45" t="str">
        <f t="shared" si="55"/>
        <v>Unlikely</v>
      </c>
      <c r="BG443" s="45"/>
      <c r="BH443" s="45" t="str">
        <f>INDEX(Table5[[#All],[Ovr]],MATCH(Table3[[#This Row],[PID]],Table5[[#All],[PID]],0))</f>
        <v/>
      </c>
      <c r="BI443" s="45" t="str">
        <f>INDEX(Table5[[#All],[Rnd]],MATCH(Table3[[#This Row],[PID]],Table5[[#All],[PID]],0))</f>
        <v/>
      </c>
      <c r="BJ443" s="45" t="str">
        <f>INDEX(Table5[[#All],[Pick]],MATCH(Table3[[#This Row],[PID]],Table5[[#All],[PID]],0))</f>
        <v/>
      </c>
      <c r="BK443" s="45" t="str">
        <f>INDEX(Table5[[#All],[Team]],MATCH(Table3[[#This Row],[PID]],Table5[[#All],[PID]],0))</f>
        <v/>
      </c>
      <c r="BL4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4" spans="1:64" ht="15" customHeight="1" x14ac:dyDescent="0.25">
      <c r="A444" s="40">
        <v>4784</v>
      </c>
      <c r="B444" s="40" t="s">
        <v>415</v>
      </c>
      <c r="C444" s="40" t="s">
        <v>180</v>
      </c>
      <c r="D444" s="40" t="s">
        <v>206</v>
      </c>
      <c r="E444" s="40">
        <v>22</v>
      </c>
      <c r="F444" s="40" t="s">
        <v>62</v>
      </c>
      <c r="G444" s="40" t="s">
        <v>42</v>
      </c>
      <c r="H444" s="41" t="s">
        <v>647</v>
      </c>
      <c r="I444" s="42" t="s">
        <v>44</v>
      </c>
      <c r="J444" s="40" t="s">
        <v>44</v>
      </c>
      <c r="K444" s="41" t="s">
        <v>44</v>
      </c>
      <c r="L444" s="40">
        <v>2</v>
      </c>
      <c r="M444" s="40">
        <v>2</v>
      </c>
      <c r="N444" s="41">
        <v>2</v>
      </c>
      <c r="O444" s="40">
        <v>4</v>
      </c>
      <c r="P444" s="40">
        <v>2</v>
      </c>
      <c r="Q444" s="41">
        <v>2</v>
      </c>
      <c r="R444" s="40">
        <v>4</v>
      </c>
      <c r="S444" s="40">
        <v>5</v>
      </c>
      <c r="T444" s="40">
        <v>1</v>
      </c>
      <c r="U444" s="40">
        <v>4</v>
      </c>
      <c r="V444" s="40" t="s">
        <v>45</v>
      </c>
      <c r="W444" s="40" t="s">
        <v>45</v>
      </c>
      <c r="X444" s="40">
        <v>3</v>
      </c>
      <c r="Y444" s="40">
        <v>4</v>
      </c>
      <c r="Z444" s="40" t="s">
        <v>45</v>
      </c>
      <c r="AA444" s="40" t="s">
        <v>45</v>
      </c>
      <c r="AB444" s="40" t="s">
        <v>45</v>
      </c>
      <c r="AC444" s="40" t="s">
        <v>45</v>
      </c>
      <c r="AD444" s="40" t="s">
        <v>45</v>
      </c>
      <c r="AE444" s="40" t="s">
        <v>45</v>
      </c>
      <c r="AF444" s="40" t="s">
        <v>45</v>
      </c>
      <c r="AG444" s="40" t="s">
        <v>45</v>
      </c>
      <c r="AH444" s="40" t="s">
        <v>45</v>
      </c>
      <c r="AI444" s="40" t="s">
        <v>45</v>
      </c>
      <c r="AJ444" s="40" t="s">
        <v>45</v>
      </c>
      <c r="AK444" s="40" t="s">
        <v>45</v>
      </c>
      <c r="AL444" s="40" t="s">
        <v>45</v>
      </c>
      <c r="AM444" s="40" t="s">
        <v>45</v>
      </c>
      <c r="AN444" s="40" t="s">
        <v>45</v>
      </c>
      <c r="AO444" s="41" t="s">
        <v>45</v>
      </c>
      <c r="AP444" s="40" t="s">
        <v>350</v>
      </c>
      <c r="AQ444" s="40">
        <v>4</v>
      </c>
      <c r="AR444" s="48" t="s">
        <v>14</v>
      </c>
      <c r="AS444" s="43" t="s">
        <v>45</v>
      </c>
      <c r="AT444" s="43" t="s">
        <v>47</v>
      </c>
      <c r="AU444" s="44">
        <f t="shared" si="50"/>
        <v>-2.0690406309742588</v>
      </c>
      <c r="AV444" s="44">
        <f t="shared" si="51"/>
        <v>-1.23416323121884</v>
      </c>
      <c r="AW444" s="45">
        <f t="shared" si="52"/>
        <v>3</v>
      </c>
      <c r="AX444" s="45">
        <f t="shared" si="53"/>
        <v>0</v>
      </c>
      <c r="AY444" s="46">
        <f>VLOOKUP(AP444,COND!$A$10:$B$32,2,FALSE)</f>
        <v>1</v>
      </c>
      <c r="AZ444" s="44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21.832780886956932</v>
      </c>
      <c r="BA444" s="47">
        <f>STANDARDIZE(AZ444,AVERAGE($AZ$5:$AZ$663),STDEVP($AZ$5:$AZ$663))</f>
        <v>-1.0940084856011645</v>
      </c>
      <c r="BB444" s="45" t="str">
        <f t="shared" si="54"/>
        <v>RP</v>
      </c>
      <c r="BC444" s="45">
        <f>RANK(Table3[[#This Row],[zScore]],Table3[zScore])</f>
        <v>718</v>
      </c>
      <c r="BD444" s="45"/>
      <c r="BE444" s="45"/>
      <c r="BF444" s="45" t="str">
        <f t="shared" si="55"/>
        <v>Unlikely</v>
      </c>
      <c r="BG444" s="45"/>
      <c r="BH444" s="45" t="str">
        <f>INDEX(Table5[[#All],[Ovr]],MATCH(Table3[[#This Row],[PID]],Table5[[#All],[PID]],0))</f>
        <v/>
      </c>
      <c r="BI444" s="45" t="str">
        <f>INDEX(Table5[[#All],[Rnd]],MATCH(Table3[[#This Row],[PID]],Table5[[#All],[PID]],0))</f>
        <v/>
      </c>
      <c r="BJ444" s="45" t="str">
        <f>INDEX(Table5[[#All],[Pick]],MATCH(Table3[[#This Row],[PID]],Table5[[#All],[PID]],0))</f>
        <v/>
      </c>
      <c r="BK444" s="45" t="str">
        <f>INDEX(Table5[[#All],[Team]],MATCH(Table3[[#This Row],[PID]],Table5[[#All],[PID]],0))</f>
        <v/>
      </c>
      <c r="BL4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5" spans="1:64" ht="15" customHeight="1" x14ac:dyDescent="0.25">
      <c r="A445" s="40">
        <v>17922</v>
      </c>
      <c r="B445" s="40" t="s">
        <v>415</v>
      </c>
      <c r="C445" s="40" t="s">
        <v>1736</v>
      </c>
      <c r="D445" s="40" t="s">
        <v>1006</v>
      </c>
      <c r="E445" s="40">
        <v>18</v>
      </c>
      <c r="F445" s="40" t="s">
        <v>42</v>
      </c>
      <c r="G445" s="40" t="s">
        <v>42</v>
      </c>
      <c r="H445" s="41" t="s">
        <v>647</v>
      </c>
      <c r="I445" s="42" t="s">
        <v>43</v>
      </c>
      <c r="J445" s="40" t="s">
        <v>43</v>
      </c>
      <c r="K445" s="41" t="s">
        <v>44</v>
      </c>
      <c r="L445" s="40">
        <v>2</v>
      </c>
      <c r="M445" s="40">
        <v>1</v>
      </c>
      <c r="N445" s="41">
        <v>1</v>
      </c>
      <c r="O445" s="40">
        <v>2</v>
      </c>
      <c r="P445" s="40">
        <v>2</v>
      </c>
      <c r="Q445" s="41">
        <v>2</v>
      </c>
      <c r="R445" s="40">
        <v>3</v>
      </c>
      <c r="S445" s="40">
        <v>3</v>
      </c>
      <c r="T445" s="40" t="s">
        <v>45</v>
      </c>
      <c r="U445" s="40" t="s">
        <v>45</v>
      </c>
      <c r="V445" s="40">
        <v>1</v>
      </c>
      <c r="W445" s="40">
        <v>2</v>
      </c>
      <c r="X445" s="40">
        <v>2</v>
      </c>
      <c r="Y445" s="40">
        <v>4</v>
      </c>
      <c r="Z445" s="40" t="s">
        <v>45</v>
      </c>
      <c r="AA445" s="40" t="s">
        <v>45</v>
      </c>
      <c r="AB445" s="40" t="s">
        <v>45</v>
      </c>
      <c r="AC445" s="40" t="s">
        <v>45</v>
      </c>
      <c r="AD445" s="40" t="s">
        <v>45</v>
      </c>
      <c r="AE445" s="40" t="s">
        <v>45</v>
      </c>
      <c r="AF445" s="40" t="s">
        <v>45</v>
      </c>
      <c r="AG445" s="40" t="s">
        <v>45</v>
      </c>
      <c r="AH445" s="40" t="s">
        <v>45</v>
      </c>
      <c r="AI445" s="40" t="s">
        <v>45</v>
      </c>
      <c r="AJ445" s="40" t="s">
        <v>45</v>
      </c>
      <c r="AK445" s="40" t="s">
        <v>45</v>
      </c>
      <c r="AL445" s="40" t="s">
        <v>45</v>
      </c>
      <c r="AM445" s="40" t="s">
        <v>45</v>
      </c>
      <c r="AN445" s="40" t="s">
        <v>45</v>
      </c>
      <c r="AO445" s="41" t="s">
        <v>45</v>
      </c>
      <c r="AP445" s="40" t="s">
        <v>68</v>
      </c>
      <c r="AQ445" s="40">
        <v>7</v>
      </c>
      <c r="AR445" s="48" t="s">
        <v>14</v>
      </c>
      <c r="AS445" s="43" t="s">
        <v>644</v>
      </c>
      <c r="AT445" s="43" t="s">
        <v>635</v>
      </c>
      <c r="AU445" s="44">
        <f t="shared" si="50"/>
        <v>-2.5067929134584248</v>
      </c>
      <c r="AV445" s="44">
        <f t="shared" si="51"/>
        <v>-1.6235458802371869</v>
      </c>
      <c r="AW445" s="45">
        <f t="shared" si="52"/>
        <v>3</v>
      </c>
      <c r="AX445" s="45">
        <f t="shared" si="53"/>
        <v>0</v>
      </c>
      <c r="AY445" s="46">
        <f>VLOOKUP(AP445,COND!$A$10:$B$32,2,FALSE)</f>
        <v>0.95</v>
      </c>
      <c r="AZ445" s="44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21.801337621936344</v>
      </c>
      <c r="BA445" s="47">
        <f>STANDARDIZE(AZ445,AVERAGE($AZ$5:$AZ$663),STDEVP($AZ$5:$AZ$663))</f>
        <v>-1.0961623400035689</v>
      </c>
      <c r="BB445" s="45" t="str">
        <f t="shared" si="54"/>
        <v>SP</v>
      </c>
      <c r="BC445" s="45">
        <f>RANK(Table3[[#This Row],[zScore]],Table3[zScore])</f>
        <v>721</v>
      </c>
      <c r="BD445" s="45"/>
      <c r="BE445" s="45"/>
      <c r="BF445" s="45" t="str">
        <f t="shared" si="55"/>
        <v>Unlikely</v>
      </c>
      <c r="BG445" s="45"/>
      <c r="BH445" s="45" t="str">
        <f>INDEX(Table5[[#All],[Ovr]],MATCH(Table3[[#This Row],[PID]],Table5[[#All],[PID]],0))</f>
        <v/>
      </c>
      <c r="BI445" s="45" t="str">
        <f>INDEX(Table5[[#All],[Rnd]],MATCH(Table3[[#This Row],[PID]],Table5[[#All],[PID]],0))</f>
        <v/>
      </c>
      <c r="BJ445" s="45" t="str">
        <f>INDEX(Table5[[#All],[Pick]],MATCH(Table3[[#This Row],[PID]],Table5[[#All],[PID]],0))</f>
        <v/>
      </c>
      <c r="BK445" s="45" t="str">
        <f>INDEX(Table5[[#All],[Team]],MATCH(Table3[[#This Row],[PID]],Table5[[#All],[PID]],0))</f>
        <v/>
      </c>
      <c r="BL4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6" spans="1:64" ht="15" customHeight="1" x14ac:dyDescent="0.25">
      <c r="A446" s="40">
        <v>11938</v>
      </c>
      <c r="B446" s="40" t="s">
        <v>415</v>
      </c>
      <c r="C446" s="40" t="s">
        <v>174</v>
      </c>
      <c r="D446" s="40" t="s">
        <v>206</v>
      </c>
      <c r="E446" s="40">
        <v>22</v>
      </c>
      <c r="F446" s="40" t="s">
        <v>42</v>
      </c>
      <c r="G446" s="40" t="s">
        <v>42</v>
      </c>
      <c r="H446" s="41" t="s">
        <v>647</v>
      </c>
      <c r="I446" s="42" t="s">
        <v>47</v>
      </c>
      <c r="J446" s="40" t="s">
        <v>43</v>
      </c>
      <c r="K446" s="41" t="s">
        <v>43</v>
      </c>
      <c r="L446" s="40">
        <v>2</v>
      </c>
      <c r="M446" s="40">
        <v>1</v>
      </c>
      <c r="N446" s="41">
        <v>2</v>
      </c>
      <c r="O446" s="40">
        <v>3</v>
      </c>
      <c r="P446" s="40">
        <v>1</v>
      </c>
      <c r="Q446" s="41">
        <v>3</v>
      </c>
      <c r="R446" s="40">
        <v>4</v>
      </c>
      <c r="S446" s="40">
        <v>5</v>
      </c>
      <c r="T446" s="40">
        <v>1</v>
      </c>
      <c r="U446" s="40">
        <v>1</v>
      </c>
      <c r="V446" s="40">
        <v>3</v>
      </c>
      <c r="W446" s="40">
        <v>4</v>
      </c>
      <c r="X446" s="40" t="s">
        <v>45</v>
      </c>
      <c r="Y446" s="40" t="s">
        <v>45</v>
      </c>
      <c r="Z446" s="40" t="s">
        <v>45</v>
      </c>
      <c r="AA446" s="40" t="s">
        <v>45</v>
      </c>
      <c r="AB446" s="40" t="s">
        <v>45</v>
      </c>
      <c r="AC446" s="40" t="s">
        <v>45</v>
      </c>
      <c r="AD446" s="40" t="s">
        <v>45</v>
      </c>
      <c r="AE446" s="40" t="s">
        <v>45</v>
      </c>
      <c r="AF446" s="40" t="s">
        <v>45</v>
      </c>
      <c r="AG446" s="40" t="s">
        <v>45</v>
      </c>
      <c r="AH446" s="40">
        <v>1</v>
      </c>
      <c r="AI446" s="40">
        <v>4</v>
      </c>
      <c r="AJ446" s="40" t="s">
        <v>45</v>
      </c>
      <c r="AK446" s="40" t="s">
        <v>45</v>
      </c>
      <c r="AL446" s="40" t="s">
        <v>45</v>
      </c>
      <c r="AM446" s="40" t="s">
        <v>45</v>
      </c>
      <c r="AN446" s="40" t="s">
        <v>45</v>
      </c>
      <c r="AO446" s="41" t="s">
        <v>45</v>
      </c>
      <c r="AP446" s="40" t="s">
        <v>350</v>
      </c>
      <c r="AQ446" s="40">
        <v>6</v>
      </c>
      <c r="AR446" s="48" t="s">
        <v>351</v>
      </c>
      <c r="AS446" s="43" t="s">
        <v>45</v>
      </c>
      <c r="AT446" s="43" t="s">
        <v>47</v>
      </c>
      <c r="AU446" s="44">
        <f t="shared" si="50"/>
        <v>-2.2644723474043147</v>
      </c>
      <c r="AV446" s="44">
        <f t="shared" si="51"/>
        <v>-1.3819657061039585</v>
      </c>
      <c r="AW446" s="45">
        <f t="shared" si="52"/>
        <v>4</v>
      </c>
      <c r="AX446" s="45">
        <f t="shared" si="53"/>
        <v>0</v>
      </c>
      <c r="AY446" s="46">
        <f>VLOOKUP(AP446,COND!$A$10:$B$32,2,FALSE)</f>
        <v>1</v>
      </c>
      <c r="AZ446" s="44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21.785096623228966</v>
      </c>
      <c r="BA446" s="47">
        <f>STANDARDIZE(AZ446,AVERAGE($AZ$5:$AZ$663),STDEVP($AZ$5:$AZ$663))</f>
        <v>-1.097274843636459</v>
      </c>
      <c r="BB446" s="45" t="str">
        <f t="shared" si="54"/>
        <v>SP</v>
      </c>
      <c r="BC446" s="45">
        <f>RANK(Table3[[#This Row],[zScore]],Table3[zScore])</f>
        <v>722</v>
      </c>
      <c r="BD446" s="45"/>
      <c r="BE446" s="45"/>
      <c r="BF446" s="45" t="str">
        <f t="shared" si="55"/>
        <v>Unlikely</v>
      </c>
      <c r="BG446" s="45"/>
      <c r="BH446" s="45" t="str">
        <f>INDEX(Table5[[#All],[Ovr]],MATCH(Table3[[#This Row],[PID]],Table5[[#All],[PID]],0))</f>
        <v/>
      </c>
      <c r="BI446" s="45" t="str">
        <f>INDEX(Table5[[#All],[Rnd]],MATCH(Table3[[#This Row],[PID]],Table5[[#All],[PID]],0))</f>
        <v/>
      </c>
      <c r="BJ446" s="45" t="str">
        <f>INDEX(Table5[[#All],[Pick]],MATCH(Table3[[#This Row],[PID]],Table5[[#All],[PID]],0))</f>
        <v/>
      </c>
      <c r="BK446" s="45" t="str">
        <f>INDEX(Table5[[#All],[Team]],MATCH(Table3[[#This Row],[PID]],Table5[[#All],[PID]],0))</f>
        <v/>
      </c>
      <c r="BL44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47" spans="1:64" ht="15" customHeight="1" x14ac:dyDescent="0.25">
      <c r="A447" s="40">
        <v>13172</v>
      </c>
      <c r="B447" s="40" t="s">
        <v>415</v>
      </c>
      <c r="C447" s="40" t="s">
        <v>801</v>
      </c>
      <c r="D447" s="40" t="s">
        <v>393</v>
      </c>
      <c r="E447" s="40">
        <v>21</v>
      </c>
      <c r="F447" s="40" t="s">
        <v>53</v>
      </c>
      <c r="G447" s="40" t="s">
        <v>42</v>
      </c>
      <c r="H447" s="41" t="s">
        <v>647</v>
      </c>
      <c r="I447" s="42" t="s">
        <v>43</v>
      </c>
      <c r="J447" s="40" t="s">
        <v>44</v>
      </c>
      <c r="K447" s="41" t="s">
        <v>43</v>
      </c>
      <c r="L447" s="40">
        <v>1</v>
      </c>
      <c r="M447" s="40">
        <v>1</v>
      </c>
      <c r="N447" s="41">
        <v>1</v>
      </c>
      <c r="O447" s="40">
        <v>4</v>
      </c>
      <c r="P447" s="40">
        <v>1</v>
      </c>
      <c r="Q447" s="41">
        <v>2</v>
      </c>
      <c r="R447" s="40">
        <v>2</v>
      </c>
      <c r="S447" s="40">
        <v>4</v>
      </c>
      <c r="T447" s="40">
        <v>1</v>
      </c>
      <c r="U447" s="40">
        <v>5</v>
      </c>
      <c r="V447" s="40" t="s">
        <v>45</v>
      </c>
      <c r="W447" s="40" t="s">
        <v>45</v>
      </c>
      <c r="X447" s="40">
        <v>2</v>
      </c>
      <c r="Y447" s="40">
        <v>6</v>
      </c>
      <c r="Z447" s="40" t="s">
        <v>45</v>
      </c>
      <c r="AA447" s="40" t="s">
        <v>45</v>
      </c>
      <c r="AB447" s="40" t="s">
        <v>45</v>
      </c>
      <c r="AC447" s="40" t="s">
        <v>45</v>
      </c>
      <c r="AD447" s="40" t="s">
        <v>45</v>
      </c>
      <c r="AE447" s="40" t="s">
        <v>45</v>
      </c>
      <c r="AF447" s="40" t="s">
        <v>45</v>
      </c>
      <c r="AG447" s="40" t="s">
        <v>45</v>
      </c>
      <c r="AH447" s="40" t="s">
        <v>45</v>
      </c>
      <c r="AI447" s="40" t="s">
        <v>45</v>
      </c>
      <c r="AJ447" s="40" t="s">
        <v>45</v>
      </c>
      <c r="AK447" s="40" t="s">
        <v>45</v>
      </c>
      <c r="AL447" s="40" t="s">
        <v>45</v>
      </c>
      <c r="AM447" s="40" t="s">
        <v>45</v>
      </c>
      <c r="AN447" s="40" t="s">
        <v>45</v>
      </c>
      <c r="AO447" s="41" t="s">
        <v>45</v>
      </c>
      <c r="AP447" s="40" t="s">
        <v>65</v>
      </c>
      <c r="AQ447" s="40">
        <v>9</v>
      </c>
      <c r="AR447" s="48" t="s">
        <v>351</v>
      </c>
      <c r="AS447" s="43" t="s">
        <v>45</v>
      </c>
      <c r="AT447" s="43"/>
      <c r="AU447" s="44">
        <f t="shared" si="50"/>
        <v>-2.7014842379675978</v>
      </c>
      <c r="AV447" s="44">
        <f t="shared" si="51"/>
        <v>-1.4295949476488956</v>
      </c>
      <c r="AW447" s="45">
        <f t="shared" si="52"/>
        <v>3</v>
      </c>
      <c r="AX447" s="45">
        <f t="shared" si="53"/>
        <v>1</v>
      </c>
      <c r="AY447" s="46">
        <f>VLOOKUP(AP447,COND!$A$10:$B$32,2,FALSE)</f>
        <v>0.95</v>
      </c>
      <c r="AZ447" s="44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21.636913989457138</v>
      </c>
      <c r="BA447" s="47">
        <f>STANDARDIZE(AZ447,AVERAGE($AZ$5:$AZ$788),STDEVP($AZ$5:$AZ$788))</f>
        <v>-1.0957531956425115</v>
      </c>
      <c r="BB447" s="45" t="str">
        <f t="shared" si="54"/>
        <v>SP</v>
      </c>
      <c r="BC447" s="45">
        <f>RANK(Table3[[#This Row],[zScore]],Table3[zScore])</f>
        <v>719</v>
      </c>
      <c r="BD447" s="45"/>
      <c r="BE447" s="45"/>
      <c r="BF447" s="45" t="str">
        <f t="shared" si="55"/>
        <v>Unlikely</v>
      </c>
      <c r="BG447" s="45"/>
      <c r="BH447" s="64" t="str">
        <f>INDEX(Table5[[#All],[Ovr]],MATCH(Table3[[#This Row],[PID]],Table5[[#All],[PID]],0))</f>
        <v/>
      </c>
      <c r="BI447" s="64" t="str">
        <f>INDEX(Table5[[#All],[Rnd]],MATCH(Table3[[#This Row],[PID]],Table5[[#All],[PID]],0))</f>
        <v/>
      </c>
      <c r="BJ447" s="64" t="str">
        <f>INDEX(Table5[[#All],[Pick]],MATCH(Table3[[#This Row],[PID]],Table5[[#All],[PID]],0))</f>
        <v/>
      </c>
      <c r="BK447" s="64" t="str">
        <f>INDEX(Table5[[#All],[Team]],MATCH(Table3[[#This Row],[PID]],Table5[[#All],[PID]],0))</f>
        <v/>
      </c>
      <c r="BL447" s="64" t="str">
        <f>IF(OR(Table3[[#This Row],[POS]]="SP",Table3[[#This Row],[POS]]="RP",Table3[[#This Row],[POS]]="CL"),"P",INDEX(Batters[[#All],[zScore]],MATCH(Table3[[#This Row],[PID]],Batters[[#All],[PID]],0)))</f>
        <v>P</v>
      </c>
    </row>
    <row r="448" spans="1:64" ht="15" customHeight="1" x14ac:dyDescent="0.25">
      <c r="A448" s="40">
        <v>12612</v>
      </c>
      <c r="B448" s="40" t="s">
        <v>415</v>
      </c>
      <c r="C448" s="40" t="s">
        <v>893</v>
      </c>
      <c r="D448" s="40" t="s">
        <v>382</v>
      </c>
      <c r="E448" s="40">
        <v>22</v>
      </c>
      <c r="F448" s="40" t="s">
        <v>53</v>
      </c>
      <c r="G448" s="40" t="s">
        <v>42</v>
      </c>
      <c r="H448" s="41" t="s">
        <v>647</v>
      </c>
      <c r="I448" s="42" t="s">
        <v>43</v>
      </c>
      <c r="J448" s="40" t="s">
        <v>43</v>
      </c>
      <c r="K448" s="41" t="s">
        <v>47</v>
      </c>
      <c r="L448" s="40">
        <v>1</v>
      </c>
      <c r="M448" s="40">
        <v>2</v>
      </c>
      <c r="N448" s="41">
        <v>1</v>
      </c>
      <c r="O448" s="40">
        <v>2</v>
      </c>
      <c r="P448" s="40">
        <v>2</v>
      </c>
      <c r="Q448" s="41">
        <v>2</v>
      </c>
      <c r="R448" s="40">
        <v>2</v>
      </c>
      <c r="S448" s="40">
        <v>2</v>
      </c>
      <c r="T448" s="40">
        <v>1</v>
      </c>
      <c r="U448" s="40">
        <v>1</v>
      </c>
      <c r="V448" s="40" t="s">
        <v>45</v>
      </c>
      <c r="W448" s="40" t="s">
        <v>45</v>
      </c>
      <c r="X448" s="40">
        <v>2</v>
      </c>
      <c r="Y448" s="40">
        <v>3</v>
      </c>
      <c r="Z448" s="40" t="s">
        <v>45</v>
      </c>
      <c r="AA448" s="40" t="s">
        <v>45</v>
      </c>
      <c r="AB448" s="40" t="s">
        <v>45</v>
      </c>
      <c r="AC448" s="40" t="s">
        <v>45</v>
      </c>
      <c r="AD448" s="40" t="s">
        <v>45</v>
      </c>
      <c r="AE448" s="40" t="s">
        <v>45</v>
      </c>
      <c r="AF448" s="40">
        <v>2</v>
      </c>
      <c r="AG448" s="40">
        <v>3</v>
      </c>
      <c r="AH448" s="40" t="s">
        <v>45</v>
      </c>
      <c r="AI448" s="40" t="s">
        <v>45</v>
      </c>
      <c r="AJ448" s="40" t="s">
        <v>45</v>
      </c>
      <c r="AK448" s="40" t="s">
        <v>45</v>
      </c>
      <c r="AL448" s="40" t="s">
        <v>45</v>
      </c>
      <c r="AM448" s="40" t="s">
        <v>45</v>
      </c>
      <c r="AN448" s="40" t="s">
        <v>45</v>
      </c>
      <c r="AO448" s="41" t="s">
        <v>45</v>
      </c>
      <c r="AP448" s="40" t="s">
        <v>73</v>
      </c>
      <c r="AQ448" s="40">
        <v>6</v>
      </c>
      <c r="AR448" s="48" t="s">
        <v>347</v>
      </c>
      <c r="AS448" s="43" t="s">
        <v>45</v>
      </c>
      <c r="AT448" s="43"/>
      <c r="AU448" s="44">
        <f t="shared" si="50"/>
        <v>-2.5060525215375429</v>
      </c>
      <c r="AV448" s="44">
        <f t="shared" si="51"/>
        <v>-1.6235458802371869</v>
      </c>
      <c r="AW448" s="45">
        <f t="shared" si="52"/>
        <v>4</v>
      </c>
      <c r="AX448" s="45">
        <f t="shared" si="53"/>
        <v>0</v>
      </c>
      <c r="AY448" s="46">
        <f>VLOOKUP(AP448,COND!$A$10:$B$32,2,FALSE)</f>
        <v>0.85</v>
      </c>
      <c r="AZ448" s="44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21.631848829623781</v>
      </c>
      <c r="BA448" s="47">
        <f>STANDARDIZE(AZ448,AVERAGE($AZ$5:$AZ$788),STDEVP($AZ$5:$AZ$788))</f>
        <v>-1.0961197230958832</v>
      </c>
      <c r="BB448" s="45" t="str">
        <f t="shared" si="54"/>
        <v>SP</v>
      </c>
      <c r="BC448" s="45">
        <f>RANK(Table3[[#This Row],[zScore]],Table3[zScore])</f>
        <v>720</v>
      </c>
      <c r="BD448" s="45"/>
      <c r="BE448" s="45"/>
      <c r="BF448" s="45" t="str">
        <f t="shared" si="55"/>
        <v>Unlikely</v>
      </c>
      <c r="BG448" s="45"/>
      <c r="BH448" s="64" t="str">
        <f>INDEX(Table5[[#All],[Ovr]],MATCH(Table3[[#This Row],[PID]],Table5[[#All],[PID]],0))</f>
        <v/>
      </c>
      <c r="BI448" s="64" t="str">
        <f>INDEX(Table5[[#All],[Rnd]],MATCH(Table3[[#This Row],[PID]],Table5[[#All],[PID]],0))</f>
        <v/>
      </c>
      <c r="BJ448" s="64" t="str">
        <f>INDEX(Table5[[#All],[Pick]],MATCH(Table3[[#This Row],[PID]],Table5[[#All],[PID]],0))</f>
        <v/>
      </c>
      <c r="BK448" s="64" t="str">
        <f>INDEX(Table5[[#All],[Team]],MATCH(Table3[[#This Row],[PID]],Table5[[#All],[PID]],0))</f>
        <v/>
      </c>
      <c r="BL448" s="64" t="str">
        <f>IF(OR(Table3[[#This Row],[POS]]="SP",Table3[[#This Row],[POS]]="RP",Table3[[#This Row],[POS]]="CL"),"P",INDEX(Batters[[#All],[zScore]],MATCH(Table3[[#This Row],[PID]],Batters[[#All],[PID]],0)))</f>
        <v>P</v>
      </c>
    </row>
    <row r="449" spans="1:64" ht="15" customHeight="1" x14ac:dyDescent="0.25">
      <c r="A449" s="40">
        <v>13794</v>
      </c>
      <c r="B449" s="40" t="s">
        <v>415</v>
      </c>
      <c r="C449" s="40" t="s">
        <v>2112</v>
      </c>
      <c r="D449" s="40" t="s">
        <v>1539</v>
      </c>
      <c r="E449" s="40">
        <v>21</v>
      </c>
      <c r="F449" s="40" t="s">
        <v>42</v>
      </c>
      <c r="G449" s="40" t="s">
        <v>42</v>
      </c>
      <c r="H449" s="41" t="s">
        <v>647</v>
      </c>
      <c r="I449" s="42" t="s">
        <v>43</v>
      </c>
      <c r="J449" s="40" t="s">
        <v>44</v>
      </c>
      <c r="K449" s="41" t="s">
        <v>47</v>
      </c>
      <c r="L449" s="40">
        <v>2</v>
      </c>
      <c r="M449" s="40">
        <v>1</v>
      </c>
      <c r="N449" s="41">
        <v>1</v>
      </c>
      <c r="O449" s="40">
        <v>3</v>
      </c>
      <c r="P449" s="40">
        <v>1</v>
      </c>
      <c r="Q449" s="41">
        <v>3</v>
      </c>
      <c r="R449" s="40">
        <v>3</v>
      </c>
      <c r="S449" s="40">
        <v>4</v>
      </c>
      <c r="T449" s="40">
        <v>1</v>
      </c>
      <c r="U449" s="40">
        <v>5</v>
      </c>
      <c r="V449" s="40" t="s">
        <v>45</v>
      </c>
      <c r="W449" s="40" t="s">
        <v>45</v>
      </c>
      <c r="X449" s="40" t="s">
        <v>45</v>
      </c>
      <c r="Y449" s="40" t="s">
        <v>45</v>
      </c>
      <c r="Z449" s="40">
        <v>2</v>
      </c>
      <c r="AA449" s="40">
        <v>3</v>
      </c>
      <c r="AB449" s="40" t="s">
        <v>45</v>
      </c>
      <c r="AC449" s="40" t="s">
        <v>45</v>
      </c>
      <c r="AD449" s="40" t="s">
        <v>45</v>
      </c>
      <c r="AE449" s="40" t="s">
        <v>45</v>
      </c>
      <c r="AF449" s="40" t="s">
        <v>45</v>
      </c>
      <c r="AG449" s="40" t="s">
        <v>45</v>
      </c>
      <c r="AH449" s="40" t="s">
        <v>45</v>
      </c>
      <c r="AI449" s="40" t="s">
        <v>45</v>
      </c>
      <c r="AJ449" s="40" t="s">
        <v>45</v>
      </c>
      <c r="AK449" s="40" t="s">
        <v>45</v>
      </c>
      <c r="AL449" s="40" t="s">
        <v>45</v>
      </c>
      <c r="AM449" s="40" t="s">
        <v>45</v>
      </c>
      <c r="AN449" s="40" t="s">
        <v>45</v>
      </c>
      <c r="AO449" s="41" t="s">
        <v>45</v>
      </c>
      <c r="AP449" s="40" t="s">
        <v>65</v>
      </c>
      <c r="AQ449" s="40">
        <v>10</v>
      </c>
      <c r="AR449" s="48" t="s">
        <v>14</v>
      </c>
      <c r="AS449" s="43" t="s">
        <v>45</v>
      </c>
      <c r="AT449" s="43" t="s">
        <v>635</v>
      </c>
      <c r="AU449" s="44">
        <f t="shared" si="50"/>
        <v>-2.5067929134584248</v>
      </c>
      <c r="AV449" s="44">
        <f t="shared" si="51"/>
        <v>-1.3819657061039585</v>
      </c>
      <c r="AW449" s="45">
        <f t="shared" si="52"/>
        <v>3</v>
      </c>
      <c r="AX449" s="45">
        <f t="shared" si="53"/>
        <v>0</v>
      </c>
      <c r="AY449" s="46">
        <f>VLOOKUP(AP449,COND!$A$10:$B$32,2,FALSE)</f>
        <v>0.95</v>
      </c>
      <c r="AZ449" s="44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21.691360930467688</v>
      </c>
      <c r="BA449" s="47">
        <f>STANDARDIZE(AZ449,AVERAGE($AZ$5:$AZ$663),STDEVP($AZ$5:$AZ$663))</f>
        <v>-1.1036957110108907</v>
      </c>
      <c r="BB449" s="45" t="str">
        <f t="shared" si="54"/>
        <v>SP</v>
      </c>
      <c r="BC449" s="45">
        <f>RANK(Table3[[#This Row],[zScore]],Table3[zScore])</f>
        <v>723</v>
      </c>
      <c r="BD449" s="45"/>
      <c r="BE449" s="45"/>
      <c r="BF449" s="45" t="str">
        <f t="shared" si="55"/>
        <v>Unlikely</v>
      </c>
      <c r="BG449" s="45"/>
      <c r="BH449" s="45" t="str">
        <f>INDEX(Table5[[#All],[Ovr]],MATCH(Table3[[#This Row],[PID]],Table5[[#All],[PID]],0))</f>
        <v/>
      </c>
      <c r="BI449" s="45" t="str">
        <f>INDEX(Table5[[#All],[Rnd]],MATCH(Table3[[#This Row],[PID]],Table5[[#All],[PID]],0))</f>
        <v/>
      </c>
      <c r="BJ449" s="45" t="str">
        <f>INDEX(Table5[[#All],[Pick]],MATCH(Table3[[#This Row],[PID]],Table5[[#All],[PID]],0))</f>
        <v/>
      </c>
      <c r="BK449" s="45" t="str">
        <f>INDEX(Table5[[#All],[Team]],MATCH(Table3[[#This Row],[PID]],Table5[[#All],[PID]],0))</f>
        <v/>
      </c>
      <c r="BL4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0" spans="1:64" ht="15" customHeight="1" x14ac:dyDescent="0.25">
      <c r="A450" s="40">
        <v>5821</v>
      </c>
      <c r="B450" s="40" t="s">
        <v>415</v>
      </c>
      <c r="C450" s="40" t="s">
        <v>151</v>
      </c>
      <c r="D450" s="40" t="s">
        <v>575</v>
      </c>
      <c r="E450" s="40">
        <v>22</v>
      </c>
      <c r="F450" s="40" t="s">
        <v>53</v>
      </c>
      <c r="G450" s="40" t="s">
        <v>42</v>
      </c>
      <c r="H450" s="41" t="s">
        <v>647</v>
      </c>
      <c r="I450" s="42" t="s">
        <v>43</v>
      </c>
      <c r="J450" s="40" t="s">
        <v>44</v>
      </c>
      <c r="K450" s="41" t="s">
        <v>43</v>
      </c>
      <c r="L450" s="40">
        <v>2</v>
      </c>
      <c r="M450" s="40">
        <v>2</v>
      </c>
      <c r="N450" s="41">
        <v>2</v>
      </c>
      <c r="O450" s="40">
        <v>3</v>
      </c>
      <c r="P450" s="40">
        <v>2</v>
      </c>
      <c r="Q450" s="41">
        <v>2</v>
      </c>
      <c r="R450" s="40" t="s">
        <v>45</v>
      </c>
      <c r="S450" s="40" t="s">
        <v>45</v>
      </c>
      <c r="T450" s="40">
        <v>1</v>
      </c>
      <c r="U450" s="40">
        <v>1</v>
      </c>
      <c r="V450" s="40" t="s">
        <v>45</v>
      </c>
      <c r="W450" s="40" t="s">
        <v>45</v>
      </c>
      <c r="X450" s="40" t="s">
        <v>45</v>
      </c>
      <c r="Y450" s="40" t="s">
        <v>45</v>
      </c>
      <c r="Z450" s="40">
        <v>3</v>
      </c>
      <c r="AA450" s="40">
        <v>4</v>
      </c>
      <c r="AB450" s="40" t="s">
        <v>45</v>
      </c>
      <c r="AC450" s="40" t="s">
        <v>45</v>
      </c>
      <c r="AD450" s="40">
        <v>3</v>
      </c>
      <c r="AE450" s="40">
        <v>4</v>
      </c>
      <c r="AF450" s="40" t="s">
        <v>45</v>
      </c>
      <c r="AG450" s="40" t="s">
        <v>45</v>
      </c>
      <c r="AH450" s="40" t="s">
        <v>45</v>
      </c>
      <c r="AI450" s="40" t="s">
        <v>45</v>
      </c>
      <c r="AJ450" s="40" t="s">
        <v>45</v>
      </c>
      <c r="AK450" s="40" t="s">
        <v>45</v>
      </c>
      <c r="AL450" s="40" t="s">
        <v>45</v>
      </c>
      <c r="AM450" s="40" t="s">
        <v>45</v>
      </c>
      <c r="AN450" s="40" t="s">
        <v>45</v>
      </c>
      <c r="AO450" s="41" t="s">
        <v>45</v>
      </c>
      <c r="AP450" s="40" t="s">
        <v>64</v>
      </c>
      <c r="AQ450" s="40">
        <v>8</v>
      </c>
      <c r="AR450" s="48" t="s">
        <v>347</v>
      </c>
      <c r="AS450" s="43" t="s">
        <v>45</v>
      </c>
      <c r="AT450" s="43" t="s">
        <v>47</v>
      </c>
      <c r="AU450" s="44">
        <f t="shared" si="50"/>
        <v>-2.0690406309742588</v>
      </c>
      <c r="AV450" s="44">
        <f t="shared" si="51"/>
        <v>-1.4288545557280135</v>
      </c>
      <c r="AW450" s="45">
        <f t="shared" si="52"/>
        <v>3</v>
      </c>
      <c r="AX450" s="45">
        <f t="shared" si="53"/>
        <v>0</v>
      </c>
      <c r="AY450" s="46">
        <f>VLOOKUP(AP450,COND!$A$10:$B$32,2,FALSE)</f>
        <v>1</v>
      </c>
      <c r="AZ450" s="44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19.20910075924488</v>
      </c>
      <c r="BA450" s="47">
        <f>STANDARDIZE(AZ450,AVERAGE($AZ$5:$AZ$557),STDEVP($AZ$5:$AZ$557))</f>
        <v>-1.1084591636569889</v>
      </c>
      <c r="BB450" s="45" t="str">
        <f t="shared" si="54"/>
        <v>SP</v>
      </c>
      <c r="BC450" s="45">
        <f>RANK(Table3[[#This Row],[zScore]],Table3[zScore])</f>
        <v>724</v>
      </c>
      <c r="BD450" s="45"/>
      <c r="BE450" s="45"/>
      <c r="BF450" s="45" t="str">
        <f t="shared" si="55"/>
        <v>Unlikely</v>
      </c>
      <c r="BG450" s="45"/>
      <c r="BH450" s="45" t="str">
        <f>INDEX(Table5[[#All],[Ovr]],MATCH(Table3[[#This Row],[PID]],Table5[[#All],[PID]],0))</f>
        <v/>
      </c>
      <c r="BI450" s="45" t="str">
        <f>INDEX(Table5[[#All],[Rnd]],MATCH(Table3[[#This Row],[PID]],Table5[[#All],[PID]],0))</f>
        <v/>
      </c>
      <c r="BJ450" s="45" t="str">
        <f>INDEX(Table5[[#All],[Pick]],MATCH(Table3[[#This Row],[PID]],Table5[[#All],[PID]],0))</f>
        <v/>
      </c>
      <c r="BK450" s="45" t="str">
        <f>INDEX(Table5[[#All],[Team]],MATCH(Table3[[#This Row],[PID]],Table5[[#All],[PID]],0))</f>
        <v/>
      </c>
      <c r="BL4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1" spans="1:64" ht="15" customHeight="1" x14ac:dyDescent="0.25">
      <c r="A451" s="40">
        <v>9505</v>
      </c>
      <c r="B451" s="40" t="s">
        <v>415</v>
      </c>
      <c r="C451" s="40" t="s">
        <v>528</v>
      </c>
      <c r="D451" s="40" t="s">
        <v>207</v>
      </c>
      <c r="E451" s="40">
        <v>22</v>
      </c>
      <c r="F451" s="40" t="s">
        <v>53</v>
      </c>
      <c r="G451" s="40" t="s">
        <v>53</v>
      </c>
      <c r="H451" s="41" t="s">
        <v>647</v>
      </c>
      <c r="I451" s="42" t="s">
        <v>43</v>
      </c>
      <c r="J451" s="40" t="s">
        <v>44</v>
      </c>
      <c r="K451" s="41" t="s">
        <v>44</v>
      </c>
      <c r="L451" s="40">
        <v>2</v>
      </c>
      <c r="M451" s="40">
        <v>1</v>
      </c>
      <c r="N451" s="41">
        <v>1</v>
      </c>
      <c r="O451" s="40">
        <v>4</v>
      </c>
      <c r="P451" s="40">
        <v>1</v>
      </c>
      <c r="Q451" s="41">
        <v>2</v>
      </c>
      <c r="R451" s="40">
        <v>3</v>
      </c>
      <c r="S451" s="40">
        <v>4</v>
      </c>
      <c r="T451" s="40">
        <v>1</v>
      </c>
      <c r="U451" s="40">
        <v>3</v>
      </c>
      <c r="V451" s="40">
        <v>2</v>
      </c>
      <c r="W451" s="40">
        <v>4</v>
      </c>
      <c r="X451" s="40">
        <v>2</v>
      </c>
      <c r="Y451" s="40">
        <v>5</v>
      </c>
      <c r="Z451" s="40" t="s">
        <v>45</v>
      </c>
      <c r="AA451" s="40" t="s">
        <v>45</v>
      </c>
      <c r="AB451" s="40" t="s">
        <v>45</v>
      </c>
      <c r="AC451" s="40" t="s">
        <v>45</v>
      </c>
      <c r="AD451" s="40" t="s">
        <v>45</v>
      </c>
      <c r="AE451" s="40" t="s">
        <v>45</v>
      </c>
      <c r="AF451" s="40">
        <v>3</v>
      </c>
      <c r="AG451" s="40">
        <v>4</v>
      </c>
      <c r="AH451" s="40" t="s">
        <v>45</v>
      </c>
      <c r="AI451" s="40" t="s">
        <v>45</v>
      </c>
      <c r="AJ451" s="40" t="s">
        <v>45</v>
      </c>
      <c r="AK451" s="40" t="s">
        <v>45</v>
      </c>
      <c r="AL451" s="40" t="s">
        <v>45</v>
      </c>
      <c r="AM451" s="40" t="s">
        <v>45</v>
      </c>
      <c r="AN451" s="40" t="s">
        <v>45</v>
      </c>
      <c r="AO451" s="41" t="s">
        <v>45</v>
      </c>
      <c r="AP451" s="40" t="s">
        <v>64</v>
      </c>
      <c r="AQ451" s="40">
        <v>3</v>
      </c>
      <c r="AR451" s="48" t="s">
        <v>14</v>
      </c>
      <c r="AS451" s="43" t="s">
        <v>45</v>
      </c>
      <c r="AT451" s="43" t="s">
        <v>47</v>
      </c>
      <c r="AU451" s="44">
        <f t="shared" si="50"/>
        <v>-2.5067929134584248</v>
      </c>
      <c r="AV451" s="44">
        <f t="shared" si="51"/>
        <v>-1.4295949476488956</v>
      </c>
      <c r="AW451" s="45">
        <f t="shared" si="52"/>
        <v>5</v>
      </c>
      <c r="AX451" s="45">
        <f t="shared" si="53"/>
        <v>0</v>
      </c>
      <c r="AY451" s="46">
        <f>VLOOKUP(AP451,COND!$A$10:$B$32,2,FALSE)</f>
        <v>1</v>
      </c>
      <c r="AZ451" s="44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19.136405341113878</v>
      </c>
      <c r="BA451" s="47">
        <f>STANDARDIZE(AZ451,AVERAGE($AZ$5:$AZ$557),STDEVP($AZ$5:$AZ$557))</f>
        <v>-1.1132954787387332</v>
      </c>
      <c r="BB451" s="45" t="str">
        <f t="shared" si="54"/>
        <v>RP</v>
      </c>
      <c r="BC451" s="45">
        <f>RANK(Table3[[#This Row],[zScore]],Table3[zScore])</f>
        <v>725</v>
      </c>
      <c r="BD451" s="45"/>
      <c r="BE451" s="45"/>
      <c r="BF451" s="45" t="str">
        <f t="shared" si="55"/>
        <v>Unlikely</v>
      </c>
      <c r="BG451" s="45"/>
      <c r="BH451" s="45" t="str">
        <f>INDEX(Table5[[#All],[Ovr]],MATCH(Table3[[#This Row],[PID]],Table5[[#All],[PID]],0))</f>
        <v/>
      </c>
      <c r="BI451" s="45" t="str">
        <f>INDEX(Table5[[#All],[Rnd]],MATCH(Table3[[#This Row],[PID]],Table5[[#All],[PID]],0))</f>
        <v/>
      </c>
      <c r="BJ451" s="45" t="str">
        <f>INDEX(Table5[[#All],[Pick]],MATCH(Table3[[#This Row],[PID]],Table5[[#All],[PID]],0))</f>
        <v/>
      </c>
      <c r="BK451" s="45" t="str">
        <f>INDEX(Table5[[#All],[Team]],MATCH(Table3[[#This Row],[PID]],Table5[[#All],[PID]],0))</f>
        <v/>
      </c>
      <c r="BL4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2" spans="1:64" ht="15" customHeight="1" x14ac:dyDescent="0.25">
      <c r="A452" s="40">
        <v>6252</v>
      </c>
      <c r="B452" s="40" t="s">
        <v>415</v>
      </c>
      <c r="C452" s="40" t="s">
        <v>352</v>
      </c>
      <c r="D452" s="40" t="s">
        <v>947</v>
      </c>
      <c r="E452" s="40">
        <v>22</v>
      </c>
      <c r="F452" s="40" t="s">
        <v>53</v>
      </c>
      <c r="G452" s="40" t="s">
        <v>53</v>
      </c>
      <c r="H452" s="41" t="s">
        <v>647</v>
      </c>
      <c r="I452" s="42" t="s">
        <v>44</v>
      </c>
      <c r="J452" s="40" t="s">
        <v>44</v>
      </c>
      <c r="K452" s="41" t="s">
        <v>43</v>
      </c>
      <c r="L452" s="40">
        <v>2</v>
      </c>
      <c r="M452" s="40">
        <v>1</v>
      </c>
      <c r="N452" s="41">
        <v>1</v>
      </c>
      <c r="O452" s="40">
        <v>4</v>
      </c>
      <c r="P452" s="40">
        <v>1</v>
      </c>
      <c r="Q452" s="41">
        <v>2</v>
      </c>
      <c r="R452" s="40">
        <v>3</v>
      </c>
      <c r="S452" s="40">
        <v>4</v>
      </c>
      <c r="T452" s="40">
        <v>2</v>
      </c>
      <c r="U452" s="40">
        <v>5</v>
      </c>
      <c r="V452" s="40" t="s">
        <v>45</v>
      </c>
      <c r="W452" s="40" t="s">
        <v>45</v>
      </c>
      <c r="X452" s="40" t="s">
        <v>45</v>
      </c>
      <c r="Y452" s="40" t="s">
        <v>45</v>
      </c>
      <c r="Z452" s="40" t="s">
        <v>45</v>
      </c>
      <c r="AA452" s="40" t="s">
        <v>45</v>
      </c>
      <c r="AB452" s="40">
        <v>3</v>
      </c>
      <c r="AC452" s="40">
        <v>5</v>
      </c>
      <c r="AD452" s="40" t="s">
        <v>45</v>
      </c>
      <c r="AE452" s="40" t="s">
        <v>45</v>
      </c>
      <c r="AF452" s="40" t="s">
        <v>45</v>
      </c>
      <c r="AG452" s="40" t="s">
        <v>45</v>
      </c>
      <c r="AH452" s="40" t="s">
        <v>45</v>
      </c>
      <c r="AI452" s="40" t="s">
        <v>45</v>
      </c>
      <c r="AJ452" s="40" t="s">
        <v>45</v>
      </c>
      <c r="AK452" s="40" t="s">
        <v>45</v>
      </c>
      <c r="AL452" s="40" t="s">
        <v>45</v>
      </c>
      <c r="AM452" s="40" t="s">
        <v>45</v>
      </c>
      <c r="AN452" s="40" t="s">
        <v>45</v>
      </c>
      <c r="AO452" s="41" t="s">
        <v>45</v>
      </c>
      <c r="AP452" s="40" t="s">
        <v>349</v>
      </c>
      <c r="AQ452" s="40">
        <v>7</v>
      </c>
      <c r="AR452" s="48" t="s">
        <v>347</v>
      </c>
      <c r="AS452" s="43" t="s">
        <v>45</v>
      </c>
      <c r="AT452" s="43" t="s">
        <v>47</v>
      </c>
      <c r="AU452" s="44">
        <f t="shared" si="50"/>
        <v>-2.5067929134584248</v>
      </c>
      <c r="AV452" s="44">
        <f t="shared" si="51"/>
        <v>-1.4295949476488956</v>
      </c>
      <c r="AW452" s="45">
        <f t="shared" si="52"/>
        <v>3</v>
      </c>
      <c r="AX452" s="45">
        <f t="shared" si="53"/>
        <v>0</v>
      </c>
      <c r="AY452" s="46">
        <f>VLOOKUP(AP452,COND!$A$10:$B$32,2,FALSE)</f>
        <v>1</v>
      </c>
      <c r="AZ452" s="44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18.956742464330397</v>
      </c>
      <c r="BA452" s="47">
        <f>STANDARDIZE(AZ452,AVERAGE($AZ$5:$AZ$557),STDEVP($AZ$5:$AZ$557))</f>
        <v>-1.1252481753867076</v>
      </c>
      <c r="BB452" s="45" t="str">
        <f t="shared" si="54"/>
        <v>SP</v>
      </c>
      <c r="BC452" s="45">
        <f>RANK(Table3[[#This Row],[zScore]],Table3[zScore])</f>
        <v>726</v>
      </c>
      <c r="BD452" s="45"/>
      <c r="BE452" s="45"/>
      <c r="BF452" s="45" t="str">
        <f t="shared" si="55"/>
        <v>Unlikely</v>
      </c>
      <c r="BG452" s="45"/>
      <c r="BH452" s="45" t="str">
        <f>INDEX(Table5[[#All],[Ovr]],MATCH(Table3[[#This Row],[PID]],Table5[[#All],[PID]],0))</f>
        <v/>
      </c>
      <c r="BI452" s="45" t="str">
        <f>INDEX(Table5[[#All],[Rnd]],MATCH(Table3[[#This Row],[PID]],Table5[[#All],[PID]],0))</f>
        <v/>
      </c>
      <c r="BJ452" s="45" t="str">
        <f>INDEX(Table5[[#All],[Pick]],MATCH(Table3[[#This Row],[PID]],Table5[[#All],[PID]],0))</f>
        <v/>
      </c>
      <c r="BK452" s="45" t="str">
        <f>INDEX(Table5[[#All],[Team]],MATCH(Table3[[#This Row],[PID]],Table5[[#All],[PID]],0))</f>
        <v/>
      </c>
      <c r="BL4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3" spans="1:64" ht="15" customHeight="1" x14ac:dyDescent="0.25">
      <c r="A453" s="40">
        <v>20885</v>
      </c>
      <c r="B453" s="40" t="s">
        <v>415</v>
      </c>
      <c r="C453" s="40" t="s">
        <v>166</v>
      </c>
      <c r="D453" s="40" t="s">
        <v>173</v>
      </c>
      <c r="E453" s="40">
        <v>17</v>
      </c>
      <c r="F453" s="40" t="s">
        <v>42</v>
      </c>
      <c r="G453" s="40" t="s">
        <v>42</v>
      </c>
      <c r="H453" s="41" t="s">
        <v>647</v>
      </c>
      <c r="I453" s="42" t="s">
        <v>43</v>
      </c>
      <c r="J453" s="40" t="s">
        <v>44</v>
      </c>
      <c r="K453" s="41" t="s">
        <v>43</v>
      </c>
      <c r="L453" s="40">
        <v>1</v>
      </c>
      <c r="M453" s="40">
        <v>1</v>
      </c>
      <c r="N453" s="41">
        <v>1</v>
      </c>
      <c r="O453" s="40">
        <v>3</v>
      </c>
      <c r="P453" s="40">
        <v>1</v>
      </c>
      <c r="Q453" s="41">
        <v>2</v>
      </c>
      <c r="R453" s="40">
        <v>2</v>
      </c>
      <c r="S453" s="40">
        <v>4</v>
      </c>
      <c r="T453" s="40" t="s">
        <v>45</v>
      </c>
      <c r="U453" s="40" t="s">
        <v>45</v>
      </c>
      <c r="V453" s="40">
        <v>1</v>
      </c>
      <c r="W453" s="40">
        <v>3</v>
      </c>
      <c r="X453" s="40" t="s">
        <v>45</v>
      </c>
      <c r="Y453" s="40" t="s">
        <v>45</v>
      </c>
      <c r="Z453" s="40" t="s">
        <v>45</v>
      </c>
      <c r="AA453" s="40" t="s">
        <v>45</v>
      </c>
      <c r="AB453" s="40" t="s">
        <v>45</v>
      </c>
      <c r="AC453" s="40" t="s">
        <v>45</v>
      </c>
      <c r="AD453" s="40" t="s">
        <v>45</v>
      </c>
      <c r="AE453" s="40" t="s">
        <v>45</v>
      </c>
      <c r="AF453" s="40" t="s">
        <v>45</v>
      </c>
      <c r="AG453" s="40" t="s">
        <v>45</v>
      </c>
      <c r="AH453" s="40">
        <v>1</v>
      </c>
      <c r="AI453" s="40">
        <v>4</v>
      </c>
      <c r="AJ453" s="40" t="s">
        <v>45</v>
      </c>
      <c r="AK453" s="40" t="s">
        <v>45</v>
      </c>
      <c r="AL453" s="40" t="s">
        <v>45</v>
      </c>
      <c r="AM453" s="40" t="s">
        <v>45</v>
      </c>
      <c r="AN453" s="40" t="s">
        <v>45</v>
      </c>
      <c r="AO453" s="41" t="s">
        <v>45</v>
      </c>
      <c r="AP453" s="40" t="s">
        <v>68</v>
      </c>
      <c r="AQ453" s="40">
        <v>3</v>
      </c>
      <c r="AR453" s="48" t="s">
        <v>14</v>
      </c>
      <c r="AS453" s="43" t="s">
        <v>670</v>
      </c>
      <c r="AT453" s="43" t="s">
        <v>47</v>
      </c>
      <c r="AU453" s="44">
        <f t="shared" ref="AU453:AU516" si="56">($O$3*(L453-$O$1)/$O$2+$P$3*(M453-$P$1)/$P$2+$Q$3*(N453-$P$1)/$Q$2)/SUM($O$3:$Q$3)</f>
        <v>-2.7014842379675978</v>
      </c>
      <c r="AV453" s="44">
        <f t="shared" ref="AV453:AV516" si="57">($O$3*(O453-$O$1)/$O$2+$P$3*(P453-$P$1)/$P$2+$Q$3*(Q453-$Q$1)/$Q$2)/SUM($O$3:$Q$3)</f>
        <v>-1.6242862721580691</v>
      </c>
      <c r="AW453" s="45">
        <f t="shared" ref="AW453:AW516" si="58">COUNT(R453:AO453)/2</f>
        <v>3</v>
      </c>
      <c r="AX453" s="45">
        <f t="shared" ref="AX453:AX516" si="59"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0</v>
      </c>
      <c r="AY453" s="46">
        <f>VLOOKUP(AP453,COND!$A$10:$B$32,2,FALSE)</f>
        <v>0.95</v>
      </c>
      <c r="AZ453" s="44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21.247764882593703</v>
      </c>
      <c r="BA453" s="47">
        <f>STANDARDIZE(AZ453,AVERAGE($AZ$5:$AZ$663),STDEVP($AZ$5:$AZ$663))</f>
        <v>-1.1340819097716417</v>
      </c>
      <c r="BB453" s="45" t="str">
        <f t="shared" ref="BB453:BB516" si="60">IF(OR(AND(AQ453&gt;7,AX453&gt;1),AND(AQ453&gt;4,AW453&gt;2)),"SP","RP")</f>
        <v>RP</v>
      </c>
      <c r="BC453" s="45">
        <f>RANK(Table3[[#This Row],[zScore]],Table3[zScore])</f>
        <v>727</v>
      </c>
      <c r="BD453" s="45"/>
      <c r="BE453" s="45"/>
      <c r="BF453" s="45" t="str">
        <f t="shared" ref="BF453:BF516" si="61">IF(AVERAGE($O453:$Q453)&gt;=6,"Likely",IF(AVERAGE($O453:$Q453)&gt;=4,"Possible","Unlikely"))</f>
        <v>Unlikely</v>
      </c>
      <c r="BG453" s="45"/>
      <c r="BH453" s="45" t="str">
        <f>INDEX(Table5[[#All],[Ovr]],MATCH(Table3[[#This Row],[PID]],Table5[[#All],[PID]],0))</f>
        <v/>
      </c>
      <c r="BI453" s="45" t="str">
        <f>INDEX(Table5[[#All],[Rnd]],MATCH(Table3[[#This Row],[PID]],Table5[[#All],[PID]],0))</f>
        <v/>
      </c>
      <c r="BJ453" s="45" t="str">
        <f>INDEX(Table5[[#All],[Pick]],MATCH(Table3[[#This Row],[PID]],Table5[[#All],[PID]],0))</f>
        <v/>
      </c>
      <c r="BK453" s="45" t="str">
        <f>INDEX(Table5[[#All],[Team]],MATCH(Table3[[#This Row],[PID]],Table5[[#All],[PID]],0))</f>
        <v/>
      </c>
      <c r="BL4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4" spans="1:64" ht="15" customHeight="1" x14ac:dyDescent="0.25">
      <c r="A454" s="40">
        <v>13854</v>
      </c>
      <c r="B454" s="40" t="s">
        <v>415</v>
      </c>
      <c r="C454" s="40" t="s">
        <v>144</v>
      </c>
      <c r="D454" s="40" t="s">
        <v>386</v>
      </c>
      <c r="E454" s="40">
        <v>21</v>
      </c>
      <c r="F454" s="40" t="s">
        <v>53</v>
      </c>
      <c r="G454" s="40" t="s">
        <v>53</v>
      </c>
      <c r="H454" s="41" t="s">
        <v>647</v>
      </c>
      <c r="I454" s="42" t="s">
        <v>43</v>
      </c>
      <c r="J454" s="40" t="s">
        <v>47</v>
      </c>
      <c r="K454" s="41" t="s">
        <v>43</v>
      </c>
      <c r="L454" s="40">
        <v>1</v>
      </c>
      <c r="M454" s="40">
        <v>2</v>
      </c>
      <c r="N454" s="41">
        <v>1</v>
      </c>
      <c r="O454" s="40">
        <v>3</v>
      </c>
      <c r="P454" s="40">
        <v>2</v>
      </c>
      <c r="Q454" s="41">
        <v>2</v>
      </c>
      <c r="R454" s="40">
        <v>2</v>
      </c>
      <c r="S454" s="40">
        <v>3</v>
      </c>
      <c r="T454" s="40" t="s">
        <v>45</v>
      </c>
      <c r="U454" s="40" t="s">
        <v>45</v>
      </c>
      <c r="V454" s="40" t="s">
        <v>45</v>
      </c>
      <c r="W454" s="40" t="s">
        <v>45</v>
      </c>
      <c r="X454" s="40" t="s">
        <v>45</v>
      </c>
      <c r="Y454" s="40" t="s">
        <v>45</v>
      </c>
      <c r="Z454" s="40" t="s">
        <v>45</v>
      </c>
      <c r="AA454" s="40" t="s">
        <v>45</v>
      </c>
      <c r="AB454" s="40" t="s">
        <v>45</v>
      </c>
      <c r="AC454" s="40" t="s">
        <v>45</v>
      </c>
      <c r="AD454" s="40">
        <v>2</v>
      </c>
      <c r="AE454" s="40">
        <v>3</v>
      </c>
      <c r="AF454" s="40">
        <v>3</v>
      </c>
      <c r="AG454" s="40">
        <v>4</v>
      </c>
      <c r="AH454" s="40" t="s">
        <v>45</v>
      </c>
      <c r="AI454" s="40" t="s">
        <v>45</v>
      </c>
      <c r="AJ454" s="40" t="s">
        <v>45</v>
      </c>
      <c r="AK454" s="40" t="s">
        <v>45</v>
      </c>
      <c r="AL454" s="40" t="s">
        <v>45</v>
      </c>
      <c r="AM454" s="40" t="s">
        <v>45</v>
      </c>
      <c r="AN454" s="40" t="s">
        <v>45</v>
      </c>
      <c r="AO454" s="41" t="s">
        <v>45</v>
      </c>
      <c r="AP454" s="40" t="s">
        <v>65</v>
      </c>
      <c r="AQ454" s="40">
        <v>9</v>
      </c>
      <c r="AR454" s="48" t="s">
        <v>347</v>
      </c>
      <c r="AS454" s="43" t="s">
        <v>45</v>
      </c>
      <c r="AT454" s="43" t="s">
        <v>47</v>
      </c>
      <c r="AU454" s="44">
        <f t="shared" si="56"/>
        <v>-2.5060525215375429</v>
      </c>
      <c r="AV454" s="44">
        <f t="shared" si="57"/>
        <v>-1.4288545557280135</v>
      </c>
      <c r="AW454" s="45">
        <f t="shared" si="58"/>
        <v>3</v>
      </c>
      <c r="AX454" s="45">
        <f t="shared" si="59"/>
        <v>0</v>
      </c>
      <c r="AY454" s="46">
        <f>VLOOKUP(AP454,COND!$A$10:$B$32,2,FALSE)</f>
        <v>0.95</v>
      </c>
      <c r="AZ454" s="44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21.100613462075614</v>
      </c>
      <c r="BA454" s="47">
        <f>STANDARDIZE(AZ454,AVERAGE($AZ$5:$AZ$663),STDEVP($AZ$5:$AZ$663))</f>
        <v>-1.1441617387809835</v>
      </c>
      <c r="BB454" s="45" t="str">
        <f t="shared" si="60"/>
        <v>SP</v>
      </c>
      <c r="BC454" s="45">
        <f>RANK(Table3[[#This Row],[zScore]],Table3[zScore])</f>
        <v>729</v>
      </c>
      <c r="BD454" s="45"/>
      <c r="BE454" s="45"/>
      <c r="BF454" s="45" t="str">
        <f t="shared" si="61"/>
        <v>Unlikely</v>
      </c>
      <c r="BG454" s="45"/>
      <c r="BH454" s="45" t="str">
        <f>INDEX(Table5[[#All],[Ovr]],MATCH(Table3[[#This Row],[PID]],Table5[[#All],[PID]],0))</f>
        <v/>
      </c>
      <c r="BI454" s="45" t="str">
        <f>INDEX(Table5[[#All],[Rnd]],MATCH(Table3[[#This Row],[PID]],Table5[[#All],[PID]],0))</f>
        <v/>
      </c>
      <c r="BJ454" s="45" t="str">
        <f>INDEX(Table5[[#All],[Pick]],MATCH(Table3[[#This Row],[PID]],Table5[[#All],[PID]],0))</f>
        <v/>
      </c>
      <c r="BK454" s="45" t="str">
        <f>INDEX(Table5[[#All],[Team]],MATCH(Table3[[#This Row],[PID]],Table5[[#All],[PID]],0))</f>
        <v/>
      </c>
      <c r="BL4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5" spans="1:64" ht="15" customHeight="1" x14ac:dyDescent="0.25">
      <c r="A455" s="40">
        <v>16942</v>
      </c>
      <c r="B455" s="40" t="s">
        <v>415</v>
      </c>
      <c r="C455" s="40" t="s">
        <v>834</v>
      </c>
      <c r="D455" s="40" t="s">
        <v>327</v>
      </c>
      <c r="E455" s="40">
        <v>21</v>
      </c>
      <c r="F455" s="40" t="s">
        <v>42</v>
      </c>
      <c r="G455" s="40" t="s">
        <v>42</v>
      </c>
      <c r="H455" s="41" t="s">
        <v>647</v>
      </c>
      <c r="I455" s="42" t="s">
        <v>43</v>
      </c>
      <c r="J455" s="40" t="s">
        <v>44</v>
      </c>
      <c r="K455" s="41" t="s">
        <v>43</v>
      </c>
      <c r="L455" s="40">
        <v>1</v>
      </c>
      <c r="M455" s="40">
        <v>1</v>
      </c>
      <c r="N455" s="41">
        <v>1</v>
      </c>
      <c r="O455" s="40">
        <v>4</v>
      </c>
      <c r="P455" s="40">
        <v>1</v>
      </c>
      <c r="Q455" s="41">
        <v>3</v>
      </c>
      <c r="R455" s="40">
        <v>3</v>
      </c>
      <c r="S455" s="40">
        <v>5</v>
      </c>
      <c r="T455" s="40" t="s">
        <v>45</v>
      </c>
      <c r="U455" s="40" t="s">
        <v>45</v>
      </c>
      <c r="V455" s="40" t="s">
        <v>45</v>
      </c>
      <c r="W455" s="40" t="s">
        <v>45</v>
      </c>
      <c r="X455" s="40">
        <v>2</v>
      </c>
      <c r="Y455" s="40">
        <v>5</v>
      </c>
      <c r="Z455" s="40" t="s">
        <v>45</v>
      </c>
      <c r="AA455" s="40" t="s">
        <v>45</v>
      </c>
      <c r="AB455" s="40" t="s">
        <v>45</v>
      </c>
      <c r="AC455" s="40" t="s">
        <v>45</v>
      </c>
      <c r="AD455" s="40" t="s">
        <v>45</v>
      </c>
      <c r="AE455" s="40" t="s">
        <v>45</v>
      </c>
      <c r="AF455" s="40" t="s">
        <v>45</v>
      </c>
      <c r="AG455" s="40" t="s">
        <v>45</v>
      </c>
      <c r="AH455" s="40" t="s">
        <v>45</v>
      </c>
      <c r="AI455" s="40" t="s">
        <v>45</v>
      </c>
      <c r="AJ455" s="40" t="s">
        <v>45</v>
      </c>
      <c r="AK455" s="40" t="s">
        <v>45</v>
      </c>
      <c r="AL455" s="40" t="s">
        <v>45</v>
      </c>
      <c r="AM455" s="40" t="s">
        <v>45</v>
      </c>
      <c r="AN455" s="40" t="s">
        <v>45</v>
      </c>
      <c r="AO455" s="41" t="s">
        <v>45</v>
      </c>
      <c r="AP455" s="40" t="s">
        <v>68</v>
      </c>
      <c r="AQ455" s="40">
        <v>2</v>
      </c>
      <c r="AR455" s="48" t="s">
        <v>14</v>
      </c>
      <c r="AS455" s="43" t="s">
        <v>643</v>
      </c>
      <c r="AT455" s="43" t="s">
        <v>47</v>
      </c>
      <c r="AU455" s="44">
        <f t="shared" si="56"/>
        <v>-2.7014842379675978</v>
      </c>
      <c r="AV455" s="44">
        <f t="shared" si="57"/>
        <v>-1.1872743815947853</v>
      </c>
      <c r="AW455" s="45">
        <f t="shared" si="58"/>
        <v>2</v>
      </c>
      <c r="AX455" s="45">
        <f t="shared" si="59"/>
        <v>0</v>
      </c>
      <c r="AY455" s="46">
        <f>VLOOKUP(AP455,COND!$A$10:$B$32,2,FALSE)</f>
        <v>0.95</v>
      </c>
      <c r="AZ455" s="44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18.684579507260977</v>
      </c>
      <c r="BA455" s="47">
        <f>STANDARDIZE(AZ455,AVERAGE($AZ$5:$AZ$557),STDEVP($AZ$5:$AZ$557))</f>
        <v>-1.1433547610259149</v>
      </c>
      <c r="BB455" s="45" t="str">
        <f t="shared" si="60"/>
        <v>RP</v>
      </c>
      <c r="BC455" s="45">
        <f>RANK(Table3[[#This Row],[zScore]],Table3[zScore])</f>
        <v>728</v>
      </c>
      <c r="BD455" s="45"/>
      <c r="BE455" s="45"/>
      <c r="BF455" s="45" t="str">
        <f t="shared" si="61"/>
        <v>Unlikely</v>
      </c>
      <c r="BG455" s="45"/>
      <c r="BH455" s="45" t="str">
        <f>INDEX(Table5[[#All],[Ovr]],MATCH(Table3[[#This Row],[PID]],Table5[[#All],[PID]],0))</f>
        <v/>
      </c>
      <c r="BI455" s="45" t="str">
        <f>INDEX(Table5[[#All],[Rnd]],MATCH(Table3[[#This Row],[PID]],Table5[[#All],[PID]],0))</f>
        <v/>
      </c>
      <c r="BJ455" s="45" t="str">
        <f>INDEX(Table5[[#All],[Pick]],MATCH(Table3[[#This Row],[PID]],Table5[[#All],[PID]],0))</f>
        <v/>
      </c>
      <c r="BK455" s="45" t="str">
        <f>INDEX(Table5[[#All],[Team]],MATCH(Table3[[#This Row],[PID]],Table5[[#All],[PID]],0))</f>
        <v/>
      </c>
      <c r="BL4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6" spans="1:64" ht="15" customHeight="1" x14ac:dyDescent="0.25">
      <c r="A456" s="40">
        <v>20960</v>
      </c>
      <c r="B456" s="40" t="s">
        <v>415</v>
      </c>
      <c r="C456" s="40" t="s">
        <v>184</v>
      </c>
      <c r="D456" s="40" t="s">
        <v>1934</v>
      </c>
      <c r="E456" s="40">
        <v>18</v>
      </c>
      <c r="F456" s="40" t="s">
        <v>53</v>
      </c>
      <c r="G456" s="40" t="s">
        <v>53</v>
      </c>
      <c r="H456" s="41" t="s">
        <v>647</v>
      </c>
      <c r="I456" s="42" t="s">
        <v>44</v>
      </c>
      <c r="J456" s="40" t="s">
        <v>44</v>
      </c>
      <c r="K456" s="41" t="s">
        <v>44</v>
      </c>
      <c r="L456" s="40">
        <v>1</v>
      </c>
      <c r="M456" s="40">
        <v>2</v>
      </c>
      <c r="N456" s="41">
        <v>1</v>
      </c>
      <c r="O456" s="40">
        <v>3</v>
      </c>
      <c r="P456" s="40">
        <v>2</v>
      </c>
      <c r="Q456" s="41">
        <v>3</v>
      </c>
      <c r="R456" s="40">
        <v>3</v>
      </c>
      <c r="S456" s="40">
        <v>5</v>
      </c>
      <c r="T456" s="40">
        <v>1</v>
      </c>
      <c r="U456" s="40">
        <v>4</v>
      </c>
      <c r="V456" s="40" t="s">
        <v>45</v>
      </c>
      <c r="W456" s="40" t="s">
        <v>45</v>
      </c>
      <c r="X456" s="40" t="s">
        <v>45</v>
      </c>
      <c r="Y456" s="40" t="s">
        <v>45</v>
      </c>
      <c r="Z456" s="40" t="s">
        <v>45</v>
      </c>
      <c r="AA456" s="40" t="s">
        <v>45</v>
      </c>
      <c r="AB456" s="40" t="s">
        <v>45</v>
      </c>
      <c r="AC456" s="40" t="s">
        <v>45</v>
      </c>
      <c r="AD456" s="40" t="s">
        <v>45</v>
      </c>
      <c r="AE456" s="40" t="s">
        <v>45</v>
      </c>
      <c r="AF456" s="40" t="s">
        <v>45</v>
      </c>
      <c r="AG456" s="40" t="s">
        <v>45</v>
      </c>
      <c r="AH456" s="40" t="s">
        <v>45</v>
      </c>
      <c r="AI456" s="40" t="s">
        <v>45</v>
      </c>
      <c r="AJ456" s="40" t="s">
        <v>45</v>
      </c>
      <c r="AK456" s="40" t="s">
        <v>45</v>
      </c>
      <c r="AL456" s="40" t="s">
        <v>45</v>
      </c>
      <c r="AM456" s="40" t="s">
        <v>45</v>
      </c>
      <c r="AN456" s="40" t="s">
        <v>45</v>
      </c>
      <c r="AO456" s="41" t="s">
        <v>45</v>
      </c>
      <c r="AP456" s="40" t="s">
        <v>349</v>
      </c>
      <c r="AQ456" s="40">
        <v>9</v>
      </c>
      <c r="AR456" s="48" t="s">
        <v>347</v>
      </c>
      <c r="AS456" s="43" t="s">
        <v>663</v>
      </c>
      <c r="AT456" s="43" t="s">
        <v>47</v>
      </c>
      <c r="AU456" s="44">
        <f t="shared" si="56"/>
        <v>-2.5060525215375429</v>
      </c>
      <c r="AV456" s="44">
        <f t="shared" si="57"/>
        <v>-1.1865339896739031</v>
      </c>
      <c r="AW456" s="45">
        <f t="shared" si="58"/>
        <v>2</v>
      </c>
      <c r="AX456" s="45">
        <f t="shared" si="59"/>
        <v>0</v>
      </c>
      <c r="AY456" s="46">
        <f>VLOOKUP(AP456,COND!$A$10:$B$32,2,FALSE)</f>
        <v>1</v>
      </c>
      <c r="AZ456" s="44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21.018109702214431</v>
      </c>
      <c r="BA456" s="47">
        <f>STANDARDIZE(AZ456,AVERAGE($AZ$5:$AZ$663),STDEVP($AZ$5:$AZ$663))</f>
        <v>-1.1498132220565138</v>
      </c>
      <c r="BB456" s="45" t="str">
        <f t="shared" si="60"/>
        <v>RP</v>
      </c>
      <c r="BC456" s="45">
        <f>RANK(Table3[[#This Row],[zScore]],Table3[zScore])</f>
        <v>732</v>
      </c>
      <c r="BD456" s="45"/>
      <c r="BE456" s="45"/>
      <c r="BF456" s="45" t="str">
        <f t="shared" si="61"/>
        <v>Unlikely</v>
      </c>
      <c r="BG456" s="45"/>
      <c r="BH456" s="45" t="str">
        <f>INDEX(Table5[[#All],[Ovr]],MATCH(Table3[[#This Row],[PID]],Table5[[#All],[PID]],0))</f>
        <v/>
      </c>
      <c r="BI456" s="45" t="str">
        <f>INDEX(Table5[[#All],[Rnd]],MATCH(Table3[[#This Row],[PID]],Table5[[#All],[PID]],0))</f>
        <v/>
      </c>
      <c r="BJ456" s="45" t="str">
        <f>INDEX(Table5[[#All],[Pick]],MATCH(Table3[[#This Row],[PID]],Table5[[#All],[PID]],0))</f>
        <v/>
      </c>
      <c r="BK456" s="45" t="str">
        <f>INDEX(Table5[[#All],[Team]],MATCH(Table3[[#This Row],[PID]],Table5[[#All],[PID]],0))</f>
        <v/>
      </c>
      <c r="BL4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7" spans="1:64" ht="15" customHeight="1" x14ac:dyDescent="0.25">
      <c r="A457" s="40">
        <v>17021</v>
      </c>
      <c r="B457" s="40" t="s">
        <v>415</v>
      </c>
      <c r="C457" s="40" t="s">
        <v>1965</v>
      </c>
      <c r="D457" s="40" t="s">
        <v>1966</v>
      </c>
      <c r="E457" s="40">
        <v>21</v>
      </c>
      <c r="F457" s="40" t="s">
        <v>62</v>
      </c>
      <c r="G457" s="40" t="s">
        <v>53</v>
      </c>
      <c r="H457" s="41" t="s">
        <v>647</v>
      </c>
      <c r="I457" s="42" t="s">
        <v>44</v>
      </c>
      <c r="J457" s="40" t="s">
        <v>44</v>
      </c>
      <c r="K457" s="41" t="s">
        <v>43</v>
      </c>
      <c r="L457" s="40">
        <v>2</v>
      </c>
      <c r="M457" s="40">
        <v>1</v>
      </c>
      <c r="N457" s="41">
        <v>1</v>
      </c>
      <c r="O457" s="40">
        <v>4</v>
      </c>
      <c r="P457" s="40">
        <v>1</v>
      </c>
      <c r="Q457" s="41">
        <v>3</v>
      </c>
      <c r="R457" s="40">
        <v>4</v>
      </c>
      <c r="S457" s="40">
        <v>5</v>
      </c>
      <c r="T457" s="40" t="s">
        <v>45</v>
      </c>
      <c r="U457" s="40" t="s">
        <v>45</v>
      </c>
      <c r="V457" s="40" t="s">
        <v>45</v>
      </c>
      <c r="W457" s="40" t="s">
        <v>45</v>
      </c>
      <c r="X457" s="40">
        <v>2</v>
      </c>
      <c r="Y457" s="40">
        <v>6</v>
      </c>
      <c r="Z457" s="40" t="s">
        <v>45</v>
      </c>
      <c r="AA457" s="40" t="s">
        <v>45</v>
      </c>
      <c r="AB457" s="40" t="s">
        <v>45</v>
      </c>
      <c r="AC457" s="40" t="s">
        <v>45</v>
      </c>
      <c r="AD457" s="40" t="s">
        <v>45</v>
      </c>
      <c r="AE457" s="40" t="s">
        <v>45</v>
      </c>
      <c r="AF457" s="40" t="s">
        <v>45</v>
      </c>
      <c r="AG457" s="40" t="s">
        <v>45</v>
      </c>
      <c r="AH457" s="40" t="s">
        <v>45</v>
      </c>
      <c r="AI457" s="40" t="s">
        <v>45</v>
      </c>
      <c r="AJ457" s="40" t="s">
        <v>45</v>
      </c>
      <c r="AK457" s="40" t="s">
        <v>45</v>
      </c>
      <c r="AL457" s="40" t="s">
        <v>45</v>
      </c>
      <c r="AM457" s="40" t="s">
        <v>45</v>
      </c>
      <c r="AN457" s="40" t="s">
        <v>45</v>
      </c>
      <c r="AO457" s="41" t="s">
        <v>45</v>
      </c>
      <c r="AP457" s="40" t="s">
        <v>349</v>
      </c>
      <c r="AQ457" s="40">
        <v>3</v>
      </c>
      <c r="AR457" s="48" t="s">
        <v>14</v>
      </c>
      <c r="AS457" s="43" t="s">
        <v>45</v>
      </c>
      <c r="AT457" s="43" t="s">
        <v>47</v>
      </c>
      <c r="AU457" s="44">
        <f t="shared" si="56"/>
        <v>-2.5067929134584248</v>
      </c>
      <c r="AV457" s="44">
        <f t="shared" si="57"/>
        <v>-1.1872743815947853</v>
      </c>
      <c r="AW457" s="45">
        <f t="shared" si="58"/>
        <v>2</v>
      </c>
      <c r="AX457" s="45">
        <f t="shared" si="59"/>
        <v>1</v>
      </c>
      <c r="AY457" s="46">
        <f>VLOOKUP(AP457,COND!$A$10:$B$32,2,FALSE)</f>
        <v>1</v>
      </c>
      <c r="AZ457" s="44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18.652996096141976</v>
      </c>
      <c r="BA457" s="47">
        <f>STANDARDIZE(AZ457,AVERAGE($AZ$5:$AZ$557),STDEVP($AZ$5:$AZ$557))</f>
        <v>-1.1454559571047722</v>
      </c>
      <c r="BB457" s="45" t="str">
        <f t="shared" si="60"/>
        <v>RP</v>
      </c>
      <c r="BC457" s="45">
        <f>RANK(Table3[[#This Row],[zScore]],Table3[zScore])</f>
        <v>730</v>
      </c>
      <c r="BD457" s="45"/>
      <c r="BE457" s="45"/>
      <c r="BF457" s="45" t="str">
        <f t="shared" si="61"/>
        <v>Unlikely</v>
      </c>
      <c r="BG457" s="45"/>
      <c r="BH457" s="45" t="str">
        <f>INDEX(Table5[[#All],[Ovr]],MATCH(Table3[[#This Row],[PID]],Table5[[#All],[PID]],0))</f>
        <v/>
      </c>
      <c r="BI457" s="45" t="str">
        <f>INDEX(Table5[[#All],[Rnd]],MATCH(Table3[[#This Row],[PID]],Table5[[#All],[PID]],0))</f>
        <v/>
      </c>
      <c r="BJ457" s="45" t="str">
        <f>INDEX(Table5[[#All],[Pick]],MATCH(Table3[[#This Row],[PID]],Table5[[#All],[PID]],0))</f>
        <v/>
      </c>
      <c r="BK457" s="45" t="str">
        <f>INDEX(Table5[[#All],[Team]],MATCH(Table3[[#This Row],[PID]],Table5[[#All],[PID]],0))</f>
        <v/>
      </c>
      <c r="BL45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8" spans="1:64" ht="15" customHeight="1" x14ac:dyDescent="0.25">
      <c r="A458" s="40">
        <v>20245</v>
      </c>
      <c r="B458" s="40" t="s">
        <v>415</v>
      </c>
      <c r="C458" s="40" t="s">
        <v>2054</v>
      </c>
      <c r="D458" s="40" t="s">
        <v>2055</v>
      </c>
      <c r="E458" s="40">
        <v>23</v>
      </c>
      <c r="F458" s="40" t="s">
        <v>53</v>
      </c>
      <c r="G458" s="40" t="s">
        <v>53</v>
      </c>
      <c r="H458" s="41" t="s">
        <v>647</v>
      </c>
      <c r="I458" s="42" t="s">
        <v>43</v>
      </c>
      <c r="J458" s="40" t="s">
        <v>43</v>
      </c>
      <c r="K458" s="41" t="s">
        <v>43</v>
      </c>
      <c r="L458" s="40">
        <v>4</v>
      </c>
      <c r="M458" s="40">
        <v>1</v>
      </c>
      <c r="N458" s="41">
        <v>1</v>
      </c>
      <c r="O458" s="40">
        <v>4</v>
      </c>
      <c r="P458" s="40">
        <v>1</v>
      </c>
      <c r="Q458" s="41">
        <v>3</v>
      </c>
      <c r="R458" s="40">
        <v>5</v>
      </c>
      <c r="S458" s="40">
        <v>5</v>
      </c>
      <c r="T458" s="40" t="s">
        <v>45</v>
      </c>
      <c r="U458" s="40" t="s">
        <v>45</v>
      </c>
      <c r="V458" s="40" t="s">
        <v>45</v>
      </c>
      <c r="W458" s="40" t="s">
        <v>45</v>
      </c>
      <c r="X458" s="40">
        <v>5</v>
      </c>
      <c r="Y458" s="40">
        <v>6</v>
      </c>
      <c r="Z458" s="40" t="s">
        <v>45</v>
      </c>
      <c r="AA458" s="40" t="s">
        <v>45</v>
      </c>
      <c r="AB458" s="40" t="s">
        <v>45</v>
      </c>
      <c r="AC458" s="40" t="s">
        <v>45</v>
      </c>
      <c r="AD458" s="40" t="s">
        <v>45</v>
      </c>
      <c r="AE458" s="40" t="s">
        <v>45</v>
      </c>
      <c r="AF458" s="40" t="s">
        <v>45</v>
      </c>
      <c r="AG458" s="40" t="s">
        <v>45</v>
      </c>
      <c r="AH458" s="40" t="s">
        <v>45</v>
      </c>
      <c r="AI458" s="40" t="s">
        <v>45</v>
      </c>
      <c r="AJ458" s="40" t="s">
        <v>45</v>
      </c>
      <c r="AK458" s="40" t="s">
        <v>45</v>
      </c>
      <c r="AL458" s="40" t="s">
        <v>45</v>
      </c>
      <c r="AM458" s="40" t="s">
        <v>45</v>
      </c>
      <c r="AN458" s="40" t="s">
        <v>45</v>
      </c>
      <c r="AO458" s="41" t="s">
        <v>45</v>
      </c>
      <c r="AP458" s="40" t="s">
        <v>350</v>
      </c>
      <c r="AQ458" s="40">
        <v>6</v>
      </c>
      <c r="AR458" s="48" t="s">
        <v>14</v>
      </c>
      <c r="AS458" s="43" t="s">
        <v>1460</v>
      </c>
      <c r="AT458" s="43" t="s">
        <v>635</v>
      </c>
      <c r="AU458" s="44">
        <f t="shared" si="56"/>
        <v>-2.1174102644400774</v>
      </c>
      <c r="AV458" s="44">
        <f t="shared" si="57"/>
        <v>-1.1872743815947853</v>
      </c>
      <c r="AW458" s="45">
        <f t="shared" si="58"/>
        <v>2</v>
      </c>
      <c r="AX458" s="45">
        <f t="shared" si="59"/>
        <v>1</v>
      </c>
      <c r="AY458" s="46">
        <f>VLOOKUP(AP458,COND!$A$10:$B$32,2,FALSE)</f>
        <v>1</v>
      </c>
      <c r="AZ458" s="44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18.629004557335872</v>
      </c>
      <c r="BA458" s="47">
        <f>STANDARDIZE(AZ458,AVERAGE($AZ$5:$AZ$557),STDEVP($AZ$5:$AZ$557))</f>
        <v>-1.1470520775198598</v>
      </c>
      <c r="BB458" s="45" t="str">
        <f t="shared" si="60"/>
        <v>RP</v>
      </c>
      <c r="BC458" s="45">
        <f>RANK(Table3[[#This Row],[zScore]],Table3[zScore])</f>
        <v>731</v>
      </c>
      <c r="BD458" s="45"/>
      <c r="BE458" s="45"/>
      <c r="BF458" s="45" t="str">
        <f t="shared" si="61"/>
        <v>Unlikely</v>
      </c>
      <c r="BG458" s="45"/>
      <c r="BH458" s="45" t="str">
        <f>INDEX(Table5[[#All],[Ovr]],MATCH(Table3[[#This Row],[PID]],Table5[[#All],[PID]],0))</f>
        <v/>
      </c>
      <c r="BI458" s="45" t="str">
        <f>INDEX(Table5[[#All],[Rnd]],MATCH(Table3[[#This Row],[PID]],Table5[[#All],[PID]],0))</f>
        <v/>
      </c>
      <c r="BJ458" s="45" t="str">
        <f>INDEX(Table5[[#All],[Pick]],MATCH(Table3[[#This Row],[PID]],Table5[[#All],[PID]],0))</f>
        <v/>
      </c>
      <c r="BK458" s="45" t="str">
        <f>INDEX(Table5[[#All],[Team]],MATCH(Table3[[#This Row],[PID]],Table5[[#All],[PID]],0))</f>
        <v/>
      </c>
      <c r="BL4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59" spans="1:64" ht="15" customHeight="1" x14ac:dyDescent="0.25">
      <c r="A459" s="40">
        <v>20272</v>
      </c>
      <c r="B459" s="40" t="s">
        <v>415</v>
      </c>
      <c r="C459" s="40" t="s">
        <v>2218</v>
      </c>
      <c r="D459" s="40" t="s">
        <v>1649</v>
      </c>
      <c r="E459" s="40">
        <v>23</v>
      </c>
      <c r="F459" s="40" t="s">
        <v>42</v>
      </c>
      <c r="G459" s="40" t="s">
        <v>42</v>
      </c>
      <c r="H459" s="41" t="s">
        <v>647</v>
      </c>
      <c r="I459" s="42" t="s">
        <v>43</v>
      </c>
      <c r="J459" s="40" t="s">
        <v>47</v>
      </c>
      <c r="K459" s="41" t="s">
        <v>47</v>
      </c>
      <c r="L459" s="40">
        <v>2</v>
      </c>
      <c r="M459" s="40">
        <v>2</v>
      </c>
      <c r="N459" s="41">
        <v>1</v>
      </c>
      <c r="O459" s="40">
        <v>3</v>
      </c>
      <c r="P459" s="40">
        <v>2</v>
      </c>
      <c r="Q459" s="41">
        <v>2</v>
      </c>
      <c r="R459" s="40">
        <v>4</v>
      </c>
      <c r="S459" s="40">
        <v>5</v>
      </c>
      <c r="T459" s="40">
        <v>1</v>
      </c>
      <c r="U459" s="40">
        <v>1</v>
      </c>
      <c r="V459" s="40">
        <v>3</v>
      </c>
      <c r="W459" s="40">
        <v>4</v>
      </c>
      <c r="X459" s="40" t="s">
        <v>45</v>
      </c>
      <c r="Y459" s="40" t="s">
        <v>45</v>
      </c>
      <c r="Z459" s="40" t="s">
        <v>45</v>
      </c>
      <c r="AA459" s="40" t="s">
        <v>45</v>
      </c>
      <c r="AB459" s="40" t="s">
        <v>45</v>
      </c>
      <c r="AC459" s="40" t="s">
        <v>45</v>
      </c>
      <c r="AD459" s="40" t="s">
        <v>45</v>
      </c>
      <c r="AE459" s="40" t="s">
        <v>45</v>
      </c>
      <c r="AF459" s="40" t="s">
        <v>45</v>
      </c>
      <c r="AG459" s="40" t="s">
        <v>45</v>
      </c>
      <c r="AH459" s="40" t="s">
        <v>45</v>
      </c>
      <c r="AI459" s="40" t="s">
        <v>45</v>
      </c>
      <c r="AJ459" s="40" t="s">
        <v>45</v>
      </c>
      <c r="AK459" s="40" t="s">
        <v>45</v>
      </c>
      <c r="AL459" s="40" t="s">
        <v>45</v>
      </c>
      <c r="AM459" s="40" t="s">
        <v>45</v>
      </c>
      <c r="AN459" s="40" t="s">
        <v>45</v>
      </c>
      <c r="AO459" s="41" t="s">
        <v>45</v>
      </c>
      <c r="AP459" s="40" t="s">
        <v>57</v>
      </c>
      <c r="AQ459" s="40">
        <v>5</v>
      </c>
      <c r="AR459" s="48" t="s">
        <v>347</v>
      </c>
      <c r="AS459" s="43" t="s">
        <v>1460</v>
      </c>
      <c r="AT459" s="43"/>
      <c r="AU459" s="44">
        <f t="shared" si="56"/>
        <v>-2.311361197028369</v>
      </c>
      <c r="AV459" s="44">
        <f t="shared" si="57"/>
        <v>-1.4288545557280135</v>
      </c>
      <c r="AW459" s="45">
        <f t="shared" si="58"/>
        <v>3</v>
      </c>
      <c r="AX459" s="45">
        <f t="shared" si="59"/>
        <v>0</v>
      </c>
      <c r="AY459" s="46">
        <f>VLOOKUP(AP459,COND!$A$10:$B$32,2,FALSE)</f>
        <v>1</v>
      </c>
      <c r="AZ459" s="44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20.749120729883209</v>
      </c>
      <c r="BA459" s="47">
        <f>STANDARDIZE(AZ459,AVERAGE($AZ$5:$AZ$788),STDEVP($AZ$5:$AZ$788))</f>
        <v>-1.1599961047031793</v>
      </c>
      <c r="BB459" s="45" t="str">
        <f t="shared" si="60"/>
        <v>SP</v>
      </c>
      <c r="BC459" s="45">
        <f>RANK(Table3[[#This Row],[zScore]],Table3[zScore])</f>
        <v>734</v>
      </c>
      <c r="BD459" s="45"/>
      <c r="BE459" s="45"/>
      <c r="BF459" s="45" t="str">
        <f t="shared" si="61"/>
        <v>Unlikely</v>
      </c>
      <c r="BG459" s="45"/>
      <c r="BH459" s="64" t="str">
        <f>INDEX(Table5[[#All],[Ovr]],MATCH(Table3[[#This Row],[PID]],Table5[[#All],[PID]],0))</f>
        <v/>
      </c>
      <c r="BI459" s="64" t="str">
        <f>INDEX(Table5[[#All],[Rnd]],MATCH(Table3[[#This Row],[PID]],Table5[[#All],[PID]],0))</f>
        <v/>
      </c>
      <c r="BJ459" s="64" t="str">
        <f>INDEX(Table5[[#All],[Pick]],MATCH(Table3[[#This Row],[PID]],Table5[[#All],[PID]],0))</f>
        <v/>
      </c>
      <c r="BK459" s="64" t="str">
        <f>INDEX(Table5[[#All],[Team]],MATCH(Table3[[#This Row],[PID]],Table5[[#All],[PID]],0))</f>
        <v/>
      </c>
      <c r="BL459" s="64" t="str">
        <f>IF(OR(Table3[[#This Row],[POS]]="SP",Table3[[#This Row],[POS]]="RP",Table3[[#This Row],[POS]]="CL"),"P",INDEX(Batters[[#All],[zScore]],MATCH(Table3[[#This Row],[PID]],Batters[[#All],[PID]],0)))</f>
        <v>P</v>
      </c>
    </row>
    <row r="460" spans="1:64" ht="15" customHeight="1" x14ac:dyDescent="0.25">
      <c r="A460" s="40">
        <v>16194</v>
      </c>
      <c r="B460" s="40" t="s">
        <v>415</v>
      </c>
      <c r="C460" s="40" t="s">
        <v>2169</v>
      </c>
      <c r="D460" s="40" t="s">
        <v>920</v>
      </c>
      <c r="E460" s="40">
        <v>21</v>
      </c>
      <c r="F460" s="40" t="s">
        <v>53</v>
      </c>
      <c r="G460" s="40" t="s">
        <v>53</v>
      </c>
      <c r="H460" s="41" t="s">
        <v>647</v>
      </c>
      <c r="I460" s="42" t="s">
        <v>43</v>
      </c>
      <c r="J460" s="40" t="s">
        <v>47</v>
      </c>
      <c r="K460" s="41" t="s">
        <v>47</v>
      </c>
      <c r="L460" s="40">
        <v>2</v>
      </c>
      <c r="M460" s="40">
        <v>1</v>
      </c>
      <c r="N460" s="41">
        <v>1</v>
      </c>
      <c r="O460" s="40">
        <v>3</v>
      </c>
      <c r="P460" s="40">
        <v>2</v>
      </c>
      <c r="Q460" s="41">
        <v>2</v>
      </c>
      <c r="R460" s="40">
        <v>3</v>
      </c>
      <c r="S460" s="40">
        <v>4</v>
      </c>
      <c r="T460" s="40">
        <v>1</v>
      </c>
      <c r="U460" s="40">
        <v>4</v>
      </c>
      <c r="V460" s="40" t="s">
        <v>45</v>
      </c>
      <c r="W460" s="40" t="s">
        <v>45</v>
      </c>
      <c r="X460" s="40">
        <v>2</v>
      </c>
      <c r="Y460" s="40">
        <v>2</v>
      </c>
      <c r="Z460" s="40" t="s">
        <v>45</v>
      </c>
      <c r="AA460" s="40" t="s">
        <v>45</v>
      </c>
      <c r="AB460" s="40" t="s">
        <v>45</v>
      </c>
      <c r="AC460" s="40" t="s">
        <v>45</v>
      </c>
      <c r="AD460" s="40" t="s">
        <v>45</v>
      </c>
      <c r="AE460" s="40" t="s">
        <v>45</v>
      </c>
      <c r="AF460" s="40" t="s">
        <v>45</v>
      </c>
      <c r="AG460" s="40" t="s">
        <v>45</v>
      </c>
      <c r="AH460" s="40" t="s">
        <v>45</v>
      </c>
      <c r="AI460" s="40" t="s">
        <v>45</v>
      </c>
      <c r="AJ460" s="40" t="s">
        <v>45</v>
      </c>
      <c r="AK460" s="40" t="s">
        <v>45</v>
      </c>
      <c r="AL460" s="40" t="s">
        <v>45</v>
      </c>
      <c r="AM460" s="40" t="s">
        <v>45</v>
      </c>
      <c r="AN460" s="40" t="s">
        <v>45</v>
      </c>
      <c r="AO460" s="41" t="s">
        <v>45</v>
      </c>
      <c r="AP460" s="40" t="s">
        <v>68</v>
      </c>
      <c r="AQ460" s="40">
        <v>4</v>
      </c>
      <c r="AR460" s="48" t="s">
        <v>14</v>
      </c>
      <c r="AS460" s="43" t="s">
        <v>643</v>
      </c>
      <c r="AT460" s="43"/>
      <c r="AU460" s="44">
        <f t="shared" si="56"/>
        <v>-2.5067929134584248</v>
      </c>
      <c r="AV460" s="44">
        <f t="shared" si="57"/>
        <v>-1.4288545557280135</v>
      </c>
      <c r="AW460" s="45">
        <f t="shared" si="58"/>
        <v>3</v>
      </c>
      <c r="AX460" s="45">
        <f t="shared" si="59"/>
        <v>0</v>
      </c>
      <c r="AY460" s="46">
        <f>VLOOKUP(AP460,COND!$A$10:$B$32,2,FALSE)</f>
        <v>0.95</v>
      </c>
      <c r="AZ460" s="44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20.710449148230115</v>
      </c>
      <c r="BA460" s="47">
        <f>STANDARDIZE(AZ460,AVERAGE($AZ$5:$AZ$788),STDEVP($AZ$5:$AZ$788))</f>
        <v>-1.1627944756939257</v>
      </c>
      <c r="BB460" s="45" t="str">
        <f t="shared" si="60"/>
        <v>RP</v>
      </c>
      <c r="BC460" s="45">
        <f>RANK(Table3[[#This Row],[zScore]],Table3[zScore])</f>
        <v>736</v>
      </c>
      <c r="BD460" s="45"/>
      <c r="BE460" s="45"/>
      <c r="BF460" s="45" t="str">
        <f t="shared" si="61"/>
        <v>Unlikely</v>
      </c>
      <c r="BG460" s="45"/>
      <c r="BH460" s="64" t="str">
        <f>INDEX(Table5[[#All],[Ovr]],MATCH(Table3[[#This Row],[PID]],Table5[[#All],[PID]],0))</f>
        <v/>
      </c>
      <c r="BI460" s="64" t="str">
        <f>INDEX(Table5[[#All],[Rnd]],MATCH(Table3[[#This Row],[PID]],Table5[[#All],[PID]],0))</f>
        <v/>
      </c>
      <c r="BJ460" s="64" t="str">
        <f>INDEX(Table5[[#All],[Pick]],MATCH(Table3[[#This Row],[PID]],Table5[[#All],[PID]],0))</f>
        <v/>
      </c>
      <c r="BK460" s="64" t="str">
        <f>INDEX(Table5[[#All],[Team]],MATCH(Table3[[#This Row],[PID]],Table5[[#All],[PID]],0))</f>
        <v/>
      </c>
      <c r="BL460" s="64" t="str">
        <f>IF(OR(Table3[[#This Row],[POS]]="SP",Table3[[#This Row],[POS]]="RP",Table3[[#This Row],[POS]]="CL"),"P",INDEX(Batters[[#All],[zScore]],MATCH(Table3[[#This Row],[PID]],Batters[[#All],[PID]],0)))</f>
        <v>P</v>
      </c>
    </row>
    <row r="461" spans="1:64" ht="15" customHeight="1" x14ac:dyDescent="0.25">
      <c r="A461" s="40">
        <v>6402</v>
      </c>
      <c r="B461" s="40" t="s">
        <v>415</v>
      </c>
      <c r="C461" s="40" t="s">
        <v>322</v>
      </c>
      <c r="D461" s="40" t="s">
        <v>1037</v>
      </c>
      <c r="E461" s="40">
        <v>22</v>
      </c>
      <c r="F461" s="40" t="s">
        <v>42</v>
      </c>
      <c r="G461" s="40" t="s">
        <v>42</v>
      </c>
      <c r="H461" s="41" t="s">
        <v>647</v>
      </c>
      <c r="I461" s="42" t="s">
        <v>44</v>
      </c>
      <c r="J461" s="40" t="s">
        <v>44</v>
      </c>
      <c r="K461" s="41" t="s">
        <v>43</v>
      </c>
      <c r="L461" s="40">
        <v>3</v>
      </c>
      <c r="M461" s="40">
        <v>1</v>
      </c>
      <c r="N461" s="41">
        <v>2</v>
      </c>
      <c r="O461" s="40">
        <v>4</v>
      </c>
      <c r="P461" s="40">
        <v>1</v>
      </c>
      <c r="Q461" s="41">
        <v>2</v>
      </c>
      <c r="R461" s="40">
        <v>4</v>
      </c>
      <c r="S461" s="40">
        <v>5</v>
      </c>
      <c r="T461" s="40">
        <v>1</v>
      </c>
      <c r="U461" s="40">
        <v>1</v>
      </c>
      <c r="V461" s="40" t="s">
        <v>45</v>
      </c>
      <c r="W461" s="40" t="s">
        <v>45</v>
      </c>
      <c r="X461" s="40" t="s">
        <v>45</v>
      </c>
      <c r="Y461" s="40" t="s">
        <v>45</v>
      </c>
      <c r="Z461" s="40">
        <v>3</v>
      </c>
      <c r="AA461" s="40">
        <v>4</v>
      </c>
      <c r="AB461" s="40" t="s">
        <v>45</v>
      </c>
      <c r="AC461" s="40" t="s">
        <v>45</v>
      </c>
      <c r="AD461" s="40" t="s">
        <v>45</v>
      </c>
      <c r="AE461" s="40" t="s">
        <v>45</v>
      </c>
      <c r="AF461" s="40" t="s">
        <v>45</v>
      </c>
      <c r="AG461" s="40" t="s">
        <v>45</v>
      </c>
      <c r="AH461" s="40" t="s">
        <v>45</v>
      </c>
      <c r="AI461" s="40" t="s">
        <v>45</v>
      </c>
      <c r="AJ461" s="40" t="s">
        <v>45</v>
      </c>
      <c r="AK461" s="40" t="s">
        <v>45</v>
      </c>
      <c r="AL461" s="40" t="s">
        <v>45</v>
      </c>
      <c r="AM461" s="40" t="s">
        <v>45</v>
      </c>
      <c r="AN461" s="40" t="s">
        <v>45</v>
      </c>
      <c r="AO461" s="41" t="s">
        <v>45</v>
      </c>
      <c r="AP461" s="40" t="s">
        <v>56</v>
      </c>
      <c r="AQ461" s="40">
        <v>2</v>
      </c>
      <c r="AR461" s="48" t="s">
        <v>14</v>
      </c>
      <c r="AS461" s="43" t="s">
        <v>45</v>
      </c>
      <c r="AT461" s="43" t="s">
        <v>47</v>
      </c>
      <c r="AU461" s="44">
        <f t="shared" si="56"/>
        <v>-2.0697810228951408</v>
      </c>
      <c r="AV461" s="44">
        <f t="shared" si="57"/>
        <v>-1.4295949476488956</v>
      </c>
      <c r="AW461" s="45">
        <f t="shared" si="58"/>
        <v>3</v>
      </c>
      <c r="AX461" s="45">
        <f t="shared" si="59"/>
        <v>0</v>
      </c>
      <c r="AY461" s="46">
        <f>VLOOKUP(AP461,COND!$A$10:$B$32,2,FALSE)</f>
        <v>1</v>
      </c>
      <c r="AZ461" s="44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18.419437600320904</v>
      </c>
      <c r="BA461" s="47">
        <f>STANDARDIZE(AZ461,AVERAGE($AZ$5:$AZ$557),STDEVP($AZ$5:$AZ$557))</f>
        <v>-1.1609942469289456</v>
      </c>
      <c r="BB461" s="45" t="str">
        <f t="shared" si="60"/>
        <v>RP</v>
      </c>
      <c r="BC461" s="45">
        <f>RANK(Table3[[#This Row],[zScore]],Table3[zScore])</f>
        <v>735</v>
      </c>
      <c r="BD461" s="45"/>
      <c r="BE461" s="45"/>
      <c r="BF461" s="45" t="str">
        <f t="shared" si="61"/>
        <v>Unlikely</v>
      </c>
      <c r="BG461" s="45"/>
      <c r="BH461" s="45" t="str">
        <f>INDEX(Table5[[#All],[Ovr]],MATCH(Table3[[#This Row],[PID]],Table5[[#All],[PID]],0))</f>
        <v/>
      </c>
      <c r="BI461" s="45" t="str">
        <f>INDEX(Table5[[#All],[Rnd]],MATCH(Table3[[#This Row],[PID]],Table5[[#All],[PID]],0))</f>
        <v/>
      </c>
      <c r="BJ461" s="45" t="str">
        <f>INDEX(Table5[[#All],[Pick]],MATCH(Table3[[#This Row],[PID]],Table5[[#All],[PID]],0))</f>
        <v/>
      </c>
      <c r="BK461" s="45" t="str">
        <f>INDEX(Table5[[#All],[Team]],MATCH(Table3[[#This Row],[PID]],Table5[[#All],[PID]],0))</f>
        <v/>
      </c>
      <c r="BL4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2" spans="1:64" ht="15" customHeight="1" x14ac:dyDescent="0.25">
      <c r="A462" s="40">
        <v>12318</v>
      </c>
      <c r="B462" s="40" t="s">
        <v>415</v>
      </c>
      <c r="C462" s="40" t="s">
        <v>1570</v>
      </c>
      <c r="D462" s="40" t="s">
        <v>382</v>
      </c>
      <c r="E462" s="40">
        <v>21</v>
      </c>
      <c r="F462" s="40" t="s">
        <v>62</v>
      </c>
      <c r="G462" s="40" t="s">
        <v>53</v>
      </c>
      <c r="H462" s="41" t="s">
        <v>647</v>
      </c>
      <c r="I462" s="42" t="s">
        <v>43</v>
      </c>
      <c r="J462" s="40" t="s">
        <v>43</v>
      </c>
      <c r="K462" s="41" t="s">
        <v>43</v>
      </c>
      <c r="L462" s="40">
        <v>2</v>
      </c>
      <c r="M462" s="40">
        <v>1</v>
      </c>
      <c r="N462" s="41">
        <v>1</v>
      </c>
      <c r="O462" s="40">
        <v>4</v>
      </c>
      <c r="P462" s="40">
        <v>1</v>
      </c>
      <c r="Q462" s="41">
        <v>2</v>
      </c>
      <c r="R462" s="40">
        <v>3</v>
      </c>
      <c r="S462" s="40">
        <v>6</v>
      </c>
      <c r="T462" s="40">
        <v>1</v>
      </c>
      <c r="U462" s="40">
        <v>1</v>
      </c>
      <c r="V462" s="40" t="s">
        <v>45</v>
      </c>
      <c r="W462" s="40" t="s">
        <v>45</v>
      </c>
      <c r="X462" s="40" t="s">
        <v>45</v>
      </c>
      <c r="Y462" s="40" t="s">
        <v>45</v>
      </c>
      <c r="Z462" s="40" t="s">
        <v>45</v>
      </c>
      <c r="AA462" s="40" t="s">
        <v>45</v>
      </c>
      <c r="AB462" s="40">
        <v>3</v>
      </c>
      <c r="AC462" s="40">
        <v>5</v>
      </c>
      <c r="AD462" s="40" t="s">
        <v>45</v>
      </c>
      <c r="AE462" s="40" t="s">
        <v>45</v>
      </c>
      <c r="AF462" s="40" t="s">
        <v>45</v>
      </c>
      <c r="AG462" s="40" t="s">
        <v>45</v>
      </c>
      <c r="AH462" s="40" t="s">
        <v>45</v>
      </c>
      <c r="AI462" s="40" t="s">
        <v>45</v>
      </c>
      <c r="AJ462" s="40" t="s">
        <v>45</v>
      </c>
      <c r="AK462" s="40" t="s">
        <v>45</v>
      </c>
      <c r="AL462" s="40" t="s">
        <v>45</v>
      </c>
      <c r="AM462" s="40" t="s">
        <v>45</v>
      </c>
      <c r="AN462" s="40" t="s">
        <v>45</v>
      </c>
      <c r="AO462" s="41" t="s">
        <v>45</v>
      </c>
      <c r="AP462" s="40" t="s">
        <v>64</v>
      </c>
      <c r="AQ462" s="40">
        <v>8</v>
      </c>
      <c r="AR462" s="48" t="s">
        <v>14</v>
      </c>
      <c r="AS462" s="43" t="s">
        <v>45</v>
      </c>
      <c r="AT462" s="43"/>
      <c r="AU462" s="44">
        <f t="shared" si="56"/>
        <v>-2.5067929134584248</v>
      </c>
      <c r="AV462" s="44">
        <f t="shared" si="57"/>
        <v>-1.4295949476488956</v>
      </c>
      <c r="AW462" s="45">
        <f t="shared" si="58"/>
        <v>3</v>
      </c>
      <c r="AX462" s="45">
        <f t="shared" si="59"/>
        <v>1</v>
      </c>
      <c r="AY462" s="46">
        <f>VLOOKUP(AP462,COND!$A$10:$B$32,2,FALSE)</f>
        <v>1</v>
      </c>
      <c r="AZ462" s="44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20.656742464330399</v>
      </c>
      <c r="BA462" s="47">
        <f>STANDARDIZE(AZ462,AVERAGE($AZ$5:$AZ$788),STDEVP($AZ$5:$AZ$788))</f>
        <v>-1.1666808237513273</v>
      </c>
      <c r="BB462" s="45" t="str">
        <f t="shared" si="60"/>
        <v>SP</v>
      </c>
      <c r="BC462" s="45">
        <f>RANK(Table3[[#This Row],[zScore]],Table3[zScore])</f>
        <v>737</v>
      </c>
      <c r="BD462" s="45"/>
      <c r="BE462" s="45"/>
      <c r="BF462" s="45" t="str">
        <f t="shared" si="61"/>
        <v>Unlikely</v>
      </c>
      <c r="BG462" s="45"/>
      <c r="BH462" s="64" t="str">
        <f>INDEX(Table5[[#All],[Ovr]],MATCH(Table3[[#This Row],[PID]],Table5[[#All],[PID]],0))</f>
        <v/>
      </c>
      <c r="BI462" s="64" t="str">
        <f>INDEX(Table5[[#All],[Rnd]],MATCH(Table3[[#This Row],[PID]],Table5[[#All],[PID]],0))</f>
        <v/>
      </c>
      <c r="BJ462" s="64" t="str">
        <f>INDEX(Table5[[#All],[Pick]],MATCH(Table3[[#This Row],[PID]],Table5[[#All],[PID]],0))</f>
        <v/>
      </c>
      <c r="BK462" s="64" t="str">
        <f>INDEX(Table5[[#All],[Team]],MATCH(Table3[[#This Row],[PID]],Table5[[#All],[PID]],0))</f>
        <v/>
      </c>
      <c r="BL462" s="64" t="str">
        <f>IF(OR(Table3[[#This Row],[POS]]="SP",Table3[[#This Row],[POS]]="RP",Table3[[#This Row],[POS]]="CL"),"P",INDEX(Batters[[#All],[zScore]],MATCH(Table3[[#This Row],[PID]],Batters[[#All],[PID]],0)))</f>
        <v>P</v>
      </c>
    </row>
    <row r="463" spans="1:64" ht="15" customHeight="1" x14ac:dyDescent="0.25">
      <c r="A463" s="40">
        <v>16945</v>
      </c>
      <c r="B463" s="40" t="s">
        <v>415</v>
      </c>
      <c r="C463" s="40" t="s">
        <v>1092</v>
      </c>
      <c r="D463" s="40" t="s">
        <v>137</v>
      </c>
      <c r="E463" s="40">
        <v>21</v>
      </c>
      <c r="F463" s="40" t="s">
        <v>42</v>
      </c>
      <c r="G463" s="40" t="s">
        <v>42</v>
      </c>
      <c r="H463" s="41" t="s">
        <v>647</v>
      </c>
      <c r="I463" s="42" t="s">
        <v>43</v>
      </c>
      <c r="J463" s="40" t="s">
        <v>44</v>
      </c>
      <c r="K463" s="41" t="s">
        <v>43</v>
      </c>
      <c r="L463" s="40">
        <v>1</v>
      </c>
      <c r="M463" s="40">
        <v>1</v>
      </c>
      <c r="N463" s="41">
        <v>1</v>
      </c>
      <c r="O463" s="40">
        <v>3</v>
      </c>
      <c r="P463" s="40">
        <v>1</v>
      </c>
      <c r="Q463" s="41">
        <v>3</v>
      </c>
      <c r="R463" s="40">
        <v>3</v>
      </c>
      <c r="S463" s="40">
        <v>4</v>
      </c>
      <c r="T463" s="40">
        <v>1</v>
      </c>
      <c r="U463" s="40">
        <v>3</v>
      </c>
      <c r="V463" s="40">
        <v>2</v>
      </c>
      <c r="W463" s="40">
        <v>4</v>
      </c>
      <c r="X463" s="40" t="s">
        <v>45</v>
      </c>
      <c r="Y463" s="40" t="s">
        <v>45</v>
      </c>
      <c r="Z463" s="40" t="s">
        <v>45</v>
      </c>
      <c r="AA463" s="40" t="s">
        <v>45</v>
      </c>
      <c r="AB463" s="40" t="s">
        <v>45</v>
      </c>
      <c r="AC463" s="40" t="s">
        <v>45</v>
      </c>
      <c r="AD463" s="40" t="s">
        <v>45</v>
      </c>
      <c r="AE463" s="40" t="s">
        <v>45</v>
      </c>
      <c r="AF463" s="40" t="s">
        <v>45</v>
      </c>
      <c r="AG463" s="40" t="s">
        <v>45</v>
      </c>
      <c r="AH463" s="40" t="s">
        <v>45</v>
      </c>
      <c r="AI463" s="40" t="s">
        <v>45</v>
      </c>
      <c r="AJ463" s="40" t="s">
        <v>45</v>
      </c>
      <c r="AK463" s="40" t="s">
        <v>45</v>
      </c>
      <c r="AL463" s="40" t="s">
        <v>45</v>
      </c>
      <c r="AM463" s="40" t="s">
        <v>45</v>
      </c>
      <c r="AN463" s="40" t="s">
        <v>45</v>
      </c>
      <c r="AO463" s="41" t="s">
        <v>45</v>
      </c>
      <c r="AP463" s="40" t="s">
        <v>64</v>
      </c>
      <c r="AQ463" s="40">
        <v>6</v>
      </c>
      <c r="AR463" s="48" t="s">
        <v>14</v>
      </c>
      <c r="AS463" s="43" t="s">
        <v>643</v>
      </c>
      <c r="AT463" s="43" t="s">
        <v>635</v>
      </c>
      <c r="AU463" s="44">
        <f t="shared" si="56"/>
        <v>-2.7014842379675978</v>
      </c>
      <c r="AV463" s="44">
        <f t="shared" si="57"/>
        <v>-1.3819657061039585</v>
      </c>
      <c r="AW463" s="45">
        <f t="shared" si="58"/>
        <v>3</v>
      </c>
      <c r="AX463" s="45">
        <f t="shared" si="59"/>
        <v>0</v>
      </c>
      <c r="AY463" s="46">
        <f>VLOOKUP(AP463,COND!$A$10:$B$32,2,FALSE)</f>
        <v>1</v>
      </c>
      <c r="AZ463" s="44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20.687379304569127</v>
      </c>
      <c r="BA463" s="47">
        <f>STANDARDIZE(AZ463,AVERAGE($AZ$5:$AZ$663),STDEVP($AZ$5:$AZ$663))</f>
        <v>-1.1724681569848956</v>
      </c>
      <c r="BB463" s="45" t="str">
        <f t="shared" si="60"/>
        <v>SP</v>
      </c>
      <c r="BC463" s="45">
        <f>RANK(Table3[[#This Row],[zScore]],Table3[zScore])</f>
        <v>738</v>
      </c>
      <c r="BD463" s="45"/>
      <c r="BE463" s="45"/>
      <c r="BF463" s="45" t="str">
        <f t="shared" si="61"/>
        <v>Unlikely</v>
      </c>
      <c r="BG463" s="45"/>
      <c r="BH463" s="45" t="str">
        <f>INDEX(Table5[[#All],[Ovr]],MATCH(Table3[[#This Row],[PID]],Table5[[#All],[PID]],0))</f>
        <v/>
      </c>
      <c r="BI463" s="45" t="str">
        <f>INDEX(Table5[[#All],[Rnd]],MATCH(Table3[[#This Row],[PID]],Table5[[#All],[PID]],0))</f>
        <v/>
      </c>
      <c r="BJ463" s="45" t="str">
        <f>INDEX(Table5[[#All],[Pick]],MATCH(Table3[[#This Row],[PID]],Table5[[#All],[PID]],0))</f>
        <v/>
      </c>
      <c r="BK463" s="45" t="str">
        <f>INDEX(Table5[[#All],[Team]],MATCH(Table3[[#This Row],[PID]],Table5[[#All],[PID]],0))</f>
        <v/>
      </c>
      <c r="BL4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4" spans="1:64" ht="15" customHeight="1" x14ac:dyDescent="0.25">
      <c r="A464" s="40">
        <v>17818</v>
      </c>
      <c r="B464" s="40" t="s">
        <v>415</v>
      </c>
      <c r="C464" s="40" t="s">
        <v>930</v>
      </c>
      <c r="D464" s="40" t="s">
        <v>2016</v>
      </c>
      <c r="E464" s="40">
        <v>21</v>
      </c>
      <c r="F464" s="40" t="s">
        <v>53</v>
      </c>
      <c r="G464" s="40" t="s">
        <v>53</v>
      </c>
      <c r="H464" s="41" t="s">
        <v>647</v>
      </c>
      <c r="I464" s="42" t="s">
        <v>43</v>
      </c>
      <c r="J464" s="40" t="s">
        <v>44</v>
      </c>
      <c r="K464" s="41" t="s">
        <v>44</v>
      </c>
      <c r="L464" s="40">
        <v>3</v>
      </c>
      <c r="M464" s="40">
        <v>1</v>
      </c>
      <c r="N464" s="41">
        <v>3</v>
      </c>
      <c r="O464" s="40">
        <v>4</v>
      </c>
      <c r="P464" s="40">
        <v>1</v>
      </c>
      <c r="Q464" s="41">
        <v>3</v>
      </c>
      <c r="R464" s="40">
        <v>5</v>
      </c>
      <c r="S464" s="40">
        <v>7</v>
      </c>
      <c r="T464" s="40" t="s">
        <v>45</v>
      </c>
      <c r="U464" s="40" t="s">
        <v>45</v>
      </c>
      <c r="V464" s="40">
        <v>3</v>
      </c>
      <c r="W464" s="40">
        <v>4</v>
      </c>
      <c r="X464" s="40" t="s">
        <v>45</v>
      </c>
      <c r="Y464" s="40" t="s">
        <v>45</v>
      </c>
      <c r="Z464" s="40" t="s">
        <v>45</v>
      </c>
      <c r="AA464" s="40" t="s">
        <v>45</v>
      </c>
      <c r="AB464" s="40" t="s">
        <v>45</v>
      </c>
      <c r="AC464" s="40" t="s">
        <v>45</v>
      </c>
      <c r="AD464" s="40" t="s">
        <v>45</v>
      </c>
      <c r="AE464" s="40" t="s">
        <v>45</v>
      </c>
      <c r="AF464" s="40" t="s">
        <v>45</v>
      </c>
      <c r="AG464" s="40" t="s">
        <v>45</v>
      </c>
      <c r="AH464" s="40" t="s">
        <v>45</v>
      </c>
      <c r="AI464" s="40" t="s">
        <v>45</v>
      </c>
      <c r="AJ464" s="40" t="s">
        <v>45</v>
      </c>
      <c r="AK464" s="40" t="s">
        <v>45</v>
      </c>
      <c r="AL464" s="40" t="s">
        <v>45</v>
      </c>
      <c r="AM464" s="40" t="s">
        <v>45</v>
      </c>
      <c r="AN464" s="40" t="s">
        <v>45</v>
      </c>
      <c r="AO464" s="41" t="s">
        <v>45</v>
      </c>
      <c r="AP464" s="40" t="s">
        <v>57</v>
      </c>
      <c r="AQ464" s="40">
        <v>6</v>
      </c>
      <c r="AR464" s="48" t="s">
        <v>14</v>
      </c>
      <c r="AS464" s="43" t="s">
        <v>45</v>
      </c>
      <c r="AT464" s="43" t="s">
        <v>47</v>
      </c>
      <c r="AU464" s="44">
        <f t="shared" si="56"/>
        <v>-1.8274604568410304</v>
      </c>
      <c r="AV464" s="44">
        <f t="shared" si="57"/>
        <v>-1.1872743815947853</v>
      </c>
      <c r="AW464" s="45">
        <f t="shared" si="58"/>
        <v>2</v>
      </c>
      <c r="AX464" s="45">
        <f t="shared" si="59"/>
        <v>1</v>
      </c>
      <c r="AY464" s="46">
        <f>VLOOKUP(AP464,COND!$A$10:$B$32,2,FALSE)</f>
        <v>1</v>
      </c>
      <c r="AZ464" s="44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18.085544769817684</v>
      </c>
      <c r="BA464" s="47">
        <f>STANDARDIZE(AZ464,AVERAGE($AZ$5:$AZ$557),STDEVP($AZ$5:$AZ$557))</f>
        <v>-1.1832076267177383</v>
      </c>
      <c r="BB464" s="45" t="str">
        <f t="shared" si="60"/>
        <v>RP</v>
      </c>
      <c r="BC464" s="45">
        <f>RANK(Table3[[#This Row],[zScore]],Table3[zScore])</f>
        <v>739</v>
      </c>
      <c r="BD464" s="45"/>
      <c r="BE464" s="45"/>
      <c r="BF464" s="45" t="str">
        <f t="shared" si="61"/>
        <v>Unlikely</v>
      </c>
      <c r="BG464" s="45"/>
      <c r="BH464" s="45" t="str">
        <f>INDEX(Table5[[#All],[Ovr]],MATCH(Table3[[#This Row],[PID]],Table5[[#All],[PID]],0))</f>
        <v/>
      </c>
      <c r="BI464" s="45" t="str">
        <f>INDEX(Table5[[#All],[Rnd]],MATCH(Table3[[#This Row],[PID]],Table5[[#All],[PID]],0))</f>
        <v/>
      </c>
      <c r="BJ464" s="45" t="str">
        <f>INDEX(Table5[[#All],[Pick]],MATCH(Table3[[#This Row],[PID]],Table5[[#All],[PID]],0))</f>
        <v/>
      </c>
      <c r="BK464" s="45" t="str">
        <f>INDEX(Table5[[#All],[Team]],MATCH(Table3[[#This Row],[PID]],Table5[[#All],[PID]],0))</f>
        <v/>
      </c>
      <c r="BL46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5" spans="1:64" ht="15" customHeight="1" x14ac:dyDescent="0.25">
      <c r="A465" s="40">
        <v>15227</v>
      </c>
      <c r="B465" s="40" t="s">
        <v>415</v>
      </c>
      <c r="C465" s="40" t="s">
        <v>799</v>
      </c>
      <c r="D465" s="40" t="s">
        <v>382</v>
      </c>
      <c r="E465" s="40">
        <v>22</v>
      </c>
      <c r="F465" s="40" t="s">
        <v>42</v>
      </c>
      <c r="G465" s="40" t="s">
        <v>42</v>
      </c>
      <c r="H465" s="41" t="s">
        <v>647</v>
      </c>
      <c r="I465" s="42" t="s">
        <v>43</v>
      </c>
      <c r="J465" s="40" t="s">
        <v>43</v>
      </c>
      <c r="K465" s="41" t="s">
        <v>43</v>
      </c>
      <c r="L465" s="40">
        <v>2</v>
      </c>
      <c r="M465" s="40">
        <v>1</v>
      </c>
      <c r="N465" s="41">
        <v>2</v>
      </c>
      <c r="O465" s="40">
        <v>4</v>
      </c>
      <c r="P465" s="40">
        <v>1</v>
      </c>
      <c r="Q465" s="41">
        <v>3</v>
      </c>
      <c r="R465" s="40">
        <v>4</v>
      </c>
      <c r="S465" s="40">
        <v>6</v>
      </c>
      <c r="T465" s="40" t="s">
        <v>45</v>
      </c>
      <c r="U465" s="40" t="s">
        <v>45</v>
      </c>
      <c r="V465" s="40" t="s">
        <v>45</v>
      </c>
      <c r="W465" s="40" t="s">
        <v>45</v>
      </c>
      <c r="X465" s="40">
        <v>3</v>
      </c>
      <c r="Y465" s="40">
        <v>6</v>
      </c>
      <c r="Z465" s="40" t="s">
        <v>45</v>
      </c>
      <c r="AA465" s="40" t="s">
        <v>45</v>
      </c>
      <c r="AB465" s="40" t="s">
        <v>45</v>
      </c>
      <c r="AC465" s="40" t="s">
        <v>45</v>
      </c>
      <c r="AD465" s="40" t="s">
        <v>45</v>
      </c>
      <c r="AE465" s="40" t="s">
        <v>45</v>
      </c>
      <c r="AF465" s="40" t="s">
        <v>45</v>
      </c>
      <c r="AG465" s="40" t="s">
        <v>45</v>
      </c>
      <c r="AH465" s="40" t="s">
        <v>45</v>
      </c>
      <c r="AI465" s="40" t="s">
        <v>45</v>
      </c>
      <c r="AJ465" s="40" t="s">
        <v>45</v>
      </c>
      <c r="AK465" s="40" t="s">
        <v>45</v>
      </c>
      <c r="AL465" s="40" t="s">
        <v>45</v>
      </c>
      <c r="AM465" s="40" t="s">
        <v>45</v>
      </c>
      <c r="AN465" s="40" t="s">
        <v>45</v>
      </c>
      <c r="AO465" s="41" t="s">
        <v>45</v>
      </c>
      <c r="AP465" s="40" t="s">
        <v>64</v>
      </c>
      <c r="AQ465" s="40">
        <v>2</v>
      </c>
      <c r="AR465" s="48" t="s">
        <v>347</v>
      </c>
      <c r="AS465" s="43" t="s">
        <v>45</v>
      </c>
      <c r="AT465" s="43"/>
      <c r="AU465" s="44">
        <f t="shared" si="56"/>
        <v>-2.2644723474043147</v>
      </c>
      <c r="AV465" s="44">
        <f t="shared" si="57"/>
        <v>-1.1872743815947853</v>
      </c>
      <c r="AW465" s="45">
        <f t="shared" si="58"/>
        <v>2</v>
      </c>
      <c r="AX465" s="45">
        <f t="shared" si="59"/>
        <v>2</v>
      </c>
      <c r="AY465" s="46">
        <f>VLOOKUP(AP465,COND!$A$10:$B$32,2,FALSE)</f>
        <v>1</v>
      </c>
      <c r="AZ465" s="44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20.336537003692261</v>
      </c>
      <c r="BA465" s="47">
        <f>STANDARDIZE(AZ465,AVERAGE($AZ$5:$AZ$788),STDEVP($AZ$5:$AZ$788))</f>
        <v>-1.1898516803293302</v>
      </c>
      <c r="BB465" s="45" t="str">
        <f t="shared" si="60"/>
        <v>RP</v>
      </c>
      <c r="BC465" s="45">
        <f>RANK(Table3[[#This Row],[zScore]],Table3[zScore])</f>
        <v>740</v>
      </c>
      <c r="BD465" s="45"/>
      <c r="BE465" s="45"/>
      <c r="BF465" s="45" t="str">
        <f t="shared" si="61"/>
        <v>Unlikely</v>
      </c>
      <c r="BG465" s="45"/>
      <c r="BH465" s="64" t="str">
        <f>INDEX(Table5[[#All],[Ovr]],MATCH(Table3[[#This Row],[PID]],Table5[[#All],[PID]],0))</f>
        <v/>
      </c>
      <c r="BI465" s="64" t="str">
        <f>INDEX(Table5[[#All],[Rnd]],MATCH(Table3[[#This Row],[PID]],Table5[[#All],[PID]],0))</f>
        <v/>
      </c>
      <c r="BJ465" s="64" t="str">
        <f>INDEX(Table5[[#All],[Pick]],MATCH(Table3[[#This Row],[PID]],Table5[[#All],[PID]],0))</f>
        <v/>
      </c>
      <c r="BK465" s="64" t="str">
        <f>INDEX(Table5[[#All],[Team]],MATCH(Table3[[#This Row],[PID]],Table5[[#All],[PID]],0))</f>
        <v/>
      </c>
      <c r="BL465" s="64" t="str">
        <f>IF(OR(Table3[[#This Row],[POS]]="SP",Table3[[#This Row],[POS]]="RP",Table3[[#This Row],[POS]]="CL"),"P",INDEX(Batters[[#All],[zScore]],MATCH(Table3[[#This Row],[PID]],Batters[[#All],[PID]],0)))</f>
        <v>P</v>
      </c>
    </row>
    <row r="466" spans="1:64" ht="15" customHeight="1" x14ac:dyDescent="0.25">
      <c r="A466" s="40">
        <v>7777</v>
      </c>
      <c r="B466" s="40" t="s">
        <v>415</v>
      </c>
      <c r="C466" s="40" t="s">
        <v>166</v>
      </c>
      <c r="D466" s="40" t="s">
        <v>156</v>
      </c>
      <c r="E466" s="40">
        <v>22</v>
      </c>
      <c r="F466" s="40" t="s">
        <v>42</v>
      </c>
      <c r="G466" s="40" t="s">
        <v>42</v>
      </c>
      <c r="H466" s="41" t="s">
        <v>647</v>
      </c>
      <c r="I466" s="42" t="s">
        <v>43</v>
      </c>
      <c r="J466" s="40" t="s">
        <v>44</v>
      </c>
      <c r="K466" s="41" t="s">
        <v>47</v>
      </c>
      <c r="L466" s="40">
        <v>1</v>
      </c>
      <c r="M466" s="40">
        <v>1</v>
      </c>
      <c r="N466" s="41">
        <v>2</v>
      </c>
      <c r="O466" s="40">
        <v>2</v>
      </c>
      <c r="P466" s="40">
        <v>1</v>
      </c>
      <c r="Q466" s="41">
        <v>3</v>
      </c>
      <c r="R466" s="40">
        <v>2</v>
      </c>
      <c r="S466" s="40">
        <v>3</v>
      </c>
      <c r="T466" s="40" t="s">
        <v>45</v>
      </c>
      <c r="U466" s="40" t="s">
        <v>45</v>
      </c>
      <c r="V466" s="40">
        <v>1</v>
      </c>
      <c r="W466" s="40">
        <v>3</v>
      </c>
      <c r="X466" s="40">
        <v>1</v>
      </c>
      <c r="Y466" s="40">
        <v>3</v>
      </c>
      <c r="Z466" s="40" t="s">
        <v>45</v>
      </c>
      <c r="AA466" s="40" t="s">
        <v>45</v>
      </c>
      <c r="AB466" s="40" t="s">
        <v>45</v>
      </c>
      <c r="AC466" s="40" t="s">
        <v>45</v>
      </c>
      <c r="AD466" s="40" t="s">
        <v>45</v>
      </c>
      <c r="AE466" s="40" t="s">
        <v>45</v>
      </c>
      <c r="AF466" s="40" t="s">
        <v>45</v>
      </c>
      <c r="AG466" s="40" t="s">
        <v>45</v>
      </c>
      <c r="AH466" s="40" t="s">
        <v>45</v>
      </c>
      <c r="AI466" s="40" t="s">
        <v>45</v>
      </c>
      <c r="AJ466" s="40" t="s">
        <v>45</v>
      </c>
      <c r="AK466" s="40" t="s">
        <v>45</v>
      </c>
      <c r="AL466" s="40" t="s">
        <v>45</v>
      </c>
      <c r="AM466" s="40" t="s">
        <v>45</v>
      </c>
      <c r="AN466" s="40" t="s">
        <v>45</v>
      </c>
      <c r="AO466" s="41" t="s">
        <v>45</v>
      </c>
      <c r="AP466" s="40" t="s">
        <v>70</v>
      </c>
      <c r="AQ466" s="40">
        <v>6</v>
      </c>
      <c r="AR466" s="48" t="s">
        <v>351</v>
      </c>
      <c r="AS466" s="43" t="s">
        <v>45</v>
      </c>
      <c r="AT466" s="43" t="s">
        <v>47</v>
      </c>
      <c r="AU466" s="44">
        <f t="shared" si="56"/>
        <v>-2.4591636719134877</v>
      </c>
      <c r="AV466" s="44">
        <f t="shared" si="57"/>
        <v>-1.5766570306131322</v>
      </c>
      <c r="AW466" s="45">
        <f t="shared" si="58"/>
        <v>3</v>
      </c>
      <c r="AX466" s="45">
        <f t="shared" si="59"/>
        <v>0</v>
      </c>
      <c r="AY466" s="46">
        <f>VLOOKUP(AP466,COND!$A$10:$B$32,2,FALSE)</f>
        <v>0.9</v>
      </c>
      <c r="AZ466" s="44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20.214335888318708</v>
      </c>
      <c r="BA466" s="47">
        <f>STANDARDIZE(AZ466,AVERAGE($AZ$5:$AZ$663),STDEVP($AZ$5:$AZ$663))</f>
        <v>-1.2048714918151764</v>
      </c>
      <c r="BB466" s="45" t="str">
        <f t="shared" si="60"/>
        <v>SP</v>
      </c>
      <c r="BC466" s="45">
        <f>RANK(Table3[[#This Row],[zScore]],Table3[zScore])</f>
        <v>741</v>
      </c>
      <c r="BD466" s="45"/>
      <c r="BE466" s="45"/>
      <c r="BF466" s="45" t="str">
        <f t="shared" si="61"/>
        <v>Unlikely</v>
      </c>
      <c r="BG466" s="45"/>
      <c r="BH466" s="45" t="str">
        <f>INDEX(Table5[[#All],[Ovr]],MATCH(Table3[[#This Row],[PID]],Table5[[#All],[PID]],0))</f>
        <v/>
      </c>
      <c r="BI466" s="45" t="str">
        <f>INDEX(Table5[[#All],[Rnd]],MATCH(Table3[[#This Row],[PID]],Table5[[#All],[PID]],0))</f>
        <v/>
      </c>
      <c r="BJ466" s="45" t="str">
        <f>INDEX(Table5[[#All],[Pick]],MATCH(Table3[[#This Row],[PID]],Table5[[#All],[PID]],0))</f>
        <v/>
      </c>
      <c r="BK466" s="45" t="str">
        <f>INDEX(Table5[[#All],[Team]],MATCH(Table3[[#This Row],[PID]],Table5[[#All],[PID]],0))</f>
        <v/>
      </c>
      <c r="BL4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7" spans="1:64" ht="15" customHeight="1" x14ac:dyDescent="0.25">
      <c r="A467" s="40">
        <v>14493</v>
      </c>
      <c r="B467" s="40" t="s">
        <v>415</v>
      </c>
      <c r="C467" s="40" t="s">
        <v>613</v>
      </c>
      <c r="D467" s="40" t="s">
        <v>902</v>
      </c>
      <c r="E467" s="40">
        <v>21</v>
      </c>
      <c r="F467" s="40" t="s">
        <v>53</v>
      </c>
      <c r="G467" s="40" t="s">
        <v>53</v>
      </c>
      <c r="H467" s="41" t="s">
        <v>647</v>
      </c>
      <c r="I467" s="42" t="s">
        <v>44</v>
      </c>
      <c r="J467" s="40" t="s">
        <v>44</v>
      </c>
      <c r="K467" s="41" t="s">
        <v>43</v>
      </c>
      <c r="L467" s="40">
        <v>1</v>
      </c>
      <c r="M467" s="40">
        <v>2</v>
      </c>
      <c r="N467" s="41">
        <v>1</v>
      </c>
      <c r="O467" s="40">
        <v>3</v>
      </c>
      <c r="P467" s="40">
        <v>2</v>
      </c>
      <c r="Q467" s="41">
        <v>2</v>
      </c>
      <c r="R467" s="40">
        <v>2</v>
      </c>
      <c r="S467" s="40">
        <v>3</v>
      </c>
      <c r="T467" s="40">
        <v>1</v>
      </c>
      <c r="U467" s="40">
        <v>4</v>
      </c>
      <c r="V467" s="40">
        <v>2</v>
      </c>
      <c r="W467" s="40">
        <v>4</v>
      </c>
      <c r="X467" s="40">
        <v>2</v>
      </c>
      <c r="Y467" s="40">
        <v>3</v>
      </c>
      <c r="Z467" s="40" t="s">
        <v>45</v>
      </c>
      <c r="AA467" s="40" t="s">
        <v>45</v>
      </c>
      <c r="AB467" s="40" t="s">
        <v>45</v>
      </c>
      <c r="AC467" s="40" t="s">
        <v>45</v>
      </c>
      <c r="AD467" s="40" t="s">
        <v>45</v>
      </c>
      <c r="AE467" s="40" t="s">
        <v>45</v>
      </c>
      <c r="AF467" s="40" t="s">
        <v>45</v>
      </c>
      <c r="AG467" s="40" t="s">
        <v>45</v>
      </c>
      <c r="AH467" s="40" t="s">
        <v>45</v>
      </c>
      <c r="AI467" s="40" t="s">
        <v>45</v>
      </c>
      <c r="AJ467" s="40" t="s">
        <v>45</v>
      </c>
      <c r="AK467" s="40" t="s">
        <v>45</v>
      </c>
      <c r="AL467" s="40" t="s">
        <v>45</v>
      </c>
      <c r="AM467" s="40" t="s">
        <v>45</v>
      </c>
      <c r="AN467" s="40" t="s">
        <v>45</v>
      </c>
      <c r="AO467" s="41" t="s">
        <v>45</v>
      </c>
      <c r="AP467" s="40" t="s">
        <v>65</v>
      </c>
      <c r="AQ467" s="40">
        <v>3</v>
      </c>
      <c r="AR467" s="48" t="s">
        <v>347</v>
      </c>
      <c r="AS467" s="43" t="s">
        <v>45</v>
      </c>
      <c r="AT467" s="43" t="s">
        <v>47</v>
      </c>
      <c r="AU467" s="44">
        <f t="shared" si="56"/>
        <v>-2.5060525215375429</v>
      </c>
      <c r="AV467" s="44">
        <f t="shared" si="57"/>
        <v>-1.4288545557280135</v>
      </c>
      <c r="AW467" s="45">
        <f t="shared" si="58"/>
        <v>4</v>
      </c>
      <c r="AX467" s="45">
        <f t="shared" si="59"/>
        <v>0</v>
      </c>
      <c r="AY467" s="46">
        <f>VLOOKUP(AP467,COND!$A$10:$B$32,2,FALSE)</f>
        <v>0.95</v>
      </c>
      <c r="AZ467" s="44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20.111832788971832</v>
      </c>
      <c r="BA467" s="47">
        <f>STANDARDIZE(AZ467,AVERAGE($AZ$5:$AZ$663),STDEVP($AZ$5:$AZ$663))</f>
        <v>-1.2118929239611003</v>
      </c>
      <c r="BB467" s="45" t="str">
        <f t="shared" si="60"/>
        <v>RP</v>
      </c>
      <c r="BC467" s="45">
        <f>RANK(Table3[[#This Row],[zScore]],Table3[zScore])</f>
        <v>742</v>
      </c>
      <c r="BD467" s="45"/>
      <c r="BE467" s="45"/>
      <c r="BF467" s="45" t="str">
        <f t="shared" si="61"/>
        <v>Unlikely</v>
      </c>
      <c r="BG467" s="45"/>
      <c r="BH467" s="45" t="str">
        <f>INDEX(Table5[[#All],[Ovr]],MATCH(Table3[[#This Row],[PID]],Table5[[#All],[PID]],0))</f>
        <v/>
      </c>
      <c r="BI467" s="45" t="str">
        <f>INDEX(Table5[[#All],[Rnd]],MATCH(Table3[[#This Row],[PID]],Table5[[#All],[PID]],0))</f>
        <v/>
      </c>
      <c r="BJ467" s="45" t="str">
        <f>INDEX(Table5[[#All],[Pick]],MATCH(Table3[[#This Row],[PID]],Table5[[#All],[PID]],0))</f>
        <v/>
      </c>
      <c r="BK467" s="45" t="str">
        <f>INDEX(Table5[[#All],[Team]],MATCH(Table3[[#This Row],[PID]],Table5[[#All],[PID]],0))</f>
        <v/>
      </c>
      <c r="BL4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8" spans="1:64" ht="15" customHeight="1" x14ac:dyDescent="0.25">
      <c r="A468" s="40">
        <v>12619</v>
      </c>
      <c r="B468" s="40" t="s">
        <v>415</v>
      </c>
      <c r="C468" s="40" t="s">
        <v>837</v>
      </c>
      <c r="D468" s="40" t="s">
        <v>1124</v>
      </c>
      <c r="E468" s="40">
        <v>22</v>
      </c>
      <c r="F468" s="40" t="s">
        <v>42</v>
      </c>
      <c r="G468" s="40" t="s">
        <v>42</v>
      </c>
      <c r="H468" s="41" t="s">
        <v>647</v>
      </c>
      <c r="I468" s="42" t="s">
        <v>43</v>
      </c>
      <c r="J468" s="40" t="s">
        <v>44</v>
      </c>
      <c r="K468" s="41" t="s">
        <v>43</v>
      </c>
      <c r="L468" s="40">
        <v>2</v>
      </c>
      <c r="M468" s="40">
        <v>2</v>
      </c>
      <c r="N468" s="41">
        <v>2</v>
      </c>
      <c r="O468" s="40">
        <v>3</v>
      </c>
      <c r="P468" s="40">
        <v>2</v>
      </c>
      <c r="Q468" s="41">
        <v>2</v>
      </c>
      <c r="R468" s="40" t="s">
        <v>45</v>
      </c>
      <c r="S468" s="40" t="s">
        <v>45</v>
      </c>
      <c r="T468" s="40" t="s">
        <v>45</v>
      </c>
      <c r="U468" s="40" t="s">
        <v>45</v>
      </c>
      <c r="V468" s="40" t="s">
        <v>45</v>
      </c>
      <c r="W468" s="40" t="s">
        <v>45</v>
      </c>
      <c r="X468" s="40">
        <v>2</v>
      </c>
      <c r="Y468" s="40">
        <v>3</v>
      </c>
      <c r="Z468" s="40" t="s">
        <v>45</v>
      </c>
      <c r="AA468" s="40" t="s">
        <v>45</v>
      </c>
      <c r="AB468" s="40">
        <v>3</v>
      </c>
      <c r="AC468" s="40">
        <v>4</v>
      </c>
      <c r="AD468" s="40">
        <v>3</v>
      </c>
      <c r="AE468" s="40">
        <v>4</v>
      </c>
      <c r="AF468" s="40" t="s">
        <v>45</v>
      </c>
      <c r="AG468" s="40" t="s">
        <v>45</v>
      </c>
      <c r="AH468" s="40" t="s">
        <v>45</v>
      </c>
      <c r="AI468" s="40" t="s">
        <v>45</v>
      </c>
      <c r="AJ468" s="40" t="s">
        <v>45</v>
      </c>
      <c r="AK468" s="40" t="s">
        <v>45</v>
      </c>
      <c r="AL468" s="40" t="s">
        <v>45</v>
      </c>
      <c r="AM468" s="40" t="s">
        <v>45</v>
      </c>
      <c r="AN468" s="40" t="s">
        <v>45</v>
      </c>
      <c r="AO468" s="41" t="s">
        <v>45</v>
      </c>
      <c r="AP468" s="40" t="s">
        <v>349</v>
      </c>
      <c r="AQ468" s="40">
        <v>6</v>
      </c>
      <c r="AR468" s="48" t="s">
        <v>347</v>
      </c>
      <c r="AS468" s="43" t="s">
        <v>45</v>
      </c>
      <c r="AT468" s="43" t="s">
        <v>635</v>
      </c>
      <c r="AU468" s="44">
        <f t="shared" si="56"/>
        <v>-2.0690406309742588</v>
      </c>
      <c r="AV468" s="44">
        <f t="shared" si="57"/>
        <v>-1.4288545557280135</v>
      </c>
      <c r="AW468" s="45">
        <f t="shared" si="58"/>
        <v>3</v>
      </c>
      <c r="AX468" s="45">
        <f t="shared" si="59"/>
        <v>0</v>
      </c>
      <c r="AY468" s="46">
        <f>VLOOKUP(AP468,COND!$A$10:$B$32,2,FALSE)</f>
        <v>1</v>
      </c>
      <c r="AZ468" s="44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19.89637324026376</v>
      </c>
      <c r="BA468" s="47">
        <f>STANDARDIZE(AZ468,AVERAGE($AZ$5:$AZ$663),STDEVP($AZ$5:$AZ$663))</f>
        <v>-1.2266518396532551</v>
      </c>
      <c r="BB468" s="45" t="str">
        <f t="shared" si="60"/>
        <v>SP</v>
      </c>
      <c r="BC468" s="45">
        <f>RANK(Table3[[#This Row],[zScore]],Table3[zScore])</f>
        <v>744</v>
      </c>
      <c r="BD468" s="45"/>
      <c r="BE468" s="45"/>
      <c r="BF468" s="45" t="str">
        <f t="shared" si="61"/>
        <v>Unlikely</v>
      </c>
      <c r="BG468" s="45"/>
      <c r="BH468" s="45" t="str">
        <f>INDEX(Table5[[#All],[Ovr]],MATCH(Table3[[#This Row],[PID]],Table5[[#All],[PID]],0))</f>
        <v/>
      </c>
      <c r="BI468" s="45" t="str">
        <f>INDEX(Table5[[#All],[Rnd]],MATCH(Table3[[#This Row],[PID]],Table5[[#All],[PID]],0))</f>
        <v/>
      </c>
      <c r="BJ468" s="45" t="str">
        <f>INDEX(Table5[[#All],[Pick]],MATCH(Table3[[#This Row],[PID]],Table5[[#All],[PID]],0))</f>
        <v/>
      </c>
      <c r="BK468" s="45" t="str">
        <f>INDEX(Table5[[#All],[Team]],MATCH(Table3[[#This Row],[PID]],Table5[[#All],[PID]],0))</f>
        <v/>
      </c>
      <c r="BL4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69" spans="1:64" ht="15" customHeight="1" x14ac:dyDescent="0.25">
      <c r="A469" s="40">
        <v>12585</v>
      </c>
      <c r="B469" s="40" t="s">
        <v>415</v>
      </c>
      <c r="C469" s="40" t="s">
        <v>373</v>
      </c>
      <c r="D469" s="40" t="s">
        <v>1921</v>
      </c>
      <c r="E469" s="40">
        <v>21</v>
      </c>
      <c r="F469" s="40" t="s">
        <v>42</v>
      </c>
      <c r="G469" s="40" t="s">
        <v>42</v>
      </c>
      <c r="H469" s="41" t="s">
        <v>647</v>
      </c>
      <c r="I469" s="42" t="s">
        <v>43</v>
      </c>
      <c r="J469" s="40" t="s">
        <v>44</v>
      </c>
      <c r="K469" s="41" t="s">
        <v>43</v>
      </c>
      <c r="L469" s="40">
        <v>1</v>
      </c>
      <c r="M469" s="40">
        <v>1</v>
      </c>
      <c r="N469" s="41">
        <v>1</v>
      </c>
      <c r="O469" s="40">
        <v>3</v>
      </c>
      <c r="P469" s="40">
        <v>1</v>
      </c>
      <c r="Q469" s="41">
        <v>2</v>
      </c>
      <c r="R469" s="40">
        <v>3</v>
      </c>
      <c r="S469" s="40">
        <v>4</v>
      </c>
      <c r="T469" s="40">
        <v>1</v>
      </c>
      <c r="U469" s="40">
        <v>1</v>
      </c>
      <c r="V469" s="40">
        <v>2</v>
      </c>
      <c r="W469" s="40">
        <v>5</v>
      </c>
      <c r="X469" s="40" t="s">
        <v>45</v>
      </c>
      <c r="Y469" s="40" t="s">
        <v>45</v>
      </c>
      <c r="Z469" s="40" t="s">
        <v>45</v>
      </c>
      <c r="AA469" s="40" t="s">
        <v>45</v>
      </c>
      <c r="AB469" s="40" t="s">
        <v>45</v>
      </c>
      <c r="AC469" s="40" t="s">
        <v>45</v>
      </c>
      <c r="AD469" s="40" t="s">
        <v>45</v>
      </c>
      <c r="AE469" s="40" t="s">
        <v>45</v>
      </c>
      <c r="AF469" s="40" t="s">
        <v>45</v>
      </c>
      <c r="AG469" s="40" t="s">
        <v>45</v>
      </c>
      <c r="AH469" s="40" t="s">
        <v>45</v>
      </c>
      <c r="AI469" s="40" t="s">
        <v>45</v>
      </c>
      <c r="AJ469" s="40" t="s">
        <v>45</v>
      </c>
      <c r="AK469" s="40" t="s">
        <v>45</v>
      </c>
      <c r="AL469" s="40" t="s">
        <v>45</v>
      </c>
      <c r="AM469" s="40" t="s">
        <v>45</v>
      </c>
      <c r="AN469" s="40" t="s">
        <v>45</v>
      </c>
      <c r="AO469" s="41" t="s">
        <v>45</v>
      </c>
      <c r="AP469" s="40" t="s">
        <v>68</v>
      </c>
      <c r="AQ469" s="40">
        <v>5</v>
      </c>
      <c r="AR469" s="48" t="s">
        <v>14</v>
      </c>
      <c r="AS469" s="43" t="s">
        <v>45</v>
      </c>
      <c r="AT469" s="43" t="s">
        <v>47</v>
      </c>
      <c r="AU469" s="44">
        <f t="shared" si="56"/>
        <v>-2.7014842379675978</v>
      </c>
      <c r="AV469" s="44">
        <f t="shared" si="57"/>
        <v>-1.6242862721580691</v>
      </c>
      <c r="AW469" s="45">
        <f t="shared" si="58"/>
        <v>3</v>
      </c>
      <c r="AX469" s="45">
        <f t="shared" si="59"/>
        <v>0</v>
      </c>
      <c r="AY469" s="46">
        <f>VLOOKUP(AP469,COND!$A$10:$B$32,2,FALSE)</f>
        <v>0.95</v>
      </c>
      <c r="AZ469" s="44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17.499021853188271</v>
      </c>
      <c r="BA469" s="47">
        <f>STANDARDIZE(AZ469,AVERAGE($AZ$5:$AZ$557),STDEVP($AZ$5:$AZ$557))</f>
        <v>-1.222228100090238</v>
      </c>
      <c r="BB469" s="45" t="str">
        <f t="shared" si="60"/>
        <v>SP</v>
      </c>
      <c r="BC469" s="45">
        <f>RANK(Table3[[#This Row],[zScore]],Table3[zScore])</f>
        <v>743</v>
      </c>
      <c r="BD469" s="45"/>
      <c r="BE469" s="45"/>
      <c r="BF469" s="45" t="str">
        <f t="shared" si="61"/>
        <v>Unlikely</v>
      </c>
      <c r="BG469" s="45"/>
      <c r="BH469" s="45" t="str">
        <f>INDEX(Table5[[#All],[Ovr]],MATCH(Table3[[#This Row],[PID]],Table5[[#All],[PID]],0))</f>
        <v/>
      </c>
      <c r="BI469" s="45" t="str">
        <f>INDEX(Table5[[#All],[Rnd]],MATCH(Table3[[#This Row],[PID]],Table5[[#All],[PID]],0))</f>
        <v/>
      </c>
      <c r="BJ469" s="45" t="str">
        <f>INDEX(Table5[[#All],[Pick]],MATCH(Table3[[#This Row],[PID]],Table5[[#All],[PID]],0))</f>
        <v/>
      </c>
      <c r="BK469" s="45" t="str">
        <f>INDEX(Table5[[#All],[Team]],MATCH(Table3[[#This Row],[PID]],Table5[[#All],[PID]],0))</f>
        <v/>
      </c>
      <c r="BL4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0" spans="1:64" ht="15" customHeight="1" x14ac:dyDescent="0.25">
      <c r="A470" s="40">
        <v>7473</v>
      </c>
      <c r="B470" s="40" t="s">
        <v>415</v>
      </c>
      <c r="C470" s="40" t="s">
        <v>524</v>
      </c>
      <c r="D470" s="40" t="s">
        <v>432</v>
      </c>
      <c r="E470" s="40">
        <v>21</v>
      </c>
      <c r="F470" s="40" t="s">
        <v>53</v>
      </c>
      <c r="G470" s="40" t="s">
        <v>53</v>
      </c>
      <c r="H470" s="41" t="s">
        <v>647</v>
      </c>
      <c r="I470" s="42" t="s">
        <v>43</v>
      </c>
      <c r="J470" s="40" t="s">
        <v>43</v>
      </c>
      <c r="K470" s="41" t="s">
        <v>47</v>
      </c>
      <c r="L470" s="40">
        <v>1</v>
      </c>
      <c r="M470" s="40">
        <v>2</v>
      </c>
      <c r="N470" s="41">
        <v>1</v>
      </c>
      <c r="O470" s="40">
        <v>3</v>
      </c>
      <c r="P470" s="40">
        <v>2</v>
      </c>
      <c r="Q470" s="41">
        <v>2</v>
      </c>
      <c r="R470" s="40" t="s">
        <v>45</v>
      </c>
      <c r="S470" s="40" t="s">
        <v>45</v>
      </c>
      <c r="T470" s="40">
        <v>2</v>
      </c>
      <c r="U470" s="40">
        <v>6</v>
      </c>
      <c r="V470" s="40" t="s">
        <v>45</v>
      </c>
      <c r="W470" s="40" t="s">
        <v>45</v>
      </c>
      <c r="X470" s="40" t="s">
        <v>45</v>
      </c>
      <c r="Y470" s="40" t="s">
        <v>45</v>
      </c>
      <c r="Z470" s="40" t="s">
        <v>45</v>
      </c>
      <c r="AA470" s="40" t="s">
        <v>45</v>
      </c>
      <c r="AB470" s="40" t="s">
        <v>45</v>
      </c>
      <c r="AC470" s="40" t="s">
        <v>45</v>
      </c>
      <c r="AD470" s="40">
        <v>2</v>
      </c>
      <c r="AE470" s="40">
        <v>3</v>
      </c>
      <c r="AF470" s="40" t="s">
        <v>45</v>
      </c>
      <c r="AG470" s="40" t="s">
        <v>45</v>
      </c>
      <c r="AH470" s="40" t="s">
        <v>45</v>
      </c>
      <c r="AI470" s="40" t="s">
        <v>45</v>
      </c>
      <c r="AJ470" s="40" t="s">
        <v>45</v>
      </c>
      <c r="AK470" s="40" t="s">
        <v>45</v>
      </c>
      <c r="AL470" s="40" t="s">
        <v>45</v>
      </c>
      <c r="AM470" s="40" t="s">
        <v>45</v>
      </c>
      <c r="AN470" s="40" t="s">
        <v>45</v>
      </c>
      <c r="AO470" s="41" t="s">
        <v>45</v>
      </c>
      <c r="AP470" s="40" t="s">
        <v>70</v>
      </c>
      <c r="AQ470" s="40">
        <v>4</v>
      </c>
      <c r="AR470" s="48" t="s">
        <v>347</v>
      </c>
      <c r="AS470" s="43" t="s">
        <v>45</v>
      </c>
      <c r="AT470" s="43" t="s">
        <v>635</v>
      </c>
      <c r="AU470" s="44">
        <f t="shared" si="56"/>
        <v>-2.5060525215375429</v>
      </c>
      <c r="AV470" s="44">
        <f t="shared" si="57"/>
        <v>-1.4288545557280135</v>
      </c>
      <c r="AW470" s="45">
        <f t="shared" si="58"/>
        <v>2</v>
      </c>
      <c r="AX470" s="45">
        <f t="shared" si="59"/>
        <v>1</v>
      </c>
      <c r="AY470" s="46">
        <f>VLOOKUP(AP470,COND!$A$10:$B$32,2,FALSE)</f>
        <v>0.9</v>
      </c>
      <c r="AZ470" s="44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17.361802115868052</v>
      </c>
      <c r="BA470" s="47">
        <f>STANDARDIZE(AZ470,AVERAGE($AZ$5:$AZ$557),STDEVP($AZ$5:$AZ$557))</f>
        <v>-1.2313571195274584</v>
      </c>
      <c r="BB470" s="45" t="str">
        <f t="shared" si="60"/>
        <v>RP</v>
      </c>
      <c r="BC470" s="45">
        <f>RANK(Table3[[#This Row],[zScore]],Table3[zScore])</f>
        <v>745</v>
      </c>
      <c r="BD470" s="45"/>
      <c r="BE470" s="45"/>
      <c r="BF470" s="45" t="str">
        <f t="shared" si="61"/>
        <v>Unlikely</v>
      </c>
      <c r="BG470" s="45"/>
      <c r="BH470" s="45" t="str">
        <f>INDEX(Table5[[#All],[Ovr]],MATCH(Table3[[#This Row],[PID]],Table5[[#All],[PID]],0))</f>
        <v/>
      </c>
      <c r="BI470" s="45" t="str">
        <f>INDEX(Table5[[#All],[Rnd]],MATCH(Table3[[#This Row],[PID]],Table5[[#All],[PID]],0))</f>
        <v/>
      </c>
      <c r="BJ470" s="45" t="str">
        <f>INDEX(Table5[[#All],[Pick]],MATCH(Table3[[#This Row],[PID]],Table5[[#All],[PID]],0))</f>
        <v/>
      </c>
      <c r="BK470" s="45" t="str">
        <f>INDEX(Table5[[#All],[Team]],MATCH(Table3[[#This Row],[PID]],Table5[[#All],[PID]],0))</f>
        <v/>
      </c>
      <c r="BL4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1" spans="1:64" ht="15" customHeight="1" x14ac:dyDescent="0.25">
      <c r="A471" s="40">
        <v>5241</v>
      </c>
      <c r="B471" s="40" t="s">
        <v>415</v>
      </c>
      <c r="C471" s="40" t="s">
        <v>180</v>
      </c>
      <c r="D471" s="40" t="s">
        <v>1973</v>
      </c>
      <c r="E471" s="40">
        <v>21</v>
      </c>
      <c r="F471" s="40" t="s">
        <v>62</v>
      </c>
      <c r="G471" s="40" t="s">
        <v>42</v>
      </c>
      <c r="H471" s="41" t="s">
        <v>647</v>
      </c>
      <c r="I471" s="42" t="s">
        <v>47</v>
      </c>
      <c r="J471" s="40" t="s">
        <v>43</v>
      </c>
      <c r="K471" s="41" t="s">
        <v>43</v>
      </c>
      <c r="L471" s="40">
        <v>2</v>
      </c>
      <c r="M471" s="40">
        <v>2</v>
      </c>
      <c r="N471" s="41">
        <v>1</v>
      </c>
      <c r="O471" s="40">
        <v>3</v>
      </c>
      <c r="P471" s="40">
        <v>2</v>
      </c>
      <c r="Q471" s="41">
        <v>2</v>
      </c>
      <c r="R471" s="40">
        <v>3</v>
      </c>
      <c r="S471" s="40">
        <v>5</v>
      </c>
      <c r="T471" s="40">
        <v>1</v>
      </c>
      <c r="U471" s="40">
        <v>1</v>
      </c>
      <c r="V471" s="40" t="s">
        <v>45</v>
      </c>
      <c r="W471" s="40" t="s">
        <v>45</v>
      </c>
      <c r="X471" s="40">
        <v>2</v>
      </c>
      <c r="Y471" s="40">
        <v>4</v>
      </c>
      <c r="Z471" s="40" t="s">
        <v>45</v>
      </c>
      <c r="AA471" s="40" t="s">
        <v>45</v>
      </c>
      <c r="AB471" s="40" t="s">
        <v>45</v>
      </c>
      <c r="AC471" s="40" t="s">
        <v>45</v>
      </c>
      <c r="AD471" s="40" t="s">
        <v>45</v>
      </c>
      <c r="AE471" s="40" t="s">
        <v>45</v>
      </c>
      <c r="AF471" s="40" t="s">
        <v>45</v>
      </c>
      <c r="AG471" s="40" t="s">
        <v>45</v>
      </c>
      <c r="AH471" s="40" t="s">
        <v>45</v>
      </c>
      <c r="AI471" s="40" t="s">
        <v>45</v>
      </c>
      <c r="AJ471" s="40" t="s">
        <v>45</v>
      </c>
      <c r="AK471" s="40" t="s">
        <v>45</v>
      </c>
      <c r="AL471" s="40" t="s">
        <v>45</v>
      </c>
      <c r="AM471" s="40" t="s">
        <v>45</v>
      </c>
      <c r="AN471" s="40" t="s">
        <v>45</v>
      </c>
      <c r="AO471" s="41" t="s">
        <v>45</v>
      </c>
      <c r="AP471" s="40" t="s">
        <v>349</v>
      </c>
      <c r="AQ471" s="40">
        <v>7</v>
      </c>
      <c r="AR471" s="48" t="s">
        <v>347</v>
      </c>
      <c r="AS471" s="43" t="s">
        <v>45</v>
      </c>
      <c r="AT471" s="43" t="s">
        <v>47</v>
      </c>
      <c r="AU471" s="44">
        <f t="shared" si="56"/>
        <v>-2.311361197028369</v>
      </c>
      <c r="AV471" s="44">
        <f t="shared" si="57"/>
        <v>-1.4288545557280135</v>
      </c>
      <c r="AW471" s="45">
        <f t="shared" si="58"/>
        <v>3</v>
      </c>
      <c r="AX471" s="45">
        <f t="shared" si="59"/>
        <v>0</v>
      </c>
      <c r="AY471" s="46">
        <f>VLOOKUP(AP471,COND!$A$10:$B$32,2,FALSE)</f>
        <v>1</v>
      </c>
      <c r="AZ471" s="44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19.685636646034055</v>
      </c>
      <c r="BA471" s="47">
        <f>STANDARDIZE(AZ471,AVERAGE($AZ$5:$AZ$663),STDEVP($AZ$5:$AZ$663))</f>
        <v>-1.2410872343532697</v>
      </c>
      <c r="BB471" s="45" t="str">
        <f t="shared" si="60"/>
        <v>SP</v>
      </c>
      <c r="BC471" s="45">
        <f>RANK(Table3[[#This Row],[zScore]],Table3[zScore])</f>
        <v>746</v>
      </c>
      <c r="BD471" s="45"/>
      <c r="BE471" s="45"/>
      <c r="BF471" s="45" t="str">
        <f t="shared" si="61"/>
        <v>Unlikely</v>
      </c>
      <c r="BG471" s="45"/>
      <c r="BH471" s="45" t="str">
        <f>INDEX(Table5[[#All],[Ovr]],MATCH(Table3[[#This Row],[PID]],Table5[[#All],[PID]],0))</f>
        <v/>
      </c>
      <c r="BI471" s="45" t="str">
        <f>INDEX(Table5[[#All],[Rnd]],MATCH(Table3[[#This Row],[PID]],Table5[[#All],[PID]],0))</f>
        <v/>
      </c>
      <c r="BJ471" s="45" t="str">
        <f>INDEX(Table5[[#All],[Pick]],MATCH(Table3[[#This Row],[PID]],Table5[[#All],[PID]],0))</f>
        <v/>
      </c>
      <c r="BK471" s="45" t="str">
        <f>INDEX(Table5[[#All],[Team]],MATCH(Table3[[#This Row],[PID]],Table5[[#All],[PID]],0))</f>
        <v/>
      </c>
      <c r="BL4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2" spans="1:64" ht="15" customHeight="1" x14ac:dyDescent="0.25">
      <c r="A472" s="40">
        <v>12991</v>
      </c>
      <c r="B472" s="40" t="s">
        <v>415</v>
      </c>
      <c r="C472" s="40" t="s">
        <v>567</v>
      </c>
      <c r="D472" s="40" t="s">
        <v>1125</v>
      </c>
      <c r="E472" s="40">
        <v>22</v>
      </c>
      <c r="F472" s="40" t="s">
        <v>53</v>
      </c>
      <c r="G472" s="40" t="s">
        <v>42</v>
      </c>
      <c r="H472" s="41" t="s">
        <v>647</v>
      </c>
      <c r="I472" s="42" t="s">
        <v>43</v>
      </c>
      <c r="J472" s="40" t="s">
        <v>43</v>
      </c>
      <c r="K472" s="41" t="s">
        <v>43</v>
      </c>
      <c r="L472" s="40">
        <v>2</v>
      </c>
      <c r="M472" s="40">
        <v>2</v>
      </c>
      <c r="N472" s="41">
        <v>1</v>
      </c>
      <c r="O472" s="40">
        <v>4</v>
      </c>
      <c r="P472" s="40">
        <v>2</v>
      </c>
      <c r="Q472" s="41">
        <v>2</v>
      </c>
      <c r="R472" s="40">
        <v>4</v>
      </c>
      <c r="S472" s="40">
        <v>5</v>
      </c>
      <c r="T472" s="40" t="s">
        <v>45</v>
      </c>
      <c r="U472" s="40" t="s">
        <v>45</v>
      </c>
      <c r="V472" s="40">
        <v>3</v>
      </c>
      <c r="W472" s="40">
        <v>4</v>
      </c>
      <c r="X472" s="40" t="s">
        <v>45</v>
      </c>
      <c r="Y472" s="40" t="s">
        <v>45</v>
      </c>
      <c r="Z472" s="40" t="s">
        <v>45</v>
      </c>
      <c r="AA472" s="40" t="s">
        <v>45</v>
      </c>
      <c r="AB472" s="40" t="s">
        <v>45</v>
      </c>
      <c r="AC472" s="40" t="s">
        <v>45</v>
      </c>
      <c r="AD472" s="40" t="s">
        <v>45</v>
      </c>
      <c r="AE472" s="40" t="s">
        <v>45</v>
      </c>
      <c r="AF472" s="40" t="s">
        <v>45</v>
      </c>
      <c r="AG472" s="40" t="s">
        <v>45</v>
      </c>
      <c r="AH472" s="40" t="s">
        <v>45</v>
      </c>
      <c r="AI472" s="40" t="s">
        <v>45</v>
      </c>
      <c r="AJ472" s="40" t="s">
        <v>45</v>
      </c>
      <c r="AK472" s="40" t="s">
        <v>45</v>
      </c>
      <c r="AL472" s="40" t="s">
        <v>45</v>
      </c>
      <c r="AM472" s="40" t="s">
        <v>45</v>
      </c>
      <c r="AN472" s="40" t="s">
        <v>45</v>
      </c>
      <c r="AO472" s="41" t="s">
        <v>45</v>
      </c>
      <c r="AP472" s="40" t="s">
        <v>64</v>
      </c>
      <c r="AQ472" s="40">
        <v>2</v>
      </c>
      <c r="AR472" s="48" t="s">
        <v>346</v>
      </c>
      <c r="AS472" s="43" t="s">
        <v>45</v>
      </c>
      <c r="AT472" s="43" t="s">
        <v>635</v>
      </c>
      <c r="AU472" s="44">
        <f t="shared" si="56"/>
        <v>-2.311361197028369</v>
      </c>
      <c r="AV472" s="44">
        <f t="shared" si="57"/>
        <v>-1.23416323121884</v>
      </c>
      <c r="AW472" s="45">
        <f t="shared" si="58"/>
        <v>2</v>
      </c>
      <c r="AX472" s="45">
        <f t="shared" si="59"/>
        <v>0</v>
      </c>
      <c r="AY472" s="46">
        <f>VLOOKUP(AP472,COND!$A$10:$B$32,2,FALSE)</f>
        <v>1</v>
      </c>
      <c r="AZ472" s="44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17.061739979406649</v>
      </c>
      <c r="BA472" s="47">
        <f>STANDARDIZE(AZ472,AVERAGE($AZ$5:$AZ$557),STDEVP($AZ$5:$AZ$557))</f>
        <v>-1.2513197949386314</v>
      </c>
      <c r="BB472" s="45" t="str">
        <f t="shared" si="60"/>
        <v>RP</v>
      </c>
      <c r="BC472" s="45">
        <f>RANK(Table3[[#This Row],[zScore]],Table3[zScore])</f>
        <v>747</v>
      </c>
      <c r="BD472" s="45"/>
      <c r="BE472" s="45"/>
      <c r="BF472" s="45" t="str">
        <f t="shared" si="61"/>
        <v>Unlikely</v>
      </c>
      <c r="BG472" s="45"/>
      <c r="BH472" s="45" t="str">
        <f>INDEX(Table5[[#All],[Ovr]],MATCH(Table3[[#This Row],[PID]],Table5[[#All],[PID]],0))</f>
        <v/>
      </c>
      <c r="BI472" s="45" t="str">
        <f>INDEX(Table5[[#All],[Rnd]],MATCH(Table3[[#This Row],[PID]],Table5[[#All],[PID]],0))</f>
        <v/>
      </c>
      <c r="BJ472" s="45" t="str">
        <f>INDEX(Table5[[#All],[Pick]],MATCH(Table3[[#This Row],[PID]],Table5[[#All],[PID]],0))</f>
        <v/>
      </c>
      <c r="BK472" s="45" t="str">
        <f>INDEX(Table5[[#All],[Team]],MATCH(Table3[[#This Row],[PID]],Table5[[#All],[PID]],0))</f>
        <v/>
      </c>
      <c r="BL4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3" spans="1:64" ht="15" customHeight="1" x14ac:dyDescent="0.25">
      <c r="A473" s="40">
        <v>12182</v>
      </c>
      <c r="B473" s="40" t="s">
        <v>415</v>
      </c>
      <c r="C473" s="40" t="s">
        <v>588</v>
      </c>
      <c r="D473" s="40" t="s">
        <v>1132</v>
      </c>
      <c r="E473" s="40">
        <v>22</v>
      </c>
      <c r="F473" s="40" t="s">
        <v>53</v>
      </c>
      <c r="G473" s="40" t="s">
        <v>53</v>
      </c>
      <c r="H473" s="41" t="s">
        <v>647</v>
      </c>
      <c r="I473" s="42" t="s">
        <v>43</v>
      </c>
      <c r="J473" s="40" t="s">
        <v>44</v>
      </c>
      <c r="K473" s="41" t="s">
        <v>43</v>
      </c>
      <c r="L473" s="40">
        <v>2</v>
      </c>
      <c r="M473" s="40">
        <v>1</v>
      </c>
      <c r="N473" s="41">
        <v>1</v>
      </c>
      <c r="O473" s="40">
        <v>3</v>
      </c>
      <c r="P473" s="40">
        <v>1</v>
      </c>
      <c r="Q473" s="41">
        <v>2</v>
      </c>
      <c r="R473" s="40">
        <v>3</v>
      </c>
      <c r="S473" s="40">
        <v>4</v>
      </c>
      <c r="T473" s="40">
        <v>1</v>
      </c>
      <c r="U473" s="40">
        <v>2</v>
      </c>
      <c r="V473" s="40" t="s">
        <v>45</v>
      </c>
      <c r="W473" s="40" t="s">
        <v>45</v>
      </c>
      <c r="X473" s="40">
        <v>2</v>
      </c>
      <c r="Y473" s="40">
        <v>5</v>
      </c>
      <c r="Z473" s="40" t="s">
        <v>45</v>
      </c>
      <c r="AA473" s="40" t="s">
        <v>45</v>
      </c>
      <c r="AB473" s="40" t="s">
        <v>45</v>
      </c>
      <c r="AC473" s="40" t="s">
        <v>45</v>
      </c>
      <c r="AD473" s="40" t="s">
        <v>45</v>
      </c>
      <c r="AE473" s="40" t="s">
        <v>45</v>
      </c>
      <c r="AF473" s="40" t="s">
        <v>45</v>
      </c>
      <c r="AG473" s="40" t="s">
        <v>45</v>
      </c>
      <c r="AH473" s="40" t="s">
        <v>45</v>
      </c>
      <c r="AI473" s="40" t="s">
        <v>45</v>
      </c>
      <c r="AJ473" s="40" t="s">
        <v>45</v>
      </c>
      <c r="AK473" s="40" t="s">
        <v>45</v>
      </c>
      <c r="AL473" s="40" t="s">
        <v>45</v>
      </c>
      <c r="AM473" s="40" t="s">
        <v>45</v>
      </c>
      <c r="AN473" s="40" t="s">
        <v>45</v>
      </c>
      <c r="AO473" s="41" t="s">
        <v>45</v>
      </c>
      <c r="AP473" s="40" t="s">
        <v>68</v>
      </c>
      <c r="AQ473" s="40">
        <v>10</v>
      </c>
      <c r="AR473" s="48" t="s">
        <v>14</v>
      </c>
      <c r="AS473" s="43" t="s">
        <v>45</v>
      </c>
      <c r="AT473" s="43" t="s">
        <v>47</v>
      </c>
      <c r="AU473" s="44">
        <f t="shared" si="56"/>
        <v>-2.5067929134584248</v>
      </c>
      <c r="AV473" s="44">
        <f t="shared" si="57"/>
        <v>-1.6242862721580691</v>
      </c>
      <c r="AW473" s="45">
        <f t="shared" si="58"/>
        <v>3</v>
      </c>
      <c r="AX473" s="45">
        <f t="shared" si="59"/>
        <v>0</v>
      </c>
      <c r="AY473" s="46">
        <f>VLOOKUP(AP473,COND!$A$10:$B$32,2,FALSE)</f>
        <v>0.95</v>
      </c>
      <c r="AZ473" s="44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16.787270175439581</v>
      </c>
      <c r="BA473" s="47">
        <f>STANDARDIZE(AZ473,AVERAGE($AZ$5:$AZ$557),STDEVP($AZ$5:$AZ$557))</f>
        <v>-1.2695798515768262</v>
      </c>
      <c r="BB473" s="45" t="str">
        <f t="shared" si="60"/>
        <v>SP</v>
      </c>
      <c r="BC473" s="45">
        <f>RANK(Table3[[#This Row],[zScore]],Table3[zScore])</f>
        <v>748</v>
      </c>
      <c r="BD473" s="45"/>
      <c r="BE473" s="45"/>
      <c r="BF473" s="45" t="str">
        <f t="shared" si="61"/>
        <v>Unlikely</v>
      </c>
      <c r="BG473" s="45"/>
      <c r="BH473" s="45" t="str">
        <f>INDEX(Table5[[#All],[Ovr]],MATCH(Table3[[#This Row],[PID]],Table5[[#All],[PID]],0))</f>
        <v/>
      </c>
      <c r="BI473" s="45" t="str">
        <f>INDEX(Table5[[#All],[Rnd]],MATCH(Table3[[#This Row],[PID]],Table5[[#All],[PID]],0))</f>
        <v/>
      </c>
      <c r="BJ473" s="45" t="str">
        <f>INDEX(Table5[[#All],[Pick]],MATCH(Table3[[#This Row],[PID]],Table5[[#All],[PID]],0))</f>
        <v/>
      </c>
      <c r="BK473" s="45" t="str">
        <f>INDEX(Table5[[#All],[Team]],MATCH(Table3[[#This Row],[PID]],Table5[[#All],[PID]],0))</f>
        <v/>
      </c>
      <c r="BL4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4" spans="1:64" ht="15" customHeight="1" x14ac:dyDescent="0.25">
      <c r="A474" s="40">
        <v>12042</v>
      </c>
      <c r="B474" s="40" t="s">
        <v>415</v>
      </c>
      <c r="C474" s="40" t="s">
        <v>749</v>
      </c>
      <c r="D474" s="40" t="s">
        <v>212</v>
      </c>
      <c r="E474" s="40">
        <v>21</v>
      </c>
      <c r="F474" s="40" t="s">
        <v>42</v>
      </c>
      <c r="G474" s="40" t="s">
        <v>42</v>
      </c>
      <c r="H474" s="41" t="s">
        <v>647</v>
      </c>
      <c r="I474" s="42" t="s">
        <v>47</v>
      </c>
      <c r="J474" s="40" t="s">
        <v>47</v>
      </c>
      <c r="K474" s="41" t="s">
        <v>43</v>
      </c>
      <c r="L474" s="40">
        <v>1</v>
      </c>
      <c r="M474" s="40">
        <v>1</v>
      </c>
      <c r="N474" s="41">
        <v>1</v>
      </c>
      <c r="O474" s="40">
        <v>3</v>
      </c>
      <c r="P474" s="40">
        <v>1</v>
      </c>
      <c r="Q474" s="41">
        <v>2</v>
      </c>
      <c r="R474" s="40">
        <v>2</v>
      </c>
      <c r="S474" s="40">
        <v>4</v>
      </c>
      <c r="T474" s="40" t="s">
        <v>45</v>
      </c>
      <c r="U474" s="40" t="s">
        <v>45</v>
      </c>
      <c r="V474" s="40">
        <v>2</v>
      </c>
      <c r="W474" s="40">
        <v>5</v>
      </c>
      <c r="X474" s="40">
        <v>2</v>
      </c>
      <c r="Y474" s="40">
        <v>5</v>
      </c>
      <c r="Z474" s="40" t="s">
        <v>45</v>
      </c>
      <c r="AA474" s="40" t="s">
        <v>45</v>
      </c>
      <c r="AB474" s="40" t="s">
        <v>45</v>
      </c>
      <c r="AC474" s="40" t="s">
        <v>45</v>
      </c>
      <c r="AD474" s="40" t="s">
        <v>45</v>
      </c>
      <c r="AE474" s="40" t="s">
        <v>45</v>
      </c>
      <c r="AF474" s="40" t="s">
        <v>45</v>
      </c>
      <c r="AG474" s="40" t="s">
        <v>45</v>
      </c>
      <c r="AH474" s="40" t="s">
        <v>45</v>
      </c>
      <c r="AI474" s="40" t="s">
        <v>45</v>
      </c>
      <c r="AJ474" s="40" t="s">
        <v>45</v>
      </c>
      <c r="AK474" s="40" t="s">
        <v>45</v>
      </c>
      <c r="AL474" s="40" t="s">
        <v>45</v>
      </c>
      <c r="AM474" s="40" t="s">
        <v>45</v>
      </c>
      <c r="AN474" s="40" t="s">
        <v>45</v>
      </c>
      <c r="AO474" s="41" t="s">
        <v>45</v>
      </c>
      <c r="AP474" s="40" t="s">
        <v>67</v>
      </c>
      <c r="AQ474" s="40">
        <v>10</v>
      </c>
      <c r="AR474" s="48" t="s">
        <v>14</v>
      </c>
      <c r="AS474" s="43" t="s">
        <v>45</v>
      </c>
      <c r="AT474" s="43"/>
      <c r="AU474" s="44">
        <f t="shared" si="56"/>
        <v>-2.7014842379675978</v>
      </c>
      <c r="AV474" s="44">
        <f t="shared" si="57"/>
        <v>-1.6242862721580691</v>
      </c>
      <c r="AW474" s="45">
        <f t="shared" si="58"/>
        <v>3</v>
      </c>
      <c r="AX474" s="45">
        <f t="shared" si="59"/>
        <v>0</v>
      </c>
      <c r="AY474" s="46">
        <f>VLOOKUP(AP474,COND!$A$10:$B$32,2,FALSE)</f>
        <v>0.9</v>
      </c>
      <c r="AZ474" s="44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19.151579938320587</v>
      </c>
      <c r="BA474" s="47">
        <f>STANDARDIZE(AZ474,AVERAGE($AZ$5:$AZ$788),STDEVP($AZ$5:$AZ$788))</f>
        <v>-1.2755980950160128</v>
      </c>
      <c r="BB474" s="45" t="str">
        <f t="shared" si="60"/>
        <v>SP</v>
      </c>
      <c r="BC474" s="45">
        <f>RANK(Table3[[#This Row],[zScore]],Table3[zScore])</f>
        <v>749</v>
      </c>
      <c r="BD474" s="45"/>
      <c r="BE474" s="45"/>
      <c r="BF474" s="45" t="str">
        <f t="shared" si="61"/>
        <v>Unlikely</v>
      </c>
      <c r="BG474" s="45"/>
      <c r="BH474" s="64" t="str">
        <f>INDEX(Table5[[#All],[Ovr]],MATCH(Table3[[#This Row],[PID]],Table5[[#All],[PID]],0))</f>
        <v/>
      </c>
      <c r="BI474" s="64" t="str">
        <f>INDEX(Table5[[#All],[Rnd]],MATCH(Table3[[#This Row],[PID]],Table5[[#All],[PID]],0))</f>
        <v/>
      </c>
      <c r="BJ474" s="64" t="str">
        <f>INDEX(Table5[[#All],[Pick]],MATCH(Table3[[#This Row],[PID]],Table5[[#All],[PID]],0))</f>
        <v/>
      </c>
      <c r="BK474" s="64" t="str">
        <f>INDEX(Table5[[#All],[Team]],MATCH(Table3[[#This Row],[PID]],Table5[[#All],[PID]],0))</f>
        <v/>
      </c>
      <c r="BL474" s="64" t="str">
        <f>IF(OR(Table3[[#This Row],[POS]]="SP",Table3[[#This Row],[POS]]="RP",Table3[[#This Row],[POS]]="CL"),"P",INDEX(Batters[[#All],[zScore]],MATCH(Table3[[#This Row],[PID]],Batters[[#All],[PID]],0)))</f>
        <v>P</v>
      </c>
    </row>
    <row r="475" spans="1:64" ht="15" customHeight="1" x14ac:dyDescent="0.25">
      <c r="A475" s="40">
        <v>11776</v>
      </c>
      <c r="B475" s="40" t="s">
        <v>415</v>
      </c>
      <c r="C475" s="40" t="s">
        <v>145</v>
      </c>
      <c r="D475" s="40" t="s">
        <v>1147</v>
      </c>
      <c r="E475" s="40">
        <v>22</v>
      </c>
      <c r="F475" s="40" t="s">
        <v>53</v>
      </c>
      <c r="G475" s="40" t="s">
        <v>42</v>
      </c>
      <c r="H475" s="41" t="s">
        <v>647</v>
      </c>
      <c r="I475" s="42" t="s">
        <v>43</v>
      </c>
      <c r="J475" s="40" t="s">
        <v>44</v>
      </c>
      <c r="K475" s="41" t="s">
        <v>44</v>
      </c>
      <c r="L475" s="40">
        <v>2</v>
      </c>
      <c r="M475" s="40">
        <v>1</v>
      </c>
      <c r="N475" s="41">
        <v>2</v>
      </c>
      <c r="O475" s="40">
        <v>2</v>
      </c>
      <c r="P475" s="40">
        <v>1</v>
      </c>
      <c r="Q475" s="41">
        <v>3</v>
      </c>
      <c r="R475" s="40">
        <v>3</v>
      </c>
      <c r="S475" s="40">
        <v>3</v>
      </c>
      <c r="T475" s="40">
        <v>1</v>
      </c>
      <c r="U475" s="40">
        <v>2</v>
      </c>
      <c r="V475" s="40" t="s">
        <v>45</v>
      </c>
      <c r="W475" s="40" t="s">
        <v>45</v>
      </c>
      <c r="X475" s="40">
        <v>2</v>
      </c>
      <c r="Y475" s="40">
        <v>2</v>
      </c>
      <c r="Z475" s="40" t="s">
        <v>45</v>
      </c>
      <c r="AA475" s="40" t="s">
        <v>45</v>
      </c>
      <c r="AB475" s="40" t="s">
        <v>45</v>
      </c>
      <c r="AC475" s="40" t="s">
        <v>45</v>
      </c>
      <c r="AD475" s="40" t="s">
        <v>45</v>
      </c>
      <c r="AE475" s="40" t="s">
        <v>45</v>
      </c>
      <c r="AF475" s="40" t="s">
        <v>45</v>
      </c>
      <c r="AG475" s="40" t="s">
        <v>45</v>
      </c>
      <c r="AH475" s="40" t="s">
        <v>45</v>
      </c>
      <c r="AI475" s="40" t="s">
        <v>45</v>
      </c>
      <c r="AJ475" s="40" t="s">
        <v>45</v>
      </c>
      <c r="AK475" s="40" t="s">
        <v>45</v>
      </c>
      <c r="AL475" s="40" t="s">
        <v>45</v>
      </c>
      <c r="AM475" s="40" t="s">
        <v>45</v>
      </c>
      <c r="AN475" s="40" t="s">
        <v>45</v>
      </c>
      <c r="AO475" s="41" t="s">
        <v>45</v>
      </c>
      <c r="AP475" s="40" t="s">
        <v>349</v>
      </c>
      <c r="AQ475" s="40">
        <v>6</v>
      </c>
      <c r="AR475" s="48" t="s">
        <v>14</v>
      </c>
      <c r="AS475" s="43" t="s">
        <v>45</v>
      </c>
      <c r="AT475" s="43" t="s">
        <v>635</v>
      </c>
      <c r="AU475" s="44">
        <f t="shared" si="56"/>
        <v>-2.2644723474043147</v>
      </c>
      <c r="AV475" s="44">
        <f t="shared" si="57"/>
        <v>-1.5766570306131322</v>
      </c>
      <c r="AW475" s="45">
        <f t="shared" si="58"/>
        <v>3</v>
      </c>
      <c r="AX475" s="45">
        <f t="shared" si="59"/>
        <v>0</v>
      </c>
      <c r="AY475" s="46">
        <f>VLOOKUP(AP475,COND!$A$10:$B$32,2,FALSE)</f>
        <v>1</v>
      </c>
      <c r="AZ475" s="44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16.676115795300078</v>
      </c>
      <c r="BA475" s="47">
        <f>STANDARDIZE(AZ475,AVERAGE($AZ$5:$AZ$557),STDEVP($AZ$5:$AZ$557))</f>
        <v>-1.2769747826315163</v>
      </c>
      <c r="BB475" s="45" t="str">
        <f t="shared" si="60"/>
        <v>SP</v>
      </c>
      <c r="BC475" s="45">
        <f>RANK(Table3[[#This Row],[zScore]],Table3[zScore])</f>
        <v>750</v>
      </c>
      <c r="BD475" s="45"/>
      <c r="BE475" s="45"/>
      <c r="BF475" s="45" t="str">
        <f t="shared" si="61"/>
        <v>Unlikely</v>
      </c>
      <c r="BG475" s="45"/>
      <c r="BH475" s="45" t="str">
        <f>INDEX(Table5[[#All],[Ovr]],MATCH(Table3[[#This Row],[PID]],Table5[[#All],[PID]],0))</f>
        <v/>
      </c>
      <c r="BI475" s="45" t="str">
        <f>INDEX(Table5[[#All],[Rnd]],MATCH(Table3[[#This Row],[PID]],Table5[[#All],[PID]],0))</f>
        <v/>
      </c>
      <c r="BJ475" s="45" t="str">
        <f>INDEX(Table5[[#All],[Pick]],MATCH(Table3[[#This Row],[PID]],Table5[[#All],[PID]],0))</f>
        <v/>
      </c>
      <c r="BK475" s="45" t="str">
        <f>INDEX(Table5[[#All],[Team]],MATCH(Table3[[#This Row],[PID]],Table5[[#All],[PID]],0))</f>
        <v/>
      </c>
      <c r="BL4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6" spans="1:64" ht="15" customHeight="1" x14ac:dyDescent="0.25">
      <c r="A476" s="40">
        <v>16421</v>
      </c>
      <c r="B476" s="40" t="s">
        <v>415</v>
      </c>
      <c r="C476" s="40" t="s">
        <v>176</v>
      </c>
      <c r="D476" s="40" t="s">
        <v>2103</v>
      </c>
      <c r="E476" s="40">
        <v>21</v>
      </c>
      <c r="F476" s="40" t="s">
        <v>62</v>
      </c>
      <c r="G476" s="40" t="s">
        <v>53</v>
      </c>
      <c r="H476" s="41" t="s">
        <v>647</v>
      </c>
      <c r="I476" s="42" t="s">
        <v>43</v>
      </c>
      <c r="J476" s="40" t="s">
        <v>47</v>
      </c>
      <c r="K476" s="41" t="s">
        <v>43</v>
      </c>
      <c r="L476" s="40">
        <v>1</v>
      </c>
      <c r="M476" s="40">
        <v>1</v>
      </c>
      <c r="N476" s="41">
        <v>1</v>
      </c>
      <c r="O476" s="40">
        <v>2</v>
      </c>
      <c r="P476" s="40">
        <v>1</v>
      </c>
      <c r="Q476" s="41">
        <v>2</v>
      </c>
      <c r="R476" s="40">
        <v>2</v>
      </c>
      <c r="S476" s="40">
        <v>3</v>
      </c>
      <c r="T476" s="40">
        <v>2</v>
      </c>
      <c r="U476" s="40">
        <v>4</v>
      </c>
      <c r="V476" s="40" t="s">
        <v>45</v>
      </c>
      <c r="W476" s="40" t="s">
        <v>45</v>
      </c>
      <c r="X476" s="40">
        <v>2</v>
      </c>
      <c r="Y476" s="40">
        <v>3</v>
      </c>
      <c r="Z476" s="40" t="s">
        <v>45</v>
      </c>
      <c r="AA476" s="40" t="s">
        <v>45</v>
      </c>
      <c r="AB476" s="40" t="s">
        <v>45</v>
      </c>
      <c r="AC476" s="40" t="s">
        <v>45</v>
      </c>
      <c r="AD476" s="40" t="s">
        <v>45</v>
      </c>
      <c r="AE476" s="40" t="s">
        <v>45</v>
      </c>
      <c r="AF476" s="40">
        <v>2</v>
      </c>
      <c r="AG476" s="40">
        <v>2</v>
      </c>
      <c r="AH476" s="40" t="s">
        <v>45</v>
      </c>
      <c r="AI476" s="40" t="s">
        <v>45</v>
      </c>
      <c r="AJ476" s="40" t="s">
        <v>45</v>
      </c>
      <c r="AK476" s="40" t="s">
        <v>45</v>
      </c>
      <c r="AL476" s="40" t="s">
        <v>45</v>
      </c>
      <c r="AM476" s="40" t="s">
        <v>45</v>
      </c>
      <c r="AN476" s="40" t="s">
        <v>45</v>
      </c>
      <c r="AO476" s="41" t="s">
        <v>45</v>
      </c>
      <c r="AP476" s="40" t="s">
        <v>70</v>
      </c>
      <c r="AQ476" s="40">
        <v>5</v>
      </c>
      <c r="AR476" s="48" t="s">
        <v>14</v>
      </c>
      <c r="AS476" s="43" t="s">
        <v>45</v>
      </c>
      <c r="AT476" s="43" t="s">
        <v>47</v>
      </c>
      <c r="AU476" s="44">
        <f t="shared" si="56"/>
        <v>-2.7014842379675978</v>
      </c>
      <c r="AV476" s="44">
        <f t="shared" si="57"/>
        <v>-1.8189775966672426</v>
      </c>
      <c r="AW476" s="45">
        <f t="shared" si="58"/>
        <v>4</v>
      </c>
      <c r="AX476" s="45">
        <f t="shared" si="59"/>
        <v>0</v>
      </c>
      <c r="AY476" s="46">
        <f>VLOOKUP(AP476,COND!$A$10:$B$32,2,FALSE)</f>
        <v>0.9</v>
      </c>
      <c r="AZ476" s="44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16.657832694726583</v>
      </c>
      <c r="BA476" s="47">
        <f>STANDARDIZE(AZ476,AVERAGE($AZ$5:$AZ$557),STDEVP($AZ$5:$AZ$557))</f>
        <v>-1.2781911293741033</v>
      </c>
      <c r="BB476" s="45" t="str">
        <f t="shared" si="60"/>
        <v>SP</v>
      </c>
      <c r="BC476" s="45">
        <f>RANK(Table3[[#This Row],[zScore]],Table3[zScore])</f>
        <v>751</v>
      </c>
      <c r="BD476" s="45"/>
      <c r="BE476" s="45"/>
      <c r="BF476" s="45" t="str">
        <f t="shared" si="61"/>
        <v>Unlikely</v>
      </c>
      <c r="BG476" s="45"/>
      <c r="BH476" s="45" t="str">
        <f>INDEX(Table5[[#All],[Ovr]],MATCH(Table3[[#This Row],[PID]],Table5[[#All],[PID]],0))</f>
        <v/>
      </c>
      <c r="BI476" s="45" t="str">
        <f>INDEX(Table5[[#All],[Rnd]],MATCH(Table3[[#This Row],[PID]],Table5[[#All],[PID]],0))</f>
        <v/>
      </c>
      <c r="BJ476" s="45" t="str">
        <f>INDEX(Table5[[#All],[Pick]],MATCH(Table3[[#This Row],[PID]],Table5[[#All],[PID]],0))</f>
        <v/>
      </c>
      <c r="BK476" s="45" t="str">
        <f>INDEX(Table5[[#All],[Team]],MATCH(Table3[[#This Row],[PID]],Table5[[#All],[PID]],0))</f>
        <v/>
      </c>
      <c r="BL4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7" spans="1:64" ht="15" customHeight="1" x14ac:dyDescent="0.25">
      <c r="A477" s="40">
        <v>15642</v>
      </c>
      <c r="B477" s="40" t="s">
        <v>415</v>
      </c>
      <c r="C477" s="40" t="s">
        <v>2147</v>
      </c>
      <c r="D477" s="40" t="s">
        <v>969</v>
      </c>
      <c r="E477" s="40">
        <v>21</v>
      </c>
      <c r="F477" s="40" t="s">
        <v>53</v>
      </c>
      <c r="G477" s="40" t="s">
        <v>53</v>
      </c>
      <c r="H477" s="41" t="s">
        <v>647</v>
      </c>
      <c r="I477" s="42" t="s">
        <v>43</v>
      </c>
      <c r="J477" s="40" t="s">
        <v>43</v>
      </c>
      <c r="K477" s="41" t="s">
        <v>43</v>
      </c>
      <c r="L477" s="40">
        <v>1</v>
      </c>
      <c r="M477" s="40">
        <v>1</v>
      </c>
      <c r="N477" s="41">
        <v>1</v>
      </c>
      <c r="O477" s="40">
        <v>3</v>
      </c>
      <c r="P477" s="40">
        <v>1</v>
      </c>
      <c r="Q477" s="41">
        <v>2</v>
      </c>
      <c r="R477" s="40">
        <v>2</v>
      </c>
      <c r="S477" s="40">
        <v>3</v>
      </c>
      <c r="T477" s="40">
        <v>1</v>
      </c>
      <c r="U477" s="40">
        <v>5</v>
      </c>
      <c r="V477" s="40" t="s">
        <v>45</v>
      </c>
      <c r="W477" s="40" t="s">
        <v>45</v>
      </c>
      <c r="X477" s="40" t="s">
        <v>45</v>
      </c>
      <c r="Y477" s="40" t="s">
        <v>45</v>
      </c>
      <c r="Z477" s="40" t="s">
        <v>45</v>
      </c>
      <c r="AA477" s="40" t="s">
        <v>45</v>
      </c>
      <c r="AB477" s="40" t="s">
        <v>45</v>
      </c>
      <c r="AC477" s="40" t="s">
        <v>45</v>
      </c>
      <c r="AD477" s="40">
        <v>2</v>
      </c>
      <c r="AE477" s="40">
        <v>3</v>
      </c>
      <c r="AF477" s="40" t="s">
        <v>45</v>
      </c>
      <c r="AG477" s="40" t="s">
        <v>45</v>
      </c>
      <c r="AH477" s="40" t="s">
        <v>45</v>
      </c>
      <c r="AI477" s="40" t="s">
        <v>45</v>
      </c>
      <c r="AJ477" s="40" t="s">
        <v>45</v>
      </c>
      <c r="AK477" s="40" t="s">
        <v>45</v>
      </c>
      <c r="AL477" s="40" t="s">
        <v>45</v>
      </c>
      <c r="AM477" s="40" t="s">
        <v>45</v>
      </c>
      <c r="AN477" s="40" t="s">
        <v>45</v>
      </c>
      <c r="AO477" s="41" t="s">
        <v>45</v>
      </c>
      <c r="AP477" s="40" t="s">
        <v>65</v>
      </c>
      <c r="AQ477" s="40">
        <v>4</v>
      </c>
      <c r="AR477" s="48" t="s">
        <v>347</v>
      </c>
      <c r="AS477" s="43" t="s">
        <v>45</v>
      </c>
      <c r="AT477" s="43" t="s">
        <v>635</v>
      </c>
      <c r="AU477" s="44">
        <f t="shared" si="56"/>
        <v>-2.7014842379675978</v>
      </c>
      <c r="AV477" s="44">
        <f t="shared" si="57"/>
        <v>-1.6242862721580691</v>
      </c>
      <c r="AW477" s="45">
        <f t="shared" si="58"/>
        <v>3</v>
      </c>
      <c r="AX477" s="45">
        <f t="shared" si="59"/>
        <v>0</v>
      </c>
      <c r="AY477" s="46">
        <f>VLOOKUP(AP477,COND!$A$10:$B$32,2,FALSE)</f>
        <v>0.95</v>
      </c>
      <c r="AZ477" s="44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16.547764882593704</v>
      </c>
      <c r="BA477" s="47">
        <f>STANDARDIZE(AZ477,AVERAGE($AZ$5:$AZ$557),STDEVP($AZ$5:$AZ$557))</f>
        <v>-1.2855137727197068</v>
      </c>
      <c r="BB477" s="45" t="str">
        <f t="shared" si="60"/>
        <v>RP</v>
      </c>
      <c r="BC477" s="45">
        <f>RANK(Table3[[#This Row],[zScore]],Table3[zScore])</f>
        <v>752</v>
      </c>
      <c r="BD477" s="45"/>
      <c r="BE477" s="45"/>
      <c r="BF477" s="45" t="str">
        <f t="shared" si="61"/>
        <v>Unlikely</v>
      </c>
      <c r="BG477" s="45"/>
      <c r="BH477" s="45" t="str">
        <f>INDEX(Table5[[#All],[Ovr]],MATCH(Table3[[#This Row],[PID]],Table5[[#All],[PID]],0))</f>
        <v/>
      </c>
      <c r="BI477" s="45" t="str">
        <f>INDEX(Table5[[#All],[Rnd]],MATCH(Table3[[#This Row],[PID]],Table5[[#All],[PID]],0))</f>
        <v/>
      </c>
      <c r="BJ477" s="45" t="str">
        <f>INDEX(Table5[[#All],[Pick]],MATCH(Table3[[#This Row],[PID]],Table5[[#All],[PID]],0))</f>
        <v/>
      </c>
      <c r="BK477" s="45" t="str">
        <f>INDEX(Table5[[#All],[Team]],MATCH(Table3[[#This Row],[PID]],Table5[[#All],[PID]],0))</f>
        <v/>
      </c>
      <c r="BL4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8" spans="1:64" ht="15" customHeight="1" x14ac:dyDescent="0.25">
      <c r="A478" s="40">
        <v>11609</v>
      </c>
      <c r="B478" s="40" t="s">
        <v>415</v>
      </c>
      <c r="C478" s="40" t="s">
        <v>707</v>
      </c>
      <c r="D478" s="40" t="s">
        <v>720</v>
      </c>
      <c r="E478" s="40">
        <v>22</v>
      </c>
      <c r="F478" s="40" t="s">
        <v>42</v>
      </c>
      <c r="G478" s="40" t="s">
        <v>42</v>
      </c>
      <c r="H478" s="41" t="s">
        <v>647</v>
      </c>
      <c r="I478" s="42" t="s">
        <v>47</v>
      </c>
      <c r="J478" s="40" t="s">
        <v>43</v>
      </c>
      <c r="K478" s="41" t="s">
        <v>44</v>
      </c>
      <c r="L478" s="40">
        <v>1</v>
      </c>
      <c r="M478" s="40">
        <v>2</v>
      </c>
      <c r="N478" s="41">
        <v>1</v>
      </c>
      <c r="O478" s="40">
        <v>2</v>
      </c>
      <c r="P478" s="40">
        <v>2</v>
      </c>
      <c r="Q478" s="41">
        <v>2</v>
      </c>
      <c r="R478" s="40">
        <v>2</v>
      </c>
      <c r="S478" s="40">
        <v>3</v>
      </c>
      <c r="T478" s="40" t="s">
        <v>45</v>
      </c>
      <c r="U478" s="40" t="s">
        <v>45</v>
      </c>
      <c r="V478" s="40">
        <v>1</v>
      </c>
      <c r="W478" s="40">
        <v>3</v>
      </c>
      <c r="X478" s="40">
        <v>1</v>
      </c>
      <c r="Y478" s="40">
        <v>3</v>
      </c>
      <c r="Z478" s="40" t="s">
        <v>45</v>
      </c>
      <c r="AA478" s="40" t="s">
        <v>45</v>
      </c>
      <c r="AB478" s="40" t="s">
        <v>45</v>
      </c>
      <c r="AC478" s="40" t="s">
        <v>45</v>
      </c>
      <c r="AD478" s="40" t="s">
        <v>45</v>
      </c>
      <c r="AE478" s="40" t="s">
        <v>45</v>
      </c>
      <c r="AF478" s="40" t="s">
        <v>45</v>
      </c>
      <c r="AG478" s="40" t="s">
        <v>45</v>
      </c>
      <c r="AH478" s="40" t="s">
        <v>45</v>
      </c>
      <c r="AI478" s="40" t="s">
        <v>45</v>
      </c>
      <c r="AJ478" s="40" t="s">
        <v>45</v>
      </c>
      <c r="AK478" s="40" t="s">
        <v>45</v>
      </c>
      <c r="AL478" s="40" t="s">
        <v>45</v>
      </c>
      <c r="AM478" s="40" t="s">
        <v>45</v>
      </c>
      <c r="AN478" s="40" t="s">
        <v>45</v>
      </c>
      <c r="AO478" s="41" t="s">
        <v>45</v>
      </c>
      <c r="AP478" s="40" t="s">
        <v>65</v>
      </c>
      <c r="AQ478" s="40">
        <v>3</v>
      </c>
      <c r="AR478" s="48" t="s">
        <v>347</v>
      </c>
      <c r="AS478" s="43" t="s">
        <v>45</v>
      </c>
      <c r="AT478" s="43" t="s">
        <v>635</v>
      </c>
      <c r="AU478" s="44">
        <f t="shared" si="56"/>
        <v>-2.5060525215375429</v>
      </c>
      <c r="AV478" s="44">
        <f t="shared" si="57"/>
        <v>-1.6235458802371869</v>
      </c>
      <c r="AW478" s="45">
        <f t="shared" si="58"/>
        <v>3</v>
      </c>
      <c r="AX478" s="45">
        <f t="shared" si="59"/>
        <v>0</v>
      </c>
      <c r="AY478" s="46">
        <f>VLOOKUP(AP478,COND!$A$10:$B$32,2,FALSE)</f>
        <v>0.95</v>
      </c>
      <c r="AZ478" s="44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16.521404381581249</v>
      </c>
      <c r="BA478" s="47">
        <f>STANDARDIZE(AZ478,AVERAGE($AZ$5:$AZ$557),STDEVP($AZ$5:$AZ$557))</f>
        <v>-1.2872674965703506</v>
      </c>
      <c r="BB478" s="45" t="str">
        <f t="shared" si="60"/>
        <v>RP</v>
      </c>
      <c r="BC478" s="45">
        <f>RANK(Table3[[#This Row],[zScore]],Table3[zScore])</f>
        <v>753</v>
      </c>
      <c r="BD478" s="45"/>
      <c r="BE478" s="45"/>
      <c r="BF478" s="45" t="str">
        <f t="shared" si="61"/>
        <v>Unlikely</v>
      </c>
      <c r="BG478" s="45"/>
      <c r="BH478" s="45" t="str">
        <f>INDEX(Table5[[#All],[Ovr]],MATCH(Table3[[#This Row],[PID]],Table5[[#All],[PID]],0))</f>
        <v/>
      </c>
      <c r="BI478" s="45" t="str">
        <f>INDEX(Table5[[#All],[Rnd]],MATCH(Table3[[#This Row],[PID]],Table5[[#All],[PID]],0))</f>
        <v/>
      </c>
      <c r="BJ478" s="45" t="str">
        <f>INDEX(Table5[[#All],[Pick]],MATCH(Table3[[#This Row],[PID]],Table5[[#All],[PID]],0))</f>
        <v/>
      </c>
      <c r="BK478" s="45" t="str">
        <f>INDEX(Table5[[#All],[Team]],MATCH(Table3[[#This Row],[PID]],Table5[[#All],[PID]],0))</f>
        <v/>
      </c>
      <c r="BL4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79" spans="1:64" ht="15" customHeight="1" x14ac:dyDescent="0.25">
      <c r="A479" s="40">
        <v>12764</v>
      </c>
      <c r="B479" s="40" t="s">
        <v>415</v>
      </c>
      <c r="C479" s="40" t="s">
        <v>975</v>
      </c>
      <c r="D479" s="40" t="s">
        <v>751</v>
      </c>
      <c r="E479" s="40">
        <v>22</v>
      </c>
      <c r="F479" s="40" t="s">
        <v>42</v>
      </c>
      <c r="G479" s="40" t="s">
        <v>42</v>
      </c>
      <c r="H479" s="41" t="s">
        <v>647</v>
      </c>
      <c r="I479" s="42" t="s">
        <v>43</v>
      </c>
      <c r="J479" s="40" t="s">
        <v>43</v>
      </c>
      <c r="K479" s="41" t="s">
        <v>43</v>
      </c>
      <c r="L479" s="40">
        <v>2</v>
      </c>
      <c r="M479" s="40">
        <v>1</v>
      </c>
      <c r="N479" s="41">
        <v>1</v>
      </c>
      <c r="O479" s="40">
        <v>4</v>
      </c>
      <c r="P479" s="40">
        <v>1</v>
      </c>
      <c r="Q479" s="41">
        <v>2</v>
      </c>
      <c r="R479" s="40">
        <v>4</v>
      </c>
      <c r="S479" s="40">
        <v>5</v>
      </c>
      <c r="T479" s="40">
        <v>1</v>
      </c>
      <c r="U479" s="40">
        <v>2</v>
      </c>
      <c r="V479" s="40">
        <v>2</v>
      </c>
      <c r="W479" s="40">
        <v>5</v>
      </c>
      <c r="X479" s="40" t="s">
        <v>45</v>
      </c>
      <c r="Y479" s="40" t="s">
        <v>45</v>
      </c>
      <c r="Z479" s="40" t="s">
        <v>45</v>
      </c>
      <c r="AA479" s="40" t="s">
        <v>45</v>
      </c>
      <c r="AB479" s="40" t="s">
        <v>45</v>
      </c>
      <c r="AC479" s="40" t="s">
        <v>45</v>
      </c>
      <c r="AD479" s="40" t="s">
        <v>45</v>
      </c>
      <c r="AE479" s="40" t="s">
        <v>45</v>
      </c>
      <c r="AF479" s="40" t="s">
        <v>45</v>
      </c>
      <c r="AG479" s="40" t="s">
        <v>45</v>
      </c>
      <c r="AH479" s="40" t="s">
        <v>45</v>
      </c>
      <c r="AI479" s="40" t="s">
        <v>45</v>
      </c>
      <c r="AJ479" s="40" t="s">
        <v>45</v>
      </c>
      <c r="AK479" s="40" t="s">
        <v>45</v>
      </c>
      <c r="AL479" s="40" t="s">
        <v>45</v>
      </c>
      <c r="AM479" s="40" t="s">
        <v>45</v>
      </c>
      <c r="AN479" s="40" t="s">
        <v>45</v>
      </c>
      <c r="AO479" s="41" t="s">
        <v>45</v>
      </c>
      <c r="AP479" s="40" t="s">
        <v>57</v>
      </c>
      <c r="AQ479" s="40">
        <v>3</v>
      </c>
      <c r="AR479" s="48" t="s">
        <v>351</v>
      </c>
      <c r="AS479" s="43" t="s">
        <v>45</v>
      </c>
      <c r="AT479" s="43"/>
      <c r="AU479" s="44">
        <f t="shared" si="56"/>
        <v>-2.5067929134584248</v>
      </c>
      <c r="AV479" s="44">
        <f t="shared" si="57"/>
        <v>-1.4295949476488956</v>
      </c>
      <c r="AW479" s="45">
        <f t="shared" si="58"/>
        <v>3</v>
      </c>
      <c r="AX479" s="45">
        <f t="shared" si="59"/>
        <v>0</v>
      </c>
      <c r="AY479" s="46">
        <f>VLOOKUP(AP479,COND!$A$10:$B$32,2,FALSE)</f>
        <v>1</v>
      </c>
      <c r="AZ479" s="44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18.78640534111388</v>
      </c>
      <c r="BA479" s="47">
        <f>STANDARDIZE(AZ479,AVERAGE($AZ$5:$AZ$788),STDEVP($AZ$5:$AZ$788))</f>
        <v>-1.3020230291846675</v>
      </c>
      <c r="BB479" s="45" t="str">
        <f t="shared" si="60"/>
        <v>RP</v>
      </c>
      <c r="BC479" s="45">
        <f>RANK(Table3[[#This Row],[zScore]],Table3[zScore])</f>
        <v>754</v>
      </c>
      <c r="BD479" s="45"/>
      <c r="BE479" s="45"/>
      <c r="BF479" s="45" t="str">
        <f t="shared" si="61"/>
        <v>Unlikely</v>
      </c>
      <c r="BG479" s="45"/>
      <c r="BH479" s="64" t="str">
        <f>INDEX(Table5[[#All],[Ovr]],MATCH(Table3[[#This Row],[PID]],Table5[[#All],[PID]],0))</f>
        <v/>
      </c>
      <c r="BI479" s="64" t="str">
        <f>INDEX(Table5[[#All],[Rnd]],MATCH(Table3[[#This Row],[PID]],Table5[[#All],[PID]],0))</f>
        <v/>
      </c>
      <c r="BJ479" s="64" t="str">
        <f>INDEX(Table5[[#All],[Pick]],MATCH(Table3[[#This Row],[PID]],Table5[[#All],[PID]],0))</f>
        <v/>
      </c>
      <c r="BK479" s="64" t="str">
        <f>INDEX(Table5[[#All],[Team]],MATCH(Table3[[#This Row],[PID]],Table5[[#All],[PID]],0))</f>
        <v/>
      </c>
      <c r="BL479" s="64" t="str">
        <f>IF(OR(Table3[[#This Row],[POS]]="SP",Table3[[#This Row],[POS]]="RP",Table3[[#This Row],[POS]]="CL"),"P",INDEX(Batters[[#All],[zScore]],MATCH(Table3[[#This Row],[PID]],Batters[[#All],[PID]],0)))</f>
        <v>P</v>
      </c>
    </row>
    <row r="480" spans="1:64" ht="15" customHeight="1" x14ac:dyDescent="0.25">
      <c r="A480" s="40">
        <v>12168</v>
      </c>
      <c r="B480" s="40" t="s">
        <v>415</v>
      </c>
      <c r="C480" s="40" t="s">
        <v>537</v>
      </c>
      <c r="D480" s="40" t="s">
        <v>858</v>
      </c>
      <c r="E480" s="40">
        <v>22</v>
      </c>
      <c r="F480" s="40" t="s">
        <v>53</v>
      </c>
      <c r="G480" s="40" t="s">
        <v>53</v>
      </c>
      <c r="H480" s="41" t="s">
        <v>647</v>
      </c>
      <c r="I480" s="42" t="s">
        <v>43</v>
      </c>
      <c r="J480" s="40" t="s">
        <v>44</v>
      </c>
      <c r="K480" s="41" t="s">
        <v>43</v>
      </c>
      <c r="L480" s="40">
        <v>2</v>
      </c>
      <c r="M480" s="40">
        <v>1</v>
      </c>
      <c r="N480" s="41">
        <v>1</v>
      </c>
      <c r="O480" s="40">
        <v>4</v>
      </c>
      <c r="P480" s="40">
        <v>1</v>
      </c>
      <c r="Q480" s="41">
        <v>1</v>
      </c>
      <c r="R480" s="40">
        <v>3</v>
      </c>
      <c r="S480" s="40">
        <v>4</v>
      </c>
      <c r="T480" s="40">
        <v>1</v>
      </c>
      <c r="U480" s="40">
        <v>4</v>
      </c>
      <c r="V480" s="40" t="s">
        <v>45</v>
      </c>
      <c r="W480" s="40" t="s">
        <v>45</v>
      </c>
      <c r="X480" s="40">
        <v>3</v>
      </c>
      <c r="Y480" s="40">
        <v>7</v>
      </c>
      <c r="Z480" s="40" t="s">
        <v>45</v>
      </c>
      <c r="AA480" s="40" t="s">
        <v>45</v>
      </c>
      <c r="AB480" s="40" t="s">
        <v>45</v>
      </c>
      <c r="AC480" s="40" t="s">
        <v>45</v>
      </c>
      <c r="AD480" s="40" t="s">
        <v>45</v>
      </c>
      <c r="AE480" s="40" t="s">
        <v>45</v>
      </c>
      <c r="AF480" s="40" t="s">
        <v>45</v>
      </c>
      <c r="AG480" s="40" t="s">
        <v>45</v>
      </c>
      <c r="AH480" s="40" t="s">
        <v>45</v>
      </c>
      <c r="AI480" s="40" t="s">
        <v>45</v>
      </c>
      <c r="AJ480" s="40" t="s">
        <v>45</v>
      </c>
      <c r="AK480" s="40" t="s">
        <v>45</v>
      </c>
      <c r="AL480" s="40" t="s">
        <v>45</v>
      </c>
      <c r="AM480" s="40" t="s">
        <v>45</v>
      </c>
      <c r="AN480" s="40" t="s">
        <v>45</v>
      </c>
      <c r="AO480" s="41" t="s">
        <v>45</v>
      </c>
      <c r="AP480" s="40" t="s">
        <v>64</v>
      </c>
      <c r="AQ480" s="40">
        <v>5</v>
      </c>
      <c r="AR480" s="48" t="s">
        <v>14</v>
      </c>
      <c r="AS480" s="43" t="s">
        <v>45</v>
      </c>
      <c r="AT480" s="43" t="s">
        <v>47</v>
      </c>
      <c r="AU480" s="44">
        <f t="shared" si="56"/>
        <v>-2.5067929134584248</v>
      </c>
      <c r="AV480" s="44">
        <f t="shared" si="57"/>
        <v>-1.671915513703006</v>
      </c>
      <c r="AW480" s="45">
        <f t="shared" si="58"/>
        <v>3</v>
      </c>
      <c r="AX480" s="45">
        <f t="shared" si="59"/>
        <v>1</v>
      </c>
      <c r="AY480" s="46">
        <f>VLOOKUP(AP480,COND!$A$10:$B$32,2,FALSE)</f>
        <v>1</v>
      </c>
      <c r="AZ480" s="44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16.290072864666985</v>
      </c>
      <c r="BA480" s="47">
        <f>STANDARDIZE(AZ480,AVERAGE($AZ$5:$AZ$557),STDEVP($AZ$5:$AZ$557))</f>
        <v>-1.3026576288909202</v>
      </c>
      <c r="BB480" s="45" t="str">
        <f t="shared" si="60"/>
        <v>SP</v>
      </c>
      <c r="BC480" s="45">
        <f>RANK(Table3[[#This Row],[zScore]],Table3[zScore])</f>
        <v>755</v>
      </c>
      <c r="BD480" s="45"/>
      <c r="BE480" s="45"/>
      <c r="BF480" s="45" t="str">
        <f t="shared" si="61"/>
        <v>Unlikely</v>
      </c>
      <c r="BG480" s="45"/>
      <c r="BH480" s="45" t="str">
        <f>INDEX(Table5[[#All],[Ovr]],MATCH(Table3[[#This Row],[PID]],Table5[[#All],[PID]],0))</f>
        <v/>
      </c>
      <c r="BI480" s="45" t="str">
        <f>INDEX(Table5[[#All],[Rnd]],MATCH(Table3[[#This Row],[PID]],Table5[[#All],[PID]],0))</f>
        <v/>
      </c>
      <c r="BJ480" s="45" t="str">
        <f>INDEX(Table5[[#All],[Pick]],MATCH(Table3[[#This Row],[PID]],Table5[[#All],[PID]],0))</f>
        <v/>
      </c>
      <c r="BK480" s="45" t="str">
        <f>INDEX(Table5[[#All],[Team]],MATCH(Table3[[#This Row],[PID]],Table5[[#All],[PID]],0))</f>
        <v/>
      </c>
      <c r="BL4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1" spans="1:64" ht="15" customHeight="1" x14ac:dyDescent="0.25">
      <c r="A481" s="40">
        <v>10491</v>
      </c>
      <c r="B481" s="40" t="s">
        <v>415</v>
      </c>
      <c r="C481" s="40" t="s">
        <v>1093</v>
      </c>
      <c r="D481" s="40" t="s">
        <v>662</v>
      </c>
      <c r="E481" s="40">
        <v>22</v>
      </c>
      <c r="F481" s="40" t="s">
        <v>42</v>
      </c>
      <c r="G481" s="40" t="s">
        <v>42</v>
      </c>
      <c r="H481" s="41" t="s">
        <v>647</v>
      </c>
      <c r="I481" s="42" t="s">
        <v>43</v>
      </c>
      <c r="J481" s="40" t="s">
        <v>44</v>
      </c>
      <c r="K481" s="41" t="s">
        <v>44</v>
      </c>
      <c r="L481" s="40">
        <v>2</v>
      </c>
      <c r="M481" s="40">
        <v>1</v>
      </c>
      <c r="N481" s="41">
        <v>1</v>
      </c>
      <c r="O481" s="40">
        <v>4</v>
      </c>
      <c r="P481" s="40">
        <v>1</v>
      </c>
      <c r="Q481" s="41">
        <v>1</v>
      </c>
      <c r="R481" s="40">
        <v>4</v>
      </c>
      <c r="S481" s="40">
        <v>5</v>
      </c>
      <c r="T481" s="40">
        <v>1</v>
      </c>
      <c r="U481" s="40">
        <v>1</v>
      </c>
      <c r="V481" s="40">
        <v>3</v>
      </c>
      <c r="W481" s="40">
        <v>6</v>
      </c>
      <c r="X481" s="40" t="s">
        <v>45</v>
      </c>
      <c r="Y481" s="40" t="s">
        <v>45</v>
      </c>
      <c r="Z481" s="40" t="s">
        <v>45</v>
      </c>
      <c r="AA481" s="40" t="s">
        <v>45</v>
      </c>
      <c r="AB481" s="40" t="s">
        <v>45</v>
      </c>
      <c r="AC481" s="40" t="s">
        <v>45</v>
      </c>
      <c r="AD481" s="40" t="s">
        <v>45</v>
      </c>
      <c r="AE481" s="40" t="s">
        <v>45</v>
      </c>
      <c r="AF481" s="40" t="s">
        <v>45</v>
      </c>
      <c r="AG481" s="40" t="s">
        <v>45</v>
      </c>
      <c r="AH481" s="40" t="s">
        <v>45</v>
      </c>
      <c r="AI481" s="40" t="s">
        <v>45</v>
      </c>
      <c r="AJ481" s="40" t="s">
        <v>45</v>
      </c>
      <c r="AK481" s="40" t="s">
        <v>45</v>
      </c>
      <c r="AL481" s="40" t="s">
        <v>45</v>
      </c>
      <c r="AM481" s="40" t="s">
        <v>45</v>
      </c>
      <c r="AN481" s="40" t="s">
        <v>45</v>
      </c>
      <c r="AO481" s="41" t="s">
        <v>45</v>
      </c>
      <c r="AP481" s="40" t="s">
        <v>350</v>
      </c>
      <c r="AQ481" s="40">
        <v>6</v>
      </c>
      <c r="AR481" s="48" t="s">
        <v>14</v>
      </c>
      <c r="AS481" s="43" t="s">
        <v>45</v>
      </c>
      <c r="AT481" s="43" t="s">
        <v>47</v>
      </c>
      <c r="AU481" s="44">
        <f t="shared" si="56"/>
        <v>-2.5067929134584248</v>
      </c>
      <c r="AV481" s="44">
        <f t="shared" si="57"/>
        <v>-1.671915513703006</v>
      </c>
      <c r="AW481" s="45">
        <f t="shared" si="58"/>
        <v>3</v>
      </c>
      <c r="AX481" s="45">
        <f t="shared" si="59"/>
        <v>1</v>
      </c>
      <c r="AY481" s="46">
        <f>VLOOKUP(AP481,COND!$A$10:$B$32,2,FALSE)</f>
        <v>1</v>
      </c>
      <c r="AZ481" s="44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15.990072864666985</v>
      </c>
      <c r="BA481" s="47">
        <f>STANDARDIZE(AZ481,AVERAGE($AZ$5:$AZ$557),STDEVP($AZ$5:$AZ$557))</f>
        <v>-1.3226161704582675</v>
      </c>
      <c r="BB481" s="45" t="str">
        <f t="shared" si="60"/>
        <v>SP</v>
      </c>
      <c r="BC481" s="45">
        <f>RANK(Table3[[#This Row],[zScore]],Table3[zScore])</f>
        <v>756</v>
      </c>
      <c r="BD481" s="45"/>
      <c r="BE481" s="45"/>
      <c r="BF481" s="45" t="str">
        <f t="shared" si="61"/>
        <v>Unlikely</v>
      </c>
      <c r="BG481" s="45"/>
      <c r="BH481" s="45" t="str">
        <f>INDEX(Table5[[#All],[Ovr]],MATCH(Table3[[#This Row],[PID]],Table5[[#All],[PID]],0))</f>
        <v/>
      </c>
      <c r="BI481" s="45" t="str">
        <f>INDEX(Table5[[#All],[Rnd]],MATCH(Table3[[#This Row],[PID]],Table5[[#All],[PID]],0))</f>
        <v/>
      </c>
      <c r="BJ481" s="45" t="str">
        <f>INDEX(Table5[[#All],[Pick]],MATCH(Table3[[#This Row],[PID]],Table5[[#All],[PID]],0))</f>
        <v/>
      </c>
      <c r="BK481" s="45" t="str">
        <f>INDEX(Table5[[#All],[Team]],MATCH(Table3[[#This Row],[PID]],Table5[[#All],[PID]],0))</f>
        <v/>
      </c>
      <c r="BL48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2" spans="1:64" ht="15" customHeight="1" x14ac:dyDescent="0.25">
      <c r="A482" s="40">
        <v>20480</v>
      </c>
      <c r="B482" s="40" t="s">
        <v>415</v>
      </c>
      <c r="C482" s="40" t="s">
        <v>2033</v>
      </c>
      <c r="D482" s="40" t="s">
        <v>361</v>
      </c>
      <c r="E482" s="40">
        <v>17</v>
      </c>
      <c r="F482" s="40" t="s">
        <v>42</v>
      </c>
      <c r="G482" s="40" t="s">
        <v>42</v>
      </c>
      <c r="H482" s="41" t="s">
        <v>647</v>
      </c>
      <c r="I482" s="42" t="s">
        <v>44</v>
      </c>
      <c r="J482" s="40" t="s">
        <v>47</v>
      </c>
      <c r="K482" s="41" t="s">
        <v>43</v>
      </c>
      <c r="L482" s="40">
        <v>1</v>
      </c>
      <c r="M482" s="40">
        <v>1</v>
      </c>
      <c r="N482" s="41">
        <v>1</v>
      </c>
      <c r="O482" s="40">
        <v>2</v>
      </c>
      <c r="P482" s="40">
        <v>1</v>
      </c>
      <c r="Q482" s="41">
        <v>1</v>
      </c>
      <c r="R482" s="40">
        <v>2</v>
      </c>
      <c r="S482" s="40">
        <v>3</v>
      </c>
      <c r="T482" s="40" t="s">
        <v>45</v>
      </c>
      <c r="U482" s="40" t="s">
        <v>45</v>
      </c>
      <c r="V482" s="40">
        <v>1</v>
      </c>
      <c r="W482" s="40">
        <v>3</v>
      </c>
      <c r="X482" s="40" t="s">
        <v>45</v>
      </c>
      <c r="Y482" s="40" t="s">
        <v>45</v>
      </c>
      <c r="Z482" s="40" t="s">
        <v>45</v>
      </c>
      <c r="AA482" s="40" t="s">
        <v>45</v>
      </c>
      <c r="AB482" s="40">
        <v>2</v>
      </c>
      <c r="AC482" s="40">
        <v>3</v>
      </c>
      <c r="AD482" s="40" t="s">
        <v>45</v>
      </c>
      <c r="AE482" s="40" t="s">
        <v>45</v>
      </c>
      <c r="AF482" s="40" t="s">
        <v>45</v>
      </c>
      <c r="AG482" s="40" t="s">
        <v>45</v>
      </c>
      <c r="AH482" s="40" t="s">
        <v>45</v>
      </c>
      <c r="AI482" s="40" t="s">
        <v>45</v>
      </c>
      <c r="AJ482" s="40" t="s">
        <v>45</v>
      </c>
      <c r="AK482" s="40" t="s">
        <v>45</v>
      </c>
      <c r="AL482" s="40" t="s">
        <v>45</v>
      </c>
      <c r="AM482" s="40" t="s">
        <v>45</v>
      </c>
      <c r="AN482" s="40" t="s">
        <v>45</v>
      </c>
      <c r="AO482" s="41" t="s">
        <v>45</v>
      </c>
      <c r="AP482" s="40" t="s">
        <v>67</v>
      </c>
      <c r="AQ482" s="40">
        <v>4</v>
      </c>
      <c r="AR482" s="48" t="s">
        <v>347</v>
      </c>
      <c r="AS482" s="43" t="s">
        <v>644</v>
      </c>
      <c r="AT482" s="43" t="s">
        <v>47</v>
      </c>
      <c r="AU482" s="44">
        <f t="shared" si="56"/>
        <v>-2.7014842379675978</v>
      </c>
      <c r="AV482" s="44">
        <f t="shared" si="57"/>
        <v>-2.0612981627213527</v>
      </c>
      <c r="AW482" s="45">
        <f t="shared" si="58"/>
        <v>3</v>
      </c>
      <c r="AX482" s="45">
        <f t="shared" si="59"/>
        <v>0</v>
      </c>
      <c r="AY482" s="46">
        <f>VLOOKUP(AP482,COND!$A$10:$B$32,2,FALSE)</f>
        <v>0.9</v>
      </c>
      <c r="AZ482" s="44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15.722347612772413</v>
      </c>
      <c r="BA482" s="47">
        <f>STANDARDIZE(AZ482,AVERAGE($AZ$5:$AZ$557),STDEVP($AZ$5:$AZ$557))</f>
        <v>-1.3404275223534887</v>
      </c>
      <c r="BB482" s="45" t="str">
        <f t="shared" si="60"/>
        <v>RP</v>
      </c>
      <c r="BC482" s="45">
        <f>RANK(Table3[[#This Row],[zScore]],Table3[zScore])</f>
        <v>758</v>
      </c>
      <c r="BD482" s="45"/>
      <c r="BE482" s="45"/>
      <c r="BF482" s="45" t="str">
        <f t="shared" si="61"/>
        <v>Unlikely</v>
      </c>
      <c r="BG482" s="45"/>
      <c r="BH482" s="45" t="str">
        <f>INDEX(Table5[[#All],[Ovr]],MATCH(Table3[[#This Row],[PID]],Table5[[#All],[PID]],0))</f>
        <v/>
      </c>
      <c r="BI482" s="45" t="str">
        <f>INDEX(Table5[[#All],[Rnd]],MATCH(Table3[[#This Row],[PID]],Table5[[#All],[PID]],0))</f>
        <v/>
      </c>
      <c r="BJ482" s="45" t="str">
        <f>INDEX(Table5[[#All],[Pick]],MATCH(Table3[[#This Row],[PID]],Table5[[#All],[PID]],0))</f>
        <v/>
      </c>
      <c r="BK482" s="45" t="str">
        <f>INDEX(Table5[[#All],[Team]],MATCH(Table3[[#This Row],[PID]],Table5[[#All],[PID]],0))</f>
        <v/>
      </c>
      <c r="BL4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3" spans="1:64" ht="15" customHeight="1" x14ac:dyDescent="0.25">
      <c r="A483" s="40">
        <v>17980</v>
      </c>
      <c r="B483" s="40" t="s">
        <v>415</v>
      </c>
      <c r="C483" s="40" t="s">
        <v>650</v>
      </c>
      <c r="D483" s="40" t="s">
        <v>2139</v>
      </c>
      <c r="E483" s="40">
        <v>21</v>
      </c>
      <c r="F483" s="40" t="s">
        <v>42</v>
      </c>
      <c r="G483" s="40" t="s">
        <v>42</v>
      </c>
      <c r="H483" s="41" t="s">
        <v>647</v>
      </c>
      <c r="I483" s="42" t="s">
        <v>43</v>
      </c>
      <c r="J483" s="40" t="s">
        <v>43</v>
      </c>
      <c r="K483" s="41" t="s">
        <v>43</v>
      </c>
      <c r="L483" s="40">
        <v>2</v>
      </c>
      <c r="M483" s="40">
        <v>1</v>
      </c>
      <c r="N483" s="41">
        <v>1</v>
      </c>
      <c r="O483" s="40">
        <v>4</v>
      </c>
      <c r="P483" s="40">
        <v>1</v>
      </c>
      <c r="Q483" s="41">
        <v>1</v>
      </c>
      <c r="R483" s="40">
        <v>3</v>
      </c>
      <c r="S483" s="40">
        <v>5</v>
      </c>
      <c r="T483" s="40">
        <v>1</v>
      </c>
      <c r="U483" s="40">
        <v>5</v>
      </c>
      <c r="V483" s="40" t="s">
        <v>45</v>
      </c>
      <c r="W483" s="40" t="s">
        <v>45</v>
      </c>
      <c r="X483" s="40">
        <v>2</v>
      </c>
      <c r="Y483" s="40">
        <v>3</v>
      </c>
      <c r="Z483" s="40" t="s">
        <v>45</v>
      </c>
      <c r="AA483" s="40" t="s">
        <v>45</v>
      </c>
      <c r="AB483" s="40" t="s">
        <v>45</v>
      </c>
      <c r="AC483" s="40" t="s">
        <v>45</v>
      </c>
      <c r="AD483" s="40" t="s">
        <v>45</v>
      </c>
      <c r="AE483" s="40" t="s">
        <v>45</v>
      </c>
      <c r="AF483" s="40" t="s">
        <v>45</v>
      </c>
      <c r="AG483" s="40" t="s">
        <v>45</v>
      </c>
      <c r="AH483" s="40" t="s">
        <v>45</v>
      </c>
      <c r="AI483" s="40" t="s">
        <v>45</v>
      </c>
      <c r="AJ483" s="40" t="s">
        <v>45</v>
      </c>
      <c r="AK483" s="40" t="s">
        <v>45</v>
      </c>
      <c r="AL483" s="40" t="s">
        <v>45</v>
      </c>
      <c r="AM483" s="40" t="s">
        <v>45</v>
      </c>
      <c r="AN483" s="40" t="s">
        <v>45</v>
      </c>
      <c r="AO483" s="41" t="s">
        <v>45</v>
      </c>
      <c r="AP483" s="40" t="s">
        <v>350</v>
      </c>
      <c r="AQ483" s="40">
        <v>5</v>
      </c>
      <c r="AR483" s="48" t="s">
        <v>14</v>
      </c>
      <c r="AS483" s="43" t="s">
        <v>45</v>
      </c>
      <c r="AT483" s="43" t="s">
        <v>47</v>
      </c>
      <c r="AU483" s="44">
        <f t="shared" si="56"/>
        <v>-2.5067929134584248</v>
      </c>
      <c r="AV483" s="44">
        <f t="shared" si="57"/>
        <v>-1.671915513703006</v>
      </c>
      <c r="AW483" s="45">
        <f t="shared" si="58"/>
        <v>3</v>
      </c>
      <c r="AX483" s="45">
        <f t="shared" si="59"/>
        <v>0</v>
      </c>
      <c r="AY483" s="46">
        <f>VLOOKUP(AP483,COND!$A$10:$B$32,2,FALSE)</f>
        <v>1</v>
      </c>
      <c r="AZ483" s="44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15.371322864666986</v>
      </c>
      <c r="BA483" s="47">
        <f>STANDARDIZE(AZ483,AVERAGE($AZ$5:$AZ$557),STDEVP($AZ$5:$AZ$557))</f>
        <v>-1.3637806624409214</v>
      </c>
      <c r="BB483" s="45" t="str">
        <f t="shared" si="60"/>
        <v>SP</v>
      </c>
      <c r="BC483" s="45">
        <f>RANK(Table3[[#This Row],[zScore]],Table3[zScore])</f>
        <v>760</v>
      </c>
      <c r="BD483" s="45"/>
      <c r="BE483" s="45"/>
      <c r="BF483" s="45" t="str">
        <f t="shared" si="61"/>
        <v>Unlikely</v>
      </c>
      <c r="BG483" s="45"/>
      <c r="BH483" s="45" t="str">
        <f>INDEX(Table5[[#All],[Ovr]],MATCH(Table3[[#This Row],[PID]],Table5[[#All],[PID]],0))</f>
        <v/>
      </c>
      <c r="BI483" s="45" t="str">
        <f>INDEX(Table5[[#All],[Rnd]],MATCH(Table3[[#This Row],[PID]],Table5[[#All],[PID]],0))</f>
        <v/>
      </c>
      <c r="BJ483" s="45" t="str">
        <f>INDEX(Table5[[#All],[Pick]],MATCH(Table3[[#This Row],[PID]],Table5[[#All],[PID]],0))</f>
        <v/>
      </c>
      <c r="BK483" s="45" t="str">
        <f>INDEX(Table5[[#All],[Team]],MATCH(Table3[[#This Row],[PID]],Table5[[#All],[PID]],0))</f>
        <v/>
      </c>
      <c r="BL4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4" spans="1:64" ht="15" customHeight="1" x14ac:dyDescent="0.25">
      <c r="A484" s="40">
        <v>13870</v>
      </c>
      <c r="B484" s="40" t="s">
        <v>415</v>
      </c>
      <c r="C484" s="40" t="s">
        <v>153</v>
      </c>
      <c r="D484" s="40" t="s">
        <v>570</v>
      </c>
      <c r="E484" s="40">
        <v>21</v>
      </c>
      <c r="F484" s="40" t="s">
        <v>42</v>
      </c>
      <c r="G484" s="40" t="s">
        <v>42</v>
      </c>
      <c r="H484" s="41" t="s">
        <v>647</v>
      </c>
      <c r="I484" s="42" t="s">
        <v>43</v>
      </c>
      <c r="J484" s="40" t="s">
        <v>44</v>
      </c>
      <c r="K484" s="41" t="s">
        <v>43</v>
      </c>
      <c r="L484" s="40">
        <v>2</v>
      </c>
      <c r="M484" s="40">
        <v>1</v>
      </c>
      <c r="N484" s="41">
        <v>1</v>
      </c>
      <c r="O484" s="40">
        <v>3</v>
      </c>
      <c r="P484" s="40">
        <v>1</v>
      </c>
      <c r="Q484" s="41">
        <v>2</v>
      </c>
      <c r="R484" s="40">
        <v>3</v>
      </c>
      <c r="S484" s="40">
        <v>4</v>
      </c>
      <c r="T484" s="40">
        <v>1</v>
      </c>
      <c r="U484" s="40">
        <v>1</v>
      </c>
      <c r="V484" s="40" t="s">
        <v>45</v>
      </c>
      <c r="W484" s="40" t="s">
        <v>45</v>
      </c>
      <c r="X484" s="40" t="s">
        <v>45</v>
      </c>
      <c r="Y484" s="40" t="s">
        <v>45</v>
      </c>
      <c r="Z484" s="40" t="s">
        <v>45</v>
      </c>
      <c r="AA484" s="40" t="s">
        <v>45</v>
      </c>
      <c r="AB484" s="40">
        <v>3</v>
      </c>
      <c r="AC484" s="40">
        <v>4</v>
      </c>
      <c r="AD484" s="40" t="s">
        <v>45</v>
      </c>
      <c r="AE484" s="40" t="s">
        <v>45</v>
      </c>
      <c r="AF484" s="40" t="s">
        <v>45</v>
      </c>
      <c r="AG484" s="40" t="s">
        <v>45</v>
      </c>
      <c r="AH484" s="40" t="s">
        <v>45</v>
      </c>
      <c r="AI484" s="40" t="s">
        <v>45</v>
      </c>
      <c r="AJ484" s="40" t="s">
        <v>45</v>
      </c>
      <c r="AK484" s="40" t="s">
        <v>45</v>
      </c>
      <c r="AL484" s="40" t="s">
        <v>45</v>
      </c>
      <c r="AM484" s="40" t="s">
        <v>45</v>
      </c>
      <c r="AN484" s="40" t="s">
        <v>45</v>
      </c>
      <c r="AO484" s="41" t="s">
        <v>45</v>
      </c>
      <c r="AP484" s="40" t="s">
        <v>349</v>
      </c>
      <c r="AQ484" s="40">
        <v>8</v>
      </c>
      <c r="AR484" s="48" t="s">
        <v>14</v>
      </c>
      <c r="AS484" s="43" t="s">
        <v>45</v>
      </c>
      <c r="AT484" s="43" t="s">
        <v>47</v>
      </c>
      <c r="AU484" s="44">
        <f t="shared" si="56"/>
        <v>-2.5067929134584248</v>
      </c>
      <c r="AV484" s="44">
        <f t="shared" si="57"/>
        <v>-1.6242862721580691</v>
      </c>
      <c r="AW484" s="45">
        <f t="shared" si="58"/>
        <v>3</v>
      </c>
      <c r="AX484" s="45">
        <f t="shared" si="59"/>
        <v>0</v>
      </c>
      <c r="AY484" s="46">
        <f>VLOOKUP(AP484,COND!$A$10:$B$32,2,FALSE)</f>
        <v>1</v>
      </c>
      <c r="AZ484" s="44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15.212915974146927</v>
      </c>
      <c r="BA484" s="47">
        <f>STANDARDIZE(AZ484,AVERAGE($AZ$5:$AZ$557),STDEVP($AZ$5:$AZ$557))</f>
        <v>-1.3743192308042509</v>
      </c>
      <c r="BB484" s="45" t="str">
        <f t="shared" si="60"/>
        <v>SP</v>
      </c>
      <c r="BC484" s="45">
        <f>RANK(Table3[[#This Row],[zScore]],Table3[zScore])</f>
        <v>761</v>
      </c>
      <c r="BD484" s="45"/>
      <c r="BE484" s="45"/>
      <c r="BF484" s="45" t="str">
        <f t="shared" si="61"/>
        <v>Unlikely</v>
      </c>
      <c r="BG484" s="45"/>
      <c r="BH484" s="45" t="str">
        <f>INDEX(Table5[[#All],[Ovr]],MATCH(Table3[[#This Row],[PID]],Table5[[#All],[PID]],0))</f>
        <v/>
      </c>
      <c r="BI484" s="45" t="str">
        <f>INDEX(Table5[[#All],[Rnd]],MATCH(Table3[[#This Row],[PID]],Table5[[#All],[PID]],0))</f>
        <v/>
      </c>
      <c r="BJ484" s="45" t="str">
        <f>INDEX(Table5[[#All],[Pick]],MATCH(Table3[[#This Row],[PID]],Table5[[#All],[PID]],0))</f>
        <v/>
      </c>
      <c r="BK484" s="45" t="str">
        <f>INDEX(Table5[[#All],[Team]],MATCH(Table3[[#This Row],[PID]],Table5[[#All],[PID]],0))</f>
        <v/>
      </c>
      <c r="BL4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5" spans="1:64" ht="15" customHeight="1" x14ac:dyDescent="0.25">
      <c r="A485" s="40">
        <v>9675</v>
      </c>
      <c r="B485" s="40" t="s">
        <v>415</v>
      </c>
      <c r="C485" s="40" t="s">
        <v>569</v>
      </c>
      <c r="D485" s="40" t="s">
        <v>570</v>
      </c>
      <c r="E485" s="40">
        <v>22</v>
      </c>
      <c r="F485" s="40" t="s">
        <v>42</v>
      </c>
      <c r="G485" s="40" t="s">
        <v>42</v>
      </c>
      <c r="H485" s="41" t="s">
        <v>647</v>
      </c>
      <c r="I485" s="42" t="s">
        <v>43</v>
      </c>
      <c r="J485" s="40" t="s">
        <v>47</v>
      </c>
      <c r="K485" s="41" t="s">
        <v>43</v>
      </c>
      <c r="L485" s="40">
        <v>1</v>
      </c>
      <c r="M485" s="40">
        <v>2</v>
      </c>
      <c r="N485" s="41">
        <v>2</v>
      </c>
      <c r="O485" s="40">
        <v>4</v>
      </c>
      <c r="P485" s="40">
        <v>2</v>
      </c>
      <c r="Q485" s="41">
        <v>2</v>
      </c>
      <c r="R485" s="40" t="s">
        <v>45</v>
      </c>
      <c r="S485" s="40" t="s">
        <v>45</v>
      </c>
      <c r="T485" s="40" t="s">
        <v>45</v>
      </c>
      <c r="U485" s="40" t="s">
        <v>45</v>
      </c>
      <c r="V485" s="40">
        <v>2</v>
      </c>
      <c r="W485" s="40">
        <v>5</v>
      </c>
      <c r="X485" s="40" t="s">
        <v>45</v>
      </c>
      <c r="Y485" s="40" t="s">
        <v>45</v>
      </c>
      <c r="Z485" s="40" t="s">
        <v>45</v>
      </c>
      <c r="AA485" s="40" t="s">
        <v>45</v>
      </c>
      <c r="AB485" s="40" t="s">
        <v>45</v>
      </c>
      <c r="AC485" s="40" t="s">
        <v>45</v>
      </c>
      <c r="AD485" s="40">
        <v>3</v>
      </c>
      <c r="AE485" s="40">
        <v>5</v>
      </c>
      <c r="AF485" s="40" t="s">
        <v>45</v>
      </c>
      <c r="AG485" s="40" t="s">
        <v>45</v>
      </c>
      <c r="AH485" s="40" t="s">
        <v>45</v>
      </c>
      <c r="AI485" s="40" t="s">
        <v>45</v>
      </c>
      <c r="AJ485" s="40" t="s">
        <v>45</v>
      </c>
      <c r="AK485" s="40" t="s">
        <v>45</v>
      </c>
      <c r="AL485" s="40" t="s">
        <v>45</v>
      </c>
      <c r="AM485" s="40" t="s">
        <v>45</v>
      </c>
      <c r="AN485" s="40" t="s">
        <v>45</v>
      </c>
      <c r="AO485" s="41" t="s">
        <v>45</v>
      </c>
      <c r="AP485" s="40" t="s">
        <v>64</v>
      </c>
      <c r="AQ485" s="40">
        <v>4</v>
      </c>
      <c r="AR485" s="48" t="s">
        <v>347</v>
      </c>
      <c r="AS485" s="43" t="s">
        <v>45</v>
      </c>
      <c r="AT485" s="43" t="s">
        <v>47</v>
      </c>
      <c r="AU485" s="44">
        <f t="shared" si="56"/>
        <v>-2.2637319554834323</v>
      </c>
      <c r="AV485" s="44">
        <f t="shared" si="57"/>
        <v>-1.23416323121884</v>
      </c>
      <c r="AW485" s="45">
        <f t="shared" si="58"/>
        <v>2</v>
      </c>
      <c r="AX485" s="45">
        <f t="shared" si="59"/>
        <v>0</v>
      </c>
      <c r="AY485" s="46">
        <f>VLOOKUP(AP485,COND!$A$10:$B$32,2,FALSE)</f>
        <v>1</v>
      </c>
      <c r="AZ485" s="44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17.37078953530019</v>
      </c>
      <c r="BA485" s="47">
        <f>STANDARDIZE(AZ485,AVERAGE($AZ$5:$AZ$663),STDEVP($AZ$5:$AZ$663))</f>
        <v>-1.399653580344457</v>
      </c>
      <c r="BB485" s="45" t="str">
        <f t="shared" si="60"/>
        <v>RP</v>
      </c>
      <c r="BC485" s="45">
        <f>RANK(Table3[[#This Row],[zScore]],Table3[zScore])</f>
        <v>763</v>
      </c>
      <c r="BD485" s="45"/>
      <c r="BE485" s="45"/>
      <c r="BF485" s="45" t="str">
        <f t="shared" si="61"/>
        <v>Unlikely</v>
      </c>
      <c r="BG485" s="45"/>
      <c r="BH485" s="45" t="str">
        <f>INDEX(Table5[[#All],[Ovr]],MATCH(Table3[[#This Row],[PID]],Table5[[#All],[PID]],0))</f>
        <v/>
      </c>
      <c r="BI485" s="45" t="str">
        <f>INDEX(Table5[[#All],[Rnd]],MATCH(Table3[[#This Row],[PID]],Table5[[#All],[PID]],0))</f>
        <v/>
      </c>
      <c r="BJ485" s="45" t="str">
        <f>INDEX(Table5[[#All],[Pick]],MATCH(Table3[[#This Row],[PID]],Table5[[#All],[PID]],0))</f>
        <v/>
      </c>
      <c r="BK485" s="45" t="str">
        <f>INDEX(Table5[[#All],[Team]],MATCH(Table3[[#This Row],[PID]],Table5[[#All],[PID]],0))</f>
        <v/>
      </c>
      <c r="BL4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6" spans="1:64" ht="15" customHeight="1" x14ac:dyDescent="0.25">
      <c r="A486" s="40">
        <v>17985</v>
      </c>
      <c r="B486" s="40" t="s">
        <v>415</v>
      </c>
      <c r="C486" s="40" t="s">
        <v>389</v>
      </c>
      <c r="D486" s="40" t="s">
        <v>534</v>
      </c>
      <c r="E486" s="40">
        <v>21</v>
      </c>
      <c r="F486" s="40" t="s">
        <v>53</v>
      </c>
      <c r="G486" s="40" t="s">
        <v>42</v>
      </c>
      <c r="H486" s="41" t="s">
        <v>647</v>
      </c>
      <c r="I486" s="42" t="s">
        <v>43</v>
      </c>
      <c r="J486" s="40" t="s">
        <v>43</v>
      </c>
      <c r="K486" s="41" t="s">
        <v>47</v>
      </c>
      <c r="L486" s="40">
        <v>2</v>
      </c>
      <c r="M486" s="40">
        <v>1</v>
      </c>
      <c r="N486" s="41">
        <v>1</v>
      </c>
      <c r="O486" s="40">
        <v>4</v>
      </c>
      <c r="P486" s="40">
        <v>2</v>
      </c>
      <c r="Q486" s="41">
        <v>2</v>
      </c>
      <c r="R486" s="40">
        <v>4</v>
      </c>
      <c r="S486" s="40">
        <v>7</v>
      </c>
      <c r="T486" s="40" t="s">
        <v>45</v>
      </c>
      <c r="U486" s="40" t="s">
        <v>45</v>
      </c>
      <c r="V486" s="40">
        <v>2</v>
      </c>
      <c r="W486" s="40">
        <v>5</v>
      </c>
      <c r="X486" s="40" t="s">
        <v>45</v>
      </c>
      <c r="Y486" s="40" t="s">
        <v>45</v>
      </c>
      <c r="Z486" s="40" t="s">
        <v>45</v>
      </c>
      <c r="AA486" s="40" t="s">
        <v>45</v>
      </c>
      <c r="AB486" s="40" t="s">
        <v>45</v>
      </c>
      <c r="AC486" s="40" t="s">
        <v>45</v>
      </c>
      <c r="AD486" s="40" t="s">
        <v>45</v>
      </c>
      <c r="AE486" s="40" t="s">
        <v>45</v>
      </c>
      <c r="AF486" s="40" t="s">
        <v>45</v>
      </c>
      <c r="AG486" s="40" t="s">
        <v>45</v>
      </c>
      <c r="AH486" s="40" t="s">
        <v>45</v>
      </c>
      <c r="AI486" s="40" t="s">
        <v>45</v>
      </c>
      <c r="AJ486" s="40" t="s">
        <v>45</v>
      </c>
      <c r="AK486" s="40" t="s">
        <v>45</v>
      </c>
      <c r="AL486" s="40" t="s">
        <v>45</v>
      </c>
      <c r="AM486" s="40" t="s">
        <v>45</v>
      </c>
      <c r="AN486" s="40" t="s">
        <v>45</v>
      </c>
      <c r="AO486" s="41" t="s">
        <v>45</v>
      </c>
      <c r="AP486" s="40" t="s">
        <v>57</v>
      </c>
      <c r="AQ486" s="40">
        <v>8</v>
      </c>
      <c r="AR486" s="48" t="s">
        <v>14</v>
      </c>
      <c r="AS486" s="43" t="s">
        <v>45</v>
      </c>
      <c r="AT486" s="43" t="s">
        <v>47</v>
      </c>
      <c r="AU486" s="44">
        <f t="shared" si="56"/>
        <v>-2.5067929134584248</v>
      </c>
      <c r="AV486" s="44">
        <f t="shared" si="57"/>
        <v>-1.23416323121884</v>
      </c>
      <c r="AW486" s="45">
        <f t="shared" si="58"/>
        <v>2</v>
      </c>
      <c r="AX486" s="45">
        <f t="shared" si="59"/>
        <v>1</v>
      </c>
      <c r="AY486" s="46">
        <f>VLOOKUP(AP486,COND!$A$10:$B$32,2,FALSE)</f>
        <v>1</v>
      </c>
      <c r="AZ486" s="44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17.365376792931514</v>
      </c>
      <c r="BA486" s="47">
        <f>STANDARDIZE(AZ486,AVERAGE($AZ$5:$AZ$663),STDEVP($AZ$5:$AZ$663))</f>
        <v>-1.4000243516041282</v>
      </c>
      <c r="BB486" s="45" t="str">
        <f t="shared" si="60"/>
        <v>RP</v>
      </c>
      <c r="BC486" s="45">
        <f>RANK(Table3[[#This Row],[zScore]],Table3[zScore])</f>
        <v>764</v>
      </c>
      <c r="BD486" s="45"/>
      <c r="BE486" s="45"/>
      <c r="BF486" s="45" t="str">
        <f t="shared" si="61"/>
        <v>Unlikely</v>
      </c>
      <c r="BG486" s="45"/>
      <c r="BH486" s="45" t="str">
        <f>INDEX(Table5[[#All],[Ovr]],MATCH(Table3[[#This Row],[PID]],Table5[[#All],[PID]],0))</f>
        <v/>
      </c>
      <c r="BI486" s="45" t="str">
        <f>INDEX(Table5[[#All],[Rnd]],MATCH(Table3[[#This Row],[PID]],Table5[[#All],[PID]],0))</f>
        <v/>
      </c>
      <c r="BJ486" s="45" t="str">
        <f>INDEX(Table5[[#All],[Pick]],MATCH(Table3[[#This Row],[PID]],Table5[[#All],[PID]],0))</f>
        <v/>
      </c>
      <c r="BK486" s="45" t="str">
        <f>INDEX(Table5[[#All],[Team]],MATCH(Table3[[#This Row],[PID]],Table5[[#All],[PID]],0))</f>
        <v/>
      </c>
      <c r="BL4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7" spans="1:64" ht="15" customHeight="1" x14ac:dyDescent="0.25">
      <c r="A487" s="40">
        <v>18022</v>
      </c>
      <c r="B487" s="40" t="s">
        <v>415</v>
      </c>
      <c r="C487" s="40" t="s">
        <v>321</v>
      </c>
      <c r="D487" s="40" t="s">
        <v>1928</v>
      </c>
      <c r="E487" s="40">
        <v>21</v>
      </c>
      <c r="F487" s="40" t="s">
        <v>42</v>
      </c>
      <c r="G487" s="40" t="s">
        <v>42</v>
      </c>
      <c r="H487" s="41" t="s">
        <v>647</v>
      </c>
      <c r="I487" s="42" t="s">
        <v>43</v>
      </c>
      <c r="J487" s="40" t="s">
        <v>47</v>
      </c>
      <c r="K487" s="41" t="s">
        <v>43</v>
      </c>
      <c r="L487" s="40">
        <v>2</v>
      </c>
      <c r="M487" s="40">
        <v>2</v>
      </c>
      <c r="N487" s="41">
        <v>1</v>
      </c>
      <c r="O487" s="40">
        <v>3</v>
      </c>
      <c r="P487" s="40">
        <v>2</v>
      </c>
      <c r="Q487" s="41">
        <v>1</v>
      </c>
      <c r="R487" s="40">
        <v>3</v>
      </c>
      <c r="S487" s="40">
        <v>4</v>
      </c>
      <c r="T487" s="40">
        <v>1</v>
      </c>
      <c r="U487" s="40">
        <v>2</v>
      </c>
      <c r="V487" s="40">
        <v>1</v>
      </c>
      <c r="W487" s="40">
        <v>3</v>
      </c>
      <c r="X487" s="40" t="s">
        <v>45</v>
      </c>
      <c r="Y487" s="40" t="s">
        <v>45</v>
      </c>
      <c r="Z487" s="40" t="s">
        <v>45</v>
      </c>
      <c r="AA487" s="40" t="s">
        <v>45</v>
      </c>
      <c r="AB487" s="40">
        <v>3</v>
      </c>
      <c r="AC487" s="40">
        <v>4</v>
      </c>
      <c r="AD487" s="40" t="s">
        <v>45</v>
      </c>
      <c r="AE487" s="40" t="s">
        <v>45</v>
      </c>
      <c r="AF487" s="40">
        <v>3</v>
      </c>
      <c r="AG487" s="40">
        <v>3</v>
      </c>
      <c r="AH487" s="40">
        <v>1</v>
      </c>
      <c r="AI487" s="40">
        <v>4</v>
      </c>
      <c r="AJ487" s="40" t="s">
        <v>45</v>
      </c>
      <c r="AK487" s="40" t="s">
        <v>45</v>
      </c>
      <c r="AL487" s="40" t="s">
        <v>45</v>
      </c>
      <c r="AM487" s="40" t="s">
        <v>45</v>
      </c>
      <c r="AN487" s="40" t="s">
        <v>45</v>
      </c>
      <c r="AO487" s="41" t="s">
        <v>45</v>
      </c>
      <c r="AP487" s="40" t="s">
        <v>350</v>
      </c>
      <c r="AQ487" s="40">
        <v>6</v>
      </c>
      <c r="AR487" s="48" t="s">
        <v>347</v>
      </c>
      <c r="AS487" s="43" t="s">
        <v>45</v>
      </c>
      <c r="AT487" s="43" t="s">
        <v>47</v>
      </c>
      <c r="AU487" s="44">
        <f t="shared" si="56"/>
        <v>-2.311361197028369</v>
      </c>
      <c r="AV487" s="44">
        <f t="shared" si="57"/>
        <v>-1.6711751217821238</v>
      </c>
      <c r="AW487" s="45">
        <f t="shared" si="58"/>
        <v>6</v>
      </c>
      <c r="AX487" s="45">
        <f t="shared" si="59"/>
        <v>0</v>
      </c>
      <c r="AY487" s="46">
        <f>VLOOKUP(AP487,COND!$A$10:$B$32,2,FALSE)</f>
        <v>1</v>
      </c>
      <c r="AZ487" s="44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17.186369691828059</v>
      </c>
      <c r="BA487" s="47">
        <f>STANDARDIZE(AZ487,AVERAGE($AZ$5:$AZ$663),STDEVP($AZ$5:$AZ$663))</f>
        <v>-1.412286285360717</v>
      </c>
      <c r="BB487" s="45" t="str">
        <f t="shared" si="60"/>
        <v>SP</v>
      </c>
      <c r="BC487" s="45">
        <f>RANK(Table3[[#This Row],[zScore]],Table3[zScore])</f>
        <v>765</v>
      </c>
      <c r="BD487" s="45"/>
      <c r="BE487" s="45"/>
      <c r="BF487" s="45" t="str">
        <f t="shared" si="61"/>
        <v>Unlikely</v>
      </c>
      <c r="BG487" s="45"/>
      <c r="BH487" s="45" t="str">
        <f>INDEX(Table5[[#All],[Ovr]],MATCH(Table3[[#This Row],[PID]],Table5[[#All],[PID]],0))</f>
        <v/>
      </c>
      <c r="BI487" s="45" t="str">
        <f>INDEX(Table5[[#All],[Rnd]],MATCH(Table3[[#This Row],[PID]],Table5[[#All],[PID]],0))</f>
        <v/>
      </c>
      <c r="BJ487" s="45" t="str">
        <f>INDEX(Table5[[#All],[Pick]],MATCH(Table3[[#This Row],[PID]],Table5[[#All],[PID]],0))</f>
        <v/>
      </c>
      <c r="BK487" s="45" t="str">
        <f>INDEX(Table5[[#All],[Team]],MATCH(Table3[[#This Row],[PID]],Table5[[#All],[PID]],0))</f>
        <v/>
      </c>
      <c r="BL4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8" spans="1:64" ht="15" customHeight="1" x14ac:dyDescent="0.25">
      <c r="A488" s="40">
        <v>10352</v>
      </c>
      <c r="B488" s="40" t="s">
        <v>415</v>
      </c>
      <c r="C488" s="40" t="s">
        <v>130</v>
      </c>
      <c r="D488" s="40" t="s">
        <v>2018</v>
      </c>
      <c r="E488" s="40">
        <v>21</v>
      </c>
      <c r="F488" s="40" t="s">
        <v>42</v>
      </c>
      <c r="G488" s="40" t="s">
        <v>42</v>
      </c>
      <c r="H488" s="41" t="s">
        <v>647</v>
      </c>
      <c r="I488" s="42" t="s">
        <v>43</v>
      </c>
      <c r="J488" s="40" t="s">
        <v>47</v>
      </c>
      <c r="K488" s="41" t="s">
        <v>43</v>
      </c>
      <c r="L488" s="40">
        <v>2</v>
      </c>
      <c r="M488" s="40">
        <v>1</v>
      </c>
      <c r="N488" s="41">
        <v>1</v>
      </c>
      <c r="O488" s="40">
        <v>3</v>
      </c>
      <c r="P488" s="40">
        <v>1</v>
      </c>
      <c r="Q488" s="41">
        <v>2</v>
      </c>
      <c r="R488" s="40" t="s">
        <v>45</v>
      </c>
      <c r="S488" s="40" t="s">
        <v>45</v>
      </c>
      <c r="T488" s="40" t="s">
        <v>45</v>
      </c>
      <c r="U488" s="40" t="s">
        <v>45</v>
      </c>
      <c r="V488" s="40">
        <v>1</v>
      </c>
      <c r="W488" s="40">
        <v>4</v>
      </c>
      <c r="X488" s="40">
        <v>2</v>
      </c>
      <c r="Y488" s="40">
        <v>5</v>
      </c>
      <c r="Z488" s="40" t="s">
        <v>45</v>
      </c>
      <c r="AA488" s="40" t="s">
        <v>45</v>
      </c>
      <c r="AB488" s="40" t="s">
        <v>45</v>
      </c>
      <c r="AC488" s="40" t="s">
        <v>45</v>
      </c>
      <c r="AD488" s="40">
        <v>3</v>
      </c>
      <c r="AE488" s="40">
        <v>4</v>
      </c>
      <c r="AF488" s="40" t="s">
        <v>45</v>
      </c>
      <c r="AG488" s="40" t="s">
        <v>45</v>
      </c>
      <c r="AH488" s="40" t="s">
        <v>45</v>
      </c>
      <c r="AI488" s="40" t="s">
        <v>45</v>
      </c>
      <c r="AJ488" s="40" t="s">
        <v>45</v>
      </c>
      <c r="AK488" s="40" t="s">
        <v>45</v>
      </c>
      <c r="AL488" s="40" t="s">
        <v>45</v>
      </c>
      <c r="AM488" s="40" t="s">
        <v>45</v>
      </c>
      <c r="AN488" s="40" t="s">
        <v>45</v>
      </c>
      <c r="AO488" s="41" t="s">
        <v>45</v>
      </c>
      <c r="AP488" s="40" t="s">
        <v>68</v>
      </c>
      <c r="AQ488" s="40">
        <v>4</v>
      </c>
      <c r="AR488" s="48" t="s">
        <v>14</v>
      </c>
      <c r="AS488" s="43" t="s">
        <v>45</v>
      </c>
      <c r="AT488" s="43" t="s">
        <v>47</v>
      </c>
      <c r="AU488" s="44">
        <f t="shared" si="56"/>
        <v>-2.5067929134584248</v>
      </c>
      <c r="AV488" s="44">
        <f t="shared" si="57"/>
        <v>-1.6242862721580691</v>
      </c>
      <c r="AW488" s="45">
        <f t="shared" si="58"/>
        <v>3</v>
      </c>
      <c r="AX488" s="45">
        <f t="shared" si="59"/>
        <v>0</v>
      </c>
      <c r="AY488" s="46">
        <f>VLOOKUP(AP488,COND!$A$10:$B$32,2,FALSE)</f>
        <v>0.95</v>
      </c>
      <c r="AZ488" s="44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16.882906666667605</v>
      </c>
      <c r="BA488" s="47">
        <f>STANDARDIZE(AZ488,AVERAGE($AZ$5:$AZ$663),STDEVP($AZ$5:$AZ$663))</f>
        <v>-1.4330734132967258</v>
      </c>
      <c r="BB488" s="45" t="str">
        <f t="shared" si="60"/>
        <v>RP</v>
      </c>
      <c r="BC488" s="45">
        <f>RANK(Table3[[#This Row],[zScore]],Table3[zScore])</f>
        <v>766</v>
      </c>
      <c r="BD488" s="45"/>
      <c r="BE488" s="45"/>
      <c r="BF488" s="45" t="str">
        <f t="shared" si="61"/>
        <v>Unlikely</v>
      </c>
      <c r="BG488" s="45"/>
      <c r="BH488" s="45" t="str">
        <f>INDEX(Table5[[#All],[Ovr]],MATCH(Table3[[#This Row],[PID]],Table5[[#All],[PID]],0))</f>
        <v/>
      </c>
      <c r="BI488" s="45" t="str">
        <f>INDEX(Table5[[#All],[Rnd]],MATCH(Table3[[#This Row],[PID]],Table5[[#All],[PID]],0))</f>
        <v/>
      </c>
      <c r="BJ488" s="45" t="str">
        <f>INDEX(Table5[[#All],[Pick]],MATCH(Table3[[#This Row],[PID]],Table5[[#All],[PID]],0))</f>
        <v/>
      </c>
      <c r="BK488" s="45" t="str">
        <f>INDEX(Table5[[#All],[Team]],MATCH(Table3[[#This Row],[PID]],Table5[[#All],[PID]],0))</f>
        <v/>
      </c>
      <c r="BL4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89" spans="1:64" ht="15" customHeight="1" x14ac:dyDescent="0.25">
      <c r="A489" s="40">
        <v>17759</v>
      </c>
      <c r="B489" s="40" t="s">
        <v>415</v>
      </c>
      <c r="C489" s="40" t="s">
        <v>2092</v>
      </c>
      <c r="D489" s="40" t="s">
        <v>2093</v>
      </c>
      <c r="E489" s="40">
        <v>21</v>
      </c>
      <c r="F489" s="40" t="s">
        <v>42</v>
      </c>
      <c r="G489" s="40" t="s">
        <v>42</v>
      </c>
      <c r="H489" s="41" t="s">
        <v>647</v>
      </c>
      <c r="I489" s="42" t="s">
        <v>43</v>
      </c>
      <c r="J489" s="40" t="s">
        <v>43</v>
      </c>
      <c r="K489" s="41" t="s">
        <v>47</v>
      </c>
      <c r="L489" s="40">
        <v>2</v>
      </c>
      <c r="M489" s="40">
        <v>1</v>
      </c>
      <c r="N489" s="41">
        <v>1</v>
      </c>
      <c r="O489" s="40">
        <v>3</v>
      </c>
      <c r="P489" s="40">
        <v>1</v>
      </c>
      <c r="Q489" s="41">
        <v>2</v>
      </c>
      <c r="R489" s="40">
        <v>4</v>
      </c>
      <c r="S489" s="40">
        <v>5</v>
      </c>
      <c r="T489" s="40">
        <v>1</v>
      </c>
      <c r="U489" s="40">
        <v>4</v>
      </c>
      <c r="V489" s="40">
        <v>3</v>
      </c>
      <c r="W489" s="40">
        <v>4</v>
      </c>
      <c r="X489" s="40" t="s">
        <v>45</v>
      </c>
      <c r="Y489" s="40" t="s">
        <v>45</v>
      </c>
      <c r="Z489" s="40" t="s">
        <v>45</v>
      </c>
      <c r="AA489" s="40" t="s">
        <v>45</v>
      </c>
      <c r="AB489" s="40" t="s">
        <v>45</v>
      </c>
      <c r="AC489" s="40" t="s">
        <v>45</v>
      </c>
      <c r="AD489" s="40" t="s">
        <v>45</v>
      </c>
      <c r="AE489" s="40" t="s">
        <v>45</v>
      </c>
      <c r="AF489" s="40" t="s">
        <v>45</v>
      </c>
      <c r="AG489" s="40" t="s">
        <v>45</v>
      </c>
      <c r="AH489" s="40" t="s">
        <v>45</v>
      </c>
      <c r="AI489" s="40" t="s">
        <v>45</v>
      </c>
      <c r="AJ489" s="40" t="s">
        <v>45</v>
      </c>
      <c r="AK489" s="40" t="s">
        <v>45</v>
      </c>
      <c r="AL489" s="40" t="s">
        <v>45</v>
      </c>
      <c r="AM489" s="40" t="s">
        <v>45</v>
      </c>
      <c r="AN489" s="40" t="s">
        <v>45</v>
      </c>
      <c r="AO489" s="41" t="s">
        <v>45</v>
      </c>
      <c r="AP489" s="40" t="s">
        <v>349</v>
      </c>
      <c r="AQ489" s="40">
        <v>6</v>
      </c>
      <c r="AR489" s="48" t="s">
        <v>14</v>
      </c>
      <c r="AS489" s="43" t="s">
        <v>45</v>
      </c>
      <c r="AT489" s="43" t="s">
        <v>47</v>
      </c>
      <c r="AU489" s="44">
        <f t="shared" si="56"/>
        <v>-2.5067929134584248</v>
      </c>
      <c r="AV489" s="44">
        <f t="shared" si="57"/>
        <v>-1.6242862721580691</v>
      </c>
      <c r="AW489" s="45">
        <f t="shared" si="58"/>
        <v>3</v>
      </c>
      <c r="AX489" s="45">
        <f t="shared" si="59"/>
        <v>0</v>
      </c>
      <c r="AY489" s="46">
        <f>VLOOKUP(AP489,COND!$A$10:$B$32,2,FALSE)</f>
        <v>1</v>
      </c>
      <c r="AZ489" s="44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16.600093074793257</v>
      </c>
      <c r="BA489" s="47">
        <f>STANDARDIZE(AZ489,AVERAGE($AZ$5:$AZ$663),STDEVP($AZ$5:$AZ$663))</f>
        <v>-1.4524460611282888</v>
      </c>
      <c r="BB489" s="45" t="str">
        <f t="shared" si="60"/>
        <v>SP</v>
      </c>
      <c r="BC489" s="45">
        <f>RANK(Table3[[#This Row],[zScore]],Table3[zScore])</f>
        <v>767</v>
      </c>
      <c r="BD489" s="45"/>
      <c r="BE489" s="45"/>
      <c r="BF489" s="45" t="str">
        <f t="shared" si="61"/>
        <v>Unlikely</v>
      </c>
      <c r="BG489" s="45"/>
      <c r="BH489" s="45" t="str">
        <f>INDEX(Table5[[#All],[Ovr]],MATCH(Table3[[#This Row],[PID]],Table5[[#All],[PID]],0))</f>
        <v/>
      </c>
      <c r="BI489" s="45" t="str">
        <f>INDEX(Table5[[#All],[Rnd]],MATCH(Table3[[#This Row],[PID]],Table5[[#All],[PID]],0))</f>
        <v/>
      </c>
      <c r="BJ489" s="45" t="str">
        <f>INDEX(Table5[[#All],[Pick]],MATCH(Table3[[#This Row],[PID]],Table5[[#All],[PID]],0))</f>
        <v/>
      </c>
      <c r="BK489" s="45" t="str">
        <f>INDEX(Table5[[#All],[Team]],MATCH(Table3[[#This Row],[PID]],Table5[[#All],[PID]],0))</f>
        <v/>
      </c>
      <c r="BL4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0" spans="1:64" ht="15" customHeight="1" x14ac:dyDescent="0.25">
      <c r="A490" s="40">
        <v>17028</v>
      </c>
      <c r="B490" s="40" t="s">
        <v>415</v>
      </c>
      <c r="C490" s="40" t="s">
        <v>782</v>
      </c>
      <c r="D490" s="40" t="s">
        <v>382</v>
      </c>
      <c r="E490" s="40">
        <v>21</v>
      </c>
      <c r="F490" s="40" t="s">
        <v>42</v>
      </c>
      <c r="G490" s="40" t="s">
        <v>42</v>
      </c>
      <c r="H490" s="41" t="s">
        <v>647</v>
      </c>
      <c r="I490" s="42" t="s">
        <v>43</v>
      </c>
      <c r="J490" s="40" t="s">
        <v>43</v>
      </c>
      <c r="K490" s="41" t="s">
        <v>43</v>
      </c>
      <c r="L490" s="40">
        <v>1</v>
      </c>
      <c r="M490" s="40">
        <v>2</v>
      </c>
      <c r="N490" s="41">
        <v>1</v>
      </c>
      <c r="O490" s="40">
        <v>2</v>
      </c>
      <c r="P490" s="40">
        <v>2</v>
      </c>
      <c r="Q490" s="41">
        <v>3</v>
      </c>
      <c r="R490" s="40">
        <v>2</v>
      </c>
      <c r="S490" s="40">
        <v>3</v>
      </c>
      <c r="T490" s="40" t="s">
        <v>45</v>
      </c>
      <c r="U490" s="40" t="s">
        <v>45</v>
      </c>
      <c r="V490" s="40" t="s">
        <v>45</v>
      </c>
      <c r="W490" s="40" t="s">
        <v>45</v>
      </c>
      <c r="X490" s="40">
        <v>2</v>
      </c>
      <c r="Y490" s="40">
        <v>4</v>
      </c>
      <c r="Z490" s="40" t="s">
        <v>45</v>
      </c>
      <c r="AA490" s="40" t="s">
        <v>45</v>
      </c>
      <c r="AB490" s="40" t="s">
        <v>45</v>
      </c>
      <c r="AC490" s="40" t="s">
        <v>45</v>
      </c>
      <c r="AD490" s="40" t="s">
        <v>45</v>
      </c>
      <c r="AE490" s="40" t="s">
        <v>45</v>
      </c>
      <c r="AF490" s="40" t="s">
        <v>45</v>
      </c>
      <c r="AG490" s="40" t="s">
        <v>45</v>
      </c>
      <c r="AH490" s="40" t="s">
        <v>45</v>
      </c>
      <c r="AI490" s="40" t="s">
        <v>45</v>
      </c>
      <c r="AJ490" s="40" t="s">
        <v>45</v>
      </c>
      <c r="AK490" s="40" t="s">
        <v>45</v>
      </c>
      <c r="AL490" s="40" t="s">
        <v>45</v>
      </c>
      <c r="AM490" s="40" t="s">
        <v>45</v>
      </c>
      <c r="AN490" s="40" t="s">
        <v>45</v>
      </c>
      <c r="AO490" s="41" t="s">
        <v>45</v>
      </c>
      <c r="AP490" s="40" t="s">
        <v>70</v>
      </c>
      <c r="AQ490" s="40">
        <v>6</v>
      </c>
      <c r="AR490" s="48" t="s">
        <v>347</v>
      </c>
      <c r="AS490" s="43" t="s">
        <v>45</v>
      </c>
      <c r="AT490" s="43"/>
      <c r="AU490" s="44">
        <f t="shared" si="56"/>
        <v>-2.5060525215375429</v>
      </c>
      <c r="AV490" s="44">
        <f t="shared" si="57"/>
        <v>-1.3812253141830766</v>
      </c>
      <c r="AW490" s="45">
        <f t="shared" si="58"/>
        <v>2</v>
      </c>
      <c r="AX490" s="45">
        <f t="shared" si="59"/>
        <v>0</v>
      </c>
      <c r="AY490" s="46">
        <f>VLOOKUP(AP490,COND!$A$10:$B$32,2,FALSE)</f>
        <v>0.9</v>
      </c>
      <c r="AZ490" s="44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16.197183518557164</v>
      </c>
      <c r="BA490" s="47">
        <f>STANDARDIZE(AZ490,AVERAGE($AZ$5:$AZ$788),STDEVP($AZ$5:$AZ$788))</f>
        <v>-1.4893855038268347</v>
      </c>
      <c r="BB490" s="45" t="str">
        <f t="shared" si="60"/>
        <v>RP</v>
      </c>
      <c r="BC490" s="45">
        <f>RANK(Table3[[#This Row],[zScore]],Table3[zScore])</f>
        <v>769</v>
      </c>
      <c r="BD490" s="45"/>
      <c r="BE490" s="45"/>
      <c r="BF490" s="45" t="str">
        <f t="shared" si="61"/>
        <v>Unlikely</v>
      </c>
      <c r="BG490" s="45"/>
      <c r="BH490" s="64" t="str">
        <f>INDEX(Table5[[#All],[Ovr]],MATCH(Table3[[#This Row],[PID]],Table5[[#All],[PID]],0))</f>
        <v/>
      </c>
      <c r="BI490" s="64" t="str">
        <f>INDEX(Table5[[#All],[Rnd]],MATCH(Table3[[#This Row],[PID]],Table5[[#All],[PID]],0))</f>
        <v/>
      </c>
      <c r="BJ490" s="64" t="str">
        <f>INDEX(Table5[[#All],[Pick]],MATCH(Table3[[#This Row],[PID]],Table5[[#All],[PID]],0))</f>
        <v/>
      </c>
      <c r="BK490" s="64" t="str">
        <f>INDEX(Table5[[#All],[Team]],MATCH(Table3[[#This Row],[PID]],Table5[[#All],[PID]],0))</f>
        <v/>
      </c>
      <c r="BL490" s="64" t="str">
        <f>IF(OR(Table3[[#This Row],[POS]]="SP",Table3[[#This Row],[POS]]="RP",Table3[[#This Row],[POS]]="CL"),"P",INDEX(Batters[[#All],[zScore]],MATCH(Table3[[#This Row],[PID]],Batters[[#All],[PID]],0)))</f>
        <v>P</v>
      </c>
    </row>
    <row r="491" spans="1:64" ht="15" customHeight="1" x14ac:dyDescent="0.25">
      <c r="A491" s="40">
        <v>10064</v>
      </c>
      <c r="B491" s="40" t="s">
        <v>415</v>
      </c>
      <c r="C491" s="40" t="s">
        <v>886</v>
      </c>
      <c r="D491" s="40" t="s">
        <v>1071</v>
      </c>
      <c r="E491" s="40">
        <v>22</v>
      </c>
      <c r="F491" s="40" t="s">
        <v>42</v>
      </c>
      <c r="G491" s="40" t="s">
        <v>42</v>
      </c>
      <c r="H491" s="41" t="s">
        <v>647</v>
      </c>
      <c r="I491" s="42" t="s">
        <v>43</v>
      </c>
      <c r="J491" s="40" t="s">
        <v>44</v>
      </c>
      <c r="K491" s="41" t="s">
        <v>43</v>
      </c>
      <c r="L491" s="40">
        <v>2</v>
      </c>
      <c r="M491" s="40">
        <v>1</v>
      </c>
      <c r="N491" s="41">
        <v>1</v>
      </c>
      <c r="O491" s="40">
        <v>4</v>
      </c>
      <c r="P491" s="40">
        <v>1</v>
      </c>
      <c r="Q491" s="41">
        <v>2</v>
      </c>
      <c r="R491" s="40">
        <v>5</v>
      </c>
      <c r="S491" s="40">
        <v>6</v>
      </c>
      <c r="T491" s="40">
        <v>2</v>
      </c>
      <c r="U491" s="40">
        <v>5</v>
      </c>
      <c r="V491" s="40" t="s">
        <v>45</v>
      </c>
      <c r="W491" s="40" t="s">
        <v>45</v>
      </c>
      <c r="X491" s="40" t="s">
        <v>45</v>
      </c>
      <c r="Y491" s="40" t="s">
        <v>45</v>
      </c>
      <c r="Z491" s="40" t="s">
        <v>45</v>
      </c>
      <c r="AA491" s="40" t="s">
        <v>45</v>
      </c>
      <c r="AB491" s="40" t="s">
        <v>45</v>
      </c>
      <c r="AC491" s="40" t="s">
        <v>45</v>
      </c>
      <c r="AD491" s="40" t="s">
        <v>45</v>
      </c>
      <c r="AE491" s="40" t="s">
        <v>45</v>
      </c>
      <c r="AF491" s="40" t="s">
        <v>45</v>
      </c>
      <c r="AG491" s="40" t="s">
        <v>45</v>
      </c>
      <c r="AH491" s="40" t="s">
        <v>45</v>
      </c>
      <c r="AI491" s="40" t="s">
        <v>45</v>
      </c>
      <c r="AJ491" s="40" t="s">
        <v>45</v>
      </c>
      <c r="AK491" s="40" t="s">
        <v>45</v>
      </c>
      <c r="AL491" s="40" t="s">
        <v>45</v>
      </c>
      <c r="AM491" s="40" t="s">
        <v>45</v>
      </c>
      <c r="AN491" s="40" t="s">
        <v>45</v>
      </c>
      <c r="AO491" s="41" t="s">
        <v>45</v>
      </c>
      <c r="AP491" s="40" t="s">
        <v>57</v>
      </c>
      <c r="AQ491" s="40">
        <v>5</v>
      </c>
      <c r="AR491" s="48" t="s">
        <v>347</v>
      </c>
      <c r="AS491" s="43" t="s">
        <v>45</v>
      </c>
      <c r="AT491" s="43" t="s">
        <v>47</v>
      </c>
      <c r="AU491" s="44">
        <f t="shared" si="56"/>
        <v>-2.5067929134584248</v>
      </c>
      <c r="AV491" s="44">
        <f t="shared" si="57"/>
        <v>-1.4295949476488956</v>
      </c>
      <c r="AW491" s="45">
        <f t="shared" si="58"/>
        <v>2</v>
      </c>
      <c r="AX491" s="45">
        <f t="shared" si="59"/>
        <v>1</v>
      </c>
      <c r="AY491" s="46">
        <f>VLOOKUP(AP491,COND!$A$10:$B$32,2,FALSE)</f>
        <v>1</v>
      </c>
      <c r="AZ491" s="44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13.52782390272214</v>
      </c>
      <c r="BA491" s="47">
        <f>STANDARDIZE(AZ491,AVERAGE($AZ$5:$AZ$557),STDEVP($AZ$5:$AZ$557))</f>
        <v>-1.4864258313120478</v>
      </c>
      <c r="BB491" s="45" t="str">
        <f t="shared" si="60"/>
        <v>RP</v>
      </c>
      <c r="BC491" s="45">
        <f>RANK(Table3[[#This Row],[zScore]],Table3[zScore])</f>
        <v>768</v>
      </c>
      <c r="BD491" s="45"/>
      <c r="BE491" s="45"/>
      <c r="BF491" s="45" t="str">
        <f t="shared" si="61"/>
        <v>Unlikely</v>
      </c>
      <c r="BG491" s="45"/>
      <c r="BH491" s="45" t="str">
        <f>INDEX(Table5[[#All],[Ovr]],MATCH(Table3[[#This Row],[PID]],Table5[[#All],[PID]],0))</f>
        <v/>
      </c>
      <c r="BI491" s="45" t="str">
        <f>INDEX(Table5[[#All],[Rnd]],MATCH(Table3[[#This Row],[PID]],Table5[[#All],[PID]],0))</f>
        <v/>
      </c>
      <c r="BJ491" s="45" t="str">
        <f>INDEX(Table5[[#All],[Pick]],MATCH(Table3[[#This Row],[PID]],Table5[[#All],[PID]],0))</f>
        <v/>
      </c>
      <c r="BK491" s="45" t="str">
        <f>INDEX(Table5[[#All],[Team]],MATCH(Table3[[#This Row],[PID]],Table5[[#All],[PID]],0))</f>
        <v/>
      </c>
      <c r="BL4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2" spans="1:64" ht="15" customHeight="1" x14ac:dyDescent="0.25">
      <c r="A492" s="40">
        <v>16890</v>
      </c>
      <c r="B492" s="40" t="s">
        <v>415</v>
      </c>
      <c r="C492" s="40" t="s">
        <v>716</v>
      </c>
      <c r="D492" s="40" t="s">
        <v>687</v>
      </c>
      <c r="E492" s="40">
        <v>21</v>
      </c>
      <c r="F492" s="40" t="s">
        <v>42</v>
      </c>
      <c r="G492" s="40" t="s">
        <v>42</v>
      </c>
      <c r="H492" s="41" t="s">
        <v>647</v>
      </c>
      <c r="I492" s="42" t="s">
        <v>43</v>
      </c>
      <c r="J492" s="40" t="s">
        <v>43</v>
      </c>
      <c r="K492" s="41" t="s">
        <v>43</v>
      </c>
      <c r="L492" s="40">
        <v>1</v>
      </c>
      <c r="M492" s="40">
        <v>1</v>
      </c>
      <c r="N492" s="41">
        <v>1</v>
      </c>
      <c r="O492" s="40">
        <v>3</v>
      </c>
      <c r="P492" s="40">
        <v>1</v>
      </c>
      <c r="Q492" s="41">
        <v>1</v>
      </c>
      <c r="R492" s="40">
        <v>2</v>
      </c>
      <c r="S492" s="40">
        <v>3</v>
      </c>
      <c r="T492" s="40">
        <v>1</v>
      </c>
      <c r="U492" s="40">
        <v>3</v>
      </c>
      <c r="V492" s="40">
        <v>1</v>
      </c>
      <c r="W492" s="40">
        <v>2</v>
      </c>
      <c r="X492" s="40">
        <v>1</v>
      </c>
      <c r="Y492" s="40">
        <v>4</v>
      </c>
      <c r="Z492" s="40" t="s">
        <v>45</v>
      </c>
      <c r="AA492" s="40" t="s">
        <v>45</v>
      </c>
      <c r="AB492" s="40" t="s">
        <v>45</v>
      </c>
      <c r="AC492" s="40" t="s">
        <v>45</v>
      </c>
      <c r="AD492" s="40" t="s">
        <v>45</v>
      </c>
      <c r="AE492" s="40" t="s">
        <v>45</v>
      </c>
      <c r="AF492" s="40" t="s">
        <v>45</v>
      </c>
      <c r="AG492" s="40" t="s">
        <v>45</v>
      </c>
      <c r="AH492" s="40" t="s">
        <v>45</v>
      </c>
      <c r="AI492" s="40" t="s">
        <v>45</v>
      </c>
      <c r="AJ492" s="40" t="s">
        <v>45</v>
      </c>
      <c r="AK492" s="40" t="s">
        <v>45</v>
      </c>
      <c r="AL492" s="40" t="s">
        <v>45</v>
      </c>
      <c r="AM492" s="40" t="s">
        <v>45</v>
      </c>
      <c r="AN492" s="40" t="s">
        <v>45</v>
      </c>
      <c r="AO492" s="41" t="s">
        <v>45</v>
      </c>
      <c r="AP492" s="40" t="s">
        <v>68</v>
      </c>
      <c r="AQ492" s="40">
        <v>4</v>
      </c>
      <c r="AR492" s="48" t="s">
        <v>14</v>
      </c>
      <c r="AS492" s="43" t="s">
        <v>45</v>
      </c>
      <c r="AT492" s="43" t="s">
        <v>635</v>
      </c>
      <c r="AU492" s="44">
        <f t="shared" si="56"/>
        <v>-2.7014842379675978</v>
      </c>
      <c r="AV492" s="44">
        <f t="shared" si="57"/>
        <v>-1.8666068382121794</v>
      </c>
      <c r="AW492" s="45">
        <f t="shared" si="58"/>
        <v>4</v>
      </c>
      <c r="AX492" s="45">
        <f t="shared" si="59"/>
        <v>0</v>
      </c>
      <c r="AY492" s="46">
        <f>VLOOKUP(AP492,COND!$A$10:$B$32,2,FALSE)</f>
        <v>0.95</v>
      </c>
      <c r="AZ492" s="44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12.625128665317014</v>
      </c>
      <c r="BA492" s="47">
        <f>STANDARDIZE(AZ492,AVERAGE($AZ$5:$AZ$557),STDEVP($AZ$5:$AZ$557))</f>
        <v>-1.5464807660400368</v>
      </c>
      <c r="BB492" s="45" t="str">
        <f t="shared" si="60"/>
        <v>RP</v>
      </c>
      <c r="BC492" s="45">
        <f>RANK(Table3[[#This Row],[zScore]],Table3[zScore])</f>
        <v>770</v>
      </c>
      <c r="BD492" s="45"/>
      <c r="BE492" s="45"/>
      <c r="BF492" s="45" t="str">
        <f t="shared" si="61"/>
        <v>Unlikely</v>
      </c>
      <c r="BG492" s="45"/>
      <c r="BH492" s="45" t="str">
        <f>INDEX(Table5[[#All],[Ovr]],MATCH(Table3[[#This Row],[PID]],Table5[[#All],[PID]],0))</f>
        <v/>
      </c>
      <c r="BI492" s="45" t="str">
        <f>INDEX(Table5[[#All],[Rnd]],MATCH(Table3[[#This Row],[PID]],Table5[[#All],[PID]],0))</f>
        <v/>
      </c>
      <c r="BJ492" s="45" t="str">
        <f>INDEX(Table5[[#All],[Pick]],MATCH(Table3[[#This Row],[PID]],Table5[[#All],[PID]],0))</f>
        <v/>
      </c>
      <c r="BK492" s="45" t="str">
        <f>INDEX(Table5[[#All],[Team]],MATCH(Table3[[#This Row],[PID]],Table5[[#All],[PID]],0))</f>
        <v/>
      </c>
      <c r="BL4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3" spans="1:64" ht="15" customHeight="1" x14ac:dyDescent="0.25">
      <c r="A493" s="40">
        <v>17027</v>
      </c>
      <c r="B493" s="40" t="s">
        <v>415</v>
      </c>
      <c r="C493" s="40" t="s">
        <v>128</v>
      </c>
      <c r="D493" s="40" t="s">
        <v>662</v>
      </c>
      <c r="E493" s="40">
        <v>21</v>
      </c>
      <c r="F493" s="40" t="s">
        <v>42</v>
      </c>
      <c r="G493" s="40" t="s">
        <v>42</v>
      </c>
      <c r="H493" s="41" t="s">
        <v>647</v>
      </c>
      <c r="I493" s="42" t="s">
        <v>43</v>
      </c>
      <c r="J493" s="40" t="s">
        <v>43</v>
      </c>
      <c r="K493" s="41" t="s">
        <v>43</v>
      </c>
      <c r="L493" s="40">
        <v>2</v>
      </c>
      <c r="M493" s="40">
        <v>1</v>
      </c>
      <c r="N493" s="41">
        <v>1</v>
      </c>
      <c r="O493" s="40">
        <v>4</v>
      </c>
      <c r="P493" s="40">
        <v>1</v>
      </c>
      <c r="Q493" s="41">
        <v>2</v>
      </c>
      <c r="R493" s="40">
        <v>3</v>
      </c>
      <c r="S493" s="40">
        <v>6</v>
      </c>
      <c r="T493" s="40" t="s">
        <v>45</v>
      </c>
      <c r="U493" s="40" t="s">
        <v>45</v>
      </c>
      <c r="V493" s="40" t="s">
        <v>45</v>
      </c>
      <c r="W493" s="40" t="s">
        <v>45</v>
      </c>
      <c r="X493" s="40">
        <v>2</v>
      </c>
      <c r="Y493" s="40">
        <v>4</v>
      </c>
      <c r="Z493" s="40" t="s">
        <v>45</v>
      </c>
      <c r="AA493" s="40" t="s">
        <v>45</v>
      </c>
      <c r="AB493" s="40" t="s">
        <v>45</v>
      </c>
      <c r="AC493" s="40" t="s">
        <v>45</v>
      </c>
      <c r="AD493" s="40" t="s">
        <v>45</v>
      </c>
      <c r="AE493" s="40" t="s">
        <v>45</v>
      </c>
      <c r="AF493" s="40" t="s">
        <v>45</v>
      </c>
      <c r="AG493" s="40" t="s">
        <v>45</v>
      </c>
      <c r="AH493" s="40" t="s">
        <v>45</v>
      </c>
      <c r="AI493" s="40" t="s">
        <v>45</v>
      </c>
      <c r="AJ493" s="40" t="s">
        <v>45</v>
      </c>
      <c r="AK493" s="40" t="s">
        <v>45</v>
      </c>
      <c r="AL493" s="40" t="s">
        <v>45</v>
      </c>
      <c r="AM493" s="40" t="s">
        <v>45</v>
      </c>
      <c r="AN493" s="40" t="s">
        <v>45</v>
      </c>
      <c r="AO493" s="41" t="s">
        <v>45</v>
      </c>
      <c r="AP493" s="40" t="s">
        <v>350</v>
      </c>
      <c r="AQ493" s="40">
        <v>4</v>
      </c>
      <c r="AR493" s="48" t="s">
        <v>351</v>
      </c>
      <c r="AS493" s="43" t="s">
        <v>45</v>
      </c>
      <c r="AT493" s="43" t="s">
        <v>635</v>
      </c>
      <c r="AU493" s="44">
        <f t="shared" si="56"/>
        <v>-2.5067929134584248</v>
      </c>
      <c r="AV493" s="44">
        <f t="shared" si="57"/>
        <v>-1.4295949476488956</v>
      </c>
      <c r="AW493" s="45">
        <f t="shared" si="58"/>
        <v>2</v>
      </c>
      <c r="AX493" s="45">
        <f t="shared" si="59"/>
        <v>1</v>
      </c>
      <c r="AY493" s="46">
        <f>VLOOKUP(AP493,COND!$A$10:$B$32,2,FALSE)</f>
        <v>1</v>
      </c>
      <c r="AZ493" s="44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14.498905341113879</v>
      </c>
      <c r="BA493" s="47">
        <f>STANDARDIZE(AZ493,AVERAGE($AZ$5:$AZ$663),STDEVP($AZ$5:$AZ$663))</f>
        <v>-1.59637680265593</v>
      </c>
      <c r="BB493" s="45" t="str">
        <f t="shared" si="60"/>
        <v>RP</v>
      </c>
      <c r="BC493" s="45">
        <f>RANK(Table3[[#This Row],[zScore]],Table3[zScore])</f>
        <v>771</v>
      </c>
      <c r="BD493" s="45"/>
      <c r="BE493" s="45"/>
      <c r="BF493" s="45" t="str">
        <f t="shared" si="61"/>
        <v>Unlikely</v>
      </c>
      <c r="BG493" s="45"/>
      <c r="BH493" s="45" t="str">
        <f>INDEX(Table5[[#All],[Ovr]],MATCH(Table3[[#This Row],[PID]],Table5[[#All],[PID]],0))</f>
        <v/>
      </c>
      <c r="BI493" s="45" t="str">
        <f>INDEX(Table5[[#All],[Rnd]],MATCH(Table3[[#This Row],[PID]],Table5[[#All],[PID]],0))</f>
        <v/>
      </c>
      <c r="BJ493" s="45" t="str">
        <f>INDEX(Table5[[#All],[Pick]],MATCH(Table3[[#This Row],[PID]],Table5[[#All],[PID]],0))</f>
        <v/>
      </c>
      <c r="BK493" s="45" t="str">
        <f>INDEX(Table5[[#All],[Team]],MATCH(Table3[[#This Row],[PID]],Table5[[#All],[PID]],0))</f>
        <v/>
      </c>
      <c r="BL493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4" spans="1:64" ht="15" customHeight="1" x14ac:dyDescent="0.25">
      <c r="A494" s="40">
        <v>20757</v>
      </c>
      <c r="B494" s="40" t="s">
        <v>415</v>
      </c>
      <c r="C494" s="40" t="s">
        <v>336</v>
      </c>
      <c r="D494" s="40" t="s">
        <v>1050</v>
      </c>
      <c r="E494" s="40">
        <v>18</v>
      </c>
      <c r="F494" s="40" t="s">
        <v>42</v>
      </c>
      <c r="G494" s="40" t="s">
        <v>42</v>
      </c>
      <c r="H494" s="41" t="s">
        <v>647</v>
      </c>
      <c r="I494" s="42" t="s">
        <v>43</v>
      </c>
      <c r="J494" s="40" t="s">
        <v>44</v>
      </c>
      <c r="K494" s="41" t="s">
        <v>43</v>
      </c>
      <c r="L494" s="40">
        <v>1</v>
      </c>
      <c r="M494" s="40">
        <v>1</v>
      </c>
      <c r="N494" s="41">
        <v>1</v>
      </c>
      <c r="O494" s="40">
        <v>3</v>
      </c>
      <c r="P494" s="40">
        <v>1</v>
      </c>
      <c r="Q494" s="41">
        <v>2</v>
      </c>
      <c r="R494" s="40">
        <v>2</v>
      </c>
      <c r="S494" s="40">
        <v>4</v>
      </c>
      <c r="T494" s="40">
        <v>1</v>
      </c>
      <c r="U494" s="40">
        <v>5</v>
      </c>
      <c r="V494" s="40" t="s">
        <v>45</v>
      </c>
      <c r="W494" s="40" t="s">
        <v>45</v>
      </c>
      <c r="X494" s="40" t="s">
        <v>45</v>
      </c>
      <c r="Y494" s="40" t="s">
        <v>45</v>
      </c>
      <c r="Z494" s="40" t="s">
        <v>45</v>
      </c>
      <c r="AA494" s="40" t="s">
        <v>45</v>
      </c>
      <c r="AB494" s="40" t="s">
        <v>45</v>
      </c>
      <c r="AC494" s="40" t="s">
        <v>45</v>
      </c>
      <c r="AD494" s="40" t="s">
        <v>45</v>
      </c>
      <c r="AE494" s="40" t="s">
        <v>45</v>
      </c>
      <c r="AF494" s="40" t="s">
        <v>45</v>
      </c>
      <c r="AG494" s="40" t="s">
        <v>45</v>
      </c>
      <c r="AH494" s="40" t="s">
        <v>45</v>
      </c>
      <c r="AI494" s="40" t="s">
        <v>45</v>
      </c>
      <c r="AJ494" s="40" t="s">
        <v>45</v>
      </c>
      <c r="AK494" s="40" t="s">
        <v>45</v>
      </c>
      <c r="AL494" s="40" t="s">
        <v>45</v>
      </c>
      <c r="AM494" s="40" t="s">
        <v>45</v>
      </c>
      <c r="AN494" s="40" t="s">
        <v>45</v>
      </c>
      <c r="AO494" s="41" t="s">
        <v>45</v>
      </c>
      <c r="AP494" s="40" t="s">
        <v>68</v>
      </c>
      <c r="AQ494" s="40">
        <v>7</v>
      </c>
      <c r="AR494" s="48" t="s">
        <v>351</v>
      </c>
      <c r="AS494" s="43" t="s">
        <v>556</v>
      </c>
      <c r="AT494" s="43" t="s">
        <v>47</v>
      </c>
      <c r="AU494" s="44">
        <f t="shared" si="56"/>
        <v>-2.7014842379675978</v>
      </c>
      <c r="AV494" s="44">
        <f t="shared" si="57"/>
        <v>-1.6242862721580691</v>
      </c>
      <c r="AW494" s="45">
        <f t="shared" si="58"/>
        <v>2</v>
      </c>
      <c r="AX494" s="45">
        <f t="shared" si="59"/>
        <v>0</v>
      </c>
      <c r="AY494" s="46">
        <f>VLOOKUP(AP494,COND!$A$10:$B$32,2,FALSE)</f>
        <v>0.95</v>
      </c>
      <c r="AZ494" s="44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14.275278823782845</v>
      </c>
      <c r="BA494" s="47">
        <f>STANDARDIZE(AZ494,AVERAGE($AZ$5:$AZ$663),STDEVP($AZ$5:$AZ$663))</f>
        <v>-1.6116951532958026</v>
      </c>
      <c r="BB494" s="45" t="str">
        <f t="shared" si="60"/>
        <v>RP</v>
      </c>
      <c r="BC494" s="45">
        <f>RANK(Table3[[#This Row],[zScore]],Table3[zScore])</f>
        <v>774</v>
      </c>
      <c r="BD494" s="45"/>
      <c r="BE494" s="45"/>
      <c r="BF494" s="45" t="str">
        <f t="shared" si="61"/>
        <v>Unlikely</v>
      </c>
      <c r="BG494" s="45"/>
      <c r="BH494" s="45" t="str">
        <f>INDEX(Table5[[#All],[Ovr]],MATCH(Table3[[#This Row],[PID]],Table5[[#All],[PID]],0))</f>
        <v/>
      </c>
      <c r="BI494" s="45" t="str">
        <f>INDEX(Table5[[#All],[Rnd]],MATCH(Table3[[#This Row],[PID]],Table5[[#All],[PID]],0))</f>
        <v/>
      </c>
      <c r="BJ494" s="45" t="str">
        <f>INDEX(Table5[[#All],[Pick]],MATCH(Table3[[#This Row],[PID]],Table5[[#All],[PID]],0))</f>
        <v/>
      </c>
      <c r="BK494" s="45" t="str">
        <f>INDEX(Table5[[#All],[Team]],MATCH(Table3[[#This Row],[PID]],Table5[[#All],[PID]],0))</f>
        <v/>
      </c>
      <c r="BL4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5" spans="1:64" ht="15" customHeight="1" x14ac:dyDescent="0.25">
      <c r="A495" s="40">
        <v>14054</v>
      </c>
      <c r="B495" s="40" t="s">
        <v>415</v>
      </c>
      <c r="C495" s="40" t="s">
        <v>2157</v>
      </c>
      <c r="D495" s="40" t="s">
        <v>2158</v>
      </c>
      <c r="E495" s="40">
        <v>21</v>
      </c>
      <c r="F495" s="40" t="s">
        <v>42</v>
      </c>
      <c r="G495" s="40" t="s">
        <v>42</v>
      </c>
      <c r="H495" s="41" t="s">
        <v>647</v>
      </c>
      <c r="I495" s="42" t="s">
        <v>43</v>
      </c>
      <c r="J495" s="40" t="s">
        <v>44</v>
      </c>
      <c r="K495" s="41" t="s">
        <v>44</v>
      </c>
      <c r="L495" s="40">
        <v>2</v>
      </c>
      <c r="M495" s="40">
        <v>1</v>
      </c>
      <c r="N495" s="41">
        <v>1</v>
      </c>
      <c r="O495" s="40">
        <v>4</v>
      </c>
      <c r="P495" s="40">
        <v>1</v>
      </c>
      <c r="Q495" s="41">
        <v>2</v>
      </c>
      <c r="R495" s="40">
        <v>3</v>
      </c>
      <c r="S495" s="40">
        <v>5</v>
      </c>
      <c r="T495" s="40" t="s">
        <v>45</v>
      </c>
      <c r="U495" s="40" t="s">
        <v>45</v>
      </c>
      <c r="V495" s="40" t="s">
        <v>45</v>
      </c>
      <c r="W495" s="40" t="s">
        <v>45</v>
      </c>
      <c r="X495" s="40">
        <v>3</v>
      </c>
      <c r="Y495" s="40">
        <v>7</v>
      </c>
      <c r="Z495" s="40" t="s">
        <v>45</v>
      </c>
      <c r="AA495" s="40" t="s">
        <v>45</v>
      </c>
      <c r="AB495" s="40" t="s">
        <v>45</v>
      </c>
      <c r="AC495" s="40" t="s">
        <v>45</v>
      </c>
      <c r="AD495" s="40" t="s">
        <v>45</v>
      </c>
      <c r="AE495" s="40" t="s">
        <v>45</v>
      </c>
      <c r="AF495" s="40" t="s">
        <v>45</v>
      </c>
      <c r="AG495" s="40" t="s">
        <v>45</v>
      </c>
      <c r="AH495" s="40" t="s">
        <v>45</v>
      </c>
      <c r="AI495" s="40" t="s">
        <v>45</v>
      </c>
      <c r="AJ495" s="40" t="s">
        <v>45</v>
      </c>
      <c r="AK495" s="40" t="s">
        <v>45</v>
      </c>
      <c r="AL495" s="40" t="s">
        <v>45</v>
      </c>
      <c r="AM495" s="40" t="s">
        <v>45</v>
      </c>
      <c r="AN495" s="40" t="s">
        <v>45</v>
      </c>
      <c r="AO495" s="41" t="s">
        <v>45</v>
      </c>
      <c r="AP495" s="40" t="s">
        <v>65</v>
      </c>
      <c r="AQ495" s="40">
        <v>6</v>
      </c>
      <c r="AR495" s="48" t="s">
        <v>14</v>
      </c>
      <c r="AS495" s="43" t="s">
        <v>45</v>
      </c>
      <c r="AT495" s="43"/>
      <c r="AU495" s="44">
        <f t="shared" si="56"/>
        <v>-2.5067929134584248</v>
      </c>
      <c r="AV495" s="44">
        <f t="shared" si="57"/>
        <v>-1.4295949476488956</v>
      </c>
      <c r="AW495" s="45">
        <f t="shared" si="58"/>
        <v>2</v>
      </c>
      <c r="AX495" s="45">
        <f t="shared" si="59"/>
        <v>1</v>
      </c>
      <c r="AY495" s="46">
        <f>VLOOKUP(AP495,COND!$A$10:$B$32,2,FALSE)</f>
        <v>0.95</v>
      </c>
      <c r="AZ495" s="44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14.53643270758603</v>
      </c>
      <c r="BA495" s="47">
        <f>STANDARDIZE(AZ495,AVERAGE($AZ$5:$AZ$788),STDEVP($AZ$5:$AZ$788))</f>
        <v>-1.6095615269843566</v>
      </c>
      <c r="BB495" s="45" t="str">
        <f t="shared" si="60"/>
        <v>RP</v>
      </c>
      <c r="BC495" s="45">
        <f>RANK(Table3[[#This Row],[zScore]],Table3[zScore])</f>
        <v>772</v>
      </c>
      <c r="BD495" s="45"/>
      <c r="BE495" s="45"/>
      <c r="BF495" s="45" t="str">
        <f t="shared" si="61"/>
        <v>Unlikely</v>
      </c>
      <c r="BG495" s="45"/>
      <c r="BH495" s="64" t="str">
        <f>INDEX(Table5[[#All],[Ovr]],MATCH(Table3[[#This Row],[PID]],Table5[[#All],[PID]],0))</f>
        <v/>
      </c>
      <c r="BI495" s="64" t="str">
        <f>INDEX(Table5[[#All],[Rnd]],MATCH(Table3[[#This Row],[PID]],Table5[[#All],[PID]],0))</f>
        <v/>
      </c>
      <c r="BJ495" s="64" t="str">
        <f>INDEX(Table5[[#All],[Pick]],MATCH(Table3[[#This Row],[PID]],Table5[[#All],[PID]],0))</f>
        <v/>
      </c>
      <c r="BK495" s="64" t="str">
        <f>INDEX(Table5[[#All],[Team]],MATCH(Table3[[#This Row],[PID]],Table5[[#All],[PID]],0))</f>
        <v/>
      </c>
      <c r="BL495" s="64" t="str">
        <f>IF(OR(Table3[[#This Row],[POS]]="SP",Table3[[#This Row],[POS]]="RP",Table3[[#This Row],[POS]]="CL"),"P",INDEX(Batters[[#All],[zScore]],MATCH(Table3[[#This Row],[PID]],Batters[[#All],[PID]],0)))</f>
        <v>P</v>
      </c>
    </row>
    <row r="496" spans="1:64" ht="15" customHeight="1" x14ac:dyDescent="0.25">
      <c r="A496" s="40">
        <v>3430</v>
      </c>
      <c r="B496" s="40" t="s">
        <v>415</v>
      </c>
      <c r="C496" s="40" t="s">
        <v>390</v>
      </c>
      <c r="D496" s="40" t="s">
        <v>212</v>
      </c>
      <c r="E496" s="40">
        <v>22</v>
      </c>
      <c r="F496" s="40" t="s">
        <v>53</v>
      </c>
      <c r="G496" s="40" t="s">
        <v>53</v>
      </c>
      <c r="H496" s="41" t="s">
        <v>647</v>
      </c>
      <c r="I496" s="42" t="s">
        <v>43</v>
      </c>
      <c r="J496" s="40" t="s">
        <v>44</v>
      </c>
      <c r="K496" s="41" t="s">
        <v>47</v>
      </c>
      <c r="L496" s="40">
        <v>2</v>
      </c>
      <c r="M496" s="40">
        <v>1</v>
      </c>
      <c r="N496" s="41">
        <v>1</v>
      </c>
      <c r="O496" s="40">
        <v>4</v>
      </c>
      <c r="P496" s="40">
        <v>1</v>
      </c>
      <c r="Q496" s="41">
        <v>2</v>
      </c>
      <c r="R496" s="40">
        <v>4</v>
      </c>
      <c r="S496" s="40">
        <v>5</v>
      </c>
      <c r="T496" s="40" t="s">
        <v>45</v>
      </c>
      <c r="U496" s="40" t="s">
        <v>45</v>
      </c>
      <c r="V496" s="40">
        <v>2</v>
      </c>
      <c r="W496" s="40">
        <v>6</v>
      </c>
      <c r="X496" s="40" t="s">
        <v>45</v>
      </c>
      <c r="Y496" s="40" t="s">
        <v>45</v>
      </c>
      <c r="Z496" s="40" t="s">
        <v>45</v>
      </c>
      <c r="AA496" s="40" t="s">
        <v>45</v>
      </c>
      <c r="AB496" s="40" t="s">
        <v>45</v>
      </c>
      <c r="AC496" s="40" t="s">
        <v>45</v>
      </c>
      <c r="AD496" s="40" t="s">
        <v>45</v>
      </c>
      <c r="AE496" s="40" t="s">
        <v>45</v>
      </c>
      <c r="AF496" s="40" t="s">
        <v>45</v>
      </c>
      <c r="AG496" s="40" t="s">
        <v>45</v>
      </c>
      <c r="AH496" s="40" t="s">
        <v>45</v>
      </c>
      <c r="AI496" s="40" t="s">
        <v>45</v>
      </c>
      <c r="AJ496" s="40" t="s">
        <v>45</v>
      </c>
      <c r="AK496" s="40" t="s">
        <v>45</v>
      </c>
      <c r="AL496" s="40" t="s">
        <v>45</v>
      </c>
      <c r="AM496" s="40" t="s">
        <v>45</v>
      </c>
      <c r="AN496" s="40" t="s">
        <v>45</v>
      </c>
      <c r="AO496" s="41" t="s">
        <v>45</v>
      </c>
      <c r="AP496" s="40" t="s">
        <v>350</v>
      </c>
      <c r="AQ496" s="40">
        <v>1</v>
      </c>
      <c r="AR496" s="48" t="s">
        <v>347</v>
      </c>
      <c r="AS496" s="43" t="s">
        <v>45</v>
      </c>
      <c r="AT496" s="43"/>
      <c r="AU496" s="44">
        <f t="shared" si="56"/>
        <v>-2.5067929134584248</v>
      </c>
      <c r="AV496" s="44">
        <f t="shared" si="57"/>
        <v>-1.4295949476488956</v>
      </c>
      <c r="AW496" s="45">
        <f t="shared" si="58"/>
        <v>2</v>
      </c>
      <c r="AX496" s="45">
        <f t="shared" si="59"/>
        <v>1</v>
      </c>
      <c r="AY496" s="46">
        <f>VLOOKUP(AP496,COND!$A$10:$B$32,2,FALSE)</f>
        <v>1</v>
      </c>
      <c r="AZ496" s="44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14.498905341113879</v>
      </c>
      <c r="BA496" s="47">
        <f>STANDARDIZE(AZ496,AVERAGE($AZ$5:$AZ$788),STDEVP($AZ$5:$AZ$788))</f>
        <v>-1.6122770997436202</v>
      </c>
      <c r="BB496" s="45" t="str">
        <f t="shared" si="60"/>
        <v>RP</v>
      </c>
      <c r="BC496" s="45">
        <f>RANK(Table3[[#This Row],[zScore]],Table3[zScore])</f>
        <v>775</v>
      </c>
      <c r="BD496" s="45"/>
      <c r="BE496" s="45"/>
      <c r="BF496" s="45" t="str">
        <f t="shared" si="61"/>
        <v>Unlikely</v>
      </c>
      <c r="BG496" s="45"/>
      <c r="BH496" s="64" t="str">
        <f>INDEX(Table5[[#All],[Ovr]],MATCH(Table3[[#This Row],[PID]],Table5[[#All],[PID]],0))</f>
        <v/>
      </c>
      <c r="BI496" s="64" t="str">
        <f>INDEX(Table5[[#All],[Rnd]],MATCH(Table3[[#This Row],[PID]],Table5[[#All],[PID]],0))</f>
        <v/>
      </c>
      <c r="BJ496" s="64" t="str">
        <f>INDEX(Table5[[#All],[Pick]],MATCH(Table3[[#This Row],[PID]],Table5[[#All],[PID]],0))</f>
        <v/>
      </c>
      <c r="BK496" s="64" t="str">
        <f>INDEX(Table5[[#All],[Team]],MATCH(Table3[[#This Row],[PID]],Table5[[#All],[PID]],0))</f>
        <v/>
      </c>
      <c r="BL496" s="64" t="str">
        <f>IF(OR(Table3[[#This Row],[POS]]="SP",Table3[[#This Row],[POS]]="RP",Table3[[#This Row],[POS]]="CL"),"P",INDEX(Batters[[#All],[zScore]],MATCH(Table3[[#This Row],[PID]],Batters[[#All],[PID]],0)))</f>
        <v>P</v>
      </c>
    </row>
    <row r="497" spans="1:64" ht="15" customHeight="1" x14ac:dyDescent="0.25">
      <c r="A497" s="40">
        <v>13394</v>
      </c>
      <c r="B497" s="40" t="s">
        <v>415</v>
      </c>
      <c r="C497" s="40" t="s">
        <v>130</v>
      </c>
      <c r="D497" s="40" t="s">
        <v>1119</v>
      </c>
      <c r="E497" s="40">
        <v>22</v>
      </c>
      <c r="F497" s="40" t="s">
        <v>42</v>
      </c>
      <c r="G497" s="40" t="s">
        <v>42</v>
      </c>
      <c r="H497" s="41" t="s">
        <v>647</v>
      </c>
      <c r="I497" s="42" t="s">
        <v>43</v>
      </c>
      <c r="J497" s="40" t="s">
        <v>44</v>
      </c>
      <c r="K497" s="41" t="s">
        <v>43</v>
      </c>
      <c r="L497" s="40">
        <v>2</v>
      </c>
      <c r="M497" s="40">
        <v>1</v>
      </c>
      <c r="N497" s="41">
        <v>2</v>
      </c>
      <c r="O497" s="40">
        <v>3</v>
      </c>
      <c r="P497" s="40">
        <v>2</v>
      </c>
      <c r="Q497" s="41">
        <v>2</v>
      </c>
      <c r="R497" s="40">
        <v>3</v>
      </c>
      <c r="S497" s="40">
        <v>4</v>
      </c>
      <c r="T497" s="40" t="s">
        <v>45</v>
      </c>
      <c r="U497" s="40" t="s">
        <v>45</v>
      </c>
      <c r="V497" s="40">
        <v>2</v>
      </c>
      <c r="W497" s="40">
        <v>5</v>
      </c>
      <c r="X497" s="40" t="s">
        <v>45</v>
      </c>
      <c r="Y497" s="40" t="s">
        <v>45</v>
      </c>
      <c r="Z497" s="40" t="s">
        <v>45</v>
      </c>
      <c r="AA497" s="40" t="s">
        <v>45</v>
      </c>
      <c r="AB497" s="40" t="s">
        <v>45</v>
      </c>
      <c r="AC497" s="40" t="s">
        <v>45</v>
      </c>
      <c r="AD497" s="40" t="s">
        <v>45</v>
      </c>
      <c r="AE497" s="40" t="s">
        <v>45</v>
      </c>
      <c r="AF497" s="40" t="s">
        <v>45</v>
      </c>
      <c r="AG497" s="40" t="s">
        <v>45</v>
      </c>
      <c r="AH497" s="40" t="s">
        <v>45</v>
      </c>
      <c r="AI497" s="40" t="s">
        <v>45</v>
      </c>
      <c r="AJ497" s="40" t="s">
        <v>45</v>
      </c>
      <c r="AK497" s="40" t="s">
        <v>45</v>
      </c>
      <c r="AL497" s="40" t="s">
        <v>45</v>
      </c>
      <c r="AM497" s="40" t="s">
        <v>45</v>
      </c>
      <c r="AN497" s="40" t="s">
        <v>45</v>
      </c>
      <c r="AO497" s="41" t="s">
        <v>45</v>
      </c>
      <c r="AP497" s="40" t="s">
        <v>64</v>
      </c>
      <c r="AQ497" s="40">
        <v>9</v>
      </c>
      <c r="AR497" s="48" t="s">
        <v>14</v>
      </c>
      <c r="AS497" s="43" t="s">
        <v>45</v>
      </c>
      <c r="AT497" s="43" t="s">
        <v>635</v>
      </c>
      <c r="AU497" s="44">
        <f t="shared" si="56"/>
        <v>-2.2644723474043147</v>
      </c>
      <c r="AV497" s="44">
        <f t="shared" si="57"/>
        <v>-1.4288545557280135</v>
      </c>
      <c r="AW497" s="45">
        <f t="shared" si="58"/>
        <v>2</v>
      </c>
      <c r="AX497" s="45">
        <f t="shared" si="59"/>
        <v>0</v>
      </c>
      <c r="AY497" s="46">
        <f>VLOOKUP(AP497,COND!$A$10:$B$32,2,FALSE)</f>
        <v>1</v>
      </c>
      <c r="AZ497" s="44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11.670014415958867</v>
      </c>
      <c r="BA497" s="47">
        <f>STANDARDIZE(AZ497,AVERAGE($AZ$5:$AZ$557),STDEVP($AZ$5:$AZ$557))</f>
        <v>-1.6100230575313046</v>
      </c>
      <c r="BB497" s="45" t="str">
        <f t="shared" si="60"/>
        <v>RP</v>
      </c>
      <c r="BC497" s="45">
        <f>RANK(Table3[[#This Row],[zScore]],Table3[zScore])</f>
        <v>773</v>
      </c>
      <c r="BD497" s="45"/>
      <c r="BE497" s="45"/>
      <c r="BF497" s="45" t="str">
        <f t="shared" si="61"/>
        <v>Unlikely</v>
      </c>
      <c r="BG497" s="45"/>
      <c r="BH497" s="45" t="str">
        <f>INDEX(Table5[[#All],[Ovr]],MATCH(Table3[[#This Row],[PID]],Table5[[#All],[PID]],0))</f>
        <v/>
      </c>
      <c r="BI497" s="45" t="str">
        <f>INDEX(Table5[[#All],[Rnd]],MATCH(Table3[[#This Row],[PID]],Table5[[#All],[PID]],0))</f>
        <v/>
      </c>
      <c r="BJ497" s="45" t="str">
        <f>INDEX(Table5[[#All],[Pick]],MATCH(Table3[[#This Row],[PID]],Table5[[#All],[PID]],0))</f>
        <v/>
      </c>
      <c r="BK497" s="45" t="str">
        <f>INDEX(Table5[[#All],[Team]],MATCH(Table3[[#This Row],[PID]],Table5[[#All],[PID]],0))</f>
        <v/>
      </c>
      <c r="BL497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8" spans="1:64" ht="15" customHeight="1" x14ac:dyDescent="0.25">
      <c r="A498" s="40">
        <v>12135</v>
      </c>
      <c r="B498" s="40" t="s">
        <v>415</v>
      </c>
      <c r="C498" s="40" t="s">
        <v>1096</v>
      </c>
      <c r="D498" s="40" t="s">
        <v>910</v>
      </c>
      <c r="E498" s="40">
        <v>22</v>
      </c>
      <c r="F498" s="40" t="s">
        <v>53</v>
      </c>
      <c r="G498" s="40" t="s">
        <v>53</v>
      </c>
      <c r="H498" s="41" t="s">
        <v>647</v>
      </c>
      <c r="I498" s="42" t="s">
        <v>43</v>
      </c>
      <c r="J498" s="40" t="s">
        <v>44</v>
      </c>
      <c r="K498" s="41" t="s">
        <v>47</v>
      </c>
      <c r="L498" s="40">
        <v>3</v>
      </c>
      <c r="M498" s="40">
        <v>1</v>
      </c>
      <c r="N498" s="41">
        <v>1</v>
      </c>
      <c r="O498" s="40">
        <v>4</v>
      </c>
      <c r="P498" s="40">
        <v>1</v>
      </c>
      <c r="Q498" s="41">
        <v>2</v>
      </c>
      <c r="R498" s="40">
        <v>5</v>
      </c>
      <c r="S498" s="40">
        <v>6</v>
      </c>
      <c r="T498" s="40" t="s">
        <v>45</v>
      </c>
      <c r="U498" s="40" t="s">
        <v>45</v>
      </c>
      <c r="V498" s="40" t="s">
        <v>45</v>
      </c>
      <c r="W498" s="40" t="s">
        <v>45</v>
      </c>
      <c r="X498" s="40">
        <v>3</v>
      </c>
      <c r="Y498" s="40">
        <v>5</v>
      </c>
      <c r="Z498" s="40" t="s">
        <v>45</v>
      </c>
      <c r="AA498" s="40" t="s">
        <v>45</v>
      </c>
      <c r="AB498" s="40" t="s">
        <v>45</v>
      </c>
      <c r="AC498" s="40" t="s">
        <v>45</v>
      </c>
      <c r="AD498" s="40" t="s">
        <v>45</v>
      </c>
      <c r="AE498" s="40" t="s">
        <v>45</v>
      </c>
      <c r="AF498" s="40" t="s">
        <v>45</v>
      </c>
      <c r="AG498" s="40" t="s">
        <v>45</v>
      </c>
      <c r="AH498" s="40" t="s">
        <v>45</v>
      </c>
      <c r="AI498" s="40" t="s">
        <v>45</v>
      </c>
      <c r="AJ498" s="40" t="s">
        <v>45</v>
      </c>
      <c r="AK498" s="40" t="s">
        <v>45</v>
      </c>
      <c r="AL498" s="40" t="s">
        <v>45</v>
      </c>
      <c r="AM498" s="40" t="s">
        <v>45</v>
      </c>
      <c r="AN498" s="40" t="s">
        <v>45</v>
      </c>
      <c r="AO498" s="41" t="s">
        <v>45</v>
      </c>
      <c r="AP498" s="40" t="s">
        <v>350</v>
      </c>
      <c r="AQ498" s="40">
        <v>6</v>
      </c>
      <c r="AR498" s="48" t="s">
        <v>14</v>
      </c>
      <c r="AS498" s="43" t="s">
        <v>45</v>
      </c>
      <c r="AT498" s="43" t="s">
        <v>47</v>
      </c>
      <c r="AU498" s="44">
        <f t="shared" si="56"/>
        <v>-2.3121015889492513</v>
      </c>
      <c r="AV498" s="44">
        <f t="shared" si="57"/>
        <v>-1.4295949476488956</v>
      </c>
      <c r="AW498" s="45">
        <f t="shared" si="58"/>
        <v>2</v>
      </c>
      <c r="AX498" s="45">
        <f t="shared" si="59"/>
        <v>1</v>
      </c>
      <c r="AY498" s="46">
        <f>VLOOKUP(AP498,COND!$A$10:$B$32,2,FALSE)</f>
        <v>1</v>
      </c>
      <c r="AZ498" s="44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13.865788711001432</v>
      </c>
      <c r="BA498" s="47">
        <f>STANDARDIZE(AZ498,AVERAGE($AZ$5:$AZ$663),STDEVP($AZ$5:$AZ$663))</f>
        <v>-1.639745105537652</v>
      </c>
      <c r="BB498" s="45" t="str">
        <f t="shared" si="60"/>
        <v>RP</v>
      </c>
      <c r="BC498" s="45">
        <f>RANK(Table3[[#This Row],[zScore]],Table3[zScore])</f>
        <v>776</v>
      </c>
      <c r="BD498" s="45"/>
      <c r="BE498" s="45"/>
      <c r="BF498" s="45" t="str">
        <f t="shared" si="61"/>
        <v>Unlikely</v>
      </c>
      <c r="BG498" s="45"/>
      <c r="BH498" s="45" t="str">
        <f>INDEX(Table5[[#All],[Ovr]],MATCH(Table3[[#This Row],[PID]],Table5[[#All],[PID]],0))</f>
        <v/>
      </c>
      <c r="BI498" s="45" t="str">
        <f>INDEX(Table5[[#All],[Rnd]],MATCH(Table3[[#This Row],[PID]],Table5[[#All],[PID]],0))</f>
        <v/>
      </c>
      <c r="BJ498" s="45" t="str">
        <f>INDEX(Table5[[#All],[Pick]],MATCH(Table3[[#This Row],[PID]],Table5[[#All],[PID]],0))</f>
        <v/>
      </c>
      <c r="BK498" s="45" t="str">
        <f>INDEX(Table5[[#All],[Team]],MATCH(Table3[[#This Row],[PID]],Table5[[#All],[PID]],0))</f>
        <v/>
      </c>
      <c r="BL4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499" spans="1:64" ht="15" customHeight="1" x14ac:dyDescent="0.25">
      <c r="A499" s="40">
        <v>13795</v>
      </c>
      <c r="B499" s="40" t="s">
        <v>415</v>
      </c>
      <c r="C499" s="40" t="s">
        <v>335</v>
      </c>
      <c r="D499" s="40" t="s">
        <v>1143</v>
      </c>
      <c r="E499" s="40">
        <v>22</v>
      </c>
      <c r="F499" s="40" t="s">
        <v>53</v>
      </c>
      <c r="G499" s="40" t="s">
        <v>53</v>
      </c>
      <c r="H499" s="41" t="s">
        <v>647</v>
      </c>
      <c r="I499" s="42" t="s">
        <v>43</v>
      </c>
      <c r="J499" s="40" t="s">
        <v>44</v>
      </c>
      <c r="K499" s="41" t="s">
        <v>43</v>
      </c>
      <c r="L499" s="40">
        <v>2</v>
      </c>
      <c r="M499" s="40">
        <v>2</v>
      </c>
      <c r="N499" s="41">
        <v>1</v>
      </c>
      <c r="O499" s="40">
        <v>3</v>
      </c>
      <c r="P499" s="40">
        <v>2</v>
      </c>
      <c r="Q499" s="41">
        <v>1</v>
      </c>
      <c r="R499" s="40">
        <v>2</v>
      </c>
      <c r="S499" s="40">
        <v>3</v>
      </c>
      <c r="T499" s="40" t="s">
        <v>45</v>
      </c>
      <c r="U499" s="40" t="s">
        <v>45</v>
      </c>
      <c r="V499" s="40" t="s">
        <v>45</v>
      </c>
      <c r="W499" s="40" t="s">
        <v>45</v>
      </c>
      <c r="X499" s="40">
        <v>3</v>
      </c>
      <c r="Y499" s="40">
        <v>7</v>
      </c>
      <c r="Z499" s="40" t="s">
        <v>45</v>
      </c>
      <c r="AA499" s="40" t="s">
        <v>45</v>
      </c>
      <c r="AB499" s="40" t="s">
        <v>45</v>
      </c>
      <c r="AC499" s="40" t="s">
        <v>45</v>
      </c>
      <c r="AD499" s="40" t="s">
        <v>45</v>
      </c>
      <c r="AE499" s="40" t="s">
        <v>45</v>
      </c>
      <c r="AF499" s="40" t="s">
        <v>45</v>
      </c>
      <c r="AG499" s="40" t="s">
        <v>45</v>
      </c>
      <c r="AH499" s="40" t="s">
        <v>45</v>
      </c>
      <c r="AI499" s="40" t="s">
        <v>45</v>
      </c>
      <c r="AJ499" s="40" t="s">
        <v>45</v>
      </c>
      <c r="AK499" s="40" t="s">
        <v>45</v>
      </c>
      <c r="AL499" s="40" t="s">
        <v>45</v>
      </c>
      <c r="AM499" s="40" t="s">
        <v>45</v>
      </c>
      <c r="AN499" s="40" t="s">
        <v>45</v>
      </c>
      <c r="AO499" s="41" t="s">
        <v>45</v>
      </c>
      <c r="AP499" s="40" t="s">
        <v>67</v>
      </c>
      <c r="AQ499" s="40">
        <v>7</v>
      </c>
      <c r="AR499" s="48" t="s">
        <v>14</v>
      </c>
      <c r="AS499" s="43" t="s">
        <v>45</v>
      </c>
      <c r="AT499" s="43"/>
      <c r="AU499" s="44">
        <f t="shared" si="56"/>
        <v>-2.311361197028369</v>
      </c>
      <c r="AV499" s="44">
        <f t="shared" si="57"/>
        <v>-1.6711751217821238</v>
      </c>
      <c r="AW499" s="45">
        <f t="shared" si="58"/>
        <v>2</v>
      </c>
      <c r="AX499" s="45">
        <f t="shared" si="59"/>
        <v>1</v>
      </c>
      <c r="AY499" s="46">
        <f>VLOOKUP(AP499,COND!$A$10:$B$32,2,FALSE)</f>
        <v>0.9</v>
      </c>
      <c r="AZ499" s="44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11.227802792456668</v>
      </c>
      <c r="BA499" s="47">
        <f>STANDARDIZE(AZ499,AVERAGE($AZ$5:$AZ$788),STDEVP($AZ$5:$AZ$788))</f>
        <v>-1.8489821448600434</v>
      </c>
      <c r="BB499" s="45" t="str">
        <f t="shared" si="60"/>
        <v>RP</v>
      </c>
      <c r="BC499" s="45">
        <f>RANK(Table3[[#This Row],[zScore]],Table3[zScore])</f>
        <v>777</v>
      </c>
      <c r="BD499" s="45"/>
      <c r="BE499" s="45"/>
      <c r="BF499" s="45" t="str">
        <f t="shared" si="61"/>
        <v>Unlikely</v>
      </c>
      <c r="BG499" s="45"/>
      <c r="BH499" s="64" t="str">
        <f>INDEX(Table5[[#All],[Ovr]],MATCH(Table3[[#This Row],[PID]],Table5[[#All],[PID]],0))</f>
        <v/>
      </c>
      <c r="BI499" s="64" t="str">
        <f>INDEX(Table5[[#All],[Rnd]],MATCH(Table3[[#This Row],[PID]],Table5[[#All],[PID]],0))</f>
        <v/>
      </c>
      <c r="BJ499" s="64" t="str">
        <f>INDEX(Table5[[#All],[Pick]],MATCH(Table3[[#This Row],[PID]],Table5[[#All],[PID]],0))</f>
        <v/>
      </c>
      <c r="BK499" s="64" t="str">
        <f>INDEX(Table5[[#All],[Team]],MATCH(Table3[[#This Row],[PID]],Table5[[#All],[PID]],0))</f>
        <v/>
      </c>
      <c r="BL499" s="64" t="str">
        <f>IF(OR(Table3[[#This Row],[POS]]="SP",Table3[[#This Row],[POS]]="RP",Table3[[#This Row],[POS]]="CL"),"P",INDEX(Batters[[#All],[zScore]],MATCH(Table3[[#This Row],[PID]],Batters[[#All],[PID]],0)))</f>
        <v>P</v>
      </c>
    </row>
    <row r="500" spans="1:64" ht="15" customHeight="1" x14ac:dyDescent="0.25">
      <c r="A500" s="40">
        <v>20528</v>
      </c>
      <c r="B500" s="40" t="s">
        <v>24</v>
      </c>
      <c r="C500" s="40" t="s">
        <v>1773</v>
      </c>
      <c r="D500" s="40" t="s">
        <v>1385</v>
      </c>
      <c r="E500" s="40">
        <v>17</v>
      </c>
      <c r="F500" s="40" t="s">
        <v>42</v>
      </c>
      <c r="G500" s="40" t="s">
        <v>42</v>
      </c>
      <c r="H500" s="41" t="s">
        <v>1772</v>
      </c>
      <c r="I500" s="42" t="s">
        <v>43</v>
      </c>
      <c r="J500" s="40" t="s">
        <v>47</v>
      </c>
      <c r="K500" s="41" t="s">
        <v>43</v>
      </c>
      <c r="L500" s="40">
        <v>4</v>
      </c>
      <c r="M500" s="40">
        <v>3</v>
      </c>
      <c r="N500" s="41">
        <v>4</v>
      </c>
      <c r="O500" s="40">
        <v>7</v>
      </c>
      <c r="P500" s="40">
        <v>7</v>
      </c>
      <c r="Q500" s="41">
        <v>6</v>
      </c>
      <c r="R500" s="40">
        <v>6</v>
      </c>
      <c r="S500" s="40">
        <v>9</v>
      </c>
      <c r="T500" s="40">
        <v>2</v>
      </c>
      <c r="U500" s="40">
        <v>9</v>
      </c>
      <c r="V500" s="40">
        <v>2</v>
      </c>
      <c r="W500" s="40">
        <v>3</v>
      </c>
      <c r="X500" s="40">
        <v>5</v>
      </c>
      <c r="Y500" s="40">
        <v>9</v>
      </c>
      <c r="Z500" s="40" t="s">
        <v>45</v>
      </c>
      <c r="AA500" s="40" t="s">
        <v>45</v>
      </c>
      <c r="AB500" s="40" t="s">
        <v>45</v>
      </c>
      <c r="AC500" s="40" t="s">
        <v>45</v>
      </c>
      <c r="AD500" s="40" t="s">
        <v>45</v>
      </c>
      <c r="AE500" s="40" t="s">
        <v>45</v>
      </c>
      <c r="AF500" s="40" t="s">
        <v>45</v>
      </c>
      <c r="AG500" s="40" t="s">
        <v>45</v>
      </c>
      <c r="AH500" s="40" t="s">
        <v>45</v>
      </c>
      <c r="AI500" s="40" t="s">
        <v>45</v>
      </c>
      <c r="AJ500" s="40" t="s">
        <v>45</v>
      </c>
      <c r="AK500" s="40" t="s">
        <v>45</v>
      </c>
      <c r="AL500" s="40" t="s">
        <v>45</v>
      </c>
      <c r="AM500" s="40" t="s">
        <v>45</v>
      </c>
      <c r="AN500" s="40" t="s">
        <v>45</v>
      </c>
      <c r="AO500" s="41" t="s">
        <v>45</v>
      </c>
      <c r="AP500" s="40" t="s">
        <v>61</v>
      </c>
      <c r="AQ500" s="40">
        <v>6</v>
      </c>
      <c r="AR500" s="48" t="s">
        <v>346</v>
      </c>
      <c r="AS500" s="43" t="s">
        <v>748</v>
      </c>
      <c r="AT500" s="43" t="s">
        <v>635</v>
      </c>
      <c r="AU500" s="44">
        <f t="shared" si="56"/>
        <v>-0.99958513341763544</v>
      </c>
      <c r="AV500" s="44">
        <f t="shared" si="57"/>
        <v>1.2963515886753991</v>
      </c>
      <c r="AW500" s="45">
        <f t="shared" si="58"/>
        <v>4</v>
      </c>
      <c r="AX500" s="45">
        <f t="shared" si="59"/>
        <v>3</v>
      </c>
      <c r="AY500" s="46">
        <f>VLOOKUP(AP500,COND!$A$10:$B$32,2,FALSE)</f>
        <v>1.05</v>
      </c>
      <c r="AZ500" s="44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84.524696222061536</v>
      </c>
      <c r="BA500" s="47">
        <f t="shared" ref="BA500:BA536" si="62">STANDARDIZE(AZ500,AVERAGE($AZ$5:$AZ$557),STDEVP($AZ$5:$AZ$557))</f>
        <v>3.2368875931452474</v>
      </c>
      <c r="BB500" s="45" t="str">
        <f t="shared" si="60"/>
        <v>SP</v>
      </c>
      <c r="BC500" s="45">
        <f>RANK(Table3[[#This Row],[zScore]],Table3[zScore])</f>
        <v>1</v>
      </c>
      <c r="BD500" s="45"/>
      <c r="BE500" s="45"/>
      <c r="BF500" s="45" t="str">
        <f t="shared" si="61"/>
        <v>Likely</v>
      </c>
      <c r="BG500" s="45"/>
      <c r="BH500" s="45">
        <f>INDEX(Table5[[#All],[Ovr]],MATCH(Table3[[#This Row],[PID]],Table5[[#All],[PID]],0))</f>
        <v>2</v>
      </c>
      <c r="BI500" s="45" t="str">
        <f>INDEX(Table5[[#All],[Rnd]],MATCH(Table3[[#This Row],[PID]],Table5[[#All],[PID]],0))</f>
        <v>1</v>
      </c>
      <c r="BJ500" s="45">
        <f>INDEX(Table5[[#All],[Pick]],MATCH(Table3[[#This Row],[PID]],Table5[[#All],[PID]],0))</f>
        <v>2</v>
      </c>
      <c r="BK500" s="45" t="str">
        <f>INDEX(Table5[[#All],[Team]],MATCH(Table3[[#This Row],[PID]],Table5[[#All],[PID]],0))</f>
        <v>Charleston Statesmen</v>
      </c>
      <c r="BL50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1" spans="1:64" ht="15" customHeight="1" x14ac:dyDescent="0.25">
      <c r="A501" s="40">
        <v>18417</v>
      </c>
      <c r="B501" s="40" t="s">
        <v>24</v>
      </c>
      <c r="C501" s="40" t="s">
        <v>1774</v>
      </c>
      <c r="D501" s="40" t="s">
        <v>1775</v>
      </c>
      <c r="E501" s="40">
        <v>18</v>
      </c>
      <c r="F501" s="40" t="s">
        <v>62</v>
      </c>
      <c r="G501" s="40" t="s">
        <v>42</v>
      </c>
      <c r="H501" s="41" t="s">
        <v>744</v>
      </c>
      <c r="I501" s="42" t="s">
        <v>43</v>
      </c>
      <c r="J501" s="40" t="s">
        <v>43</v>
      </c>
      <c r="K501" s="41" t="s">
        <v>43</v>
      </c>
      <c r="L501" s="40">
        <v>4</v>
      </c>
      <c r="M501" s="40">
        <v>3</v>
      </c>
      <c r="N501" s="41">
        <v>2</v>
      </c>
      <c r="O501" s="40">
        <v>7</v>
      </c>
      <c r="P501" s="40">
        <v>7</v>
      </c>
      <c r="Q501" s="41">
        <v>5</v>
      </c>
      <c r="R501" s="40">
        <v>6</v>
      </c>
      <c r="S501" s="40">
        <v>9</v>
      </c>
      <c r="T501" s="40">
        <v>1</v>
      </c>
      <c r="U501" s="40">
        <v>5</v>
      </c>
      <c r="V501" s="40" t="s">
        <v>45</v>
      </c>
      <c r="W501" s="40" t="s">
        <v>45</v>
      </c>
      <c r="X501" s="40">
        <v>3</v>
      </c>
      <c r="Y501" s="40">
        <v>6</v>
      </c>
      <c r="Z501" s="40" t="s">
        <v>45</v>
      </c>
      <c r="AA501" s="40" t="s">
        <v>45</v>
      </c>
      <c r="AB501" s="40">
        <v>5</v>
      </c>
      <c r="AC501" s="40">
        <v>6</v>
      </c>
      <c r="AD501" s="40" t="s">
        <v>45</v>
      </c>
      <c r="AE501" s="40" t="s">
        <v>45</v>
      </c>
      <c r="AF501" s="40">
        <v>5</v>
      </c>
      <c r="AG501" s="40">
        <v>7</v>
      </c>
      <c r="AH501" s="40" t="s">
        <v>45</v>
      </c>
      <c r="AI501" s="40" t="s">
        <v>45</v>
      </c>
      <c r="AJ501" s="40" t="s">
        <v>45</v>
      </c>
      <c r="AK501" s="40" t="s">
        <v>45</v>
      </c>
      <c r="AL501" s="40" t="s">
        <v>45</v>
      </c>
      <c r="AM501" s="40" t="s">
        <v>45</v>
      </c>
      <c r="AN501" s="40" t="s">
        <v>45</v>
      </c>
      <c r="AO501" s="41" t="s">
        <v>45</v>
      </c>
      <c r="AP501" s="40" t="s">
        <v>59</v>
      </c>
      <c r="AQ501" s="40">
        <v>8</v>
      </c>
      <c r="AR501" s="48" t="s">
        <v>347</v>
      </c>
      <c r="AS501" s="43" t="s">
        <v>1776</v>
      </c>
      <c r="AT501" s="43" t="s">
        <v>635</v>
      </c>
      <c r="AU501" s="44">
        <f t="shared" si="56"/>
        <v>-1.4842262655258562</v>
      </c>
      <c r="AV501" s="44">
        <f t="shared" si="57"/>
        <v>1.0540310226212888</v>
      </c>
      <c r="AW501" s="45">
        <f t="shared" si="58"/>
        <v>5</v>
      </c>
      <c r="AX501" s="45">
        <f t="shared" si="59"/>
        <v>4</v>
      </c>
      <c r="AY501" s="46">
        <f>VLOOKUP(AP501,COND!$A$10:$B$32,2,FALSE)</f>
        <v>1.075</v>
      </c>
      <c r="AZ501" s="44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82.405058339269644</v>
      </c>
      <c r="BA501" s="47">
        <f t="shared" si="62"/>
        <v>3.0958713238404938</v>
      </c>
      <c r="BB501" s="45" t="str">
        <f t="shared" si="60"/>
        <v>SP</v>
      </c>
      <c r="BC501" s="45">
        <f>RANK(Table3[[#This Row],[zScore]],Table3[zScore])</f>
        <v>2</v>
      </c>
      <c r="BD501" s="45"/>
      <c r="BE501" s="45"/>
      <c r="BF501" s="45" t="str">
        <f t="shared" si="61"/>
        <v>Likely</v>
      </c>
      <c r="BG501" s="45"/>
      <c r="BH501" s="45">
        <f>INDEX(Table5[[#All],[Ovr]],MATCH(Table3[[#This Row],[PID]],Table5[[#All],[PID]],0))</f>
        <v>4</v>
      </c>
      <c r="BI501" s="45" t="str">
        <f>INDEX(Table5[[#All],[Rnd]],MATCH(Table3[[#This Row],[PID]],Table5[[#All],[PID]],0))</f>
        <v>1</v>
      </c>
      <c r="BJ501" s="45">
        <f>INDEX(Table5[[#All],[Pick]],MATCH(Table3[[#This Row],[PID]],Table5[[#All],[PID]],0))</f>
        <v>4</v>
      </c>
      <c r="BK501" s="45" t="str">
        <f>INDEX(Table5[[#All],[Team]],MATCH(Table3[[#This Row],[PID]],Table5[[#All],[PID]],0))</f>
        <v>Tempe Knights</v>
      </c>
      <c r="BL5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2" spans="1:64" ht="15" customHeight="1" x14ac:dyDescent="0.25">
      <c r="A502" s="40">
        <v>18149</v>
      </c>
      <c r="B502" s="40" t="s">
        <v>24</v>
      </c>
      <c r="C502" s="40" t="s">
        <v>370</v>
      </c>
      <c r="D502" s="40" t="s">
        <v>981</v>
      </c>
      <c r="E502" s="40">
        <v>21</v>
      </c>
      <c r="F502" s="40" t="s">
        <v>53</v>
      </c>
      <c r="G502" s="40" t="s">
        <v>42</v>
      </c>
      <c r="H502" s="41" t="s">
        <v>632</v>
      </c>
      <c r="I502" s="42" t="s">
        <v>43</v>
      </c>
      <c r="J502" s="40" t="s">
        <v>43</v>
      </c>
      <c r="K502" s="41" t="s">
        <v>43</v>
      </c>
      <c r="L502" s="40">
        <v>4</v>
      </c>
      <c r="M502" s="40">
        <v>3</v>
      </c>
      <c r="N502" s="41">
        <v>4</v>
      </c>
      <c r="O502" s="40">
        <v>7</v>
      </c>
      <c r="P502" s="40">
        <v>5</v>
      </c>
      <c r="Q502" s="41">
        <v>7</v>
      </c>
      <c r="R502" s="40">
        <v>6</v>
      </c>
      <c r="S502" s="40">
        <v>9</v>
      </c>
      <c r="T502" s="40">
        <v>1</v>
      </c>
      <c r="U502" s="40">
        <v>1</v>
      </c>
      <c r="V502" s="40" t="s">
        <v>45</v>
      </c>
      <c r="W502" s="40" t="s">
        <v>45</v>
      </c>
      <c r="X502" s="40" t="s">
        <v>45</v>
      </c>
      <c r="Y502" s="40" t="s">
        <v>45</v>
      </c>
      <c r="Z502" s="40">
        <v>5</v>
      </c>
      <c r="AA502" s="40">
        <v>6</v>
      </c>
      <c r="AB502" s="40" t="s">
        <v>45</v>
      </c>
      <c r="AC502" s="40" t="s">
        <v>45</v>
      </c>
      <c r="AD502" s="40" t="s">
        <v>45</v>
      </c>
      <c r="AE502" s="40" t="s">
        <v>45</v>
      </c>
      <c r="AF502" s="40">
        <v>5</v>
      </c>
      <c r="AG502" s="40">
        <v>7</v>
      </c>
      <c r="AH502" s="40" t="s">
        <v>45</v>
      </c>
      <c r="AI502" s="40" t="s">
        <v>45</v>
      </c>
      <c r="AJ502" s="40" t="s">
        <v>45</v>
      </c>
      <c r="AK502" s="40" t="s">
        <v>45</v>
      </c>
      <c r="AL502" s="40" t="s">
        <v>45</v>
      </c>
      <c r="AM502" s="40" t="s">
        <v>45</v>
      </c>
      <c r="AN502" s="40" t="s">
        <v>45</v>
      </c>
      <c r="AO502" s="41" t="s">
        <v>45</v>
      </c>
      <c r="AP502" s="40" t="s">
        <v>46</v>
      </c>
      <c r="AQ502" s="40">
        <v>7</v>
      </c>
      <c r="AR502" s="48" t="s">
        <v>346</v>
      </c>
      <c r="AS502" s="43" t="s">
        <v>416</v>
      </c>
      <c r="AT502" s="43" t="s">
        <v>635</v>
      </c>
      <c r="AU502" s="44">
        <f t="shared" si="56"/>
        <v>-0.99958513341763544</v>
      </c>
      <c r="AV502" s="44">
        <f t="shared" si="57"/>
        <v>1.1478087218693986</v>
      </c>
      <c r="AW502" s="45">
        <f t="shared" si="58"/>
        <v>4</v>
      </c>
      <c r="AX502" s="45">
        <f t="shared" si="59"/>
        <v>3</v>
      </c>
      <c r="AY502" s="46">
        <f>VLOOKUP(AP502,COND!$A$10:$B$32,2,FALSE)</f>
        <v>1.05</v>
      </c>
      <c r="AZ502" s="44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76.931570281239672</v>
      </c>
      <c r="BA502" s="47">
        <f t="shared" si="62"/>
        <v>2.7317285274252585</v>
      </c>
      <c r="BB502" s="45" t="str">
        <f t="shared" si="60"/>
        <v>SP</v>
      </c>
      <c r="BC502" s="45">
        <f>RANK(Table3[[#This Row],[zScore]],Table3[zScore])</f>
        <v>3</v>
      </c>
      <c r="BD502" s="45"/>
      <c r="BE502" s="45"/>
      <c r="BF502" s="45" t="str">
        <f t="shared" si="61"/>
        <v>Likely</v>
      </c>
      <c r="BG502" s="45"/>
      <c r="BH502" s="45">
        <f>INDEX(Table5[[#All],[Ovr]],MATCH(Table3[[#This Row],[PID]],Table5[[#All],[PID]],0))</f>
        <v>6</v>
      </c>
      <c r="BI502" s="45" t="str">
        <f>INDEX(Table5[[#All],[Rnd]],MATCH(Table3[[#This Row],[PID]],Table5[[#All],[PID]],0))</f>
        <v>1</v>
      </c>
      <c r="BJ502" s="45">
        <f>INDEX(Table5[[#All],[Pick]],MATCH(Table3[[#This Row],[PID]],Table5[[#All],[PID]],0))</f>
        <v>6</v>
      </c>
      <c r="BK502" s="45" t="str">
        <f>INDEX(Table5[[#All],[Team]],MATCH(Table3[[#This Row],[PID]],Table5[[#All],[PID]],0))</f>
        <v>Manchester Maulers</v>
      </c>
      <c r="BL5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3" spans="1:64" ht="15" customHeight="1" x14ac:dyDescent="0.25">
      <c r="A503" s="40">
        <v>18331</v>
      </c>
      <c r="B503" s="40" t="s">
        <v>24</v>
      </c>
      <c r="C503" s="40" t="s">
        <v>999</v>
      </c>
      <c r="D503" s="40" t="s">
        <v>1785</v>
      </c>
      <c r="E503" s="40">
        <v>18</v>
      </c>
      <c r="F503" s="40" t="s">
        <v>42</v>
      </c>
      <c r="G503" s="40" t="s">
        <v>42</v>
      </c>
      <c r="H503" s="41" t="s">
        <v>632</v>
      </c>
      <c r="I503" s="42" t="s">
        <v>43</v>
      </c>
      <c r="J503" s="40" t="s">
        <v>43</v>
      </c>
      <c r="K503" s="41" t="s">
        <v>43</v>
      </c>
      <c r="L503" s="40">
        <v>3</v>
      </c>
      <c r="M503" s="40">
        <v>2</v>
      </c>
      <c r="N503" s="41">
        <v>3</v>
      </c>
      <c r="O503" s="40">
        <v>6</v>
      </c>
      <c r="P503" s="40">
        <v>6</v>
      </c>
      <c r="Q503" s="41">
        <v>6</v>
      </c>
      <c r="R503" s="40">
        <v>5</v>
      </c>
      <c r="S503" s="40">
        <v>7</v>
      </c>
      <c r="T503" s="40" t="s">
        <v>45</v>
      </c>
      <c r="U503" s="40" t="s">
        <v>45</v>
      </c>
      <c r="V503" s="40" t="s">
        <v>45</v>
      </c>
      <c r="W503" s="40" t="s">
        <v>45</v>
      </c>
      <c r="X503" s="40" t="s">
        <v>45</v>
      </c>
      <c r="Y503" s="40" t="s">
        <v>45</v>
      </c>
      <c r="Z503" s="40" t="s">
        <v>45</v>
      </c>
      <c r="AA503" s="40" t="s">
        <v>45</v>
      </c>
      <c r="AB503" s="40" t="s">
        <v>45</v>
      </c>
      <c r="AC503" s="40" t="s">
        <v>45</v>
      </c>
      <c r="AD503" s="40">
        <v>4</v>
      </c>
      <c r="AE503" s="40">
        <v>7</v>
      </c>
      <c r="AF503" s="40" t="s">
        <v>45</v>
      </c>
      <c r="AG503" s="40" t="s">
        <v>45</v>
      </c>
      <c r="AH503" s="40">
        <v>1</v>
      </c>
      <c r="AI503" s="40">
        <v>8</v>
      </c>
      <c r="AJ503" s="40" t="s">
        <v>45</v>
      </c>
      <c r="AK503" s="40" t="s">
        <v>45</v>
      </c>
      <c r="AL503" s="40" t="s">
        <v>45</v>
      </c>
      <c r="AM503" s="40" t="s">
        <v>45</v>
      </c>
      <c r="AN503" s="40" t="s">
        <v>45</v>
      </c>
      <c r="AO503" s="41" t="s">
        <v>45</v>
      </c>
      <c r="AP503" s="40" t="s">
        <v>48</v>
      </c>
      <c r="AQ503" s="40">
        <v>10</v>
      </c>
      <c r="AR503" s="48" t="s">
        <v>347</v>
      </c>
      <c r="AS503" s="43" t="s">
        <v>519</v>
      </c>
      <c r="AT503" s="43" t="s">
        <v>47</v>
      </c>
      <c r="AU503" s="44">
        <f t="shared" si="56"/>
        <v>-1.6320287404109748</v>
      </c>
      <c r="AV503" s="44">
        <f t="shared" si="57"/>
        <v>0.90622854773617023</v>
      </c>
      <c r="AW503" s="45">
        <f t="shared" si="58"/>
        <v>3</v>
      </c>
      <c r="AX503" s="45">
        <f t="shared" si="59"/>
        <v>3</v>
      </c>
      <c r="AY503" s="46">
        <f>VLOOKUP(AP503,COND!$A$10:$B$32,2,FALSE)</f>
        <v>1.05</v>
      </c>
      <c r="AZ503" s="44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76.200573466973268</v>
      </c>
      <c r="BA503" s="47">
        <f t="shared" si="62"/>
        <v>2.6830964264148101</v>
      </c>
      <c r="BB503" s="45" t="str">
        <f t="shared" si="60"/>
        <v>SP</v>
      </c>
      <c r="BC503" s="45">
        <f>RANK(Table3[[#This Row],[zScore]],Table3[zScore])</f>
        <v>5</v>
      </c>
      <c r="BD503" s="45"/>
      <c r="BE503" s="45"/>
      <c r="BF503" s="45" t="str">
        <f t="shared" si="61"/>
        <v>Likely</v>
      </c>
      <c r="BG503" s="45"/>
      <c r="BH503" s="45">
        <f>INDEX(Table5[[#All],[Ovr]],MATCH(Table3[[#This Row],[PID]],Table5[[#All],[PID]],0))</f>
        <v>7</v>
      </c>
      <c r="BI503" s="45" t="str">
        <f>INDEX(Table5[[#All],[Rnd]],MATCH(Table3[[#This Row],[PID]],Table5[[#All],[PID]],0))</f>
        <v>1</v>
      </c>
      <c r="BJ503" s="45">
        <f>INDEX(Table5[[#All],[Pick]],MATCH(Table3[[#This Row],[PID]],Table5[[#All],[PID]],0))</f>
        <v>7</v>
      </c>
      <c r="BK503" s="45" t="str">
        <f>INDEX(Table5[[#All],[Team]],MATCH(Table3[[#This Row],[PID]],Table5[[#All],[PID]],0))</f>
        <v>West Virginia Alleghenies</v>
      </c>
      <c r="BL5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4" spans="1:64" ht="15" customHeight="1" x14ac:dyDescent="0.25">
      <c r="A504" s="40">
        <v>18318</v>
      </c>
      <c r="B504" s="40" t="s">
        <v>24</v>
      </c>
      <c r="C504" s="40" t="s">
        <v>1782</v>
      </c>
      <c r="D504" s="40" t="s">
        <v>1783</v>
      </c>
      <c r="E504" s="40">
        <v>21</v>
      </c>
      <c r="F504" s="40" t="s">
        <v>53</v>
      </c>
      <c r="G504" s="40" t="s">
        <v>42</v>
      </c>
      <c r="H504" s="41" t="s">
        <v>632</v>
      </c>
      <c r="I504" s="42" t="s">
        <v>43</v>
      </c>
      <c r="J504" s="40" t="s">
        <v>43</v>
      </c>
      <c r="K504" s="41" t="s">
        <v>47</v>
      </c>
      <c r="L504" s="40">
        <v>3</v>
      </c>
      <c r="M504" s="40">
        <v>2</v>
      </c>
      <c r="N504" s="41">
        <v>5</v>
      </c>
      <c r="O504" s="40">
        <v>6</v>
      </c>
      <c r="P504" s="40">
        <v>5</v>
      </c>
      <c r="Q504" s="41">
        <v>7</v>
      </c>
      <c r="R504" s="40">
        <v>6</v>
      </c>
      <c r="S504" s="40">
        <v>9</v>
      </c>
      <c r="T504" s="40" t="s">
        <v>45</v>
      </c>
      <c r="U504" s="40" t="s">
        <v>45</v>
      </c>
      <c r="V504" s="40" t="s">
        <v>45</v>
      </c>
      <c r="W504" s="40" t="s">
        <v>45</v>
      </c>
      <c r="X504" s="40">
        <v>3</v>
      </c>
      <c r="Y504" s="40">
        <v>6</v>
      </c>
      <c r="Z504" s="40" t="s">
        <v>45</v>
      </c>
      <c r="AA504" s="40" t="s">
        <v>45</v>
      </c>
      <c r="AB504" s="40">
        <v>4</v>
      </c>
      <c r="AC504" s="40">
        <v>7</v>
      </c>
      <c r="AD504" s="40" t="s">
        <v>45</v>
      </c>
      <c r="AE504" s="40" t="s">
        <v>45</v>
      </c>
      <c r="AF504" s="40" t="s">
        <v>45</v>
      </c>
      <c r="AG504" s="40" t="s">
        <v>45</v>
      </c>
      <c r="AH504" s="40" t="s">
        <v>45</v>
      </c>
      <c r="AI504" s="40" t="s">
        <v>45</v>
      </c>
      <c r="AJ504" s="40" t="s">
        <v>45</v>
      </c>
      <c r="AK504" s="40" t="s">
        <v>45</v>
      </c>
      <c r="AL504" s="40" t="s">
        <v>45</v>
      </c>
      <c r="AM504" s="40" t="s">
        <v>45</v>
      </c>
      <c r="AN504" s="40" t="s">
        <v>45</v>
      </c>
      <c r="AO504" s="41" t="s">
        <v>45</v>
      </c>
      <c r="AP504" s="40" t="s">
        <v>48</v>
      </c>
      <c r="AQ504" s="40">
        <v>8</v>
      </c>
      <c r="AR504" s="48" t="s">
        <v>347</v>
      </c>
      <c r="AS504" s="43" t="s">
        <v>420</v>
      </c>
      <c r="AT504" s="43" t="s">
        <v>635</v>
      </c>
      <c r="AU504" s="44">
        <f t="shared" si="56"/>
        <v>-1.1473876083027541</v>
      </c>
      <c r="AV504" s="44">
        <f t="shared" si="57"/>
        <v>0.95311739736022516</v>
      </c>
      <c r="AW504" s="45">
        <f t="shared" si="58"/>
        <v>3</v>
      </c>
      <c r="AX504" s="45">
        <f t="shared" si="59"/>
        <v>3</v>
      </c>
      <c r="AY504" s="46">
        <f>VLOOKUP(AP504,COND!$A$10:$B$32,2,FALSE)</f>
        <v>1.05</v>
      </c>
      <c r="AZ504" s="44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72.587013946821145</v>
      </c>
      <c r="BA504" s="47">
        <f t="shared" si="62"/>
        <v>2.4426918334513434</v>
      </c>
      <c r="BB504" s="45" t="str">
        <f t="shared" si="60"/>
        <v>SP</v>
      </c>
      <c r="BC504" s="45">
        <f>RANK(Table3[[#This Row],[zScore]],Table3[zScore])</f>
        <v>8</v>
      </c>
      <c r="BD504" s="45"/>
      <c r="BE504" s="45"/>
      <c r="BF504" s="45" t="str">
        <f t="shared" si="61"/>
        <v>Likely</v>
      </c>
      <c r="BG504" s="45"/>
      <c r="BH504" s="45">
        <f>INDEX(Table5[[#All],[Ovr]],MATCH(Table3[[#This Row],[PID]],Table5[[#All],[PID]],0))</f>
        <v>3</v>
      </c>
      <c r="BI504" s="45" t="str">
        <f>INDEX(Table5[[#All],[Rnd]],MATCH(Table3[[#This Row],[PID]],Table5[[#All],[PID]],0))</f>
        <v>1</v>
      </c>
      <c r="BJ504" s="45">
        <f>INDEX(Table5[[#All],[Pick]],MATCH(Table3[[#This Row],[PID]],Table5[[#All],[PID]],0))</f>
        <v>3</v>
      </c>
      <c r="BK504" s="45" t="str">
        <f>INDEX(Table5[[#All],[Team]],MATCH(Table3[[#This Row],[PID]],Table5[[#All],[PID]],0))</f>
        <v>New Orleans Trendsetters</v>
      </c>
      <c r="BL5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5" spans="1:64" ht="15" customHeight="1" x14ac:dyDescent="0.25">
      <c r="A505" s="40">
        <v>20400</v>
      </c>
      <c r="B505" s="40" t="s">
        <v>24</v>
      </c>
      <c r="C505" s="40" t="s">
        <v>1807</v>
      </c>
      <c r="D505" s="40" t="s">
        <v>1808</v>
      </c>
      <c r="E505" s="40">
        <v>17</v>
      </c>
      <c r="F505" s="40" t="s">
        <v>42</v>
      </c>
      <c r="G505" s="40" t="s">
        <v>42</v>
      </c>
      <c r="H505" s="41" t="s">
        <v>633</v>
      </c>
      <c r="I505" s="42" t="s">
        <v>43</v>
      </c>
      <c r="J505" s="40" t="s">
        <v>43</v>
      </c>
      <c r="K505" s="41" t="s">
        <v>43</v>
      </c>
      <c r="L505" s="40">
        <v>3</v>
      </c>
      <c r="M505" s="40">
        <v>2</v>
      </c>
      <c r="N505" s="41">
        <v>3</v>
      </c>
      <c r="O505" s="40">
        <v>6</v>
      </c>
      <c r="P505" s="40">
        <v>6</v>
      </c>
      <c r="Q505" s="41">
        <v>5</v>
      </c>
      <c r="R505" s="40">
        <v>5</v>
      </c>
      <c r="S505" s="40">
        <v>7</v>
      </c>
      <c r="T505" s="40">
        <v>2</v>
      </c>
      <c r="U505" s="40">
        <v>6</v>
      </c>
      <c r="V505" s="40">
        <v>2</v>
      </c>
      <c r="W505" s="40">
        <v>6</v>
      </c>
      <c r="X505" s="40">
        <v>3</v>
      </c>
      <c r="Y505" s="40">
        <v>7</v>
      </c>
      <c r="Z505" s="40" t="s">
        <v>45</v>
      </c>
      <c r="AA505" s="40" t="s">
        <v>45</v>
      </c>
      <c r="AB505" s="40" t="s">
        <v>45</v>
      </c>
      <c r="AC505" s="40" t="s">
        <v>45</v>
      </c>
      <c r="AD505" s="40" t="s">
        <v>45</v>
      </c>
      <c r="AE505" s="40" t="s">
        <v>45</v>
      </c>
      <c r="AF505" s="40" t="s">
        <v>45</v>
      </c>
      <c r="AG505" s="40" t="s">
        <v>45</v>
      </c>
      <c r="AH505" s="40" t="s">
        <v>45</v>
      </c>
      <c r="AI505" s="40" t="s">
        <v>45</v>
      </c>
      <c r="AJ505" s="40" t="s">
        <v>45</v>
      </c>
      <c r="AK505" s="40" t="s">
        <v>45</v>
      </c>
      <c r="AL505" s="40" t="s">
        <v>45</v>
      </c>
      <c r="AM505" s="40" t="s">
        <v>45</v>
      </c>
      <c r="AN505" s="40" t="s">
        <v>45</v>
      </c>
      <c r="AO505" s="41" t="s">
        <v>45</v>
      </c>
      <c r="AP505" s="40" t="s">
        <v>58</v>
      </c>
      <c r="AQ505" s="40">
        <v>5</v>
      </c>
      <c r="AR505" s="48" t="s">
        <v>347</v>
      </c>
      <c r="AS505" s="43" t="s">
        <v>416</v>
      </c>
      <c r="AT505" s="43" t="s">
        <v>47</v>
      </c>
      <c r="AU505" s="44">
        <f t="shared" si="56"/>
        <v>-1.6320287404109748</v>
      </c>
      <c r="AV505" s="44">
        <f t="shared" si="57"/>
        <v>0.66390798168205989</v>
      </c>
      <c r="AW505" s="45">
        <f t="shared" si="58"/>
        <v>4</v>
      </c>
      <c r="AX505" s="45">
        <f t="shared" si="59"/>
        <v>4</v>
      </c>
      <c r="AY505" s="46">
        <f>VLOOKUP(AP505,COND!$A$10:$B$32,2,FALSE)</f>
        <v>1</v>
      </c>
      <c r="AZ505" s="44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71.452960038420031</v>
      </c>
      <c r="BA505" s="47">
        <f t="shared" si="62"/>
        <v>2.3672449598832221</v>
      </c>
      <c r="BB505" s="45" t="str">
        <f t="shared" si="60"/>
        <v>SP</v>
      </c>
      <c r="BC505" s="45">
        <f>RANK(Table3[[#This Row],[zScore]],Table3[zScore])</f>
        <v>9</v>
      </c>
      <c r="BD505" s="45"/>
      <c r="BE505" s="45"/>
      <c r="BF505" s="45" t="str">
        <f t="shared" si="61"/>
        <v>Possible</v>
      </c>
      <c r="BG505" s="45"/>
      <c r="BH505" s="45">
        <f>INDEX(Table5[[#All],[Ovr]],MATCH(Table3[[#This Row],[PID]],Table5[[#All],[PID]],0))</f>
        <v>130</v>
      </c>
      <c r="BI505" s="45" t="str">
        <f>INDEX(Table5[[#All],[Rnd]],MATCH(Table3[[#This Row],[PID]],Table5[[#All],[PID]],0))</f>
        <v>5</v>
      </c>
      <c r="BJ505" s="45">
        <f>INDEX(Table5[[#All],[Pick]],MATCH(Table3[[#This Row],[PID]],Table5[[#All],[PID]],0))</f>
        <v>2</v>
      </c>
      <c r="BK505" s="45" t="str">
        <f>INDEX(Table5[[#All],[Team]],MATCH(Table3[[#This Row],[PID]],Table5[[#All],[PID]],0))</f>
        <v>Charleston Statesmen</v>
      </c>
      <c r="BL5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6" spans="1:64" ht="15" customHeight="1" x14ac:dyDescent="0.25">
      <c r="A506" s="40">
        <v>18423</v>
      </c>
      <c r="B506" s="40" t="s">
        <v>24</v>
      </c>
      <c r="C506" s="40" t="s">
        <v>582</v>
      </c>
      <c r="D506" s="40" t="s">
        <v>1789</v>
      </c>
      <c r="E506" s="40">
        <v>18</v>
      </c>
      <c r="F506" s="40" t="s">
        <v>53</v>
      </c>
      <c r="G506" s="40" t="s">
        <v>42</v>
      </c>
      <c r="H506" s="41" t="s">
        <v>633</v>
      </c>
      <c r="I506" s="42" t="s">
        <v>43</v>
      </c>
      <c r="J506" s="40" t="s">
        <v>43</v>
      </c>
      <c r="K506" s="41" t="s">
        <v>43</v>
      </c>
      <c r="L506" s="40">
        <v>2</v>
      </c>
      <c r="M506" s="40">
        <v>3</v>
      </c>
      <c r="N506" s="41">
        <v>3</v>
      </c>
      <c r="O506" s="40">
        <v>5</v>
      </c>
      <c r="P506" s="40">
        <v>6</v>
      </c>
      <c r="Q506" s="41">
        <v>6</v>
      </c>
      <c r="R506" s="40">
        <v>5</v>
      </c>
      <c r="S506" s="40">
        <v>8</v>
      </c>
      <c r="T506" s="40">
        <v>1</v>
      </c>
      <c r="U506" s="40">
        <v>3</v>
      </c>
      <c r="V506" s="40">
        <v>2</v>
      </c>
      <c r="W506" s="40">
        <v>5</v>
      </c>
      <c r="X506" s="40">
        <v>3</v>
      </c>
      <c r="Y506" s="40">
        <v>5</v>
      </c>
      <c r="Z506" s="40" t="s">
        <v>45</v>
      </c>
      <c r="AA506" s="40" t="s">
        <v>45</v>
      </c>
      <c r="AB506" s="40" t="s">
        <v>45</v>
      </c>
      <c r="AC506" s="40" t="s">
        <v>45</v>
      </c>
      <c r="AD506" s="40" t="s">
        <v>45</v>
      </c>
      <c r="AE506" s="40" t="s">
        <v>45</v>
      </c>
      <c r="AF506" s="40">
        <v>4</v>
      </c>
      <c r="AG506" s="40">
        <v>6</v>
      </c>
      <c r="AH506" s="40">
        <v>1</v>
      </c>
      <c r="AI506" s="40">
        <v>5</v>
      </c>
      <c r="AJ506" s="40" t="s">
        <v>45</v>
      </c>
      <c r="AK506" s="40" t="s">
        <v>45</v>
      </c>
      <c r="AL506" s="40" t="s">
        <v>45</v>
      </c>
      <c r="AM506" s="40" t="s">
        <v>45</v>
      </c>
      <c r="AN506" s="40" t="s">
        <v>45</v>
      </c>
      <c r="AO506" s="41" t="s">
        <v>45</v>
      </c>
      <c r="AP506" s="40" t="s">
        <v>60</v>
      </c>
      <c r="AQ506" s="40">
        <v>5</v>
      </c>
      <c r="AR506" s="48" t="s">
        <v>346</v>
      </c>
      <c r="AS506" s="43" t="s">
        <v>414</v>
      </c>
      <c r="AT506" s="43" t="s">
        <v>635</v>
      </c>
      <c r="AU506" s="44">
        <f t="shared" si="56"/>
        <v>-1.6312883484900931</v>
      </c>
      <c r="AV506" s="44">
        <f t="shared" si="57"/>
        <v>0.71153722322699664</v>
      </c>
      <c r="AW506" s="45">
        <f t="shared" si="58"/>
        <v>6</v>
      </c>
      <c r="AX506" s="45">
        <f t="shared" si="59"/>
        <v>2</v>
      </c>
      <c r="AY506" s="46">
        <f>VLOOKUP(AP506,COND!$A$10:$B$32,2,FALSE)</f>
        <v>1.0249999999999999</v>
      </c>
      <c r="AZ506" s="44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71.392358990595142</v>
      </c>
      <c r="BA506" s="47">
        <f t="shared" si="62"/>
        <v>2.3632132647764292</v>
      </c>
      <c r="BB506" s="45" t="str">
        <f t="shared" si="60"/>
        <v>SP</v>
      </c>
      <c r="BC506" s="45">
        <f>RANK(Table3[[#This Row],[zScore]],Table3[zScore])</f>
        <v>10</v>
      </c>
      <c r="BD506" s="45"/>
      <c r="BE506" s="45"/>
      <c r="BF506" s="45" t="str">
        <f t="shared" si="61"/>
        <v>Possible</v>
      </c>
      <c r="BG506" s="45"/>
      <c r="BH506" s="45">
        <f>INDEX(Table5[[#All],[Ovr]],MATCH(Table3[[#This Row],[PID]],Table5[[#All],[PID]],0))</f>
        <v>49</v>
      </c>
      <c r="BI506" s="45" t="str">
        <f>INDEX(Table5[[#All],[Rnd]],MATCH(Table3[[#This Row],[PID]],Table5[[#All],[PID]],0))</f>
        <v>2</v>
      </c>
      <c r="BJ506" s="45">
        <f>INDEX(Table5[[#All],[Pick]],MATCH(Table3[[#This Row],[PID]],Table5[[#All],[PID]],0))</f>
        <v>14</v>
      </c>
      <c r="BK506" s="45" t="str">
        <f>INDEX(Table5[[#All],[Team]],MATCH(Table3[[#This Row],[PID]],Table5[[#All],[PID]],0))</f>
        <v>Palm Springs Codgers</v>
      </c>
      <c r="BL5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7" spans="1:64" ht="15" customHeight="1" x14ac:dyDescent="0.25">
      <c r="A507" s="40">
        <v>18362</v>
      </c>
      <c r="B507" s="40" t="s">
        <v>24</v>
      </c>
      <c r="C507" s="40" t="s">
        <v>431</v>
      </c>
      <c r="D507" s="40" t="s">
        <v>1793</v>
      </c>
      <c r="E507" s="40">
        <v>18</v>
      </c>
      <c r="F507" s="40" t="s">
        <v>42</v>
      </c>
      <c r="G507" s="40" t="s">
        <v>42</v>
      </c>
      <c r="H507" s="41" t="s">
        <v>633</v>
      </c>
      <c r="I507" s="42" t="s">
        <v>43</v>
      </c>
      <c r="J507" s="40" t="s">
        <v>47</v>
      </c>
      <c r="K507" s="41" t="s">
        <v>43</v>
      </c>
      <c r="L507" s="40">
        <v>3</v>
      </c>
      <c r="M507" s="40">
        <v>2</v>
      </c>
      <c r="N507" s="41">
        <v>3</v>
      </c>
      <c r="O507" s="40">
        <v>5</v>
      </c>
      <c r="P507" s="40">
        <v>6</v>
      </c>
      <c r="Q507" s="41">
        <v>6</v>
      </c>
      <c r="R507" s="40">
        <v>5</v>
      </c>
      <c r="S507" s="40">
        <v>5</v>
      </c>
      <c r="T507" s="40">
        <v>1</v>
      </c>
      <c r="U507" s="40">
        <v>1</v>
      </c>
      <c r="V507" s="40" t="s">
        <v>45</v>
      </c>
      <c r="W507" s="40" t="s">
        <v>45</v>
      </c>
      <c r="X507" s="40">
        <v>5</v>
      </c>
      <c r="Y507" s="40">
        <v>8</v>
      </c>
      <c r="Z507" s="40" t="s">
        <v>45</v>
      </c>
      <c r="AA507" s="40" t="s">
        <v>45</v>
      </c>
      <c r="AB507" s="40" t="s">
        <v>45</v>
      </c>
      <c r="AC507" s="40" t="s">
        <v>45</v>
      </c>
      <c r="AD507" s="40">
        <v>4</v>
      </c>
      <c r="AE507" s="40">
        <v>7</v>
      </c>
      <c r="AF507" s="40" t="s">
        <v>45</v>
      </c>
      <c r="AG507" s="40" t="s">
        <v>45</v>
      </c>
      <c r="AH507" s="40" t="s">
        <v>45</v>
      </c>
      <c r="AI507" s="40" t="s">
        <v>45</v>
      </c>
      <c r="AJ507" s="40" t="s">
        <v>45</v>
      </c>
      <c r="AK507" s="40" t="s">
        <v>45</v>
      </c>
      <c r="AL507" s="40" t="s">
        <v>45</v>
      </c>
      <c r="AM507" s="40" t="s">
        <v>45</v>
      </c>
      <c r="AN507" s="40" t="s">
        <v>45</v>
      </c>
      <c r="AO507" s="41" t="s">
        <v>45</v>
      </c>
      <c r="AP507" s="40" t="s">
        <v>60</v>
      </c>
      <c r="AQ507" s="40">
        <v>7</v>
      </c>
      <c r="AR507" s="48" t="s">
        <v>347</v>
      </c>
      <c r="AS507" s="43" t="s">
        <v>412</v>
      </c>
      <c r="AT507" s="43" t="s">
        <v>47</v>
      </c>
      <c r="AU507" s="44">
        <f t="shared" si="56"/>
        <v>-1.6320287404109748</v>
      </c>
      <c r="AV507" s="44">
        <f t="shared" si="57"/>
        <v>0.71153722322699664</v>
      </c>
      <c r="AW507" s="45">
        <f t="shared" si="58"/>
        <v>4</v>
      </c>
      <c r="AX507" s="45">
        <f t="shared" si="59"/>
        <v>2</v>
      </c>
      <c r="AY507" s="46">
        <f>VLOOKUP(AP507,COND!$A$10:$B$32,2,FALSE)</f>
        <v>1.0249999999999999</v>
      </c>
      <c r="AZ507" s="44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71.16444718436918</v>
      </c>
      <c r="BA507" s="47">
        <f t="shared" si="62"/>
        <v>2.3480506405822625</v>
      </c>
      <c r="BB507" s="45" t="str">
        <f t="shared" si="60"/>
        <v>SP</v>
      </c>
      <c r="BC507" s="45">
        <f>RANK(Table3[[#This Row],[zScore]],Table3[zScore])</f>
        <v>11</v>
      </c>
      <c r="BD507" s="45"/>
      <c r="BE507" s="45"/>
      <c r="BF507" s="45" t="str">
        <f t="shared" si="61"/>
        <v>Possible</v>
      </c>
      <c r="BG507" s="45"/>
      <c r="BH507" s="45">
        <f>INDEX(Table5[[#All],[Ovr]],MATCH(Table3[[#This Row],[PID]],Table5[[#All],[PID]],0))</f>
        <v>18</v>
      </c>
      <c r="BI507" s="45" t="str">
        <f>INDEX(Table5[[#All],[Rnd]],MATCH(Table3[[#This Row],[PID]],Table5[[#All],[PID]],0))</f>
        <v>1</v>
      </c>
      <c r="BJ507" s="45">
        <f>INDEX(Table5[[#All],[Pick]],MATCH(Table3[[#This Row],[PID]],Table5[[#All],[PID]],0))</f>
        <v>18</v>
      </c>
      <c r="BK507" s="45" t="str">
        <f>INDEX(Table5[[#All],[Team]],MATCH(Table3[[#This Row],[PID]],Table5[[#All],[PID]],0))</f>
        <v>Kalamazoo Badgers</v>
      </c>
      <c r="BL5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8" spans="1:64" ht="15" customHeight="1" x14ac:dyDescent="0.25">
      <c r="A508" s="40">
        <v>18406</v>
      </c>
      <c r="B508" s="40" t="s">
        <v>24</v>
      </c>
      <c r="C508" s="40" t="s">
        <v>1804</v>
      </c>
      <c r="D508" s="40" t="s">
        <v>825</v>
      </c>
      <c r="E508" s="40">
        <v>18</v>
      </c>
      <c r="F508" s="40" t="s">
        <v>42</v>
      </c>
      <c r="G508" s="40" t="s">
        <v>42</v>
      </c>
      <c r="H508" s="41" t="s">
        <v>633</v>
      </c>
      <c r="I508" s="42" t="s">
        <v>43</v>
      </c>
      <c r="J508" s="40" t="s">
        <v>43</v>
      </c>
      <c r="K508" s="41" t="s">
        <v>44</v>
      </c>
      <c r="L508" s="40">
        <v>1</v>
      </c>
      <c r="M508" s="40">
        <v>2</v>
      </c>
      <c r="N508" s="41">
        <v>2</v>
      </c>
      <c r="O508" s="40">
        <v>5</v>
      </c>
      <c r="P508" s="40">
        <v>6</v>
      </c>
      <c r="Q508" s="41">
        <v>6</v>
      </c>
      <c r="R508" s="40">
        <v>4</v>
      </c>
      <c r="S508" s="40">
        <v>7</v>
      </c>
      <c r="T508" s="40">
        <v>1</v>
      </c>
      <c r="U508" s="40">
        <v>6</v>
      </c>
      <c r="V508" s="40">
        <v>2</v>
      </c>
      <c r="W508" s="40">
        <v>6</v>
      </c>
      <c r="X508" s="40" t="s">
        <v>45</v>
      </c>
      <c r="Y508" s="40" t="s">
        <v>45</v>
      </c>
      <c r="Z508" s="40" t="s">
        <v>45</v>
      </c>
      <c r="AA508" s="40" t="s">
        <v>45</v>
      </c>
      <c r="AB508" s="40" t="s">
        <v>45</v>
      </c>
      <c r="AC508" s="40" t="s">
        <v>45</v>
      </c>
      <c r="AD508" s="40" t="s">
        <v>45</v>
      </c>
      <c r="AE508" s="40" t="s">
        <v>45</v>
      </c>
      <c r="AF508" s="40" t="s">
        <v>45</v>
      </c>
      <c r="AG508" s="40" t="s">
        <v>45</v>
      </c>
      <c r="AH508" s="40" t="s">
        <v>45</v>
      </c>
      <c r="AI508" s="40" t="s">
        <v>45</v>
      </c>
      <c r="AJ508" s="40" t="s">
        <v>45</v>
      </c>
      <c r="AK508" s="40" t="s">
        <v>45</v>
      </c>
      <c r="AL508" s="40" t="s">
        <v>45</v>
      </c>
      <c r="AM508" s="40" t="s">
        <v>45</v>
      </c>
      <c r="AN508" s="40" t="s">
        <v>45</v>
      </c>
      <c r="AO508" s="41" t="s">
        <v>45</v>
      </c>
      <c r="AP508" s="40" t="s">
        <v>56</v>
      </c>
      <c r="AQ508" s="40">
        <v>8</v>
      </c>
      <c r="AR508" s="48" t="s">
        <v>347</v>
      </c>
      <c r="AS508" s="43" t="s">
        <v>748</v>
      </c>
      <c r="AT508" s="43" t="s">
        <v>47</v>
      </c>
      <c r="AU508" s="44">
        <f t="shared" si="56"/>
        <v>-2.2637319554834323</v>
      </c>
      <c r="AV508" s="44">
        <f t="shared" si="57"/>
        <v>0.71153722322699664</v>
      </c>
      <c r="AW508" s="45">
        <f t="shared" si="58"/>
        <v>3</v>
      </c>
      <c r="AX508" s="45">
        <f t="shared" si="59"/>
        <v>3</v>
      </c>
      <c r="AY508" s="46">
        <f>VLOOKUP(AP508,COND!$A$10:$B$32,2,FALSE)</f>
        <v>1</v>
      </c>
      <c r="AZ508" s="44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70.727998073443246</v>
      </c>
      <c r="BA508" s="47">
        <f t="shared" si="62"/>
        <v>2.3190143481741057</v>
      </c>
      <c r="BB508" s="45" t="str">
        <f t="shared" si="60"/>
        <v>SP</v>
      </c>
      <c r="BC508" s="45">
        <f>RANK(Table3[[#This Row],[zScore]],Table3[zScore])</f>
        <v>13</v>
      </c>
      <c r="BD508" s="45"/>
      <c r="BE508" s="45"/>
      <c r="BF508" s="45" t="str">
        <f t="shared" si="61"/>
        <v>Possible</v>
      </c>
      <c r="BG508" s="45"/>
      <c r="BH508" s="45">
        <f>INDEX(Table5[[#All],[Ovr]],MATCH(Table3[[#This Row],[PID]],Table5[[#All],[PID]],0))</f>
        <v>64</v>
      </c>
      <c r="BI508" s="45" t="str">
        <f>INDEX(Table5[[#All],[Rnd]],MATCH(Table3[[#This Row],[PID]],Table5[[#All],[PID]],0))</f>
        <v>2</v>
      </c>
      <c r="BJ508" s="45">
        <f>INDEX(Table5[[#All],[Pick]],MATCH(Table3[[#This Row],[PID]],Table5[[#All],[PID]],0))</f>
        <v>29</v>
      </c>
      <c r="BK508" s="45" t="str">
        <f>INDEX(Table5[[#All],[Team]],MATCH(Table3[[#This Row],[PID]],Table5[[#All],[PID]],0))</f>
        <v>Neo-Tokyo Akira</v>
      </c>
      <c r="BL5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09" spans="1:64" ht="15" customHeight="1" x14ac:dyDescent="0.25">
      <c r="A509" s="40">
        <v>18278</v>
      </c>
      <c r="B509" s="40" t="s">
        <v>24</v>
      </c>
      <c r="C509" s="40" t="s">
        <v>130</v>
      </c>
      <c r="D509" s="40" t="s">
        <v>189</v>
      </c>
      <c r="E509" s="40">
        <v>18</v>
      </c>
      <c r="F509" s="40" t="s">
        <v>42</v>
      </c>
      <c r="G509" s="40" t="s">
        <v>42</v>
      </c>
      <c r="H509" s="41" t="s">
        <v>633</v>
      </c>
      <c r="I509" s="42" t="s">
        <v>44</v>
      </c>
      <c r="J509" s="40" t="s">
        <v>43</v>
      </c>
      <c r="K509" s="41" t="s">
        <v>43</v>
      </c>
      <c r="L509" s="40">
        <v>2</v>
      </c>
      <c r="M509" s="40">
        <v>3</v>
      </c>
      <c r="N509" s="41">
        <v>2</v>
      </c>
      <c r="O509" s="40">
        <v>5</v>
      </c>
      <c r="P509" s="40">
        <v>6</v>
      </c>
      <c r="Q509" s="41">
        <v>6</v>
      </c>
      <c r="R509" s="40">
        <v>4</v>
      </c>
      <c r="S509" s="40">
        <v>7</v>
      </c>
      <c r="T509" s="40" t="s">
        <v>45</v>
      </c>
      <c r="U509" s="40" t="s">
        <v>45</v>
      </c>
      <c r="V509" s="40">
        <v>2</v>
      </c>
      <c r="W509" s="40">
        <v>6</v>
      </c>
      <c r="X509" s="40" t="s">
        <v>45</v>
      </c>
      <c r="Y509" s="40" t="s">
        <v>45</v>
      </c>
      <c r="Z509" s="40" t="s">
        <v>45</v>
      </c>
      <c r="AA509" s="40" t="s">
        <v>45</v>
      </c>
      <c r="AB509" s="40">
        <v>4</v>
      </c>
      <c r="AC509" s="40">
        <v>7</v>
      </c>
      <c r="AD509" s="40" t="s">
        <v>45</v>
      </c>
      <c r="AE509" s="40" t="s">
        <v>45</v>
      </c>
      <c r="AF509" s="40" t="s">
        <v>45</v>
      </c>
      <c r="AG509" s="40" t="s">
        <v>45</v>
      </c>
      <c r="AH509" s="40" t="s">
        <v>45</v>
      </c>
      <c r="AI509" s="40" t="s">
        <v>45</v>
      </c>
      <c r="AJ509" s="40" t="s">
        <v>45</v>
      </c>
      <c r="AK509" s="40" t="s">
        <v>45</v>
      </c>
      <c r="AL509" s="40" t="s">
        <v>45</v>
      </c>
      <c r="AM509" s="40" t="s">
        <v>45</v>
      </c>
      <c r="AN509" s="40" t="s">
        <v>45</v>
      </c>
      <c r="AO509" s="41" t="s">
        <v>45</v>
      </c>
      <c r="AP509" s="40" t="s">
        <v>58</v>
      </c>
      <c r="AQ509" s="40">
        <v>6</v>
      </c>
      <c r="AR509" s="48" t="s">
        <v>346</v>
      </c>
      <c r="AS509" s="43" t="s">
        <v>410</v>
      </c>
      <c r="AT509" s="43" t="s">
        <v>47</v>
      </c>
      <c r="AU509" s="44">
        <f t="shared" si="56"/>
        <v>-1.8736089145442034</v>
      </c>
      <c r="AV509" s="44">
        <f t="shared" si="57"/>
        <v>0.71153722322699664</v>
      </c>
      <c r="AW509" s="45">
        <f t="shared" si="58"/>
        <v>3</v>
      </c>
      <c r="AX509" s="45">
        <f t="shared" si="59"/>
        <v>3</v>
      </c>
      <c r="AY509" s="46">
        <f>VLOOKUP(AP509,COND!$A$10:$B$32,2,FALSE)</f>
        <v>1</v>
      </c>
      <c r="AZ509" s="44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70.478372114590314</v>
      </c>
      <c r="BA509" s="47">
        <f t="shared" si="62"/>
        <v>2.3024071145872549</v>
      </c>
      <c r="BB509" s="45" t="str">
        <f t="shared" si="60"/>
        <v>SP</v>
      </c>
      <c r="BC509" s="45">
        <f>RANK(Table3[[#This Row],[zScore]],Table3[zScore])</f>
        <v>15</v>
      </c>
      <c r="BD509" s="45"/>
      <c r="BE509" s="45"/>
      <c r="BF509" s="45" t="str">
        <f t="shared" si="61"/>
        <v>Possible</v>
      </c>
      <c r="BG509" s="45"/>
      <c r="BH509" s="45">
        <f>INDEX(Table5[[#All],[Ovr]],MATCH(Table3[[#This Row],[PID]],Table5[[#All],[PID]],0))</f>
        <v>124</v>
      </c>
      <c r="BI509" s="45" t="str">
        <f>INDEX(Table5[[#All],[Rnd]],MATCH(Table3[[#This Row],[PID]],Table5[[#All],[PID]],0))</f>
        <v>4</v>
      </c>
      <c r="BJ509" s="45">
        <f>INDEX(Table5[[#All],[Pick]],MATCH(Table3[[#This Row],[PID]],Table5[[#All],[PID]],0))</f>
        <v>24</v>
      </c>
      <c r="BK509" s="45" t="str">
        <f>INDEX(Table5[[#All],[Team]],MATCH(Table3[[#This Row],[PID]],Table5[[#All],[PID]],0))</f>
        <v>Toyama Wind Dancers</v>
      </c>
      <c r="BL50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0" spans="1:64" ht="15" customHeight="1" x14ac:dyDescent="0.25">
      <c r="A510" s="40">
        <v>18393</v>
      </c>
      <c r="B510" s="40" t="s">
        <v>24</v>
      </c>
      <c r="C510" s="40" t="s">
        <v>1043</v>
      </c>
      <c r="D510" s="40" t="s">
        <v>1802</v>
      </c>
      <c r="E510" s="40">
        <v>18</v>
      </c>
      <c r="F510" s="40" t="s">
        <v>62</v>
      </c>
      <c r="G510" s="40" t="s">
        <v>42</v>
      </c>
      <c r="H510" s="41" t="s">
        <v>633</v>
      </c>
      <c r="I510" s="42" t="s">
        <v>43</v>
      </c>
      <c r="J510" s="40" t="s">
        <v>43</v>
      </c>
      <c r="K510" s="41" t="s">
        <v>43</v>
      </c>
      <c r="L510" s="40">
        <v>2</v>
      </c>
      <c r="M510" s="40">
        <v>2</v>
      </c>
      <c r="N510" s="41">
        <v>2</v>
      </c>
      <c r="O510" s="40">
        <v>7</v>
      </c>
      <c r="P510" s="40">
        <v>6</v>
      </c>
      <c r="Q510" s="41">
        <v>4</v>
      </c>
      <c r="R510" s="40">
        <v>4</v>
      </c>
      <c r="S510" s="40">
        <v>8</v>
      </c>
      <c r="T510" s="40" t="s">
        <v>45</v>
      </c>
      <c r="U510" s="40" t="s">
        <v>45</v>
      </c>
      <c r="V510" s="40">
        <v>2</v>
      </c>
      <c r="W510" s="40">
        <v>8</v>
      </c>
      <c r="X510" s="40" t="s">
        <v>45</v>
      </c>
      <c r="Y510" s="40" t="s">
        <v>45</v>
      </c>
      <c r="Z510" s="40" t="s">
        <v>45</v>
      </c>
      <c r="AA510" s="40" t="s">
        <v>45</v>
      </c>
      <c r="AB510" s="40" t="s">
        <v>45</v>
      </c>
      <c r="AC510" s="40" t="s">
        <v>45</v>
      </c>
      <c r="AD510" s="40" t="s">
        <v>45</v>
      </c>
      <c r="AE510" s="40" t="s">
        <v>45</v>
      </c>
      <c r="AF510" s="40" t="s">
        <v>45</v>
      </c>
      <c r="AG510" s="40" t="s">
        <v>45</v>
      </c>
      <c r="AH510" s="40">
        <v>1</v>
      </c>
      <c r="AI510" s="40">
        <v>9</v>
      </c>
      <c r="AJ510" s="40" t="s">
        <v>45</v>
      </c>
      <c r="AK510" s="40" t="s">
        <v>45</v>
      </c>
      <c r="AL510" s="40" t="s">
        <v>45</v>
      </c>
      <c r="AM510" s="40" t="s">
        <v>45</v>
      </c>
      <c r="AN510" s="40" t="s">
        <v>45</v>
      </c>
      <c r="AO510" s="41" t="s">
        <v>45</v>
      </c>
      <c r="AP510" s="40" t="s">
        <v>60</v>
      </c>
      <c r="AQ510" s="40">
        <v>8</v>
      </c>
      <c r="AR510" s="48" t="s">
        <v>347</v>
      </c>
      <c r="AS510" s="43" t="s">
        <v>518</v>
      </c>
      <c r="AT510" s="43" t="s">
        <v>47</v>
      </c>
      <c r="AU510" s="44">
        <f t="shared" si="56"/>
        <v>-2.0690406309742588</v>
      </c>
      <c r="AV510" s="44">
        <f t="shared" si="57"/>
        <v>0.61627874013712292</v>
      </c>
      <c r="AW510" s="45">
        <f t="shared" si="58"/>
        <v>3</v>
      </c>
      <c r="AX510" s="45">
        <f t="shared" si="59"/>
        <v>3</v>
      </c>
      <c r="AY510" s="46">
        <f>VLOOKUP(AP510,COND!$A$10:$B$32,2,FALSE)</f>
        <v>1.0249999999999999</v>
      </c>
      <c r="AZ510" s="44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69.590810843461298</v>
      </c>
      <c r="BA510" s="47">
        <f t="shared" si="62"/>
        <v>2.2433590195092679</v>
      </c>
      <c r="BB510" s="45" t="str">
        <f t="shared" si="60"/>
        <v>SP</v>
      </c>
      <c r="BC510" s="45">
        <f>RANK(Table3[[#This Row],[zScore]],Table3[zScore])</f>
        <v>17</v>
      </c>
      <c r="BD510" s="45"/>
      <c r="BE510" s="45"/>
      <c r="BF510" s="45" t="str">
        <f t="shared" si="61"/>
        <v>Possible</v>
      </c>
      <c r="BG510" s="45"/>
      <c r="BH510" s="45">
        <f>INDEX(Table5[[#All],[Ovr]],MATCH(Table3[[#This Row],[PID]],Table5[[#All],[PID]],0))</f>
        <v>5</v>
      </c>
      <c r="BI510" s="45" t="str">
        <f>INDEX(Table5[[#All],[Rnd]],MATCH(Table3[[#This Row],[PID]],Table5[[#All],[PID]],0))</f>
        <v>1</v>
      </c>
      <c r="BJ510" s="45">
        <f>INDEX(Table5[[#All],[Pick]],MATCH(Table3[[#This Row],[PID]],Table5[[#All],[PID]],0))</f>
        <v>5</v>
      </c>
      <c r="BK510" s="45" t="str">
        <f>INDEX(Table5[[#All],[Team]],MATCH(Table3[[#This Row],[PID]],Table5[[#All],[PID]],0))</f>
        <v>Charleston Statesmen</v>
      </c>
      <c r="BL5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1" spans="1:64" ht="15" customHeight="1" x14ac:dyDescent="0.25">
      <c r="A511" s="40">
        <v>18364</v>
      </c>
      <c r="B511" s="40" t="s">
        <v>24</v>
      </c>
      <c r="C511" s="40" t="s">
        <v>685</v>
      </c>
      <c r="D511" s="40" t="s">
        <v>713</v>
      </c>
      <c r="E511" s="40">
        <v>18</v>
      </c>
      <c r="F511" s="40" t="s">
        <v>42</v>
      </c>
      <c r="G511" s="40" t="s">
        <v>42</v>
      </c>
      <c r="H511" s="41" t="s">
        <v>633</v>
      </c>
      <c r="I511" s="42" t="s">
        <v>44</v>
      </c>
      <c r="J511" s="40" t="s">
        <v>47</v>
      </c>
      <c r="K511" s="41" t="s">
        <v>43</v>
      </c>
      <c r="L511" s="40">
        <v>3</v>
      </c>
      <c r="M511" s="40">
        <v>3</v>
      </c>
      <c r="N511" s="41">
        <v>3</v>
      </c>
      <c r="O511" s="40">
        <v>6</v>
      </c>
      <c r="P511" s="40">
        <v>5</v>
      </c>
      <c r="Q511" s="41">
        <v>5</v>
      </c>
      <c r="R511" s="40">
        <v>5</v>
      </c>
      <c r="S511" s="40">
        <v>8</v>
      </c>
      <c r="T511" s="40">
        <v>1</v>
      </c>
      <c r="U511" s="40">
        <v>6</v>
      </c>
      <c r="V511" s="40" t="s">
        <v>45</v>
      </c>
      <c r="W511" s="40" t="s">
        <v>45</v>
      </c>
      <c r="X511" s="40">
        <v>3</v>
      </c>
      <c r="Y511" s="40">
        <v>6</v>
      </c>
      <c r="Z511" s="40">
        <v>4</v>
      </c>
      <c r="AA511" s="40">
        <v>5</v>
      </c>
      <c r="AB511" s="40" t="s">
        <v>45</v>
      </c>
      <c r="AC511" s="40" t="s">
        <v>45</v>
      </c>
      <c r="AD511" s="40" t="s">
        <v>45</v>
      </c>
      <c r="AE511" s="40" t="s">
        <v>45</v>
      </c>
      <c r="AF511" s="40">
        <v>4</v>
      </c>
      <c r="AG511" s="40">
        <v>5</v>
      </c>
      <c r="AH511" s="40" t="s">
        <v>45</v>
      </c>
      <c r="AI511" s="40" t="s">
        <v>45</v>
      </c>
      <c r="AJ511" s="40" t="s">
        <v>45</v>
      </c>
      <c r="AK511" s="40" t="s">
        <v>45</v>
      </c>
      <c r="AL511" s="40" t="s">
        <v>45</v>
      </c>
      <c r="AM511" s="40" t="s">
        <v>45</v>
      </c>
      <c r="AN511" s="40" t="s">
        <v>45</v>
      </c>
      <c r="AO511" s="41" t="s">
        <v>45</v>
      </c>
      <c r="AP511" s="40" t="s">
        <v>48</v>
      </c>
      <c r="AQ511" s="40">
        <v>9</v>
      </c>
      <c r="AR511" s="48" t="s">
        <v>346</v>
      </c>
      <c r="AS511" s="43" t="s">
        <v>412</v>
      </c>
      <c r="AT511" s="43" t="s">
        <v>635</v>
      </c>
      <c r="AU511" s="44">
        <f t="shared" si="56"/>
        <v>-1.4365970239809194</v>
      </c>
      <c r="AV511" s="44">
        <f t="shared" si="57"/>
        <v>0.46847626525200436</v>
      </c>
      <c r="AW511" s="45">
        <f t="shared" si="58"/>
        <v>5</v>
      </c>
      <c r="AX511" s="45">
        <f t="shared" si="59"/>
        <v>3</v>
      </c>
      <c r="AY511" s="46">
        <f>VLOOKUP(AP511,COND!$A$10:$B$32,2,FALSE)</f>
        <v>1.05</v>
      </c>
      <c r="AZ511" s="44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68.248816195256097</v>
      </c>
      <c r="BA511" s="47">
        <f t="shared" si="62"/>
        <v>2.1540781662780639</v>
      </c>
      <c r="BB511" s="45" t="str">
        <f t="shared" si="60"/>
        <v>SP</v>
      </c>
      <c r="BC511" s="45">
        <f>RANK(Table3[[#This Row],[zScore]],Table3[zScore])</f>
        <v>18</v>
      </c>
      <c r="BD511" s="45"/>
      <c r="BE511" s="45"/>
      <c r="BF511" s="45" t="str">
        <f t="shared" si="61"/>
        <v>Possible</v>
      </c>
      <c r="BG511" s="45"/>
      <c r="BH511" s="45">
        <f>INDEX(Table5[[#All],[Ovr]],MATCH(Table3[[#This Row],[PID]],Table5[[#All],[PID]],0))</f>
        <v>151</v>
      </c>
      <c r="BI511" s="45" t="str">
        <f>INDEX(Table5[[#All],[Rnd]],MATCH(Table3[[#This Row],[PID]],Table5[[#All],[PID]],0))</f>
        <v>5</v>
      </c>
      <c r="BJ511" s="45">
        <f>INDEX(Table5[[#All],[Pick]],MATCH(Table3[[#This Row],[PID]],Table5[[#All],[PID]],0))</f>
        <v>23</v>
      </c>
      <c r="BK511" s="45" t="str">
        <f>INDEX(Table5[[#All],[Team]],MATCH(Table3[[#This Row],[PID]],Table5[[#All],[PID]],0))</f>
        <v>Yuma Arroyos</v>
      </c>
      <c r="BL5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2" spans="1:64" ht="15" customHeight="1" x14ac:dyDescent="0.25">
      <c r="A512" s="40">
        <v>18185</v>
      </c>
      <c r="B512" s="40" t="s">
        <v>24</v>
      </c>
      <c r="C512" s="40" t="s">
        <v>162</v>
      </c>
      <c r="D512" s="40" t="s">
        <v>1806</v>
      </c>
      <c r="E512" s="40">
        <v>18</v>
      </c>
      <c r="F512" s="40" t="s">
        <v>53</v>
      </c>
      <c r="G512" s="40" t="s">
        <v>53</v>
      </c>
      <c r="H512" s="41" t="s">
        <v>633</v>
      </c>
      <c r="I512" s="42" t="s">
        <v>44</v>
      </c>
      <c r="J512" s="40" t="s">
        <v>43</v>
      </c>
      <c r="K512" s="41" t="s">
        <v>47</v>
      </c>
      <c r="L512" s="40">
        <v>2</v>
      </c>
      <c r="M512" s="40">
        <v>2</v>
      </c>
      <c r="N512" s="41">
        <v>2</v>
      </c>
      <c r="O512" s="40">
        <v>6</v>
      </c>
      <c r="P512" s="40">
        <v>4</v>
      </c>
      <c r="Q512" s="41">
        <v>6</v>
      </c>
      <c r="R512" s="40">
        <v>5</v>
      </c>
      <c r="S512" s="40">
        <v>8</v>
      </c>
      <c r="T512" s="40">
        <v>1</v>
      </c>
      <c r="U512" s="40">
        <v>7</v>
      </c>
      <c r="V512" s="40" t="s">
        <v>45</v>
      </c>
      <c r="W512" s="40" t="s">
        <v>45</v>
      </c>
      <c r="X512" s="40">
        <v>3</v>
      </c>
      <c r="Y512" s="40">
        <v>8</v>
      </c>
      <c r="Z512" s="40" t="s">
        <v>45</v>
      </c>
      <c r="AA512" s="40" t="s">
        <v>45</v>
      </c>
      <c r="AB512" s="40" t="s">
        <v>45</v>
      </c>
      <c r="AC512" s="40" t="s">
        <v>45</v>
      </c>
      <c r="AD512" s="40" t="s">
        <v>45</v>
      </c>
      <c r="AE512" s="40" t="s">
        <v>45</v>
      </c>
      <c r="AF512" s="40" t="s">
        <v>45</v>
      </c>
      <c r="AG512" s="40" t="s">
        <v>45</v>
      </c>
      <c r="AH512" s="40" t="s">
        <v>45</v>
      </c>
      <c r="AI512" s="40" t="s">
        <v>45</v>
      </c>
      <c r="AJ512" s="40" t="s">
        <v>45</v>
      </c>
      <c r="AK512" s="40" t="s">
        <v>45</v>
      </c>
      <c r="AL512" s="40" t="s">
        <v>45</v>
      </c>
      <c r="AM512" s="40" t="s">
        <v>45</v>
      </c>
      <c r="AN512" s="40" t="s">
        <v>45</v>
      </c>
      <c r="AO512" s="41" t="s">
        <v>45</v>
      </c>
      <c r="AP512" s="40" t="s">
        <v>48</v>
      </c>
      <c r="AQ512" s="40">
        <v>7</v>
      </c>
      <c r="AR512" s="48" t="s">
        <v>347</v>
      </c>
      <c r="AS512" s="43" t="s">
        <v>518</v>
      </c>
      <c r="AT512" s="43" t="s">
        <v>635</v>
      </c>
      <c r="AU512" s="44">
        <f t="shared" si="56"/>
        <v>-2.0690406309742588</v>
      </c>
      <c r="AV512" s="44">
        <f t="shared" si="57"/>
        <v>0.5153651148760594</v>
      </c>
      <c r="AW512" s="45">
        <f t="shared" si="58"/>
        <v>3</v>
      </c>
      <c r="AX512" s="45">
        <f t="shared" si="59"/>
        <v>3</v>
      </c>
      <c r="AY512" s="46">
        <f>VLOOKUP(AP512,COND!$A$10:$B$32,2,FALSE)</f>
        <v>1.05</v>
      </c>
      <c r="AZ512" s="44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68.050668879892655</v>
      </c>
      <c r="BA512" s="47">
        <f t="shared" si="62"/>
        <v>2.1408957281775987</v>
      </c>
      <c r="BB512" s="45" t="str">
        <f t="shared" si="60"/>
        <v>SP</v>
      </c>
      <c r="BC512" s="45">
        <f>RANK(Table3[[#This Row],[zScore]],Table3[zScore])</f>
        <v>19</v>
      </c>
      <c r="BD512" s="45"/>
      <c r="BE512" s="45"/>
      <c r="BF512" s="45" t="str">
        <f t="shared" si="61"/>
        <v>Possible</v>
      </c>
      <c r="BG512" s="45"/>
      <c r="BH512" s="45">
        <f>INDEX(Table5[[#All],[Ovr]],MATCH(Table3[[#This Row],[PID]],Table5[[#All],[PID]],0))</f>
        <v>98</v>
      </c>
      <c r="BI512" s="45" t="str">
        <f>INDEX(Table5[[#All],[Rnd]],MATCH(Table3[[#This Row],[PID]],Table5[[#All],[PID]],0))</f>
        <v>3</v>
      </c>
      <c r="BJ512" s="45">
        <f>INDEX(Table5[[#All],[Pick]],MATCH(Table3[[#This Row],[PID]],Table5[[#All],[PID]],0))</f>
        <v>30</v>
      </c>
      <c r="BK512" s="45" t="str">
        <f>INDEX(Table5[[#All],[Team]],MATCH(Table3[[#This Row],[PID]],Table5[[#All],[PID]],0))</f>
        <v>Niihama-shi Ghosts</v>
      </c>
      <c r="BL5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3" spans="1:64" ht="15" customHeight="1" x14ac:dyDescent="0.25">
      <c r="A513" s="40">
        <v>18381</v>
      </c>
      <c r="B513" s="40" t="s">
        <v>24</v>
      </c>
      <c r="C513" s="40" t="s">
        <v>843</v>
      </c>
      <c r="D513" s="40" t="s">
        <v>1795</v>
      </c>
      <c r="E513" s="40">
        <v>18</v>
      </c>
      <c r="F513" s="40" t="s">
        <v>53</v>
      </c>
      <c r="G513" s="40" t="s">
        <v>53</v>
      </c>
      <c r="H513" s="41" t="s">
        <v>633</v>
      </c>
      <c r="I513" s="42" t="s">
        <v>47</v>
      </c>
      <c r="J513" s="40" t="s">
        <v>43</v>
      </c>
      <c r="K513" s="41" t="s">
        <v>43</v>
      </c>
      <c r="L513" s="40">
        <v>2</v>
      </c>
      <c r="M513" s="40">
        <v>2</v>
      </c>
      <c r="N513" s="41">
        <v>3</v>
      </c>
      <c r="O513" s="40">
        <v>6</v>
      </c>
      <c r="P513" s="40">
        <v>4</v>
      </c>
      <c r="Q513" s="41">
        <v>6</v>
      </c>
      <c r="R513" s="40">
        <v>5</v>
      </c>
      <c r="S513" s="40">
        <v>8</v>
      </c>
      <c r="T513" s="40" t="s">
        <v>45</v>
      </c>
      <c r="U513" s="40" t="s">
        <v>45</v>
      </c>
      <c r="V513" s="40">
        <v>2</v>
      </c>
      <c r="W513" s="40">
        <v>7</v>
      </c>
      <c r="X513" s="40">
        <v>3</v>
      </c>
      <c r="Y513" s="40">
        <v>7</v>
      </c>
      <c r="Z513" s="40" t="s">
        <v>45</v>
      </c>
      <c r="AA513" s="40" t="s">
        <v>45</v>
      </c>
      <c r="AB513" s="40" t="s">
        <v>45</v>
      </c>
      <c r="AC513" s="40" t="s">
        <v>45</v>
      </c>
      <c r="AD513" s="40" t="s">
        <v>45</v>
      </c>
      <c r="AE513" s="40" t="s">
        <v>45</v>
      </c>
      <c r="AF513" s="40" t="s">
        <v>45</v>
      </c>
      <c r="AG513" s="40" t="s">
        <v>45</v>
      </c>
      <c r="AH513" s="40" t="s">
        <v>45</v>
      </c>
      <c r="AI513" s="40" t="s">
        <v>45</v>
      </c>
      <c r="AJ513" s="40" t="s">
        <v>45</v>
      </c>
      <c r="AK513" s="40" t="s">
        <v>45</v>
      </c>
      <c r="AL513" s="40" t="s">
        <v>45</v>
      </c>
      <c r="AM513" s="40" t="s">
        <v>45</v>
      </c>
      <c r="AN513" s="40" t="s">
        <v>45</v>
      </c>
      <c r="AO513" s="41" t="s">
        <v>45</v>
      </c>
      <c r="AP513" s="40" t="s">
        <v>60</v>
      </c>
      <c r="AQ513" s="40">
        <v>7</v>
      </c>
      <c r="AR513" s="48" t="s">
        <v>347</v>
      </c>
      <c r="AS513" s="43" t="s">
        <v>419</v>
      </c>
      <c r="AT513" s="43" t="s">
        <v>47</v>
      </c>
      <c r="AU513" s="44">
        <f t="shared" si="56"/>
        <v>-1.8267200649201485</v>
      </c>
      <c r="AV513" s="44">
        <f t="shared" si="57"/>
        <v>0.5153651148760594</v>
      </c>
      <c r="AW513" s="45">
        <f t="shared" si="58"/>
        <v>3</v>
      </c>
      <c r="AX513" s="45">
        <f t="shared" si="59"/>
        <v>3</v>
      </c>
      <c r="AY513" s="46">
        <f>VLOOKUP(AP513,COND!$A$10:$B$32,2,FALSE)</f>
        <v>1.0249999999999999</v>
      </c>
      <c r="AZ513" s="44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67.796757241650582</v>
      </c>
      <c r="BA513" s="47">
        <f t="shared" si="62"/>
        <v>2.1240033748899734</v>
      </c>
      <c r="BB513" s="45" t="str">
        <f t="shared" si="60"/>
        <v>SP</v>
      </c>
      <c r="BC513" s="45">
        <f>RANK(Table3[[#This Row],[zScore]],Table3[zScore])</f>
        <v>20</v>
      </c>
      <c r="BD513" s="45"/>
      <c r="BE513" s="45"/>
      <c r="BF513" s="45" t="str">
        <f t="shared" si="61"/>
        <v>Possible</v>
      </c>
      <c r="BG513" s="45"/>
      <c r="BH513" s="45">
        <f>INDEX(Table5[[#All],[Ovr]],MATCH(Table3[[#This Row],[PID]],Table5[[#All],[PID]],0))</f>
        <v>61</v>
      </c>
      <c r="BI513" s="45" t="str">
        <f>INDEX(Table5[[#All],[Rnd]],MATCH(Table3[[#This Row],[PID]],Table5[[#All],[PID]],0))</f>
        <v>2</v>
      </c>
      <c r="BJ513" s="45">
        <f>INDEX(Table5[[#All],[Pick]],MATCH(Table3[[#This Row],[PID]],Table5[[#All],[PID]],0))</f>
        <v>26</v>
      </c>
      <c r="BK513" s="45" t="str">
        <f>INDEX(Table5[[#All],[Team]],MATCH(Table3[[#This Row],[PID]],Table5[[#All],[PID]],0))</f>
        <v>West Virginia Alleghenies</v>
      </c>
      <c r="BL5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4" spans="1:64" ht="15" customHeight="1" x14ac:dyDescent="0.25">
      <c r="A514" s="40">
        <v>18226</v>
      </c>
      <c r="B514" s="40" t="s">
        <v>24</v>
      </c>
      <c r="C514" s="40" t="s">
        <v>1653</v>
      </c>
      <c r="D514" s="40" t="s">
        <v>1826</v>
      </c>
      <c r="E514" s="40">
        <v>18</v>
      </c>
      <c r="F514" s="40" t="s">
        <v>53</v>
      </c>
      <c r="G514" s="40" t="s">
        <v>53</v>
      </c>
      <c r="H514" s="41" t="s">
        <v>634</v>
      </c>
      <c r="I514" s="42" t="s">
        <v>43</v>
      </c>
      <c r="J514" s="40" t="s">
        <v>47</v>
      </c>
      <c r="K514" s="41" t="s">
        <v>47</v>
      </c>
      <c r="L514" s="40">
        <v>1</v>
      </c>
      <c r="M514" s="40">
        <v>2</v>
      </c>
      <c r="N514" s="41">
        <v>1</v>
      </c>
      <c r="O514" s="40">
        <v>5</v>
      </c>
      <c r="P514" s="40">
        <v>5</v>
      </c>
      <c r="Q514" s="41">
        <v>6</v>
      </c>
      <c r="R514" s="40">
        <v>3</v>
      </c>
      <c r="S514" s="40">
        <v>7</v>
      </c>
      <c r="T514" s="40" t="s">
        <v>45</v>
      </c>
      <c r="U514" s="40" t="s">
        <v>45</v>
      </c>
      <c r="V514" s="40">
        <v>1</v>
      </c>
      <c r="W514" s="40">
        <v>7</v>
      </c>
      <c r="X514" s="40">
        <v>2</v>
      </c>
      <c r="Y514" s="40">
        <v>7</v>
      </c>
      <c r="Z514" s="40" t="s">
        <v>45</v>
      </c>
      <c r="AA514" s="40" t="s">
        <v>45</v>
      </c>
      <c r="AB514" s="40" t="s">
        <v>45</v>
      </c>
      <c r="AC514" s="40" t="s">
        <v>45</v>
      </c>
      <c r="AD514" s="40" t="s">
        <v>45</v>
      </c>
      <c r="AE514" s="40" t="s">
        <v>45</v>
      </c>
      <c r="AF514" s="40" t="s">
        <v>45</v>
      </c>
      <c r="AG514" s="40" t="s">
        <v>45</v>
      </c>
      <c r="AH514" s="40" t="s">
        <v>45</v>
      </c>
      <c r="AI514" s="40" t="s">
        <v>45</v>
      </c>
      <c r="AJ514" s="40" t="s">
        <v>45</v>
      </c>
      <c r="AK514" s="40" t="s">
        <v>45</v>
      </c>
      <c r="AL514" s="40" t="s">
        <v>45</v>
      </c>
      <c r="AM514" s="40" t="s">
        <v>45</v>
      </c>
      <c r="AN514" s="40" t="s">
        <v>45</v>
      </c>
      <c r="AO514" s="41" t="s">
        <v>45</v>
      </c>
      <c r="AP514" s="40" t="s">
        <v>350</v>
      </c>
      <c r="AQ514" s="40">
        <v>6</v>
      </c>
      <c r="AR514" s="48" t="s">
        <v>347</v>
      </c>
      <c r="AS514" s="43" t="s">
        <v>414</v>
      </c>
      <c r="AT514" s="43" t="s">
        <v>47</v>
      </c>
      <c r="AU514" s="44">
        <f t="shared" si="56"/>
        <v>-2.5060525215375429</v>
      </c>
      <c r="AV514" s="44">
        <f t="shared" si="57"/>
        <v>0.51610550679694134</v>
      </c>
      <c r="AW514" s="45">
        <f t="shared" si="58"/>
        <v>3</v>
      </c>
      <c r="AX514" s="45">
        <f t="shared" si="59"/>
        <v>3</v>
      </c>
      <c r="AY514" s="46">
        <f>VLOOKUP(AP514,COND!$A$10:$B$32,2,FALSE)</f>
        <v>1</v>
      </c>
      <c r="AZ514" s="44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67.29412714084053</v>
      </c>
      <c r="BA514" s="47">
        <f t="shared" si="62"/>
        <v>2.0905641623565816</v>
      </c>
      <c r="BB514" s="45" t="str">
        <f t="shared" si="60"/>
        <v>SP</v>
      </c>
      <c r="BC514" s="45">
        <f>RANK(Table3[[#This Row],[zScore]],Table3[zScore])</f>
        <v>22</v>
      </c>
      <c r="BD514" s="45"/>
      <c r="BE514" s="45"/>
      <c r="BF514" s="45" t="str">
        <f t="shared" si="61"/>
        <v>Possible</v>
      </c>
      <c r="BG514" s="45"/>
      <c r="BH514" s="45">
        <f>INDEX(Table5[[#All],[Ovr]],MATCH(Table3[[#This Row],[PID]],Table5[[#All],[PID]],0))</f>
        <v>46</v>
      </c>
      <c r="BI514" s="45" t="str">
        <f>INDEX(Table5[[#All],[Rnd]],MATCH(Table3[[#This Row],[PID]],Table5[[#All],[PID]],0))</f>
        <v>2</v>
      </c>
      <c r="BJ514" s="45">
        <f>INDEX(Table5[[#All],[Pick]],MATCH(Table3[[#This Row],[PID]],Table5[[#All],[PID]],0))</f>
        <v>11</v>
      </c>
      <c r="BK514" s="45" t="str">
        <f>INDEX(Table5[[#All],[Team]],MATCH(Table3[[#This Row],[PID]],Table5[[#All],[PID]],0))</f>
        <v>Scottish Claymores</v>
      </c>
      <c r="BL5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5" spans="1:64" ht="15" customHeight="1" x14ac:dyDescent="0.25">
      <c r="A515" s="40">
        <v>18442</v>
      </c>
      <c r="B515" s="40" t="s">
        <v>24</v>
      </c>
      <c r="C515" s="40" t="s">
        <v>1496</v>
      </c>
      <c r="D515" s="40" t="s">
        <v>523</v>
      </c>
      <c r="E515" s="40">
        <v>18</v>
      </c>
      <c r="F515" s="40" t="s">
        <v>42</v>
      </c>
      <c r="G515" s="40" t="s">
        <v>42</v>
      </c>
      <c r="H515" s="41" t="s">
        <v>633</v>
      </c>
      <c r="I515" s="42" t="s">
        <v>44</v>
      </c>
      <c r="J515" s="40" t="s">
        <v>44</v>
      </c>
      <c r="K515" s="41" t="s">
        <v>43</v>
      </c>
      <c r="L515" s="40">
        <v>1</v>
      </c>
      <c r="M515" s="40">
        <v>2</v>
      </c>
      <c r="N515" s="41">
        <v>3</v>
      </c>
      <c r="O515" s="40">
        <v>5</v>
      </c>
      <c r="P515" s="40">
        <v>5</v>
      </c>
      <c r="Q515" s="41">
        <v>6</v>
      </c>
      <c r="R515" s="40">
        <v>3</v>
      </c>
      <c r="S515" s="40">
        <v>6</v>
      </c>
      <c r="T515" s="40">
        <v>1</v>
      </c>
      <c r="U515" s="40">
        <v>6</v>
      </c>
      <c r="V515" s="40" t="s">
        <v>45</v>
      </c>
      <c r="W515" s="40" t="s">
        <v>45</v>
      </c>
      <c r="X515" s="40">
        <v>2</v>
      </c>
      <c r="Y515" s="40">
        <v>6</v>
      </c>
      <c r="Z515" s="40" t="s">
        <v>45</v>
      </c>
      <c r="AA515" s="40" t="s">
        <v>45</v>
      </c>
      <c r="AB515" s="40" t="s">
        <v>45</v>
      </c>
      <c r="AC515" s="40" t="s">
        <v>45</v>
      </c>
      <c r="AD515" s="40" t="s">
        <v>45</v>
      </c>
      <c r="AE515" s="40" t="s">
        <v>45</v>
      </c>
      <c r="AF515" s="40">
        <v>3</v>
      </c>
      <c r="AG515" s="40">
        <v>4</v>
      </c>
      <c r="AH515" s="40" t="s">
        <v>45</v>
      </c>
      <c r="AI515" s="40" t="s">
        <v>45</v>
      </c>
      <c r="AJ515" s="40" t="s">
        <v>45</v>
      </c>
      <c r="AK515" s="40" t="s">
        <v>45</v>
      </c>
      <c r="AL515" s="40" t="s">
        <v>45</v>
      </c>
      <c r="AM515" s="40" t="s">
        <v>45</v>
      </c>
      <c r="AN515" s="40" t="s">
        <v>45</v>
      </c>
      <c r="AO515" s="41" t="s">
        <v>45</v>
      </c>
      <c r="AP515" s="40" t="s">
        <v>350</v>
      </c>
      <c r="AQ515" s="40">
        <v>9</v>
      </c>
      <c r="AR515" s="48" t="s">
        <v>347</v>
      </c>
      <c r="AS515" s="43" t="s">
        <v>408</v>
      </c>
      <c r="AT515" s="43" t="s">
        <v>635</v>
      </c>
      <c r="AU515" s="44">
        <f t="shared" si="56"/>
        <v>-2.0214113894293222</v>
      </c>
      <c r="AV515" s="44">
        <f t="shared" si="57"/>
        <v>0.51610550679694134</v>
      </c>
      <c r="AW515" s="45">
        <f t="shared" si="58"/>
        <v>4</v>
      </c>
      <c r="AX515" s="45">
        <f t="shared" si="59"/>
        <v>3</v>
      </c>
      <c r="AY515" s="46">
        <f>VLOOKUP(AP515,COND!$A$10:$B$32,2,FALSE)</f>
        <v>1</v>
      </c>
      <c r="AZ515" s="44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67.217827858052956</v>
      </c>
      <c r="BA515" s="47">
        <f t="shared" si="62"/>
        <v>2.0854880876663331</v>
      </c>
      <c r="BB515" s="45" t="str">
        <f t="shared" si="60"/>
        <v>SP</v>
      </c>
      <c r="BC515" s="45">
        <f>RANK(Table3[[#This Row],[zScore]],Table3[zScore])</f>
        <v>23</v>
      </c>
      <c r="BD515" s="45"/>
      <c r="BE515" s="45"/>
      <c r="BF515" s="45" t="str">
        <f t="shared" si="61"/>
        <v>Possible</v>
      </c>
      <c r="BG515" s="45"/>
      <c r="BH515" s="45">
        <f>INDEX(Table5[[#All],[Ovr]],MATCH(Table3[[#This Row],[PID]],Table5[[#All],[PID]],0))</f>
        <v>47</v>
      </c>
      <c r="BI515" s="45" t="str">
        <f>INDEX(Table5[[#All],[Rnd]],MATCH(Table3[[#This Row],[PID]],Table5[[#All],[PID]],0))</f>
        <v>2</v>
      </c>
      <c r="BJ515" s="45">
        <f>INDEX(Table5[[#All],[Pick]],MATCH(Table3[[#This Row],[PID]],Table5[[#All],[PID]],0))</f>
        <v>12</v>
      </c>
      <c r="BK515" s="45" t="str">
        <f>INDEX(Table5[[#All],[Team]],MATCH(Table3[[#This Row],[PID]],Table5[[#All],[PID]],0))</f>
        <v>Hartford Harpoon</v>
      </c>
      <c r="BL5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6" spans="1:64" ht="15" customHeight="1" x14ac:dyDescent="0.25">
      <c r="A516" s="40">
        <v>18449</v>
      </c>
      <c r="B516" s="40" t="s">
        <v>24</v>
      </c>
      <c r="C516" s="40" t="s">
        <v>1017</v>
      </c>
      <c r="D516" s="40" t="s">
        <v>1813</v>
      </c>
      <c r="E516" s="40">
        <v>18</v>
      </c>
      <c r="F516" s="40" t="s">
        <v>62</v>
      </c>
      <c r="G516" s="40" t="s">
        <v>42</v>
      </c>
      <c r="H516" s="41" t="s">
        <v>634</v>
      </c>
      <c r="I516" s="42" t="s">
        <v>43</v>
      </c>
      <c r="J516" s="40" t="s">
        <v>47</v>
      </c>
      <c r="K516" s="41" t="s">
        <v>43</v>
      </c>
      <c r="L516" s="40">
        <v>2</v>
      </c>
      <c r="M516" s="40">
        <v>2</v>
      </c>
      <c r="N516" s="41">
        <v>2</v>
      </c>
      <c r="O516" s="40">
        <v>6</v>
      </c>
      <c r="P516" s="40">
        <v>5</v>
      </c>
      <c r="Q516" s="41">
        <v>5</v>
      </c>
      <c r="R516" s="40">
        <v>4</v>
      </c>
      <c r="S516" s="40">
        <v>7</v>
      </c>
      <c r="T516" s="40" t="s">
        <v>45</v>
      </c>
      <c r="U516" s="40" t="s">
        <v>45</v>
      </c>
      <c r="V516" s="40">
        <v>2</v>
      </c>
      <c r="W516" s="40">
        <v>8</v>
      </c>
      <c r="X516" s="40">
        <v>2</v>
      </c>
      <c r="Y516" s="40">
        <v>8</v>
      </c>
      <c r="Z516" s="40" t="s">
        <v>45</v>
      </c>
      <c r="AA516" s="40" t="s">
        <v>45</v>
      </c>
      <c r="AB516" s="40" t="s">
        <v>45</v>
      </c>
      <c r="AC516" s="40" t="s">
        <v>45</v>
      </c>
      <c r="AD516" s="40">
        <v>3</v>
      </c>
      <c r="AE516" s="40">
        <v>4</v>
      </c>
      <c r="AF516" s="40" t="s">
        <v>45</v>
      </c>
      <c r="AG516" s="40" t="s">
        <v>45</v>
      </c>
      <c r="AH516" s="40" t="s">
        <v>45</v>
      </c>
      <c r="AI516" s="40" t="s">
        <v>45</v>
      </c>
      <c r="AJ516" s="40" t="s">
        <v>45</v>
      </c>
      <c r="AK516" s="40" t="s">
        <v>45</v>
      </c>
      <c r="AL516" s="40" t="s">
        <v>45</v>
      </c>
      <c r="AM516" s="40" t="s">
        <v>45</v>
      </c>
      <c r="AN516" s="40" t="s">
        <v>45</v>
      </c>
      <c r="AO516" s="41" t="s">
        <v>45</v>
      </c>
      <c r="AP516" s="40" t="s">
        <v>58</v>
      </c>
      <c r="AQ516" s="40">
        <v>6</v>
      </c>
      <c r="AR516" s="48" t="s">
        <v>347</v>
      </c>
      <c r="AS516" s="43" t="s">
        <v>666</v>
      </c>
      <c r="AT516" s="43" t="s">
        <v>47</v>
      </c>
      <c r="AU516" s="44">
        <f t="shared" si="56"/>
        <v>-2.0690406309742588</v>
      </c>
      <c r="AV516" s="44">
        <f t="shared" si="57"/>
        <v>0.46847626525200436</v>
      </c>
      <c r="AW516" s="45">
        <f t="shared" si="58"/>
        <v>4</v>
      </c>
      <c r="AX516" s="45">
        <f t="shared" si="59"/>
        <v>3</v>
      </c>
      <c r="AY516" s="46">
        <f>VLOOKUP(AP516,COND!$A$10:$B$32,2,FALSE)</f>
        <v>1</v>
      </c>
      <c r="AZ516" s="44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66.6380742493741</v>
      </c>
      <c r="BA516" s="47">
        <f t="shared" si="62"/>
        <v>2.0469179660075447</v>
      </c>
      <c r="BB516" s="45" t="str">
        <f t="shared" si="60"/>
        <v>SP</v>
      </c>
      <c r="BC516" s="45">
        <f>RANK(Table3[[#This Row],[zScore]],Table3[zScore])</f>
        <v>24</v>
      </c>
      <c r="BD516" s="45"/>
      <c r="BE516" s="45"/>
      <c r="BF516" s="45" t="str">
        <f t="shared" si="61"/>
        <v>Possible</v>
      </c>
      <c r="BG516" s="45"/>
      <c r="BH516" s="45">
        <f>INDEX(Table5[[#All],[Ovr]],MATCH(Table3[[#This Row],[PID]],Table5[[#All],[PID]],0))</f>
        <v>70</v>
      </c>
      <c r="BI516" s="45" t="str">
        <f>INDEX(Table5[[#All],[Rnd]],MATCH(Table3[[#This Row],[PID]],Table5[[#All],[PID]],0))</f>
        <v>3</v>
      </c>
      <c r="BJ516" s="45">
        <f>INDEX(Table5[[#All],[Pick]],MATCH(Table3[[#This Row],[PID]],Table5[[#All],[PID]],0))</f>
        <v>2</v>
      </c>
      <c r="BK516" s="45" t="str">
        <f>INDEX(Table5[[#All],[Team]],MATCH(Table3[[#This Row],[PID]],Table5[[#All],[PID]],0))</f>
        <v>Charleston Statesmen</v>
      </c>
      <c r="BL5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7" spans="1:64" ht="15" customHeight="1" x14ac:dyDescent="0.25">
      <c r="A517" s="40">
        <v>18203</v>
      </c>
      <c r="B517" s="40" t="s">
        <v>24</v>
      </c>
      <c r="C517" s="40" t="s">
        <v>1841</v>
      </c>
      <c r="D517" s="40" t="s">
        <v>421</v>
      </c>
      <c r="E517" s="40">
        <v>18</v>
      </c>
      <c r="F517" s="40" t="s">
        <v>42</v>
      </c>
      <c r="G517" s="40" t="s">
        <v>53</v>
      </c>
      <c r="H517" s="41" t="s">
        <v>638</v>
      </c>
      <c r="I517" s="42" t="s">
        <v>43</v>
      </c>
      <c r="J517" s="40" t="s">
        <v>43</v>
      </c>
      <c r="K517" s="41" t="s">
        <v>43</v>
      </c>
      <c r="L517" s="40">
        <v>2</v>
      </c>
      <c r="M517" s="40">
        <v>2</v>
      </c>
      <c r="N517" s="41">
        <v>2</v>
      </c>
      <c r="O517" s="40">
        <v>6</v>
      </c>
      <c r="P517" s="40">
        <v>4</v>
      </c>
      <c r="Q517" s="41">
        <v>6</v>
      </c>
      <c r="R517" s="40">
        <v>5</v>
      </c>
      <c r="S517" s="40">
        <v>8</v>
      </c>
      <c r="T517" s="40">
        <v>1</v>
      </c>
      <c r="U517" s="40">
        <v>1</v>
      </c>
      <c r="V517" s="40" t="s">
        <v>45</v>
      </c>
      <c r="W517" s="40" t="s">
        <v>45</v>
      </c>
      <c r="X517" s="40">
        <v>3</v>
      </c>
      <c r="Y517" s="40">
        <v>9</v>
      </c>
      <c r="Z517" s="40" t="s">
        <v>45</v>
      </c>
      <c r="AA517" s="40" t="s">
        <v>45</v>
      </c>
      <c r="AB517" s="40" t="s">
        <v>45</v>
      </c>
      <c r="AC517" s="40" t="s">
        <v>45</v>
      </c>
      <c r="AD517" s="40" t="s">
        <v>45</v>
      </c>
      <c r="AE517" s="40" t="s">
        <v>45</v>
      </c>
      <c r="AF517" s="40" t="s">
        <v>45</v>
      </c>
      <c r="AG517" s="40" t="s">
        <v>45</v>
      </c>
      <c r="AH517" s="40" t="s">
        <v>45</v>
      </c>
      <c r="AI517" s="40" t="s">
        <v>45</v>
      </c>
      <c r="AJ517" s="40" t="s">
        <v>45</v>
      </c>
      <c r="AK517" s="40" t="s">
        <v>45</v>
      </c>
      <c r="AL517" s="40" t="s">
        <v>45</v>
      </c>
      <c r="AM517" s="40" t="s">
        <v>45</v>
      </c>
      <c r="AN517" s="40" t="s">
        <v>45</v>
      </c>
      <c r="AO517" s="41" t="s">
        <v>45</v>
      </c>
      <c r="AP517" s="40" t="s">
        <v>60</v>
      </c>
      <c r="AQ517" s="40">
        <v>6</v>
      </c>
      <c r="AR517" s="48" t="s">
        <v>347</v>
      </c>
      <c r="AS517" s="43" t="s">
        <v>546</v>
      </c>
      <c r="AT517" s="43" t="s">
        <v>47</v>
      </c>
      <c r="AU517" s="44">
        <f t="shared" ref="AU517:AU580" si="63">($O$3*(L517-$O$1)/$O$2+$P$3*(M517-$P$1)/$P$2+$Q$3*(N517-$P$1)/$Q$2)/SUM($O$3:$Q$3)</f>
        <v>-2.0690406309742588</v>
      </c>
      <c r="AV517" s="44">
        <f t="shared" ref="AV517:AV580" si="64">($O$3*(O517-$O$1)/$O$2+$P$3*(P517-$P$1)/$P$2+$Q$3*(Q517-$Q$1)/$Q$2)/SUM($O$3:$Q$3)</f>
        <v>0.5153651148760594</v>
      </c>
      <c r="AW517" s="45">
        <f t="shared" ref="AW517:AW580" si="65">COUNT(R517:AO517)/2</f>
        <v>3</v>
      </c>
      <c r="AX517" s="45">
        <f t="shared" ref="AX517:AX580" si="66"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2</v>
      </c>
      <c r="AY517" s="46">
        <f>VLOOKUP(AP517,COND!$A$10:$B$32,2,FALSE)</f>
        <v>1.0249999999999999</v>
      </c>
      <c r="AZ517" s="44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65.884810737469252</v>
      </c>
      <c r="BA517" s="47">
        <f t="shared" si="62"/>
        <v>1.996804495629148</v>
      </c>
      <c r="BB517" s="45" t="str">
        <f t="shared" ref="BB517:BB580" si="67">IF(OR(AND(AQ517&gt;7,AX517&gt;1),AND(AQ517&gt;4,AW517&gt;2)),"SP","RP")</f>
        <v>SP</v>
      </c>
      <c r="BC517" s="45">
        <f>RANK(Table3[[#This Row],[zScore]],Table3[zScore])</f>
        <v>26</v>
      </c>
      <c r="BD517" s="45"/>
      <c r="BE517" s="45"/>
      <c r="BF517" s="45" t="str">
        <f t="shared" ref="BF517:BF580" si="68">IF(AVERAGE($O517:$Q517)&gt;=6,"Likely",IF(AVERAGE($O517:$Q517)&gt;=4,"Possible","Unlikely"))</f>
        <v>Possible</v>
      </c>
      <c r="BG517" s="45"/>
      <c r="BH517" s="45">
        <f>INDEX(Table5[[#All],[Ovr]],MATCH(Table3[[#This Row],[PID]],Table5[[#All],[PID]],0))</f>
        <v>108</v>
      </c>
      <c r="BI517" s="45" t="str">
        <f>INDEX(Table5[[#All],[Rnd]],MATCH(Table3[[#This Row],[PID]],Table5[[#All],[PID]],0))</f>
        <v>4</v>
      </c>
      <c r="BJ517" s="45">
        <f>INDEX(Table5[[#All],[Pick]],MATCH(Table3[[#This Row],[PID]],Table5[[#All],[PID]],0))</f>
        <v>8</v>
      </c>
      <c r="BK517" s="45" t="str">
        <f>INDEX(Table5[[#All],[Team]],MATCH(Table3[[#This Row],[PID]],Table5[[#All],[PID]],0))</f>
        <v>Hartford Harpoon</v>
      </c>
      <c r="BL5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8" spans="1:64" ht="15" customHeight="1" x14ac:dyDescent="0.25">
      <c r="A518" s="40">
        <v>18319</v>
      </c>
      <c r="B518" s="40" t="s">
        <v>24</v>
      </c>
      <c r="C518" s="40" t="s">
        <v>1798</v>
      </c>
      <c r="D518" s="40" t="s">
        <v>740</v>
      </c>
      <c r="E518" s="40">
        <v>21</v>
      </c>
      <c r="F518" s="40" t="s">
        <v>53</v>
      </c>
      <c r="G518" s="40" t="s">
        <v>53</v>
      </c>
      <c r="H518" s="41" t="s">
        <v>633</v>
      </c>
      <c r="I518" s="42" t="s">
        <v>43</v>
      </c>
      <c r="J518" s="40" t="s">
        <v>43</v>
      </c>
      <c r="K518" s="41" t="s">
        <v>43</v>
      </c>
      <c r="L518" s="40">
        <v>5</v>
      </c>
      <c r="M518" s="40">
        <v>4</v>
      </c>
      <c r="N518" s="41">
        <v>4</v>
      </c>
      <c r="O518" s="40">
        <v>7</v>
      </c>
      <c r="P518" s="40">
        <v>6</v>
      </c>
      <c r="Q518" s="41">
        <v>4</v>
      </c>
      <c r="R518" s="40">
        <v>7</v>
      </c>
      <c r="S518" s="40">
        <v>8</v>
      </c>
      <c r="T518" s="40" t="s">
        <v>45</v>
      </c>
      <c r="U518" s="40" t="s">
        <v>45</v>
      </c>
      <c r="V518" s="40">
        <v>3</v>
      </c>
      <c r="W518" s="40">
        <v>7</v>
      </c>
      <c r="X518" s="40" t="s">
        <v>45</v>
      </c>
      <c r="Y518" s="40" t="s">
        <v>45</v>
      </c>
      <c r="Z518" s="40" t="s">
        <v>45</v>
      </c>
      <c r="AA518" s="40" t="s">
        <v>45</v>
      </c>
      <c r="AB518" s="40">
        <v>6</v>
      </c>
      <c r="AC518" s="40">
        <v>8</v>
      </c>
      <c r="AD518" s="40" t="s">
        <v>45</v>
      </c>
      <c r="AE518" s="40" t="s">
        <v>45</v>
      </c>
      <c r="AF518" s="40" t="s">
        <v>45</v>
      </c>
      <c r="AG518" s="40" t="s">
        <v>45</v>
      </c>
      <c r="AH518" s="40" t="s">
        <v>45</v>
      </c>
      <c r="AI518" s="40" t="s">
        <v>45</v>
      </c>
      <c r="AJ518" s="40" t="s">
        <v>45</v>
      </c>
      <c r="AK518" s="40" t="s">
        <v>45</v>
      </c>
      <c r="AL518" s="40" t="s">
        <v>45</v>
      </c>
      <c r="AM518" s="40" t="s">
        <v>45</v>
      </c>
      <c r="AN518" s="40" t="s">
        <v>45</v>
      </c>
      <c r="AO518" s="41" t="s">
        <v>45</v>
      </c>
      <c r="AP518" s="40" t="s">
        <v>63</v>
      </c>
      <c r="AQ518" s="40">
        <v>9</v>
      </c>
      <c r="AR518" s="48" t="s">
        <v>347</v>
      </c>
      <c r="AS518" s="43" t="s">
        <v>666</v>
      </c>
      <c r="AT518" s="43" t="s">
        <v>47</v>
      </c>
      <c r="AU518" s="44">
        <f t="shared" si="63"/>
        <v>-0.60946209247840655</v>
      </c>
      <c r="AV518" s="44">
        <f t="shared" si="64"/>
        <v>0.61627874013712292</v>
      </c>
      <c r="AW518" s="45">
        <f t="shared" si="65"/>
        <v>3</v>
      </c>
      <c r="AX518" s="45">
        <f t="shared" si="66"/>
        <v>3</v>
      </c>
      <c r="AY518" s="46">
        <f>VLOOKUP(AP518,COND!$A$10:$B$32,2,FALSE)</f>
        <v>1.075</v>
      </c>
      <c r="AZ518" s="44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65.762708563065274</v>
      </c>
      <c r="BA518" s="47">
        <f t="shared" si="62"/>
        <v>1.9886812245514638</v>
      </c>
      <c r="BB518" s="45" t="str">
        <f t="shared" si="67"/>
        <v>SP</v>
      </c>
      <c r="BC518" s="45">
        <f>RANK(Table3[[#This Row],[zScore]],Table3[zScore])</f>
        <v>28</v>
      </c>
      <c r="BD518" s="45"/>
      <c r="BE518" s="45"/>
      <c r="BF518" s="45" t="str">
        <f t="shared" si="68"/>
        <v>Possible</v>
      </c>
      <c r="BG518" s="45"/>
      <c r="BH518" s="45">
        <f>INDEX(Table5[[#All],[Ovr]],MATCH(Table3[[#This Row],[PID]],Table5[[#All],[PID]],0))</f>
        <v>21</v>
      </c>
      <c r="BI518" s="45" t="str">
        <f>INDEX(Table5[[#All],[Rnd]],MATCH(Table3[[#This Row],[PID]],Table5[[#All],[PID]],0))</f>
        <v>1</v>
      </c>
      <c r="BJ518" s="45">
        <f>INDEX(Table5[[#All],[Pick]],MATCH(Table3[[#This Row],[PID]],Table5[[#All],[PID]],0))</f>
        <v>21</v>
      </c>
      <c r="BK518" s="45" t="str">
        <f>INDEX(Table5[[#All],[Team]],MATCH(Table3[[#This Row],[PID]],Table5[[#All],[PID]],0))</f>
        <v>Reno Zephyrs</v>
      </c>
      <c r="BL51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19" spans="1:64" ht="15" customHeight="1" x14ac:dyDescent="0.25">
      <c r="A519" s="40">
        <v>18189</v>
      </c>
      <c r="B519" s="40" t="s">
        <v>24</v>
      </c>
      <c r="C519" s="40" t="s">
        <v>1331</v>
      </c>
      <c r="D519" s="40" t="s">
        <v>331</v>
      </c>
      <c r="E519" s="40">
        <v>18</v>
      </c>
      <c r="F519" s="40" t="s">
        <v>42</v>
      </c>
      <c r="G519" s="40" t="s">
        <v>42</v>
      </c>
      <c r="H519" s="41" t="s">
        <v>633</v>
      </c>
      <c r="I519" s="42" t="s">
        <v>43</v>
      </c>
      <c r="J519" s="40" t="s">
        <v>43</v>
      </c>
      <c r="K519" s="41" t="s">
        <v>43</v>
      </c>
      <c r="L519" s="40">
        <v>2</v>
      </c>
      <c r="M519" s="40">
        <v>3</v>
      </c>
      <c r="N519" s="41">
        <v>1</v>
      </c>
      <c r="O519" s="40">
        <v>5</v>
      </c>
      <c r="P519" s="40">
        <v>6</v>
      </c>
      <c r="Q519" s="41">
        <v>5</v>
      </c>
      <c r="R519" s="40">
        <v>4</v>
      </c>
      <c r="S519" s="40">
        <v>6</v>
      </c>
      <c r="T519" s="40">
        <v>1</v>
      </c>
      <c r="U519" s="40">
        <v>4</v>
      </c>
      <c r="V519" s="40" t="s">
        <v>45</v>
      </c>
      <c r="W519" s="40" t="s">
        <v>45</v>
      </c>
      <c r="X519" s="40">
        <v>2</v>
      </c>
      <c r="Y519" s="40">
        <v>5</v>
      </c>
      <c r="Z519" s="40" t="s">
        <v>45</v>
      </c>
      <c r="AA519" s="40" t="s">
        <v>45</v>
      </c>
      <c r="AB519" s="40" t="s">
        <v>45</v>
      </c>
      <c r="AC519" s="40" t="s">
        <v>45</v>
      </c>
      <c r="AD519" s="40">
        <v>4</v>
      </c>
      <c r="AE519" s="40">
        <v>7</v>
      </c>
      <c r="AF519" s="40" t="s">
        <v>45</v>
      </c>
      <c r="AG519" s="40" t="s">
        <v>45</v>
      </c>
      <c r="AH519" s="40" t="s">
        <v>45</v>
      </c>
      <c r="AI519" s="40" t="s">
        <v>45</v>
      </c>
      <c r="AJ519" s="40" t="s">
        <v>45</v>
      </c>
      <c r="AK519" s="40" t="s">
        <v>45</v>
      </c>
      <c r="AL519" s="40" t="s">
        <v>45</v>
      </c>
      <c r="AM519" s="40" t="s">
        <v>45</v>
      </c>
      <c r="AN519" s="40" t="s">
        <v>45</v>
      </c>
      <c r="AO519" s="41" t="s">
        <v>45</v>
      </c>
      <c r="AP519" s="40" t="s">
        <v>58</v>
      </c>
      <c r="AQ519" s="40">
        <v>9</v>
      </c>
      <c r="AR519" s="48" t="s">
        <v>347</v>
      </c>
      <c r="AS519" s="43" t="s">
        <v>410</v>
      </c>
      <c r="AT519" s="43" t="s">
        <v>47</v>
      </c>
      <c r="AU519" s="44">
        <f t="shared" si="63"/>
        <v>-2.1159294805983135</v>
      </c>
      <c r="AV519" s="44">
        <f t="shared" si="64"/>
        <v>0.4692166571728863</v>
      </c>
      <c r="AW519" s="45">
        <f t="shared" si="65"/>
        <v>4</v>
      </c>
      <c r="AX519" s="45">
        <f t="shared" si="66"/>
        <v>2</v>
      </c>
      <c r="AY519" s="46">
        <f>VLOOKUP(AP519,COND!$A$10:$B$32,2,FALSE)</f>
        <v>1</v>
      </c>
      <c r="AZ519" s="44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65.461147247338062</v>
      </c>
      <c r="BA519" s="47">
        <f t="shared" si="62"/>
        <v>1.9686188110346452</v>
      </c>
      <c r="BB519" s="45" t="str">
        <f t="shared" si="67"/>
        <v>SP</v>
      </c>
      <c r="BC519" s="45">
        <f>RANK(Table3[[#This Row],[zScore]],Table3[zScore])</f>
        <v>31</v>
      </c>
      <c r="BD519" s="45"/>
      <c r="BE519" s="45"/>
      <c r="BF519" s="45" t="str">
        <f t="shared" si="68"/>
        <v>Possible</v>
      </c>
      <c r="BG519" s="45"/>
      <c r="BH519" s="45">
        <f>INDEX(Table5[[#All],[Ovr]],MATCH(Table3[[#This Row],[PID]],Table5[[#All],[PID]],0))</f>
        <v>41</v>
      </c>
      <c r="BI519" s="45" t="str">
        <f>INDEX(Table5[[#All],[Rnd]],MATCH(Table3[[#This Row],[PID]],Table5[[#All],[PID]],0))</f>
        <v>2</v>
      </c>
      <c r="BJ519" s="45">
        <f>INDEX(Table5[[#All],[Pick]],MATCH(Table3[[#This Row],[PID]],Table5[[#All],[PID]],0))</f>
        <v>6</v>
      </c>
      <c r="BK519" s="45" t="str">
        <f>INDEX(Table5[[#All],[Team]],MATCH(Table3[[#This Row],[PID]],Table5[[#All],[PID]],0))</f>
        <v>Charleston Statesmen</v>
      </c>
      <c r="BL5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0" spans="1:64" ht="15" customHeight="1" x14ac:dyDescent="0.25">
      <c r="A520" s="40">
        <v>21079</v>
      </c>
      <c r="B520" s="40" t="s">
        <v>24</v>
      </c>
      <c r="C520" s="40" t="s">
        <v>404</v>
      </c>
      <c r="D520" s="40" t="s">
        <v>191</v>
      </c>
      <c r="E520" s="40">
        <v>17</v>
      </c>
      <c r="F520" s="40" t="s">
        <v>42</v>
      </c>
      <c r="G520" s="40" t="s">
        <v>42</v>
      </c>
      <c r="H520" s="41" t="s">
        <v>633</v>
      </c>
      <c r="I520" s="42" t="s">
        <v>44</v>
      </c>
      <c r="J520" s="40" t="s">
        <v>43</v>
      </c>
      <c r="K520" s="41" t="s">
        <v>43</v>
      </c>
      <c r="L520" s="40">
        <v>2</v>
      </c>
      <c r="M520" s="40">
        <v>2</v>
      </c>
      <c r="N520" s="41">
        <v>1</v>
      </c>
      <c r="O520" s="40">
        <v>5</v>
      </c>
      <c r="P520" s="40">
        <v>6</v>
      </c>
      <c r="Q520" s="41">
        <v>5</v>
      </c>
      <c r="R520" s="40">
        <v>4</v>
      </c>
      <c r="S520" s="40">
        <v>7</v>
      </c>
      <c r="T520" s="40">
        <v>1</v>
      </c>
      <c r="U520" s="40">
        <v>1</v>
      </c>
      <c r="V520" s="40" t="s">
        <v>45</v>
      </c>
      <c r="W520" s="40" t="s">
        <v>45</v>
      </c>
      <c r="X520" s="40">
        <v>2</v>
      </c>
      <c r="Y520" s="40">
        <v>6</v>
      </c>
      <c r="Z520" s="40" t="s">
        <v>45</v>
      </c>
      <c r="AA520" s="40" t="s">
        <v>45</v>
      </c>
      <c r="AB520" s="40" t="s">
        <v>45</v>
      </c>
      <c r="AC520" s="40" t="s">
        <v>45</v>
      </c>
      <c r="AD520" s="40" t="s">
        <v>45</v>
      </c>
      <c r="AE520" s="40" t="s">
        <v>45</v>
      </c>
      <c r="AF520" s="40">
        <v>3</v>
      </c>
      <c r="AG520" s="40">
        <v>5</v>
      </c>
      <c r="AH520" s="40" t="s">
        <v>45</v>
      </c>
      <c r="AI520" s="40" t="s">
        <v>45</v>
      </c>
      <c r="AJ520" s="40" t="s">
        <v>45</v>
      </c>
      <c r="AK520" s="40" t="s">
        <v>45</v>
      </c>
      <c r="AL520" s="40" t="s">
        <v>45</v>
      </c>
      <c r="AM520" s="40" t="s">
        <v>45</v>
      </c>
      <c r="AN520" s="40" t="s">
        <v>45</v>
      </c>
      <c r="AO520" s="41" t="s">
        <v>45</v>
      </c>
      <c r="AP520" s="40" t="s">
        <v>57</v>
      </c>
      <c r="AQ520" s="40">
        <v>7</v>
      </c>
      <c r="AR520" s="48" t="s">
        <v>347</v>
      </c>
      <c r="AS520" s="43" t="s">
        <v>412</v>
      </c>
      <c r="AT520" s="43" t="s">
        <v>47</v>
      </c>
      <c r="AU520" s="44">
        <f t="shared" si="63"/>
        <v>-2.311361197028369</v>
      </c>
      <c r="AV520" s="44">
        <f t="shared" si="64"/>
        <v>0.4692166571728863</v>
      </c>
      <c r="AW520" s="45">
        <f t="shared" si="65"/>
        <v>4</v>
      </c>
      <c r="AX520" s="45">
        <f t="shared" si="66"/>
        <v>2</v>
      </c>
      <c r="AY520" s="46">
        <f>VLOOKUP(AP520,COND!$A$10:$B$32,2,FALSE)</f>
        <v>1</v>
      </c>
      <c r="AZ520" s="44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65.272060904052054</v>
      </c>
      <c r="BA520" s="47">
        <f t="shared" si="62"/>
        <v>1.9560391855603403</v>
      </c>
      <c r="BB520" s="45" t="str">
        <f t="shared" si="67"/>
        <v>SP</v>
      </c>
      <c r="BC520" s="45">
        <f>RANK(Table3[[#This Row],[zScore]],Table3[zScore])</f>
        <v>33</v>
      </c>
      <c r="BD520" s="45"/>
      <c r="BE520" s="45"/>
      <c r="BF520" s="45" t="str">
        <f t="shared" si="68"/>
        <v>Possible</v>
      </c>
      <c r="BG520" s="45"/>
      <c r="BH520" s="45">
        <f>INDEX(Table5[[#All],[Ovr]],MATCH(Table3[[#This Row],[PID]],Table5[[#All],[PID]],0))</f>
        <v>102</v>
      </c>
      <c r="BI520" s="45" t="str">
        <f>INDEX(Table5[[#All],[Rnd]],MATCH(Table3[[#This Row],[PID]],Table5[[#All],[PID]],0))</f>
        <v>4</v>
      </c>
      <c r="BJ520" s="45">
        <f>INDEX(Table5[[#All],[Pick]],MATCH(Table3[[#This Row],[PID]],Table5[[#All],[PID]],0))</f>
        <v>2</v>
      </c>
      <c r="BK520" s="45" t="str">
        <f>INDEX(Table5[[#All],[Team]],MATCH(Table3[[#This Row],[PID]],Table5[[#All],[PID]],0))</f>
        <v>Charleston Statesmen</v>
      </c>
      <c r="BL5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1" spans="1:64" ht="15" customHeight="1" x14ac:dyDescent="0.25">
      <c r="A521" s="40">
        <v>18265</v>
      </c>
      <c r="B521" s="40" t="s">
        <v>24</v>
      </c>
      <c r="C521" s="40" t="s">
        <v>184</v>
      </c>
      <c r="D521" s="40" t="s">
        <v>1887</v>
      </c>
      <c r="E521" s="40">
        <v>18</v>
      </c>
      <c r="F521" s="40" t="s">
        <v>62</v>
      </c>
      <c r="G521" s="40" t="s">
        <v>42</v>
      </c>
      <c r="H521" s="41" t="s">
        <v>638</v>
      </c>
      <c r="I521" s="42" t="s">
        <v>43</v>
      </c>
      <c r="J521" s="40" t="s">
        <v>43</v>
      </c>
      <c r="K521" s="41" t="s">
        <v>43</v>
      </c>
      <c r="L521" s="40">
        <v>2</v>
      </c>
      <c r="M521" s="40">
        <v>3</v>
      </c>
      <c r="N521" s="41">
        <v>1</v>
      </c>
      <c r="O521" s="40">
        <v>6</v>
      </c>
      <c r="P521" s="40">
        <v>5</v>
      </c>
      <c r="Q521" s="41">
        <v>5</v>
      </c>
      <c r="R521" s="40">
        <v>5</v>
      </c>
      <c r="S521" s="40">
        <v>9</v>
      </c>
      <c r="T521" s="40">
        <v>1</v>
      </c>
      <c r="U521" s="40">
        <v>2</v>
      </c>
      <c r="V521" s="40">
        <v>2</v>
      </c>
      <c r="W521" s="40">
        <v>8</v>
      </c>
      <c r="X521" s="40" t="s">
        <v>45</v>
      </c>
      <c r="Y521" s="40" t="s">
        <v>45</v>
      </c>
      <c r="Z521" s="40" t="s">
        <v>45</v>
      </c>
      <c r="AA521" s="40" t="s">
        <v>45</v>
      </c>
      <c r="AB521" s="40" t="s">
        <v>45</v>
      </c>
      <c r="AC521" s="40" t="s">
        <v>45</v>
      </c>
      <c r="AD521" s="40" t="s">
        <v>45</v>
      </c>
      <c r="AE521" s="40" t="s">
        <v>45</v>
      </c>
      <c r="AF521" s="40" t="s">
        <v>45</v>
      </c>
      <c r="AG521" s="40" t="s">
        <v>45</v>
      </c>
      <c r="AH521" s="40" t="s">
        <v>45</v>
      </c>
      <c r="AI521" s="40" t="s">
        <v>45</v>
      </c>
      <c r="AJ521" s="40" t="s">
        <v>45</v>
      </c>
      <c r="AK521" s="40" t="s">
        <v>45</v>
      </c>
      <c r="AL521" s="40" t="s">
        <v>45</v>
      </c>
      <c r="AM521" s="40" t="s">
        <v>45</v>
      </c>
      <c r="AN521" s="40" t="s">
        <v>45</v>
      </c>
      <c r="AO521" s="41" t="s">
        <v>45</v>
      </c>
      <c r="AP521" s="40" t="s">
        <v>54</v>
      </c>
      <c r="AQ521" s="40">
        <v>9</v>
      </c>
      <c r="AR521" s="48" t="s">
        <v>346</v>
      </c>
      <c r="AS521" s="43" t="s">
        <v>558</v>
      </c>
      <c r="AT521" s="43" t="s">
        <v>635</v>
      </c>
      <c r="AU521" s="44">
        <f t="shared" si="63"/>
        <v>-2.1159294805983135</v>
      </c>
      <c r="AV521" s="44">
        <f t="shared" si="64"/>
        <v>0.46847626525200436</v>
      </c>
      <c r="AW521" s="45">
        <f t="shared" si="65"/>
        <v>3</v>
      </c>
      <c r="AX521" s="45">
        <f t="shared" si="66"/>
        <v>2</v>
      </c>
      <c r="AY521" s="46">
        <f>VLOOKUP(AP521,COND!$A$10:$B$32,2,FALSE)</f>
        <v>1.0249999999999999</v>
      </c>
      <c r="AZ521" s="44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65.269997894143444</v>
      </c>
      <c r="BA521" s="47">
        <f t="shared" si="62"/>
        <v>1.9559019366636241</v>
      </c>
      <c r="BB521" s="45" t="str">
        <f t="shared" si="67"/>
        <v>SP</v>
      </c>
      <c r="BC521" s="45">
        <f>RANK(Table3[[#This Row],[zScore]],Table3[zScore])</f>
        <v>34</v>
      </c>
      <c r="BD521" s="45"/>
      <c r="BE521" s="45"/>
      <c r="BF521" s="45" t="str">
        <f t="shared" si="68"/>
        <v>Possible</v>
      </c>
      <c r="BG521" s="45"/>
      <c r="BH521" s="45">
        <f>INDEX(Table5[[#All],[Ovr]],MATCH(Table3[[#This Row],[PID]],Table5[[#All],[PID]],0))</f>
        <v>74</v>
      </c>
      <c r="BI521" s="45" t="str">
        <f>INDEX(Table5[[#All],[Rnd]],MATCH(Table3[[#This Row],[PID]],Table5[[#All],[PID]],0))</f>
        <v>3</v>
      </c>
      <c r="BJ521" s="45">
        <f>INDEX(Table5[[#All],[Pick]],MATCH(Table3[[#This Row],[PID]],Table5[[#All],[PID]],0))</f>
        <v>6</v>
      </c>
      <c r="BK521" s="45" t="str">
        <f>INDEX(Table5[[#All],[Team]],MATCH(Table3[[#This Row],[PID]],Table5[[#All],[PID]],0))</f>
        <v>Manchester Maulers</v>
      </c>
      <c r="BL5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2" spans="1:64" ht="15" customHeight="1" x14ac:dyDescent="0.25">
      <c r="A522" s="40">
        <v>14616</v>
      </c>
      <c r="B522" s="40" t="s">
        <v>24</v>
      </c>
      <c r="C522" s="40" t="s">
        <v>1880</v>
      </c>
      <c r="D522" s="40" t="s">
        <v>836</v>
      </c>
      <c r="E522" s="40">
        <v>18</v>
      </c>
      <c r="F522" s="40" t="s">
        <v>62</v>
      </c>
      <c r="G522" s="40" t="s">
        <v>42</v>
      </c>
      <c r="H522" s="41" t="s">
        <v>638</v>
      </c>
      <c r="I522" s="42" t="s">
        <v>43</v>
      </c>
      <c r="J522" s="40" t="s">
        <v>44</v>
      </c>
      <c r="K522" s="41" t="s">
        <v>43</v>
      </c>
      <c r="L522" s="40">
        <v>2</v>
      </c>
      <c r="M522" s="40">
        <v>2</v>
      </c>
      <c r="N522" s="41">
        <v>2</v>
      </c>
      <c r="O522" s="40">
        <v>6</v>
      </c>
      <c r="P522" s="40">
        <v>5</v>
      </c>
      <c r="Q522" s="41">
        <v>5</v>
      </c>
      <c r="R522" s="40">
        <v>5</v>
      </c>
      <c r="S522" s="40">
        <v>9</v>
      </c>
      <c r="T522" s="40">
        <v>1</v>
      </c>
      <c r="U522" s="40">
        <v>1</v>
      </c>
      <c r="V522" s="40" t="s">
        <v>45</v>
      </c>
      <c r="W522" s="40" t="s">
        <v>45</v>
      </c>
      <c r="X522" s="40">
        <v>3</v>
      </c>
      <c r="Y522" s="40">
        <v>8</v>
      </c>
      <c r="Z522" s="40" t="s">
        <v>45</v>
      </c>
      <c r="AA522" s="40" t="s">
        <v>45</v>
      </c>
      <c r="AB522" s="40" t="s">
        <v>45</v>
      </c>
      <c r="AC522" s="40" t="s">
        <v>45</v>
      </c>
      <c r="AD522" s="40" t="s">
        <v>45</v>
      </c>
      <c r="AE522" s="40" t="s">
        <v>45</v>
      </c>
      <c r="AF522" s="40" t="s">
        <v>45</v>
      </c>
      <c r="AG522" s="40" t="s">
        <v>45</v>
      </c>
      <c r="AH522" s="40" t="s">
        <v>45</v>
      </c>
      <c r="AI522" s="40" t="s">
        <v>45</v>
      </c>
      <c r="AJ522" s="40" t="s">
        <v>45</v>
      </c>
      <c r="AK522" s="40" t="s">
        <v>45</v>
      </c>
      <c r="AL522" s="40" t="s">
        <v>45</v>
      </c>
      <c r="AM522" s="40" t="s">
        <v>45</v>
      </c>
      <c r="AN522" s="40" t="s">
        <v>45</v>
      </c>
      <c r="AO522" s="41" t="s">
        <v>45</v>
      </c>
      <c r="AP522" s="40" t="s">
        <v>54</v>
      </c>
      <c r="AQ522" s="40">
        <v>9</v>
      </c>
      <c r="AR522" s="48" t="s">
        <v>347</v>
      </c>
      <c r="AS522" s="43" t="s">
        <v>553</v>
      </c>
      <c r="AT522" s="43" t="s">
        <v>47</v>
      </c>
      <c r="AU522" s="44">
        <f t="shared" si="63"/>
        <v>-2.0690406309742588</v>
      </c>
      <c r="AV522" s="44">
        <f t="shared" si="64"/>
        <v>0.46847626525200436</v>
      </c>
      <c r="AW522" s="45">
        <f t="shared" si="65"/>
        <v>3</v>
      </c>
      <c r="AX522" s="45">
        <f t="shared" si="66"/>
        <v>2</v>
      </c>
      <c r="AY522" s="46">
        <f>VLOOKUP(AP522,COND!$A$10:$B$32,2,FALSE)</f>
        <v>1.0249999999999999</v>
      </c>
      <c r="AZ522" s="44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64.979610108316365</v>
      </c>
      <c r="BA522" s="47">
        <f t="shared" si="62"/>
        <v>1.9365828810166918</v>
      </c>
      <c r="BB522" s="45" t="str">
        <f t="shared" si="67"/>
        <v>SP</v>
      </c>
      <c r="BC522" s="45">
        <f>RANK(Table3[[#This Row],[zScore]],Table3[zScore])</f>
        <v>35</v>
      </c>
      <c r="BD522" s="45"/>
      <c r="BE522" s="45"/>
      <c r="BF522" s="45" t="str">
        <f t="shared" si="68"/>
        <v>Possible</v>
      </c>
      <c r="BG522" s="45"/>
      <c r="BH522" s="45">
        <f>INDEX(Table5[[#All],[Ovr]],MATCH(Table3[[#This Row],[PID]],Table5[[#All],[PID]],0))</f>
        <v>87</v>
      </c>
      <c r="BI522" s="45" t="str">
        <f>INDEX(Table5[[#All],[Rnd]],MATCH(Table3[[#This Row],[PID]],Table5[[#All],[PID]],0))</f>
        <v>3</v>
      </c>
      <c r="BJ522" s="45">
        <f>INDEX(Table5[[#All],[Pick]],MATCH(Table3[[#This Row],[PID]],Table5[[#All],[PID]],0))</f>
        <v>19</v>
      </c>
      <c r="BK522" s="45" t="str">
        <f>INDEX(Table5[[#All],[Team]],MATCH(Table3[[#This Row],[PID]],Table5[[#All],[PID]],0))</f>
        <v>Bakersfield Bears</v>
      </c>
      <c r="BL5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3" spans="1:64" ht="15" customHeight="1" x14ac:dyDescent="0.25">
      <c r="A523" s="40">
        <v>18405</v>
      </c>
      <c r="B523" s="40" t="s">
        <v>24</v>
      </c>
      <c r="C523" s="40" t="s">
        <v>1829</v>
      </c>
      <c r="D523" s="40" t="s">
        <v>1830</v>
      </c>
      <c r="E523" s="40">
        <v>18</v>
      </c>
      <c r="F523" s="40" t="s">
        <v>42</v>
      </c>
      <c r="G523" s="40" t="s">
        <v>42</v>
      </c>
      <c r="H523" s="41" t="s">
        <v>634</v>
      </c>
      <c r="I523" s="42" t="s">
        <v>43</v>
      </c>
      <c r="J523" s="40" t="s">
        <v>43</v>
      </c>
      <c r="K523" s="41" t="s">
        <v>43</v>
      </c>
      <c r="L523" s="40">
        <v>2</v>
      </c>
      <c r="M523" s="40">
        <v>2</v>
      </c>
      <c r="N523" s="41">
        <v>2</v>
      </c>
      <c r="O523" s="40">
        <v>6</v>
      </c>
      <c r="P523" s="40">
        <v>3</v>
      </c>
      <c r="Q523" s="41">
        <v>6</v>
      </c>
      <c r="R523" s="40">
        <v>5</v>
      </c>
      <c r="S523" s="40">
        <v>8</v>
      </c>
      <c r="T523" s="40">
        <v>1</v>
      </c>
      <c r="U523" s="40">
        <v>8</v>
      </c>
      <c r="V523" s="40" t="s">
        <v>45</v>
      </c>
      <c r="W523" s="40" t="s">
        <v>45</v>
      </c>
      <c r="X523" s="40">
        <v>3</v>
      </c>
      <c r="Y523" s="40">
        <v>6</v>
      </c>
      <c r="Z523" s="40" t="s">
        <v>45</v>
      </c>
      <c r="AA523" s="40" t="s">
        <v>45</v>
      </c>
      <c r="AB523" s="40" t="s">
        <v>45</v>
      </c>
      <c r="AC523" s="40" t="s">
        <v>45</v>
      </c>
      <c r="AD523" s="40" t="s">
        <v>45</v>
      </c>
      <c r="AE523" s="40" t="s">
        <v>45</v>
      </c>
      <c r="AF523" s="40" t="s">
        <v>45</v>
      </c>
      <c r="AG523" s="40" t="s">
        <v>45</v>
      </c>
      <c r="AH523" s="40" t="s">
        <v>45</v>
      </c>
      <c r="AI523" s="40" t="s">
        <v>45</v>
      </c>
      <c r="AJ523" s="40" t="s">
        <v>45</v>
      </c>
      <c r="AK523" s="40" t="s">
        <v>45</v>
      </c>
      <c r="AL523" s="40" t="s">
        <v>45</v>
      </c>
      <c r="AM523" s="40" t="s">
        <v>45</v>
      </c>
      <c r="AN523" s="40" t="s">
        <v>45</v>
      </c>
      <c r="AO523" s="41" t="s">
        <v>45</v>
      </c>
      <c r="AP523" s="40" t="s">
        <v>48</v>
      </c>
      <c r="AQ523" s="40">
        <v>6</v>
      </c>
      <c r="AR523" s="48" t="s">
        <v>347</v>
      </c>
      <c r="AS523" s="43" t="s">
        <v>606</v>
      </c>
      <c r="AT523" s="43" t="s">
        <v>47</v>
      </c>
      <c r="AU523" s="44">
        <f t="shared" si="63"/>
        <v>-2.0690406309742588</v>
      </c>
      <c r="AV523" s="44">
        <f t="shared" si="64"/>
        <v>0.31993339844600399</v>
      </c>
      <c r="AW523" s="45">
        <f t="shared" si="65"/>
        <v>3</v>
      </c>
      <c r="AX523" s="45">
        <f t="shared" si="66"/>
        <v>3</v>
      </c>
      <c r="AY523" s="46">
        <f>VLOOKUP(AP523,COND!$A$10:$B$32,2,FALSE)</f>
        <v>1.05</v>
      </c>
      <c r="AZ523" s="44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63.501687763989949</v>
      </c>
      <c r="BA523" s="47">
        <f t="shared" si="62"/>
        <v>1.8382589658748576</v>
      </c>
      <c r="BB523" s="45" t="str">
        <f t="shared" si="67"/>
        <v>SP</v>
      </c>
      <c r="BC523" s="45">
        <f>RANK(Table3[[#This Row],[zScore]],Table3[zScore])</f>
        <v>40</v>
      </c>
      <c r="BD523" s="45"/>
      <c r="BE523" s="45"/>
      <c r="BF523" s="45" t="str">
        <f t="shared" si="68"/>
        <v>Possible</v>
      </c>
      <c r="BG523" s="45"/>
      <c r="BH523" s="45">
        <f>INDEX(Table5[[#All],[Ovr]],MATCH(Table3[[#This Row],[PID]],Table5[[#All],[PID]],0))</f>
        <v>152</v>
      </c>
      <c r="BI523" s="45" t="str">
        <f>INDEX(Table5[[#All],[Rnd]],MATCH(Table3[[#This Row],[PID]],Table5[[#All],[PID]],0))</f>
        <v>5</v>
      </c>
      <c r="BJ523" s="45">
        <f>INDEX(Table5[[#All],[Pick]],MATCH(Table3[[#This Row],[PID]],Table5[[#All],[PID]],0))</f>
        <v>24</v>
      </c>
      <c r="BK523" s="45" t="str">
        <f>INDEX(Table5[[#All],[Team]],MATCH(Table3[[#This Row],[PID]],Table5[[#All],[PID]],0))</f>
        <v>Aurora Borealis</v>
      </c>
      <c r="BL5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4" spans="1:64" ht="15" customHeight="1" x14ac:dyDescent="0.25">
      <c r="A524" s="40">
        <v>18099</v>
      </c>
      <c r="B524" s="40" t="s">
        <v>24</v>
      </c>
      <c r="C524" s="40" t="s">
        <v>183</v>
      </c>
      <c r="D524" s="40" t="s">
        <v>1667</v>
      </c>
      <c r="E524" s="40">
        <v>21</v>
      </c>
      <c r="F524" s="40" t="s">
        <v>42</v>
      </c>
      <c r="G524" s="40" t="s">
        <v>42</v>
      </c>
      <c r="H524" s="41" t="s">
        <v>634</v>
      </c>
      <c r="I524" s="42" t="s">
        <v>43</v>
      </c>
      <c r="J524" s="40" t="s">
        <v>44</v>
      </c>
      <c r="K524" s="41" t="s">
        <v>43</v>
      </c>
      <c r="L524" s="40">
        <v>3</v>
      </c>
      <c r="M524" s="40">
        <v>3</v>
      </c>
      <c r="N524" s="41">
        <v>4</v>
      </c>
      <c r="O524" s="40">
        <v>5</v>
      </c>
      <c r="P524" s="40">
        <v>4</v>
      </c>
      <c r="Q524" s="41">
        <v>7</v>
      </c>
      <c r="R524" s="40">
        <v>5</v>
      </c>
      <c r="S524" s="40">
        <v>6</v>
      </c>
      <c r="T524" s="40">
        <v>2</v>
      </c>
      <c r="U524" s="40">
        <v>7</v>
      </c>
      <c r="V524" s="40" t="s">
        <v>45</v>
      </c>
      <c r="W524" s="40" t="s">
        <v>45</v>
      </c>
      <c r="X524" s="40" t="s">
        <v>45</v>
      </c>
      <c r="Y524" s="40" t="s">
        <v>45</v>
      </c>
      <c r="Z524" s="40" t="s">
        <v>45</v>
      </c>
      <c r="AA524" s="40" t="s">
        <v>45</v>
      </c>
      <c r="AB524" s="40">
        <v>4</v>
      </c>
      <c r="AC524" s="40">
        <v>6</v>
      </c>
      <c r="AD524" s="40" t="s">
        <v>45</v>
      </c>
      <c r="AE524" s="40" t="s">
        <v>45</v>
      </c>
      <c r="AF524" s="40" t="s">
        <v>45</v>
      </c>
      <c r="AG524" s="40" t="s">
        <v>45</v>
      </c>
      <c r="AH524" s="40" t="s">
        <v>45</v>
      </c>
      <c r="AI524" s="40" t="s">
        <v>45</v>
      </c>
      <c r="AJ524" s="40" t="s">
        <v>45</v>
      </c>
      <c r="AK524" s="40" t="s">
        <v>45</v>
      </c>
      <c r="AL524" s="40" t="s">
        <v>45</v>
      </c>
      <c r="AM524" s="40" t="s">
        <v>45</v>
      </c>
      <c r="AN524" s="40" t="s">
        <v>45</v>
      </c>
      <c r="AO524" s="41" t="s">
        <v>45</v>
      </c>
      <c r="AP524" s="40" t="s">
        <v>60</v>
      </c>
      <c r="AQ524" s="40">
        <v>7</v>
      </c>
      <c r="AR524" s="48" t="s">
        <v>346</v>
      </c>
      <c r="AS524" s="43" t="s">
        <v>659</v>
      </c>
      <c r="AT524" s="43" t="s">
        <v>47</v>
      </c>
      <c r="AU524" s="44">
        <f t="shared" si="63"/>
        <v>-1.1942764579268088</v>
      </c>
      <c r="AV524" s="44">
        <f t="shared" si="64"/>
        <v>0.56299435642099616</v>
      </c>
      <c r="AW524" s="45">
        <f t="shared" si="65"/>
        <v>3</v>
      </c>
      <c r="AX524" s="45">
        <f t="shared" si="66"/>
        <v>3</v>
      </c>
      <c r="AY524" s="46">
        <f>VLOOKUP(AP524,COND!$A$10:$B$32,2,FALSE)</f>
        <v>1.0249999999999999</v>
      </c>
      <c r="AZ524" s="44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63.37780763275542</v>
      </c>
      <c r="BA524" s="47">
        <f t="shared" si="62"/>
        <v>1.8300174100461484</v>
      </c>
      <c r="BB524" s="45" t="str">
        <f t="shared" si="67"/>
        <v>SP</v>
      </c>
      <c r="BC524" s="45">
        <f>RANK(Table3[[#This Row],[zScore]],Table3[zScore])</f>
        <v>41</v>
      </c>
      <c r="BD524" s="45"/>
      <c r="BE524" s="45"/>
      <c r="BF524" s="45" t="str">
        <f t="shared" si="68"/>
        <v>Possible</v>
      </c>
      <c r="BG524" s="45"/>
      <c r="BH524" s="45">
        <f>INDEX(Table5[[#All],[Ovr]],MATCH(Table3[[#This Row],[PID]],Table5[[#All],[PID]],0))</f>
        <v>166</v>
      </c>
      <c r="BI524" s="45" t="str">
        <f>INDEX(Table5[[#All],[Rnd]],MATCH(Table3[[#This Row],[PID]],Table5[[#All],[PID]],0))</f>
        <v>6</v>
      </c>
      <c r="BJ524" s="45">
        <f>INDEX(Table5[[#All],[Pick]],MATCH(Table3[[#This Row],[PID]],Table5[[#All],[PID]],0))</f>
        <v>8</v>
      </c>
      <c r="BK524" s="45" t="str">
        <f>INDEX(Table5[[#All],[Team]],MATCH(Table3[[#This Row],[PID]],Table5[[#All],[PID]],0))</f>
        <v>London Underground</v>
      </c>
      <c r="BL5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5" spans="1:64" ht="15" customHeight="1" x14ac:dyDescent="0.25">
      <c r="A525" s="40">
        <v>20727</v>
      </c>
      <c r="B525" s="40" t="s">
        <v>24</v>
      </c>
      <c r="C525" s="40" t="s">
        <v>1148</v>
      </c>
      <c r="D525" s="40" t="s">
        <v>369</v>
      </c>
      <c r="E525" s="40">
        <v>17</v>
      </c>
      <c r="F525" s="40" t="s">
        <v>53</v>
      </c>
      <c r="G525" s="40" t="s">
        <v>53</v>
      </c>
      <c r="H525" s="41" t="s">
        <v>634</v>
      </c>
      <c r="I525" s="42" t="s">
        <v>43</v>
      </c>
      <c r="J525" s="40" t="s">
        <v>43</v>
      </c>
      <c r="K525" s="41" t="s">
        <v>43</v>
      </c>
      <c r="L525" s="40">
        <v>2</v>
      </c>
      <c r="M525" s="40">
        <v>3</v>
      </c>
      <c r="N525" s="41">
        <v>1</v>
      </c>
      <c r="O525" s="40">
        <v>5</v>
      </c>
      <c r="P525" s="40">
        <v>6</v>
      </c>
      <c r="Q525" s="41">
        <v>4</v>
      </c>
      <c r="R525" s="40">
        <v>3</v>
      </c>
      <c r="S525" s="40">
        <v>6</v>
      </c>
      <c r="T525" s="40">
        <v>1</v>
      </c>
      <c r="U525" s="40">
        <v>7</v>
      </c>
      <c r="V525" s="40">
        <v>2</v>
      </c>
      <c r="W525" s="40">
        <v>6</v>
      </c>
      <c r="X525" s="40">
        <v>2</v>
      </c>
      <c r="Y525" s="40">
        <v>6</v>
      </c>
      <c r="Z525" s="40" t="s">
        <v>45</v>
      </c>
      <c r="AA525" s="40" t="s">
        <v>45</v>
      </c>
      <c r="AB525" s="40" t="s">
        <v>45</v>
      </c>
      <c r="AC525" s="40" t="s">
        <v>45</v>
      </c>
      <c r="AD525" s="40" t="s">
        <v>45</v>
      </c>
      <c r="AE525" s="40" t="s">
        <v>45</v>
      </c>
      <c r="AF525" s="40" t="s">
        <v>45</v>
      </c>
      <c r="AG525" s="40" t="s">
        <v>45</v>
      </c>
      <c r="AH525" s="40" t="s">
        <v>45</v>
      </c>
      <c r="AI525" s="40" t="s">
        <v>45</v>
      </c>
      <c r="AJ525" s="40" t="s">
        <v>45</v>
      </c>
      <c r="AK525" s="40" t="s">
        <v>45</v>
      </c>
      <c r="AL525" s="40" t="s">
        <v>45</v>
      </c>
      <c r="AM525" s="40" t="s">
        <v>45</v>
      </c>
      <c r="AN525" s="40" t="s">
        <v>45</v>
      </c>
      <c r="AO525" s="41" t="s">
        <v>45</v>
      </c>
      <c r="AP525" s="40" t="s">
        <v>349</v>
      </c>
      <c r="AQ525" s="40">
        <v>8</v>
      </c>
      <c r="AR525" s="48" t="s">
        <v>346</v>
      </c>
      <c r="AS525" s="43" t="s">
        <v>412</v>
      </c>
      <c r="AT525" s="43" t="s">
        <v>47</v>
      </c>
      <c r="AU525" s="44">
        <f t="shared" si="63"/>
        <v>-2.1159294805983135</v>
      </c>
      <c r="AV525" s="44">
        <f t="shared" si="64"/>
        <v>0.22689609111877593</v>
      </c>
      <c r="AW525" s="45">
        <f t="shared" si="65"/>
        <v>4</v>
      </c>
      <c r="AX525" s="45">
        <f t="shared" si="66"/>
        <v>4</v>
      </c>
      <c r="AY525" s="46">
        <f>VLOOKUP(AP525,COND!$A$10:$B$32,2,FALSE)</f>
        <v>1</v>
      </c>
      <c r="AZ525" s="44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63.114735926255854</v>
      </c>
      <c r="BA525" s="47">
        <f t="shared" si="62"/>
        <v>1.812515651414933</v>
      </c>
      <c r="BB525" s="45" t="str">
        <f t="shared" si="67"/>
        <v>SP</v>
      </c>
      <c r="BC525" s="45">
        <f>RANK(Table3[[#This Row],[zScore]],Table3[zScore])</f>
        <v>42</v>
      </c>
      <c r="BD525" s="45"/>
      <c r="BE525" s="45"/>
      <c r="BF525" s="45" t="str">
        <f t="shared" si="68"/>
        <v>Possible</v>
      </c>
      <c r="BG525" s="45"/>
      <c r="BH525" s="45">
        <f>INDEX(Table5[[#All],[Ovr]],MATCH(Table3[[#This Row],[PID]],Table5[[#All],[PID]],0))</f>
        <v>38</v>
      </c>
      <c r="BI525" s="45" t="str">
        <f>INDEX(Table5[[#All],[Rnd]],MATCH(Table3[[#This Row],[PID]],Table5[[#All],[PID]],0))</f>
        <v>2</v>
      </c>
      <c r="BJ525" s="45">
        <f>INDEX(Table5[[#All],[Pick]],MATCH(Table3[[#This Row],[PID]],Table5[[#All],[PID]],0))</f>
        <v>3</v>
      </c>
      <c r="BK525" s="45" t="str">
        <f>INDEX(Table5[[#All],[Team]],MATCH(Table3[[#This Row],[PID]],Table5[[#All],[PID]],0))</f>
        <v>Charleston Statesmen</v>
      </c>
      <c r="BL5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6" spans="1:64" ht="15" customHeight="1" x14ac:dyDescent="0.25">
      <c r="A526" s="40">
        <v>20700</v>
      </c>
      <c r="B526" s="40" t="s">
        <v>24</v>
      </c>
      <c r="C526" s="40" t="s">
        <v>395</v>
      </c>
      <c r="D526" s="40" t="s">
        <v>193</v>
      </c>
      <c r="E526" s="40">
        <v>19</v>
      </c>
      <c r="F526" s="40" t="s">
        <v>42</v>
      </c>
      <c r="G526" s="40" t="s">
        <v>42</v>
      </c>
      <c r="H526" s="41" t="s">
        <v>633</v>
      </c>
      <c r="I526" s="42" t="s">
        <v>47</v>
      </c>
      <c r="J526" s="40" t="s">
        <v>47</v>
      </c>
      <c r="K526" s="41" t="s">
        <v>43</v>
      </c>
      <c r="L526" s="40">
        <v>2</v>
      </c>
      <c r="M526" s="40">
        <v>2</v>
      </c>
      <c r="N526" s="41">
        <v>1</v>
      </c>
      <c r="O526" s="40">
        <v>5</v>
      </c>
      <c r="P526" s="40">
        <v>5</v>
      </c>
      <c r="Q526" s="41">
        <v>5</v>
      </c>
      <c r="R526" s="40" t="s">
        <v>45</v>
      </c>
      <c r="S526" s="40" t="s">
        <v>45</v>
      </c>
      <c r="T526" s="40">
        <v>1</v>
      </c>
      <c r="U526" s="40">
        <v>6</v>
      </c>
      <c r="V526" s="40">
        <v>3</v>
      </c>
      <c r="W526" s="40">
        <v>7</v>
      </c>
      <c r="X526" s="40" t="s">
        <v>45</v>
      </c>
      <c r="Y526" s="40" t="s">
        <v>45</v>
      </c>
      <c r="Z526" s="40" t="s">
        <v>45</v>
      </c>
      <c r="AA526" s="40" t="s">
        <v>45</v>
      </c>
      <c r="AB526" s="40" t="s">
        <v>45</v>
      </c>
      <c r="AC526" s="40" t="s">
        <v>45</v>
      </c>
      <c r="AD526" s="40">
        <v>4</v>
      </c>
      <c r="AE526" s="40">
        <v>7</v>
      </c>
      <c r="AF526" s="40" t="s">
        <v>45</v>
      </c>
      <c r="AG526" s="40" t="s">
        <v>45</v>
      </c>
      <c r="AH526" s="40" t="s">
        <v>45</v>
      </c>
      <c r="AI526" s="40" t="s">
        <v>45</v>
      </c>
      <c r="AJ526" s="40" t="s">
        <v>45</v>
      </c>
      <c r="AK526" s="40" t="s">
        <v>45</v>
      </c>
      <c r="AL526" s="40" t="s">
        <v>45</v>
      </c>
      <c r="AM526" s="40" t="s">
        <v>45</v>
      </c>
      <c r="AN526" s="40" t="s">
        <v>45</v>
      </c>
      <c r="AO526" s="41" t="s">
        <v>45</v>
      </c>
      <c r="AP526" s="40" t="s">
        <v>60</v>
      </c>
      <c r="AQ526" s="40">
        <v>8</v>
      </c>
      <c r="AR526" s="48" t="s">
        <v>347</v>
      </c>
      <c r="AS526" s="43" t="s">
        <v>423</v>
      </c>
      <c r="AT526" s="43" t="s">
        <v>635</v>
      </c>
      <c r="AU526" s="44">
        <f t="shared" si="63"/>
        <v>-2.311361197028369</v>
      </c>
      <c r="AV526" s="44">
        <f t="shared" si="64"/>
        <v>0.27378494074283088</v>
      </c>
      <c r="AW526" s="45">
        <f t="shared" si="65"/>
        <v>3</v>
      </c>
      <c r="AX526" s="45">
        <f t="shared" si="66"/>
        <v>3</v>
      </c>
      <c r="AY526" s="46">
        <f>VLOOKUP(AP526,COND!$A$10:$B$32,2,FALSE)</f>
        <v>1.0249999999999999</v>
      </c>
      <c r="AZ526" s="44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63.04501223983722</v>
      </c>
      <c r="BA526" s="47">
        <f t="shared" si="62"/>
        <v>1.8078770411028831</v>
      </c>
      <c r="BB526" s="45" t="str">
        <f t="shared" si="67"/>
        <v>SP</v>
      </c>
      <c r="BC526" s="45">
        <f>RANK(Table3[[#This Row],[zScore]],Table3[zScore])</f>
        <v>43</v>
      </c>
      <c r="BD526" s="45"/>
      <c r="BE526" s="45"/>
      <c r="BF526" s="45" t="str">
        <f t="shared" si="68"/>
        <v>Possible</v>
      </c>
      <c r="BG526" s="45"/>
      <c r="BH526" s="45">
        <f>INDEX(Table5[[#All],[Ovr]],MATCH(Table3[[#This Row],[PID]],Table5[[#All],[PID]],0))</f>
        <v>16</v>
      </c>
      <c r="BI526" s="45" t="str">
        <f>INDEX(Table5[[#All],[Rnd]],MATCH(Table3[[#This Row],[PID]],Table5[[#All],[PID]],0))</f>
        <v>1</v>
      </c>
      <c r="BJ526" s="45">
        <f>INDEX(Table5[[#All],[Pick]],MATCH(Table3[[#This Row],[PID]],Table5[[#All],[PID]],0))</f>
        <v>16</v>
      </c>
      <c r="BK526" s="45" t="str">
        <f>INDEX(Table5[[#All],[Team]],MATCH(Table3[[#This Row],[PID]],Table5[[#All],[PID]],0))</f>
        <v>Madison Malts</v>
      </c>
      <c r="BL5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7" spans="1:64" ht="15" customHeight="1" x14ac:dyDescent="0.25">
      <c r="A527" s="40">
        <v>18212</v>
      </c>
      <c r="B527" s="40" t="s">
        <v>24</v>
      </c>
      <c r="C527" s="40" t="s">
        <v>689</v>
      </c>
      <c r="D527" s="40" t="s">
        <v>743</v>
      </c>
      <c r="E527" s="40">
        <v>18</v>
      </c>
      <c r="F527" s="40" t="s">
        <v>53</v>
      </c>
      <c r="G527" s="40" t="s">
        <v>53</v>
      </c>
      <c r="H527" s="41" t="s">
        <v>634</v>
      </c>
      <c r="I527" s="42" t="s">
        <v>43</v>
      </c>
      <c r="J527" s="40" t="s">
        <v>43</v>
      </c>
      <c r="K527" s="41" t="s">
        <v>47</v>
      </c>
      <c r="L527" s="40">
        <v>1</v>
      </c>
      <c r="M527" s="40">
        <v>2</v>
      </c>
      <c r="N527" s="41">
        <v>2</v>
      </c>
      <c r="O527" s="40">
        <v>4</v>
      </c>
      <c r="P527" s="40">
        <v>4</v>
      </c>
      <c r="Q527" s="41">
        <v>7</v>
      </c>
      <c r="R527" s="40">
        <v>3</v>
      </c>
      <c r="S527" s="40">
        <v>5</v>
      </c>
      <c r="T527" s="40" t="s">
        <v>45</v>
      </c>
      <c r="U527" s="40" t="s">
        <v>45</v>
      </c>
      <c r="V527" s="40">
        <v>2</v>
      </c>
      <c r="W527" s="40">
        <v>7</v>
      </c>
      <c r="X527" s="40">
        <v>2</v>
      </c>
      <c r="Y527" s="40">
        <v>6</v>
      </c>
      <c r="Z527" s="40" t="s">
        <v>45</v>
      </c>
      <c r="AA527" s="40" t="s">
        <v>45</v>
      </c>
      <c r="AB527" s="40" t="s">
        <v>45</v>
      </c>
      <c r="AC527" s="40" t="s">
        <v>45</v>
      </c>
      <c r="AD527" s="40" t="s">
        <v>45</v>
      </c>
      <c r="AE527" s="40" t="s">
        <v>45</v>
      </c>
      <c r="AF527" s="40" t="s">
        <v>45</v>
      </c>
      <c r="AG527" s="40" t="s">
        <v>45</v>
      </c>
      <c r="AH527" s="40" t="s">
        <v>45</v>
      </c>
      <c r="AI527" s="40" t="s">
        <v>45</v>
      </c>
      <c r="AJ527" s="40" t="s">
        <v>45</v>
      </c>
      <c r="AK527" s="40" t="s">
        <v>45</v>
      </c>
      <c r="AL527" s="40" t="s">
        <v>45</v>
      </c>
      <c r="AM527" s="40" t="s">
        <v>45</v>
      </c>
      <c r="AN527" s="40" t="s">
        <v>45</v>
      </c>
      <c r="AO527" s="41" t="s">
        <v>45</v>
      </c>
      <c r="AP527" s="40" t="s">
        <v>350</v>
      </c>
      <c r="AQ527" s="40">
        <v>5</v>
      </c>
      <c r="AR527" s="48" t="s">
        <v>347</v>
      </c>
      <c r="AS527" s="43" t="s">
        <v>561</v>
      </c>
      <c r="AT527" s="43" t="s">
        <v>635</v>
      </c>
      <c r="AU527" s="44">
        <f t="shared" si="63"/>
        <v>-2.2637319554834323</v>
      </c>
      <c r="AV527" s="44">
        <f t="shared" si="64"/>
        <v>0.36830303191182262</v>
      </c>
      <c r="AW527" s="45">
        <f t="shared" si="65"/>
        <v>3</v>
      </c>
      <c r="AX527" s="45">
        <f t="shared" si="66"/>
        <v>2</v>
      </c>
      <c r="AY527" s="46">
        <f>VLOOKUP(AP527,COND!$A$10:$B$32,2,FALSE)</f>
        <v>1</v>
      </c>
      <c r="AZ527" s="44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62.940481390961267</v>
      </c>
      <c r="BA527" s="47">
        <f t="shared" si="62"/>
        <v>1.8009227634616802</v>
      </c>
      <c r="BB527" s="45" t="str">
        <f t="shared" si="67"/>
        <v>SP</v>
      </c>
      <c r="BC527" s="45">
        <f>RANK(Table3[[#This Row],[zScore]],Table3[zScore])</f>
        <v>44</v>
      </c>
      <c r="BD527" s="45"/>
      <c r="BE527" s="45"/>
      <c r="BF527" s="45" t="str">
        <f t="shared" si="68"/>
        <v>Possible</v>
      </c>
      <c r="BG527" s="45"/>
      <c r="BH527" s="45">
        <f>INDEX(Table5[[#All],[Ovr]],MATCH(Table3[[#This Row],[PID]],Table5[[#All],[PID]],0))</f>
        <v>122</v>
      </c>
      <c r="BI527" s="45" t="str">
        <f>INDEX(Table5[[#All],[Rnd]],MATCH(Table3[[#This Row],[PID]],Table5[[#All],[PID]],0))</f>
        <v>4</v>
      </c>
      <c r="BJ527" s="45">
        <f>INDEX(Table5[[#All],[Pick]],MATCH(Table3[[#This Row],[PID]],Table5[[#All],[PID]],0))</f>
        <v>22</v>
      </c>
      <c r="BK527" s="45" t="str">
        <f>INDEX(Table5[[#All],[Team]],MATCH(Table3[[#This Row],[PID]],Table5[[#All],[PID]],0))</f>
        <v>London Underground</v>
      </c>
      <c r="BL5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8" spans="1:64" ht="15" customHeight="1" x14ac:dyDescent="0.25">
      <c r="A528" s="40">
        <v>18335</v>
      </c>
      <c r="B528" s="40" t="s">
        <v>24</v>
      </c>
      <c r="C528" s="40" t="s">
        <v>905</v>
      </c>
      <c r="D528" s="40" t="s">
        <v>1833</v>
      </c>
      <c r="E528" s="40">
        <v>18</v>
      </c>
      <c r="F528" s="40" t="s">
        <v>42</v>
      </c>
      <c r="G528" s="40" t="s">
        <v>42</v>
      </c>
      <c r="H528" s="41" t="s">
        <v>634</v>
      </c>
      <c r="I528" s="42" t="s">
        <v>47</v>
      </c>
      <c r="J528" s="40" t="s">
        <v>43</v>
      </c>
      <c r="K528" s="41" t="s">
        <v>43</v>
      </c>
      <c r="L528" s="40">
        <v>3</v>
      </c>
      <c r="M528" s="40">
        <v>2</v>
      </c>
      <c r="N528" s="41">
        <v>2</v>
      </c>
      <c r="O528" s="40">
        <v>5</v>
      </c>
      <c r="P528" s="40">
        <v>5</v>
      </c>
      <c r="Q528" s="41">
        <v>5</v>
      </c>
      <c r="R528" s="40">
        <v>5</v>
      </c>
      <c r="S528" s="40">
        <v>6</v>
      </c>
      <c r="T528" s="40">
        <v>1</v>
      </c>
      <c r="U528" s="40">
        <v>1</v>
      </c>
      <c r="V528" s="40" t="s">
        <v>45</v>
      </c>
      <c r="W528" s="40" t="s">
        <v>45</v>
      </c>
      <c r="X528" s="40">
        <v>3</v>
      </c>
      <c r="Y528" s="40">
        <v>5</v>
      </c>
      <c r="Z528" s="40" t="s">
        <v>45</v>
      </c>
      <c r="AA528" s="40" t="s">
        <v>45</v>
      </c>
      <c r="AB528" s="40">
        <v>4</v>
      </c>
      <c r="AC528" s="40">
        <v>6</v>
      </c>
      <c r="AD528" s="40" t="s">
        <v>45</v>
      </c>
      <c r="AE528" s="40" t="s">
        <v>45</v>
      </c>
      <c r="AF528" s="40">
        <v>4</v>
      </c>
      <c r="AG528" s="40">
        <v>5</v>
      </c>
      <c r="AH528" s="40" t="s">
        <v>45</v>
      </c>
      <c r="AI528" s="40" t="s">
        <v>45</v>
      </c>
      <c r="AJ528" s="40" t="s">
        <v>45</v>
      </c>
      <c r="AK528" s="40" t="s">
        <v>45</v>
      </c>
      <c r="AL528" s="40" t="s">
        <v>45</v>
      </c>
      <c r="AM528" s="40" t="s">
        <v>45</v>
      </c>
      <c r="AN528" s="40" t="s">
        <v>45</v>
      </c>
      <c r="AO528" s="41" t="s">
        <v>45</v>
      </c>
      <c r="AP528" s="40" t="s">
        <v>48</v>
      </c>
      <c r="AQ528" s="40">
        <v>8</v>
      </c>
      <c r="AR528" s="48" t="s">
        <v>347</v>
      </c>
      <c r="AS528" s="43" t="s">
        <v>518</v>
      </c>
      <c r="AT528" s="43" t="s">
        <v>635</v>
      </c>
      <c r="AU528" s="44">
        <f t="shared" si="63"/>
        <v>-1.8743493064650851</v>
      </c>
      <c r="AV528" s="44">
        <f t="shared" si="64"/>
        <v>0.27378494074283088</v>
      </c>
      <c r="AW528" s="45">
        <f t="shared" si="65"/>
        <v>5</v>
      </c>
      <c r="AX528" s="45">
        <f t="shared" si="66"/>
        <v>2</v>
      </c>
      <c r="AY528" s="46">
        <f>VLOOKUP(AP528,COND!$A$10:$B$32,2,FALSE)</f>
        <v>1.05</v>
      </c>
      <c r="AZ528" s="44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62.830870401241782</v>
      </c>
      <c r="BA528" s="47">
        <f t="shared" si="62"/>
        <v>1.7936305118131657</v>
      </c>
      <c r="BB528" s="45" t="str">
        <f t="shared" si="67"/>
        <v>SP</v>
      </c>
      <c r="BC528" s="45">
        <f>RANK(Table3[[#This Row],[zScore]],Table3[zScore])</f>
        <v>45</v>
      </c>
      <c r="BD528" s="45"/>
      <c r="BE528" s="45"/>
      <c r="BF528" s="45" t="str">
        <f t="shared" si="68"/>
        <v>Possible</v>
      </c>
      <c r="BG528" s="45"/>
      <c r="BH528" s="45">
        <f>INDEX(Table5[[#All],[Ovr]],MATCH(Table3[[#This Row],[PID]],Table5[[#All],[PID]],0))</f>
        <v>139</v>
      </c>
      <c r="BI528" s="45" t="str">
        <f>INDEX(Table5[[#All],[Rnd]],MATCH(Table3[[#This Row],[PID]],Table5[[#All],[PID]],0))</f>
        <v>5</v>
      </c>
      <c r="BJ528" s="45">
        <f>INDEX(Table5[[#All],[Pick]],MATCH(Table3[[#This Row],[PID]],Table5[[#All],[PID]],0))</f>
        <v>11</v>
      </c>
      <c r="BK528" s="45" t="str">
        <f>INDEX(Table5[[#All],[Team]],MATCH(Table3[[#This Row],[PID]],Table5[[#All],[PID]],0))</f>
        <v>Palm Springs Codgers</v>
      </c>
      <c r="BL5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29" spans="1:64" ht="15" customHeight="1" x14ac:dyDescent="0.25">
      <c r="A529" s="40">
        <v>18293</v>
      </c>
      <c r="B529" s="40" t="s">
        <v>24</v>
      </c>
      <c r="C529" s="40" t="s">
        <v>1575</v>
      </c>
      <c r="D529" s="40" t="s">
        <v>1745</v>
      </c>
      <c r="E529" s="40">
        <v>21</v>
      </c>
      <c r="F529" s="40" t="s">
        <v>42</v>
      </c>
      <c r="G529" s="40" t="s">
        <v>42</v>
      </c>
      <c r="H529" s="41" t="s">
        <v>634</v>
      </c>
      <c r="I529" s="42" t="s">
        <v>43</v>
      </c>
      <c r="J529" s="40" t="s">
        <v>44</v>
      </c>
      <c r="K529" s="41" t="s">
        <v>43</v>
      </c>
      <c r="L529" s="40">
        <v>3</v>
      </c>
      <c r="M529" s="40">
        <v>3</v>
      </c>
      <c r="N529" s="41">
        <v>4</v>
      </c>
      <c r="O529" s="40">
        <v>6</v>
      </c>
      <c r="P529" s="40">
        <v>6</v>
      </c>
      <c r="Q529" s="41">
        <v>4</v>
      </c>
      <c r="R529" s="40">
        <v>6</v>
      </c>
      <c r="S529" s="40">
        <v>7</v>
      </c>
      <c r="T529" s="40">
        <v>1</v>
      </c>
      <c r="U529" s="40">
        <v>6</v>
      </c>
      <c r="V529" s="40">
        <v>3</v>
      </c>
      <c r="W529" s="40">
        <v>7</v>
      </c>
      <c r="X529" s="40">
        <v>3</v>
      </c>
      <c r="Y529" s="40">
        <v>8</v>
      </c>
      <c r="Z529" s="40" t="s">
        <v>45</v>
      </c>
      <c r="AA529" s="40" t="s">
        <v>45</v>
      </c>
      <c r="AB529" s="40" t="s">
        <v>45</v>
      </c>
      <c r="AC529" s="40" t="s">
        <v>45</v>
      </c>
      <c r="AD529" s="40" t="s">
        <v>45</v>
      </c>
      <c r="AE529" s="40" t="s">
        <v>45</v>
      </c>
      <c r="AF529" s="40" t="s">
        <v>45</v>
      </c>
      <c r="AG529" s="40" t="s">
        <v>45</v>
      </c>
      <c r="AH529" s="40" t="s">
        <v>45</v>
      </c>
      <c r="AI529" s="40" t="s">
        <v>45</v>
      </c>
      <c r="AJ529" s="40" t="s">
        <v>45</v>
      </c>
      <c r="AK529" s="40" t="s">
        <v>45</v>
      </c>
      <c r="AL529" s="40" t="s">
        <v>45</v>
      </c>
      <c r="AM529" s="40" t="s">
        <v>45</v>
      </c>
      <c r="AN529" s="40" t="s">
        <v>45</v>
      </c>
      <c r="AO529" s="41" t="s">
        <v>45</v>
      </c>
      <c r="AP529" s="40" t="s">
        <v>48</v>
      </c>
      <c r="AQ529" s="40">
        <v>7</v>
      </c>
      <c r="AR529" s="48" t="s">
        <v>346</v>
      </c>
      <c r="AS529" s="43" t="s">
        <v>544</v>
      </c>
      <c r="AT529" s="43" t="s">
        <v>47</v>
      </c>
      <c r="AU529" s="44">
        <f t="shared" si="63"/>
        <v>-1.1942764579268088</v>
      </c>
      <c r="AV529" s="44">
        <f t="shared" si="64"/>
        <v>0.42158741562794949</v>
      </c>
      <c r="AW529" s="45">
        <f t="shared" si="65"/>
        <v>4</v>
      </c>
      <c r="AX529" s="45">
        <f t="shared" si="66"/>
        <v>4</v>
      </c>
      <c r="AY529" s="46">
        <f>VLOOKUP(AP529,COND!$A$10:$B$32,2,FALSE)</f>
        <v>1.05</v>
      </c>
      <c r="AZ529" s="44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62.652537672022305</v>
      </c>
      <c r="BA529" s="47">
        <f t="shared" si="62"/>
        <v>1.7817663078500141</v>
      </c>
      <c r="BB529" s="45" t="str">
        <f t="shared" si="67"/>
        <v>SP</v>
      </c>
      <c r="BC529" s="45">
        <f>RANK(Table3[[#This Row],[zScore]],Table3[zScore])</f>
        <v>46</v>
      </c>
      <c r="BD529" s="45"/>
      <c r="BE529" s="45"/>
      <c r="BF529" s="45" t="str">
        <f t="shared" si="68"/>
        <v>Possible</v>
      </c>
      <c r="BG529" s="45"/>
      <c r="BH529" s="45">
        <f>INDEX(Table5[[#All],[Ovr]],MATCH(Table3[[#This Row],[PID]],Table5[[#All],[PID]],0))</f>
        <v>82</v>
      </c>
      <c r="BI529" s="45" t="str">
        <f>INDEX(Table5[[#All],[Rnd]],MATCH(Table3[[#This Row],[PID]],Table5[[#All],[PID]],0))</f>
        <v>3</v>
      </c>
      <c r="BJ529" s="45">
        <f>INDEX(Table5[[#All],[Pick]],MATCH(Table3[[#This Row],[PID]],Table5[[#All],[PID]],0))</f>
        <v>14</v>
      </c>
      <c r="BK529" s="45" t="str">
        <f>INDEX(Table5[[#All],[Team]],MATCH(Table3[[#This Row],[PID]],Table5[[#All],[PID]],0))</f>
        <v>West Virginia Alleghenies</v>
      </c>
      <c r="BL5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0" spans="1:64" ht="15" customHeight="1" x14ac:dyDescent="0.25">
      <c r="A530" s="40">
        <v>17565</v>
      </c>
      <c r="B530" s="40" t="s">
        <v>24</v>
      </c>
      <c r="C530" s="40" t="s">
        <v>162</v>
      </c>
      <c r="D530" s="40" t="s">
        <v>1364</v>
      </c>
      <c r="E530" s="40">
        <v>18</v>
      </c>
      <c r="F530" s="40" t="s">
        <v>42</v>
      </c>
      <c r="G530" s="40" t="s">
        <v>42</v>
      </c>
      <c r="H530" s="41" t="s">
        <v>634</v>
      </c>
      <c r="I530" s="42" t="s">
        <v>43</v>
      </c>
      <c r="J530" s="40" t="s">
        <v>43</v>
      </c>
      <c r="K530" s="41" t="s">
        <v>43</v>
      </c>
      <c r="L530" s="40">
        <v>3</v>
      </c>
      <c r="M530" s="40">
        <v>3</v>
      </c>
      <c r="N530" s="41">
        <v>1</v>
      </c>
      <c r="O530" s="40">
        <v>6</v>
      </c>
      <c r="P530" s="40">
        <v>5</v>
      </c>
      <c r="Q530" s="41">
        <v>4</v>
      </c>
      <c r="R530" s="40">
        <v>5</v>
      </c>
      <c r="S530" s="40">
        <v>8</v>
      </c>
      <c r="T530" s="40">
        <v>1</v>
      </c>
      <c r="U530" s="40">
        <v>5</v>
      </c>
      <c r="V530" s="40">
        <v>2</v>
      </c>
      <c r="W530" s="40">
        <v>6</v>
      </c>
      <c r="X530" s="40">
        <v>3</v>
      </c>
      <c r="Y530" s="40">
        <v>6</v>
      </c>
      <c r="Z530" s="40" t="s">
        <v>45</v>
      </c>
      <c r="AA530" s="40" t="s">
        <v>45</v>
      </c>
      <c r="AB530" s="40" t="s">
        <v>45</v>
      </c>
      <c r="AC530" s="40" t="s">
        <v>45</v>
      </c>
      <c r="AD530" s="40" t="s">
        <v>45</v>
      </c>
      <c r="AE530" s="40" t="s">
        <v>45</v>
      </c>
      <c r="AF530" s="40" t="s">
        <v>45</v>
      </c>
      <c r="AG530" s="40" t="s">
        <v>45</v>
      </c>
      <c r="AH530" s="40" t="s">
        <v>45</v>
      </c>
      <c r="AI530" s="40" t="s">
        <v>45</v>
      </c>
      <c r="AJ530" s="40">
        <v>2</v>
      </c>
      <c r="AK530" s="40">
        <v>4</v>
      </c>
      <c r="AL530" s="40" t="s">
        <v>45</v>
      </c>
      <c r="AM530" s="40" t="s">
        <v>45</v>
      </c>
      <c r="AN530" s="40" t="s">
        <v>45</v>
      </c>
      <c r="AO530" s="41" t="s">
        <v>45</v>
      </c>
      <c r="AP530" s="40" t="s">
        <v>48</v>
      </c>
      <c r="AQ530" s="40">
        <v>6</v>
      </c>
      <c r="AR530" s="48" t="s">
        <v>346</v>
      </c>
      <c r="AS530" s="43" t="s">
        <v>606</v>
      </c>
      <c r="AT530" s="43" t="s">
        <v>47</v>
      </c>
      <c r="AU530" s="44">
        <f t="shared" si="63"/>
        <v>-1.9212381560891401</v>
      </c>
      <c r="AV530" s="44">
        <f t="shared" si="64"/>
        <v>0.22615569919789399</v>
      </c>
      <c r="AW530" s="45">
        <f t="shared" si="65"/>
        <v>5</v>
      </c>
      <c r="AX530" s="45">
        <f t="shared" si="66"/>
        <v>3</v>
      </c>
      <c r="AY530" s="46">
        <f>VLOOKUP(AP530,COND!$A$10:$B$32,2,FALSE)</f>
        <v>1.05</v>
      </c>
      <c r="AZ530" s="44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62.635601928617632</v>
      </c>
      <c r="BA530" s="47">
        <f t="shared" si="62"/>
        <v>1.7806395987209604</v>
      </c>
      <c r="BB530" s="45" t="str">
        <f t="shared" si="67"/>
        <v>SP</v>
      </c>
      <c r="BC530" s="45">
        <f>RANK(Table3[[#This Row],[zScore]],Table3[zScore])</f>
        <v>47</v>
      </c>
      <c r="BD530" s="45"/>
      <c r="BE530" s="45"/>
      <c r="BF530" s="45" t="str">
        <f t="shared" si="68"/>
        <v>Possible</v>
      </c>
      <c r="BG530" s="45"/>
      <c r="BH530" s="45">
        <f>INDEX(Table5[[#All],[Ovr]],MATCH(Table3[[#This Row],[PID]],Table5[[#All],[PID]],0))</f>
        <v>134</v>
      </c>
      <c r="BI530" s="45" t="str">
        <f>INDEX(Table5[[#All],[Rnd]],MATCH(Table3[[#This Row],[PID]],Table5[[#All],[PID]],0))</f>
        <v>5</v>
      </c>
      <c r="BJ530" s="45">
        <f>INDEX(Table5[[#All],[Pick]],MATCH(Table3[[#This Row],[PID]],Table5[[#All],[PID]],0))</f>
        <v>6</v>
      </c>
      <c r="BK530" s="45" t="str">
        <f>INDEX(Table5[[#All],[Team]],MATCH(Table3[[#This Row],[PID]],Table5[[#All],[PID]],0))</f>
        <v>Niihama-shi Ghosts</v>
      </c>
      <c r="BL5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1" spans="1:64" ht="15" customHeight="1" x14ac:dyDescent="0.25">
      <c r="A531" s="40">
        <v>18097</v>
      </c>
      <c r="B531" s="40" t="s">
        <v>24</v>
      </c>
      <c r="C531" s="40" t="s">
        <v>366</v>
      </c>
      <c r="D531" s="40" t="s">
        <v>1669</v>
      </c>
      <c r="E531" s="40">
        <v>21</v>
      </c>
      <c r="F531" s="40" t="s">
        <v>42</v>
      </c>
      <c r="G531" s="40" t="s">
        <v>42</v>
      </c>
      <c r="H531" s="41" t="s">
        <v>633</v>
      </c>
      <c r="I531" s="42" t="s">
        <v>43</v>
      </c>
      <c r="J531" s="40" t="s">
        <v>43</v>
      </c>
      <c r="K531" s="41" t="s">
        <v>43</v>
      </c>
      <c r="L531" s="40">
        <v>3</v>
      </c>
      <c r="M531" s="40">
        <v>3</v>
      </c>
      <c r="N531" s="41">
        <v>4</v>
      </c>
      <c r="O531" s="40">
        <v>5</v>
      </c>
      <c r="P531" s="40">
        <v>5</v>
      </c>
      <c r="Q531" s="41">
        <v>6</v>
      </c>
      <c r="R531" s="40">
        <v>5</v>
      </c>
      <c r="S531" s="40">
        <v>6</v>
      </c>
      <c r="T531" s="40" t="s">
        <v>45</v>
      </c>
      <c r="U531" s="40" t="s">
        <v>45</v>
      </c>
      <c r="V531" s="40" t="s">
        <v>45</v>
      </c>
      <c r="W531" s="40" t="s">
        <v>45</v>
      </c>
      <c r="X531" s="40" t="s">
        <v>45</v>
      </c>
      <c r="Y531" s="40" t="s">
        <v>45</v>
      </c>
      <c r="Z531" s="40" t="s">
        <v>45</v>
      </c>
      <c r="AA531" s="40" t="s">
        <v>45</v>
      </c>
      <c r="AB531" s="40">
        <v>4</v>
      </c>
      <c r="AC531" s="40">
        <v>6</v>
      </c>
      <c r="AD531" s="40" t="s">
        <v>45</v>
      </c>
      <c r="AE531" s="40" t="s">
        <v>45</v>
      </c>
      <c r="AF531" s="40" t="s">
        <v>45</v>
      </c>
      <c r="AG531" s="40" t="s">
        <v>45</v>
      </c>
      <c r="AH531" s="40" t="s">
        <v>45</v>
      </c>
      <c r="AI531" s="40" t="s">
        <v>45</v>
      </c>
      <c r="AJ531" s="40" t="s">
        <v>45</v>
      </c>
      <c r="AK531" s="40" t="s">
        <v>45</v>
      </c>
      <c r="AL531" s="40">
        <v>3</v>
      </c>
      <c r="AM531" s="40">
        <v>7</v>
      </c>
      <c r="AN531" s="40" t="s">
        <v>45</v>
      </c>
      <c r="AO531" s="41" t="s">
        <v>45</v>
      </c>
      <c r="AP531" s="40" t="s">
        <v>58</v>
      </c>
      <c r="AQ531" s="40">
        <v>10</v>
      </c>
      <c r="AR531" s="48" t="s">
        <v>346</v>
      </c>
      <c r="AS531" s="43" t="s">
        <v>1799</v>
      </c>
      <c r="AT531" s="43" t="s">
        <v>47</v>
      </c>
      <c r="AU531" s="44">
        <f t="shared" si="63"/>
        <v>-1.1942764579268088</v>
      </c>
      <c r="AV531" s="44">
        <f t="shared" si="64"/>
        <v>0.51610550679694134</v>
      </c>
      <c r="AW531" s="45">
        <f t="shared" si="65"/>
        <v>3</v>
      </c>
      <c r="AX531" s="45">
        <f t="shared" si="66"/>
        <v>3</v>
      </c>
      <c r="AY531" s="46">
        <f>VLOOKUP(AP531,COND!$A$10:$B$32,2,FALSE)</f>
        <v>1</v>
      </c>
      <c r="AZ531" s="44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62.333254844353462</v>
      </c>
      <c r="BA531" s="47">
        <f t="shared" si="62"/>
        <v>1.7605249092241182</v>
      </c>
      <c r="BB531" s="45" t="str">
        <f t="shared" si="67"/>
        <v>SP</v>
      </c>
      <c r="BC531" s="45">
        <f>RANK(Table3[[#This Row],[zScore]],Table3[zScore])</f>
        <v>48</v>
      </c>
      <c r="BD531" s="45"/>
      <c r="BE531" s="45"/>
      <c r="BF531" s="45" t="str">
        <f t="shared" si="68"/>
        <v>Possible</v>
      </c>
      <c r="BG531" s="45"/>
      <c r="BH531" s="45">
        <f>INDEX(Table5[[#All],[Ovr]],MATCH(Table3[[#This Row],[PID]],Table5[[#All],[PID]],0))</f>
        <v>92</v>
      </c>
      <c r="BI531" s="45" t="str">
        <f>INDEX(Table5[[#All],[Rnd]],MATCH(Table3[[#This Row],[PID]],Table5[[#All],[PID]],0))</f>
        <v>3</v>
      </c>
      <c r="BJ531" s="45">
        <f>INDEX(Table5[[#All],[Pick]],MATCH(Table3[[#This Row],[PID]],Table5[[#All],[PID]],0))</f>
        <v>24</v>
      </c>
      <c r="BK531" s="45" t="str">
        <f>INDEX(Table5[[#All],[Team]],MATCH(Table3[[#This Row],[PID]],Table5[[#All],[PID]],0))</f>
        <v>Yuma Arroyos</v>
      </c>
      <c r="BL5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2" spans="1:64" ht="15" customHeight="1" x14ac:dyDescent="0.25">
      <c r="A532" s="40">
        <v>18408</v>
      </c>
      <c r="B532" s="40" t="s">
        <v>24</v>
      </c>
      <c r="C532" s="40" t="s">
        <v>1007</v>
      </c>
      <c r="D532" s="40" t="s">
        <v>1604</v>
      </c>
      <c r="E532" s="40">
        <v>18</v>
      </c>
      <c r="F532" s="40" t="s">
        <v>42</v>
      </c>
      <c r="G532" s="40" t="s">
        <v>42</v>
      </c>
      <c r="H532" s="41" t="s">
        <v>633</v>
      </c>
      <c r="I532" s="42" t="s">
        <v>44</v>
      </c>
      <c r="J532" s="40" t="s">
        <v>44</v>
      </c>
      <c r="K532" s="41" t="s">
        <v>43</v>
      </c>
      <c r="L532" s="40">
        <v>2</v>
      </c>
      <c r="M532" s="40">
        <v>3</v>
      </c>
      <c r="N532" s="41">
        <v>3</v>
      </c>
      <c r="O532" s="40">
        <v>4</v>
      </c>
      <c r="P532" s="40">
        <v>6</v>
      </c>
      <c r="Q532" s="41">
        <v>5</v>
      </c>
      <c r="R532" s="40">
        <v>4</v>
      </c>
      <c r="S532" s="40">
        <v>7</v>
      </c>
      <c r="T532" s="40" t="s">
        <v>45</v>
      </c>
      <c r="U532" s="40" t="s">
        <v>45</v>
      </c>
      <c r="V532" s="40">
        <v>2</v>
      </c>
      <c r="W532" s="40">
        <v>6</v>
      </c>
      <c r="X532" s="40">
        <v>2</v>
      </c>
      <c r="Y532" s="40">
        <v>6</v>
      </c>
      <c r="Z532" s="40" t="s">
        <v>45</v>
      </c>
      <c r="AA532" s="40" t="s">
        <v>45</v>
      </c>
      <c r="AB532" s="40" t="s">
        <v>45</v>
      </c>
      <c r="AC532" s="40" t="s">
        <v>45</v>
      </c>
      <c r="AD532" s="40" t="s">
        <v>45</v>
      </c>
      <c r="AE532" s="40" t="s">
        <v>45</v>
      </c>
      <c r="AF532" s="40" t="s">
        <v>45</v>
      </c>
      <c r="AG532" s="40" t="s">
        <v>45</v>
      </c>
      <c r="AH532" s="40" t="s">
        <v>45</v>
      </c>
      <c r="AI532" s="40" t="s">
        <v>45</v>
      </c>
      <c r="AJ532" s="40" t="s">
        <v>45</v>
      </c>
      <c r="AK532" s="40" t="s">
        <v>45</v>
      </c>
      <c r="AL532" s="40" t="s">
        <v>45</v>
      </c>
      <c r="AM532" s="40" t="s">
        <v>45</v>
      </c>
      <c r="AN532" s="40" t="s">
        <v>45</v>
      </c>
      <c r="AO532" s="41" t="s">
        <v>45</v>
      </c>
      <c r="AP532" s="40" t="s">
        <v>58</v>
      </c>
      <c r="AQ532" s="40">
        <v>8</v>
      </c>
      <c r="AR532" s="48" t="s">
        <v>346</v>
      </c>
      <c r="AS532" s="43" t="s">
        <v>666</v>
      </c>
      <c r="AT532" s="43" t="s">
        <v>635</v>
      </c>
      <c r="AU532" s="44">
        <f t="shared" si="63"/>
        <v>-1.6312883484900931</v>
      </c>
      <c r="AV532" s="44">
        <f t="shared" si="64"/>
        <v>0.27452533266371276</v>
      </c>
      <c r="AW532" s="45">
        <f t="shared" si="65"/>
        <v>3</v>
      </c>
      <c r="AX532" s="45">
        <f t="shared" si="66"/>
        <v>3</v>
      </c>
      <c r="AY532" s="46">
        <f>VLOOKUP(AP532,COND!$A$10:$B$32,2,FALSE)</f>
        <v>1</v>
      </c>
      <c r="AZ532" s="44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61.96424898357624</v>
      </c>
      <c r="BA532" s="47">
        <f t="shared" si="62"/>
        <v>1.7359755131877281</v>
      </c>
      <c r="BB532" s="45" t="str">
        <f t="shared" si="67"/>
        <v>SP</v>
      </c>
      <c r="BC532" s="45">
        <f>RANK(Table3[[#This Row],[zScore]],Table3[zScore])</f>
        <v>50</v>
      </c>
      <c r="BD532" s="45"/>
      <c r="BE532" s="45"/>
      <c r="BF532" s="45" t="str">
        <f t="shared" si="68"/>
        <v>Possible</v>
      </c>
      <c r="BG532" s="45"/>
      <c r="BH532" s="45">
        <f>INDEX(Table5[[#All],[Ovr]],MATCH(Table3[[#This Row],[PID]],Table5[[#All],[PID]],0))</f>
        <v>63</v>
      </c>
      <c r="BI532" s="45" t="str">
        <f>INDEX(Table5[[#All],[Rnd]],MATCH(Table3[[#This Row],[PID]],Table5[[#All],[PID]],0))</f>
        <v>2</v>
      </c>
      <c r="BJ532" s="45">
        <f>INDEX(Table5[[#All],[Pick]],MATCH(Table3[[#This Row],[PID]],Table5[[#All],[PID]],0))</f>
        <v>28</v>
      </c>
      <c r="BK532" s="45" t="str">
        <f>INDEX(Table5[[#All],[Team]],MATCH(Table3[[#This Row],[PID]],Table5[[#All],[PID]],0))</f>
        <v>West Virginia Alleghenies</v>
      </c>
      <c r="BL5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3" spans="1:64" ht="15" customHeight="1" x14ac:dyDescent="0.25">
      <c r="A533" s="40">
        <v>18002</v>
      </c>
      <c r="B533" s="40" t="s">
        <v>24</v>
      </c>
      <c r="C533" s="40" t="s">
        <v>354</v>
      </c>
      <c r="D533" s="40" t="s">
        <v>671</v>
      </c>
      <c r="E533" s="40">
        <v>21</v>
      </c>
      <c r="F533" s="40" t="s">
        <v>53</v>
      </c>
      <c r="G533" s="40" t="s">
        <v>53</v>
      </c>
      <c r="H533" s="41" t="s">
        <v>633</v>
      </c>
      <c r="I533" s="42" t="s">
        <v>43</v>
      </c>
      <c r="J533" s="40" t="s">
        <v>43</v>
      </c>
      <c r="K533" s="41" t="s">
        <v>43</v>
      </c>
      <c r="L533" s="40">
        <v>2</v>
      </c>
      <c r="M533" s="40">
        <v>3</v>
      </c>
      <c r="N533" s="41">
        <v>4</v>
      </c>
      <c r="O533" s="40">
        <v>5</v>
      </c>
      <c r="P533" s="40">
        <v>6</v>
      </c>
      <c r="Q533" s="41">
        <v>5</v>
      </c>
      <c r="R533" s="40" t="s">
        <v>45</v>
      </c>
      <c r="S533" s="40" t="s">
        <v>45</v>
      </c>
      <c r="T533" s="40">
        <v>2</v>
      </c>
      <c r="U533" s="40">
        <v>5</v>
      </c>
      <c r="V533" s="40">
        <v>3</v>
      </c>
      <c r="W533" s="40">
        <v>6</v>
      </c>
      <c r="X533" s="40" t="s">
        <v>45</v>
      </c>
      <c r="Y533" s="40" t="s">
        <v>45</v>
      </c>
      <c r="Z533" s="40" t="s">
        <v>45</v>
      </c>
      <c r="AA533" s="40" t="s">
        <v>45</v>
      </c>
      <c r="AB533" s="40">
        <v>4</v>
      </c>
      <c r="AC533" s="40">
        <v>6</v>
      </c>
      <c r="AD533" s="40">
        <v>4</v>
      </c>
      <c r="AE533" s="40">
        <v>7</v>
      </c>
      <c r="AF533" s="40" t="s">
        <v>45</v>
      </c>
      <c r="AG533" s="40" t="s">
        <v>45</v>
      </c>
      <c r="AH533" s="40" t="s">
        <v>45</v>
      </c>
      <c r="AI533" s="40" t="s">
        <v>45</v>
      </c>
      <c r="AJ533" s="40" t="s">
        <v>45</v>
      </c>
      <c r="AK533" s="40" t="s">
        <v>45</v>
      </c>
      <c r="AL533" s="40" t="s">
        <v>45</v>
      </c>
      <c r="AM533" s="40" t="s">
        <v>45</v>
      </c>
      <c r="AN533" s="40" t="s">
        <v>45</v>
      </c>
      <c r="AO533" s="41" t="s">
        <v>45</v>
      </c>
      <c r="AP533" s="40" t="s">
        <v>56</v>
      </c>
      <c r="AQ533" s="40">
        <v>9</v>
      </c>
      <c r="AR533" s="48" t="s">
        <v>346</v>
      </c>
      <c r="AS533" s="43" t="s">
        <v>565</v>
      </c>
      <c r="AT533" s="43" t="s">
        <v>47</v>
      </c>
      <c r="AU533" s="44">
        <f t="shared" si="63"/>
        <v>-1.3889677824359825</v>
      </c>
      <c r="AV533" s="44">
        <f t="shared" si="64"/>
        <v>0.4692166571728863</v>
      </c>
      <c r="AW533" s="45">
        <f t="shared" si="65"/>
        <v>4</v>
      </c>
      <c r="AX533" s="45">
        <f t="shared" si="66"/>
        <v>3</v>
      </c>
      <c r="AY533" s="46">
        <f>VLOOKUP(AP533,COND!$A$10:$B$32,2,FALSE)</f>
        <v>1</v>
      </c>
      <c r="AZ533" s="44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61.856539586970527</v>
      </c>
      <c r="BA533" s="47">
        <f t="shared" si="62"/>
        <v>1.7288097716232314</v>
      </c>
      <c r="BB533" s="45" t="str">
        <f t="shared" si="67"/>
        <v>SP</v>
      </c>
      <c r="BC533" s="45">
        <f>RANK(Table3[[#This Row],[zScore]],Table3[zScore])</f>
        <v>51</v>
      </c>
      <c r="BD533" s="45"/>
      <c r="BE533" s="45"/>
      <c r="BF533" s="45" t="str">
        <f t="shared" si="68"/>
        <v>Possible</v>
      </c>
      <c r="BG533" s="45"/>
      <c r="BH533" s="45">
        <f>INDEX(Table5[[#All],[Ovr]],MATCH(Table3[[#This Row],[PID]],Table5[[#All],[PID]],0))</f>
        <v>75</v>
      </c>
      <c r="BI533" s="45" t="str">
        <f>INDEX(Table5[[#All],[Rnd]],MATCH(Table3[[#This Row],[PID]],Table5[[#All],[PID]],0))</f>
        <v>3</v>
      </c>
      <c r="BJ533" s="45">
        <f>INDEX(Table5[[#All],[Pick]],MATCH(Table3[[#This Row],[PID]],Table5[[#All],[PID]],0))</f>
        <v>7</v>
      </c>
      <c r="BK533" s="45" t="str">
        <f>INDEX(Table5[[#All],[Team]],MATCH(Table3[[#This Row],[PID]],Table5[[#All],[PID]],0))</f>
        <v>Yuma Arroyos</v>
      </c>
      <c r="BL5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4" spans="1:64" ht="15" customHeight="1" x14ac:dyDescent="0.25">
      <c r="A534" s="40">
        <v>18219</v>
      </c>
      <c r="B534" s="40" t="s">
        <v>24</v>
      </c>
      <c r="C534" s="40" t="s">
        <v>1265</v>
      </c>
      <c r="D534" s="40" t="s">
        <v>1589</v>
      </c>
      <c r="E534" s="40">
        <v>18</v>
      </c>
      <c r="F534" s="40" t="s">
        <v>53</v>
      </c>
      <c r="G534" s="40" t="s">
        <v>53</v>
      </c>
      <c r="H534" s="41" t="s">
        <v>638</v>
      </c>
      <c r="I534" s="42" t="s">
        <v>43</v>
      </c>
      <c r="J534" s="40" t="s">
        <v>43</v>
      </c>
      <c r="K534" s="41" t="s">
        <v>43</v>
      </c>
      <c r="L534" s="40">
        <v>1</v>
      </c>
      <c r="M534" s="40">
        <v>2</v>
      </c>
      <c r="N534" s="41">
        <v>2</v>
      </c>
      <c r="O534" s="40">
        <v>4</v>
      </c>
      <c r="P534" s="40">
        <v>4</v>
      </c>
      <c r="Q534" s="41">
        <v>7</v>
      </c>
      <c r="R534" s="40">
        <v>3</v>
      </c>
      <c r="S534" s="40">
        <v>5</v>
      </c>
      <c r="T534" s="40">
        <v>1</v>
      </c>
      <c r="U534" s="40">
        <v>6</v>
      </c>
      <c r="V534" s="40" t="s">
        <v>45</v>
      </c>
      <c r="W534" s="40" t="s">
        <v>45</v>
      </c>
      <c r="X534" s="40" t="s">
        <v>45</v>
      </c>
      <c r="Y534" s="40" t="s">
        <v>45</v>
      </c>
      <c r="Z534" s="40" t="s">
        <v>45</v>
      </c>
      <c r="AA534" s="40" t="s">
        <v>45</v>
      </c>
      <c r="AB534" s="40" t="s">
        <v>45</v>
      </c>
      <c r="AC534" s="40" t="s">
        <v>45</v>
      </c>
      <c r="AD534" s="40" t="s">
        <v>45</v>
      </c>
      <c r="AE534" s="40" t="s">
        <v>45</v>
      </c>
      <c r="AF534" s="40" t="s">
        <v>45</v>
      </c>
      <c r="AG534" s="40" t="s">
        <v>45</v>
      </c>
      <c r="AH534" s="40" t="s">
        <v>45</v>
      </c>
      <c r="AI534" s="40" t="s">
        <v>45</v>
      </c>
      <c r="AJ534" s="40" t="s">
        <v>45</v>
      </c>
      <c r="AK534" s="40" t="s">
        <v>45</v>
      </c>
      <c r="AL534" s="40">
        <v>1</v>
      </c>
      <c r="AM534" s="40">
        <v>4</v>
      </c>
      <c r="AN534" s="40" t="s">
        <v>45</v>
      </c>
      <c r="AO534" s="41" t="s">
        <v>45</v>
      </c>
      <c r="AP534" s="40" t="s">
        <v>349</v>
      </c>
      <c r="AQ534" s="40">
        <v>6</v>
      </c>
      <c r="AR534" s="48" t="s">
        <v>347</v>
      </c>
      <c r="AS534" s="43" t="s">
        <v>553</v>
      </c>
      <c r="AT534" s="43" t="s">
        <v>47</v>
      </c>
      <c r="AU534" s="44">
        <f t="shared" si="63"/>
        <v>-2.2637319554834323</v>
      </c>
      <c r="AV534" s="44">
        <f t="shared" si="64"/>
        <v>0.36830303191182262</v>
      </c>
      <c r="AW534" s="45">
        <f t="shared" si="65"/>
        <v>3</v>
      </c>
      <c r="AX534" s="45">
        <f t="shared" si="66"/>
        <v>1</v>
      </c>
      <c r="AY534" s="46">
        <f>VLOOKUP(AP534,COND!$A$10:$B$32,2,FALSE)</f>
        <v>1</v>
      </c>
      <c r="AZ534" s="44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61.42173139096127</v>
      </c>
      <c r="BA534" s="47">
        <f t="shared" si="62"/>
        <v>1.6998826467769845</v>
      </c>
      <c r="BB534" s="45" t="str">
        <f t="shared" si="67"/>
        <v>SP</v>
      </c>
      <c r="BC534" s="45">
        <f>RANK(Table3[[#This Row],[zScore]],Table3[zScore])</f>
        <v>53</v>
      </c>
      <c r="BD534" s="45"/>
      <c r="BE534" s="45"/>
      <c r="BF534" s="45" t="str">
        <f t="shared" si="68"/>
        <v>Possible</v>
      </c>
      <c r="BG534" s="45"/>
      <c r="BH534" s="45">
        <f>INDEX(Table5[[#All],[Ovr]],MATCH(Table3[[#This Row],[PID]],Table5[[#All],[PID]],0))</f>
        <v>298</v>
      </c>
      <c r="BI534" s="45" t="str">
        <f>INDEX(Table5[[#All],[Rnd]],MATCH(Table3[[#This Row],[PID]],Table5[[#All],[PID]],0))</f>
        <v>10</v>
      </c>
      <c r="BJ534" s="45">
        <f>INDEX(Table5[[#All],[Pick]],MATCH(Table3[[#This Row],[PID]],Table5[[#All],[PID]],0))</f>
        <v>20</v>
      </c>
      <c r="BK534" s="45" t="str">
        <f>INDEX(Table5[[#All],[Team]],MATCH(Table3[[#This Row],[PID]],Table5[[#All],[PID]],0))</f>
        <v>Amsterdam Lions</v>
      </c>
      <c r="BL5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5" spans="1:64" ht="15" customHeight="1" x14ac:dyDescent="0.25">
      <c r="A535" s="40">
        <v>18411</v>
      </c>
      <c r="B535" s="40" t="s">
        <v>24</v>
      </c>
      <c r="C535" s="40" t="s">
        <v>1193</v>
      </c>
      <c r="D535" s="40" t="s">
        <v>1048</v>
      </c>
      <c r="E535" s="40">
        <v>18</v>
      </c>
      <c r="F535" s="40" t="s">
        <v>42</v>
      </c>
      <c r="G535" s="40" t="s">
        <v>42</v>
      </c>
      <c r="H535" s="41" t="s">
        <v>634</v>
      </c>
      <c r="I535" s="42" t="s">
        <v>44</v>
      </c>
      <c r="J535" s="40" t="s">
        <v>43</v>
      </c>
      <c r="K535" s="41" t="s">
        <v>43</v>
      </c>
      <c r="L535" s="40">
        <v>1</v>
      </c>
      <c r="M535" s="40">
        <v>2</v>
      </c>
      <c r="N535" s="41">
        <v>2</v>
      </c>
      <c r="O535" s="40">
        <v>6</v>
      </c>
      <c r="P535" s="40">
        <v>5</v>
      </c>
      <c r="Q535" s="41">
        <v>4</v>
      </c>
      <c r="R535" s="40">
        <v>4</v>
      </c>
      <c r="S535" s="40">
        <v>7</v>
      </c>
      <c r="T535" s="40" t="s">
        <v>45</v>
      </c>
      <c r="U535" s="40" t="s">
        <v>45</v>
      </c>
      <c r="V535" s="40">
        <v>2</v>
      </c>
      <c r="W535" s="40">
        <v>8</v>
      </c>
      <c r="X535" s="40" t="s">
        <v>45</v>
      </c>
      <c r="Y535" s="40" t="s">
        <v>45</v>
      </c>
      <c r="Z535" s="40" t="s">
        <v>45</v>
      </c>
      <c r="AA535" s="40" t="s">
        <v>45</v>
      </c>
      <c r="AB535" s="40" t="s">
        <v>45</v>
      </c>
      <c r="AC535" s="40" t="s">
        <v>45</v>
      </c>
      <c r="AD535" s="40" t="s">
        <v>45</v>
      </c>
      <c r="AE535" s="40" t="s">
        <v>45</v>
      </c>
      <c r="AF535" s="40" t="s">
        <v>45</v>
      </c>
      <c r="AG535" s="40" t="s">
        <v>45</v>
      </c>
      <c r="AH535" s="40">
        <v>1</v>
      </c>
      <c r="AI535" s="40">
        <v>8</v>
      </c>
      <c r="AJ535" s="40" t="s">
        <v>45</v>
      </c>
      <c r="AK535" s="40" t="s">
        <v>45</v>
      </c>
      <c r="AL535" s="40" t="s">
        <v>45</v>
      </c>
      <c r="AM535" s="40" t="s">
        <v>45</v>
      </c>
      <c r="AN535" s="40" t="s">
        <v>45</v>
      </c>
      <c r="AO535" s="41" t="s">
        <v>45</v>
      </c>
      <c r="AP535" s="40" t="s">
        <v>57</v>
      </c>
      <c r="AQ535" s="40">
        <v>5</v>
      </c>
      <c r="AR535" s="48" t="s">
        <v>347</v>
      </c>
      <c r="AS535" s="43" t="s">
        <v>1332</v>
      </c>
      <c r="AT535" s="43" t="s">
        <v>47</v>
      </c>
      <c r="AU535" s="44">
        <f t="shared" si="63"/>
        <v>-2.2637319554834323</v>
      </c>
      <c r="AV535" s="44">
        <f t="shared" si="64"/>
        <v>0.22615569919789399</v>
      </c>
      <c r="AW535" s="45">
        <f t="shared" si="65"/>
        <v>3</v>
      </c>
      <c r="AX535" s="45">
        <f t="shared" si="66"/>
        <v>3</v>
      </c>
      <c r="AY535" s="46">
        <f>VLOOKUP(AP535,COND!$A$10:$B$32,2,FALSE)</f>
        <v>1</v>
      </c>
      <c r="AZ535" s="44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60.937358403039667</v>
      </c>
      <c r="BA535" s="47">
        <f t="shared" si="62"/>
        <v>1.667658052065206</v>
      </c>
      <c r="BB535" s="45" t="str">
        <f t="shared" si="67"/>
        <v>SP</v>
      </c>
      <c r="BC535" s="45">
        <f>RANK(Table3[[#This Row],[zScore]],Table3[zScore])</f>
        <v>59</v>
      </c>
      <c r="BD535" s="45"/>
      <c r="BE535" s="45"/>
      <c r="BF535" s="45" t="str">
        <f t="shared" si="68"/>
        <v>Possible</v>
      </c>
      <c r="BG535" s="45"/>
      <c r="BH535" s="45">
        <f>INDEX(Table5[[#All],[Ovr]],MATCH(Table3[[#This Row],[PID]],Table5[[#All],[PID]],0))</f>
        <v>187</v>
      </c>
      <c r="BI535" s="45" t="str">
        <f>INDEX(Table5[[#All],[Rnd]],MATCH(Table3[[#This Row],[PID]],Table5[[#All],[PID]],0))</f>
        <v>6</v>
      </c>
      <c r="BJ535" s="45">
        <f>INDEX(Table5[[#All],[Pick]],MATCH(Table3[[#This Row],[PID]],Table5[[#All],[PID]],0))</f>
        <v>29</v>
      </c>
      <c r="BK535" s="45" t="str">
        <f>INDEX(Table5[[#All],[Team]],MATCH(Table3[[#This Row],[PID]],Table5[[#All],[PID]],0))</f>
        <v>Havana Leones</v>
      </c>
      <c r="BL5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6" spans="1:64" ht="15" customHeight="1" x14ac:dyDescent="0.25">
      <c r="A536" s="40">
        <v>18214</v>
      </c>
      <c r="B536" s="40" t="s">
        <v>24</v>
      </c>
      <c r="C536" s="40" t="s">
        <v>142</v>
      </c>
      <c r="D536" s="40" t="s">
        <v>1005</v>
      </c>
      <c r="E536" s="40">
        <v>18</v>
      </c>
      <c r="F536" s="40" t="s">
        <v>42</v>
      </c>
      <c r="G536" s="40" t="s">
        <v>42</v>
      </c>
      <c r="H536" s="41" t="s">
        <v>638</v>
      </c>
      <c r="I536" s="42" t="s">
        <v>44</v>
      </c>
      <c r="J536" s="40" t="s">
        <v>43</v>
      </c>
      <c r="K536" s="41" t="s">
        <v>43</v>
      </c>
      <c r="L536" s="40">
        <v>2</v>
      </c>
      <c r="M536" s="40">
        <v>3</v>
      </c>
      <c r="N536" s="41">
        <v>1</v>
      </c>
      <c r="O536" s="40">
        <v>5</v>
      </c>
      <c r="P536" s="40">
        <v>5</v>
      </c>
      <c r="Q536" s="41">
        <v>5</v>
      </c>
      <c r="R536" s="40">
        <v>4</v>
      </c>
      <c r="S536" s="40">
        <v>7</v>
      </c>
      <c r="T536" s="40">
        <v>1</v>
      </c>
      <c r="U536" s="40">
        <v>1</v>
      </c>
      <c r="V536" s="40" t="s">
        <v>45</v>
      </c>
      <c r="W536" s="40" t="s">
        <v>45</v>
      </c>
      <c r="X536" s="40" t="s">
        <v>45</v>
      </c>
      <c r="Y536" s="40" t="s">
        <v>45</v>
      </c>
      <c r="Z536" s="40">
        <v>3</v>
      </c>
      <c r="AA536" s="40">
        <v>7</v>
      </c>
      <c r="AB536" s="40" t="s">
        <v>45</v>
      </c>
      <c r="AC536" s="40" t="s">
        <v>45</v>
      </c>
      <c r="AD536" s="40" t="s">
        <v>45</v>
      </c>
      <c r="AE536" s="40" t="s">
        <v>45</v>
      </c>
      <c r="AF536" s="40" t="s">
        <v>45</v>
      </c>
      <c r="AG536" s="40" t="s">
        <v>45</v>
      </c>
      <c r="AH536" s="40" t="s">
        <v>45</v>
      </c>
      <c r="AI536" s="40" t="s">
        <v>45</v>
      </c>
      <c r="AJ536" s="40" t="s">
        <v>45</v>
      </c>
      <c r="AK536" s="40" t="s">
        <v>45</v>
      </c>
      <c r="AL536" s="40" t="s">
        <v>45</v>
      </c>
      <c r="AM536" s="40" t="s">
        <v>45</v>
      </c>
      <c r="AN536" s="40" t="s">
        <v>45</v>
      </c>
      <c r="AO536" s="41" t="s">
        <v>45</v>
      </c>
      <c r="AP536" s="40" t="s">
        <v>57</v>
      </c>
      <c r="AQ536" s="40">
        <v>5</v>
      </c>
      <c r="AR536" s="48" t="s">
        <v>346</v>
      </c>
      <c r="AS536" s="43" t="s">
        <v>673</v>
      </c>
      <c r="AT536" s="43" t="s">
        <v>635</v>
      </c>
      <c r="AU536" s="44">
        <f t="shared" si="63"/>
        <v>-2.1159294805983135</v>
      </c>
      <c r="AV536" s="44">
        <f t="shared" si="64"/>
        <v>0.27378494074283088</v>
      </c>
      <c r="AW536" s="45">
        <f t="shared" si="65"/>
        <v>3</v>
      </c>
      <c r="AX536" s="45">
        <f t="shared" si="66"/>
        <v>2</v>
      </c>
      <c r="AY536" s="46">
        <f>VLOOKUP(AP536,COND!$A$10:$B$32,2,FALSE)</f>
        <v>1</v>
      </c>
      <c r="AZ536" s="44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60.676200095768529</v>
      </c>
      <c r="BA536" s="47">
        <f t="shared" si="62"/>
        <v>1.6502835889607756</v>
      </c>
      <c r="BB536" s="45" t="str">
        <f t="shared" si="67"/>
        <v>SP</v>
      </c>
      <c r="BC536" s="45">
        <f>RANK(Table3[[#This Row],[zScore]],Table3[zScore])</f>
        <v>61</v>
      </c>
      <c r="BD536" s="45"/>
      <c r="BE536" s="45"/>
      <c r="BF536" s="45" t="str">
        <f t="shared" si="68"/>
        <v>Possible</v>
      </c>
      <c r="BG536" s="45"/>
      <c r="BH536" s="45">
        <f>INDEX(Table5[[#All],[Ovr]],MATCH(Table3[[#This Row],[PID]],Table5[[#All],[PID]],0))</f>
        <v>181</v>
      </c>
      <c r="BI536" s="45" t="str">
        <f>INDEX(Table5[[#All],[Rnd]],MATCH(Table3[[#This Row],[PID]],Table5[[#All],[PID]],0))</f>
        <v>6</v>
      </c>
      <c r="BJ536" s="45">
        <f>INDEX(Table5[[#All],[Pick]],MATCH(Table3[[#This Row],[PID]],Table5[[#All],[PID]],0))</f>
        <v>23</v>
      </c>
      <c r="BK536" s="45" t="str">
        <f>INDEX(Table5[[#All],[Team]],MATCH(Table3[[#This Row],[PID]],Table5[[#All],[PID]],0))</f>
        <v>Yuma Arroyos</v>
      </c>
      <c r="BL5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7" spans="1:64" ht="15" customHeight="1" x14ac:dyDescent="0.25">
      <c r="A537" s="40">
        <v>18208</v>
      </c>
      <c r="B537" s="40" t="s">
        <v>24</v>
      </c>
      <c r="C537" s="40" t="s">
        <v>418</v>
      </c>
      <c r="D537" s="40" t="s">
        <v>964</v>
      </c>
      <c r="E537" s="40">
        <v>18</v>
      </c>
      <c r="F537" s="40" t="s">
        <v>42</v>
      </c>
      <c r="G537" s="40" t="s">
        <v>42</v>
      </c>
      <c r="H537" s="41" t="s">
        <v>634</v>
      </c>
      <c r="I537" s="42" t="s">
        <v>43</v>
      </c>
      <c r="J537" s="40" t="s">
        <v>43</v>
      </c>
      <c r="K537" s="41" t="s">
        <v>43</v>
      </c>
      <c r="L537" s="40">
        <v>2</v>
      </c>
      <c r="M537" s="40">
        <v>2</v>
      </c>
      <c r="N537" s="41">
        <v>2</v>
      </c>
      <c r="O537" s="40">
        <v>6</v>
      </c>
      <c r="P537" s="40">
        <v>4</v>
      </c>
      <c r="Q537" s="41">
        <v>5</v>
      </c>
      <c r="R537" s="40">
        <v>4</v>
      </c>
      <c r="S537" s="40">
        <v>5</v>
      </c>
      <c r="T537" s="40" t="s">
        <v>45</v>
      </c>
      <c r="U537" s="40" t="s">
        <v>45</v>
      </c>
      <c r="V537" s="40">
        <v>2</v>
      </c>
      <c r="W537" s="40">
        <v>7</v>
      </c>
      <c r="X537" s="40">
        <v>2</v>
      </c>
      <c r="Y537" s="40">
        <v>8</v>
      </c>
      <c r="Z537" s="40" t="s">
        <v>45</v>
      </c>
      <c r="AA537" s="40" t="s">
        <v>45</v>
      </c>
      <c r="AB537" s="40">
        <v>3</v>
      </c>
      <c r="AC537" s="40">
        <v>4</v>
      </c>
      <c r="AD537" s="40" t="s">
        <v>45</v>
      </c>
      <c r="AE537" s="40" t="s">
        <v>45</v>
      </c>
      <c r="AF537" s="40" t="s">
        <v>45</v>
      </c>
      <c r="AG537" s="40" t="s">
        <v>45</v>
      </c>
      <c r="AH537" s="40" t="s">
        <v>45</v>
      </c>
      <c r="AI537" s="40" t="s">
        <v>45</v>
      </c>
      <c r="AJ537" s="40" t="s">
        <v>45</v>
      </c>
      <c r="AK537" s="40" t="s">
        <v>45</v>
      </c>
      <c r="AL537" s="40" t="s">
        <v>45</v>
      </c>
      <c r="AM537" s="40" t="s">
        <v>45</v>
      </c>
      <c r="AN537" s="40" t="s">
        <v>45</v>
      </c>
      <c r="AO537" s="41" t="s">
        <v>45</v>
      </c>
      <c r="AP537" s="40" t="s">
        <v>57</v>
      </c>
      <c r="AQ537" s="40">
        <v>7</v>
      </c>
      <c r="AR537" s="48" t="s">
        <v>347</v>
      </c>
      <c r="AS537" s="43" t="s">
        <v>1159</v>
      </c>
      <c r="AT537" s="43" t="s">
        <v>47</v>
      </c>
      <c r="AU537" s="44">
        <f t="shared" si="63"/>
        <v>-2.0690406309742588</v>
      </c>
      <c r="AV537" s="44">
        <f t="shared" si="64"/>
        <v>0.27304454882194901</v>
      </c>
      <c r="AW537" s="45">
        <f t="shared" si="65"/>
        <v>4</v>
      </c>
      <c r="AX537" s="45">
        <f t="shared" si="66"/>
        <v>2</v>
      </c>
      <c r="AY537" s="46">
        <f>VLOOKUP(AP537,COND!$A$10:$B$32,2,FALSE)</f>
        <v>1</v>
      </c>
      <c r="AZ537" s="44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61.547082850244131</v>
      </c>
      <c r="BA537" s="47">
        <f>STANDARDIZE(AZ537,AVERAGE($AZ$5:$AZ$663),STDEVP($AZ$5:$AZ$663))</f>
        <v>1.6264095138029828</v>
      </c>
      <c r="BB537" s="45" t="str">
        <f t="shared" si="67"/>
        <v>SP</v>
      </c>
      <c r="BC537" s="45">
        <f>RANK(Table3[[#This Row],[zScore]],Table3[zScore])</f>
        <v>63</v>
      </c>
      <c r="BD537" s="45"/>
      <c r="BE537" s="45"/>
      <c r="BF537" s="45" t="str">
        <f t="shared" si="68"/>
        <v>Possible</v>
      </c>
      <c r="BG537" s="45"/>
      <c r="BH537" s="45">
        <f>INDEX(Table5[[#All],[Ovr]],MATCH(Table3[[#This Row],[PID]],Table5[[#All],[PID]],0))</f>
        <v>190</v>
      </c>
      <c r="BI537" s="45" t="str">
        <f>INDEX(Table5[[#All],[Rnd]],MATCH(Table3[[#This Row],[PID]],Table5[[#All],[PID]],0))</f>
        <v>7</v>
      </c>
      <c r="BJ537" s="45">
        <f>INDEX(Table5[[#All],[Pick]],MATCH(Table3[[#This Row],[PID]],Table5[[#All],[PID]],0))</f>
        <v>2</v>
      </c>
      <c r="BK537" s="45" t="str">
        <f>INDEX(Table5[[#All],[Team]],MATCH(Table3[[#This Row],[PID]],Table5[[#All],[PID]],0))</f>
        <v>Charleston Statesmen</v>
      </c>
      <c r="BL53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8" spans="1:64" ht="15" customHeight="1" x14ac:dyDescent="0.25">
      <c r="A538" s="40">
        <v>16084</v>
      </c>
      <c r="B538" s="40" t="s">
        <v>24</v>
      </c>
      <c r="C538" s="40" t="s">
        <v>1818</v>
      </c>
      <c r="D538" s="40" t="s">
        <v>1819</v>
      </c>
      <c r="E538" s="40">
        <v>21</v>
      </c>
      <c r="F538" s="40" t="s">
        <v>53</v>
      </c>
      <c r="G538" s="40" t="s">
        <v>53</v>
      </c>
      <c r="H538" s="41" t="s">
        <v>634</v>
      </c>
      <c r="I538" s="42" t="s">
        <v>43</v>
      </c>
      <c r="J538" s="40" t="s">
        <v>43</v>
      </c>
      <c r="K538" s="41" t="s">
        <v>47</v>
      </c>
      <c r="L538" s="40">
        <v>2</v>
      </c>
      <c r="M538" s="40">
        <v>3</v>
      </c>
      <c r="N538" s="41">
        <v>3</v>
      </c>
      <c r="O538" s="40">
        <v>5</v>
      </c>
      <c r="P538" s="40">
        <v>5</v>
      </c>
      <c r="Q538" s="41">
        <v>5</v>
      </c>
      <c r="R538" s="40" t="s">
        <v>45</v>
      </c>
      <c r="S538" s="40" t="s">
        <v>45</v>
      </c>
      <c r="T538" s="40">
        <v>1</v>
      </c>
      <c r="U538" s="40">
        <v>7</v>
      </c>
      <c r="V538" s="40">
        <v>1</v>
      </c>
      <c r="W538" s="40">
        <v>6</v>
      </c>
      <c r="X538" s="40" t="s">
        <v>45</v>
      </c>
      <c r="Y538" s="40" t="s">
        <v>45</v>
      </c>
      <c r="Z538" s="40" t="s">
        <v>45</v>
      </c>
      <c r="AA538" s="40" t="s">
        <v>45</v>
      </c>
      <c r="AB538" s="40">
        <v>3</v>
      </c>
      <c r="AC538" s="40">
        <v>5</v>
      </c>
      <c r="AD538" s="40">
        <v>3</v>
      </c>
      <c r="AE538" s="40">
        <v>6</v>
      </c>
      <c r="AF538" s="40">
        <v>3</v>
      </c>
      <c r="AG538" s="40">
        <v>3</v>
      </c>
      <c r="AH538" s="40" t="s">
        <v>45</v>
      </c>
      <c r="AI538" s="40" t="s">
        <v>45</v>
      </c>
      <c r="AJ538" s="40" t="s">
        <v>45</v>
      </c>
      <c r="AK538" s="40" t="s">
        <v>45</v>
      </c>
      <c r="AL538" s="40" t="s">
        <v>45</v>
      </c>
      <c r="AM538" s="40" t="s">
        <v>45</v>
      </c>
      <c r="AN538" s="40" t="s">
        <v>45</v>
      </c>
      <c r="AO538" s="41" t="s">
        <v>45</v>
      </c>
      <c r="AP538" s="40" t="s">
        <v>350</v>
      </c>
      <c r="AQ538" s="40">
        <v>7</v>
      </c>
      <c r="AR538" s="48" t="s">
        <v>346</v>
      </c>
      <c r="AS538" s="43" t="s">
        <v>727</v>
      </c>
      <c r="AT538" s="43" t="s">
        <v>47</v>
      </c>
      <c r="AU538" s="44">
        <f t="shared" si="63"/>
        <v>-1.6312883484900931</v>
      </c>
      <c r="AV538" s="44">
        <f t="shared" si="64"/>
        <v>0.27378494074283088</v>
      </c>
      <c r="AW538" s="45">
        <f t="shared" si="65"/>
        <v>5</v>
      </c>
      <c r="AX538" s="45">
        <f t="shared" si="66"/>
        <v>3</v>
      </c>
      <c r="AY538" s="46">
        <f>VLOOKUP(AP538,COND!$A$10:$B$32,2,FALSE)</f>
        <v>1</v>
      </c>
      <c r="AZ538" s="44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58.699441145158602</v>
      </c>
      <c r="BA538" s="47">
        <f>STANDARDIZE(AZ538,AVERAGE($AZ$5:$AZ$781),STDEVP($AZ$5:$AZ$781))</f>
        <v>1.5861826446509224</v>
      </c>
      <c r="BB538" s="45" t="str">
        <f t="shared" si="67"/>
        <v>SP</v>
      </c>
      <c r="BC538" s="45">
        <f>RANK(Table3[[#This Row],[zScore]],Table3[zScore])</f>
        <v>66</v>
      </c>
      <c r="BD538" s="45"/>
      <c r="BE538" s="45"/>
      <c r="BF538" s="45" t="str">
        <f t="shared" si="68"/>
        <v>Possible</v>
      </c>
      <c r="BG538" s="45"/>
      <c r="BH538" s="45">
        <f>INDEX(Table5[[#All],[Ovr]],MATCH(Table3[[#This Row],[PID]],Table5[[#All],[PID]],0))</f>
        <v>99</v>
      </c>
      <c r="BI538" s="45" t="str">
        <f>INDEX(Table5[[#All],[Rnd]],MATCH(Table3[[#This Row],[PID]],Table5[[#All],[PID]],0))</f>
        <v>3</v>
      </c>
      <c r="BJ538" s="45">
        <f>INDEX(Table5[[#All],[Pick]],MATCH(Table3[[#This Row],[PID]],Table5[[#All],[PID]],0))</f>
        <v>31</v>
      </c>
      <c r="BK538" s="45" t="str">
        <f>INDEX(Table5[[#All],[Team]],MATCH(Table3[[#This Row],[PID]],Table5[[#All],[PID]],0))</f>
        <v>Havana Leones</v>
      </c>
      <c r="BL5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39" spans="1:64" ht="15" customHeight="1" x14ac:dyDescent="0.25">
      <c r="A539" s="40">
        <v>18171</v>
      </c>
      <c r="B539" s="40" t="s">
        <v>24</v>
      </c>
      <c r="C539" s="40" t="s">
        <v>1840</v>
      </c>
      <c r="D539" s="40" t="s">
        <v>161</v>
      </c>
      <c r="E539" s="40">
        <v>18</v>
      </c>
      <c r="F539" s="40" t="s">
        <v>42</v>
      </c>
      <c r="G539" s="40" t="s">
        <v>42</v>
      </c>
      <c r="H539" s="41" t="s">
        <v>634</v>
      </c>
      <c r="I539" s="42" t="s">
        <v>43</v>
      </c>
      <c r="J539" s="40" t="s">
        <v>44</v>
      </c>
      <c r="K539" s="41" t="s">
        <v>43</v>
      </c>
      <c r="L539" s="40">
        <v>3</v>
      </c>
      <c r="M539" s="40">
        <v>2</v>
      </c>
      <c r="N539" s="41">
        <v>3</v>
      </c>
      <c r="O539" s="40">
        <v>5</v>
      </c>
      <c r="P539" s="40">
        <v>3</v>
      </c>
      <c r="Q539" s="41">
        <v>6</v>
      </c>
      <c r="R539" s="40">
        <v>5</v>
      </c>
      <c r="S539" s="40">
        <v>8</v>
      </c>
      <c r="T539" s="40" t="s">
        <v>45</v>
      </c>
      <c r="U539" s="40" t="s">
        <v>45</v>
      </c>
      <c r="V539" s="40">
        <v>2</v>
      </c>
      <c r="W539" s="40">
        <v>6</v>
      </c>
      <c r="X539" s="40" t="s">
        <v>45</v>
      </c>
      <c r="Y539" s="40" t="s">
        <v>45</v>
      </c>
      <c r="Z539" s="40">
        <v>4</v>
      </c>
      <c r="AA539" s="40">
        <v>6</v>
      </c>
      <c r="AB539" s="40" t="s">
        <v>45</v>
      </c>
      <c r="AC539" s="40" t="s">
        <v>45</v>
      </c>
      <c r="AD539" s="40" t="s">
        <v>45</v>
      </c>
      <c r="AE539" s="40" t="s">
        <v>45</v>
      </c>
      <c r="AF539" s="40" t="s">
        <v>45</v>
      </c>
      <c r="AG539" s="40" t="s">
        <v>45</v>
      </c>
      <c r="AH539" s="40" t="s">
        <v>45</v>
      </c>
      <c r="AI539" s="40" t="s">
        <v>45</v>
      </c>
      <c r="AJ539" s="40" t="s">
        <v>45</v>
      </c>
      <c r="AK539" s="40" t="s">
        <v>45</v>
      </c>
      <c r="AL539" s="40" t="s">
        <v>45</v>
      </c>
      <c r="AM539" s="40" t="s">
        <v>45</v>
      </c>
      <c r="AN539" s="40" t="s">
        <v>45</v>
      </c>
      <c r="AO539" s="41" t="s">
        <v>45</v>
      </c>
      <c r="AP539" s="40" t="s">
        <v>48</v>
      </c>
      <c r="AQ539" s="40">
        <v>8</v>
      </c>
      <c r="AR539" s="48" t="s">
        <v>346</v>
      </c>
      <c r="AS539" s="43" t="s">
        <v>1159</v>
      </c>
      <c r="AT539" s="43" t="s">
        <v>47</v>
      </c>
      <c r="AU539" s="44">
        <f t="shared" si="63"/>
        <v>-1.6320287404109748</v>
      </c>
      <c r="AV539" s="44">
        <f t="shared" si="64"/>
        <v>0.12524207393683046</v>
      </c>
      <c r="AW539" s="45">
        <f t="shared" si="65"/>
        <v>3</v>
      </c>
      <c r="AX539" s="45">
        <f t="shared" si="66"/>
        <v>3</v>
      </c>
      <c r="AY539" s="46">
        <f>VLOOKUP(AP539,COND!$A$10:$B$32,2,FALSE)</f>
        <v>1.05</v>
      </c>
      <c r="AZ539" s="44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59.499857517187138</v>
      </c>
      <c r="BA539" s="47">
        <f t="shared" ref="BA539:BA559" si="69">STANDARDIZE(AZ539,AVERAGE($AZ$5:$AZ$557),STDEVP($AZ$5:$AZ$557))</f>
        <v>1.5720233147872515</v>
      </c>
      <c r="BB539" s="45" t="str">
        <f t="shared" si="67"/>
        <v>SP</v>
      </c>
      <c r="BC539" s="45">
        <f>RANK(Table3[[#This Row],[zScore]],Table3[zScore])</f>
        <v>67</v>
      </c>
      <c r="BD539" s="45"/>
      <c r="BE539" s="45"/>
      <c r="BF539" s="45" t="str">
        <f t="shared" si="68"/>
        <v>Possible</v>
      </c>
      <c r="BG539" s="45"/>
      <c r="BH539" s="45">
        <f>INDEX(Table5[[#All],[Ovr]],MATCH(Table3[[#This Row],[PID]],Table5[[#All],[PID]],0))</f>
        <v>212</v>
      </c>
      <c r="BI539" s="45" t="str">
        <f>INDEX(Table5[[#All],[Rnd]],MATCH(Table3[[#This Row],[PID]],Table5[[#All],[PID]],0))</f>
        <v>7</v>
      </c>
      <c r="BJ539" s="45">
        <f>INDEX(Table5[[#All],[Pick]],MATCH(Table3[[#This Row],[PID]],Table5[[#All],[PID]],0))</f>
        <v>24</v>
      </c>
      <c r="BK539" s="45" t="str">
        <f>INDEX(Table5[[#All],[Team]],MATCH(Table3[[#This Row],[PID]],Table5[[#All],[PID]],0))</f>
        <v>Aurora Borealis</v>
      </c>
      <c r="BL5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0" spans="1:64" ht="15" customHeight="1" x14ac:dyDescent="0.25">
      <c r="A540" s="40">
        <v>18428</v>
      </c>
      <c r="B540" s="40" t="s">
        <v>24</v>
      </c>
      <c r="C540" s="40" t="s">
        <v>1906</v>
      </c>
      <c r="D540" s="40" t="s">
        <v>522</v>
      </c>
      <c r="E540" s="40">
        <v>18</v>
      </c>
      <c r="F540" s="40" t="s">
        <v>42</v>
      </c>
      <c r="G540" s="40" t="s">
        <v>42</v>
      </c>
      <c r="H540" s="41" t="s">
        <v>639</v>
      </c>
      <c r="I540" s="42" t="s">
        <v>43</v>
      </c>
      <c r="J540" s="40" t="s">
        <v>44</v>
      </c>
      <c r="K540" s="41" t="s">
        <v>43</v>
      </c>
      <c r="L540" s="40">
        <v>1</v>
      </c>
      <c r="M540" s="40">
        <v>2</v>
      </c>
      <c r="N540" s="41">
        <v>2</v>
      </c>
      <c r="O540" s="40">
        <v>4</v>
      </c>
      <c r="P540" s="40">
        <v>6</v>
      </c>
      <c r="Q540" s="41">
        <v>5</v>
      </c>
      <c r="R540" s="40" t="s">
        <v>45</v>
      </c>
      <c r="S540" s="40" t="s">
        <v>45</v>
      </c>
      <c r="T540" s="40">
        <v>1</v>
      </c>
      <c r="U540" s="40">
        <v>6</v>
      </c>
      <c r="V540" s="40">
        <v>1</v>
      </c>
      <c r="W540" s="40">
        <v>4</v>
      </c>
      <c r="X540" s="40" t="s">
        <v>45</v>
      </c>
      <c r="Y540" s="40" t="s">
        <v>45</v>
      </c>
      <c r="Z540" s="40" t="s">
        <v>45</v>
      </c>
      <c r="AA540" s="40" t="s">
        <v>45</v>
      </c>
      <c r="AB540" s="40" t="s">
        <v>45</v>
      </c>
      <c r="AC540" s="40" t="s">
        <v>45</v>
      </c>
      <c r="AD540" s="40">
        <v>3</v>
      </c>
      <c r="AE540" s="40">
        <v>5</v>
      </c>
      <c r="AF540" s="40">
        <v>2</v>
      </c>
      <c r="AG540" s="40">
        <v>4</v>
      </c>
      <c r="AH540" s="40" t="s">
        <v>45</v>
      </c>
      <c r="AI540" s="40" t="s">
        <v>45</v>
      </c>
      <c r="AJ540" s="40" t="s">
        <v>45</v>
      </c>
      <c r="AK540" s="40" t="s">
        <v>45</v>
      </c>
      <c r="AL540" s="40" t="s">
        <v>45</v>
      </c>
      <c r="AM540" s="40" t="s">
        <v>45</v>
      </c>
      <c r="AN540" s="40" t="s">
        <v>45</v>
      </c>
      <c r="AO540" s="41" t="s">
        <v>45</v>
      </c>
      <c r="AP540" s="40" t="s">
        <v>68</v>
      </c>
      <c r="AQ540" s="40">
        <v>6</v>
      </c>
      <c r="AR540" s="48" t="s">
        <v>347</v>
      </c>
      <c r="AS540" s="43" t="s">
        <v>601</v>
      </c>
      <c r="AT540" s="43" t="s">
        <v>635</v>
      </c>
      <c r="AU540" s="44">
        <f t="shared" si="63"/>
        <v>-2.2637319554834323</v>
      </c>
      <c r="AV540" s="44">
        <f t="shared" si="64"/>
        <v>0.27452533266371276</v>
      </c>
      <c r="AW540" s="45">
        <f t="shared" si="65"/>
        <v>4</v>
      </c>
      <c r="AX540" s="45">
        <f t="shared" si="66"/>
        <v>1</v>
      </c>
      <c r="AY540" s="46">
        <f>VLOOKUP(AP540,COND!$A$10:$B$32,2,FALSE)</f>
        <v>0.95</v>
      </c>
      <c r="AZ540" s="44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59.376537942841971</v>
      </c>
      <c r="BA540" s="47">
        <f t="shared" si="69"/>
        <v>1.5638190519517994</v>
      </c>
      <c r="BB540" s="45" t="str">
        <f t="shared" si="67"/>
        <v>SP</v>
      </c>
      <c r="BC540" s="45">
        <f>RANK(Table3[[#This Row],[zScore]],Table3[zScore])</f>
        <v>68</v>
      </c>
      <c r="BD540" s="45"/>
      <c r="BE540" s="45"/>
      <c r="BF540" s="45" t="str">
        <f t="shared" si="68"/>
        <v>Possible</v>
      </c>
      <c r="BG540" s="45"/>
      <c r="BH540" s="45">
        <f>INDEX(Table5[[#All],[Ovr]],MATCH(Table3[[#This Row],[PID]],Table5[[#All],[PID]],0))</f>
        <v>328</v>
      </c>
      <c r="BI540" s="45" t="str">
        <f>INDEX(Table5[[#All],[Rnd]],MATCH(Table3[[#This Row],[PID]],Table5[[#All],[PID]],0))</f>
        <v>11</v>
      </c>
      <c r="BJ540" s="45">
        <f>INDEX(Table5[[#All],[Pick]],MATCH(Table3[[#This Row],[PID]],Table5[[#All],[PID]],0))</f>
        <v>20</v>
      </c>
      <c r="BK540" s="45" t="str">
        <f>INDEX(Table5[[#All],[Team]],MATCH(Table3[[#This Row],[PID]],Table5[[#All],[PID]],0))</f>
        <v>Amsterdam Lions</v>
      </c>
      <c r="BL5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1" spans="1:64" ht="15" customHeight="1" x14ac:dyDescent="0.25">
      <c r="A541" s="40">
        <v>18254</v>
      </c>
      <c r="B541" s="40" t="s">
        <v>24</v>
      </c>
      <c r="C541" s="40" t="s">
        <v>132</v>
      </c>
      <c r="D541" s="40" t="s">
        <v>1303</v>
      </c>
      <c r="E541" s="40">
        <v>18</v>
      </c>
      <c r="F541" s="40" t="s">
        <v>42</v>
      </c>
      <c r="G541" s="40" t="s">
        <v>42</v>
      </c>
      <c r="H541" s="41" t="s">
        <v>634</v>
      </c>
      <c r="I541" s="42" t="s">
        <v>43</v>
      </c>
      <c r="J541" s="40" t="s">
        <v>47</v>
      </c>
      <c r="K541" s="41" t="s">
        <v>43</v>
      </c>
      <c r="L541" s="40">
        <v>2</v>
      </c>
      <c r="M541" s="40">
        <v>2</v>
      </c>
      <c r="N541" s="41">
        <v>1</v>
      </c>
      <c r="O541" s="40">
        <v>5</v>
      </c>
      <c r="P541" s="40">
        <v>4</v>
      </c>
      <c r="Q541" s="41">
        <v>5</v>
      </c>
      <c r="R541" s="40">
        <v>4</v>
      </c>
      <c r="S541" s="40">
        <v>7</v>
      </c>
      <c r="T541" s="40">
        <v>1</v>
      </c>
      <c r="U541" s="40">
        <v>7</v>
      </c>
      <c r="V541" s="40" t="s">
        <v>45</v>
      </c>
      <c r="W541" s="40" t="s">
        <v>45</v>
      </c>
      <c r="X541" s="40">
        <v>3</v>
      </c>
      <c r="Y541" s="40">
        <v>6</v>
      </c>
      <c r="Z541" s="40" t="s">
        <v>45</v>
      </c>
      <c r="AA541" s="40" t="s">
        <v>45</v>
      </c>
      <c r="AB541" s="40">
        <v>4</v>
      </c>
      <c r="AC541" s="40">
        <v>4</v>
      </c>
      <c r="AD541" s="40" t="s">
        <v>45</v>
      </c>
      <c r="AE541" s="40" t="s">
        <v>45</v>
      </c>
      <c r="AF541" s="40" t="s">
        <v>45</v>
      </c>
      <c r="AG541" s="40" t="s">
        <v>45</v>
      </c>
      <c r="AH541" s="40" t="s">
        <v>45</v>
      </c>
      <c r="AI541" s="40" t="s">
        <v>45</v>
      </c>
      <c r="AJ541" s="40" t="s">
        <v>45</v>
      </c>
      <c r="AK541" s="40" t="s">
        <v>45</v>
      </c>
      <c r="AL541" s="40" t="s">
        <v>45</v>
      </c>
      <c r="AM541" s="40" t="s">
        <v>45</v>
      </c>
      <c r="AN541" s="40" t="s">
        <v>45</v>
      </c>
      <c r="AO541" s="41" t="s">
        <v>45</v>
      </c>
      <c r="AP541" s="40" t="s">
        <v>60</v>
      </c>
      <c r="AQ541" s="40">
        <v>9</v>
      </c>
      <c r="AR541" s="48" t="s">
        <v>347</v>
      </c>
      <c r="AS541" s="43" t="s">
        <v>1187</v>
      </c>
      <c r="AT541" s="43" t="s">
        <v>635</v>
      </c>
      <c r="AU541" s="44">
        <f t="shared" si="63"/>
        <v>-2.311361197028369</v>
      </c>
      <c r="AV541" s="44">
        <f t="shared" si="64"/>
        <v>7.8353224312775444E-2</v>
      </c>
      <c r="AW541" s="45">
        <f t="shared" si="65"/>
        <v>4</v>
      </c>
      <c r="AX541" s="45">
        <f t="shared" si="66"/>
        <v>3</v>
      </c>
      <c r="AY541" s="46">
        <f>VLOOKUP(AP541,COND!$A$10:$B$32,2,FALSE)</f>
        <v>1.0249999999999999</v>
      </c>
      <c r="AZ541" s="44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59.326162053021079</v>
      </c>
      <c r="BA541" s="47">
        <f t="shared" si="69"/>
        <v>1.5604676209818582</v>
      </c>
      <c r="BB541" s="45" t="str">
        <f t="shared" si="67"/>
        <v>SP</v>
      </c>
      <c r="BC541" s="45">
        <f>RANK(Table3[[#This Row],[zScore]],Table3[zScore])</f>
        <v>69</v>
      </c>
      <c r="BD541" s="45"/>
      <c r="BE541" s="45"/>
      <c r="BF541" s="45" t="str">
        <f t="shared" si="68"/>
        <v>Possible</v>
      </c>
      <c r="BG541" s="45"/>
      <c r="BH541" s="45">
        <f>INDEX(Table5[[#All],[Ovr]],MATCH(Table3[[#This Row],[PID]],Table5[[#All],[PID]],0))</f>
        <v>183</v>
      </c>
      <c r="BI541" s="45" t="str">
        <f>INDEX(Table5[[#All],[Rnd]],MATCH(Table3[[#This Row],[PID]],Table5[[#All],[PID]],0))</f>
        <v>6</v>
      </c>
      <c r="BJ541" s="45">
        <f>INDEX(Table5[[#All],[Pick]],MATCH(Table3[[#This Row],[PID]],Table5[[#All],[PID]],0))</f>
        <v>25</v>
      </c>
      <c r="BK541" s="45" t="str">
        <f>INDEX(Table5[[#All],[Team]],MATCH(Table3[[#This Row],[PID]],Table5[[#All],[PID]],0))</f>
        <v>Toyama Wind Dancers</v>
      </c>
      <c r="BL5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2" spans="1:64" ht="15" customHeight="1" x14ac:dyDescent="0.25">
      <c r="A542" s="40">
        <v>18271</v>
      </c>
      <c r="B542" s="40" t="s">
        <v>24</v>
      </c>
      <c r="C542" s="40" t="s">
        <v>527</v>
      </c>
      <c r="D542" s="40" t="s">
        <v>195</v>
      </c>
      <c r="E542" s="40">
        <v>18</v>
      </c>
      <c r="F542" s="40" t="s">
        <v>42</v>
      </c>
      <c r="G542" s="40" t="s">
        <v>42</v>
      </c>
      <c r="H542" s="41" t="s">
        <v>634</v>
      </c>
      <c r="I542" s="42" t="s">
        <v>43</v>
      </c>
      <c r="J542" s="40" t="s">
        <v>47</v>
      </c>
      <c r="K542" s="41" t="s">
        <v>43</v>
      </c>
      <c r="L542" s="40">
        <v>2</v>
      </c>
      <c r="M542" s="40">
        <v>2</v>
      </c>
      <c r="N542" s="41">
        <v>2</v>
      </c>
      <c r="O542" s="40">
        <v>5</v>
      </c>
      <c r="P542" s="40">
        <v>4</v>
      </c>
      <c r="Q542" s="41">
        <v>5</v>
      </c>
      <c r="R542" s="40">
        <v>5</v>
      </c>
      <c r="S542" s="40">
        <v>7</v>
      </c>
      <c r="T542" s="40" t="s">
        <v>45</v>
      </c>
      <c r="U542" s="40" t="s">
        <v>45</v>
      </c>
      <c r="V542" s="40">
        <v>2</v>
      </c>
      <c r="W542" s="40">
        <v>7</v>
      </c>
      <c r="X542" s="40">
        <v>3</v>
      </c>
      <c r="Y542" s="40">
        <v>6</v>
      </c>
      <c r="Z542" s="40" t="s">
        <v>45</v>
      </c>
      <c r="AA542" s="40" t="s">
        <v>45</v>
      </c>
      <c r="AB542" s="40" t="s">
        <v>45</v>
      </c>
      <c r="AC542" s="40" t="s">
        <v>45</v>
      </c>
      <c r="AD542" s="40" t="s">
        <v>45</v>
      </c>
      <c r="AE542" s="40" t="s">
        <v>45</v>
      </c>
      <c r="AF542" s="40" t="s">
        <v>45</v>
      </c>
      <c r="AG542" s="40" t="s">
        <v>45</v>
      </c>
      <c r="AH542" s="40" t="s">
        <v>45</v>
      </c>
      <c r="AI542" s="40" t="s">
        <v>45</v>
      </c>
      <c r="AJ542" s="40" t="s">
        <v>45</v>
      </c>
      <c r="AK542" s="40" t="s">
        <v>45</v>
      </c>
      <c r="AL542" s="40" t="s">
        <v>45</v>
      </c>
      <c r="AM542" s="40" t="s">
        <v>45</v>
      </c>
      <c r="AN542" s="40" t="s">
        <v>45</v>
      </c>
      <c r="AO542" s="41" t="s">
        <v>45</v>
      </c>
      <c r="AP542" s="40" t="s">
        <v>60</v>
      </c>
      <c r="AQ542" s="40">
        <v>9</v>
      </c>
      <c r="AR542" s="48" t="s">
        <v>347</v>
      </c>
      <c r="AS542" s="43" t="s">
        <v>578</v>
      </c>
      <c r="AT542" s="43" t="s">
        <v>47</v>
      </c>
      <c r="AU542" s="44">
        <f t="shared" si="63"/>
        <v>-2.0690406309742588</v>
      </c>
      <c r="AV542" s="44">
        <f t="shared" si="64"/>
        <v>7.8353224312775444E-2</v>
      </c>
      <c r="AW542" s="45">
        <f t="shared" si="65"/>
        <v>3</v>
      </c>
      <c r="AX542" s="45">
        <f t="shared" si="66"/>
        <v>3</v>
      </c>
      <c r="AY542" s="46">
        <f>VLOOKUP(AP542,COND!$A$10:$B$32,2,FALSE)</f>
        <v>1.0249999999999999</v>
      </c>
      <c r="AZ542" s="44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58.86333776906217</v>
      </c>
      <c r="BA542" s="47">
        <f t="shared" si="69"/>
        <v>1.5296766286159527</v>
      </c>
      <c r="BB542" s="45" t="str">
        <f t="shared" si="67"/>
        <v>SP</v>
      </c>
      <c r="BC542" s="45">
        <f>RANK(Table3[[#This Row],[zScore]],Table3[zScore])</f>
        <v>71</v>
      </c>
      <c r="BD542" s="45"/>
      <c r="BE542" s="45"/>
      <c r="BF542" s="45" t="str">
        <f t="shared" si="68"/>
        <v>Possible</v>
      </c>
      <c r="BG542" s="45"/>
      <c r="BH542" s="45">
        <f>INDEX(Table5[[#All],[Ovr]],MATCH(Table3[[#This Row],[PID]],Table5[[#All],[PID]],0))</f>
        <v>97</v>
      </c>
      <c r="BI542" s="45" t="str">
        <f>INDEX(Table5[[#All],[Rnd]],MATCH(Table3[[#This Row],[PID]],Table5[[#All],[PID]],0))</f>
        <v>3</v>
      </c>
      <c r="BJ542" s="45">
        <f>INDEX(Table5[[#All],[Pick]],MATCH(Table3[[#This Row],[PID]],Table5[[#All],[PID]],0))</f>
        <v>29</v>
      </c>
      <c r="BK542" s="45" t="str">
        <f>INDEX(Table5[[#All],[Team]],MATCH(Table3[[#This Row],[PID]],Table5[[#All],[PID]],0))</f>
        <v>Neo-Tokyo Akira</v>
      </c>
      <c r="BL5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3" spans="1:64" ht="15" customHeight="1" x14ac:dyDescent="0.25">
      <c r="A543" s="40">
        <v>15982</v>
      </c>
      <c r="B543" s="40" t="s">
        <v>24</v>
      </c>
      <c r="C543" s="40" t="s">
        <v>822</v>
      </c>
      <c r="D543" s="40" t="s">
        <v>1839</v>
      </c>
      <c r="E543" s="40">
        <v>18</v>
      </c>
      <c r="F543" s="40" t="s">
        <v>42</v>
      </c>
      <c r="G543" s="40" t="s">
        <v>42</v>
      </c>
      <c r="H543" s="41" t="s">
        <v>634</v>
      </c>
      <c r="I543" s="42" t="s">
        <v>43</v>
      </c>
      <c r="J543" s="40" t="s">
        <v>43</v>
      </c>
      <c r="K543" s="41" t="s">
        <v>43</v>
      </c>
      <c r="L543" s="40">
        <v>2</v>
      </c>
      <c r="M543" s="40">
        <v>3</v>
      </c>
      <c r="N543" s="41">
        <v>3</v>
      </c>
      <c r="O543" s="40">
        <v>4</v>
      </c>
      <c r="P543" s="40">
        <v>5</v>
      </c>
      <c r="Q543" s="41">
        <v>5</v>
      </c>
      <c r="R543" s="40">
        <v>4</v>
      </c>
      <c r="S543" s="40">
        <v>6</v>
      </c>
      <c r="T543" s="40" t="s">
        <v>45</v>
      </c>
      <c r="U543" s="40" t="s">
        <v>45</v>
      </c>
      <c r="V543" s="40" t="s">
        <v>45</v>
      </c>
      <c r="W543" s="40" t="s">
        <v>45</v>
      </c>
      <c r="X543" s="40">
        <v>2</v>
      </c>
      <c r="Y543" s="40">
        <v>6</v>
      </c>
      <c r="Z543" s="40">
        <v>4</v>
      </c>
      <c r="AA543" s="40">
        <v>6</v>
      </c>
      <c r="AB543" s="40" t="s">
        <v>45</v>
      </c>
      <c r="AC543" s="40" t="s">
        <v>45</v>
      </c>
      <c r="AD543" s="40" t="s">
        <v>45</v>
      </c>
      <c r="AE543" s="40" t="s">
        <v>45</v>
      </c>
      <c r="AF543" s="40" t="s">
        <v>45</v>
      </c>
      <c r="AG543" s="40" t="s">
        <v>45</v>
      </c>
      <c r="AH543" s="40" t="s">
        <v>45</v>
      </c>
      <c r="AI543" s="40" t="s">
        <v>45</v>
      </c>
      <c r="AJ543" s="40" t="s">
        <v>45</v>
      </c>
      <c r="AK543" s="40" t="s">
        <v>45</v>
      </c>
      <c r="AL543" s="40" t="s">
        <v>45</v>
      </c>
      <c r="AM543" s="40" t="s">
        <v>45</v>
      </c>
      <c r="AN543" s="40" t="s">
        <v>45</v>
      </c>
      <c r="AO543" s="41" t="s">
        <v>45</v>
      </c>
      <c r="AP543" s="40" t="s">
        <v>56</v>
      </c>
      <c r="AQ543" s="40">
        <v>8</v>
      </c>
      <c r="AR543" s="48" t="s">
        <v>346</v>
      </c>
      <c r="AS543" s="43" t="s">
        <v>546</v>
      </c>
      <c r="AT543" s="43" t="s">
        <v>635</v>
      </c>
      <c r="AU543" s="44">
        <f t="shared" si="63"/>
        <v>-1.6312883484900931</v>
      </c>
      <c r="AV543" s="44">
        <f t="shared" si="64"/>
        <v>7.9093616233657377E-2</v>
      </c>
      <c r="AW543" s="45">
        <f t="shared" si="65"/>
        <v>3</v>
      </c>
      <c r="AX543" s="45">
        <f t="shared" si="66"/>
        <v>3</v>
      </c>
      <c r="AY543" s="46">
        <f>VLOOKUP(AP543,COND!$A$10:$B$32,2,FALSE)</f>
        <v>1</v>
      </c>
      <c r="AZ543" s="44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58.505614654975133</v>
      </c>
      <c r="BA543" s="47">
        <f t="shared" si="69"/>
        <v>1.5058778564755957</v>
      </c>
      <c r="BB543" s="45" t="str">
        <f t="shared" si="67"/>
        <v>SP</v>
      </c>
      <c r="BC543" s="45">
        <f>RANK(Table3[[#This Row],[zScore]],Table3[zScore])</f>
        <v>73</v>
      </c>
      <c r="BD543" s="45"/>
      <c r="BE543" s="45"/>
      <c r="BF543" s="45" t="str">
        <f t="shared" si="68"/>
        <v>Possible</v>
      </c>
      <c r="BG543" s="45"/>
      <c r="BH543" s="45">
        <f>INDEX(Table5[[#All],[Ovr]],MATCH(Table3[[#This Row],[PID]],Table5[[#All],[PID]],0))</f>
        <v>301</v>
      </c>
      <c r="BI543" s="45" t="str">
        <f>INDEX(Table5[[#All],[Rnd]],MATCH(Table3[[#This Row],[PID]],Table5[[#All],[PID]],0))</f>
        <v>10</v>
      </c>
      <c r="BJ543" s="45">
        <f>INDEX(Table5[[#All],[Pick]],MATCH(Table3[[#This Row],[PID]],Table5[[#All],[PID]],0))</f>
        <v>23</v>
      </c>
      <c r="BK543" s="45" t="str">
        <f>INDEX(Table5[[#All],[Team]],MATCH(Table3[[#This Row],[PID]],Table5[[#All],[PID]],0))</f>
        <v>Charleston Statesmen</v>
      </c>
      <c r="BL5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4" spans="1:64" ht="15" customHeight="1" x14ac:dyDescent="0.25">
      <c r="A544" s="40">
        <v>18329</v>
      </c>
      <c r="B544" s="40" t="s">
        <v>24</v>
      </c>
      <c r="C544" s="40" t="s">
        <v>698</v>
      </c>
      <c r="D544" s="40" t="s">
        <v>662</v>
      </c>
      <c r="E544" s="40">
        <v>18</v>
      </c>
      <c r="F544" s="40" t="s">
        <v>53</v>
      </c>
      <c r="G544" s="40" t="s">
        <v>42</v>
      </c>
      <c r="H544" s="41" t="s">
        <v>634</v>
      </c>
      <c r="I544" s="42" t="s">
        <v>43</v>
      </c>
      <c r="J544" s="40" t="s">
        <v>44</v>
      </c>
      <c r="K544" s="41" t="s">
        <v>43</v>
      </c>
      <c r="L544" s="40">
        <v>2</v>
      </c>
      <c r="M544" s="40">
        <v>2</v>
      </c>
      <c r="N544" s="41">
        <v>3</v>
      </c>
      <c r="O544" s="40">
        <v>5</v>
      </c>
      <c r="P544" s="40">
        <v>4</v>
      </c>
      <c r="Q544" s="41">
        <v>5</v>
      </c>
      <c r="R544" s="40">
        <v>5</v>
      </c>
      <c r="S544" s="40">
        <v>7</v>
      </c>
      <c r="T544" s="40">
        <v>1</v>
      </c>
      <c r="U544" s="40">
        <v>6</v>
      </c>
      <c r="V544" s="40" t="s">
        <v>45</v>
      </c>
      <c r="W544" s="40" t="s">
        <v>45</v>
      </c>
      <c r="X544" s="40">
        <v>3</v>
      </c>
      <c r="Y544" s="40">
        <v>8</v>
      </c>
      <c r="Z544" s="40" t="s">
        <v>45</v>
      </c>
      <c r="AA544" s="40" t="s">
        <v>45</v>
      </c>
      <c r="AB544" s="40" t="s">
        <v>45</v>
      </c>
      <c r="AC544" s="40" t="s">
        <v>45</v>
      </c>
      <c r="AD544" s="40" t="s">
        <v>45</v>
      </c>
      <c r="AE544" s="40" t="s">
        <v>45</v>
      </c>
      <c r="AF544" s="40" t="s">
        <v>45</v>
      </c>
      <c r="AG544" s="40" t="s">
        <v>45</v>
      </c>
      <c r="AH544" s="40" t="s">
        <v>45</v>
      </c>
      <c r="AI544" s="40" t="s">
        <v>45</v>
      </c>
      <c r="AJ544" s="40" t="s">
        <v>45</v>
      </c>
      <c r="AK544" s="40" t="s">
        <v>45</v>
      </c>
      <c r="AL544" s="40" t="s">
        <v>45</v>
      </c>
      <c r="AM544" s="40" t="s">
        <v>45</v>
      </c>
      <c r="AN544" s="40" t="s">
        <v>45</v>
      </c>
      <c r="AO544" s="41" t="s">
        <v>45</v>
      </c>
      <c r="AP544" s="40" t="s">
        <v>60</v>
      </c>
      <c r="AQ544" s="40">
        <v>7</v>
      </c>
      <c r="AR544" s="48" t="s">
        <v>347</v>
      </c>
      <c r="AS544" s="43" t="s">
        <v>1187</v>
      </c>
      <c r="AT544" s="43" t="s">
        <v>47</v>
      </c>
      <c r="AU544" s="44">
        <f t="shared" si="63"/>
        <v>-1.8267200649201485</v>
      </c>
      <c r="AV544" s="44">
        <f t="shared" si="64"/>
        <v>7.8353224312775444E-2</v>
      </c>
      <c r="AW544" s="45">
        <f t="shared" si="65"/>
        <v>3</v>
      </c>
      <c r="AX544" s="45">
        <f t="shared" si="66"/>
        <v>3</v>
      </c>
      <c r="AY544" s="46">
        <f>VLOOKUP(AP544,COND!$A$10:$B$32,2,FALSE)</f>
        <v>1.0249999999999999</v>
      </c>
      <c r="AZ544" s="44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58.313013485103269</v>
      </c>
      <c r="BA544" s="47">
        <f t="shared" si="69"/>
        <v>1.4930643949595714</v>
      </c>
      <c r="BB544" s="45" t="str">
        <f t="shared" si="67"/>
        <v>SP</v>
      </c>
      <c r="BC544" s="45">
        <f>RANK(Table3[[#This Row],[zScore]],Table3[zScore])</f>
        <v>75</v>
      </c>
      <c r="BD544" s="45"/>
      <c r="BE544" s="45"/>
      <c r="BF544" s="45" t="str">
        <f t="shared" si="68"/>
        <v>Possible</v>
      </c>
      <c r="BG544" s="45"/>
      <c r="BH544" s="45">
        <f>INDEX(Table5[[#All],[Ovr]],MATCH(Table3[[#This Row],[PID]],Table5[[#All],[PID]],0))</f>
        <v>276</v>
      </c>
      <c r="BI544" s="45" t="str">
        <f>INDEX(Table5[[#All],[Rnd]],MATCH(Table3[[#This Row],[PID]],Table5[[#All],[PID]],0))</f>
        <v>9</v>
      </c>
      <c r="BJ544" s="45">
        <f>INDEX(Table5[[#All],[Pick]],MATCH(Table3[[#This Row],[PID]],Table5[[#All],[PID]],0))</f>
        <v>28</v>
      </c>
      <c r="BK544" s="45" t="str">
        <f>INDEX(Table5[[#All],[Team]],MATCH(Table3[[#This Row],[PID]],Table5[[#All],[PID]],0))</f>
        <v>San Juan Coqui</v>
      </c>
      <c r="BL5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5" spans="1:64" ht="15" customHeight="1" x14ac:dyDescent="0.25">
      <c r="A545" s="40">
        <v>18200</v>
      </c>
      <c r="B545" s="40" t="s">
        <v>24</v>
      </c>
      <c r="C545" s="40" t="s">
        <v>126</v>
      </c>
      <c r="D545" s="40" t="s">
        <v>662</v>
      </c>
      <c r="E545" s="40">
        <v>18</v>
      </c>
      <c r="F545" s="40" t="s">
        <v>42</v>
      </c>
      <c r="G545" s="40" t="s">
        <v>42</v>
      </c>
      <c r="H545" s="41" t="s">
        <v>638</v>
      </c>
      <c r="I545" s="42" t="s">
        <v>47</v>
      </c>
      <c r="J545" s="40" t="s">
        <v>47</v>
      </c>
      <c r="K545" s="41" t="s">
        <v>43</v>
      </c>
      <c r="L545" s="40">
        <v>4</v>
      </c>
      <c r="M545" s="40">
        <v>2</v>
      </c>
      <c r="N545" s="41">
        <v>1</v>
      </c>
      <c r="O545" s="40">
        <v>8</v>
      </c>
      <c r="P545" s="40">
        <v>5</v>
      </c>
      <c r="Q545" s="41">
        <v>2</v>
      </c>
      <c r="R545" s="40">
        <v>7</v>
      </c>
      <c r="S545" s="40">
        <v>9</v>
      </c>
      <c r="T545" s="40" t="s">
        <v>45</v>
      </c>
      <c r="U545" s="40" t="s">
        <v>45</v>
      </c>
      <c r="V545" s="40">
        <v>3</v>
      </c>
      <c r="W545" s="40">
        <v>9</v>
      </c>
      <c r="X545" s="40">
        <v>4</v>
      </c>
      <c r="Y545" s="40">
        <v>9</v>
      </c>
      <c r="Z545" s="40" t="s">
        <v>45</v>
      </c>
      <c r="AA545" s="40" t="s">
        <v>45</v>
      </c>
      <c r="AB545" s="40" t="s">
        <v>45</v>
      </c>
      <c r="AC545" s="40" t="s">
        <v>45</v>
      </c>
      <c r="AD545" s="40" t="s">
        <v>45</v>
      </c>
      <c r="AE545" s="40" t="s">
        <v>45</v>
      </c>
      <c r="AF545" s="40" t="s">
        <v>45</v>
      </c>
      <c r="AG545" s="40" t="s">
        <v>45</v>
      </c>
      <c r="AH545" s="40" t="s">
        <v>45</v>
      </c>
      <c r="AI545" s="40" t="s">
        <v>45</v>
      </c>
      <c r="AJ545" s="40" t="s">
        <v>45</v>
      </c>
      <c r="AK545" s="40" t="s">
        <v>45</v>
      </c>
      <c r="AL545" s="40" t="s">
        <v>45</v>
      </c>
      <c r="AM545" s="40" t="s">
        <v>45</v>
      </c>
      <c r="AN545" s="40" t="s">
        <v>45</v>
      </c>
      <c r="AO545" s="41" t="s">
        <v>45</v>
      </c>
      <c r="AP545" s="40" t="s">
        <v>59</v>
      </c>
      <c r="AQ545" s="40">
        <v>4</v>
      </c>
      <c r="AR545" s="48" t="s">
        <v>347</v>
      </c>
      <c r="AS545" s="43" t="s">
        <v>408</v>
      </c>
      <c r="AT545" s="43" t="s">
        <v>47</v>
      </c>
      <c r="AU545" s="44">
        <f t="shared" si="63"/>
        <v>-1.9219785480100218</v>
      </c>
      <c r="AV545" s="44">
        <f t="shared" si="64"/>
        <v>0.13089721610802021</v>
      </c>
      <c r="AW545" s="45">
        <f t="shared" si="65"/>
        <v>3</v>
      </c>
      <c r="AX545" s="45">
        <f t="shared" si="66"/>
        <v>3</v>
      </c>
      <c r="AY545" s="46">
        <f>VLOOKUP(AP545,COND!$A$10:$B$32,2,FALSE)</f>
        <v>1.075</v>
      </c>
      <c r="AZ545" s="44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58.167574020575259</v>
      </c>
      <c r="BA545" s="47">
        <f t="shared" si="69"/>
        <v>1.4833885296318545</v>
      </c>
      <c r="BB545" s="45" t="str">
        <f t="shared" si="67"/>
        <v>RP</v>
      </c>
      <c r="BC545" s="45">
        <f>RANK(Table3[[#This Row],[zScore]],Table3[zScore])</f>
        <v>76</v>
      </c>
      <c r="BD545" s="45"/>
      <c r="BE545" s="45"/>
      <c r="BF545" s="45" t="str">
        <f t="shared" si="68"/>
        <v>Possible</v>
      </c>
      <c r="BG545" s="45"/>
      <c r="BH545" s="45">
        <f>INDEX(Table5[[#All],[Ovr]],MATCH(Table3[[#This Row],[PID]],Table5[[#All],[PID]],0))</f>
        <v>48</v>
      </c>
      <c r="BI545" s="45" t="str">
        <f>INDEX(Table5[[#All],[Rnd]],MATCH(Table3[[#This Row],[PID]],Table5[[#All],[PID]],0))</f>
        <v>2</v>
      </c>
      <c r="BJ545" s="45">
        <f>INDEX(Table5[[#All],[Pick]],MATCH(Table3[[#This Row],[PID]],Table5[[#All],[PID]],0))</f>
        <v>13</v>
      </c>
      <c r="BK545" s="45" t="str">
        <f>INDEX(Table5[[#All],[Team]],MATCH(Table3[[#This Row],[PID]],Table5[[#All],[PID]],0))</f>
        <v>Duluth Warriors</v>
      </c>
      <c r="BL5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6" spans="1:64" ht="15" customHeight="1" x14ac:dyDescent="0.25">
      <c r="A546" s="40">
        <v>18272</v>
      </c>
      <c r="B546" s="40" t="s">
        <v>24</v>
      </c>
      <c r="C546" s="40" t="s">
        <v>681</v>
      </c>
      <c r="D546" s="40" t="s">
        <v>1309</v>
      </c>
      <c r="E546" s="40">
        <v>18</v>
      </c>
      <c r="F546" s="40" t="s">
        <v>53</v>
      </c>
      <c r="G546" s="40" t="s">
        <v>42</v>
      </c>
      <c r="H546" s="41" t="s">
        <v>634</v>
      </c>
      <c r="I546" s="42" t="s">
        <v>44</v>
      </c>
      <c r="J546" s="40" t="s">
        <v>43</v>
      </c>
      <c r="K546" s="41" t="s">
        <v>43</v>
      </c>
      <c r="L546" s="40">
        <v>2</v>
      </c>
      <c r="M546" s="40">
        <v>2</v>
      </c>
      <c r="N546" s="41">
        <v>1</v>
      </c>
      <c r="O546" s="40">
        <v>5</v>
      </c>
      <c r="P546" s="40">
        <v>5</v>
      </c>
      <c r="Q546" s="41">
        <v>4</v>
      </c>
      <c r="R546" s="40">
        <v>5</v>
      </c>
      <c r="S546" s="40">
        <v>6</v>
      </c>
      <c r="T546" s="40" t="s">
        <v>45</v>
      </c>
      <c r="U546" s="40" t="s">
        <v>45</v>
      </c>
      <c r="V546" s="40">
        <v>2</v>
      </c>
      <c r="W546" s="40">
        <v>5</v>
      </c>
      <c r="X546" s="40">
        <v>3</v>
      </c>
      <c r="Y546" s="40">
        <v>6</v>
      </c>
      <c r="Z546" s="40" t="s">
        <v>45</v>
      </c>
      <c r="AA546" s="40" t="s">
        <v>45</v>
      </c>
      <c r="AB546" s="40" t="s">
        <v>45</v>
      </c>
      <c r="AC546" s="40" t="s">
        <v>45</v>
      </c>
      <c r="AD546" s="40" t="s">
        <v>45</v>
      </c>
      <c r="AE546" s="40" t="s">
        <v>45</v>
      </c>
      <c r="AF546" s="40" t="s">
        <v>45</v>
      </c>
      <c r="AG546" s="40" t="s">
        <v>45</v>
      </c>
      <c r="AH546" s="40">
        <v>1</v>
      </c>
      <c r="AI546" s="40">
        <v>6</v>
      </c>
      <c r="AJ546" s="40" t="s">
        <v>45</v>
      </c>
      <c r="AK546" s="40" t="s">
        <v>45</v>
      </c>
      <c r="AL546" s="40" t="s">
        <v>45</v>
      </c>
      <c r="AM546" s="40" t="s">
        <v>45</v>
      </c>
      <c r="AN546" s="40" t="s">
        <v>45</v>
      </c>
      <c r="AO546" s="41" t="s">
        <v>45</v>
      </c>
      <c r="AP546" s="40" t="s">
        <v>60</v>
      </c>
      <c r="AQ546" s="40">
        <v>7</v>
      </c>
      <c r="AR546" s="48" t="s">
        <v>347</v>
      </c>
      <c r="AS546" s="43" t="s">
        <v>1187</v>
      </c>
      <c r="AT546" s="43" t="s">
        <v>635</v>
      </c>
      <c r="AU546" s="44">
        <f t="shared" si="63"/>
        <v>-2.311361197028369</v>
      </c>
      <c r="AV546" s="44">
        <f t="shared" si="64"/>
        <v>3.146437468872048E-2</v>
      </c>
      <c r="AW546" s="45">
        <f t="shared" si="65"/>
        <v>4</v>
      </c>
      <c r="AX546" s="45">
        <f t="shared" si="66"/>
        <v>3</v>
      </c>
      <c r="AY546" s="46">
        <f>VLOOKUP(AP546,COND!$A$10:$B$32,2,FALSE)</f>
        <v>1.0249999999999999</v>
      </c>
      <c r="AZ546" s="44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57.914940635727952</v>
      </c>
      <c r="BA546" s="47">
        <f t="shared" si="69"/>
        <v>1.4665812165892724</v>
      </c>
      <c r="BB546" s="45" t="str">
        <f t="shared" si="67"/>
        <v>SP</v>
      </c>
      <c r="BC546" s="45">
        <f>RANK(Table3[[#This Row],[zScore]],Table3[zScore])</f>
        <v>77</v>
      </c>
      <c r="BD546" s="45"/>
      <c r="BE546" s="45"/>
      <c r="BF546" s="45" t="str">
        <f t="shared" si="68"/>
        <v>Possible</v>
      </c>
      <c r="BG546" s="45"/>
      <c r="BH546" s="45">
        <f>INDEX(Table5[[#All],[Ovr]],MATCH(Table3[[#This Row],[PID]],Table5[[#All],[PID]],0))</f>
        <v>373</v>
      </c>
      <c r="BI546" s="45" t="str">
        <f>INDEX(Table5[[#All],[Rnd]],MATCH(Table3[[#This Row],[PID]],Table5[[#All],[PID]],0))</f>
        <v>13</v>
      </c>
      <c r="BJ546" s="45">
        <f>INDEX(Table5[[#All],[Pick]],MATCH(Table3[[#This Row],[PID]],Table5[[#All],[PID]],0))</f>
        <v>5</v>
      </c>
      <c r="BK546" s="45" t="str">
        <f>INDEX(Table5[[#All],[Team]],MATCH(Table3[[#This Row],[PID]],Table5[[#All],[PID]],0))</f>
        <v>Okinawa Shisa</v>
      </c>
      <c r="BL54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7" spans="1:64" ht="15" customHeight="1" x14ac:dyDescent="0.25">
      <c r="A547" s="40">
        <v>18314</v>
      </c>
      <c r="B547" s="40" t="s">
        <v>24</v>
      </c>
      <c r="C547" s="40" t="s">
        <v>336</v>
      </c>
      <c r="D547" s="40" t="s">
        <v>1834</v>
      </c>
      <c r="E547" s="40">
        <v>21</v>
      </c>
      <c r="F547" s="40" t="s">
        <v>42</v>
      </c>
      <c r="G547" s="40" t="s">
        <v>42</v>
      </c>
      <c r="H547" s="41" t="s">
        <v>634</v>
      </c>
      <c r="I547" s="42" t="s">
        <v>44</v>
      </c>
      <c r="J547" s="40" t="s">
        <v>47</v>
      </c>
      <c r="K547" s="41" t="s">
        <v>47</v>
      </c>
      <c r="L547" s="40">
        <v>3</v>
      </c>
      <c r="M547" s="40">
        <v>3</v>
      </c>
      <c r="N547" s="41">
        <v>5</v>
      </c>
      <c r="O547" s="40">
        <v>4</v>
      </c>
      <c r="P547" s="40">
        <v>4</v>
      </c>
      <c r="Q547" s="41">
        <v>7</v>
      </c>
      <c r="R547" s="40">
        <v>5</v>
      </c>
      <c r="S547" s="40">
        <v>6</v>
      </c>
      <c r="T547" s="40">
        <v>3</v>
      </c>
      <c r="U547" s="40">
        <v>5</v>
      </c>
      <c r="V547" s="40">
        <v>3</v>
      </c>
      <c r="W547" s="40">
        <v>5</v>
      </c>
      <c r="X547" s="40">
        <v>3</v>
      </c>
      <c r="Y547" s="40">
        <v>3</v>
      </c>
      <c r="Z547" s="40" t="s">
        <v>45</v>
      </c>
      <c r="AA547" s="40" t="s">
        <v>45</v>
      </c>
      <c r="AB547" s="40" t="s">
        <v>45</v>
      </c>
      <c r="AC547" s="40" t="s">
        <v>45</v>
      </c>
      <c r="AD547" s="40" t="s">
        <v>45</v>
      </c>
      <c r="AE547" s="40" t="s">
        <v>45</v>
      </c>
      <c r="AF547" s="40" t="s">
        <v>45</v>
      </c>
      <c r="AG547" s="40" t="s">
        <v>45</v>
      </c>
      <c r="AH547" s="40" t="s">
        <v>45</v>
      </c>
      <c r="AI547" s="40" t="s">
        <v>45</v>
      </c>
      <c r="AJ547" s="40" t="s">
        <v>45</v>
      </c>
      <c r="AK547" s="40" t="s">
        <v>45</v>
      </c>
      <c r="AL547" s="40" t="s">
        <v>45</v>
      </c>
      <c r="AM547" s="40" t="s">
        <v>45</v>
      </c>
      <c r="AN547" s="40" t="s">
        <v>45</v>
      </c>
      <c r="AO547" s="41" t="s">
        <v>45</v>
      </c>
      <c r="AP547" s="40" t="s">
        <v>58</v>
      </c>
      <c r="AQ547" s="40">
        <v>7</v>
      </c>
      <c r="AR547" s="48" t="s">
        <v>347</v>
      </c>
      <c r="AS547" s="43" t="s">
        <v>556</v>
      </c>
      <c r="AT547" s="43" t="s">
        <v>47</v>
      </c>
      <c r="AU547" s="44">
        <f t="shared" si="63"/>
        <v>-0.95195589187269847</v>
      </c>
      <c r="AV547" s="44">
        <f t="shared" si="64"/>
        <v>0.36830303191182262</v>
      </c>
      <c r="AW547" s="45">
        <f t="shared" si="65"/>
        <v>4</v>
      </c>
      <c r="AX547" s="45">
        <f t="shared" si="66"/>
        <v>1</v>
      </c>
      <c r="AY547" s="46">
        <f>VLOOKUP(AP547,COND!$A$10:$B$32,2,FALSE)</f>
        <v>1</v>
      </c>
      <c r="AZ547" s="44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57.875669459861911</v>
      </c>
      <c r="BA547" s="47">
        <f t="shared" si="69"/>
        <v>1.4639685652695358</v>
      </c>
      <c r="BB547" s="45" t="str">
        <f t="shared" si="67"/>
        <v>SP</v>
      </c>
      <c r="BC547" s="45">
        <f>RANK(Table3[[#This Row],[zScore]],Table3[zScore])</f>
        <v>78</v>
      </c>
      <c r="BD547" s="45"/>
      <c r="BE547" s="45"/>
      <c r="BF547" s="45" t="str">
        <f t="shared" si="68"/>
        <v>Possible</v>
      </c>
      <c r="BG547" s="45"/>
      <c r="BH547" s="45">
        <f>INDEX(Table5[[#All],[Ovr]],MATCH(Table3[[#This Row],[PID]],Table5[[#All],[PID]],0))</f>
        <v>171</v>
      </c>
      <c r="BI547" s="45" t="str">
        <f>INDEX(Table5[[#All],[Rnd]],MATCH(Table3[[#This Row],[PID]],Table5[[#All],[PID]],0))</f>
        <v>6</v>
      </c>
      <c r="BJ547" s="45">
        <f>INDEX(Table5[[#All],[Pick]],MATCH(Table3[[#This Row],[PID]],Table5[[#All],[PID]],0))</f>
        <v>13</v>
      </c>
      <c r="BK547" s="45" t="str">
        <f>INDEX(Table5[[#All],[Team]],MATCH(Table3[[#This Row],[PID]],Table5[[#All],[PID]],0))</f>
        <v>Reno Zephyrs</v>
      </c>
      <c r="BL54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8" spans="1:64" ht="15" customHeight="1" x14ac:dyDescent="0.25">
      <c r="A548" s="40">
        <v>18308</v>
      </c>
      <c r="B548" s="40" t="s">
        <v>24</v>
      </c>
      <c r="C548" s="40" t="s">
        <v>1890</v>
      </c>
      <c r="D548" s="40" t="s">
        <v>557</v>
      </c>
      <c r="E548" s="40">
        <v>21</v>
      </c>
      <c r="F548" s="40" t="s">
        <v>53</v>
      </c>
      <c r="G548" s="40" t="s">
        <v>53</v>
      </c>
      <c r="H548" s="41" t="s">
        <v>638</v>
      </c>
      <c r="I548" s="42" t="s">
        <v>43</v>
      </c>
      <c r="J548" s="40" t="s">
        <v>44</v>
      </c>
      <c r="K548" s="41" t="s">
        <v>43</v>
      </c>
      <c r="L548" s="40">
        <v>3</v>
      </c>
      <c r="M548" s="40">
        <v>3</v>
      </c>
      <c r="N548" s="41">
        <v>4</v>
      </c>
      <c r="O548" s="40">
        <v>6</v>
      </c>
      <c r="P548" s="40">
        <v>5</v>
      </c>
      <c r="Q548" s="41">
        <v>5</v>
      </c>
      <c r="R548" s="40">
        <v>6</v>
      </c>
      <c r="S548" s="40">
        <v>8</v>
      </c>
      <c r="T548" s="40">
        <v>1</v>
      </c>
      <c r="U548" s="40">
        <v>1</v>
      </c>
      <c r="V548" s="40">
        <v>5</v>
      </c>
      <c r="W548" s="40">
        <v>9</v>
      </c>
      <c r="X548" s="40" t="s">
        <v>45</v>
      </c>
      <c r="Y548" s="40" t="s">
        <v>45</v>
      </c>
      <c r="Z548" s="40" t="s">
        <v>45</v>
      </c>
      <c r="AA548" s="40" t="s">
        <v>45</v>
      </c>
      <c r="AB548" s="40" t="s">
        <v>45</v>
      </c>
      <c r="AC548" s="40" t="s">
        <v>45</v>
      </c>
      <c r="AD548" s="40" t="s">
        <v>45</v>
      </c>
      <c r="AE548" s="40" t="s">
        <v>45</v>
      </c>
      <c r="AF548" s="40" t="s">
        <v>45</v>
      </c>
      <c r="AG548" s="40" t="s">
        <v>45</v>
      </c>
      <c r="AH548" s="40" t="s">
        <v>45</v>
      </c>
      <c r="AI548" s="40" t="s">
        <v>45</v>
      </c>
      <c r="AJ548" s="40" t="s">
        <v>45</v>
      </c>
      <c r="AK548" s="40" t="s">
        <v>45</v>
      </c>
      <c r="AL548" s="40" t="s">
        <v>45</v>
      </c>
      <c r="AM548" s="40" t="s">
        <v>45</v>
      </c>
      <c r="AN548" s="40" t="s">
        <v>45</v>
      </c>
      <c r="AO548" s="41" t="s">
        <v>45</v>
      </c>
      <c r="AP548" s="40" t="s">
        <v>48</v>
      </c>
      <c r="AQ548" s="40">
        <v>4</v>
      </c>
      <c r="AR548" s="48" t="s">
        <v>346</v>
      </c>
      <c r="AS548" s="43" t="s">
        <v>1176</v>
      </c>
      <c r="AT548" s="43" t="s">
        <v>635</v>
      </c>
      <c r="AU548" s="44">
        <f t="shared" si="63"/>
        <v>-1.1942764579268088</v>
      </c>
      <c r="AV548" s="44">
        <f t="shared" si="64"/>
        <v>0.46847626525200436</v>
      </c>
      <c r="AW548" s="45">
        <f t="shared" si="65"/>
        <v>3</v>
      </c>
      <c r="AX548" s="45">
        <f t="shared" si="66"/>
        <v>2</v>
      </c>
      <c r="AY548" s="46">
        <f>VLOOKUP(AP548,COND!$A$10:$B$32,2,FALSE)</f>
        <v>1.05</v>
      </c>
      <c r="AZ548" s="44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57.797843338421089</v>
      </c>
      <c r="BA548" s="47">
        <f t="shared" si="69"/>
        <v>1.4587909123368623</v>
      </c>
      <c r="BB548" s="45" t="str">
        <f t="shared" si="67"/>
        <v>RP</v>
      </c>
      <c r="BC548" s="45">
        <f>RANK(Table3[[#This Row],[zScore]],Table3[zScore])</f>
        <v>79</v>
      </c>
      <c r="BD548" s="45"/>
      <c r="BE548" s="45"/>
      <c r="BF548" s="45" t="str">
        <f t="shared" si="68"/>
        <v>Possible</v>
      </c>
      <c r="BG548" s="45"/>
      <c r="BH548" s="45">
        <f>INDEX(Table5[[#All],[Ovr]],MATCH(Table3[[#This Row],[PID]],Table5[[#All],[PID]],0))</f>
        <v>95</v>
      </c>
      <c r="BI548" s="45" t="str">
        <f>INDEX(Table5[[#All],[Rnd]],MATCH(Table3[[#This Row],[PID]],Table5[[#All],[PID]],0))</f>
        <v>3</v>
      </c>
      <c r="BJ548" s="45">
        <f>INDEX(Table5[[#All],[Pick]],MATCH(Table3[[#This Row],[PID]],Table5[[#All],[PID]],0))</f>
        <v>27</v>
      </c>
      <c r="BK548" s="45" t="str">
        <f>INDEX(Table5[[#All],[Team]],MATCH(Table3[[#This Row],[PID]],Table5[[#All],[PID]],0))</f>
        <v>Toyama Wind Dancers</v>
      </c>
      <c r="BL5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49" spans="1:64" ht="15" customHeight="1" x14ac:dyDescent="0.25">
      <c r="A549" s="40">
        <v>15621</v>
      </c>
      <c r="B549" s="40" t="s">
        <v>24</v>
      </c>
      <c r="C549" s="40" t="s">
        <v>805</v>
      </c>
      <c r="D549" s="40" t="s">
        <v>1815</v>
      </c>
      <c r="E549" s="40">
        <v>18</v>
      </c>
      <c r="F549" s="40" t="s">
        <v>42</v>
      </c>
      <c r="G549" s="40" t="s">
        <v>42</v>
      </c>
      <c r="H549" s="41" t="s">
        <v>634</v>
      </c>
      <c r="I549" s="42" t="s">
        <v>43</v>
      </c>
      <c r="J549" s="40" t="s">
        <v>47</v>
      </c>
      <c r="K549" s="41" t="s">
        <v>43</v>
      </c>
      <c r="L549" s="40">
        <v>2</v>
      </c>
      <c r="M549" s="40">
        <v>2</v>
      </c>
      <c r="N549" s="41">
        <v>2</v>
      </c>
      <c r="O549" s="40">
        <v>4</v>
      </c>
      <c r="P549" s="40">
        <v>6</v>
      </c>
      <c r="Q549" s="41">
        <v>4</v>
      </c>
      <c r="R549" s="40">
        <v>4</v>
      </c>
      <c r="S549" s="40">
        <v>6</v>
      </c>
      <c r="T549" s="40" t="s">
        <v>45</v>
      </c>
      <c r="U549" s="40" t="s">
        <v>45</v>
      </c>
      <c r="V549" s="40" t="s">
        <v>45</v>
      </c>
      <c r="W549" s="40" t="s">
        <v>45</v>
      </c>
      <c r="X549" s="40">
        <v>2</v>
      </c>
      <c r="Y549" s="40">
        <v>6</v>
      </c>
      <c r="Z549" s="40" t="s">
        <v>45</v>
      </c>
      <c r="AA549" s="40" t="s">
        <v>45</v>
      </c>
      <c r="AB549" s="40">
        <v>3</v>
      </c>
      <c r="AC549" s="40">
        <v>6</v>
      </c>
      <c r="AD549" s="40" t="s">
        <v>45</v>
      </c>
      <c r="AE549" s="40" t="s">
        <v>45</v>
      </c>
      <c r="AF549" s="40" t="s">
        <v>45</v>
      </c>
      <c r="AG549" s="40" t="s">
        <v>45</v>
      </c>
      <c r="AH549" s="40" t="s">
        <v>45</v>
      </c>
      <c r="AI549" s="40" t="s">
        <v>45</v>
      </c>
      <c r="AJ549" s="40" t="s">
        <v>45</v>
      </c>
      <c r="AK549" s="40" t="s">
        <v>45</v>
      </c>
      <c r="AL549" s="40" t="s">
        <v>45</v>
      </c>
      <c r="AM549" s="40" t="s">
        <v>45</v>
      </c>
      <c r="AN549" s="40" t="s">
        <v>45</v>
      </c>
      <c r="AO549" s="41" t="s">
        <v>45</v>
      </c>
      <c r="AP549" s="40" t="s">
        <v>56</v>
      </c>
      <c r="AQ549" s="40">
        <v>8</v>
      </c>
      <c r="AR549" s="48" t="s">
        <v>347</v>
      </c>
      <c r="AS549" s="43" t="s">
        <v>560</v>
      </c>
      <c r="AT549" s="43" t="s">
        <v>635</v>
      </c>
      <c r="AU549" s="44">
        <f t="shared" si="63"/>
        <v>-2.0690406309742588</v>
      </c>
      <c r="AV549" s="44">
        <f t="shared" si="64"/>
        <v>3.2204766609602385E-2</v>
      </c>
      <c r="AW549" s="45">
        <f t="shared" si="65"/>
        <v>3</v>
      </c>
      <c r="AX549" s="45">
        <f t="shared" si="66"/>
        <v>3</v>
      </c>
      <c r="AY549" s="46">
        <f>VLOOKUP(AP549,COND!$A$10:$B$32,2,FALSE)</f>
        <v>1</v>
      </c>
      <c r="AZ549" s="44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57.780287205997197</v>
      </c>
      <c r="BA549" s="47">
        <f t="shared" si="69"/>
        <v>1.4576229296743819</v>
      </c>
      <c r="BB549" s="45" t="str">
        <f t="shared" si="67"/>
        <v>SP</v>
      </c>
      <c r="BC549" s="45">
        <f>RANK(Table3[[#This Row],[zScore]],Table3[zScore])</f>
        <v>80</v>
      </c>
      <c r="BD549" s="45"/>
      <c r="BE549" s="45"/>
      <c r="BF549" s="45" t="str">
        <f t="shared" si="68"/>
        <v>Possible</v>
      </c>
      <c r="BG549" s="45"/>
      <c r="BH549" s="45">
        <f>INDEX(Table5[[#All],[Ovr]],MATCH(Table3[[#This Row],[PID]],Table5[[#All],[PID]],0))</f>
        <v>196</v>
      </c>
      <c r="BI549" s="45" t="str">
        <f>INDEX(Table5[[#All],[Rnd]],MATCH(Table3[[#This Row],[PID]],Table5[[#All],[PID]],0))</f>
        <v>7</v>
      </c>
      <c r="BJ549" s="45">
        <f>INDEX(Table5[[#All],[Pick]],MATCH(Table3[[#This Row],[PID]],Table5[[#All],[PID]],0))</f>
        <v>8</v>
      </c>
      <c r="BK549" s="45" t="str">
        <f>INDEX(Table5[[#All],[Team]],MATCH(Table3[[#This Row],[PID]],Table5[[#All],[PID]],0))</f>
        <v>London Underground</v>
      </c>
      <c r="BL5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0" spans="1:64" ht="15" customHeight="1" x14ac:dyDescent="0.25">
      <c r="A550" s="40">
        <v>18207</v>
      </c>
      <c r="B550" s="40" t="s">
        <v>24</v>
      </c>
      <c r="C550" s="40" t="s">
        <v>684</v>
      </c>
      <c r="D550" s="40" t="s">
        <v>928</v>
      </c>
      <c r="E550" s="40">
        <v>18</v>
      </c>
      <c r="F550" s="40" t="s">
        <v>42</v>
      </c>
      <c r="G550" s="40" t="s">
        <v>42</v>
      </c>
      <c r="H550" s="41" t="s">
        <v>638</v>
      </c>
      <c r="I550" s="42" t="s">
        <v>43</v>
      </c>
      <c r="J550" s="40" t="s">
        <v>43</v>
      </c>
      <c r="K550" s="41" t="s">
        <v>43</v>
      </c>
      <c r="L550" s="40">
        <v>1</v>
      </c>
      <c r="M550" s="40">
        <v>2</v>
      </c>
      <c r="N550" s="41">
        <v>2</v>
      </c>
      <c r="O550" s="40">
        <v>4</v>
      </c>
      <c r="P550" s="40">
        <v>3</v>
      </c>
      <c r="Q550" s="41">
        <v>7</v>
      </c>
      <c r="R550" s="40">
        <v>3</v>
      </c>
      <c r="S550" s="40">
        <v>5</v>
      </c>
      <c r="T550" s="40">
        <v>1</v>
      </c>
      <c r="U550" s="40">
        <v>7</v>
      </c>
      <c r="V550" s="40" t="s">
        <v>45</v>
      </c>
      <c r="W550" s="40" t="s">
        <v>45</v>
      </c>
      <c r="X550" s="40" t="s">
        <v>45</v>
      </c>
      <c r="Y550" s="40" t="s">
        <v>45</v>
      </c>
      <c r="Z550" s="40">
        <v>3</v>
      </c>
      <c r="AA550" s="40">
        <v>4</v>
      </c>
      <c r="AB550" s="40" t="s">
        <v>45</v>
      </c>
      <c r="AC550" s="40" t="s">
        <v>45</v>
      </c>
      <c r="AD550" s="40" t="s">
        <v>45</v>
      </c>
      <c r="AE550" s="40" t="s">
        <v>45</v>
      </c>
      <c r="AF550" s="40" t="s">
        <v>45</v>
      </c>
      <c r="AG550" s="40" t="s">
        <v>45</v>
      </c>
      <c r="AH550" s="40" t="s">
        <v>45</v>
      </c>
      <c r="AI550" s="40" t="s">
        <v>45</v>
      </c>
      <c r="AJ550" s="40" t="s">
        <v>45</v>
      </c>
      <c r="AK550" s="40" t="s">
        <v>45</v>
      </c>
      <c r="AL550" s="40" t="s">
        <v>45</v>
      </c>
      <c r="AM550" s="40" t="s">
        <v>45</v>
      </c>
      <c r="AN550" s="40" t="s">
        <v>45</v>
      </c>
      <c r="AO550" s="41" t="s">
        <v>45</v>
      </c>
      <c r="AP550" s="40" t="s">
        <v>64</v>
      </c>
      <c r="AQ550" s="40">
        <v>6</v>
      </c>
      <c r="AR550" s="48" t="s">
        <v>347</v>
      </c>
      <c r="AS550" s="43" t="s">
        <v>553</v>
      </c>
      <c r="AT550" s="43" t="s">
        <v>47</v>
      </c>
      <c r="AU550" s="44">
        <f t="shared" si="63"/>
        <v>-2.2637319554834323</v>
      </c>
      <c r="AV550" s="44">
        <f t="shared" si="64"/>
        <v>0.17287131548176726</v>
      </c>
      <c r="AW550" s="45">
        <f t="shared" si="65"/>
        <v>3</v>
      </c>
      <c r="AX550" s="45">
        <f t="shared" si="66"/>
        <v>1</v>
      </c>
      <c r="AY550" s="46">
        <f>VLOOKUP(AP550,COND!$A$10:$B$32,2,FALSE)</f>
        <v>1</v>
      </c>
      <c r="AZ550" s="44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57.610812920575192</v>
      </c>
      <c r="BA550" s="47">
        <f t="shared" si="69"/>
        <v>1.4463480644404101</v>
      </c>
      <c r="BB550" s="45" t="str">
        <f t="shared" si="67"/>
        <v>SP</v>
      </c>
      <c r="BC550" s="45">
        <f>RANK(Table3[[#This Row],[zScore]],Table3[zScore])</f>
        <v>81</v>
      </c>
      <c r="BD550" s="45"/>
      <c r="BE550" s="45"/>
      <c r="BF550" s="45" t="str">
        <f t="shared" si="68"/>
        <v>Possible</v>
      </c>
      <c r="BG550" s="45"/>
      <c r="BH550" s="45">
        <f>INDEX(Table5[[#All],[Ovr]],MATCH(Table3[[#This Row],[PID]],Table5[[#All],[PID]],0))</f>
        <v>508</v>
      </c>
      <c r="BI550" s="45" t="str">
        <f>INDEX(Table5[[#All],[Rnd]],MATCH(Table3[[#This Row],[PID]],Table5[[#All],[PID]],0))</f>
        <v>17</v>
      </c>
      <c r="BJ550" s="45">
        <f>INDEX(Table5[[#All],[Pick]],MATCH(Table3[[#This Row],[PID]],Table5[[#All],[PID]],0))</f>
        <v>20</v>
      </c>
      <c r="BK550" s="45" t="str">
        <f>INDEX(Table5[[#All],[Team]],MATCH(Table3[[#This Row],[PID]],Table5[[#All],[PID]],0))</f>
        <v>Amsterdam Lions</v>
      </c>
      <c r="BL5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1" spans="1:64" ht="15" customHeight="1" x14ac:dyDescent="0.25">
      <c r="A551" s="40">
        <v>20904</v>
      </c>
      <c r="B551" s="40" t="s">
        <v>24</v>
      </c>
      <c r="C551" s="40" t="s">
        <v>336</v>
      </c>
      <c r="D551" s="40" t="s">
        <v>674</v>
      </c>
      <c r="E551" s="40">
        <v>17</v>
      </c>
      <c r="F551" s="40" t="s">
        <v>42</v>
      </c>
      <c r="G551" s="40" t="s">
        <v>42</v>
      </c>
      <c r="H551" s="41" t="s">
        <v>638</v>
      </c>
      <c r="I551" s="42" t="s">
        <v>43</v>
      </c>
      <c r="J551" s="40" t="s">
        <v>43</v>
      </c>
      <c r="K551" s="41" t="s">
        <v>43</v>
      </c>
      <c r="L551" s="40">
        <v>1</v>
      </c>
      <c r="M551" s="40">
        <v>2</v>
      </c>
      <c r="N551" s="41">
        <v>1</v>
      </c>
      <c r="O551" s="40">
        <v>5</v>
      </c>
      <c r="P551" s="40">
        <v>4</v>
      </c>
      <c r="Q551" s="41">
        <v>5</v>
      </c>
      <c r="R551" s="40">
        <v>4</v>
      </c>
      <c r="S551" s="40">
        <v>7</v>
      </c>
      <c r="T551" s="40">
        <v>1</v>
      </c>
      <c r="U551" s="40">
        <v>1</v>
      </c>
      <c r="V551" s="40">
        <v>2</v>
      </c>
      <c r="W551" s="40">
        <v>7</v>
      </c>
      <c r="X551" s="40" t="s">
        <v>45</v>
      </c>
      <c r="Y551" s="40" t="s">
        <v>45</v>
      </c>
      <c r="Z551" s="40" t="s">
        <v>45</v>
      </c>
      <c r="AA551" s="40" t="s">
        <v>45</v>
      </c>
      <c r="AB551" s="40" t="s">
        <v>45</v>
      </c>
      <c r="AC551" s="40" t="s">
        <v>45</v>
      </c>
      <c r="AD551" s="40" t="s">
        <v>45</v>
      </c>
      <c r="AE551" s="40" t="s">
        <v>45</v>
      </c>
      <c r="AF551" s="40" t="s">
        <v>45</v>
      </c>
      <c r="AG551" s="40" t="s">
        <v>45</v>
      </c>
      <c r="AH551" s="40" t="s">
        <v>45</v>
      </c>
      <c r="AI551" s="40" t="s">
        <v>45</v>
      </c>
      <c r="AJ551" s="40" t="s">
        <v>45</v>
      </c>
      <c r="AK551" s="40" t="s">
        <v>45</v>
      </c>
      <c r="AL551" s="40" t="s">
        <v>45</v>
      </c>
      <c r="AM551" s="40" t="s">
        <v>45</v>
      </c>
      <c r="AN551" s="40" t="s">
        <v>45</v>
      </c>
      <c r="AO551" s="41" t="s">
        <v>45</v>
      </c>
      <c r="AP551" s="40" t="s">
        <v>57</v>
      </c>
      <c r="AQ551" s="40">
        <v>9</v>
      </c>
      <c r="AR551" s="48" t="s">
        <v>347</v>
      </c>
      <c r="AS551" s="43" t="s">
        <v>657</v>
      </c>
      <c r="AT551" s="43" t="s">
        <v>47</v>
      </c>
      <c r="AU551" s="44">
        <f t="shared" si="63"/>
        <v>-2.5060525215375429</v>
      </c>
      <c r="AV551" s="44">
        <f t="shared" si="64"/>
        <v>7.8353224312775444E-2</v>
      </c>
      <c r="AW551" s="45">
        <f t="shared" si="65"/>
        <v>3</v>
      </c>
      <c r="AX551" s="45">
        <f t="shared" si="66"/>
        <v>2</v>
      </c>
      <c r="AY551" s="46">
        <f>VLOOKUP(AP551,COND!$A$10:$B$32,2,FALSE)</f>
        <v>1</v>
      </c>
      <c r="AZ551" s="44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57.065853981948003</v>
      </c>
      <c r="BA551" s="47">
        <f t="shared" si="69"/>
        <v>1.4100927790101159</v>
      </c>
      <c r="BB551" s="45" t="str">
        <f t="shared" si="67"/>
        <v>SP</v>
      </c>
      <c r="BC551" s="45">
        <f>RANK(Table3[[#This Row],[zScore]],Table3[zScore])</f>
        <v>82</v>
      </c>
      <c r="BD551" s="45"/>
      <c r="BE551" s="45"/>
      <c r="BF551" s="45" t="str">
        <f t="shared" si="68"/>
        <v>Possible</v>
      </c>
      <c r="BG551" s="45"/>
      <c r="BH551" s="45">
        <f>INDEX(Table5[[#All],[Ovr]],MATCH(Table3[[#This Row],[PID]],Table5[[#All],[PID]],0))</f>
        <v>313</v>
      </c>
      <c r="BI551" s="45" t="str">
        <f>INDEX(Table5[[#All],[Rnd]],MATCH(Table3[[#This Row],[PID]],Table5[[#All],[PID]],0))</f>
        <v>11</v>
      </c>
      <c r="BJ551" s="45">
        <f>INDEX(Table5[[#All],[Pick]],MATCH(Table3[[#This Row],[PID]],Table5[[#All],[PID]],0))</f>
        <v>5</v>
      </c>
      <c r="BK551" s="45" t="str">
        <f>INDEX(Table5[[#All],[Team]],MATCH(Table3[[#This Row],[PID]],Table5[[#All],[PID]],0))</f>
        <v>Okinawa Shisa</v>
      </c>
      <c r="BL5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2" spans="1:64" ht="15" customHeight="1" x14ac:dyDescent="0.25">
      <c r="A552" s="40">
        <v>18336</v>
      </c>
      <c r="B552" s="40" t="s">
        <v>24</v>
      </c>
      <c r="C552" s="40" t="s">
        <v>162</v>
      </c>
      <c r="D552" s="40" t="s">
        <v>642</v>
      </c>
      <c r="E552" s="40">
        <v>18</v>
      </c>
      <c r="F552" s="40" t="s">
        <v>53</v>
      </c>
      <c r="G552" s="40" t="s">
        <v>53</v>
      </c>
      <c r="H552" s="41" t="s">
        <v>634</v>
      </c>
      <c r="I552" s="42" t="s">
        <v>43</v>
      </c>
      <c r="J552" s="40" t="s">
        <v>43</v>
      </c>
      <c r="K552" s="41" t="s">
        <v>47</v>
      </c>
      <c r="L552" s="40">
        <v>3</v>
      </c>
      <c r="M552" s="40">
        <v>2</v>
      </c>
      <c r="N552" s="41">
        <v>1</v>
      </c>
      <c r="O552" s="40">
        <v>6</v>
      </c>
      <c r="P552" s="40">
        <v>5</v>
      </c>
      <c r="Q552" s="41">
        <v>3</v>
      </c>
      <c r="R552" s="40">
        <v>5</v>
      </c>
      <c r="S552" s="40">
        <v>9</v>
      </c>
      <c r="T552" s="40" t="s">
        <v>45</v>
      </c>
      <c r="U552" s="40" t="s">
        <v>45</v>
      </c>
      <c r="V552" s="40" t="s">
        <v>45</v>
      </c>
      <c r="W552" s="40" t="s">
        <v>45</v>
      </c>
      <c r="X552" s="40">
        <v>3</v>
      </c>
      <c r="Y552" s="40">
        <v>6</v>
      </c>
      <c r="Z552" s="40" t="s">
        <v>45</v>
      </c>
      <c r="AA552" s="40" t="s">
        <v>45</v>
      </c>
      <c r="AB552" s="40" t="s">
        <v>45</v>
      </c>
      <c r="AC552" s="40" t="s">
        <v>45</v>
      </c>
      <c r="AD552" s="40" t="s">
        <v>45</v>
      </c>
      <c r="AE552" s="40" t="s">
        <v>45</v>
      </c>
      <c r="AF552" s="40" t="s">
        <v>45</v>
      </c>
      <c r="AG552" s="40" t="s">
        <v>45</v>
      </c>
      <c r="AH552" s="40">
        <v>1</v>
      </c>
      <c r="AI552" s="40">
        <v>7</v>
      </c>
      <c r="AJ552" s="40" t="s">
        <v>45</v>
      </c>
      <c r="AK552" s="40" t="s">
        <v>45</v>
      </c>
      <c r="AL552" s="40" t="s">
        <v>45</v>
      </c>
      <c r="AM552" s="40" t="s">
        <v>45</v>
      </c>
      <c r="AN552" s="40" t="s">
        <v>45</v>
      </c>
      <c r="AO552" s="41" t="s">
        <v>45</v>
      </c>
      <c r="AP552" s="40" t="s">
        <v>61</v>
      </c>
      <c r="AQ552" s="40">
        <v>6</v>
      </c>
      <c r="AR552" s="48" t="s">
        <v>347</v>
      </c>
      <c r="AS552" s="43" t="s">
        <v>727</v>
      </c>
      <c r="AT552" s="43" t="s">
        <v>635</v>
      </c>
      <c r="AU552" s="44">
        <f t="shared" si="63"/>
        <v>-2.1166698725191955</v>
      </c>
      <c r="AV552" s="44">
        <f t="shared" si="64"/>
        <v>-1.6164866856216389E-2</v>
      </c>
      <c r="AW552" s="45">
        <f t="shared" si="65"/>
        <v>3</v>
      </c>
      <c r="AX552" s="45">
        <f t="shared" si="66"/>
        <v>3</v>
      </c>
      <c r="AY552" s="46">
        <f>VLOOKUP(AP552,COND!$A$10:$B$32,2,FALSE)</f>
        <v>1.05</v>
      </c>
      <c r="AZ552" s="44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56.91032369472066</v>
      </c>
      <c r="BA552" s="47">
        <f t="shared" si="69"/>
        <v>1.3997455866680879</v>
      </c>
      <c r="BB552" s="45" t="str">
        <f t="shared" si="67"/>
        <v>SP</v>
      </c>
      <c r="BC552" s="45">
        <f>RANK(Table3[[#This Row],[zScore]],Table3[zScore])</f>
        <v>83</v>
      </c>
      <c r="BD552" s="45"/>
      <c r="BE552" s="45"/>
      <c r="BF552" s="45" t="str">
        <f t="shared" si="68"/>
        <v>Possible</v>
      </c>
      <c r="BG552" s="45"/>
      <c r="BH552" s="45">
        <f>INDEX(Table5[[#All],[Ovr]],MATCH(Table3[[#This Row],[PID]],Table5[[#All],[PID]],0))</f>
        <v>192</v>
      </c>
      <c r="BI552" s="45" t="str">
        <f>INDEX(Table5[[#All],[Rnd]],MATCH(Table3[[#This Row],[PID]],Table5[[#All],[PID]],0))</f>
        <v>7</v>
      </c>
      <c r="BJ552" s="45">
        <f>INDEX(Table5[[#All],[Pick]],MATCH(Table3[[#This Row],[PID]],Table5[[#All],[PID]],0))</f>
        <v>4</v>
      </c>
      <c r="BK552" s="45" t="str">
        <f>INDEX(Table5[[#All],[Team]],MATCH(Table3[[#This Row],[PID]],Table5[[#All],[PID]],0))</f>
        <v>Tempe Knights</v>
      </c>
      <c r="BL5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3" spans="1:64" ht="15" customHeight="1" x14ac:dyDescent="0.25">
      <c r="A553" s="40">
        <v>18003</v>
      </c>
      <c r="B553" s="40" t="s">
        <v>24</v>
      </c>
      <c r="C553" s="40" t="s">
        <v>426</v>
      </c>
      <c r="D553" s="40" t="s">
        <v>1117</v>
      </c>
      <c r="E553" s="40">
        <v>21</v>
      </c>
      <c r="F553" s="40" t="s">
        <v>42</v>
      </c>
      <c r="G553" s="40" t="s">
        <v>42</v>
      </c>
      <c r="H553" s="41" t="s">
        <v>634</v>
      </c>
      <c r="I553" s="42" t="s">
        <v>43</v>
      </c>
      <c r="J553" s="40" t="s">
        <v>43</v>
      </c>
      <c r="K553" s="41" t="s">
        <v>43</v>
      </c>
      <c r="L553" s="40">
        <v>2</v>
      </c>
      <c r="M553" s="40">
        <v>3</v>
      </c>
      <c r="N553" s="41">
        <v>2</v>
      </c>
      <c r="O553" s="40">
        <v>6</v>
      </c>
      <c r="P553" s="40">
        <v>5</v>
      </c>
      <c r="Q553" s="41">
        <v>4</v>
      </c>
      <c r="R553" s="40" t="s">
        <v>45</v>
      </c>
      <c r="S553" s="40" t="s">
        <v>45</v>
      </c>
      <c r="T553" s="40">
        <v>2</v>
      </c>
      <c r="U553" s="40">
        <v>7</v>
      </c>
      <c r="V553" s="40" t="s">
        <v>45</v>
      </c>
      <c r="W553" s="40" t="s">
        <v>45</v>
      </c>
      <c r="X553" s="40">
        <v>3</v>
      </c>
      <c r="Y553" s="40">
        <v>8</v>
      </c>
      <c r="Z553" s="40">
        <v>4</v>
      </c>
      <c r="AA553" s="40">
        <v>7</v>
      </c>
      <c r="AB553" s="40" t="s">
        <v>45</v>
      </c>
      <c r="AC553" s="40" t="s">
        <v>45</v>
      </c>
      <c r="AD553" s="40" t="s">
        <v>45</v>
      </c>
      <c r="AE553" s="40" t="s">
        <v>45</v>
      </c>
      <c r="AF553" s="40">
        <v>4</v>
      </c>
      <c r="AG553" s="40">
        <v>5</v>
      </c>
      <c r="AH553" s="40" t="s">
        <v>45</v>
      </c>
      <c r="AI553" s="40" t="s">
        <v>45</v>
      </c>
      <c r="AJ553" s="40" t="s">
        <v>45</v>
      </c>
      <c r="AK553" s="40" t="s">
        <v>45</v>
      </c>
      <c r="AL553" s="40" t="s">
        <v>45</v>
      </c>
      <c r="AM553" s="40" t="s">
        <v>45</v>
      </c>
      <c r="AN553" s="40" t="s">
        <v>45</v>
      </c>
      <c r="AO553" s="41" t="s">
        <v>45</v>
      </c>
      <c r="AP553" s="40" t="s">
        <v>60</v>
      </c>
      <c r="AQ553" s="40">
        <v>5</v>
      </c>
      <c r="AR553" s="48" t="s">
        <v>347</v>
      </c>
      <c r="AS553" s="43" t="s">
        <v>794</v>
      </c>
      <c r="AT553" s="43" t="s">
        <v>635</v>
      </c>
      <c r="AU553" s="44">
        <f t="shared" si="63"/>
        <v>-1.8736089145442034</v>
      </c>
      <c r="AV553" s="44">
        <f t="shared" si="64"/>
        <v>0.22615569919789399</v>
      </c>
      <c r="AW553" s="45">
        <f t="shared" si="65"/>
        <v>4</v>
      </c>
      <c r="AX553" s="45">
        <f t="shared" si="66"/>
        <v>3</v>
      </c>
      <c r="AY553" s="46">
        <f>VLOOKUP(AP553,COND!$A$10:$B$32,2,FALSE)</f>
        <v>1.0249999999999999</v>
      </c>
      <c r="AZ553" s="44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56.892205705923381</v>
      </c>
      <c r="BA553" s="47">
        <f t="shared" si="69"/>
        <v>1.3985402245596636</v>
      </c>
      <c r="BB553" s="45" t="str">
        <f t="shared" si="67"/>
        <v>SP</v>
      </c>
      <c r="BC553" s="45">
        <f>RANK(Table3[[#This Row],[zScore]],Table3[zScore])</f>
        <v>84</v>
      </c>
      <c r="BD553" s="45"/>
      <c r="BE553" s="45"/>
      <c r="BF553" s="45" t="str">
        <f t="shared" si="68"/>
        <v>Possible</v>
      </c>
      <c r="BG553" s="45"/>
      <c r="BH553" s="45">
        <f>INDEX(Table5[[#All],[Ovr]],MATCH(Table3[[#This Row],[PID]],Table5[[#All],[PID]],0))</f>
        <v>29</v>
      </c>
      <c r="BI553" s="45" t="str">
        <f>INDEX(Table5[[#All],[Rnd]],MATCH(Table3[[#This Row],[PID]],Table5[[#All],[PID]],0))</f>
        <v>S1</v>
      </c>
      <c r="BJ553" s="45">
        <f>INDEX(Table5[[#All],[Pick]],MATCH(Table3[[#This Row],[PID]],Table5[[#All],[PID]],0))</f>
        <v>2</v>
      </c>
      <c r="BK553" s="45" t="str">
        <f>INDEX(Table5[[#All],[Team]],MATCH(Table3[[#This Row],[PID]],Table5[[#All],[PID]],0))</f>
        <v>Kalamazoo Badgers</v>
      </c>
      <c r="BL5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4" spans="1:64" ht="15" customHeight="1" x14ac:dyDescent="0.25">
      <c r="A554" s="40">
        <v>18238</v>
      </c>
      <c r="B554" s="40" t="s">
        <v>24</v>
      </c>
      <c r="C554" s="40" t="s">
        <v>1836</v>
      </c>
      <c r="D554" s="40" t="s">
        <v>713</v>
      </c>
      <c r="E554" s="40">
        <v>18</v>
      </c>
      <c r="F554" s="40" t="s">
        <v>42</v>
      </c>
      <c r="G554" s="40" t="s">
        <v>42</v>
      </c>
      <c r="H554" s="41" t="s">
        <v>634</v>
      </c>
      <c r="I554" s="42" t="s">
        <v>44</v>
      </c>
      <c r="J554" s="40" t="s">
        <v>43</v>
      </c>
      <c r="K554" s="41" t="s">
        <v>43</v>
      </c>
      <c r="L554" s="40">
        <v>1</v>
      </c>
      <c r="M554" s="40">
        <v>2</v>
      </c>
      <c r="N554" s="41">
        <v>1</v>
      </c>
      <c r="O554" s="40">
        <v>5</v>
      </c>
      <c r="P554" s="40">
        <v>4</v>
      </c>
      <c r="Q554" s="41">
        <v>5</v>
      </c>
      <c r="R554" s="40" t="s">
        <v>45</v>
      </c>
      <c r="S554" s="40" t="s">
        <v>45</v>
      </c>
      <c r="T554" s="40">
        <v>1</v>
      </c>
      <c r="U554" s="40">
        <v>5</v>
      </c>
      <c r="V554" s="40">
        <v>2</v>
      </c>
      <c r="W554" s="40">
        <v>6</v>
      </c>
      <c r="X554" s="40" t="s">
        <v>45</v>
      </c>
      <c r="Y554" s="40" t="s">
        <v>45</v>
      </c>
      <c r="Z554" s="40" t="s">
        <v>45</v>
      </c>
      <c r="AA554" s="40" t="s">
        <v>45</v>
      </c>
      <c r="AB554" s="40" t="s">
        <v>45</v>
      </c>
      <c r="AC554" s="40" t="s">
        <v>45</v>
      </c>
      <c r="AD554" s="40">
        <v>3</v>
      </c>
      <c r="AE554" s="40">
        <v>7</v>
      </c>
      <c r="AF554" s="40" t="s">
        <v>45</v>
      </c>
      <c r="AG554" s="40" t="s">
        <v>45</v>
      </c>
      <c r="AH554" s="40" t="s">
        <v>45</v>
      </c>
      <c r="AI554" s="40" t="s">
        <v>45</v>
      </c>
      <c r="AJ554" s="40" t="s">
        <v>45</v>
      </c>
      <c r="AK554" s="40" t="s">
        <v>45</v>
      </c>
      <c r="AL554" s="40" t="s">
        <v>45</v>
      </c>
      <c r="AM554" s="40" t="s">
        <v>45</v>
      </c>
      <c r="AN554" s="40" t="s">
        <v>45</v>
      </c>
      <c r="AO554" s="41" t="s">
        <v>45</v>
      </c>
      <c r="AP554" s="40" t="s">
        <v>58</v>
      </c>
      <c r="AQ554" s="40">
        <v>6</v>
      </c>
      <c r="AR554" s="48" t="s">
        <v>347</v>
      </c>
      <c r="AS554" s="43" t="s">
        <v>1159</v>
      </c>
      <c r="AT554" s="43" t="s">
        <v>47</v>
      </c>
      <c r="AU554" s="44">
        <f t="shared" si="63"/>
        <v>-2.5060525215375429</v>
      </c>
      <c r="AV554" s="44">
        <f t="shared" si="64"/>
        <v>7.8353224312775444E-2</v>
      </c>
      <c r="AW554" s="45">
        <f t="shared" si="65"/>
        <v>3</v>
      </c>
      <c r="AX554" s="45">
        <f t="shared" si="66"/>
        <v>2</v>
      </c>
      <c r="AY554" s="46">
        <f>VLOOKUP(AP554,COND!$A$10:$B$32,2,FALSE)</f>
        <v>1</v>
      </c>
      <c r="AZ554" s="44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56.789207632399297</v>
      </c>
      <c r="BA554" s="47">
        <f t="shared" si="69"/>
        <v>1.3916879201203733</v>
      </c>
      <c r="BB554" s="45" t="str">
        <f t="shared" si="67"/>
        <v>SP</v>
      </c>
      <c r="BC554" s="45">
        <f>RANK(Table3[[#This Row],[zScore]],Table3[zScore])</f>
        <v>85</v>
      </c>
      <c r="BD554" s="45"/>
      <c r="BE554" s="45"/>
      <c r="BF554" s="45" t="str">
        <f t="shared" si="68"/>
        <v>Possible</v>
      </c>
      <c r="BG554" s="45"/>
      <c r="BH554" s="45">
        <f>INDEX(Table5[[#All],[Ovr]],MATCH(Table3[[#This Row],[PID]],Table5[[#All],[PID]],0))</f>
        <v>397</v>
      </c>
      <c r="BI554" s="45" t="str">
        <f>INDEX(Table5[[#All],[Rnd]],MATCH(Table3[[#This Row],[PID]],Table5[[#All],[PID]],0))</f>
        <v>13</v>
      </c>
      <c r="BJ554" s="45">
        <f>INDEX(Table5[[#All],[Pick]],MATCH(Table3[[#This Row],[PID]],Table5[[#All],[PID]],0))</f>
        <v>29</v>
      </c>
      <c r="BK554" s="45" t="str">
        <f>INDEX(Table5[[#All],[Team]],MATCH(Table3[[#This Row],[PID]],Table5[[#All],[PID]],0))</f>
        <v>Havana Leones</v>
      </c>
      <c r="BL5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5" spans="1:64" ht="15" customHeight="1" x14ac:dyDescent="0.25">
      <c r="A555" s="40">
        <v>18187</v>
      </c>
      <c r="B555" s="40" t="s">
        <v>24</v>
      </c>
      <c r="C555" s="40" t="s">
        <v>650</v>
      </c>
      <c r="D555" s="40" t="s">
        <v>699</v>
      </c>
      <c r="E555" s="40">
        <v>18</v>
      </c>
      <c r="F555" s="40" t="s">
        <v>42</v>
      </c>
      <c r="G555" s="40" t="s">
        <v>42</v>
      </c>
      <c r="H555" s="41" t="s">
        <v>638</v>
      </c>
      <c r="I555" s="42" t="s">
        <v>43</v>
      </c>
      <c r="J555" s="40" t="s">
        <v>47</v>
      </c>
      <c r="K555" s="41" t="s">
        <v>47</v>
      </c>
      <c r="L555" s="40">
        <v>2</v>
      </c>
      <c r="M555" s="40">
        <v>2</v>
      </c>
      <c r="N555" s="41">
        <v>1</v>
      </c>
      <c r="O555" s="40">
        <v>5</v>
      </c>
      <c r="P555" s="40">
        <v>5</v>
      </c>
      <c r="Q555" s="41">
        <v>4</v>
      </c>
      <c r="R555" s="40">
        <v>4</v>
      </c>
      <c r="S555" s="40">
        <v>8</v>
      </c>
      <c r="T555" s="40">
        <v>1</v>
      </c>
      <c r="U555" s="40">
        <v>1</v>
      </c>
      <c r="V555" s="40" t="s">
        <v>45</v>
      </c>
      <c r="W555" s="40" t="s">
        <v>45</v>
      </c>
      <c r="X555" s="40">
        <v>3</v>
      </c>
      <c r="Y555" s="40">
        <v>9</v>
      </c>
      <c r="Z555" s="40" t="s">
        <v>45</v>
      </c>
      <c r="AA555" s="40" t="s">
        <v>45</v>
      </c>
      <c r="AB555" s="40" t="s">
        <v>45</v>
      </c>
      <c r="AC555" s="40" t="s">
        <v>45</v>
      </c>
      <c r="AD555" s="40" t="s">
        <v>45</v>
      </c>
      <c r="AE555" s="40" t="s">
        <v>45</v>
      </c>
      <c r="AF555" s="40" t="s">
        <v>45</v>
      </c>
      <c r="AG555" s="40" t="s">
        <v>45</v>
      </c>
      <c r="AH555" s="40" t="s">
        <v>45</v>
      </c>
      <c r="AI555" s="40" t="s">
        <v>45</v>
      </c>
      <c r="AJ555" s="40" t="s">
        <v>45</v>
      </c>
      <c r="AK555" s="40" t="s">
        <v>45</v>
      </c>
      <c r="AL555" s="40" t="s">
        <v>45</v>
      </c>
      <c r="AM555" s="40" t="s">
        <v>45</v>
      </c>
      <c r="AN555" s="40" t="s">
        <v>45</v>
      </c>
      <c r="AO555" s="41" t="s">
        <v>45</v>
      </c>
      <c r="AP555" s="40" t="s">
        <v>60</v>
      </c>
      <c r="AQ555" s="40">
        <v>6</v>
      </c>
      <c r="AR555" s="48" t="s">
        <v>347</v>
      </c>
      <c r="AS555" s="43" t="s">
        <v>554</v>
      </c>
      <c r="AT555" s="43" t="s">
        <v>47</v>
      </c>
      <c r="AU555" s="44">
        <f t="shared" si="63"/>
        <v>-2.311361197028369</v>
      </c>
      <c r="AV555" s="44">
        <f t="shared" si="64"/>
        <v>3.146437468872048E-2</v>
      </c>
      <c r="AW555" s="45">
        <f t="shared" si="65"/>
        <v>3</v>
      </c>
      <c r="AX555" s="45">
        <f t="shared" si="66"/>
        <v>2</v>
      </c>
      <c r="AY555" s="46">
        <f>VLOOKUP(AP555,COND!$A$10:$B$32,2,FALSE)</f>
        <v>1.0249999999999999</v>
      </c>
      <c r="AZ555" s="44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56.764410869834748</v>
      </c>
      <c r="BA555" s="47">
        <f t="shared" si="69"/>
        <v>1.390038229399106</v>
      </c>
      <c r="BB555" s="45" t="str">
        <f t="shared" si="67"/>
        <v>SP</v>
      </c>
      <c r="BC555" s="45">
        <f>RANK(Table3[[#This Row],[zScore]],Table3[zScore])</f>
        <v>86</v>
      </c>
      <c r="BD555" s="45"/>
      <c r="BE555" s="45"/>
      <c r="BF555" s="45" t="str">
        <f t="shared" si="68"/>
        <v>Possible</v>
      </c>
      <c r="BG555" s="45"/>
      <c r="BH555" s="45">
        <f>INDEX(Table5[[#All],[Ovr]],MATCH(Table3[[#This Row],[PID]],Table5[[#All],[PID]],0))</f>
        <v>104</v>
      </c>
      <c r="BI555" s="45" t="str">
        <f>INDEX(Table5[[#All],[Rnd]],MATCH(Table3[[#This Row],[PID]],Table5[[#All],[PID]],0))</f>
        <v>4</v>
      </c>
      <c r="BJ555" s="45">
        <f>INDEX(Table5[[#All],[Pick]],MATCH(Table3[[#This Row],[PID]],Table5[[#All],[PID]],0))</f>
        <v>4</v>
      </c>
      <c r="BK555" s="45" t="str">
        <f>INDEX(Table5[[#All],[Team]],MATCH(Table3[[#This Row],[PID]],Table5[[#All],[PID]],0))</f>
        <v>Manchester Maulers</v>
      </c>
      <c r="BL5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6" spans="1:64" ht="15" customHeight="1" x14ac:dyDescent="0.25">
      <c r="A556" s="40">
        <v>18158</v>
      </c>
      <c r="B556" s="40" t="s">
        <v>24</v>
      </c>
      <c r="C556" s="40" t="s">
        <v>130</v>
      </c>
      <c r="D556" s="40" t="s">
        <v>1264</v>
      </c>
      <c r="E556" s="40">
        <v>21</v>
      </c>
      <c r="F556" s="40" t="s">
        <v>53</v>
      </c>
      <c r="G556" s="40" t="s">
        <v>53</v>
      </c>
      <c r="H556" s="41" t="s">
        <v>634</v>
      </c>
      <c r="I556" s="42" t="s">
        <v>43</v>
      </c>
      <c r="J556" s="40" t="s">
        <v>47</v>
      </c>
      <c r="K556" s="41" t="s">
        <v>44</v>
      </c>
      <c r="L556" s="40">
        <v>3</v>
      </c>
      <c r="M556" s="40">
        <v>3</v>
      </c>
      <c r="N556" s="41">
        <v>3</v>
      </c>
      <c r="O556" s="40">
        <v>6</v>
      </c>
      <c r="P556" s="40">
        <v>5</v>
      </c>
      <c r="Q556" s="41">
        <v>4</v>
      </c>
      <c r="R556" s="40" t="s">
        <v>45</v>
      </c>
      <c r="S556" s="40" t="s">
        <v>45</v>
      </c>
      <c r="T556" s="40">
        <v>1</v>
      </c>
      <c r="U556" s="40">
        <v>6</v>
      </c>
      <c r="V556" s="40" t="s">
        <v>45</v>
      </c>
      <c r="W556" s="40" t="s">
        <v>45</v>
      </c>
      <c r="X556" s="40">
        <v>5</v>
      </c>
      <c r="Y556" s="40">
        <v>7</v>
      </c>
      <c r="Z556" s="40" t="s">
        <v>45</v>
      </c>
      <c r="AA556" s="40" t="s">
        <v>45</v>
      </c>
      <c r="AB556" s="40" t="s">
        <v>45</v>
      </c>
      <c r="AC556" s="40" t="s">
        <v>45</v>
      </c>
      <c r="AD556" s="40">
        <v>5</v>
      </c>
      <c r="AE556" s="40">
        <v>8</v>
      </c>
      <c r="AF556" s="40" t="s">
        <v>45</v>
      </c>
      <c r="AG556" s="40" t="s">
        <v>45</v>
      </c>
      <c r="AH556" s="40" t="s">
        <v>45</v>
      </c>
      <c r="AI556" s="40" t="s">
        <v>45</v>
      </c>
      <c r="AJ556" s="40" t="s">
        <v>45</v>
      </c>
      <c r="AK556" s="40" t="s">
        <v>45</v>
      </c>
      <c r="AL556" s="40" t="s">
        <v>45</v>
      </c>
      <c r="AM556" s="40" t="s">
        <v>45</v>
      </c>
      <c r="AN556" s="40" t="s">
        <v>45</v>
      </c>
      <c r="AO556" s="41" t="s">
        <v>45</v>
      </c>
      <c r="AP556" s="40" t="s">
        <v>61</v>
      </c>
      <c r="AQ556" s="40">
        <v>5</v>
      </c>
      <c r="AR556" s="48" t="s">
        <v>347</v>
      </c>
      <c r="AS556" s="43" t="s">
        <v>544</v>
      </c>
      <c r="AT556" s="43" t="s">
        <v>47</v>
      </c>
      <c r="AU556" s="44">
        <f t="shared" si="63"/>
        <v>-1.4365970239809194</v>
      </c>
      <c r="AV556" s="44">
        <f t="shared" si="64"/>
        <v>0.22615569919789399</v>
      </c>
      <c r="AW556" s="45">
        <f t="shared" si="65"/>
        <v>3</v>
      </c>
      <c r="AX556" s="45">
        <f t="shared" si="66"/>
        <v>3</v>
      </c>
      <c r="AY556" s="46">
        <f>VLOOKUP(AP556,COND!$A$10:$B$32,2,FALSE)</f>
        <v>1.05</v>
      </c>
      <c r="AZ556" s="44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56.711082200416783</v>
      </c>
      <c r="BA556" s="47">
        <f t="shared" si="69"/>
        <v>1.38649035451474</v>
      </c>
      <c r="BB556" s="45" t="str">
        <f t="shared" si="67"/>
        <v>SP</v>
      </c>
      <c r="BC556" s="45">
        <f>RANK(Table3[[#This Row],[zScore]],Table3[zScore])</f>
        <v>87</v>
      </c>
      <c r="BD556" s="45"/>
      <c r="BE556" s="45"/>
      <c r="BF556" s="45" t="str">
        <f t="shared" si="68"/>
        <v>Possible</v>
      </c>
      <c r="BG556" s="45"/>
      <c r="BH556" s="45">
        <f>INDEX(Table5[[#All],[Ovr]],MATCH(Table3[[#This Row],[PID]],Table5[[#All],[PID]],0))</f>
        <v>42</v>
      </c>
      <c r="BI556" s="45" t="str">
        <f>INDEX(Table5[[#All],[Rnd]],MATCH(Table3[[#This Row],[PID]],Table5[[#All],[PID]],0))</f>
        <v>2</v>
      </c>
      <c r="BJ556" s="45">
        <f>INDEX(Table5[[#All],[Pick]],MATCH(Table3[[#This Row],[PID]],Table5[[#All],[PID]],0))</f>
        <v>7</v>
      </c>
      <c r="BK556" s="45" t="str">
        <f>INDEX(Table5[[#All],[Team]],MATCH(Table3[[#This Row],[PID]],Table5[[#All],[PID]],0))</f>
        <v>Manchester Maulers</v>
      </c>
      <c r="BL5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7" spans="1:64" ht="15" customHeight="1" x14ac:dyDescent="0.25">
      <c r="A557" s="40">
        <v>20830</v>
      </c>
      <c r="B557" s="40" t="s">
        <v>24</v>
      </c>
      <c r="C557" s="40" t="s">
        <v>183</v>
      </c>
      <c r="D557" s="40" t="s">
        <v>1657</v>
      </c>
      <c r="E557" s="40">
        <v>17</v>
      </c>
      <c r="F557" s="40" t="s">
        <v>42</v>
      </c>
      <c r="G557" s="40" t="s">
        <v>42</v>
      </c>
      <c r="H557" s="41" t="s">
        <v>638</v>
      </c>
      <c r="I557" s="42" t="s">
        <v>43</v>
      </c>
      <c r="J557" s="40" t="s">
        <v>43</v>
      </c>
      <c r="K557" s="41" t="s">
        <v>43</v>
      </c>
      <c r="L557" s="40">
        <v>1</v>
      </c>
      <c r="M557" s="40">
        <v>2</v>
      </c>
      <c r="N557" s="41">
        <v>1</v>
      </c>
      <c r="O557" s="40">
        <v>4</v>
      </c>
      <c r="P557" s="40">
        <v>5</v>
      </c>
      <c r="Q557" s="41">
        <v>6</v>
      </c>
      <c r="R557" s="40">
        <v>3</v>
      </c>
      <c r="S557" s="40">
        <v>6</v>
      </c>
      <c r="T557" s="40" t="s">
        <v>45</v>
      </c>
      <c r="U557" s="40" t="s">
        <v>45</v>
      </c>
      <c r="V557" s="40" t="s">
        <v>45</v>
      </c>
      <c r="W557" s="40" t="s">
        <v>45</v>
      </c>
      <c r="X557" s="40">
        <v>2</v>
      </c>
      <c r="Y557" s="40">
        <v>8</v>
      </c>
      <c r="Z557" s="40" t="s">
        <v>45</v>
      </c>
      <c r="AA557" s="40" t="s">
        <v>45</v>
      </c>
      <c r="AB557" s="40" t="s">
        <v>45</v>
      </c>
      <c r="AC557" s="40" t="s">
        <v>45</v>
      </c>
      <c r="AD557" s="40" t="s">
        <v>45</v>
      </c>
      <c r="AE557" s="40" t="s">
        <v>45</v>
      </c>
      <c r="AF557" s="40" t="s">
        <v>45</v>
      </c>
      <c r="AG557" s="40" t="s">
        <v>45</v>
      </c>
      <c r="AH557" s="40" t="s">
        <v>45</v>
      </c>
      <c r="AI557" s="40" t="s">
        <v>45</v>
      </c>
      <c r="AJ557" s="40" t="s">
        <v>45</v>
      </c>
      <c r="AK557" s="40" t="s">
        <v>45</v>
      </c>
      <c r="AL557" s="40" t="s">
        <v>45</v>
      </c>
      <c r="AM557" s="40" t="s">
        <v>45</v>
      </c>
      <c r="AN557" s="40" t="s">
        <v>45</v>
      </c>
      <c r="AO557" s="41" t="s">
        <v>45</v>
      </c>
      <c r="AP557" s="40" t="s">
        <v>350</v>
      </c>
      <c r="AQ557" s="40">
        <v>8</v>
      </c>
      <c r="AR557" s="48" t="s">
        <v>347</v>
      </c>
      <c r="AS557" s="43" t="s">
        <v>556</v>
      </c>
      <c r="AT557" s="43" t="s">
        <v>47</v>
      </c>
      <c r="AU557" s="44">
        <f t="shared" si="63"/>
        <v>-2.5060525215375429</v>
      </c>
      <c r="AV557" s="44">
        <f t="shared" si="64"/>
        <v>0.32141418228776775</v>
      </c>
      <c r="AW557" s="45">
        <f t="shared" si="65"/>
        <v>2</v>
      </c>
      <c r="AX557" s="45">
        <f t="shared" si="66"/>
        <v>2</v>
      </c>
      <c r="AY557" s="46">
        <f>VLOOKUP(AP557,COND!$A$10:$B$32,2,FALSE)</f>
        <v>1</v>
      </c>
      <c r="AZ557" s="44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56.427073141447849</v>
      </c>
      <c r="BA557" s="47">
        <f t="shared" si="69"/>
        <v>1.3675956658182911</v>
      </c>
      <c r="BB557" s="45" t="str">
        <f t="shared" si="67"/>
        <v>SP</v>
      </c>
      <c r="BC557" s="45">
        <f>RANK(Table3[[#This Row],[zScore]],Table3[zScore])</f>
        <v>90</v>
      </c>
      <c r="BD557" s="45"/>
      <c r="BE557" s="45"/>
      <c r="BF557" s="45" t="str">
        <f t="shared" si="68"/>
        <v>Possible</v>
      </c>
      <c r="BG557" s="45"/>
      <c r="BH557" s="45">
        <f>INDEX(Table5[[#All],[Ovr]],MATCH(Table3[[#This Row],[PID]],Table5[[#All],[PID]],0))</f>
        <v>308</v>
      </c>
      <c r="BI557" s="45" t="str">
        <f>INDEX(Table5[[#All],[Rnd]],MATCH(Table3[[#This Row],[PID]],Table5[[#All],[PID]],0))</f>
        <v>10</v>
      </c>
      <c r="BJ557" s="45">
        <f>INDEX(Table5[[#All],[Pick]],MATCH(Table3[[#This Row],[PID]],Table5[[#All],[PID]],0))</f>
        <v>30</v>
      </c>
      <c r="BK557" s="45" t="str">
        <f>INDEX(Table5[[#All],[Team]],MATCH(Table3[[#This Row],[PID]],Table5[[#All],[PID]],0))</f>
        <v>Florida Farstriders</v>
      </c>
      <c r="BL55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8" spans="1:64" ht="15" customHeight="1" x14ac:dyDescent="0.25">
      <c r="A558" s="40">
        <v>13039</v>
      </c>
      <c r="B558" s="40" t="s">
        <v>24</v>
      </c>
      <c r="C558" s="40" t="s">
        <v>1809</v>
      </c>
      <c r="D558" s="40" t="s">
        <v>1041</v>
      </c>
      <c r="E558" s="40">
        <v>18</v>
      </c>
      <c r="F558" s="40" t="s">
        <v>53</v>
      </c>
      <c r="G558" s="40" t="s">
        <v>53</v>
      </c>
      <c r="H558" s="41" t="s">
        <v>634</v>
      </c>
      <c r="I558" s="42" t="s">
        <v>44</v>
      </c>
      <c r="J558" s="40" t="s">
        <v>43</v>
      </c>
      <c r="K558" s="41" t="s">
        <v>43</v>
      </c>
      <c r="L558" s="40">
        <v>2</v>
      </c>
      <c r="M558" s="40">
        <v>2</v>
      </c>
      <c r="N558" s="41">
        <v>1</v>
      </c>
      <c r="O558" s="40">
        <v>6</v>
      </c>
      <c r="P558" s="40">
        <v>5</v>
      </c>
      <c r="Q558" s="41">
        <v>3</v>
      </c>
      <c r="R558" s="40">
        <v>4</v>
      </c>
      <c r="S558" s="40">
        <v>8</v>
      </c>
      <c r="T558" s="40">
        <v>1</v>
      </c>
      <c r="U558" s="40">
        <v>8</v>
      </c>
      <c r="V558" s="40" t="s">
        <v>45</v>
      </c>
      <c r="W558" s="40" t="s">
        <v>45</v>
      </c>
      <c r="X558" s="40">
        <v>2</v>
      </c>
      <c r="Y558" s="40">
        <v>8</v>
      </c>
      <c r="Z558" s="40" t="s">
        <v>45</v>
      </c>
      <c r="AA558" s="40" t="s">
        <v>45</v>
      </c>
      <c r="AB558" s="40" t="s">
        <v>45</v>
      </c>
      <c r="AC558" s="40" t="s">
        <v>45</v>
      </c>
      <c r="AD558" s="40" t="s">
        <v>45</v>
      </c>
      <c r="AE558" s="40" t="s">
        <v>45</v>
      </c>
      <c r="AF558" s="40" t="s">
        <v>45</v>
      </c>
      <c r="AG558" s="40" t="s">
        <v>45</v>
      </c>
      <c r="AH558" s="40" t="s">
        <v>45</v>
      </c>
      <c r="AI558" s="40" t="s">
        <v>45</v>
      </c>
      <c r="AJ558" s="40" t="s">
        <v>45</v>
      </c>
      <c r="AK558" s="40" t="s">
        <v>45</v>
      </c>
      <c r="AL558" s="40" t="s">
        <v>45</v>
      </c>
      <c r="AM558" s="40" t="s">
        <v>45</v>
      </c>
      <c r="AN558" s="40" t="s">
        <v>45</v>
      </c>
      <c r="AO558" s="41" t="s">
        <v>45</v>
      </c>
      <c r="AP558" s="40" t="s">
        <v>56</v>
      </c>
      <c r="AQ558" s="40">
        <v>9</v>
      </c>
      <c r="AR558" s="48" t="s">
        <v>347</v>
      </c>
      <c r="AS558" s="43" t="s">
        <v>666</v>
      </c>
      <c r="AT558" s="43" t="s">
        <v>47</v>
      </c>
      <c r="AU558" s="44">
        <f t="shared" si="63"/>
        <v>-2.311361197028369</v>
      </c>
      <c r="AV558" s="44">
        <f t="shared" si="64"/>
        <v>-1.6164866856216389E-2</v>
      </c>
      <c r="AW558" s="45">
        <f t="shared" si="65"/>
        <v>3</v>
      </c>
      <c r="AX558" s="45">
        <f t="shared" si="66"/>
        <v>3</v>
      </c>
      <c r="AY558" s="46">
        <f>VLOOKUP(AP558,COND!$A$10:$B$32,2,FALSE)</f>
        <v>1</v>
      </c>
      <c r="AZ558" s="44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56.31443042347</v>
      </c>
      <c r="BA558" s="47">
        <f t="shared" si="69"/>
        <v>1.3601017179215582</v>
      </c>
      <c r="BB558" s="45" t="str">
        <f t="shared" si="67"/>
        <v>SP</v>
      </c>
      <c r="BC558" s="45">
        <f>RANK(Table3[[#This Row],[zScore]],Table3[zScore])</f>
        <v>92</v>
      </c>
      <c r="BD558" s="45"/>
      <c r="BE558" s="45"/>
      <c r="BF558" s="45" t="str">
        <f t="shared" si="68"/>
        <v>Possible</v>
      </c>
      <c r="BG558" s="45"/>
      <c r="BH558" s="45">
        <f>INDEX(Table5[[#All],[Ovr]],MATCH(Table3[[#This Row],[PID]],Table5[[#All],[PID]],0))</f>
        <v>113</v>
      </c>
      <c r="BI558" s="45" t="str">
        <f>INDEX(Table5[[#All],[Rnd]],MATCH(Table3[[#This Row],[PID]],Table5[[#All],[PID]],0))</f>
        <v>4</v>
      </c>
      <c r="BJ558" s="45">
        <f>INDEX(Table5[[#All],[Pick]],MATCH(Table3[[#This Row],[PID]],Table5[[#All],[PID]],0))</f>
        <v>13</v>
      </c>
      <c r="BK558" s="45" t="str">
        <f>INDEX(Table5[[#All],[Team]],MATCH(Table3[[#This Row],[PID]],Table5[[#All],[PID]],0))</f>
        <v>Kentucky Thoroughbreds</v>
      </c>
      <c r="BL5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59" spans="1:64" ht="15" customHeight="1" x14ac:dyDescent="0.25">
      <c r="A559" s="40">
        <v>18430</v>
      </c>
      <c r="B559" s="40" t="s">
        <v>24</v>
      </c>
      <c r="C559" s="40" t="s">
        <v>1878</v>
      </c>
      <c r="D559" s="40" t="s">
        <v>379</v>
      </c>
      <c r="E559" s="40">
        <v>18</v>
      </c>
      <c r="F559" s="40" t="s">
        <v>42</v>
      </c>
      <c r="G559" s="40" t="s">
        <v>42</v>
      </c>
      <c r="H559" s="41" t="s">
        <v>638</v>
      </c>
      <c r="I559" s="42" t="s">
        <v>43</v>
      </c>
      <c r="J559" s="40" t="s">
        <v>44</v>
      </c>
      <c r="K559" s="41" t="s">
        <v>43</v>
      </c>
      <c r="L559" s="40">
        <v>2</v>
      </c>
      <c r="M559" s="40">
        <v>2</v>
      </c>
      <c r="N559" s="41">
        <v>2</v>
      </c>
      <c r="O559" s="40">
        <v>5</v>
      </c>
      <c r="P559" s="40">
        <v>4</v>
      </c>
      <c r="Q559" s="41">
        <v>5</v>
      </c>
      <c r="R559" s="40">
        <v>5</v>
      </c>
      <c r="S559" s="40">
        <v>7</v>
      </c>
      <c r="T559" s="40" t="s">
        <v>45</v>
      </c>
      <c r="U559" s="40" t="s">
        <v>45</v>
      </c>
      <c r="V559" s="40">
        <v>2</v>
      </c>
      <c r="W559" s="40">
        <v>7</v>
      </c>
      <c r="X559" s="40">
        <v>3</v>
      </c>
      <c r="Y559" s="40">
        <v>6</v>
      </c>
      <c r="Z559" s="40" t="s">
        <v>45</v>
      </c>
      <c r="AA559" s="40" t="s">
        <v>45</v>
      </c>
      <c r="AB559" s="40" t="s">
        <v>45</v>
      </c>
      <c r="AC559" s="40" t="s">
        <v>45</v>
      </c>
      <c r="AD559" s="40" t="s">
        <v>45</v>
      </c>
      <c r="AE559" s="40" t="s">
        <v>45</v>
      </c>
      <c r="AF559" s="40" t="s">
        <v>45</v>
      </c>
      <c r="AG559" s="40" t="s">
        <v>45</v>
      </c>
      <c r="AH559" s="40" t="s">
        <v>45</v>
      </c>
      <c r="AI559" s="40" t="s">
        <v>45</v>
      </c>
      <c r="AJ559" s="40" t="s">
        <v>45</v>
      </c>
      <c r="AK559" s="40" t="s">
        <v>45</v>
      </c>
      <c r="AL559" s="40" t="s">
        <v>45</v>
      </c>
      <c r="AM559" s="40" t="s">
        <v>45</v>
      </c>
      <c r="AN559" s="40" t="s">
        <v>45</v>
      </c>
      <c r="AO559" s="41" t="s">
        <v>45</v>
      </c>
      <c r="AP559" s="40" t="s">
        <v>48</v>
      </c>
      <c r="AQ559" s="40">
        <v>4</v>
      </c>
      <c r="AR559" s="48" t="s">
        <v>347</v>
      </c>
      <c r="AS559" s="43" t="s">
        <v>553</v>
      </c>
      <c r="AT559" s="43" t="s">
        <v>635</v>
      </c>
      <c r="AU559" s="44">
        <f t="shared" si="63"/>
        <v>-2.0690406309742588</v>
      </c>
      <c r="AV559" s="44">
        <f t="shared" si="64"/>
        <v>7.8353224312775444E-2</v>
      </c>
      <c r="AW559" s="45">
        <f t="shared" si="65"/>
        <v>3</v>
      </c>
      <c r="AX559" s="45">
        <f t="shared" si="66"/>
        <v>3</v>
      </c>
      <c r="AY559" s="46">
        <f>VLOOKUP(AP559,COND!$A$10:$B$32,2,FALSE)</f>
        <v>1.05</v>
      </c>
      <c r="AZ559" s="44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56.0872482191605</v>
      </c>
      <c r="BA559" s="47">
        <f t="shared" si="69"/>
        <v>1.3449876330279824</v>
      </c>
      <c r="BB559" s="45" t="str">
        <f t="shared" si="67"/>
        <v>RP</v>
      </c>
      <c r="BC559" s="45">
        <f>RANK(Table3[[#This Row],[zScore]],Table3[zScore])</f>
        <v>93</v>
      </c>
      <c r="BD559" s="45"/>
      <c r="BE559" s="45"/>
      <c r="BF559" s="45" t="str">
        <f t="shared" si="68"/>
        <v>Possible</v>
      </c>
      <c r="BG559" s="45"/>
      <c r="BH559" s="45">
        <f>INDEX(Table5[[#All],[Ovr]],MATCH(Table3[[#This Row],[PID]],Table5[[#All],[PID]],0))</f>
        <v>208</v>
      </c>
      <c r="BI559" s="45" t="str">
        <f>INDEX(Table5[[#All],[Rnd]],MATCH(Table3[[#This Row],[PID]],Table5[[#All],[PID]],0))</f>
        <v>7</v>
      </c>
      <c r="BJ559" s="45">
        <f>INDEX(Table5[[#All],[Pick]],MATCH(Table3[[#This Row],[PID]],Table5[[#All],[PID]],0))</f>
        <v>20</v>
      </c>
      <c r="BK559" s="45" t="str">
        <f>INDEX(Table5[[#All],[Team]],MATCH(Table3[[#This Row],[PID]],Table5[[#All],[PID]],0))</f>
        <v>Amsterdam Lions</v>
      </c>
      <c r="BL55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0" spans="1:64" ht="15" customHeight="1" x14ac:dyDescent="0.25">
      <c r="A560" s="40">
        <v>14885</v>
      </c>
      <c r="B560" s="40" t="s">
        <v>24</v>
      </c>
      <c r="C560" s="40" t="s">
        <v>2162</v>
      </c>
      <c r="D560" s="40" t="s">
        <v>382</v>
      </c>
      <c r="E560" s="40">
        <v>18</v>
      </c>
      <c r="F560" s="40" t="s">
        <v>42</v>
      </c>
      <c r="G560" s="40" t="s">
        <v>42</v>
      </c>
      <c r="H560" s="41" t="s">
        <v>647</v>
      </c>
      <c r="I560" s="42" t="s">
        <v>43</v>
      </c>
      <c r="J560" s="40" t="s">
        <v>43</v>
      </c>
      <c r="K560" s="41" t="s">
        <v>43</v>
      </c>
      <c r="L560" s="40">
        <v>2</v>
      </c>
      <c r="M560" s="40">
        <v>3</v>
      </c>
      <c r="N560" s="41">
        <v>1</v>
      </c>
      <c r="O560" s="40">
        <v>5</v>
      </c>
      <c r="P560" s="40">
        <v>6</v>
      </c>
      <c r="Q560" s="41">
        <v>3</v>
      </c>
      <c r="R560" s="40" t="s">
        <v>45</v>
      </c>
      <c r="S560" s="40" t="s">
        <v>45</v>
      </c>
      <c r="T560" s="40">
        <v>1</v>
      </c>
      <c r="U560" s="40">
        <v>1</v>
      </c>
      <c r="V560" s="40">
        <v>2</v>
      </c>
      <c r="W560" s="40">
        <v>7</v>
      </c>
      <c r="X560" s="40" t="s">
        <v>45</v>
      </c>
      <c r="Y560" s="40" t="s">
        <v>45</v>
      </c>
      <c r="Z560" s="40" t="s">
        <v>45</v>
      </c>
      <c r="AA560" s="40" t="s">
        <v>45</v>
      </c>
      <c r="AB560" s="40" t="s">
        <v>45</v>
      </c>
      <c r="AC560" s="40" t="s">
        <v>45</v>
      </c>
      <c r="AD560" s="40">
        <v>4</v>
      </c>
      <c r="AE560" s="40">
        <v>8</v>
      </c>
      <c r="AF560" s="40" t="s">
        <v>45</v>
      </c>
      <c r="AG560" s="40" t="s">
        <v>45</v>
      </c>
      <c r="AH560" s="40" t="s">
        <v>45</v>
      </c>
      <c r="AI560" s="40" t="s">
        <v>45</v>
      </c>
      <c r="AJ560" s="40" t="s">
        <v>45</v>
      </c>
      <c r="AK560" s="40" t="s">
        <v>45</v>
      </c>
      <c r="AL560" s="40" t="s">
        <v>45</v>
      </c>
      <c r="AM560" s="40" t="s">
        <v>45</v>
      </c>
      <c r="AN560" s="40" t="s">
        <v>45</v>
      </c>
      <c r="AO560" s="41" t="s">
        <v>45</v>
      </c>
      <c r="AP560" s="40" t="s">
        <v>48</v>
      </c>
      <c r="AQ560" s="40">
        <v>6</v>
      </c>
      <c r="AR560" s="48" t="s">
        <v>346</v>
      </c>
      <c r="AS560" s="43" t="s">
        <v>644</v>
      </c>
      <c r="AT560" s="43"/>
      <c r="AU560" s="44">
        <f t="shared" si="63"/>
        <v>-2.1159294805983135</v>
      </c>
      <c r="AV560" s="44">
        <f t="shared" si="64"/>
        <v>-1.5424474935334484E-2</v>
      </c>
      <c r="AW560" s="45">
        <f t="shared" si="65"/>
        <v>3</v>
      </c>
      <c r="AX560" s="45">
        <f t="shared" si="66"/>
        <v>2</v>
      </c>
      <c r="AY560" s="46">
        <f>VLOOKUP(AP560,COND!$A$10:$B$32,2,FALSE)</f>
        <v>1.05</v>
      </c>
      <c r="AZ560" s="44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55.345947314546521</v>
      </c>
      <c r="BA560" s="47">
        <f>STANDARDIZE(AZ560,AVERAGE($AZ$5:$AZ$788),STDEVP($AZ$5:$AZ$788))</f>
        <v>1.3435155632417719</v>
      </c>
      <c r="BB560" s="45" t="str">
        <f t="shared" si="67"/>
        <v>SP</v>
      </c>
      <c r="BC560" s="45">
        <f>RANK(Table3[[#This Row],[zScore]],Table3[zScore])</f>
        <v>94</v>
      </c>
      <c r="BD560" s="45"/>
      <c r="BE560" s="45"/>
      <c r="BF560" s="45" t="str">
        <f t="shared" si="68"/>
        <v>Possible</v>
      </c>
      <c r="BG560" s="45"/>
      <c r="BH560" s="64">
        <f>INDEX(Table5[[#All],[Ovr]],MATCH(Table3[[#This Row],[PID]],Table5[[#All],[PID]],0))</f>
        <v>53</v>
      </c>
      <c r="BI560" s="64" t="str">
        <f>INDEX(Table5[[#All],[Rnd]],MATCH(Table3[[#This Row],[PID]],Table5[[#All],[PID]],0))</f>
        <v>2</v>
      </c>
      <c r="BJ560" s="64">
        <f>INDEX(Table5[[#All],[Pick]],MATCH(Table3[[#This Row],[PID]],Table5[[#All],[PID]],0))</f>
        <v>18</v>
      </c>
      <c r="BK560" s="64" t="str">
        <f>INDEX(Table5[[#All],[Team]],MATCH(Table3[[#This Row],[PID]],Table5[[#All],[PID]],0))</f>
        <v>San Antonio Calzones of Laredo</v>
      </c>
      <c r="BL560" s="64" t="str">
        <f>IF(OR(Table3[[#This Row],[POS]]="SP",Table3[[#This Row],[POS]]="RP",Table3[[#This Row],[POS]]="CL"),"P",INDEX(Batters[[#All],[zScore]],MATCH(Table3[[#This Row],[PID]],Batters[[#All],[PID]],0)))</f>
        <v>P</v>
      </c>
    </row>
    <row r="561" spans="1:64" ht="15" customHeight="1" x14ac:dyDescent="0.25">
      <c r="A561" s="40">
        <v>18113</v>
      </c>
      <c r="B561" s="40" t="s">
        <v>24</v>
      </c>
      <c r="C561" s="40" t="s">
        <v>829</v>
      </c>
      <c r="D561" s="40" t="s">
        <v>1820</v>
      </c>
      <c r="E561" s="40">
        <v>21</v>
      </c>
      <c r="F561" s="40" t="s">
        <v>42</v>
      </c>
      <c r="G561" s="40" t="s">
        <v>42</v>
      </c>
      <c r="H561" s="41" t="s">
        <v>634</v>
      </c>
      <c r="I561" s="42" t="s">
        <v>43</v>
      </c>
      <c r="J561" s="40" t="s">
        <v>47</v>
      </c>
      <c r="K561" s="41" t="s">
        <v>44</v>
      </c>
      <c r="L561" s="40">
        <v>4</v>
      </c>
      <c r="M561" s="40">
        <v>1</v>
      </c>
      <c r="N561" s="41">
        <v>3</v>
      </c>
      <c r="O561" s="40">
        <v>6</v>
      </c>
      <c r="P561" s="40">
        <v>3</v>
      </c>
      <c r="Q561" s="41">
        <v>5</v>
      </c>
      <c r="R561" s="40">
        <v>6</v>
      </c>
      <c r="S561" s="40">
        <v>8</v>
      </c>
      <c r="T561" s="40">
        <v>1</v>
      </c>
      <c r="U561" s="40">
        <v>2</v>
      </c>
      <c r="V561" s="40">
        <v>3</v>
      </c>
      <c r="W561" s="40">
        <v>6</v>
      </c>
      <c r="X561" s="40">
        <v>3</v>
      </c>
      <c r="Y561" s="40">
        <v>7</v>
      </c>
      <c r="Z561" s="40" t="s">
        <v>45</v>
      </c>
      <c r="AA561" s="40" t="s">
        <v>45</v>
      </c>
      <c r="AB561" s="40" t="s">
        <v>45</v>
      </c>
      <c r="AC561" s="40" t="s">
        <v>45</v>
      </c>
      <c r="AD561" s="40" t="s">
        <v>45</v>
      </c>
      <c r="AE561" s="40" t="s">
        <v>45</v>
      </c>
      <c r="AF561" s="40">
        <v>5</v>
      </c>
      <c r="AG561" s="40">
        <v>7</v>
      </c>
      <c r="AH561" s="40" t="s">
        <v>45</v>
      </c>
      <c r="AI561" s="40" t="s">
        <v>45</v>
      </c>
      <c r="AJ561" s="40" t="s">
        <v>45</v>
      </c>
      <c r="AK561" s="40" t="s">
        <v>45</v>
      </c>
      <c r="AL561" s="40" t="s">
        <v>45</v>
      </c>
      <c r="AM561" s="40" t="s">
        <v>45</v>
      </c>
      <c r="AN561" s="40" t="s">
        <v>45</v>
      </c>
      <c r="AO561" s="41" t="s">
        <v>45</v>
      </c>
      <c r="AP561" s="40" t="s">
        <v>61</v>
      </c>
      <c r="AQ561" s="40">
        <v>6</v>
      </c>
      <c r="AR561" s="48" t="s">
        <v>14</v>
      </c>
      <c r="AS561" s="43" t="s">
        <v>644</v>
      </c>
      <c r="AT561" s="43" t="s">
        <v>635</v>
      </c>
      <c r="AU561" s="44">
        <f t="shared" si="63"/>
        <v>-1.6327691323318567</v>
      </c>
      <c r="AV561" s="44">
        <f t="shared" si="64"/>
        <v>7.7612832391893621E-2</v>
      </c>
      <c r="AW561" s="45">
        <f t="shared" si="65"/>
        <v>5</v>
      </c>
      <c r="AX561" s="45">
        <f t="shared" si="66"/>
        <v>4</v>
      </c>
      <c r="AY561" s="46">
        <f>VLOOKUP(AP561,COND!$A$10:$B$32,2,FALSE)</f>
        <v>1.05</v>
      </c>
      <c r="AZ561" s="44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55.932938263379071</v>
      </c>
      <c r="BA561" s="47">
        <f t="shared" ref="BA561:BA599" si="70">STANDARDIZE(AZ561,AVERAGE($AZ$5:$AZ$557),STDEVP($AZ$5:$AZ$557))</f>
        <v>1.3347216274722518</v>
      </c>
      <c r="BB561" s="45" t="str">
        <f t="shared" si="67"/>
        <v>SP</v>
      </c>
      <c r="BC561" s="45">
        <f>RANK(Table3[[#This Row],[zScore]],Table3[zScore])</f>
        <v>96</v>
      </c>
      <c r="BD561" s="45"/>
      <c r="BE561" s="45"/>
      <c r="BF561" s="45" t="str">
        <f t="shared" si="68"/>
        <v>Possible</v>
      </c>
      <c r="BG561" s="45"/>
      <c r="BH561" s="45">
        <f>INDEX(Table5[[#All],[Ovr]],MATCH(Table3[[#This Row],[PID]],Table5[[#All],[PID]],0))</f>
        <v>199</v>
      </c>
      <c r="BI561" s="45" t="str">
        <f>INDEX(Table5[[#All],[Rnd]],MATCH(Table3[[#This Row],[PID]],Table5[[#All],[PID]],0))</f>
        <v>7</v>
      </c>
      <c r="BJ561" s="45">
        <f>INDEX(Table5[[#All],[Pick]],MATCH(Table3[[#This Row],[PID]],Table5[[#All],[PID]],0))</f>
        <v>11</v>
      </c>
      <c r="BK561" s="45" t="str">
        <f>INDEX(Table5[[#All],[Team]],MATCH(Table3[[#This Row],[PID]],Table5[[#All],[PID]],0))</f>
        <v>Duluth Warriors</v>
      </c>
      <c r="BL5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2" spans="1:64" ht="15" customHeight="1" x14ac:dyDescent="0.25">
      <c r="A562" s="40">
        <v>18258</v>
      </c>
      <c r="B562" s="40" t="s">
        <v>24</v>
      </c>
      <c r="C562" s="40" t="s">
        <v>817</v>
      </c>
      <c r="D562" s="40" t="s">
        <v>1822</v>
      </c>
      <c r="E562" s="40">
        <v>18</v>
      </c>
      <c r="F562" s="40" t="s">
        <v>42</v>
      </c>
      <c r="G562" s="40" t="s">
        <v>42</v>
      </c>
      <c r="H562" s="41" t="s">
        <v>634</v>
      </c>
      <c r="I562" s="42" t="s">
        <v>47</v>
      </c>
      <c r="J562" s="40" t="s">
        <v>43</v>
      </c>
      <c r="K562" s="41" t="s">
        <v>43</v>
      </c>
      <c r="L562" s="40">
        <v>2</v>
      </c>
      <c r="M562" s="40">
        <v>2</v>
      </c>
      <c r="N562" s="41">
        <v>2</v>
      </c>
      <c r="O562" s="40">
        <v>5</v>
      </c>
      <c r="P562" s="40">
        <v>5</v>
      </c>
      <c r="Q562" s="41">
        <v>4</v>
      </c>
      <c r="R562" s="40">
        <v>4</v>
      </c>
      <c r="S562" s="40">
        <v>7</v>
      </c>
      <c r="T562" s="40" t="s">
        <v>45</v>
      </c>
      <c r="U562" s="40" t="s">
        <v>45</v>
      </c>
      <c r="V562" s="40">
        <v>2</v>
      </c>
      <c r="W562" s="40">
        <v>8</v>
      </c>
      <c r="X562" s="40">
        <v>2</v>
      </c>
      <c r="Y562" s="40">
        <v>6</v>
      </c>
      <c r="Z562" s="40" t="s">
        <v>45</v>
      </c>
      <c r="AA562" s="40" t="s">
        <v>45</v>
      </c>
      <c r="AB562" s="40" t="s">
        <v>45</v>
      </c>
      <c r="AC562" s="40" t="s">
        <v>45</v>
      </c>
      <c r="AD562" s="40" t="s">
        <v>45</v>
      </c>
      <c r="AE562" s="40" t="s">
        <v>45</v>
      </c>
      <c r="AF562" s="40" t="s">
        <v>45</v>
      </c>
      <c r="AG562" s="40" t="s">
        <v>45</v>
      </c>
      <c r="AH562" s="40">
        <v>1</v>
      </c>
      <c r="AI562" s="40">
        <v>2</v>
      </c>
      <c r="AJ562" s="40" t="s">
        <v>45</v>
      </c>
      <c r="AK562" s="40" t="s">
        <v>45</v>
      </c>
      <c r="AL562" s="40" t="s">
        <v>45</v>
      </c>
      <c r="AM562" s="40" t="s">
        <v>45</v>
      </c>
      <c r="AN562" s="40" t="s">
        <v>45</v>
      </c>
      <c r="AO562" s="41" t="s">
        <v>45</v>
      </c>
      <c r="AP562" s="40" t="s">
        <v>56</v>
      </c>
      <c r="AQ562" s="40">
        <v>4</v>
      </c>
      <c r="AR562" s="48" t="s">
        <v>347</v>
      </c>
      <c r="AS562" s="43" t="s">
        <v>553</v>
      </c>
      <c r="AT562" s="43" t="s">
        <v>635</v>
      </c>
      <c r="AU562" s="44">
        <f t="shared" si="63"/>
        <v>-2.0690406309742588</v>
      </c>
      <c r="AV562" s="44">
        <f t="shared" si="64"/>
        <v>3.146437468872048E-2</v>
      </c>
      <c r="AW562" s="45">
        <f t="shared" si="65"/>
        <v>4</v>
      </c>
      <c r="AX562" s="45">
        <f t="shared" si="66"/>
        <v>3</v>
      </c>
      <c r="AY562" s="46">
        <f>VLOOKUP(AP562,COND!$A$10:$B$32,2,FALSE)</f>
        <v>1</v>
      </c>
      <c r="AZ562" s="44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55.892205399200577</v>
      </c>
      <c r="BA562" s="47">
        <f t="shared" si="70"/>
        <v>1.3320117322627065</v>
      </c>
      <c r="BB562" s="45" t="str">
        <f t="shared" si="67"/>
        <v>RP</v>
      </c>
      <c r="BC562" s="45">
        <f>RANK(Table3[[#This Row],[zScore]],Table3[zScore])</f>
        <v>97</v>
      </c>
      <c r="BD562" s="45"/>
      <c r="BE562" s="45"/>
      <c r="BF562" s="45" t="str">
        <f t="shared" si="68"/>
        <v>Possible</v>
      </c>
      <c r="BG562" s="45"/>
      <c r="BH562" s="45">
        <f>INDEX(Table5[[#All],[Ovr]],MATCH(Table3[[#This Row],[PID]],Table5[[#All],[PID]],0))</f>
        <v>250</v>
      </c>
      <c r="BI562" s="45" t="str">
        <f>INDEX(Table5[[#All],[Rnd]],MATCH(Table3[[#This Row],[PID]],Table5[[#All],[PID]],0))</f>
        <v>9</v>
      </c>
      <c r="BJ562" s="45">
        <f>INDEX(Table5[[#All],[Pick]],MATCH(Table3[[#This Row],[PID]],Table5[[#All],[PID]],0))</f>
        <v>2</v>
      </c>
      <c r="BK562" s="45" t="str">
        <f>INDEX(Table5[[#All],[Team]],MATCH(Table3[[#This Row],[PID]],Table5[[#All],[PID]],0))</f>
        <v>Charleston Statesmen</v>
      </c>
      <c r="BL5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3" spans="1:64" ht="15" customHeight="1" x14ac:dyDescent="0.25">
      <c r="A563" s="40">
        <v>18370</v>
      </c>
      <c r="B563" s="40" t="s">
        <v>24</v>
      </c>
      <c r="C563" s="40" t="s">
        <v>737</v>
      </c>
      <c r="D563" s="40" t="s">
        <v>1227</v>
      </c>
      <c r="E563" s="40">
        <v>18</v>
      </c>
      <c r="F563" s="40" t="s">
        <v>42</v>
      </c>
      <c r="G563" s="40" t="s">
        <v>42</v>
      </c>
      <c r="H563" s="41" t="s">
        <v>634</v>
      </c>
      <c r="I563" s="42" t="s">
        <v>44</v>
      </c>
      <c r="J563" s="40" t="s">
        <v>44</v>
      </c>
      <c r="K563" s="41" t="s">
        <v>43</v>
      </c>
      <c r="L563" s="40">
        <v>2</v>
      </c>
      <c r="M563" s="40">
        <v>2</v>
      </c>
      <c r="N563" s="41">
        <v>2</v>
      </c>
      <c r="O563" s="40">
        <v>5</v>
      </c>
      <c r="P563" s="40">
        <v>3</v>
      </c>
      <c r="Q563" s="41">
        <v>5</v>
      </c>
      <c r="R563" s="40">
        <v>3</v>
      </c>
      <c r="S563" s="40">
        <v>6</v>
      </c>
      <c r="T563" s="40">
        <v>2</v>
      </c>
      <c r="U563" s="40">
        <v>7</v>
      </c>
      <c r="V563" s="40">
        <v>1</v>
      </c>
      <c r="W563" s="40">
        <v>7</v>
      </c>
      <c r="X563" s="40" t="s">
        <v>45</v>
      </c>
      <c r="Y563" s="40" t="s">
        <v>45</v>
      </c>
      <c r="Z563" s="40" t="s">
        <v>45</v>
      </c>
      <c r="AA563" s="40" t="s">
        <v>45</v>
      </c>
      <c r="AB563" s="40">
        <v>3</v>
      </c>
      <c r="AC563" s="40">
        <v>6</v>
      </c>
      <c r="AD563" s="40" t="s">
        <v>45</v>
      </c>
      <c r="AE563" s="40" t="s">
        <v>45</v>
      </c>
      <c r="AF563" s="40" t="s">
        <v>45</v>
      </c>
      <c r="AG563" s="40" t="s">
        <v>45</v>
      </c>
      <c r="AH563" s="40" t="s">
        <v>45</v>
      </c>
      <c r="AI563" s="40" t="s">
        <v>45</v>
      </c>
      <c r="AJ563" s="40" t="s">
        <v>45</v>
      </c>
      <c r="AK563" s="40" t="s">
        <v>45</v>
      </c>
      <c r="AL563" s="40" t="s">
        <v>45</v>
      </c>
      <c r="AM563" s="40" t="s">
        <v>45</v>
      </c>
      <c r="AN563" s="40" t="s">
        <v>45</v>
      </c>
      <c r="AO563" s="41" t="s">
        <v>45</v>
      </c>
      <c r="AP563" s="40" t="s">
        <v>350</v>
      </c>
      <c r="AQ563" s="40">
        <v>7</v>
      </c>
      <c r="AR563" s="48" t="s">
        <v>347</v>
      </c>
      <c r="AS563" s="43" t="s">
        <v>1159</v>
      </c>
      <c r="AT563" s="43" t="s">
        <v>47</v>
      </c>
      <c r="AU563" s="44">
        <f t="shared" si="63"/>
        <v>-2.0690406309742588</v>
      </c>
      <c r="AV563" s="44">
        <f t="shared" si="64"/>
        <v>-0.11707849211727993</v>
      </c>
      <c r="AW563" s="45">
        <f t="shared" si="65"/>
        <v>4</v>
      </c>
      <c r="AX563" s="45">
        <f t="shared" si="66"/>
        <v>4</v>
      </c>
      <c r="AY563" s="46">
        <f>VLOOKUP(AP563,COND!$A$10:$B$32,2,FALSE)</f>
        <v>1</v>
      </c>
      <c r="AZ563" s="44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55.794622031459554</v>
      </c>
      <c r="BA563" s="47">
        <f t="shared" si="70"/>
        <v>1.3255196599249033</v>
      </c>
      <c r="BB563" s="45" t="str">
        <f t="shared" si="67"/>
        <v>SP</v>
      </c>
      <c r="BC563" s="45">
        <f>RANK(Table3[[#This Row],[zScore]],Table3[zScore])</f>
        <v>99</v>
      </c>
      <c r="BD563" s="45"/>
      <c r="BE563" s="45"/>
      <c r="BF563" s="45" t="str">
        <f t="shared" si="68"/>
        <v>Possible</v>
      </c>
      <c r="BG563" s="45"/>
      <c r="BH563" s="45">
        <f>INDEX(Table5[[#All],[Ovr]],MATCH(Table3[[#This Row],[PID]],Table5[[#All],[PID]],0))</f>
        <v>218</v>
      </c>
      <c r="BI563" s="45" t="str">
        <f>INDEX(Table5[[#All],[Rnd]],MATCH(Table3[[#This Row],[PID]],Table5[[#All],[PID]],0))</f>
        <v>7</v>
      </c>
      <c r="BJ563" s="45">
        <f>INDEX(Table5[[#All],[Pick]],MATCH(Table3[[#This Row],[PID]],Table5[[#All],[PID]],0))</f>
        <v>30</v>
      </c>
      <c r="BK563" s="45" t="str">
        <f>INDEX(Table5[[#All],[Team]],MATCH(Table3[[#This Row],[PID]],Table5[[#All],[PID]],0))</f>
        <v>Kalamazoo Badgers</v>
      </c>
      <c r="BL5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4" spans="1:64" ht="15" customHeight="1" x14ac:dyDescent="0.25">
      <c r="A564" s="40">
        <v>18334</v>
      </c>
      <c r="B564" s="40" t="s">
        <v>24</v>
      </c>
      <c r="C564" s="40" t="s">
        <v>179</v>
      </c>
      <c r="D564" s="40" t="s">
        <v>1900</v>
      </c>
      <c r="E564" s="40">
        <v>18</v>
      </c>
      <c r="F564" s="40" t="s">
        <v>42</v>
      </c>
      <c r="G564" s="40" t="s">
        <v>42</v>
      </c>
      <c r="H564" s="41" t="s">
        <v>639</v>
      </c>
      <c r="I564" s="42" t="s">
        <v>43</v>
      </c>
      <c r="J564" s="40" t="s">
        <v>44</v>
      </c>
      <c r="K564" s="41" t="s">
        <v>43</v>
      </c>
      <c r="L564" s="40">
        <v>1</v>
      </c>
      <c r="M564" s="40">
        <v>2</v>
      </c>
      <c r="N564" s="41">
        <v>2</v>
      </c>
      <c r="O564" s="40">
        <v>5</v>
      </c>
      <c r="P564" s="40">
        <v>5</v>
      </c>
      <c r="Q564" s="41">
        <v>4</v>
      </c>
      <c r="R564" s="40">
        <v>4</v>
      </c>
      <c r="S564" s="40">
        <v>7</v>
      </c>
      <c r="T564" s="40">
        <v>1</v>
      </c>
      <c r="U564" s="40">
        <v>1</v>
      </c>
      <c r="V564" s="40" t="s">
        <v>45</v>
      </c>
      <c r="W564" s="40" t="s">
        <v>45</v>
      </c>
      <c r="X564" s="40" t="s">
        <v>45</v>
      </c>
      <c r="Y564" s="40" t="s">
        <v>45</v>
      </c>
      <c r="Z564" s="40" t="s">
        <v>45</v>
      </c>
      <c r="AA564" s="40" t="s">
        <v>45</v>
      </c>
      <c r="AB564" s="40" t="s">
        <v>45</v>
      </c>
      <c r="AC564" s="40" t="s">
        <v>45</v>
      </c>
      <c r="AD564" s="40" t="s">
        <v>45</v>
      </c>
      <c r="AE564" s="40" t="s">
        <v>45</v>
      </c>
      <c r="AF564" s="40" t="s">
        <v>45</v>
      </c>
      <c r="AG564" s="40" t="s">
        <v>45</v>
      </c>
      <c r="AH564" s="40" t="s">
        <v>45</v>
      </c>
      <c r="AI564" s="40" t="s">
        <v>45</v>
      </c>
      <c r="AJ564" s="40" t="s">
        <v>45</v>
      </c>
      <c r="AK564" s="40" t="s">
        <v>45</v>
      </c>
      <c r="AL564" s="40">
        <v>2</v>
      </c>
      <c r="AM564" s="40">
        <v>8</v>
      </c>
      <c r="AN564" s="40" t="s">
        <v>45</v>
      </c>
      <c r="AO564" s="41" t="s">
        <v>45</v>
      </c>
      <c r="AP564" s="40" t="s">
        <v>350</v>
      </c>
      <c r="AQ564" s="40">
        <v>5</v>
      </c>
      <c r="AR564" s="48" t="s">
        <v>347</v>
      </c>
      <c r="AS564" s="43" t="s">
        <v>419</v>
      </c>
      <c r="AT564" s="43" t="s">
        <v>635</v>
      </c>
      <c r="AU564" s="44">
        <f t="shared" si="63"/>
        <v>-2.2637319554834323</v>
      </c>
      <c r="AV564" s="44">
        <f t="shared" si="64"/>
        <v>3.146437468872048E-2</v>
      </c>
      <c r="AW564" s="45">
        <f t="shared" si="65"/>
        <v>3</v>
      </c>
      <c r="AX564" s="45">
        <f t="shared" si="66"/>
        <v>2</v>
      </c>
      <c r="AY564" s="46">
        <f>VLOOKUP(AP564,COND!$A$10:$B$32,2,FALSE)</f>
        <v>1</v>
      </c>
      <c r="AZ564" s="44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55.77212757511078</v>
      </c>
      <c r="BA564" s="47">
        <f t="shared" si="70"/>
        <v>1.324023138117997</v>
      </c>
      <c r="BB564" s="45" t="str">
        <f t="shared" si="67"/>
        <v>SP</v>
      </c>
      <c r="BC564" s="45">
        <f>RANK(Table3[[#This Row],[zScore]],Table3[zScore])</f>
        <v>100</v>
      </c>
      <c r="BD564" s="45"/>
      <c r="BE564" s="45"/>
      <c r="BF564" s="45" t="str">
        <f t="shared" si="68"/>
        <v>Possible</v>
      </c>
      <c r="BG564" s="45"/>
      <c r="BH564" s="45">
        <f>INDEX(Table5[[#All],[Ovr]],MATCH(Table3[[#This Row],[PID]],Table5[[#All],[PID]],0))</f>
        <v>472</v>
      </c>
      <c r="BI564" s="45" t="str">
        <f>INDEX(Table5[[#All],[Rnd]],MATCH(Table3[[#This Row],[PID]],Table5[[#All],[PID]],0))</f>
        <v>16</v>
      </c>
      <c r="BJ564" s="45">
        <f>INDEX(Table5[[#All],[Pick]],MATCH(Table3[[#This Row],[PID]],Table5[[#All],[PID]],0))</f>
        <v>14</v>
      </c>
      <c r="BK564" s="45" t="str">
        <f>INDEX(Table5[[#All],[Team]],MATCH(Table3[[#This Row],[PID]],Table5[[#All],[PID]],0))</f>
        <v>Arlington Bureaucrats</v>
      </c>
      <c r="BL56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5" spans="1:64" ht="15" customHeight="1" x14ac:dyDescent="0.25">
      <c r="A565" s="40">
        <v>18205</v>
      </c>
      <c r="B565" s="40" t="s">
        <v>24</v>
      </c>
      <c r="C565" s="40" t="s">
        <v>187</v>
      </c>
      <c r="D565" s="40" t="s">
        <v>1120</v>
      </c>
      <c r="E565" s="40">
        <v>18</v>
      </c>
      <c r="F565" s="40" t="s">
        <v>53</v>
      </c>
      <c r="G565" s="40" t="s">
        <v>42</v>
      </c>
      <c r="H565" s="41" t="s">
        <v>634</v>
      </c>
      <c r="I565" s="42" t="s">
        <v>43</v>
      </c>
      <c r="J565" s="40" t="s">
        <v>43</v>
      </c>
      <c r="K565" s="41" t="s">
        <v>43</v>
      </c>
      <c r="L565" s="40">
        <v>1</v>
      </c>
      <c r="M565" s="40">
        <v>2</v>
      </c>
      <c r="N565" s="41">
        <v>2</v>
      </c>
      <c r="O565" s="40">
        <v>5</v>
      </c>
      <c r="P565" s="40">
        <v>3</v>
      </c>
      <c r="Q565" s="41">
        <v>6</v>
      </c>
      <c r="R565" s="40">
        <v>3</v>
      </c>
      <c r="S565" s="40">
        <v>6</v>
      </c>
      <c r="T565" s="40">
        <v>1</v>
      </c>
      <c r="U565" s="40">
        <v>5</v>
      </c>
      <c r="V565" s="40" t="s">
        <v>45</v>
      </c>
      <c r="W565" s="40" t="s">
        <v>45</v>
      </c>
      <c r="X565" s="40">
        <v>2</v>
      </c>
      <c r="Y565" s="40">
        <v>7</v>
      </c>
      <c r="Z565" s="40" t="s">
        <v>45</v>
      </c>
      <c r="AA565" s="40" t="s">
        <v>45</v>
      </c>
      <c r="AB565" s="40" t="s">
        <v>45</v>
      </c>
      <c r="AC565" s="40" t="s">
        <v>45</v>
      </c>
      <c r="AD565" s="40" t="s">
        <v>45</v>
      </c>
      <c r="AE565" s="40" t="s">
        <v>45</v>
      </c>
      <c r="AF565" s="40" t="s">
        <v>45</v>
      </c>
      <c r="AG565" s="40" t="s">
        <v>45</v>
      </c>
      <c r="AH565" s="40" t="s">
        <v>45</v>
      </c>
      <c r="AI565" s="40" t="s">
        <v>45</v>
      </c>
      <c r="AJ565" s="40" t="s">
        <v>45</v>
      </c>
      <c r="AK565" s="40" t="s">
        <v>45</v>
      </c>
      <c r="AL565" s="40" t="s">
        <v>45</v>
      </c>
      <c r="AM565" s="40" t="s">
        <v>45</v>
      </c>
      <c r="AN565" s="40" t="s">
        <v>45</v>
      </c>
      <c r="AO565" s="41" t="s">
        <v>45</v>
      </c>
      <c r="AP565" s="40" t="s">
        <v>64</v>
      </c>
      <c r="AQ565" s="40">
        <v>4</v>
      </c>
      <c r="AR565" s="48" t="s">
        <v>347</v>
      </c>
      <c r="AS565" s="43" t="s">
        <v>553</v>
      </c>
      <c r="AT565" s="43" t="s">
        <v>635</v>
      </c>
      <c r="AU565" s="44">
        <f t="shared" si="63"/>
        <v>-2.2637319554834323</v>
      </c>
      <c r="AV565" s="44">
        <f t="shared" si="64"/>
        <v>0.12524207393683046</v>
      </c>
      <c r="AW565" s="45">
        <f t="shared" si="65"/>
        <v>3</v>
      </c>
      <c r="AX565" s="45">
        <f t="shared" si="66"/>
        <v>2</v>
      </c>
      <c r="AY565" s="46">
        <f>VLOOKUP(AP565,COND!$A$10:$B$32,2,FALSE)</f>
        <v>1</v>
      </c>
      <c r="AZ565" s="44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55.749490333257924</v>
      </c>
      <c r="BA565" s="47">
        <f t="shared" si="70"/>
        <v>1.3225171170096959</v>
      </c>
      <c r="BB565" s="45" t="str">
        <f t="shared" si="67"/>
        <v>RP</v>
      </c>
      <c r="BC565" s="45">
        <f>RANK(Table3[[#This Row],[zScore]],Table3[zScore])</f>
        <v>101</v>
      </c>
      <c r="BD565" s="45"/>
      <c r="BE565" s="45"/>
      <c r="BF565" s="45" t="str">
        <f t="shared" si="68"/>
        <v>Possible</v>
      </c>
      <c r="BG565" s="45"/>
      <c r="BH565" s="45">
        <f>INDEX(Table5[[#All],[Ovr]],MATCH(Table3[[#This Row],[PID]],Table5[[#All],[PID]],0))</f>
        <v>447</v>
      </c>
      <c r="BI565" s="45" t="str">
        <f>INDEX(Table5[[#All],[Rnd]],MATCH(Table3[[#This Row],[PID]],Table5[[#All],[PID]],0))</f>
        <v>15</v>
      </c>
      <c r="BJ565" s="45">
        <f>INDEX(Table5[[#All],[Pick]],MATCH(Table3[[#This Row],[PID]],Table5[[#All],[PID]],0))</f>
        <v>19</v>
      </c>
      <c r="BK565" s="45" t="str">
        <f>INDEX(Table5[[#All],[Team]],MATCH(Table3[[#This Row],[PID]],Table5[[#All],[PID]],0))</f>
        <v>Kalamazoo Badgers</v>
      </c>
      <c r="BL5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6" spans="1:64" ht="15" customHeight="1" x14ac:dyDescent="0.25">
      <c r="A566" s="40">
        <v>18088</v>
      </c>
      <c r="B566" s="40" t="s">
        <v>24</v>
      </c>
      <c r="C566" s="40" t="s">
        <v>168</v>
      </c>
      <c r="D566" s="40" t="s">
        <v>1884</v>
      </c>
      <c r="E566" s="40">
        <v>21</v>
      </c>
      <c r="F566" s="40" t="s">
        <v>42</v>
      </c>
      <c r="G566" s="40" t="s">
        <v>42</v>
      </c>
      <c r="H566" s="41" t="s">
        <v>638</v>
      </c>
      <c r="I566" s="42" t="s">
        <v>44</v>
      </c>
      <c r="J566" s="40" t="s">
        <v>44</v>
      </c>
      <c r="K566" s="41" t="s">
        <v>44</v>
      </c>
      <c r="L566" s="40">
        <v>2</v>
      </c>
      <c r="M566" s="40">
        <v>5</v>
      </c>
      <c r="N566" s="41">
        <v>2</v>
      </c>
      <c r="O566" s="40">
        <v>4</v>
      </c>
      <c r="P566" s="40">
        <v>7</v>
      </c>
      <c r="Q566" s="41">
        <v>4</v>
      </c>
      <c r="R566" s="40">
        <v>5</v>
      </c>
      <c r="S566" s="40">
        <v>6</v>
      </c>
      <c r="T566" s="40">
        <v>1</v>
      </c>
      <c r="U566" s="40">
        <v>6</v>
      </c>
      <c r="V566" s="40" t="s">
        <v>45</v>
      </c>
      <c r="W566" s="40" t="s">
        <v>45</v>
      </c>
      <c r="X566" s="40">
        <v>3</v>
      </c>
      <c r="Y566" s="40">
        <v>3</v>
      </c>
      <c r="Z566" s="40" t="s">
        <v>45</v>
      </c>
      <c r="AA566" s="40" t="s">
        <v>45</v>
      </c>
      <c r="AB566" s="40" t="s">
        <v>45</v>
      </c>
      <c r="AC566" s="40" t="s">
        <v>45</v>
      </c>
      <c r="AD566" s="40" t="s">
        <v>45</v>
      </c>
      <c r="AE566" s="40" t="s">
        <v>45</v>
      </c>
      <c r="AF566" s="40" t="s">
        <v>45</v>
      </c>
      <c r="AG566" s="40" t="s">
        <v>45</v>
      </c>
      <c r="AH566" s="40" t="s">
        <v>45</v>
      </c>
      <c r="AI566" s="40" t="s">
        <v>45</v>
      </c>
      <c r="AJ566" s="40" t="s">
        <v>45</v>
      </c>
      <c r="AK566" s="40" t="s">
        <v>45</v>
      </c>
      <c r="AL566" s="40" t="s">
        <v>45</v>
      </c>
      <c r="AM566" s="40" t="s">
        <v>45</v>
      </c>
      <c r="AN566" s="40" t="s">
        <v>45</v>
      </c>
      <c r="AO566" s="41" t="s">
        <v>45</v>
      </c>
      <c r="AP566" s="40" t="s">
        <v>60</v>
      </c>
      <c r="AQ566" s="40">
        <v>7</v>
      </c>
      <c r="AR566" s="48" t="s">
        <v>346</v>
      </c>
      <c r="AS566" s="43" t="s">
        <v>563</v>
      </c>
      <c r="AT566" s="43" t="s">
        <v>47</v>
      </c>
      <c r="AU566" s="44">
        <f t="shared" si="63"/>
        <v>-1.4827454816840926</v>
      </c>
      <c r="AV566" s="44">
        <f t="shared" si="64"/>
        <v>0.22763648303965781</v>
      </c>
      <c r="AW566" s="45">
        <f t="shared" si="65"/>
        <v>3</v>
      </c>
      <c r="AX566" s="45">
        <f t="shared" si="66"/>
        <v>2</v>
      </c>
      <c r="AY566" s="46">
        <f>VLOOKUP(AP566,COND!$A$10:$B$32,2,FALSE)</f>
        <v>1.0249999999999999</v>
      </c>
      <c r="AZ566" s="44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54.712585078567741</v>
      </c>
      <c r="BA566" s="47">
        <f t="shared" si="70"/>
        <v>1.2535333949192462</v>
      </c>
      <c r="BB566" s="45" t="str">
        <f t="shared" si="67"/>
        <v>SP</v>
      </c>
      <c r="BC566" s="45">
        <f>RANK(Table3[[#This Row],[zScore]],Table3[zScore])</f>
        <v>107</v>
      </c>
      <c r="BD566" s="45"/>
      <c r="BE566" s="45"/>
      <c r="BF566" s="45" t="str">
        <f t="shared" si="68"/>
        <v>Possible</v>
      </c>
      <c r="BG566" s="45"/>
      <c r="BH566" s="45">
        <f>INDEX(Table5[[#All],[Ovr]],MATCH(Table3[[#This Row],[PID]],Table5[[#All],[PID]],0))</f>
        <v>378</v>
      </c>
      <c r="BI566" s="45" t="str">
        <f>INDEX(Table5[[#All],[Rnd]],MATCH(Table3[[#This Row],[PID]],Table5[[#All],[PID]],0))</f>
        <v>13</v>
      </c>
      <c r="BJ566" s="45">
        <f>INDEX(Table5[[#All],[Pick]],MATCH(Table3[[#This Row],[PID]],Table5[[#All],[PID]],0))</f>
        <v>10</v>
      </c>
      <c r="BK566" s="45" t="str">
        <f>INDEX(Table5[[#All],[Team]],MATCH(Table3[[#This Row],[PID]],Table5[[#All],[PID]],0))</f>
        <v>Hartford Harpoon</v>
      </c>
      <c r="BL5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7" spans="1:64" ht="15" customHeight="1" x14ac:dyDescent="0.25">
      <c r="A567" s="40">
        <v>18173</v>
      </c>
      <c r="B567" s="40" t="s">
        <v>24</v>
      </c>
      <c r="C567" s="40" t="s">
        <v>443</v>
      </c>
      <c r="D567" s="40" t="s">
        <v>1842</v>
      </c>
      <c r="E567" s="40">
        <v>18</v>
      </c>
      <c r="F567" s="40" t="s">
        <v>62</v>
      </c>
      <c r="G567" s="40" t="s">
        <v>42</v>
      </c>
      <c r="H567" s="41" t="s">
        <v>638</v>
      </c>
      <c r="I567" s="42" t="s">
        <v>43</v>
      </c>
      <c r="J567" s="40" t="s">
        <v>47</v>
      </c>
      <c r="K567" s="41" t="s">
        <v>43</v>
      </c>
      <c r="L567" s="40">
        <v>1</v>
      </c>
      <c r="M567" s="40">
        <v>2</v>
      </c>
      <c r="N567" s="41">
        <v>1</v>
      </c>
      <c r="O567" s="40">
        <v>5</v>
      </c>
      <c r="P567" s="40">
        <v>3</v>
      </c>
      <c r="Q567" s="41">
        <v>5</v>
      </c>
      <c r="R567" s="40">
        <v>3</v>
      </c>
      <c r="S567" s="40">
        <v>6</v>
      </c>
      <c r="T567" s="40" t="s">
        <v>45</v>
      </c>
      <c r="U567" s="40" t="s">
        <v>45</v>
      </c>
      <c r="V567" s="40">
        <v>2</v>
      </c>
      <c r="W567" s="40">
        <v>6</v>
      </c>
      <c r="X567" s="40" t="s">
        <v>45</v>
      </c>
      <c r="Y567" s="40" t="s">
        <v>45</v>
      </c>
      <c r="Z567" s="40" t="s">
        <v>45</v>
      </c>
      <c r="AA567" s="40" t="s">
        <v>45</v>
      </c>
      <c r="AB567" s="40" t="s">
        <v>45</v>
      </c>
      <c r="AC567" s="40" t="s">
        <v>45</v>
      </c>
      <c r="AD567" s="40" t="s">
        <v>45</v>
      </c>
      <c r="AE567" s="40" t="s">
        <v>45</v>
      </c>
      <c r="AF567" s="40" t="s">
        <v>45</v>
      </c>
      <c r="AG567" s="40" t="s">
        <v>45</v>
      </c>
      <c r="AH567" s="40">
        <v>1</v>
      </c>
      <c r="AI567" s="40">
        <v>7</v>
      </c>
      <c r="AJ567" s="40" t="s">
        <v>45</v>
      </c>
      <c r="AK567" s="40" t="s">
        <v>45</v>
      </c>
      <c r="AL567" s="40" t="s">
        <v>45</v>
      </c>
      <c r="AM567" s="40" t="s">
        <v>45</v>
      </c>
      <c r="AN567" s="40" t="s">
        <v>45</v>
      </c>
      <c r="AO567" s="41" t="s">
        <v>45</v>
      </c>
      <c r="AP567" s="40" t="s">
        <v>350</v>
      </c>
      <c r="AQ567" s="40">
        <v>8</v>
      </c>
      <c r="AR567" s="48" t="s">
        <v>347</v>
      </c>
      <c r="AS567" s="43" t="s">
        <v>554</v>
      </c>
      <c r="AT567" s="43" t="s">
        <v>635</v>
      </c>
      <c r="AU567" s="44">
        <f t="shared" si="63"/>
        <v>-2.5060525215375429</v>
      </c>
      <c r="AV567" s="44">
        <f t="shared" si="64"/>
        <v>-0.11707849211727993</v>
      </c>
      <c r="AW567" s="45">
        <f t="shared" si="65"/>
        <v>3</v>
      </c>
      <c r="AX567" s="45">
        <f t="shared" si="66"/>
        <v>3</v>
      </c>
      <c r="AY567" s="46">
        <f>VLOOKUP(AP567,COND!$A$10:$B$32,2,FALSE)</f>
        <v>1</v>
      </c>
      <c r="AZ567" s="44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54.707219653346897</v>
      </c>
      <c r="BA567" s="47">
        <f t="shared" si="70"/>
        <v>1.2531764413782571</v>
      </c>
      <c r="BB567" s="45" t="str">
        <f t="shared" si="67"/>
        <v>SP</v>
      </c>
      <c r="BC567" s="45">
        <f>RANK(Table3[[#This Row],[zScore]],Table3[zScore])</f>
        <v>108</v>
      </c>
      <c r="BD567" s="45"/>
      <c r="BE567" s="45"/>
      <c r="BF567" s="45" t="str">
        <f t="shared" si="68"/>
        <v>Possible</v>
      </c>
      <c r="BG567" s="45"/>
      <c r="BH567" s="45">
        <f>INDEX(Table5[[#All],[Ovr]],MATCH(Table3[[#This Row],[PID]],Table5[[#All],[PID]],0))</f>
        <v>335</v>
      </c>
      <c r="BI567" s="45" t="str">
        <f>INDEX(Table5[[#All],[Rnd]],MATCH(Table3[[#This Row],[PID]],Table5[[#All],[PID]],0))</f>
        <v>11</v>
      </c>
      <c r="BJ567" s="45">
        <f>INDEX(Table5[[#All],[Pick]],MATCH(Table3[[#This Row],[PID]],Table5[[#All],[PID]],0))</f>
        <v>27</v>
      </c>
      <c r="BK567" s="45" t="str">
        <f>INDEX(Table5[[#All],[Team]],MATCH(Table3[[#This Row],[PID]],Table5[[#All],[PID]],0))</f>
        <v>Neo-Tokyo Akira</v>
      </c>
      <c r="BL5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8" spans="1:64" ht="15" customHeight="1" x14ac:dyDescent="0.25">
      <c r="A568" s="40">
        <v>17793</v>
      </c>
      <c r="B568" s="40" t="s">
        <v>24</v>
      </c>
      <c r="C568" s="40" t="s">
        <v>930</v>
      </c>
      <c r="D568" s="40" t="s">
        <v>1824</v>
      </c>
      <c r="E568" s="40">
        <v>21</v>
      </c>
      <c r="F568" s="40" t="s">
        <v>42</v>
      </c>
      <c r="G568" s="40" t="s">
        <v>42</v>
      </c>
      <c r="H568" s="41" t="s">
        <v>634</v>
      </c>
      <c r="I568" s="42" t="s">
        <v>47</v>
      </c>
      <c r="J568" s="40" t="s">
        <v>43</v>
      </c>
      <c r="K568" s="41" t="s">
        <v>44</v>
      </c>
      <c r="L568" s="40">
        <v>3</v>
      </c>
      <c r="M568" s="40">
        <v>2</v>
      </c>
      <c r="N568" s="41">
        <v>2</v>
      </c>
      <c r="O568" s="40">
        <v>6</v>
      </c>
      <c r="P568" s="40">
        <v>5</v>
      </c>
      <c r="Q568" s="41">
        <v>4</v>
      </c>
      <c r="R568" s="40">
        <v>5</v>
      </c>
      <c r="S568" s="40">
        <v>8</v>
      </c>
      <c r="T568" s="40">
        <v>1</v>
      </c>
      <c r="U568" s="40">
        <v>3</v>
      </c>
      <c r="V568" s="40">
        <v>2</v>
      </c>
      <c r="W568" s="40">
        <v>6</v>
      </c>
      <c r="X568" s="40" t="s">
        <v>45</v>
      </c>
      <c r="Y568" s="40" t="s">
        <v>45</v>
      </c>
      <c r="Z568" s="40" t="s">
        <v>45</v>
      </c>
      <c r="AA568" s="40" t="s">
        <v>45</v>
      </c>
      <c r="AB568" s="40">
        <v>4</v>
      </c>
      <c r="AC568" s="40">
        <v>7</v>
      </c>
      <c r="AD568" s="40" t="s">
        <v>45</v>
      </c>
      <c r="AE568" s="40" t="s">
        <v>45</v>
      </c>
      <c r="AF568" s="40" t="s">
        <v>45</v>
      </c>
      <c r="AG568" s="40" t="s">
        <v>45</v>
      </c>
      <c r="AH568" s="40" t="s">
        <v>45</v>
      </c>
      <c r="AI568" s="40" t="s">
        <v>45</v>
      </c>
      <c r="AJ568" s="40" t="s">
        <v>45</v>
      </c>
      <c r="AK568" s="40" t="s">
        <v>45</v>
      </c>
      <c r="AL568" s="40" t="s">
        <v>45</v>
      </c>
      <c r="AM568" s="40" t="s">
        <v>45</v>
      </c>
      <c r="AN568" s="40" t="s">
        <v>45</v>
      </c>
      <c r="AO568" s="41" t="s">
        <v>45</v>
      </c>
      <c r="AP568" s="40" t="s">
        <v>54</v>
      </c>
      <c r="AQ568" s="40">
        <v>4</v>
      </c>
      <c r="AR568" s="48" t="s">
        <v>347</v>
      </c>
      <c r="AS568" s="43" t="s">
        <v>701</v>
      </c>
      <c r="AT568" s="43" t="s">
        <v>47</v>
      </c>
      <c r="AU568" s="44">
        <f t="shared" si="63"/>
        <v>-1.8743493064650851</v>
      </c>
      <c r="AV568" s="44">
        <f t="shared" si="64"/>
        <v>0.22615569919789399</v>
      </c>
      <c r="AW568" s="45">
        <f t="shared" si="65"/>
        <v>4</v>
      </c>
      <c r="AX568" s="45">
        <f t="shared" si="66"/>
        <v>3</v>
      </c>
      <c r="AY568" s="46">
        <f>VLOOKUP(AP568,COND!$A$10:$B$32,2,FALSE)</f>
        <v>1.0249999999999999</v>
      </c>
      <c r="AZ568" s="44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54.563415214444902</v>
      </c>
      <c r="BA568" s="47">
        <f t="shared" si="70"/>
        <v>1.243609351806942</v>
      </c>
      <c r="BB568" s="45" t="str">
        <f t="shared" si="67"/>
        <v>RP</v>
      </c>
      <c r="BC568" s="45">
        <f>RANK(Table3[[#This Row],[zScore]],Table3[zScore])</f>
        <v>109</v>
      </c>
      <c r="BD568" s="45"/>
      <c r="BE568" s="45"/>
      <c r="BF568" s="45" t="str">
        <f t="shared" si="68"/>
        <v>Possible</v>
      </c>
      <c r="BG568" s="45"/>
      <c r="BH568" s="45">
        <f>INDEX(Table5[[#All],[Ovr]],MATCH(Table3[[#This Row],[PID]],Table5[[#All],[PID]],0))</f>
        <v>217</v>
      </c>
      <c r="BI568" s="45" t="str">
        <f>INDEX(Table5[[#All],[Rnd]],MATCH(Table3[[#This Row],[PID]],Table5[[#All],[PID]],0))</f>
        <v>7</v>
      </c>
      <c r="BJ568" s="45">
        <f>INDEX(Table5[[#All],[Pick]],MATCH(Table3[[#This Row],[PID]],Table5[[#All],[PID]],0))</f>
        <v>29</v>
      </c>
      <c r="BK568" s="45" t="str">
        <f>INDEX(Table5[[#All],[Team]],MATCH(Table3[[#This Row],[PID]],Table5[[#All],[PID]],0))</f>
        <v>Havana Leones</v>
      </c>
      <c r="BL5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69" spans="1:64" ht="15" customHeight="1" x14ac:dyDescent="0.25">
      <c r="A569" s="40">
        <v>18148</v>
      </c>
      <c r="B569" s="40" t="s">
        <v>24</v>
      </c>
      <c r="C569" s="40" t="s">
        <v>162</v>
      </c>
      <c r="D569" s="40" t="s">
        <v>1457</v>
      </c>
      <c r="E569" s="40">
        <v>21</v>
      </c>
      <c r="F569" s="40" t="s">
        <v>42</v>
      </c>
      <c r="G569" s="40" t="s">
        <v>42</v>
      </c>
      <c r="H569" s="41" t="s">
        <v>634</v>
      </c>
      <c r="I569" s="42" t="s">
        <v>43</v>
      </c>
      <c r="J569" s="40" t="s">
        <v>43</v>
      </c>
      <c r="K569" s="41" t="s">
        <v>44</v>
      </c>
      <c r="L569" s="40">
        <v>3</v>
      </c>
      <c r="M569" s="40">
        <v>3</v>
      </c>
      <c r="N569" s="41">
        <v>2</v>
      </c>
      <c r="O569" s="40">
        <v>5</v>
      </c>
      <c r="P569" s="40">
        <v>5</v>
      </c>
      <c r="Q569" s="41">
        <v>4</v>
      </c>
      <c r="R569" s="40" t="s">
        <v>45</v>
      </c>
      <c r="S569" s="40" t="s">
        <v>45</v>
      </c>
      <c r="T569" s="40">
        <v>2</v>
      </c>
      <c r="U569" s="40">
        <v>6</v>
      </c>
      <c r="V569" s="40">
        <v>3</v>
      </c>
      <c r="W569" s="40">
        <v>6</v>
      </c>
      <c r="X569" s="40">
        <v>3</v>
      </c>
      <c r="Y569" s="40">
        <v>4</v>
      </c>
      <c r="Z569" s="40" t="s">
        <v>45</v>
      </c>
      <c r="AA569" s="40" t="s">
        <v>45</v>
      </c>
      <c r="AB569" s="40" t="s">
        <v>45</v>
      </c>
      <c r="AC569" s="40" t="s">
        <v>45</v>
      </c>
      <c r="AD569" s="40">
        <v>4</v>
      </c>
      <c r="AE569" s="40">
        <v>6</v>
      </c>
      <c r="AF569" s="40">
        <v>4</v>
      </c>
      <c r="AG569" s="40">
        <v>6</v>
      </c>
      <c r="AH569" s="40" t="s">
        <v>45</v>
      </c>
      <c r="AI569" s="40" t="s">
        <v>45</v>
      </c>
      <c r="AJ569" s="40" t="s">
        <v>45</v>
      </c>
      <c r="AK569" s="40" t="s">
        <v>45</v>
      </c>
      <c r="AL569" s="40" t="s">
        <v>45</v>
      </c>
      <c r="AM569" s="40" t="s">
        <v>45</v>
      </c>
      <c r="AN569" s="40" t="s">
        <v>45</v>
      </c>
      <c r="AO569" s="41" t="s">
        <v>45</v>
      </c>
      <c r="AP569" s="40" t="s">
        <v>58</v>
      </c>
      <c r="AQ569" s="40">
        <v>9</v>
      </c>
      <c r="AR569" s="48" t="s">
        <v>346</v>
      </c>
      <c r="AS569" s="43" t="s">
        <v>701</v>
      </c>
      <c r="AT569" s="43" t="s">
        <v>635</v>
      </c>
      <c r="AU569" s="44">
        <f t="shared" si="63"/>
        <v>-1.6789175900350299</v>
      </c>
      <c r="AV569" s="44">
        <f t="shared" si="64"/>
        <v>3.146437468872048E-2</v>
      </c>
      <c r="AW569" s="45">
        <f t="shared" si="65"/>
        <v>5</v>
      </c>
      <c r="AX569" s="45">
        <f t="shared" si="66"/>
        <v>4</v>
      </c>
      <c r="AY569" s="46">
        <f>VLOOKUP(AP569,COND!$A$10:$B$32,2,FALSE)</f>
        <v>1</v>
      </c>
      <c r="AZ569" s="44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54.49350397576741</v>
      </c>
      <c r="BA569" s="47">
        <f t="shared" si="70"/>
        <v>1.2389582639297105</v>
      </c>
      <c r="BB569" s="45" t="str">
        <f t="shared" si="67"/>
        <v>SP</v>
      </c>
      <c r="BC569" s="45">
        <f>RANK(Table3[[#This Row],[zScore]],Table3[zScore])</f>
        <v>111</v>
      </c>
      <c r="BD569" s="45"/>
      <c r="BE569" s="45"/>
      <c r="BF569" s="45" t="str">
        <f t="shared" si="68"/>
        <v>Possible</v>
      </c>
      <c r="BG569" s="45"/>
      <c r="BH569" s="45">
        <f>INDEX(Table5[[#All],[Ovr]],MATCH(Table3[[#This Row],[PID]],Table5[[#All],[PID]],0))</f>
        <v>154</v>
      </c>
      <c r="BI569" s="45" t="str">
        <f>INDEX(Table5[[#All],[Rnd]],MATCH(Table3[[#This Row],[PID]],Table5[[#All],[PID]],0))</f>
        <v>5</v>
      </c>
      <c r="BJ569" s="45">
        <f>INDEX(Table5[[#All],[Pick]],MATCH(Table3[[#This Row],[PID]],Table5[[#All],[PID]],0))</f>
        <v>26</v>
      </c>
      <c r="BK569" s="45" t="str">
        <f>INDEX(Table5[[#All],[Team]],MATCH(Table3[[#This Row],[PID]],Table5[[#All],[PID]],0))</f>
        <v>Kalamazoo Badgers</v>
      </c>
      <c r="BL5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0" spans="1:64" ht="15" customHeight="1" x14ac:dyDescent="0.25">
      <c r="A570" s="40">
        <v>18288</v>
      </c>
      <c r="B570" s="40" t="s">
        <v>24</v>
      </c>
      <c r="C570" s="40" t="s">
        <v>610</v>
      </c>
      <c r="D570" s="40" t="s">
        <v>394</v>
      </c>
      <c r="E570" s="40">
        <v>21</v>
      </c>
      <c r="F570" s="40" t="s">
        <v>42</v>
      </c>
      <c r="G570" s="40" t="s">
        <v>42</v>
      </c>
      <c r="H570" s="41" t="s">
        <v>634</v>
      </c>
      <c r="I570" s="42" t="s">
        <v>43</v>
      </c>
      <c r="J570" s="40" t="s">
        <v>43</v>
      </c>
      <c r="K570" s="41" t="s">
        <v>43</v>
      </c>
      <c r="L570" s="40">
        <v>4</v>
      </c>
      <c r="M570" s="40">
        <v>3</v>
      </c>
      <c r="N570" s="41">
        <v>4</v>
      </c>
      <c r="O570" s="40">
        <v>5</v>
      </c>
      <c r="P570" s="40">
        <v>4</v>
      </c>
      <c r="Q570" s="41">
        <v>5</v>
      </c>
      <c r="R570" s="40">
        <v>6</v>
      </c>
      <c r="S570" s="40">
        <v>7</v>
      </c>
      <c r="T570" s="40">
        <v>5</v>
      </c>
      <c r="U570" s="40">
        <v>7</v>
      </c>
      <c r="V570" s="40">
        <v>4</v>
      </c>
      <c r="W570" s="40">
        <v>7</v>
      </c>
      <c r="X570" s="40" t="s">
        <v>45</v>
      </c>
      <c r="Y570" s="40" t="s">
        <v>45</v>
      </c>
      <c r="Z570" s="40" t="s">
        <v>45</v>
      </c>
      <c r="AA570" s="40" t="s">
        <v>45</v>
      </c>
      <c r="AB570" s="40" t="s">
        <v>45</v>
      </c>
      <c r="AC570" s="40" t="s">
        <v>45</v>
      </c>
      <c r="AD570" s="40" t="s">
        <v>45</v>
      </c>
      <c r="AE570" s="40" t="s">
        <v>45</v>
      </c>
      <c r="AF570" s="40">
        <v>4</v>
      </c>
      <c r="AG570" s="40">
        <v>5</v>
      </c>
      <c r="AH570" s="40" t="s">
        <v>45</v>
      </c>
      <c r="AI570" s="40" t="s">
        <v>45</v>
      </c>
      <c r="AJ570" s="40" t="s">
        <v>45</v>
      </c>
      <c r="AK570" s="40" t="s">
        <v>45</v>
      </c>
      <c r="AL570" s="40" t="s">
        <v>45</v>
      </c>
      <c r="AM570" s="40" t="s">
        <v>45</v>
      </c>
      <c r="AN570" s="40" t="s">
        <v>45</v>
      </c>
      <c r="AO570" s="41" t="s">
        <v>45</v>
      </c>
      <c r="AP570" s="40" t="s">
        <v>60</v>
      </c>
      <c r="AQ570" s="40">
        <v>9</v>
      </c>
      <c r="AR570" s="48" t="s">
        <v>347</v>
      </c>
      <c r="AS570" s="43" t="s">
        <v>1176</v>
      </c>
      <c r="AT570" s="43" t="s">
        <v>47</v>
      </c>
      <c r="AU570" s="44">
        <f t="shared" si="63"/>
        <v>-0.99958513341763544</v>
      </c>
      <c r="AV570" s="44">
        <f t="shared" si="64"/>
        <v>7.8353224312775444E-2</v>
      </c>
      <c r="AW570" s="45">
        <f t="shared" si="65"/>
        <v>4</v>
      </c>
      <c r="AX570" s="45">
        <f t="shared" si="66"/>
        <v>3</v>
      </c>
      <c r="AY570" s="46">
        <f>VLOOKUP(AP570,COND!$A$10:$B$32,2,FALSE)</f>
        <v>1.0249999999999999</v>
      </c>
      <c r="AZ570" s="44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54.295076146061277</v>
      </c>
      <c r="BA570" s="47">
        <f t="shared" si="70"/>
        <v>1.2257571636386826</v>
      </c>
      <c r="BB570" s="45" t="str">
        <f t="shared" si="67"/>
        <v>SP</v>
      </c>
      <c r="BC570" s="45">
        <f>RANK(Table3[[#This Row],[zScore]],Table3[zScore])</f>
        <v>112</v>
      </c>
      <c r="BD570" s="45"/>
      <c r="BE570" s="45"/>
      <c r="BF570" s="45" t="str">
        <f t="shared" si="68"/>
        <v>Possible</v>
      </c>
      <c r="BG570" s="45"/>
      <c r="BH570" s="45">
        <f>INDEX(Table5[[#All],[Ovr]],MATCH(Table3[[#This Row],[PID]],Table5[[#All],[PID]],0))</f>
        <v>225</v>
      </c>
      <c r="BI570" s="45" t="str">
        <f>INDEX(Table5[[#All],[Rnd]],MATCH(Table3[[#This Row],[PID]],Table5[[#All],[PID]],0))</f>
        <v>8</v>
      </c>
      <c r="BJ570" s="45">
        <f>INDEX(Table5[[#All],[Pick]],MATCH(Table3[[#This Row],[PID]],Table5[[#All],[PID]],0))</f>
        <v>7</v>
      </c>
      <c r="BK570" s="45" t="str">
        <f>INDEX(Table5[[#All],[Team]],MATCH(Table3[[#This Row],[PID]],Table5[[#All],[PID]],0))</f>
        <v>Niihama-shi Ghosts</v>
      </c>
      <c r="BL5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1" spans="1:64" ht="15" customHeight="1" x14ac:dyDescent="0.25">
      <c r="A571" s="40">
        <v>18355</v>
      </c>
      <c r="B571" s="40" t="s">
        <v>24</v>
      </c>
      <c r="C571" s="40" t="s">
        <v>613</v>
      </c>
      <c r="D571" s="40" t="s">
        <v>1125</v>
      </c>
      <c r="E571" s="40">
        <v>18</v>
      </c>
      <c r="F571" s="40" t="s">
        <v>42</v>
      </c>
      <c r="G571" s="40" t="s">
        <v>42</v>
      </c>
      <c r="H571" s="41" t="s">
        <v>638</v>
      </c>
      <c r="I571" s="42" t="s">
        <v>44</v>
      </c>
      <c r="J571" s="40" t="s">
        <v>43</v>
      </c>
      <c r="K571" s="41" t="s">
        <v>44</v>
      </c>
      <c r="L571" s="40">
        <v>1</v>
      </c>
      <c r="M571" s="40">
        <v>2</v>
      </c>
      <c r="N571" s="41">
        <v>2</v>
      </c>
      <c r="O571" s="40">
        <v>4</v>
      </c>
      <c r="P571" s="40">
        <v>4</v>
      </c>
      <c r="Q571" s="41">
        <v>5</v>
      </c>
      <c r="R571" s="40">
        <v>3</v>
      </c>
      <c r="S571" s="40">
        <v>6</v>
      </c>
      <c r="T571" s="40" t="s">
        <v>45</v>
      </c>
      <c r="U571" s="40" t="s">
        <v>45</v>
      </c>
      <c r="V571" s="40">
        <v>1</v>
      </c>
      <c r="W571" s="40">
        <v>6</v>
      </c>
      <c r="X571" s="40">
        <v>2</v>
      </c>
      <c r="Y571" s="40">
        <v>6</v>
      </c>
      <c r="Z571" s="40" t="s">
        <v>45</v>
      </c>
      <c r="AA571" s="40" t="s">
        <v>45</v>
      </c>
      <c r="AB571" s="40" t="s">
        <v>45</v>
      </c>
      <c r="AC571" s="40" t="s">
        <v>45</v>
      </c>
      <c r="AD571" s="40" t="s">
        <v>45</v>
      </c>
      <c r="AE571" s="40" t="s">
        <v>45</v>
      </c>
      <c r="AF571" s="40" t="s">
        <v>45</v>
      </c>
      <c r="AG571" s="40" t="s">
        <v>45</v>
      </c>
      <c r="AH571" s="40" t="s">
        <v>45</v>
      </c>
      <c r="AI571" s="40" t="s">
        <v>45</v>
      </c>
      <c r="AJ571" s="40" t="s">
        <v>45</v>
      </c>
      <c r="AK571" s="40" t="s">
        <v>45</v>
      </c>
      <c r="AL571" s="40" t="s">
        <v>45</v>
      </c>
      <c r="AM571" s="40" t="s">
        <v>45</v>
      </c>
      <c r="AN571" s="40" t="s">
        <v>45</v>
      </c>
      <c r="AO571" s="41" t="s">
        <v>45</v>
      </c>
      <c r="AP571" s="40" t="s">
        <v>64</v>
      </c>
      <c r="AQ571" s="40">
        <v>9</v>
      </c>
      <c r="AR571" s="48" t="s">
        <v>347</v>
      </c>
      <c r="AS571" s="43" t="s">
        <v>599</v>
      </c>
      <c r="AT571" s="43" t="s">
        <v>47</v>
      </c>
      <c r="AU571" s="44">
        <f t="shared" si="63"/>
        <v>-2.2637319554834323</v>
      </c>
      <c r="AV571" s="44">
        <f t="shared" si="64"/>
        <v>-0.11633810019639811</v>
      </c>
      <c r="AW571" s="45">
        <f t="shared" si="65"/>
        <v>3</v>
      </c>
      <c r="AX571" s="45">
        <f t="shared" si="66"/>
        <v>3</v>
      </c>
      <c r="AY571" s="46">
        <f>VLOOKUP(AP571,COND!$A$10:$B$32,2,FALSE)</f>
        <v>1</v>
      </c>
      <c r="AZ571" s="44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54.020491604975348</v>
      </c>
      <c r="BA571" s="47">
        <f t="shared" si="70"/>
        <v>1.2074894737153008</v>
      </c>
      <c r="BB571" s="45" t="str">
        <f t="shared" si="67"/>
        <v>SP</v>
      </c>
      <c r="BC571" s="45">
        <f>RANK(Table3[[#This Row],[zScore]],Table3[zScore])</f>
        <v>113</v>
      </c>
      <c r="BD571" s="45"/>
      <c r="BE571" s="45"/>
      <c r="BF571" s="45" t="str">
        <f t="shared" si="68"/>
        <v>Possible</v>
      </c>
      <c r="BG571" s="45"/>
      <c r="BH571" s="45">
        <f>INDEX(Table5[[#All],[Ovr]],MATCH(Table3[[#This Row],[PID]],Table5[[#All],[PID]],0))</f>
        <v>451</v>
      </c>
      <c r="BI571" s="45" t="str">
        <f>INDEX(Table5[[#All],[Rnd]],MATCH(Table3[[#This Row],[PID]],Table5[[#All],[PID]],0))</f>
        <v>15</v>
      </c>
      <c r="BJ571" s="45">
        <f>INDEX(Table5[[#All],[Pick]],MATCH(Table3[[#This Row],[PID]],Table5[[#All],[PID]],0))</f>
        <v>23</v>
      </c>
      <c r="BK571" s="45" t="str">
        <f>INDEX(Table5[[#All],[Team]],MATCH(Table3[[#This Row],[PID]],Table5[[#All],[PID]],0))</f>
        <v>Shin Seiki Evas</v>
      </c>
      <c r="BL5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2" spans="1:64" ht="15" customHeight="1" x14ac:dyDescent="0.25">
      <c r="A572" s="40">
        <v>18240</v>
      </c>
      <c r="B572" s="40" t="s">
        <v>24</v>
      </c>
      <c r="C572" s="40" t="s">
        <v>128</v>
      </c>
      <c r="D572" s="40" t="s">
        <v>378</v>
      </c>
      <c r="E572" s="40">
        <v>18</v>
      </c>
      <c r="F572" s="40" t="s">
        <v>42</v>
      </c>
      <c r="G572" s="40" t="s">
        <v>42</v>
      </c>
      <c r="H572" s="41" t="s">
        <v>639</v>
      </c>
      <c r="I572" s="42" t="s">
        <v>43</v>
      </c>
      <c r="J572" s="40" t="s">
        <v>44</v>
      </c>
      <c r="K572" s="41" t="s">
        <v>43</v>
      </c>
      <c r="L572" s="40">
        <v>2</v>
      </c>
      <c r="M572" s="40">
        <v>2</v>
      </c>
      <c r="N572" s="41">
        <v>1</v>
      </c>
      <c r="O572" s="40">
        <v>5</v>
      </c>
      <c r="P572" s="40">
        <v>5</v>
      </c>
      <c r="Q572" s="41">
        <v>4</v>
      </c>
      <c r="R572" s="40" t="s">
        <v>45</v>
      </c>
      <c r="S572" s="40" t="s">
        <v>45</v>
      </c>
      <c r="T572" s="40">
        <v>2</v>
      </c>
      <c r="U572" s="40">
        <v>7</v>
      </c>
      <c r="V572" s="40">
        <v>2</v>
      </c>
      <c r="W572" s="40">
        <v>4</v>
      </c>
      <c r="X572" s="40" t="s">
        <v>45</v>
      </c>
      <c r="Y572" s="40" t="s">
        <v>45</v>
      </c>
      <c r="Z572" s="40" t="s">
        <v>45</v>
      </c>
      <c r="AA572" s="40" t="s">
        <v>45</v>
      </c>
      <c r="AB572" s="40" t="s">
        <v>45</v>
      </c>
      <c r="AC572" s="40" t="s">
        <v>45</v>
      </c>
      <c r="AD572" s="40">
        <v>4</v>
      </c>
      <c r="AE572" s="40">
        <v>7</v>
      </c>
      <c r="AF572" s="40" t="s">
        <v>45</v>
      </c>
      <c r="AG572" s="40" t="s">
        <v>45</v>
      </c>
      <c r="AH572" s="40" t="s">
        <v>45</v>
      </c>
      <c r="AI572" s="40" t="s">
        <v>45</v>
      </c>
      <c r="AJ572" s="40" t="s">
        <v>45</v>
      </c>
      <c r="AK572" s="40" t="s">
        <v>45</v>
      </c>
      <c r="AL572" s="40" t="s">
        <v>45</v>
      </c>
      <c r="AM572" s="40" t="s">
        <v>45</v>
      </c>
      <c r="AN572" s="40" t="s">
        <v>45</v>
      </c>
      <c r="AO572" s="41" t="s">
        <v>45</v>
      </c>
      <c r="AP572" s="40" t="s">
        <v>60</v>
      </c>
      <c r="AQ572" s="40">
        <v>3</v>
      </c>
      <c r="AR572" s="48" t="s">
        <v>347</v>
      </c>
      <c r="AS572" s="43" t="s">
        <v>683</v>
      </c>
      <c r="AT572" s="43" t="s">
        <v>47</v>
      </c>
      <c r="AU572" s="44">
        <f t="shared" si="63"/>
        <v>-2.311361197028369</v>
      </c>
      <c r="AV572" s="44">
        <f t="shared" si="64"/>
        <v>3.146437468872048E-2</v>
      </c>
      <c r="AW572" s="45">
        <f t="shared" si="65"/>
        <v>3</v>
      </c>
      <c r="AX572" s="45">
        <f t="shared" si="66"/>
        <v>2</v>
      </c>
      <c r="AY572" s="46">
        <f>VLOOKUP(AP572,COND!$A$10:$B$32,2,FALSE)</f>
        <v>1.0249999999999999</v>
      </c>
      <c r="AZ572" s="44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53.757631103941556</v>
      </c>
      <c r="BA572" s="47">
        <f t="shared" si="70"/>
        <v>1.1900017662609785</v>
      </c>
      <c r="BB572" s="45" t="str">
        <f t="shared" si="67"/>
        <v>RP</v>
      </c>
      <c r="BC572" s="45">
        <f>RANK(Table3[[#This Row],[zScore]],Table3[zScore])</f>
        <v>114</v>
      </c>
      <c r="BD572" s="45"/>
      <c r="BE572" s="45"/>
      <c r="BF572" s="45" t="str">
        <f t="shared" si="68"/>
        <v>Possible</v>
      </c>
      <c r="BG572" s="45"/>
      <c r="BH572" s="45">
        <f>INDEX(Table5[[#All],[Ovr]],MATCH(Table3[[#This Row],[PID]],Table5[[#All],[PID]],0))</f>
        <v>277</v>
      </c>
      <c r="BI572" s="45" t="str">
        <f>INDEX(Table5[[#All],[Rnd]],MATCH(Table3[[#This Row],[PID]],Table5[[#All],[PID]],0))</f>
        <v>9</v>
      </c>
      <c r="BJ572" s="45">
        <f>INDEX(Table5[[#All],[Pick]],MATCH(Table3[[#This Row],[PID]],Table5[[#All],[PID]],0))</f>
        <v>29</v>
      </c>
      <c r="BK572" s="45" t="str">
        <f>INDEX(Table5[[#All],[Team]],MATCH(Table3[[#This Row],[PID]],Table5[[#All],[PID]],0))</f>
        <v>Havana Leones</v>
      </c>
      <c r="BL5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3" spans="1:64" ht="15" customHeight="1" x14ac:dyDescent="0.25">
      <c r="A573" s="40">
        <v>18237</v>
      </c>
      <c r="B573" s="40" t="s">
        <v>24</v>
      </c>
      <c r="C573" s="40" t="s">
        <v>559</v>
      </c>
      <c r="D573" s="40" t="s">
        <v>441</v>
      </c>
      <c r="E573" s="40">
        <v>18</v>
      </c>
      <c r="F573" s="40" t="s">
        <v>42</v>
      </c>
      <c r="G573" s="40" t="s">
        <v>42</v>
      </c>
      <c r="H573" s="41" t="s">
        <v>639</v>
      </c>
      <c r="I573" s="42" t="s">
        <v>44</v>
      </c>
      <c r="J573" s="40" t="s">
        <v>44</v>
      </c>
      <c r="K573" s="41" t="s">
        <v>43</v>
      </c>
      <c r="L573" s="40">
        <v>1</v>
      </c>
      <c r="M573" s="40">
        <v>2</v>
      </c>
      <c r="N573" s="41">
        <v>2</v>
      </c>
      <c r="O573" s="40">
        <v>4</v>
      </c>
      <c r="P573" s="40">
        <v>3</v>
      </c>
      <c r="Q573" s="41">
        <v>6</v>
      </c>
      <c r="R573" s="40">
        <v>3</v>
      </c>
      <c r="S573" s="40">
        <v>7</v>
      </c>
      <c r="T573" s="40">
        <v>1</v>
      </c>
      <c r="U573" s="40">
        <v>2</v>
      </c>
      <c r="V573" s="40">
        <v>2</v>
      </c>
      <c r="W573" s="40">
        <v>7</v>
      </c>
      <c r="X573" s="40" t="s">
        <v>45</v>
      </c>
      <c r="Y573" s="40" t="s">
        <v>45</v>
      </c>
      <c r="Z573" s="40" t="s">
        <v>45</v>
      </c>
      <c r="AA573" s="40" t="s">
        <v>45</v>
      </c>
      <c r="AB573" s="40" t="s">
        <v>45</v>
      </c>
      <c r="AC573" s="40" t="s">
        <v>45</v>
      </c>
      <c r="AD573" s="40" t="s">
        <v>45</v>
      </c>
      <c r="AE573" s="40" t="s">
        <v>45</v>
      </c>
      <c r="AF573" s="40" t="s">
        <v>45</v>
      </c>
      <c r="AG573" s="40" t="s">
        <v>45</v>
      </c>
      <c r="AH573" s="40" t="s">
        <v>45</v>
      </c>
      <c r="AI573" s="40" t="s">
        <v>45</v>
      </c>
      <c r="AJ573" s="40" t="s">
        <v>45</v>
      </c>
      <c r="AK573" s="40" t="s">
        <v>45</v>
      </c>
      <c r="AL573" s="40" t="s">
        <v>45</v>
      </c>
      <c r="AM573" s="40" t="s">
        <v>45</v>
      </c>
      <c r="AN573" s="40" t="s">
        <v>45</v>
      </c>
      <c r="AO573" s="41" t="s">
        <v>45</v>
      </c>
      <c r="AP573" s="40" t="s">
        <v>349</v>
      </c>
      <c r="AQ573" s="40">
        <v>6</v>
      </c>
      <c r="AR573" s="48" t="s">
        <v>347</v>
      </c>
      <c r="AS573" s="43" t="s">
        <v>656</v>
      </c>
      <c r="AT573" s="43" t="s">
        <v>47</v>
      </c>
      <c r="AU573" s="44">
        <f t="shared" si="63"/>
        <v>-2.2637319554834323</v>
      </c>
      <c r="AV573" s="44">
        <f t="shared" si="64"/>
        <v>-6.9449250572343108E-2</v>
      </c>
      <c r="AW573" s="45">
        <f t="shared" si="65"/>
        <v>3</v>
      </c>
      <c r="AX573" s="45">
        <f t="shared" si="66"/>
        <v>2</v>
      </c>
      <c r="AY573" s="46">
        <f>VLOOKUP(AP573,COND!$A$10:$B$32,2,FALSE)</f>
        <v>1</v>
      </c>
      <c r="AZ573" s="44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53.654311882520034</v>
      </c>
      <c r="BA573" s="47">
        <f t="shared" si="70"/>
        <v>1.1831280963428206</v>
      </c>
      <c r="BB573" s="45" t="str">
        <f t="shared" si="67"/>
        <v>SP</v>
      </c>
      <c r="BC573" s="45">
        <f>RANK(Table3[[#This Row],[zScore]],Table3[zScore])</f>
        <v>115</v>
      </c>
      <c r="BD573" s="45"/>
      <c r="BE573" s="45"/>
      <c r="BF573" s="45" t="str">
        <f t="shared" si="68"/>
        <v>Possible</v>
      </c>
      <c r="BG573" s="45"/>
      <c r="BH573" s="45">
        <f>INDEX(Table5[[#All],[Ovr]],MATCH(Table3[[#This Row],[PID]],Table5[[#All],[PID]],0))</f>
        <v>269</v>
      </c>
      <c r="BI573" s="45" t="str">
        <f>INDEX(Table5[[#All],[Rnd]],MATCH(Table3[[#This Row],[PID]],Table5[[#All],[PID]],0))</f>
        <v>9</v>
      </c>
      <c r="BJ573" s="45">
        <f>INDEX(Table5[[#All],[Pick]],MATCH(Table3[[#This Row],[PID]],Table5[[#All],[PID]],0))</f>
        <v>21</v>
      </c>
      <c r="BK573" s="45" t="str">
        <f>INDEX(Table5[[#All],[Team]],MATCH(Table3[[#This Row],[PID]],Table5[[#All],[PID]],0))</f>
        <v>Crystal Lake Sandgnats</v>
      </c>
      <c r="BL5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4" spans="1:64" ht="15" customHeight="1" x14ac:dyDescent="0.25">
      <c r="A574" s="40">
        <v>20534</v>
      </c>
      <c r="B574" s="40" t="s">
        <v>24</v>
      </c>
      <c r="C574" s="40" t="s">
        <v>1904</v>
      </c>
      <c r="D574" s="40" t="s">
        <v>1905</v>
      </c>
      <c r="E574" s="40">
        <v>17</v>
      </c>
      <c r="F574" s="40" t="s">
        <v>42</v>
      </c>
      <c r="G574" s="40" t="s">
        <v>42</v>
      </c>
      <c r="H574" s="41" t="s">
        <v>639</v>
      </c>
      <c r="I574" s="42" t="s">
        <v>44</v>
      </c>
      <c r="J574" s="40" t="s">
        <v>43</v>
      </c>
      <c r="K574" s="41" t="s">
        <v>43</v>
      </c>
      <c r="L574" s="40">
        <v>2</v>
      </c>
      <c r="M574" s="40">
        <v>3</v>
      </c>
      <c r="N574" s="41">
        <v>2</v>
      </c>
      <c r="O574" s="40">
        <v>4</v>
      </c>
      <c r="P574" s="40">
        <v>5</v>
      </c>
      <c r="Q574" s="41">
        <v>5</v>
      </c>
      <c r="R574" s="40">
        <v>4</v>
      </c>
      <c r="S574" s="40">
        <v>7</v>
      </c>
      <c r="T574" s="40">
        <v>1</v>
      </c>
      <c r="U574" s="40">
        <v>2</v>
      </c>
      <c r="V574" s="40" t="s">
        <v>45</v>
      </c>
      <c r="W574" s="40" t="s">
        <v>45</v>
      </c>
      <c r="X574" s="40">
        <v>3</v>
      </c>
      <c r="Y574" s="40">
        <v>5</v>
      </c>
      <c r="Z574" s="40" t="s">
        <v>45</v>
      </c>
      <c r="AA574" s="40" t="s">
        <v>45</v>
      </c>
      <c r="AB574" s="40" t="s">
        <v>45</v>
      </c>
      <c r="AC574" s="40" t="s">
        <v>45</v>
      </c>
      <c r="AD574" s="40" t="s">
        <v>45</v>
      </c>
      <c r="AE574" s="40" t="s">
        <v>45</v>
      </c>
      <c r="AF574" s="40" t="s">
        <v>45</v>
      </c>
      <c r="AG574" s="40" t="s">
        <v>45</v>
      </c>
      <c r="AH574" s="40" t="s">
        <v>45</v>
      </c>
      <c r="AI574" s="40" t="s">
        <v>45</v>
      </c>
      <c r="AJ574" s="40" t="s">
        <v>45</v>
      </c>
      <c r="AK574" s="40" t="s">
        <v>45</v>
      </c>
      <c r="AL574" s="40" t="s">
        <v>45</v>
      </c>
      <c r="AM574" s="40" t="s">
        <v>45</v>
      </c>
      <c r="AN574" s="40" t="s">
        <v>45</v>
      </c>
      <c r="AO574" s="41" t="s">
        <v>45</v>
      </c>
      <c r="AP574" s="40" t="s">
        <v>57</v>
      </c>
      <c r="AQ574" s="40">
        <v>4</v>
      </c>
      <c r="AR574" s="48" t="s">
        <v>346</v>
      </c>
      <c r="AS574" s="43" t="s">
        <v>659</v>
      </c>
      <c r="AT574" s="43" t="s">
        <v>635</v>
      </c>
      <c r="AU574" s="44">
        <f t="shared" si="63"/>
        <v>-1.8736089145442034</v>
      </c>
      <c r="AV574" s="44">
        <f t="shared" si="64"/>
        <v>7.9093616233657377E-2</v>
      </c>
      <c r="AW574" s="45">
        <f t="shared" si="65"/>
        <v>3</v>
      </c>
      <c r="AX574" s="45">
        <f t="shared" si="66"/>
        <v>1</v>
      </c>
      <c r="AY574" s="46">
        <f>VLOOKUP(AP574,COND!$A$10:$B$32,2,FALSE)</f>
        <v>1</v>
      </c>
      <c r="AZ574" s="44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53.609293014676091</v>
      </c>
      <c r="BA574" s="47">
        <f t="shared" si="70"/>
        <v>1.1801330598588931</v>
      </c>
      <c r="BB574" s="45" t="str">
        <f t="shared" si="67"/>
        <v>RP</v>
      </c>
      <c r="BC574" s="45">
        <f>RANK(Table3[[#This Row],[zScore]],Table3[zScore])</f>
        <v>116</v>
      </c>
      <c r="BD574" s="45"/>
      <c r="BE574" s="45"/>
      <c r="BF574" s="45" t="str">
        <f t="shared" si="68"/>
        <v>Possible</v>
      </c>
      <c r="BG574" s="45"/>
      <c r="BH574" s="45">
        <f>INDEX(Table5[[#All],[Ovr]],MATCH(Table3[[#This Row],[PID]],Table5[[#All],[PID]],0))</f>
        <v>430</v>
      </c>
      <c r="BI574" s="45" t="str">
        <f>INDEX(Table5[[#All],[Rnd]],MATCH(Table3[[#This Row],[PID]],Table5[[#All],[PID]],0))</f>
        <v>15</v>
      </c>
      <c r="BJ574" s="45">
        <f>INDEX(Table5[[#All],[Pick]],MATCH(Table3[[#This Row],[PID]],Table5[[#All],[PID]],0))</f>
        <v>2</v>
      </c>
      <c r="BK574" s="45" t="str">
        <f>INDEX(Table5[[#All],[Team]],MATCH(Table3[[#This Row],[PID]],Table5[[#All],[PID]],0))</f>
        <v>Charleston Statesmen</v>
      </c>
      <c r="BL5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5" spans="1:64" ht="15" customHeight="1" x14ac:dyDescent="0.25">
      <c r="A575" s="40">
        <v>18103</v>
      </c>
      <c r="B575" s="40" t="s">
        <v>24</v>
      </c>
      <c r="C575" s="40" t="s">
        <v>707</v>
      </c>
      <c r="D575" s="40" t="s">
        <v>448</v>
      </c>
      <c r="E575" s="40">
        <v>21</v>
      </c>
      <c r="F575" s="40" t="s">
        <v>42</v>
      </c>
      <c r="G575" s="40" t="s">
        <v>42</v>
      </c>
      <c r="H575" s="41" t="s">
        <v>634</v>
      </c>
      <c r="I575" s="42" t="s">
        <v>43</v>
      </c>
      <c r="J575" s="40" t="s">
        <v>43</v>
      </c>
      <c r="K575" s="41" t="s">
        <v>47</v>
      </c>
      <c r="L575" s="40">
        <v>3</v>
      </c>
      <c r="M575" s="40">
        <v>3</v>
      </c>
      <c r="N575" s="41">
        <v>1</v>
      </c>
      <c r="O575" s="40">
        <v>5</v>
      </c>
      <c r="P575" s="40">
        <v>5</v>
      </c>
      <c r="Q575" s="41">
        <v>4</v>
      </c>
      <c r="R575" s="40">
        <v>5</v>
      </c>
      <c r="S575" s="40">
        <v>7</v>
      </c>
      <c r="T575" s="40">
        <v>1</v>
      </c>
      <c r="U575" s="40">
        <v>7</v>
      </c>
      <c r="V575" s="40" t="s">
        <v>45</v>
      </c>
      <c r="W575" s="40" t="s">
        <v>45</v>
      </c>
      <c r="X575" s="40">
        <v>3</v>
      </c>
      <c r="Y575" s="40">
        <v>3</v>
      </c>
      <c r="Z575" s="40" t="s">
        <v>45</v>
      </c>
      <c r="AA575" s="40" t="s">
        <v>45</v>
      </c>
      <c r="AB575" s="40" t="s">
        <v>45</v>
      </c>
      <c r="AC575" s="40" t="s">
        <v>45</v>
      </c>
      <c r="AD575" s="40" t="s">
        <v>45</v>
      </c>
      <c r="AE575" s="40" t="s">
        <v>45</v>
      </c>
      <c r="AF575" s="40">
        <v>5</v>
      </c>
      <c r="AG575" s="40">
        <v>6</v>
      </c>
      <c r="AH575" s="40" t="s">
        <v>45</v>
      </c>
      <c r="AI575" s="40" t="s">
        <v>45</v>
      </c>
      <c r="AJ575" s="40" t="s">
        <v>45</v>
      </c>
      <c r="AK575" s="40" t="s">
        <v>45</v>
      </c>
      <c r="AL575" s="40" t="s">
        <v>45</v>
      </c>
      <c r="AM575" s="40" t="s">
        <v>45</v>
      </c>
      <c r="AN575" s="40" t="s">
        <v>45</v>
      </c>
      <c r="AO575" s="41" t="s">
        <v>45</v>
      </c>
      <c r="AP575" s="40" t="s">
        <v>48</v>
      </c>
      <c r="AQ575" s="40">
        <v>7</v>
      </c>
      <c r="AR575" s="48" t="s">
        <v>347</v>
      </c>
      <c r="AS575" s="43" t="s">
        <v>576</v>
      </c>
      <c r="AT575" s="43" t="s">
        <v>47</v>
      </c>
      <c r="AU575" s="44">
        <f t="shared" si="63"/>
        <v>-1.9212381560891401</v>
      </c>
      <c r="AV575" s="44">
        <f t="shared" si="64"/>
        <v>3.146437468872048E-2</v>
      </c>
      <c r="AW575" s="45">
        <f t="shared" si="65"/>
        <v>4</v>
      </c>
      <c r="AX575" s="45">
        <f t="shared" si="66"/>
        <v>3</v>
      </c>
      <c r="AY575" s="46">
        <f>VLOOKUP(AP575,COND!$A$10:$B$32,2,FALSE)</f>
        <v>1.05</v>
      </c>
      <c r="AZ575" s="44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53.594791855684406</v>
      </c>
      <c r="BA575" s="47">
        <f t="shared" si="70"/>
        <v>1.1791683199105254</v>
      </c>
      <c r="BB575" s="45" t="str">
        <f t="shared" si="67"/>
        <v>SP</v>
      </c>
      <c r="BC575" s="45">
        <f>RANK(Table3[[#This Row],[zScore]],Table3[zScore])</f>
        <v>117</v>
      </c>
      <c r="BD575" s="45"/>
      <c r="BE575" s="45"/>
      <c r="BF575" s="45" t="str">
        <f t="shared" si="68"/>
        <v>Possible</v>
      </c>
      <c r="BG575" s="45"/>
      <c r="BH575" s="45">
        <f>INDEX(Table5[[#All],[Ovr]],MATCH(Table3[[#This Row],[PID]],Table5[[#All],[PID]],0))</f>
        <v>195</v>
      </c>
      <c r="BI575" s="45" t="str">
        <f>INDEX(Table5[[#All],[Rnd]],MATCH(Table3[[#This Row],[PID]],Table5[[#All],[PID]],0))</f>
        <v>7</v>
      </c>
      <c r="BJ575" s="45">
        <f>INDEX(Table5[[#All],[Pick]],MATCH(Table3[[#This Row],[PID]],Table5[[#All],[PID]],0))</f>
        <v>7</v>
      </c>
      <c r="BK575" s="45" t="str">
        <f>INDEX(Table5[[#All],[Team]],MATCH(Table3[[#This Row],[PID]],Table5[[#All],[PID]],0))</f>
        <v>Niihama-shi Ghosts</v>
      </c>
      <c r="BL5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6" spans="1:64" ht="15" customHeight="1" x14ac:dyDescent="0.25">
      <c r="A576" s="40">
        <v>15123</v>
      </c>
      <c r="B576" s="40" t="s">
        <v>24</v>
      </c>
      <c r="C576" s="40" t="s">
        <v>345</v>
      </c>
      <c r="D576" s="40" t="s">
        <v>200</v>
      </c>
      <c r="E576" s="40">
        <v>18</v>
      </c>
      <c r="F576" s="40" t="s">
        <v>62</v>
      </c>
      <c r="G576" s="40" t="s">
        <v>42</v>
      </c>
      <c r="H576" s="41" t="s">
        <v>634</v>
      </c>
      <c r="I576" s="42" t="s">
        <v>47</v>
      </c>
      <c r="J576" s="40" t="s">
        <v>47</v>
      </c>
      <c r="K576" s="41" t="s">
        <v>43</v>
      </c>
      <c r="L576" s="40">
        <v>2</v>
      </c>
      <c r="M576" s="40">
        <v>2</v>
      </c>
      <c r="N576" s="41">
        <v>2</v>
      </c>
      <c r="O576" s="40">
        <v>4</v>
      </c>
      <c r="P576" s="40">
        <v>3</v>
      </c>
      <c r="Q576" s="41">
        <v>6</v>
      </c>
      <c r="R576" s="40">
        <v>3</v>
      </c>
      <c r="S576" s="40">
        <v>5</v>
      </c>
      <c r="T576" s="40">
        <v>1</v>
      </c>
      <c r="U576" s="40">
        <v>6</v>
      </c>
      <c r="V576" s="40" t="s">
        <v>45</v>
      </c>
      <c r="W576" s="40" t="s">
        <v>45</v>
      </c>
      <c r="X576" s="40" t="s">
        <v>45</v>
      </c>
      <c r="Y576" s="40" t="s">
        <v>45</v>
      </c>
      <c r="Z576" s="40" t="s">
        <v>45</v>
      </c>
      <c r="AA576" s="40" t="s">
        <v>45</v>
      </c>
      <c r="AB576" s="40" t="s">
        <v>45</v>
      </c>
      <c r="AC576" s="40" t="s">
        <v>45</v>
      </c>
      <c r="AD576" s="40">
        <v>3</v>
      </c>
      <c r="AE576" s="40">
        <v>5</v>
      </c>
      <c r="AF576" s="40" t="s">
        <v>45</v>
      </c>
      <c r="AG576" s="40" t="s">
        <v>45</v>
      </c>
      <c r="AH576" s="40" t="s">
        <v>45</v>
      </c>
      <c r="AI576" s="40" t="s">
        <v>45</v>
      </c>
      <c r="AJ576" s="40" t="s">
        <v>45</v>
      </c>
      <c r="AK576" s="40" t="s">
        <v>45</v>
      </c>
      <c r="AL576" s="40" t="s">
        <v>45</v>
      </c>
      <c r="AM576" s="40" t="s">
        <v>45</v>
      </c>
      <c r="AN576" s="40" t="s">
        <v>45</v>
      </c>
      <c r="AO576" s="41" t="s">
        <v>45</v>
      </c>
      <c r="AP576" s="40" t="s">
        <v>350</v>
      </c>
      <c r="AQ576" s="40">
        <v>8</v>
      </c>
      <c r="AR576" s="48" t="s">
        <v>347</v>
      </c>
      <c r="AS576" s="43" t="s">
        <v>554</v>
      </c>
      <c r="AT576" s="43" t="s">
        <v>635</v>
      </c>
      <c r="AU576" s="44">
        <f t="shared" si="63"/>
        <v>-2.0690406309742588</v>
      </c>
      <c r="AV576" s="44">
        <f t="shared" si="64"/>
        <v>-6.9449250572343108E-2</v>
      </c>
      <c r="AW576" s="45">
        <f t="shared" si="65"/>
        <v>3</v>
      </c>
      <c r="AX576" s="45">
        <f t="shared" si="66"/>
        <v>1</v>
      </c>
      <c r="AY576" s="46">
        <f>VLOOKUP(AP576,COND!$A$10:$B$32,2,FALSE)</f>
        <v>1</v>
      </c>
      <c r="AZ576" s="44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53.472206862358284</v>
      </c>
      <c r="BA576" s="47">
        <f t="shared" si="70"/>
        <v>1.1710129276277508</v>
      </c>
      <c r="BB576" s="45" t="str">
        <f t="shared" si="67"/>
        <v>SP</v>
      </c>
      <c r="BC576" s="45">
        <f>RANK(Table3[[#This Row],[zScore]],Table3[zScore])</f>
        <v>118</v>
      </c>
      <c r="BD576" s="45"/>
      <c r="BE576" s="45"/>
      <c r="BF576" s="45" t="str">
        <f t="shared" si="68"/>
        <v>Possible</v>
      </c>
      <c r="BG576" s="45"/>
      <c r="BH576" s="45">
        <f>INDEX(Table5[[#All],[Ovr]],MATCH(Table3[[#This Row],[PID]],Table5[[#All],[PID]],0))</f>
        <v>367</v>
      </c>
      <c r="BI576" s="45" t="str">
        <f>INDEX(Table5[[#All],[Rnd]],MATCH(Table3[[#This Row],[PID]],Table5[[#All],[PID]],0))</f>
        <v>12</v>
      </c>
      <c r="BJ576" s="45">
        <f>INDEX(Table5[[#All],[Pick]],MATCH(Table3[[#This Row],[PID]],Table5[[#All],[PID]],0))</f>
        <v>29</v>
      </c>
      <c r="BK576" s="45" t="str">
        <f>INDEX(Table5[[#All],[Team]],MATCH(Table3[[#This Row],[PID]],Table5[[#All],[PID]],0))</f>
        <v>Havana Leones</v>
      </c>
      <c r="BL5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7" spans="1:64" ht="15" customHeight="1" x14ac:dyDescent="0.25">
      <c r="A577" s="40">
        <v>18175</v>
      </c>
      <c r="B577" s="40" t="s">
        <v>24</v>
      </c>
      <c r="C577" s="40" t="s">
        <v>189</v>
      </c>
      <c r="D577" s="40" t="s">
        <v>968</v>
      </c>
      <c r="E577" s="40">
        <v>18</v>
      </c>
      <c r="F577" s="40" t="s">
        <v>42</v>
      </c>
      <c r="G577" s="40" t="s">
        <v>42</v>
      </c>
      <c r="H577" s="41" t="s">
        <v>634</v>
      </c>
      <c r="I577" s="42" t="s">
        <v>43</v>
      </c>
      <c r="J577" s="40" t="s">
        <v>47</v>
      </c>
      <c r="K577" s="41" t="s">
        <v>44</v>
      </c>
      <c r="L577" s="40">
        <v>1</v>
      </c>
      <c r="M577" s="40">
        <v>2</v>
      </c>
      <c r="N577" s="41">
        <v>2</v>
      </c>
      <c r="O577" s="40">
        <v>5</v>
      </c>
      <c r="P577" s="40">
        <v>2</v>
      </c>
      <c r="Q577" s="41">
        <v>6</v>
      </c>
      <c r="R577" s="40" t="s">
        <v>45</v>
      </c>
      <c r="S577" s="40" t="s">
        <v>45</v>
      </c>
      <c r="T577" s="40">
        <v>1</v>
      </c>
      <c r="U577" s="40">
        <v>7</v>
      </c>
      <c r="V577" s="40" t="s">
        <v>45</v>
      </c>
      <c r="W577" s="40" t="s">
        <v>45</v>
      </c>
      <c r="X577" s="40">
        <v>2</v>
      </c>
      <c r="Y577" s="40">
        <v>2</v>
      </c>
      <c r="Z577" s="40" t="s">
        <v>45</v>
      </c>
      <c r="AA577" s="40" t="s">
        <v>45</v>
      </c>
      <c r="AB577" s="40">
        <v>3</v>
      </c>
      <c r="AC577" s="40">
        <v>5</v>
      </c>
      <c r="AD577" s="40">
        <v>3</v>
      </c>
      <c r="AE577" s="40">
        <v>5</v>
      </c>
      <c r="AF577" s="40" t="s">
        <v>45</v>
      </c>
      <c r="AG577" s="40" t="s">
        <v>45</v>
      </c>
      <c r="AH577" s="40" t="s">
        <v>45</v>
      </c>
      <c r="AI577" s="40" t="s">
        <v>45</v>
      </c>
      <c r="AJ577" s="40" t="s">
        <v>45</v>
      </c>
      <c r="AK577" s="40" t="s">
        <v>45</v>
      </c>
      <c r="AL577" s="40" t="s">
        <v>45</v>
      </c>
      <c r="AM577" s="40" t="s">
        <v>45</v>
      </c>
      <c r="AN577" s="40" t="s">
        <v>45</v>
      </c>
      <c r="AO577" s="41" t="s">
        <v>45</v>
      </c>
      <c r="AP577" s="40" t="s">
        <v>64</v>
      </c>
      <c r="AQ577" s="40">
        <v>9</v>
      </c>
      <c r="AR577" s="48" t="s">
        <v>347</v>
      </c>
      <c r="AS577" s="43" t="s">
        <v>601</v>
      </c>
      <c r="AT577" s="43" t="s">
        <v>47</v>
      </c>
      <c r="AU577" s="44">
        <f t="shared" si="63"/>
        <v>-2.2637319554834323</v>
      </c>
      <c r="AV577" s="44">
        <f t="shared" si="64"/>
        <v>-7.0189642493225041E-2</v>
      </c>
      <c r="AW577" s="45">
        <f t="shared" si="65"/>
        <v>4</v>
      </c>
      <c r="AX577" s="45">
        <f t="shared" si="66"/>
        <v>1</v>
      </c>
      <c r="AY577" s="46">
        <f>VLOOKUP(AP577,COND!$A$10:$B$32,2,FALSE)</f>
        <v>1</v>
      </c>
      <c r="AZ577" s="44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53.393460759038817</v>
      </c>
      <c r="BA577" s="47">
        <f t="shared" si="70"/>
        <v>1.1657740697065233</v>
      </c>
      <c r="BB577" s="45" t="str">
        <f t="shared" si="67"/>
        <v>SP</v>
      </c>
      <c r="BC577" s="45">
        <f>RANK(Table3[[#This Row],[zScore]],Table3[zScore])</f>
        <v>119</v>
      </c>
      <c r="BD577" s="45"/>
      <c r="BE577" s="45"/>
      <c r="BF577" s="45" t="str">
        <f t="shared" si="68"/>
        <v>Possible</v>
      </c>
      <c r="BG577" s="45"/>
      <c r="BH577" s="45">
        <f>INDEX(Table5[[#All],[Ovr]],MATCH(Table3[[#This Row],[PID]],Table5[[#All],[PID]],0))</f>
        <v>302</v>
      </c>
      <c r="BI577" s="45" t="str">
        <f>INDEX(Table5[[#All],[Rnd]],MATCH(Table3[[#This Row],[PID]],Table5[[#All],[PID]],0))</f>
        <v>10</v>
      </c>
      <c r="BJ577" s="45">
        <f>INDEX(Table5[[#All],[Pick]],MATCH(Table3[[#This Row],[PID]],Table5[[#All],[PID]],0))</f>
        <v>24</v>
      </c>
      <c r="BK577" s="45" t="str">
        <f>INDEX(Table5[[#All],[Team]],MATCH(Table3[[#This Row],[PID]],Table5[[#All],[PID]],0))</f>
        <v>Aurora Borealis</v>
      </c>
      <c r="BL5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8" spans="1:64" ht="15" customHeight="1" x14ac:dyDescent="0.25">
      <c r="A578" s="40">
        <v>20934</v>
      </c>
      <c r="B578" s="40" t="s">
        <v>24</v>
      </c>
      <c r="C578" s="40" t="s">
        <v>144</v>
      </c>
      <c r="D578" s="40" t="s">
        <v>203</v>
      </c>
      <c r="E578" s="40">
        <v>17</v>
      </c>
      <c r="F578" s="40" t="s">
        <v>62</v>
      </c>
      <c r="G578" s="40" t="s">
        <v>42</v>
      </c>
      <c r="H578" s="41" t="s">
        <v>639</v>
      </c>
      <c r="I578" s="42" t="s">
        <v>43</v>
      </c>
      <c r="J578" s="40" t="s">
        <v>43</v>
      </c>
      <c r="K578" s="41" t="s">
        <v>47</v>
      </c>
      <c r="L578" s="40">
        <v>1</v>
      </c>
      <c r="M578" s="40">
        <v>2</v>
      </c>
      <c r="N578" s="41">
        <v>2</v>
      </c>
      <c r="O578" s="40">
        <v>3</v>
      </c>
      <c r="P578" s="40">
        <v>4</v>
      </c>
      <c r="Q578" s="41">
        <v>6</v>
      </c>
      <c r="R578" s="40">
        <v>3</v>
      </c>
      <c r="S578" s="40">
        <v>6</v>
      </c>
      <c r="T578" s="40">
        <v>1</v>
      </c>
      <c r="U578" s="40">
        <v>1</v>
      </c>
      <c r="V578" s="40">
        <v>1</v>
      </c>
      <c r="W578" s="40">
        <v>5</v>
      </c>
      <c r="X578" s="40" t="s">
        <v>45</v>
      </c>
      <c r="Y578" s="40" t="s">
        <v>45</v>
      </c>
      <c r="Z578" s="40" t="s">
        <v>45</v>
      </c>
      <c r="AA578" s="40" t="s">
        <v>45</v>
      </c>
      <c r="AB578" s="40" t="s">
        <v>45</v>
      </c>
      <c r="AC578" s="40" t="s">
        <v>45</v>
      </c>
      <c r="AD578" s="40" t="s">
        <v>45</v>
      </c>
      <c r="AE578" s="40" t="s">
        <v>45</v>
      </c>
      <c r="AF578" s="40" t="s">
        <v>45</v>
      </c>
      <c r="AG578" s="40" t="s">
        <v>45</v>
      </c>
      <c r="AH578" s="40" t="s">
        <v>45</v>
      </c>
      <c r="AI578" s="40" t="s">
        <v>45</v>
      </c>
      <c r="AJ578" s="40" t="s">
        <v>45</v>
      </c>
      <c r="AK578" s="40" t="s">
        <v>45</v>
      </c>
      <c r="AL578" s="40" t="s">
        <v>45</v>
      </c>
      <c r="AM578" s="40" t="s">
        <v>45</v>
      </c>
      <c r="AN578" s="40" t="s">
        <v>45</v>
      </c>
      <c r="AO578" s="41" t="s">
        <v>45</v>
      </c>
      <c r="AP578" s="40" t="s">
        <v>349</v>
      </c>
      <c r="AQ578" s="40">
        <v>7</v>
      </c>
      <c r="AR578" s="48" t="s">
        <v>347</v>
      </c>
      <c r="AS578" s="43" t="s">
        <v>656</v>
      </c>
      <c r="AT578" s="43" t="s">
        <v>47</v>
      </c>
      <c r="AU578" s="44">
        <f t="shared" si="63"/>
        <v>-2.2637319554834323</v>
      </c>
      <c r="AV578" s="44">
        <f t="shared" si="64"/>
        <v>-6.8708858651461271E-2</v>
      </c>
      <c r="AW578" s="45">
        <f t="shared" si="65"/>
        <v>3</v>
      </c>
      <c r="AX578" s="45">
        <f t="shared" si="66"/>
        <v>1</v>
      </c>
      <c r="AY578" s="46">
        <f>VLOOKUP(AP578,COND!$A$10:$B$32,2,FALSE)</f>
        <v>1</v>
      </c>
      <c r="AZ578" s="44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53.223076435874091</v>
      </c>
      <c r="BA578" s="47">
        <f t="shared" si="70"/>
        <v>1.1544386610521649</v>
      </c>
      <c r="BB578" s="45" t="str">
        <f t="shared" si="67"/>
        <v>SP</v>
      </c>
      <c r="BC578" s="45">
        <f>RANK(Table3[[#This Row],[zScore]],Table3[zScore])</f>
        <v>120</v>
      </c>
      <c r="BD578" s="45"/>
      <c r="BE578" s="45"/>
      <c r="BF578" s="45" t="str">
        <f t="shared" si="68"/>
        <v>Possible</v>
      </c>
      <c r="BG578" s="45"/>
      <c r="BH578" s="45">
        <f>INDEX(Table5[[#All],[Ovr]],MATCH(Table3[[#This Row],[PID]],Table5[[#All],[PID]],0))</f>
        <v>481</v>
      </c>
      <c r="BI578" s="45" t="str">
        <f>INDEX(Table5[[#All],[Rnd]],MATCH(Table3[[#This Row],[PID]],Table5[[#All],[PID]],0))</f>
        <v>16</v>
      </c>
      <c r="BJ578" s="45">
        <f>INDEX(Table5[[#All],[Pick]],MATCH(Table3[[#This Row],[PID]],Table5[[#All],[PID]],0))</f>
        <v>23</v>
      </c>
      <c r="BK578" s="45" t="str">
        <f>INDEX(Table5[[#All],[Team]],MATCH(Table3[[#This Row],[PID]],Table5[[#All],[PID]],0))</f>
        <v>Shin Seiki Evas</v>
      </c>
      <c r="BL5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79" spans="1:64" ht="15" customHeight="1" x14ac:dyDescent="0.25">
      <c r="A579" s="40">
        <v>12202</v>
      </c>
      <c r="B579" s="40" t="s">
        <v>24</v>
      </c>
      <c r="C579" s="40" t="s">
        <v>165</v>
      </c>
      <c r="D579" s="40" t="s">
        <v>392</v>
      </c>
      <c r="E579" s="40">
        <v>18</v>
      </c>
      <c r="F579" s="40" t="s">
        <v>42</v>
      </c>
      <c r="G579" s="40" t="s">
        <v>42</v>
      </c>
      <c r="H579" s="41" t="s">
        <v>638</v>
      </c>
      <c r="I579" s="42" t="s">
        <v>44</v>
      </c>
      <c r="J579" s="40" t="s">
        <v>47</v>
      </c>
      <c r="K579" s="41" t="s">
        <v>44</v>
      </c>
      <c r="L579" s="40">
        <v>3</v>
      </c>
      <c r="M579" s="40">
        <v>2</v>
      </c>
      <c r="N579" s="41">
        <v>1</v>
      </c>
      <c r="O579" s="40">
        <v>5</v>
      </c>
      <c r="P579" s="40">
        <v>3</v>
      </c>
      <c r="Q579" s="41">
        <v>5</v>
      </c>
      <c r="R579" s="40">
        <v>4</v>
      </c>
      <c r="S579" s="40">
        <v>6</v>
      </c>
      <c r="T579" s="40" t="s">
        <v>45</v>
      </c>
      <c r="U579" s="40" t="s">
        <v>45</v>
      </c>
      <c r="V579" s="40">
        <v>2</v>
      </c>
      <c r="W579" s="40">
        <v>6</v>
      </c>
      <c r="X579" s="40" t="s">
        <v>45</v>
      </c>
      <c r="Y579" s="40" t="s">
        <v>45</v>
      </c>
      <c r="Z579" s="40">
        <v>4</v>
      </c>
      <c r="AA579" s="40">
        <v>5</v>
      </c>
      <c r="AB579" s="40" t="s">
        <v>45</v>
      </c>
      <c r="AC579" s="40" t="s">
        <v>45</v>
      </c>
      <c r="AD579" s="40" t="s">
        <v>45</v>
      </c>
      <c r="AE579" s="40" t="s">
        <v>45</v>
      </c>
      <c r="AF579" s="40" t="s">
        <v>45</v>
      </c>
      <c r="AG579" s="40" t="s">
        <v>45</v>
      </c>
      <c r="AH579" s="40" t="s">
        <v>45</v>
      </c>
      <c r="AI579" s="40" t="s">
        <v>45</v>
      </c>
      <c r="AJ579" s="40" t="s">
        <v>45</v>
      </c>
      <c r="AK579" s="40" t="s">
        <v>45</v>
      </c>
      <c r="AL579" s="40" t="s">
        <v>45</v>
      </c>
      <c r="AM579" s="40" t="s">
        <v>45</v>
      </c>
      <c r="AN579" s="40" t="s">
        <v>45</v>
      </c>
      <c r="AO579" s="41" t="s">
        <v>45</v>
      </c>
      <c r="AP579" s="40" t="s">
        <v>60</v>
      </c>
      <c r="AQ579" s="40">
        <v>6</v>
      </c>
      <c r="AR579" s="48" t="s">
        <v>347</v>
      </c>
      <c r="AS579" s="43" t="s">
        <v>553</v>
      </c>
      <c r="AT579" s="43" t="s">
        <v>47</v>
      </c>
      <c r="AU579" s="44">
        <f t="shared" si="63"/>
        <v>-2.1166698725191955</v>
      </c>
      <c r="AV579" s="44">
        <f t="shared" si="64"/>
        <v>-0.11707849211727993</v>
      </c>
      <c r="AW579" s="45">
        <f t="shared" si="65"/>
        <v>3</v>
      </c>
      <c r="AX579" s="45">
        <f t="shared" si="66"/>
        <v>2</v>
      </c>
      <c r="AY579" s="46">
        <f>VLOOKUP(AP579,COND!$A$10:$B$32,2,FALSE)</f>
        <v>1.0249999999999999</v>
      </c>
      <c r="AZ579" s="44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53.084324248036097</v>
      </c>
      <c r="BA579" s="47">
        <f t="shared" si="70"/>
        <v>1.1452076900237482</v>
      </c>
      <c r="BB579" s="45" t="str">
        <f t="shared" si="67"/>
        <v>SP</v>
      </c>
      <c r="BC579" s="45">
        <f>RANK(Table3[[#This Row],[zScore]],Table3[zScore])</f>
        <v>121</v>
      </c>
      <c r="BD579" s="45"/>
      <c r="BE579" s="45"/>
      <c r="BF579" s="45" t="str">
        <f t="shared" si="68"/>
        <v>Possible</v>
      </c>
      <c r="BG579" s="45"/>
      <c r="BH579" s="45">
        <f>INDEX(Table5[[#All],[Ovr]],MATCH(Table3[[#This Row],[PID]],Table5[[#All],[PID]],0))</f>
        <v>568</v>
      </c>
      <c r="BI579" s="45" t="str">
        <f>INDEX(Table5[[#All],[Rnd]],MATCH(Table3[[#This Row],[PID]],Table5[[#All],[PID]],0))</f>
        <v>19</v>
      </c>
      <c r="BJ579" s="45">
        <f>INDEX(Table5[[#All],[Pick]],MATCH(Table3[[#This Row],[PID]],Table5[[#All],[PID]],0))</f>
        <v>20</v>
      </c>
      <c r="BK579" s="45" t="str">
        <f>INDEX(Table5[[#All],[Team]],MATCH(Table3[[#This Row],[PID]],Table5[[#All],[PID]],0))</f>
        <v>Amsterdam Lions</v>
      </c>
      <c r="BL5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0" spans="1:64" ht="15" customHeight="1" x14ac:dyDescent="0.25">
      <c r="A580" s="40">
        <v>20730</v>
      </c>
      <c r="B580" s="40" t="s">
        <v>24</v>
      </c>
      <c r="C580" s="40" t="s">
        <v>175</v>
      </c>
      <c r="D580" s="40" t="s">
        <v>156</v>
      </c>
      <c r="E580" s="40">
        <v>16</v>
      </c>
      <c r="F580" s="40" t="s">
        <v>42</v>
      </c>
      <c r="G580" s="40" t="s">
        <v>42</v>
      </c>
      <c r="H580" s="41" t="s">
        <v>639</v>
      </c>
      <c r="I580" s="42" t="s">
        <v>43</v>
      </c>
      <c r="J580" s="40" t="s">
        <v>47</v>
      </c>
      <c r="K580" s="41" t="s">
        <v>43</v>
      </c>
      <c r="L580" s="40">
        <v>1</v>
      </c>
      <c r="M580" s="40">
        <v>3</v>
      </c>
      <c r="N580" s="41">
        <v>1</v>
      </c>
      <c r="O580" s="40">
        <v>4</v>
      </c>
      <c r="P580" s="40">
        <v>7</v>
      </c>
      <c r="Q580" s="41">
        <v>4</v>
      </c>
      <c r="R580" s="40">
        <v>3</v>
      </c>
      <c r="S580" s="40">
        <v>6</v>
      </c>
      <c r="T580" s="40" t="s">
        <v>45</v>
      </c>
      <c r="U580" s="40" t="s">
        <v>45</v>
      </c>
      <c r="V580" s="40" t="s">
        <v>45</v>
      </c>
      <c r="W580" s="40" t="s">
        <v>45</v>
      </c>
      <c r="X580" s="40" t="s">
        <v>45</v>
      </c>
      <c r="Y580" s="40" t="s">
        <v>45</v>
      </c>
      <c r="Z580" s="40" t="s">
        <v>45</v>
      </c>
      <c r="AA580" s="40" t="s">
        <v>45</v>
      </c>
      <c r="AB580" s="40">
        <v>3</v>
      </c>
      <c r="AC580" s="40">
        <v>7</v>
      </c>
      <c r="AD580" s="40" t="s">
        <v>45</v>
      </c>
      <c r="AE580" s="40" t="s">
        <v>45</v>
      </c>
      <c r="AF580" s="40" t="s">
        <v>45</v>
      </c>
      <c r="AG580" s="40" t="s">
        <v>45</v>
      </c>
      <c r="AH580" s="40" t="s">
        <v>45</v>
      </c>
      <c r="AI580" s="40" t="s">
        <v>45</v>
      </c>
      <c r="AJ580" s="40" t="s">
        <v>45</v>
      </c>
      <c r="AK580" s="40" t="s">
        <v>45</v>
      </c>
      <c r="AL580" s="40" t="s">
        <v>45</v>
      </c>
      <c r="AM580" s="40" t="s">
        <v>45</v>
      </c>
      <c r="AN580" s="40" t="s">
        <v>45</v>
      </c>
      <c r="AO580" s="41" t="s">
        <v>45</v>
      </c>
      <c r="AP580" s="40" t="s">
        <v>349</v>
      </c>
      <c r="AQ580" s="40">
        <v>7</v>
      </c>
      <c r="AR580" s="48" t="s">
        <v>348</v>
      </c>
      <c r="AS580" s="43" t="s">
        <v>644</v>
      </c>
      <c r="AT580" s="43" t="s">
        <v>635</v>
      </c>
      <c r="AU580" s="44">
        <f t="shared" si="63"/>
        <v>-2.310620805107487</v>
      </c>
      <c r="AV580" s="44">
        <f t="shared" si="64"/>
        <v>0.22763648303965781</v>
      </c>
      <c r="AW580" s="45">
        <f t="shared" si="65"/>
        <v>2</v>
      </c>
      <c r="AX580" s="45">
        <f t="shared" si="66"/>
        <v>2</v>
      </c>
      <c r="AY580" s="46">
        <f>VLOOKUP(AP580,COND!$A$10:$B$32,2,FALSE)</f>
        <v>1</v>
      </c>
      <c r="AZ580" s="44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52.890605499771659</v>
      </c>
      <c r="BA580" s="47">
        <f t="shared" si="70"/>
        <v>1.1323198777250474</v>
      </c>
      <c r="BB580" s="45" t="str">
        <f t="shared" si="67"/>
        <v>RP</v>
      </c>
      <c r="BC580" s="45">
        <f>RANK(Table3[[#This Row],[zScore]],Table3[zScore])</f>
        <v>122</v>
      </c>
      <c r="BD580" s="45"/>
      <c r="BE580" s="45"/>
      <c r="BF580" s="45" t="str">
        <f t="shared" si="68"/>
        <v>Possible</v>
      </c>
      <c r="BG580" s="45"/>
      <c r="BH580" s="45">
        <f>INDEX(Table5[[#All],[Ovr]],MATCH(Table3[[#This Row],[PID]],Table5[[#All],[PID]],0))</f>
        <v>244</v>
      </c>
      <c r="BI580" s="45" t="str">
        <f>INDEX(Table5[[#All],[Rnd]],MATCH(Table3[[#This Row],[PID]],Table5[[#All],[PID]],0))</f>
        <v>8</v>
      </c>
      <c r="BJ580" s="45">
        <f>INDEX(Table5[[#All],[Pick]],MATCH(Table3[[#This Row],[PID]],Table5[[#All],[PID]],0))</f>
        <v>26</v>
      </c>
      <c r="BK580" s="45" t="str">
        <f>INDEX(Table5[[#All],[Team]],MATCH(Table3[[#This Row],[PID]],Table5[[#All],[PID]],0))</f>
        <v>Yuma Arroyos</v>
      </c>
      <c r="BL5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1" spans="1:64" ht="15" customHeight="1" x14ac:dyDescent="0.25">
      <c r="A581" s="40">
        <v>18289</v>
      </c>
      <c r="B581" s="40" t="s">
        <v>24</v>
      </c>
      <c r="C581" s="40" t="s">
        <v>1859</v>
      </c>
      <c r="D581" s="40" t="s">
        <v>770</v>
      </c>
      <c r="E581" s="40">
        <v>21</v>
      </c>
      <c r="F581" s="40" t="s">
        <v>53</v>
      </c>
      <c r="G581" s="40" t="s">
        <v>42</v>
      </c>
      <c r="H581" s="41" t="s">
        <v>638</v>
      </c>
      <c r="I581" s="42" t="s">
        <v>43</v>
      </c>
      <c r="J581" s="40" t="s">
        <v>43</v>
      </c>
      <c r="K581" s="41" t="s">
        <v>43</v>
      </c>
      <c r="L581" s="40">
        <v>4</v>
      </c>
      <c r="M581" s="40">
        <v>5</v>
      </c>
      <c r="N581" s="41">
        <v>3</v>
      </c>
      <c r="O581" s="40">
        <v>5</v>
      </c>
      <c r="P581" s="40">
        <v>7</v>
      </c>
      <c r="Q581" s="41">
        <v>3</v>
      </c>
      <c r="R581" s="40">
        <v>6</v>
      </c>
      <c r="S581" s="40">
        <v>8</v>
      </c>
      <c r="T581" s="40">
        <v>1</v>
      </c>
      <c r="U581" s="40">
        <v>2</v>
      </c>
      <c r="V581" s="40">
        <v>2</v>
      </c>
      <c r="W581" s="40">
        <v>3</v>
      </c>
      <c r="X581" s="40" t="s">
        <v>45</v>
      </c>
      <c r="Y581" s="40" t="s">
        <v>45</v>
      </c>
      <c r="Z581" s="40">
        <v>6</v>
      </c>
      <c r="AA581" s="40">
        <v>8</v>
      </c>
      <c r="AB581" s="40" t="s">
        <v>45</v>
      </c>
      <c r="AC581" s="40" t="s">
        <v>45</v>
      </c>
      <c r="AD581" s="40" t="s">
        <v>45</v>
      </c>
      <c r="AE581" s="40" t="s">
        <v>45</v>
      </c>
      <c r="AF581" s="40" t="s">
        <v>45</v>
      </c>
      <c r="AG581" s="40" t="s">
        <v>45</v>
      </c>
      <c r="AH581" s="40" t="s">
        <v>45</v>
      </c>
      <c r="AI581" s="40" t="s">
        <v>45</v>
      </c>
      <c r="AJ581" s="40" t="s">
        <v>45</v>
      </c>
      <c r="AK581" s="40" t="s">
        <v>45</v>
      </c>
      <c r="AL581" s="40" t="s">
        <v>45</v>
      </c>
      <c r="AM581" s="40" t="s">
        <v>45</v>
      </c>
      <c r="AN581" s="40" t="s">
        <v>45</v>
      </c>
      <c r="AO581" s="41" t="s">
        <v>45</v>
      </c>
      <c r="AP581" s="40" t="s">
        <v>60</v>
      </c>
      <c r="AQ581" s="40">
        <v>4</v>
      </c>
      <c r="AR581" s="48" t="s">
        <v>348</v>
      </c>
      <c r="AS581" s="43" t="s">
        <v>643</v>
      </c>
      <c r="AT581" s="43" t="s">
        <v>47</v>
      </c>
      <c r="AU581" s="44">
        <f t="shared" ref="AU581:AU644" si="71">($O$3*(L581-$O$1)/$O$2+$P$3*(M581-$P$1)/$P$2+$Q$3*(N581-$P$1)/$Q$2)/SUM($O$3:$Q$3)</f>
        <v>-0.85104226661163507</v>
      </c>
      <c r="AV581" s="44">
        <f t="shared" ref="AV581:AV644" si="72">($O$3*(O581-$O$1)/$O$2+$P$3*(P581-$P$1)/$P$2+$Q$3*(Q581-$Q$1)/$Q$2)/SUM($O$3:$Q$3)</f>
        <v>0.18000724149472094</v>
      </c>
      <c r="AW581" s="45">
        <f t="shared" ref="AW581:AW644" si="73">COUNT(R581:AO581)/2</f>
        <v>4</v>
      </c>
      <c r="AX581" s="45">
        <f t="shared" ref="AX581:AX644" si="74"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2</v>
      </c>
      <c r="AY581" s="46">
        <f>VLOOKUP(AP581,COND!$A$10:$B$32,2,FALSE)</f>
        <v>1.0249999999999999</v>
      </c>
      <c r="AZ581" s="44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52.72177554668707</v>
      </c>
      <c r="BA581" s="47">
        <f t="shared" si="70"/>
        <v>1.1210878789368737</v>
      </c>
      <c r="BB581" s="45" t="str">
        <f t="shared" ref="BB581:BB644" si="75">IF(OR(AND(AQ581&gt;7,AX581&gt;1),AND(AQ581&gt;4,AW581&gt;2)),"SP","RP")</f>
        <v>RP</v>
      </c>
      <c r="BC581" s="45">
        <f>RANK(Table3[[#This Row],[zScore]],Table3[zScore])</f>
        <v>123</v>
      </c>
      <c r="BD581" s="45"/>
      <c r="BE581" s="45"/>
      <c r="BF581" s="45" t="str">
        <f t="shared" ref="BF581:BF644" si="76">IF(AVERAGE($O581:$Q581)&gt;=6,"Likely",IF(AVERAGE($O581:$Q581)&gt;=4,"Possible","Unlikely"))</f>
        <v>Possible</v>
      </c>
      <c r="BG581" s="45"/>
      <c r="BH581" s="45">
        <f>INDEX(Table5[[#All],[Ovr]],MATCH(Table3[[#This Row],[PID]],Table5[[#All],[PID]],0))</f>
        <v>220</v>
      </c>
      <c r="BI581" s="45" t="str">
        <f>INDEX(Table5[[#All],[Rnd]],MATCH(Table3[[#This Row],[PID]],Table5[[#All],[PID]],0))</f>
        <v>8</v>
      </c>
      <c r="BJ581" s="45">
        <f>INDEX(Table5[[#All],[Pick]],MATCH(Table3[[#This Row],[PID]],Table5[[#All],[PID]],0))</f>
        <v>2</v>
      </c>
      <c r="BK581" s="45" t="str">
        <f>INDEX(Table5[[#All],[Team]],MATCH(Table3[[#This Row],[PID]],Table5[[#All],[PID]],0))</f>
        <v>Charleston Statesmen</v>
      </c>
      <c r="BL58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2" spans="1:64" ht="15" customHeight="1" x14ac:dyDescent="0.25">
      <c r="A582" s="40">
        <v>18186</v>
      </c>
      <c r="B582" s="40" t="s">
        <v>24</v>
      </c>
      <c r="C582" s="40" t="s">
        <v>370</v>
      </c>
      <c r="D582" s="40" t="s">
        <v>1852</v>
      </c>
      <c r="E582" s="40">
        <v>18</v>
      </c>
      <c r="F582" s="40" t="s">
        <v>53</v>
      </c>
      <c r="G582" s="40" t="s">
        <v>53</v>
      </c>
      <c r="H582" s="41" t="s">
        <v>638</v>
      </c>
      <c r="I582" s="42" t="s">
        <v>43</v>
      </c>
      <c r="J582" s="40" t="s">
        <v>43</v>
      </c>
      <c r="K582" s="41" t="s">
        <v>43</v>
      </c>
      <c r="L582" s="40">
        <v>2</v>
      </c>
      <c r="M582" s="40">
        <v>2</v>
      </c>
      <c r="N582" s="41">
        <v>1</v>
      </c>
      <c r="O582" s="40">
        <v>6</v>
      </c>
      <c r="P582" s="40">
        <v>4</v>
      </c>
      <c r="Q582" s="41">
        <v>3</v>
      </c>
      <c r="R582" s="40" t="s">
        <v>45</v>
      </c>
      <c r="S582" s="40" t="s">
        <v>45</v>
      </c>
      <c r="T582" s="40" t="s">
        <v>45</v>
      </c>
      <c r="U582" s="40" t="s">
        <v>45</v>
      </c>
      <c r="V582" s="40">
        <v>2</v>
      </c>
      <c r="W582" s="40">
        <v>8</v>
      </c>
      <c r="X582" s="40">
        <v>3</v>
      </c>
      <c r="Y582" s="40">
        <v>7</v>
      </c>
      <c r="Z582" s="40" t="s">
        <v>45</v>
      </c>
      <c r="AA582" s="40" t="s">
        <v>45</v>
      </c>
      <c r="AB582" s="40" t="s">
        <v>45</v>
      </c>
      <c r="AC582" s="40" t="s">
        <v>45</v>
      </c>
      <c r="AD582" s="40">
        <v>4</v>
      </c>
      <c r="AE582" s="40">
        <v>7</v>
      </c>
      <c r="AF582" s="40" t="s">
        <v>45</v>
      </c>
      <c r="AG582" s="40" t="s">
        <v>45</v>
      </c>
      <c r="AH582" s="40" t="s">
        <v>45</v>
      </c>
      <c r="AI582" s="40" t="s">
        <v>45</v>
      </c>
      <c r="AJ582" s="40" t="s">
        <v>45</v>
      </c>
      <c r="AK582" s="40" t="s">
        <v>45</v>
      </c>
      <c r="AL582" s="40" t="s">
        <v>45</v>
      </c>
      <c r="AM582" s="40" t="s">
        <v>45</v>
      </c>
      <c r="AN582" s="40" t="s">
        <v>45</v>
      </c>
      <c r="AO582" s="41" t="s">
        <v>45</v>
      </c>
      <c r="AP582" s="40" t="s">
        <v>54</v>
      </c>
      <c r="AQ582" s="40">
        <v>7</v>
      </c>
      <c r="AR582" s="48" t="s">
        <v>14</v>
      </c>
      <c r="AS582" s="43" t="s">
        <v>592</v>
      </c>
      <c r="AT582" s="43" t="s">
        <v>635</v>
      </c>
      <c r="AU582" s="44">
        <f t="shared" si="71"/>
        <v>-2.311361197028369</v>
      </c>
      <c r="AV582" s="44">
        <f t="shared" si="72"/>
        <v>-0.21159658328627182</v>
      </c>
      <c r="AW582" s="45">
        <f t="shared" si="73"/>
        <v>3</v>
      </c>
      <c r="AX582" s="45">
        <f t="shared" si="74"/>
        <v>3</v>
      </c>
      <c r="AY582" s="46">
        <f>VLOOKUP(AP582,COND!$A$10:$B$32,2,FALSE)</f>
        <v>1.0249999999999999</v>
      </c>
      <c r="AZ582" s="44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52.569690997240613</v>
      </c>
      <c r="BA582" s="47">
        <f t="shared" si="70"/>
        <v>1.1109699262639459</v>
      </c>
      <c r="BB582" s="45" t="str">
        <f t="shared" si="75"/>
        <v>SP</v>
      </c>
      <c r="BC582" s="45">
        <f>RANK(Table3[[#This Row],[zScore]],Table3[zScore])</f>
        <v>125</v>
      </c>
      <c r="BD582" s="45"/>
      <c r="BE582" s="45"/>
      <c r="BF582" s="45" t="str">
        <f t="shared" si="76"/>
        <v>Possible</v>
      </c>
      <c r="BG582" s="45"/>
      <c r="BH582" s="45">
        <f>INDEX(Table5[[#All],[Ovr]],MATCH(Table3[[#This Row],[PID]],Table5[[#All],[PID]],0))</f>
        <v>289</v>
      </c>
      <c r="BI582" s="45" t="str">
        <f>INDEX(Table5[[#All],[Rnd]],MATCH(Table3[[#This Row],[PID]],Table5[[#All],[PID]],0))</f>
        <v>10</v>
      </c>
      <c r="BJ582" s="45">
        <f>INDEX(Table5[[#All],[Pick]],MATCH(Table3[[#This Row],[PID]],Table5[[#All],[PID]],0))</f>
        <v>11</v>
      </c>
      <c r="BK582" s="45" t="str">
        <f>INDEX(Table5[[#All],[Team]],MATCH(Table3[[#This Row],[PID]],Table5[[#All],[PID]],0))</f>
        <v>Duluth Warriors</v>
      </c>
      <c r="BL5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3" spans="1:64" ht="15" customHeight="1" x14ac:dyDescent="0.25">
      <c r="A583" s="40">
        <v>18076</v>
      </c>
      <c r="B583" s="40" t="s">
        <v>24</v>
      </c>
      <c r="C583" s="40" t="s">
        <v>1008</v>
      </c>
      <c r="D583" s="40" t="s">
        <v>648</v>
      </c>
      <c r="E583" s="40">
        <v>21</v>
      </c>
      <c r="F583" s="40" t="s">
        <v>62</v>
      </c>
      <c r="G583" s="40" t="s">
        <v>42</v>
      </c>
      <c r="H583" s="41" t="s">
        <v>638</v>
      </c>
      <c r="I583" s="42" t="s">
        <v>43</v>
      </c>
      <c r="J583" s="40" t="s">
        <v>43</v>
      </c>
      <c r="K583" s="41" t="s">
        <v>44</v>
      </c>
      <c r="L583" s="40">
        <v>3</v>
      </c>
      <c r="M583" s="40">
        <v>3</v>
      </c>
      <c r="N583" s="41">
        <v>1</v>
      </c>
      <c r="O583" s="40">
        <v>5</v>
      </c>
      <c r="P583" s="40">
        <v>5</v>
      </c>
      <c r="Q583" s="41">
        <v>4</v>
      </c>
      <c r="R583" s="40">
        <v>5</v>
      </c>
      <c r="S583" s="40">
        <v>6</v>
      </c>
      <c r="T583" s="40">
        <v>2</v>
      </c>
      <c r="U583" s="40">
        <v>7</v>
      </c>
      <c r="V583" s="40">
        <v>2</v>
      </c>
      <c r="W583" s="40">
        <v>2</v>
      </c>
      <c r="X583" s="40" t="s">
        <v>45</v>
      </c>
      <c r="Y583" s="40" t="s">
        <v>45</v>
      </c>
      <c r="Z583" s="40" t="s">
        <v>45</v>
      </c>
      <c r="AA583" s="40" t="s">
        <v>45</v>
      </c>
      <c r="AB583" s="40">
        <v>4</v>
      </c>
      <c r="AC583" s="40">
        <v>6</v>
      </c>
      <c r="AD583" s="40" t="s">
        <v>45</v>
      </c>
      <c r="AE583" s="40" t="s">
        <v>45</v>
      </c>
      <c r="AF583" s="40" t="s">
        <v>45</v>
      </c>
      <c r="AG583" s="40" t="s">
        <v>45</v>
      </c>
      <c r="AH583" s="40" t="s">
        <v>45</v>
      </c>
      <c r="AI583" s="40" t="s">
        <v>45</v>
      </c>
      <c r="AJ583" s="40" t="s">
        <v>45</v>
      </c>
      <c r="AK583" s="40" t="s">
        <v>45</v>
      </c>
      <c r="AL583" s="40" t="s">
        <v>45</v>
      </c>
      <c r="AM583" s="40" t="s">
        <v>45</v>
      </c>
      <c r="AN583" s="40" t="s">
        <v>45</v>
      </c>
      <c r="AO583" s="41" t="s">
        <v>45</v>
      </c>
      <c r="AP583" s="40" t="s">
        <v>58</v>
      </c>
      <c r="AQ583" s="40">
        <v>5</v>
      </c>
      <c r="AR583" s="48" t="s">
        <v>347</v>
      </c>
      <c r="AS583" s="43" t="s">
        <v>548</v>
      </c>
      <c r="AT583" s="43" t="s">
        <v>47</v>
      </c>
      <c r="AU583" s="44">
        <f t="shared" si="71"/>
        <v>-1.9212381560891401</v>
      </c>
      <c r="AV583" s="44">
        <f t="shared" si="72"/>
        <v>3.146437468872048E-2</v>
      </c>
      <c r="AW583" s="45">
        <f t="shared" si="73"/>
        <v>4</v>
      </c>
      <c r="AX583" s="45">
        <f t="shared" si="74"/>
        <v>3</v>
      </c>
      <c r="AY583" s="46">
        <f>VLOOKUP(AP583,COND!$A$10:$B$32,2,FALSE)</f>
        <v>1</v>
      </c>
      <c r="AZ583" s="44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52.545163865992663</v>
      </c>
      <c r="BA583" s="47">
        <f t="shared" si="70"/>
        <v>1.1093381737021457</v>
      </c>
      <c r="BB583" s="45" t="str">
        <f t="shared" si="75"/>
        <v>SP</v>
      </c>
      <c r="BC583" s="45">
        <f>RANK(Table3[[#This Row],[zScore]],Table3[zScore])</f>
        <v>126</v>
      </c>
      <c r="BD583" s="45"/>
      <c r="BE583" s="45"/>
      <c r="BF583" s="45" t="str">
        <f t="shared" si="76"/>
        <v>Possible</v>
      </c>
      <c r="BG583" s="45"/>
      <c r="BH583" s="45">
        <f>INDEX(Table5[[#All],[Ovr]],MATCH(Table3[[#This Row],[PID]],Table5[[#All],[PID]],0))</f>
        <v>198</v>
      </c>
      <c r="BI583" s="45" t="str">
        <f>INDEX(Table5[[#All],[Rnd]],MATCH(Table3[[#This Row],[PID]],Table5[[#All],[PID]],0))</f>
        <v>7</v>
      </c>
      <c r="BJ583" s="45">
        <f>INDEX(Table5[[#All],[Pick]],MATCH(Table3[[#This Row],[PID]],Table5[[#All],[PID]],0))</f>
        <v>10</v>
      </c>
      <c r="BK583" s="45" t="str">
        <f>INDEX(Table5[[#All],[Team]],MATCH(Table3[[#This Row],[PID]],Table5[[#All],[PID]],0))</f>
        <v>Hartford Harpoon</v>
      </c>
      <c r="BL5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4" spans="1:64" ht="15" customHeight="1" x14ac:dyDescent="0.25">
      <c r="A584" s="40">
        <v>20706</v>
      </c>
      <c r="B584" s="40" t="s">
        <v>24</v>
      </c>
      <c r="C584" s="40" t="s">
        <v>1882</v>
      </c>
      <c r="D584" s="40" t="s">
        <v>1883</v>
      </c>
      <c r="E584" s="40">
        <v>18</v>
      </c>
      <c r="F584" s="40" t="s">
        <v>62</v>
      </c>
      <c r="G584" s="40" t="s">
        <v>42</v>
      </c>
      <c r="H584" s="41" t="s">
        <v>638</v>
      </c>
      <c r="I584" s="42" t="s">
        <v>47</v>
      </c>
      <c r="J584" s="40" t="s">
        <v>43</v>
      </c>
      <c r="K584" s="41" t="s">
        <v>43</v>
      </c>
      <c r="L584" s="40">
        <v>2</v>
      </c>
      <c r="M584" s="40">
        <v>2</v>
      </c>
      <c r="N584" s="41">
        <v>1</v>
      </c>
      <c r="O584" s="40">
        <v>5</v>
      </c>
      <c r="P584" s="40">
        <v>4</v>
      </c>
      <c r="Q584" s="41">
        <v>5</v>
      </c>
      <c r="R584" s="40">
        <v>5</v>
      </c>
      <c r="S584" s="40">
        <v>9</v>
      </c>
      <c r="T584" s="40" t="s">
        <v>45</v>
      </c>
      <c r="U584" s="40" t="s">
        <v>45</v>
      </c>
      <c r="V584" s="40" t="s">
        <v>45</v>
      </c>
      <c r="W584" s="40" t="s">
        <v>45</v>
      </c>
      <c r="X584" s="40">
        <v>3</v>
      </c>
      <c r="Y584" s="40">
        <v>7</v>
      </c>
      <c r="Z584" s="40" t="s">
        <v>45</v>
      </c>
      <c r="AA584" s="40" t="s">
        <v>45</v>
      </c>
      <c r="AB584" s="40" t="s">
        <v>45</v>
      </c>
      <c r="AC584" s="40" t="s">
        <v>45</v>
      </c>
      <c r="AD584" s="40" t="s">
        <v>45</v>
      </c>
      <c r="AE584" s="40" t="s">
        <v>45</v>
      </c>
      <c r="AF584" s="40" t="s">
        <v>45</v>
      </c>
      <c r="AG584" s="40" t="s">
        <v>45</v>
      </c>
      <c r="AH584" s="40" t="s">
        <v>45</v>
      </c>
      <c r="AI584" s="40" t="s">
        <v>45</v>
      </c>
      <c r="AJ584" s="40" t="s">
        <v>45</v>
      </c>
      <c r="AK584" s="40" t="s">
        <v>45</v>
      </c>
      <c r="AL584" s="40" t="s">
        <v>45</v>
      </c>
      <c r="AM584" s="40" t="s">
        <v>45</v>
      </c>
      <c r="AN584" s="40" t="s">
        <v>45</v>
      </c>
      <c r="AO584" s="41" t="s">
        <v>45</v>
      </c>
      <c r="AP584" s="40" t="s">
        <v>54</v>
      </c>
      <c r="AQ584" s="40">
        <v>9</v>
      </c>
      <c r="AR584" s="48" t="s">
        <v>347</v>
      </c>
      <c r="AS584" s="43" t="s">
        <v>644</v>
      </c>
      <c r="AT584" s="43" t="s">
        <v>635</v>
      </c>
      <c r="AU584" s="44">
        <f t="shared" si="71"/>
        <v>-2.311361197028369</v>
      </c>
      <c r="AV584" s="44">
        <f t="shared" si="72"/>
        <v>7.8353224312775444E-2</v>
      </c>
      <c r="AW584" s="45">
        <f t="shared" si="73"/>
        <v>2</v>
      </c>
      <c r="AX584" s="45">
        <f t="shared" si="74"/>
        <v>2</v>
      </c>
      <c r="AY584" s="46">
        <f>VLOOKUP(AP584,COND!$A$10:$B$32,2,FALSE)</f>
        <v>1.0249999999999999</v>
      </c>
      <c r="AZ584" s="44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51.944912053021078</v>
      </c>
      <c r="BA584" s="47">
        <f t="shared" si="70"/>
        <v>1.0694043378352491</v>
      </c>
      <c r="BB584" s="45" t="str">
        <f t="shared" si="75"/>
        <v>SP</v>
      </c>
      <c r="BC584" s="45">
        <f>RANK(Table3[[#This Row],[zScore]],Table3[zScore])</f>
        <v>128</v>
      </c>
      <c r="BD584" s="45"/>
      <c r="BE584" s="45"/>
      <c r="BF584" s="45" t="str">
        <f t="shared" si="76"/>
        <v>Possible</v>
      </c>
      <c r="BG584" s="45"/>
      <c r="BH584" s="45">
        <f>INDEX(Table5[[#All],[Ovr]],MATCH(Table3[[#This Row],[PID]],Table5[[#All],[PID]],0))</f>
        <v>188</v>
      </c>
      <c r="BI584" s="45" t="str">
        <f>INDEX(Table5[[#All],[Rnd]],MATCH(Table3[[#This Row],[PID]],Table5[[#All],[PID]],0))</f>
        <v>6</v>
      </c>
      <c r="BJ584" s="45">
        <f>INDEX(Table5[[#All],[Pick]],MATCH(Table3[[#This Row],[PID]],Table5[[#All],[PID]],0))</f>
        <v>30</v>
      </c>
      <c r="BK584" s="45" t="str">
        <f>INDEX(Table5[[#All],[Team]],MATCH(Table3[[#This Row],[PID]],Table5[[#All],[PID]],0))</f>
        <v>Florida Farstriders</v>
      </c>
      <c r="BL5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5" spans="1:64" ht="15" customHeight="1" x14ac:dyDescent="0.25">
      <c r="A585" s="40">
        <v>18422</v>
      </c>
      <c r="B585" s="40" t="s">
        <v>24</v>
      </c>
      <c r="C585" s="40" t="s">
        <v>547</v>
      </c>
      <c r="D585" s="40" t="s">
        <v>790</v>
      </c>
      <c r="E585" s="40">
        <v>18</v>
      </c>
      <c r="F585" s="40" t="s">
        <v>42</v>
      </c>
      <c r="G585" s="40" t="s">
        <v>53</v>
      </c>
      <c r="H585" s="41" t="s">
        <v>638</v>
      </c>
      <c r="I585" s="42" t="s">
        <v>43</v>
      </c>
      <c r="J585" s="40" t="s">
        <v>44</v>
      </c>
      <c r="K585" s="41" t="s">
        <v>43</v>
      </c>
      <c r="L585" s="40">
        <v>1</v>
      </c>
      <c r="M585" s="40">
        <v>3</v>
      </c>
      <c r="N585" s="41">
        <v>1</v>
      </c>
      <c r="O585" s="40">
        <v>6</v>
      </c>
      <c r="P585" s="40">
        <v>5</v>
      </c>
      <c r="Q585" s="41">
        <v>2</v>
      </c>
      <c r="R585" s="40" t="s">
        <v>45</v>
      </c>
      <c r="S585" s="40" t="s">
        <v>45</v>
      </c>
      <c r="T585" s="40">
        <v>1</v>
      </c>
      <c r="U585" s="40">
        <v>8</v>
      </c>
      <c r="V585" s="40">
        <v>2</v>
      </c>
      <c r="W585" s="40">
        <v>6</v>
      </c>
      <c r="X585" s="40" t="s">
        <v>45</v>
      </c>
      <c r="Y585" s="40" t="s">
        <v>45</v>
      </c>
      <c r="Z585" s="40">
        <v>3</v>
      </c>
      <c r="AA585" s="40">
        <v>4</v>
      </c>
      <c r="AB585" s="40">
        <v>3</v>
      </c>
      <c r="AC585" s="40">
        <v>7</v>
      </c>
      <c r="AD585" s="40" t="s">
        <v>45</v>
      </c>
      <c r="AE585" s="40" t="s">
        <v>45</v>
      </c>
      <c r="AF585" s="40" t="s">
        <v>45</v>
      </c>
      <c r="AG585" s="40" t="s">
        <v>45</v>
      </c>
      <c r="AH585" s="40" t="s">
        <v>45</v>
      </c>
      <c r="AI585" s="40" t="s">
        <v>45</v>
      </c>
      <c r="AJ585" s="40" t="s">
        <v>45</v>
      </c>
      <c r="AK585" s="40" t="s">
        <v>45</v>
      </c>
      <c r="AL585" s="40" t="s">
        <v>45</v>
      </c>
      <c r="AM585" s="40" t="s">
        <v>45</v>
      </c>
      <c r="AN585" s="40" t="s">
        <v>45</v>
      </c>
      <c r="AO585" s="41" t="s">
        <v>45</v>
      </c>
      <c r="AP585" s="40" t="s">
        <v>349</v>
      </c>
      <c r="AQ585" s="40">
        <v>6</v>
      </c>
      <c r="AR585" s="48" t="s">
        <v>346</v>
      </c>
      <c r="AS585" s="43" t="s">
        <v>553</v>
      </c>
      <c r="AT585" s="43" t="s">
        <v>635</v>
      </c>
      <c r="AU585" s="44">
        <f t="shared" si="71"/>
        <v>-2.310620805107487</v>
      </c>
      <c r="AV585" s="44">
        <f t="shared" si="72"/>
        <v>-0.25848543291032677</v>
      </c>
      <c r="AW585" s="45">
        <f t="shared" si="73"/>
        <v>4</v>
      </c>
      <c r="AX585" s="45">
        <f t="shared" si="74"/>
        <v>3</v>
      </c>
      <c r="AY585" s="46">
        <f>VLOOKUP(AP585,COND!$A$10:$B$32,2,FALSE)</f>
        <v>1</v>
      </c>
      <c r="AZ585" s="44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51.815213001252665</v>
      </c>
      <c r="BA585" s="47">
        <f t="shared" si="70"/>
        <v>1.0607756581153645</v>
      </c>
      <c r="BB585" s="45" t="str">
        <f t="shared" si="75"/>
        <v>SP</v>
      </c>
      <c r="BC585" s="45">
        <f>RANK(Table3[[#This Row],[zScore]],Table3[zScore])</f>
        <v>130</v>
      </c>
      <c r="BD585" s="45"/>
      <c r="BE585" s="45"/>
      <c r="BF585" s="45" t="str">
        <f t="shared" si="76"/>
        <v>Possible</v>
      </c>
      <c r="BG585" s="45"/>
      <c r="BH585" s="45">
        <f>INDEX(Table5[[#All],[Ovr]],MATCH(Table3[[#This Row],[PID]],Table5[[#All],[PID]],0))</f>
        <v>116</v>
      </c>
      <c r="BI585" s="45" t="str">
        <f>INDEX(Table5[[#All],[Rnd]],MATCH(Table3[[#This Row],[PID]],Table5[[#All],[PID]],0))</f>
        <v>4</v>
      </c>
      <c r="BJ585" s="45">
        <f>INDEX(Table5[[#All],[Pick]],MATCH(Table3[[#This Row],[PID]],Table5[[#All],[PID]],0))</f>
        <v>16</v>
      </c>
      <c r="BK585" s="45" t="str">
        <f>INDEX(Table5[[#All],[Team]],MATCH(Table3[[#This Row],[PID]],Table5[[#All],[PID]],0))</f>
        <v>Bakersfield Bears</v>
      </c>
      <c r="BL5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6" spans="1:64" ht="15" customHeight="1" x14ac:dyDescent="0.25">
      <c r="A586" s="40">
        <v>18130</v>
      </c>
      <c r="B586" s="40" t="s">
        <v>24</v>
      </c>
      <c r="C586" s="40" t="s">
        <v>869</v>
      </c>
      <c r="D586" s="40" t="s">
        <v>1812</v>
      </c>
      <c r="E586" s="40">
        <v>21</v>
      </c>
      <c r="F586" s="40" t="s">
        <v>53</v>
      </c>
      <c r="G586" s="40" t="s">
        <v>53</v>
      </c>
      <c r="H586" s="41" t="s">
        <v>634</v>
      </c>
      <c r="I586" s="42" t="s">
        <v>43</v>
      </c>
      <c r="J586" s="40" t="s">
        <v>43</v>
      </c>
      <c r="K586" s="41" t="s">
        <v>43</v>
      </c>
      <c r="L586" s="40">
        <v>3</v>
      </c>
      <c r="M586" s="40">
        <v>4</v>
      </c>
      <c r="N586" s="41">
        <v>1</v>
      </c>
      <c r="O586" s="40">
        <v>5</v>
      </c>
      <c r="P586" s="40">
        <v>6</v>
      </c>
      <c r="Q586" s="41">
        <v>3</v>
      </c>
      <c r="R586" s="40" t="s">
        <v>45</v>
      </c>
      <c r="S586" s="40" t="s">
        <v>45</v>
      </c>
      <c r="T586" s="40">
        <v>4</v>
      </c>
      <c r="U586" s="40">
        <v>8</v>
      </c>
      <c r="V586" s="40" t="s">
        <v>45</v>
      </c>
      <c r="W586" s="40" t="s">
        <v>45</v>
      </c>
      <c r="X586" s="40">
        <v>5</v>
      </c>
      <c r="Y586" s="40">
        <v>7</v>
      </c>
      <c r="Z586" s="40">
        <v>4</v>
      </c>
      <c r="AA586" s="40">
        <v>6</v>
      </c>
      <c r="AB586" s="40" t="s">
        <v>45</v>
      </c>
      <c r="AC586" s="40" t="s">
        <v>45</v>
      </c>
      <c r="AD586" s="40" t="s">
        <v>45</v>
      </c>
      <c r="AE586" s="40" t="s">
        <v>45</v>
      </c>
      <c r="AF586" s="40" t="s">
        <v>45</v>
      </c>
      <c r="AG586" s="40" t="s">
        <v>45</v>
      </c>
      <c r="AH586" s="40" t="s">
        <v>45</v>
      </c>
      <c r="AI586" s="40" t="s">
        <v>45</v>
      </c>
      <c r="AJ586" s="40" t="s">
        <v>45</v>
      </c>
      <c r="AK586" s="40" t="s">
        <v>45</v>
      </c>
      <c r="AL586" s="40" t="s">
        <v>45</v>
      </c>
      <c r="AM586" s="40" t="s">
        <v>45</v>
      </c>
      <c r="AN586" s="40" t="s">
        <v>45</v>
      </c>
      <c r="AO586" s="41" t="s">
        <v>45</v>
      </c>
      <c r="AP586" s="40" t="s">
        <v>56</v>
      </c>
      <c r="AQ586" s="40">
        <v>7</v>
      </c>
      <c r="AR586" s="48" t="s">
        <v>348</v>
      </c>
      <c r="AS586" s="43" t="s">
        <v>649</v>
      </c>
      <c r="AT586" s="43" t="s">
        <v>47</v>
      </c>
      <c r="AU586" s="44">
        <f t="shared" si="71"/>
        <v>-1.7258064396590846</v>
      </c>
      <c r="AV586" s="44">
        <f t="shared" si="72"/>
        <v>-1.5424474935334484E-2</v>
      </c>
      <c r="AW586" s="45">
        <f t="shared" si="73"/>
        <v>3</v>
      </c>
      <c r="AX586" s="45">
        <f t="shared" si="74"/>
        <v>3</v>
      </c>
      <c r="AY586" s="46">
        <f>VLOOKUP(AP586,COND!$A$10:$B$32,2,FALSE)</f>
        <v>1</v>
      </c>
      <c r="AZ586" s="44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51.596349213361492</v>
      </c>
      <c r="BA586" s="47">
        <f t="shared" si="70"/>
        <v>1.0462149847546542</v>
      </c>
      <c r="BB586" s="45" t="str">
        <f t="shared" si="75"/>
        <v>SP</v>
      </c>
      <c r="BC586" s="45">
        <f>RANK(Table3[[#This Row],[zScore]],Table3[zScore])</f>
        <v>132</v>
      </c>
      <c r="BD586" s="45"/>
      <c r="BE586" s="45"/>
      <c r="BF586" s="45" t="str">
        <f t="shared" si="76"/>
        <v>Possible</v>
      </c>
      <c r="BG586" s="45"/>
      <c r="BH586" s="45">
        <f>INDEX(Table5[[#All],[Ovr]],MATCH(Table3[[#This Row],[PID]],Table5[[#All],[PID]],0))</f>
        <v>85</v>
      </c>
      <c r="BI586" s="45" t="str">
        <f>INDEX(Table5[[#All],[Rnd]],MATCH(Table3[[#This Row],[PID]],Table5[[#All],[PID]],0))</f>
        <v>3</v>
      </c>
      <c r="BJ586" s="45">
        <f>INDEX(Table5[[#All],[Pick]],MATCH(Table3[[#This Row],[PID]],Table5[[#All],[PID]],0))</f>
        <v>17</v>
      </c>
      <c r="BK586" s="45" t="str">
        <f>INDEX(Table5[[#All],[Team]],MATCH(Table3[[#This Row],[PID]],Table5[[#All],[PID]],0))</f>
        <v>San Antonio Calzones of Laredo</v>
      </c>
      <c r="BL5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7" spans="1:64" ht="15" customHeight="1" x14ac:dyDescent="0.25">
      <c r="A587" s="40">
        <v>18353</v>
      </c>
      <c r="B587" s="40" t="s">
        <v>24</v>
      </c>
      <c r="C587" s="40" t="s">
        <v>1115</v>
      </c>
      <c r="D587" s="40" t="s">
        <v>1886</v>
      </c>
      <c r="E587" s="40">
        <v>18</v>
      </c>
      <c r="F587" s="40" t="s">
        <v>62</v>
      </c>
      <c r="G587" s="40" t="s">
        <v>42</v>
      </c>
      <c r="H587" s="41" t="s">
        <v>638</v>
      </c>
      <c r="I587" s="42" t="s">
        <v>43</v>
      </c>
      <c r="J587" s="40" t="s">
        <v>47</v>
      </c>
      <c r="K587" s="41" t="s">
        <v>43</v>
      </c>
      <c r="L587" s="40">
        <v>1</v>
      </c>
      <c r="M587" s="40">
        <v>2</v>
      </c>
      <c r="N587" s="41">
        <v>3</v>
      </c>
      <c r="O587" s="40">
        <v>4</v>
      </c>
      <c r="P587" s="40">
        <v>4</v>
      </c>
      <c r="Q587" s="41">
        <v>5</v>
      </c>
      <c r="R587" s="40" t="s">
        <v>45</v>
      </c>
      <c r="S587" s="40" t="s">
        <v>45</v>
      </c>
      <c r="T587" s="40">
        <v>1</v>
      </c>
      <c r="U587" s="40">
        <v>5</v>
      </c>
      <c r="V587" s="40">
        <v>1</v>
      </c>
      <c r="W587" s="40">
        <v>2</v>
      </c>
      <c r="X587" s="40" t="s">
        <v>45</v>
      </c>
      <c r="Y587" s="40" t="s">
        <v>45</v>
      </c>
      <c r="Z587" s="40" t="s">
        <v>45</v>
      </c>
      <c r="AA587" s="40" t="s">
        <v>45</v>
      </c>
      <c r="AB587" s="40">
        <v>2</v>
      </c>
      <c r="AC587" s="40">
        <v>5</v>
      </c>
      <c r="AD587" s="40">
        <v>3</v>
      </c>
      <c r="AE587" s="40">
        <v>5</v>
      </c>
      <c r="AF587" s="40" t="s">
        <v>45</v>
      </c>
      <c r="AG587" s="40" t="s">
        <v>45</v>
      </c>
      <c r="AH587" s="40" t="s">
        <v>45</v>
      </c>
      <c r="AI587" s="40" t="s">
        <v>45</v>
      </c>
      <c r="AJ587" s="40" t="s">
        <v>45</v>
      </c>
      <c r="AK587" s="40" t="s">
        <v>45</v>
      </c>
      <c r="AL587" s="40" t="s">
        <v>45</v>
      </c>
      <c r="AM587" s="40" t="s">
        <v>45</v>
      </c>
      <c r="AN587" s="40" t="s">
        <v>45</v>
      </c>
      <c r="AO587" s="41" t="s">
        <v>45</v>
      </c>
      <c r="AP587" s="40" t="s">
        <v>64</v>
      </c>
      <c r="AQ587" s="40">
        <v>5</v>
      </c>
      <c r="AR587" s="48" t="s">
        <v>347</v>
      </c>
      <c r="AS587" s="43" t="s">
        <v>553</v>
      </c>
      <c r="AT587" s="43" t="s">
        <v>47</v>
      </c>
      <c r="AU587" s="44">
        <f t="shared" si="71"/>
        <v>-2.0214113894293222</v>
      </c>
      <c r="AV587" s="44">
        <f t="shared" si="72"/>
        <v>-0.11633810019639811</v>
      </c>
      <c r="AW587" s="45">
        <f t="shared" si="73"/>
        <v>4</v>
      </c>
      <c r="AX587" s="45">
        <f t="shared" si="74"/>
        <v>0</v>
      </c>
      <c r="AY587" s="46">
        <f>VLOOKUP(AP587,COND!$A$10:$B$32,2,FALSE)</f>
        <v>1</v>
      </c>
      <c r="AZ587" s="44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51.58723182523152</v>
      </c>
      <c r="BA587" s="47">
        <f t="shared" si="70"/>
        <v>1.0456084188547285</v>
      </c>
      <c r="BB587" s="45" t="str">
        <f t="shared" si="75"/>
        <v>SP</v>
      </c>
      <c r="BC587" s="45">
        <f>RANK(Table3[[#This Row],[zScore]],Table3[zScore])</f>
        <v>133</v>
      </c>
      <c r="BD587" s="45"/>
      <c r="BE587" s="45"/>
      <c r="BF587" s="45" t="str">
        <f t="shared" si="76"/>
        <v>Possible</v>
      </c>
      <c r="BG587" s="45"/>
      <c r="BH587" s="45">
        <f>INDEX(Table5[[#All],[Ovr]],MATCH(Table3[[#This Row],[PID]],Table5[[#All],[PID]],0))</f>
        <v>587</v>
      </c>
      <c r="BI587" s="45" t="str">
        <f>INDEX(Table5[[#All],[Rnd]],MATCH(Table3[[#This Row],[PID]],Table5[[#All],[PID]],0))</f>
        <v>20</v>
      </c>
      <c r="BJ587" s="45">
        <f>INDEX(Table5[[#All],[Pick]],MATCH(Table3[[#This Row],[PID]],Table5[[#All],[PID]],0))</f>
        <v>9</v>
      </c>
      <c r="BK587" s="45" t="str">
        <f>INDEX(Table5[[#All],[Team]],MATCH(Table3[[#This Row],[PID]],Table5[[#All],[PID]],0))</f>
        <v>Scottish Claymores</v>
      </c>
      <c r="BL58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8" spans="1:64" ht="15" customHeight="1" x14ac:dyDescent="0.25">
      <c r="A588" s="40">
        <v>18276</v>
      </c>
      <c r="B588" s="40" t="s">
        <v>24</v>
      </c>
      <c r="C588" s="40" t="s">
        <v>130</v>
      </c>
      <c r="D588" s="40" t="s">
        <v>1903</v>
      </c>
      <c r="E588" s="40">
        <v>18</v>
      </c>
      <c r="F588" s="40" t="s">
        <v>42</v>
      </c>
      <c r="G588" s="40" t="s">
        <v>42</v>
      </c>
      <c r="H588" s="41" t="s">
        <v>639</v>
      </c>
      <c r="I588" s="42" t="s">
        <v>43</v>
      </c>
      <c r="J588" s="40" t="s">
        <v>43</v>
      </c>
      <c r="K588" s="41" t="s">
        <v>43</v>
      </c>
      <c r="L588" s="40">
        <v>2</v>
      </c>
      <c r="M588" s="40">
        <v>2</v>
      </c>
      <c r="N588" s="41">
        <v>1</v>
      </c>
      <c r="O588" s="40">
        <v>5</v>
      </c>
      <c r="P588" s="40">
        <v>4</v>
      </c>
      <c r="Q588" s="41">
        <v>4</v>
      </c>
      <c r="R588" s="40">
        <v>4</v>
      </c>
      <c r="S588" s="40">
        <v>6</v>
      </c>
      <c r="T588" s="40">
        <v>1</v>
      </c>
      <c r="U588" s="40">
        <v>6</v>
      </c>
      <c r="V588" s="40">
        <v>2</v>
      </c>
      <c r="W588" s="40">
        <v>8</v>
      </c>
      <c r="X588" s="40" t="s">
        <v>45</v>
      </c>
      <c r="Y588" s="40" t="s">
        <v>45</v>
      </c>
      <c r="Z588" s="40" t="s">
        <v>45</v>
      </c>
      <c r="AA588" s="40" t="s">
        <v>45</v>
      </c>
      <c r="AB588" s="40" t="s">
        <v>45</v>
      </c>
      <c r="AC588" s="40" t="s">
        <v>45</v>
      </c>
      <c r="AD588" s="40" t="s">
        <v>45</v>
      </c>
      <c r="AE588" s="40" t="s">
        <v>45</v>
      </c>
      <c r="AF588" s="40" t="s">
        <v>45</v>
      </c>
      <c r="AG588" s="40" t="s">
        <v>45</v>
      </c>
      <c r="AH588" s="40" t="s">
        <v>45</v>
      </c>
      <c r="AI588" s="40" t="s">
        <v>45</v>
      </c>
      <c r="AJ588" s="40" t="s">
        <v>45</v>
      </c>
      <c r="AK588" s="40" t="s">
        <v>45</v>
      </c>
      <c r="AL588" s="40" t="s">
        <v>45</v>
      </c>
      <c r="AM588" s="40" t="s">
        <v>45</v>
      </c>
      <c r="AN588" s="40" t="s">
        <v>45</v>
      </c>
      <c r="AO588" s="41" t="s">
        <v>45</v>
      </c>
      <c r="AP588" s="40" t="s">
        <v>56</v>
      </c>
      <c r="AQ588" s="40">
        <v>3</v>
      </c>
      <c r="AR588" s="48" t="s">
        <v>347</v>
      </c>
      <c r="AS588" s="43" t="s">
        <v>553</v>
      </c>
      <c r="AT588" s="43" t="s">
        <v>47</v>
      </c>
      <c r="AU588" s="44">
        <f t="shared" si="71"/>
        <v>-2.311361197028369</v>
      </c>
      <c r="AV588" s="44">
        <f t="shared" si="72"/>
        <v>-0.16396734174133493</v>
      </c>
      <c r="AW588" s="45">
        <f t="shared" si="73"/>
        <v>3</v>
      </c>
      <c r="AX588" s="45">
        <f t="shared" si="74"/>
        <v>3</v>
      </c>
      <c r="AY588" s="46">
        <f>VLOOKUP(AP588,COND!$A$10:$B$32,2,FALSE)</f>
        <v>1</v>
      </c>
      <c r="AZ588" s="44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51.432961879479251</v>
      </c>
      <c r="BA588" s="47">
        <f t="shared" si="70"/>
        <v>1.0353450751050983</v>
      </c>
      <c r="BB588" s="45" t="str">
        <f t="shared" si="75"/>
        <v>RP</v>
      </c>
      <c r="BC588" s="45">
        <f>RANK(Table3[[#This Row],[zScore]],Table3[zScore])</f>
        <v>134</v>
      </c>
      <c r="BD588" s="45"/>
      <c r="BE588" s="45"/>
      <c r="BF588" s="45" t="str">
        <f t="shared" si="76"/>
        <v>Possible</v>
      </c>
      <c r="BG588" s="45"/>
      <c r="BH588" s="45">
        <f>INDEX(Table5[[#All],[Ovr]],MATCH(Table3[[#This Row],[PID]],Table5[[#All],[PID]],0))</f>
        <v>132</v>
      </c>
      <c r="BI588" s="45" t="str">
        <f>INDEX(Table5[[#All],[Rnd]],MATCH(Table3[[#This Row],[PID]],Table5[[#All],[PID]],0))</f>
        <v>5</v>
      </c>
      <c r="BJ588" s="45">
        <f>INDEX(Table5[[#All],[Pick]],MATCH(Table3[[#This Row],[PID]],Table5[[#All],[PID]],0))</f>
        <v>4</v>
      </c>
      <c r="BK588" s="45" t="str">
        <f>INDEX(Table5[[#All],[Team]],MATCH(Table3[[#This Row],[PID]],Table5[[#All],[PID]],0))</f>
        <v>Florida Farstriders</v>
      </c>
      <c r="BL5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89" spans="1:64" ht="15" customHeight="1" x14ac:dyDescent="0.25">
      <c r="A589" s="40">
        <v>18123</v>
      </c>
      <c r="B589" s="40" t="s">
        <v>24</v>
      </c>
      <c r="C589" s="40" t="s">
        <v>192</v>
      </c>
      <c r="D589" s="40" t="s">
        <v>1827</v>
      </c>
      <c r="E589" s="40">
        <v>21</v>
      </c>
      <c r="F589" s="40" t="s">
        <v>53</v>
      </c>
      <c r="G589" s="40" t="s">
        <v>42</v>
      </c>
      <c r="H589" s="41" t="s">
        <v>634</v>
      </c>
      <c r="I589" s="42" t="s">
        <v>43</v>
      </c>
      <c r="J589" s="40" t="s">
        <v>44</v>
      </c>
      <c r="K589" s="41" t="s">
        <v>43</v>
      </c>
      <c r="L589" s="40">
        <v>3</v>
      </c>
      <c r="M589" s="40">
        <v>1</v>
      </c>
      <c r="N589" s="41">
        <v>3</v>
      </c>
      <c r="O589" s="40">
        <v>6</v>
      </c>
      <c r="P589" s="40">
        <v>2</v>
      </c>
      <c r="Q589" s="41">
        <v>5</v>
      </c>
      <c r="R589" s="40">
        <v>5</v>
      </c>
      <c r="S589" s="40">
        <v>7</v>
      </c>
      <c r="T589" s="40">
        <v>3</v>
      </c>
      <c r="U589" s="40">
        <v>6</v>
      </c>
      <c r="V589" s="40" t="s">
        <v>45</v>
      </c>
      <c r="W589" s="40" t="s">
        <v>45</v>
      </c>
      <c r="X589" s="40">
        <v>3</v>
      </c>
      <c r="Y589" s="40">
        <v>7</v>
      </c>
      <c r="Z589" s="40" t="s">
        <v>45</v>
      </c>
      <c r="AA589" s="40" t="s">
        <v>45</v>
      </c>
      <c r="AB589" s="40" t="s">
        <v>45</v>
      </c>
      <c r="AC589" s="40" t="s">
        <v>45</v>
      </c>
      <c r="AD589" s="40">
        <v>4</v>
      </c>
      <c r="AE589" s="40">
        <v>6</v>
      </c>
      <c r="AF589" s="40" t="s">
        <v>45</v>
      </c>
      <c r="AG589" s="40" t="s">
        <v>45</v>
      </c>
      <c r="AH589" s="40" t="s">
        <v>45</v>
      </c>
      <c r="AI589" s="40" t="s">
        <v>45</v>
      </c>
      <c r="AJ589" s="40" t="s">
        <v>45</v>
      </c>
      <c r="AK589" s="40" t="s">
        <v>45</v>
      </c>
      <c r="AL589" s="40" t="s">
        <v>45</v>
      </c>
      <c r="AM589" s="40" t="s">
        <v>45</v>
      </c>
      <c r="AN589" s="40" t="s">
        <v>45</v>
      </c>
      <c r="AO589" s="41" t="s">
        <v>45</v>
      </c>
      <c r="AP589" s="40" t="s">
        <v>60</v>
      </c>
      <c r="AQ589" s="40">
        <v>8</v>
      </c>
      <c r="AR589" s="48" t="s">
        <v>14</v>
      </c>
      <c r="AS589" s="43" t="s">
        <v>656</v>
      </c>
      <c r="AT589" s="43" t="s">
        <v>47</v>
      </c>
      <c r="AU589" s="44">
        <f t="shared" si="71"/>
        <v>-1.8274604568410304</v>
      </c>
      <c r="AV589" s="44">
        <f t="shared" si="72"/>
        <v>-0.11781888403816186</v>
      </c>
      <c r="AW589" s="45">
        <f t="shared" si="73"/>
        <v>4</v>
      </c>
      <c r="AX589" s="45">
        <f t="shared" si="74"/>
        <v>4</v>
      </c>
      <c r="AY589" s="46">
        <f>VLOOKUP(AP589,COND!$A$10:$B$32,2,FALSE)</f>
        <v>1.0249999999999999</v>
      </c>
      <c r="AZ589" s="44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51.085083483565271</v>
      </c>
      <c r="BA589" s="47">
        <f t="shared" si="70"/>
        <v>1.0122012570209939</v>
      </c>
      <c r="BB589" s="45" t="str">
        <f t="shared" si="75"/>
        <v>SP</v>
      </c>
      <c r="BC589" s="45">
        <f>RANK(Table3[[#This Row],[zScore]],Table3[zScore])</f>
        <v>136</v>
      </c>
      <c r="BD589" s="45"/>
      <c r="BE589" s="45"/>
      <c r="BF589" s="45" t="str">
        <f t="shared" si="76"/>
        <v>Possible</v>
      </c>
      <c r="BG589" s="45"/>
      <c r="BH589" s="45">
        <f>INDEX(Table5[[#All],[Ovr]],MATCH(Table3[[#This Row],[PID]],Table5[[#All],[PID]],0))</f>
        <v>294</v>
      </c>
      <c r="BI589" s="45" t="str">
        <f>INDEX(Table5[[#All],[Rnd]],MATCH(Table3[[#This Row],[PID]],Table5[[#All],[PID]],0))</f>
        <v>10</v>
      </c>
      <c r="BJ589" s="45">
        <f>INDEX(Table5[[#All],[Pick]],MATCH(Table3[[#This Row],[PID]],Table5[[#All],[PID]],0))</f>
        <v>16</v>
      </c>
      <c r="BK589" s="45" t="str">
        <f>INDEX(Table5[[#All],[Team]],MATCH(Table3[[#This Row],[PID]],Table5[[#All],[PID]],0))</f>
        <v>San Antonio Calzones of Laredo</v>
      </c>
      <c r="BL5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0" spans="1:64" ht="15" customHeight="1" x14ac:dyDescent="0.25">
      <c r="A590" s="40">
        <v>20210</v>
      </c>
      <c r="B590" s="40" t="s">
        <v>24</v>
      </c>
      <c r="C590" s="40" t="s">
        <v>1848</v>
      </c>
      <c r="D590" s="40" t="s">
        <v>1849</v>
      </c>
      <c r="E590" s="40">
        <v>21</v>
      </c>
      <c r="F590" s="40" t="s">
        <v>42</v>
      </c>
      <c r="G590" s="40" t="s">
        <v>42</v>
      </c>
      <c r="H590" s="41" t="s">
        <v>638</v>
      </c>
      <c r="I590" s="42" t="s">
        <v>43</v>
      </c>
      <c r="J590" s="40" t="s">
        <v>43</v>
      </c>
      <c r="K590" s="41" t="s">
        <v>43</v>
      </c>
      <c r="L590" s="40">
        <v>4</v>
      </c>
      <c r="M590" s="40">
        <v>2</v>
      </c>
      <c r="N590" s="41">
        <v>3</v>
      </c>
      <c r="O590" s="40">
        <v>6</v>
      </c>
      <c r="P590" s="40">
        <v>3</v>
      </c>
      <c r="Q590" s="41">
        <v>4</v>
      </c>
      <c r="R590" s="40">
        <v>6</v>
      </c>
      <c r="S590" s="40">
        <v>8</v>
      </c>
      <c r="T590" s="40">
        <v>2</v>
      </c>
      <c r="U590" s="40">
        <v>5</v>
      </c>
      <c r="V590" s="40" t="s">
        <v>45</v>
      </c>
      <c r="W590" s="40" t="s">
        <v>45</v>
      </c>
      <c r="X590" s="40">
        <v>4</v>
      </c>
      <c r="Y590" s="40">
        <v>6</v>
      </c>
      <c r="Z590" s="40" t="s">
        <v>45</v>
      </c>
      <c r="AA590" s="40" t="s">
        <v>45</v>
      </c>
      <c r="AB590" s="40">
        <v>5</v>
      </c>
      <c r="AC590" s="40">
        <v>6</v>
      </c>
      <c r="AD590" s="40" t="s">
        <v>45</v>
      </c>
      <c r="AE590" s="40" t="s">
        <v>45</v>
      </c>
      <c r="AF590" s="40">
        <v>4</v>
      </c>
      <c r="AG590" s="40">
        <v>6</v>
      </c>
      <c r="AH590" s="40" t="s">
        <v>45</v>
      </c>
      <c r="AI590" s="40" t="s">
        <v>45</v>
      </c>
      <c r="AJ590" s="40" t="s">
        <v>45</v>
      </c>
      <c r="AK590" s="40" t="s">
        <v>45</v>
      </c>
      <c r="AL590" s="40" t="s">
        <v>45</v>
      </c>
      <c r="AM590" s="40" t="s">
        <v>45</v>
      </c>
      <c r="AN590" s="40" t="s">
        <v>45</v>
      </c>
      <c r="AO590" s="41" t="s">
        <v>45</v>
      </c>
      <c r="AP590" s="40" t="s">
        <v>48</v>
      </c>
      <c r="AQ590" s="40">
        <v>5</v>
      </c>
      <c r="AR590" s="48" t="s">
        <v>347</v>
      </c>
      <c r="AS590" s="43" t="s">
        <v>654</v>
      </c>
      <c r="AT590" s="43" t="s">
        <v>47</v>
      </c>
      <c r="AU590" s="44">
        <f t="shared" si="71"/>
        <v>-1.4373374159018013</v>
      </c>
      <c r="AV590" s="44">
        <f t="shared" si="72"/>
        <v>-0.16470773366221675</v>
      </c>
      <c r="AW590" s="45">
        <f t="shared" si="73"/>
        <v>5</v>
      </c>
      <c r="AX590" s="45">
        <f t="shared" si="74"/>
        <v>4</v>
      </c>
      <c r="AY590" s="46">
        <f>VLOOKUP(AP590,COND!$A$10:$B$32,2,FALSE)</f>
        <v>1.05</v>
      </c>
      <c r="AZ590" s="44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51.011439317360214</v>
      </c>
      <c r="BA590" s="47">
        <f t="shared" si="70"/>
        <v>1.0073018231796731</v>
      </c>
      <c r="BB590" s="45" t="str">
        <f t="shared" si="75"/>
        <v>SP</v>
      </c>
      <c r="BC590" s="45">
        <f>RANK(Table3[[#This Row],[zScore]],Table3[zScore])</f>
        <v>137</v>
      </c>
      <c r="BD590" s="45"/>
      <c r="BE590" s="45"/>
      <c r="BF590" s="45" t="str">
        <f t="shared" si="76"/>
        <v>Possible</v>
      </c>
      <c r="BG590" s="45"/>
      <c r="BH590" s="45">
        <f>INDEX(Table5[[#All],[Ovr]],MATCH(Table3[[#This Row],[PID]],Table5[[#All],[PID]],0))</f>
        <v>271</v>
      </c>
      <c r="BI590" s="45" t="str">
        <f>INDEX(Table5[[#All],[Rnd]],MATCH(Table3[[#This Row],[PID]],Table5[[#All],[PID]],0))</f>
        <v>9</v>
      </c>
      <c r="BJ590" s="45">
        <f>INDEX(Table5[[#All],[Pick]],MATCH(Table3[[#This Row],[PID]],Table5[[#All],[PID]],0))</f>
        <v>23</v>
      </c>
      <c r="BK590" s="45" t="str">
        <f>INDEX(Table5[[#All],[Team]],MATCH(Table3[[#This Row],[PID]],Table5[[#All],[PID]],0))</f>
        <v>Charleston Statesmen</v>
      </c>
      <c r="BL590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1" spans="1:64" ht="15" customHeight="1" x14ac:dyDescent="0.25">
      <c r="A591" s="40">
        <v>18290</v>
      </c>
      <c r="B591" s="40" t="s">
        <v>24</v>
      </c>
      <c r="C591" s="40" t="s">
        <v>391</v>
      </c>
      <c r="D591" s="40" t="s">
        <v>1869</v>
      </c>
      <c r="E591" s="40">
        <v>21</v>
      </c>
      <c r="F591" s="40" t="s">
        <v>53</v>
      </c>
      <c r="G591" s="40" t="s">
        <v>53</v>
      </c>
      <c r="H591" s="41" t="s">
        <v>638</v>
      </c>
      <c r="I591" s="42" t="s">
        <v>43</v>
      </c>
      <c r="J591" s="40" t="s">
        <v>43</v>
      </c>
      <c r="K591" s="41" t="s">
        <v>43</v>
      </c>
      <c r="L591" s="40">
        <v>3</v>
      </c>
      <c r="M591" s="40">
        <v>2</v>
      </c>
      <c r="N591" s="41">
        <v>4</v>
      </c>
      <c r="O591" s="40">
        <v>4</v>
      </c>
      <c r="P591" s="40">
        <v>5</v>
      </c>
      <c r="Q591" s="41">
        <v>5</v>
      </c>
      <c r="R591" s="40">
        <v>4</v>
      </c>
      <c r="S591" s="40">
        <v>4</v>
      </c>
      <c r="T591" s="40">
        <v>3</v>
      </c>
      <c r="U591" s="40">
        <v>4</v>
      </c>
      <c r="V591" s="40">
        <v>2</v>
      </c>
      <c r="W591" s="40">
        <v>5</v>
      </c>
      <c r="X591" s="40" t="s">
        <v>45</v>
      </c>
      <c r="Y591" s="40" t="s">
        <v>45</v>
      </c>
      <c r="Z591" s="40" t="s">
        <v>45</v>
      </c>
      <c r="AA591" s="40" t="s">
        <v>45</v>
      </c>
      <c r="AB591" s="40">
        <v>4</v>
      </c>
      <c r="AC591" s="40">
        <v>5</v>
      </c>
      <c r="AD591" s="40" t="s">
        <v>45</v>
      </c>
      <c r="AE591" s="40" t="s">
        <v>45</v>
      </c>
      <c r="AF591" s="40">
        <v>4</v>
      </c>
      <c r="AG591" s="40">
        <v>5</v>
      </c>
      <c r="AH591" s="40" t="s">
        <v>45</v>
      </c>
      <c r="AI591" s="40" t="s">
        <v>45</v>
      </c>
      <c r="AJ591" s="40" t="s">
        <v>45</v>
      </c>
      <c r="AK591" s="40" t="s">
        <v>45</v>
      </c>
      <c r="AL591" s="40" t="s">
        <v>45</v>
      </c>
      <c r="AM591" s="40" t="s">
        <v>45</v>
      </c>
      <c r="AN591" s="40" t="s">
        <v>45</v>
      </c>
      <c r="AO591" s="41" t="s">
        <v>45</v>
      </c>
      <c r="AP591" s="40" t="s">
        <v>349</v>
      </c>
      <c r="AQ591" s="40">
        <v>7</v>
      </c>
      <c r="AR591" s="48" t="s">
        <v>347</v>
      </c>
      <c r="AS591" s="43" t="s">
        <v>1870</v>
      </c>
      <c r="AT591" s="43" t="s">
        <v>635</v>
      </c>
      <c r="AU591" s="44">
        <f t="shared" si="71"/>
        <v>-1.3897081743568644</v>
      </c>
      <c r="AV591" s="44">
        <f t="shared" si="72"/>
        <v>7.9093616233657377E-2</v>
      </c>
      <c r="AW591" s="45">
        <f t="shared" si="73"/>
        <v>5</v>
      </c>
      <c r="AX591" s="45">
        <f t="shared" si="74"/>
        <v>0</v>
      </c>
      <c r="AY591" s="46">
        <f>VLOOKUP(AP591,COND!$A$10:$B$32,2,FALSE)</f>
        <v>1</v>
      </c>
      <c r="AZ591" s="44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50.803930689801774</v>
      </c>
      <c r="BA591" s="47">
        <f t="shared" si="70"/>
        <v>0.99349659128397871</v>
      </c>
      <c r="BB591" s="45" t="str">
        <f t="shared" si="75"/>
        <v>SP</v>
      </c>
      <c r="BC591" s="45">
        <f>RANK(Table3[[#This Row],[zScore]],Table3[zScore])</f>
        <v>138</v>
      </c>
      <c r="BD591" s="45"/>
      <c r="BE591" s="45"/>
      <c r="BF591" s="45" t="str">
        <f t="shared" si="76"/>
        <v>Possible</v>
      </c>
      <c r="BG591" s="45"/>
      <c r="BH591" s="45">
        <f>INDEX(Table5[[#All],[Ovr]],MATCH(Table3[[#This Row],[PID]],Table5[[#All],[PID]],0))</f>
        <v>336</v>
      </c>
      <c r="BI591" s="45" t="str">
        <f>INDEX(Table5[[#All],[Rnd]],MATCH(Table3[[#This Row],[PID]],Table5[[#All],[PID]],0))</f>
        <v>11</v>
      </c>
      <c r="BJ591" s="45">
        <f>INDEX(Table5[[#All],[Pick]],MATCH(Table3[[#This Row],[PID]],Table5[[#All],[PID]],0))</f>
        <v>28</v>
      </c>
      <c r="BK591" s="45" t="str">
        <f>INDEX(Table5[[#All],[Team]],MATCH(Table3[[#This Row],[PID]],Table5[[#All],[PID]],0))</f>
        <v>San Juan Coqui</v>
      </c>
      <c r="BL5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2" spans="1:64" ht="15" customHeight="1" x14ac:dyDescent="0.25">
      <c r="A592" s="40">
        <v>18440</v>
      </c>
      <c r="B592" s="40" t="s">
        <v>24</v>
      </c>
      <c r="C592" s="40" t="s">
        <v>1861</v>
      </c>
      <c r="D592" s="40" t="s">
        <v>1862</v>
      </c>
      <c r="E592" s="40">
        <v>18</v>
      </c>
      <c r="F592" s="40" t="s">
        <v>53</v>
      </c>
      <c r="G592" s="40" t="s">
        <v>53</v>
      </c>
      <c r="H592" s="41" t="s">
        <v>638</v>
      </c>
      <c r="I592" s="42" t="s">
        <v>43</v>
      </c>
      <c r="J592" s="40" t="s">
        <v>43</v>
      </c>
      <c r="K592" s="41" t="s">
        <v>43</v>
      </c>
      <c r="L592" s="40">
        <v>2</v>
      </c>
      <c r="M592" s="40">
        <v>2</v>
      </c>
      <c r="N592" s="41">
        <v>2</v>
      </c>
      <c r="O592" s="40">
        <v>5</v>
      </c>
      <c r="P592" s="40">
        <v>2</v>
      </c>
      <c r="Q592" s="41">
        <v>5</v>
      </c>
      <c r="R592" s="40">
        <v>4</v>
      </c>
      <c r="S592" s="40">
        <v>7</v>
      </c>
      <c r="T592" s="40" t="s">
        <v>45</v>
      </c>
      <c r="U592" s="40" t="s">
        <v>45</v>
      </c>
      <c r="V592" s="40">
        <v>2</v>
      </c>
      <c r="W592" s="40">
        <v>8</v>
      </c>
      <c r="X592" s="40">
        <v>3</v>
      </c>
      <c r="Y592" s="40">
        <v>6</v>
      </c>
      <c r="Z592" s="40" t="s">
        <v>45</v>
      </c>
      <c r="AA592" s="40" t="s">
        <v>45</v>
      </c>
      <c r="AB592" s="40" t="s">
        <v>45</v>
      </c>
      <c r="AC592" s="40" t="s">
        <v>45</v>
      </c>
      <c r="AD592" s="40" t="s">
        <v>45</v>
      </c>
      <c r="AE592" s="40" t="s">
        <v>45</v>
      </c>
      <c r="AF592" s="40" t="s">
        <v>45</v>
      </c>
      <c r="AG592" s="40" t="s">
        <v>45</v>
      </c>
      <c r="AH592" s="40" t="s">
        <v>45</v>
      </c>
      <c r="AI592" s="40" t="s">
        <v>45</v>
      </c>
      <c r="AJ592" s="40" t="s">
        <v>45</v>
      </c>
      <c r="AK592" s="40" t="s">
        <v>45</v>
      </c>
      <c r="AL592" s="40" t="s">
        <v>45</v>
      </c>
      <c r="AM592" s="40" t="s">
        <v>45</v>
      </c>
      <c r="AN592" s="40" t="s">
        <v>45</v>
      </c>
      <c r="AO592" s="41" t="s">
        <v>45</v>
      </c>
      <c r="AP592" s="40" t="s">
        <v>60</v>
      </c>
      <c r="AQ592" s="40">
        <v>8</v>
      </c>
      <c r="AR592" s="48" t="s">
        <v>347</v>
      </c>
      <c r="AS592" s="43" t="s">
        <v>546</v>
      </c>
      <c r="AT592" s="43" t="s">
        <v>635</v>
      </c>
      <c r="AU592" s="44">
        <f t="shared" si="71"/>
        <v>-2.0690406309742588</v>
      </c>
      <c r="AV592" s="44">
        <f t="shared" si="72"/>
        <v>-0.31251020854733541</v>
      </c>
      <c r="AW592" s="45">
        <f t="shared" si="73"/>
        <v>3</v>
      </c>
      <c r="AX592" s="45">
        <f t="shared" si="74"/>
        <v>3</v>
      </c>
      <c r="AY592" s="46">
        <f>VLOOKUP(AP592,COND!$A$10:$B$32,2,FALSE)</f>
        <v>1.0249999999999999</v>
      </c>
      <c r="AZ592" s="44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50.550637395429902</v>
      </c>
      <c r="BA592" s="47">
        <f t="shared" si="70"/>
        <v>0.97664537546914088</v>
      </c>
      <c r="BB592" s="45" t="str">
        <f t="shared" si="75"/>
        <v>SP</v>
      </c>
      <c r="BC592" s="45">
        <f>RANK(Table3[[#This Row],[zScore]],Table3[zScore])</f>
        <v>143</v>
      </c>
      <c r="BD592" s="45"/>
      <c r="BE592" s="45"/>
      <c r="BF592" s="45" t="str">
        <f t="shared" si="76"/>
        <v>Possible</v>
      </c>
      <c r="BG592" s="45"/>
      <c r="BH592" s="45">
        <f>INDEX(Table5[[#All],[Ovr]],MATCH(Table3[[#This Row],[PID]],Table5[[#All],[PID]],0))</f>
        <v>392</v>
      </c>
      <c r="BI592" s="45" t="str">
        <f>INDEX(Table5[[#All],[Rnd]],MATCH(Table3[[#This Row],[PID]],Table5[[#All],[PID]],0))</f>
        <v>13</v>
      </c>
      <c r="BJ592" s="45">
        <f>INDEX(Table5[[#All],[Pick]],MATCH(Table3[[#This Row],[PID]],Table5[[#All],[PID]],0))</f>
        <v>24</v>
      </c>
      <c r="BK592" s="45" t="str">
        <f>INDEX(Table5[[#All],[Team]],MATCH(Table3[[#This Row],[PID]],Table5[[#All],[PID]],0))</f>
        <v>Aurora Borealis</v>
      </c>
      <c r="BL5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3" spans="1:64" ht="15" customHeight="1" x14ac:dyDescent="0.25">
      <c r="A593" s="40">
        <v>18302</v>
      </c>
      <c r="B593" s="40" t="s">
        <v>24</v>
      </c>
      <c r="C593" s="40" t="s">
        <v>597</v>
      </c>
      <c r="D593" s="40" t="s">
        <v>379</v>
      </c>
      <c r="E593" s="40">
        <v>21</v>
      </c>
      <c r="F593" s="40" t="s">
        <v>53</v>
      </c>
      <c r="G593" s="40" t="s">
        <v>53</v>
      </c>
      <c r="H593" s="41" t="s">
        <v>634</v>
      </c>
      <c r="I593" s="42" t="s">
        <v>43</v>
      </c>
      <c r="J593" s="40" t="s">
        <v>43</v>
      </c>
      <c r="K593" s="41" t="s">
        <v>44</v>
      </c>
      <c r="L593" s="40">
        <v>3</v>
      </c>
      <c r="M593" s="40">
        <v>2</v>
      </c>
      <c r="N593" s="41">
        <v>4</v>
      </c>
      <c r="O593" s="40">
        <v>6</v>
      </c>
      <c r="P593" s="40">
        <v>3</v>
      </c>
      <c r="Q593" s="41">
        <v>4</v>
      </c>
      <c r="R593" s="40">
        <v>6</v>
      </c>
      <c r="S593" s="40">
        <v>8</v>
      </c>
      <c r="T593" s="40">
        <v>1</v>
      </c>
      <c r="U593" s="40">
        <v>6</v>
      </c>
      <c r="V593" s="40">
        <v>3</v>
      </c>
      <c r="W593" s="40">
        <v>7</v>
      </c>
      <c r="X593" s="40" t="s">
        <v>45</v>
      </c>
      <c r="Y593" s="40" t="s">
        <v>45</v>
      </c>
      <c r="Z593" s="40" t="s">
        <v>45</v>
      </c>
      <c r="AA593" s="40" t="s">
        <v>45</v>
      </c>
      <c r="AB593" s="40">
        <v>5</v>
      </c>
      <c r="AC593" s="40">
        <v>6</v>
      </c>
      <c r="AD593" s="40" t="s">
        <v>45</v>
      </c>
      <c r="AE593" s="40" t="s">
        <v>45</v>
      </c>
      <c r="AF593" s="40" t="s">
        <v>45</v>
      </c>
      <c r="AG593" s="40" t="s">
        <v>45</v>
      </c>
      <c r="AH593" s="40" t="s">
        <v>45</v>
      </c>
      <c r="AI593" s="40" t="s">
        <v>45</v>
      </c>
      <c r="AJ593" s="40" t="s">
        <v>45</v>
      </c>
      <c r="AK593" s="40" t="s">
        <v>45</v>
      </c>
      <c r="AL593" s="40" t="s">
        <v>45</v>
      </c>
      <c r="AM593" s="40" t="s">
        <v>45</v>
      </c>
      <c r="AN593" s="40" t="s">
        <v>45</v>
      </c>
      <c r="AO593" s="41" t="s">
        <v>45</v>
      </c>
      <c r="AP593" s="40" t="s">
        <v>48</v>
      </c>
      <c r="AQ593" s="40">
        <v>8</v>
      </c>
      <c r="AR593" s="48" t="s">
        <v>347</v>
      </c>
      <c r="AS593" s="43" t="s">
        <v>644</v>
      </c>
      <c r="AT593" s="43" t="s">
        <v>47</v>
      </c>
      <c r="AU593" s="44">
        <f t="shared" si="71"/>
        <v>-1.3897081743568644</v>
      </c>
      <c r="AV593" s="44">
        <f t="shared" si="72"/>
        <v>-0.16470773366221675</v>
      </c>
      <c r="AW593" s="45">
        <f t="shared" si="73"/>
        <v>4</v>
      </c>
      <c r="AX593" s="45">
        <f t="shared" si="74"/>
        <v>4</v>
      </c>
      <c r="AY593" s="46">
        <f>VLOOKUP(AP593,COND!$A$10:$B$32,2,FALSE)</f>
        <v>1.05</v>
      </c>
      <c r="AZ593" s="44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50.299298876478503</v>
      </c>
      <c r="BA593" s="47">
        <f t="shared" si="70"/>
        <v>0.95992420787591737</v>
      </c>
      <c r="BB593" s="45" t="str">
        <f t="shared" si="75"/>
        <v>SP</v>
      </c>
      <c r="BC593" s="45">
        <f>RANK(Table3[[#This Row],[zScore]],Table3[zScore])</f>
        <v>144</v>
      </c>
      <c r="BD593" s="45"/>
      <c r="BE593" s="45"/>
      <c r="BF593" s="45" t="str">
        <f t="shared" si="76"/>
        <v>Possible</v>
      </c>
      <c r="BG593" s="45"/>
      <c r="BH593" s="45">
        <f>INDEX(Table5[[#All],[Ovr]],MATCH(Table3[[#This Row],[PID]],Table5[[#All],[PID]],0))</f>
        <v>193</v>
      </c>
      <c r="BI593" s="45" t="str">
        <f>INDEX(Table5[[#All],[Rnd]],MATCH(Table3[[#This Row],[PID]],Table5[[#All],[PID]],0))</f>
        <v>7</v>
      </c>
      <c r="BJ593" s="45">
        <f>INDEX(Table5[[#All],[Pick]],MATCH(Table3[[#This Row],[PID]],Table5[[#All],[PID]],0))</f>
        <v>5</v>
      </c>
      <c r="BK593" s="45" t="str">
        <f>INDEX(Table5[[#All],[Team]],MATCH(Table3[[#This Row],[PID]],Table5[[#All],[PID]],0))</f>
        <v>Okinawa Shisa</v>
      </c>
      <c r="BL593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4" spans="1:64" ht="15" customHeight="1" x14ac:dyDescent="0.25">
      <c r="A594" s="40">
        <v>18221</v>
      </c>
      <c r="B594" s="40" t="s">
        <v>24</v>
      </c>
      <c r="C594" s="40" t="s">
        <v>1002</v>
      </c>
      <c r="D594" s="40" t="s">
        <v>1855</v>
      </c>
      <c r="E594" s="40">
        <v>18</v>
      </c>
      <c r="F594" s="40" t="s">
        <v>42</v>
      </c>
      <c r="G594" s="40" t="s">
        <v>42</v>
      </c>
      <c r="H594" s="41" t="s">
        <v>638</v>
      </c>
      <c r="I594" s="42" t="s">
        <v>43</v>
      </c>
      <c r="J594" s="40" t="s">
        <v>44</v>
      </c>
      <c r="K594" s="41" t="s">
        <v>43</v>
      </c>
      <c r="L594" s="40">
        <v>2</v>
      </c>
      <c r="M594" s="40">
        <v>1</v>
      </c>
      <c r="N594" s="41">
        <v>1</v>
      </c>
      <c r="O594" s="40">
        <v>6</v>
      </c>
      <c r="P594" s="40">
        <v>1</v>
      </c>
      <c r="Q594" s="41">
        <v>5</v>
      </c>
      <c r="R594" s="40" t="s">
        <v>45</v>
      </c>
      <c r="S594" s="40" t="s">
        <v>45</v>
      </c>
      <c r="T594" s="40" t="s">
        <v>45</v>
      </c>
      <c r="U594" s="40" t="s">
        <v>45</v>
      </c>
      <c r="V594" s="40">
        <v>2</v>
      </c>
      <c r="W594" s="40">
        <v>8</v>
      </c>
      <c r="X594" s="40">
        <v>3</v>
      </c>
      <c r="Y594" s="40">
        <v>7</v>
      </c>
      <c r="Z594" s="40" t="s">
        <v>45</v>
      </c>
      <c r="AA594" s="40" t="s">
        <v>45</v>
      </c>
      <c r="AB594" s="40" t="s">
        <v>45</v>
      </c>
      <c r="AC594" s="40" t="s">
        <v>45</v>
      </c>
      <c r="AD594" s="40">
        <v>3</v>
      </c>
      <c r="AE594" s="40">
        <v>7</v>
      </c>
      <c r="AF594" s="40" t="s">
        <v>45</v>
      </c>
      <c r="AG594" s="40" t="s">
        <v>45</v>
      </c>
      <c r="AH594" s="40" t="s">
        <v>45</v>
      </c>
      <c r="AI594" s="40" t="s">
        <v>45</v>
      </c>
      <c r="AJ594" s="40" t="s">
        <v>45</v>
      </c>
      <c r="AK594" s="40" t="s">
        <v>45</v>
      </c>
      <c r="AL594" s="40" t="s">
        <v>45</v>
      </c>
      <c r="AM594" s="40" t="s">
        <v>45</v>
      </c>
      <c r="AN594" s="40" t="s">
        <v>45</v>
      </c>
      <c r="AO594" s="41" t="s">
        <v>45</v>
      </c>
      <c r="AP594" s="40" t="s">
        <v>60</v>
      </c>
      <c r="AQ594" s="40">
        <v>7</v>
      </c>
      <c r="AR594" s="48" t="s">
        <v>351</v>
      </c>
      <c r="AS594" s="43" t="s">
        <v>419</v>
      </c>
      <c r="AT594" s="43" t="s">
        <v>47</v>
      </c>
      <c r="AU594" s="44">
        <f t="shared" si="71"/>
        <v>-2.5067929134584248</v>
      </c>
      <c r="AV594" s="44">
        <f t="shared" si="72"/>
        <v>-0.31325060046821734</v>
      </c>
      <c r="AW594" s="45">
        <f t="shared" si="73"/>
        <v>3</v>
      </c>
      <c r="AX594" s="45">
        <f t="shared" si="74"/>
        <v>3</v>
      </c>
      <c r="AY594" s="46">
        <f>VLOOKUP(AP594,COND!$A$10:$B$32,2,FALSE)</f>
        <v>1.0249999999999999</v>
      </c>
      <c r="AZ594" s="44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50.145720143142569</v>
      </c>
      <c r="BA594" s="47">
        <f t="shared" si="70"/>
        <v>0.94970684943209804</v>
      </c>
      <c r="BB594" s="45" t="str">
        <f t="shared" si="75"/>
        <v>SP</v>
      </c>
      <c r="BC594" s="45">
        <f>RANK(Table3[[#This Row],[zScore]],Table3[zScore])</f>
        <v>145</v>
      </c>
      <c r="BD594" s="45"/>
      <c r="BE594" s="45"/>
      <c r="BF594" s="45" t="str">
        <f t="shared" si="76"/>
        <v>Possible</v>
      </c>
      <c r="BG594" s="45"/>
      <c r="BH594" s="45">
        <f>INDEX(Table5[[#All],[Ovr]],MATCH(Table3[[#This Row],[PID]],Table5[[#All],[PID]],0))</f>
        <v>236</v>
      </c>
      <c r="BI594" s="45" t="str">
        <f>INDEX(Table5[[#All],[Rnd]],MATCH(Table3[[#This Row],[PID]],Table5[[#All],[PID]],0))</f>
        <v>8</v>
      </c>
      <c r="BJ594" s="45">
        <f>INDEX(Table5[[#All],[Pick]],MATCH(Table3[[#This Row],[PID]],Table5[[#All],[PID]],0))</f>
        <v>18</v>
      </c>
      <c r="BK594" s="45" t="str">
        <f>INDEX(Table5[[#All],[Team]],MATCH(Table3[[#This Row],[PID]],Table5[[#All],[PID]],0))</f>
        <v>Bakersfield Bears</v>
      </c>
      <c r="BL5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5" spans="1:64" ht="15" customHeight="1" x14ac:dyDescent="0.25">
      <c r="A595" s="40">
        <v>20353</v>
      </c>
      <c r="B595" s="40" t="s">
        <v>24</v>
      </c>
      <c r="C595" s="40" t="s">
        <v>166</v>
      </c>
      <c r="D595" s="40" t="s">
        <v>1851</v>
      </c>
      <c r="E595" s="40">
        <v>17</v>
      </c>
      <c r="F595" s="40" t="s">
        <v>53</v>
      </c>
      <c r="G595" s="40" t="s">
        <v>42</v>
      </c>
      <c r="H595" s="41" t="s">
        <v>638</v>
      </c>
      <c r="I595" s="42" t="s">
        <v>43</v>
      </c>
      <c r="J595" s="40" t="s">
        <v>43</v>
      </c>
      <c r="K595" s="41" t="s">
        <v>43</v>
      </c>
      <c r="L595" s="40">
        <v>3</v>
      </c>
      <c r="M595" s="40">
        <v>2</v>
      </c>
      <c r="N595" s="41">
        <v>1</v>
      </c>
      <c r="O595" s="40">
        <v>5</v>
      </c>
      <c r="P595" s="40">
        <v>3</v>
      </c>
      <c r="Q595" s="41">
        <v>4</v>
      </c>
      <c r="R595" s="40">
        <v>5</v>
      </c>
      <c r="S595" s="40">
        <v>8</v>
      </c>
      <c r="T595" s="40">
        <v>1</v>
      </c>
      <c r="U595" s="40">
        <v>2</v>
      </c>
      <c r="V595" s="40" t="s">
        <v>45</v>
      </c>
      <c r="W595" s="40" t="s">
        <v>45</v>
      </c>
      <c r="X595" s="40">
        <v>3</v>
      </c>
      <c r="Y595" s="40">
        <v>7</v>
      </c>
      <c r="Z595" s="40" t="s">
        <v>45</v>
      </c>
      <c r="AA595" s="40" t="s">
        <v>45</v>
      </c>
      <c r="AB595" s="40">
        <v>4</v>
      </c>
      <c r="AC595" s="40">
        <v>6</v>
      </c>
      <c r="AD595" s="40" t="s">
        <v>45</v>
      </c>
      <c r="AE595" s="40" t="s">
        <v>45</v>
      </c>
      <c r="AF595" s="40" t="s">
        <v>45</v>
      </c>
      <c r="AG595" s="40" t="s">
        <v>45</v>
      </c>
      <c r="AH595" s="40" t="s">
        <v>45</v>
      </c>
      <c r="AI595" s="40" t="s">
        <v>45</v>
      </c>
      <c r="AJ595" s="40" t="s">
        <v>45</v>
      </c>
      <c r="AK595" s="40" t="s">
        <v>45</v>
      </c>
      <c r="AL595" s="40" t="s">
        <v>45</v>
      </c>
      <c r="AM595" s="40" t="s">
        <v>45</v>
      </c>
      <c r="AN595" s="40" t="s">
        <v>45</v>
      </c>
      <c r="AO595" s="41" t="s">
        <v>45</v>
      </c>
      <c r="AP595" s="40" t="s">
        <v>48</v>
      </c>
      <c r="AQ595" s="40">
        <v>5</v>
      </c>
      <c r="AR595" s="48" t="s">
        <v>347</v>
      </c>
      <c r="AS595" s="43" t="s">
        <v>553</v>
      </c>
      <c r="AT595" s="43" t="s">
        <v>47</v>
      </c>
      <c r="AU595" s="44">
        <f t="shared" si="71"/>
        <v>-2.1166698725191955</v>
      </c>
      <c r="AV595" s="44">
        <f t="shared" si="72"/>
        <v>-0.35939905817139028</v>
      </c>
      <c r="AW595" s="45">
        <f t="shared" si="73"/>
        <v>4</v>
      </c>
      <c r="AX595" s="45">
        <f t="shared" si="74"/>
        <v>3</v>
      </c>
      <c r="AY595" s="46">
        <f>VLOOKUP(AP595,COND!$A$10:$B$32,2,FALSE)</f>
        <v>1.05</v>
      </c>
      <c r="AZ595" s="44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50.094478627542479</v>
      </c>
      <c r="BA595" s="47">
        <f t="shared" si="70"/>
        <v>0.94629782970183718</v>
      </c>
      <c r="BB595" s="45" t="str">
        <f t="shared" si="75"/>
        <v>SP</v>
      </c>
      <c r="BC595" s="45">
        <f>RANK(Table3[[#This Row],[zScore]],Table3[zScore])</f>
        <v>147</v>
      </c>
      <c r="BD595" s="45"/>
      <c r="BE595" s="45"/>
      <c r="BF595" s="45" t="str">
        <f t="shared" si="76"/>
        <v>Possible</v>
      </c>
      <c r="BG595" s="45"/>
      <c r="BH595" s="45">
        <f>INDEX(Table5[[#All],[Ovr]],MATCH(Table3[[#This Row],[PID]],Table5[[#All],[PID]],0))</f>
        <v>319</v>
      </c>
      <c r="BI595" s="45" t="str">
        <f>INDEX(Table5[[#All],[Rnd]],MATCH(Table3[[#This Row],[PID]],Table5[[#All],[PID]],0))</f>
        <v>11</v>
      </c>
      <c r="BJ595" s="45">
        <f>INDEX(Table5[[#All],[Pick]],MATCH(Table3[[#This Row],[PID]],Table5[[#All],[PID]],0))</f>
        <v>11</v>
      </c>
      <c r="BK595" s="45" t="str">
        <f>INDEX(Table5[[#All],[Team]],MATCH(Table3[[#This Row],[PID]],Table5[[#All],[PID]],0))</f>
        <v>Duluth Warriors</v>
      </c>
      <c r="BL595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6" spans="1:64" ht="15" customHeight="1" x14ac:dyDescent="0.25">
      <c r="A596" s="40">
        <v>18369</v>
      </c>
      <c r="B596" s="40" t="s">
        <v>24</v>
      </c>
      <c r="C596" s="40" t="s">
        <v>1898</v>
      </c>
      <c r="D596" s="40" t="s">
        <v>1899</v>
      </c>
      <c r="E596" s="40">
        <v>18</v>
      </c>
      <c r="F596" s="40" t="s">
        <v>42</v>
      </c>
      <c r="G596" s="40" t="s">
        <v>53</v>
      </c>
      <c r="H596" s="41" t="s">
        <v>639</v>
      </c>
      <c r="I596" s="42" t="s">
        <v>43</v>
      </c>
      <c r="J596" s="40" t="s">
        <v>47</v>
      </c>
      <c r="K596" s="41" t="s">
        <v>43</v>
      </c>
      <c r="L596" s="40">
        <v>1</v>
      </c>
      <c r="M596" s="40">
        <v>2</v>
      </c>
      <c r="N596" s="41">
        <v>3</v>
      </c>
      <c r="O596" s="40">
        <v>4</v>
      </c>
      <c r="P596" s="40">
        <v>2</v>
      </c>
      <c r="Q596" s="41">
        <v>6</v>
      </c>
      <c r="R596" s="40" t="s">
        <v>45</v>
      </c>
      <c r="S596" s="40" t="s">
        <v>45</v>
      </c>
      <c r="T596" s="40">
        <v>1</v>
      </c>
      <c r="U596" s="40">
        <v>6</v>
      </c>
      <c r="V596" s="40">
        <v>1</v>
      </c>
      <c r="W596" s="40">
        <v>4</v>
      </c>
      <c r="X596" s="40" t="s">
        <v>45</v>
      </c>
      <c r="Y596" s="40" t="s">
        <v>45</v>
      </c>
      <c r="Z596" s="40" t="s">
        <v>45</v>
      </c>
      <c r="AA596" s="40" t="s">
        <v>45</v>
      </c>
      <c r="AB596" s="40" t="s">
        <v>45</v>
      </c>
      <c r="AC596" s="40" t="s">
        <v>45</v>
      </c>
      <c r="AD596" s="40">
        <v>3</v>
      </c>
      <c r="AE596" s="40">
        <v>4</v>
      </c>
      <c r="AF596" s="40">
        <v>3</v>
      </c>
      <c r="AG596" s="40">
        <v>5</v>
      </c>
      <c r="AH596" s="40" t="s">
        <v>45</v>
      </c>
      <c r="AI596" s="40" t="s">
        <v>45</v>
      </c>
      <c r="AJ596" s="40" t="s">
        <v>45</v>
      </c>
      <c r="AK596" s="40" t="s">
        <v>45</v>
      </c>
      <c r="AL596" s="40" t="s">
        <v>45</v>
      </c>
      <c r="AM596" s="40" t="s">
        <v>45</v>
      </c>
      <c r="AN596" s="40" t="s">
        <v>45</v>
      </c>
      <c r="AO596" s="41" t="s">
        <v>45</v>
      </c>
      <c r="AP596" s="40" t="s">
        <v>350</v>
      </c>
      <c r="AQ596" s="40">
        <v>7</v>
      </c>
      <c r="AR596" s="48" t="s">
        <v>347</v>
      </c>
      <c r="AS596" s="43" t="s">
        <v>554</v>
      </c>
      <c r="AT596" s="43" t="s">
        <v>47</v>
      </c>
      <c r="AU596" s="44">
        <f t="shared" si="71"/>
        <v>-2.0214113894293222</v>
      </c>
      <c r="AV596" s="44">
        <f t="shared" si="72"/>
        <v>-0.26488096700239849</v>
      </c>
      <c r="AW596" s="45">
        <f t="shared" si="73"/>
        <v>4</v>
      </c>
      <c r="AX596" s="45">
        <f t="shared" si="74"/>
        <v>1</v>
      </c>
      <c r="AY596" s="46">
        <f>VLOOKUP(AP596,COND!$A$10:$B$32,2,FALSE)</f>
        <v>1</v>
      </c>
      <c r="AZ596" s="44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49.848098382066169</v>
      </c>
      <c r="BA596" s="47">
        <f t="shared" si="70"/>
        <v>0.92990652846612998</v>
      </c>
      <c r="BB596" s="45" t="str">
        <f t="shared" si="75"/>
        <v>SP</v>
      </c>
      <c r="BC596" s="45">
        <f>RANK(Table3[[#This Row],[zScore]],Table3[zScore])</f>
        <v>148</v>
      </c>
      <c r="BD596" s="45"/>
      <c r="BE596" s="45"/>
      <c r="BF596" s="45" t="str">
        <f t="shared" si="76"/>
        <v>Possible</v>
      </c>
      <c r="BG596" s="45"/>
      <c r="BH596" s="45">
        <f>INDEX(Table5[[#All],[Ovr]],MATCH(Table3[[#This Row],[PID]],Table5[[#All],[PID]],0))</f>
        <v>562</v>
      </c>
      <c r="BI596" s="45" t="str">
        <f>INDEX(Table5[[#All],[Rnd]],MATCH(Table3[[#This Row],[PID]],Table5[[#All],[PID]],0))</f>
        <v>19</v>
      </c>
      <c r="BJ596" s="45">
        <f>INDEX(Table5[[#All],[Pick]],MATCH(Table3[[#This Row],[PID]],Table5[[#All],[PID]],0))</f>
        <v>14</v>
      </c>
      <c r="BK596" s="45" t="str">
        <f>INDEX(Table5[[#All],[Team]],MATCH(Table3[[#This Row],[PID]],Table5[[#All],[PID]],0))</f>
        <v>Arlington Bureaucrats</v>
      </c>
      <c r="BL596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7" spans="1:64" ht="15" customHeight="1" x14ac:dyDescent="0.25">
      <c r="A597" s="40">
        <v>18388</v>
      </c>
      <c r="B597" s="40" t="s">
        <v>24</v>
      </c>
      <c r="C597" s="40" t="s">
        <v>404</v>
      </c>
      <c r="D597" s="40" t="s">
        <v>1866</v>
      </c>
      <c r="E597" s="40">
        <v>18</v>
      </c>
      <c r="F597" s="40" t="s">
        <v>42</v>
      </c>
      <c r="G597" s="40" t="s">
        <v>42</v>
      </c>
      <c r="H597" s="41" t="s">
        <v>638</v>
      </c>
      <c r="I597" s="42" t="s">
        <v>44</v>
      </c>
      <c r="J597" s="40" t="s">
        <v>43</v>
      </c>
      <c r="K597" s="41" t="s">
        <v>44</v>
      </c>
      <c r="L597" s="40">
        <v>2</v>
      </c>
      <c r="M597" s="40">
        <v>2</v>
      </c>
      <c r="N597" s="41">
        <v>2</v>
      </c>
      <c r="O597" s="40">
        <v>5</v>
      </c>
      <c r="P597" s="40">
        <v>3</v>
      </c>
      <c r="Q597" s="41">
        <v>4</v>
      </c>
      <c r="R597" s="40">
        <v>4</v>
      </c>
      <c r="S597" s="40">
        <v>7</v>
      </c>
      <c r="T597" s="40">
        <v>1</v>
      </c>
      <c r="U597" s="40">
        <v>7</v>
      </c>
      <c r="V597" s="40">
        <v>2</v>
      </c>
      <c r="W597" s="40">
        <v>6</v>
      </c>
      <c r="X597" s="40">
        <v>2</v>
      </c>
      <c r="Y597" s="40">
        <v>3</v>
      </c>
      <c r="Z597" s="40" t="s">
        <v>45</v>
      </c>
      <c r="AA597" s="40" t="s">
        <v>45</v>
      </c>
      <c r="AB597" s="40" t="s">
        <v>45</v>
      </c>
      <c r="AC597" s="40" t="s">
        <v>45</v>
      </c>
      <c r="AD597" s="40" t="s">
        <v>45</v>
      </c>
      <c r="AE597" s="40" t="s">
        <v>45</v>
      </c>
      <c r="AF597" s="40" t="s">
        <v>45</v>
      </c>
      <c r="AG597" s="40" t="s">
        <v>45</v>
      </c>
      <c r="AH597" s="40" t="s">
        <v>45</v>
      </c>
      <c r="AI597" s="40" t="s">
        <v>45</v>
      </c>
      <c r="AJ597" s="40" t="s">
        <v>45</v>
      </c>
      <c r="AK597" s="40" t="s">
        <v>45</v>
      </c>
      <c r="AL597" s="40" t="s">
        <v>45</v>
      </c>
      <c r="AM597" s="40" t="s">
        <v>45</v>
      </c>
      <c r="AN597" s="40" t="s">
        <v>45</v>
      </c>
      <c r="AO597" s="41" t="s">
        <v>45</v>
      </c>
      <c r="AP597" s="40" t="s">
        <v>56</v>
      </c>
      <c r="AQ597" s="40">
        <v>9</v>
      </c>
      <c r="AR597" s="48" t="s">
        <v>347</v>
      </c>
      <c r="AS597" s="43" t="s">
        <v>554</v>
      </c>
      <c r="AT597" s="43" t="s">
        <v>47</v>
      </c>
      <c r="AU597" s="44">
        <f t="shared" si="71"/>
        <v>-2.0690406309742588</v>
      </c>
      <c r="AV597" s="44">
        <f t="shared" si="72"/>
        <v>-0.35939905817139028</v>
      </c>
      <c r="AW597" s="45">
        <f t="shared" si="73"/>
        <v>4</v>
      </c>
      <c r="AX597" s="45">
        <f t="shared" si="74"/>
        <v>3</v>
      </c>
      <c r="AY597" s="46">
        <f>VLOOKUP(AP597,COND!$A$10:$B$32,2,FALSE)</f>
        <v>1</v>
      </c>
      <c r="AZ597" s="44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49.698210710377339</v>
      </c>
      <c r="BA597" s="47">
        <f t="shared" si="70"/>
        <v>0.91993473071334853</v>
      </c>
      <c r="BB597" s="45" t="str">
        <f t="shared" si="75"/>
        <v>SP</v>
      </c>
      <c r="BC597" s="45">
        <f>RANK(Table3[[#This Row],[zScore]],Table3[zScore])</f>
        <v>149</v>
      </c>
      <c r="BD597" s="45"/>
      <c r="BE597" s="45"/>
      <c r="BF597" s="45" t="str">
        <f t="shared" si="76"/>
        <v>Possible</v>
      </c>
      <c r="BG597" s="45"/>
      <c r="BH597" s="45">
        <f>INDEX(Table5[[#All],[Ovr]],MATCH(Table3[[#This Row],[PID]],Table5[[#All],[PID]],0))</f>
        <v>452</v>
      </c>
      <c r="BI597" s="45" t="str">
        <f>INDEX(Table5[[#All],[Rnd]],MATCH(Table3[[#This Row],[PID]],Table5[[#All],[PID]],0))</f>
        <v>15</v>
      </c>
      <c r="BJ597" s="45">
        <f>INDEX(Table5[[#All],[Pick]],MATCH(Table3[[#This Row],[PID]],Table5[[#All],[PID]],0))</f>
        <v>24</v>
      </c>
      <c r="BK597" s="45" t="str">
        <f>INDEX(Table5[[#All],[Team]],MATCH(Table3[[#This Row],[PID]],Table5[[#All],[PID]],0))</f>
        <v>Aurora Borealis</v>
      </c>
      <c r="BL597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8" spans="1:64" ht="15" customHeight="1" x14ac:dyDescent="0.25">
      <c r="A598" s="40">
        <v>18400</v>
      </c>
      <c r="B598" s="40" t="s">
        <v>24</v>
      </c>
      <c r="C598" s="40" t="s">
        <v>1885</v>
      </c>
      <c r="D598" s="40" t="s">
        <v>1607</v>
      </c>
      <c r="E598" s="40">
        <v>18</v>
      </c>
      <c r="F598" s="40" t="s">
        <v>53</v>
      </c>
      <c r="G598" s="40" t="s">
        <v>53</v>
      </c>
      <c r="H598" s="41" t="s">
        <v>638</v>
      </c>
      <c r="I598" s="42" t="s">
        <v>44</v>
      </c>
      <c r="J598" s="40" t="s">
        <v>44</v>
      </c>
      <c r="K598" s="41" t="s">
        <v>43</v>
      </c>
      <c r="L598" s="40">
        <v>1</v>
      </c>
      <c r="M598" s="40">
        <v>2</v>
      </c>
      <c r="N598" s="41">
        <v>2</v>
      </c>
      <c r="O598" s="40">
        <v>5</v>
      </c>
      <c r="P598" s="40">
        <v>2</v>
      </c>
      <c r="Q598" s="41">
        <v>6</v>
      </c>
      <c r="R598" s="40" t="s">
        <v>45</v>
      </c>
      <c r="S598" s="40" t="s">
        <v>45</v>
      </c>
      <c r="T598" s="40">
        <v>2</v>
      </c>
      <c r="U598" s="40">
        <v>5</v>
      </c>
      <c r="V598" s="40" t="s">
        <v>45</v>
      </c>
      <c r="W598" s="40" t="s">
        <v>45</v>
      </c>
      <c r="X598" s="40">
        <v>2</v>
      </c>
      <c r="Y598" s="40">
        <v>5</v>
      </c>
      <c r="Z598" s="40" t="s">
        <v>45</v>
      </c>
      <c r="AA598" s="40" t="s">
        <v>45</v>
      </c>
      <c r="AB598" s="40" t="s">
        <v>45</v>
      </c>
      <c r="AC598" s="40" t="s">
        <v>45</v>
      </c>
      <c r="AD598" s="40">
        <v>2</v>
      </c>
      <c r="AE598" s="40">
        <v>4</v>
      </c>
      <c r="AF598" s="40">
        <v>3</v>
      </c>
      <c r="AG598" s="40">
        <v>5</v>
      </c>
      <c r="AH598" s="40" t="s">
        <v>45</v>
      </c>
      <c r="AI598" s="40" t="s">
        <v>45</v>
      </c>
      <c r="AJ598" s="40" t="s">
        <v>45</v>
      </c>
      <c r="AK598" s="40" t="s">
        <v>45</v>
      </c>
      <c r="AL598" s="40" t="s">
        <v>45</v>
      </c>
      <c r="AM598" s="40" t="s">
        <v>45</v>
      </c>
      <c r="AN598" s="40" t="s">
        <v>45</v>
      </c>
      <c r="AO598" s="41" t="s">
        <v>45</v>
      </c>
      <c r="AP598" s="40" t="s">
        <v>68</v>
      </c>
      <c r="AQ598" s="40">
        <v>3</v>
      </c>
      <c r="AR598" s="48" t="s">
        <v>347</v>
      </c>
      <c r="AS598" s="43" t="s">
        <v>556</v>
      </c>
      <c r="AT598" s="43" t="s">
        <v>47</v>
      </c>
      <c r="AU598" s="44">
        <f t="shared" si="71"/>
        <v>-2.2637319554834323</v>
      </c>
      <c r="AV598" s="44">
        <f t="shared" si="72"/>
        <v>-7.0189642493225041E-2</v>
      </c>
      <c r="AW598" s="45">
        <f t="shared" si="73"/>
        <v>4</v>
      </c>
      <c r="AX598" s="45">
        <f t="shared" si="74"/>
        <v>0</v>
      </c>
      <c r="AY598" s="46">
        <f>VLOOKUP(AP598,COND!$A$10:$B$32,2,FALSE)</f>
        <v>0.95</v>
      </c>
      <c r="AZ598" s="44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49.679473335032526</v>
      </c>
      <c r="BA598" s="47">
        <f t="shared" si="70"/>
        <v>0.91868816176440704</v>
      </c>
      <c r="BB598" s="45" t="str">
        <f t="shared" si="75"/>
        <v>RP</v>
      </c>
      <c r="BC598" s="45">
        <f>RANK(Table3[[#This Row],[zScore]],Table3[zScore])</f>
        <v>150</v>
      </c>
      <c r="BD598" s="45"/>
      <c r="BE598" s="45"/>
      <c r="BF598" s="45" t="str">
        <f t="shared" si="76"/>
        <v>Possible</v>
      </c>
      <c r="BG598" s="45"/>
      <c r="BH598" s="45">
        <f>INDEX(Table5[[#All],[Ovr]],MATCH(Table3[[#This Row],[PID]],Table5[[#All],[PID]],0))</f>
        <v>512</v>
      </c>
      <c r="BI598" s="45" t="str">
        <f>INDEX(Table5[[#All],[Rnd]],MATCH(Table3[[#This Row],[PID]],Table5[[#All],[PID]],0))</f>
        <v>17</v>
      </c>
      <c r="BJ598" s="45">
        <f>INDEX(Table5[[#All],[Pick]],MATCH(Table3[[#This Row],[PID]],Table5[[#All],[PID]],0))</f>
        <v>24</v>
      </c>
      <c r="BK598" s="45" t="str">
        <f>INDEX(Table5[[#All],[Team]],MATCH(Table3[[#This Row],[PID]],Table5[[#All],[PID]],0))</f>
        <v>Aurora Borealis</v>
      </c>
      <c r="BL598" s="45" t="str">
        <f>IF(OR(Table3[[#This Row],[POS]]="SP",Table3[[#This Row],[POS]]="RP",Table3[[#This Row],[POS]]="CL"),"P",INDEX(Batters[[#All],[zScore]],MATCH(Table3[[#This Row],[PID]],Batters[[#All],[PID]],0)))</f>
        <v>P</v>
      </c>
    </row>
    <row r="599" spans="1:64" ht="15" customHeight="1" x14ac:dyDescent="0.25">
      <c r="A599" s="40">
        <v>18197</v>
      </c>
      <c r="B599" s="40" t="s">
        <v>24</v>
      </c>
      <c r="C599" s="40" t="s">
        <v>650</v>
      </c>
      <c r="D599" s="40" t="s">
        <v>1945</v>
      </c>
      <c r="E599" s="40">
        <v>18</v>
      </c>
      <c r="F599" s="40" t="s">
        <v>42</v>
      </c>
      <c r="G599" s="40" t="s">
        <v>42</v>
      </c>
      <c r="H599" s="41" t="s">
        <v>647</v>
      </c>
      <c r="I599" s="42" t="s">
        <v>43</v>
      </c>
      <c r="J599" s="40" t="s">
        <v>47</v>
      </c>
      <c r="K599" s="41" t="s">
        <v>43</v>
      </c>
      <c r="L599" s="40">
        <v>1</v>
      </c>
      <c r="M599" s="40">
        <v>3</v>
      </c>
      <c r="N599" s="41">
        <v>1</v>
      </c>
      <c r="O599" s="40">
        <v>3</v>
      </c>
      <c r="P599" s="40">
        <v>5</v>
      </c>
      <c r="Q599" s="41">
        <v>5</v>
      </c>
      <c r="R599" s="40">
        <v>2</v>
      </c>
      <c r="S599" s="40">
        <v>4</v>
      </c>
      <c r="T599" s="40">
        <v>1</v>
      </c>
      <c r="U599" s="40">
        <v>1</v>
      </c>
      <c r="V599" s="40" t="s">
        <v>45</v>
      </c>
      <c r="W599" s="40" t="s">
        <v>45</v>
      </c>
      <c r="X599" s="40">
        <v>1</v>
      </c>
      <c r="Y599" s="40">
        <v>5</v>
      </c>
      <c r="Z599" s="40" t="s">
        <v>45</v>
      </c>
      <c r="AA599" s="40" t="s">
        <v>45</v>
      </c>
      <c r="AB599" s="40" t="s">
        <v>45</v>
      </c>
      <c r="AC599" s="40" t="s">
        <v>45</v>
      </c>
      <c r="AD599" s="40" t="s">
        <v>45</v>
      </c>
      <c r="AE599" s="40" t="s">
        <v>45</v>
      </c>
      <c r="AF599" s="40">
        <v>2</v>
      </c>
      <c r="AG599" s="40">
        <v>4</v>
      </c>
      <c r="AH599" s="40" t="s">
        <v>45</v>
      </c>
      <c r="AI599" s="40" t="s">
        <v>45</v>
      </c>
      <c r="AJ599" s="40" t="s">
        <v>45</v>
      </c>
      <c r="AK599" s="40" t="s">
        <v>45</v>
      </c>
      <c r="AL599" s="40" t="s">
        <v>45</v>
      </c>
      <c r="AM599" s="40" t="s">
        <v>45</v>
      </c>
      <c r="AN599" s="40" t="s">
        <v>45</v>
      </c>
      <c r="AO599" s="41" t="s">
        <v>45</v>
      </c>
      <c r="AP599" s="40" t="s">
        <v>65</v>
      </c>
      <c r="AQ599" s="40">
        <v>4</v>
      </c>
      <c r="AR599" s="48" t="s">
        <v>347</v>
      </c>
      <c r="AS599" s="43" t="s">
        <v>644</v>
      </c>
      <c r="AT599" s="43" t="s">
        <v>47</v>
      </c>
      <c r="AU599" s="44">
        <f t="shared" si="71"/>
        <v>-2.310620805107487</v>
      </c>
      <c r="AV599" s="44">
        <f t="shared" si="72"/>
        <v>-0.11559770827551617</v>
      </c>
      <c r="AW599" s="45">
        <f t="shared" si="73"/>
        <v>4</v>
      </c>
      <c r="AX599" s="45">
        <f t="shared" si="74"/>
        <v>0</v>
      </c>
      <c r="AY599" s="46">
        <f>VLOOKUP(AP599,COND!$A$10:$B$32,2,FALSE)</f>
        <v>0.95</v>
      </c>
      <c r="AZ599" s="44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49.601394310305032</v>
      </c>
      <c r="BA599" s="47">
        <f t="shared" si="70"/>
        <v>0.91349368356253491</v>
      </c>
      <c r="BB599" s="45" t="str">
        <f t="shared" si="75"/>
        <v>RP</v>
      </c>
      <c r="BC599" s="45">
        <f>RANK(Table3[[#This Row],[zScore]],Table3[zScore])</f>
        <v>151</v>
      </c>
      <c r="BD599" s="45"/>
      <c r="BE599" s="45"/>
      <c r="BF599" s="45" t="str">
        <f t="shared" si="76"/>
        <v>Possible</v>
      </c>
      <c r="BG599" s="45"/>
      <c r="BH599" s="45">
        <f>INDEX(Table5[[#All],[Ovr]],MATCH(Table3[[#This Row],[PID]],Table5[[#All],[PID]],0))</f>
        <v>333</v>
      </c>
      <c r="BI599" s="45" t="str">
        <f>INDEX(Table5[[#All],[Rnd]],MATCH(Table3[[#This Row],[PID]],Table5[[#All],[PID]],0))</f>
        <v>11</v>
      </c>
      <c r="BJ599" s="45">
        <f>INDEX(Table5[[#All],[Pick]],MATCH(Table3[[#This Row],[PID]],Table5[[#All],[PID]],0))</f>
        <v>25</v>
      </c>
      <c r="BK599" s="45" t="str">
        <f>INDEX(Table5[[#All],[Team]],MATCH(Table3[[#This Row],[PID]],Table5[[#All],[PID]],0))</f>
        <v>Toyama Wind Dancers</v>
      </c>
      <c r="BL5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0" spans="1:64" ht="15" customHeight="1" x14ac:dyDescent="0.25">
      <c r="A600" s="40">
        <v>18196</v>
      </c>
      <c r="B600" s="40" t="s">
        <v>24</v>
      </c>
      <c r="C600" s="40" t="s">
        <v>758</v>
      </c>
      <c r="D600" s="40" t="s">
        <v>317</v>
      </c>
      <c r="E600" s="40">
        <v>18</v>
      </c>
      <c r="F600" s="40" t="s">
        <v>53</v>
      </c>
      <c r="G600" s="40" t="s">
        <v>42</v>
      </c>
      <c r="H600" s="41" t="s">
        <v>638</v>
      </c>
      <c r="I600" s="42" t="s">
        <v>43</v>
      </c>
      <c r="J600" s="40" t="s">
        <v>43</v>
      </c>
      <c r="K600" s="41" t="s">
        <v>43</v>
      </c>
      <c r="L600" s="40">
        <v>2</v>
      </c>
      <c r="M600" s="40">
        <v>2</v>
      </c>
      <c r="N600" s="41">
        <v>1</v>
      </c>
      <c r="O600" s="40">
        <v>5</v>
      </c>
      <c r="P600" s="40">
        <v>2</v>
      </c>
      <c r="Q600" s="41">
        <v>5</v>
      </c>
      <c r="R600" s="40">
        <v>4</v>
      </c>
      <c r="S600" s="40">
        <v>7</v>
      </c>
      <c r="T600" s="40">
        <v>1</v>
      </c>
      <c r="U600" s="40">
        <v>1</v>
      </c>
      <c r="V600" s="40">
        <v>2</v>
      </c>
      <c r="W600" s="40">
        <v>6</v>
      </c>
      <c r="X600" s="40" t="s">
        <v>45</v>
      </c>
      <c r="Y600" s="40" t="s">
        <v>45</v>
      </c>
      <c r="Z600" s="40" t="s">
        <v>45</v>
      </c>
      <c r="AA600" s="40" t="s">
        <v>45</v>
      </c>
      <c r="AB600" s="40" t="s">
        <v>45</v>
      </c>
      <c r="AC600" s="40" t="s">
        <v>45</v>
      </c>
      <c r="AD600" s="40" t="s">
        <v>45</v>
      </c>
      <c r="AE600" s="40" t="s">
        <v>45</v>
      </c>
      <c r="AF600" s="40">
        <v>3</v>
      </c>
      <c r="AG600" s="40">
        <v>6</v>
      </c>
      <c r="AH600" s="40" t="s">
        <v>45</v>
      </c>
      <c r="AI600" s="40" t="s">
        <v>45</v>
      </c>
      <c r="AJ600" s="40" t="s">
        <v>45</v>
      </c>
      <c r="AK600" s="40" t="s">
        <v>45</v>
      </c>
      <c r="AL600" s="40" t="s">
        <v>45</v>
      </c>
      <c r="AM600" s="40" t="s">
        <v>45</v>
      </c>
      <c r="AN600" s="40" t="s">
        <v>45</v>
      </c>
      <c r="AO600" s="41" t="s">
        <v>45</v>
      </c>
      <c r="AP600" s="40" t="s">
        <v>56</v>
      </c>
      <c r="AQ600" s="40">
        <v>7</v>
      </c>
      <c r="AR600" s="48" t="s">
        <v>347</v>
      </c>
      <c r="AS600" s="43" t="s">
        <v>554</v>
      </c>
      <c r="AT600" s="43" t="s">
        <v>635</v>
      </c>
      <c r="AU600" s="44">
        <f t="shared" si="71"/>
        <v>-2.311361197028369</v>
      </c>
      <c r="AV600" s="44">
        <f t="shared" si="72"/>
        <v>-0.31251020854733541</v>
      </c>
      <c r="AW600" s="45">
        <f t="shared" si="73"/>
        <v>4</v>
      </c>
      <c r="AX600" s="45">
        <f t="shared" si="74"/>
        <v>3</v>
      </c>
      <c r="AY600" s="46">
        <f>VLOOKUP(AP600,COND!$A$10:$B$32,2,FALSE)</f>
        <v>1</v>
      </c>
      <c r="AZ600" s="44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51.03752358964762</v>
      </c>
      <c r="BA600" s="47">
        <f>STANDARDIZE(AZ600,AVERAGE($AZ$5:$AZ$663),STDEVP($AZ$5:$AZ$663))</f>
        <v>0.90650779666438364</v>
      </c>
      <c r="BB600" s="45" t="str">
        <f t="shared" si="75"/>
        <v>SP</v>
      </c>
      <c r="BC600" s="45">
        <f>RANK(Table3[[#This Row],[zScore]],Table3[zScore])</f>
        <v>152</v>
      </c>
      <c r="BD600" s="45"/>
      <c r="BE600" s="45"/>
      <c r="BF600" s="45" t="str">
        <f t="shared" si="76"/>
        <v>Possible</v>
      </c>
      <c r="BG600" s="45"/>
      <c r="BH600" s="45">
        <f>INDEX(Table5[[#All],[Ovr]],MATCH(Table3[[#This Row],[PID]],Table5[[#All],[PID]],0))</f>
        <v>306</v>
      </c>
      <c r="BI600" s="45" t="str">
        <f>INDEX(Table5[[#All],[Rnd]],MATCH(Table3[[#This Row],[PID]],Table5[[#All],[PID]],0))</f>
        <v>10</v>
      </c>
      <c r="BJ600" s="45">
        <f>INDEX(Table5[[#All],[Pick]],MATCH(Table3[[#This Row],[PID]],Table5[[#All],[PID]],0))</f>
        <v>28</v>
      </c>
      <c r="BK600" s="45" t="str">
        <f>INDEX(Table5[[#All],[Team]],MATCH(Table3[[#This Row],[PID]],Table5[[#All],[PID]],0))</f>
        <v>San Juan Coqui</v>
      </c>
      <c r="BL60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1" spans="1:64" ht="15" customHeight="1" x14ac:dyDescent="0.25">
      <c r="A601" s="40">
        <v>18320</v>
      </c>
      <c r="B601" s="40" t="s">
        <v>24</v>
      </c>
      <c r="C601" s="40" t="s">
        <v>1908</v>
      </c>
      <c r="D601" s="40" t="s">
        <v>1103</v>
      </c>
      <c r="E601" s="40">
        <v>21</v>
      </c>
      <c r="F601" s="40" t="s">
        <v>53</v>
      </c>
      <c r="G601" s="40" t="s">
        <v>42</v>
      </c>
      <c r="H601" s="41" t="s">
        <v>639</v>
      </c>
      <c r="I601" s="42" t="s">
        <v>44</v>
      </c>
      <c r="J601" s="40" t="s">
        <v>44</v>
      </c>
      <c r="K601" s="41" t="s">
        <v>43</v>
      </c>
      <c r="L601" s="40">
        <v>3</v>
      </c>
      <c r="M601" s="40">
        <v>3</v>
      </c>
      <c r="N601" s="41">
        <v>5</v>
      </c>
      <c r="O601" s="40">
        <v>4</v>
      </c>
      <c r="P601" s="40">
        <v>3</v>
      </c>
      <c r="Q601" s="41">
        <v>6</v>
      </c>
      <c r="R601" s="40">
        <v>6</v>
      </c>
      <c r="S601" s="40">
        <v>7</v>
      </c>
      <c r="T601" s="40">
        <v>1</v>
      </c>
      <c r="U601" s="40">
        <v>1</v>
      </c>
      <c r="V601" s="40" t="s">
        <v>45</v>
      </c>
      <c r="W601" s="40" t="s">
        <v>45</v>
      </c>
      <c r="X601" s="40" t="s">
        <v>45</v>
      </c>
      <c r="Y601" s="40" t="s">
        <v>45</v>
      </c>
      <c r="Z601" s="40">
        <v>5</v>
      </c>
      <c r="AA601" s="40">
        <v>6</v>
      </c>
      <c r="AB601" s="40" t="s">
        <v>45</v>
      </c>
      <c r="AC601" s="40" t="s">
        <v>45</v>
      </c>
      <c r="AD601" s="40" t="s">
        <v>45</v>
      </c>
      <c r="AE601" s="40" t="s">
        <v>45</v>
      </c>
      <c r="AF601" s="40" t="s">
        <v>45</v>
      </c>
      <c r="AG601" s="40" t="s">
        <v>45</v>
      </c>
      <c r="AH601" s="40">
        <v>1</v>
      </c>
      <c r="AI601" s="40">
        <v>2</v>
      </c>
      <c r="AJ601" s="40" t="s">
        <v>45</v>
      </c>
      <c r="AK601" s="40" t="s">
        <v>45</v>
      </c>
      <c r="AL601" s="40" t="s">
        <v>45</v>
      </c>
      <c r="AM601" s="40" t="s">
        <v>45</v>
      </c>
      <c r="AN601" s="40" t="s">
        <v>45</v>
      </c>
      <c r="AO601" s="41" t="s">
        <v>45</v>
      </c>
      <c r="AP601" s="40" t="s">
        <v>57</v>
      </c>
      <c r="AQ601" s="40">
        <v>8</v>
      </c>
      <c r="AR601" s="48" t="s">
        <v>347</v>
      </c>
      <c r="AS601" s="43" t="s">
        <v>643</v>
      </c>
      <c r="AT601" s="43" t="s">
        <v>47</v>
      </c>
      <c r="AU601" s="44">
        <f t="shared" si="71"/>
        <v>-0.95195589187269847</v>
      </c>
      <c r="AV601" s="44">
        <f t="shared" si="72"/>
        <v>-6.9449250572343108E-2</v>
      </c>
      <c r="AW601" s="45">
        <f t="shared" si="73"/>
        <v>4</v>
      </c>
      <c r="AX601" s="45">
        <f t="shared" si="74"/>
        <v>2</v>
      </c>
      <c r="AY601" s="46">
        <f>VLOOKUP(AP601,COND!$A$10:$B$32,2,FALSE)</f>
        <v>1</v>
      </c>
      <c r="AZ601" s="44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49.470623810178594</v>
      </c>
      <c r="BA601" s="47">
        <f t="shared" ref="BA601:BA619" si="77">STANDARDIZE(AZ601,AVERAGE($AZ$5:$AZ$557),STDEVP($AZ$5:$AZ$557))</f>
        <v>0.90479372202068054</v>
      </c>
      <c r="BB601" s="45" t="str">
        <f t="shared" si="75"/>
        <v>SP</v>
      </c>
      <c r="BC601" s="45">
        <f>RANK(Table3[[#This Row],[zScore]],Table3[zScore])</f>
        <v>153</v>
      </c>
      <c r="BD601" s="45"/>
      <c r="BE601" s="45"/>
      <c r="BF601" s="45" t="str">
        <f t="shared" si="76"/>
        <v>Possible</v>
      </c>
      <c r="BG601" s="45"/>
      <c r="BH601" s="45">
        <f>INDEX(Table5[[#All],[Ovr]],MATCH(Table3[[#This Row],[PID]],Table5[[#All],[PID]],0))</f>
        <v>383</v>
      </c>
      <c r="BI601" s="45" t="str">
        <f>INDEX(Table5[[#All],[Rnd]],MATCH(Table3[[#This Row],[PID]],Table5[[#All],[PID]],0))</f>
        <v>13</v>
      </c>
      <c r="BJ601" s="45">
        <f>INDEX(Table5[[#All],[Pick]],MATCH(Table3[[#This Row],[PID]],Table5[[#All],[PID]],0))</f>
        <v>15</v>
      </c>
      <c r="BK601" s="45" t="str">
        <f>INDEX(Table5[[#All],[Team]],MATCH(Table3[[#This Row],[PID]],Table5[[#All],[PID]],0))</f>
        <v>Kentucky Thoroughbreds</v>
      </c>
      <c r="BL6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2" spans="1:64" ht="15" customHeight="1" x14ac:dyDescent="0.25">
      <c r="A602" s="40">
        <v>18348</v>
      </c>
      <c r="B602" s="40" t="s">
        <v>24</v>
      </c>
      <c r="C602" s="40" t="s">
        <v>123</v>
      </c>
      <c r="D602" s="40" t="s">
        <v>717</v>
      </c>
      <c r="E602" s="40">
        <v>18</v>
      </c>
      <c r="F602" s="40" t="s">
        <v>42</v>
      </c>
      <c r="G602" s="40" t="s">
        <v>53</v>
      </c>
      <c r="H602" s="41" t="s">
        <v>647</v>
      </c>
      <c r="I602" s="42" t="s">
        <v>43</v>
      </c>
      <c r="J602" s="40" t="s">
        <v>47</v>
      </c>
      <c r="K602" s="41" t="s">
        <v>43</v>
      </c>
      <c r="L602" s="40">
        <v>1</v>
      </c>
      <c r="M602" s="40">
        <v>2</v>
      </c>
      <c r="N602" s="41">
        <v>2</v>
      </c>
      <c r="O602" s="40">
        <v>4</v>
      </c>
      <c r="P602" s="40">
        <v>2</v>
      </c>
      <c r="Q602" s="41">
        <v>6</v>
      </c>
      <c r="R602" s="40">
        <v>3</v>
      </c>
      <c r="S602" s="40">
        <v>5</v>
      </c>
      <c r="T602" s="40">
        <v>1</v>
      </c>
      <c r="U602" s="40">
        <v>2</v>
      </c>
      <c r="V602" s="40" t="s">
        <v>45</v>
      </c>
      <c r="W602" s="40" t="s">
        <v>45</v>
      </c>
      <c r="X602" s="40">
        <v>3</v>
      </c>
      <c r="Y602" s="40">
        <v>7</v>
      </c>
      <c r="Z602" s="40" t="s">
        <v>45</v>
      </c>
      <c r="AA602" s="40" t="s">
        <v>45</v>
      </c>
      <c r="AB602" s="40" t="s">
        <v>45</v>
      </c>
      <c r="AC602" s="40" t="s">
        <v>45</v>
      </c>
      <c r="AD602" s="40" t="s">
        <v>45</v>
      </c>
      <c r="AE602" s="40" t="s">
        <v>45</v>
      </c>
      <c r="AF602" s="40" t="s">
        <v>45</v>
      </c>
      <c r="AG602" s="40" t="s">
        <v>45</v>
      </c>
      <c r="AH602" s="40" t="s">
        <v>45</v>
      </c>
      <c r="AI602" s="40" t="s">
        <v>45</v>
      </c>
      <c r="AJ602" s="40" t="s">
        <v>45</v>
      </c>
      <c r="AK602" s="40" t="s">
        <v>45</v>
      </c>
      <c r="AL602" s="40" t="s">
        <v>45</v>
      </c>
      <c r="AM602" s="40" t="s">
        <v>45</v>
      </c>
      <c r="AN602" s="40" t="s">
        <v>45</v>
      </c>
      <c r="AO602" s="41" t="s">
        <v>45</v>
      </c>
      <c r="AP602" s="40" t="s">
        <v>68</v>
      </c>
      <c r="AQ602" s="40">
        <v>9</v>
      </c>
      <c r="AR602" s="48" t="s">
        <v>347</v>
      </c>
      <c r="AS602" s="43" t="s">
        <v>644</v>
      </c>
      <c r="AT602" s="43" t="s">
        <v>47</v>
      </c>
      <c r="AU602" s="44">
        <f t="shared" si="71"/>
        <v>-2.2637319554834323</v>
      </c>
      <c r="AV602" s="44">
        <f t="shared" si="72"/>
        <v>-0.26488096700239849</v>
      </c>
      <c r="AW602" s="45">
        <f t="shared" si="73"/>
        <v>3</v>
      </c>
      <c r="AX602" s="45">
        <f t="shared" si="74"/>
        <v>1</v>
      </c>
      <c r="AY602" s="46">
        <f>VLOOKUP(AP602,COND!$A$10:$B$32,2,FALSE)</f>
        <v>0.95</v>
      </c>
      <c r="AZ602" s="44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49.449652555412577</v>
      </c>
      <c r="BA602" s="47">
        <f t="shared" si="77"/>
        <v>0.90339853648745727</v>
      </c>
      <c r="BB602" s="45" t="str">
        <f t="shared" si="75"/>
        <v>SP</v>
      </c>
      <c r="BC602" s="45">
        <f>RANK(Table3[[#This Row],[zScore]],Table3[zScore])</f>
        <v>154</v>
      </c>
      <c r="BD602" s="45"/>
      <c r="BE602" s="45"/>
      <c r="BF602" s="45" t="str">
        <f t="shared" si="76"/>
        <v>Possible</v>
      </c>
      <c r="BG602" s="45"/>
      <c r="BH602" s="45">
        <f>INDEX(Table5[[#All],[Ovr]],MATCH(Table3[[#This Row],[PID]],Table5[[#All],[PID]],0))</f>
        <v>522</v>
      </c>
      <c r="BI602" s="45" t="str">
        <f>INDEX(Table5[[#All],[Rnd]],MATCH(Table3[[#This Row],[PID]],Table5[[#All],[PID]],0))</f>
        <v>18</v>
      </c>
      <c r="BJ602" s="45">
        <f>INDEX(Table5[[#All],[Pick]],MATCH(Table3[[#This Row],[PID]],Table5[[#All],[PID]],0))</f>
        <v>4</v>
      </c>
      <c r="BK602" s="45" t="str">
        <f>INDEX(Table5[[#All],[Team]],MATCH(Table3[[#This Row],[PID]],Table5[[#All],[PID]],0))</f>
        <v>Tempe Knights</v>
      </c>
      <c r="BL6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3" spans="1:64" ht="15" customHeight="1" x14ac:dyDescent="0.25">
      <c r="A603" s="40">
        <v>18315</v>
      </c>
      <c r="B603" s="40" t="s">
        <v>24</v>
      </c>
      <c r="C603" s="40" t="s">
        <v>1137</v>
      </c>
      <c r="D603" s="40" t="s">
        <v>1831</v>
      </c>
      <c r="E603" s="40">
        <v>21</v>
      </c>
      <c r="F603" s="40" t="s">
        <v>42</v>
      </c>
      <c r="G603" s="40" t="s">
        <v>42</v>
      </c>
      <c r="H603" s="41" t="s">
        <v>634</v>
      </c>
      <c r="I603" s="42" t="s">
        <v>43</v>
      </c>
      <c r="J603" s="40" t="s">
        <v>43</v>
      </c>
      <c r="K603" s="41" t="s">
        <v>43</v>
      </c>
      <c r="L603" s="40">
        <v>5</v>
      </c>
      <c r="M603" s="40">
        <v>2</v>
      </c>
      <c r="N603" s="41">
        <v>4</v>
      </c>
      <c r="O603" s="40">
        <v>7</v>
      </c>
      <c r="P603" s="40">
        <v>2</v>
      </c>
      <c r="Q603" s="41">
        <v>4</v>
      </c>
      <c r="R603" s="40">
        <v>7</v>
      </c>
      <c r="S603" s="40">
        <v>9</v>
      </c>
      <c r="T603" s="40">
        <v>3</v>
      </c>
      <c r="U603" s="40">
        <v>7</v>
      </c>
      <c r="V603" s="40">
        <v>3</v>
      </c>
      <c r="W603" s="40">
        <v>3</v>
      </c>
      <c r="X603" s="40">
        <v>5</v>
      </c>
      <c r="Y603" s="40">
        <v>7</v>
      </c>
      <c r="Z603" s="40" t="s">
        <v>45</v>
      </c>
      <c r="AA603" s="40" t="s">
        <v>45</v>
      </c>
      <c r="AB603" s="40" t="s">
        <v>45</v>
      </c>
      <c r="AC603" s="40" t="s">
        <v>45</v>
      </c>
      <c r="AD603" s="40" t="s">
        <v>45</v>
      </c>
      <c r="AE603" s="40" t="s">
        <v>45</v>
      </c>
      <c r="AF603" s="40" t="s">
        <v>45</v>
      </c>
      <c r="AG603" s="40" t="s">
        <v>45</v>
      </c>
      <c r="AH603" s="40" t="s">
        <v>45</v>
      </c>
      <c r="AI603" s="40" t="s">
        <v>45</v>
      </c>
      <c r="AJ603" s="40" t="s">
        <v>45</v>
      </c>
      <c r="AK603" s="40" t="s">
        <v>45</v>
      </c>
      <c r="AL603" s="40" t="s">
        <v>45</v>
      </c>
      <c r="AM603" s="40" t="s">
        <v>45</v>
      </c>
      <c r="AN603" s="40" t="s">
        <v>45</v>
      </c>
      <c r="AO603" s="41" t="s">
        <v>45</v>
      </c>
      <c r="AP603" s="40" t="s">
        <v>63</v>
      </c>
      <c r="AQ603" s="40">
        <v>9</v>
      </c>
      <c r="AR603" s="48" t="s">
        <v>14</v>
      </c>
      <c r="AS603" s="43" t="s">
        <v>1392</v>
      </c>
      <c r="AT603" s="43" t="s">
        <v>47</v>
      </c>
      <c r="AU603" s="44">
        <f t="shared" si="71"/>
        <v>-1.0003255253385175</v>
      </c>
      <c r="AV603" s="44">
        <f t="shared" si="72"/>
        <v>-0.16544812558309874</v>
      </c>
      <c r="AW603" s="45">
        <f t="shared" si="73"/>
        <v>4</v>
      </c>
      <c r="AX603" s="45">
        <f t="shared" si="74"/>
        <v>3</v>
      </c>
      <c r="AY603" s="46">
        <f>VLOOKUP(AP603,COND!$A$10:$B$32,2,FALSE)</f>
        <v>1.075</v>
      </c>
      <c r="AZ603" s="44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49.409045312015593</v>
      </c>
      <c r="BA603" s="47">
        <f t="shared" si="77"/>
        <v>0.90069699863654362</v>
      </c>
      <c r="BB603" s="45" t="str">
        <f t="shared" si="75"/>
        <v>SP</v>
      </c>
      <c r="BC603" s="45">
        <f>RANK(Table3[[#This Row],[zScore]],Table3[zScore])</f>
        <v>155</v>
      </c>
      <c r="BD603" s="45"/>
      <c r="BE603" s="45"/>
      <c r="BF603" s="45" t="str">
        <f t="shared" si="76"/>
        <v>Possible</v>
      </c>
      <c r="BG603" s="45"/>
      <c r="BH603" s="45">
        <f>INDEX(Table5[[#All],[Ovr]],MATCH(Table3[[#This Row],[PID]],Table5[[#All],[PID]],0))</f>
        <v>144</v>
      </c>
      <c r="BI603" s="45" t="str">
        <f>INDEX(Table5[[#All],[Rnd]],MATCH(Table3[[#This Row],[PID]],Table5[[#All],[PID]],0))</f>
        <v>5</v>
      </c>
      <c r="BJ603" s="45">
        <f>INDEX(Table5[[#All],[Pick]],MATCH(Table3[[#This Row],[PID]],Table5[[#All],[PID]],0))</f>
        <v>16</v>
      </c>
      <c r="BK603" s="45" t="str">
        <f>INDEX(Table5[[#All],[Team]],MATCH(Table3[[#This Row],[PID]],Table5[[#All],[PID]],0))</f>
        <v>San Antonio Calzones of Laredo</v>
      </c>
      <c r="BL6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4" spans="1:64" ht="15" customHeight="1" x14ac:dyDescent="0.25">
      <c r="A604" s="40">
        <v>18443</v>
      </c>
      <c r="B604" s="40" t="s">
        <v>24</v>
      </c>
      <c r="C604" s="40" t="s">
        <v>2002</v>
      </c>
      <c r="D604" s="40" t="s">
        <v>2003</v>
      </c>
      <c r="E604" s="40">
        <v>18</v>
      </c>
      <c r="F604" s="40" t="s">
        <v>42</v>
      </c>
      <c r="G604" s="40" t="s">
        <v>42</v>
      </c>
      <c r="H604" s="41" t="s">
        <v>647</v>
      </c>
      <c r="I604" s="42" t="s">
        <v>43</v>
      </c>
      <c r="J604" s="40" t="s">
        <v>43</v>
      </c>
      <c r="K604" s="41" t="s">
        <v>43</v>
      </c>
      <c r="L604" s="40">
        <v>1</v>
      </c>
      <c r="M604" s="40">
        <v>2</v>
      </c>
      <c r="N604" s="41">
        <v>1</v>
      </c>
      <c r="O604" s="40">
        <v>5</v>
      </c>
      <c r="P604" s="40">
        <v>4</v>
      </c>
      <c r="Q604" s="41">
        <v>3</v>
      </c>
      <c r="R604" s="40" t="s">
        <v>45</v>
      </c>
      <c r="S604" s="40" t="s">
        <v>45</v>
      </c>
      <c r="T604" s="40">
        <v>1</v>
      </c>
      <c r="U604" s="40">
        <v>6</v>
      </c>
      <c r="V604" s="40" t="s">
        <v>45</v>
      </c>
      <c r="W604" s="40" t="s">
        <v>45</v>
      </c>
      <c r="X604" s="40">
        <v>2</v>
      </c>
      <c r="Y604" s="40">
        <v>3</v>
      </c>
      <c r="Z604" s="40" t="s">
        <v>45</v>
      </c>
      <c r="AA604" s="40" t="s">
        <v>45</v>
      </c>
      <c r="AB604" s="40" t="s">
        <v>45</v>
      </c>
      <c r="AC604" s="40" t="s">
        <v>45</v>
      </c>
      <c r="AD604" s="40">
        <v>3</v>
      </c>
      <c r="AE604" s="40">
        <v>6</v>
      </c>
      <c r="AF604" s="40">
        <v>3</v>
      </c>
      <c r="AG604" s="40">
        <v>6</v>
      </c>
      <c r="AH604" s="40" t="s">
        <v>45</v>
      </c>
      <c r="AI604" s="40" t="s">
        <v>45</v>
      </c>
      <c r="AJ604" s="40" t="s">
        <v>45</v>
      </c>
      <c r="AK604" s="40" t="s">
        <v>45</v>
      </c>
      <c r="AL604" s="40" t="s">
        <v>45</v>
      </c>
      <c r="AM604" s="40" t="s">
        <v>45</v>
      </c>
      <c r="AN604" s="40" t="s">
        <v>45</v>
      </c>
      <c r="AO604" s="41" t="s">
        <v>45</v>
      </c>
      <c r="AP604" s="40" t="s">
        <v>57</v>
      </c>
      <c r="AQ604" s="40">
        <v>8</v>
      </c>
      <c r="AR604" s="48" t="s">
        <v>347</v>
      </c>
      <c r="AS604" s="43" t="s">
        <v>553</v>
      </c>
      <c r="AT604" s="43" t="s">
        <v>47</v>
      </c>
      <c r="AU604" s="44">
        <f t="shared" si="71"/>
        <v>-2.5060525215375429</v>
      </c>
      <c r="AV604" s="44">
        <f t="shared" si="72"/>
        <v>-0.40628790779544532</v>
      </c>
      <c r="AW604" s="45">
        <f t="shared" si="73"/>
        <v>4</v>
      </c>
      <c r="AX604" s="45">
        <f t="shared" si="74"/>
        <v>3</v>
      </c>
      <c r="AY604" s="46">
        <f>VLOOKUP(AP604,COND!$A$10:$B$32,2,FALSE)</f>
        <v>1</v>
      </c>
      <c r="AZ604" s="44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49.123031339783587</v>
      </c>
      <c r="BA604" s="47">
        <f t="shared" si="77"/>
        <v>0.88166892612442815</v>
      </c>
      <c r="BB604" s="45" t="str">
        <f t="shared" si="75"/>
        <v>SP</v>
      </c>
      <c r="BC604" s="45">
        <f>RANK(Table3[[#This Row],[zScore]],Table3[zScore])</f>
        <v>156</v>
      </c>
      <c r="BD604" s="45"/>
      <c r="BE604" s="45"/>
      <c r="BF604" s="45" t="str">
        <f t="shared" si="76"/>
        <v>Possible</v>
      </c>
      <c r="BG604" s="45"/>
      <c r="BH604" s="45">
        <f>INDEX(Table5[[#All],[Ovr]],MATCH(Table3[[#This Row],[PID]],Table5[[#All],[PID]],0))</f>
        <v>456</v>
      </c>
      <c r="BI604" s="45" t="str">
        <f>INDEX(Table5[[#All],[Rnd]],MATCH(Table3[[#This Row],[PID]],Table5[[#All],[PID]],0))</f>
        <v>15</v>
      </c>
      <c r="BJ604" s="45">
        <f>INDEX(Table5[[#All],[Pick]],MATCH(Table3[[#This Row],[PID]],Table5[[#All],[PID]],0))</f>
        <v>28</v>
      </c>
      <c r="BK604" s="45" t="str">
        <f>INDEX(Table5[[#All],[Team]],MATCH(Table3[[#This Row],[PID]],Table5[[#All],[PID]],0))</f>
        <v>San Juan Coqui</v>
      </c>
      <c r="BL6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5" spans="1:64" ht="15" customHeight="1" x14ac:dyDescent="0.25">
      <c r="A605" s="40">
        <v>18376</v>
      </c>
      <c r="B605" s="40" t="s">
        <v>24</v>
      </c>
      <c r="C605" s="40" t="s">
        <v>965</v>
      </c>
      <c r="D605" s="40" t="s">
        <v>605</v>
      </c>
      <c r="E605" s="40">
        <v>18</v>
      </c>
      <c r="F605" s="40" t="s">
        <v>62</v>
      </c>
      <c r="G605" s="40" t="s">
        <v>42</v>
      </c>
      <c r="H605" s="41" t="s">
        <v>638</v>
      </c>
      <c r="I605" s="42" t="s">
        <v>43</v>
      </c>
      <c r="J605" s="40" t="s">
        <v>43</v>
      </c>
      <c r="K605" s="41" t="s">
        <v>43</v>
      </c>
      <c r="L605" s="40">
        <v>2</v>
      </c>
      <c r="M605" s="40">
        <v>2</v>
      </c>
      <c r="N605" s="41">
        <v>2</v>
      </c>
      <c r="O605" s="40">
        <v>5</v>
      </c>
      <c r="P605" s="40">
        <v>3</v>
      </c>
      <c r="Q605" s="41">
        <v>4</v>
      </c>
      <c r="R605" s="40">
        <v>4</v>
      </c>
      <c r="S605" s="40">
        <v>7</v>
      </c>
      <c r="T605" s="40">
        <v>1</v>
      </c>
      <c r="U605" s="40">
        <v>5</v>
      </c>
      <c r="V605" s="40">
        <v>2</v>
      </c>
      <c r="W605" s="40">
        <v>5</v>
      </c>
      <c r="X605" s="40">
        <v>3</v>
      </c>
      <c r="Y605" s="40">
        <v>6</v>
      </c>
      <c r="Z605" s="40" t="s">
        <v>45</v>
      </c>
      <c r="AA605" s="40" t="s">
        <v>45</v>
      </c>
      <c r="AB605" s="40" t="s">
        <v>45</v>
      </c>
      <c r="AC605" s="40" t="s">
        <v>45</v>
      </c>
      <c r="AD605" s="40" t="s">
        <v>45</v>
      </c>
      <c r="AE605" s="40" t="s">
        <v>45</v>
      </c>
      <c r="AF605" s="40" t="s">
        <v>45</v>
      </c>
      <c r="AG605" s="40" t="s">
        <v>45</v>
      </c>
      <c r="AH605" s="40" t="s">
        <v>45</v>
      </c>
      <c r="AI605" s="40" t="s">
        <v>45</v>
      </c>
      <c r="AJ605" s="40" t="s">
        <v>45</v>
      </c>
      <c r="AK605" s="40" t="s">
        <v>45</v>
      </c>
      <c r="AL605" s="40" t="s">
        <v>45</v>
      </c>
      <c r="AM605" s="40" t="s">
        <v>45</v>
      </c>
      <c r="AN605" s="40" t="s">
        <v>45</v>
      </c>
      <c r="AO605" s="41" t="s">
        <v>45</v>
      </c>
      <c r="AP605" s="40" t="s">
        <v>58</v>
      </c>
      <c r="AQ605" s="40">
        <v>6</v>
      </c>
      <c r="AR605" s="48" t="s">
        <v>347</v>
      </c>
      <c r="AS605" s="43" t="s">
        <v>554</v>
      </c>
      <c r="AT605" s="43" t="s">
        <v>47</v>
      </c>
      <c r="AU605" s="44">
        <f t="shared" si="71"/>
        <v>-2.0690406309742588</v>
      </c>
      <c r="AV605" s="44">
        <f t="shared" si="72"/>
        <v>-0.35939905817139028</v>
      </c>
      <c r="AW605" s="45">
        <f t="shared" si="73"/>
        <v>4</v>
      </c>
      <c r="AX605" s="45">
        <f t="shared" si="74"/>
        <v>2</v>
      </c>
      <c r="AY605" s="46">
        <f>VLOOKUP(AP605,COND!$A$10:$B$32,2,FALSE)</f>
        <v>1</v>
      </c>
      <c r="AZ605" s="44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48.97575544261791</v>
      </c>
      <c r="BA605" s="47">
        <f t="shared" si="77"/>
        <v>0.87187088573959637</v>
      </c>
      <c r="BB605" s="45" t="str">
        <f t="shared" si="75"/>
        <v>SP</v>
      </c>
      <c r="BC605" s="45">
        <f>RANK(Table3[[#This Row],[zScore]],Table3[zScore])</f>
        <v>160</v>
      </c>
      <c r="BD605" s="45"/>
      <c r="BE605" s="45"/>
      <c r="BF605" s="45" t="str">
        <f t="shared" si="76"/>
        <v>Possible</v>
      </c>
      <c r="BG605" s="45"/>
      <c r="BH605" s="45">
        <f>INDEX(Table5[[#All],[Ovr]],MATCH(Table3[[#This Row],[PID]],Table5[[#All],[PID]],0))</f>
        <v>482</v>
      </c>
      <c r="BI605" s="45" t="str">
        <f>INDEX(Table5[[#All],[Rnd]],MATCH(Table3[[#This Row],[PID]],Table5[[#All],[PID]],0))</f>
        <v>16</v>
      </c>
      <c r="BJ605" s="45">
        <f>INDEX(Table5[[#All],[Pick]],MATCH(Table3[[#This Row],[PID]],Table5[[#All],[PID]],0))</f>
        <v>24</v>
      </c>
      <c r="BK605" s="45" t="str">
        <f>INDEX(Table5[[#All],[Team]],MATCH(Table3[[#This Row],[PID]],Table5[[#All],[PID]],0))</f>
        <v>Aurora Borealis</v>
      </c>
      <c r="BL60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6" spans="1:64" ht="15" customHeight="1" x14ac:dyDescent="0.25">
      <c r="A606" s="40">
        <v>18410</v>
      </c>
      <c r="B606" s="40" t="s">
        <v>24</v>
      </c>
      <c r="C606" s="40" t="s">
        <v>172</v>
      </c>
      <c r="D606" s="40" t="s">
        <v>1874</v>
      </c>
      <c r="E606" s="40">
        <v>18</v>
      </c>
      <c r="F606" s="40" t="s">
        <v>53</v>
      </c>
      <c r="G606" s="40" t="s">
        <v>53</v>
      </c>
      <c r="H606" s="41" t="s">
        <v>638</v>
      </c>
      <c r="I606" s="42" t="s">
        <v>43</v>
      </c>
      <c r="J606" s="40" t="s">
        <v>44</v>
      </c>
      <c r="K606" s="41" t="s">
        <v>43</v>
      </c>
      <c r="L606" s="40">
        <v>2</v>
      </c>
      <c r="M606" s="40">
        <v>3</v>
      </c>
      <c r="N606" s="41">
        <v>1</v>
      </c>
      <c r="O606" s="40">
        <v>4</v>
      </c>
      <c r="P606" s="40">
        <v>5</v>
      </c>
      <c r="Q606" s="41">
        <v>3</v>
      </c>
      <c r="R606" s="40" t="s">
        <v>45</v>
      </c>
      <c r="S606" s="40" t="s">
        <v>45</v>
      </c>
      <c r="T606" s="40">
        <v>1</v>
      </c>
      <c r="U606" s="40">
        <v>1</v>
      </c>
      <c r="V606" s="40">
        <v>2</v>
      </c>
      <c r="W606" s="40">
        <v>6</v>
      </c>
      <c r="X606" s="40" t="s">
        <v>45</v>
      </c>
      <c r="Y606" s="40" t="s">
        <v>45</v>
      </c>
      <c r="Z606" s="40" t="s">
        <v>45</v>
      </c>
      <c r="AA606" s="40" t="s">
        <v>45</v>
      </c>
      <c r="AB606" s="40" t="s">
        <v>45</v>
      </c>
      <c r="AC606" s="40" t="s">
        <v>45</v>
      </c>
      <c r="AD606" s="40">
        <v>4</v>
      </c>
      <c r="AE606" s="40">
        <v>6</v>
      </c>
      <c r="AF606" s="40">
        <v>4</v>
      </c>
      <c r="AG606" s="40">
        <v>6</v>
      </c>
      <c r="AH606" s="40" t="s">
        <v>45</v>
      </c>
      <c r="AI606" s="40" t="s">
        <v>45</v>
      </c>
      <c r="AJ606" s="40" t="s">
        <v>45</v>
      </c>
      <c r="AK606" s="40" t="s">
        <v>45</v>
      </c>
      <c r="AL606" s="40" t="s">
        <v>45</v>
      </c>
      <c r="AM606" s="40" t="s">
        <v>45</v>
      </c>
      <c r="AN606" s="40" t="s">
        <v>45</v>
      </c>
      <c r="AO606" s="41" t="s">
        <v>45</v>
      </c>
      <c r="AP606" s="40" t="s">
        <v>60</v>
      </c>
      <c r="AQ606" s="40">
        <v>8</v>
      </c>
      <c r="AR606" s="48" t="s">
        <v>346</v>
      </c>
      <c r="AS606" s="43" t="s">
        <v>553</v>
      </c>
      <c r="AT606" s="43" t="s">
        <v>635</v>
      </c>
      <c r="AU606" s="44">
        <f t="shared" si="71"/>
        <v>-2.1159294805983135</v>
      </c>
      <c r="AV606" s="44">
        <f t="shared" si="72"/>
        <v>-0.40554751587456339</v>
      </c>
      <c r="AW606" s="45">
        <f t="shared" si="73"/>
        <v>4</v>
      </c>
      <c r="AX606" s="45">
        <f t="shared" si="74"/>
        <v>3</v>
      </c>
      <c r="AY606" s="46">
        <f>VLOOKUP(AP606,COND!$A$10:$B$32,2,FALSE)</f>
        <v>1.0249999999999999</v>
      </c>
      <c r="AZ606" s="44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48.846260381048793</v>
      </c>
      <c r="BA606" s="47">
        <f t="shared" si="77"/>
        <v>0.8632557771759517</v>
      </c>
      <c r="BB606" s="45" t="str">
        <f t="shared" si="75"/>
        <v>SP</v>
      </c>
      <c r="BC606" s="45">
        <f>RANK(Table3[[#This Row],[zScore]],Table3[zScore])</f>
        <v>162</v>
      </c>
      <c r="BD606" s="45"/>
      <c r="BE606" s="45"/>
      <c r="BF606" s="45" t="str">
        <f t="shared" si="76"/>
        <v>Possible</v>
      </c>
      <c r="BG606" s="45"/>
      <c r="BH606" s="45">
        <f>INDEX(Table5[[#All],[Ovr]],MATCH(Table3[[#This Row],[PID]],Table5[[#All],[PID]],0))</f>
        <v>525</v>
      </c>
      <c r="BI606" s="45" t="str">
        <f>INDEX(Table5[[#All],[Rnd]],MATCH(Table3[[#This Row],[PID]],Table5[[#All],[PID]],0))</f>
        <v>18</v>
      </c>
      <c r="BJ606" s="45">
        <f>INDEX(Table5[[#All],[Pick]],MATCH(Table3[[#This Row],[PID]],Table5[[#All],[PID]],0))</f>
        <v>7</v>
      </c>
      <c r="BK606" s="45" t="str">
        <f>INDEX(Table5[[#All],[Team]],MATCH(Table3[[#This Row],[PID]],Table5[[#All],[PID]],0))</f>
        <v>Niihama-shi Ghosts</v>
      </c>
      <c r="BL6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7" spans="1:64" ht="15" customHeight="1" x14ac:dyDescent="0.25">
      <c r="A607" s="40">
        <v>18122</v>
      </c>
      <c r="B607" s="40" t="s">
        <v>24</v>
      </c>
      <c r="C607" s="40" t="s">
        <v>139</v>
      </c>
      <c r="D607" s="40" t="s">
        <v>609</v>
      </c>
      <c r="E607" s="40">
        <v>21</v>
      </c>
      <c r="F607" s="40" t="s">
        <v>42</v>
      </c>
      <c r="G607" s="40" t="s">
        <v>42</v>
      </c>
      <c r="H607" s="41" t="s">
        <v>638</v>
      </c>
      <c r="I607" s="42" t="s">
        <v>43</v>
      </c>
      <c r="J607" s="40" t="s">
        <v>43</v>
      </c>
      <c r="K607" s="41" t="s">
        <v>43</v>
      </c>
      <c r="L607" s="40">
        <v>3</v>
      </c>
      <c r="M607" s="40">
        <v>2</v>
      </c>
      <c r="N607" s="41">
        <v>1</v>
      </c>
      <c r="O607" s="40">
        <v>6</v>
      </c>
      <c r="P607" s="40">
        <v>4</v>
      </c>
      <c r="Q607" s="41">
        <v>3</v>
      </c>
      <c r="R607" s="40">
        <v>5</v>
      </c>
      <c r="S607" s="40">
        <v>9</v>
      </c>
      <c r="T607" s="40" t="s">
        <v>45</v>
      </c>
      <c r="U607" s="40" t="s">
        <v>45</v>
      </c>
      <c r="V607" s="40">
        <v>2</v>
      </c>
      <c r="W607" s="40">
        <v>3</v>
      </c>
      <c r="X607" s="40">
        <v>3</v>
      </c>
      <c r="Y607" s="40">
        <v>7</v>
      </c>
      <c r="Z607" s="40" t="s">
        <v>45</v>
      </c>
      <c r="AA607" s="40" t="s">
        <v>45</v>
      </c>
      <c r="AB607" s="40">
        <v>5</v>
      </c>
      <c r="AC607" s="40">
        <v>7</v>
      </c>
      <c r="AD607" s="40" t="s">
        <v>45</v>
      </c>
      <c r="AE607" s="40" t="s">
        <v>45</v>
      </c>
      <c r="AF607" s="40" t="s">
        <v>45</v>
      </c>
      <c r="AG607" s="40" t="s">
        <v>45</v>
      </c>
      <c r="AH607" s="40" t="s">
        <v>45</v>
      </c>
      <c r="AI607" s="40" t="s">
        <v>45</v>
      </c>
      <c r="AJ607" s="40" t="s">
        <v>45</v>
      </c>
      <c r="AK607" s="40" t="s">
        <v>45</v>
      </c>
      <c r="AL607" s="40" t="s">
        <v>45</v>
      </c>
      <c r="AM607" s="40" t="s">
        <v>45</v>
      </c>
      <c r="AN607" s="40" t="s">
        <v>45</v>
      </c>
      <c r="AO607" s="41" t="s">
        <v>45</v>
      </c>
      <c r="AP607" s="40" t="s">
        <v>48</v>
      </c>
      <c r="AQ607" s="40">
        <v>10</v>
      </c>
      <c r="AR607" s="48" t="s">
        <v>347</v>
      </c>
      <c r="AS607" s="43" t="s">
        <v>794</v>
      </c>
      <c r="AT607" s="43" t="s">
        <v>47</v>
      </c>
      <c r="AU607" s="44">
        <f t="shared" si="71"/>
        <v>-2.1166698725191955</v>
      </c>
      <c r="AV607" s="44">
        <f t="shared" si="72"/>
        <v>-0.21159658328627182</v>
      </c>
      <c r="AW607" s="45">
        <f t="shared" si="73"/>
        <v>4</v>
      </c>
      <c r="AX607" s="45">
        <f t="shared" si="74"/>
        <v>3</v>
      </c>
      <c r="AY607" s="46">
        <f>VLOOKUP(AP607,COND!$A$10:$B$32,2,FALSE)</f>
        <v>1.05</v>
      </c>
      <c r="AZ607" s="44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48.149471077759259</v>
      </c>
      <c r="BA607" s="47">
        <f t="shared" si="77"/>
        <v>0.81689944959799443</v>
      </c>
      <c r="BB607" s="45" t="str">
        <f t="shared" si="75"/>
        <v>SP</v>
      </c>
      <c r="BC607" s="45">
        <f>RANK(Table3[[#This Row],[zScore]],Table3[zScore])</f>
        <v>167</v>
      </c>
      <c r="BD607" s="45"/>
      <c r="BE607" s="45"/>
      <c r="BF607" s="45" t="str">
        <f t="shared" si="76"/>
        <v>Possible</v>
      </c>
      <c r="BG607" s="45"/>
      <c r="BH607" s="45">
        <f>INDEX(Table5[[#All],[Ovr]],MATCH(Table3[[#This Row],[PID]],Table5[[#All],[PID]],0))</f>
        <v>174</v>
      </c>
      <c r="BI607" s="45" t="str">
        <f>INDEX(Table5[[#All],[Rnd]],MATCH(Table3[[#This Row],[PID]],Table5[[#All],[PID]],0))</f>
        <v>6</v>
      </c>
      <c r="BJ607" s="45">
        <f>INDEX(Table5[[#All],[Pick]],MATCH(Table3[[#This Row],[PID]],Table5[[#All],[PID]],0))</f>
        <v>16</v>
      </c>
      <c r="BK607" s="45" t="str">
        <f>INDEX(Table5[[#All],[Team]],MATCH(Table3[[#This Row],[PID]],Table5[[#All],[PID]],0))</f>
        <v>San Antonio Calzones of Laredo</v>
      </c>
      <c r="BL6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8" spans="1:64" ht="15" customHeight="1" x14ac:dyDescent="0.25">
      <c r="A608" s="40">
        <v>17785</v>
      </c>
      <c r="B608" s="40" t="s">
        <v>24</v>
      </c>
      <c r="C608" s="40" t="s">
        <v>646</v>
      </c>
      <c r="D608" s="40" t="s">
        <v>1501</v>
      </c>
      <c r="E608" s="40">
        <v>21</v>
      </c>
      <c r="F608" s="40" t="s">
        <v>42</v>
      </c>
      <c r="G608" s="40" t="s">
        <v>42</v>
      </c>
      <c r="H608" s="41" t="s">
        <v>638</v>
      </c>
      <c r="I608" s="42" t="s">
        <v>44</v>
      </c>
      <c r="J608" s="40" t="s">
        <v>44</v>
      </c>
      <c r="K608" s="41" t="s">
        <v>43</v>
      </c>
      <c r="L608" s="40">
        <v>3</v>
      </c>
      <c r="M608" s="40">
        <v>2</v>
      </c>
      <c r="N608" s="41">
        <v>2</v>
      </c>
      <c r="O608" s="40">
        <v>5</v>
      </c>
      <c r="P608" s="40">
        <v>4</v>
      </c>
      <c r="Q608" s="41">
        <v>4</v>
      </c>
      <c r="R608" s="40">
        <v>5</v>
      </c>
      <c r="S608" s="40">
        <v>7</v>
      </c>
      <c r="T608" s="40" t="s">
        <v>45</v>
      </c>
      <c r="U608" s="40" t="s">
        <v>45</v>
      </c>
      <c r="V608" s="40">
        <v>3</v>
      </c>
      <c r="W608" s="40">
        <v>6</v>
      </c>
      <c r="X608" s="40">
        <v>3</v>
      </c>
      <c r="Y608" s="40">
        <v>7</v>
      </c>
      <c r="Z608" s="40" t="s">
        <v>45</v>
      </c>
      <c r="AA608" s="40" t="s">
        <v>45</v>
      </c>
      <c r="AB608" s="40" t="s">
        <v>45</v>
      </c>
      <c r="AC608" s="40" t="s">
        <v>45</v>
      </c>
      <c r="AD608" s="40" t="s">
        <v>45</v>
      </c>
      <c r="AE608" s="40" t="s">
        <v>45</v>
      </c>
      <c r="AF608" s="40" t="s">
        <v>45</v>
      </c>
      <c r="AG608" s="40" t="s">
        <v>45</v>
      </c>
      <c r="AH608" s="40" t="s">
        <v>45</v>
      </c>
      <c r="AI608" s="40" t="s">
        <v>45</v>
      </c>
      <c r="AJ608" s="40" t="s">
        <v>45</v>
      </c>
      <c r="AK608" s="40" t="s">
        <v>45</v>
      </c>
      <c r="AL608" s="40" t="s">
        <v>45</v>
      </c>
      <c r="AM608" s="40" t="s">
        <v>45</v>
      </c>
      <c r="AN608" s="40" t="s">
        <v>45</v>
      </c>
      <c r="AO608" s="41" t="s">
        <v>45</v>
      </c>
      <c r="AP608" s="40" t="s">
        <v>60</v>
      </c>
      <c r="AQ608" s="40">
        <v>6</v>
      </c>
      <c r="AR608" s="48" t="s">
        <v>347</v>
      </c>
      <c r="AS608" s="43" t="s">
        <v>1867</v>
      </c>
      <c r="AT608" s="43" t="s">
        <v>47</v>
      </c>
      <c r="AU608" s="44">
        <f t="shared" si="71"/>
        <v>-1.8743493064650851</v>
      </c>
      <c r="AV608" s="44">
        <f t="shared" si="72"/>
        <v>-0.16396734174133493</v>
      </c>
      <c r="AW608" s="45">
        <f t="shared" si="73"/>
        <v>3</v>
      </c>
      <c r="AX608" s="45">
        <f t="shared" si="74"/>
        <v>3</v>
      </c>
      <c r="AY608" s="46">
        <f>VLOOKUP(AP608,COND!$A$10:$B$32,2,FALSE)</f>
        <v>1.0249999999999999</v>
      </c>
      <c r="AZ608" s="44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48.144785939315355</v>
      </c>
      <c r="BA608" s="47">
        <f t="shared" si="77"/>
        <v>0.81658775449672294</v>
      </c>
      <c r="BB608" s="45" t="str">
        <f t="shared" si="75"/>
        <v>SP</v>
      </c>
      <c r="BC608" s="45">
        <f>RANK(Table3[[#This Row],[zScore]],Table3[zScore])</f>
        <v>168</v>
      </c>
      <c r="BD608" s="45"/>
      <c r="BE608" s="45"/>
      <c r="BF608" s="45" t="str">
        <f t="shared" si="76"/>
        <v>Possible</v>
      </c>
      <c r="BG608" s="45"/>
      <c r="BH608" s="45">
        <f>INDEX(Table5[[#All],[Ovr]],MATCH(Table3[[#This Row],[PID]],Table5[[#All],[PID]],0))</f>
        <v>259</v>
      </c>
      <c r="BI608" s="45" t="str">
        <f>INDEX(Table5[[#All],[Rnd]],MATCH(Table3[[#This Row],[PID]],Table5[[#All],[PID]],0))</f>
        <v>9</v>
      </c>
      <c r="BJ608" s="45">
        <f>INDEX(Table5[[#All],[Pick]],MATCH(Table3[[#This Row],[PID]],Table5[[#All],[PID]],0))</f>
        <v>11</v>
      </c>
      <c r="BK608" s="45" t="str">
        <f>INDEX(Table5[[#All],[Team]],MATCH(Table3[[#This Row],[PID]],Table5[[#All],[PID]],0))</f>
        <v>Duluth Warriors</v>
      </c>
      <c r="BL60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09" spans="1:64" ht="15" customHeight="1" x14ac:dyDescent="0.25">
      <c r="A609" s="40">
        <v>18303</v>
      </c>
      <c r="B609" s="40" t="s">
        <v>24</v>
      </c>
      <c r="C609" s="40" t="s">
        <v>141</v>
      </c>
      <c r="D609" s="40" t="s">
        <v>1853</v>
      </c>
      <c r="E609" s="40">
        <v>21</v>
      </c>
      <c r="F609" s="40" t="s">
        <v>42</v>
      </c>
      <c r="G609" s="40" t="s">
        <v>42</v>
      </c>
      <c r="H609" s="41" t="s">
        <v>638</v>
      </c>
      <c r="I609" s="42" t="s">
        <v>43</v>
      </c>
      <c r="J609" s="40" t="s">
        <v>43</v>
      </c>
      <c r="K609" s="41" t="s">
        <v>43</v>
      </c>
      <c r="L609" s="40">
        <v>3</v>
      </c>
      <c r="M609" s="40">
        <v>3</v>
      </c>
      <c r="N609" s="41">
        <v>4</v>
      </c>
      <c r="O609" s="40">
        <v>4</v>
      </c>
      <c r="P609" s="40">
        <v>5</v>
      </c>
      <c r="Q609" s="41">
        <v>4</v>
      </c>
      <c r="R609" s="40">
        <v>4</v>
      </c>
      <c r="S609" s="40">
        <v>5</v>
      </c>
      <c r="T609" s="40">
        <v>3</v>
      </c>
      <c r="U609" s="40">
        <v>6</v>
      </c>
      <c r="V609" s="40">
        <v>2</v>
      </c>
      <c r="W609" s="40">
        <v>2</v>
      </c>
      <c r="X609" s="40">
        <v>4</v>
      </c>
      <c r="Y609" s="40">
        <v>6</v>
      </c>
      <c r="Z609" s="40" t="s">
        <v>45</v>
      </c>
      <c r="AA609" s="40" t="s">
        <v>45</v>
      </c>
      <c r="AB609" s="40" t="s">
        <v>45</v>
      </c>
      <c r="AC609" s="40" t="s">
        <v>45</v>
      </c>
      <c r="AD609" s="40" t="s">
        <v>45</v>
      </c>
      <c r="AE609" s="40" t="s">
        <v>45</v>
      </c>
      <c r="AF609" s="40" t="s">
        <v>45</v>
      </c>
      <c r="AG609" s="40" t="s">
        <v>45</v>
      </c>
      <c r="AH609" s="40" t="s">
        <v>45</v>
      </c>
      <c r="AI609" s="40" t="s">
        <v>45</v>
      </c>
      <c r="AJ609" s="40" t="s">
        <v>45</v>
      </c>
      <c r="AK609" s="40" t="s">
        <v>45</v>
      </c>
      <c r="AL609" s="40" t="s">
        <v>45</v>
      </c>
      <c r="AM609" s="40" t="s">
        <v>45</v>
      </c>
      <c r="AN609" s="40" t="s">
        <v>45</v>
      </c>
      <c r="AO609" s="41" t="s">
        <v>45</v>
      </c>
      <c r="AP609" s="40" t="s">
        <v>349</v>
      </c>
      <c r="AQ609" s="40">
        <v>6</v>
      </c>
      <c r="AR609" s="48" t="s">
        <v>346</v>
      </c>
      <c r="AS609" s="43" t="s">
        <v>643</v>
      </c>
      <c r="AT609" s="43" t="s">
        <v>635</v>
      </c>
      <c r="AU609" s="44">
        <f t="shared" si="71"/>
        <v>-1.1942764579268088</v>
      </c>
      <c r="AV609" s="44">
        <f t="shared" si="72"/>
        <v>-0.16322694982045299</v>
      </c>
      <c r="AW609" s="45">
        <f t="shared" si="73"/>
        <v>4</v>
      </c>
      <c r="AX609" s="45">
        <f t="shared" si="74"/>
        <v>2</v>
      </c>
      <c r="AY609" s="46">
        <f>VLOOKUP(AP609,COND!$A$10:$B$32,2,FALSE)</f>
        <v>1</v>
      </c>
      <c r="AZ609" s="44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47.971690569205435</v>
      </c>
      <c r="BA609" s="47">
        <f t="shared" si="77"/>
        <v>0.80507198403187563</v>
      </c>
      <c r="BB609" s="45" t="str">
        <f t="shared" si="75"/>
        <v>SP</v>
      </c>
      <c r="BC609" s="45">
        <f>RANK(Table3[[#This Row],[zScore]],Table3[zScore])</f>
        <v>170</v>
      </c>
      <c r="BD609" s="45"/>
      <c r="BE609" s="45"/>
      <c r="BF609" s="45" t="str">
        <f t="shared" si="76"/>
        <v>Possible</v>
      </c>
      <c r="BG609" s="45"/>
      <c r="BH609" s="45">
        <f>INDEX(Table5[[#All],[Ovr]],MATCH(Table3[[#This Row],[PID]],Table5[[#All],[PID]],0))</f>
        <v>499</v>
      </c>
      <c r="BI609" s="45" t="str">
        <f>INDEX(Table5[[#All],[Rnd]],MATCH(Table3[[#This Row],[PID]],Table5[[#All],[PID]],0))</f>
        <v>17</v>
      </c>
      <c r="BJ609" s="45">
        <f>INDEX(Table5[[#All],[Pick]],MATCH(Table3[[#This Row],[PID]],Table5[[#All],[PID]],0))</f>
        <v>11</v>
      </c>
      <c r="BK609" s="45" t="str">
        <f>INDEX(Table5[[#All],[Team]],MATCH(Table3[[#This Row],[PID]],Table5[[#All],[PID]],0))</f>
        <v>Duluth Warriors</v>
      </c>
      <c r="BL60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0" spans="1:64" ht="15" customHeight="1" x14ac:dyDescent="0.25">
      <c r="A610" s="40">
        <v>18307</v>
      </c>
      <c r="B610" s="40" t="s">
        <v>24</v>
      </c>
      <c r="C610" s="40" t="s">
        <v>692</v>
      </c>
      <c r="D610" s="40" t="s">
        <v>379</v>
      </c>
      <c r="E610" s="40">
        <v>21</v>
      </c>
      <c r="F610" s="40" t="s">
        <v>42</v>
      </c>
      <c r="G610" s="40" t="s">
        <v>42</v>
      </c>
      <c r="H610" s="41" t="s">
        <v>638</v>
      </c>
      <c r="I610" s="42" t="s">
        <v>43</v>
      </c>
      <c r="J610" s="40" t="s">
        <v>43</v>
      </c>
      <c r="K610" s="41" t="s">
        <v>43</v>
      </c>
      <c r="L610" s="40">
        <v>3</v>
      </c>
      <c r="M610" s="40">
        <v>2</v>
      </c>
      <c r="N610" s="41">
        <v>3</v>
      </c>
      <c r="O610" s="40">
        <v>6</v>
      </c>
      <c r="P610" s="40">
        <v>4</v>
      </c>
      <c r="Q610" s="41">
        <v>3</v>
      </c>
      <c r="R610" s="40">
        <v>5</v>
      </c>
      <c r="S610" s="40">
        <v>8</v>
      </c>
      <c r="T610" s="40">
        <v>3</v>
      </c>
      <c r="U610" s="40">
        <v>6</v>
      </c>
      <c r="V610" s="40">
        <v>2</v>
      </c>
      <c r="W610" s="40">
        <v>3</v>
      </c>
      <c r="X610" s="40">
        <v>4</v>
      </c>
      <c r="Y610" s="40">
        <v>6</v>
      </c>
      <c r="Z610" s="40" t="s">
        <v>45</v>
      </c>
      <c r="AA610" s="40" t="s">
        <v>45</v>
      </c>
      <c r="AB610" s="40" t="s">
        <v>45</v>
      </c>
      <c r="AC610" s="40" t="s">
        <v>45</v>
      </c>
      <c r="AD610" s="40" t="s">
        <v>45</v>
      </c>
      <c r="AE610" s="40" t="s">
        <v>45</v>
      </c>
      <c r="AF610" s="40">
        <v>4</v>
      </c>
      <c r="AG610" s="40">
        <v>6</v>
      </c>
      <c r="AH610" s="40" t="s">
        <v>45</v>
      </c>
      <c r="AI610" s="40" t="s">
        <v>45</v>
      </c>
      <c r="AJ610" s="40" t="s">
        <v>45</v>
      </c>
      <c r="AK610" s="40" t="s">
        <v>45</v>
      </c>
      <c r="AL610" s="40" t="s">
        <v>45</v>
      </c>
      <c r="AM610" s="40" t="s">
        <v>45</v>
      </c>
      <c r="AN610" s="40" t="s">
        <v>45</v>
      </c>
      <c r="AO610" s="41" t="s">
        <v>45</v>
      </c>
      <c r="AP610" s="40" t="s">
        <v>54</v>
      </c>
      <c r="AQ610" s="40">
        <v>4</v>
      </c>
      <c r="AR610" s="48" t="s">
        <v>347</v>
      </c>
      <c r="AS610" s="43" t="s">
        <v>643</v>
      </c>
      <c r="AT610" s="43" t="s">
        <v>635</v>
      </c>
      <c r="AU610" s="44">
        <f t="shared" si="71"/>
        <v>-1.6320287404109748</v>
      </c>
      <c r="AV610" s="44">
        <f t="shared" si="72"/>
        <v>-0.21159658328627182</v>
      </c>
      <c r="AW610" s="45">
        <f t="shared" si="73"/>
        <v>5</v>
      </c>
      <c r="AX610" s="45">
        <f t="shared" si="74"/>
        <v>4</v>
      </c>
      <c r="AY610" s="46">
        <f>VLOOKUP(AP610,COND!$A$10:$B$32,2,FALSE)</f>
        <v>1.0249999999999999</v>
      </c>
      <c r="AZ610" s="44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47.864443943304821</v>
      </c>
      <c r="BA610" s="47">
        <f t="shared" si="77"/>
        <v>0.79793702989522497</v>
      </c>
      <c r="BB610" s="45" t="str">
        <f t="shared" si="75"/>
        <v>RP</v>
      </c>
      <c r="BC610" s="45">
        <f>RANK(Table3[[#This Row],[zScore]],Table3[zScore])</f>
        <v>171</v>
      </c>
      <c r="BD610" s="45"/>
      <c r="BE610" s="45"/>
      <c r="BF610" s="45" t="str">
        <f t="shared" si="76"/>
        <v>Possible</v>
      </c>
      <c r="BG610" s="45"/>
      <c r="BH610" s="45">
        <f>INDEX(Table5[[#All],[Ovr]],MATCH(Table3[[#This Row],[PID]],Table5[[#All],[PID]],0))</f>
        <v>345</v>
      </c>
      <c r="BI610" s="45" t="str">
        <f>INDEX(Table5[[#All],[Rnd]],MATCH(Table3[[#This Row],[PID]],Table5[[#All],[PID]],0))</f>
        <v>12</v>
      </c>
      <c r="BJ610" s="45">
        <f>INDEX(Table5[[#All],[Pick]],MATCH(Table3[[#This Row],[PID]],Table5[[#All],[PID]],0))</f>
        <v>7</v>
      </c>
      <c r="BK610" s="45" t="str">
        <f>INDEX(Table5[[#All],[Team]],MATCH(Table3[[#This Row],[PID]],Table5[[#All],[PID]],0))</f>
        <v>Niihama-shi Ghosts</v>
      </c>
      <c r="BL61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1" spans="1:64" ht="15" customHeight="1" x14ac:dyDescent="0.25">
      <c r="A611" s="40">
        <v>17612</v>
      </c>
      <c r="B611" s="40" t="s">
        <v>24</v>
      </c>
      <c r="C611" s="40" t="s">
        <v>341</v>
      </c>
      <c r="D611" s="40" t="s">
        <v>1907</v>
      </c>
      <c r="E611" s="40">
        <v>18</v>
      </c>
      <c r="F611" s="40" t="s">
        <v>53</v>
      </c>
      <c r="G611" s="40" t="s">
        <v>53</v>
      </c>
      <c r="H611" s="41" t="s">
        <v>639</v>
      </c>
      <c r="I611" s="42" t="s">
        <v>44</v>
      </c>
      <c r="J611" s="40" t="s">
        <v>43</v>
      </c>
      <c r="K611" s="41" t="s">
        <v>43</v>
      </c>
      <c r="L611" s="40">
        <v>1</v>
      </c>
      <c r="M611" s="40">
        <v>2</v>
      </c>
      <c r="N611" s="41">
        <v>1</v>
      </c>
      <c r="O611" s="40">
        <v>5</v>
      </c>
      <c r="P611" s="40">
        <v>4</v>
      </c>
      <c r="Q611" s="41">
        <v>3</v>
      </c>
      <c r="R611" s="40">
        <v>3</v>
      </c>
      <c r="S611" s="40">
        <v>5</v>
      </c>
      <c r="T611" s="40">
        <v>1</v>
      </c>
      <c r="U611" s="40">
        <v>2</v>
      </c>
      <c r="V611" s="40">
        <v>1</v>
      </c>
      <c r="W611" s="40">
        <v>7</v>
      </c>
      <c r="X611" s="40">
        <v>2</v>
      </c>
      <c r="Y611" s="40">
        <v>7</v>
      </c>
      <c r="Z611" s="40" t="s">
        <v>45</v>
      </c>
      <c r="AA611" s="40" t="s">
        <v>45</v>
      </c>
      <c r="AB611" s="40" t="s">
        <v>45</v>
      </c>
      <c r="AC611" s="40" t="s">
        <v>45</v>
      </c>
      <c r="AD611" s="40" t="s">
        <v>45</v>
      </c>
      <c r="AE611" s="40" t="s">
        <v>45</v>
      </c>
      <c r="AF611" s="40" t="s">
        <v>45</v>
      </c>
      <c r="AG611" s="40" t="s">
        <v>45</v>
      </c>
      <c r="AH611" s="40" t="s">
        <v>45</v>
      </c>
      <c r="AI611" s="40" t="s">
        <v>45</v>
      </c>
      <c r="AJ611" s="40" t="s">
        <v>45</v>
      </c>
      <c r="AK611" s="40" t="s">
        <v>45</v>
      </c>
      <c r="AL611" s="40" t="s">
        <v>45</v>
      </c>
      <c r="AM611" s="40" t="s">
        <v>45</v>
      </c>
      <c r="AN611" s="40" t="s">
        <v>45</v>
      </c>
      <c r="AO611" s="41" t="s">
        <v>45</v>
      </c>
      <c r="AP611" s="40" t="s">
        <v>64</v>
      </c>
      <c r="AQ611" s="40">
        <v>8</v>
      </c>
      <c r="AR611" s="48" t="s">
        <v>347</v>
      </c>
      <c r="AS611" s="43" t="s">
        <v>599</v>
      </c>
      <c r="AT611" s="43" t="s">
        <v>635</v>
      </c>
      <c r="AU611" s="44">
        <f t="shared" si="71"/>
        <v>-2.5060525215375429</v>
      </c>
      <c r="AV611" s="44">
        <f t="shared" si="72"/>
        <v>-0.40628790779544532</v>
      </c>
      <c r="AW611" s="45">
        <f t="shared" si="73"/>
        <v>4</v>
      </c>
      <c r="AX611" s="45">
        <f t="shared" si="74"/>
        <v>2</v>
      </c>
      <c r="AY611" s="46">
        <f>VLOOKUP(AP611,COND!$A$10:$B$32,2,FALSE)</f>
        <v>1</v>
      </c>
      <c r="AZ611" s="44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47.723031339783589</v>
      </c>
      <c r="BA611" s="47">
        <f t="shared" si="77"/>
        <v>0.78852906547680723</v>
      </c>
      <c r="BB611" s="45" t="str">
        <f t="shared" si="75"/>
        <v>SP</v>
      </c>
      <c r="BC611" s="45">
        <f>RANK(Table3[[#This Row],[zScore]],Table3[zScore])</f>
        <v>173</v>
      </c>
      <c r="BD611" s="45"/>
      <c r="BE611" s="45"/>
      <c r="BF611" s="45" t="str">
        <f t="shared" si="76"/>
        <v>Possible</v>
      </c>
      <c r="BG611" s="45"/>
      <c r="BH611" s="45">
        <f>INDEX(Table5[[#All],[Ovr]],MATCH(Table3[[#This Row],[PID]],Table5[[#All],[PID]],0))</f>
        <v>495</v>
      </c>
      <c r="BI611" s="45" t="str">
        <f>INDEX(Table5[[#All],[Rnd]],MATCH(Table3[[#This Row],[PID]],Table5[[#All],[PID]],0))</f>
        <v>17</v>
      </c>
      <c r="BJ611" s="45">
        <f>INDEX(Table5[[#All],[Pick]],MATCH(Table3[[#This Row],[PID]],Table5[[#All],[PID]],0))</f>
        <v>7</v>
      </c>
      <c r="BK611" s="45" t="str">
        <f>INDEX(Table5[[#All],[Team]],MATCH(Table3[[#This Row],[PID]],Table5[[#All],[PID]],0))</f>
        <v>Niihama-shi Ghosts</v>
      </c>
      <c r="BL6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2" spans="1:64" ht="15" customHeight="1" x14ac:dyDescent="0.25">
      <c r="A612" s="40">
        <v>18283</v>
      </c>
      <c r="B612" s="40" t="s">
        <v>24</v>
      </c>
      <c r="C612" s="40" t="s">
        <v>641</v>
      </c>
      <c r="D612" s="40" t="s">
        <v>1902</v>
      </c>
      <c r="E612" s="40">
        <v>21</v>
      </c>
      <c r="F612" s="40" t="s">
        <v>62</v>
      </c>
      <c r="G612" s="40" t="s">
        <v>42</v>
      </c>
      <c r="H612" s="41" t="s">
        <v>639</v>
      </c>
      <c r="I612" s="42" t="s">
        <v>43</v>
      </c>
      <c r="J612" s="40" t="s">
        <v>44</v>
      </c>
      <c r="K612" s="41" t="s">
        <v>43</v>
      </c>
      <c r="L612" s="40">
        <v>3</v>
      </c>
      <c r="M612" s="40">
        <v>3</v>
      </c>
      <c r="N612" s="41">
        <v>3</v>
      </c>
      <c r="O612" s="40">
        <v>4</v>
      </c>
      <c r="P612" s="40">
        <v>5</v>
      </c>
      <c r="Q612" s="41">
        <v>4</v>
      </c>
      <c r="R612" s="40">
        <v>5</v>
      </c>
      <c r="S612" s="40">
        <v>6</v>
      </c>
      <c r="T612" s="40">
        <v>4</v>
      </c>
      <c r="U612" s="40">
        <v>5</v>
      </c>
      <c r="V612" s="40">
        <v>2</v>
      </c>
      <c r="W612" s="40">
        <v>4</v>
      </c>
      <c r="X612" s="40">
        <v>4</v>
      </c>
      <c r="Y612" s="40">
        <v>6</v>
      </c>
      <c r="Z612" s="40" t="s">
        <v>45</v>
      </c>
      <c r="AA612" s="40" t="s">
        <v>45</v>
      </c>
      <c r="AB612" s="40" t="s">
        <v>45</v>
      </c>
      <c r="AC612" s="40" t="s">
        <v>45</v>
      </c>
      <c r="AD612" s="40" t="s">
        <v>45</v>
      </c>
      <c r="AE612" s="40" t="s">
        <v>45</v>
      </c>
      <c r="AF612" s="40" t="s">
        <v>45</v>
      </c>
      <c r="AG612" s="40" t="s">
        <v>45</v>
      </c>
      <c r="AH612" s="40" t="s">
        <v>45</v>
      </c>
      <c r="AI612" s="40" t="s">
        <v>45</v>
      </c>
      <c r="AJ612" s="40" t="s">
        <v>45</v>
      </c>
      <c r="AK612" s="40" t="s">
        <v>45</v>
      </c>
      <c r="AL612" s="40" t="s">
        <v>45</v>
      </c>
      <c r="AM612" s="40" t="s">
        <v>45</v>
      </c>
      <c r="AN612" s="40" t="s">
        <v>45</v>
      </c>
      <c r="AO612" s="41" t="s">
        <v>45</v>
      </c>
      <c r="AP612" s="40" t="s">
        <v>58</v>
      </c>
      <c r="AQ612" s="40">
        <v>10</v>
      </c>
      <c r="AR612" s="48" t="s">
        <v>347</v>
      </c>
      <c r="AS612" s="43" t="s">
        <v>45</v>
      </c>
      <c r="AT612" s="43" t="s">
        <v>635</v>
      </c>
      <c r="AU612" s="44">
        <f t="shared" si="71"/>
        <v>-1.4365970239809194</v>
      </c>
      <c r="AV612" s="44">
        <f t="shared" si="72"/>
        <v>-0.16322694982045299</v>
      </c>
      <c r="AW612" s="45">
        <f t="shared" si="73"/>
        <v>4</v>
      </c>
      <c r="AX612" s="45">
        <f t="shared" si="74"/>
        <v>2</v>
      </c>
      <c r="AY612" s="46">
        <f>VLOOKUP(AP612,COND!$A$10:$B$32,2,FALSE)</f>
        <v>1</v>
      </c>
      <c r="AZ612" s="44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47.648141598794751</v>
      </c>
      <c r="BA612" s="47">
        <f t="shared" si="77"/>
        <v>0.78354676544849533</v>
      </c>
      <c r="BB612" s="45" t="str">
        <f t="shared" si="75"/>
        <v>SP</v>
      </c>
      <c r="BC612" s="45">
        <f>RANK(Table3[[#This Row],[zScore]],Table3[zScore])</f>
        <v>174</v>
      </c>
      <c r="BD612" s="45"/>
      <c r="BE612" s="45"/>
      <c r="BF612" s="45" t="str">
        <f t="shared" si="76"/>
        <v>Possible</v>
      </c>
      <c r="BG612" s="45"/>
      <c r="BH612" s="45">
        <f>INDEX(Table5[[#All],[Ovr]],MATCH(Table3[[#This Row],[PID]],Table5[[#All],[PID]],0))</f>
        <v>343</v>
      </c>
      <c r="BI612" s="45" t="str">
        <f>INDEX(Table5[[#All],[Rnd]],MATCH(Table3[[#This Row],[PID]],Table5[[#All],[PID]],0))</f>
        <v>12</v>
      </c>
      <c r="BJ612" s="45">
        <f>INDEX(Table5[[#All],[Pick]],MATCH(Table3[[#This Row],[PID]],Table5[[#All],[PID]],0))</f>
        <v>5</v>
      </c>
      <c r="BK612" s="45" t="str">
        <f>INDEX(Table5[[#All],[Team]],MATCH(Table3[[#This Row],[PID]],Table5[[#All],[PID]],0))</f>
        <v>Okinawa Shisa</v>
      </c>
      <c r="BL6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3" spans="1:64" ht="15" customHeight="1" x14ac:dyDescent="0.25">
      <c r="A613" s="40">
        <v>18080</v>
      </c>
      <c r="B613" s="40" t="s">
        <v>24</v>
      </c>
      <c r="C613" s="40" t="s">
        <v>831</v>
      </c>
      <c r="D613" s="40" t="s">
        <v>133</v>
      </c>
      <c r="E613" s="40">
        <v>21</v>
      </c>
      <c r="F613" s="40" t="s">
        <v>53</v>
      </c>
      <c r="G613" s="40" t="s">
        <v>53</v>
      </c>
      <c r="H613" s="41" t="s">
        <v>638</v>
      </c>
      <c r="I613" s="42" t="s">
        <v>43</v>
      </c>
      <c r="J613" s="40" t="s">
        <v>43</v>
      </c>
      <c r="K613" s="41" t="s">
        <v>43</v>
      </c>
      <c r="L613" s="40">
        <v>2</v>
      </c>
      <c r="M613" s="40">
        <v>2</v>
      </c>
      <c r="N613" s="41">
        <v>1</v>
      </c>
      <c r="O613" s="40">
        <v>5</v>
      </c>
      <c r="P613" s="40">
        <v>5</v>
      </c>
      <c r="Q613" s="41">
        <v>3</v>
      </c>
      <c r="R613" s="40">
        <v>4</v>
      </c>
      <c r="S613" s="40">
        <v>6</v>
      </c>
      <c r="T613" s="40">
        <v>2</v>
      </c>
      <c r="U613" s="40">
        <v>7</v>
      </c>
      <c r="V613" s="40" t="s">
        <v>45</v>
      </c>
      <c r="W613" s="40" t="s">
        <v>45</v>
      </c>
      <c r="X613" s="40">
        <v>4</v>
      </c>
      <c r="Y613" s="40">
        <v>7</v>
      </c>
      <c r="Z613" s="40" t="s">
        <v>45</v>
      </c>
      <c r="AA613" s="40" t="s">
        <v>45</v>
      </c>
      <c r="AB613" s="40" t="s">
        <v>45</v>
      </c>
      <c r="AC613" s="40" t="s">
        <v>45</v>
      </c>
      <c r="AD613" s="40" t="s">
        <v>45</v>
      </c>
      <c r="AE613" s="40" t="s">
        <v>45</v>
      </c>
      <c r="AF613" s="40" t="s">
        <v>45</v>
      </c>
      <c r="AG613" s="40" t="s">
        <v>45</v>
      </c>
      <c r="AH613" s="40" t="s">
        <v>45</v>
      </c>
      <c r="AI613" s="40" t="s">
        <v>45</v>
      </c>
      <c r="AJ613" s="40" t="s">
        <v>45</v>
      </c>
      <c r="AK613" s="40" t="s">
        <v>45</v>
      </c>
      <c r="AL613" s="40" t="s">
        <v>45</v>
      </c>
      <c r="AM613" s="40" t="s">
        <v>45</v>
      </c>
      <c r="AN613" s="40" t="s">
        <v>45</v>
      </c>
      <c r="AO613" s="41" t="s">
        <v>45</v>
      </c>
      <c r="AP613" s="40" t="s">
        <v>350</v>
      </c>
      <c r="AQ613" s="40">
        <v>8</v>
      </c>
      <c r="AR613" s="48" t="s">
        <v>347</v>
      </c>
      <c r="AS613" s="43" t="s">
        <v>563</v>
      </c>
      <c r="AT613" s="43" t="s">
        <v>47</v>
      </c>
      <c r="AU613" s="44">
        <f t="shared" si="71"/>
        <v>-2.311361197028369</v>
      </c>
      <c r="AV613" s="44">
        <f t="shared" si="72"/>
        <v>-0.21085619136538991</v>
      </c>
      <c r="AW613" s="45">
        <f t="shared" si="73"/>
        <v>3</v>
      </c>
      <c r="AX613" s="45">
        <f t="shared" si="74"/>
        <v>3</v>
      </c>
      <c r="AY613" s="46">
        <f>VLOOKUP(AP613,COND!$A$10:$B$32,2,FALSE)</f>
        <v>1</v>
      </c>
      <c r="AZ613" s="44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47.570603933286527</v>
      </c>
      <c r="BA613" s="47">
        <f t="shared" si="77"/>
        <v>0.77838830304822548</v>
      </c>
      <c r="BB613" s="45" t="str">
        <f t="shared" si="75"/>
        <v>SP</v>
      </c>
      <c r="BC613" s="45">
        <f>RANK(Table3[[#This Row],[zScore]],Table3[zScore])</f>
        <v>176</v>
      </c>
      <c r="BD613" s="45"/>
      <c r="BE613" s="45"/>
      <c r="BF613" s="45" t="str">
        <f t="shared" si="76"/>
        <v>Possible</v>
      </c>
      <c r="BG613" s="45"/>
      <c r="BH613" s="45">
        <f>INDEX(Table5[[#All],[Ovr]],MATCH(Table3[[#This Row],[PID]],Table5[[#All],[PID]],0))</f>
        <v>264</v>
      </c>
      <c r="BI613" s="45" t="str">
        <f>INDEX(Table5[[#All],[Rnd]],MATCH(Table3[[#This Row],[PID]],Table5[[#All],[PID]],0))</f>
        <v>9</v>
      </c>
      <c r="BJ613" s="45">
        <f>INDEX(Table5[[#All],[Pick]],MATCH(Table3[[#This Row],[PID]],Table5[[#All],[PID]],0))</f>
        <v>16</v>
      </c>
      <c r="BK613" s="45" t="str">
        <f>INDEX(Table5[[#All],[Team]],MATCH(Table3[[#This Row],[PID]],Table5[[#All],[PID]],0))</f>
        <v>San Antonio Calzones of Laredo</v>
      </c>
      <c r="BL61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4" spans="1:64" ht="15" customHeight="1" x14ac:dyDescent="0.25">
      <c r="A614" s="40">
        <v>18427</v>
      </c>
      <c r="B614" s="40" t="s">
        <v>24</v>
      </c>
      <c r="C614" s="40" t="s">
        <v>1910</v>
      </c>
      <c r="D614" s="40" t="s">
        <v>1911</v>
      </c>
      <c r="E614" s="40">
        <v>18</v>
      </c>
      <c r="F614" s="40" t="s">
        <v>42</v>
      </c>
      <c r="G614" s="40" t="s">
        <v>42</v>
      </c>
      <c r="H614" s="41" t="s">
        <v>647</v>
      </c>
      <c r="I614" s="42" t="s">
        <v>43</v>
      </c>
      <c r="J614" s="40" t="s">
        <v>43</v>
      </c>
      <c r="K614" s="41" t="s">
        <v>43</v>
      </c>
      <c r="L614" s="40">
        <v>2</v>
      </c>
      <c r="M614" s="40">
        <v>2</v>
      </c>
      <c r="N614" s="41">
        <v>1</v>
      </c>
      <c r="O614" s="40">
        <v>5</v>
      </c>
      <c r="P614" s="40">
        <v>4</v>
      </c>
      <c r="Q614" s="41">
        <v>3</v>
      </c>
      <c r="R614" s="40">
        <v>4</v>
      </c>
      <c r="S614" s="40">
        <v>8</v>
      </c>
      <c r="T614" s="40">
        <v>1</v>
      </c>
      <c r="U614" s="40">
        <v>1</v>
      </c>
      <c r="V614" s="40">
        <v>2</v>
      </c>
      <c r="W614" s="40">
        <v>8</v>
      </c>
      <c r="X614" s="40" t="s">
        <v>45</v>
      </c>
      <c r="Y614" s="40" t="s">
        <v>45</v>
      </c>
      <c r="Z614" s="40" t="s">
        <v>45</v>
      </c>
      <c r="AA614" s="40" t="s">
        <v>45</v>
      </c>
      <c r="AB614" s="40" t="s">
        <v>45</v>
      </c>
      <c r="AC614" s="40" t="s">
        <v>45</v>
      </c>
      <c r="AD614" s="40" t="s">
        <v>45</v>
      </c>
      <c r="AE614" s="40" t="s">
        <v>45</v>
      </c>
      <c r="AF614" s="40" t="s">
        <v>45</v>
      </c>
      <c r="AG614" s="40" t="s">
        <v>45</v>
      </c>
      <c r="AH614" s="40" t="s">
        <v>45</v>
      </c>
      <c r="AI614" s="40" t="s">
        <v>45</v>
      </c>
      <c r="AJ614" s="40" t="s">
        <v>45</v>
      </c>
      <c r="AK614" s="40" t="s">
        <v>45</v>
      </c>
      <c r="AL614" s="40" t="s">
        <v>45</v>
      </c>
      <c r="AM614" s="40" t="s">
        <v>45</v>
      </c>
      <c r="AN614" s="40" t="s">
        <v>45</v>
      </c>
      <c r="AO614" s="41" t="s">
        <v>45</v>
      </c>
      <c r="AP614" s="40" t="s">
        <v>58</v>
      </c>
      <c r="AQ614" s="40">
        <v>6</v>
      </c>
      <c r="AR614" s="48" t="s">
        <v>347</v>
      </c>
      <c r="AS614" s="43" t="s">
        <v>656</v>
      </c>
      <c r="AT614" s="43" t="s">
        <v>635</v>
      </c>
      <c r="AU614" s="44">
        <f t="shared" si="71"/>
        <v>-2.311361197028369</v>
      </c>
      <c r="AV614" s="44">
        <f t="shared" si="72"/>
        <v>-0.40628790779544532</v>
      </c>
      <c r="AW614" s="45">
        <f t="shared" si="73"/>
        <v>3</v>
      </c>
      <c r="AX614" s="45">
        <f t="shared" si="74"/>
        <v>2</v>
      </c>
      <c r="AY614" s="46">
        <f>VLOOKUP(AP614,COND!$A$10:$B$32,2,FALSE)</f>
        <v>1</v>
      </c>
      <c r="AZ614" s="44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47.526670364568282</v>
      </c>
      <c r="BA614" s="47">
        <f t="shared" si="77"/>
        <v>0.77546546985667542</v>
      </c>
      <c r="BB614" s="45" t="str">
        <f t="shared" si="75"/>
        <v>SP</v>
      </c>
      <c r="BC614" s="45">
        <f>RANK(Table3[[#This Row],[zScore]],Table3[zScore])</f>
        <v>177</v>
      </c>
      <c r="BD614" s="45"/>
      <c r="BE614" s="45"/>
      <c r="BF614" s="45" t="str">
        <f t="shared" si="76"/>
        <v>Possible</v>
      </c>
      <c r="BG614" s="45"/>
      <c r="BH614" s="45">
        <f>INDEX(Table5[[#All],[Ovr]],MATCH(Table3[[#This Row],[PID]],Table5[[#All],[PID]],0))</f>
        <v>443</v>
      </c>
      <c r="BI614" s="45" t="str">
        <f>INDEX(Table5[[#All],[Rnd]],MATCH(Table3[[#This Row],[PID]],Table5[[#All],[PID]],0))</f>
        <v>15</v>
      </c>
      <c r="BJ614" s="45">
        <f>INDEX(Table5[[#All],[Pick]],MATCH(Table3[[#This Row],[PID]],Table5[[#All],[PID]],0))</f>
        <v>15</v>
      </c>
      <c r="BK614" s="45" t="str">
        <f>INDEX(Table5[[#All],[Team]],MATCH(Table3[[#This Row],[PID]],Table5[[#All],[PID]],0))</f>
        <v>Kentucky Thoroughbreds</v>
      </c>
      <c r="BL6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5" spans="1:64" ht="15" customHeight="1" x14ac:dyDescent="0.25">
      <c r="A615" s="40">
        <v>18363</v>
      </c>
      <c r="B615" s="40" t="s">
        <v>24</v>
      </c>
      <c r="C615" s="40" t="s">
        <v>1653</v>
      </c>
      <c r="D615" s="40" t="s">
        <v>1871</v>
      </c>
      <c r="E615" s="40">
        <v>18</v>
      </c>
      <c r="F615" s="40" t="s">
        <v>42</v>
      </c>
      <c r="G615" s="40" t="s">
        <v>42</v>
      </c>
      <c r="H615" s="41" t="s">
        <v>638</v>
      </c>
      <c r="I615" s="42" t="s">
        <v>43</v>
      </c>
      <c r="J615" s="40" t="s">
        <v>47</v>
      </c>
      <c r="K615" s="41" t="s">
        <v>43</v>
      </c>
      <c r="L615" s="40">
        <v>1</v>
      </c>
      <c r="M615" s="40">
        <v>2</v>
      </c>
      <c r="N615" s="41">
        <v>3</v>
      </c>
      <c r="O615" s="40">
        <v>4</v>
      </c>
      <c r="P615" s="40">
        <v>4</v>
      </c>
      <c r="Q615" s="41">
        <v>4</v>
      </c>
      <c r="R615" s="40">
        <v>3</v>
      </c>
      <c r="S615" s="40">
        <v>5</v>
      </c>
      <c r="T615" s="40">
        <v>1</v>
      </c>
      <c r="U615" s="40">
        <v>7</v>
      </c>
      <c r="V615" s="40" t="s">
        <v>45</v>
      </c>
      <c r="W615" s="40" t="s">
        <v>45</v>
      </c>
      <c r="X615" s="40" t="s">
        <v>45</v>
      </c>
      <c r="Y615" s="40" t="s">
        <v>45</v>
      </c>
      <c r="Z615" s="40" t="s">
        <v>45</v>
      </c>
      <c r="AA615" s="40" t="s">
        <v>45</v>
      </c>
      <c r="AB615" s="40" t="s">
        <v>45</v>
      </c>
      <c r="AC615" s="40" t="s">
        <v>45</v>
      </c>
      <c r="AD615" s="40">
        <v>3</v>
      </c>
      <c r="AE615" s="40">
        <v>5</v>
      </c>
      <c r="AF615" s="40" t="s">
        <v>45</v>
      </c>
      <c r="AG615" s="40" t="s">
        <v>45</v>
      </c>
      <c r="AH615" s="40" t="s">
        <v>45</v>
      </c>
      <c r="AI615" s="40" t="s">
        <v>45</v>
      </c>
      <c r="AJ615" s="40" t="s">
        <v>45</v>
      </c>
      <c r="AK615" s="40" t="s">
        <v>45</v>
      </c>
      <c r="AL615" s="40" t="s">
        <v>45</v>
      </c>
      <c r="AM615" s="40" t="s">
        <v>45</v>
      </c>
      <c r="AN615" s="40" t="s">
        <v>45</v>
      </c>
      <c r="AO615" s="41" t="s">
        <v>45</v>
      </c>
      <c r="AP615" s="40" t="s">
        <v>349</v>
      </c>
      <c r="AQ615" s="40">
        <v>9</v>
      </c>
      <c r="AR615" s="48" t="s">
        <v>14</v>
      </c>
      <c r="AS615" s="43" t="s">
        <v>554</v>
      </c>
      <c r="AT615" s="43" t="s">
        <v>635</v>
      </c>
      <c r="AU615" s="44">
        <f t="shared" si="71"/>
        <v>-2.0214113894293222</v>
      </c>
      <c r="AV615" s="44">
        <f t="shared" si="72"/>
        <v>-0.35865866625050846</v>
      </c>
      <c r="AW615" s="45">
        <f t="shared" si="73"/>
        <v>3</v>
      </c>
      <c r="AX615" s="45">
        <f t="shared" si="74"/>
        <v>1</v>
      </c>
      <c r="AY615" s="46">
        <f>VLOOKUP(AP615,COND!$A$10:$B$32,2,FALSE)</f>
        <v>1</v>
      </c>
      <c r="AZ615" s="44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47.472544397103967</v>
      </c>
      <c r="BA615" s="47">
        <f t="shared" si="77"/>
        <v>0.77186455195164394</v>
      </c>
      <c r="BB615" s="45" t="str">
        <f t="shared" si="75"/>
        <v>SP</v>
      </c>
      <c r="BC615" s="45">
        <f>RANK(Table3[[#This Row],[zScore]],Table3[zScore])</f>
        <v>178</v>
      </c>
      <c r="BD615" s="45"/>
      <c r="BE615" s="45"/>
      <c r="BF615" s="45" t="str">
        <f t="shared" si="76"/>
        <v>Possible</v>
      </c>
      <c r="BG615" s="45"/>
      <c r="BH615" s="45">
        <f>INDEX(Table5[[#All],[Ovr]],MATCH(Table3[[#This Row],[PID]],Table5[[#All],[PID]],0))</f>
        <v>496</v>
      </c>
      <c r="BI615" s="45" t="str">
        <f>INDEX(Table5[[#All],[Rnd]],MATCH(Table3[[#This Row],[PID]],Table5[[#All],[PID]],0))</f>
        <v>17</v>
      </c>
      <c r="BJ615" s="45">
        <f>INDEX(Table5[[#All],[Pick]],MATCH(Table3[[#This Row],[PID]],Table5[[#All],[PID]],0))</f>
        <v>8</v>
      </c>
      <c r="BK615" s="45" t="str">
        <f>INDEX(Table5[[#All],[Team]],MATCH(Table3[[#This Row],[PID]],Table5[[#All],[PID]],0))</f>
        <v>London Underground</v>
      </c>
      <c r="BL6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6" spans="1:64" ht="15" customHeight="1" x14ac:dyDescent="0.25">
      <c r="A616" s="40">
        <v>18170</v>
      </c>
      <c r="B616" s="40" t="s">
        <v>24</v>
      </c>
      <c r="C616" s="40" t="s">
        <v>188</v>
      </c>
      <c r="D616" s="40" t="s">
        <v>1837</v>
      </c>
      <c r="E616" s="40">
        <v>21</v>
      </c>
      <c r="F616" s="40" t="s">
        <v>53</v>
      </c>
      <c r="G616" s="40" t="s">
        <v>53</v>
      </c>
      <c r="H616" s="41" t="s">
        <v>634</v>
      </c>
      <c r="I616" s="42" t="s">
        <v>43</v>
      </c>
      <c r="J616" s="40" t="s">
        <v>44</v>
      </c>
      <c r="K616" s="41" t="s">
        <v>43</v>
      </c>
      <c r="L616" s="40">
        <v>2</v>
      </c>
      <c r="M616" s="40">
        <v>3</v>
      </c>
      <c r="N616" s="41">
        <v>1</v>
      </c>
      <c r="O616" s="40">
        <v>5</v>
      </c>
      <c r="P616" s="40">
        <v>5</v>
      </c>
      <c r="Q616" s="41">
        <v>3</v>
      </c>
      <c r="R616" s="40" t="s">
        <v>45</v>
      </c>
      <c r="S616" s="40" t="s">
        <v>45</v>
      </c>
      <c r="T616" s="40" t="s">
        <v>45</v>
      </c>
      <c r="U616" s="40" t="s">
        <v>45</v>
      </c>
      <c r="V616" s="40">
        <v>2</v>
      </c>
      <c r="W616" s="40">
        <v>7</v>
      </c>
      <c r="X616" s="40">
        <v>3</v>
      </c>
      <c r="Y616" s="40">
        <v>8</v>
      </c>
      <c r="Z616" s="40" t="s">
        <v>45</v>
      </c>
      <c r="AA616" s="40" t="s">
        <v>45</v>
      </c>
      <c r="AB616" s="40" t="s">
        <v>45</v>
      </c>
      <c r="AC616" s="40" t="s">
        <v>45</v>
      </c>
      <c r="AD616" s="40">
        <v>5</v>
      </c>
      <c r="AE616" s="40">
        <v>7</v>
      </c>
      <c r="AF616" s="40" t="s">
        <v>45</v>
      </c>
      <c r="AG616" s="40" t="s">
        <v>45</v>
      </c>
      <c r="AH616" s="40" t="s">
        <v>45</v>
      </c>
      <c r="AI616" s="40" t="s">
        <v>45</v>
      </c>
      <c r="AJ616" s="40" t="s">
        <v>45</v>
      </c>
      <c r="AK616" s="40" t="s">
        <v>45</v>
      </c>
      <c r="AL616" s="40" t="s">
        <v>45</v>
      </c>
      <c r="AM616" s="40" t="s">
        <v>45</v>
      </c>
      <c r="AN616" s="40" t="s">
        <v>45</v>
      </c>
      <c r="AO616" s="41" t="s">
        <v>45</v>
      </c>
      <c r="AP616" s="40" t="s">
        <v>54</v>
      </c>
      <c r="AQ616" s="40">
        <v>7</v>
      </c>
      <c r="AR616" s="48" t="s">
        <v>346</v>
      </c>
      <c r="AS616" s="43" t="s">
        <v>1838</v>
      </c>
      <c r="AT616" s="43" t="s">
        <v>47</v>
      </c>
      <c r="AU616" s="44">
        <f t="shared" si="71"/>
        <v>-2.1159294805983135</v>
      </c>
      <c r="AV616" s="44">
        <f t="shared" si="72"/>
        <v>-0.21085619136538991</v>
      </c>
      <c r="AW616" s="45">
        <f t="shared" si="73"/>
        <v>3</v>
      </c>
      <c r="AX616" s="45">
        <f t="shared" si="74"/>
        <v>3</v>
      </c>
      <c r="AY616" s="46">
        <f>VLOOKUP(AP616,COND!$A$10:$B$32,2,FALSE)</f>
        <v>1.0249999999999999</v>
      </c>
      <c r="AZ616" s="44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47.324932533486852</v>
      </c>
      <c r="BA616" s="47">
        <f t="shared" si="77"/>
        <v>0.76204416023219135</v>
      </c>
      <c r="BB616" s="45" t="str">
        <f t="shared" si="75"/>
        <v>SP</v>
      </c>
      <c r="BC616" s="45">
        <f>RANK(Table3[[#This Row],[zScore]],Table3[zScore])</f>
        <v>179</v>
      </c>
      <c r="BD616" s="45"/>
      <c r="BE616" s="45"/>
      <c r="BF616" s="45" t="str">
        <f t="shared" si="76"/>
        <v>Possible</v>
      </c>
      <c r="BG616" s="45"/>
      <c r="BH616" s="45">
        <f>INDEX(Table5[[#All],[Ovr]],MATCH(Table3[[#This Row],[PID]],Table5[[#All],[PID]],0))</f>
        <v>110</v>
      </c>
      <c r="BI616" s="45" t="str">
        <f>INDEX(Table5[[#All],[Rnd]],MATCH(Table3[[#This Row],[PID]],Table5[[#All],[PID]],0))</f>
        <v>4</v>
      </c>
      <c r="BJ616" s="45">
        <f>INDEX(Table5[[#All],[Pick]],MATCH(Table3[[#This Row],[PID]],Table5[[#All],[PID]],0))</f>
        <v>10</v>
      </c>
      <c r="BK616" s="45" t="str">
        <f>INDEX(Table5[[#All],[Team]],MATCH(Table3[[#This Row],[PID]],Table5[[#All],[PID]],0))</f>
        <v>Palm Springs Codgers</v>
      </c>
      <c r="BL6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7" spans="1:64" ht="15" customHeight="1" x14ac:dyDescent="0.25">
      <c r="A617" s="40">
        <v>18132</v>
      </c>
      <c r="B617" s="40" t="s">
        <v>24</v>
      </c>
      <c r="C617" s="40" t="s">
        <v>430</v>
      </c>
      <c r="D617" s="40" t="s">
        <v>853</v>
      </c>
      <c r="E617" s="40">
        <v>21</v>
      </c>
      <c r="F617" s="40" t="s">
        <v>53</v>
      </c>
      <c r="G617" s="40" t="s">
        <v>53</v>
      </c>
      <c r="H617" s="41" t="s">
        <v>638</v>
      </c>
      <c r="I617" s="42" t="s">
        <v>43</v>
      </c>
      <c r="J617" s="40" t="s">
        <v>47</v>
      </c>
      <c r="K617" s="41" t="s">
        <v>43</v>
      </c>
      <c r="L617" s="40">
        <v>3</v>
      </c>
      <c r="M617" s="40">
        <v>3</v>
      </c>
      <c r="N617" s="41">
        <v>1</v>
      </c>
      <c r="O617" s="40">
        <v>5</v>
      </c>
      <c r="P617" s="40">
        <v>5</v>
      </c>
      <c r="Q617" s="41">
        <v>3</v>
      </c>
      <c r="R617" s="40">
        <v>4</v>
      </c>
      <c r="S617" s="40">
        <v>5</v>
      </c>
      <c r="T617" s="40">
        <v>3</v>
      </c>
      <c r="U617" s="40">
        <v>6</v>
      </c>
      <c r="V617" s="40">
        <v>2</v>
      </c>
      <c r="W617" s="40">
        <v>2</v>
      </c>
      <c r="X617" s="40">
        <v>4</v>
      </c>
      <c r="Y617" s="40">
        <v>7</v>
      </c>
      <c r="Z617" s="40" t="s">
        <v>45</v>
      </c>
      <c r="AA617" s="40" t="s">
        <v>45</v>
      </c>
      <c r="AB617" s="40" t="s">
        <v>45</v>
      </c>
      <c r="AC617" s="40" t="s">
        <v>45</v>
      </c>
      <c r="AD617" s="40" t="s">
        <v>45</v>
      </c>
      <c r="AE617" s="40" t="s">
        <v>45</v>
      </c>
      <c r="AF617" s="40" t="s">
        <v>45</v>
      </c>
      <c r="AG617" s="40" t="s">
        <v>45</v>
      </c>
      <c r="AH617" s="40" t="s">
        <v>45</v>
      </c>
      <c r="AI617" s="40" t="s">
        <v>45</v>
      </c>
      <c r="AJ617" s="40" t="s">
        <v>45</v>
      </c>
      <c r="AK617" s="40" t="s">
        <v>45</v>
      </c>
      <c r="AL617" s="40" t="s">
        <v>45</v>
      </c>
      <c r="AM617" s="40" t="s">
        <v>45</v>
      </c>
      <c r="AN617" s="40" t="s">
        <v>45</v>
      </c>
      <c r="AO617" s="41" t="s">
        <v>45</v>
      </c>
      <c r="AP617" s="40" t="s">
        <v>57</v>
      </c>
      <c r="AQ617" s="40">
        <v>8</v>
      </c>
      <c r="AR617" s="48" t="s">
        <v>347</v>
      </c>
      <c r="AS617" s="43" t="s">
        <v>1846</v>
      </c>
      <c r="AT617" s="43" t="s">
        <v>47</v>
      </c>
      <c r="AU617" s="44">
        <f t="shared" si="71"/>
        <v>-1.9212381560891401</v>
      </c>
      <c r="AV617" s="44">
        <f t="shared" si="72"/>
        <v>-0.21085619136538991</v>
      </c>
      <c r="AW617" s="45">
        <f t="shared" si="73"/>
        <v>4</v>
      </c>
      <c r="AX617" s="45">
        <f t="shared" si="74"/>
        <v>2</v>
      </c>
      <c r="AY617" s="46">
        <f>VLOOKUP(AP617,COND!$A$10:$B$32,2,FALSE)</f>
        <v>1</v>
      </c>
      <c r="AZ617" s="44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47.198628541474378</v>
      </c>
      <c r="BA617" s="47">
        <f t="shared" si="77"/>
        <v>0.75364134864984844</v>
      </c>
      <c r="BB617" s="45" t="str">
        <f t="shared" si="75"/>
        <v>SP</v>
      </c>
      <c r="BC617" s="45">
        <f>RANK(Table3[[#This Row],[zScore]],Table3[zScore])</f>
        <v>180</v>
      </c>
      <c r="BD617" s="45"/>
      <c r="BE617" s="45"/>
      <c r="BF617" s="45" t="str">
        <f t="shared" si="76"/>
        <v>Possible</v>
      </c>
      <c r="BG617" s="45"/>
      <c r="BH617" s="45">
        <f>INDEX(Table5[[#All],[Ovr]],MATCH(Table3[[#This Row],[PID]],Table5[[#All],[PID]],0))</f>
        <v>437</v>
      </c>
      <c r="BI617" s="45" t="str">
        <f>INDEX(Table5[[#All],[Rnd]],MATCH(Table3[[#This Row],[PID]],Table5[[#All],[PID]],0))</f>
        <v>15</v>
      </c>
      <c r="BJ617" s="45">
        <f>INDEX(Table5[[#All],[Pick]],MATCH(Table3[[#This Row],[PID]],Table5[[#All],[PID]],0))</f>
        <v>9</v>
      </c>
      <c r="BK617" s="45" t="str">
        <f>INDEX(Table5[[#All],[Team]],MATCH(Table3[[#This Row],[PID]],Table5[[#All],[PID]],0))</f>
        <v>Scottish Claymores</v>
      </c>
      <c r="BL6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8" spans="1:64" ht="15" customHeight="1" x14ac:dyDescent="0.25">
      <c r="A618" s="40">
        <v>1232</v>
      </c>
      <c r="B618" s="40" t="s">
        <v>24</v>
      </c>
      <c r="C618" s="40" t="s">
        <v>390</v>
      </c>
      <c r="D618" s="40" t="s">
        <v>768</v>
      </c>
      <c r="E618" s="40">
        <v>18</v>
      </c>
      <c r="F618" s="40" t="s">
        <v>53</v>
      </c>
      <c r="G618" s="40" t="s">
        <v>53</v>
      </c>
      <c r="H618" s="41" t="s">
        <v>639</v>
      </c>
      <c r="I618" s="42" t="s">
        <v>44</v>
      </c>
      <c r="J618" s="40" t="s">
        <v>43</v>
      </c>
      <c r="K618" s="41" t="s">
        <v>44</v>
      </c>
      <c r="L618" s="40">
        <v>1</v>
      </c>
      <c r="M618" s="40">
        <v>3</v>
      </c>
      <c r="N618" s="41">
        <v>1</v>
      </c>
      <c r="O618" s="40">
        <v>6</v>
      </c>
      <c r="P618" s="40">
        <v>5</v>
      </c>
      <c r="Q618" s="41">
        <v>3</v>
      </c>
      <c r="R618" s="40">
        <v>3</v>
      </c>
      <c r="S618" s="40">
        <v>7</v>
      </c>
      <c r="T618" s="40" t="s">
        <v>45</v>
      </c>
      <c r="U618" s="40" t="s">
        <v>45</v>
      </c>
      <c r="V618" s="40" t="s">
        <v>45</v>
      </c>
      <c r="W618" s="40" t="s">
        <v>45</v>
      </c>
      <c r="X618" s="40">
        <v>2</v>
      </c>
      <c r="Y618" s="40">
        <v>9</v>
      </c>
      <c r="Z618" s="40" t="s">
        <v>45</v>
      </c>
      <c r="AA618" s="40" t="s">
        <v>45</v>
      </c>
      <c r="AB618" s="40" t="s">
        <v>45</v>
      </c>
      <c r="AC618" s="40" t="s">
        <v>45</v>
      </c>
      <c r="AD618" s="40" t="s">
        <v>45</v>
      </c>
      <c r="AE618" s="40" t="s">
        <v>45</v>
      </c>
      <c r="AF618" s="40" t="s">
        <v>45</v>
      </c>
      <c r="AG618" s="40" t="s">
        <v>45</v>
      </c>
      <c r="AH618" s="40" t="s">
        <v>45</v>
      </c>
      <c r="AI618" s="40" t="s">
        <v>45</v>
      </c>
      <c r="AJ618" s="40" t="s">
        <v>45</v>
      </c>
      <c r="AK618" s="40" t="s">
        <v>45</v>
      </c>
      <c r="AL618" s="40" t="s">
        <v>45</v>
      </c>
      <c r="AM618" s="40" t="s">
        <v>45</v>
      </c>
      <c r="AN618" s="40" t="s">
        <v>45</v>
      </c>
      <c r="AO618" s="41" t="s">
        <v>45</v>
      </c>
      <c r="AP618" s="40" t="s">
        <v>349</v>
      </c>
      <c r="AQ618" s="40">
        <v>6</v>
      </c>
      <c r="AR618" s="48" t="s">
        <v>346</v>
      </c>
      <c r="AS618" s="43" t="s">
        <v>663</v>
      </c>
      <c r="AT618" s="43" t="s">
        <v>635</v>
      </c>
      <c r="AU618" s="44">
        <f t="shared" si="71"/>
        <v>-2.310620805107487</v>
      </c>
      <c r="AV618" s="44">
        <f t="shared" si="72"/>
        <v>-1.6164866856216389E-2</v>
      </c>
      <c r="AW618" s="45">
        <f t="shared" si="73"/>
        <v>2</v>
      </c>
      <c r="AX618" s="45">
        <f t="shared" si="74"/>
        <v>2</v>
      </c>
      <c r="AY618" s="46">
        <f>VLOOKUP(AP618,COND!$A$10:$B$32,2,FALSE)</f>
        <v>1</v>
      </c>
      <c r="AZ618" s="44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47.196714039307821</v>
      </c>
      <c r="BA618" s="47">
        <f t="shared" si="77"/>
        <v>0.7535139797462751</v>
      </c>
      <c r="BB618" s="45" t="str">
        <f t="shared" si="75"/>
        <v>RP</v>
      </c>
      <c r="BC618" s="45">
        <f>RANK(Table3[[#This Row],[zScore]],Table3[zScore])</f>
        <v>181</v>
      </c>
      <c r="BD618" s="45"/>
      <c r="BE618" s="45"/>
      <c r="BF618" s="45" t="str">
        <f t="shared" si="76"/>
        <v>Possible</v>
      </c>
      <c r="BG618" s="45"/>
      <c r="BH618" s="45">
        <f>INDEX(Table5[[#All],[Ovr]],MATCH(Table3[[#This Row],[PID]],Table5[[#All],[PID]],0))</f>
        <v>224</v>
      </c>
      <c r="BI618" s="45" t="str">
        <f>INDEX(Table5[[#All],[Rnd]],MATCH(Table3[[#This Row],[PID]],Table5[[#All],[PID]],0))</f>
        <v>8</v>
      </c>
      <c r="BJ618" s="45">
        <f>INDEX(Table5[[#All],[Pick]],MATCH(Table3[[#This Row],[PID]],Table5[[#All],[PID]],0))</f>
        <v>6</v>
      </c>
      <c r="BK618" s="45" t="str">
        <f>INDEX(Table5[[#All],[Team]],MATCH(Table3[[#This Row],[PID]],Table5[[#All],[PID]],0))</f>
        <v>Manchester Maulers</v>
      </c>
      <c r="BL61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19" spans="1:64" ht="15" customHeight="1" x14ac:dyDescent="0.25">
      <c r="A619" s="40">
        <v>18218</v>
      </c>
      <c r="B619" s="40" t="s">
        <v>24</v>
      </c>
      <c r="C619" s="40" t="s">
        <v>377</v>
      </c>
      <c r="D619" s="40" t="s">
        <v>699</v>
      </c>
      <c r="E619" s="40">
        <v>18</v>
      </c>
      <c r="F619" s="40" t="s">
        <v>42</v>
      </c>
      <c r="G619" s="40" t="s">
        <v>42</v>
      </c>
      <c r="H619" s="41" t="s">
        <v>638</v>
      </c>
      <c r="I619" s="42" t="s">
        <v>43</v>
      </c>
      <c r="J619" s="40" t="s">
        <v>43</v>
      </c>
      <c r="K619" s="41" t="s">
        <v>43</v>
      </c>
      <c r="L619" s="40">
        <v>2</v>
      </c>
      <c r="M619" s="40">
        <v>2</v>
      </c>
      <c r="N619" s="41">
        <v>1</v>
      </c>
      <c r="O619" s="40">
        <v>4</v>
      </c>
      <c r="P619" s="40">
        <v>4</v>
      </c>
      <c r="Q619" s="41">
        <v>4</v>
      </c>
      <c r="R619" s="40">
        <v>3</v>
      </c>
      <c r="S619" s="40">
        <v>5</v>
      </c>
      <c r="T619" s="40" t="s">
        <v>45</v>
      </c>
      <c r="U619" s="40" t="s">
        <v>45</v>
      </c>
      <c r="V619" s="40" t="s">
        <v>45</v>
      </c>
      <c r="W619" s="40" t="s">
        <v>45</v>
      </c>
      <c r="X619" s="40">
        <v>2</v>
      </c>
      <c r="Y619" s="40">
        <v>6</v>
      </c>
      <c r="Z619" s="40" t="s">
        <v>45</v>
      </c>
      <c r="AA619" s="40" t="s">
        <v>45</v>
      </c>
      <c r="AB619" s="40">
        <v>3</v>
      </c>
      <c r="AC619" s="40">
        <v>5</v>
      </c>
      <c r="AD619" s="40" t="s">
        <v>45</v>
      </c>
      <c r="AE619" s="40" t="s">
        <v>45</v>
      </c>
      <c r="AF619" s="40" t="s">
        <v>45</v>
      </c>
      <c r="AG619" s="40" t="s">
        <v>45</v>
      </c>
      <c r="AH619" s="40" t="s">
        <v>45</v>
      </c>
      <c r="AI619" s="40" t="s">
        <v>45</v>
      </c>
      <c r="AJ619" s="40" t="s">
        <v>45</v>
      </c>
      <c r="AK619" s="40" t="s">
        <v>45</v>
      </c>
      <c r="AL619" s="40" t="s">
        <v>45</v>
      </c>
      <c r="AM619" s="40" t="s">
        <v>45</v>
      </c>
      <c r="AN619" s="40" t="s">
        <v>45</v>
      </c>
      <c r="AO619" s="41" t="s">
        <v>45</v>
      </c>
      <c r="AP619" s="40" t="s">
        <v>350</v>
      </c>
      <c r="AQ619" s="40">
        <v>9</v>
      </c>
      <c r="AR619" s="48" t="s">
        <v>347</v>
      </c>
      <c r="AS619" s="43" t="s">
        <v>553</v>
      </c>
      <c r="AT619" s="43" t="s">
        <v>635</v>
      </c>
      <c r="AU619" s="44">
        <f t="shared" si="71"/>
        <v>-2.311361197028369</v>
      </c>
      <c r="AV619" s="44">
        <f t="shared" si="72"/>
        <v>-0.35865866625050846</v>
      </c>
      <c r="AW619" s="45">
        <f t="shared" si="73"/>
        <v>3</v>
      </c>
      <c r="AX619" s="45">
        <f t="shared" si="74"/>
        <v>1</v>
      </c>
      <c r="AY619" s="46">
        <f>VLOOKUP(AP619,COND!$A$10:$B$32,2,FALSE)</f>
        <v>1</v>
      </c>
      <c r="AZ619" s="44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47.114554435584154</v>
      </c>
      <c r="BA619" s="47">
        <f t="shared" si="77"/>
        <v>0.74804802685935645</v>
      </c>
      <c r="BB619" s="45" t="str">
        <f t="shared" si="75"/>
        <v>SP</v>
      </c>
      <c r="BC619" s="45">
        <f>RANK(Table3[[#This Row],[zScore]],Table3[zScore])</f>
        <v>182</v>
      </c>
      <c r="BD619" s="45"/>
      <c r="BE619" s="45"/>
      <c r="BF619" s="45" t="str">
        <f t="shared" si="76"/>
        <v>Possible</v>
      </c>
      <c r="BG619" s="45"/>
      <c r="BH619" s="45">
        <f>INDEX(Table5[[#All],[Ovr]],MATCH(Table3[[#This Row],[PID]],Table5[[#All],[PID]],0))</f>
        <v>376</v>
      </c>
      <c r="BI619" s="45" t="str">
        <f>INDEX(Table5[[#All],[Rnd]],MATCH(Table3[[#This Row],[PID]],Table5[[#All],[PID]],0))</f>
        <v>13</v>
      </c>
      <c r="BJ619" s="45">
        <f>INDEX(Table5[[#All],[Pick]],MATCH(Table3[[#This Row],[PID]],Table5[[#All],[PID]],0))</f>
        <v>8</v>
      </c>
      <c r="BK619" s="45" t="str">
        <f>INDEX(Table5[[#All],[Team]],MATCH(Table3[[#This Row],[PID]],Table5[[#All],[PID]],0))</f>
        <v>London Underground</v>
      </c>
      <c r="BL6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0" spans="1:64" ht="15" customHeight="1" x14ac:dyDescent="0.25">
      <c r="A620" s="40">
        <v>20827</v>
      </c>
      <c r="B620" s="40" t="s">
        <v>24</v>
      </c>
      <c r="C620" s="40" t="s">
        <v>615</v>
      </c>
      <c r="D620" s="40" t="s">
        <v>207</v>
      </c>
      <c r="E620" s="40">
        <v>17</v>
      </c>
      <c r="F620" s="40" t="s">
        <v>53</v>
      </c>
      <c r="G620" s="40" t="s">
        <v>53</v>
      </c>
      <c r="H620" s="41" t="s">
        <v>647</v>
      </c>
      <c r="I620" s="42" t="s">
        <v>43</v>
      </c>
      <c r="J620" s="40" t="s">
        <v>43</v>
      </c>
      <c r="K620" s="41" t="s">
        <v>43</v>
      </c>
      <c r="L620" s="40">
        <v>1</v>
      </c>
      <c r="M620" s="40">
        <v>1</v>
      </c>
      <c r="N620" s="41">
        <v>1</v>
      </c>
      <c r="O620" s="40">
        <v>5</v>
      </c>
      <c r="P620" s="40">
        <v>3</v>
      </c>
      <c r="Q620" s="41">
        <v>4</v>
      </c>
      <c r="R620" s="40">
        <v>4</v>
      </c>
      <c r="S620" s="40">
        <v>6</v>
      </c>
      <c r="T620" s="40">
        <v>1</v>
      </c>
      <c r="U620" s="40">
        <v>1</v>
      </c>
      <c r="V620" s="40">
        <v>2</v>
      </c>
      <c r="W620" s="40">
        <v>9</v>
      </c>
      <c r="X620" s="40" t="s">
        <v>45</v>
      </c>
      <c r="Y620" s="40" t="s">
        <v>45</v>
      </c>
      <c r="Z620" s="40" t="s">
        <v>45</v>
      </c>
      <c r="AA620" s="40" t="s">
        <v>45</v>
      </c>
      <c r="AB620" s="40" t="s">
        <v>45</v>
      </c>
      <c r="AC620" s="40" t="s">
        <v>45</v>
      </c>
      <c r="AD620" s="40" t="s">
        <v>45</v>
      </c>
      <c r="AE620" s="40" t="s">
        <v>45</v>
      </c>
      <c r="AF620" s="40" t="s">
        <v>45</v>
      </c>
      <c r="AG620" s="40" t="s">
        <v>45</v>
      </c>
      <c r="AH620" s="40" t="s">
        <v>45</v>
      </c>
      <c r="AI620" s="40" t="s">
        <v>45</v>
      </c>
      <c r="AJ620" s="40" t="s">
        <v>45</v>
      </c>
      <c r="AK620" s="40" t="s">
        <v>45</v>
      </c>
      <c r="AL620" s="40" t="s">
        <v>45</v>
      </c>
      <c r="AM620" s="40" t="s">
        <v>45</v>
      </c>
      <c r="AN620" s="40" t="s">
        <v>45</v>
      </c>
      <c r="AO620" s="41" t="s">
        <v>45</v>
      </c>
      <c r="AP620" s="40" t="s">
        <v>57</v>
      </c>
      <c r="AQ620" s="40">
        <v>6</v>
      </c>
      <c r="AR620" s="48" t="s">
        <v>347</v>
      </c>
      <c r="AS620" s="43" t="s">
        <v>659</v>
      </c>
      <c r="AT620" s="43" t="s">
        <v>47</v>
      </c>
      <c r="AU620" s="44">
        <f t="shared" si="71"/>
        <v>-2.7014842379675978</v>
      </c>
      <c r="AV620" s="44">
        <f t="shared" si="72"/>
        <v>-0.35939905817139028</v>
      </c>
      <c r="AW620" s="45">
        <f t="shared" si="73"/>
        <v>3</v>
      </c>
      <c r="AX620" s="45">
        <f t="shared" si="74"/>
        <v>2</v>
      </c>
      <c r="AY620" s="46">
        <f>VLOOKUP(AP620,COND!$A$10:$B$32,2,FALSE)</f>
        <v>1</v>
      </c>
      <c r="AZ620" s="44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48.364928939254213</v>
      </c>
      <c r="BA620" s="47">
        <f>STANDARDIZE(AZ620,AVERAGE($AZ$5:$AZ$663),STDEVP($AZ$5:$AZ$663))</f>
        <v>0.72343584946605344</v>
      </c>
      <c r="BB620" s="45" t="str">
        <f t="shared" si="75"/>
        <v>SP</v>
      </c>
      <c r="BC620" s="45">
        <f>RANK(Table3[[#This Row],[zScore]],Table3[zScore])</f>
        <v>185</v>
      </c>
      <c r="BD620" s="45"/>
      <c r="BE620" s="45"/>
      <c r="BF620" s="45" t="str">
        <f t="shared" si="76"/>
        <v>Possible</v>
      </c>
      <c r="BG620" s="45"/>
      <c r="BH620" s="45">
        <f>INDEX(Table5[[#All],[Ovr]],MATCH(Table3[[#This Row],[PID]],Table5[[#All],[PID]],0))</f>
        <v>386</v>
      </c>
      <c r="BI620" s="45" t="str">
        <f>INDEX(Table5[[#All],[Rnd]],MATCH(Table3[[#This Row],[PID]],Table5[[#All],[PID]],0))</f>
        <v>13</v>
      </c>
      <c r="BJ620" s="45">
        <f>INDEX(Table5[[#All],[Pick]],MATCH(Table3[[#This Row],[PID]],Table5[[#All],[PID]],0))</f>
        <v>18</v>
      </c>
      <c r="BK620" s="45" t="str">
        <f>INDEX(Table5[[#All],[Team]],MATCH(Table3[[#This Row],[PID]],Table5[[#All],[PID]],0))</f>
        <v>Bakersfield Bears</v>
      </c>
      <c r="BL6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1" spans="1:64" ht="15" customHeight="1" x14ac:dyDescent="0.25">
      <c r="A621" s="40">
        <v>18162</v>
      </c>
      <c r="B621" s="40" t="s">
        <v>24</v>
      </c>
      <c r="C621" s="40" t="s">
        <v>691</v>
      </c>
      <c r="D621" s="40" t="s">
        <v>1423</v>
      </c>
      <c r="E621" s="40">
        <v>21</v>
      </c>
      <c r="F621" s="40" t="s">
        <v>62</v>
      </c>
      <c r="G621" s="40" t="s">
        <v>42</v>
      </c>
      <c r="H621" s="41" t="s">
        <v>638</v>
      </c>
      <c r="I621" s="42" t="s">
        <v>43</v>
      </c>
      <c r="J621" s="40" t="s">
        <v>44</v>
      </c>
      <c r="K621" s="41" t="s">
        <v>43</v>
      </c>
      <c r="L621" s="40">
        <v>3</v>
      </c>
      <c r="M621" s="40">
        <v>3</v>
      </c>
      <c r="N621" s="41">
        <v>2</v>
      </c>
      <c r="O621" s="40">
        <v>5</v>
      </c>
      <c r="P621" s="40">
        <v>5</v>
      </c>
      <c r="Q621" s="41">
        <v>3</v>
      </c>
      <c r="R621" s="40">
        <v>5</v>
      </c>
      <c r="S621" s="40">
        <v>7</v>
      </c>
      <c r="T621" s="40">
        <v>1</v>
      </c>
      <c r="U621" s="40">
        <v>5</v>
      </c>
      <c r="V621" s="40">
        <v>2</v>
      </c>
      <c r="W621" s="40">
        <v>4</v>
      </c>
      <c r="X621" s="40" t="s">
        <v>45</v>
      </c>
      <c r="Y621" s="40" t="s">
        <v>45</v>
      </c>
      <c r="Z621" s="40" t="s">
        <v>45</v>
      </c>
      <c r="AA621" s="40" t="s">
        <v>45</v>
      </c>
      <c r="AB621" s="40">
        <v>4</v>
      </c>
      <c r="AC621" s="40">
        <v>6</v>
      </c>
      <c r="AD621" s="40" t="s">
        <v>45</v>
      </c>
      <c r="AE621" s="40" t="s">
        <v>45</v>
      </c>
      <c r="AF621" s="40" t="s">
        <v>45</v>
      </c>
      <c r="AG621" s="40" t="s">
        <v>45</v>
      </c>
      <c r="AH621" s="40" t="s">
        <v>45</v>
      </c>
      <c r="AI621" s="40" t="s">
        <v>45</v>
      </c>
      <c r="AJ621" s="40" t="s">
        <v>45</v>
      </c>
      <c r="AK621" s="40" t="s">
        <v>45</v>
      </c>
      <c r="AL621" s="40" t="s">
        <v>45</v>
      </c>
      <c r="AM621" s="40" t="s">
        <v>45</v>
      </c>
      <c r="AN621" s="40" t="s">
        <v>45</v>
      </c>
      <c r="AO621" s="41" t="s">
        <v>45</v>
      </c>
      <c r="AP621" s="40" t="s">
        <v>54</v>
      </c>
      <c r="AQ621" s="40">
        <v>8</v>
      </c>
      <c r="AR621" s="48" t="s">
        <v>347</v>
      </c>
      <c r="AS621" s="43" t="s">
        <v>654</v>
      </c>
      <c r="AT621" s="43" t="s">
        <v>47</v>
      </c>
      <c r="AU621" s="44">
        <f t="shared" si="71"/>
        <v>-1.6789175900350299</v>
      </c>
      <c r="AV621" s="44">
        <f t="shared" si="72"/>
        <v>-0.21085619136538991</v>
      </c>
      <c r="AW621" s="45">
        <f t="shared" si="73"/>
        <v>4</v>
      </c>
      <c r="AX621" s="45">
        <f t="shared" si="74"/>
        <v>2</v>
      </c>
      <c r="AY621" s="46">
        <f>VLOOKUP(AP621,COND!$A$10:$B$32,2,FALSE)</f>
        <v>1.0249999999999999</v>
      </c>
      <c r="AZ621" s="44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46.645769971052324</v>
      </c>
      <c r="BA621" s="47">
        <f t="shared" ref="BA621:BA628" si="78">STANDARDIZE(AZ621,AVERAGE($AZ$5:$AZ$557),STDEVP($AZ$5:$AZ$557))</f>
        <v>0.7168605127877391</v>
      </c>
      <c r="BB621" s="45" t="str">
        <f t="shared" si="75"/>
        <v>SP</v>
      </c>
      <c r="BC621" s="45">
        <f>RANK(Table3[[#This Row],[zScore]],Table3[zScore])</f>
        <v>186</v>
      </c>
      <c r="BD621" s="45"/>
      <c r="BE621" s="45"/>
      <c r="BF621" s="45" t="str">
        <f t="shared" si="76"/>
        <v>Possible</v>
      </c>
      <c r="BG621" s="45"/>
      <c r="BH621" s="45">
        <f>INDEX(Table5[[#All],[Ovr]],MATCH(Table3[[#This Row],[PID]],Table5[[#All],[PID]],0))</f>
        <v>247</v>
      </c>
      <c r="BI621" s="45" t="str">
        <f>INDEX(Table5[[#All],[Rnd]],MATCH(Table3[[#This Row],[PID]],Table5[[#All],[PID]],0))</f>
        <v>8</v>
      </c>
      <c r="BJ621" s="45">
        <f>INDEX(Table5[[#All],[Pick]],MATCH(Table3[[#This Row],[PID]],Table5[[#All],[PID]],0))</f>
        <v>29</v>
      </c>
      <c r="BK621" s="45" t="str">
        <f>INDEX(Table5[[#All],[Team]],MATCH(Table3[[#This Row],[PID]],Table5[[#All],[PID]],0))</f>
        <v>Havana Leones</v>
      </c>
      <c r="BL62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2" spans="1:64" ht="15" customHeight="1" x14ac:dyDescent="0.25">
      <c r="A622" s="40">
        <v>18105</v>
      </c>
      <c r="B622" s="40" t="s">
        <v>24</v>
      </c>
      <c r="C622" s="40" t="s">
        <v>166</v>
      </c>
      <c r="D622" s="40" t="s">
        <v>1847</v>
      </c>
      <c r="E622" s="40">
        <v>21</v>
      </c>
      <c r="F622" s="40" t="s">
        <v>62</v>
      </c>
      <c r="G622" s="40" t="s">
        <v>53</v>
      </c>
      <c r="H622" s="41" t="s">
        <v>638</v>
      </c>
      <c r="I622" s="42" t="s">
        <v>43</v>
      </c>
      <c r="J622" s="40" t="s">
        <v>43</v>
      </c>
      <c r="K622" s="41" t="s">
        <v>43</v>
      </c>
      <c r="L622" s="40">
        <v>3</v>
      </c>
      <c r="M622" s="40">
        <v>3</v>
      </c>
      <c r="N622" s="41">
        <v>2</v>
      </c>
      <c r="O622" s="40">
        <v>6</v>
      </c>
      <c r="P622" s="40">
        <v>6</v>
      </c>
      <c r="Q622" s="41">
        <v>3</v>
      </c>
      <c r="R622" s="40">
        <v>6</v>
      </c>
      <c r="S622" s="40">
        <v>9</v>
      </c>
      <c r="T622" s="40" t="s">
        <v>45</v>
      </c>
      <c r="U622" s="40" t="s">
        <v>45</v>
      </c>
      <c r="V622" s="40" t="s">
        <v>45</v>
      </c>
      <c r="W622" s="40" t="s">
        <v>45</v>
      </c>
      <c r="X622" s="40" t="s">
        <v>45</v>
      </c>
      <c r="Y622" s="40" t="s">
        <v>45</v>
      </c>
      <c r="Z622" s="40" t="s">
        <v>45</v>
      </c>
      <c r="AA622" s="40" t="s">
        <v>45</v>
      </c>
      <c r="AB622" s="40">
        <v>4</v>
      </c>
      <c r="AC622" s="40">
        <v>8</v>
      </c>
      <c r="AD622" s="40" t="s">
        <v>45</v>
      </c>
      <c r="AE622" s="40" t="s">
        <v>45</v>
      </c>
      <c r="AF622" s="40" t="s">
        <v>45</v>
      </c>
      <c r="AG622" s="40" t="s">
        <v>45</v>
      </c>
      <c r="AH622" s="40" t="s">
        <v>45</v>
      </c>
      <c r="AI622" s="40" t="s">
        <v>45</v>
      </c>
      <c r="AJ622" s="40" t="s">
        <v>45</v>
      </c>
      <c r="AK622" s="40" t="s">
        <v>45</v>
      </c>
      <c r="AL622" s="40" t="s">
        <v>45</v>
      </c>
      <c r="AM622" s="40" t="s">
        <v>45</v>
      </c>
      <c r="AN622" s="40" t="s">
        <v>45</v>
      </c>
      <c r="AO622" s="41" t="s">
        <v>45</v>
      </c>
      <c r="AP622" s="40" t="s">
        <v>54</v>
      </c>
      <c r="AQ622" s="40">
        <v>4</v>
      </c>
      <c r="AR622" s="48" t="s">
        <v>346</v>
      </c>
      <c r="AS622" s="43" t="s">
        <v>643</v>
      </c>
      <c r="AT622" s="43" t="s">
        <v>47</v>
      </c>
      <c r="AU622" s="44">
        <f t="shared" si="71"/>
        <v>-1.6789175900350299</v>
      </c>
      <c r="AV622" s="44">
        <f t="shared" si="72"/>
        <v>0.17926684957383907</v>
      </c>
      <c r="AW622" s="45">
        <f t="shared" si="73"/>
        <v>2</v>
      </c>
      <c r="AX622" s="45">
        <f t="shared" si="74"/>
        <v>2</v>
      </c>
      <c r="AY622" s="46">
        <f>VLOOKUP(AP622,COND!$A$10:$B$32,2,FALSE)</f>
        <v>1.0249999999999999</v>
      </c>
      <c r="AZ622" s="44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46.572377694791193</v>
      </c>
      <c r="BA622" s="47">
        <f t="shared" si="78"/>
        <v>0.71197783679947235</v>
      </c>
      <c r="BB622" s="45" t="str">
        <f t="shared" si="75"/>
        <v>RP</v>
      </c>
      <c r="BC622" s="45">
        <f>RANK(Table3[[#This Row],[zScore]],Table3[zScore])</f>
        <v>187</v>
      </c>
      <c r="BD622" s="45"/>
      <c r="BE622" s="45"/>
      <c r="BF622" s="45" t="str">
        <f t="shared" si="76"/>
        <v>Possible</v>
      </c>
      <c r="BG622" s="45"/>
      <c r="BH622" s="45">
        <f>INDEX(Table5[[#All],[Ovr]],MATCH(Table3[[#This Row],[PID]],Table5[[#All],[PID]],0))</f>
        <v>117</v>
      </c>
      <c r="BI622" s="45" t="str">
        <f>INDEX(Table5[[#All],[Rnd]],MATCH(Table3[[#This Row],[PID]],Table5[[#All],[PID]],0))</f>
        <v>4</v>
      </c>
      <c r="BJ622" s="45">
        <f>INDEX(Table5[[#All],[Pick]],MATCH(Table3[[#This Row],[PID]],Table5[[#All],[PID]],0))</f>
        <v>17</v>
      </c>
      <c r="BK622" s="45" t="str">
        <f>INDEX(Table5[[#All],[Team]],MATCH(Table3[[#This Row],[PID]],Table5[[#All],[PID]],0))</f>
        <v>Florida Farstriders</v>
      </c>
      <c r="BL62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3" spans="1:64" ht="15" customHeight="1" x14ac:dyDescent="0.25">
      <c r="A623" s="40">
        <v>18382</v>
      </c>
      <c r="B623" s="40" t="s">
        <v>24</v>
      </c>
      <c r="C623" s="40" t="s">
        <v>1467</v>
      </c>
      <c r="D623" s="40" t="s">
        <v>739</v>
      </c>
      <c r="E623" s="40">
        <v>18</v>
      </c>
      <c r="F623" s="40" t="s">
        <v>42</v>
      </c>
      <c r="G623" s="40" t="s">
        <v>42</v>
      </c>
      <c r="H623" s="41" t="s">
        <v>639</v>
      </c>
      <c r="I623" s="42" t="s">
        <v>43</v>
      </c>
      <c r="J623" s="40" t="s">
        <v>43</v>
      </c>
      <c r="K623" s="41" t="s">
        <v>43</v>
      </c>
      <c r="L623" s="40">
        <v>2</v>
      </c>
      <c r="M623" s="40">
        <v>3</v>
      </c>
      <c r="N623" s="41">
        <v>2</v>
      </c>
      <c r="O623" s="40">
        <v>3</v>
      </c>
      <c r="P623" s="40">
        <v>5</v>
      </c>
      <c r="Q623" s="41">
        <v>4</v>
      </c>
      <c r="R623" s="40">
        <v>3</v>
      </c>
      <c r="S623" s="40">
        <v>5</v>
      </c>
      <c r="T623" s="40" t="s">
        <v>45</v>
      </c>
      <c r="U623" s="40" t="s">
        <v>45</v>
      </c>
      <c r="V623" s="40">
        <v>1</v>
      </c>
      <c r="W623" s="40">
        <v>5</v>
      </c>
      <c r="X623" s="40" t="s">
        <v>45</v>
      </c>
      <c r="Y623" s="40" t="s">
        <v>45</v>
      </c>
      <c r="Z623" s="40">
        <v>3</v>
      </c>
      <c r="AA623" s="40">
        <v>5</v>
      </c>
      <c r="AB623" s="40" t="s">
        <v>45</v>
      </c>
      <c r="AC623" s="40" t="s">
        <v>45</v>
      </c>
      <c r="AD623" s="40" t="s">
        <v>45</v>
      </c>
      <c r="AE623" s="40" t="s">
        <v>45</v>
      </c>
      <c r="AF623" s="40" t="s">
        <v>45</v>
      </c>
      <c r="AG623" s="40" t="s">
        <v>45</v>
      </c>
      <c r="AH623" s="40" t="s">
        <v>45</v>
      </c>
      <c r="AI623" s="40" t="s">
        <v>45</v>
      </c>
      <c r="AJ623" s="40" t="s">
        <v>45</v>
      </c>
      <c r="AK623" s="40" t="s">
        <v>45</v>
      </c>
      <c r="AL623" s="40" t="s">
        <v>45</v>
      </c>
      <c r="AM623" s="40" t="s">
        <v>45</v>
      </c>
      <c r="AN623" s="40" t="s">
        <v>45</v>
      </c>
      <c r="AO623" s="41" t="s">
        <v>45</v>
      </c>
      <c r="AP623" s="40" t="s">
        <v>350</v>
      </c>
      <c r="AQ623" s="40">
        <v>6</v>
      </c>
      <c r="AR623" s="48" t="s">
        <v>346</v>
      </c>
      <c r="AS623" s="43" t="s">
        <v>554</v>
      </c>
      <c r="AT623" s="43" t="s">
        <v>635</v>
      </c>
      <c r="AU623" s="44">
        <f t="shared" si="71"/>
        <v>-1.8736089145442034</v>
      </c>
      <c r="AV623" s="44">
        <f t="shared" si="72"/>
        <v>-0.35791827432962653</v>
      </c>
      <c r="AW623" s="45">
        <f t="shared" si="73"/>
        <v>3</v>
      </c>
      <c r="AX623" s="45">
        <f t="shared" si="74"/>
        <v>0</v>
      </c>
      <c r="AY623" s="46">
        <f>VLOOKUP(AP623,COND!$A$10:$B$32,2,FALSE)</f>
        <v>1</v>
      </c>
      <c r="AZ623" s="44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46.117739912236161</v>
      </c>
      <c r="BA623" s="47">
        <f t="shared" si="78"/>
        <v>0.68173147986210159</v>
      </c>
      <c r="BB623" s="45" t="str">
        <f t="shared" si="75"/>
        <v>SP</v>
      </c>
      <c r="BC623" s="45">
        <f>RANK(Table3[[#This Row],[zScore]],Table3[zScore])</f>
        <v>190</v>
      </c>
      <c r="BD623" s="45"/>
      <c r="BE623" s="45"/>
      <c r="BF623" s="45" t="str">
        <f t="shared" si="76"/>
        <v>Possible</v>
      </c>
      <c r="BG623" s="45"/>
      <c r="BH623" s="45" t="str">
        <f>INDEX(Table5[[#All],[Ovr]],MATCH(Table3[[#This Row],[PID]],Table5[[#All],[PID]],0))</f>
        <v/>
      </c>
      <c r="BI623" s="45" t="str">
        <f>INDEX(Table5[[#All],[Rnd]],MATCH(Table3[[#This Row],[PID]],Table5[[#All],[PID]],0))</f>
        <v/>
      </c>
      <c r="BJ623" s="45" t="str">
        <f>INDEX(Table5[[#All],[Pick]],MATCH(Table3[[#This Row],[PID]],Table5[[#All],[PID]],0))</f>
        <v/>
      </c>
      <c r="BK623" s="45" t="str">
        <f>INDEX(Table5[[#All],[Team]],MATCH(Table3[[#This Row],[PID]],Table5[[#All],[PID]],0))</f>
        <v/>
      </c>
      <c r="BL6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4" spans="1:64" ht="15" customHeight="1" x14ac:dyDescent="0.25">
      <c r="A624" s="40">
        <v>13862</v>
      </c>
      <c r="B624" s="40" t="s">
        <v>24</v>
      </c>
      <c r="C624" s="40" t="s">
        <v>1944</v>
      </c>
      <c r="D624" s="40" t="s">
        <v>1017</v>
      </c>
      <c r="E624" s="40">
        <v>18</v>
      </c>
      <c r="F624" s="40" t="s">
        <v>42</v>
      </c>
      <c r="G624" s="40" t="s">
        <v>42</v>
      </c>
      <c r="H624" s="41" t="s">
        <v>647</v>
      </c>
      <c r="I624" s="42" t="s">
        <v>47</v>
      </c>
      <c r="J624" s="40" t="s">
        <v>43</v>
      </c>
      <c r="K624" s="41" t="s">
        <v>43</v>
      </c>
      <c r="L624" s="40">
        <v>1</v>
      </c>
      <c r="M624" s="40">
        <v>3</v>
      </c>
      <c r="N624" s="41">
        <v>1</v>
      </c>
      <c r="O624" s="40">
        <v>4</v>
      </c>
      <c r="P624" s="40">
        <v>6</v>
      </c>
      <c r="Q624" s="41">
        <v>3</v>
      </c>
      <c r="R624" s="40" t="s">
        <v>45</v>
      </c>
      <c r="S624" s="40" t="s">
        <v>45</v>
      </c>
      <c r="T624" s="40" t="s">
        <v>45</v>
      </c>
      <c r="U624" s="40" t="s">
        <v>45</v>
      </c>
      <c r="V624" s="40">
        <v>2</v>
      </c>
      <c r="W624" s="40">
        <v>7</v>
      </c>
      <c r="X624" s="40" t="s">
        <v>45</v>
      </c>
      <c r="Y624" s="40" t="s">
        <v>45</v>
      </c>
      <c r="Z624" s="40">
        <v>4</v>
      </c>
      <c r="AA624" s="40">
        <v>7</v>
      </c>
      <c r="AB624" s="40" t="s">
        <v>45</v>
      </c>
      <c r="AC624" s="40" t="s">
        <v>45</v>
      </c>
      <c r="AD624" s="40" t="s">
        <v>45</v>
      </c>
      <c r="AE624" s="40" t="s">
        <v>45</v>
      </c>
      <c r="AF624" s="40" t="s">
        <v>45</v>
      </c>
      <c r="AG624" s="40" t="s">
        <v>45</v>
      </c>
      <c r="AH624" s="40" t="s">
        <v>45</v>
      </c>
      <c r="AI624" s="40" t="s">
        <v>45</v>
      </c>
      <c r="AJ624" s="40" t="s">
        <v>45</v>
      </c>
      <c r="AK624" s="40" t="s">
        <v>45</v>
      </c>
      <c r="AL624" s="40" t="s">
        <v>45</v>
      </c>
      <c r="AM624" s="40" t="s">
        <v>45</v>
      </c>
      <c r="AN624" s="40" t="s">
        <v>45</v>
      </c>
      <c r="AO624" s="41" t="s">
        <v>45</v>
      </c>
      <c r="AP624" s="40" t="s">
        <v>57</v>
      </c>
      <c r="AQ624" s="40">
        <v>8</v>
      </c>
      <c r="AR624" s="48" t="s">
        <v>348</v>
      </c>
      <c r="AS624" s="43" t="s">
        <v>556</v>
      </c>
      <c r="AT624" s="43" t="s">
        <v>635</v>
      </c>
      <c r="AU624" s="44">
        <f t="shared" si="71"/>
        <v>-2.310620805107487</v>
      </c>
      <c r="AV624" s="44">
        <f t="shared" si="72"/>
        <v>-0.21011579944450801</v>
      </c>
      <c r="AW624" s="45">
        <f t="shared" si="73"/>
        <v>2</v>
      </c>
      <c r="AX624" s="45">
        <f t="shared" si="74"/>
        <v>2</v>
      </c>
      <c r="AY624" s="46">
        <f>VLOOKUP(AP624,COND!$A$10:$B$32,2,FALSE)</f>
        <v>1</v>
      </c>
      <c r="AZ624" s="44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46.060559850088339</v>
      </c>
      <c r="BA624" s="47">
        <f t="shared" si="78"/>
        <v>0.67792737770476552</v>
      </c>
      <c r="BB624" s="45" t="str">
        <f t="shared" si="75"/>
        <v>SP</v>
      </c>
      <c r="BC624" s="45">
        <f>RANK(Table3[[#This Row],[zScore]],Table3[zScore])</f>
        <v>191</v>
      </c>
      <c r="BD624" s="45"/>
      <c r="BE624" s="45"/>
      <c r="BF624" s="45" t="str">
        <f t="shared" si="76"/>
        <v>Possible</v>
      </c>
      <c r="BG624" s="45"/>
      <c r="BH624" s="45">
        <f>INDEX(Table5[[#All],[Ovr]],MATCH(Table3[[#This Row],[PID]],Table5[[#All],[PID]],0))</f>
        <v>280</v>
      </c>
      <c r="BI624" s="45" t="str">
        <f>INDEX(Table5[[#All],[Rnd]],MATCH(Table3[[#This Row],[PID]],Table5[[#All],[PID]],0))</f>
        <v>10</v>
      </c>
      <c r="BJ624" s="45">
        <f>INDEX(Table5[[#All],[Pick]],MATCH(Table3[[#This Row],[PID]],Table5[[#All],[PID]],0))</f>
        <v>2</v>
      </c>
      <c r="BK624" s="45" t="str">
        <f>INDEX(Table5[[#All],[Team]],MATCH(Table3[[#This Row],[PID]],Table5[[#All],[PID]],0))</f>
        <v>Charleston Statesmen</v>
      </c>
      <c r="BL6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5" spans="1:64" ht="15" customHeight="1" x14ac:dyDescent="0.25">
      <c r="A625" s="40">
        <v>18143</v>
      </c>
      <c r="B625" s="40" t="s">
        <v>24</v>
      </c>
      <c r="C625" s="40" t="s">
        <v>159</v>
      </c>
      <c r="D625" s="40" t="s">
        <v>448</v>
      </c>
      <c r="E625" s="40">
        <v>21</v>
      </c>
      <c r="F625" s="40" t="s">
        <v>42</v>
      </c>
      <c r="G625" s="40" t="s">
        <v>42</v>
      </c>
      <c r="H625" s="41" t="s">
        <v>634</v>
      </c>
      <c r="I625" s="42" t="s">
        <v>43</v>
      </c>
      <c r="J625" s="40" t="s">
        <v>43</v>
      </c>
      <c r="K625" s="41" t="s">
        <v>47</v>
      </c>
      <c r="L625" s="40">
        <v>3</v>
      </c>
      <c r="M625" s="40">
        <v>2</v>
      </c>
      <c r="N625" s="41">
        <v>3</v>
      </c>
      <c r="O625" s="40">
        <v>5</v>
      </c>
      <c r="P625" s="40">
        <v>2</v>
      </c>
      <c r="Q625" s="41">
        <v>5</v>
      </c>
      <c r="R625" s="40">
        <v>6</v>
      </c>
      <c r="S625" s="40">
        <v>8</v>
      </c>
      <c r="T625" s="40">
        <v>1</v>
      </c>
      <c r="U625" s="40">
        <v>6</v>
      </c>
      <c r="V625" s="40">
        <v>4</v>
      </c>
      <c r="W625" s="40">
        <v>7</v>
      </c>
      <c r="X625" s="40" t="s">
        <v>45</v>
      </c>
      <c r="Y625" s="40" t="s">
        <v>45</v>
      </c>
      <c r="Z625" s="40" t="s">
        <v>45</v>
      </c>
      <c r="AA625" s="40" t="s">
        <v>45</v>
      </c>
      <c r="AB625" s="40" t="s">
        <v>45</v>
      </c>
      <c r="AC625" s="40" t="s">
        <v>45</v>
      </c>
      <c r="AD625" s="40" t="s">
        <v>45</v>
      </c>
      <c r="AE625" s="40" t="s">
        <v>45</v>
      </c>
      <c r="AF625" s="40" t="s">
        <v>45</v>
      </c>
      <c r="AG625" s="40" t="s">
        <v>45</v>
      </c>
      <c r="AH625" s="40" t="s">
        <v>45</v>
      </c>
      <c r="AI625" s="40" t="s">
        <v>45</v>
      </c>
      <c r="AJ625" s="40" t="s">
        <v>45</v>
      </c>
      <c r="AK625" s="40" t="s">
        <v>45</v>
      </c>
      <c r="AL625" s="40" t="s">
        <v>45</v>
      </c>
      <c r="AM625" s="40" t="s">
        <v>45</v>
      </c>
      <c r="AN625" s="40" t="s">
        <v>45</v>
      </c>
      <c r="AO625" s="41" t="s">
        <v>45</v>
      </c>
      <c r="AP625" s="40" t="s">
        <v>60</v>
      </c>
      <c r="AQ625" s="40">
        <v>5</v>
      </c>
      <c r="AR625" s="48" t="s">
        <v>347</v>
      </c>
      <c r="AS625" s="43" t="s">
        <v>643</v>
      </c>
      <c r="AT625" s="43" t="s">
        <v>635</v>
      </c>
      <c r="AU625" s="44">
        <f t="shared" si="71"/>
        <v>-1.6320287404109748</v>
      </c>
      <c r="AV625" s="44">
        <f t="shared" si="72"/>
        <v>-0.31251020854733541</v>
      </c>
      <c r="AW625" s="45">
        <f t="shared" si="73"/>
        <v>3</v>
      </c>
      <c r="AX625" s="45">
        <f t="shared" si="74"/>
        <v>3</v>
      </c>
      <c r="AY625" s="46">
        <f>VLOOKUP(AP625,COND!$A$10:$B$32,2,FALSE)</f>
        <v>1.0249999999999999</v>
      </c>
      <c r="AZ625" s="44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45.974219212170496</v>
      </c>
      <c r="BA625" s="47">
        <f t="shared" si="78"/>
        <v>0.67218326700198372</v>
      </c>
      <c r="BB625" s="45" t="str">
        <f t="shared" si="75"/>
        <v>SP</v>
      </c>
      <c r="BC625" s="45">
        <f>RANK(Table3[[#This Row],[zScore]],Table3[zScore])</f>
        <v>192</v>
      </c>
      <c r="BD625" s="45"/>
      <c r="BE625" s="45"/>
      <c r="BF625" s="45" t="str">
        <f t="shared" si="76"/>
        <v>Possible</v>
      </c>
      <c r="BG625" s="45"/>
      <c r="BH625" s="45">
        <f>INDEX(Table5[[#All],[Ovr]],MATCH(Table3[[#This Row],[PID]],Table5[[#All],[PID]],0))</f>
        <v>241</v>
      </c>
      <c r="BI625" s="45" t="str">
        <f>INDEX(Table5[[#All],[Rnd]],MATCH(Table3[[#This Row],[PID]],Table5[[#All],[PID]],0))</f>
        <v>8</v>
      </c>
      <c r="BJ625" s="45">
        <f>INDEX(Table5[[#All],[Pick]],MATCH(Table3[[#This Row],[PID]],Table5[[#All],[PID]],0))</f>
        <v>23</v>
      </c>
      <c r="BK625" s="45" t="str">
        <f>INDEX(Table5[[#All],[Team]],MATCH(Table3[[#This Row],[PID]],Table5[[#All],[PID]],0))</f>
        <v>Charleston Statesmen</v>
      </c>
      <c r="BL6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6" spans="1:64" ht="15" customHeight="1" x14ac:dyDescent="0.25">
      <c r="A626" s="40">
        <v>18116</v>
      </c>
      <c r="B626" s="40" t="s">
        <v>24</v>
      </c>
      <c r="C626" s="40" t="s">
        <v>180</v>
      </c>
      <c r="D626" s="40" t="s">
        <v>338</v>
      </c>
      <c r="E626" s="40">
        <v>21</v>
      </c>
      <c r="F626" s="40" t="s">
        <v>42</v>
      </c>
      <c r="G626" s="40" t="s">
        <v>42</v>
      </c>
      <c r="H626" s="41" t="s">
        <v>639</v>
      </c>
      <c r="I626" s="42" t="s">
        <v>43</v>
      </c>
      <c r="J626" s="40" t="s">
        <v>47</v>
      </c>
      <c r="K626" s="41" t="s">
        <v>43</v>
      </c>
      <c r="L626" s="40">
        <v>3</v>
      </c>
      <c r="M626" s="40">
        <v>3</v>
      </c>
      <c r="N626" s="41">
        <v>2</v>
      </c>
      <c r="O626" s="40">
        <v>5</v>
      </c>
      <c r="P626" s="40">
        <v>5</v>
      </c>
      <c r="Q626" s="41">
        <v>3</v>
      </c>
      <c r="R626" s="40">
        <v>5</v>
      </c>
      <c r="S626" s="40">
        <v>8</v>
      </c>
      <c r="T626" s="40">
        <v>1</v>
      </c>
      <c r="U626" s="40">
        <v>4</v>
      </c>
      <c r="V626" s="40">
        <v>2</v>
      </c>
      <c r="W626" s="40">
        <v>4</v>
      </c>
      <c r="X626" s="40" t="s">
        <v>45</v>
      </c>
      <c r="Y626" s="40" t="s">
        <v>45</v>
      </c>
      <c r="Z626" s="40" t="s">
        <v>45</v>
      </c>
      <c r="AA626" s="40" t="s">
        <v>45</v>
      </c>
      <c r="AB626" s="40">
        <v>4</v>
      </c>
      <c r="AC626" s="40">
        <v>5</v>
      </c>
      <c r="AD626" s="40" t="s">
        <v>45</v>
      </c>
      <c r="AE626" s="40" t="s">
        <v>45</v>
      </c>
      <c r="AF626" s="40" t="s">
        <v>45</v>
      </c>
      <c r="AG626" s="40" t="s">
        <v>45</v>
      </c>
      <c r="AH626" s="40" t="s">
        <v>45</v>
      </c>
      <c r="AI626" s="40" t="s">
        <v>45</v>
      </c>
      <c r="AJ626" s="40" t="s">
        <v>45</v>
      </c>
      <c r="AK626" s="40" t="s">
        <v>45</v>
      </c>
      <c r="AL626" s="40" t="s">
        <v>45</v>
      </c>
      <c r="AM626" s="40" t="s">
        <v>45</v>
      </c>
      <c r="AN626" s="40" t="s">
        <v>45</v>
      </c>
      <c r="AO626" s="41" t="s">
        <v>45</v>
      </c>
      <c r="AP626" s="40" t="s">
        <v>48</v>
      </c>
      <c r="AQ626" s="40">
        <v>7</v>
      </c>
      <c r="AR626" s="48" t="s">
        <v>346</v>
      </c>
      <c r="AS626" s="43" t="s">
        <v>643</v>
      </c>
      <c r="AT626" s="43" t="s">
        <v>47</v>
      </c>
      <c r="AU626" s="44">
        <f t="shared" si="71"/>
        <v>-1.6789175900350299</v>
      </c>
      <c r="AV626" s="44">
        <f t="shared" si="72"/>
        <v>-0.21085619136538991</v>
      </c>
      <c r="AW626" s="45">
        <f t="shared" si="73"/>
        <v>4</v>
      </c>
      <c r="AX626" s="45">
        <f t="shared" si="74"/>
        <v>1</v>
      </c>
      <c r="AY626" s="46">
        <f>VLOOKUP(AP626,COND!$A$10:$B$32,2,FALSE)</f>
        <v>1.05</v>
      </c>
      <c r="AZ626" s="44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45.931947287419455</v>
      </c>
      <c r="BA626" s="47">
        <f t="shared" si="78"/>
        <v>0.66937098044439891</v>
      </c>
      <c r="BB626" s="45" t="str">
        <f t="shared" si="75"/>
        <v>SP</v>
      </c>
      <c r="BC626" s="45">
        <f>RANK(Table3[[#This Row],[zScore]],Table3[zScore])</f>
        <v>193</v>
      </c>
      <c r="BD626" s="45"/>
      <c r="BE626" s="45"/>
      <c r="BF626" s="45" t="str">
        <f t="shared" si="76"/>
        <v>Possible</v>
      </c>
      <c r="BG626" s="45"/>
      <c r="BH626" s="45">
        <f>INDEX(Table5[[#All],[Ovr]],MATCH(Table3[[#This Row],[PID]],Table5[[#All],[PID]],0))</f>
        <v>281</v>
      </c>
      <c r="BI626" s="45" t="str">
        <f>INDEX(Table5[[#All],[Rnd]],MATCH(Table3[[#This Row],[PID]],Table5[[#All],[PID]],0))</f>
        <v>10</v>
      </c>
      <c r="BJ626" s="45">
        <f>INDEX(Table5[[#All],[Pick]],MATCH(Table3[[#This Row],[PID]],Table5[[#All],[PID]],0))</f>
        <v>3</v>
      </c>
      <c r="BK626" s="45" t="str">
        <f>INDEX(Table5[[#All],[Team]],MATCH(Table3[[#This Row],[PID]],Table5[[#All],[PID]],0))</f>
        <v>New Orleans Trendsetters</v>
      </c>
      <c r="BL62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7" spans="1:64" ht="15" customHeight="1" x14ac:dyDescent="0.25">
      <c r="A627" s="40">
        <v>18352</v>
      </c>
      <c r="B627" s="40" t="s">
        <v>24</v>
      </c>
      <c r="C627" s="40" t="s">
        <v>196</v>
      </c>
      <c r="D627" s="40" t="s">
        <v>598</v>
      </c>
      <c r="E627" s="40">
        <v>18</v>
      </c>
      <c r="F627" s="40" t="s">
        <v>62</v>
      </c>
      <c r="G627" s="40" t="s">
        <v>42</v>
      </c>
      <c r="H627" s="41" t="s">
        <v>639</v>
      </c>
      <c r="I627" s="42" t="s">
        <v>43</v>
      </c>
      <c r="J627" s="40" t="s">
        <v>44</v>
      </c>
      <c r="K627" s="41" t="s">
        <v>43</v>
      </c>
      <c r="L627" s="40">
        <v>1</v>
      </c>
      <c r="M627" s="40">
        <v>2</v>
      </c>
      <c r="N627" s="41">
        <v>2</v>
      </c>
      <c r="O627" s="40">
        <v>4</v>
      </c>
      <c r="P627" s="40">
        <v>2</v>
      </c>
      <c r="Q627" s="41">
        <v>5</v>
      </c>
      <c r="R627" s="40">
        <v>3</v>
      </c>
      <c r="S627" s="40">
        <v>6</v>
      </c>
      <c r="T627" s="40">
        <v>1</v>
      </c>
      <c r="U627" s="40">
        <v>7</v>
      </c>
      <c r="V627" s="40" t="s">
        <v>45</v>
      </c>
      <c r="W627" s="40" t="s">
        <v>45</v>
      </c>
      <c r="X627" s="40" t="s">
        <v>45</v>
      </c>
      <c r="Y627" s="40" t="s">
        <v>45</v>
      </c>
      <c r="Z627" s="40" t="s">
        <v>45</v>
      </c>
      <c r="AA627" s="40" t="s">
        <v>45</v>
      </c>
      <c r="AB627" s="40">
        <v>3</v>
      </c>
      <c r="AC627" s="40">
        <v>5</v>
      </c>
      <c r="AD627" s="40" t="s">
        <v>45</v>
      </c>
      <c r="AE627" s="40" t="s">
        <v>45</v>
      </c>
      <c r="AF627" s="40" t="s">
        <v>45</v>
      </c>
      <c r="AG627" s="40" t="s">
        <v>45</v>
      </c>
      <c r="AH627" s="40" t="s">
        <v>45</v>
      </c>
      <c r="AI627" s="40" t="s">
        <v>45</v>
      </c>
      <c r="AJ627" s="40" t="s">
        <v>45</v>
      </c>
      <c r="AK627" s="40" t="s">
        <v>45</v>
      </c>
      <c r="AL627" s="40" t="s">
        <v>45</v>
      </c>
      <c r="AM627" s="40" t="s">
        <v>45</v>
      </c>
      <c r="AN627" s="40" t="s">
        <v>45</v>
      </c>
      <c r="AO627" s="41" t="s">
        <v>45</v>
      </c>
      <c r="AP627" s="40" t="s">
        <v>349</v>
      </c>
      <c r="AQ627" s="40">
        <v>6</v>
      </c>
      <c r="AR627" s="48" t="s">
        <v>347</v>
      </c>
      <c r="AS627" s="43" t="s">
        <v>654</v>
      </c>
      <c r="AT627" s="43" t="s">
        <v>47</v>
      </c>
      <c r="AU627" s="44">
        <f t="shared" si="71"/>
        <v>-2.2637319554834323</v>
      </c>
      <c r="AV627" s="44">
        <f t="shared" si="72"/>
        <v>-0.50720153305650884</v>
      </c>
      <c r="AW627" s="45">
        <f t="shared" si="73"/>
        <v>3</v>
      </c>
      <c r="AX627" s="45">
        <f t="shared" si="74"/>
        <v>2</v>
      </c>
      <c r="AY627" s="46">
        <f>VLOOKUP(AP627,COND!$A$10:$B$32,2,FALSE)</f>
        <v>1</v>
      </c>
      <c r="AZ627" s="44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45.268142374078806</v>
      </c>
      <c r="BA627" s="47">
        <f t="shared" si="78"/>
        <v>0.62520905392600301</v>
      </c>
      <c r="BB627" s="45" t="str">
        <f t="shared" si="75"/>
        <v>SP</v>
      </c>
      <c r="BC627" s="45">
        <f>RANK(Table3[[#This Row],[zScore]],Table3[zScore])</f>
        <v>195</v>
      </c>
      <c r="BD627" s="45"/>
      <c r="BE627" s="45"/>
      <c r="BF627" s="45" t="str">
        <f t="shared" si="76"/>
        <v>Unlikely</v>
      </c>
      <c r="BG627" s="45"/>
      <c r="BH627" s="45" t="str">
        <f>INDEX(Table5[[#All],[Ovr]],MATCH(Table3[[#This Row],[PID]],Table5[[#All],[PID]],0))</f>
        <v/>
      </c>
      <c r="BI627" s="45" t="str">
        <f>INDEX(Table5[[#All],[Rnd]],MATCH(Table3[[#This Row],[PID]],Table5[[#All],[PID]],0))</f>
        <v/>
      </c>
      <c r="BJ627" s="45" t="str">
        <f>INDEX(Table5[[#All],[Pick]],MATCH(Table3[[#This Row],[PID]],Table5[[#All],[PID]],0))</f>
        <v/>
      </c>
      <c r="BK627" s="45" t="str">
        <f>INDEX(Table5[[#All],[Team]],MATCH(Table3[[#This Row],[PID]],Table5[[#All],[PID]],0))</f>
        <v/>
      </c>
      <c r="BL6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8" spans="1:64" ht="15" customHeight="1" x14ac:dyDescent="0.25">
      <c r="A628" s="40">
        <v>20402</v>
      </c>
      <c r="B628" s="40" t="s">
        <v>24</v>
      </c>
      <c r="C628" s="40" t="s">
        <v>1986</v>
      </c>
      <c r="D628" s="40" t="s">
        <v>1987</v>
      </c>
      <c r="E628" s="40">
        <v>17</v>
      </c>
      <c r="F628" s="40" t="s">
        <v>53</v>
      </c>
      <c r="G628" s="40" t="s">
        <v>42</v>
      </c>
      <c r="H628" s="41" t="s">
        <v>647</v>
      </c>
      <c r="I628" s="42" t="s">
        <v>43</v>
      </c>
      <c r="J628" s="40" t="s">
        <v>43</v>
      </c>
      <c r="K628" s="41" t="s">
        <v>47</v>
      </c>
      <c r="L628" s="40">
        <v>2</v>
      </c>
      <c r="M628" s="40">
        <v>2</v>
      </c>
      <c r="N628" s="41">
        <v>1</v>
      </c>
      <c r="O628" s="40">
        <v>5</v>
      </c>
      <c r="P628" s="40">
        <v>3</v>
      </c>
      <c r="Q628" s="41">
        <v>3</v>
      </c>
      <c r="R628" s="40">
        <v>3</v>
      </c>
      <c r="S628" s="40">
        <v>6</v>
      </c>
      <c r="T628" s="40" t="s">
        <v>45</v>
      </c>
      <c r="U628" s="40" t="s">
        <v>45</v>
      </c>
      <c r="V628" s="40">
        <v>3</v>
      </c>
      <c r="W628" s="40">
        <v>7</v>
      </c>
      <c r="X628" s="40" t="s">
        <v>45</v>
      </c>
      <c r="Y628" s="40" t="s">
        <v>45</v>
      </c>
      <c r="Z628" s="40" t="s">
        <v>45</v>
      </c>
      <c r="AA628" s="40" t="s">
        <v>45</v>
      </c>
      <c r="AB628" s="40">
        <v>3</v>
      </c>
      <c r="AC628" s="40">
        <v>6</v>
      </c>
      <c r="AD628" s="40" t="s">
        <v>45</v>
      </c>
      <c r="AE628" s="40" t="s">
        <v>45</v>
      </c>
      <c r="AF628" s="40" t="s">
        <v>45</v>
      </c>
      <c r="AG628" s="40" t="s">
        <v>45</v>
      </c>
      <c r="AH628" s="40" t="s">
        <v>45</v>
      </c>
      <c r="AI628" s="40" t="s">
        <v>45</v>
      </c>
      <c r="AJ628" s="40" t="s">
        <v>45</v>
      </c>
      <c r="AK628" s="40" t="s">
        <v>45</v>
      </c>
      <c r="AL628" s="40" t="s">
        <v>45</v>
      </c>
      <c r="AM628" s="40" t="s">
        <v>45</v>
      </c>
      <c r="AN628" s="40" t="s">
        <v>45</v>
      </c>
      <c r="AO628" s="41" t="s">
        <v>45</v>
      </c>
      <c r="AP628" s="40" t="s">
        <v>349</v>
      </c>
      <c r="AQ628" s="40">
        <v>6</v>
      </c>
      <c r="AR628" s="48" t="s">
        <v>347</v>
      </c>
      <c r="AS628" s="43" t="s">
        <v>573</v>
      </c>
      <c r="AT628" s="43" t="s">
        <v>635</v>
      </c>
      <c r="AU628" s="44">
        <f t="shared" si="71"/>
        <v>-2.311361197028369</v>
      </c>
      <c r="AV628" s="44">
        <f t="shared" si="72"/>
        <v>-0.60171962422550074</v>
      </c>
      <c r="AW628" s="45">
        <f t="shared" si="73"/>
        <v>3</v>
      </c>
      <c r="AX628" s="45">
        <f t="shared" si="74"/>
        <v>3</v>
      </c>
      <c r="AY628" s="46">
        <f>VLOOKUP(AP628,COND!$A$10:$B$32,2,FALSE)</f>
        <v>1</v>
      </c>
      <c r="AZ628" s="44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45.234501894182202</v>
      </c>
      <c r="BA628" s="47">
        <f t="shared" si="78"/>
        <v>0.62297100420479679</v>
      </c>
      <c r="BB628" s="45" t="str">
        <f t="shared" si="75"/>
        <v>SP</v>
      </c>
      <c r="BC628" s="45">
        <f>RANK(Table3[[#This Row],[zScore]],Table3[zScore])</f>
        <v>196</v>
      </c>
      <c r="BD628" s="45"/>
      <c r="BE628" s="45"/>
      <c r="BF628" s="45" t="str">
        <f t="shared" si="76"/>
        <v>Unlikely</v>
      </c>
      <c r="BG628" s="45"/>
      <c r="BH628" s="45">
        <f>INDEX(Table5[[#All],[Ovr]],MATCH(Table3[[#This Row],[PID]],Table5[[#All],[PID]],0))</f>
        <v>94</v>
      </c>
      <c r="BI628" s="45" t="str">
        <f>INDEX(Table5[[#All],[Rnd]],MATCH(Table3[[#This Row],[PID]],Table5[[#All],[PID]],0))</f>
        <v>3</v>
      </c>
      <c r="BJ628" s="45">
        <f>INDEX(Table5[[#All],[Pick]],MATCH(Table3[[#This Row],[PID]],Table5[[#All],[PID]],0))</f>
        <v>26</v>
      </c>
      <c r="BK628" s="45" t="str">
        <f>INDEX(Table5[[#All],[Team]],MATCH(Table3[[#This Row],[PID]],Table5[[#All],[PID]],0))</f>
        <v>Bakersfield Bears</v>
      </c>
      <c r="BL6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29" spans="1:64" ht="15" customHeight="1" x14ac:dyDescent="0.25">
      <c r="A629" s="40">
        <v>18418</v>
      </c>
      <c r="B629" s="40" t="s">
        <v>24</v>
      </c>
      <c r="C629" s="40" t="s">
        <v>2017</v>
      </c>
      <c r="D629" s="40" t="s">
        <v>736</v>
      </c>
      <c r="E629" s="40">
        <v>18</v>
      </c>
      <c r="F629" s="40" t="s">
        <v>62</v>
      </c>
      <c r="G629" s="40" t="s">
        <v>42</v>
      </c>
      <c r="H629" s="41" t="s">
        <v>647</v>
      </c>
      <c r="I629" s="42" t="s">
        <v>47</v>
      </c>
      <c r="J629" s="40" t="s">
        <v>43</v>
      </c>
      <c r="K629" s="41" t="s">
        <v>43</v>
      </c>
      <c r="L629" s="40">
        <v>1</v>
      </c>
      <c r="M629" s="40">
        <v>2</v>
      </c>
      <c r="N629" s="41">
        <v>1</v>
      </c>
      <c r="O629" s="40">
        <v>5</v>
      </c>
      <c r="P629" s="40">
        <v>5</v>
      </c>
      <c r="Q629" s="41">
        <v>2</v>
      </c>
      <c r="R629" s="40">
        <v>3</v>
      </c>
      <c r="S629" s="40">
        <v>6</v>
      </c>
      <c r="T629" s="40">
        <v>1</v>
      </c>
      <c r="U629" s="40">
        <v>1</v>
      </c>
      <c r="V629" s="40">
        <v>2</v>
      </c>
      <c r="W629" s="40">
        <v>8</v>
      </c>
      <c r="X629" s="40" t="s">
        <v>45</v>
      </c>
      <c r="Y629" s="40" t="s">
        <v>45</v>
      </c>
      <c r="Z629" s="40" t="s">
        <v>45</v>
      </c>
      <c r="AA629" s="40" t="s">
        <v>45</v>
      </c>
      <c r="AB629" s="40" t="s">
        <v>45</v>
      </c>
      <c r="AC629" s="40" t="s">
        <v>45</v>
      </c>
      <c r="AD629" s="40" t="s">
        <v>45</v>
      </c>
      <c r="AE629" s="40" t="s">
        <v>45</v>
      </c>
      <c r="AF629" s="40" t="s">
        <v>45</v>
      </c>
      <c r="AG629" s="40" t="s">
        <v>45</v>
      </c>
      <c r="AH629" s="40" t="s">
        <v>45</v>
      </c>
      <c r="AI629" s="40" t="s">
        <v>45</v>
      </c>
      <c r="AJ629" s="40" t="s">
        <v>45</v>
      </c>
      <c r="AK629" s="40" t="s">
        <v>45</v>
      </c>
      <c r="AL629" s="40" t="s">
        <v>45</v>
      </c>
      <c r="AM629" s="40" t="s">
        <v>45</v>
      </c>
      <c r="AN629" s="40" t="s">
        <v>45</v>
      </c>
      <c r="AO629" s="41" t="s">
        <v>45</v>
      </c>
      <c r="AP629" s="40" t="s">
        <v>350</v>
      </c>
      <c r="AQ629" s="40">
        <v>6</v>
      </c>
      <c r="AR629" s="48" t="s">
        <v>347</v>
      </c>
      <c r="AS629" s="43" t="s">
        <v>659</v>
      </c>
      <c r="AT629" s="43" t="s">
        <v>635</v>
      </c>
      <c r="AU629" s="44">
        <f t="shared" si="71"/>
        <v>-2.5060525215375429</v>
      </c>
      <c r="AV629" s="44">
        <f t="shared" si="72"/>
        <v>-0.45317675741950025</v>
      </c>
      <c r="AW629" s="45">
        <f t="shared" si="73"/>
        <v>3</v>
      </c>
      <c r="AX629" s="45">
        <f t="shared" si="74"/>
        <v>2</v>
      </c>
      <c r="AY629" s="46">
        <f>VLOOKUP(AP629,COND!$A$10:$B$32,2,FALSE)</f>
        <v>1</v>
      </c>
      <c r="AZ629" s="44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46.799372988619922</v>
      </c>
      <c r="BA629" s="47">
        <f>STANDARDIZE(AZ629,AVERAGE($AZ$5:$AZ$663),STDEVP($AZ$5:$AZ$663))</f>
        <v>0.61619572747884377</v>
      </c>
      <c r="BB629" s="45" t="str">
        <f t="shared" si="75"/>
        <v>SP</v>
      </c>
      <c r="BC629" s="45">
        <f>RANK(Table3[[#This Row],[zScore]],Table3[zScore])</f>
        <v>197</v>
      </c>
      <c r="BD629" s="45"/>
      <c r="BE629" s="45"/>
      <c r="BF629" s="45" t="str">
        <f t="shared" si="76"/>
        <v>Possible</v>
      </c>
      <c r="BG629" s="45"/>
      <c r="BH629" s="45">
        <f>INDEX(Table5[[#All],[Ovr]],MATCH(Table3[[#This Row],[PID]],Table5[[#All],[PID]],0))</f>
        <v>453</v>
      </c>
      <c r="BI629" s="45" t="str">
        <f>INDEX(Table5[[#All],[Rnd]],MATCH(Table3[[#This Row],[PID]],Table5[[#All],[PID]],0))</f>
        <v>15</v>
      </c>
      <c r="BJ629" s="45">
        <f>INDEX(Table5[[#All],[Pick]],MATCH(Table3[[#This Row],[PID]],Table5[[#All],[PID]],0))</f>
        <v>25</v>
      </c>
      <c r="BK629" s="45" t="str">
        <f>INDEX(Table5[[#All],[Team]],MATCH(Table3[[#This Row],[PID]],Table5[[#All],[PID]],0))</f>
        <v>Toyama Wind Dancers</v>
      </c>
      <c r="BL6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0" spans="1:64" ht="15" customHeight="1" x14ac:dyDescent="0.25">
      <c r="A630" s="40">
        <v>20296</v>
      </c>
      <c r="B630" s="40" t="s">
        <v>24</v>
      </c>
      <c r="C630" s="40" t="s">
        <v>2115</v>
      </c>
      <c r="D630" s="40" t="s">
        <v>1320</v>
      </c>
      <c r="E630" s="40">
        <v>18</v>
      </c>
      <c r="F630" s="40" t="s">
        <v>42</v>
      </c>
      <c r="G630" s="40" t="s">
        <v>42</v>
      </c>
      <c r="H630" s="41" t="s">
        <v>647</v>
      </c>
      <c r="I630" s="42" t="s">
        <v>43</v>
      </c>
      <c r="J630" s="40" t="s">
        <v>43</v>
      </c>
      <c r="K630" s="41" t="s">
        <v>43</v>
      </c>
      <c r="L630" s="40">
        <v>2</v>
      </c>
      <c r="M630" s="40">
        <v>2</v>
      </c>
      <c r="N630" s="41">
        <v>1</v>
      </c>
      <c r="O630" s="40">
        <v>5</v>
      </c>
      <c r="P630" s="40">
        <v>2</v>
      </c>
      <c r="Q630" s="41">
        <v>4</v>
      </c>
      <c r="R630" s="40">
        <v>4</v>
      </c>
      <c r="S630" s="40">
        <v>6</v>
      </c>
      <c r="T630" s="40">
        <v>1</v>
      </c>
      <c r="U630" s="40">
        <v>6</v>
      </c>
      <c r="V630" s="40">
        <v>2</v>
      </c>
      <c r="W630" s="40">
        <v>5</v>
      </c>
      <c r="X630" s="40" t="s">
        <v>45</v>
      </c>
      <c r="Y630" s="40" t="s">
        <v>45</v>
      </c>
      <c r="Z630" s="40" t="s">
        <v>45</v>
      </c>
      <c r="AA630" s="40" t="s">
        <v>45</v>
      </c>
      <c r="AB630" s="40">
        <v>3</v>
      </c>
      <c r="AC630" s="40">
        <v>5</v>
      </c>
      <c r="AD630" s="40" t="s">
        <v>45</v>
      </c>
      <c r="AE630" s="40" t="s">
        <v>45</v>
      </c>
      <c r="AF630" s="40" t="s">
        <v>45</v>
      </c>
      <c r="AG630" s="40" t="s">
        <v>45</v>
      </c>
      <c r="AH630" s="40" t="s">
        <v>45</v>
      </c>
      <c r="AI630" s="40" t="s">
        <v>45</v>
      </c>
      <c r="AJ630" s="40" t="s">
        <v>45</v>
      </c>
      <c r="AK630" s="40" t="s">
        <v>45</v>
      </c>
      <c r="AL630" s="40" t="s">
        <v>45</v>
      </c>
      <c r="AM630" s="40" t="s">
        <v>45</v>
      </c>
      <c r="AN630" s="40" t="s">
        <v>45</v>
      </c>
      <c r="AO630" s="41" t="s">
        <v>45</v>
      </c>
      <c r="AP630" s="40" t="s">
        <v>57</v>
      </c>
      <c r="AQ630" s="40">
        <v>6</v>
      </c>
      <c r="AR630" s="48" t="s">
        <v>347</v>
      </c>
      <c r="AS630" s="43" t="s">
        <v>644</v>
      </c>
      <c r="AT630" s="43" t="s">
        <v>47</v>
      </c>
      <c r="AU630" s="44">
        <f t="shared" si="71"/>
        <v>-2.311361197028369</v>
      </c>
      <c r="AV630" s="44">
        <f t="shared" si="72"/>
        <v>-0.55483077460144581</v>
      </c>
      <c r="AW630" s="45">
        <f t="shared" si="73"/>
        <v>4</v>
      </c>
      <c r="AX630" s="45">
        <f t="shared" si="74"/>
        <v>2</v>
      </c>
      <c r="AY630" s="46">
        <f>VLOOKUP(AP630,COND!$A$10:$B$32,2,FALSE)</f>
        <v>1</v>
      </c>
      <c r="AZ630" s="44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45.117584461851273</v>
      </c>
      <c r="BA630" s="47">
        <f>STANDARDIZE(AZ630,AVERAGE($AZ$5:$AZ$557),STDEVP($AZ$5:$AZ$557))</f>
        <v>0.61519266609438217</v>
      </c>
      <c r="BB630" s="45" t="str">
        <f t="shared" si="75"/>
        <v>SP</v>
      </c>
      <c r="BC630" s="45">
        <f>RANK(Table3[[#This Row],[zScore]],Table3[zScore])</f>
        <v>198</v>
      </c>
      <c r="BD630" s="45"/>
      <c r="BE630" s="45"/>
      <c r="BF630" s="45" t="str">
        <f t="shared" si="76"/>
        <v>Unlikely</v>
      </c>
      <c r="BG630" s="45"/>
      <c r="BH630" s="45" t="str">
        <f>INDEX(Table5[[#All],[Ovr]],MATCH(Table3[[#This Row],[PID]],Table5[[#All],[PID]],0))</f>
        <v/>
      </c>
      <c r="BI630" s="45" t="str">
        <f>INDEX(Table5[[#All],[Rnd]],MATCH(Table3[[#This Row],[PID]],Table5[[#All],[PID]],0))</f>
        <v/>
      </c>
      <c r="BJ630" s="45" t="str">
        <f>INDEX(Table5[[#All],[Pick]],MATCH(Table3[[#This Row],[PID]],Table5[[#All],[PID]],0))</f>
        <v/>
      </c>
      <c r="BK630" s="45" t="str">
        <f>INDEX(Table5[[#All],[Team]],MATCH(Table3[[#This Row],[PID]],Table5[[#All],[PID]],0))</f>
        <v/>
      </c>
      <c r="BL6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1" spans="1:64" ht="15" customHeight="1" x14ac:dyDescent="0.25">
      <c r="A631" s="40">
        <v>18435</v>
      </c>
      <c r="B631" s="40" t="s">
        <v>24</v>
      </c>
      <c r="C631" s="40" t="s">
        <v>778</v>
      </c>
      <c r="D631" s="40" t="s">
        <v>360</v>
      </c>
      <c r="E631" s="40">
        <v>18</v>
      </c>
      <c r="F631" s="40" t="s">
        <v>53</v>
      </c>
      <c r="G631" s="40" t="s">
        <v>53</v>
      </c>
      <c r="H631" s="41" t="s">
        <v>639</v>
      </c>
      <c r="I631" s="42" t="s">
        <v>43</v>
      </c>
      <c r="J631" s="40" t="s">
        <v>44</v>
      </c>
      <c r="K631" s="41" t="s">
        <v>43</v>
      </c>
      <c r="L631" s="40">
        <v>2</v>
      </c>
      <c r="M631" s="40">
        <v>2</v>
      </c>
      <c r="N631" s="41">
        <v>1</v>
      </c>
      <c r="O631" s="40">
        <v>5</v>
      </c>
      <c r="P631" s="40">
        <v>3</v>
      </c>
      <c r="Q631" s="41">
        <v>3</v>
      </c>
      <c r="R631" s="40">
        <v>5</v>
      </c>
      <c r="S631" s="40">
        <v>7</v>
      </c>
      <c r="T631" s="40">
        <v>2</v>
      </c>
      <c r="U631" s="40">
        <v>8</v>
      </c>
      <c r="V631" s="40">
        <v>3</v>
      </c>
      <c r="W631" s="40">
        <v>7</v>
      </c>
      <c r="X631" s="40" t="s">
        <v>45</v>
      </c>
      <c r="Y631" s="40" t="s">
        <v>45</v>
      </c>
      <c r="Z631" s="40" t="s">
        <v>45</v>
      </c>
      <c r="AA631" s="40" t="s">
        <v>45</v>
      </c>
      <c r="AB631" s="40" t="s">
        <v>45</v>
      </c>
      <c r="AC631" s="40" t="s">
        <v>45</v>
      </c>
      <c r="AD631" s="40" t="s">
        <v>45</v>
      </c>
      <c r="AE631" s="40" t="s">
        <v>45</v>
      </c>
      <c r="AF631" s="40" t="s">
        <v>45</v>
      </c>
      <c r="AG631" s="40" t="s">
        <v>45</v>
      </c>
      <c r="AH631" s="40" t="s">
        <v>45</v>
      </c>
      <c r="AI631" s="40" t="s">
        <v>45</v>
      </c>
      <c r="AJ631" s="40" t="s">
        <v>45</v>
      </c>
      <c r="AK631" s="40" t="s">
        <v>45</v>
      </c>
      <c r="AL631" s="40" t="s">
        <v>45</v>
      </c>
      <c r="AM631" s="40" t="s">
        <v>45</v>
      </c>
      <c r="AN631" s="40" t="s">
        <v>45</v>
      </c>
      <c r="AO631" s="41" t="s">
        <v>45</v>
      </c>
      <c r="AP631" s="40" t="s">
        <v>58</v>
      </c>
      <c r="AQ631" s="40">
        <v>5</v>
      </c>
      <c r="AR631" s="48" t="s">
        <v>347</v>
      </c>
      <c r="AS631" s="43" t="s">
        <v>553</v>
      </c>
      <c r="AT631" s="43" t="s">
        <v>47</v>
      </c>
      <c r="AU631" s="44">
        <f t="shared" si="71"/>
        <v>-2.311361197028369</v>
      </c>
      <c r="AV631" s="44">
        <f t="shared" si="72"/>
        <v>-0.60171962422550074</v>
      </c>
      <c r="AW631" s="45">
        <f t="shared" si="73"/>
        <v>3</v>
      </c>
      <c r="AX631" s="45">
        <f t="shared" si="74"/>
        <v>3</v>
      </c>
      <c r="AY631" s="46">
        <f>VLOOKUP(AP631,COND!$A$10:$B$32,2,FALSE)</f>
        <v>1</v>
      </c>
      <c r="AZ631" s="44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44.6345018941822</v>
      </c>
      <c r="BA631" s="47">
        <f>STANDARDIZE(AZ631,AVERAGE($AZ$5:$AZ$557),STDEVP($AZ$5:$AZ$557))</f>
        <v>0.5830539210701019</v>
      </c>
      <c r="BB631" s="45" t="str">
        <f t="shared" si="75"/>
        <v>SP</v>
      </c>
      <c r="BC631" s="45">
        <f>RANK(Table3[[#This Row],[zScore]],Table3[zScore])</f>
        <v>201</v>
      </c>
      <c r="BD631" s="45"/>
      <c r="BE631" s="45"/>
      <c r="BF631" s="45" t="str">
        <f t="shared" si="76"/>
        <v>Unlikely</v>
      </c>
      <c r="BG631" s="45"/>
      <c r="BH631" s="45">
        <f>INDEX(Table5[[#All],[Ovr]],MATCH(Table3[[#This Row],[PID]],Table5[[#All],[PID]],0))</f>
        <v>272</v>
      </c>
      <c r="BI631" s="45" t="str">
        <f>INDEX(Table5[[#All],[Rnd]],MATCH(Table3[[#This Row],[PID]],Table5[[#All],[PID]],0))</f>
        <v>9</v>
      </c>
      <c r="BJ631" s="45">
        <f>INDEX(Table5[[#All],[Pick]],MATCH(Table3[[#This Row],[PID]],Table5[[#All],[PID]],0))</f>
        <v>24</v>
      </c>
      <c r="BK631" s="45" t="str">
        <f>INDEX(Table5[[#All],[Team]],MATCH(Table3[[#This Row],[PID]],Table5[[#All],[PID]],0))</f>
        <v>Aurora Borealis</v>
      </c>
      <c r="BL6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2" spans="1:64" ht="15" customHeight="1" x14ac:dyDescent="0.25">
      <c r="A632" s="40">
        <v>18241</v>
      </c>
      <c r="B632" s="40" t="s">
        <v>24</v>
      </c>
      <c r="C632" s="40" t="s">
        <v>182</v>
      </c>
      <c r="D632" s="40" t="s">
        <v>181</v>
      </c>
      <c r="E632" s="40">
        <v>18</v>
      </c>
      <c r="F632" s="40" t="s">
        <v>53</v>
      </c>
      <c r="G632" s="40" t="s">
        <v>53</v>
      </c>
      <c r="H632" s="41" t="s">
        <v>647</v>
      </c>
      <c r="I632" s="42" t="s">
        <v>43</v>
      </c>
      <c r="J632" s="40" t="s">
        <v>47</v>
      </c>
      <c r="K632" s="41" t="s">
        <v>43</v>
      </c>
      <c r="L632" s="40">
        <v>1</v>
      </c>
      <c r="M632" s="40">
        <v>2</v>
      </c>
      <c r="N632" s="41">
        <v>1</v>
      </c>
      <c r="O632" s="40">
        <v>4</v>
      </c>
      <c r="P632" s="40">
        <v>2</v>
      </c>
      <c r="Q632" s="41">
        <v>5</v>
      </c>
      <c r="R632" s="40">
        <v>2</v>
      </c>
      <c r="S632" s="40">
        <v>6</v>
      </c>
      <c r="T632" s="40">
        <v>1</v>
      </c>
      <c r="U632" s="40">
        <v>4</v>
      </c>
      <c r="V632" s="40" t="s">
        <v>45</v>
      </c>
      <c r="W632" s="40" t="s">
        <v>45</v>
      </c>
      <c r="X632" s="40" t="s">
        <v>45</v>
      </c>
      <c r="Y632" s="40" t="s">
        <v>45</v>
      </c>
      <c r="Z632" s="40">
        <v>2</v>
      </c>
      <c r="AA632" s="40">
        <v>5</v>
      </c>
      <c r="AB632" s="40" t="s">
        <v>45</v>
      </c>
      <c r="AC632" s="40" t="s">
        <v>45</v>
      </c>
      <c r="AD632" s="40" t="s">
        <v>45</v>
      </c>
      <c r="AE632" s="40" t="s">
        <v>45</v>
      </c>
      <c r="AF632" s="40" t="s">
        <v>45</v>
      </c>
      <c r="AG632" s="40" t="s">
        <v>45</v>
      </c>
      <c r="AH632" s="40" t="s">
        <v>45</v>
      </c>
      <c r="AI632" s="40" t="s">
        <v>45</v>
      </c>
      <c r="AJ632" s="40" t="s">
        <v>45</v>
      </c>
      <c r="AK632" s="40" t="s">
        <v>45</v>
      </c>
      <c r="AL632" s="40" t="s">
        <v>45</v>
      </c>
      <c r="AM632" s="40" t="s">
        <v>45</v>
      </c>
      <c r="AN632" s="40" t="s">
        <v>45</v>
      </c>
      <c r="AO632" s="41" t="s">
        <v>45</v>
      </c>
      <c r="AP632" s="40" t="s">
        <v>68</v>
      </c>
      <c r="AQ632" s="40">
        <v>8</v>
      </c>
      <c r="AR632" s="48" t="s">
        <v>347</v>
      </c>
      <c r="AS632" s="43" t="s">
        <v>554</v>
      </c>
      <c r="AT632" s="43"/>
      <c r="AU632" s="44">
        <f t="shared" si="71"/>
        <v>-2.5060525215375429</v>
      </c>
      <c r="AV632" s="44">
        <f t="shared" si="72"/>
        <v>-0.50720153305650884</v>
      </c>
      <c r="AW632" s="45">
        <f t="shared" si="73"/>
        <v>3</v>
      </c>
      <c r="AX632" s="45">
        <f t="shared" si="74"/>
        <v>1</v>
      </c>
      <c r="AY632" s="46">
        <f>VLOOKUP(AP632,COND!$A$10:$B$32,2,FALSE)</f>
        <v>0.95</v>
      </c>
      <c r="AZ632" s="44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44.799520892834195</v>
      </c>
      <c r="BA632" s="47">
        <f>STANDARDIZE(AZ632,AVERAGE($AZ$5:$AZ$788),STDEVP($AZ$5:$AZ$788))</f>
        <v>0.58035014582212463</v>
      </c>
      <c r="BB632" s="45" t="str">
        <f t="shared" si="75"/>
        <v>SP</v>
      </c>
      <c r="BC632" s="45">
        <f>RANK(Table3[[#This Row],[zScore]],Table3[zScore])</f>
        <v>202</v>
      </c>
      <c r="BD632" s="45"/>
      <c r="BE632" s="45"/>
      <c r="BF632" s="45" t="str">
        <f t="shared" si="76"/>
        <v>Unlikely</v>
      </c>
      <c r="BG632" s="45"/>
      <c r="BH632" s="64" t="str">
        <f>INDEX(Table5[[#All],[Ovr]],MATCH(Table3[[#This Row],[PID]],Table5[[#All],[PID]],0))</f>
        <v/>
      </c>
      <c r="BI632" s="64" t="str">
        <f>INDEX(Table5[[#All],[Rnd]],MATCH(Table3[[#This Row],[PID]],Table5[[#All],[PID]],0))</f>
        <v/>
      </c>
      <c r="BJ632" s="64" t="str">
        <f>INDEX(Table5[[#All],[Pick]],MATCH(Table3[[#This Row],[PID]],Table5[[#All],[PID]],0))</f>
        <v/>
      </c>
      <c r="BK632" s="64" t="str">
        <f>INDEX(Table5[[#All],[Team]],MATCH(Table3[[#This Row],[PID]],Table5[[#All],[PID]],0))</f>
        <v/>
      </c>
      <c r="BL632" s="64" t="str">
        <f>IF(OR(Table3[[#This Row],[POS]]="SP",Table3[[#This Row],[POS]]="RP",Table3[[#This Row],[POS]]="CL"),"P",INDEX(Batters[[#All],[zScore]],MATCH(Table3[[#This Row],[PID]],Batters[[#All],[PID]],0)))</f>
        <v>P</v>
      </c>
    </row>
    <row r="633" spans="1:64" ht="15" customHeight="1" x14ac:dyDescent="0.25">
      <c r="A633" s="40">
        <v>17823</v>
      </c>
      <c r="B633" s="40" t="s">
        <v>24</v>
      </c>
      <c r="C633" s="40" t="s">
        <v>1653</v>
      </c>
      <c r="D633" s="40" t="s">
        <v>2065</v>
      </c>
      <c r="E633" s="40">
        <v>18</v>
      </c>
      <c r="F633" s="40" t="s">
        <v>53</v>
      </c>
      <c r="G633" s="40" t="s">
        <v>53</v>
      </c>
      <c r="H633" s="41" t="s">
        <v>647</v>
      </c>
      <c r="I633" s="42" t="s">
        <v>44</v>
      </c>
      <c r="J633" s="40" t="s">
        <v>43</v>
      </c>
      <c r="K633" s="41" t="s">
        <v>43</v>
      </c>
      <c r="L633" s="40">
        <v>2</v>
      </c>
      <c r="M633" s="40">
        <v>2</v>
      </c>
      <c r="N633" s="41">
        <v>1</v>
      </c>
      <c r="O633" s="40">
        <v>5</v>
      </c>
      <c r="P633" s="40">
        <v>2</v>
      </c>
      <c r="Q633" s="41">
        <v>4</v>
      </c>
      <c r="R633" s="40" t="s">
        <v>45</v>
      </c>
      <c r="S633" s="40" t="s">
        <v>45</v>
      </c>
      <c r="T633" s="40" t="s">
        <v>45</v>
      </c>
      <c r="U633" s="40" t="s">
        <v>45</v>
      </c>
      <c r="V633" s="40">
        <v>2</v>
      </c>
      <c r="W633" s="40">
        <v>7</v>
      </c>
      <c r="X633" s="40">
        <v>2</v>
      </c>
      <c r="Y633" s="40">
        <v>7</v>
      </c>
      <c r="Z633" s="40" t="s">
        <v>45</v>
      </c>
      <c r="AA633" s="40" t="s">
        <v>45</v>
      </c>
      <c r="AB633" s="40" t="s">
        <v>45</v>
      </c>
      <c r="AC633" s="40" t="s">
        <v>45</v>
      </c>
      <c r="AD633" s="40">
        <v>3</v>
      </c>
      <c r="AE633" s="40">
        <v>5</v>
      </c>
      <c r="AF633" s="40" t="s">
        <v>45</v>
      </c>
      <c r="AG633" s="40" t="s">
        <v>45</v>
      </c>
      <c r="AH633" s="40" t="s">
        <v>45</v>
      </c>
      <c r="AI633" s="40" t="s">
        <v>45</v>
      </c>
      <c r="AJ633" s="40" t="s">
        <v>45</v>
      </c>
      <c r="AK633" s="40" t="s">
        <v>45</v>
      </c>
      <c r="AL633" s="40" t="s">
        <v>45</v>
      </c>
      <c r="AM633" s="40" t="s">
        <v>45</v>
      </c>
      <c r="AN633" s="40" t="s">
        <v>45</v>
      </c>
      <c r="AO633" s="41" t="s">
        <v>45</v>
      </c>
      <c r="AP633" s="40" t="s">
        <v>56</v>
      </c>
      <c r="AQ633" s="40">
        <v>6</v>
      </c>
      <c r="AR633" s="48" t="s">
        <v>347</v>
      </c>
      <c r="AS633" s="43" t="s">
        <v>656</v>
      </c>
      <c r="AT633" s="43" t="s">
        <v>635</v>
      </c>
      <c r="AU633" s="44">
        <f t="shared" si="71"/>
        <v>-2.311361197028369</v>
      </c>
      <c r="AV633" s="44">
        <f t="shared" si="72"/>
        <v>-0.55483077460144581</v>
      </c>
      <c r="AW633" s="45">
        <f t="shared" si="73"/>
        <v>3</v>
      </c>
      <c r="AX633" s="45">
        <f t="shared" si="74"/>
        <v>2</v>
      </c>
      <c r="AY633" s="46">
        <f>VLOOKUP(AP633,COND!$A$10:$B$32,2,FALSE)</f>
        <v>1</v>
      </c>
      <c r="AZ633" s="44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44.480084461851277</v>
      </c>
      <c r="BA633" s="47">
        <f>STANDARDIZE(AZ633,AVERAGE($AZ$5:$AZ$557),STDEVP($AZ$5:$AZ$557))</f>
        <v>0.57278076526376931</v>
      </c>
      <c r="BB633" s="45" t="str">
        <f t="shared" si="75"/>
        <v>SP</v>
      </c>
      <c r="BC633" s="45">
        <f>RANK(Table3[[#This Row],[zScore]],Table3[zScore])</f>
        <v>204</v>
      </c>
      <c r="BD633" s="45"/>
      <c r="BE633" s="45"/>
      <c r="BF633" s="45" t="str">
        <f t="shared" si="76"/>
        <v>Unlikely</v>
      </c>
      <c r="BG633" s="45"/>
      <c r="BH633" s="45">
        <f>INDEX(Table5[[#All],[Ovr]],MATCH(Table3[[#This Row],[PID]],Table5[[#All],[PID]],0))</f>
        <v>498</v>
      </c>
      <c r="BI633" s="45" t="str">
        <f>INDEX(Table5[[#All],[Rnd]],MATCH(Table3[[#This Row],[PID]],Table5[[#All],[PID]],0))</f>
        <v>17</v>
      </c>
      <c r="BJ633" s="45">
        <f>INDEX(Table5[[#All],[Pick]],MATCH(Table3[[#This Row],[PID]],Table5[[#All],[PID]],0))</f>
        <v>10</v>
      </c>
      <c r="BK633" s="45" t="str">
        <f>INDEX(Table5[[#All],[Team]],MATCH(Table3[[#This Row],[PID]],Table5[[#All],[PID]],0))</f>
        <v>Hartford Harpoon</v>
      </c>
      <c r="BL63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4" spans="1:64" ht="15" customHeight="1" x14ac:dyDescent="0.25">
      <c r="A634" s="40">
        <v>8665</v>
      </c>
      <c r="B634" s="40" t="s">
        <v>24</v>
      </c>
      <c r="C634" s="40" t="s">
        <v>364</v>
      </c>
      <c r="D634" s="40" t="s">
        <v>1719</v>
      </c>
      <c r="E634" s="40">
        <v>18</v>
      </c>
      <c r="F634" s="40" t="s">
        <v>42</v>
      </c>
      <c r="G634" s="40" t="s">
        <v>53</v>
      </c>
      <c r="H634" s="41" t="s">
        <v>647</v>
      </c>
      <c r="I634" s="42" t="s">
        <v>43</v>
      </c>
      <c r="J634" s="40" t="s">
        <v>43</v>
      </c>
      <c r="K634" s="41" t="s">
        <v>43</v>
      </c>
      <c r="L634" s="40">
        <v>2</v>
      </c>
      <c r="M634" s="40">
        <v>2</v>
      </c>
      <c r="N634" s="41">
        <v>1</v>
      </c>
      <c r="O634" s="40">
        <v>5</v>
      </c>
      <c r="P634" s="40">
        <v>4</v>
      </c>
      <c r="Q634" s="41">
        <v>3</v>
      </c>
      <c r="R634" s="40">
        <v>5</v>
      </c>
      <c r="S634" s="40">
        <v>7</v>
      </c>
      <c r="T634" s="40">
        <v>1</v>
      </c>
      <c r="U634" s="40">
        <v>5</v>
      </c>
      <c r="V634" s="40">
        <v>2</v>
      </c>
      <c r="W634" s="40">
        <v>7</v>
      </c>
      <c r="X634" s="40">
        <v>3</v>
      </c>
      <c r="Y634" s="40">
        <v>4</v>
      </c>
      <c r="Z634" s="40" t="s">
        <v>45</v>
      </c>
      <c r="AA634" s="40" t="s">
        <v>45</v>
      </c>
      <c r="AB634" s="40" t="s">
        <v>45</v>
      </c>
      <c r="AC634" s="40" t="s">
        <v>45</v>
      </c>
      <c r="AD634" s="40" t="s">
        <v>45</v>
      </c>
      <c r="AE634" s="40" t="s">
        <v>45</v>
      </c>
      <c r="AF634" s="40" t="s">
        <v>45</v>
      </c>
      <c r="AG634" s="40" t="s">
        <v>45</v>
      </c>
      <c r="AH634" s="40" t="s">
        <v>45</v>
      </c>
      <c r="AI634" s="40" t="s">
        <v>45</v>
      </c>
      <c r="AJ634" s="40" t="s">
        <v>45</v>
      </c>
      <c r="AK634" s="40" t="s">
        <v>45</v>
      </c>
      <c r="AL634" s="40" t="s">
        <v>45</v>
      </c>
      <c r="AM634" s="40" t="s">
        <v>45</v>
      </c>
      <c r="AN634" s="40" t="s">
        <v>45</v>
      </c>
      <c r="AO634" s="41" t="s">
        <v>45</v>
      </c>
      <c r="AP634" s="40" t="s">
        <v>54</v>
      </c>
      <c r="AQ634" s="40">
        <v>3</v>
      </c>
      <c r="AR634" s="48" t="s">
        <v>347</v>
      </c>
      <c r="AS634" s="43" t="s">
        <v>644</v>
      </c>
      <c r="AT634" s="43" t="s">
        <v>635</v>
      </c>
      <c r="AU634" s="44">
        <f t="shared" si="71"/>
        <v>-2.311361197028369</v>
      </c>
      <c r="AV634" s="44">
        <f t="shared" si="72"/>
        <v>-0.40628790779544532</v>
      </c>
      <c r="AW634" s="45">
        <f t="shared" si="73"/>
        <v>4</v>
      </c>
      <c r="AX634" s="45">
        <f t="shared" si="74"/>
        <v>2</v>
      </c>
      <c r="AY634" s="46">
        <f>VLOOKUP(AP634,COND!$A$10:$B$32,2,FALSE)</f>
        <v>1.0249999999999999</v>
      </c>
      <c r="AZ634" s="44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46.01928040256243</v>
      </c>
      <c r="BA634" s="47">
        <f>STANDARDIZE(AZ634,AVERAGE($AZ$5:$AZ$663),STDEVP($AZ$5:$AZ$663))</f>
        <v>0.56275961485940718</v>
      </c>
      <c r="BB634" s="45" t="str">
        <f t="shared" si="75"/>
        <v>RP</v>
      </c>
      <c r="BC634" s="45">
        <f>RANK(Table3[[#This Row],[zScore]],Table3[zScore])</f>
        <v>205</v>
      </c>
      <c r="BD634" s="45"/>
      <c r="BE634" s="45"/>
      <c r="BF634" s="45" t="str">
        <f t="shared" si="76"/>
        <v>Possible</v>
      </c>
      <c r="BG634" s="45"/>
      <c r="BH634" s="45">
        <f>INDEX(Table5[[#All],[Ovr]],MATCH(Table3[[#This Row],[PID]],Table5[[#All],[PID]],0))</f>
        <v>539</v>
      </c>
      <c r="BI634" s="45" t="str">
        <f>INDEX(Table5[[#All],[Rnd]],MATCH(Table3[[#This Row],[PID]],Table5[[#All],[PID]],0))</f>
        <v>18</v>
      </c>
      <c r="BJ634" s="45">
        <f>INDEX(Table5[[#All],[Pick]],MATCH(Table3[[#This Row],[PID]],Table5[[#All],[PID]],0))</f>
        <v>21</v>
      </c>
      <c r="BK634" s="45" t="str">
        <f>INDEX(Table5[[#All],[Team]],MATCH(Table3[[#This Row],[PID]],Table5[[#All],[PID]],0))</f>
        <v>Crystal Lake Sandgnats</v>
      </c>
      <c r="BL6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5" spans="1:64" ht="15" customHeight="1" x14ac:dyDescent="0.25">
      <c r="A635" s="40">
        <v>18365</v>
      </c>
      <c r="B635" s="40" t="s">
        <v>24</v>
      </c>
      <c r="C635" s="40" t="s">
        <v>1075</v>
      </c>
      <c r="D635" s="40" t="s">
        <v>1732</v>
      </c>
      <c r="E635" s="40">
        <v>18</v>
      </c>
      <c r="F635" s="40" t="s">
        <v>42</v>
      </c>
      <c r="G635" s="40" t="s">
        <v>42</v>
      </c>
      <c r="H635" s="41" t="s">
        <v>647</v>
      </c>
      <c r="I635" s="42" t="s">
        <v>44</v>
      </c>
      <c r="J635" s="40" t="s">
        <v>44</v>
      </c>
      <c r="K635" s="41" t="s">
        <v>43</v>
      </c>
      <c r="L635" s="40">
        <v>1</v>
      </c>
      <c r="M635" s="40">
        <v>2</v>
      </c>
      <c r="N635" s="41">
        <v>2</v>
      </c>
      <c r="O635" s="40">
        <v>4</v>
      </c>
      <c r="P635" s="40">
        <v>3</v>
      </c>
      <c r="Q635" s="41">
        <v>4</v>
      </c>
      <c r="R635" s="40">
        <v>4</v>
      </c>
      <c r="S635" s="40">
        <v>6</v>
      </c>
      <c r="T635" s="40">
        <v>1</v>
      </c>
      <c r="U635" s="40">
        <v>1</v>
      </c>
      <c r="V635" s="40" t="s">
        <v>45</v>
      </c>
      <c r="W635" s="40" t="s">
        <v>45</v>
      </c>
      <c r="X635" s="40">
        <v>2</v>
      </c>
      <c r="Y635" s="40">
        <v>7</v>
      </c>
      <c r="Z635" s="40" t="s">
        <v>45</v>
      </c>
      <c r="AA635" s="40" t="s">
        <v>45</v>
      </c>
      <c r="AB635" s="40" t="s">
        <v>45</v>
      </c>
      <c r="AC635" s="40" t="s">
        <v>45</v>
      </c>
      <c r="AD635" s="40" t="s">
        <v>45</v>
      </c>
      <c r="AE635" s="40" t="s">
        <v>45</v>
      </c>
      <c r="AF635" s="40" t="s">
        <v>45</v>
      </c>
      <c r="AG635" s="40" t="s">
        <v>45</v>
      </c>
      <c r="AH635" s="40" t="s">
        <v>45</v>
      </c>
      <c r="AI635" s="40" t="s">
        <v>45</v>
      </c>
      <c r="AJ635" s="40" t="s">
        <v>45</v>
      </c>
      <c r="AK635" s="40" t="s">
        <v>45</v>
      </c>
      <c r="AL635" s="40" t="s">
        <v>45</v>
      </c>
      <c r="AM635" s="40" t="s">
        <v>45</v>
      </c>
      <c r="AN635" s="40" t="s">
        <v>45</v>
      </c>
      <c r="AO635" s="41" t="s">
        <v>45</v>
      </c>
      <c r="AP635" s="40" t="s">
        <v>350</v>
      </c>
      <c r="AQ635" s="40">
        <v>9</v>
      </c>
      <c r="AR635" s="48" t="s">
        <v>347</v>
      </c>
      <c r="AS635" s="43" t="s">
        <v>670</v>
      </c>
      <c r="AT635" s="43" t="s">
        <v>47</v>
      </c>
      <c r="AU635" s="44">
        <f t="shared" si="71"/>
        <v>-2.2637319554834323</v>
      </c>
      <c r="AV635" s="44">
        <f t="shared" si="72"/>
        <v>-0.55409038268056388</v>
      </c>
      <c r="AW635" s="45">
        <f t="shared" si="73"/>
        <v>3</v>
      </c>
      <c r="AX635" s="45">
        <f t="shared" si="74"/>
        <v>2</v>
      </c>
      <c r="AY635" s="46">
        <f>VLOOKUP(AP635,COND!$A$10:$B$32,2,FALSE)</f>
        <v>1</v>
      </c>
      <c r="AZ635" s="44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44.015445955292037</v>
      </c>
      <c r="BA635" s="47">
        <f>STANDARDIZE(AZ635,AVERAGE($AZ$5:$AZ$557),STDEVP($AZ$5:$AZ$557))</f>
        <v>0.54186907544059337</v>
      </c>
      <c r="BB635" s="45" t="str">
        <f t="shared" si="75"/>
        <v>SP</v>
      </c>
      <c r="BC635" s="45">
        <f>RANK(Table3[[#This Row],[zScore]],Table3[zScore])</f>
        <v>207</v>
      </c>
      <c r="BD635" s="45"/>
      <c r="BE635" s="45"/>
      <c r="BF635" s="45" t="str">
        <f t="shared" si="76"/>
        <v>Unlikely</v>
      </c>
      <c r="BG635" s="45"/>
      <c r="BH635" s="45">
        <f>INDEX(Table5[[#All],[Ovr]],MATCH(Table3[[#This Row],[PID]],Table5[[#All],[PID]],0))</f>
        <v>537</v>
      </c>
      <c r="BI635" s="45" t="str">
        <f>INDEX(Table5[[#All],[Rnd]],MATCH(Table3[[#This Row],[PID]],Table5[[#All],[PID]],0))</f>
        <v>18</v>
      </c>
      <c r="BJ635" s="45">
        <f>INDEX(Table5[[#All],[Pick]],MATCH(Table3[[#This Row],[PID]],Table5[[#All],[PID]],0))</f>
        <v>19</v>
      </c>
      <c r="BK635" s="45" t="str">
        <f>INDEX(Table5[[#All],[Team]],MATCH(Table3[[#This Row],[PID]],Table5[[#All],[PID]],0))</f>
        <v>Kalamazoo Badgers</v>
      </c>
      <c r="BL63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6" spans="1:64" ht="15" customHeight="1" x14ac:dyDescent="0.25">
      <c r="A636" s="40">
        <v>18081</v>
      </c>
      <c r="B636" s="40" t="s">
        <v>24</v>
      </c>
      <c r="C636" s="40" t="s">
        <v>750</v>
      </c>
      <c r="D636" s="40" t="s">
        <v>946</v>
      </c>
      <c r="E636" s="40">
        <v>21</v>
      </c>
      <c r="F636" s="40" t="s">
        <v>42</v>
      </c>
      <c r="G636" s="40" t="s">
        <v>42</v>
      </c>
      <c r="H636" s="41" t="s">
        <v>638</v>
      </c>
      <c r="I636" s="42" t="s">
        <v>44</v>
      </c>
      <c r="J636" s="40" t="s">
        <v>44</v>
      </c>
      <c r="K636" s="41" t="s">
        <v>43</v>
      </c>
      <c r="L636" s="40">
        <v>5</v>
      </c>
      <c r="M636" s="40">
        <v>2</v>
      </c>
      <c r="N636" s="41">
        <v>1</v>
      </c>
      <c r="O636" s="40">
        <v>7</v>
      </c>
      <c r="P636" s="40">
        <v>3</v>
      </c>
      <c r="Q636" s="41">
        <v>2</v>
      </c>
      <c r="R636" s="40">
        <v>6</v>
      </c>
      <c r="S636" s="40">
        <v>9</v>
      </c>
      <c r="T636" s="40">
        <v>1</v>
      </c>
      <c r="U636" s="40">
        <v>6</v>
      </c>
      <c r="V636" s="40" t="s">
        <v>45</v>
      </c>
      <c r="W636" s="40" t="s">
        <v>45</v>
      </c>
      <c r="X636" s="40">
        <v>5</v>
      </c>
      <c r="Y636" s="40">
        <v>7</v>
      </c>
      <c r="Z636" s="40" t="s">
        <v>45</v>
      </c>
      <c r="AA636" s="40" t="s">
        <v>45</v>
      </c>
      <c r="AB636" s="40">
        <v>5</v>
      </c>
      <c r="AC636" s="40">
        <v>7</v>
      </c>
      <c r="AD636" s="40" t="s">
        <v>45</v>
      </c>
      <c r="AE636" s="40" t="s">
        <v>45</v>
      </c>
      <c r="AF636" s="40" t="s">
        <v>45</v>
      </c>
      <c r="AG636" s="40" t="s">
        <v>45</v>
      </c>
      <c r="AH636" s="40" t="s">
        <v>45</v>
      </c>
      <c r="AI636" s="40" t="s">
        <v>45</v>
      </c>
      <c r="AJ636" s="40" t="s">
        <v>45</v>
      </c>
      <c r="AK636" s="40" t="s">
        <v>45</v>
      </c>
      <c r="AL636" s="40" t="s">
        <v>45</v>
      </c>
      <c r="AM636" s="40" t="s">
        <v>45</v>
      </c>
      <c r="AN636" s="40" t="s">
        <v>45</v>
      </c>
      <c r="AO636" s="41" t="s">
        <v>45</v>
      </c>
      <c r="AP636" s="40" t="s">
        <v>59</v>
      </c>
      <c r="AQ636" s="40">
        <v>7</v>
      </c>
      <c r="AR636" s="48" t="s">
        <v>347</v>
      </c>
      <c r="AS636" s="43" t="s">
        <v>1161</v>
      </c>
      <c r="AT636" s="43" t="s">
        <v>47</v>
      </c>
      <c r="AU636" s="44">
        <f t="shared" si="71"/>
        <v>-1.7272872235008485</v>
      </c>
      <c r="AV636" s="44">
        <f t="shared" si="72"/>
        <v>-0.45465754126126406</v>
      </c>
      <c r="AW636" s="45">
        <f t="shared" si="73"/>
        <v>4</v>
      </c>
      <c r="AX636" s="45">
        <f t="shared" si="74"/>
        <v>4</v>
      </c>
      <c r="AY636" s="46">
        <f>VLOOKUP(AP636,COND!$A$10:$B$32,2,FALSE)</f>
        <v>1.075</v>
      </c>
      <c r="AZ636" s="44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43.928496109830135</v>
      </c>
      <c r="BA636" s="47">
        <f>STANDARDIZE(AZ636,AVERAGE($AZ$5:$AZ$557),STDEVP($AZ$5:$AZ$557))</f>
        <v>0.53608443509084069</v>
      </c>
      <c r="BB636" s="45" t="str">
        <f t="shared" si="75"/>
        <v>SP</v>
      </c>
      <c r="BC636" s="45">
        <f>RANK(Table3[[#This Row],[zScore]],Table3[zScore])</f>
        <v>209</v>
      </c>
      <c r="BD636" s="45"/>
      <c r="BE636" s="45"/>
      <c r="BF636" s="45" t="str">
        <f t="shared" si="76"/>
        <v>Possible</v>
      </c>
      <c r="BG636" s="45"/>
      <c r="BH636" s="45">
        <f>INDEX(Table5[[#All],[Ovr]],MATCH(Table3[[#This Row],[PID]],Table5[[#All],[PID]],0))</f>
        <v>114</v>
      </c>
      <c r="BI636" s="45" t="str">
        <f>INDEX(Table5[[#All],[Rnd]],MATCH(Table3[[#This Row],[PID]],Table5[[#All],[PID]],0))</f>
        <v>4</v>
      </c>
      <c r="BJ636" s="45">
        <f>INDEX(Table5[[#All],[Pick]],MATCH(Table3[[#This Row],[PID]],Table5[[#All],[PID]],0))</f>
        <v>14</v>
      </c>
      <c r="BK636" s="45" t="str">
        <f>INDEX(Table5[[#All],[Team]],MATCH(Table3[[#This Row],[PID]],Table5[[#All],[PID]],0))</f>
        <v>San Antonio Calzones of Laredo</v>
      </c>
      <c r="BL6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7" spans="1:64" ht="15" customHeight="1" x14ac:dyDescent="0.25">
      <c r="A637" s="40">
        <v>18434</v>
      </c>
      <c r="B637" s="40" t="s">
        <v>24</v>
      </c>
      <c r="C637" s="40" t="s">
        <v>2167</v>
      </c>
      <c r="D637" s="40" t="s">
        <v>790</v>
      </c>
      <c r="E637" s="40">
        <v>18</v>
      </c>
      <c r="F637" s="40" t="s">
        <v>42</v>
      </c>
      <c r="G637" s="40" t="s">
        <v>42</v>
      </c>
      <c r="H637" s="41" t="s">
        <v>647</v>
      </c>
      <c r="I637" s="42" t="s">
        <v>43</v>
      </c>
      <c r="J637" s="40" t="s">
        <v>44</v>
      </c>
      <c r="K637" s="41" t="s">
        <v>43</v>
      </c>
      <c r="L637" s="40">
        <v>1</v>
      </c>
      <c r="M637" s="40">
        <v>2</v>
      </c>
      <c r="N637" s="41">
        <v>2</v>
      </c>
      <c r="O637" s="40">
        <v>4</v>
      </c>
      <c r="P637" s="40">
        <v>3</v>
      </c>
      <c r="Q637" s="41">
        <v>4</v>
      </c>
      <c r="R637" s="40">
        <v>3</v>
      </c>
      <c r="S637" s="40">
        <v>6</v>
      </c>
      <c r="T637" s="40">
        <v>1</v>
      </c>
      <c r="U637" s="40">
        <v>2</v>
      </c>
      <c r="V637" s="40" t="s">
        <v>45</v>
      </c>
      <c r="W637" s="40" t="s">
        <v>45</v>
      </c>
      <c r="X637" s="40">
        <v>2</v>
      </c>
      <c r="Y637" s="40">
        <v>6</v>
      </c>
      <c r="Z637" s="40" t="s">
        <v>45</v>
      </c>
      <c r="AA637" s="40" t="s">
        <v>45</v>
      </c>
      <c r="AB637" s="40" t="s">
        <v>45</v>
      </c>
      <c r="AC637" s="40" t="s">
        <v>45</v>
      </c>
      <c r="AD637" s="40" t="s">
        <v>45</v>
      </c>
      <c r="AE637" s="40" t="s">
        <v>45</v>
      </c>
      <c r="AF637" s="40" t="s">
        <v>45</v>
      </c>
      <c r="AG637" s="40" t="s">
        <v>45</v>
      </c>
      <c r="AH637" s="40" t="s">
        <v>45</v>
      </c>
      <c r="AI637" s="40" t="s">
        <v>45</v>
      </c>
      <c r="AJ637" s="40" t="s">
        <v>45</v>
      </c>
      <c r="AK637" s="40" t="s">
        <v>45</v>
      </c>
      <c r="AL637" s="40" t="s">
        <v>45</v>
      </c>
      <c r="AM637" s="40" t="s">
        <v>45</v>
      </c>
      <c r="AN637" s="40" t="s">
        <v>45</v>
      </c>
      <c r="AO637" s="41" t="s">
        <v>45</v>
      </c>
      <c r="AP637" s="40" t="s">
        <v>64</v>
      </c>
      <c r="AQ637" s="40">
        <v>7</v>
      </c>
      <c r="AR637" s="48" t="s">
        <v>347</v>
      </c>
      <c r="AS637" s="43" t="s">
        <v>654</v>
      </c>
      <c r="AT637" s="43"/>
      <c r="AU637" s="44">
        <f t="shared" si="71"/>
        <v>-2.2637319554834323</v>
      </c>
      <c r="AV637" s="44">
        <f t="shared" si="72"/>
        <v>-0.55409038268056388</v>
      </c>
      <c r="AW637" s="45">
        <f t="shared" si="73"/>
        <v>3</v>
      </c>
      <c r="AX637" s="45">
        <f t="shared" si="74"/>
        <v>2</v>
      </c>
      <c r="AY637" s="46">
        <f>VLOOKUP(AP637,COND!$A$10:$B$32,2,FALSE)</f>
        <v>1</v>
      </c>
      <c r="AZ637" s="44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44.165445955292036</v>
      </c>
      <c r="BA637" s="47">
        <f>STANDARDIZE(AZ637,AVERAGE($AZ$5:$AZ$788),STDEVP($AZ$5:$AZ$788))</f>
        <v>0.53446692007008534</v>
      </c>
      <c r="BB637" s="45" t="str">
        <f t="shared" si="75"/>
        <v>SP</v>
      </c>
      <c r="BC637" s="45">
        <f>RANK(Table3[[#This Row],[zScore]],Table3[zScore])</f>
        <v>210</v>
      </c>
      <c r="BD637" s="45"/>
      <c r="BE637" s="45"/>
      <c r="BF637" s="45" t="str">
        <f t="shared" si="76"/>
        <v>Unlikely</v>
      </c>
      <c r="BG637" s="45"/>
      <c r="BH637" s="64">
        <f>INDEX(Table5[[#All],[Ovr]],MATCH(Table3[[#This Row],[PID]],Table5[[#All],[PID]],0))</f>
        <v>490</v>
      </c>
      <c r="BI637" s="64" t="str">
        <f>INDEX(Table5[[#All],[Rnd]],MATCH(Table3[[#This Row],[PID]],Table5[[#All],[PID]],0))</f>
        <v>17</v>
      </c>
      <c r="BJ637" s="64">
        <f>INDEX(Table5[[#All],[Pick]],MATCH(Table3[[#This Row],[PID]],Table5[[#All],[PID]],0))</f>
        <v>2</v>
      </c>
      <c r="BK637" s="64" t="str">
        <f>INDEX(Table5[[#All],[Team]],MATCH(Table3[[#This Row],[PID]],Table5[[#All],[PID]],0))</f>
        <v>Charleston Statesmen</v>
      </c>
      <c r="BL637" s="64" t="str">
        <f>IF(OR(Table3[[#This Row],[POS]]="SP",Table3[[#This Row],[POS]]="RP",Table3[[#This Row],[POS]]="CL"),"P",INDEX(Batters[[#All],[zScore]],MATCH(Table3[[#This Row],[PID]],Batters[[#All],[PID]],0)))</f>
        <v>P</v>
      </c>
    </row>
    <row r="638" spans="1:64" ht="15" customHeight="1" x14ac:dyDescent="0.25">
      <c r="A638" s="40">
        <v>18300</v>
      </c>
      <c r="B638" s="40" t="s">
        <v>24</v>
      </c>
      <c r="C638" s="40" t="s">
        <v>1843</v>
      </c>
      <c r="D638" s="40" t="s">
        <v>1844</v>
      </c>
      <c r="E638" s="40">
        <v>21</v>
      </c>
      <c r="F638" s="40" t="s">
        <v>53</v>
      </c>
      <c r="G638" s="40" t="s">
        <v>42</v>
      </c>
      <c r="H638" s="41" t="s">
        <v>638</v>
      </c>
      <c r="I638" s="42" t="s">
        <v>43</v>
      </c>
      <c r="J638" s="40" t="s">
        <v>43</v>
      </c>
      <c r="K638" s="41" t="s">
        <v>47</v>
      </c>
      <c r="L638" s="40">
        <v>3</v>
      </c>
      <c r="M638" s="40">
        <v>2</v>
      </c>
      <c r="N638" s="41">
        <v>4</v>
      </c>
      <c r="O638" s="40">
        <v>5</v>
      </c>
      <c r="P638" s="40">
        <v>3</v>
      </c>
      <c r="Q638" s="41">
        <v>4</v>
      </c>
      <c r="R638" s="40">
        <v>5</v>
      </c>
      <c r="S638" s="40">
        <v>7</v>
      </c>
      <c r="T638" s="40">
        <v>2</v>
      </c>
      <c r="U638" s="40">
        <v>7</v>
      </c>
      <c r="V638" s="40">
        <v>2</v>
      </c>
      <c r="W638" s="40">
        <v>2</v>
      </c>
      <c r="X638" s="40" t="s">
        <v>45</v>
      </c>
      <c r="Y638" s="40" t="s">
        <v>45</v>
      </c>
      <c r="Z638" s="40" t="s">
        <v>45</v>
      </c>
      <c r="AA638" s="40" t="s">
        <v>45</v>
      </c>
      <c r="AB638" s="40">
        <v>5</v>
      </c>
      <c r="AC638" s="40">
        <v>7</v>
      </c>
      <c r="AD638" s="40" t="s">
        <v>45</v>
      </c>
      <c r="AE638" s="40" t="s">
        <v>45</v>
      </c>
      <c r="AF638" s="40" t="s">
        <v>45</v>
      </c>
      <c r="AG638" s="40" t="s">
        <v>45</v>
      </c>
      <c r="AH638" s="40" t="s">
        <v>45</v>
      </c>
      <c r="AI638" s="40" t="s">
        <v>45</v>
      </c>
      <c r="AJ638" s="40" t="s">
        <v>45</v>
      </c>
      <c r="AK638" s="40" t="s">
        <v>45</v>
      </c>
      <c r="AL638" s="40" t="s">
        <v>45</v>
      </c>
      <c r="AM638" s="40" t="s">
        <v>45</v>
      </c>
      <c r="AN638" s="40" t="s">
        <v>45</v>
      </c>
      <c r="AO638" s="41" t="s">
        <v>45</v>
      </c>
      <c r="AP638" s="40" t="s">
        <v>58</v>
      </c>
      <c r="AQ638" s="40">
        <v>4</v>
      </c>
      <c r="AR638" s="48" t="s">
        <v>347</v>
      </c>
      <c r="AS638" s="43" t="s">
        <v>45</v>
      </c>
      <c r="AT638" s="43" t="s">
        <v>47</v>
      </c>
      <c r="AU638" s="44">
        <f t="shared" si="71"/>
        <v>-1.3897081743568644</v>
      </c>
      <c r="AV638" s="44">
        <f t="shared" si="72"/>
        <v>-0.35939905817139028</v>
      </c>
      <c r="AW638" s="45">
        <f t="shared" si="73"/>
        <v>4</v>
      </c>
      <c r="AX638" s="45">
        <f t="shared" si="74"/>
        <v>3</v>
      </c>
      <c r="AY638" s="46">
        <f>VLOOKUP(AP638,COND!$A$10:$B$32,2,FALSE)</f>
        <v>1</v>
      </c>
      <c r="AZ638" s="44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43.669873341615784</v>
      </c>
      <c r="BA638" s="47">
        <f t="shared" ref="BA638:BA645" si="79">STANDARDIZE(AZ638,AVERAGE($AZ$5:$AZ$557),STDEVP($AZ$5:$AZ$557))</f>
        <v>0.51887865752527873</v>
      </c>
      <c r="BB638" s="45" t="str">
        <f t="shared" si="75"/>
        <v>RP</v>
      </c>
      <c r="BC638" s="45">
        <f>RANK(Table3[[#This Row],[zScore]],Table3[zScore])</f>
        <v>211</v>
      </c>
      <c r="BD638" s="45"/>
      <c r="BE638" s="45"/>
      <c r="BF638" s="45" t="str">
        <f t="shared" si="76"/>
        <v>Possible</v>
      </c>
      <c r="BG638" s="45"/>
      <c r="BH638" s="45">
        <f>INDEX(Table5[[#All],[Ovr]],MATCH(Table3[[#This Row],[PID]],Table5[[#All],[PID]],0))</f>
        <v>502</v>
      </c>
      <c r="BI638" s="45" t="str">
        <f>INDEX(Table5[[#All],[Rnd]],MATCH(Table3[[#This Row],[PID]],Table5[[#All],[PID]],0))</f>
        <v>17</v>
      </c>
      <c r="BJ638" s="45">
        <f>INDEX(Table5[[#All],[Pick]],MATCH(Table3[[#This Row],[PID]],Table5[[#All],[PID]],0))</f>
        <v>14</v>
      </c>
      <c r="BK638" s="45" t="str">
        <f>INDEX(Table5[[#All],[Team]],MATCH(Table3[[#This Row],[PID]],Table5[[#All],[PID]],0))</f>
        <v>Arlington Bureaucrats</v>
      </c>
      <c r="BL6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39" spans="1:64" ht="15" customHeight="1" x14ac:dyDescent="0.25">
      <c r="A639" s="40">
        <v>17839</v>
      </c>
      <c r="B639" s="40" t="s">
        <v>24</v>
      </c>
      <c r="C639" s="40" t="s">
        <v>1433</v>
      </c>
      <c r="D639" s="40" t="s">
        <v>1436</v>
      </c>
      <c r="E639" s="40">
        <v>18</v>
      </c>
      <c r="F639" s="40" t="s">
        <v>53</v>
      </c>
      <c r="G639" s="40" t="s">
        <v>53</v>
      </c>
      <c r="H639" s="41" t="s">
        <v>647</v>
      </c>
      <c r="I639" s="42" t="s">
        <v>43</v>
      </c>
      <c r="J639" s="40" t="s">
        <v>43</v>
      </c>
      <c r="K639" s="41" t="s">
        <v>43</v>
      </c>
      <c r="L639" s="40">
        <v>2</v>
      </c>
      <c r="M639" s="40">
        <v>2</v>
      </c>
      <c r="N639" s="41">
        <v>1</v>
      </c>
      <c r="O639" s="40">
        <v>6</v>
      </c>
      <c r="P639" s="40">
        <v>3</v>
      </c>
      <c r="Q639" s="41">
        <v>2</v>
      </c>
      <c r="R639" s="40">
        <v>5</v>
      </c>
      <c r="S639" s="40">
        <v>7</v>
      </c>
      <c r="T639" s="40">
        <v>1</v>
      </c>
      <c r="U639" s="40">
        <v>8</v>
      </c>
      <c r="V639" s="40" t="s">
        <v>45</v>
      </c>
      <c r="W639" s="40" t="s">
        <v>45</v>
      </c>
      <c r="X639" s="40">
        <v>3</v>
      </c>
      <c r="Y639" s="40">
        <v>9</v>
      </c>
      <c r="Z639" s="40" t="s">
        <v>45</v>
      </c>
      <c r="AA639" s="40" t="s">
        <v>45</v>
      </c>
      <c r="AB639" s="40" t="s">
        <v>45</v>
      </c>
      <c r="AC639" s="40" t="s">
        <v>45</v>
      </c>
      <c r="AD639" s="40" t="s">
        <v>45</v>
      </c>
      <c r="AE639" s="40" t="s">
        <v>45</v>
      </c>
      <c r="AF639" s="40" t="s">
        <v>45</v>
      </c>
      <c r="AG639" s="40" t="s">
        <v>45</v>
      </c>
      <c r="AH639" s="40" t="s">
        <v>45</v>
      </c>
      <c r="AI639" s="40" t="s">
        <v>45</v>
      </c>
      <c r="AJ639" s="40" t="s">
        <v>45</v>
      </c>
      <c r="AK639" s="40" t="s">
        <v>45</v>
      </c>
      <c r="AL639" s="40" t="s">
        <v>45</v>
      </c>
      <c r="AM639" s="40" t="s">
        <v>45</v>
      </c>
      <c r="AN639" s="40" t="s">
        <v>45</v>
      </c>
      <c r="AO639" s="41" t="s">
        <v>45</v>
      </c>
      <c r="AP639" s="40" t="s">
        <v>60</v>
      </c>
      <c r="AQ639" s="40">
        <v>7</v>
      </c>
      <c r="AR639" s="48" t="s">
        <v>347</v>
      </c>
      <c r="AS639" s="43" t="s">
        <v>644</v>
      </c>
      <c r="AT639" s="43" t="s">
        <v>47</v>
      </c>
      <c r="AU639" s="44">
        <f t="shared" si="71"/>
        <v>-2.311361197028369</v>
      </c>
      <c r="AV639" s="44">
        <f t="shared" si="72"/>
        <v>-0.64934886577043749</v>
      </c>
      <c r="AW639" s="45">
        <f t="shared" si="73"/>
        <v>3</v>
      </c>
      <c r="AX639" s="45">
        <f t="shared" si="74"/>
        <v>3</v>
      </c>
      <c r="AY639" s="46">
        <f>VLOOKUP(AP639,COND!$A$10:$B$32,2,FALSE)</f>
        <v>1.0249999999999999</v>
      </c>
      <c r="AZ639" s="44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43.595769206315218</v>
      </c>
      <c r="BA639" s="47">
        <f t="shared" si="79"/>
        <v>0.51394862264291652</v>
      </c>
      <c r="BB639" s="45" t="str">
        <f t="shared" si="75"/>
        <v>SP</v>
      </c>
      <c r="BC639" s="45">
        <f>RANK(Table3[[#This Row],[zScore]],Table3[zScore])</f>
        <v>213</v>
      </c>
      <c r="BD639" s="45"/>
      <c r="BE639" s="45"/>
      <c r="BF639" s="45" t="str">
        <f t="shared" si="76"/>
        <v>Unlikely</v>
      </c>
      <c r="BG639" s="45"/>
      <c r="BH639" s="45">
        <f>INDEX(Table5[[#All],[Ovr]],MATCH(Table3[[#This Row],[PID]],Table5[[#All],[PID]],0))</f>
        <v>172</v>
      </c>
      <c r="BI639" s="45" t="str">
        <f>INDEX(Table5[[#All],[Rnd]],MATCH(Table3[[#This Row],[PID]],Table5[[#All],[PID]],0))</f>
        <v>6</v>
      </c>
      <c r="BJ639" s="45">
        <f>INDEX(Table5[[#All],[Pick]],MATCH(Table3[[#This Row],[PID]],Table5[[#All],[PID]],0))</f>
        <v>14</v>
      </c>
      <c r="BK639" s="45" t="str">
        <f>INDEX(Table5[[#All],[Team]],MATCH(Table3[[#This Row],[PID]],Table5[[#All],[PID]],0))</f>
        <v>Arlington Bureaucrats</v>
      </c>
      <c r="BL63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0" spans="1:64" ht="15" customHeight="1" x14ac:dyDescent="0.25">
      <c r="A640" s="40">
        <v>18142</v>
      </c>
      <c r="B640" s="40" t="s">
        <v>24</v>
      </c>
      <c r="C640" s="40" t="s">
        <v>208</v>
      </c>
      <c r="D640" s="40" t="s">
        <v>133</v>
      </c>
      <c r="E640" s="40">
        <v>21</v>
      </c>
      <c r="F640" s="40" t="s">
        <v>53</v>
      </c>
      <c r="G640" s="40" t="s">
        <v>53</v>
      </c>
      <c r="H640" s="41" t="s">
        <v>638</v>
      </c>
      <c r="I640" s="42" t="s">
        <v>43</v>
      </c>
      <c r="J640" s="40" t="s">
        <v>43</v>
      </c>
      <c r="K640" s="41" t="s">
        <v>43</v>
      </c>
      <c r="L640" s="40">
        <v>3</v>
      </c>
      <c r="M640" s="40">
        <v>2</v>
      </c>
      <c r="N640" s="41">
        <v>2</v>
      </c>
      <c r="O640" s="40">
        <v>6</v>
      </c>
      <c r="P640" s="40">
        <v>3</v>
      </c>
      <c r="Q640" s="41">
        <v>3</v>
      </c>
      <c r="R640" s="40">
        <v>6</v>
      </c>
      <c r="S640" s="40">
        <v>9</v>
      </c>
      <c r="T640" s="40">
        <v>2</v>
      </c>
      <c r="U640" s="40">
        <v>6</v>
      </c>
      <c r="V640" s="40" t="s">
        <v>45</v>
      </c>
      <c r="W640" s="40" t="s">
        <v>45</v>
      </c>
      <c r="X640" s="40">
        <v>3</v>
      </c>
      <c r="Y640" s="40">
        <v>8</v>
      </c>
      <c r="Z640" s="40" t="s">
        <v>45</v>
      </c>
      <c r="AA640" s="40" t="s">
        <v>45</v>
      </c>
      <c r="AB640" s="40" t="s">
        <v>45</v>
      </c>
      <c r="AC640" s="40" t="s">
        <v>45</v>
      </c>
      <c r="AD640" s="40" t="s">
        <v>45</v>
      </c>
      <c r="AE640" s="40" t="s">
        <v>45</v>
      </c>
      <c r="AF640" s="40" t="s">
        <v>45</v>
      </c>
      <c r="AG640" s="40" t="s">
        <v>45</v>
      </c>
      <c r="AH640" s="40" t="s">
        <v>45</v>
      </c>
      <c r="AI640" s="40" t="s">
        <v>45</v>
      </c>
      <c r="AJ640" s="40" t="s">
        <v>45</v>
      </c>
      <c r="AK640" s="40" t="s">
        <v>45</v>
      </c>
      <c r="AL640" s="40" t="s">
        <v>45</v>
      </c>
      <c r="AM640" s="40" t="s">
        <v>45</v>
      </c>
      <c r="AN640" s="40" t="s">
        <v>45</v>
      </c>
      <c r="AO640" s="41" t="s">
        <v>45</v>
      </c>
      <c r="AP640" s="40" t="s">
        <v>46</v>
      </c>
      <c r="AQ640" s="40">
        <v>10</v>
      </c>
      <c r="AR640" s="48" t="s">
        <v>347</v>
      </c>
      <c r="AS640" s="43" t="s">
        <v>667</v>
      </c>
      <c r="AT640" s="43" t="s">
        <v>47</v>
      </c>
      <c r="AU640" s="44">
        <f t="shared" si="71"/>
        <v>-1.8743493064650851</v>
      </c>
      <c r="AV640" s="44">
        <f t="shared" si="72"/>
        <v>-0.40702829971632715</v>
      </c>
      <c r="AW640" s="45">
        <f t="shared" si="73"/>
        <v>3</v>
      </c>
      <c r="AX640" s="45">
        <f t="shared" si="74"/>
        <v>3</v>
      </c>
      <c r="AY640" s="46">
        <f>VLOOKUP(AP640,COND!$A$10:$B$32,2,FALSE)</f>
        <v>1.05</v>
      </c>
      <c r="AZ640" s="44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43.57129235159946</v>
      </c>
      <c r="BA640" s="47">
        <f t="shared" si="79"/>
        <v>0.51232021490197532</v>
      </c>
      <c r="BB640" s="45" t="str">
        <f t="shared" si="75"/>
        <v>SP</v>
      </c>
      <c r="BC640" s="45">
        <f>RANK(Table3[[#This Row],[zScore]],Table3[zScore])</f>
        <v>214</v>
      </c>
      <c r="BD640" s="45"/>
      <c r="BE640" s="45"/>
      <c r="BF640" s="45" t="str">
        <f t="shared" si="76"/>
        <v>Possible</v>
      </c>
      <c r="BG640" s="45"/>
      <c r="BH640" s="45">
        <f>INDEX(Table5[[#All],[Ovr]],MATCH(Table3[[#This Row],[PID]],Table5[[#All],[PID]],0))</f>
        <v>173</v>
      </c>
      <c r="BI640" s="45" t="str">
        <f>INDEX(Table5[[#All],[Rnd]],MATCH(Table3[[#This Row],[PID]],Table5[[#All],[PID]],0))</f>
        <v>6</v>
      </c>
      <c r="BJ640" s="45">
        <f>INDEX(Table5[[#All],[Pick]],MATCH(Table3[[#This Row],[PID]],Table5[[#All],[PID]],0))</f>
        <v>15</v>
      </c>
      <c r="BK640" s="45" t="str">
        <f>INDEX(Table5[[#All],[Team]],MATCH(Table3[[#This Row],[PID]],Table5[[#All],[PID]],0))</f>
        <v>Kentucky Thoroughbreds</v>
      </c>
      <c r="BL6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1" spans="1:64" ht="15" customHeight="1" x14ac:dyDescent="0.25">
      <c r="A641" s="40">
        <v>18199</v>
      </c>
      <c r="B641" s="40" t="s">
        <v>24</v>
      </c>
      <c r="C641" s="40" t="s">
        <v>689</v>
      </c>
      <c r="D641" s="40" t="s">
        <v>177</v>
      </c>
      <c r="E641" s="40">
        <v>18</v>
      </c>
      <c r="F641" s="40" t="s">
        <v>53</v>
      </c>
      <c r="G641" s="40" t="s">
        <v>53</v>
      </c>
      <c r="H641" s="41" t="s">
        <v>647</v>
      </c>
      <c r="I641" s="42" t="s">
        <v>43</v>
      </c>
      <c r="J641" s="40" t="s">
        <v>43</v>
      </c>
      <c r="K641" s="41" t="s">
        <v>43</v>
      </c>
      <c r="L641" s="40">
        <v>1</v>
      </c>
      <c r="M641" s="40">
        <v>2</v>
      </c>
      <c r="N641" s="41">
        <v>1</v>
      </c>
      <c r="O641" s="40">
        <v>3</v>
      </c>
      <c r="P641" s="40">
        <v>3</v>
      </c>
      <c r="Q641" s="41">
        <v>5</v>
      </c>
      <c r="R641" s="40">
        <v>2</v>
      </c>
      <c r="S641" s="40">
        <v>5</v>
      </c>
      <c r="T641" s="40">
        <v>1</v>
      </c>
      <c r="U641" s="40">
        <v>2</v>
      </c>
      <c r="V641" s="40" t="s">
        <v>45</v>
      </c>
      <c r="W641" s="40" t="s">
        <v>45</v>
      </c>
      <c r="X641" s="40" t="s">
        <v>45</v>
      </c>
      <c r="Y641" s="40" t="s">
        <v>45</v>
      </c>
      <c r="Z641" s="40">
        <v>3</v>
      </c>
      <c r="AA641" s="40">
        <v>5</v>
      </c>
      <c r="AB641" s="40" t="s">
        <v>45</v>
      </c>
      <c r="AC641" s="40" t="s">
        <v>45</v>
      </c>
      <c r="AD641" s="40" t="s">
        <v>45</v>
      </c>
      <c r="AE641" s="40" t="s">
        <v>45</v>
      </c>
      <c r="AF641" s="40" t="s">
        <v>45</v>
      </c>
      <c r="AG641" s="40" t="s">
        <v>45</v>
      </c>
      <c r="AH641" s="40" t="s">
        <v>45</v>
      </c>
      <c r="AI641" s="40" t="s">
        <v>45</v>
      </c>
      <c r="AJ641" s="40" t="s">
        <v>45</v>
      </c>
      <c r="AK641" s="40" t="s">
        <v>45</v>
      </c>
      <c r="AL641" s="40" t="s">
        <v>45</v>
      </c>
      <c r="AM641" s="40" t="s">
        <v>45</v>
      </c>
      <c r="AN641" s="40" t="s">
        <v>45</v>
      </c>
      <c r="AO641" s="41" t="s">
        <v>45</v>
      </c>
      <c r="AP641" s="40" t="s">
        <v>68</v>
      </c>
      <c r="AQ641" s="40">
        <v>10</v>
      </c>
      <c r="AR641" s="48" t="s">
        <v>347</v>
      </c>
      <c r="AS641" s="43" t="s">
        <v>644</v>
      </c>
      <c r="AT641" s="43" t="s">
        <v>47</v>
      </c>
      <c r="AU641" s="44">
        <f t="shared" si="71"/>
        <v>-2.5060525215375429</v>
      </c>
      <c r="AV641" s="44">
        <f t="shared" si="72"/>
        <v>-0.5064611411356269</v>
      </c>
      <c r="AW641" s="45">
        <f t="shared" si="73"/>
        <v>3</v>
      </c>
      <c r="AX641" s="45">
        <f t="shared" si="74"/>
        <v>0</v>
      </c>
      <c r="AY641" s="46">
        <f>VLOOKUP(AP641,COND!$A$10:$B$32,2,FALSE)</f>
        <v>0.95</v>
      </c>
      <c r="AZ641" s="44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43.326088339330958</v>
      </c>
      <c r="BA641" s="47">
        <f t="shared" si="79"/>
        <v>0.49600716666417116</v>
      </c>
      <c r="BB641" s="45" t="str">
        <f t="shared" si="75"/>
        <v>SP</v>
      </c>
      <c r="BC641" s="45">
        <f>RANK(Table3[[#This Row],[zScore]],Table3[zScore])</f>
        <v>216</v>
      </c>
      <c r="BD641" s="45"/>
      <c r="BE641" s="45"/>
      <c r="BF641" s="45" t="str">
        <f t="shared" si="76"/>
        <v>Unlikely</v>
      </c>
      <c r="BG641" s="45"/>
      <c r="BH641" s="45">
        <f>INDEX(Table5[[#All],[Ovr]],MATCH(Table3[[#This Row],[PID]],Table5[[#All],[PID]],0))</f>
        <v>545</v>
      </c>
      <c r="BI641" s="45" t="str">
        <f>INDEX(Table5[[#All],[Rnd]],MATCH(Table3[[#This Row],[PID]],Table5[[#All],[PID]],0))</f>
        <v>18</v>
      </c>
      <c r="BJ641" s="45">
        <f>INDEX(Table5[[#All],[Pick]],MATCH(Table3[[#This Row],[PID]],Table5[[#All],[PID]],0))</f>
        <v>27</v>
      </c>
      <c r="BK641" s="45" t="str">
        <f>INDEX(Table5[[#All],[Team]],MATCH(Table3[[#This Row],[PID]],Table5[[#All],[PID]],0))</f>
        <v>Neo-Tokyo Akira</v>
      </c>
      <c r="BL64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2" spans="1:64" ht="15" customHeight="1" x14ac:dyDescent="0.25">
      <c r="A642" s="40">
        <v>18299</v>
      </c>
      <c r="B642" s="40" t="s">
        <v>24</v>
      </c>
      <c r="C642" s="40" t="s">
        <v>1888</v>
      </c>
      <c r="D642" s="40" t="s">
        <v>1889</v>
      </c>
      <c r="E642" s="40">
        <v>21</v>
      </c>
      <c r="F642" s="40" t="s">
        <v>62</v>
      </c>
      <c r="G642" s="40" t="s">
        <v>42</v>
      </c>
      <c r="H642" s="41" t="s">
        <v>638</v>
      </c>
      <c r="I642" s="42" t="s">
        <v>43</v>
      </c>
      <c r="J642" s="40" t="s">
        <v>44</v>
      </c>
      <c r="K642" s="41" t="s">
        <v>43</v>
      </c>
      <c r="L642" s="40">
        <v>3</v>
      </c>
      <c r="M642" s="40">
        <v>3</v>
      </c>
      <c r="N642" s="41">
        <v>3</v>
      </c>
      <c r="O642" s="40">
        <v>4</v>
      </c>
      <c r="P642" s="40">
        <v>4</v>
      </c>
      <c r="Q642" s="41">
        <v>4</v>
      </c>
      <c r="R642" s="40">
        <v>4</v>
      </c>
      <c r="S642" s="40">
        <v>5</v>
      </c>
      <c r="T642" s="40">
        <v>3</v>
      </c>
      <c r="U642" s="40">
        <v>6</v>
      </c>
      <c r="V642" s="40">
        <v>5</v>
      </c>
      <c r="W642" s="40">
        <v>6</v>
      </c>
      <c r="X642" s="40" t="s">
        <v>45</v>
      </c>
      <c r="Y642" s="40" t="s">
        <v>45</v>
      </c>
      <c r="Z642" s="40" t="s">
        <v>45</v>
      </c>
      <c r="AA642" s="40" t="s">
        <v>45</v>
      </c>
      <c r="AB642" s="40" t="s">
        <v>45</v>
      </c>
      <c r="AC642" s="40" t="s">
        <v>45</v>
      </c>
      <c r="AD642" s="40" t="s">
        <v>45</v>
      </c>
      <c r="AE642" s="40" t="s">
        <v>45</v>
      </c>
      <c r="AF642" s="40" t="s">
        <v>45</v>
      </c>
      <c r="AG642" s="40" t="s">
        <v>45</v>
      </c>
      <c r="AH642" s="40" t="s">
        <v>45</v>
      </c>
      <c r="AI642" s="40" t="s">
        <v>45</v>
      </c>
      <c r="AJ642" s="40" t="s">
        <v>45</v>
      </c>
      <c r="AK642" s="40" t="s">
        <v>45</v>
      </c>
      <c r="AL642" s="40" t="s">
        <v>45</v>
      </c>
      <c r="AM642" s="40" t="s">
        <v>45</v>
      </c>
      <c r="AN642" s="40" t="s">
        <v>45</v>
      </c>
      <c r="AO642" s="41" t="s">
        <v>45</v>
      </c>
      <c r="AP642" s="40" t="s">
        <v>64</v>
      </c>
      <c r="AQ642" s="40">
        <v>9</v>
      </c>
      <c r="AR642" s="48" t="s">
        <v>347</v>
      </c>
      <c r="AS642" s="43" t="s">
        <v>643</v>
      </c>
      <c r="AT642" s="43" t="s">
        <v>635</v>
      </c>
      <c r="AU642" s="44">
        <f t="shared" si="71"/>
        <v>-1.4365970239809194</v>
      </c>
      <c r="AV642" s="44">
        <f t="shared" si="72"/>
        <v>-0.35865866625050846</v>
      </c>
      <c r="AW642" s="45">
        <f t="shared" si="73"/>
        <v>3</v>
      </c>
      <c r="AX642" s="45">
        <f t="shared" si="74"/>
        <v>2</v>
      </c>
      <c r="AY642" s="46">
        <f>VLOOKUP(AP642,COND!$A$10:$B$32,2,FALSE)</f>
        <v>1</v>
      </c>
      <c r="AZ642" s="44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43.239507270193641</v>
      </c>
      <c r="BA642" s="47">
        <f t="shared" si="79"/>
        <v>0.49024706043976274</v>
      </c>
      <c r="BB642" s="45" t="str">
        <f t="shared" si="75"/>
        <v>SP</v>
      </c>
      <c r="BC642" s="45">
        <f>RANK(Table3[[#This Row],[zScore]],Table3[zScore])</f>
        <v>218</v>
      </c>
      <c r="BD642" s="45"/>
      <c r="BE642" s="45"/>
      <c r="BF642" s="45" t="str">
        <f t="shared" si="76"/>
        <v>Possible</v>
      </c>
      <c r="BG642" s="45"/>
      <c r="BH642" s="45">
        <f>INDEX(Table5[[#All],[Ovr]],MATCH(Table3[[#This Row],[PID]],Table5[[#All],[PID]],0))</f>
        <v>438</v>
      </c>
      <c r="BI642" s="45" t="str">
        <f>INDEX(Table5[[#All],[Rnd]],MATCH(Table3[[#This Row],[PID]],Table5[[#All],[PID]],0))</f>
        <v>15</v>
      </c>
      <c r="BJ642" s="45">
        <f>INDEX(Table5[[#All],[Pick]],MATCH(Table3[[#This Row],[PID]],Table5[[#All],[PID]],0))</f>
        <v>10</v>
      </c>
      <c r="BK642" s="45" t="str">
        <f>INDEX(Table5[[#All],[Team]],MATCH(Table3[[#This Row],[PID]],Table5[[#All],[PID]],0))</f>
        <v>Hartford Harpoon</v>
      </c>
      <c r="BL6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3" spans="1:64" ht="15" customHeight="1" x14ac:dyDescent="0.25">
      <c r="A643" s="40">
        <v>18172</v>
      </c>
      <c r="B643" s="40" t="s">
        <v>24</v>
      </c>
      <c r="C643" s="40" t="s">
        <v>1967</v>
      </c>
      <c r="D643" s="40" t="s">
        <v>1968</v>
      </c>
      <c r="E643" s="40">
        <v>18</v>
      </c>
      <c r="F643" s="40" t="s">
        <v>42</v>
      </c>
      <c r="G643" s="40" t="s">
        <v>53</v>
      </c>
      <c r="H643" s="41" t="s">
        <v>647</v>
      </c>
      <c r="I643" s="42" t="s">
        <v>43</v>
      </c>
      <c r="J643" s="40" t="s">
        <v>44</v>
      </c>
      <c r="K643" s="41" t="s">
        <v>44</v>
      </c>
      <c r="L643" s="40">
        <v>1</v>
      </c>
      <c r="M643" s="40">
        <v>2</v>
      </c>
      <c r="N643" s="41">
        <v>1</v>
      </c>
      <c r="O643" s="40">
        <v>5</v>
      </c>
      <c r="P643" s="40">
        <v>3</v>
      </c>
      <c r="Q643" s="41">
        <v>3</v>
      </c>
      <c r="R643" s="40" t="s">
        <v>45</v>
      </c>
      <c r="S643" s="40" t="s">
        <v>45</v>
      </c>
      <c r="T643" s="40">
        <v>1</v>
      </c>
      <c r="U643" s="40">
        <v>8</v>
      </c>
      <c r="V643" s="40" t="s">
        <v>45</v>
      </c>
      <c r="W643" s="40" t="s">
        <v>45</v>
      </c>
      <c r="X643" s="40" t="s">
        <v>45</v>
      </c>
      <c r="Y643" s="40" t="s">
        <v>45</v>
      </c>
      <c r="Z643" s="40">
        <v>3</v>
      </c>
      <c r="AA643" s="40">
        <v>5</v>
      </c>
      <c r="AB643" s="40" t="s">
        <v>45</v>
      </c>
      <c r="AC643" s="40" t="s">
        <v>45</v>
      </c>
      <c r="AD643" s="40">
        <v>3</v>
      </c>
      <c r="AE643" s="40">
        <v>5</v>
      </c>
      <c r="AF643" s="40" t="s">
        <v>45</v>
      </c>
      <c r="AG643" s="40" t="s">
        <v>45</v>
      </c>
      <c r="AH643" s="40" t="s">
        <v>45</v>
      </c>
      <c r="AI643" s="40" t="s">
        <v>45</v>
      </c>
      <c r="AJ643" s="40" t="s">
        <v>45</v>
      </c>
      <c r="AK643" s="40" t="s">
        <v>45</v>
      </c>
      <c r="AL643" s="40" t="s">
        <v>45</v>
      </c>
      <c r="AM643" s="40" t="s">
        <v>45</v>
      </c>
      <c r="AN643" s="40" t="s">
        <v>45</v>
      </c>
      <c r="AO643" s="41" t="s">
        <v>45</v>
      </c>
      <c r="AP643" s="40" t="s">
        <v>350</v>
      </c>
      <c r="AQ643" s="40">
        <v>9</v>
      </c>
      <c r="AR643" s="48" t="s">
        <v>347</v>
      </c>
      <c r="AS643" s="43" t="s">
        <v>553</v>
      </c>
      <c r="AT643" s="43" t="s">
        <v>47</v>
      </c>
      <c r="AU643" s="44">
        <f t="shared" si="71"/>
        <v>-2.5060525215375429</v>
      </c>
      <c r="AV643" s="44">
        <f t="shared" si="72"/>
        <v>-0.60171962422550074</v>
      </c>
      <c r="AW643" s="45">
        <f t="shared" si="73"/>
        <v>3</v>
      </c>
      <c r="AX643" s="45">
        <f t="shared" si="74"/>
        <v>1</v>
      </c>
      <c r="AY643" s="46">
        <f>VLOOKUP(AP643,COND!$A$10:$B$32,2,FALSE)</f>
        <v>1</v>
      </c>
      <c r="AZ643" s="44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41.614397011182476</v>
      </c>
      <c r="BA643" s="47">
        <f t="shared" si="79"/>
        <v>0.38213095825310611</v>
      </c>
      <c r="BB643" s="45" t="str">
        <f t="shared" si="75"/>
        <v>SP</v>
      </c>
      <c r="BC643" s="45">
        <f>RANK(Table3[[#This Row],[zScore]],Table3[zScore])</f>
        <v>229</v>
      </c>
      <c r="BD643" s="45"/>
      <c r="BE643" s="45"/>
      <c r="BF643" s="45" t="str">
        <f t="shared" si="76"/>
        <v>Unlikely</v>
      </c>
      <c r="BG643" s="45"/>
      <c r="BH643" s="45">
        <f>INDEX(Table5[[#All],[Ovr]],MATCH(Table3[[#This Row],[PID]],Table5[[#All],[PID]],0))</f>
        <v>296</v>
      </c>
      <c r="BI643" s="45" t="str">
        <f>INDEX(Table5[[#All],[Rnd]],MATCH(Table3[[#This Row],[PID]],Table5[[#All],[PID]],0))</f>
        <v>10</v>
      </c>
      <c r="BJ643" s="45">
        <f>INDEX(Table5[[#All],[Pick]],MATCH(Table3[[#This Row],[PID]],Table5[[#All],[PID]],0))</f>
        <v>18</v>
      </c>
      <c r="BK643" s="45" t="str">
        <f>INDEX(Table5[[#All],[Team]],MATCH(Table3[[#This Row],[PID]],Table5[[#All],[PID]],0))</f>
        <v>Bakersfield Bears</v>
      </c>
      <c r="BL64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4" spans="1:64" ht="15" customHeight="1" x14ac:dyDescent="0.25">
      <c r="A644" s="40">
        <v>18311</v>
      </c>
      <c r="B644" s="40" t="s">
        <v>24</v>
      </c>
      <c r="C644" s="40" t="s">
        <v>1602</v>
      </c>
      <c r="D644" s="40" t="s">
        <v>1863</v>
      </c>
      <c r="E644" s="40">
        <v>21</v>
      </c>
      <c r="F644" s="40" t="s">
        <v>53</v>
      </c>
      <c r="G644" s="40" t="s">
        <v>53</v>
      </c>
      <c r="H644" s="41" t="s">
        <v>638</v>
      </c>
      <c r="I644" s="42" t="s">
        <v>47</v>
      </c>
      <c r="J644" s="40" t="s">
        <v>47</v>
      </c>
      <c r="K644" s="41" t="s">
        <v>43</v>
      </c>
      <c r="L644" s="40">
        <v>3</v>
      </c>
      <c r="M644" s="40">
        <v>2</v>
      </c>
      <c r="N644" s="41">
        <v>4</v>
      </c>
      <c r="O644" s="40">
        <v>5</v>
      </c>
      <c r="P644" s="40">
        <v>2</v>
      </c>
      <c r="Q644" s="41">
        <v>4</v>
      </c>
      <c r="R644" s="40">
        <v>4</v>
      </c>
      <c r="S644" s="40">
        <v>6</v>
      </c>
      <c r="T644" s="40" t="s">
        <v>45</v>
      </c>
      <c r="U644" s="40" t="s">
        <v>45</v>
      </c>
      <c r="V644" s="40" t="s">
        <v>45</v>
      </c>
      <c r="W644" s="40" t="s">
        <v>45</v>
      </c>
      <c r="X644" s="40">
        <v>5</v>
      </c>
      <c r="Y644" s="40">
        <v>8</v>
      </c>
      <c r="Z644" s="40" t="s">
        <v>45</v>
      </c>
      <c r="AA644" s="40" t="s">
        <v>45</v>
      </c>
      <c r="AB644" s="40">
        <v>4</v>
      </c>
      <c r="AC644" s="40">
        <v>6</v>
      </c>
      <c r="AD644" s="40" t="s">
        <v>45</v>
      </c>
      <c r="AE644" s="40" t="s">
        <v>45</v>
      </c>
      <c r="AF644" s="40" t="s">
        <v>45</v>
      </c>
      <c r="AG644" s="40" t="s">
        <v>45</v>
      </c>
      <c r="AH644" s="40" t="s">
        <v>45</v>
      </c>
      <c r="AI644" s="40" t="s">
        <v>45</v>
      </c>
      <c r="AJ644" s="40" t="s">
        <v>45</v>
      </c>
      <c r="AK644" s="40" t="s">
        <v>45</v>
      </c>
      <c r="AL644" s="40" t="s">
        <v>45</v>
      </c>
      <c r="AM644" s="40" t="s">
        <v>45</v>
      </c>
      <c r="AN644" s="40" t="s">
        <v>45</v>
      </c>
      <c r="AO644" s="41" t="s">
        <v>45</v>
      </c>
      <c r="AP644" s="40" t="s">
        <v>64</v>
      </c>
      <c r="AQ644" s="40">
        <v>6</v>
      </c>
      <c r="AR644" s="48" t="s">
        <v>347</v>
      </c>
      <c r="AS644" s="43" t="s">
        <v>45</v>
      </c>
      <c r="AT644" s="43" t="s">
        <v>47</v>
      </c>
      <c r="AU644" s="44">
        <f t="shared" si="71"/>
        <v>-1.3897081743568644</v>
      </c>
      <c r="AV644" s="44">
        <f t="shared" si="72"/>
        <v>-0.55483077460144581</v>
      </c>
      <c r="AW644" s="45">
        <f t="shared" si="73"/>
        <v>3</v>
      </c>
      <c r="AX644" s="45">
        <f t="shared" si="74"/>
        <v>3</v>
      </c>
      <c r="AY644" s="46">
        <f>VLOOKUP(AP644,COND!$A$10:$B$32,2,FALSE)</f>
        <v>1</v>
      </c>
      <c r="AZ644" s="44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41.553556801272215</v>
      </c>
      <c r="BA644" s="47">
        <f t="shared" si="79"/>
        <v>0.37808335205823923</v>
      </c>
      <c r="BB644" s="45" t="str">
        <f t="shared" si="75"/>
        <v>SP</v>
      </c>
      <c r="BC644" s="45">
        <f>RANK(Table3[[#This Row],[zScore]],Table3[zScore])</f>
        <v>230</v>
      </c>
      <c r="BD644" s="45"/>
      <c r="BE644" s="45"/>
      <c r="BF644" s="45" t="str">
        <f t="shared" si="76"/>
        <v>Unlikely</v>
      </c>
      <c r="BG644" s="45"/>
      <c r="BH644" s="45">
        <f>INDEX(Table5[[#All],[Ovr]],MATCH(Table3[[#This Row],[PID]],Table5[[#All],[PID]],0))</f>
        <v>371</v>
      </c>
      <c r="BI644" s="45" t="str">
        <f>INDEX(Table5[[#All],[Rnd]],MATCH(Table3[[#This Row],[PID]],Table5[[#All],[PID]],0))</f>
        <v>13</v>
      </c>
      <c r="BJ644" s="45">
        <f>INDEX(Table5[[#All],[Pick]],MATCH(Table3[[#This Row],[PID]],Table5[[#All],[PID]],0))</f>
        <v>3</v>
      </c>
      <c r="BK644" s="45" t="str">
        <f>INDEX(Table5[[#All],[Team]],MATCH(Table3[[#This Row],[PID]],Table5[[#All],[PID]],0))</f>
        <v>New Orleans Trendsetters</v>
      </c>
      <c r="BL64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5" spans="1:64" ht="15" customHeight="1" x14ac:dyDescent="0.25">
      <c r="A645" s="40">
        <v>18328</v>
      </c>
      <c r="B645" s="40" t="s">
        <v>24</v>
      </c>
      <c r="C645" s="40" t="s">
        <v>124</v>
      </c>
      <c r="D645" s="40" t="s">
        <v>2056</v>
      </c>
      <c r="E645" s="40">
        <v>18</v>
      </c>
      <c r="F645" s="40" t="s">
        <v>42</v>
      </c>
      <c r="G645" s="40" t="s">
        <v>42</v>
      </c>
      <c r="H645" s="41" t="s">
        <v>647</v>
      </c>
      <c r="I645" s="42" t="s">
        <v>43</v>
      </c>
      <c r="J645" s="40" t="s">
        <v>43</v>
      </c>
      <c r="K645" s="41" t="s">
        <v>44</v>
      </c>
      <c r="L645" s="40">
        <v>2</v>
      </c>
      <c r="M645" s="40">
        <v>2</v>
      </c>
      <c r="N645" s="41">
        <v>2</v>
      </c>
      <c r="O645" s="40">
        <v>4</v>
      </c>
      <c r="P645" s="40">
        <v>2</v>
      </c>
      <c r="Q645" s="41">
        <v>4</v>
      </c>
      <c r="R645" s="40">
        <v>3</v>
      </c>
      <c r="S645" s="40">
        <v>4</v>
      </c>
      <c r="T645" s="40">
        <v>1</v>
      </c>
      <c r="U645" s="40">
        <v>6</v>
      </c>
      <c r="V645" s="40" t="s">
        <v>45</v>
      </c>
      <c r="W645" s="40" t="s">
        <v>45</v>
      </c>
      <c r="X645" s="40">
        <v>2</v>
      </c>
      <c r="Y645" s="40">
        <v>6</v>
      </c>
      <c r="Z645" s="40" t="s">
        <v>45</v>
      </c>
      <c r="AA645" s="40" t="s">
        <v>45</v>
      </c>
      <c r="AB645" s="40" t="s">
        <v>45</v>
      </c>
      <c r="AC645" s="40" t="s">
        <v>45</v>
      </c>
      <c r="AD645" s="40">
        <v>3</v>
      </c>
      <c r="AE645" s="40">
        <v>4</v>
      </c>
      <c r="AF645" s="40" t="s">
        <v>45</v>
      </c>
      <c r="AG645" s="40" t="s">
        <v>45</v>
      </c>
      <c r="AH645" s="40" t="s">
        <v>45</v>
      </c>
      <c r="AI645" s="40" t="s">
        <v>45</v>
      </c>
      <c r="AJ645" s="40" t="s">
        <v>45</v>
      </c>
      <c r="AK645" s="40" t="s">
        <v>45</v>
      </c>
      <c r="AL645" s="40" t="s">
        <v>45</v>
      </c>
      <c r="AM645" s="40" t="s">
        <v>45</v>
      </c>
      <c r="AN645" s="40" t="s">
        <v>45</v>
      </c>
      <c r="AO645" s="41" t="s">
        <v>45</v>
      </c>
      <c r="AP645" s="40" t="s">
        <v>349</v>
      </c>
      <c r="AQ645" s="40">
        <v>6</v>
      </c>
      <c r="AR645" s="48" t="s">
        <v>347</v>
      </c>
      <c r="AS645" s="43" t="s">
        <v>644</v>
      </c>
      <c r="AT645" s="43" t="s">
        <v>635</v>
      </c>
      <c r="AU645" s="44">
        <f t="shared" ref="AU645:AU708" si="80">($O$3*(L645-$O$1)/$O$2+$P$3*(M645-$P$1)/$P$2+$Q$3*(N645-$P$1)/$Q$2)/SUM($O$3:$Q$3)</f>
        <v>-2.0690406309742588</v>
      </c>
      <c r="AV645" s="44">
        <f t="shared" ref="AV645:AV708" si="81">($O$3*(O645-$O$1)/$O$2+$P$3*(P645-$P$1)/$P$2+$Q$3*(Q645-$Q$1)/$Q$2)/SUM($O$3:$Q$3)</f>
        <v>-0.74952209911061918</v>
      </c>
      <c r="AW645" s="45">
        <f t="shared" ref="AW645:AW708" si="82">COUNT(R645:AO645)/2</f>
        <v>4</v>
      </c>
      <c r="AX645" s="45">
        <f t="shared" ref="AX645:AX708" si="83"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2</v>
      </c>
      <c r="AY645" s="46">
        <f>VLOOKUP(AP645,COND!$A$10:$B$32,2,FALSE)</f>
        <v>1</v>
      </c>
      <c r="AZ645" s="44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41.068356144302946</v>
      </c>
      <c r="BA645" s="47">
        <f t="shared" si="79"/>
        <v>0.34580369378948789</v>
      </c>
      <c r="BB645" s="45" t="str">
        <f t="shared" ref="BB645:BB708" si="84">IF(OR(AND(AQ645&gt;7,AX645&gt;1),AND(AQ645&gt;4,AW645&gt;2)),"SP","RP")</f>
        <v>SP</v>
      </c>
      <c r="BC645" s="45">
        <f>RANK(Table3[[#This Row],[zScore]],Table3[zScore])</f>
        <v>234</v>
      </c>
      <c r="BD645" s="45"/>
      <c r="BE645" s="45"/>
      <c r="BF645" s="45" t="str">
        <f t="shared" ref="BF645:BF708" si="85">IF(AVERAGE($O645:$Q645)&gt;=6,"Likely",IF(AVERAGE($O645:$Q645)&gt;=4,"Possible","Unlikely"))</f>
        <v>Unlikely</v>
      </c>
      <c r="BG645" s="45"/>
      <c r="BH645" s="45" t="str">
        <f>INDEX(Table5[[#All],[Ovr]],MATCH(Table3[[#This Row],[PID]],Table5[[#All],[PID]],0))</f>
        <v/>
      </c>
      <c r="BI645" s="45" t="str">
        <f>INDEX(Table5[[#All],[Rnd]],MATCH(Table3[[#This Row],[PID]],Table5[[#All],[PID]],0))</f>
        <v/>
      </c>
      <c r="BJ645" s="45" t="str">
        <f>INDEX(Table5[[#All],[Pick]],MATCH(Table3[[#This Row],[PID]],Table5[[#All],[PID]],0))</f>
        <v/>
      </c>
      <c r="BK645" s="45" t="str">
        <f>INDEX(Table5[[#All],[Team]],MATCH(Table3[[#This Row],[PID]],Table5[[#All],[PID]],0))</f>
        <v/>
      </c>
      <c r="BL6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6" spans="1:64" ht="15" customHeight="1" x14ac:dyDescent="0.25">
      <c r="A646" s="40">
        <v>13430</v>
      </c>
      <c r="B646" s="40" t="s">
        <v>24</v>
      </c>
      <c r="C646" s="40" t="s">
        <v>329</v>
      </c>
      <c r="D646" s="40" t="s">
        <v>156</v>
      </c>
      <c r="E646" s="40">
        <v>18</v>
      </c>
      <c r="F646" s="40" t="s">
        <v>42</v>
      </c>
      <c r="G646" s="40" t="s">
        <v>42</v>
      </c>
      <c r="H646" s="41" t="s">
        <v>647</v>
      </c>
      <c r="I646" s="42" t="s">
        <v>43</v>
      </c>
      <c r="J646" s="40" t="s">
        <v>47</v>
      </c>
      <c r="K646" s="41" t="s">
        <v>43</v>
      </c>
      <c r="L646" s="40">
        <v>2</v>
      </c>
      <c r="M646" s="40">
        <v>2</v>
      </c>
      <c r="N646" s="41">
        <v>1</v>
      </c>
      <c r="O646" s="40">
        <v>5</v>
      </c>
      <c r="P646" s="40">
        <v>2</v>
      </c>
      <c r="Q646" s="41">
        <v>3</v>
      </c>
      <c r="R646" s="40">
        <v>4</v>
      </c>
      <c r="S646" s="40">
        <v>7</v>
      </c>
      <c r="T646" s="40" t="s">
        <v>45</v>
      </c>
      <c r="U646" s="40" t="s">
        <v>45</v>
      </c>
      <c r="V646" s="40">
        <v>2</v>
      </c>
      <c r="W646" s="40">
        <v>6</v>
      </c>
      <c r="X646" s="40">
        <v>2</v>
      </c>
      <c r="Y646" s="40">
        <v>7</v>
      </c>
      <c r="Z646" s="40" t="s">
        <v>45</v>
      </c>
      <c r="AA646" s="40" t="s">
        <v>45</v>
      </c>
      <c r="AB646" s="40" t="s">
        <v>45</v>
      </c>
      <c r="AC646" s="40" t="s">
        <v>45</v>
      </c>
      <c r="AD646" s="40" t="s">
        <v>45</v>
      </c>
      <c r="AE646" s="40" t="s">
        <v>45</v>
      </c>
      <c r="AF646" s="40" t="s">
        <v>45</v>
      </c>
      <c r="AG646" s="40" t="s">
        <v>45</v>
      </c>
      <c r="AH646" s="40" t="s">
        <v>45</v>
      </c>
      <c r="AI646" s="40" t="s">
        <v>45</v>
      </c>
      <c r="AJ646" s="40" t="s">
        <v>45</v>
      </c>
      <c r="AK646" s="40" t="s">
        <v>45</v>
      </c>
      <c r="AL646" s="40" t="s">
        <v>45</v>
      </c>
      <c r="AM646" s="40" t="s">
        <v>45</v>
      </c>
      <c r="AN646" s="40" t="s">
        <v>45</v>
      </c>
      <c r="AO646" s="41" t="s">
        <v>45</v>
      </c>
      <c r="AP646" s="40" t="s">
        <v>57</v>
      </c>
      <c r="AQ646" s="40">
        <v>6</v>
      </c>
      <c r="AR646" s="48" t="s">
        <v>347</v>
      </c>
      <c r="AS646" s="43" t="s">
        <v>654</v>
      </c>
      <c r="AT646" s="43"/>
      <c r="AU646" s="44">
        <f t="shared" si="80"/>
        <v>-2.311361197028369</v>
      </c>
      <c r="AV646" s="44">
        <f t="shared" si="81"/>
        <v>-0.79715134065555615</v>
      </c>
      <c r="AW646" s="45">
        <f t="shared" si="82"/>
        <v>3</v>
      </c>
      <c r="AX646" s="45">
        <f t="shared" si="83"/>
        <v>3</v>
      </c>
      <c r="AY646" s="46">
        <f>VLOOKUP(AP646,COND!$A$10:$B$32,2,FALSE)</f>
        <v>1</v>
      </c>
      <c r="AZ646" s="44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41.423583423796124</v>
      </c>
      <c r="BA646" s="47">
        <f>STANDARDIZE(AZ646,AVERAGE($AZ$5:$AZ$788),STDEVP($AZ$5:$AZ$788))</f>
        <v>0.3360589874031043</v>
      </c>
      <c r="BB646" s="45" t="str">
        <f t="shared" si="84"/>
        <v>SP</v>
      </c>
      <c r="BC646" s="45">
        <f>RANK(Table3[[#This Row],[zScore]],Table3[zScore])</f>
        <v>235</v>
      </c>
      <c r="BD646" s="45"/>
      <c r="BE646" s="45"/>
      <c r="BF646" s="45" t="str">
        <f t="shared" si="85"/>
        <v>Unlikely</v>
      </c>
      <c r="BG646" s="45"/>
      <c r="BH646" s="64">
        <f>INDEX(Table5[[#All],[Ovr]],MATCH(Table3[[#This Row],[PID]],Table5[[#All],[PID]],0))</f>
        <v>466</v>
      </c>
      <c r="BI646" s="64" t="str">
        <f>INDEX(Table5[[#All],[Rnd]],MATCH(Table3[[#This Row],[PID]],Table5[[#All],[PID]],0))</f>
        <v>16</v>
      </c>
      <c r="BJ646" s="64">
        <f>INDEX(Table5[[#All],[Pick]],MATCH(Table3[[#This Row],[PID]],Table5[[#All],[PID]],0))</f>
        <v>8</v>
      </c>
      <c r="BK646" s="64" t="str">
        <f>INDEX(Table5[[#All],[Team]],MATCH(Table3[[#This Row],[PID]],Table5[[#All],[PID]],0))</f>
        <v>London Underground</v>
      </c>
      <c r="BL646" s="64" t="str">
        <f>IF(OR(Table3[[#This Row],[POS]]="SP",Table3[[#This Row],[POS]]="RP",Table3[[#This Row],[POS]]="CL"),"P",INDEX(Batters[[#All],[zScore]],MATCH(Table3[[#This Row],[PID]],Batters[[#All],[PID]],0)))</f>
        <v>P</v>
      </c>
    </row>
    <row r="647" spans="1:64" ht="15" customHeight="1" x14ac:dyDescent="0.25">
      <c r="A647" s="40">
        <v>13003</v>
      </c>
      <c r="B647" s="40" t="s">
        <v>24</v>
      </c>
      <c r="C647" s="40" t="s">
        <v>698</v>
      </c>
      <c r="D647" s="40" t="s">
        <v>2111</v>
      </c>
      <c r="E647" s="40">
        <v>18</v>
      </c>
      <c r="F647" s="40" t="s">
        <v>42</v>
      </c>
      <c r="G647" s="40" t="s">
        <v>42</v>
      </c>
      <c r="H647" s="41" t="s">
        <v>647</v>
      </c>
      <c r="I647" s="42" t="s">
        <v>43</v>
      </c>
      <c r="J647" s="40" t="s">
        <v>43</v>
      </c>
      <c r="K647" s="41" t="s">
        <v>47</v>
      </c>
      <c r="L647" s="40">
        <v>1</v>
      </c>
      <c r="M647" s="40">
        <v>2</v>
      </c>
      <c r="N647" s="41">
        <v>1</v>
      </c>
      <c r="O647" s="40">
        <v>4</v>
      </c>
      <c r="P647" s="40">
        <v>2</v>
      </c>
      <c r="Q647" s="41">
        <v>4</v>
      </c>
      <c r="R647" s="40">
        <v>4</v>
      </c>
      <c r="S647" s="40">
        <v>5</v>
      </c>
      <c r="T647" s="40">
        <v>1</v>
      </c>
      <c r="U647" s="40">
        <v>7</v>
      </c>
      <c r="V647" s="40" t="s">
        <v>45</v>
      </c>
      <c r="W647" s="40" t="s">
        <v>45</v>
      </c>
      <c r="X647" s="40" t="s">
        <v>45</v>
      </c>
      <c r="Y647" s="40" t="s">
        <v>45</v>
      </c>
      <c r="Z647" s="40" t="s">
        <v>45</v>
      </c>
      <c r="AA647" s="40" t="s">
        <v>45</v>
      </c>
      <c r="AB647" s="40" t="s">
        <v>45</v>
      </c>
      <c r="AC647" s="40" t="s">
        <v>45</v>
      </c>
      <c r="AD647" s="40" t="s">
        <v>45</v>
      </c>
      <c r="AE647" s="40" t="s">
        <v>45</v>
      </c>
      <c r="AF647" s="40" t="s">
        <v>45</v>
      </c>
      <c r="AG647" s="40" t="s">
        <v>45</v>
      </c>
      <c r="AH647" s="40" t="s">
        <v>45</v>
      </c>
      <c r="AI647" s="40" t="s">
        <v>45</v>
      </c>
      <c r="AJ647" s="40" t="s">
        <v>45</v>
      </c>
      <c r="AK647" s="40" t="s">
        <v>45</v>
      </c>
      <c r="AL647" s="40">
        <v>2</v>
      </c>
      <c r="AM647" s="40">
        <v>6</v>
      </c>
      <c r="AN647" s="40" t="s">
        <v>45</v>
      </c>
      <c r="AO647" s="41" t="s">
        <v>45</v>
      </c>
      <c r="AP647" s="40" t="s">
        <v>56</v>
      </c>
      <c r="AQ647" s="40">
        <v>8</v>
      </c>
      <c r="AR647" s="48" t="s">
        <v>347</v>
      </c>
      <c r="AS647" s="43" t="s">
        <v>654</v>
      </c>
      <c r="AT647" s="43" t="s">
        <v>47</v>
      </c>
      <c r="AU647" s="44">
        <f t="shared" si="80"/>
        <v>-2.5060525215375429</v>
      </c>
      <c r="AV647" s="44">
        <f t="shared" si="81"/>
        <v>-0.74952209911061918</v>
      </c>
      <c r="AW647" s="45">
        <f t="shared" si="82"/>
        <v>3</v>
      </c>
      <c r="AX647" s="45">
        <f t="shared" si="83"/>
        <v>2</v>
      </c>
      <c r="AY647" s="46">
        <f>VLOOKUP(AP647,COND!$A$10:$B$32,2,FALSE)</f>
        <v>1</v>
      </c>
      <c r="AZ647" s="44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40.808347513480115</v>
      </c>
      <c r="BA647" s="47">
        <f>STANDARDIZE(AZ647,AVERAGE($AZ$5:$AZ$557),STDEVP($AZ$5:$AZ$557))</f>
        <v>0.32850571690233271</v>
      </c>
      <c r="BB647" s="45" t="str">
        <f t="shared" si="84"/>
        <v>SP</v>
      </c>
      <c r="BC647" s="45">
        <f>RANK(Table3[[#This Row],[zScore]],Table3[zScore])</f>
        <v>237</v>
      </c>
      <c r="BD647" s="45"/>
      <c r="BE647" s="45"/>
      <c r="BF647" s="45" t="str">
        <f t="shared" si="85"/>
        <v>Unlikely</v>
      </c>
      <c r="BG647" s="45"/>
      <c r="BH647" s="45">
        <f>INDEX(Table5[[#All],[Ovr]],MATCH(Table3[[#This Row],[PID]],Table5[[#All],[PID]],0))</f>
        <v>526</v>
      </c>
      <c r="BI647" s="45" t="str">
        <f>INDEX(Table5[[#All],[Rnd]],MATCH(Table3[[#This Row],[PID]],Table5[[#All],[PID]],0))</f>
        <v>18</v>
      </c>
      <c r="BJ647" s="45">
        <f>INDEX(Table5[[#All],[Pick]],MATCH(Table3[[#This Row],[PID]],Table5[[#All],[PID]],0))</f>
        <v>8</v>
      </c>
      <c r="BK647" s="45" t="str">
        <f>INDEX(Table5[[#All],[Team]],MATCH(Table3[[#This Row],[PID]],Table5[[#All],[PID]],0))</f>
        <v>London Underground</v>
      </c>
      <c r="BL64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8" spans="1:64" ht="15" customHeight="1" x14ac:dyDescent="0.25">
      <c r="A648" s="40">
        <v>18188</v>
      </c>
      <c r="B648" s="40" t="s">
        <v>24</v>
      </c>
      <c r="C648" s="40" t="s">
        <v>1944</v>
      </c>
      <c r="D648" s="40" t="s">
        <v>2079</v>
      </c>
      <c r="E648" s="40">
        <v>18</v>
      </c>
      <c r="F648" s="40" t="s">
        <v>42</v>
      </c>
      <c r="G648" s="40" t="s">
        <v>42</v>
      </c>
      <c r="H648" s="41" t="s">
        <v>647</v>
      </c>
      <c r="I648" s="42" t="s">
        <v>43</v>
      </c>
      <c r="J648" s="40" t="s">
        <v>43</v>
      </c>
      <c r="K648" s="41" t="s">
        <v>43</v>
      </c>
      <c r="L648" s="40">
        <v>1</v>
      </c>
      <c r="M648" s="40">
        <v>2</v>
      </c>
      <c r="N648" s="41">
        <v>1</v>
      </c>
      <c r="O648" s="40">
        <v>4</v>
      </c>
      <c r="P648" s="40">
        <v>2</v>
      </c>
      <c r="Q648" s="41">
        <v>4</v>
      </c>
      <c r="R648" s="40" t="s">
        <v>45</v>
      </c>
      <c r="S648" s="40" t="s">
        <v>45</v>
      </c>
      <c r="T648" s="40">
        <v>1</v>
      </c>
      <c r="U648" s="40">
        <v>1</v>
      </c>
      <c r="V648" s="40" t="s">
        <v>45</v>
      </c>
      <c r="W648" s="40" t="s">
        <v>45</v>
      </c>
      <c r="X648" s="40">
        <v>2</v>
      </c>
      <c r="Y648" s="40">
        <v>7</v>
      </c>
      <c r="Z648" s="40" t="s">
        <v>45</v>
      </c>
      <c r="AA648" s="40" t="s">
        <v>45</v>
      </c>
      <c r="AB648" s="40" t="s">
        <v>45</v>
      </c>
      <c r="AC648" s="40" t="s">
        <v>45</v>
      </c>
      <c r="AD648" s="40">
        <v>3</v>
      </c>
      <c r="AE648" s="40">
        <v>6</v>
      </c>
      <c r="AF648" s="40" t="s">
        <v>45</v>
      </c>
      <c r="AG648" s="40" t="s">
        <v>45</v>
      </c>
      <c r="AH648" s="40" t="s">
        <v>45</v>
      </c>
      <c r="AI648" s="40" t="s">
        <v>45</v>
      </c>
      <c r="AJ648" s="40" t="s">
        <v>45</v>
      </c>
      <c r="AK648" s="40" t="s">
        <v>45</v>
      </c>
      <c r="AL648" s="40" t="s">
        <v>45</v>
      </c>
      <c r="AM648" s="40" t="s">
        <v>45</v>
      </c>
      <c r="AN648" s="40" t="s">
        <v>45</v>
      </c>
      <c r="AO648" s="41" t="s">
        <v>45</v>
      </c>
      <c r="AP648" s="40" t="s">
        <v>56</v>
      </c>
      <c r="AQ648" s="40">
        <v>5</v>
      </c>
      <c r="AR648" s="48" t="s">
        <v>347</v>
      </c>
      <c r="AS648" s="43" t="s">
        <v>644</v>
      </c>
      <c r="AT648" s="43" t="s">
        <v>47</v>
      </c>
      <c r="AU648" s="44">
        <f t="shared" si="80"/>
        <v>-2.5060525215375429</v>
      </c>
      <c r="AV648" s="44">
        <f t="shared" si="81"/>
        <v>-0.74952209911061918</v>
      </c>
      <c r="AW648" s="45">
        <f t="shared" si="82"/>
        <v>3</v>
      </c>
      <c r="AX648" s="45">
        <f t="shared" si="83"/>
        <v>2</v>
      </c>
      <c r="AY648" s="46">
        <f>VLOOKUP(AP648,COND!$A$10:$B$32,2,FALSE)</f>
        <v>1</v>
      </c>
      <c r="AZ648" s="44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40.79563882564311</v>
      </c>
      <c r="BA648" s="47">
        <f>STANDARDIZE(AZ648,AVERAGE($AZ$5:$AZ$557),STDEVP($AZ$5:$AZ$557))</f>
        <v>0.32766022732079497</v>
      </c>
      <c r="BB648" s="45" t="str">
        <f t="shared" si="84"/>
        <v>SP</v>
      </c>
      <c r="BC648" s="45">
        <f>RANK(Table3[[#This Row],[zScore]],Table3[zScore])</f>
        <v>238</v>
      </c>
      <c r="BD648" s="45"/>
      <c r="BE648" s="45"/>
      <c r="BF648" s="45" t="str">
        <f t="shared" si="85"/>
        <v>Unlikely</v>
      </c>
      <c r="BG648" s="45"/>
      <c r="BH648" s="45">
        <f>INDEX(Table5[[#All],[Ovr]],MATCH(Table3[[#This Row],[PID]],Table5[[#All],[PID]],0))</f>
        <v>592</v>
      </c>
      <c r="BI648" s="45" t="str">
        <f>INDEX(Table5[[#All],[Rnd]],MATCH(Table3[[#This Row],[PID]],Table5[[#All],[PID]],0))</f>
        <v>20</v>
      </c>
      <c r="BJ648" s="45">
        <f>INDEX(Table5[[#All],[Pick]],MATCH(Table3[[#This Row],[PID]],Table5[[#All],[PID]],0))</f>
        <v>14</v>
      </c>
      <c r="BK648" s="45" t="str">
        <f>INDEX(Table5[[#All],[Team]],MATCH(Table3[[#This Row],[PID]],Table5[[#All],[PID]],0))</f>
        <v>Arlington Bureaucrats</v>
      </c>
      <c r="BL6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49" spans="1:64" ht="15" customHeight="1" x14ac:dyDescent="0.25">
      <c r="A649" s="40">
        <v>20239</v>
      </c>
      <c r="B649" s="40" t="s">
        <v>24</v>
      </c>
      <c r="C649" s="40" t="s">
        <v>2110</v>
      </c>
      <c r="D649" s="40" t="s">
        <v>604</v>
      </c>
      <c r="E649" s="40">
        <v>21</v>
      </c>
      <c r="F649" s="40" t="s">
        <v>42</v>
      </c>
      <c r="G649" s="40" t="s">
        <v>42</v>
      </c>
      <c r="H649" s="41" t="s">
        <v>647</v>
      </c>
      <c r="I649" s="42" t="s">
        <v>43</v>
      </c>
      <c r="J649" s="40" t="s">
        <v>43</v>
      </c>
      <c r="K649" s="41" t="s">
        <v>43</v>
      </c>
      <c r="L649" s="40">
        <v>3</v>
      </c>
      <c r="M649" s="40">
        <v>2</v>
      </c>
      <c r="N649" s="41">
        <v>2</v>
      </c>
      <c r="O649" s="40">
        <v>5</v>
      </c>
      <c r="P649" s="40">
        <v>2</v>
      </c>
      <c r="Q649" s="41">
        <v>4</v>
      </c>
      <c r="R649" s="40">
        <v>6</v>
      </c>
      <c r="S649" s="40">
        <v>7</v>
      </c>
      <c r="T649" s="40" t="s">
        <v>45</v>
      </c>
      <c r="U649" s="40" t="s">
        <v>45</v>
      </c>
      <c r="V649" s="40" t="s">
        <v>45</v>
      </c>
      <c r="W649" s="40" t="s">
        <v>45</v>
      </c>
      <c r="X649" s="40">
        <v>4</v>
      </c>
      <c r="Y649" s="40">
        <v>6</v>
      </c>
      <c r="Z649" s="40" t="s">
        <v>45</v>
      </c>
      <c r="AA649" s="40" t="s">
        <v>45</v>
      </c>
      <c r="AB649" s="40">
        <v>4</v>
      </c>
      <c r="AC649" s="40">
        <v>6</v>
      </c>
      <c r="AD649" s="40" t="s">
        <v>45</v>
      </c>
      <c r="AE649" s="40" t="s">
        <v>45</v>
      </c>
      <c r="AF649" s="40" t="s">
        <v>45</v>
      </c>
      <c r="AG649" s="40" t="s">
        <v>45</v>
      </c>
      <c r="AH649" s="40" t="s">
        <v>45</v>
      </c>
      <c r="AI649" s="40" t="s">
        <v>45</v>
      </c>
      <c r="AJ649" s="40" t="s">
        <v>45</v>
      </c>
      <c r="AK649" s="40" t="s">
        <v>45</v>
      </c>
      <c r="AL649" s="40" t="s">
        <v>45</v>
      </c>
      <c r="AM649" s="40" t="s">
        <v>45</v>
      </c>
      <c r="AN649" s="40" t="s">
        <v>45</v>
      </c>
      <c r="AO649" s="41" t="s">
        <v>45</v>
      </c>
      <c r="AP649" s="40" t="s">
        <v>54</v>
      </c>
      <c r="AQ649" s="40">
        <v>10</v>
      </c>
      <c r="AR649" s="48" t="s">
        <v>347</v>
      </c>
      <c r="AS649" s="43" t="s">
        <v>45</v>
      </c>
      <c r="AT649" s="43" t="s">
        <v>47</v>
      </c>
      <c r="AU649" s="44">
        <f t="shared" si="80"/>
        <v>-1.8743493064650851</v>
      </c>
      <c r="AV649" s="44">
        <f t="shared" si="81"/>
        <v>-0.55483077460144581</v>
      </c>
      <c r="AW649" s="45">
        <f t="shared" si="82"/>
        <v>3</v>
      </c>
      <c r="AX649" s="45">
        <f t="shared" si="83"/>
        <v>3</v>
      </c>
      <c r="AY649" s="46">
        <f>VLOOKUP(AP649,COND!$A$10:$B$32,2,FALSE)</f>
        <v>1.0249999999999999</v>
      </c>
      <c r="AZ649" s="44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40.622977512845019</v>
      </c>
      <c r="BA649" s="47">
        <f>STANDARDIZE(AZ649,AVERAGE($AZ$5:$AZ$557),STDEVP($AZ$5:$AZ$557))</f>
        <v>0.31617333402561676</v>
      </c>
      <c r="BB649" s="45" t="str">
        <f t="shared" si="84"/>
        <v>SP</v>
      </c>
      <c r="BC649" s="45">
        <f>RANK(Table3[[#This Row],[zScore]],Table3[zScore])</f>
        <v>240</v>
      </c>
      <c r="BD649" s="45"/>
      <c r="BE649" s="45"/>
      <c r="BF649" s="45" t="str">
        <f t="shared" si="85"/>
        <v>Unlikely</v>
      </c>
      <c r="BG649" s="45"/>
      <c r="BH649" s="45">
        <f>INDEX(Table5[[#All],[Ovr]],MATCH(Table3[[#This Row],[PID]],Table5[[#All],[PID]],0))</f>
        <v>433</v>
      </c>
      <c r="BI649" s="45" t="str">
        <f>INDEX(Table5[[#All],[Rnd]],MATCH(Table3[[#This Row],[PID]],Table5[[#All],[PID]],0))</f>
        <v>15</v>
      </c>
      <c r="BJ649" s="45">
        <f>INDEX(Table5[[#All],[Pick]],MATCH(Table3[[#This Row],[PID]],Table5[[#All],[PID]],0))</f>
        <v>5</v>
      </c>
      <c r="BK649" s="45" t="str">
        <f>INDEX(Table5[[#All],[Team]],MATCH(Table3[[#This Row],[PID]],Table5[[#All],[PID]],0))</f>
        <v>Okinawa Shisa</v>
      </c>
      <c r="BL6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0" spans="1:64" ht="15" customHeight="1" x14ac:dyDescent="0.25">
      <c r="A650" s="40">
        <v>18095</v>
      </c>
      <c r="B650" s="40" t="s">
        <v>24</v>
      </c>
      <c r="C650" s="40" t="s">
        <v>362</v>
      </c>
      <c r="D650" s="40" t="s">
        <v>577</v>
      </c>
      <c r="E650" s="40">
        <v>21</v>
      </c>
      <c r="F650" s="40" t="s">
        <v>42</v>
      </c>
      <c r="G650" s="40" t="s">
        <v>42</v>
      </c>
      <c r="H650" s="41" t="s">
        <v>647</v>
      </c>
      <c r="I650" s="42" t="s">
        <v>47</v>
      </c>
      <c r="J650" s="40" t="s">
        <v>43</v>
      </c>
      <c r="K650" s="41" t="s">
        <v>43</v>
      </c>
      <c r="L650" s="40">
        <v>2</v>
      </c>
      <c r="M650" s="40">
        <v>2</v>
      </c>
      <c r="N650" s="41">
        <v>2</v>
      </c>
      <c r="O650" s="40">
        <v>5</v>
      </c>
      <c r="P650" s="40">
        <v>3</v>
      </c>
      <c r="Q650" s="41">
        <v>3</v>
      </c>
      <c r="R650" s="40">
        <v>5</v>
      </c>
      <c r="S650" s="40">
        <v>6</v>
      </c>
      <c r="T650" s="40">
        <v>1</v>
      </c>
      <c r="U650" s="40">
        <v>1</v>
      </c>
      <c r="V650" s="40">
        <v>2</v>
      </c>
      <c r="W650" s="40">
        <v>7</v>
      </c>
      <c r="X650" s="40" t="s">
        <v>45</v>
      </c>
      <c r="Y650" s="40" t="s">
        <v>45</v>
      </c>
      <c r="Z650" s="40" t="s">
        <v>45</v>
      </c>
      <c r="AA650" s="40" t="s">
        <v>45</v>
      </c>
      <c r="AB650" s="40" t="s">
        <v>45</v>
      </c>
      <c r="AC650" s="40" t="s">
        <v>45</v>
      </c>
      <c r="AD650" s="40" t="s">
        <v>45</v>
      </c>
      <c r="AE650" s="40" t="s">
        <v>45</v>
      </c>
      <c r="AF650" s="40">
        <v>4</v>
      </c>
      <c r="AG650" s="40">
        <v>6</v>
      </c>
      <c r="AH650" s="40" t="s">
        <v>45</v>
      </c>
      <c r="AI650" s="40" t="s">
        <v>45</v>
      </c>
      <c r="AJ650" s="40" t="s">
        <v>45</v>
      </c>
      <c r="AK650" s="40" t="s">
        <v>45</v>
      </c>
      <c r="AL650" s="40" t="s">
        <v>45</v>
      </c>
      <c r="AM650" s="40" t="s">
        <v>45</v>
      </c>
      <c r="AN650" s="40" t="s">
        <v>45</v>
      </c>
      <c r="AO650" s="41" t="s">
        <v>45</v>
      </c>
      <c r="AP650" s="40" t="s">
        <v>60</v>
      </c>
      <c r="AQ650" s="40">
        <v>6</v>
      </c>
      <c r="AR650" s="48" t="s">
        <v>347</v>
      </c>
      <c r="AS650" s="43" t="s">
        <v>643</v>
      </c>
      <c r="AT650" s="43" t="s">
        <v>47</v>
      </c>
      <c r="AU650" s="44">
        <f t="shared" si="80"/>
        <v>-2.0690406309742588</v>
      </c>
      <c r="AV650" s="44">
        <f t="shared" si="81"/>
        <v>-0.60171962422550074</v>
      </c>
      <c r="AW650" s="45">
        <f t="shared" si="82"/>
        <v>4</v>
      </c>
      <c r="AX650" s="45">
        <f t="shared" si="83"/>
        <v>3</v>
      </c>
      <c r="AY650" s="46">
        <f>VLOOKUP(AP650,COND!$A$10:$B$32,2,FALSE)</f>
        <v>1.0249999999999999</v>
      </c>
      <c r="AZ650" s="44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40.530985764676821</v>
      </c>
      <c r="BA650" s="47">
        <f>STANDARDIZE(AZ650,AVERAGE($AZ$5:$AZ$557),STDEVP($AZ$5:$AZ$557))</f>
        <v>0.31005326359339036</v>
      </c>
      <c r="BB650" s="45" t="str">
        <f t="shared" si="84"/>
        <v>SP</v>
      </c>
      <c r="BC650" s="45">
        <f>RANK(Table3[[#This Row],[zScore]],Table3[zScore])</f>
        <v>241</v>
      </c>
      <c r="BD650" s="45"/>
      <c r="BE650" s="45"/>
      <c r="BF650" s="45" t="str">
        <f t="shared" si="85"/>
        <v>Unlikely</v>
      </c>
      <c r="BG650" s="45"/>
      <c r="BH650" s="45" t="str">
        <f>INDEX(Table5[[#All],[Ovr]],MATCH(Table3[[#This Row],[PID]],Table5[[#All],[PID]],0))</f>
        <v/>
      </c>
      <c r="BI650" s="45" t="str">
        <f>INDEX(Table5[[#All],[Rnd]],MATCH(Table3[[#This Row],[PID]],Table5[[#All],[PID]],0))</f>
        <v/>
      </c>
      <c r="BJ650" s="45" t="str">
        <f>INDEX(Table5[[#All],[Pick]],MATCH(Table3[[#This Row],[PID]],Table5[[#All],[PID]],0))</f>
        <v/>
      </c>
      <c r="BK650" s="45" t="str">
        <f>INDEX(Table5[[#All],[Team]],MATCH(Table3[[#This Row],[PID]],Table5[[#All],[PID]],0))</f>
        <v/>
      </c>
      <c r="BL6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1" spans="1:64" ht="15" customHeight="1" x14ac:dyDescent="0.25">
      <c r="A651" s="40">
        <v>17815</v>
      </c>
      <c r="B651" s="40" t="s">
        <v>24</v>
      </c>
      <c r="C651" s="40" t="s">
        <v>2041</v>
      </c>
      <c r="D651" s="40" t="s">
        <v>1862</v>
      </c>
      <c r="E651" s="40">
        <v>21</v>
      </c>
      <c r="F651" s="40" t="s">
        <v>42</v>
      </c>
      <c r="G651" s="40" t="s">
        <v>42</v>
      </c>
      <c r="H651" s="41" t="s">
        <v>647</v>
      </c>
      <c r="I651" s="42" t="s">
        <v>43</v>
      </c>
      <c r="J651" s="40" t="s">
        <v>43</v>
      </c>
      <c r="K651" s="41" t="s">
        <v>43</v>
      </c>
      <c r="L651" s="40">
        <v>4</v>
      </c>
      <c r="M651" s="40">
        <v>2</v>
      </c>
      <c r="N651" s="41">
        <v>3</v>
      </c>
      <c r="O651" s="40">
        <v>5</v>
      </c>
      <c r="P651" s="40">
        <v>2</v>
      </c>
      <c r="Q651" s="41">
        <v>4</v>
      </c>
      <c r="R651" s="40">
        <v>5</v>
      </c>
      <c r="S651" s="40">
        <v>7</v>
      </c>
      <c r="T651" s="40">
        <v>4</v>
      </c>
      <c r="U651" s="40">
        <v>5</v>
      </c>
      <c r="V651" s="40">
        <v>3</v>
      </c>
      <c r="W651" s="40">
        <v>6</v>
      </c>
      <c r="X651" s="40">
        <v>4</v>
      </c>
      <c r="Y651" s="40">
        <v>5</v>
      </c>
      <c r="Z651" s="40" t="s">
        <v>45</v>
      </c>
      <c r="AA651" s="40" t="s">
        <v>45</v>
      </c>
      <c r="AB651" s="40" t="s">
        <v>45</v>
      </c>
      <c r="AC651" s="40" t="s">
        <v>45</v>
      </c>
      <c r="AD651" s="40" t="s">
        <v>45</v>
      </c>
      <c r="AE651" s="40" t="s">
        <v>45</v>
      </c>
      <c r="AF651" s="40">
        <v>4</v>
      </c>
      <c r="AG651" s="40">
        <v>5</v>
      </c>
      <c r="AH651" s="40" t="s">
        <v>45</v>
      </c>
      <c r="AI651" s="40" t="s">
        <v>45</v>
      </c>
      <c r="AJ651" s="40" t="s">
        <v>45</v>
      </c>
      <c r="AK651" s="40" t="s">
        <v>45</v>
      </c>
      <c r="AL651" s="40" t="s">
        <v>45</v>
      </c>
      <c r="AM651" s="40" t="s">
        <v>45</v>
      </c>
      <c r="AN651" s="40" t="s">
        <v>45</v>
      </c>
      <c r="AO651" s="41" t="s">
        <v>45</v>
      </c>
      <c r="AP651" s="40" t="s">
        <v>60</v>
      </c>
      <c r="AQ651" s="40">
        <v>9</v>
      </c>
      <c r="AR651" s="48" t="s">
        <v>347</v>
      </c>
      <c r="AS651" s="43" t="s">
        <v>45</v>
      </c>
      <c r="AT651" s="43" t="s">
        <v>635</v>
      </c>
      <c r="AU651" s="44">
        <f t="shared" si="80"/>
        <v>-1.4373374159018013</v>
      </c>
      <c r="AV651" s="44">
        <f t="shared" si="81"/>
        <v>-0.55483077460144581</v>
      </c>
      <c r="AW651" s="45">
        <f t="shared" si="82"/>
        <v>5</v>
      </c>
      <c r="AX651" s="45">
        <f t="shared" si="83"/>
        <v>2</v>
      </c>
      <c r="AY651" s="46">
        <f>VLOOKUP(AP651,COND!$A$10:$B$32,2,FALSE)</f>
        <v>1.0249999999999999</v>
      </c>
      <c r="AZ651" s="44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40.456314950410487</v>
      </c>
      <c r="BA651" s="47">
        <f>STANDARDIZE(AZ651,AVERAGE($AZ$5:$AZ$557),STDEVP($AZ$5:$AZ$557))</f>
        <v>0.30508552842538272</v>
      </c>
      <c r="BB651" s="45" t="str">
        <f t="shared" si="84"/>
        <v>SP</v>
      </c>
      <c r="BC651" s="45">
        <f>RANK(Table3[[#This Row],[zScore]],Table3[zScore])</f>
        <v>242</v>
      </c>
      <c r="BD651" s="45"/>
      <c r="BE651" s="45"/>
      <c r="BF651" s="45" t="str">
        <f t="shared" si="85"/>
        <v>Unlikely</v>
      </c>
      <c r="BG651" s="45"/>
      <c r="BH651" s="45">
        <f>INDEX(Table5[[#All],[Ovr]],MATCH(Table3[[#This Row],[PID]],Table5[[#All],[PID]],0))</f>
        <v>474</v>
      </c>
      <c r="BI651" s="45" t="str">
        <f>INDEX(Table5[[#All],[Rnd]],MATCH(Table3[[#This Row],[PID]],Table5[[#All],[PID]],0))</f>
        <v>16</v>
      </c>
      <c r="BJ651" s="45">
        <f>INDEX(Table5[[#All],[Pick]],MATCH(Table3[[#This Row],[PID]],Table5[[#All],[PID]],0))</f>
        <v>16</v>
      </c>
      <c r="BK651" s="45" t="str">
        <f>INDEX(Table5[[#All],[Team]],MATCH(Table3[[#This Row],[PID]],Table5[[#All],[PID]],0))</f>
        <v>San Antonio Calzones of Laredo</v>
      </c>
      <c r="BL6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2" spans="1:64" ht="15" customHeight="1" x14ac:dyDescent="0.25">
      <c r="A652" s="40">
        <v>17993</v>
      </c>
      <c r="B652" s="40" t="s">
        <v>24</v>
      </c>
      <c r="C652" s="40" t="s">
        <v>440</v>
      </c>
      <c r="D652" s="40" t="s">
        <v>186</v>
      </c>
      <c r="E652" s="40">
        <v>21</v>
      </c>
      <c r="F652" s="40" t="s">
        <v>53</v>
      </c>
      <c r="G652" s="40" t="s">
        <v>53</v>
      </c>
      <c r="H652" s="41" t="s">
        <v>647</v>
      </c>
      <c r="I652" s="42" t="s">
        <v>43</v>
      </c>
      <c r="J652" s="40" t="s">
        <v>47</v>
      </c>
      <c r="K652" s="41" t="s">
        <v>43</v>
      </c>
      <c r="L652" s="40">
        <v>2</v>
      </c>
      <c r="M652" s="40">
        <v>3</v>
      </c>
      <c r="N652" s="41">
        <v>1</v>
      </c>
      <c r="O652" s="40">
        <v>5</v>
      </c>
      <c r="P652" s="40">
        <v>4</v>
      </c>
      <c r="Q652" s="41">
        <v>3</v>
      </c>
      <c r="R652" s="40">
        <v>4</v>
      </c>
      <c r="S652" s="40">
        <v>6</v>
      </c>
      <c r="T652" s="40">
        <v>2</v>
      </c>
      <c r="U652" s="40">
        <v>7</v>
      </c>
      <c r="V652" s="40" t="s">
        <v>45</v>
      </c>
      <c r="W652" s="40" t="s">
        <v>45</v>
      </c>
      <c r="X652" s="40" t="s">
        <v>45</v>
      </c>
      <c r="Y652" s="40" t="s">
        <v>45</v>
      </c>
      <c r="Z652" s="40" t="s">
        <v>45</v>
      </c>
      <c r="AA652" s="40" t="s">
        <v>45</v>
      </c>
      <c r="AB652" s="40" t="s">
        <v>45</v>
      </c>
      <c r="AC652" s="40" t="s">
        <v>45</v>
      </c>
      <c r="AD652" s="40">
        <v>4</v>
      </c>
      <c r="AE652" s="40">
        <v>6</v>
      </c>
      <c r="AF652" s="40" t="s">
        <v>45</v>
      </c>
      <c r="AG652" s="40" t="s">
        <v>45</v>
      </c>
      <c r="AH652" s="40" t="s">
        <v>45</v>
      </c>
      <c r="AI652" s="40" t="s">
        <v>45</v>
      </c>
      <c r="AJ652" s="40" t="s">
        <v>45</v>
      </c>
      <c r="AK652" s="40" t="s">
        <v>45</v>
      </c>
      <c r="AL652" s="40" t="s">
        <v>45</v>
      </c>
      <c r="AM652" s="40" t="s">
        <v>45</v>
      </c>
      <c r="AN652" s="40" t="s">
        <v>45</v>
      </c>
      <c r="AO652" s="41" t="s">
        <v>45</v>
      </c>
      <c r="AP652" s="40" t="s">
        <v>57</v>
      </c>
      <c r="AQ652" s="40">
        <v>4</v>
      </c>
      <c r="AR652" s="48" t="s">
        <v>347</v>
      </c>
      <c r="AS652" s="43" t="s">
        <v>643</v>
      </c>
      <c r="AT652" s="43" t="s">
        <v>635</v>
      </c>
      <c r="AU652" s="44">
        <f t="shared" si="80"/>
        <v>-2.1159294805983135</v>
      </c>
      <c r="AV652" s="44">
        <f t="shared" si="81"/>
        <v>-0.40628790779544532</v>
      </c>
      <c r="AW652" s="45">
        <f t="shared" si="82"/>
        <v>3</v>
      </c>
      <c r="AX652" s="45">
        <f t="shared" si="83"/>
        <v>3</v>
      </c>
      <c r="AY652" s="46">
        <f>VLOOKUP(AP652,COND!$A$10:$B$32,2,FALSE)</f>
        <v>1</v>
      </c>
      <c r="AZ652" s="44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42.166003150572863</v>
      </c>
      <c r="BA652" s="47">
        <f>STANDARDIZE(AZ652,AVERAGE($AZ$5:$AZ$663),STDEVP($AZ$5:$AZ$663))</f>
        <v>0.29881125684225618</v>
      </c>
      <c r="BB652" s="45" t="str">
        <f t="shared" si="84"/>
        <v>RP</v>
      </c>
      <c r="BC652" s="45">
        <f>RANK(Table3[[#This Row],[zScore]],Table3[zScore])</f>
        <v>243</v>
      </c>
      <c r="BD652" s="45"/>
      <c r="BE652" s="45"/>
      <c r="BF652" s="45" t="str">
        <f t="shared" si="85"/>
        <v>Possible</v>
      </c>
      <c r="BG652" s="45"/>
      <c r="BH652" s="45">
        <f>INDEX(Table5[[#All],[Ovr]],MATCH(Table3[[#This Row],[PID]],Table5[[#All],[PID]],0))</f>
        <v>315</v>
      </c>
      <c r="BI652" s="45" t="str">
        <f>INDEX(Table5[[#All],[Rnd]],MATCH(Table3[[#This Row],[PID]],Table5[[#All],[PID]],0))</f>
        <v>11</v>
      </c>
      <c r="BJ652" s="45">
        <f>INDEX(Table5[[#All],[Pick]],MATCH(Table3[[#This Row],[PID]],Table5[[#All],[PID]],0))</f>
        <v>7</v>
      </c>
      <c r="BK652" s="45" t="str">
        <f>INDEX(Table5[[#All],[Team]],MATCH(Table3[[#This Row],[PID]],Table5[[#All],[PID]],0))</f>
        <v>Niihama-shi Ghosts</v>
      </c>
      <c r="BL6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3" spans="1:64" ht="15" customHeight="1" x14ac:dyDescent="0.25">
      <c r="A653" s="40">
        <v>20295</v>
      </c>
      <c r="B653" s="40" t="s">
        <v>24</v>
      </c>
      <c r="C653" s="40" t="s">
        <v>342</v>
      </c>
      <c r="D653" s="40" t="s">
        <v>703</v>
      </c>
      <c r="E653" s="40">
        <v>22</v>
      </c>
      <c r="F653" s="40" t="s">
        <v>53</v>
      </c>
      <c r="G653" s="40" t="s">
        <v>53</v>
      </c>
      <c r="H653" s="41" t="s">
        <v>647</v>
      </c>
      <c r="I653" s="42" t="s">
        <v>43</v>
      </c>
      <c r="J653" s="40" t="s">
        <v>43</v>
      </c>
      <c r="K653" s="41" t="s">
        <v>47</v>
      </c>
      <c r="L653" s="40">
        <v>4</v>
      </c>
      <c r="M653" s="40">
        <v>2</v>
      </c>
      <c r="N653" s="41">
        <v>3</v>
      </c>
      <c r="O653" s="40">
        <v>5</v>
      </c>
      <c r="P653" s="40">
        <v>3</v>
      </c>
      <c r="Q653" s="41">
        <v>3</v>
      </c>
      <c r="R653" s="40">
        <v>6</v>
      </c>
      <c r="S653" s="40">
        <v>7</v>
      </c>
      <c r="T653" s="40">
        <v>4</v>
      </c>
      <c r="U653" s="40">
        <v>6</v>
      </c>
      <c r="V653" s="40" t="s">
        <v>45</v>
      </c>
      <c r="W653" s="40" t="s">
        <v>45</v>
      </c>
      <c r="X653" s="40">
        <v>5</v>
      </c>
      <c r="Y653" s="40">
        <v>7</v>
      </c>
      <c r="Z653" s="40" t="s">
        <v>45</v>
      </c>
      <c r="AA653" s="40" t="s">
        <v>45</v>
      </c>
      <c r="AB653" s="40" t="s">
        <v>45</v>
      </c>
      <c r="AC653" s="40" t="s">
        <v>45</v>
      </c>
      <c r="AD653" s="40" t="s">
        <v>45</v>
      </c>
      <c r="AE653" s="40" t="s">
        <v>45</v>
      </c>
      <c r="AF653" s="40" t="s">
        <v>45</v>
      </c>
      <c r="AG653" s="40" t="s">
        <v>45</v>
      </c>
      <c r="AH653" s="40" t="s">
        <v>45</v>
      </c>
      <c r="AI653" s="40" t="s">
        <v>45</v>
      </c>
      <c r="AJ653" s="40" t="s">
        <v>45</v>
      </c>
      <c r="AK653" s="40" t="s">
        <v>45</v>
      </c>
      <c r="AL653" s="40" t="s">
        <v>45</v>
      </c>
      <c r="AM653" s="40" t="s">
        <v>45</v>
      </c>
      <c r="AN653" s="40" t="s">
        <v>45</v>
      </c>
      <c r="AO653" s="41" t="s">
        <v>45</v>
      </c>
      <c r="AP653" s="40" t="s">
        <v>54</v>
      </c>
      <c r="AQ653" s="40">
        <v>6</v>
      </c>
      <c r="AR653" s="48" t="s">
        <v>347</v>
      </c>
      <c r="AS653" s="43" t="s">
        <v>45</v>
      </c>
      <c r="AT653" s="43" t="s">
        <v>47</v>
      </c>
      <c r="AU653" s="44">
        <f t="shared" si="80"/>
        <v>-1.4373374159018013</v>
      </c>
      <c r="AV653" s="44">
        <f t="shared" si="81"/>
        <v>-0.60171962422550074</v>
      </c>
      <c r="AW653" s="45">
        <f t="shared" si="82"/>
        <v>3</v>
      </c>
      <c r="AX653" s="45">
        <f t="shared" si="83"/>
        <v>3</v>
      </c>
      <c r="AY653" s="46">
        <f>VLOOKUP(AP653,COND!$A$10:$B$32,2,FALSE)</f>
        <v>1.0249999999999999</v>
      </c>
      <c r="AZ653" s="44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40.232559944789429</v>
      </c>
      <c r="BA653" s="47">
        <f>STANDARDIZE(AZ653,AVERAGE($AZ$5:$AZ$557),STDEVP($AZ$5:$AZ$557))</f>
        <v>0.29019944982341628</v>
      </c>
      <c r="BB653" s="45" t="str">
        <f t="shared" si="84"/>
        <v>SP</v>
      </c>
      <c r="BC653" s="45">
        <f>RANK(Table3[[#This Row],[zScore]],Table3[zScore])</f>
        <v>244</v>
      </c>
      <c r="BD653" s="45"/>
      <c r="BE653" s="45"/>
      <c r="BF653" s="45" t="str">
        <f t="shared" si="85"/>
        <v>Unlikely</v>
      </c>
      <c r="BG653" s="45"/>
      <c r="BH653" s="45">
        <f>INDEX(Table5[[#All],[Ovr]],MATCH(Table3[[#This Row],[PID]],Table5[[#All],[PID]],0))</f>
        <v>255</v>
      </c>
      <c r="BI653" s="45" t="str">
        <f>INDEX(Table5[[#All],[Rnd]],MATCH(Table3[[#This Row],[PID]],Table5[[#All],[PID]],0))</f>
        <v>9</v>
      </c>
      <c r="BJ653" s="45">
        <f>INDEX(Table5[[#All],[Pick]],MATCH(Table3[[#This Row],[PID]],Table5[[#All],[PID]],0))</f>
        <v>7</v>
      </c>
      <c r="BK653" s="45" t="str">
        <f>INDEX(Table5[[#All],[Team]],MATCH(Table3[[#This Row],[PID]],Table5[[#All],[PID]],0))</f>
        <v>Niihama-shi Ghosts</v>
      </c>
      <c r="BL6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4" spans="1:64" ht="15" customHeight="1" x14ac:dyDescent="0.25">
      <c r="A654" s="40">
        <v>20782</v>
      </c>
      <c r="B654" s="40" t="s">
        <v>24</v>
      </c>
      <c r="C654" s="40" t="s">
        <v>722</v>
      </c>
      <c r="D654" s="40" t="s">
        <v>648</v>
      </c>
      <c r="E654" s="40">
        <v>18</v>
      </c>
      <c r="F654" s="40" t="s">
        <v>42</v>
      </c>
      <c r="G654" s="40" t="s">
        <v>42</v>
      </c>
      <c r="H654" s="41" t="s">
        <v>647</v>
      </c>
      <c r="I654" s="42" t="s">
        <v>43</v>
      </c>
      <c r="J654" s="40" t="s">
        <v>43</v>
      </c>
      <c r="K654" s="41" t="s">
        <v>43</v>
      </c>
      <c r="L654" s="40">
        <v>1</v>
      </c>
      <c r="M654" s="40">
        <v>2</v>
      </c>
      <c r="N654" s="41">
        <v>1</v>
      </c>
      <c r="O654" s="40">
        <v>4</v>
      </c>
      <c r="P654" s="40">
        <v>3</v>
      </c>
      <c r="Q654" s="41">
        <v>3</v>
      </c>
      <c r="R654" s="40">
        <v>3</v>
      </c>
      <c r="S654" s="40">
        <v>6</v>
      </c>
      <c r="T654" s="40">
        <v>1</v>
      </c>
      <c r="U654" s="40">
        <v>2</v>
      </c>
      <c r="V654" s="40" t="s">
        <v>45</v>
      </c>
      <c r="W654" s="40" t="s">
        <v>45</v>
      </c>
      <c r="X654" s="40">
        <v>2</v>
      </c>
      <c r="Y654" s="40">
        <v>7</v>
      </c>
      <c r="Z654" s="40" t="s">
        <v>45</v>
      </c>
      <c r="AA654" s="40" t="s">
        <v>45</v>
      </c>
      <c r="AB654" s="40" t="s">
        <v>45</v>
      </c>
      <c r="AC654" s="40" t="s">
        <v>45</v>
      </c>
      <c r="AD654" s="40" t="s">
        <v>45</v>
      </c>
      <c r="AE654" s="40" t="s">
        <v>45</v>
      </c>
      <c r="AF654" s="40" t="s">
        <v>45</v>
      </c>
      <c r="AG654" s="40" t="s">
        <v>45</v>
      </c>
      <c r="AH654" s="40" t="s">
        <v>45</v>
      </c>
      <c r="AI654" s="40" t="s">
        <v>45</v>
      </c>
      <c r="AJ654" s="40" t="s">
        <v>45</v>
      </c>
      <c r="AK654" s="40" t="s">
        <v>45</v>
      </c>
      <c r="AL654" s="40" t="s">
        <v>45</v>
      </c>
      <c r="AM654" s="40" t="s">
        <v>45</v>
      </c>
      <c r="AN654" s="40" t="s">
        <v>45</v>
      </c>
      <c r="AO654" s="41" t="s">
        <v>45</v>
      </c>
      <c r="AP654" s="40" t="s">
        <v>349</v>
      </c>
      <c r="AQ654" s="40">
        <v>6</v>
      </c>
      <c r="AR654" s="48" t="s">
        <v>347</v>
      </c>
      <c r="AS654" s="43" t="s">
        <v>654</v>
      </c>
      <c r="AT654" s="43" t="s">
        <v>47</v>
      </c>
      <c r="AU654" s="44">
        <f t="shared" si="80"/>
        <v>-2.5060525215375429</v>
      </c>
      <c r="AV654" s="44">
        <f t="shared" si="81"/>
        <v>-0.79641094873467422</v>
      </c>
      <c r="AW654" s="45">
        <f t="shared" si="82"/>
        <v>3</v>
      </c>
      <c r="AX654" s="45">
        <f t="shared" si="83"/>
        <v>2</v>
      </c>
      <c r="AY654" s="46">
        <f>VLOOKUP(AP654,COND!$A$10:$B$32,2,FALSE)</f>
        <v>1</v>
      </c>
      <c r="AZ654" s="44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39.881306257974032</v>
      </c>
      <c r="BA654" s="47">
        <f>STANDARDIZE(AZ654,AVERAGE($AZ$5:$AZ$557),STDEVP($AZ$5:$AZ$557))</f>
        <v>0.26683107879345253</v>
      </c>
      <c r="BB654" s="45" t="str">
        <f t="shared" si="84"/>
        <v>SP</v>
      </c>
      <c r="BC654" s="45">
        <f>RANK(Table3[[#This Row],[zScore]],Table3[zScore])</f>
        <v>246</v>
      </c>
      <c r="BD654" s="45"/>
      <c r="BE654" s="45"/>
      <c r="BF654" s="45" t="str">
        <f t="shared" si="85"/>
        <v>Unlikely</v>
      </c>
      <c r="BG654" s="45"/>
      <c r="BH654" s="45" t="str">
        <f>INDEX(Table5[[#All],[Ovr]],MATCH(Table3[[#This Row],[PID]],Table5[[#All],[PID]],0))</f>
        <v/>
      </c>
      <c r="BI654" s="45" t="str">
        <f>INDEX(Table5[[#All],[Rnd]],MATCH(Table3[[#This Row],[PID]],Table5[[#All],[PID]],0))</f>
        <v/>
      </c>
      <c r="BJ654" s="45" t="str">
        <f>INDEX(Table5[[#All],[Pick]],MATCH(Table3[[#This Row],[PID]],Table5[[#All],[PID]],0))</f>
        <v/>
      </c>
      <c r="BK654" s="45" t="str">
        <f>INDEX(Table5[[#All],[Team]],MATCH(Table3[[#This Row],[PID]],Table5[[#All],[PID]],0))</f>
        <v/>
      </c>
      <c r="BL6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5" spans="1:64" ht="15" customHeight="1" x14ac:dyDescent="0.25">
      <c r="A655" s="40">
        <v>18204</v>
      </c>
      <c r="B655" s="40" t="s">
        <v>24</v>
      </c>
      <c r="C655" s="40" t="s">
        <v>318</v>
      </c>
      <c r="D655" s="40" t="s">
        <v>2008</v>
      </c>
      <c r="E655" s="40">
        <v>18</v>
      </c>
      <c r="F655" s="40" t="s">
        <v>42</v>
      </c>
      <c r="G655" s="40" t="s">
        <v>53</v>
      </c>
      <c r="H655" s="41" t="s">
        <v>647</v>
      </c>
      <c r="I655" s="42" t="s">
        <v>43</v>
      </c>
      <c r="J655" s="40" t="s">
        <v>44</v>
      </c>
      <c r="K655" s="41" t="s">
        <v>43</v>
      </c>
      <c r="L655" s="40">
        <v>1</v>
      </c>
      <c r="M655" s="40">
        <v>2</v>
      </c>
      <c r="N655" s="41">
        <v>1</v>
      </c>
      <c r="O655" s="40">
        <v>5</v>
      </c>
      <c r="P655" s="40">
        <v>3</v>
      </c>
      <c r="Q655" s="41">
        <v>2</v>
      </c>
      <c r="R655" s="40">
        <v>3</v>
      </c>
      <c r="S655" s="40">
        <v>6</v>
      </c>
      <c r="T655" s="40" t="s">
        <v>45</v>
      </c>
      <c r="U655" s="40" t="s">
        <v>45</v>
      </c>
      <c r="V655" s="40">
        <v>2</v>
      </c>
      <c r="W655" s="40">
        <v>8</v>
      </c>
      <c r="X655" s="40">
        <v>2</v>
      </c>
      <c r="Y655" s="40">
        <v>6</v>
      </c>
      <c r="Z655" s="40" t="s">
        <v>45</v>
      </c>
      <c r="AA655" s="40" t="s">
        <v>45</v>
      </c>
      <c r="AB655" s="40" t="s">
        <v>45</v>
      </c>
      <c r="AC655" s="40" t="s">
        <v>45</v>
      </c>
      <c r="AD655" s="40" t="s">
        <v>45</v>
      </c>
      <c r="AE655" s="40" t="s">
        <v>45</v>
      </c>
      <c r="AF655" s="40" t="s">
        <v>45</v>
      </c>
      <c r="AG655" s="40" t="s">
        <v>45</v>
      </c>
      <c r="AH655" s="40" t="s">
        <v>45</v>
      </c>
      <c r="AI655" s="40" t="s">
        <v>45</v>
      </c>
      <c r="AJ655" s="40" t="s">
        <v>45</v>
      </c>
      <c r="AK655" s="40" t="s">
        <v>45</v>
      </c>
      <c r="AL655" s="40" t="s">
        <v>45</v>
      </c>
      <c r="AM655" s="40" t="s">
        <v>45</v>
      </c>
      <c r="AN655" s="40" t="s">
        <v>45</v>
      </c>
      <c r="AO655" s="41" t="s">
        <v>45</v>
      </c>
      <c r="AP655" s="40" t="s">
        <v>64</v>
      </c>
      <c r="AQ655" s="40">
        <v>6</v>
      </c>
      <c r="AR655" s="48" t="s">
        <v>347</v>
      </c>
      <c r="AS655" s="43" t="s">
        <v>553</v>
      </c>
      <c r="AT655" s="43" t="s">
        <v>47</v>
      </c>
      <c r="AU655" s="44">
        <f t="shared" si="80"/>
        <v>-2.5060525215375429</v>
      </c>
      <c r="AV655" s="44">
        <f t="shared" si="81"/>
        <v>-0.84404019027961108</v>
      </c>
      <c r="AW655" s="45">
        <f t="shared" si="82"/>
        <v>3</v>
      </c>
      <c r="AX655" s="45">
        <f t="shared" si="83"/>
        <v>3</v>
      </c>
      <c r="AY655" s="46">
        <f>VLOOKUP(AP655,COND!$A$10:$B$32,2,FALSE)</f>
        <v>1</v>
      </c>
      <c r="AZ655" s="44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39.871286047847761</v>
      </c>
      <c r="BA655" s="47">
        <f>STANDARDIZE(AZ655,AVERAGE($AZ$5:$AZ$557),STDEVP($AZ$5:$AZ$557))</f>
        <v>0.26616444952572343</v>
      </c>
      <c r="BB655" s="45" t="str">
        <f t="shared" si="84"/>
        <v>SP</v>
      </c>
      <c r="BC655" s="45">
        <f>RANK(Table3[[#This Row],[zScore]],Table3[zScore])</f>
        <v>247</v>
      </c>
      <c r="BD655" s="45"/>
      <c r="BE655" s="45"/>
      <c r="BF655" s="45" t="str">
        <f t="shared" si="85"/>
        <v>Unlikely</v>
      </c>
      <c r="BG655" s="45"/>
      <c r="BH655" s="45">
        <f>INDEX(Table5[[#All],[Ovr]],MATCH(Table3[[#This Row],[PID]],Table5[[#All],[PID]],0))</f>
        <v>532</v>
      </c>
      <c r="BI655" s="45" t="str">
        <f>INDEX(Table5[[#All],[Rnd]],MATCH(Table3[[#This Row],[PID]],Table5[[#All],[PID]],0))</f>
        <v>18</v>
      </c>
      <c r="BJ655" s="45">
        <f>INDEX(Table5[[#All],[Pick]],MATCH(Table3[[#This Row],[PID]],Table5[[#All],[PID]],0))</f>
        <v>14</v>
      </c>
      <c r="BK655" s="45" t="str">
        <f>INDEX(Table5[[#All],[Team]],MATCH(Table3[[#This Row],[PID]],Table5[[#All],[PID]],0))</f>
        <v>Arlington Bureaucrats</v>
      </c>
      <c r="BL6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6" spans="1:64" ht="15" customHeight="1" x14ac:dyDescent="0.25">
      <c r="A656" s="40">
        <v>20237</v>
      </c>
      <c r="B656" s="40" t="s">
        <v>24</v>
      </c>
      <c r="C656" s="40" t="s">
        <v>445</v>
      </c>
      <c r="D656" s="40" t="s">
        <v>719</v>
      </c>
      <c r="E656" s="40">
        <v>21</v>
      </c>
      <c r="F656" s="40" t="s">
        <v>42</v>
      </c>
      <c r="G656" s="40" t="s">
        <v>42</v>
      </c>
      <c r="H656" s="41" t="s">
        <v>647</v>
      </c>
      <c r="I656" s="42" t="s">
        <v>43</v>
      </c>
      <c r="J656" s="40" t="s">
        <v>43</v>
      </c>
      <c r="K656" s="41" t="s">
        <v>43</v>
      </c>
      <c r="L656" s="40">
        <v>4</v>
      </c>
      <c r="M656" s="40">
        <v>2</v>
      </c>
      <c r="N656" s="41">
        <v>2</v>
      </c>
      <c r="O656" s="40">
        <v>6</v>
      </c>
      <c r="P656" s="40">
        <v>2</v>
      </c>
      <c r="Q656" s="41">
        <v>3</v>
      </c>
      <c r="R656" s="40" t="s">
        <v>45</v>
      </c>
      <c r="S656" s="40" t="s">
        <v>45</v>
      </c>
      <c r="T656" s="40">
        <v>4</v>
      </c>
      <c r="U656" s="40">
        <v>8</v>
      </c>
      <c r="V656" s="40" t="s">
        <v>45</v>
      </c>
      <c r="W656" s="40" t="s">
        <v>45</v>
      </c>
      <c r="X656" s="40">
        <v>5</v>
      </c>
      <c r="Y656" s="40">
        <v>8</v>
      </c>
      <c r="Z656" s="40" t="s">
        <v>45</v>
      </c>
      <c r="AA656" s="40" t="s">
        <v>45</v>
      </c>
      <c r="AB656" s="40" t="s">
        <v>45</v>
      </c>
      <c r="AC656" s="40" t="s">
        <v>45</v>
      </c>
      <c r="AD656" s="40">
        <v>5</v>
      </c>
      <c r="AE656" s="40">
        <v>6</v>
      </c>
      <c r="AF656" s="40" t="s">
        <v>45</v>
      </c>
      <c r="AG656" s="40" t="s">
        <v>45</v>
      </c>
      <c r="AH656" s="40" t="s">
        <v>45</v>
      </c>
      <c r="AI656" s="40" t="s">
        <v>45</v>
      </c>
      <c r="AJ656" s="40" t="s">
        <v>45</v>
      </c>
      <c r="AK656" s="40" t="s">
        <v>45</v>
      </c>
      <c r="AL656" s="40" t="s">
        <v>45</v>
      </c>
      <c r="AM656" s="40" t="s">
        <v>45</v>
      </c>
      <c r="AN656" s="40" t="s">
        <v>45</v>
      </c>
      <c r="AO656" s="41" t="s">
        <v>45</v>
      </c>
      <c r="AP656" s="40" t="s">
        <v>60</v>
      </c>
      <c r="AQ656" s="40">
        <v>5</v>
      </c>
      <c r="AR656" s="48" t="s">
        <v>347</v>
      </c>
      <c r="AS656" s="43" t="s">
        <v>45</v>
      </c>
      <c r="AT656" s="43" t="s">
        <v>635</v>
      </c>
      <c r="AU656" s="44">
        <f t="shared" si="80"/>
        <v>-1.6796579819559116</v>
      </c>
      <c r="AV656" s="44">
        <f t="shared" si="81"/>
        <v>-0.60246001614638267</v>
      </c>
      <c r="AW656" s="45">
        <f t="shared" si="82"/>
        <v>3</v>
      </c>
      <c r="AX656" s="45">
        <f t="shared" si="83"/>
        <v>3</v>
      </c>
      <c r="AY656" s="46">
        <f>VLOOKUP(AP656,COND!$A$10:$B$32,2,FALSE)</f>
        <v>1.0249999999999999</v>
      </c>
      <c r="AZ656" s="44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39.86932753813074</v>
      </c>
      <c r="BA656" s="47">
        <f>STANDARDIZE(AZ656,AVERAGE($AZ$5:$AZ$557),STDEVP($AZ$5:$AZ$557))</f>
        <v>0.26603415286706605</v>
      </c>
      <c r="BB656" s="45" t="str">
        <f t="shared" si="84"/>
        <v>SP</v>
      </c>
      <c r="BC656" s="45">
        <f>RANK(Table3[[#This Row],[zScore]],Table3[zScore])</f>
        <v>248</v>
      </c>
      <c r="BD656" s="45"/>
      <c r="BE656" s="45"/>
      <c r="BF656" s="45" t="str">
        <f t="shared" si="85"/>
        <v>Unlikely</v>
      </c>
      <c r="BG656" s="45"/>
      <c r="BH656" s="45">
        <f>INDEX(Table5[[#All],[Ovr]],MATCH(Table3[[#This Row],[PID]],Table5[[#All],[PID]],0))</f>
        <v>530</v>
      </c>
      <c r="BI656" s="45" t="str">
        <f>INDEX(Table5[[#All],[Rnd]],MATCH(Table3[[#This Row],[PID]],Table5[[#All],[PID]],0))</f>
        <v>18</v>
      </c>
      <c r="BJ656" s="45">
        <f>INDEX(Table5[[#All],[Pick]],MATCH(Table3[[#This Row],[PID]],Table5[[#All],[PID]],0))</f>
        <v>12</v>
      </c>
      <c r="BK656" s="45" t="str">
        <f>INDEX(Table5[[#All],[Team]],MATCH(Table3[[#This Row],[PID]],Table5[[#All],[PID]],0))</f>
        <v>Palm Springs Codgers</v>
      </c>
      <c r="BL6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7" spans="1:64" ht="15" customHeight="1" x14ac:dyDescent="0.25">
      <c r="A657" s="40">
        <v>17563</v>
      </c>
      <c r="B657" s="40" t="s">
        <v>24</v>
      </c>
      <c r="C657" s="40" t="s">
        <v>2006</v>
      </c>
      <c r="D657" s="40" t="s">
        <v>2007</v>
      </c>
      <c r="E657" s="40">
        <v>18</v>
      </c>
      <c r="F657" s="40" t="s">
        <v>42</v>
      </c>
      <c r="G657" s="40" t="s">
        <v>42</v>
      </c>
      <c r="H657" s="41" t="s">
        <v>647</v>
      </c>
      <c r="I657" s="42" t="s">
        <v>43</v>
      </c>
      <c r="J657" s="40" t="s">
        <v>43</v>
      </c>
      <c r="K657" s="41" t="s">
        <v>43</v>
      </c>
      <c r="L657" s="40">
        <v>1</v>
      </c>
      <c r="M657" s="40">
        <v>2</v>
      </c>
      <c r="N657" s="41">
        <v>1</v>
      </c>
      <c r="O657" s="40">
        <v>5</v>
      </c>
      <c r="P657" s="40">
        <v>3</v>
      </c>
      <c r="Q657" s="41">
        <v>2</v>
      </c>
      <c r="R657" s="40">
        <v>4</v>
      </c>
      <c r="S657" s="40">
        <v>6</v>
      </c>
      <c r="T657" s="40">
        <v>1</v>
      </c>
      <c r="U657" s="40">
        <v>6</v>
      </c>
      <c r="V657" s="40" t="s">
        <v>45</v>
      </c>
      <c r="W657" s="40" t="s">
        <v>45</v>
      </c>
      <c r="X657" s="40">
        <v>2</v>
      </c>
      <c r="Y657" s="40">
        <v>7</v>
      </c>
      <c r="Z657" s="40" t="s">
        <v>45</v>
      </c>
      <c r="AA657" s="40" t="s">
        <v>45</v>
      </c>
      <c r="AB657" s="40" t="s">
        <v>45</v>
      </c>
      <c r="AC657" s="40" t="s">
        <v>45</v>
      </c>
      <c r="AD657" s="40" t="s">
        <v>45</v>
      </c>
      <c r="AE657" s="40" t="s">
        <v>45</v>
      </c>
      <c r="AF657" s="40" t="s">
        <v>45</v>
      </c>
      <c r="AG657" s="40" t="s">
        <v>45</v>
      </c>
      <c r="AH657" s="40" t="s">
        <v>45</v>
      </c>
      <c r="AI657" s="40" t="s">
        <v>45</v>
      </c>
      <c r="AJ657" s="40" t="s">
        <v>45</v>
      </c>
      <c r="AK657" s="40" t="s">
        <v>45</v>
      </c>
      <c r="AL657" s="40" t="s">
        <v>45</v>
      </c>
      <c r="AM657" s="40" t="s">
        <v>45</v>
      </c>
      <c r="AN657" s="40" t="s">
        <v>45</v>
      </c>
      <c r="AO657" s="41" t="s">
        <v>45</v>
      </c>
      <c r="AP657" s="40" t="s">
        <v>57</v>
      </c>
      <c r="AQ657" s="40">
        <v>9</v>
      </c>
      <c r="AR657" s="48" t="s">
        <v>347</v>
      </c>
      <c r="AS657" s="43" t="s">
        <v>573</v>
      </c>
      <c r="AT657" s="43" t="s">
        <v>47</v>
      </c>
      <c r="AU657" s="44">
        <f t="shared" si="80"/>
        <v>-2.5060525215375429</v>
      </c>
      <c r="AV657" s="44">
        <f t="shared" si="81"/>
        <v>-0.84404019027961108</v>
      </c>
      <c r="AW657" s="45">
        <f t="shared" si="82"/>
        <v>3</v>
      </c>
      <c r="AX657" s="45">
        <f t="shared" si="83"/>
        <v>3</v>
      </c>
      <c r="AY657" s="46">
        <f>VLOOKUP(AP657,COND!$A$10:$B$32,2,FALSE)</f>
        <v>1</v>
      </c>
      <c r="AZ657" s="44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39.867985690100269</v>
      </c>
      <c r="BA657" s="47">
        <f>STANDARDIZE(AZ657,AVERAGE($AZ$5:$AZ$557),STDEVP($AZ$5:$AZ$557))</f>
        <v>0.26594488176808867</v>
      </c>
      <c r="BB657" s="45" t="str">
        <f t="shared" si="84"/>
        <v>SP</v>
      </c>
      <c r="BC657" s="45">
        <f>RANK(Table3[[#This Row],[zScore]],Table3[zScore])</f>
        <v>249</v>
      </c>
      <c r="BD657" s="45"/>
      <c r="BE657" s="45"/>
      <c r="BF657" s="45" t="str">
        <f t="shared" si="85"/>
        <v>Unlikely</v>
      </c>
      <c r="BG657" s="45"/>
      <c r="BH657" s="45">
        <f>INDEX(Table5[[#All],[Ovr]],MATCH(Table3[[#This Row],[PID]],Table5[[#All],[PID]],0))</f>
        <v>509</v>
      </c>
      <c r="BI657" s="45" t="str">
        <f>INDEX(Table5[[#All],[Rnd]],MATCH(Table3[[#This Row],[PID]],Table5[[#All],[PID]],0))</f>
        <v>17</v>
      </c>
      <c r="BJ657" s="45">
        <f>INDEX(Table5[[#All],[Pick]],MATCH(Table3[[#This Row],[PID]],Table5[[#All],[PID]],0))</f>
        <v>21</v>
      </c>
      <c r="BK657" s="45" t="str">
        <f>INDEX(Table5[[#All],[Team]],MATCH(Table3[[#This Row],[PID]],Table5[[#All],[PID]],0))</f>
        <v>Crystal Lake Sandgnats</v>
      </c>
      <c r="BL65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8" spans="1:64" ht="15" customHeight="1" x14ac:dyDescent="0.25">
      <c r="A658" s="40">
        <v>18086</v>
      </c>
      <c r="B658" s="40" t="s">
        <v>24</v>
      </c>
      <c r="C658" s="40" t="s">
        <v>737</v>
      </c>
      <c r="D658" s="40" t="s">
        <v>1023</v>
      </c>
      <c r="E658" s="40">
        <v>21</v>
      </c>
      <c r="F658" s="40" t="s">
        <v>53</v>
      </c>
      <c r="G658" s="40" t="s">
        <v>53</v>
      </c>
      <c r="H658" s="41" t="s">
        <v>647</v>
      </c>
      <c r="I658" s="42" t="s">
        <v>43</v>
      </c>
      <c r="J658" s="40" t="s">
        <v>47</v>
      </c>
      <c r="K658" s="41" t="s">
        <v>43</v>
      </c>
      <c r="L658" s="40">
        <v>2</v>
      </c>
      <c r="M658" s="40">
        <v>3</v>
      </c>
      <c r="N658" s="41">
        <v>2</v>
      </c>
      <c r="O658" s="40">
        <v>4</v>
      </c>
      <c r="P658" s="40">
        <v>5</v>
      </c>
      <c r="Q658" s="41">
        <v>3</v>
      </c>
      <c r="R658" s="40">
        <v>5</v>
      </c>
      <c r="S658" s="40">
        <v>7</v>
      </c>
      <c r="T658" s="40">
        <v>1</v>
      </c>
      <c r="U658" s="40">
        <v>5</v>
      </c>
      <c r="V658" s="40">
        <v>2</v>
      </c>
      <c r="W658" s="40">
        <v>4</v>
      </c>
      <c r="X658" s="40" t="s">
        <v>45</v>
      </c>
      <c r="Y658" s="40" t="s">
        <v>45</v>
      </c>
      <c r="Z658" s="40" t="s">
        <v>45</v>
      </c>
      <c r="AA658" s="40" t="s">
        <v>45</v>
      </c>
      <c r="AB658" s="40" t="s">
        <v>45</v>
      </c>
      <c r="AC658" s="40" t="s">
        <v>45</v>
      </c>
      <c r="AD658" s="40" t="s">
        <v>45</v>
      </c>
      <c r="AE658" s="40" t="s">
        <v>45</v>
      </c>
      <c r="AF658" s="40" t="s">
        <v>45</v>
      </c>
      <c r="AG658" s="40" t="s">
        <v>45</v>
      </c>
      <c r="AH658" s="40" t="s">
        <v>45</v>
      </c>
      <c r="AI658" s="40" t="s">
        <v>45</v>
      </c>
      <c r="AJ658" s="40" t="s">
        <v>45</v>
      </c>
      <c r="AK658" s="40" t="s">
        <v>45</v>
      </c>
      <c r="AL658" s="40" t="s">
        <v>45</v>
      </c>
      <c r="AM658" s="40" t="s">
        <v>45</v>
      </c>
      <c r="AN658" s="40" t="s">
        <v>45</v>
      </c>
      <c r="AO658" s="41" t="s">
        <v>45</v>
      </c>
      <c r="AP658" s="40" t="s">
        <v>54</v>
      </c>
      <c r="AQ658" s="40">
        <v>6</v>
      </c>
      <c r="AR658" s="48" t="s">
        <v>347</v>
      </c>
      <c r="AS658" s="43" t="s">
        <v>643</v>
      </c>
      <c r="AT658" s="43" t="s">
        <v>47</v>
      </c>
      <c r="AU658" s="44">
        <f t="shared" si="80"/>
        <v>-1.8736089145442034</v>
      </c>
      <c r="AV658" s="44">
        <f t="shared" si="81"/>
        <v>-0.40554751587456339</v>
      </c>
      <c r="AW658" s="45">
        <f t="shared" si="82"/>
        <v>3</v>
      </c>
      <c r="AX658" s="45">
        <f t="shared" si="83"/>
        <v>1</v>
      </c>
      <c r="AY658" s="46">
        <f>VLOOKUP(AP658,COND!$A$10:$B$32,2,FALSE)</f>
        <v>1.0249999999999999</v>
      </c>
      <c r="AZ658" s="44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41.567912694662638</v>
      </c>
      <c r="BA658" s="47">
        <f>STANDARDIZE(AZ658,AVERAGE($AZ$5:$AZ$663),STDEVP($AZ$5:$AZ$663))</f>
        <v>0.25784223658768662</v>
      </c>
      <c r="BB658" s="45" t="str">
        <f t="shared" si="84"/>
        <v>SP</v>
      </c>
      <c r="BC658" s="45">
        <f>RANK(Table3[[#This Row],[zScore]],Table3[zScore])</f>
        <v>250</v>
      </c>
      <c r="BD658" s="45"/>
      <c r="BE658" s="45"/>
      <c r="BF658" s="45" t="str">
        <f t="shared" si="85"/>
        <v>Possible</v>
      </c>
      <c r="BG658" s="45"/>
      <c r="BH658" s="45">
        <f>INDEX(Table5[[#All],[Ovr]],MATCH(Table3[[#This Row],[PID]],Table5[[#All],[PID]],0))</f>
        <v>341</v>
      </c>
      <c r="BI658" s="45" t="str">
        <f>INDEX(Table5[[#All],[Rnd]],MATCH(Table3[[#This Row],[PID]],Table5[[#All],[PID]],0))</f>
        <v>12</v>
      </c>
      <c r="BJ658" s="45">
        <f>INDEX(Table5[[#All],[Pick]],MATCH(Table3[[#This Row],[PID]],Table5[[#All],[PID]],0))</f>
        <v>3</v>
      </c>
      <c r="BK658" s="45" t="str">
        <f>INDEX(Table5[[#All],[Team]],MATCH(Table3[[#This Row],[PID]],Table5[[#All],[PID]],0))</f>
        <v>New Orleans Trendsetters</v>
      </c>
      <c r="BL6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59" spans="1:64" ht="15" customHeight="1" x14ac:dyDescent="0.25">
      <c r="A659" s="40">
        <v>18220</v>
      </c>
      <c r="B659" s="40" t="s">
        <v>24</v>
      </c>
      <c r="C659" s="40" t="s">
        <v>129</v>
      </c>
      <c r="D659" s="40" t="s">
        <v>2194</v>
      </c>
      <c r="E659" s="40">
        <v>18</v>
      </c>
      <c r="F659" s="40" t="s">
        <v>42</v>
      </c>
      <c r="G659" s="40" t="s">
        <v>42</v>
      </c>
      <c r="H659" s="41" t="s">
        <v>647</v>
      </c>
      <c r="I659" s="42" t="s">
        <v>43</v>
      </c>
      <c r="J659" s="40" t="s">
        <v>44</v>
      </c>
      <c r="K659" s="41" t="s">
        <v>43</v>
      </c>
      <c r="L659" s="40">
        <v>1</v>
      </c>
      <c r="M659" s="40">
        <v>2</v>
      </c>
      <c r="N659" s="41">
        <v>1</v>
      </c>
      <c r="O659" s="40">
        <v>4</v>
      </c>
      <c r="P659" s="40">
        <v>3</v>
      </c>
      <c r="Q659" s="41">
        <v>3</v>
      </c>
      <c r="R659" s="40" t="s">
        <v>45</v>
      </c>
      <c r="S659" s="40" t="s">
        <v>45</v>
      </c>
      <c r="T659" s="40">
        <v>1</v>
      </c>
      <c r="U659" s="40">
        <v>6</v>
      </c>
      <c r="V659" s="40">
        <v>2</v>
      </c>
      <c r="W659" s="40">
        <v>6</v>
      </c>
      <c r="X659" s="40" t="s">
        <v>45</v>
      </c>
      <c r="Y659" s="40" t="s">
        <v>45</v>
      </c>
      <c r="Z659" s="40" t="s">
        <v>45</v>
      </c>
      <c r="AA659" s="40" t="s">
        <v>45</v>
      </c>
      <c r="AB659" s="40" t="s">
        <v>45</v>
      </c>
      <c r="AC659" s="40" t="s">
        <v>45</v>
      </c>
      <c r="AD659" s="40">
        <v>2</v>
      </c>
      <c r="AE659" s="40">
        <v>5</v>
      </c>
      <c r="AF659" s="40" t="s">
        <v>45</v>
      </c>
      <c r="AG659" s="40" t="s">
        <v>45</v>
      </c>
      <c r="AH659" s="40" t="s">
        <v>45</v>
      </c>
      <c r="AI659" s="40" t="s">
        <v>45</v>
      </c>
      <c r="AJ659" s="40" t="s">
        <v>45</v>
      </c>
      <c r="AK659" s="40" t="s">
        <v>45</v>
      </c>
      <c r="AL659" s="40" t="s">
        <v>45</v>
      </c>
      <c r="AM659" s="40" t="s">
        <v>45</v>
      </c>
      <c r="AN659" s="40" t="s">
        <v>45</v>
      </c>
      <c r="AO659" s="41" t="s">
        <v>45</v>
      </c>
      <c r="AP659" s="40" t="s">
        <v>65</v>
      </c>
      <c r="AQ659" s="40">
        <v>6</v>
      </c>
      <c r="AR659" s="48" t="s">
        <v>347</v>
      </c>
      <c r="AS659" s="43" t="s">
        <v>553</v>
      </c>
      <c r="AT659" s="43"/>
      <c r="AU659" s="44">
        <f t="shared" si="80"/>
        <v>-2.5060525215375429</v>
      </c>
      <c r="AV659" s="44">
        <f t="shared" si="81"/>
        <v>-0.79641094873467422</v>
      </c>
      <c r="AW659" s="45">
        <f t="shared" si="82"/>
        <v>3</v>
      </c>
      <c r="AX659" s="45">
        <f t="shared" si="83"/>
        <v>2</v>
      </c>
      <c r="AY659" s="46">
        <f>VLOOKUP(AP659,COND!$A$10:$B$32,2,FALSE)</f>
        <v>0.95</v>
      </c>
      <c r="AZ659" s="44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40.187240945075331</v>
      </c>
      <c r="BA659" s="47">
        <f>STANDARDIZE(AZ659,AVERAGE($AZ$5:$AZ$788),STDEVP($AZ$5:$AZ$788))</f>
        <v>0.24659419751900605</v>
      </c>
      <c r="BB659" s="45" t="str">
        <f t="shared" si="84"/>
        <v>SP</v>
      </c>
      <c r="BC659" s="45">
        <f>RANK(Table3[[#This Row],[zScore]],Table3[zScore])</f>
        <v>251</v>
      </c>
      <c r="BD659" s="45"/>
      <c r="BE659" s="45"/>
      <c r="BF659" s="45" t="str">
        <f t="shared" si="85"/>
        <v>Unlikely</v>
      </c>
      <c r="BG659" s="45"/>
      <c r="BH659" s="64" t="str">
        <f>INDEX(Table5[[#All],[Ovr]],MATCH(Table3[[#This Row],[PID]],Table5[[#All],[PID]],0))</f>
        <v/>
      </c>
      <c r="BI659" s="64" t="str">
        <f>INDEX(Table5[[#All],[Rnd]],MATCH(Table3[[#This Row],[PID]],Table5[[#All],[PID]],0))</f>
        <v/>
      </c>
      <c r="BJ659" s="64" t="str">
        <f>INDEX(Table5[[#All],[Pick]],MATCH(Table3[[#This Row],[PID]],Table5[[#All],[PID]],0))</f>
        <v/>
      </c>
      <c r="BK659" s="64" t="str">
        <f>INDEX(Table5[[#All],[Team]],MATCH(Table3[[#This Row],[PID]],Table5[[#All],[PID]],0))</f>
        <v/>
      </c>
      <c r="BL659" s="64" t="str">
        <f>IF(OR(Table3[[#This Row],[POS]]="SP",Table3[[#This Row],[POS]]="RP",Table3[[#This Row],[POS]]="CL"),"P",INDEX(Batters[[#All],[zScore]],MATCH(Table3[[#This Row],[PID]],Batters[[#All],[PID]],0)))</f>
        <v>P</v>
      </c>
    </row>
    <row r="660" spans="1:64" ht="15" customHeight="1" x14ac:dyDescent="0.25">
      <c r="A660" s="40">
        <v>20502</v>
      </c>
      <c r="B660" s="40" t="s">
        <v>24</v>
      </c>
      <c r="C660" s="40" t="s">
        <v>981</v>
      </c>
      <c r="D660" s="40" t="s">
        <v>1922</v>
      </c>
      <c r="E660" s="40">
        <v>17</v>
      </c>
      <c r="F660" s="40" t="s">
        <v>42</v>
      </c>
      <c r="G660" s="40" t="s">
        <v>42</v>
      </c>
      <c r="H660" s="41" t="s">
        <v>647</v>
      </c>
      <c r="I660" s="42" t="s">
        <v>43</v>
      </c>
      <c r="J660" s="40" t="s">
        <v>43</v>
      </c>
      <c r="K660" s="41" t="s">
        <v>43</v>
      </c>
      <c r="L660" s="40">
        <v>1</v>
      </c>
      <c r="M660" s="40">
        <v>3</v>
      </c>
      <c r="N660" s="41">
        <v>1</v>
      </c>
      <c r="O660" s="40">
        <v>4</v>
      </c>
      <c r="P660" s="40">
        <v>4</v>
      </c>
      <c r="Q660" s="41">
        <v>3</v>
      </c>
      <c r="R660" s="40">
        <v>3</v>
      </c>
      <c r="S660" s="40">
        <v>5</v>
      </c>
      <c r="T660" s="40">
        <v>1</v>
      </c>
      <c r="U660" s="40">
        <v>5</v>
      </c>
      <c r="V660" s="40" t="s">
        <v>45</v>
      </c>
      <c r="W660" s="40" t="s">
        <v>45</v>
      </c>
      <c r="X660" s="40" t="s">
        <v>45</v>
      </c>
      <c r="Y660" s="40" t="s">
        <v>45</v>
      </c>
      <c r="Z660" s="40">
        <v>3</v>
      </c>
      <c r="AA660" s="40">
        <v>5</v>
      </c>
      <c r="AB660" s="40" t="s">
        <v>45</v>
      </c>
      <c r="AC660" s="40" t="s">
        <v>45</v>
      </c>
      <c r="AD660" s="40" t="s">
        <v>45</v>
      </c>
      <c r="AE660" s="40" t="s">
        <v>45</v>
      </c>
      <c r="AF660" s="40" t="s">
        <v>45</v>
      </c>
      <c r="AG660" s="40" t="s">
        <v>45</v>
      </c>
      <c r="AH660" s="40" t="s">
        <v>45</v>
      </c>
      <c r="AI660" s="40" t="s">
        <v>45</v>
      </c>
      <c r="AJ660" s="40" t="s">
        <v>45</v>
      </c>
      <c r="AK660" s="40" t="s">
        <v>45</v>
      </c>
      <c r="AL660" s="40" t="s">
        <v>45</v>
      </c>
      <c r="AM660" s="40" t="s">
        <v>45</v>
      </c>
      <c r="AN660" s="40" t="s">
        <v>45</v>
      </c>
      <c r="AO660" s="41" t="s">
        <v>45</v>
      </c>
      <c r="AP660" s="40" t="s">
        <v>64</v>
      </c>
      <c r="AQ660" s="40">
        <v>4</v>
      </c>
      <c r="AR660" s="48" t="s">
        <v>346</v>
      </c>
      <c r="AS660" s="43" t="s">
        <v>644</v>
      </c>
      <c r="AT660" s="43" t="s">
        <v>47</v>
      </c>
      <c r="AU660" s="44">
        <f t="shared" si="80"/>
        <v>-2.310620805107487</v>
      </c>
      <c r="AV660" s="44">
        <f t="shared" si="81"/>
        <v>-0.6009792323046188</v>
      </c>
      <c r="AW660" s="45">
        <f t="shared" si="82"/>
        <v>3</v>
      </c>
      <c r="AX660" s="45">
        <f t="shared" si="83"/>
        <v>0</v>
      </c>
      <c r="AY660" s="46">
        <f>VLOOKUP(AP660,COND!$A$10:$B$32,2,FALSE)</f>
        <v>1</v>
      </c>
      <c r="AZ660" s="44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39.567376633241821</v>
      </c>
      <c r="BA660" s="47">
        <f>STANDARDIZE(AZ660,AVERAGE($AZ$5:$AZ$557),STDEVP($AZ$5:$AZ$557))</f>
        <v>0.24594582057865394</v>
      </c>
      <c r="BB660" s="45" t="str">
        <f t="shared" si="84"/>
        <v>RP</v>
      </c>
      <c r="BC660" s="45">
        <f>RANK(Table3[[#This Row],[zScore]],Table3[zScore])</f>
        <v>252</v>
      </c>
      <c r="BD660" s="45"/>
      <c r="BE660" s="45"/>
      <c r="BF660" s="45" t="str">
        <f t="shared" si="85"/>
        <v>Unlikely</v>
      </c>
      <c r="BG660" s="45"/>
      <c r="BH660" s="45">
        <f>INDEX(Table5[[#All],[Ovr]],MATCH(Table3[[#This Row],[PID]],Table5[[#All],[PID]],0))</f>
        <v>400</v>
      </c>
      <c r="BI660" s="45" t="str">
        <f>INDEX(Table5[[#All],[Rnd]],MATCH(Table3[[#This Row],[PID]],Table5[[#All],[PID]],0))</f>
        <v>14</v>
      </c>
      <c r="BJ660" s="45">
        <f>INDEX(Table5[[#All],[Pick]],MATCH(Table3[[#This Row],[PID]],Table5[[#All],[PID]],0))</f>
        <v>2</v>
      </c>
      <c r="BK660" s="45" t="str">
        <f>INDEX(Table5[[#All],[Team]],MATCH(Table3[[#This Row],[PID]],Table5[[#All],[PID]],0))</f>
        <v>Charleston Statesmen</v>
      </c>
      <c r="BL66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1" spans="1:64" ht="15" customHeight="1" x14ac:dyDescent="0.25">
      <c r="A661" s="40">
        <v>18094</v>
      </c>
      <c r="B661" s="40" t="s">
        <v>24</v>
      </c>
      <c r="C661" s="40" t="s">
        <v>712</v>
      </c>
      <c r="D661" s="40" t="s">
        <v>2078</v>
      </c>
      <c r="E661" s="40">
        <v>21</v>
      </c>
      <c r="F661" s="40" t="s">
        <v>42</v>
      </c>
      <c r="G661" s="40" t="s">
        <v>42</v>
      </c>
      <c r="H661" s="41" t="s">
        <v>647</v>
      </c>
      <c r="I661" s="42" t="s">
        <v>43</v>
      </c>
      <c r="J661" s="40" t="s">
        <v>43</v>
      </c>
      <c r="K661" s="41" t="s">
        <v>44</v>
      </c>
      <c r="L661" s="40">
        <v>2</v>
      </c>
      <c r="M661" s="40">
        <v>2</v>
      </c>
      <c r="N661" s="41">
        <v>3</v>
      </c>
      <c r="O661" s="40">
        <v>4</v>
      </c>
      <c r="P661" s="40">
        <v>2</v>
      </c>
      <c r="Q661" s="41">
        <v>5</v>
      </c>
      <c r="R661" s="40">
        <v>4</v>
      </c>
      <c r="S661" s="40">
        <v>4</v>
      </c>
      <c r="T661" s="40">
        <v>1</v>
      </c>
      <c r="U661" s="40">
        <v>2</v>
      </c>
      <c r="V661" s="40" t="s">
        <v>45</v>
      </c>
      <c r="W661" s="40" t="s">
        <v>45</v>
      </c>
      <c r="X661" s="40">
        <v>3</v>
      </c>
      <c r="Y661" s="40">
        <v>6</v>
      </c>
      <c r="Z661" s="40" t="s">
        <v>45</v>
      </c>
      <c r="AA661" s="40" t="s">
        <v>45</v>
      </c>
      <c r="AB661" s="40" t="s">
        <v>45</v>
      </c>
      <c r="AC661" s="40" t="s">
        <v>45</v>
      </c>
      <c r="AD661" s="40" t="s">
        <v>45</v>
      </c>
      <c r="AE661" s="40" t="s">
        <v>45</v>
      </c>
      <c r="AF661" s="40">
        <v>3</v>
      </c>
      <c r="AG661" s="40">
        <v>5</v>
      </c>
      <c r="AH661" s="40" t="s">
        <v>45</v>
      </c>
      <c r="AI661" s="40" t="s">
        <v>45</v>
      </c>
      <c r="AJ661" s="40" t="s">
        <v>45</v>
      </c>
      <c r="AK661" s="40" t="s">
        <v>45</v>
      </c>
      <c r="AL661" s="40" t="s">
        <v>45</v>
      </c>
      <c r="AM661" s="40" t="s">
        <v>45</v>
      </c>
      <c r="AN661" s="40" t="s">
        <v>45</v>
      </c>
      <c r="AO661" s="41" t="s">
        <v>45</v>
      </c>
      <c r="AP661" s="40" t="s">
        <v>56</v>
      </c>
      <c r="AQ661" s="40">
        <v>7</v>
      </c>
      <c r="AR661" s="48" t="s">
        <v>347</v>
      </c>
      <c r="AS661" s="43" t="s">
        <v>45</v>
      </c>
      <c r="AT661" s="43" t="s">
        <v>635</v>
      </c>
      <c r="AU661" s="44">
        <f t="shared" si="80"/>
        <v>-1.8267200649201485</v>
      </c>
      <c r="AV661" s="44">
        <f t="shared" si="81"/>
        <v>-0.50720153305650884</v>
      </c>
      <c r="AW661" s="45">
        <f t="shared" si="82"/>
        <v>4</v>
      </c>
      <c r="AX661" s="45">
        <f t="shared" si="83"/>
        <v>1</v>
      </c>
      <c r="AY661" s="46">
        <f>VLOOKUP(AP661,COND!$A$10:$B$32,2,FALSE)</f>
        <v>1</v>
      </c>
      <c r="AZ661" s="44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39.44062532588579</v>
      </c>
      <c r="BA661" s="47">
        <f>STANDARDIZE(AZ661,AVERAGE($AZ$5:$AZ$557),STDEVP($AZ$5:$AZ$557))</f>
        <v>0.23751324979005073</v>
      </c>
      <c r="BB661" s="45" t="str">
        <f t="shared" si="84"/>
        <v>SP</v>
      </c>
      <c r="BC661" s="45">
        <f>RANK(Table3[[#This Row],[zScore]],Table3[zScore])</f>
        <v>253</v>
      </c>
      <c r="BD661" s="45"/>
      <c r="BE661" s="45"/>
      <c r="BF661" s="45" t="str">
        <f t="shared" si="85"/>
        <v>Unlikely</v>
      </c>
      <c r="BG661" s="45"/>
      <c r="BH661" s="45" t="str">
        <f>INDEX(Table5[[#All],[Ovr]],MATCH(Table3[[#This Row],[PID]],Table5[[#All],[PID]],0))</f>
        <v/>
      </c>
      <c r="BI661" s="45" t="str">
        <f>INDEX(Table5[[#All],[Rnd]],MATCH(Table3[[#This Row],[PID]],Table5[[#All],[PID]],0))</f>
        <v/>
      </c>
      <c r="BJ661" s="45" t="str">
        <f>INDEX(Table5[[#All],[Pick]],MATCH(Table3[[#This Row],[PID]],Table5[[#All],[PID]],0))</f>
        <v/>
      </c>
      <c r="BK661" s="45" t="str">
        <f>INDEX(Table5[[#All],[Team]],MATCH(Table3[[#This Row],[PID]],Table5[[#All],[PID]],0))</f>
        <v/>
      </c>
      <c r="BL6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2" spans="1:64" ht="15" customHeight="1" x14ac:dyDescent="0.25">
      <c r="A662" s="40">
        <v>18147</v>
      </c>
      <c r="B662" s="40" t="s">
        <v>24</v>
      </c>
      <c r="C662" s="40" t="s">
        <v>862</v>
      </c>
      <c r="D662" s="40" t="s">
        <v>194</v>
      </c>
      <c r="E662" s="40">
        <v>21</v>
      </c>
      <c r="F662" s="40" t="s">
        <v>62</v>
      </c>
      <c r="G662" s="40" t="s">
        <v>42</v>
      </c>
      <c r="H662" s="41" t="s">
        <v>638</v>
      </c>
      <c r="I662" s="42" t="s">
        <v>43</v>
      </c>
      <c r="J662" s="40" t="s">
        <v>43</v>
      </c>
      <c r="K662" s="41" t="s">
        <v>43</v>
      </c>
      <c r="L662" s="40">
        <v>3</v>
      </c>
      <c r="M662" s="40">
        <v>1</v>
      </c>
      <c r="N662" s="41">
        <v>2</v>
      </c>
      <c r="O662" s="40">
        <v>5</v>
      </c>
      <c r="P662" s="40">
        <v>1</v>
      </c>
      <c r="Q662" s="41">
        <v>5</v>
      </c>
      <c r="R662" s="40">
        <v>5</v>
      </c>
      <c r="S662" s="40">
        <v>7</v>
      </c>
      <c r="T662" s="40">
        <v>1</v>
      </c>
      <c r="U662" s="40">
        <v>5</v>
      </c>
      <c r="V662" s="40" t="s">
        <v>45</v>
      </c>
      <c r="W662" s="40" t="s">
        <v>45</v>
      </c>
      <c r="X662" s="40">
        <v>3</v>
      </c>
      <c r="Y662" s="40">
        <v>3</v>
      </c>
      <c r="Z662" s="40" t="s">
        <v>45</v>
      </c>
      <c r="AA662" s="40" t="s">
        <v>45</v>
      </c>
      <c r="AB662" s="40" t="s">
        <v>45</v>
      </c>
      <c r="AC662" s="40" t="s">
        <v>45</v>
      </c>
      <c r="AD662" s="40" t="s">
        <v>45</v>
      </c>
      <c r="AE662" s="40" t="s">
        <v>45</v>
      </c>
      <c r="AF662" s="40">
        <v>4</v>
      </c>
      <c r="AG662" s="40">
        <v>5</v>
      </c>
      <c r="AH662" s="40" t="s">
        <v>45</v>
      </c>
      <c r="AI662" s="40" t="s">
        <v>45</v>
      </c>
      <c r="AJ662" s="40" t="s">
        <v>45</v>
      </c>
      <c r="AK662" s="40" t="s">
        <v>45</v>
      </c>
      <c r="AL662" s="40" t="s">
        <v>45</v>
      </c>
      <c r="AM662" s="40" t="s">
        <v>45</v>
      </c>
      <c r="AN662" s="40" t="s">
        <v>45</v>
      </c>
      <c r="AO662" s="41" t="s">
        <v>45</v>
      </c>
      <c r="AP662" s="40" t="s">
        <v>48</v>
      </c>
      <c r="AQ662" s="40">
        <v>10</v>
      </c>
      <c r="AR662" s="48" t="s">
        <v>14</v>
      </c>
      <c r="AS662" s="43" t="s">
        <v>1865</v>
      </c>
      <c r="AT662" s="43" t="s">
        <v>635</v>
      </c>
      <c r="AU662" s="44">
        <f t="shared" si="80"/>
        <v>-2.0697810228951408</v>
      </c>
      <c r="AV662" s="44">
        <f t="shared" si="81"/>
        <v>-0.50794192497739088</v>
      </c>
      <c r="AW662" s="45">
        <f t="shared" si="82"/>
        <v>4</v>
      </c>
      <c r="AX662" s="45">
        <f t="shared" si="83"/>
        <v>1</v>
      </c>
      <c r="AY662" s="46">
        <f>VLOOKUP(AP662,COND!$A$10:$B$32,2,FALSE)</f>
        <v>1.05</v>
      </c>
      <c r="AZ662" s="44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39.311065560666812</v>
      </c>
      <c r="BA662" s="47">
        <f>STANDARDIZE(AZ662,AVERAGE($AZ$5:$AZ$557),STDEVP($AZ$5:$AZ$557))</f>
        <v>0.2288938365914549</v>
      </c>
      <c r="BB662" s="45" t="str">
        <f t="shared" si="84"/>
        <v>SP</v>
      </c>
      <c r="BC662" s="45">
        <f>RANK(Table3[[#This Row],[zScore]],Table3[zScore])</f>
        <v>255</v>
      </c>
      <c r="BD662" s="45"/>
      <c r="BE662" s="45"/>
      <c r="BF662" s="45" t="str">
        <f t="shared" si="85"/>
        <v>Unlikely</v>
      </c>
      <c r="BG662" s="45"/>
      <c r="BH662" s="45">
        <f>INDEX(Table5[[#All],[Ovr]],MATCH(Table3[[#This Row],[PID]],Table5[[#All],[PID]],0))</f>
        <v>348</v>
      </c>
      <c r="BI662" s="45" t="str">
        <f>INDEX(Table5[[#All],[Rnd]],MATCH(Table3[[#This Row],[PID]],Table5[[#All],[PID]],0))</f>
        <v>12</v>
      </c>
      <c r="BJ662" s="45">
        <f>INDEX(Table5[[#All],[Pick]],MATCH(Table3[[#This Row],[PID]],Table5[[#All],[PID]],0))</f>
        <v>10</v>
      </c>
      <c r="BK662" s="45" t="str">
        <f>INDEX(Table5[[#All],[Team]],MATCH(Table3[[#This Row],[PID]],Table5[[#All],[PID]],0))</f>
        <v>Hartford Harpoon</v>
      </c>
      <c r="BL6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3" spans="1:64" ht="15" customHeight="1" x14ac:dyDescent="0.25">
      <c r="A663" s="40">
        <v>20503</v>
      </c>
      <c r="B663" s="40" t="s">
        <v>24</v>
      </c>
      <c r="C663" s="40" t="s">
        <v>1924</v>
      </c>
      <c r="D663" s="40" t="s">
        <v>1925</v>
      </c>
      <c r="E663" s="40">
        <v>16</v>
      </c>
      <c r="F663" s="40" t="s">
        <v>62</v>
      </c>
      <c r="G663" s="40" t="s">
        <v>42</v>
      </c>
      <c r="H663" s="41" t="s">
        <v>647</v>
      </c>
      <c r="I663" s="42" t="s">
        <v>44</v>
      </c>
      <c r="J663" s="40" t="s">
        <v>43</v>
      </c>
      <c r="K663" s="41" t="s">
        <v>44</v>
      </c>
      <c r="L663" s="40">
        <v>2</v>
      </c>
      <c r="M663" s="40">
        <v>1</v>
      </c>
      <c r="N663" s="41">
        <v>1</v>
      </c>
      <c r="O663" s="40">
        <v>4</v>
      </c>
      <c r="P663" s="40">
        <v>2</v>
      </c>
      <c r="Q663" s="41">
        <v>4</v>
      </c>
      <c r="R663" s="40">
        <v>3</v>
      </c>
      <c r="S663" s="40">
        <v>5</v>
      </c>
      <c r="T663" s="40" t="s">
        <v>45</v>
      </c>
      <c r="U663" s="40" t="s">
        <v>45</v>
      </c>
      <c r="V663" s="40">
        <v>2</v>
      </c>
      <c r="W663" s="40">
        <v>5</v>
      </c>
      <c r="X663" s="40">
        <v>3</v>
      </c>
      <c r="Y663" s="40">
        <v>6</v>
      </c>
      <c r="Z663" s="40" t="s">
        <v>45</v>
      </c>
      <c r="AA663" s="40" t="s">
        <v>45</v>
      </c>
      <c r="AB663" s="40" t="s">
        <v>45</v>
      </c>
      <c r="AC663" s="40" t="s">
        <v>45</v>
      </c>
      <c r="AD663" s="40">
        <v>2</v>
      </c>
      <c r="AE663" s="40">
        <v>4</v>
      </c>
      <c r="AF663" s="40" t="s">
        <v>45</v>
      </c>
      <c r="AG663" s="40" t="s">
        <v>45</v>
      </c>
      <c r="AH663" s="40" t="s">
        <v>45</v>
      </c>
      <c r="AI663" s="40" t="s">
        <v>45</v>
      </c>
      <c r="AJ663" s="40" t="s">
        <v>45</v>
      </c>
      <c r="AK663" s="40" t="s">
        <v>45</v>
      </c>
      <c r="AL663" s="40" t="s">
        <v>45</v>
      </c>
      <c r="AM663" s="40" t="s">
        <v>45</v>
      </c>
      <c r="AN663" s="40" t="s">
        <v>45</v>
      </c>
      <c r="AO663" s="41" t="s">
        <v>45</v>
      </c>
      <c r="AP663" s="40" t="s">
        <v>64</v>
      </c>
      <c r="AQ663" s="40">
        <v>10</v>
      </c>
      <c r="AR663" s="48" t="s">
        <v>351</v>
      </c>
      <c r="AS663" s="43" t="s">
        <v>657</v>
      </c>
      <c r="AT663" s="43" t="s">
        <v>47</v>
      </c>
      <c r="AU663" s="44">
        <f t="shared" si="80"/>
        <v>-2.5067929134584248</v>
      </c>
      <c r="AV663" s="44">
        <f t="shared" si="81"/>
        <v>-0.74952209911061918</v>
      </c>
      <c r="AW663" s="45">
        <f t="shared" si="82"/>
        <v>4</v>
      </c>
      <c r="AX663" s="45">
        <f t="shared" si="83"/>
        <v>1</v>
      </c>
      <c r="AY663" s="46">
        <f>VLOOKUP(AP663,COND!$A$10:$B$32,2,FALSE)</f>
        <v>1</v>
      </c>
      <c r="AZ663" s="44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39.308199435095929</v>
      </c>
      <c r="BA663" s="47">
        <f>STANDARDIZE(AZ663,AVERAGE($AZ$5:$AZ$557),STDEVP($AZ$5:$AZ$557))</f>
        <v>0.22870315763697591</v>
      </c>
      <c r="BB663" s="45" t="str">
        <f t="shared" si="84"/>
        <v>SP</v>
      </c>
      <c r="BC663" s="45">
        <f>RANK(Table3[[#This Row],[zScore]],Table3[zScore])</f>
        <v>256</v>
      </c>
      <c r="BD663" s="45"/>
      <c r="BE663" s="45"/>
      <c r="BF663" s="45" t="str">
        <f t="shared" si="85"/>
        <v>Unlikely</v>
      </c>
      <c r="BG663" s="45"/>
      <c r="BH663" s="45">
        <f>INDEX(Table5[[#All],[Ovr]],MATCH(Table3[[#This Row],[PID]],Table5[[#All],[PID]],0))</f>
        <v>564</v>
      </c>
      <c r="BI663" s="45" t="str">
        <f>INDEX(Table5[[#All],[Rnd]],MATCH(Table3[[#This Row],[PID]],Table5[[#All],[PID]],0))</f>
        <v>19</v>
      </c>
      <c r="BJ663" s="45">
        <f>INDEX(Table5[[#All],[Pick]],MATCH(Table3[[#This Row],[PID]],Table5[[#All],[PID]],0))</f>
        <v>16</v>
      </c>
      <c r="BK663" s="45" t="str">
        <f>INDEX(Table5[[#All],[Team]],MATCH(Table3[[#This Row],[PID]],Table5[[#All],[PID]],0))</f>
        <v>San Antonio Calzones of Laredo</v>
      </c>
      <c r="BL6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4" spans="1:64" ht="30" x14ac:dyDescent="0.25">
      <c r="A664" s="40">
        <v>20427</v>
      </c>
      <c r="B664" s="40" t="s">
        <v>24</v>
      </c>
      <c r="C664" s="40" t="s">
        <v>1763</v>
      </c>
      <c r="D664" s="40" t="s">
        <v>842</v>
      </c>
      <c r="E664" s="40">
        <v>17</v>
      </c>
      <c r="F664" s="40" t="s">
        <v>42</v>
      </c>
      <c r="G664" s="40" t="s">
        <v>42</v>
      </c>
      <c r="H664" s="41" t="s">
        <v>647</v>
      </c>
      <c r="I664" s="42" t="s">
        <v>43</v>
      </c>
      <c r="J664" s="40" t="s">
        <v>44</v>
      </c>
      <c r="K664" s="41" t="s">
        <v>43</v>
      </c>
      <c r="L664" s="40">
        <v>2</v>
      </c>
      <c r="M664" s="40">
        <v>2</v>
      </c>
      <c r="N664" s="41">
        <v>1</v>
      </c>
      <c r="O664" s="40">
        <v>5</v>
      </c>
      <c r="P664" s="40">
        <v>2</v>
      </c>
      <c r="Q664" s="41">
        <v>3</v>
      </c>
      <c r="R664" s="40">
        <v>4</v>
      </c>
      <c r="S664" s="40">
        <v>5</v>
      </c>
      <c r="T664" s="40">
        <v>2</v>
      </c>
      <c r="U664" s="40">
        <v>7</v>
      </c>
      <c r="V664" s="40" t="s">
        <v>45</v>
      </c>
      <c r="W664" s="40" t="s">
        <v>45</v>
      </c>
      <c r="X664" s="40">
        <v>3</v>
      </c>
      <c r="Y664" s="40">
        <v>7</v>
      </c>
      <c r="Z664" s="40" t="s">
        <v>45</v>
      </c>
      <c r="AA664" s="40" t="s">
        <v>45</v>
      </c>
      <c r="AB664" s="40" t="s">
        <v>45</v>
      </c>
      <c r="AC664" s="40" t="s">
        <v>45</v>
      </c>
      <c r="AD664" s="40" t="s">
        <v>45</v>
      </c>
      <c r="AE664" s="40" t="s">
        <v>45</v>
      </c>
      <c r="AF664" s="40" t="s">
        <v>45</v>
      </c>
      <c r="AG664" s="40" t="s">
        <v>45</v>
      </c>
      <c r="AH664" s="40" t="s">
        <v>45</v>
      </c>
      <c r="AI664" s="40" t="s">
        <v>45</v>
      </c>
      <c r="AJ664" s="40" t="s">
        <v>45</v>
      </c>
      <c r="AK664" s="40" t="s">
        <v>45</v>
      </c>
      <c r="AL664" s="40">
        <v>2</v>
      </c>
      <c r="AM664" s="40">
        <v>3</v>
      </c>
      <c r="AN664" s="40" t="s">
        <v>45</v>
      </c>
      <c r="AO664" s="41" t="s">
        <v>45</v>
      </c>
      <c r="AP664" s="40" t="s">
        <v>57</v>
      </c>
      <c r="AQ664" s="40">
        <v>10</v>
      </c>
      <c r="AR664" s="48" t="s">
        <v>347</v>
      </c>
      <c r="AS664" s="43" t="s">
        <v>663</v>
      </c>
      <c r="AT664" s="43"/>
      <c r="AU664" s="44">
        <f t="shared" si="80"/>
        <v>-2.311361197028369</v>
      </c>
      <c r="AV664" s="44">
        <f t="shared" si="81"/>
        <v>-0.79715134065555615</v>
      </c>
      <c r="AW664" s="45">
        <f t="shared" si="82"/>
        <v>4</v>
      </c>
      <c r="AX664" s="45">
        <f t="shared" si="83"/>
        <v>2</v>
      </c>
      <c r="AY664" s="46">
        <f>VLOOKUP(AP664,COND!$A$10:$B$32,2,FALSE)</f>
        <v>1</v>
      </c>
      <c r="AZ664" s="44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39.794700947483207</v>
      </c>
      <c r="BA664" s="47">
        <f>STANDARDIZE(AZ664,AVERAGE($AZ$5:$AZ$788),STDEVP($AZ$5:$AZ$788))</f>
        <v>0.21818903551080598</v>
      </c>
      <c r="BB664" s="45" t="str">
        <f t="shared" si="84"/>
        <v>SP</v>
      </c>
      <c r="BC664" s="45">
        <f>RANK(Table3[[#This Row],[zScore]],Table3[zScore])</f>
        <v>260</v>
      </c>
      <c r="BD664" s="45"/>
      <c r="BE664" s="45"/>
      <c r="BF664" s="45" t="str">
        <f t="shared" si="85"/>
        <v>Unlikely</v>
      </c>
      <c r="BG664" s="45"/>
      <c r="BH664" s="64">
        <f>INDEX(Table5[[#All],[Ovr]],MATCH(Table3[[#This Row],[PID]],Table5[[#All],[PID]],0))</f>
        <v>444</v>
      </c>
      <c r="BI664" s="64" t="str">
        <f>INDEX(Table5[[#All],[Rnd]],MATCH(Table3[[#This Row],[PID]],Table5[[#All],[PID]],0))</f>
        <v>15</v>
      </c>
      <c r="BJ664" s="64">
        <f>INDEX(Table5[[#All],[Pick]],MATCH(Table3[[#This Row],[PID]],Table5[[#All],[PID]],0))</f>
        <v>16</v>
      </c>
      <c r="BK664" s="64" t="str">
        <f>INDEX(Table5[[#All],[Team]],MATCH(Table3[[#This Row],[PID]],Table5[[#All],[PID]],0))</f>
        <v>San Antonio Calzones of Laredo</v>
      </c>
      <c r="BL664" s="64" t="str">
        <f>IF(OR(Table3[[#This Row],[POS]]="SP",Table3[[#This Row],[POS]]="RP",Table3[[#This Row],[POS]]="CL"),"P",INDEX(Batters[[#All],[zScore]],MATCH(Table3[[#This Row],[PID]],Batters[[#All],[PID]],0)))</f>
        <v>P</v>
      </c>
    </row>
    <row r="665" spans="1:64" ht="30" x14ac:dyDescent="0.25">
      <c r="A665" s="40">
        <v>20407</v>
      </c>
      <c r="B665" s="40" t="s">
        <v>24</v>
      </c>
      <c r="C665" s="40" t="s">
        <v>1904</v>
      </c>
      <c r="D665" s="40" t="s">
        <v>523</v>
      </c>
      <c r="E665" s="40">
        <v>17</v>
      </c>
      <c r="F665" s="40" t="s">
        <v>53</v>
      </c>
      <c r="G665" s="40" t="s">
        <v>53</v>
      </c>
      <c r="H665" s="41" t="s">
        <v>647</v>
      </c>
      <c r="I665" s="42" t="s">
        <v>44</v>
      </c>
      <c r="J665" s="40" t="s">
        <v>44</v>
      </c>
      <c r="K665" s="41" t="s">
        <v>43</v>
      </c>
      <c r="L665" s="40">
        <v>2</v>
      </c>
      <c r="M665" s="40">
        <v>1</v>
      </c>
      <c r="N665" s="41">
        <v>1</v>
      </c>
      <c r="O665" s="40">
        <v>5</v>
      </c>
      <c r="P665" s="40">
        <v>2</v>
      </c>
      <c r="Q665" s="41">
        <v>3</v>
      </c>
      <c r="R665" s="40">
        <v>5</v>
      </c>
      <c r="S665" s="40">
        <v>7</v>
      </c>
      <c r="T665" s="40">
        <v>1</v>
      </c>
      <c r="U665" s="40">
        <v>1</v>
      </c>
      <c r="V665" s="40" t="s">
        <v>45</v>
      </c>
      <c r="W665" s="40" t="s">
        <v>45</v>
      </c>
      <c r="X665" s="40">
        <v>4</v>
      </c>
      <c r="Y665" s="40">
        <v>7</v>
      </c>
      <c r="Z665" s="40" t="s">
        <v>45</v>
      </c>
      <c r="AA665" s="40" t="s">
        <v>45</v>
      </c>
      <c r="AB665" s="40" t="s">
        <v>45</v>
      </c>
      <c r="AC665" s="40" t="s">
        <v>45</v>
      </c>
      <c r="AD665" s="40" t="s">
        <v>45</v>
      </c>
      <c r="AE665" s="40" t="s">
        <v>45</v>
      </c>
      <c r="AF665" s="40" t="s">
        <v>45</v>
      </c>
      <c r="AG665" s="40" t="s">
        <v>45</v>
      </c>
      <c r="AH665" s="40" t="s">
        <v>45</v>
      </c>
      <c r="AI665" s="40" t="s">
        <v>45</v>
      </c>
      <c r="AJ665" s="40" t="s">
        <v>45</v>
      </c>
      <c r="AK665" s="40" t="s">
        <v>45</v>
      </c>
      <c r="AL665" s="40" t="s">
        <v>45</v>
      </c>
      <c r="AM665" s="40" t="s">
        <v>45</v>
      </c>
      <c r="AN665" s="40" t="s">
        <v>45</v>
      </c>
      <c r="AO665" s="41" t="s">
        <v>45</v>
      </c>
      <c r="AP665" s="40" t="s">
        <v>57</v>
      </c>
      <c r="AQ665" s="40">
        <v>8</v>
      </c>
      <c r="AR665" s="48" t="s">
        <v>14</v>
      </c>
      <c r="AS665" s="43" t="s">
        <v>644</v>
      </c>
      <c r="AT665" s="43" t="s">
        <v>47</v>
      </c>
      <c r="AU665" s="44">
        <f t="shared" si="80"/>
        <v>-2.5067929134584248</v>
      </c>
      <c r="AV665" s="44">
        <f t="shared" si="81"/>
        <v>-0.79715134065555615</v>
      </c>
      <c r="AW665" s="45">
        <f t="shared" si="82"/>
        <v>3</v>
      </c>
      <c r="AX665" s="45">
        <f t="shared" si="83"/>
        <v>2</v>
      </c>
      <c r="AY665" s="46">
        <f>VLOOKUP(AP665,COND!$A$10:$B$32,2,FALSE)</f>
        <v>1</v>
      </c>
      <c r="AZ665" s="44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39.105614604197193</v>
      </c>
      <c r="BA665" s="47">
        <f>STANDARDIZE(AZ665,AVERAGE($AZ$5:$AZ$557),STDEVP($AZ$5:$AZ$557))</f>
        <v>0.21522549840895436</v>
      </c>
      <c r="BB665" s="45" t="str">
        <f t="shared" si="84"/>
        <v>SP</v>
      </c>
      <c r="BC665" s="45">
        <f>RANK(Table3[[#This Row],[zScore]],Table3[zScore])</f>
        <v>261</v>
      </c>
      <c r="BD665" s="45"/>
      <c r="BE665" s="45"/>
      <c r="BF665" s="45" t="str">
        <f t="shared" si="85"/>
        <v>Unlikely</v>
      </c>
      <c r="BG665" s="45"/>
      <c r="BH665" s="45" t="str">
        <f>INDEX(Table5[[#All],[Ovr]],MATCH(Table3[[#This Row],[PID]],Table5[[#All],[PID]],0))</f>
        <v/>
      </c>
      <c r="BI665" s="45" t="str">
        <f>INDEX(Table5[[#All],[Rnd]],MATCH(Table3[[#This Row],[PID]],Table5[[#All],[PID]],0))</f>
        <v/>
      </c>
      <c r="BJ665" s="45" t="str">
        <f>INDEX(Table5[[#All],[Pick]],MATCH(Table3[[#This Row],[PID]],Table5[[#All],[PID]],0))</f>
        <v/>
      </c>
      <c r="BK665" s="45" t="str">
        <f>INDEX(Table5[[#All],[Team]],MATCH(Table3[[#This Row],[PID]],Table5[[#All],[PID]],0))</f>
        <v/>
      </c>
      <c r="BL66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6" spans="1:64" ht="30" x14ac:dyDescent="0.25">
      <c r="A666" s="40">
        <v>17854</v>
      </c>
      <c r="B666" s="40" t="s">
        <v>24</v>
      </c>
      <c r="C666" s="40" t="s">
        <v>974</v>
      </c>
      <c r="D666" s="40" t="s">
        <v>971</v>
      </c>
      <c r="E666" s="40">
        <v>18</v>
      </c>
      <c r="F666" s="40" t="s">
        <v>42</v>
      </c>
      <c r="G666" s="40" t="s">
        <v>42</v>
      </c>
      <c r="H666" s="41" t="s">
        <v>647</v>
      </c>
      <c r="I666" s="42" t="s">
        <v>43</v>
      </c>
      <c r="J666" s="40" t="s">
        <v>43</v>
      </c>
      <c r="K666" s="41" t="s">
        <v>43</v>
      </c>
      <c r="L666" s="40">
        <v>2</v>
      </c>
      <c r="M666" s="40">
        <v>2</v>
      </c>
      <c r="N666" s="41">
        <v>1</v>
      </c>
      <c r="O666" s="40">
        <v>5</v>
      </c>
      <c r="P666" s="40">
        <v>2</v>
      </c>
      <c r="Q666" s="41">
        <v>3</v>
      </c>
      <c r="R666" s="40">
        <v>3</v>
      </c>
      <c r="S666" s="40">
        <v>6</v>
      </c>
      <c r="T666" s="40">
        <v>1</v>
      </c>
      <c r="U666" s="40">
        <v>8</v>
      </c>
      <c r="V666" s="40" t="s">
        <v>45</v>
      </c>
      <c r="W666" s="40" t="s">
        <v>45</v>
      </c>
      <c r="X666" s="40" t="s">
        <v>45</v>
      </c>
      <c r="Y666" s="40" t="s">
        <v>45</v>
      </c>
      <c r="Z666" s="40">
        <v>3</v>
      </c>
      <c r="AA666" s="40">
        <v>5</v>
      </c>
      <c r="AB666" s="40" t="s">
        <v>45</v>
      </c>
      <c r="AC666" s="40" t="s">
        <v>45</v>
      </c>
      <c r="AD666" s="40" t="s">
        <v>45</v>
      </c>
      <c r="AE666" s="40" t="s">
        <v>45</v>
      </c>
      <c r="AF666" s="40" t="s">
        <v>45</v>
      </c>
      <c r="AG666" s="40" t="s">
        <v>45</v>
      </c>
      <c r="AH666" s="40" t="s">
        <v>45</v>
      </c>
      <c r="AI666" s="40" t="s">
        <v>45</v>
      </c>
      <c r="AJ666" s="40" t="s">
        <v>45</v>
      </c>
      <c r="AK666" s="40" t="s">
        <v>45</v>
      </c>
      <c r="AL666" s="40" t="s">
        <v>45</v>
      </c>
      <c r="AM666" s="40" t="s">
        <v>45</v>
      </c>
      <c r="AN666" s="40" t="s">
        <v>45</v>
      </c>
      <c r="AO666" s="41" t="s">
        <v>45</v>
      </c>
      <c r="AP666" s="40" t="s">
        <v>350</v>
      </c>
      <c r="AQ666" s="40">
        <v>7</v>
      </c>
      <c r="AR666" s="48" t="s">
        <v>347</v>
      </c>
      <c r="AS666" s="43" t="s">
        <v>644</v>
      </c>
      <c r="AT666" s="43"/>
      <c r="AU666" s="44">
        <f t="shared" si="80"/>
        <v>-2.311361197028369</v>
      </c>
      <c r="AV666" s="44">
        <f t="shared" si="81"/>
        <v>-0.79715134065555615</v>
      </c>
      <c r="AW666" s="45">
        <f t="shared" si="82"/>
        <v>3</v>
      </c>
      <c r="AX666" s="45">
        <f t="shared" si="83"/>
        <v>2</v>
      </c>
      <c r="AY666" s="46">
        <f>VLOOKUP(AP666,COND!$A$10:$B$32,2,FALSE)</f>
        <v>1</v>
      </c>
      <c r="AZ666" s="44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39.594700947483204</v>
      </c>
      <c r="BA666" s="47">
        <f>STANDARDIZE(AZ666,AVERAGE($AZ$5:$AZ$788),STDEVP($AZ$5:$AZ$788))</f>
        <v>0.2037165424235077</v>
      </c>
      <c r="BB666" s="45" t="str">
        <f t="shared" si="84"/>
        <v>SP</v>
      </c>
      <c r="BC666" s="45">
        <f>RANK(Table3[[#This Row],[zScore]],Table3[zScore])</f>
        <v>264</v>
      </c>
      <c r="BD666" s="45"/>
      <c r="BE666" s="45"/>
      <c r="BF666" s="45" t="str">
        <f t="shared" si="85"/>
        <v>Unlikely</v>
      </c>
      <c r="BG666" s="45"/>
      <c r="BH666" s="64" t="str">
        <f>INDEX(Table5[[#All],[Ovr]],MATCH(Table3[[#This Row],[PID]],Table5[[#All],[PID]],0))</f>
        <v/>
      </c>
      <c r="BI666" s="64" t="str">
        <f>INDEX(Table5[[#All],[Rnd]],MATCH(Table3[[#This Row],[PID]],Table5[[#All],[PID]],0))</f>
        <v/>
      </c>
      <c r="BJ666" s="64" t="str">
        <f>INDEX(Table5[[#All],[Pick]],MATCH(Table3[[#This Row],[PID]],Table5[[#All],[PID]],0))</f>
        <v/>
      </c>
      <c r="BK666" s="64" t="str">
        <f>INDEX(Table5[[#All],[Team]],MATCH(Table3[[#This Row],[PID]],Table5[[#All],[PID]],0))</f>
        <v/>
      </c>
      <c r="BL666" s="64" t="str">
        <f>IF(OR(Table3[[#This Row],[POS]]="SP",Table3[[#This Row],[POS]]="RP",Table3[[#This Row],[POS]]="CL"),"P",INDEX(Batters[[#All],[zScore]],MATCH(Table3[[#This Row],[PID]],Batters[[#All],[PID]],0)))</f>
        <v>P</v>
      </c>
    </row>
    <row r="667" spans="1:64" ht="30" x14ac:dyDescent="0.25">
      <c r="A667" s="40">
        <v>21077</v>
      </c>
      <c r="B667" s="40" t="s">
        <v>24</v>
      </c>
      <c r="C667" s="40" t="s">
        <v>963</v>
      </c>
      <c r="D667" s="40" t="s">
        <v>1105</v>
      </c>
      <c r="E667" s="40">
        <v>17</v>
      </c>
      <c r="F667" s="40" t="s">
        <v>53</v>
      </c>
      <c r="G667" s="40" t="s">
        <v>42</v>
      </c>
      <c r="H667" s="41" t="s">
        <v>647</v>
      </c>
      <c r="I667" s="42" t="s">
        <v>43</v>
      </c>
      <c r="J667" s="40" t="s">
        <v>44</v>
      </c>
      <c r="K667" s="41" t="s">
        <v>43</v>
      </c>
      <c r="L667" s="40">
        <v>2</v>
      </c>
      <c r="M667" s="40">
        <v>2</v>
      </c>
      <c r="N667" s="41">
        <v>2</v>
      </c>
      <c r="O667" s="40">
        <v>4</v>
      </c>
      <c r="P667" s="40">
        <v>2</v>
      </c>
      <c r="Q667" s="41">
        <v>4</v>
      </c>
      <c r="R667" s="40">
        <v>4</v>
      </c>
      <c r="S667" s="40">
        <v>6</v>
      </c>
      <c r="T667" s="40" t="s">
        <v>45</v>
      </c>
      <c r="U667" s="40" t="s">
        <v>45</v>
      </c>
      <c r="V667" s="40">
        <v>2</v>
      </c>
      <c r="W667" s="40">
        <v>3</v>
      </c>
      <c r="X667" s="40">
        <v>2</v>
      </c>
      <c r="Y667" s="40">
        <v>4</v>
      </c>
      <c r="Z667" s="40" t="s">
        <v>45</v>
      </c>
      <c r="AA667" s="40" t="s">
        <v>45</v>
      </c>
      <c r="AB667" s="40" t="s">
        <v>45</v>
      </c>
      <c r="AC667" s="40" t="s">
        <v>45</v>
      </c>
      <c r="AD667" s="40" t="s">
        <v>45</v>
      </c>
      <c r="AE667" s="40" t="s">
        <v>45</v>
      </c>
      <c r="AF667" s="40">
        <v>3</v>
      </c>
      <c r="AG667" s="40">
        <v>5</v>
      </c>
      <c r="AH667" s="40" t="s">
        <v>45</v>
      </c>
      <c r="AI667" s="40" t="s">
        <v>45</v>
      </c>
      <c r="AJ667" s="40" t="s">
        <v>45</v>
      </c>
      <c r="AK667" s="40" t="s">
        <v>45</v>
      </c>
      <c r="AL667" s="40" t="s">
        <v>45</v>
      </c>
      <c r="AM667" s="40" t="s">
        <v>45</v>
      </c>
      <c r="AN667" s="40" t="s">
        <v>45</v>
      </c>
      <c r="AO667" s="41" t="s">
        <v>45</v>
      </c>
      <c r="AP667" s="40" t="s">
        <v>57</v>
      </c>
      <c r="AQ667" s="40">
        <v>10</v>
      </c>
      <c r="AR667" s="48" t="s">
        <v>347</v>
      </c>
      <c r="AS667" s="43" t="s">
        <v>654</v>
      </c>
      <c r="AT667" s="43"/>
      <c r="AU667" s="44">
        <f t="shared" si="80"/>
        <v>-2.0690406309742588</v>
      </c>
      <c r="AV667" s="44">
        <f t="shared" si="81"/>
        <v>-0.74952209911061918</v>
      </c>
      <c r="AW667" s="45">
        <f t="shared" si="82"/>
        <v>4</v>
      </c>
      <c r="AX667" s="45">
        <f t="shared" si="83"/>
        <v>1</v>
      </c>
      <c r="AY667" s="46">
        <f>VLOOKUP(AP667,COND!$A$10:$B$32,2,FALSE)</f>
        <v>1</v>
      </c>
      <c r="AZ667" s="44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39.545749891592763</v>
      </c>
      <c r="BA667" s="47">
        <f>STANDARDIZE(AZ667,AVERAGE($AZ$5:$AZ$788),STDEVP($AZ$5:$AZ$788))</f>
        <v>0.20017432333355592</v>
      </c>
      <c r="BB667" s="45" t="str">
        <f t="shared" si="84"/>
        <v>SP</v>
      </c>
      <c r="BC667" s="45">
        <f>RANK(Table3[[#This Row],[zScore]],Table3[zScore])</f>
        <v>265</v>
      </c>
      <c r="BD667" s="45"/>
      <c r="BE667" s="45"/>
      <c r="BF667" s="45" t="str">
        <f t="shared" si="85"/>
        <v>Unlikely</v>
      </c>
      <c r="BG667" s="45"/>
      <c r="BH667" s="64">
        <f>INDEX(Table5[[#All],[Ovr]],MATCH(Table3[[#This Row],[PID]],Table5[[#All],[PID]],0))</f>
        <v>563</v>
      </c>
      <c r="BI667" s="64" t="str">
        <f>INDEX(Table5[[#All],[Rnd]],MATCH(Table3[[#This Row],[PID]],Table5[[#All],[PID]],0))</f>
        <v>19</v>
      </c>
      <c r="BJ667" s="64">
        <f>INDEX(Table5[[#All],[Pick]],MATCH(Table3[[#This Row],[PID]],Table5[[#All],[PID]],0))</f>
        <v>15</v>
      </c>
      <c r="BK667" s="64" t="str">
        <f>INDEX(Table5[[#All],[Team]],MATCH(Table3[[#This Row],[PID]],Table5[[#All],[PID]],0))</f>
        <v>Kentucky Thoroughbreds</v>
      </c>
      <c r="BL667" s="64" t="str">
        <f>IF(OR(Table3[[#This Row],[POS]]="SP",Table3[[#This Row],[POS]]="RP",Table3[[#This Row],[POS]]="CL"),"P",INDEX(Batters[[#All],[zScore]],MATCH(Table3[[#This Row],[PID]],Batters[[#All],[PID]],0)))</f>
        <v>P</v>
      </c>
    </row>
    <row r="668" spans="1:64" ht="30" x14ac:dyDescent="0.25">
      <c r="A668" s="40">
        <v>18014</v>
      </c>
      <c r="B668" s="40" t="s">
        <v>24</v>
      </c>
      <c r="C668" s="40" t="s">
        <v>646</v>
      </c>
      <c r="D668" s="40" t="s">
        <v>206</v>
      </c>
      <c r="E668" s="40">
        <v>21</v>
      </c>
      <c r="F668" s="40" t="s">
        <v>62</v>
      </c>
      <c r="G668" s="40" t="s">
        <v>42</v>
      </c>
      <c r="H668" s="41" t="s">
        <v>647</v>
      </c>
      <c r="I668" s="42" t="s">
        <v>47</v>
      </c>
      <c r="J668" s="40" t="s">
        <v>43</v>
      </c>
      <c r="K668" s="41" t="s">
        <v>43</v>
      </c>
      <c r="L668" s="40">
        <v>2</v>
      </c>
      <c r="M668" s="40">
        <v>3</v>
      </c>
      <c r="N668" s="41">
        <v>1</v>
      </c>
      <c r="O668" s="40">
        <v>5</v>
      </c>
      <c r="P668" s="40">
        <v>3</v>
      </c>
      <c r="Q668" s="41">
        <v>3</v>
      </c>
      <c r="R668" s="40">
        <v>4</v>
      </c>
      <c r="S668" s="40">
        <v>6</v>
      </c>
      <c r="T668" s="40">
        <v>2</v>
      </c>
      <c r="U668" s="40">
        <v>7</v>
      </c>
      <c r="V668" s="40" t="s">
        <v>45</v>
      </c>
      <c r="W668" s="40" t="s">
        <v>45</v>
      </c>
      <c r="X668" s="40">
        <v>2</v>
      </c>
      <c r="Y668" s="40">
        <v>2</v>
      </c>
      <c r="Z668" s="40" t="s">
        <v>45</v>
      </c>
      <c r="AA668" s="40" t="s">
        <v>45</v>
      </c>
      <c r="AB668" s="40">
        <v>3</v>
      </c>
      <c r="AC668" s="40">
        <v>6</v>
      </c>
      <c r="AD668" s="40" t="s">
        <v>45</v>
      </c>
      <c r="AE668" s="40" t="s">
        <v>45</v>
      </c>
      <c r="AF668" s="40" t="s">
        <v>45</v>
      </c>
      <c r="AG668" s="40" t="s">
        <v>45</v>
      </c>
      <c r="AH668" s="40" t="s">
        <v>45</v>
      </c>
      <c r="AI668" s="40" t="s">
        <v>45</v>
      </c>
      <c r="AJ668" s="40" t="s">
        <v>45</v>
      </c>
      <c r="AK668" s="40" t="s">
        <v>45</v>
      </c>
      <c r="AL668" s="40" t="s">
        <v>45</v>
      </c>
      <c r="AM668" s="40" t="s">
        <v>45</v>
      </c>
      <c r="AN668" s="40" t="s">
        <v>45</v>
      </c>
      <c r="AO668" s="41" t="s">
        <v>45</v>
      </c>
      <c r="AP668" s="40" t="s">
        <v>350</v>
      </c>
      <c r="AQ668" s="40">
        <v>7</v>
      </c>
      <c r="AR668" s="48" t="s">
        <v>346</v>
      </c>
      <c r="AS668" s="43" t="s">
        <v>45</v>
      </c>
      <c r="AT668" s="43" t="s">
        <v>47</v>
      </c>
      <c r="AU668" s="44">
        <f t="shared" si="80"/>
        <v>-2.1159294805983135</v>
      </c>
      <c r="AV668" s="44">
        <f t="shared" si="81"/>
        <v>-0.60171962422550074</v>
      </c>
      <c r="AW668" s="45">
        <f t="shared" si="82"/>
        <v>4</v>
      </c>
      <c r="AX668" s="45">
        <f t="shared" si="83"/>
        <v>3</v>
      </c>
      <c r="AY668" s="46">
        <f>VLOOKUP(AP668,COND!$A$10:$B$32,2,FALSE)</f>
        <v>1</v>
      </c>
      <c r="AZ668" s="44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40.517421619370324</v>
      </c>
      <c r="BA668" s="47">
        <f>STANDARDIZE(AZ668,AVERAGE($AZ$5:$AZ$663),STDEVP($AZ$5:$AZ$663))</f>
        <v>0.18588390701461693</v>
      </c>
      <c r="BB668" s="45" t="str">
        <f t="shared" si="84"/>
        <v>SP</v>
      </c>
      <c r="BC668" s="45">
        <f>RANK(Table3[[#This Row],[zScore]],Table3[zScore])</f>
        <v>270</v>
      </c>
      <c r="BD668" s="45"/>
      <c r="BE668" s="45"/>
      <c r="BF668" s="45" t="str">
        <f t="shared" si="85"/>
        <v>Unlikely</v>
      </c>
      <c r="BG668" s="45"/>
      <c r="BH668" s="45">
        <f>INDEX(Table5[[#All],[Ovr]],MATCH(Table3[[#This Row],[PID]],Table5[[#All],[PID]],0))</f>
        <v>465</v>
      </c>
      <c r="BI668" s="45" t="str">
        <f>INDEX(Table5[[#All],[Rnd]],MATCH(Table3[[#This Row],[PID]],Table5[[#All],[PID]],0))</f>
        <v>16</v>
      </c>
      <c r="BJ668" s="45">
        <f>INDEX(Table5[[#All],[Pick]],MATCH(Table3[[#This Row],[PID]],Table5[[#All],[PID]],0))</f>
        <v>7</v>
      </c>
      <c r="BK668" s="45" t="str">
        <f>INDEX(Table5[[#All],[Team]],MATCH(Table3[[#This Row],[PID]],Table5[[#All],[PID]],0))</f>
        <v>Niihama-shi Ghosts</v>
      </c>
      <c r="BL6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69" spans="1:64" ht="30" x14ac:dyDescent="0.25">
      <c r="A669" s="40">
        <v>18257</v>
      </c>
      <c r="B669" s="40" t="s">
        <v>24</v>
      </c>
      <c r="C669" s="40" t="s">
        <v>2097</v>
      </c>
      <c r="D669" s="40" t="s">
        <v>207</v>
      </c>
      <c r="E669" s="40">
        <v>18</v>
      </c>
      <c r="F669" s="40" t="s">
        <v>42</v>
      </c>
      <c r="G669" s="40" t="s">
        <v>42</v>
      </c>
      <c r="H669" s="41" t="s">
        <v>647</v>
      </c>
      <c r="I669" s="42" t="s">
        <v>47</v>
      </c>
      <c r="J669" s="40" t="s">
        <v>43</v>
      </c>
      <c r="K669" s="41" t="s">
        <v>43</v>
      </c>
      <c r="L669" s="40">
        <v>2</v>
      </c>
      <c r="M669" s="40">
        <v>1</v>
      </c>
      <c r="N669" s="41">
        <v>1</v>
      </c>
      <c r="O669" s="40">
        <v>5</v>
      </c>
      <c r="P669" s="40">
        <v>3</v>
      </c>
      <c r="Q669" s="41">
        <v>2</v>
      </c>
      <c r="R669" s="40">
        <v>4</v>
      </c>
      <c r="S669" s="40">
        <v>6</v>
      </c>
      <c r="T669" s="40" t="s">
        <v>45</v>
      </c>
      <c r="U669" s="40" t="s">
        <v>45</v>
      </c>
      <c r="V669" s="40" t="s">
        <v>45</v>
      </c>
      <c r="W669" s="40" t="s">
        <v>45</v>
      </c>
      <c r="X669" s="40" t="s">
        <v>45</v>
      </c>
      <c r="Y669" s="40" t="s">
        <v>45</v>
      </c>
      <c r="Z669" s="40" t="s">
        <v>45</v>
      </c>
      <c r="AA669" s="40" t="s">
        <v>45</v>
      </c>
      <c r="AB669" s="40">
        <v>3</v>
      </c>
      <c r="AC669" s="40">
        <v>6</v>
      </c>
      <c r="AD669" s="40" t="s">
        <v>45</v>
      </c>
      <c r="AE669" s="40" t="s">
        <v>45</v>
      </c>
      <c r="AF669" s="40" t="s">
        <v>45</v>
      </c>
      <c r="AG669" s="40" t="s">
        <v>45</v>
      </c>
      <c r="AH669" s="40">
        <v>1</v>
      </c>
      <c r="AI669" s="40">
        <v>7</v>
      </c>
      <c r="AJ669" s="40" t="s">
        <v>45</v>
      </c>
      <c r="AK669" s="40" t="s">
        <v>45</v>
      </c>
      <c r="AL669" s="40" t="s">
        <v>45</v>
      </c>
      <c r="AM669" s="40" t="s">
        <v>45</v>
      </c>
      <c r="AN669" s="40" t="s">
        <v>45</v>
      </c>
      <c r="AO669" s="41" t="s">
        <v>45</v>
      </c>
      <c r="AP669" s="40" t="s">
        <v>56</v>
      </c>
      <c r="AQ669" s="40">
        <v>6</v>
      </c>
      <c r="AR669" s="48" t="s">
        <v>14</v>
      </c>
      <c r="AS669" s="43" t="s">
        <v>644</v>
      </c>
      <c r="AT669" s="43" t="s">
        <v>635</v>
      </c>
      <c r="AU669" s="44">
        <f t="shared" si="80"/>
        <v>-2.5067929134584248</v>
      </c>
      <c r="AV669" s="44">
        <f t="shared" si="81"/>
        <v>-0.84404019027961108</v>
      </c>
      <c r="AW669" s="45">
        <f t="shared" si="82"/>
        <v>3</v>
      </c>
      <c r="AX669" s="45">
        <f t="shared" si="83"/>
        <v>3</v>
      </c>
      <c r="AY669" s="46">
        <f>VLOOKUP(AP669,COND!$A$10:$B$32,2,FALSE)</f>
        <v>1</v>
      </c>
      <c r="AZ669" s="44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40.396141671423187</v>
      </c>
      <c r="BA669" s="47">
        <f>STANDARDIZE(AZ669,AVERAGE($AZ$5:$AZ$663),STDEVP($AZ$5:$AZ$663))</f>
        <v>0.17757626626425987</v>
      </c>
      <c r="BB669" s="45" t="str">
        <f t="shared" si="84"/>
        <v>SP</v>
      </c>
      <c r="BC669" s="45">
        <f>RANK(Table3[[#This Row],[zScore]],Table3[zScore])</f>
        <v>273</v>
      </c>
      <c r="BD669" s="45"/>
      <c r="BE669" s="45"/>
      <c r="BF669" s="45" t="str">
        <f t="shared" si="85"/>
        <v>Unlikely</v>
      </c>
      <c r="BG669" s="45"/>
      <c r="BH669" s="45" t="str">
        <f>INDEX(Table5[[#All],[Ovr]],MATCH(Table3[[#This Row],[PID]],Table5[[#All],[PID]],0))</f>
        <v/>
      </c>
      <c r="BI669" s="45" t="str">
        <f>INDEX(Table5[[#All],[Rnd]],MATCH(Table3[[#This Row],[PID]],Table5[[#All],[PID]],0))</f>
        <v/>
      </c>
      <c r="BJ669" s="45" t="str">
        <f>INDEX(Table5[[#All],[Pick]],MATCH(Table3[[#This Row],[PID]],Table5[[#All],[PID]],0))</f>
        <v/>
      </c>
      <c r="BK669" s="45" t="str">
        <f>INDEX(Table5[[#All],[Team]],MATCH(Table3[[#This Row],[PID]],Table5[[#All],[PID]],0))</f>
        <v/>
      </c>
      <c r="BL6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0" spans="1:64" ht="30" x14ac:dyDescent="0.25">
      <c r="A670" s="40">
        <v>18361</v>
      </c>
      <c r="B670" s="40" t="s">
        <v>24</v>
      </c>
      <c r="C670" s="40" t="s">
        <v>1995</v>
      </c>
      <c r="D670" s="40" t="s">
        <v>733</v>
      </c>
      <c r="E670" s="40">
        <v>18</v>
      </c>
      <c r="F670" s="40" t="s">
        <v>42</v>
      </c>
      <c r="G670" s="40" t="s">
        <v>42</v>
      </c>
      <c r="H670" s="41" t="s">
        <v>647</v>
      </c>
      <c r="I670" s="42" t="s">
        <v>47</v>
      </c>
      <c r="J670" s="40" t="s">
        <v>47</v>
      </c>
      <c r="K670" s="41" t="s">
        <v>43</v>
      </c>
      <c r="L670" s="40">
        <v>1</v>
      </c>
      <c r="M670" s="40">
        <v>1</v>
      </c>
      <c r="N670" s="41">
        <v>2</v>
      </c>
      <c r="O670" s="40">
        <v>3</v>
      </c>
      <c r="P670" s="40">
        <v>3</v>
      </c>
      <c r="Q670" s="41">
        <v>4</v>
      </c>
      <c r="R670" s="40">
        <v>4</v>
      </c>
      <c r="S670" s="40">
        <v>5</v>
      </c>
      <c r="T670" s="40">
        <v>1</v>
      </c>
      <c r="U670" s="40">
        <v>4</v>
      </c>
      <c r="V670" s="40" t="s">
        <v>45</v>
      </c>
      <c r="W670" s="40" t="s">
        <v>45</v>
      </c>
      <c r="X670" s="40">
        <v>2</v>
      </c>
      <c r="Y670" s="40">
        <v>5</v>
      </c>
      <c r="Z670" s="40" t="s">
        <v>45</v>
      </c>
      <c r="AA670" s="40" t="s">
        <v>45</v>
      </c>
      <c r="AB670" s="40" t="s">
        <v>45</v>
      </c>
      <c r="AC670" s="40" t="s">
        <v>45</v>
      </c>
      <c r="AD670" s="40" t="s">
        <v>45</v>
      </c>
      <c r="AE670" s="40" t="s">
        <v>45</v>
      </c>
      <c r="AF670" s="40" t="s">
        <v>45</v>
      </c>
      <c r="AG670" s="40" t="s">
        <v>45</v>
      </c>
      <c r="AH670" s="40" t="s">
        <v>45</v>
      </c>
      <c r="AI670" s="40" t="s">
        <v>45</v>
      </c>
      <c r="AJ670" s="40" t="s">
        <v>45</v>
      </c>
      <c r="AK670" s="40" t="s">
        <v>45</v>
      </c>
      <c r="AL670" s="40" t="s">
        <v>45</v>
      </c>
      <c r="AM670" s="40" t="s">
        <v>45</v>
      </c>
      <c r="AN670" s="40" t="s">
        <v>45</v>
      </c>
      <c r="AO670" s="41" t="s">
        <v>45</v>
      </c>
      <c r="AP670" s="40" t="s">
        <v>57</v>
      </c>
      <c r="AQ670" s="40">
        <v>8</v>
      </c>
      <c r="AR670" s="48" t="s">
        <v>14</v>
      </c>
      <c r="AS670" s="43" t="s">
        <v>644</v>
      </c>
      <c r="AT670" s="43" t="s">
        <v>47</v>
      </c>
      <c r="AU670" s="44">
        <f t="shared" si="80"/>
        <v>-2.4591636719134877</v>
      </c>
      <c r="AV670" s="44">
        <f t="shared" si="81"/>
        <v>-0.74878170718973724</v>
      </c>
      <c r="AW670" s="45">
        <f t="shared" si="82"/>
        <v>3</v>
      </c>
      <c r="AX670" s="45">
        <f t="shared" si="83"/>
        <v>0</v>
      </c>
      <c r="AY670" s="46">
        <f>VLOOKUP(AP670,COND!$A$10:$B$32,2,FALSE)</f>
        <v>1</v>
      </c>
      <c r="AZ670" s="44">
        <f>($AU$3*AU670+$AV$3*AV670+$AW$3*AW670+$AX$3*AX670)*AY670*IF(AQ670&lt;5,0.95,IF(AQ670&lt;7,0.975,1))+$I$3*VLOOKUP(I670,COND!$A$2:$E$7,4,FALSE)+$J$3*VLOOKUP(J670,COND!$A$2:$E$7,2,FALSE)+$K$3*VLOOKUP(K670,COND!$A$2:$E$7,3,FALSE)+IF(BB670="SP",$BB$3,0)+IF($AW670&lt;3,-5,0)+IF(AND($B$2&gt;0,$E670&lt;20),$B$2*25,0)</f>
        <v>38.557533121822559</v>
      </c>
      <c r="BA670" s="47">
        <f>STANDARDIZE(AZ670,AVERAGE($AZ$5:$AZ$557),STDEVP($AZ$5:$AZ$557))</f>
        <v>0.17876247491472935</v>
      </c>
      <c r="BB670" s="45" t="str">
        <f t="shared" si="84"/>
        <v>SP</v>
      </c>
      <c r="BC670" s="45">
        <f>RANK(Table3[[#This Row],[zScore]],Table3[zScore])</f>
        <v>272</v>
      </c>
      <c r="BD670" s="45"/>
      <c r="BE670" s="45"/>
      <c r="BF670" s="45" t="str">
        <f t="shared" si="85"/>
        <v>Unlikely</v>
      </c>
      <c r="BG670" s="45"/>
      <c r="BH670" s="45" t="str">
        <f>INDEX(Table5[[#All],[Ovr]],MATCH(Table3[[#This Row],[PID]],Table5[[#All],[PID]],0))</f>
        <v/>
      </c>
      <c r="BI670" s="45" t="str">
        <f>INDEX(Table5[[#All],[Rnd]],MATCH(Table3[[#This Row],[PID]],Table5[[#All],[PID]],0))</f>
        <v/>
      </c>
      <c r="BJ670" s="45" t="str">
        <f>INDEX(Table5[[#All],[Pick]],MATCH(Table3[[#This Row],[PID]],Table5[[#All],[PID]],0))</f>
        <v/>
      </c>
      <c r="BK670" s="45" t="str">
        <f>INDEX(Table5[[#All],[Team]],MATCH(Table3[[#This Row],[PID]],Table5[[#All],[PID]],0))</f>
        <v/>
      </c>
      <c r="BL6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1" spans="1:64" ht="30" x14ac:dyDescent="0.25">
      <c r="A671" s="40">
        <v>17817</v>
      </c>
      <c r="B671" s="40" t="s">
        <v>24</v>
      </c>
      <c r="C671" s="40" t="s">
        <v>146</v>
      </c>
      <c r="D671" s="40" t="s">
        <v>1399</v>
      </c>
      <c r="E671" s="40">
        <v>21</v>
      </c>
      <c r="F671" s="40" t="s">
        <v>53</v>
      </c>
      <c r="G671" s="40" t="s">
        <v>53</v>
      </c>
      <c r="H671" s="41" t="s">
        <v>647</v>
      </c>
      <c r="I671" s="42" t="s">
        <v>43</v>
      </c>
      <c r="J671" s="40" t="s">
        <v>44</v>
      </c>
      <c r="K671" s="41" t="s">
        <v>43</v>
      </c>
      <c r="L671" s="40">
        <v>3</v>
      </c>
      <c r="M671" s="40">
        <v>2</v>
      </c>
      <c r="N671" s="41">
        <v>3</v>
      </c>
      <c r="O671" s="40">
        <v>4</v>
      </c>
      <c r="P671" s="40">
        <v>3</v>
      </c>
      <c r="Q671" s="41">
        <v>4</v>
      </c>
      <c r="R671" s="40" t="s">
        <v>45</v>
      </c>
      <c r="S671" s="40" t="s">
        <v>45</v>
      </c>
      <c r="T671" s="40">
        <v>3</v>
      </c>
      <c r="U671" s="40">
        <v>4</v>
      </c>
      <c r="V671" s="40" t="s">
        <v>45</v>
      </c>
      <c r="W671" s="40" t="s">
        <v>45</v>
      </c>
      <c r="X671" s="40">
        <v>3</v>
      </c>
      <c r="Y671" s="40">
        <v>4</v>
      </c>
      <c r="Z671" s="40" t="s">
        <v>45</v>
      </c>
      <c r="AA671" s="40" t="s">
        <v>45</v>
      </c>
      <c r="AB671" s="40" t="s">
        <v>45</v>
      </c>
      <c r="AC671" s="40" t="s">
        <v>45</v>
      </c>
      <c r="AD671" s="40">
        <v>3</v>
      </c>
      <c r="AE671" s="40">
        <v>4</v>
      </c>
      <c r="AF671" s="40">
        <v>3</v>
      </c>
      <c r="AG671" s="40">
        <v>4</v>
      </c>
      <c r="AH671" s="40">
        <v>2</v>
      </c>
      <c r="AI671" s="40">
        <v>4</v>
      </c>
      <c r="AJ671" s="40">
        <v>3</v>
      </c>
      <c r="AK671" s="40">
        <v>4</v>
      </c>
      <c r="AL671" s="40" t="s">
        <v>45</v>
      </c>
      <c r="AM671" s="40" t="s">
        <v>45</v>
      </c>
      <c r="AN671" s="40" t="s">
        <v>45</v>
      </c>
      <c r="AO671" s="41" t="s">
        <v>45</v>
      </c>
      <c r="AP671" s="40" t="s">
        <v>64</v>
      </c>
      <c r="AQ671" s="40">
        <v>8</v>
      </c>
      <c r="AR671" s="48" t="s">
        <v>347</v>
      </c>
      <c r="AS671" s="43" t="s">
        <v>45</v>
      </c>
      <c r="AT671" s="43" t="s">
        <v>47</v>
      </c>
      <c r="AU671" s="44">
        <f t="shared" si="80"/>
        <v>-1.6320287404109748</v>
      </c>
      <c r="AV671" s="44">
        <f t="shared" si="81"/>
        <v>-0.55409038268056388</v>
      </c>
      <c r="AW671" s="45">
        <f t="shared" si="82"/>
        <v>6</v>
      </c>
      <c r="AX671" s="45">
        <f t="shared" si="83"/>
        <v>0</v>
      </c>
      <c r="AY671" s="46">
        <f>VLOOKUP(AP671,COND!$A$10:$B$32,2,FALSE)</f>
        <v>1</v>
      </c>
      <c r="AZ671" s="44">
        <f>($AU$3*AU671+$AV$3*AV671+$AW$3*AW671+$AX$3*AX671)*AY671*IF(AQ671&lt;5,0.95,IF(AQ671&lt;7,0.975,1))+$I$3*VLOOKUP(I671,COND!$A$2:$E$7,4,FALSE)+$J$3*VLOOKUP(J671,COND!$A$2:$E$7,2,FALSE)+$K$3*VLOOKUP(K671,COND!$A$2:$E$7,3,FALSE)+IF(BB671="SP",$BB$3,0)+IF($AW671&lt;3,-5,0)+IF(AND($B$2&gt;0,$E671&lt;20),$B$2*25,0)</f>
        <v>38.29178659830653</v>
      </c>
      <c r="BA671" s="47">
        <f>STANDARDIZE(AZ671,AVERAGE($AZ$5:$AZ$557),STDEVP($AZ$5:$AZ$557))</f>
        <v>0.16108276479482031</v>
      </c>
      <c r="BB671" s="45" t="str">
        <f t="shared" si="84"/>
        <v>SP</v>
      </c>
      <c r="BC671" s="45">
        <f>RANK(Table3[[#This Row],[zScore]],Table3[zScore])</f>
        <v>275</v>
      </c>
      <c r="BD671" s="45"/>
      <c r="BE671" s="45"/>
      <c r="BF671" s="45" t="str">
        <f t="shared" si="85"/>
        <v>Unlikely</v>
      </c>
      <c r="BG671" s="45"/>
      <c r="BH671" s="45">
        <f>INDEX(Table5[[#All],[Ovr]],MATCH(Table3[[#This Row],[PID]],Table5[[#All],[PID]],0))</f>
        <v>584</v>
      </c>
      <c r="BI671" s="45" t="str">
        <f>INDEX(Table5[[#All],[Rnd]],MATCH(Table3[[#This Row],[PID]],Table5[[#All],[PID]],0))</f>
        <v>20</v>
      </c>
      <c r="BJ671" s="45">
        <f>INDEX(Table5[[#All],[Pick]],MATCH(Table3[[#This Row],[PID]],Table5[[#All],[PID]],0))</f>
        <v>6</v>
      </c>
      <c r="BK671" s="45" t="str">
        <f>INDEX(Table5[[#All],[Team]],MATCH(Table3[[#This Row],[PID]],Table5[[#All],[PID]],0))</f>
        <v>Manchester Maulers</v>
      </c>
      <c r="BL6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2" spans="1:64" ht="30" x14ac:dyDescent="0.25">
      <c r="A672" s="40">
        <v>20626</v>
      </c>
      <c r="B672" s="40" t="s">
        <v>24</v>
      </c>
      <c r="C672" s="40" t="s">
        <v>2049</v>
      </c>
      <c r="D672" s="40" t="s">
        <v>2050</v>
      </c>
      <c r="E672" s="40">
        <v>16</v>
      </c>
      <c r="F672" s="40" t="s">
        <v>53</v>
      </c>
      <c r="G672" s="40" t="s">
        <v>42</v>
      </c>
      <c r="H672" s="41" t="s">
        <v>647</v>
      </c>
      <c r="I672" s="42" t="s">
        <v>43</v>
      </c>
      <c r="J672" s="40" t="s">
        <v>44</v>
      </c>
      <c r="K672" s="41" t="s">
        <v>43</v>
      </c>
      <c r="L672" s="40">
        <v>2</v>
      </c>
      <c r="M672" s="40">
        <v>1</v>
      </c>
      <c r="N672" s="41">
        <v>1</v>
      </c>
      <c r="O672" s="40">
        <v>4</v>
      </c>
      <c r="P672" s="40">
        <v>2</v>
      </c>
      <c r="Q672" s="41">
        <v>4</v>
      </c>
      <c r="R672" s="40">
        <v>3</v>
      </c>
      <c r="S672" s="40">
        <v>5</v>
      </c>
      <c r="T672" s="40" t="s">
        <v>45</v>
      </c>
      <c r="U672" s="40" t="s">
        <v>45</v>
      </c>
      <c r="V672" s="40">
        <v>2</v>
      </c>
      <c r="W672" s="40">
        <v>6</v>
      </c>
      <c r="X672" s="40">
        <v>2</v>
      </c>
      <c r="Y672" s="40">
        <v>5</v>
      </c>
      <c r="Z672" s="40" t="s">
        <v>45</v>
      </c>
      <c r="AA672" s="40" t="s">
        <v>45</v>
      </c>
      <c r="AB672" s="40" t="s">
        <v>45</v>
      </c>
      <c r="AC672" s="40" t="s">
        <v>45</v>
      </c>
      <c r="AD672" s="40" t="s">
        <v>45</v>
      </c>
      <c r="AE672" s="40" t="s">
        <v>45</v>
      </c>
      <c r="AF672" s="40" t="s">
        <v>45</v>
      </c>
      <c r="AG672" s="40" t="s">
        <v>45</v>
      </c>
      <c r="AH672" s="40" t="s">
        <v>45</v>
      </c>
      <c r="AI672" s="40" t="s">
        <v>45</v>
      </c>
      <c r="AJ672" s="40" t="s">
        <v>45</v>
      </c>
      <c r="AK672" s="40" t="s">
        <v>45</v>
      </c>
      <c r="AL672" s="40" t="s">
        <v>45</v>
      </c>
      <c r="AM672" s="40" t="s">
        <v>45</v>
      </c>
      <c r="AN672" s="40" t="s">
        <v>45</v>
      </c>
      <c r="AO672" s="41" t="s">
        <v>45</v>
      </c>
      <c r="AP672" s="40" t="s">
        <v>68</v>
      </c>
      <c r="AQ672" s="40">
        <v>5</v>
      </c>
      <c r="AR672" s="48" t="s">
        <v>14</v>
      </c>
      <c r="AS672" s="43" t="s">
        <v>644</v>
      </c>
      <c r="AT672" s="43" t="s">
        <v>47</v>
      </c>
      <c r="AU672" s="44">
        <f t="shared" si="80"/>
        <v>-2.5067929134584248</v>
      </c>
      <c r="AV672" s="44">
        <f t="shared" si="81"/>
        <v>-0.74952209911061918</v>
      </c>
      <c r="AW672" s="45">
        <f t="shared" si="82"/>
        <v>3</v>
      </c>
      <c r="AX672" s="45">
        <f t="shared" si="83"/>
        <v>1</v>
      </c>
      <c r="AY672" s="46">
        <f>VLOOKUP(AP672,COND!$A$10:$B$32,2,FALSE)</f>
        <v>0.95</v>
      </c>
      <c r="AZ672" s="44">
        <f>($AU$3*AU672+$AV$3*AV672+$AW$3*AW672+$AX$3*AX672)*AY672*IF(AQ672&lt;5,0.95,IF(AQ672&lt;7,0.975,1))+$I$3*VLOOKUP(I672,COND!$A$2:$E$7,4,FALSE)+$J$3*VLOOKUP(J672,COND!$A$2:$E$7,2,FALSE)+$K$3*VLOOKUP(K672,COND!$A$2:$E$7,3,FALSE)+IF(BB672="SP",$BB$3,0)+IF($AW672&lt;3,-5,0)+IF(AND($B$2&gt;0,$E672&lt;20),$B$2*25,0)</f>
        <v>39.89790722675761</v>
      </c>
      <c r="BA672" s="47">
        <f>STANDARDIZE(AZ672,AVERAGE($AZ$5:$AZ$663),STDEVP($AZ$5:$AZ$663))</f>
        <v>0.14344735339946035</v>
      </c>
      <c r="BB672" s="45" t="str">
        <f t="shared" si="84"/>
        <v>SP</v>
      </c>
      <c r="BC672" s="45">
        <f>RANK(Table3[[#This Row],[zScore]],Table3[zScore])</f>
        <v>278</v>
      </c>
      <c r="BD672" s="45"/>
      <c r="BE672" s="45"/>
      <c r="BF672" s="45" t="str">
        <f t="shared" si="85"/>
        <v>Unlikely</v>
      </c>
      <c r="BG672" s="45"/>
      <c r="BH672" s="45" t="str">
        <f>INDEX(Table5[[#All],[Ovr]],MATCH(Table3[[#This Row],[PID]],Table5[[#All],[PID]],0))</f>
        <v/>
      </c>
      <c r="BI672" s="45" t="str">
        <f>INDEX(Table5[[#All],[Rnd]],MATCH(Table3[[#This Row],[PID]],Table5[[#All],[PID]],0))</f>
        <v/>
      </c>
      <c r="BJ672" s="45" t="str">
        <f>INDEX(Table5[[#All],[Pick]],MATCH(Table3[[#This Row],[PID]],Table5[[#All],[PID]],0))</f>
        <v/>
      </c>
      <c r="BK672" s="45" t="str">
        <f>INDEX(Table5[[#All],[Team]],MATCH(Table3[[#This Row],[PID]],Table5[[#All],[PID]],0))</f>
        <v/>
      </c>
      <c r="BL6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3" spans="1:64" ht="30" x14ac:dyDescent="0.25">
      <c r="A673" s="40">
        <v>21053</v>
      </c>
      <c r="B673" s="40" t="s">
        <v>24</v>
      </c>
      <c r="C673" s="40" t="s">
        <v>2156</v>
      </c>
      <c r="D673" s="40" t="s">
        <v>1594</v>
      </c>
      <c r="E673" s="40">
        <v>16</v>
      </c>
      <c r="F673" s="40" t="s">
        <v>53</v>
      </c>
      <c r="G673" s="40" t="s">
        <v>53</v>
      </c>
      <c r="H673" s="41" t="s">
        <v>647</v>
      </c>
      <c r="I673" s="42" t="s">
        <v>43</v>
      </c>
      <c r="J673" s="40" t="s">
        <v>44</v>
      </c>
      <c r="K673" s="41" t="s">
        <v>43</v>
      </c>
      <c r="L673" s="40">
        <v>1</v>
      </c>
      <c r="M673" s="40">
        <v>1</v>
      </c>
      <c r="N673" s="41">
        <v>1</v>
      </c>
      <c r="O673" s="40">
        <v>4</v>
      </c>
      <c r="P673" s="40">
        <v>2</v>
      </c>
      <c r="Q673" s="41">
        <v>4</v>
      </c>
      <c r="R673" s="40">
        <v>3</v>
      </c>
      <c r="S673" s="40">
        <v>5</v>
      </c>
      <c r="T673" s="40">
        <v>1</v>
      </c>
      <c r="U673" s="40">
        <v>5</v>
      </c>
      <c r="V673" s="40">
        <v>1</v>
      </c>
      <c r="W673" s="40">
        <v>4</v>
      </c>
      <c r="X673" s="40">
        <v>2</v>
      </c>
      <c r="Y673" s="40">
        <v>5</v>
      </c>
      <c r="Z673" s="40" t="s">
        <v>45</v>
      </c>
      <c r="AA673" s="40" t="s">
        <v>45</v>
      </c>
      <c r="AB673" s="40" t="s">
        <v>45</v>
      </c>
      <c r="AC673" s="40" t="s">
        <v>45</v>
      </c>
      <c r="AD673" s="40" t="s">
        <v>45</v>
      </c>
      <c r="AE673" s="40" t="s">
        <v>45</v>
      </c>
      <c r="AF673" s="40" t="s">
        <v>45</v>
      </c>
      <c r="AG673" s="40" t="s">
        <v>45</v>
      </c>
      <c r="AH673" s="40">
        <v>1</v>
      </c>
      <c r="AI673" s="40">
        <v>2</v>
      </c>
      <c r="AJ673" s="40" t="s">
        <v>45</v>
      </c>
      <c r="AK673" s="40" t="s">
        <v>45</v>
      </c>
      <c r="AL673" s="40" t="s">
        <v>45</v>
      </c>
      <c r="AM673" s="40" t="s">
        <v>45</v>
      </c>
      <c r="AN673" s="40" t="s">
        <v>45</v>
      </c>
      <c r="AO673" s="41" t="s">
        <v>45</v>
      </c>
      <c r="AP673" s="40" t="s">
        <v>350</v>
      </c>
      <c r="AQ673" s="40">
        <v>10</v>
      </c>
      <c r="AR673" s="48" t="s">
        <v>14</v>
      </c>
      <c r="AS673" s="43" t="s">
        <v>670</v>
      </c>
      <c r="AT673" s="43"/>
      <c r="AU673" s="44">
        <f t="shared" si="80"/>
        <v>-2.7014842379675978</v>
      </c>
      <c r="AV673" s="44">
        <f t="shared" si="81"/>
        <v>-0.74952209911061918</v>
      </c>
      <c r="AW673" s="45">
        <f t="shared" si="82"/>
        <v>5</v>
      </c>
      <c r="AX673" s="45">
        <f t="shared" si="83"/>
        <v>0</v>
      </c>
      <c r="AY673" s="46">
        <f>VLOOKUP(AP673,COND!$A$10:$B$32,2,FALSE)</f>
        <v>1</v>
      </c>
      <c r="AZ673" s="44">
        <f>($AU$3*AU673+$AV$3*AV673+$AW$3*AW673+$AX$3*AX673)*AY673*IF(AQ673&lt;5,0.95,IF(AQ673&lt;7,0.975,1))+$I$3*VLOOKUP(I673,COND!$A$2:$E$7,4,FALSE)+$J$3*VLOOKUP(J673,COND!$A$2:$E$7,2,FALSE)+$K$3*VLOOKUP(K673,COND!$A$2:$E$7,3,FALSE)+IF(BB673="SP",$BB$3,0)+IF($AW673&lt;3,-5,0)+IF(AND($B$2&gt;0,$E673&lt;20),$B$2*25,0)</f>
        <v>38.669261170194098</v>
      </c>
      <c r="BA673" s="47">
        <f>STANDARDIZE(AZ673,AVERAGE($AZ$5:$AZ$788),STDEVP($AZ$5:$AZ$788))</f>
        <v>0.13674943852587132</v>
      </c>
      <c r="BB673" s="45" t="str">
        <f t="shared" si="84"/>
        <v>SP</v>
      </c>
      <c r="BC673" s="45">
        <f>RANK(Table3[[#This Row],[zScore]],Table3[zScore])</f>
        <v>280</v>
      </c>
      <c r="BD673" s="45"/>
      <c r="BE673" s="45"/>
      <c r="BF673" s="45" t="str">
        <f t="shared" si="85"/>
        <v>Unlikely</v>
      </c>
      <c r="BG673" s="45"/>
      <c r="BH673" s="64">
        <f>INDEX(Table5[[#All],[Ovr]],MATCH(Table3[[#This Row],[PID]],Table5[[#All],[PID]],0))</f>
        <v>559</v>
      </c>
      <c r="BI673" s="64" t="str">
        <f>INDEX(Table5[[#All],[Rnd]],MATCH(Table3[[#This Row],[PID]],Table5[[#All],[PID]],0))</f>
        <v>19</v>
      </c>
      <c r="BJ673" s="64">
        <f>INDEX(Table5[[#All],[Pick]],MATCH(Table3[[#This Row],[PID]],Table5[[#All],[PID]],0))</f>
        <v>11</v>
      </c>
      <c r="BK673" s="64" t="str">
        <f>INDEX(Table5[[#All],[Team]],MATCH(Table3[[#This Row],[PID]],Table5[[#All],[PID]],0))</f>
        <v>Duluth Warriors</v>
      </c>
      <c r="BL673" s="64" t="str">
        <f>IF(OR(Table3[[#This Row],[POS]]="SP",Table3[[#This Row],[POS]]="RP",Table3[[#This Row],[POS]]="CL"),"P",INDEX(Batters[[#All],[zScore]],MATCH(Table3[[#This Row],[PID]],Batters[[#All],[PID]],0)))</f>
        <v>P</v>
      </c>
    </row>
    <row r="674" spans="1:64" ht="30" x14ac:dyDescent="0.25">
      <c r="A674" s="40">
        <v>17833</v>
      </c>
      <c r="B674" s="40" t="s">
        <v>24</v>
      </c>
      <c r="C674" s="40" t="s">
        <v>1936</v>
      </c>
      <c r="D674" s="40" t="s">
        <v>1937</v>
      </c>
      <c r="E674" s="40">
        <v>18</v>
      </c>
      <c r="F674" s="40" t="s">
        <v>42</v>
      </c>
      <c r="G674" s="40" t="s">
        <v>42</v>
      </c>
      <c r="H674" s="41" t="s">
        <v>647</v>
      </c>
      <c r="I674" s="42" t="s">
        <v>43</v>
      </c>
      <c r="J674" s="40" t="s">
        <v>47</v>
      </c>
      <c r="K674" s="41" t="s">
        <v>43</v>
      </c>
      <c r="L674" s="40">
        <v>1</v>
      </c>
      <c r="M674" s="40">
        <v>2</v>
      </c>
      <c r="N674" s="41">
        <v>1</v>
      </c>
      <c r="O674" s="40">
        <v>4</v>
      </c>
      <c r="P674" s="40">
        <v>3</v>
      </c>
      <c r="Q674" s="41">
        <v>3</v>
      </c>
      <c r="R674" s="40">
        <v>3</v>
      </c>
      <c r="S674" s="40">
        <v>5</v>
      </c>
      <c r="T674" s="40" t="s">
        <v>45</v>
      </c>
      <c r="U674" s="40" t="s">
        <v>45</v>
      </c>
      <c r="V674" s="40">
        <v>1</v>
      </c>
      <c r="W674" s="40">
        <v>5</v>
      </c>
      <c r="X674" s="40">
        <v>2</v>
      </c>
      <c r="Y674" s="40">
        <v>6</v>
      </c>
      <c r="Z674" s="40" t="s">
        <v>45</v>
      </c>
      <c r="AA674" s="40" t="s">
        <v>45</v>
      </c>
      <c r="AB674" s="40" t="s">
        <v>45</v>
      </c>
      <c r="AC674" s="40" t="s">
        <v>45</v>
      </c>
      <c r="AD674" s="40" t="s">
        <v>45</v>
      </c>
      <c r="AE674" s="40" t="s">
        <v>45</v>
      </c>
      <c r="AF674" s="40" t="s">
        <v>45</v>
      </c>
      <c r="AG674" s="40" t="s">
        <v>45</v>
      </c>
      <c r="AH674" s="40">
        <v>1</v>
      </c>
      <c r="AI674" s="40">
        <v>5</v>
      </c>
      <c r="AJ674" s="40" t="s">
        <v>45</v>
      </c>
      <c r="AK674" s="40" t="s">
        <v>45</v>
      </c>
      <c r="AL674" s="40" t="s">
        <v>45</v>
      </c>
      <c r="AM674" s="40" t="s">
        <v>45</v>
      </c>
      <c r="AN674" s="40" t="s">
        <v>45</v>
      </c>
      <c r="AO674" s="41" t="s">
        <v>45</v>
      </c>
      <c r="AP674" s="40" t="s">
        <v>64</v>
      </c>
      <c r="AQ674" s="40">
        <v>4</v>
      </c>
      <c r="AR674" s="48" t="s">
        <v>347</v>
      </c>
      <c r="AS674" s="43" t="s">
        <v>644</v>
      </c>
      <c r="AT674" s="43" t="s">
        <v>47</v>
      </c>
      <c r="AU674" s="44">
        <f t="shared" si="80"/>
        <v>-2.5060525215375429</v>
      </c>
      <c r="AV674" s="44">
        <f t="shared" si="81"/>
        <v>-0.79641094873467422</v>
      </c>
      <c r="AW674" s="45">
        <f t="shared" si="82"/>
        <v>4</v>
      </c>
      <c r="AX674" s="45">
        <f t="shared" si="83"/>
        <v>1</v>
      </c>
      <c r="AY674" s="46">
        <f>VLOOKUP(AP674,COND!$A$10:$B$32,2,FALSE)</f>
        <v>1</v>
      </c>
      <c r="AZ674" s="44">
        <f>($AU$3*AU674+$AV$3*AV674+$AW$3*AW674+$AX$3*AX674)*AY674*IF(AQ674&lt;5,0.95,IF(AQ674&lt;7,0.975,1))+$I$3*VLOOKUP(I674,COND!$A$2:$E$7,4,FALSE)+$J$3*VLOOKUP(J674,COND!$A$2:$E$7,2,FALSE)+$K$3*VLOOKUP(K674,COND!$A$2:$E$7,3,FALSE)+IF(BB674="SP",$BB$3,0)+IF($AW674&lt;3,-5,0)+IF(AND($B$2&gt;0,$E674&lt;20),$B$2*25,0)</f>
        <v>37.779541994949057</v>
      </c>
      <c r="BA674" s="47">
        <f>STANDARDIZE(AZ674,AVERAGE($AZ$5:$AZ$557),STDEVP($AZ$5:$AZ$557))</f>
        <v>0.12700391409895534</v>
      </c>
      <c r="BB674" s="45" t="str">
        <f t="shared" si="84"/>
        <v>RP</v>
      </c>
      <c r="BC674" s="45">
        <f>RANK(Table3[[#This Row],[zScore]],Table3[zScore])</f>
        <v>281</v>
      </c>
      <c r="BD674" s="45"/>
      <c r="BE674" s="45"/>
      <c r="BF674" s="45" t="str">
        <f t="shared" si="85"/>
        <v>Unlikely</v>
      </c>
      <c r="BG674" s="45"/>
      <c r="BH674" s="45" t="str">
        <f>INDEX(Table5[[#All],[Ovr]],MATCH(Table3[[#This Row],[PID]],Table5[[#All],[PID]],0))</f>
        <v/>
      </c>
      <c r="BI674" s="45" t="str">
        <f>INDEX(Table5[[#All],[Rnd]],MATCH(Table3[[#This Row],[PID]],Table5[[#All],[PID]],0))</f>
        <v/>
      </c>
      <c r="BJ674" s="45" t="str">
        <f>INDEX(Table5[[#All],[Pick]],MATCH(Table3[[#This Row],[PID]],Table5[[#All],[PID]],0))</f>
        <v/>
      </c>
      <c r="BK674" s="45" t="str">
        <f>INDEX(Table5[[#All],[Team]],MATCH(Table3[[#This Row],[PID]],Table5[[#All],[PID]],0))</f>
        <v/>
      </c>
      <c r="BL67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5" spans="1:64" ht="30" x14ac:dyDescent="0.25">
      <c r="A675" s="40">
        <v>21026</v>
      </c>
      <c r="B675" s="40" t="s">
        <v>24</v>
      </c>
      <c r="C675" s="40" t="s">
        <v>293</v>
      </c>
      <c r="D675" s="40" t="s">
        <v>2068</v>
      </c>
      <c r="E675" s="40">
        <v>18</v>
      </c>
      <c r="F675" s="40" t="s">
        <v>42</v>
      </c>
      <c r="G675" s="40" t="s">
        <v>42</v>
      </c>
      <c r="H675" s="41" t="s">
        <v>647</v>
      </c>
      <c r="I675" s="42" t="s">
        <v>43</v>
      </c>
      <c r="J675" s="40" t="s">
        <v>44</v>
      </c>
      <c r="K675" s="41" t="s">
        <v>43</v>
      </c>
      <c r="L675" s="40">
        <v>1</v>
      </c>
      <c r="M675" s="40">
        <v>1</v>
      </c>
      <c r="N675" s="41">
        <v>2</v>
      </c>
      <c r="O675" s="40">
        <v>4</v>
      </c>
      <c r="P675" s="40">
        <v>2</v>
      </c>
      <c r="Q675" s="41">
        <v>4</v>
      </c>
      <c r="R675" s="40">
        <v>3</v>
      </c>
      <c r="S675" s="40">
        <v>5</v>
      </c>
      <c r="T675" s="40">
        <v>1</v>
      </c>
      <c r="U675" s="40">
        <v>6</v>
      </c>
      <c r="V675" s="40">
        <v>2</v>
      </c>
      <c r="W675" s="40">
        <v>5</v>
      </c>
      <c r="X675" s="40" t="s">
        <v>45</v>
      </c>
      <c r="Y675" s="40" t="s">
        <v>45</v>
      </c>
      <c r="Z675" s="40" t="s">
        <v>45</v>
      </c>
      <c r="AA675" s="40" t="s">
        <v>45</v>
      </c>
      <c r="AB675" s="40" t="s">
        <v>45</v>
      </c>
      <c r="AC675" s="40" t="s">
        <v>45</v>
      </c>
      <c r="AD675" s="40" t="s">
        <v>45</v>
      </c>
      <c r="AE675" s="40" t="s">
        <v>45</v>
      </c>
      <c r="AF675" s="40" t="s">
        <v>45</v>
      </c>
      <c r="AG675" s="40" t="s">
        <v>45</v>
      </c>
      <c r="AH675" s="40" t="s">
        <v>45</v>
      </c>
      <c r="AI675" s="40" t="s">
        <v>45</v>
      </c>
      <c r="AJ675" s="40" t="s">
        <v>45</v>
      </c>
      <c r="AK675" s="40" t="s">
        <v>45</v>
      </c>
      <c r="AL675" s="40" t="s">
        <v>45</v>
      </c>
      <c r="AM675" s="40" t="s">
        <v>45</v>
      </c>
      <c r="AN675" s="40" t="s">
        <v>45</v>
      </c>
      <c r="AO675" s="41" t="s">
        <v>45</v>
      </c>
      <c r="AP675" s="40" t="s">
        <v>350</v>
      </c>
      <c r="AQ675" s="40">
        <v>7</v>
      </c>
      <c r="AR675" s="48" t="s">
        <v>14</v>
      </c>
      <c r="AS675" s="43" t="s">
        <v>654</v>
      </c>
      <c r="AT675" s="43" t="s">
        <v>47</v>
      </c>
      <c r="AU675" s="44">
        <f t="shared" si="80"/>
        <v>-2.4591636719134877</v>
      </c>
      <c r="AV675" s="44">
        <f t="shared" si="81"/>
        <v>-0.74952209911061918</v>
      </c>
      <c r="AW675" s="45">
        <f t="shared" si="82"/>
        <v>3</v>
      </c>
      <c r="AX675" s="45">
        <f t="shared" si="83"/>
        <v>1</v>
      </c>
      <c r="AY675" s="46">
        <f>VLOOKUP(AP675,COND!$A$10:$B$32,2,FALSE)</f>
        <v>1</v>
      </c>
      <c r="AZ675" s="44">
        <f>($AU$3*AU675+$AV$3*AV675+$AW$3*AW675+$AX$3*AX675)*AY675*IF(AQ675&lt;5,0.95,IF(AQ675&lt;7,0.975,1))+$I$3*VLOOKUP(I675,COND!$A$2:$E$7,4,FALSE)+$J$3*VLOOKUP(J675,COND!$A$2:$E$7,2,FALSE)+$K$3*VLOOKUP(K675,COND!$A$2:$E$7,3,FALSE)+IF(BB675="SP",$BB$3,0)+IF($AW675&lt;3,-5,0)+IF(AND($B$2&gt;0,$E675&lt;20),$B$2*25,0)</f>
        <v>38.967725283404917</v>
      </c>
      <c r="BA675" s="47">
        <f>STANDARDIZE(AZ675,AVERAGE($AZ$5:$AZ$663),STDEVP($AZ$5:$AZ$663))</f>
        <v>7.9730163965874637E-2</v>
      </c>
      <c r="BB675" s="45" t="str">
        <f t="shared" si="84"/>
        <v>SP</v>
      </c>
      <c r="BC675" s="45">
        <f>RANK(Table3[[#This Row],[zScore]],Table3[zScore])</f>
        <v>293</v>
      </c>
      <c r="BD675" s="45"/>
      <c r="BE675" s="45"/>
      <c r="BF675" s="45" t="str">
        <f t="shared" si="85"/>
        <v>Unlikely</v>
      </c>
      <c r="BG675" s="45"/>
      <c r="BH675" s="45" t="str">
        <f>INDEX(Table5[[#All],[Ovr]],MATCH(Table3[[#This Row],[PID]],Table5[[#All],[PID]],0))</f>
        <v/>
      </c>
      <c r="BI675" s="45" t="str">
        <f>INDEX(Table5[[#All],[Rnd]],MATCH(Table3[[#This Row],[PID]],Table5[[#All],[PID]],0))</f>
        <v/>
      </c>
      <c r="BJ675" s="45" t="str">
        <f>INDEX(Table5[[#All],[Pick]],MATCH(Table3[[#This Row],[PID]],Table5[[#All],[PID]],0))</f>
        <v/>
      </c>
      <c r="BK675" s="45" t="str">
        <f>INDEX(Table5[[#All],[Team]],MATCH(Table3[[#This Row],[PID]],Table5[[#All],[PID]],0))</f>
        <v/>
      </c>
      <c r="BL6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6" spans="1:64" ht="30" x14ac:dyDescent="0.25">
      <c r="A676" s="40">
        <v>18350</v>
      </c>
      <c r="B676" s="40" t="s">
        <v>24</v>
      </c>
      <c r="C676" s="40" t="s">
        <v>528</v>
      </c>
      <c r="D676" s="40" t="s">
        <v>2037</v>
      </c>
      <c r="E676" s="40">
        <v>18</v>
      </c>
      <c r="F676" s="40" t="s">
        <v>53</v>
      </c>
      <c r="G676" s="40" t="s">
        <v>53</v>
      </c>
      <c r="H676" s="41" t="s">
        <v>647</v>
      </c>
      <c r="I676" s="42" t="s">
        <v>43</v>
      </c>
      <c r="J676" s="40" t="s">
        <v>44</v>
      </c>
      <c r="K676" s="41" t="s">
        <v>43</v>
      </c>
      <c r="L676" s="40">
        <v>1</v>
      </c>
      <c r="M676" s="40">
        <v>3</v>
      </c>
      <c r="N676" s="41">
        <v>1</v>
      </c>
      <c r="O676" s="40">
        <v>3</v>
      </c>
      <c r="P676" s="40">
        <v>4</v>
      </c>
      <c r="Q676" s="41">
        <v>3</v>
      </c>
      <c r="R676" s="40">
        <v>2</v>
      </c>
      <c r="S676" s="40">
        <v>5</v>
      </c>
      <c r="T676" s="40">
        <v>1</v>
      </c>
      <c r="U676" s="40">
        <v>1</v>
      </c>
      <c r="V676" s="40" t="s">
        <v>45</v>
      </c>
      <c r="W676" s="40" t="s">
        <v>45</v>
      </c>
      <c r="X676" s="40" t="s">
        <v>45</v>
      </c>
      <c r="Y676" s="40" t="s">
        <v>45</v>
      </c>
      <c r="Z676" s="40" t="s">
        <v>45</v>
      </c>
      <c r="AA676" s="40" t="s">
        <v>45</v>
      </c>
      <c r="AB676" s="40">
        <v>3</v>
      </c>
      <c r="AC676" s="40">
        <v>6</v>
      </c>
      <c r="AD676" s="40" t="s">
        <v>45</v>
      </c>
      <c r="AE676" s="40" t="s">
        <v>45</v>
      </c>
      <c r="AF676" s="40" t="s">
        <v>45</v>
      </c>
      <c r="AG676" s="40" t="s">
        <v>45</v>
      </c>
      <c r="AH676" s="40" t="s">
        <v>45</v>
      </c>
      <c r="AI676" s="40" t="s">
        <v>45</v>
      </c>
      <c r="AJ676" s="40" t="s">
        <v>45</v>
      </c>
      <c r="AK676" s="40" t="s">
        <v>45</v>
      </c>
      <c r="AL676" s="40" t="s">
        <v>45</v>
      </c>
      <c r="AM676" s="40" t="s">
        <v>45</v>
      </c>
      <c r="AN676" s="40" t="s">
        <v>45</v>
      </c>
      <c r="AO676" s="41" t="s">
        <v>45</v>
      </c>
      <c r="AP676" s="40" t="s">
        <v>68</v>
      </c>
      <c r="AQ676" s="40">
        <v>9</v>
      </c>
      <c r="AR676" s="48" t="s">
        <v>347</v>
      </c>
      <c r="AS676" s="43" t="s">
        <v>548</v>
      </c>
      <c r="AT676" s="43" t="s">
        <v>635</v>
      </c>
      <c r="AU676" s="44">
        <f t="shared" si="80"/>
        <v>-2.310620805107487</v>
      </c>
      <c r="AV676" s="44">
        <f t="shared" si="81"/>
        <v>-0.7956705568137924</v>
      </c>
      <c r="AW676" s="45">
        <f t="shared" si="82"/>
        <v>3</v>
      </c>
      <c r="AX676" s="45">
        <f t="shared" si="83"/>
        <v>1</v>
      </c>
      <c r="AY676" s="46">
        <f>VLOOKUP(AP676,COND!$A$10:$B$32,2,FALSE)</f>
        <v>0.95</v>
      </c>
      <c r="AZ676" s="44">
        <f>($AU$3*AU676+$AV$3*AV676+$AW$3*AW676+$AX$3*AX676)*AY676*IF(AQ676&lt;5,0.95,IF(AQ676&lt;7,0.975,1))+$I$3*VLOOKUP(I676,COND!$A$2:$E$7,4,FALSE)+$J$3*VLOOKUP(J676,COND!$A$2:$E$7,2,FALSE)+$K$3*VLOOKUP(K676,COND!$A$2:$E$7,3,FALSE)+IF(BB676="SP",$BB$3,0)+IF($AW676&lt;3,-5,0)+IF(AND($B$2&gt;0,$E676&lt;20),$B$2*25,0)</f>
        <v>38.755741467567525</v>
      </c>
      <c r="BA676" s="47">
        <f>STANDARDIZE(AZ676,AVERAGE($AZ$5:$AZ$663),STDEVP($AZ$5:$AZ$663))</f>
        <v>6.5209334952701592E-2</v>
      </c>
      <c r="BB676" s="45" t="str">
        <f t="shared" si="84"/>
        <v>SP</v>
      </c>
      <c r="BC676" s="45">
        <f>RANK(Table3[[#This Row],[zScore]],Table3[zScore])</f>
        <v>295</v>
      </c>
      <c r="BD676" s="45"/>
      <c r="BE676" s="45"/>
      <c r="BF676" s="45" t="str">
        <f t="shared" si="85"/>
        <v>Unlikely</v>
      </c>
      <c r="BG676" s="45"/>
      <c r="BH676" s="45">
        <f>INDEX(Table5[[#All],[Ovr]],MATCH(Table3[[#This Row],[PID]],Table5[[#All],[PID]],0))</f>
        <v>516</v>
      </c>
      <c r="BI676" s="45" t="str">
        <f>INDEX(Table5[[#All],[Rnd]],MATCH(Table3[[#This Row],[PID]],Table5[[#All],[PID]],0))</f>
        <v>17</v>
      </c>
      <c r="BJ676" s="45">
        <f>INDEX(Table5[[#All],[Pick]],MATCH(Table3[[#This Row],[PID]],Table5[[#All],[PID]],0))</f>
        <v>28</v>
      </c>
      <c r="BK676" s="45" t="str">
        <f>INDEX(Table5[[#All],[Team]],MATCH(Table3[[#This Row],[PID]],Table5[[#All],[PID]],0))</f>
        <v>San Juan Coqui</v>
      </c>
      <c r="BL6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7" spans="1:64" ht="30" x14ac:dyDescent="0.25">
      <c r="A677" s="40">
        <v>18451</v>
      </c>
      <c r="B677" s="40" t="s">
        <v>24</v>
      </c>
      <c r="C677" s="40" t="s">
        <v>650</v>
      </c>
      <c r="D677" s="40" t="s">
        <v>295</v>
      </c>
      <c r="E677" s="40">
        <v>18</v>
      </c>
      <c r="F677" s="40" t="s">
        <v>42</v>
      </c>
      <c r="G677" s="40" t="s">
        <v>42</v>
      </c>
      <c r="H677" s="41" t="s">
        <v>647</v>
      </c>
      <c r="I677" s="42" t="s">
        <v>43</v>
      </c>
      <c r="J677" s="40" t="s">
        <v>43</v>
      </c>
      <c r="K677" s="41" t="s">
        <v>43</v>
      </c>
      <c r="L677" s="40">
        <v>2</v>
      </c>
      <c r="M677" s="40">
        <v>2</v>
      </c>
      <c r="N677" s="41">
        <v>2</v>
      </c>
      <c r="O677" s="40">
        <v>4</v>
      </c>
      <c r="P677" s="40">
        <v>2</v>
      </c>
      <c r="Q677" s="41">
        <v>4</v>
      </c>
      <c r="R677" s="40">
        <v>3</v>
      </c>
      <c r="S677" s="40">
        <v>5</v>
      </c>
      <c r="T677" s="40">
        <v>1</v>
      </c>
      <c r="U677" s="40">
        <v>4</v>
      </c>
      <c r="V677" s="40" t="s">
        <v>45</v>
      </c>
      <c r="W677" s="40" t="s">
        <v>45</v>
      </c>
      <c r="X677" s="40">
        <v>2</v>
      </c>
      <c r="Y677" s="40">
        <v>4</v>
      </c>
      <c r="Z677" s="40" t="s">
        <v>45</v>
      </c>
      <c r="AA677" s="40" t="s">
        <v>45</v>
      </c>
      <c r="AB677" s="40" t="s">
        <v>45</v>
      </c>
      <c r="AC677" s="40" t="s">
        <v>45</v>
      </c>
      <c r="AD677" s="40">
        <v>3</v>
      </c>
      <c r="AE677" s="40">
        <v>5</v>
      </c>
      <c r="AF677" s="40" t="s">
        <v>45</v>
      </c>
      <c r="AG677" s="40" t="s">
        <v>45</v>
      </c>
      <c r="AH677" s="40" t="s">
        <v>45</v>
      </c>
      <c r="AI677" s="40" t="s">
        <v>45</v>
      </c>
      <c r="AJ677" s="40" t="s">
        <v>45</v>
      </c>
      <c r="AK677" s="40" t="s">
        <v>45</v>
      </c>
      <c r="AL677" s="40" t="s">
        <v>45</v>
      </c>
      <c r="AM677" s="40" t="s">
        <v>45</v>
      </c>
      <c r="AN677" s="40" t="s">
        <v>45</v>
      </c>
      <c r="AO677" s="41" t="s">
        <v>45</v>
      </c>
      <c r="AP677" s="40" t="s">
        <v>350</v>
      </c>
      <c r="AQ677" s="40">
        <v>7</v>
      </c>
      <c r="AR677" s="48" t="s">
        <v>347</v>
      </c>
      <c r="AS677" s="43" t="s">
        <v>573</v>
      </c>
      <c r="AT677" s="43" t="s">
        <v>47</v>
      </c>
      <c r="AU677" s="44">
        <f t="shared" si="80"/>
        <v>-2.0690406309742588</v>
      </c>
      <c r="AV677" s="44">
        <f t="shared" si="81"/>
        <v>-0.74952209911061918</v>
      </c>
      <c r="AW677" s="45">
        <f t="shared" si="82"/>
        <v>4</v>
      </c>
      <c r="AX677" s="45">
        <f t="shared" si="83"/>
        <v>0</v>
      </c>
      <c r="AY677" s="46">
        <f>VLOOKUP(AP677,COND!$A$10:$B$32,2,FALSE)</f>
        <v>1</v>
      </c>
      <c r="AZ677" s="44">
        <f>($AU$3*AU677+$AV$3*AV677+$AW$3*AW677+$AX$3*AX677)*AY677*IF(AQ677&lt;5,0.95,IF(AQ677&lt;7,0.975,1))+$I$3*VLOOKUP(I677,COND!$A$2:$E$7,4,FALSE)+$J$3*VLOOKUP(J677,COND!$A$2:$E$7,2,FALSE)+$K$3*VLOOKUP(K677,COND!$A$2:$E$7,3,FALSE)+IF(BB677="SP",$BB$3,0)+IF($AW677&lt;3,-5,0)+IF(AND($B$2&gt;0,$E677&lt;20),$B$2*25,0)</f>
        <v>38.595749891592767</v>
      </c>
      <c r="BA677" s="47">
        <f>STANDARDIZE(AZ677,AVERAGE($AZ$5:$AZ$663),STDEVP($AZ$5:$AZ$663))</f>
        <v>5.4249959072518283E-2</v>
      </c>
      <c r="BB677" s="45" t="str">
        <f t="shared" si="84"/>
        <v>SP</v>
      </c>
      <c r="BC677" s="45">
        <f>RANK(Table3[[#This Row],[zScore]],Table3[zScore])</f>
        <v>299</v>
      </c>
      <c r="BD677" s="45"/>
      <c r="BE677" s="45"/>
      <c r="BF677" s="45" t="str">
        <f t="shared" si="85"/>
        <v>Unlikely</v>
      </c>
      <c r="BG677" s="45"/>
      <c r="BH677" s="45" t="str">
        <f>INDEX(Table5[[#All],[Ovr]],MATCH(Table3[[#This Row],[PID]],Table5[[#All],[PID]],0))</f>
        <v/>
      </c>
      <c r="BI677" s="45" t="str">
        <f>INDEX(Table5[[#All],[Rnd]],MATCH(Table3[[#This Row],[PID]],Table5[[#All],[PID]],0))</f>
        <v/>
      </c>
      <c r="BJ677" s="45" t="str">
        <f>INDEX(Table5[[#All],[Pick]],MATCH(Table3[[#This Row],[PID]],Table5[[#All],[PID]],0))</f>
        <v/>
      </c>
      <c r="BK677" s="45" t="str">
        <f>INDEX(Table5[[#All],[Team]],MATCH(Table3[[#This Row],[PID]],Table5[[#All],[PID]],0))</f>
        <v/>
      </c>
      <c r="BL6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8" spans="1:64" ht="30" x14ac:dyDescent="0.25">
      <c r="A678" s="40">
        <v>21000</v>
      </c>
      <c r="B678" s="40" t="s">
        <v>24</v>
      </c>
      <c r="C678" s="40" t="s">
        <v>1638</v>
      </c>
      <c r="D678" s="40" t="s">
        <v>1871</v>
      </c>
      <c r="E678" s="40">
        <v>17</v>
      </c>
      <c r="F678" s="40" t="s">
        <v>42</v>
      </c>
      <c r="G678" s="40" t="s">
        <v>42</v>
      </c>
      <c r="H678" s="41" t="s">
        <v>647</v>
      </c>
      <c r="I678" s="42" t="s">
        <v>43</v>
      </c>
      <c r="J678" s="40" t="s">
        <v>43</v>
      </c>
      <c r="K678" s="41" t="s">
        <v>43</v>
      </c>
      <c r="L678" s="40">
        <v>1</v>
      </c>
      <c r="M678" s="40">
        <v>1</v>
      </c>
      <c r="N678" s="41">
        <v>1</v>
      </c>
      <c r="O678" s="40">
        <v>4</v>
      </c>
      <c r="P678" s="40">
        <v>1</v>
      </c>
      <c r="Q678" s="41">
        <v>4</v>
      </c>
      <c r="R678" s="40" t="s">
        <v>45</v>
      </c>
      <c r="S678" s="40" t="s">
        <v>45</v>
      </c>
      <c r="T678" s="40">
        <v>1</v>
      </c>
      <c r="U678" s="40">
        <v>6</v>
      </c>
      <c r="V678" s="40" t="s">
        <v>45</v>
      </c>
      <c r="W678" s="40" t="s">
        <v>45</v>
      </c>
      <c r="X678" s="40">
        <v>2</v>
      </c>
      <c r="Y678" s="40">
        <v>6</v>
      </c>
      <c r="Z678" s="40" t="s">
        <v>45</v>
      </c>
      <c r="AA678" s="40" t="s">
        <v>45</v>
      </c>
      <c r="AB678" s="40" t="s">
        <v>45</v>
      </c>
      <c r="AC678" s="40" t="s">
        <v>45</v>
      </c>
      <c r="AD678" s="40">
        <v>3</v>
      </c>
      <c r="AE678" s="40">
        <v>5</v>
      </c>
      <c r="AF678" s="40" t="s">
        <v>45</v>
      </c>
      <c r="AG678" s="40" t="s">
        <v>45</v>
      </c>
      <c r="AH678" s="40" t="s">
        <v>45</v>
      </c>
      <c r="AI678" s="40" t="s">
        <v>45</v>
      </c>
      <c r="AJ678" s="40" t="s">
        <v>45</v>
      </c>
      <c r="AK678" s="40" t="s">
        <v>45</v>
      </c>
      <c r="AL678" s="40" t="s">
        <v>45</v>
      </c>
      <c r="AM678" s="40" t="s">
        <v>45</v>
      </c>
      <c r="AN678" s="40" t="s">
        <v>45</v>
      </c>
      <c r="AO678" s="41" t="s">
        <v>45</v>
      </c>
      <c r="AP678" s="40" t="s">
        <v>349</v>
      </c>
      <c r="AQ678" s="40">
        <v>9</v>
      </c>
      <c r="AR678" s="48" t="s">
        <v>14</v>
      </c>
      <c r="AS678" s="43" t="s">
        <v>654</v>
      </c>
      <c r="AT678" s="43" t="s">
        <v>635</v>
      </c>
      <c r="AU678" s="44">
        <f t="shared" si="80"/>
        <v>-2.7014842379675978</v>
      </c>
      <c r="AV678" s="44">
        <f t="shared" si="81"/>
        <v>-0.94495381554067481</v>
      </c>
      <c r="AW678" s="45">
        <f t="shared" si="82"/>
        <v>3</v>
      </c>
      <c r="AX678" s="45">
        <f t="shared" si="83"/>
        <v>2</v>
      </c>
      <c r="AY678" s="46">
        <f>VLOOKUP(AP678,COND!$A$10:$B$32,2,FALSE)</f>
        <v>1</v>
      </c>
      <c r="AZ678" s="44">
        <f>($AU$3*AU678+$AV$3*AV678+$AW$3*AW678+$AX$3*AX678)*AY678*IF(AQ678&lt;5,0.95,IF(AQ678&lt;7,0.975,1))+$I$3*VLOOKUP(I678,COND!$A$2:$E$7,4,FALSE)+$J$3*VLOOKUP(J678,COND!$A$2:$E$7,2,FALSE)+$K$3*VLOOKUP(K678,COND!$A$2:$E$7,3,FALSE)+IF(BB678="SP",$BB$3,0)+IF($AW678&lt;3,-5,0)+IF(AND($B$2&gt;0,$E678&lt;20),$B$2*25,0)</f>
        <v>36.560626841592985</v>
      </c>
      <c r="BA678" s="47">
        <f t="shared" ref="BA678:BA686" si="86">STANDARDIZE(AZ678,AVERAGE($AZ$5:$AZ$557),STDEVP($AZ$5:$AZ$557))</f>
        <v>4.5911351581199543E-2</v>
      </c>
      <c r="BB678" s="45" t="str">
        <f t="shared" si="84"/>
        <v>SP</v>
      </c>
      <c r="BC678" s="45">
        <f>RANK(Table3[[#This Row],[zScore]],Table3[zScore])</f>
        <v>300</v>
      </c>
      <c r="BD678" s="45"/>
      <c r="BE678" s="45"/>
      <c r="BF678" s="45" t="str">
        <f t="shared" si="85"/>
        <v>Unlikely</v>
      </c>
      <c r="BG678" s="45"/>
      <c r="BH678" s="45">
        <f>INDEX(Table5[[#All],[Ovr]],MATCH(Table3[[#This Row],[PID]],Table5[[#All],[PID]],0))</f>
        <v>575</v>
      </c>
      <c r="BI678" s="45" t="str">
        <f>INDEX(Table5[[#All],[Rnd]],MATCH(Table3[[#This Row],[PID]],Table5[[#All],[PID]],0))</f>
        <v>19</v>
      </c>
      <c r="BJ678" s="45">
        <f>INDEX(Table5[[#All],[Pick]],MATCH(Table3[[#This Row],[PID]],Table5[[#All],[PID]],0))</f>
        <v>27</v>
      </c>
      <c r="BK678" s="45" t="str">
        <f>INDEX(Table5[[#All],[Team]],MATCH(Table3[[#This Row],[PID]],Table5[[#All],[PID]],0))</f>
        <v>Neo-Tokyo Akira</v>
      </c>
      <c r="BL6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79" spans="1:64" ht="30" x14ac:dyDescent="0.25">
      <c r="A679" s="40">
        <v>18144</v>
      </c>
      <c r="B679" s="40" t="s">
        <v>24</v>
      </c>
      <c r="C679" s="40" t="s">
        <v>197</v>
      </c>
      <c r="D679" s="40" t="s">
        <v>760</v>
      </c>
      <c r="E679" s="40">
        <v>21</v>
      </c>
      <c r="F679" s="40" t="s">
        <v>42</v>
      </c>
      <c r="G679" s="40" t="s">
        <v>42</v>
      </c>
      <c r="H679" s="41" t="s">
        <v>647</v>
      </c>
      <c r="I679" s="42" t="s">
        <v>47</v>
      </c>
      <c r="J679" s="40" t="s">
        <v>47</v>
      </c>
      <c r="K679" s="41" t="s">
        <v>43</v>
      </c>
      <c r="L679" s="40">
        <v>3</v>
      </c>
      <c r="M679" s="40">
        <v>2</v>
      </c>
      <c r="N679" s="41">
        <v>1</v>
      </c>
      <c r="O679" s="40">
        <v>5</v>
      </c>
      <c r="P679" s="40">
        <v>2</v>
      </c>
      <c r="Q679" s="41">
        <v>3</v>
      </c>
      <c r="R679" s="40" t="s">
        <v>45</v>
      </c>
      <c r="S679" s="40" t="s">
        <v>45</v>
      </c>
      <c r="T679" s="40">
        <v>6</v>
      </c>
      <c r="U679" s="40">
        <v>8</v>
      </c>
      <c r="V679" s="40">
        <v>3</v>
      </c>
      <c r="W679" s="40">
        <v>6</v>
      </c>
      <c r="X679" s="40" t="s">
        <v>45</v>
      </c>
      <c r="Y679" s="40" t="s">
        <v>45</v>
      </c>
      <c r="Z679" s="40" t="s">
        <v>45</v>
      </c>
      <c r="AA679" s="40" t="s">
        <v>45</v>
      </c>
      <c r="AB679" s="40" t="s">
        <v>45</v>
      </c>
      <c r="AC679" s="40" t="s">
        <v>45</v>
      </c>
      <c r="AD679" s="40">
        <v>4</v>
      </c>
      <c r="AE679" s="40">
        <v>6</v>
      </c>
      <c r="AF679" s="40" t="s">
        <v>45</v>
      </c>
      <c r="AG679" s="40" t="s">
        <v>45</v>
      </c>
      <c r="AH679" s="40" t="s">
        <v>45</v>
      </c>
      <c r="AI679" s="40" t="s">
        <v>45</v>
      </c>
      <c r="AJ679" s="40" t="s">
        <v>45</v>
      </c>
      <c r="AK679" s="40" t="s">
        <v>45</v>
      </c>
      <c r="AL679" s="40" t="s">
        <v>45</v>
      </c>
      <c r="AM679" s="40" t="s">
        <v>45</v>
      </c>
      <c r="AN679" s="40" t="s">
        <v>45</v>
      </c>
      <c r="AO679" s="41" t="s">
        <v>45</v>
      </c>
      <c r="AP679" s="40" t="s">
        <v>60</v>
      </c>
      <c r="AQ679" s="40">
        <v>10</v>
      </c>
      <c r="AR679" s="48" t="s">
        <v>347</v>
      </c>
      <c r="AS679" s="43" t="s">
        <v>1197</v>
      </c>
      <c r="AT679" s="43" t="s">
        <v>47</v>
      </c>
      <c r="AU679" s="44">
        <f t="shared" si="80"/>
        <v>-2.1166698725191955</v>
      </c>
      <c r="AV679" s="44">
        <f t="shared" si="81"/>
        <v>-0.79715134065555615</v>
      </c>
      <c r="AW679" s="45">
        <f t="shared" si="82"/>
        <v>3</v>
      </c>
      <c r="AX679" s="45">
        <f t="shared" si="83"/>
        <v>3</v>
      </c>
      <c r="AY679" s="46">
        <f>VLOOKUP(AP679,COND!$A$10:$B$32,2,FALSE)</f>
        <v>1.0249999999999999</v>
      </c>
      <c r="AZ679" s="44">
        <f>($AU$3*AU679+$AV$3*AV679+$AW$3*AW679+$AX$3*AX679)*AY679*IF(AQ679&lt;5,0.95,IF(AQ679&lt;7,0.975,1))+$I$3*VLOOKUP(I679,COND!$A$2:$E$7,4,FALSE)+$J$3*VLOOKUP(J679,COND!$A$2:$E$7,2,FALSE)+$K$3*VLOOKUP(K679,COND!$A$2:$E$7,3,FALSE)+IF(BB679="SP",$BB$3,0)+IF($AW679&lt;3,-5,0)+IF(AND($B$2&gt;0,$E679&lt;20),$B$2*25,0)</f>
        <v>36.130730192694664</v>
      </c>
      <c r="BA679" s="47">
        <f t="shared" si="86"/>
        <v>1.7310984458864621E-2</v>
      </c>
      <c r="BB679" s="45" t="str">
        <f t="shared" si="84"/>
        <v>SP</v>
      </c>
      <c r="BC679" s="45">
        <f>RANK(Table3[[#This Row],[zScore]],Table3[zScore])</f>
        <v>303</v>
      </c>
      <c r="BD679" s="45"/>
      <c r="BE679" s="45"/>
      <c r="BF679" s="45" t="str">
        <f t="shared" si="85"/>
        <v>Unlikely</v>
      </c>
      <c r="BG679" s="45"/>
      <c r="BH679" s="45">
        <f>INDEX(Table5[[#All],[Ovr]],MATCH(Table3[[#This Row],[PID]],Table5[[#All],[PID]],0))</f>
        <v>457</v>
      </c>
      <c r="BI679" s="45" t="str">
        <f>INDEX(Table5[[#All],[Rnd]],MATCH(Table3[[#This Row],[PID]],Table5[[#All],[PID]],0))</f>
        <v>15</v>
      </c>
      <c r="BJ679" s="45">
        <f>INDEX(Table5[[#All],[Pick]],MATCH(Table3[[#This Row],[PID]],Table5[[#All],[PID]],0))</f>
        <v>29</v>
      </c>
      <c r="BK679" s="45" t="str">
        <f>INDEX(Table5[[#All],[Team]],MATCH(Table3[[#This Row],[PID]],Table5[[#All],[PID]],0))</f>
        <v>Havana Leones</v>
      </c>
      <c r="BL6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0" spans="1:64" ht="30" x14ac:dyDescent="0.25">
      <c r="A680" s="40">
        <v>20601</v>
      </c>
      <c r="B680" s="40" t="s">
        <v>24</v>
      </c>
      <c r="C680" s="40" t="s">
        <v>2130</v>
      </c>
      <c r="D680" s="40" t="s">
        <v>2131</v>
      </c>
      <c r="E680" s="40">
        <v>18</v>
      </c>
      <c r="F680" s="40" t="s">
        <v>42</v>
      </c>
      <c r="G680" s="40" t="s">
        <v>42</v>
      </c>
      <c r="H680" s="41" t="s">
        <v>647</v>
      </c>
      <c r="I680" s="42" t="s">
        <v>47</v>
      </c>
      <c r="J680" s="40" t="s">
        <v>43</v>
      </c>
      <c r="K680" s="41" t="s">
        <v>43</v>
      </c>
      <c r="L680" s="40">
        <v>2</v>
      </c>
      <c r="M680" s="40">
        <v>1</v>
      </c>
      <c r="N680" s="41">
        <v>1</v>
      </c>
      <c r="O680" s="40">
        <v>4</v>
      </c>
      <c r="P680" s="40">
        <v>1</v>
      </c>
      <c r="Q680" s="41">
        <v>4</v>
      </c>
      <c r="R680" s="40">
        <v>4</v>
      </c>
      <c r="S680" s="40">
        <v>7</v>
      </c>
      <c r="T680" s="40">
        <v>1</v>
      </c>
      <c r="U680" s="40">
        <v>5</v>
      </c>
      <c r="V680" s="40" t="s">
        <v>45</v>
      </c>
      <c r="W680" s="40" t="s">
        <v>45</v>
      </c>
      <c r="X680" s="40">
        <v>3</v>
      </c>
      <c r="Y680" s="40">
        <v>4</v>
      </c>
      <c r="Z680" s="40" t="s">
        <v>45</v>
      </c>
      <c r="AA680" s="40" t="s">
        <v>45</v>
      </c>
      <c r="AB680" s="40" t="s">
        <v>45</v>
      </c>
      <c r="AC680" s="40" t="s">
        <v>45</v>
      </c>
      <c r="AD680" s="40" t="s">
        <v>45</v>
      </c>
      <c r="AE680" s="40" t="s">
        <v>45</v>
      </c>
      <c r="AF680" s="40">
        <v>4</v>
      </c>
      <c r="AG680" s="40">
        <v>5</v>
      </c>
      <c r="AH680" s="40" t="s">
        <v>45</v>
      </c>
      <c r="AI680" s="40" t="s">
        <v>45</v>
      </c>
      <c r="AJ680" s="40" t="s">
        <v>45</v>
      </c>
      <c r="AK680" s="40" t="s">
        <v>45</v>
      </c>
      <c r="AL680" s="40" t="s">
        <v>45</v>
      </c>
      <c r="AM680" s="40" t="s">
        <v>45</v>
      </c>
      <c r="AN680" s="40" t="s">
        <v>45</v>
      </c>
      <c r="AO680" s="41" t="s">
        <v>45</v>
      </c>
      <c r="AP680" s="40" t="s">
        <v>58</v>
      </c>
      <c r="AQ680" s="40">
        <v>7</v>
      </c>
      <c r="AR680" s="48" t="s">
        <v>347</v>
      </c>
      <c r="AS680" s="43" t="s">
        <v>670</v>
      </c>
      <c r="AT680" s="43" t="s">
        <v>47</v>
      </c>
      <c r="AU680" s="44">
        <f t="shared" si="80"/>
        <v>-2.5067929134584248</v>
      </c>
      <c r="AV680" s="44">
        <f t="shared" si="81"/>
        <v>-0.94495381554067481</v>
      </c>
      <c r="AW680" s="45">
        <f t="shared" si="82"/>
        <v>4</v>
      </c>
      <c r="AX680" s="45">
        <f t="shared" si="83"/>
        <v>1</v>
      </c>
      <c r="AY680" s="46">
        <f>VLOOKUP(AP680,COND!$A$10:$B$32,2,FALSE)</f>
        <v>1</v>
      </c>
      <c r="AZ680" s="44">
        <f>($AU$3*AU680+$AV$3*AV680+$AW$3*AW680+$AX$3*AX680)*AY680*IF(AQ680&lt;5,0.95,IF(AQ680&lt;7,0.975,1))+$I$3*VLOOKUP(I680,COND!$A$2:$E$7,4,FALSE)+$J$3*VLOOKUP(J680,COND!$A$2:$E$7,2,FALSE)+$K$3*VLOOKUP(K680,COND!$A$2:$E$7,3,FALSE)+IF(BB680="SP",$BB$3,0)+IF($AW680&lt;3,-5,0)+IF(AND($B$2&gt;0,$E680&lt;20),$B$2*25,0)</f>
        <v>36.074565106494816</v>
      </c>
      <c r="BA680" s="47">
        <f t="shared" si="86"/>
        <v>1.3574407100353623E-2</v>
      </c>
      <c r="BB680" s="45" t="str">
        <f t="shared" si="84"/>
        <v>SP</v>
      </c>
      <c r="BC680" s="45">
        <f>RANK(Table3[[#This Row],[zScore]],Table3[zScore])</f>
        <v>304</v>
      </c>
      <c r="BD680" s="45"/>
      <c r="BE680" s="45"/>
      <c r="BF680" s="45" t="str">
        <f t="shared" si="85"/>
        <v>Unlikely</v>
      </c>
      <c r="BG680" s="45"/>
      <c r="BH680" s="45" t="str">
        <f>INDEX(Table5[[#All],[Ovr]],MATCH(Table3[[#This Row],[PID]],Table5[[#All],[PID]],0))</f>
        <v/>
      </c>
      <c r="BI680" s="45" t="str">
        <f>INDEX(Table5[[#All],[Rnd]],MATCH(Table3[[#This Row],[PID]],Table5[[#All],[PID]],0))</f>
        <v/>
      </c>
      <c r="BJ680" s="45" t="str">
        <f>INDEX(Table5[[#All],[Pick]],MATCH(Table3[[#This Row],[PID]],Table5[[#All],[PID]],0))</f>
        <v/>
      </c>
      <c r="BK680" s="45" t="str">
        <f>INDEX(Table5[[#All],[Team]],MATCH(Table3[[#This Row],[PID]],Table5[[#All],[PID]],0))</f>
        <v/>
      </c>
      <c r="BL6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1" spans="1:64" ht="30" x14ac:dyDescent="0.25">
      <c r="A681" s="40">
        <v>18267</v>
      </c>
      <c r="B681" s="40" t="s">
        <v>24</v>
      </c>
      <c r="C681" s="40" t="s">
        <v>422</v>
      </c>
      <c r="D681" s="40" t="s">
        <v>189</v>
      </c>
      <c r="E681" s="40">
        <v>18</v>
      </c>
      <c r="F681" s="40" t="s">
        <v>42</v>
      </c>
      <c r="G681" s="40" t="s">
        <v>42</v>
      </c>
      <c r="H681" s="41" t="s">
        <v>647</v>
      </c>
      <c r="I681" s="42" t="s">
        <v>47</v>
      </c>
      <c r="J681" s="40" t="s">
        <v>43</v>
      </c>
      <c r="K681" s="41" t="s">
        <v>43</v>
      </c>
      <c r="L681" s="40">
        <v>2</v>
      </c>
      <c r="M681" s="40">
        <v>1</v>
      </c>
      <c r="N681" s="41">
        <v>1</v>
      </c>
      <c r="O681" s="40">
        <v>4</v>
      </c>
      <c r="P681" s="40">
        <v>1</v>
      </c>
      <c r="Q681" s="41">
        <v>4</v>
      </c>
      <c r="R681" s="40">
        <v>4</v>
      </c>
      <c r="S681" s="40">
        <v>6</v>
      </c>
      <c r="T681" s="40" t="s">
        <v>45</v>
      </c>
      <c r="U681" s="40" t="s">
        <v>45</v>
      </c>
      <c r="V681" s="40">
        <v>2</v>
      </c>
      <c r="W681" s="40">
        <v>5</v>
      </c>
      <c r="X681" s="40" t="s">
        <v>45</v>
      </c>
      <c r="Y681" s="40" t="s">
        <v>45</v>
      </c>
      <c r="Z681" s="40" t="s">
        <v>45</v>
      </c>
      <c r="AA681" s="40" t="s">
        <v>45</v>
      </c>
      <c r="AB681" s="40">
        <v>3</v>
      </c>
      <c r="AC681" s="40">
        <v>5</v>
      </c>
      <c r="AD681" s="40" t="s">
        <v>45</v>
      </c>
      <c r="AE681" s="40" t="s">
        <v>45</v>
      </c>
      <c r="AF681" s="40" t="s">
        <v>45</v>
      </c>
      <c r="AG681" s="40" t="s">
        <v>45</v>
      </c>
      <c r="AH681" s="40" t="s">
        <v>45</v>
      </c>
      <c r="AI681" s="40" t="s">
        <v>45</v>
      </c>
      <c r="AJ681" s="40" t="s">
        <v>45</v>
      </c>
      <c r="AK681" s="40" t="s">
        <v>45</v>
      </c>
      <c r="AL681" s="40" t="s">
        <v>45</v>
      </c>
      <c r="AM681" s="40" t="s">
        <v>45</v>
      </c>
      <c r="AN681" s="40" t="s">
        <v>45</v>
      </c>
      <c r="AO681" s="41" t="s">
        <v>45</v>
      </c>
      <c r="AP681" s="40" t="s">
        <v>58</v>
      </c>
      <c r="AQ681" s="40">
        <v>6</v>
      </c>
      <c r="AR681" s="48" t="s">
        <v>14</v>
      </c>
      <c r="AS681" s="43" t="s">
        <v>654</v>
      </c>
      <c r="AT681" s="43" t="s">
        <v>47</v>
      </c>
      <c r="AU681" s="44">
        <f t="shared" si="80"/>
        <v>-2.5067929134584248</v>
      </c>
      <c r="AV681" s="44">
        <f t="shared" si="81"/>
        <v>-0.94495381554067481</v>
      </c>
      <c r="AW681" s="45">
        <f t="shared" si="82"/>
        <v>3</v>
      </c>
      <c r="AX681" s="45">
        <f t="shared" si="83"/>
        <v>1</v>
      </c>
      <c r="AY681" s="46">
        <f>VLOOKUP(AP681,COND!$A$10:$B$32,2,FALSE)</f>
        <v>1</v>
      </c>
      <c r="AZ681" s="44">
        <f>($AU$3*AU681+$AV$3*AV681+$AW$3*AW681+$AX$3*AX681)*AY681*IF(AQ681&lt;5,0.95,IF(AQ681&lt;7,0.975,1))+$I$3*VLOOKUP(I681,COND!$A$2:$E$7,4,FALSE)+$J$3*VLOOKUP(J681,COND!$A$2:$E$7,2,FALSE)+$K$3*VLOOKUP(K681,COND!$A$2:$E$7,3,FALSE)+IF(BB681="SP",$BB$3,0)+IF($AW681&lt;3,-5,0)+IF(AND($B$2&gt;0,$E681&lt;20),$B$2*25,0)</f>
        <v>35.990825978832447</v>
      </c>
      <c r="BA681" s="47">
        <f t="shared" si="86"/>
        <v>8.0033708994776184E-3</v>
      </c>
      <c r="BB681" s="45" t="str">
        <f t="shared" si="84"/>
        <v>SP</v>
      </c>
      <c r="BC681" s="45">
        <f>RANK(Table3[[#This Row],[zScore]],Table3[zScore])</f>
        <v>305</v>
      </c>
      <c r="BD681" s="45"/>
      <c r="BE681" s="45"/>
      <c r="BF681" s="45" t="str">
        <f t="shared" si="85"/>
        <v>Unlikely</v>
      </c>
      <c r="BG681" s="45"/>
      <c r="BH681" s="45" t="str">
        <f>INDEX(Table5[[#All],[Ovr]],MATCH(Table3[[#This Row],[PID]],Table5[[#All],[PID]],0))</f>
        <v/>
      </c>
      <c r="BI681" s="45" t="str">
        <f>INDEX(Table5[[#All],[Rnd]],MATCH(Table3[[#This Row],[PID]],Table5[[#All],[PID]],0))</f>
        <v/>
      </c>
      <c r="BJ681" s="45" t="str">
        <f>INDEX(Table5[[#All],[Pick]],MATCH(Table3[[#This Row],[PID]],Table5[[#All],[PID]],0))</f>
        <v/>
      </c>
      <c r="BK681" s="45" t="str">
        <f>INDEX(Table5[[#All],[Team]],MATCH(Table3[[#This Row],[PID]],Table5[[#All],[PID]],0))</f>
        <v/>
      </c>
      <c r="BL68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2" spans="1:64" ht="30" x14ac:dyDescent="0.25">
      <c r="A682" s="40">
        <v>20805</v>
      </c>
      <c r="B682" s="40" t="s">
        <v>24</v>
      </c>
      <c r="C682" s="40" t="s">
        <v>125</v>
      </c>
      <c r="D682" s="40" t="s">
        <v>1692</v>
      </c>
      <c r="E682" s="40">
        <v>18</v>
      </c>
      <c r="F682" s="40" t="s">
        <v>42</v>
      </c>
      <c r="G682" s="40" t="s">
        <v>42</v>
      </c>
      <c r="H682" s="41" t="s">
        <v>647</v>
      </c>
      <c r="I682" s="42" t="s">
        <v>43</v>
      </c>
      <c r="J682" s="40" t="s">
        <v>43</v>
      </c>
      <c r="K682" s="41" t="s">
        <v>43</v>
      </c>
      <c r="L682" s="40">
        <v>1</v>
      </c>
      <c r="M682" s="40">
        <v>2</v>
      </c>
      <c r="N682" s="41">
        <v>1</v>
      </c>
      <c r="O682" s="40">
        <v>4</v>
      </c>
      <c r="P682" s="40">
        <v>2</v>
      </c>
      <c r="Q682" s="41">
        <v>3</v>
      </c>
      <c r="R682" s="40">
        <v>3</v>
      </c>
      <c r="S682" s="40">
        <v>6</v>
      </c>
      <c r="T682" s="40">
        <v>1</v>
      </c>
      <c r="U682" s="40">
        <v>1</v>
      </c>
      <c r="V682" s="40" t="s">
        <v>45</v>
      </c>
      <c r="W682" s="40" t="s">
        <v>45</v>
      </c>
      <c r="X682" s="40">
        <v>2</v>
      </c>
      <c r="Y682" s="40">
        <v>7</v>
      </c>
      <c r="Z682" s="40" t="s">
        <v>45</v>
      </c>
      <c r="AA682" s="40" t="s">
        <v>45</v>
      </c>
      <c r="AB682" s="40" t="s">
        <v>45</v>
      </c>
      <c r="AC682" s="40" t="s">
        <v>45</v>
      </c>
      <c r="AD682" s="40" t="s">
        <v>45</v>
      </c>
      <c r="AE682" s="40" t="s">
        <v>45</v>
      </c>
      <c r="AF682" s="40" t="s">
        <v>45</v>
      </c>
      <c r="AG682" s="40" t="s">
        <v>45</v>
      </c>
      <c r="AH682" s="40" t="s">
        <v>45</v>
      </c>
      <c r="AI682" s="40" t="s">
        <v>45</v>
      </c>
      <c r="AJ682" s="40" t="s">
        <v>45</v>
      </c>
      <c r="AK682" s="40" t="s">
        <v>45</v>
      </c>
      <c r="AL682" s="40" t="s">
        <v>45</v>
      </c>
      <c r="AM682" s="40" t="s">
        <v>45</v>
      </c>
      <c r="AN682" s="40" t="s">
        <v>45</v>
      </c>
      <c r="AO682" s="41" t="s">
        <v>45</v>
      </c>
      <c r="AP682" s="40" t="s">
        <v>349</v>
      </c>
      <c r="AQ682" s="40">
        <v>8</v>
      </c>
      <c r="AR682" s="48" t="s">
        <v>347</v>
      </c>
      <c r="AS682" s="43" t="s">
        <v>670</v>
      </c>
      <c r="AT682" s="43" t="s">
        <v>47</v>
      </c>
      <c r="AU682" s="44">
        <f t="shared" si="80"/>
        <v>-2.5060525215375429</v>
      </c>
      <c r="AV682" s="44">
        <f t="shared" si="81"/>
        <v>-0.99184266516472974</v>
      </c>
      <c r="AW682" s="45">
        <f t="shared" si="82"/>
        <v>3</v>
      </c>
      <c r="AX682" s="45">
        <f t="shared" si="83"/>
        <v>2</v>
      </c>
      <c r="AY682" s="46">
        <f>VLOOKUP(AP682,COND!$A$10:$B$32,2,FALSE)</f>
        <v>1</v>
      </c>
      <c r="AZ682" s="44">
        <f>($AU$3*AU682+$AV$3*AV682+$AW$3*AW682+$AX$3*AX682)*AY682*IF(AQ682&lt;5,0.95,IF(AQ682&lt;7,0.975,1))+$I$3*VLOOKUP(I682,COND!$A$2:$E$7,4,FALSE)+$J$3*VLOOKUP(J682,COND!$A$2:$E$7,2,FALSE)+$K$3*VLOOKUP(K682,COND!$A$2:$E$7,3,FALSE)+IF(BB682="SP",$BB$3,0)+IF($AW682&lt;3,-5,0)+IF(AND($B$2&gt;0,$E682&lt;20),$B$2*25,0)</f>
        <v>35.661936192397896</v>
      </c>
      <c r="BA682" s="47">
        <f t="shared" si="86"/>
        <v>-1.3877164012622354E-2</v>
      </c>
      <c r="BB682" s="45" t="str">
        <f t="shared" si="84"/>
        <v>SP</v>
      </c>
      <c r="BC682" s="45">
        <f>RANK(Table3[[#This Row],[zScore]],Table3[zScore])</f>
        <v>311</v>
      </c>
      <c r="BD682" s="45"/>
      <c r="BE682" s="45"/>
      <c r="BF682" s="45" t="str">
        <f t="shared" si="85"/>
        <v>Unlikely</v>
      </c>
      <c r="BG682" s="45"/>
      <c r="BH682" s="45" t="str">
        <f>INDEX(Table5[[#All],[Ovr]],MATCH(Table3[[#This Row],[PID]],Table5[[#All],[PID]],0))</f>
        <v/>
      </c>
      <c r="BI682" s="45" t="str">
        <f>INDEX(Table5[[#All],[Rnd]],MATCH(Table3[[#This Row],[PID]],Table5[[#All],[PID]],0))</f>
        <v/>
      </c>
      <c r="BJ682" s="45" t="str">
        <f>INDEX(Table5[[#All],[Pick]],MATCH(Table3[[#This Row],[PID]],Table5[[#All],[PID]],0))</f>
        <v/>
      </c>
      <c r="BK682" s="45" t="str">
        <f>INDEX(Table5[[#All],[Team]],MATCH(Table3[[#This Row],[PID]],Table5[[#All],[PID]],0))</f>
        <v/>
      </c>
      <c r="BL68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3" spans="1:64" ht="30" x14ac:dyDescent="0.25">
      <c r="A683" s="40">
        <v>20450</v>
      </c>
      <c r="B683" s="40" t="s">
        <v>24</v>
      </c>
      <c r="C683" s="40" t="s">
        <v>2030</v>
      </c>
      <c r="D683" s="40" t="s">
        <v>2031</v>
      </c>
      <c r="E683" s="40">
        <v>17</v>
      </c>
      <c r="F683" s="40" t="s">
        <v>53</v>
      </c>
      <c r="G683" s="40" t="s">
        <v>42</v>
      </c>
      <c r="H683" s="41" t="s">
        <v>647</v>
      </c>
      <c r="I683" s="42" t="s">
        <v>43</v>
      </c>
      <c r="J683" s="40" t="s">
        <v>43</v>
      </c>
      <c r="K683" s="41" t="s">
        <v>43</v>
      </c>
      <c r="L683" s="40">
        <v>2</v>
      </c>
      <c r="M683" s="40">
        <v>1</v>
      </c>
      <c r="N683" s="41">
        <v>1</v>
      </c>
      <c r="O683" s="40">
        <v>4</v>
      </c>
      <c r="P683" s="40">
        <v>2</v>
      </c>
      <c r="Q683" s="41">
        <v>3</v>
      </c>
      <c r="R683" s="40">
        <v>4</v>
      </c>
      <c r="S683" s="40">
        <v>6</v>
      </c>
      <c r="T683" s="40">
        <v>2</v>
      </c>
      <c r="U683" s="40">
        <v>2</v>
      </c>
      <c r="V683" s="40">
        <v>3</v>
      </c>
      <c r="W683" s="40">
        <v>8</v>
      </c>
      <c r="X683" s="40" t="s">
        <v>45</v>
      </c>
      <c r="Y683" s="40" t="s">
        <v>45</v>
      </c>
      <c r="Z683" s="40" t="s">
        <v>45</v>
      </c>
      <c r="AA683" s="40" t="s">
        <v>45</v>
      </c>
      <c r="AB683" s="40" t="s">
        <v>45</v>
      </c>
      <c r="AC683" s="40" t="s">
        <v>45</v>
      </c>
      <c r="AD683" s="40" t="s">
        <v>45</v>
      </c>
      <c r="AE683" s="40" t="s">
        <v>45</v>
      </c>
      <c r="AF683" s="40" t="s">
        <v>45</v>
      </c>
      <c r="AG683" s="40" t="s">
        <v>45</v>
      </c>
      <c r="AH683" s="40" t="s">
        <v>45</v>
      </c>
      <c r="AI683" s="40" t="s">
        <v>45</v>
      </c>
      <c r="AJ683" s="40" t="s">
        <v>45</v>
      </c>
      <c r="AK683" s="40" t="s">
        <v>45</v>
      </c>
      <c r="AL683" s="40" t="s">
        <v>45</v>
      </c>
      <c r="AM683" s="40" t="s">
        <v>45</v>
      </c>
      <c r="AN683" s="40" t="s">
        <v>45</v>
      </c>
      <c r="AO683" s="41" t="s">
        <v>45</v>
      </c>
      <c r="AP683" s="40" t="s">
        <v>350</v>
      </c>
      <c r="AQ683" s="40">
        <v>7</v>
      </c>
      <c r="AR683" s="48" t="s">
        <v>14</v>
      </c>
      <c r="AS683" s="43" t="s">
        <v>644</v>
      </c>
      <c r="AT683" s="43" t="s">
        <v>47</v>
      </c>
      <c r="AU683" s="44">
        <f t="shared" si="80"/>
        <v>-2.5067929134584248</v>
      </c>
      <c r="AV683" s="44">
        <f t="shared" si="81"/>
        <v>-0.99184266516472974</v>
      </c>
      <c r="AW683" s="45">
        <f t="shared" si="82"/>
        <v>3</v>
      </c>
      <c r="AX683" s="45">
        <f t="shared" si="83"/>
        <v>2</v>
      </c>
      <c r="AY683" s="46">
        <f>VLOOKUP(AP683,COND!$A$10:$B$32,2,FALSE)</f>
        <v>1</v>
      </c>
      <c r="AZ683" s="44">
        <f>($AU$3*AU683+$AV$3*AV683+$AW$3*AW683+$AX$3*AX683)*AY683*IF(AQ683&lt;5,0.95,IF(AQ683&lt;7,0.975,1))+$I$3*VLOOKUP(I683,COND!$A$2:$E$7,4,FALSE)+$J$3*VLOOKUP(J683,COND!$A$2:$E$7,2,FALSE)+$K$3*VLOOKUP(K683,COND!$A$2:$E$7,3,FALSE)+IF(BB683="SP",$BB$3,0)+IF($AW683&lt;3,-5,0)+IF(AND($B$2&gt;0,$E683&lt;20),$B$2*25,0)</f>
        <v>35.661788114013717</v>
      </c>
      <c r="BA683" s="47">
        <f t="shared" si="86"/>
        <v>-1.3887015441241862E-2</v>
      </c>
      <c r="BB683" s="45" t="str">
        <f t="shared" si="84"/>
        <v>SP</v>
      </c>
      <c r="BC683" s="45">
        <f>RANK(Table3[[#This Row],[zScore]],Table3[zScore])</f>
        <v>312</v>
      </c>
      <c r="BD683" s="45"/>
      <c r="BE683" s="45"/>
      <c r="BF683" s="45" t="str">
        <f t="shared" si="85"/>
        <v>Unlikely</v>
      </c>
      <c r="BG683" s="45"/>
      <c r="BH683" s="45" t="str">
        <f>INDEX(Table5[[#All],[Ovr]],MATCH(Table3[[#This Row],[PID]],Table5[[#All],[PID]],0))</f>
        <v/>
      </c>
      <c r="BI683" s="45" t="str">
        <f>INDEX(Table5[[#All],[Rnd]],MATCH(Table3[[#This Row],[PID]],Table5[[#All],[PID]],0))</f>
        <v/>
      </c>
      <c r="BJ683" s="45" t="str">
        <f>INDEX(Table5[[#All],[Pick]],MATCH(Table3[[#This Row],[PID]],Table5[[#All],[PID]],0))</f>
        <v/>
      </c>
      <c r="BK683" s="45" t="str">
        <f>INDEX(Table5[[#All],[Team]],MATCH(Table3[[#This Row],[PID]],Table5[[#All],[PID]],0))</f>
        <v/>
      </c>
      <c r="BL683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4" spans="1:64" ht="30" x14ac:dyDescent="0.25">
      <c r="A684" s="40">
        <v>20576</v>
      </c>
      <c r="B684" s="40" t="s">
        <v>24</v>
      </c>
      <c r="C684" s="40" t="s">
        <v>1951</v>
      </c>
      <c r="D684" s="40" t="s">
        <v>1419</v>
      </c>
      <c r="E684" s="40">
        <v>17</v>
      </c>
      <c r="F684" s="40" t="s">
        <v>42</v>
      </c>
      <c r="G684" s="40" t="s">
        <v>42</v>
      </c>
      <c r="H684" s="41" t="s">
        <v>647</v>
      </c>
      <c r="I684" s="42" t="s">
        <v>43</v>
      </c>
      <c r="J684" s="40" t="s">
        <v>43</v>
      </c>
      <c r="K684" s="41" t="s">
        <v>47</v>
      </c>
      <c r="L684" s="40">
        <v>2</v>
      </c>
      <c r="M684" s="40">
        <v>1</v>
      </c>
      <c r="N684" s="41">
        <v>1</v>
      </c>
      <c r="O684" s="40">
        <v>4</v>
      </c>
      <c r="P684" s="40">
        <v>2</v>
      </c>
      <c r="Q684" s="41">
        <v>3</v>
      </c>
      <c r="R684" s="40">
        <v>4</v>
      </c>
      <c r="S684" s="40">
        <v>6</v>
      </c>
      <c r="T684" s="40">
        <v>1</v>
      </c>
      <c r="U684" s="40">
        <v>4</v>
      </c>
      <c r="V684" s="40" t="s">
        <v>45</v>
      </c>
      <c r="W684" s="40" t="s">
        <v>45</v>
      </c>
      <c r="X684" s="40" t="s">
        <v>45</v>
      </c>
      <c r="Y684" s="40" t="s">
        <v>45</v>
      </c>
      <c r="Z684" s="40" t="s">
        <v>45</v>
      </c>
      <c r="AA684" s="40" t="s">
        <v>45</v>
      </c>
      <c r="AB684" s="40" t="s">
        <v>45</v>
      </c>
      <c r="AC684" s="40" t="s">
        <v>45</v>
      </c>
      <c r="AD684" s="40">
        <v>3</v>
      </c>
      <c r="AE684" s="40">
        <v>3</v>
      </c>
      <c r="AF684" s="40">
        <v>3</v>
      </c>
      <c r="AG684" s="40">
        <v>5</v>
      </c>
      <c r="AH684" s="40" t="s">
        <v>45</v>
      </c>
      <c r="AI684" s="40" t="s">
        <v>45</v>
      </c>
      <c r="AJ684" s="40" t="s">
        <v>45</v>
      </c>
      <c r="AK684" s="40" t="s">
        <v>45</v>
      </c>
      <c r="AL684" s="40" t="s">
        <v>45</v>
      </c>
      <c r="AM684" s="40" t="s">
        <v>45</v>
      </c>
      <c r="AN684" s="40" t="s">
        <v>45</v>
      </c>
      <c r="AO684" s="41" t="s">
        <v>45</v>
      </c>
      <c r="AP684" s="40" t="s">
        <v>56</v>
      </c>
      <c r="AQ684" s="40">
        <v>5</v>
      </c>
      <c r="AR684" s="48" t="s">
        <v>14</v>
      </c>
      <c r="AS684" s="43" t="s">
        <v>663</v>
      </c>
      <c r="AT684" s="43" t="s">
        <v>635</v>
      </c>
      <c r="AU684" s="44">
        <f t="shared" si="80"/>
        <v>-2.5067929134584248</v>
      </c>
      <c r="AV684" s="44">
        <f t="shared" si="81"/>
        <v>-0.99184266516472974</v>
      </c>
      <c r="AW684" s="45">
        <f t="shared" si="82"/>
        <v>4</v>
      </c>
      <c r="AX684" s="45">
        <f t="shared" si="83"/>
        <v>1</v>
      </c>
      <c r="AY684" s="46">
        <f>VLOOKUP(AP684,COND!$A$10:$B$32,2,FALSE)</f>
        <v>1</v>
      </c>
      <c r="AZ684" s="44">
        <f>($AU$3*AU684+$AV$3*AV684+$AW$3*AW684+$AX$3*AX684)*AY684*IF(AQ684&lt;5,0.95,IF(AQ684&lt;7,0.975,1))+$I$3*VLOOKUP(I684,COND!$A$2:$E$7,4,FALSE)+$J$3*VLOOKUP(J684,COND!$A$2:$E$7,2,FALSE)+$K$3*VLOOKUP(K684,COND!$A$2:$E$7,3,FALSE)+IF(BB684="SP",$BB$3,0)+IF($AW684&lt;3,-5,0)+IF(AND($B$2&gt;0,$E684&lt;20),$B$2*25,0)</f>
        <v>35.638993411163376</v>
      </c>
      <c r="BA684" s="47">
        <f t="shared" si="86"/>
        <v>-1.5403512189088055E-2</v>
      </c>
      <c r="BB684" s="45" t="str">
        <f t="shared" si="84"/>
        <v>SP</v>
      </c>
      <c r="BC684" s="45">
        <f>RANK(Table3[[#This Row],[zScore]],Table3[zScore])</f>
        <v>315</v>
      </c>
      <c r="BD684" s="45"/>
      <c r="BE684" s="45"/>
      <c r="BF684" s="45" t="str">
        <f t="shared" si="85"/>
        <v>Unlikely</v>
      </c>
      <c r="BG684" s="45"/>
      <c r="BH684" s="45" t="str">
        <f>INDEX(Table5[[#All],[Ovr]],MATCH(Table3[[#This Row],[PID]],Table5[[#All],[PID]],0))</f>
        <v/>
      </c>
      <c r="BI684" s="45" t="str">
        <f>INDEX(Table5[[#All],[Rnd]],MATCH(Table3[[#This Row],[PID]],Table5[[#All],[PID]],0))</f>
        <v/>
      </c>
      <c r="BJ684" s="45" t="str">
        <f>INDEX(Table5[[#All],[Pick]],MATCH(Table3[[#This Row],[PID]],Table5[[#All],[PID]],0))</f>
        <v/>
      </c>
      <c r="BK684" s="45" t="str">
        <f>INDEX(Table5[[#All],[Team]],MATCH(Table3[[#This Row],[PID]],Table5[[#All],[PID]],0))</f>
        <v/>
      </c>
      <c r="BL68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5" spans="1:64" ht="30" x14ac:dyDescent="0.25">
      <c r="A685" s="40">
        <v>17857</v>
      </c>
      <c r="B685" s="40" t="s">
        <v>24</v>
      </c>
      <c r="C685" s="40" t="s">
        <v>2032</v>
      </c>
      <c r="D685" s="40" t="s">
        <v>1827</v>
      </c>
      <c r="E685" s="40">
        <v>18</v>
      </c>
      <c r="F685" s="40" t="s">
        <v>42</v>
      </c>
      <c r="G685" s="40" t="s">
        <v>42</v>
      </c>
      <c r="H685" s="41" t="s">
        <v>647</v>
      </c>
      <c r="I685" s="42" t="s">
        <v>44</v>
      </c>
      <c r="J685" s="40" t="s">
        <v>43</v>
      </c>
      <c r="K685" s="41" t="s">
        <v>43</v>
      </c>
      <c r="L685" s="40">
        <v>1</v>
      </c>
      <c r="M685" s="40">
        <v>2</v>
      </c>
      <c r="N685" s="41">
        <v>1</v>
      </c>
      <c r="O685" s="40">
        <v>4</v>
      </c>
      <c r="P685" s="40">
        <v>2</v>
      </c>
      <c r="Q685" s="41">
        <v>3</v>
      </c>
      <c r="R685" s="40">
        <v>4</v>
      </c>
      <c r="S685" s="40">
        <v>6</v>
      </c>
      <c r="T685" s="40">
        <v>1</v>
      </c>
      <c r="U685" s="40">
        <v>5</v>
      </c>
      <c r="V685" s="40" t="s">
        <v>45</v>
      </c>
      <c r="W685" s="40" t="s">
        <v>45</v>
      </c>
      <c r="X685" s="40">
        <v>2</v>
      </c>
      <c r="Y685" s="40">
        <v>6</v>
      </c>
      <c r="Z685" s="40" t="s">
        <v>45</v>
      </c>
      <c r="AA685" s="40" t="s">
        <v>45</v>
      </c>
      <c r="AB685" s="40" t="s">
        <v>45</v>
      </c>
      <c r="AC685" s="40" t="s">
        <v>45</v>
      </c>
      <c r="AD685" s="40" t="s">
        <v>45</v>
      </c>
      <c r="AE685" s="40" t="s">
        <v>45</v>
      </c>
      <c r="AF685" s="40" t="s">
        <v>45</v>
      </c>
      <c r="AG685" s="40" t="s">
        <v>45</v>
      </c>
      <c r="AH685" s="40" t="s">
        <v>45</v>
      </c>
      <c r="AI685" s="40" t="s">
        <v>45</v>
      </c>
      <c r="AJ685" s="40" t="s">
        <v>45</v>
      </c>
      <c r="AK685" s="40" t="s">
        <v>45</v>
      </c>
      <c r="AL685" s="40" t="s">
        <v>45</v>
      </c>
      <c r="AM685" s="40" t="s">
        <v>45</v>
      </c>
      <c r="AN685" s="40" t="s">
        <v>45</v>
      </c>
      <c r="AO685" s="41" t="s">
        <v>45</v>
      </c>
      <c r="AP685" s="40" t="s">
        <v>57</v>
      </c>
      <c r="AQ685" s="40">
        <v>8</v>
      </c>
      <c r="AR685" s="48" t="s">
        <v>347</v>
      </c>
      <c r="AS685" s="43" t="s">
        <v>659</v>
      </c>
      <c r="AT685" s="43" t="s">
        <v>47</v>
      </c>
      <c r="AU685" s="44">
        <f t="shared" si="80"/>
        <v>-2.5060525215375429</v>
      </c>
      <c r="AV685" s="44">
        <f t="shared" si="81"/>
        <v>-0.99184266516472974</v>
      </c>
      <c r="AW685" s="45">
        <f t="shared" si="82"/>
        <v>3</v>
      </c>
      <c r="AX685" s="45">
        <f t="shared" si="83"/>
        <v>2</v>
      </c>
      <c r="AY685" s="46">
        <f>VLOOKUP(AP685,COND!$A$10:$B$32,2,FALSE)</f>
        <v>1</v>
      </c>
      <c r="AZ685" s="44">
        <f>($AU$3*AU685+$AV$3*AV685+$AW$3*AW685+$AX$3*AX685)*AY685*IF(AQ685&lt;5,0.95,IF(AQ685&lt;7,0.975,1))+$I$3*VLOOKUP(I685,COND!$A$2:$E$7,4,FALSE)+$J$3*VLOOKUP(J685,COND!$A$2:$E$7,2,FALSE)+$K$3*VLOOKUP(K685,COND!$A$2:$E$7,3,FALSE)+IF(BB685="SP",$BB$3,0)+IF($AW685&lt;3,-5,0)+IF(AND($B$2&gt;0,$E685&lt;20),$B$2*25,0)</f>
        <v>35.511936192397897</v>
      </c>
      <c r="BA685" s="47">
        <f t="shared" si="86"/>
        <v>-2.3856434796295938E-2</v>
      </c>
      <c r="BB685" s="45" t="str">
        <f t="shared" si="84"/>
        <v>SP</v>
      </c>
      <c r="BC685" s="45">
        <f>RANK(Table3[[#This Row],[zScore]],Table3[zScore])</f>
        <v>316</v>
      </c>
      <c r="BD685" s="45"/>
      <c r="BE685" s="45"/>
      <c r="BF685" s="45" t="str">
        <f t="shared" si="85"/>
        <v>Unlikely</v>
      </c>
      <c r="BG685" s="45"/>
      <c r="BH685" s="45" t="str">
        <f>INDEX(Table5[[#All],[Ovr]],MATCH(Table3[[#This Row],[PID]],Table5[[#All],[PID]],0))</f>
        <v/>
      </c>
      <c r="BI685" s="45" t="str">
        <f>INDEX(Table5[[#All],[Rnd]],MATCH(Table3[[#This Row],[PID]],Table5[[#All],[PID]],0))</f>
        <v/>
      </c>
      <c r="BJ685" s="45" t="str">
        <f>INDEX(Table5[[#All],[Pick]],MATCH(Table3[[#This Row],[PID]],Table5[[#All],[PID]],0))</f>
        <v/>
      </c>
      <c r="BK685" s="45" t="str">
        <f>INDEX(Table5[[#All],[Team]],MATCH(Table3[[#This Row],[PID]],Table5[[#All],[PID]],0))</f>
        <v/>
      </c>
      <c r="BL685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6" spans="1:64" ht="30" x14ac:dyDescent="0.25">
      <c r="A686" s="40">
        <v>17898</v>
      </c>
      <c r="B686" s="40" t="s">
        <v>24</v>
      </c>
      <c r="C686" s="40" t="s">
        <v>692</v>
      </c>
      <c r="D686" s="40" t="s">
        <v>1081</v>
      </c>
      <c r="E686" s="40">
        <v>18</v>
      </c>
      <c r="F686" s="40" t="s">
        <v>53</v>
      </c>
      <c r="G686" s="40" t="s">
        <v>53</v>
      </c>
      <c r="H686" s="41" t="s">
        <v>647</v>
      </c>
      <c r="I686" s="42" t="s">
        <v>43</v>
      </c>
      <c r="J686" s="40" t="s">
        <v>43</v>
      </c>
      <c r="K686" s="41" t="s">
        <v>43</v>
      </c>
      <c r="L686" s="40">
        <v>2</v>
      </c>
      <c r="M686" s="40">
        <v>2</v>
      </c>
      <c r="N686" s="41">
        <v>1</v>
      </c>
      <c r="O686" s="40">
        <v>4</v>
      </c>
      <c r="P686" s="40">
        <v>3</v>
      </c>
      <c r="Q686" s="41">
        <v>2</v>
      </c>
      <c r="R686" s="40">
        <v>4</v>
      </c>
      <c r="S686" s="40">
        <v>6</v>
      </c>
      <c r="T686" s="40">
        <v>1</v>
      </c>
      <c r="U686" s="40">
        <v>5</v>
      </c>
      <c r="V686" s="40" t="s">
        <v>45</v>
      </c>
      <c r="W686" s="40" t="s">
        <v>45</v>
      </c>
      <c r="X686" s="40">
        <v>3</v>
      </c>
      <c r="Y686" s="40">
        <v>6</v>
      </c>
      <c r="Z686" s="40" t="s">
        <v>45</v>
      </c>
      <c r="AA686" s="40" t="s">
        <v>45</v>
      </c>
      <c r="AB686" s="40" t="s">
        <v>45</v>
      </c>
      <c r="AC686" s="40" t="s">
        <v>45</v>
      </c>
      <c r="AD686" s="40" t="s">
        <v>45</v>
      </c>
      <c r="AE686" s="40" t="s">
        <v>45</v>
      </c>
      <c r="AF686" s="40" t="s">
        <v>45</v>
      </c>
      <c r="AG686" s="40" t="s">
        <v>45</v>
      </c>
      <c r="AH686" s="40" t="s">
        <v>45</v>
      </c>
      <c r="AI686" s="40" t="s">
        <v>45</v>
      </c>
      <c r="AJ686" s="40" t="s">
        <v>45</v>
      </c>
      <c r="AK686" s="40" t="s">
        <v>45</v>
      </c>
      <c r="AL686" s="40" t="s">
        <v>45</v>
      </c>
      <c r="AM686" s="40" t="s">
        <v>45</v>
      </c>
      <c r="AN686" s="40" t="s">
        <v>45</v>
      </c>
      <c r="AO686" s="41" t="s">
        <v>45</v>
      </c>
      <c r="AP686" s="40" t="s">
        <v>58</v>
      </c>
      <c r="AQ686" s="40">
        <v>6</v>
      </c>
      <c r="AR686" s="48" t="s">
        <v>347</v>
      </c>
      <c r="AS686" s="43" t="s">
        <v>654</v>
      </c>
      <c r="AT686" s="43" t="s">
        <v>47</v>
      </c>
      <c r="AU686" s="44">
        <f t="shared" si="80"/>
        <v>-2.311361197028369</v>
      </c>
      <c r="AV686" s="44">
        <f t="shared" si="81"/>
        <v>-1.0387315147887846</v>
      </c>
      <c r="AW686" s="45">
        <f t="shared" si="82"/>
        <v>3</v>
      </c>
      <c r="AX686" s="45">
        <f t="shared" si="83"/>
        <v>2</v>
      </c>
      <c r="AY686" s="46">
        <f>VLOOKUP(AP686,COND!$A$10:$B$32,2,FALSE)</f>
        <v>1</v>
      </c>
      <c r="AZ686" s="44">
        <f>($AU$3*AU686+$AV$3*AV686+$AW$3*AW686+$AX$3*AX686)*AY686*IF(AQ686&lt;5,0.95,IF(AQ686&lt;7,0.975,1))+$I$3*VLOOKUP(I686,COND!$A$2:$E$7,4,FALSE)+$J$3*VLOOKUP(J686,COND!$A$2:$E$7,2,FALSE)+$K$3*VLOOKUP(K686,COND!$A$2:$E$7,3,FALSE)+IF(BB686="SP",$BB$3,0)+IF($AW686&lt;3,-5,0)+IF(AND($B$2&gt;0,$E686&lt;20),$B$2*25,0)</f>
        <v>35.194020028198167</v>
      </c>
      <c r="BA686" s="47">
        <f t="shared" si="86"/>
        <v>-4.5006911390002381E-2</v>
      </c>
      <c r="BB686" s="45" t="str">
        <f t="shared" si="84"/>
        <v>SP</v>
      </c>
      <c r="BC686" s="45">
        <f>RANK(Table3[[#This Row],[zScore]],Table3[zScore])</f>
        <v>322</v>
      </c>
      <c r="BD686" s="45"/>
      <c r="BE686" s="45"/>
      <c r="BF686" s="45" t="str">
        <f t="shared" si="85"/>
        <v>Unlikely</v>
      </c>
      <c r="BG686" s="45"/>
      <c r="BH686" s="45" t="str">
        <f>INDEX(Table5[[#All],[Ovr]],MATCH(Table3[[#This Row],[PID]],Table5[[#All],[PID]],0))</f>
        <v/>
      </c>
      <c r="BI686" s="45" t="str">
        <f>INDEX(Table5[[#All],[Rnd]],MATCH(Table3[[#This Row],[PID]],Table5[[#All],[PID]],0))</f>
        <v/>
      </c>
      <c r="BJ686" s="45" t="str">
        <f>INDEX(Table5[[#All],[Pick]],MATCH(Table3[[#This Row],[PID]],Table5[[#All],[PID]],0))</f>
        <v/>
      </c>
      <c r="BK686" s="45" t="str">
        <f>INDEX(Table5[[#All],[Team]],MATCH(Table3[[#This Row],[PID]],Table5[[#All],[PID]],0))</f>
        <v/>
      </c>
      <c r="BL68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7" spans="1:64" ht="30" x14ac:dyDescent="0.25">
      <c r="A687" s="40">
        <v>20376</v>
      </c>
      <c r="B687" s="40" t="s">
        <v>24</v>
      </c>
      <c r="C687" s="40" t="s">
        <v>330</v>
      </c>
      <c r="D687" s="40" t="s">
        <v>371</v>
      </c>
      <c r="E687" s="40">
        <v>17</v>
      </c>
      <c r="F687" s="40" t="s">
        <v>42</v>
      </c>
      <c r="G687" s="40" t="s">
        <v>42</v>
      </c>
      <c r="H687" s="41" t="s">
        <v>647</v>
      </c>
      <c r="I687" s="42" t="s">
        <v>43</v>
      </c>
      <c r="J687" s="40" t="s">
        <v>44</v>
      </c>
      <c r="K687" s="41" t="s">
        <v>43</v>
      </c>
      <c r="L687" s="40">
        <v>1</v>
      </c>
      <c r="M687" s="40">
        <v>1</v>
      </c>
      <c r="N687" s="41">
        <v>1</v>
      </c>
      <c r="O687" s="40">
        <v>4</v>
      </c>
      <c r="P687" s="40">
        <v>2</v>
      </c>
      <c r="Q687" s="41">
        <v>3</v>
      </c>
      <c r="R687" s="40">
        <v>3</v>
      </c>
      <c r="S687" s="40">
        <v>4</v>
      </c>
      <c r="T687" s="40">
        <v>2</v>
      </c>
      <c r="U687" s="40">
        <v>7</v>
      </c>
      <c r="V687" s="40" t="s">
        <v>45</v>
      </c>
      <c r="W687" s="40" t="s">
        <v>45</v>
      </c>
      <c r="X687" s="40">
        <v>3</v>
      </c>
      <c r="Y687" s="40">
        <v>6</v>
      </c>
      <c r="Z687" s="40" t="s">
        <v>45</v>
      </c>
      <c r="AA687" s="40" t="s">
        <v>45</v>
      </c>
      <c r="AB687" s="40" t="s">
        <v>45</v>
      </c>
      <c r="AC687" s="40" t="s">
        <v>45</v>
      </c>
      <c r="AD687" s="40" t="s">
        <v>45</v>
      </c>
      <c r="AE687" s="40" t="s">
        <v>45</v>
      </c>
      <c r="AF687" s="40" t="s">
        <v>45</v>
      </c>
      <c r="AG687" s="40" t="s">
        <v>45</v>
      </c>
      <c r="AH687" s="40" t="s">
        <v>45</v>
      </c>
      <c r="AI687" s="40" t="s">
        <v>45</v>
      </c>
      <c r="AJ687" s="40" t="s">
        <v>45</v>
      </c>
      <c r="AK687" s="40" t="s">
        <v>45</v>
      </c>
      <c r="AL687" s="40" t="s">
        <v>45</v>
      </c>
      <c r="AM687" s="40" t="s">
        <v>45</v>
      </c>
      <c r="AN687" s="40" t="s">
        <v>45</v>
      </c>
      <c r="AO687" s="41" t="s">
        <v>45</v>
      </c>
      <c r="AP687" s="40" t="s">
        <v>68</v>
      </c>
      <c r="AQ687" s="40">
        <v>8</v>
      </c>
      <c r="AR687" s="48" t="s">
        <v>14</v>
      </c>
      <c r="AS687" s="43" t="s">
        <v>644</v>
      </c>
      <c r="AT687" s="43"/>
      <c r="AU687" s="44">
        <f t="shared" si="80"/>
        <v>-2.7014842379675978</v>
      </c>
      <c r="AV687" s="44">
        <f t="shared" si="81"/>
        <v>-0.99184266516472974</v>
      </c>
      <c r="AW687" s="45">
        <f t="shared" si="82"/>
        <v>3</v>
      </c>
      <c r="AX687" s="45">
        <f t="shared" si="83"/>
        <v>2</v>
      </c>
      <c r="AY687" s="46">
        <f>VLOOKUP(AP687,COND!$A$10:$B$32,2,FALSE)</f>
        <v>0.95</v>
      </c>
      <c r="AZ687" s="44">
        <f>($AU$3*AU687+$AV$3*AV687+$AW$3*AW687+$AX$3*AX687)*AY687*IF(AQ687&lt;5,0.95,IF(AQ687&lt;7,0.975,1))+$I$3*VLOOKUP(I687,COND!$A$2:$E$7,4,FALSE)+$J$3*VLOOKUP(J687,COND!$A$2:$E$7,2,FALSE)+$K$3*VLOOKUP(K687,COND!$A$2:$E$7,3,FALSE)+IF(BB687="SP",$BB$3,0)+IF($AW687&lt;3,-5,0)+IF(AND($B$2&gt;0,$E687&lt;20),$B$2*25,0)</f>
        <v>36.141707356656291</v>
      </c>
      <c r="BA687" s="47">
        <f>STANDARDIZE(AZ687,AVERAGE($AZ$5:$AZ$788),STDEVP($AZ$5:$AZ$788))</f>
        <v>-4.615058694512774E-2</v>
      </c>
      <c r="BB687" s="45" t="str">
        <f t="shared" si="84"/>
        <v>SP</v>
      </c>
      <c r="BC687" s="45">
        <f>RANK(Table3[[#This Row],[zScore]],Table3[zScore])</f>
        <v>324</v>
      </c>
      <c r="BD687" s="45"/>
      <c r="BE687" s="45"/>
      <c r="BF687" s="45" t="str">
        <f t="shared" si="85"/>
        <v>Unlikely</v>
      </c>
      <c r="BG687" s="45"/>
      <c r="BH687" s="64" t="str">
        <f>INDEX(Table5[[#All],[Ovr]],MATCH(Table3[[#This Row],[PID]],Table5[[#All],[PID]],0))</f>
        <v/>
      </c>
      <c r="BI687" s="64" t="str">
        <f>INDEX(Table5[[#All],[Rnd]],MATCH(Table3[[#This Row],[PID]],Table5[[#All],[PID]],0))</f>
        <v/>
      </c>
      <c r="BJ687" s="64" t="str">
        <f>INDEX(Table5[[#All],[Pick]],MATCH(Table3[[#This Row],[PID]],Table5[[#All],[PID]],0))</f>
        <v/>
      </c>
      <c r="BK687" s="64" t="str">
        <f>INDEX(Table5[[#All],[Team]],MATCH(Table3[[#This Row],[PID]],Table5[[#All],[PID]],0))</f>
        <v/>
      </c>
      <c r="BL687" s="64" t="str">
        <f>IF(OR(Table3[[#This Row],[POS]]="SP",Table3[[#This Row],[POS]]="RP",Table3[[#This Row],[POS]]="CL"),"P",INDEX(Batters[[#All],[zScore]],MATCH(Table3[[#This Row],[PID]],Batters[[#All],[PID]],0)))</f>
        <v>P</v>
      </c>
    </row>
    <row r="688" spans="1:64" ht="30" x14ac:dyDescent="0.25">
      <c r="A688" s="40">
        <v>17847</v>
      </c>
      <c r="B688" s="40" t="s">
        <v>24</v>
      </c>
      <c r="C688" s="40" t="s">
        <v>1840</v>
      </c>
      <c r="D688" s="40" t="s">
        <v>2088</v>
      </c>
      <c r="E688" s="40">
        <v>18</v>
      </c>
      <c r="F688" s="40" t="s">
        <v>42</v>
      </c>
      <c r="G688" s="40" t="s">
        <v>42</v>
      </c>
      <c r="H688" s="41" t="s">
        <v>647</v>
      </c>
      <c r="I688" s="42" t="s">
        <v>43</v>
      </c>
      <c r="J688" s="40" t="s">
        <v>43</v>
      </c>
      <c r="K688" s="41" t="s">
        <v>43</v>
      </c>
      <c r="L688" s="40">
        <v>2</v>
      </c>
      <c r="M688" s="40">
        <v>1</v>
      </c>
      <c r="N688" s="41">
        <v>1</v>
      </c>
      <c r="O688" s="40">
        <v>4</v>
      </c>
      <c r="P688" s="40">
        <v>1</v>
      </c>
      <c r="Q688" s="41">
        <v>4</v>
      </c>
      <c r="R688" s="40">
        <v>4</v>
      </c>
      <c r="S688" s="40">
        <v>5</v>
      </c>
      <c r="T688" s="40">
        <v>1</v>
      </c>
      <c r="U688" s="40">
        <v>5</v>
      </c>
      <c r="V688" s="40" t="s">
        <v>45</v>
      </c>
      <c r="W688" s="40" t="s">
        <v>45</v>
      </c>
      <c r="X688" s="40">
        <v>2</v>
      </c>
      <c r="Y688" s="40">
        <v>2</v>
      </c>
      <c r="Z688" s="40" t="s">
        <v>45</v>
      </c>
      <c r="AA688" s="40" t="s">
        <v>45</v>
      </c>
      <c r="AB688" s="40" t="s">
        <v>45</v>
      </c>
      <c r="AC688" s="40" t="s">
        <v>45</v>
      </c>
      <c r="AD688" s="40">
        <v>3</v>
      </c>
      <c r="AE688" s="40">
        <v>4</v>
      </c>
      <c r="AF688" s="40">
        <v>3</v>
      </c>
      <c r="AG688" s="40">
        <v>4</v>
      </c>
      <c r="AH688" s="40" t="s">
        <v>45</v>
      </c>
      <c r="AI688" s="40" t="s">
        <v>45</v>
      </c>
      <c r="AJ688" s="40" t="s">
        <v>45</v>
      </c>
      <c r="AK688" s="40" t="s">
        <v>45</v>
      </c>
      <c r="AL688" s="40" t="s">
        <v>45</v>
      </c>
      <c r="AM688" s="40" t="s">
        <v>45</v>
      </c>
      <c r="AN688" s="40" t="s">
        <v>45</v>
      </c>
      <c r="AO688" s="41" t="s">
        <v>45</v>
      </c>
      <c r="AP688" s="40" t="s">
        <v>57</v>
      </c>
      <c r="AQ688" s="40">
        <v>7</v>
      </c>
      <c r="AR688" s="48" t="s">
        <v>351</v>
      </c>
      <c r="AS688" s="43" t="s">
        <v>657</v>
      </c>
      <c r="AT688" s="43" t="s">
        <v>635</v>
      </c>
      <c r="AU688" s="44">
        <f t="shared" si="80"/>
        <v>-2.5067929134584248</v>
      </c>
      <c r="AV688" s="44">
        <f t="shared" si="81"/>
        <v>-0.94495381554067481</v>
      </c>
      <c r="AW688" s="45">
        <f t="shared" si="82"/>
        <v>5</v>
      </c>
      <c r="AX688" s="45">
        <f t="shared" si="83"/>
        <v>0</v>
      </c>
      <c r="AY688" s="46">
        <f>VLOOKUP(AP688,COND!$A$10:$B$32,2,FALSE)</f>
        <v>1</v>
      </c>
      <c r="AZ688" s="44">
        <f>($AU$3*AU688+$AV$3*AV688+$AW$3*AW688+$AX$3*AX688)*AY688*IF(AQ688&lt;5,0.95,IF(AQ688&lt;7,0.975,1))+$I$3*VLOOKUP(I688,COND!$A$2:$E$7,4,FALSE)+$J$3*VLOOKUP(J688,COND!$A$2:$E$7,2,FALSE)+$K$3*VLOOKUP(K688,COND!$A$2:$E$7,3,FALSE)+IF(BB688="SP",$BB$3,0)+IF($AW688&lt;3,-5,0)+IF(AND($B$2&gt;0,$E688&lt;20),$B$2*25,0)</f>
        <v>35.099565106494822</v>
      </c>
      <c r="BA688" s="47">
        <f>STANDARDIZE(AZ688,AVERAGE($AZ$5:$AZ$557),STDEVP($AZ$5:$AZ$557))</f>
        <v>-5.129085299352492E-2</v>
      </c>
      <c r="BB688" s="45" t="str">
        <f t="shared" si="84"/>
        <v>SP</v>
      </c>
      <c r="BC688" s="45">
        <f>RANK(Table3[[#This Row],[zScore]],Table3[zScore])</f>
        <v>326</v>
      </c>
      <c r="BD688" s="45"/>
      <c r="BE688" s="45"/>
      <c r="BF688" s="45" t="str">
        <f t="shared" si="85"/>
        <v>Unlikely</v>
      </c>
      <c r="BG688" s="45"/>
      <c r="BH688" s="45" t="str">
        <f>INDEX(Table5[[#All],[Ovr]],MATCH(Table3[[#This Row],[PID]],Table5[[#All],[PID]],0))</f>
        <v/>
      </c>
      <c r="BI688" s="45" t="str">
        <f>INDEX(Table5[[#All],[Rnd]],MATCH(Table3[[#This Row],[PID]],Table5[[#All],[PID]],0))</f>
        <v/>
      </c>
      <c r="BJ688" s="45" t="str">
        <f>INDEX(Table5[[#All],[Pick]],MATCH(Table3[[#This Row],[PID]],Table5[[#All],[PID]],0))</f>
        <v/>
      </c>
      <c r="BK688" s="45" t="str">
        <f>INDEX(Table5[[#All],[Team]],MATCH(Table3[[#This Row],[PID]],Table5[[#All],[PID]],0))</f>
        <v/>
      </c>
      <c r="BL688" s="45" t="str">
        <f>IF(OR(Table3[[#This Row],[POS]]="SP",Table3[[#This Row],[POS]]="RP",Table3[[#This Row],[POS]]="CL"),"P",INDEX(Batters[[#All],[zScore]],MATCH(Table3[[#This Row],[PID]],Batters[[#All],[PID]],0)))</f>
        <v>P</v>
      </c>
    </row>
    <row r="689" spans="1:64" ht="30" x14ac:dyDescent="0.25">
      <c r="A689" s="40">
        <v>10278</v>
      </c>
      <c r="B689" s="40" t="s">
        <v>24</v>
      </c>
      <c r="C689" s="40" t="s">
        <v>391</v>
      </c>
      <c r="D689" s="40" t="s">
        <v>730</v>
      </c>
      <c r="E689" s="40">
        <v>22</v>
      </c>
      <c r="F689" s="40" t="s">
        <v>42</v>
      </c>
      <c r="G689" s="40" t="s">
        <v>42</v>
      </c>
      <c r="H689" s="41" t="s">
        <v>647</v>
      </c>
      <c r="I689" s="42" t="s">
        <v>43</v>
      </c>
      <c r="J689" s="40" t="s">
        <v>44</v>
      </c>
      <c r="K689" s="41" t="s">
        <v>43</v>
      </c>
      <c r="L689" s="40">
        <v>2</v>
      </c>
      <c r="M689" s="40">
        <v>2</v>
      </c>
      <c r="N689" s="41">
        <v>3</v>
      </c>
      <c r="O689" s="40">
        <v>4</v>
      </c>
      <c r="P689" s="40">
        <v>2</v>
      </c>
      <c r="Q689" s="41">
        <v>4</v>
      </c>
      <c r="R689" s="40">
        <v>4</v>
      </c>
      <c r="S689" s="40">
        <v>5</v>
      </c>
      <c r="T689" s="40">
        <v>1</v>
      </c>
      <c r="U689" s="40">
        <v>5</v>
      </c>
      <c r="V689" s="40">
        <v>4</v>
      </c>
      <c r="W689" s="40">
        <v>6</v>
      </c>
      <c r="X689" s="40">
        <v>3</v>
      </c>
      <c r="Y689" s="40">
        <v>3</v>
      </c>
      <c r="Z689" s="40" t="s">
        <v>45</v>
      </c>
      <c r="AA689" s="40" t="s">
        <v>45</v>
      </c>
      <c r="AB689" s="40" t="s">
        <v>45</v>
      </c>
      <c r="AC689" s="40" t="s">
        <v>45</v>
      </c>
      <c r="AD689" s="40" t="s">
        <v>45</v>
      </c>
      <c r="AE689" s="40" t="s">
        <v>45</v>
      </c>
      <c r="AF689" s="40" t="s">
        <v>45</v>
      </c>
      <c r="AG689" s="40" t="s">
        <v>45</v>
      </c>
      <c r="AH689" s="40" t="s">
        <v>45</v>
      </c>
      <c r="AI689" s="40" t="s">
        <v>45</v>
      </c>
      <c r="AJ689" s="40" t="s">
        <v>45</v>
      </c>
      <c r="AK689" s="40" t="s">
        <v>45</v>
      </c>
      <c r="AL689" s="40" t="s">
        <v>45</v>
      </c>
      <c r="AM689" s="40" t="s">
        <v>45</v>
      </c>
      <c r="AN689" s="40" t="s">
        <v>45</v>
      </c>
      <c r="AO689" s="41" t="s">
        <v>45</v>
      </c>
      <c r="AP689" s="40" t="s">
        <v>56</v>
      </c>
      <c r="AQ689" s="40">
        <v>6</v>
      </c>
      <c r="AR689" s="48" t="s">
        <v>347</v>
      </c>
      <c r="AS689" s="43" t="s">
        <v>45</v>
      </c>
      <c r="AT689" s="43" t="s">
        <v>47</v>
      </c>
      <c r="AU689" s="44">
        <f t="shared" si="80"/>
        <v>-1.8267200649201485</v>
      </c>
      <c r="AV689" s="44">
        <f t="shared" si="81"/>
        <v>-0.74952209911061918</v>
      </c>
      <c r="AW689" s="45">
        <f t="shared" si="82"/>
        <v>4</v>
      </c>
      <c r="AX689" s="45">
        <f t="shared" si="83"/>
        <v>1</v>
      </c>
      <c r="AY689" s="46">
        <f>VLOOKUP(AP689,COND!$A$10:$B$32,2,FALSE)</f>
        <v>1</v>
      </c>
      <c r="AZ689" s="44">
        <f>($AU$3*AU689+$AV$3*AV689+$AW$3*AW689+$AX$3*AX689)*AY689*IF(AQ689&lt;5,0.95,IF(AQ689&lt;7,0.975,1))+$I$3*VLOOKUP(I689,COND!$A$2:$E$7,4,FALSE)+$J$3*VLOOKUP(J689,COND!$A$2:$E$7,2,FALSE)+$K$3*VLOOKUP(K689,COND!$A$2:$E$7,3,FALSE)+IF(BB689="SP",$BB$3,0)+IF($AW689&lt;3,-5,0)+IF(AND($B$2&gt;0,$E689&lt;20),$B$2*25,0)</f>
        <v>34.896858654683498</v>
      </c>
      <c r="BA689" s="47">
        <f>STANDARDIZE(AZ689,AVERAGE($AZ$5:$AZ$557),STDEVP($AZ$5:$AZ$557))</f>
        <v>-6.4776603475010908E-2</v>
      </c>
      <c r="BB689" s="45" t="str">
        <f t="shared" si="84"/>
        <v>SP</v>
      </c>
      <c r="BC689" s="45">
        <f>RANK(Table3[[#This Row],[zScore]],Table3[zScore])</f>
        <v>330</v>
      </c>
      <c r="BD689" s="45"/>
      <c r="BE689" s="45"/>
      <c r="BF689" s="45" t="str">
        <f t="shared" si="85"/>
        <v>Unlikely</v>
      </c>
      <c r="BG689" s="45"/>
      <c r="BH689" s="45" t="str">
        <f>INDEX(Table5[[#All],[Ovr]],MATCH(Table3[[#This Row],[PID]],Table5[[#All],[PID]],0))</f>
        <v/>
      </c>
      <c r="BI689" s="45" t="str">
        <f>INDEX(Table5[[#All],[Rnd]],MATCH(Table3[[#This Row],[PID]],Table5[[#All],[PID]],0))</f>
        <v/>
      </c>
      <c r="BJ689" s="45" t="str">
        <f>INDEX(Table5[[#All],[Pick]],MATCH(Table3[[#This Row],[PID]],Table5[[#All],[PID]],0))</f>
        <v/>
      </c>
      <c r="BK689" s="45" t="str">
        <f>INDEX(Table5[[#All],[Team]],MATCH(Table3[[#This Row],[PID]],Table5[[#All],[PID]],0))</f>
        <v/>
      </c>
      <c r="BL689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0" spans="1:64" ht="30" x14ac:dyDescent="0.25">
      <c r="A690" s="40">
        <v>18261</v>
      </c>
      <c r="B690" s="40" t="s">
        <v>24</v>
      </c>
      <c r="C690" s="40" t="s">
        <v>126</v>
      </c>
      <c r="D690" s="40" t="s">
        <v>661</v>
      </c>
      <c r="E690" s="40">
        <v>18</v>
      </c>
      <c r="F690" s="40" t="s">
        <v>42</v>
      </c>
      <c r="G690" s="40" t="s">
        <v>42</v>
      </c>
      <c r="H690" s="41" t="s">
        <v>647</v>
      </c>
      <c r="I690" s="42" t="s">
        <v>43</v>
      </c>
      <c r="J690" s="40" t="s">
        <v>44</v>
      </c>
      <c r="K690" s="41" t="s">
        <v>43</v>
      </c>
      <c r="L690" s="40">
        <v>1</v>
      </c>
      <c r="M690" s="40">
        <v>1</v>
      </c>
      <c r="N690" s="41">
        <v>1</v>
      </c>
      <c r="O690" s="40">
        <v>4</v>
      </c>
      <c r="P690" s="40">
        <v>3</v>
      </c>
      <c r="Q690" s="41">
        <v>3</v>
      </c>
      <c r="R690" s="40">
        <v>2</v>
      </c>
      <c r="S690" s="40">
        <v>4</v>
      </c>
      <c r="T690" s="40">
        <v>1</v>
      </c>
      <c r="U690" s="40">
        <v>3</v>
      </c>
      <c r="V690" s="40">
        <v>1</v>
      </c>
      <c r="W690" s="40">
        <v>5</v>
      </c>
      <c r="X690" s="40" t="s">
        <v>45</v>
      </c>
      <c r="Y690" s="40" t="s">
        <v>45</v>
      </c>
      <c r="Z690" s="40" t="s">
        <v>45</v>
      </c>
      <c r="AA690" s="40" t="s">
        <v>45</v>
      </c>
      <c r="AB690" s="40" t="s">
        <v>45</v>
      </c>
      <c r="AC690" s="40" t="s">
        <v>45</v>
      </c>
      <c r="AD690" s="40" t="s">
        <v>45</v>
      </c>
      <c r="AE690" s="40" t="s">
        <v>45</v>
      </c>
      <c r="AF690" s="40">
        <v>2</v>
      </c>
      <c r="AG690" s="40">
        <v>5</v>
      </c>
      <c r="AH690" s="40" t="s">
        <v>45</v>
      </c>
      <c r="AI690" s="40" t="s">
        <v>45</v>
      </c>
      <c r="AJ690" s="40" t="s">
        <v>45</v>
      </c>
      <c r="AK690" s="40" t="s">
        <v>45</v>
      </c>
      <c r="AL690" s="40" t="s">
        <v>45</v>
      </c>
      <c r="AM690" s="40" t="s">
        <v>45</v>
      </c>
      <c r="AN690" s="40" t="s">
        <v>45</v>
      </c>
      <c r="AO690" s="41" t="s">
        <v>45</v>
      </c>
      <c r="AP690" s="40" t="s">
        <v>68</v>
      </c>
      <c r="AQ690" s="40">
        <v>4</v>
      </c>
      <c r="AR690" s="48" t="s">
        <v>14</v>
      </c>
      <c r="AS690" s="43" t="s">
        <v>644</v>
      </c>
      <c r="AT690" s="43" t="s">
        <v>47</v>
      </c>
      <c r="AU690" s="44">
        <f t="shared" si="80"/>
        <v>-2.7014842379675978</v>
      </c>
      <c r="AV690" s="44">
        <f t="shared" si="81"/>
        <v>-0.79641094873467422</v>
      </c>
      <c r="AW690" s="45">
        <f t="shared" si="82"/>
        <v>4</v>
      </c>
      <c r="AX690" s="45">
        <f t="shared" si="83"/>
        <v>0</v>
      </c>
      <c r="AY690" s="46">
        <f>VLOOKUP(AP690,COND!$A$10:$B$32,2,FALSE)</f>
        <v>0.95</v>
      </c>
      <c r="AZ690" s="44">
        <f>($AU$3*AU690+$AV$3*AV690+$AW$3*AW690+$AX$3*AX690)*AY690*IF(AQ690&lt;5,0.95,IF(AQ690&lt;7,0.975,1))+$I$3*VLOOKUP(I690,COND!$A$2:$E$7,4,FALSE)+$J$3*VLOOKUP(J690,COND!$A$2:$E$7,2,FALSE)+$K$3*VLOOKUP(K690,COND!$A$2:$E$7,3,FALSE)+IF(BB690="SP",$BB$3,0)+IF($AW690&lt;3,-5,0)+IF(AND($B$2&gt;0,$E690&lt;20),$B$2*25,0)</f>
        <v>36.642164470385978</v>
      </c>
      <c r="BA690" s="47">
        <f>STANDARDIZE(AZ690,AVERAGE($AZ$5:$AZ$663),STDEVP($AZ$5:$AZ$663))</f>
        <v>-7.9570067479563356E-2</v>
      </c>
      <c r="BB690" s="45" t="str">
        <f t="shared" si="84"/>
        <v>RP</v>
      </c>
      <c r="BC690" s="45">
        <f>RANK(Table3[[#This Row],[zScore]],Table3[zScore])</f>
        <v>332</v>
      </c>
      <c r="BD690" s="45"/>
      <c r="BE690" s="45"/>
      <c r="BF690" s="45" t="str">
        <f t="shared" si="85"/>
        <v>Unlikely</v>
      </c>
      <c r="BG690" s="45"/>
      <c r="BH690" s="45" t="str">
        <f>INDEX(Table5[[#All],[Ovr]],MATCH(Table3[[#This Row],[PID]],Table5[[#All],[PID]],0))</f>
        <v/>
      </c>
      <c r="BI690" s="45" t="str">
        <f>INDEX(Table5[[#All],[Rnd]],MATCH(Table3[[#This Row],[PID]],Table5[[#All],[PID]],0))</f>
        <v/>
      </c>
      <c r="BJ690" s="45" t="str">
        <f>INDEX(Table5[[#All],[Pick]],MATCH(Table3[[#This Row],[PID]],Table5[[#All],[PID]],0))</f>
        <v/>
      </c>
      <c r="BK690" s="45" t="str">
        <f>INDEX(Table5[[#All],[Team]],MATCH(Table3[[#This Row],[PID]],Table5[[#All],[PID]],0))</f>
        <v/>
      </c>
      <c r="BL690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1" spans="1:64" ht="30" x14ac:dyDescent="0.25">
      <c r="A691" s="40">
        <v>20629</v>
      </c>
      <c r="B691" s="40" t="s">
        <v>24</v>
      </c>
      <c r="C691" s="40" t="s">
        <v>2154</v>
      </c>
      <c r="D691" s="40" t="s">
        <v>2155</v>
      </c>
      <c r="E691" s="40">
        <v>18</v>
      </c>
      <c r="F691" s="40" t="s">
        <v>42</v>
      </c>
      <c r="G691" s="40" t="s">
        <v>42</v>
      </c>
      <c r="H691" s="41" t="s">
        <v>647</v>
      </c>
      <c r="I691" s="42" t="s">
        <v>43</v>
      </c>
      <c r="J691" s="40" t="s">
        <v>47</v>
      </c>
      <c r="K691" s="41" t="s">
        <v>43</v>
      </c>
      <c r="L691" s="40">
        <v>1</v>
      </c>
      <c r="M691" s="40">
        <v>1</v>
      </c>
      <c r="N691" s="41">
        <v>1</v>
      </c>
      <c r="O691" s="40">
        <v>4</v>
      </c>
      <c r="P691" s="40">
        <v>2</v>
      </c>
      <c r="Q691" s="41">
        <v>3</v>
      </c>
      <c r="R691" s="40">
        <v>3</v>
      </c>
      <c r="S691" s="40">
        <v>5</v>
      </c>
      <c r="T691" s="40" t="s">
        <v>45</v>
      </c>
      <c r="U691" s="40" t="s">
        <v>45</v>
      </c>
      <c r="V691" s="40">
        <v>2</v>
      </c>
      <c r="W691" s="40">
        <v>6</v>
      </c>
      <c r="X691" s="40">
        <v>2</v>
      </c>
      <c r="Y691" s="40">
        <v>5</v>
      </c>
      <c r="Z691" s="40" t="s">
        <v>45</v>
      </c>
      <c r="AA691" s="40" t="s">
        <v>45</v>
      </c>
      <c r="AB691" s="40" t="s">
        <v>45</v>
      </c>
      <c r="AC691" s="40" t="s">
        <v>45</v>
      </c>
      <c r="AD691" s="40" t="s">
        <v>45</v>
      </c>
      <c r="AE691" s="40" t="s">
        <v>45</v>
      </c>
      <c r="AF691" s="40" t="s">
        <v>45</v>
      </c>
      <c r="AG691" s="40" t="s">
        <v>45</v>
      </c>
      <c r="AH691" s="40" t="s">
        <v>45</v>
      </c>
      <c r="AI691" s="40" t="s">
        <v>45</v>
      </c>
      <c r="AJ691" s="40" t="s">
        <v>45</v>
      </c>
      <c r="AK691" s="40" t="s">
        <v>45</v>
      </c>
      <c r="AL691" s="40" t="s">
        <v>45</v>
      </c>
      <c r="AM691" s="40" t="s">
        <v>45</v>
      </c>
      <c r="AN691" s="40" t="s">
        <v>45</v>
      </c>
      <c r="AO691" s="41" t="s">
        <v>45</v>
      </c>
      <c r="AP691" s="40" t="s">
        <v>64</v>
      </c>
      <c r="AQ691" s="40">
        <v>7</v>
      </c>
      <c r="AR691" s="48" t="s">
        <v>347</v>
      </c>
      <c r="AS691" s="43" t="s">
        <v>644</v>
      </c>
      <c r="AT691" s="43" t="s">
        <v>635</v>
      </c>
      <c r="AU691" s="44">
        <f t="shared" si="80"/>
        <v>-2.7014842379675978</v>
      </c>
      <c r="AV691" s="44">
        <f t="shared" si="81"/>
        <v>-0.99184266516472974</v>
      </c>
      <c r="AW691" s="45">
        <f t="shared" si="82"/>
        <v>3</v>
      </c>
      <c r="AX691" s="45">
        <f t="shared" si="83"/>
        <v>1</v>
      </c>
      <c r="AY691" s="46">
        <f>VLOOKUP(AP691,COND!$A$10:$B$32,2,FALSE)</f>
        <v>1</v>
      </c>
      <c r="AZ691" s="44">
        <f>($AU$3*AU691+$AV$3*AV691+$AW$3*AW691+$AX$3*AX691)*AY691*IF(AQ691&lt;5,0.95,IF(AQ691&lt;7,0.975,1))+$I$3*VLOOKUP(I691,COND!$A$2:$E$7,4,FALSE)+$J$3*VLOOKUP(J691,COND!$A$2:$E$7,2,FALSE)+$K$3*VLOOKUP(K691,COND!$A$2:$E$7,3,FALSE)+IF(BB691="SP",$BB$3,0)+IF($AW691&lt;3,-5,0)+IF(AND($B$2&gt;0,$E691&lt;20),$B$2*25,0)</f>
        <v>34.672849849111884</v>
      </c>
      <c r="BA691" s="47">
        <f>STANDARDIZE(AZ691,AVERAGE($AZ$5:$AZ$557),STDEVP($AZ$5:$AZ$557))</f>
        <v>-7.9679566999853887E-2</v>
      </c>
      <c r="BB691" s="45" t="str">
        <f t="shared" si="84"/>
        <v>SP</v>
      </c>
      <c r="BC691" s="45">
        <f>RANK(Table3[[#This Row],[zScore]],Table3[zScore])</f>
        <v>333</v>
      </c>
      <c r="BD691" s="45"/>
      <c r="BE691" s="45"/>
      <c r="BF691" s="45" t="str">
        <f t="shared" si="85"/>
        <v>Unlikely</v>
      </c>
      <c r="BG691" s="45"/>
      <c r="BH691" s="45" t="str">
        <f>INDEX(Table5[[#All],[Ovr]],MATCH(Table3[[#This Row],[PID]],Table5[[#All],[PID]],0))</f>
        <v/>
      </c>
      <c r="BI691" s="45" t="str">
        <f>INDEX(Table5[[#All],[Rnd]],MATCH(Table3[[#This Row],[PID]],Table5[[#All],[PID]],0))</f>
        <v/>
      </c>
      <c r="BJ691" s="45" t="str">
        <f>INDEX(Table5[[#All],[Pick]],MATCH(Table3[[#This Row],[PID]],Table5[[#All],[PID]],0))</f>
        <v/>
      </c>
      <c r="BK691" s="45" t="str">
        <f>INDEX(Table5[[#All],[Team]],MATCH(Table3[[#This Row],[PID]],Table5[[#All],[PID]],0))</f>
        <v/>
      </c>
      <c r="BL691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2" spans="1:64" ht="30" x14ac:dyDescent="0.25">
      <c r="A692" s="40">
        <v>17789</v>
      </c>
      <c r="B692" s="40" t="s">
        <v>24</v>
      </c>
      <c r="C692" s="40" t="s">
        <v>650</v>
      </c>
      <c r="D692" s="40" t="s">
        <v>173</v>
      </c>
      <c r="E692" s="40">
        <v>21</v>
      </c>
      <c r="F692" s="40" t="s">
        <v>42</v>
      </c>
      <c r="G692" s="40" t="s">
        <v>42</v>
      </c>
      <c r="H692" s="41" t="s">
        <v>647</v>
      </c>
      <c r="I692" s="42" t="s">
        <v>43</v>
      </c>
      <c r="J692" s="40" t="s">
        <v>43</v>
      </c>
      <c r="K692" s="41" t="s">
        <v>44</v>
      </c>
      <c r="L692" s="40">
        <v>2</v>
      </c>
      <c r="M692" s="40">
        <v>2</v>
      </c>
      <c r="N692" s="41">
        <v>2</v>
      </c>
      <c r="O692" s="40">
        <v>4</v>
      </c>
      <c r="P692" s="40">
        <v>2</v>
      </c>
      <c r="Q692" s="41">
        <v>4</v>
      </c>
      <c r="R692" s="40" t="s">
        <v>45</v>
      </c>
      <c r="S692" s="40" t="s">
        <v>45</v>
      </c>
      <c r="T692" s="40">
        <v>1</v>
      </c>
      <c r="U692" s="40">
        <v>5</v>
      </c>
      <c r="V692" s="40" t="s">
        <v>45</v>
      </c>
      <c r="W692" s="40" t="s">
        <v>45</v>
      </c>
      <c r="X692" s="40">
        <v>3</v>
      </c>
      <c r="Y692" s="40">
        <v>6</v>
      </c>
      <c r="Z692" s="40" t="s">
        <v>45</v>
      </c>
      <c r="AA692" s="40" t="s">
        <v>45</v>
      </c>
      <c r="AB692" s="40" t="s">
        <v>45</v>
      </c>
      <c r="AC692" s="40" t="s">
        <v>45</v>
      </c>
      <c r="AD692" s="40">
        <v>4</v>
      </c>
      <c r="AE692" s="40">
        <v>5</v>
      </c>
      <c r="AF692" s="40">
        <v>3</v>
      </c>
      <c r="AG692" s="40">
        <v>3</v>
      </c>
      <c r="AH692" s="40" t="s">
        <v>45</v>
      </c>
      <c r="AI692" s="40" t="s">
        <v>45</v>
      </c>
      <c r="AJ692" s="40" t="s">
        <v>45</v>
      </c>
      <c r="AK692" s="40" t="s">
        <v>45</v>
      </c>
      <c r="AL692" s="40" t="s">
        <v>45</v>
      </c>
      <c r="AM692" s="40" t="s">
        <v>45</v>
      </c>
      <c r="AN692" s="40" t="s">
        <v>45</v>
      </c>
      <c r="AO692" s="41" t="s">
        <v>45</v>
      </c>
      <c r="AP692" s="40" t="s">
        <v>57</v>
      </c>
      <c r="AQ692" s="40">
        <v>7</v>
      </c>
      <c r="AR692" s="48" t="s">
        <v>347</v>
      </c>
      <c r="AS692" s="43" t="s">
        <v>45</v>
      </c>
      <c r="AT692" s="43" t="s">
        <v>47</v>
      </c>
      <c r="AU692" s="44">
        <f t="shared" si="80"/>
        <v>-2.0690406309742588</v>
      </c>
      <c r="AV692" s="44">
        <f t="shared" si="81"/>
        <v>-0.74952209911061918</v>
      </c>
      <c r="AW692" s="45">
        <f t="shared" si="82"/>
        <v>4</v>
      </c>
      <c r="AX692" s="45">
        <f t="shared" si="83"/>
        <v>1</v>
      </c>
      <c r="AY692" s="46">
        <f>VLOOKUP(AP692,COND!$A$10:$B$32,2,FALSE)</f>
        <v>1</v>
      </c>
      <c r="AZ692" s="44">
        <f>($AU$3*AU692+$AV$3*AV692+$AW$3*AW692+$AX$3*AX692)*AY692*IF(AQ692&lt;5,0.95,IF(AQ692&lt;7,0.975,1))+$I$3*VLOOKUP(I692,COND!$A$2:$E$7,4,FALSE)+$J$3*VLOOKUP(J692,COND!$A$2:$E$7,2,FALSE)+$K$3*VLOOKUP(K692,COND!$A$2:$E$7,3,FALSE)+IF(BB692="SP",$BB$3,0)+IF($AW692&lt;3,-5,0)+IF(AND($B$2&gt;0,$E692&lt;20),$B$2*25,0)</f>
        <v>34.545749891592763</v>
      </c>
      <c r="BA692" s="47">
        <f>STANDARDIZE(AZ692,AVERAGE($AZ$5:$AZ$557),STDEVP($AZ$5:$AZ$557))</f>
        <v>-8.8135332951032111E-2</v>
      </c>
      <c r="BB692" s="45" t="str">
        <f t="shared" si="84"/>
        <v>SP</v>
      </c>
      <c r="BC692" s="45">
        <f>RANK(Table3[[#This Row],[zScore]],Table3[zScore])</f>
        <v>335</v>
      </c>
      <c r="BD692" s="45"/>
      <c r="BE692" s="45"/>
      <c r="BF692" s="45" t="str">
        <f t="shared" si="85"/>
        <v>Unlikely</v>
      </c>
      <c r="BG692" s="45"/>
      <c r="BH692" s="45" t="str">
        <f>INDEX(Table5[[#All],[Ovr]],MATCH(Table3[[#This Row],[PID]],Table5[[#All],[PID]],0))</f>
        <v/>
      </c>
      <c r="BI692" s="45" t="str">
        <f>INDEX(Table5[[#All],[Rnd]],MATCH(Table3[[#This Row],[PID]],Table5[[#All],[PID]],0))</f>
        <v/>
      </c>
      <c r="BJ692" s="45" t="str">
        <f>INDEX(Table5[[#All],[Pick]],MATCH(Table3[[#This Row],[PID]],Table5[[#All],[PID]],0))</f>
        <v/>
      </c>
      <c r="BK692" s="45" t="str">
        <f>INDEX(Table5[[#All],[Team]],MATCH(Table3[[#This Row],[PID]],Table5[[#All],[PID]],0))</f>
        <v/>
      </c>
      <c r="BL692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3" spans="1:64" ht="30" x14ac:dyDescent="0.25">
      <c r="A693" s="40">
        <v>17578</v>
      </c>
      <c r="B693" s="40" t="s">
        <v>24</v>
      </c>
      <c r="C693" s="40" t="s">
        <v>728</v>
      </c>
      <c r="D693" s="40" t="s">
        <v>2159</v>
      </c>
      <c r="E693" s="40">
        <v>18</v>
      </c>
      <c r="F693" s="40" t="s">
        <v>53</v>
      </c>
      <c r="G693" s="40" t="s">
        <v>53</v>
      </c>
      <c r="H693" s="41" t="s">
        <v>647</v>
      </c>
      <c r="I693" s="42" t="s">
        <v>44</v>
      </c>
      <c r="J693" s="40" t="s">
        <v>44</v>
      </c>
      <c r="K693" s="41" t="s">
        <v>44</v>
      </c>
      <c r="L693" s="40">
        <v>2</v>
      </c>
      <c r="M693" s="40">
        <v>2</v>
      </c>
      <c r="N693" s="41">
        <v>1</v>
      </c>
      <c r="O693" s="40">
        <v>4</v>
      </c>
      <c r="P693" s="40">
        <v>2</v>
      </c>
      <c r="Q693" s="41">
        <v>3</v>
      </c>
      <c r="R693" s="40">
        <v>4</v>
      </c>
      <c r="S693" s="40">
        <v>6</v>
      </c>
      <c r="T693" s="40">
        <v>1</v>
      </c>
      <c r="U693" s="40">
        <v>6</v>
      </c>
      <c r="V693" s="40">
        <v>2</v>
      </c>
      <c r="W693" s="40">
        <v>5</v>
      </c>
      <c r="X693" s="40">
        <v>2</v>
      </c>
      <c r="Y693" s="40">
        <v>3</v>
      </c>
      <c r="Z693" s="40" t="s">
        <v>45</v>
      </c>
      <c r="AA693" s="40" t="s">
        <v>45</v>
      </c>
      <c r="AB693" s="40" t="s">
        <v>45</v>
      </c>
      <c r="AC693" s="40" t="s">
        <v>45</v>
      </c>
      <c r="AD693" s="40" t="s">
        <v>45</v>
      </c>
      <c r="AE693" s="40" t="s">
        <v>45</v>
      </c>
      <c r="AF693" s="40" t="s">
        <v>45</v>
      </c>
      <c r="AG693" s="40" t="s">
        <v>45</v>
      </c>
      <c r="AH693" s="40" t="s">
        <v>45</v>
      </c>
      <c r="AI693" s="40" t="s">
        <v>45</v>
      </c>
      <c r="AJ693" s="40" t="s">
        <v>45</v>
      </c>
      <c r="AK693" s="40" t="s">
        <v>45</v>
      </c>
      <c r="AL693" s="40" t="s">
        <v>45</v>
      </c>
      <c r="AM693" s="40" t="s">
        <v>45</v>
      </c>
      <c r="AN693" s="40" t="s">
        <v>45</v>
      </c>
      <c r="AO693" s="41" t="s">
        <v>45</v>
      </c>
      <c r="AP693" s="40" t="s">
        <v>58</v>
      </c>
      <c r="AQ693" s="40">
        <v>8</v>
      </c>
      <c r="AR693" s="48" t="s">
        <v>346</v>
      </c>
      <c r="AS693" s="43" t="s">
        <v>663</v>
      </c>
      <c r="AT693" s="43"/>
      <c r="AU693" s="44">
        <f t="shared" si="80"/>
        <v>-2.311361197028369</v>
      </c>
      <c r="AV693" s="44">
        <f t="shared" si="81"/>
        <v>-0.99184266516472974</v>
      </c>
      <c r="AW693" s="45">
        <f t="shared" si="82"/>
        <v>4</v>
      </c>
      <c r="AX693" s="45">
        <f t="shared" si="83"/>
        <v>2</v>
      </c>
      <c r="AY693" s="46">
        <f>VLOOKUP(AP693,COND!$A$10:$B$32,2,FALSE)</f>
        <v>1</v>
      </c>
      <c r="AZ693" s="44">
        <f>($AU$3*AU693+$AV$3*AV693+$AW$3*AW693+$AX$3*AX693)*AY693*IF(AQ693&lt;5,0.95,IF(AQ693&lt;7,0.975,1))+$I$3*VLOOKUP(I693,COND!$A$2:$E$7,4,FALSE)+$J$3*VLOOKUP(J693,COND!$A$2:$E$7,2,FALSE)+$K$3*VLOOKUP(K693,COND!$A$2:$E$7,3,FALSE)+IF(BB693="SP",$BB$3,0)+IF($AW693&lt;3,-5,0)+IF(AND($B$2&gt;0,$E693&lt;20),$B$2*25,0)</f>
        <v>35.450874457299726</v>
      </c>
      <c r="BA693" s="47">
        <f>STANDARDIZE(AZ693,AVERAGE($AZ$5:$AZ$788),STDEVP($AZ$5:$AZ$788))</f>
        <v>-9.61409587472076E-2</v>
      </c>
      <c r="BB693" s="45" t="str">
        <f t="shared" si="84"/>
        <v>SP</v>
      </c>
      <c r="BC693" s="45">
        <f>RANK(Table3[[#This Row],[zScore]],Table3[zScore])</f>
        <v>338</v>
      </c>
      <c r="BD693" s="45"/>
      <c r="BE693" s="45"/>
      <c r="BF693" s="45" t="str">
        <f t="shared" si="85"/>
        <v>Unlikely</v>
      </c>
      <c r="BG693" s="45"/>
      <c r="BH693" s="64">
        <f>INDEX(Table5[[#All],[Ovr]],MATCH(Table3[[#This Row],[PID]],Table5[[#All],[PID]],0))</f>
        <v>585</v>
      </c>
      <c r="BI693" s="64" t="str">
        <f>INDEX(Table5[[#All],[Rnd]],MATCH(Table3[[#This Row],[PID]],Table5[[#All],[PID]],0))</f>
        <v>20</v>
      </c>
      <c r="BJ693" s="64">
        <f>INDEX(Table5[[#All],[Pick]],MATCH(Table3[[#This Row],[PID]],Table5[[#All],[PID]],0))</f>
        <v>7</v>
      </c>
      <c r="BK693" s="64" t="str">
        <f>INDEX(Table5[[#All],[Team]],MATCH(Table3[[#This Row],[PID]],Table5[[#All],[PID]],0))</f>
        <v>Niihama-shi Ghosts</v>
      </c>
      <c r="BL693" s="64" t="str">
        <f>IF(OR(Table3[[#This Row],[POS]]="SP",Table3[[#This Row],[POS]]="RP",Table3[[#This Row],[POS]]="CL"),"P",INDEX(Batters[[#All],[zScore]],MATCH(Table3[[#This Row],[PID]],Batters[[#All],[PID]],0)))</f>
        <v>P</v>
      </c>
    </row>
    <row r="694" spans="1:64" ht="30" x14ac:dyDescent="0.25">
      <c r="A694" s="40">
        <v>21075</v>
      </c>
      <c r="B694" s="40" t="s">
        <v>24</v>
      </c>
      <c r="C694" s="40" t="s">
        <v>128</v>
      </c>
      <c r="D694" s="40" t="s">
        <v>1721</v>
      </c>
      <c r="E694" s="40">
        <v>18</v>
      </c>
      <c r="F694" s="40" t="s">
        <v>53</v>
      </c>
      <c r="G694" s="40" t="s">
        <v>42</v>
      </c>
      <c r="H694" s="41" t="s">
        <v>647</v>
      </c>
      <c r="I694" s="42" t="s">
        <v>43</v>
      </c>
      <c r="J694" s="40" t="s">
        <v>47</v>
      </c>
      <c r="K694" s="41" t="s">
        <v>43</v>
      </c>
      <c r="L694" s="40">
        <v>1</v>
      </c>
      <c r="M694" s="40">
        <v>1</v>
      </c>
      <c r="N694" s="41">
        <v>1</v>
      </c>
      <c r="O694" s="40">
        <v>5</v>
      </c>
      <c r="P694" s="40">
        <v>1</v>
      </c>
      <c r="Q694" s="41">
        <v>3</v>
      </c>
      <c r="R694" s="40">
        <v>3</v>
      </c>
      <c r="S694" s="40">
        <v>6</v>
      </c>
      <c r="T694" s="40" t="s">
        <v>45</v>
      </c>
      <c r="U694" s="40" t="s">
        <v>45</v>
      </c>
      <c r="V694" s="40" t="s">
        <v>45</v>
      </c>
      <c r="W694" s="40" t="s">
        <v>45</v>
      </c>
      <c r="X694" s="40">
        <v>2</v>
      </c>
      <c r="Y694" s="40">
        <v>5</v>
      </c>
      <c r="Z694" s="40" t="s">
        <v>45</v>
      </c>
      <c r="AA694" s="40" t="s">
        <v>45</v>
      </c>
      <c r="AB694" s="40" t="s">
        <v>45</v>
      </c>
      <c r="AC694" s="40" t="s">
        <v>45</v>
      </c>
      <c r="AD694" s="40" t="s">
        <v>45</v>
      </c>
      <c r="AE694" s="40" t="s">
        <v>45</v>
      </c>
      <c r="AF694" s="40" t="s">
        <v>45</v>
      </c>
      <c r="AG694" s="40" t="s">
        <v>45</v>
      </c>
      <c r="AH694" s="40">
        <v>1</v>
      </c>
      <c r="AI694" s="40">
        <v>7</v>
      </c>
      <c r="AJ694" s="40" t="s">
        <v>45</v>
      </c>
      <c r="AK694" s="40" t="s">
        <v>45</v>
      </c>
      <c r="AL694" s="40" t="s">
        <v>45</v>
      </c>
      <c r="AM694" s="40" t="s">
        <v>45</v>
      </c>
      <c r="AN694" s="40" t="s">
        <v>45</v>
      </c>
      <c r="AO694" s="41" t="s">
        <v>45</v>
      </c>
      <c r="AP694" s="40" t="s">
        <v>350</v>
      </c>
      <c r="AQ694" s="40">
        <v>5</v>
      </c>
      <c r="AR694" s="48" t="s">
        <v>14</v>
      </c>
      <c r="AS694" s="43" t="s">
        <v>644</v>
      </c>
      <c r="AT694" s="43" t="s">
        <v>47</v>
      </c>
      <c r="AU694" s="44">
        <f t="shared" si="80"/>
        <v>-2.7014842379675978</v>
      </c>
      <c r="AV694" s="44">
        <f t="shared" si="81"/>
        <v>-0.99258305708561179</v>
      </c>
      <c r="AW694" s="45">
        <f t="shared" si="82"/>
        <v>3</v>
      </c>
      <c r="AX694" s="45">
        <f t="shared" si="83"/>
        <v>2</v>
      </c>
      <c r="AY694" s="46">
        <f>VLOOKUP(AP694,COND!$A$10:$B$32,2,FALSE)</f>
        <v>1</v>
      </c>
      <c r="AZ694" s="44">
        <f>($AU$3*AU694+$AV$3*AV694+$AW$3*AW694+$AX$3*AX694)*AY694*IF(AQ694&lt;5,0.95,IF(AQ694&lt;7,0.975,1))+$I$3*VLOOKUP(I694,COND!$A$2:$E$7,4,FALSE)+$J$3*VLOOKUP(J694,COND!$A$2:$E$7,2,FALSE)+$K$3*VLOOKUP(K694,COND!$A$2:$E$7,3,FALSE)+IF(BB694="SP",$BB$3,0)+IF($AW694&lt;3,-5,0)+IF(AND($B$2&gt;0,$E694&lt;20),$B$2*25,0)</f>
        <v>36.317840960426892</v>
      </c>
      <c r="BA694" s="47">
        <f>STANDARDIZE(AZ694,AVERAGE($AZ$5:$AZ$663),STDEVP($AZ$5:$AZ$663))</f>
        <v>-0.10178613248652842</v>
      </c>
      <c r="BB694" s="45" t="str">
        <f t="shared" si="84"/>
        <v>SP</v>
      </c>
      <c r="BC694" s="45">
        <f>RANK(Table3[[#This Row],[zScore]],Table3[zScore])</f>
        <v>341</v>
      </c>
      <c r="BD694" s="45"/>
      <c r="BE694" s="45"/>
      <c r="BF694" s="45" t="str">
        <f t="shared" si="85"/>
        <v>Unlikely</v>
      </c>
      <c r="BG694" s="45"/>
      <c r="BH694" s="45" t="str">
        <f>INDEX(Table5[[#All],[Ovr]],MATCH(Table3[[#This Row],[PID]],Table5[[#All],[PID]],0))</f>
        <v/>
      </c>
      <c r="BI694" s="45" t="str">
        <f>INDEX(Table5[[#All],[Rnd]],MATCH(Table3[[#This Row],[PID]],Table5[[#All],[PID]],0))</f>
        <v/>
      </c>
      <c r="BJ694" s="45" t="str">
        <f>INDEX(Table5[[#All],[Pick]],MATCH(Table3[[#This Row],[PID]],Table5[[#All],[PID]],0))</f>
        <v/>
      </c>
      <c r="BK694" s="45" t="str">
        <f>INDEX(Table5[[#All],[Team]],MATCH(Table3[[#This Row],[PID]],Table5[[#All],[PID]],0))</f>
        <v/>
      </c>
      <c r="BL694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5" spans="1:64" ht="30" x14ac:dyDescent="0.25">
      <c r="A695" s="40">
        <v>18055</v>
      </c>
      <c r="B695" s="40" t="s">
        <v>24</v>
      </c>
      <c r="C695" s="40" t="s">
        <v>209</v>
      </c>
      <c r="D695" s="40" t="s">
        <v>2199</v>
      </c>
      <c r="E695" s="40">
        <v>21</v>
      </c>
      <c r="F695" s="40" t="s">
        <v>42</v>
      </c>
      <c r="G695" s="40" t="s">
        <v>42</v>
      </c>
      <c r="H695" s="41" t="s">
        <v>647</v>
      </c>
      <c r="I695" s="42" t="s">
        <v>43</v>
      </c>
      <c r="J695" s="40" t="s">
        <v>43</v>
      </c>
      <c r="K695" s="41" t="s">
        <v>43</v>
      </c>
      <c r="L695" s="40">
        <v>3</v>
      </c>
      <c r="M695" s="40">
        <v>2</v>
      </c>
      <c r="N695" s="41">
        <v>2</v>
      </c>
      <c r="O695" s="40">
        <v>5</v>
      </c>
      <c r="P695" s="40">
        <v>2</v>
      </c>
      <c r="Q695" s="41">
        <v>3</v>
      </c>
      <c r="R695" s="40">
        <v>5</v>
      </c>
      <c r="S695" s="40">
        <v>7</v>
      </c>
      <c r="T695" s="40">
        <v>1</v>
      </c>
      <c r="U695" s="40">
        <v>6</v>
      </c>
      <c r="V695" s="40" t="s">
        <v>45</v>
      </c>
      <c r="W695" s="40" t="s">
        <v>45</v>
      </c>
      <c r="X695" s="40">
        <v>5</v>
      </c>
      <c r="Y695" s="40">
        <v>8</v>
      </c>
      <c r="Z695" s="40" t="s">
        <v>45</v>
      </c>
      <c r="AA695" s="40" t="s">
        <v>45</v>
      </c>
      <c r="AB695" s="40" t="s">
        <v>45</v>
      </c>
      <c r="AC695" s="40" t="s">
        <v>45</v>
      </c>
      <c r="AD695" s="40" t="s">
        <v>45</v>
      </c>
      <c r="AE695" s="40" t="s">
        <v>45</v>
      </c>
      <c r="AF695" s="40" t="s">
        <v>45</v>
      </c>
      <c r="AG695" s="40" t="s">
        <v>45</v>
      </c>
      <c r="AH695" s="40" t="s">
        <v>45</v>
      </c>
      <c r="AI695" s="40" t="s">
        <v>45</v>
      </c>
      <c r="AJ695" s="40" t="s">
        <v>45</v>
      </c>
      <c r="AK695" s="40" t="s">
        <v>45</v>
      </c>
      <c r="AL695" s="40" t="s">
        <v>45</v>
      </c>
      <c r="AM695" s="40" t="s">
        <v>45</v>
      </c>
      <c r="AN695" s="40" t="s">
        <v>45</v>
      </c>
      <c r="AO695" s="41" t="s">
        <v>45</v>
      </c>
      <c r="AP695" s="40" t="s">
        <v>48</v>
      </c>
      <c r="AQ695" s="40">
        <v>10</v>
      </c>
      <c r="AR695" s="48" t="s">
        <v>347</v>
      </c>
      <c r="AS695" s="43" t="s">
        <v>45</v>
      </c>
      <c r="AT695" s="43"/>
      <c r="AU695" s="44">
        <f t="shared" si="80"/>
        <v>-1.8743493064650851</v>
      </c>
      <c r="AV695" s="44">
        <f t="shared" si="81"/>
        <v>-0.79715134065555615</v>
      </c>
      <c r="AW695" s="45">
        <f t="shared" si="82"/>
        <v>3</v>
      </c>
      <c r="AX695" s="45">
        <f t="shared" si="83"/>
        <v>3</v>
      </c>
      <c r="AY695" s="46">
        <f>VLOOKUP(AP695,COND!$A$10:$B$32,2,FALSE)</f>
        <v>1.05</v>
      </c>
      <c r="AZ695" s="44">
        <f>($AU$3*AU695+$AV$3*AV695+$AW$3*AW695+$AX$3*AX695)*AY695*IF(AQ695&lt;5,0.95,IF(AQ695&lt;7,0.975,1))+$I$3*VLOOKUP(I695,COND!$A$2:$E$7,4,FALSE)+$J$3*VLOOKUP(J695,COND!$A$2:$E$7,2,FALSE)+$K$3*VLOOKUP(K695,COND!$A$2:$E$7,3,FALSE)+IF(BB695="SP",$BB$3,0)+IF($AW695&lt;3,-5,0)+IF(AND($B$2&gt;0,$E695&lt;20),$B$2*25,0)</f>
        <v>35.378708491875656</v>
      </c>
      <c r="BA695" s="47">
        <f>STANDARDIZE(AZ695,AVERAGE($AZ$5:$AZ$788),STDEVP($AZ$5:$AZ$788))</f>
        <v>-0.10136306592589779</v>
      </c>
      <c r="BB695" s="45" t="str">
        <f t="shared" si="84"/>
        <v>SP</v>
      </c>
      <c r="BC695" s="45">
        <f>RANK(Table3[[#This Row],[zScore]],Table3[zScore])</f>
        <v>340</v>
      </c>
      <c r="BD695" s="45"/>
      <c r="BE695" s="45"/>
      <c r="BF695" s="45" t="str">
        <f t="shared" si="85"/>
        <v>Unlikely</v>
      </c>
      <c r="BG695" s="45"/>
      <c r="BH695" s="64">
        <f>INDEX(Table5[[#All],[Ovr]],MATCH(Table3[[#This Row],[PID]],Table5[[#All],[PID]],0))</f>
        <v>316</v>
      </c>
      <c r="BI695" s="64" t="str">
        <f>INDEX(Table5[[#All],[Rnd]],MATCH(Table3[[#This Row],[PID]],Table5[[#All],[PID]],0))</f>
        <v>11</v>
      </c>
      <c r="BJ695" s="64">
        <f>INDEX(Table5[[#All],[Pick]],MATCH(Table3[[#This Row],[PID]],Table5[[#All],[PID]],0))</f>
        <v>8</v>
      </c>
      <c r="BK695" s="64" t="str">
        <f>INDEX(Table5[[#All],[Team]],MATCH(Table3[[#This Row],[PID]],Table5[[#All],[PID]],0))</f>
        <v>London Underground</v>
      </c>
      <c r="BL695" s="64" t="str">
        <f>IF(OR(Table3[[#This Row],[POS]]="SP",Table3[[#This Row],[POS]]="RP",Table3[[#This Row],[POS]]="CL"),"P",INDEX(Batters[[#All],[zScore]],MATCH(Table3[[#This Row],[PID]],Batters[[#All],[PID]],0)))</f>
        <v>P</v>
      </c>
    </row>
    <row r="696" spans="1:64" ht="30" x14ac:dyDescent="0.25">
      <c r="A696" s="40">
        <v>20803</v>
      </c>
      <c r="B696" s="40" t="s">
        <v>24</v>
      </c>
      <c r="C696" s="40" t="s">
        <v>171</v>
      </c>
      <c r="D696" s="40" t="s">
        <v>1709</v>
      </c>
      <c r="E696" s="40">
        <v>18</v>
      </c>
      <c r="F696" s="40" t="s">
        <v>62</v>
      </c>
      <c r="G696" s="40" t="s">
        <v>42</v>
      </c>
      <c r="H696" s="41" t="s">
        <v>647</v>
      </c>
      <c r="I696" s="42" t="s">
        <v>43</v>
      </c>
      <c r="J696" s="40" t="s">
        <v>44</v>
      </c>
      <c r="K696" s="41" t="s">
        <v>43</v>
      </c>
      <c r="L696" s="40">
        <v>1</v>
      </c>
      <c r="M696" s="40">
        <v>2</v>
      </c>
      <c r="N696" s="41">
        <v>1</v>
      </c>
      <c r="O696" s="40">
        <v>4</v>
      </c>
      <c r="P696" s="40">
        <v>2</v>
      </c>
      <c r="Q696" s="41">
        <v>3</v>
      </c>
      <c r="R696" s="40" t="s">
        <v>45</v>
      </c>
      <c r="S696" s="40" t="s">
        <v>45</v>
      </c>
      <c r="T696" s="40">
        <v>1</v>
      </c>
      <c r="U696" s="40">
        <v>5</v>
      </c>
      <c r="V696" s="40" t="s">
        <v>45</v>
      </c>
      <c r="W696" s="40" t="s">
        <v>45</v>
      </c>
      <c r="X696" s="40">
        <v>1</v>
      </c>
      <c r="Y696" s="40">
        <v>2</v>
      </c>
      <c r="Z696" s="40" t="s">
        <v>45</v>
      </c>
      <c r="AA696" s="40" t="s">
        <v>45</v>
      </c>
      <c r="AB696" s="40" t="s">
        <v>45</v>
      </c>
      <c r="AC696" s="40" t="s">
        <v>45</v>
      </c>
      <c r="AD696" s="40">
        <v>2</v>
      </c>
      <c r="AE696" s="40">
        <v>4</v>
      </c>
      <c r="AF696" s="40">
        <v>3</v>
      </c>
      <c r="AG696" s="40">
        <v>4</v>
      </c>
      <c r="AH696" s="40" t="s">
        <v>45</v>
      </c>
      <c r="AI696" s="40" t="s">
        <v>45</v>
      </c>
      <c r="AJ696" s="40" t="s">
        <v>45</v>
      </c>
      <c r="AK696" s="40" t="s">
        <v>45</v>
      </c>
      <c r="AL696" s="40" t="s">
        <v>45</v>
      </c>
      <c r="AM696" s="40" t="s">
        <v>45</v>
      </c>
      <c r="AN696" s="40" t="s">
        <v>45</v>
      </c>
      <c r="AO696" s="41" t="s">
        <v>45</v>
      </c>
      <c r="AP696" s="40" t="s">
        <v>68</v>
      </c>
      <c r="AQ696" s="40">
        <v>8</v>
      </c>
      <c r="AR696" s="48" t="s">
        <v>347</v>
      </c>
      <c r="AS696" s="43" t="s">
        <v>412</v>
      </c>
      <c r="AT696" s="43" t="s">
        <v>47</v>
      </c>
      <c r="AU696" s="44">
        <f t="shared" si="80"/>
        <v>-2.5060525215375429</v>
      </c>
      <c r="AV696" s="44">
        <f t="shared" si="81"/>
        <v>-0.99184266516472974</v>
      </c>
      <c r="AW696" s="45">
        <f t="shared" si="82"/>
        <v>4</v>
      </c>
      <c r="AX696" s="45">
        <f t="shared" si="83"/>
        <v>0</v>
      </c>
      <c r="AY696" s="46">
        <f>VLOOKUP(AP696,COND!$A$10:$B$32,2,FALSE)</f>
        <v>0.95</v>
      </c>
      <c r="AZ696" s="44">
        <f>($AU$3*AU696+$AV$3*AV696+$AW$3*AW696+$AX$3*AX696)*AY696*IF(AQ696&lt;5,0.95,IF(AQ696&lt;7,0.975,1))+$I$3*VLOOKUP(I696,COND!$A$2:$E$7,4,FALSE)+$J$3*VLOOKUP(J696,COND!$A$2:$E$7,2,FALSE)+$K$3*VLOOKUP(K696,COND!$A$2:$E$7,3,FALSE)+IF(BB696="SP",$BB$3,0)+IF($AW696&lt;3,-5,0)+IF(AND($B$2&gt;0,$E696&lt;20),$B$2*25,0)</f>
        <v>34.278839382778003</v>
      </c>
      <c r="BA696" s="47">
        <f>STANDARDIZE(AZ696,AVERAGE($AZ$5:$AZ$557),STDEVP($AZ$5:$AZ$557))</f>
        <v>-0.10589248123416953</v>
      </c>
      <c r="BB696" s="45" t="str">
        <f t="shared" si="84"/>
        <v>SP</v>
      </c>
      <c r="BC696" s="45">
        <f>RANK(Table3[[#This Row],[zScore]],Table3[zScore])</f>
        <v>342</v>
      </c>
      <c r="BD696" s="45"/>
      <c r="BE696" s="45"/>
      <c r="BF696" s="45" t="str">
        <f t="shared" si="85"/>
        <v>Unlikely</v>
      </c>
      <c r="BG696" s="45"/>
      <c r="BH696" s="45" t="str">
        <f>INDEX(Table5[[#All],[Ovr]],MATCH(Table3[[#This Row],[PID]],Table5[[#All],[PID]],0))</f>
        <v/>
      </c>
      <c r="BI696" s="45" t="str">
        <f>INDEX(Table5[[#All],[Rnd]],MATCH(Table3[[#This Row],[PID]],Table5[[#All],[PID]],0))</f>
        <v/>
      </c>
      <c r="BJ696" s="45" t="str">
        <f>INDEX(Table5[[#All],[Pick]],MATCH(Table3[[#This Row],[PID]],Table5[[#All],[PID]],0))</f>
        <v/>
      </c>
      <c r="BK696" s="45" t="str">
        <f>INDEX(Table5[[#All],[Team]],MATCH(Table3[[#This Row],[PID]],Table5[[#All],[PID]],0))</f>
        <v/>
      </c>
      <c r="BL696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7" spans="1:64" ht="30" x14ac:dyDescent="0.25">
      <c r="A697" s="40">
        <v>13020</v>
      </c>
      <c r="B697" s="40" t="s">
        <v>24</v>
      </c>
      <c r="C697" s="40" t="s">
        <v>325</v>
      </c>
      <c r="D697" s="40" t="s">
        <v>661</v>
      </c>
      <c r="E697" s="40">
        <v>21</v>
      </c>
      <c r="F697" s="40" t="s">
        <v>42</v>
      </c>
      <c r="G697" s="40" t="s">
        <v>42</v>
      </c>
      <c r="H697" s="41" t="s">
        <v>647</v>
      </c>
      <c r="I697" s="42" t="s">
        <v>43</v>
      </c>
      <c r="J697" s="40" t="s">
        <v>44</v>
      </c>
      <c r="K697" s="41" t="s">
        <v>43</v>
      </c>
      <c r="L697" s="40">
        <v>1</v>
      </c>
      <c r="M697" s="40">
        <v>2</v>
      </c>
      <c r="N697" s="41">
        <v>1</v>
      </c>
      <c r="O697" s="40">
        <v>4</v>
      </c>
      <c r="P697" s="40">
        <v>3</v>
      </c>
      <c r="Q697" s="41">
        <v>3</v>
      </c>
      <c r="R697" s="40" t="s">
        <v>45</v>
      </c>
      <c r="S697" s="40" t="s">
        <v>45</v>
      </c>
      <c r="T697" s="40">
        <v>1</v>
      </c>
      <c r="U697" s="40">
        <v>7</v>
      </c>
      <c r="V697" s="40" t="s">
        <v>45</v>
      </c>
      <c r="W697" s="40" t="s">
        <v>45</v>
      </c>
      <c r="X697" s="40">
        <v>2</v>
      </c>
      <c r="Y697" s="40">
        <v>6</v>
      </c>
      <c r="Z697" s="40" t="s">
        <v>45</v>
      </c>
      <c r="AA697" s="40" t="s">
        <v>45</v>
      </c>
      <c r="AB697" s="40" t="s">
        <v>45</v>
      </c>
      <c r="AC697" s="40" t="s">
        <v>45</v>
      </c>
      <c r="AD697" s="40">
        <v>3</v>
      </c>
      <c r="AE697" s="40">
        <v>5</v>
      </c>
      <c r="AF697" s="40" t="s">
        <v>45</v>
      </c>
      <c r="AG697" s="40" t="s">
        <v>45</v>
      </c>
      <c r="AH697" s="40" t="s">
        <v>45</v>
      </c>
      <c r="AI697" s="40" t="s">
        <v>45</v>
      </c>
      <c r="AJ697" s="40" t="s">
        <v>45</v>
      </c>
      <c r="AK697" s="40" t="s">
        <v>45</v>
      </c>
      <c r="AL697" s="40" t="s">
        <v>45</v>
      </c>
      <c r="AM697" s="40" t="s">
        <v>45</v>
      </c>
      <c r="AN697" s="40" t="s">
        <v>45</v>
      </c>
      <c r="AO697" s="41" t="s">
        <v>45</v>
      </c>
      <c r="AP697" s="40" t="s">
        <v>64</v>
      </c>
      <c r="AQ697" s="40">
        <v>7</v>
      </c>
      <c r="AR697" s="48" t="s">
        <v>347</v>
      </c>
      <c r="AS697" s="43" t="s">
        <v>643</v>
      </c>
      <c r="AT697" s="43" t="s">
        <v>47</v>
      </c>
      <c r="AU697" s="44">
        <f t="shared" si="80"/>
        <v>-2.5060525215375429</v>
      </c>
      <c r="AV697" s="44">
        <f t="shared" si="81"/>
        <v>-0.79641094873467422</v>
      </c>
      <c r="AW697" s="45">
        <f t="shared" si="82"/>
        <v>3</v>
      </c>
      <c r="AX697" s="45">
        <f t="shared" si="83"/>
        <v>2</v>
      </c>
      <c r="AY697" s="46">
        <f>VLOOKUP(AP697,COND!$A$10:$B$32,2,FALSE)</f>
        <v>1</v>
      </c>
      <c r="AZ697" s="44">
        <f>($AU$3*AU697+$AV$3*AV697+$AW$3*AW697+$AX$3*AX697)*AY697*IF(AQ697&lt;5,0.95,IF(AQ697&lt;7,0.975,1))+$I$3*VLOOKUP(I697,COND!$A$2:$E$7,4,FALSE)+$J$3*VLOOKUP(J697,COND!$A$2:$E$7,2,FALSE)+$K$3*VLOOKUP(K697,COND!$A$2:$E$7,3,FALSE)+IF(BB697="SP",$BB$3,0)+IF($AW697&lt;3,-5,0)+IF(AND($B$2&gt;0,$E697&lt;20),$B$2*25,0)</f>
        <v>34.270570520999001</v>
      </c>
      <c r="BA697" s="47">
        <f>STANDARDIZE(AZ697,AVERAGE($AZ$5:$AZ$557),STDEVP($AZ$5:$AZ$557))</f>
        <v>-0.10644259597260568</v>
      </c>
      <c r="BB697" s="45" t="str">
        <f t="shared" si="84"/>
        <v>SP</v>
      </c>
      <c r="BC697" s="45">
        <f>RANK(Table3[[#This Row],[zScore]],Table3[zScore])</f>
        <v>343</v>
      </c>
      <c r="BD697" s="45"/>
      <c r="BE697" s="45"/>
      <c r="BF697" s="45" t="str">
        <f t="shared" si="85"/>
        <v>Unlikely</v>
      </c>
      <c r="BG697" s="45"/>
      <c r="BH697" s="45">
        <f>INDEX(Table5[[#All],[Ovr]],MATCH(Table3[[#This Row],[PID]],Table5[[#All],[PID]],0))</f>
        <v>570</v>
      </c>
      <c r="BI697" s="45" t="str">
        <f>INDEX(Table5[[#All],[Rnd]],MATCH(Table3[[#This Row],[PID]],Table5[[#All],[PID]],0))</f>
        <v>19</v>
      </c>
      <c r="BJ697" s="45">
        <f>INDEX(Table5[[#All],[Pick]],MATCH(Table3[[#This Row],[PID]],Table5[[#All],[PID]],0))</f>
        <v>22</v>
      </c>
      <c r="BK697" s="45" t="str">
        <f>INDEX(Table5[[#All],[Team]],MATCH(Table3[[#This Row],[PID]],Table5[[#All],[PID]],0))</f>
        <v>Fargo Dinosaurs</v>
      </c>
      <c r="BL697" s="45" t="str">
        <f>IF(OR(Table3[[#This Row],[POS]]="SP",Table3[[#This Row],[POS]]="RP",Table3[[#This Row],[POS]]="CL"),"P",INDEX(Batters[[#All],[zScore]],MATCH(Table3[[#This Row],[PID]],Batters[[#All],[PID]],0)))</f>
        <v>P</v>
      </c>
    </row>
    <row r="698" spans="1:64" ht="30" x14ac:dyDescent="0.25">
      <c r="A698" s="40">
        <v>20478</v>
      </c>
      <c r="B698" s="40" t="s">
        <v>24</v>
      </c>
      <c r="C698" s="40" t="s">
        <v>2207</v>
      </c>
      <c r="D698" s="40" t="s">
        <v>668</v>
      </c>
      <c r="E698" s="40">
        <v>19</v>
      </c>
      <c r="F698" s="40" t="s">
        <v>42</v>
      </c>
      <c r="G698" s="40" t="s">
        <v>42</v>
      </c>
      <c r="H698" s="41" t="s">
        <v>647</v>
      </c>
      <c r="I698" s="42" t="s">
        <v>44</v>
      </c>
      <c r="J698" s="40" t="s">
        <v>44</v>
      </c>
      <c r="K698" s="41" t="s">
        <v>43</v>
      </c>
      <c r="L698" s="40">
        <v>2</v>
      </c>
      <c r="M698" s="40">
        <v>1</v>
      </c>
      <c r="N698" s="41">
        <v>1</v>
      </c>
      <c r="O698" s="40">
        <v>5</v>
      </c>
      <c r="P698" s="40">
        <v>1</v>
      </c>
      <c r="Q698" s="41">
        <v>3</v>
      </c>
      <c r="R698" s="40">
        <v>4</v>
      </c>
      <c r="S698" s="40">
        <v>6</v>
      </c>
      <c r="T698" s="40">
        <v>1</v>
      </c>
      <c r="U698" s="40">
        <v>1</v>
      </c>
      <c r="V698" s="40">
        <v>3</v>
      </c>
      <c r="W698" s="40">
        <v>8</v>
      </c>
      <c r="X698" s="40" t="s">
        <v>45</v>
      </c>
      <c r="Y698" s="40" t="s">
        <v>45</v>
      </c>
      <c r="Z698" s="40" t="s">
        <v>45</v>
      </c>
      <c r="AA698" s="40" t="s">
        <v>45</v>
      </c>
      <c r="AB698" s="40" t="s">
        <v>45</v>
      </c>
      <c r="AC698" s="40" t="s">
        <v>45</v>
      </c>
      <c r="AD698" s="40" t="s">
        <v>45</v>
      </c>
      <c r="AE698" s="40" t="s">
        <v>45</v>
      </c>
      <c r="AF698" s="40" t="s">
        <v>45</v>
      </c>
      <c r="AG698" s="40" t="s">
        <v>45</v>
      </c>
      <c r="AH698" s="40" t="s">
        <v>45</v>
      </c>
      <c r="AI698" s="40" t="s">
        <v>45</v>
      </c>
      <c r="AJ698" s="40" t="s">
        <v>45</v>
      </c>
      <c r="AK698" s="40" t="s">
        <v>45</v>
      </c>
      <c r="AL698" s="40" t="s">
        <v>45</v>
      </c>
      <c r="AM698" s="40" t="s">
        <v>45</v>
      </c>
      <c r="AN698" s="40" t="s">
        <v>45</v>
      </c>
      <c r="AO698" s="41" t="s">
        <v>45</v>
      </c>
      <c r="AP698" s="40" t="s">
        <v>64</v>
      </c>
      <c r="AQ698" s="40">
        <v>8</v>
      </c>
      <c r="AR698" s="48" t="s">
        <v>347</v>
      </c>
      <c r="AS698" s="43" t="s">
        <v>644</v>
      </c>
      <c r="AT698" s="43"/>
      <c r="AU698" s="44">
        <f t="shared" si="80"/>
        <v>-2.5067929134584248</v>
      </c>
      <c r="AV698" s="44">
        <f t="shared" si="81"/>
        <v>-0.99258305708561179</v>
      </c>
      <c r="AW698" s="45">
        <f t="shared" si="82"/>
        <v>3</v>
      </c>
      <c r="AX698" s="45">
        <f t="shared" si="83"/>
        <v>2</v>
      </c>
      <c r="AY698" s="46">
        <f>VLOOKUP(AP698,COND!$A$10:$B$32,2,FALSE)</f>
        <v>1</v>
      </c>
      <c r="AZ698" s="44">
        <f>($AU$3*AU698+$AV$3*AV698+$AW$3*AW698+$AX$3*AX698)*AY698*IF(AQ698&lt;5,0.95,IF(AQ698&lt;7,0.975,1))+$I$3*VLOOKUP(I698,COND!$A$2:$E$7,4,FALSE)+$J$3*VLOOKUP(J698,COND!$A$2:$E$7,2,FALSE)+$K$3*VLOOKUP(K698,COND!$A$2:$E$7,3,FALSE)+IF(BB698="SP",$BB$3,0)+IF($AW698&lt;3,-5,0)+IF(AND($B$2&gt;0,$E698&lt;20),$B$2*25,0)</f>
        <v>35.196980275596076</v>
      </c>
      <c r="BA698" s="47">
        <f>STANDARDIZE(AZ698,AVERAGE($AZ$5:$AZ$788),STDEVP($AZ$5:$AZ$788))</f>
        <v>-0.114513367695264</v>
      </c>
      <c r="BB698" s="45" t="str">
        <f t="shared" si="84"/>
        <v>SP</v>
      </c>
      <c r="BC698" s="45">
        <f>RANK(Table3[[#This Row],[zScore]],Table3[zScore])</f>
        <v>344</v>
      </c>
      <c r="BD698" s="45"/>
      <c r="BE698" s="45"/>
      <c r="BF698" s="45" t="str">
        <f t="shared" si="85"/>
        <v>Unlikely</v>
      </c>
      <c r="BG698" s="45"/>
      <c r="BH698" s="64" t="str">
        <f>INDEX(Table5[[#All],[Ovr]],MATCH(Table3[[#This Row],[PID]],Table5[[#All],[PID]],0))</f>
        <v/>
      </c>
      <c r="BI698" s="64" t="str">
        <f>INDEX(Table5[[#All],[Rnd]],MATCH(Table3[[#This Row],[PID]],Table5[[#All],[PID]],0))</f>
        <v/>
      </c>
      <c r="BJ698" s="64" t="str">
        <f>INDEX(Table5[[#All],[Pick]],MATCH(Table3[[#This Row],[PID]],Table5[[#All],[PID]],0))</f>
        <v/>
      </c>
      <c r="BK698" s="64" t="str">
        <f>INDEX(Table5[[#All],[Team]],MATCH(Table3[[#This Row],[PID]],Table5[[#All],[PID]],0))</f>
        <v/>
      </c>
      <c r="BL698" s="64" t="str">
        <f>IF(OR(Table3[[#This Row],[POS]]="SP",Table3[[#This Row],[POS]]="RP",Table3[[#This Row],[POS]]="CL"),"P",INDEX(Batters[[#All],[zScore]],MATCH(Table3[[#This Row],[PID]],Batters[[#All],[PID]],0)))</f>
        <v>P</v>
      </c>
    </row>
    <row r="699" spans="1:64" ht="30" x14ac:dyDescent="0.25">
      <c r="A699" s="40">
        <v>7254</v>
      </c>
      <c r="B699" s="40" t="s">
        <v>24</v>
      </c>
      <c r="C699" s="40" t="s">
        <v>1075</v>
      </c>
      <c r="D699" s="40" t="s">
        <v>1076</v>
      </c>
      <c r="E699" s="40">
        <v>22</v>
      </c>
      <c r="F699" s="40" t="s">
        <v>62</v>
      </c>
      <c r="G699" s="40" t="s">
        <v>42</v>
      </c>
      <c r="H699" s="41" t="s">
        <v>647</v>
      </c>
      <c r="I699" s="42" t="s">
        <v>44</v>
      </c>
      <c r="J699" s="40" t="s">
        <v>43</v>
      </c>
      <c r="K699" s="41" t="s">
        <v>43</v>
      </c>
      <c r="L699" s="40">
        <v>3</v>
      </c>
      <c r="M699" s="40">
        <v>1</v>
      </c>
      <c r="N699" s="41">
        <v>4</v>
      </c>
      <c r="O699" s="40">
        <v>5</v>
      </c>
      <c r="P699" s="40">
        <v>1</v>
      </c>
      <c r="Q699" s="41">
        <v>4</v>
      </c>
      <c r="R699" s="40">
        <v>5</v>
      </c>
      <c r="S699" s="40">
        <v>6</v>
      </c>
      <c r="T699" s="40">
        <v>3</v>
      </c>
      <c r="U699" s="40">
        <v>5</v>
      </c>
      <c r="V699" s="40" t="s">
        <v>45</v>
      </c>
      <c r="W699" s="40" t="s">
        <v>45</v>
      </c>
      <c r="X699" s="40">
        <v>4</v>
      </c>
      <c r="Y699" s="40">
        <v>6</v>
      </c>
      <c r="Z699" s="40" t="s">
        <v>45</v>
      </c>
      <c r="AA699" s="40" t="s">
        <v>45</v>
      </c>
      <c r="AB699" s="40" t="s">
        <v>45</v>
      </c>
      <c r="AC699" s="40" t="s">
        <v>45</v>
      </c>
      <c r="AD699" s="40" t="s">
        <v>45</v>
      </c>
      <c r="AE699" s="40" t="s">
        <v>45</v>
      </c>
      <c r="AF699" s="40">
        <v>4</v>
      </c>
      <c r="AG699" s="40">
        <v>5</v>
      </c>
      <c r="AH699" s="40" t="s">
        <v>45</v>
      </c>
      <c r="AI699" s="40" t="s">
        <v>45</v>
      </c>
      <c r="AJ699" s="40" t="s">
        <v>45</v>
      </c>
      <c r="AK699" s="40" t="s">
        <v>45</v>
      </c>
      <c r="AL699" s="40" t="s">
        <v>45</v>
      </c>
      <c r="AM699" s="40" t="s">
        <v>45</v>
      </c>
      <c r="AN699" s="40" t="s">
        <v>45</v>
      </c>
      <c r="AO699" s="41" t="s">
        <v>45</v>
      </c>
      <c r="AP699" s="40" t="s">
        <v>58</v>
      </c>
      <c r="AQ699" s="40">
        <v>7</v>
      </c>
      <c r="AR699" s="48" t="s">
        <v>351</v>
      </c>
      <c r="AS699" s="43" t="s">
        <v>45</v>
      </c>
      <c r="AT699" s="43" t="s">
        <v>47</v>
      </c>
      <c r="AU699" s="44">
        <f t="shared" si="80"/>
        <v>-1.5851398907869199</v>
      </c>
      <c r="AV699" s="44">
        <f t="shared" si="81"/>
        <v>-0.75026249103150122</v>
      </c>
      <c r="AW699" s="45">
        <f t="shared" si="82"/>
        <v>4</v>
      </c>
      <c r="AX699" s="45">
        <f t="shared" si="83"/>
        <v>2</v>
      </c>
      <c r="AY699" s="46">
        <f>VLOOKUP(AP699,COND!$A$10:$B$32,2,FALSE)</f>
        <v>1</v>
      </c>
      <c r="AZ699" s="44">
        <f>($AU$3*AU699+$AV$3*AV699+$AW$3*AW699+$AX$3*AX699)*AY699*IF(AQ699&lt;5,0.95,IF(AQ699&lt;7,0.975,1))+$I$3*VLOOKUP(I699,COND!$A$2:$E$7,4,FALSE)+$J$3*VLOOKUP(J699,COND!$A$2:$E$7,2,FALSE)+$K$3*VLOOKUP(K699,COND!$A$2:$E$7,3,FALSE)+IF(BB699="SP",$BB$3,0)+IF($AW699&lt;3,-5,0)+IF(AND($B$2&gt;0,$E699&lt;20),$B$2*25,0)</f>
        <v>36.02772220121259</v>
      </c>
      <c r="BA699" s="47">
        <f>STANDARDIZE(AZ699,AVERAGE($AZ$5:$AZ$663),STDEVP($AZ$5:$AZ$663))</f>
        <v>-0.12165918213148956</v>
      </c>
      <c r="BB699" s="45" t="str">
        <f t="shared" si="84"/>
        <v>SP</v>
      </c>
      <c r="BC699" s="45">
        <f>RANK(Table3[[#This Row],[zScore]],Table3[zScore])</f>
        <v>349</v>
      </c>
      <c r="BD699" s="45"/>
      <c r="BE699" s="45"/>
      <c r="BF699" s="45" t="str">
        <f t="shared" si="85"/>
        <v>Unlikely</v>
      </c>
      <c r="BG699" s="45"/>
      <c r="BH699" s="45" t="str">
        <f>INDEX(Table5[[#All],[Ovr]],MATCH(Table3[[#This Row],[PID]],Table5[[#All],[PID]],0))</f>
        <v/>
      </c>
      <c r="BI699" s="45" t="str">
        <f>INDEX(Table5[[#All],[Rnd]],MATCH(Table3[[#This Row],[PID]],Table5[[#All],[PID]],0))</f>
        <v/>
      </c>
      <c r="BJ699" s="45" t="str">
        <f>INDEX(Table5[[#All],[Pick]],MATCH(Table3[[#This Row],[PID]],Table5[[#All],[PID]],0))</f>
        <v/>
      </c>
      <c r="BK699" s="45" t="str">
        <f>INDEX(Table5[[#All],[Team]],MATCH(Table3[[#This Row],[PID]],Table5[[#All],[PID]],0))</f>
        <v/>
      </c>
      <c r="BL69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0" spans="1:64" ht="30" x14ac:dyDescent="0.25">
      <c r="A700" s="40">
        <v>20652</v>
      </c>
      <c r="B700" s="40" t="s">
        <v>24</v>
      </c>
      <c r="C700" s="40" t="s">
        <v>2211</v>
      </c>
      <c r="D700" s="40" t="s">
        <v>1378</v>
      </c>
      <c r="E700" s="40">
        <v>18</v>
      </c>
      <c r="F700" s="40" t="s">
        <v>62</v>
      </c>
      <c r="G700" s="40" t="s">
        <v>42</v>
      </c>
      <c r="H700" s="41" t="s">
        <v>647</v>
      </c>
      <c r="I700" s="42" t="s">
        <v>43</v>
      </c>
      <c r="J700" s="40" t="s">
        <v>44</v>
      </c>
      <c r="K700" s="41" t="s">
        <v>44</v>
      </c>
      <c r="L700" s="40">
        <v>2</v>
      </c>
      <c r="M700" s="40">
        <v>2</v>
      </c>
      <c r="N700" s="41">
        <v>1</v>
      </c>
      <c r="O700" s="40">
        <v>4</v>
      </c>
      <c r="P700" s="40">
        <v>2</v>
      </c>
      <c r="Q700" s="41">
        <v>3</v>
      </c>
      <c r="R700" s="40">
        <v>4</v>
      </c>
      <c r="S700" s="40">
        <v>6</v>
      </c>
      <c r="T700" s="40" t="s">
        <v>45</v>
      </c>
      <c r="U700" s="40" t="s">
        <v>45</v>
      </c>
      <c r="V700" s="40" t="s">
        <v>45</v>
      </c>
      <c r="W700" s="40" t="s">
        <v>45</v>
      </c>
      <c r="X700" s="40">
        <v>2</v>
      </c>
      <c r="Y700" s="40">
        <v>5</v>
      </c>
      <c r="Z700" s="40" t="s">
        <v>45</v>
      </c>
      <c r="AA700" s="40" t="s">
        <v>45</v>
      </c>
      <c r="AB700" s="40">
        <v>3</v>
      </c>
      <c r="AC700" s="40">
        <v>6</v>
      </c>
      <c r="AD700" s="40" t="s">
        <v>45</v>
      </c>
      <c r="AE700" s="40" t="s">
        <v>45</v>
      </c>
      <c r="AF700" s="40" t="s">
        <v>45</v>
      </c>
      <c r="AG700" s="40" t="s">
        <v>45</v>
      </c>
      <c r="AH700" s="40" t="s">
        <v>45</v>
      </c>
      <c r="AI700" s="40" t="s">
        <v>45</v>
      </c>
      <c r="AJ700" s="40" t="s">
        <v>45</v>
      </c>
      <c r="AK700" s="40" t="s">
        <v>45</v>
      </c>
      <c r="AL700" s="40" t="s">
        <v>45</v>
      </c>
      <c r="AM700" s="40" t="s">
        <v>45</v>
      </c>
      <c r="AN700" s="40" t="s">
        <v>45</v>
      </c>
      <c r="AO700" s="41" t="s">
        <v>45</v>
      </c>
      <c r="AP700" s="40" t="s">
        <v>57</v>
      </c>
      <c r="AQ700" s="40">
        <v>8</v>
      </c>
      <c r="AR700" s="48" t="s">
        <v>347</v>
      </c>
      <c r="AS700" s="43" t="s">
        <v>644</v>
      </c>
      <c r="AT700" s="43"/>
      <c r="AU700" s="44">
        <f t="shared" si="80"/>
        <v>-2.311361197028369</v>
      </c>
      <c r="AV700" s="44">
        <f t="shared" si="81"/>
        <v>-0.99184266516472974</v>
      </c>
      <c r="AW700" s="45">
        <f t="shared" si="82"/>
        <v>3</v>
      </c>
      <c r="AX700" s="45">
        <f t="shared" si="83"/>
        <v>2</v>
      </c>
      <c r="AY700" s="46">
        <f>VLOOKUP(AP700,COND!$A$10:$B$32,2,FALSE)</f>
        <v>1</v>
      </c>
      <c r="AZ700" s="44">
        <f>($AU$3*AU700+$AV$3*AV700+$AW$3*AW700+$AX$3*AX700)*AY700*IF(AQ700&lt;5,0.95,IF(AQ700&lt;7,0.975,1))+$I$3*VLOOKUP(I700,COND!$A$2:$E$7,4,FALSE)+$J$3*VLOOKUP(J700,COND!$A$2:$E$7,2,FALSE)+$K$3*VLOOKUP(K700,COND!$A$2:$E$7,3,FALSE)+IF(BB700="SP",$BB$3,0)+IF($AW700&lt;3,-5,0)+IF(AND($B$2&gt;0,$E700&lt;20),$B$2*25,0)</f>
        <v>35.100874457299724</v>
      </c>
      <c r="BA700" s="47">
        <f>STANDARDIZE(AZ700,AVERAGE($AZ$5:$AZ$788),STDEVP($AZ$5:$AZ$788))</f>
        <v>-0.12146782164997934</v>
      </c>
      <c r="BB700" s="45" t="str">
        <f t="shared" si="84"/>
        <v>SP</v>
      </c>
      <c r="BC700" s="45">
        <f>RANK(Table3[[#This Row],[zScore]],Table3[zScore])</f>
        <v>348</v>
      </c>
      <c r="BD700" s="45"/>
      <c r="BE700" s="45"/>
      <c r="BF700" s="45" t="str">
        <f t="shared" si="85"/>
        <v>Unlikely</v>
      </c>
      <c r="BG700" s="45"/>
      <c r="BH700" s="64" t="str">
        <f>INDEX(Table5[[#All],[Ovr]],MATCH(Table3[[#This Row],[PID]],Table5[[#All],[PID]],0))</f>
        <v/>
      </c>
      <c r="BI700" s="64" t="str">
        <f>INDEX(Table5[[#All],[Rnd]],MATCH(Table3[[#This Row],[PID]],Table5[[#All],[PID]],0))</f>
        <v/>
      </c>
      <c r="BJ700" s="64" t="str">
        <f>INDEX(Table5[[#All],[Pick]],MATCH(Table3[[#This Row],[PID]],Table5[[#All],[PID]],0))</f>
        <v/>
      </c>
      <c r="BK700" s="64" t="str">
        <f>INDEX(Table5[[#All],[Team]],MATCH(Table3[[#This Row],[PID]],Table5[[#All],[PID]],0))</f>
        <v/>
      </c>
      <c r="BL700" s="64" t="str">
        <f>IF(OR(Table3[[#This Row],[POS]]="SP",Table3[[#This Row],[POS]]="RP",Table3[[#This Row],[POS]]="CL"),"P",INDEX(Batters[[#All],[zScore]],MATCH(Table3[[#This Row],[PID]],Batters[[#All],[PID]],0)))</f>
        <v>P</v>
      </c>
    </row>
    <row r="701" spans="1:64" ht="30" x14ac:dyDescent="0.25">
      <c r="A701" s="40">
        <v>20552</v>
      </c>
      <c r="B701" s="40" t="s">
        <v>24</v>
      </c>
      <c r="C701" s="40" t="s">
        <v>384</v>
      </c>
      <c r="D701" s="40" t="s">
        <v>2133</v>
      </c>
      <c r="E701" s="40">
        <v>17</v>
      </c>
      <c r="F701" s="40" t="s">
        <v>42</v>
      </c>
      <c r="G701" s="40" t="s">
        <v>42</v>
      </c>
      <c r="H701" s="41" t="s">
        <v>647</v>
      </c>
      <c r="I701" s="42" t="s">
        <v>43</v>
      </c>
      <c r="J701" s="40" t="s">
        <v>43</v>
      </c>
      <c r="K701" s="41" t="s">
        <v>43</v>
      </c>
      <c r="L701" s="40">
        <v>2</v>
      </c>
      <c r="M701" s="40">
        <v>1</v>
      </c>
      <c r="N701" s="41">
        <v>1</v>
      </c>
      <c r="O701" s="40">
        <v>5</v>
      </c>
      <c r="P701" s="40">
        <v>1</v>
      </c>
      <c r="Q701" s="41">
        <v>3</v>
      </c>
      <c r="R701" s="40">
        <v>4</v>
      </c>
      <c r="S701" s="40">
        <v>7</v>
      </c>
      <c r="T701" s="40">
        <v>1</v>
      </c>
      <c r="U701" s="40">
        <v>2</v>
      </c>
      <c r="V701" s="40" t="s">
        <v>45</v>
      </c>
      <c r="W701" s="40" t="s">
        <v>45</v>
      </c>
      <c r="X701" s="40">
        <v>4</v>
      </c>
      <c r="Y701" s="40">
        <v>8</v>
      </c>
      <c r="Z701" s="40" t="s">
        <v>45</v>
      </c>
      <c r="AA701" s="40" t="s">
        <v>45</v>
      </c>
      <c r="AB701" s="40" t="s">
        <v>45</v>
      </c>
      <c r="AC701" s="40" t="s">
        <v>45</v>
      </c>
      <c r="AD701" s="40" t="s">
        <v>45</v>
      </c>
      <c r="AE701" s="40" t="s">
        <v>45</v>
      </c>
      <c r="AF701" s="40" t="s">
        <v>45</v>
      </c>
      <c r="AG701" s="40" t="s">
        <v>45</v>
      </c>
      <c r="AH701" s="40" t="s">
        <v>45</v>
      </c>
      <c r="AI701" s="40" t="s">
        <v>45</v>
      </c>
      <c r="AJ701" s="40" t="s">
        <v>45</v>
      </c>
      <c r="AK701" s="40" t="s">
        <v>45</v>
      </c>
      <c r="AL701" s="40" t="s">
        <v>45</v>
      </c>
      <c r="AM701" s="40" t="s">
        <v>45</v>
      </c>
      <c r="AN701" s="40" t="s">
        <v>45</v>
      </c>
      <c r="AO701" s="41" t="s">
        <v>45</v>
      </c>
      <c r="AP701" s="40" t="s">
        <v>56</v>
      </c>
      <c r="AQ701" s="40">
        <v>8</v>
      </c>
      <c r="AR701" s="48" t="s">
        <v>14</v>
      </c>
      <c r="AS701" s="43" t="s">
        <v>45</v>
      </c>
      <c r="AT701" s="43" t="s">
        <v>635</v>
      </c>
      <c r="AU701" s="44">
        <f t="shared" si="80"/>
        <v>-2.5067929134584248</v>
      </c>
      <c r="AV701" s="44">
        <f t="shared" si="81"/>
        <v>-0.99258305708561179</v>
      </c>
      <c r="AW701" s="45">
        <f t="shared" si="82"/>
        <v>3</v>
      </c>
      <c r="AX701" s="45">
        <f t="shared" si="83"/>
        <v>2</v>
      </c>
      <c r="AY701" s="46">
        <f>VLOOKUP(AP701,COND!$A$10:$B$32,2,FALSE)</f>
        <v>1</v>
      </c>
      <c r="AZ701" s="44">
        <f>($AU$3*AU701+$AV$3*AV701+$AW$3*AW701+$AX$3*AX701)*AY701*IF(AQ701&lt;5,0.95,IF(AQ701&lt;7,0.975,1))+$I$3*VLOOKUP(I701,COND!$A$2:$E$7,4,FALSE)+$J$3*VLOOKUP(J701,COND!$A$2:$E$7,2,FALSE)+$K$3*VLOOKUP(K701,COND!$A$2:$E$7,3,FALSE)+IF(BB701="SP",$BB$3,0)+IF($AW701&lt;3,-5,0)+IF(AND($B$2&gt;0,$E701&lt;20),$B$2*25,0)</f>
        <v>35.646980275596079</v>
      </c>
      <c r="BA701" s="47">
        <f>STANDARDIZE(AZ701,AVERAGE($AZ$5:$AZ$663),STDEVP($AZ$5:$AZ$663))</f>
        <v>-0.14773989201108029</v>
      </c>
      <c r="BB701" s="45" t="str">
        <f t="shared" si="84"/>
        <v>SP</v>
      </c>
      <c r="BC701" s="45">
        <f>RANK(Table3[[#This Row],[zScore]],Table3[zScore])</f>
        <v>359</v>
      </c>
      <c r="BD701" s="45"/>
      <c r="BE701" s="45"/>
      <c r="BF701" s="45" t="str">
        <f t="shared" si="85"/>
        <v>Unlikely</v>
      </c>
      <c r="BG701" s="45"/>
      <c r="BH701" s="45" t="str">
        <f>INDEX(Table5[[#All],[Ovr]],MATCH(Table3[[#This Row],[PID]],Table5[[#All],[PID]],0))</f>
        <v/>
      </c>
      <c r="BI701" s="45" t="str">
        <f>INDEX(Table5[[#All],[Rnd]],MATCH(Table3[[#This Row],[PID]],Table5[[#All],[PID]],0))</f>
        <v/>
      </c>
      <c r="BJ701" s="45" t="str">
        <f>INDEX(Table5[[#All],[Pick]],MATCH(Table3[[#This Row],[PID]],Table5[[#All],[PID]],0))</f>
        <v/>
      </c>
      <c r="BK701" s="45" t="str">
        <f>INDEX(Table5[[#All],[Team]],MATCH(Table3[[#This Row],[PID]],Table5[[#All],[PID]],0))</f>
        <v/>
      </c>
      <c r="BL70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2" spans="1:64" ht="30" x14ac:dyDescent="0.25">
      <c r="A702" s="40">
        <v>17799</v>
      </c>
      <c r="B702" s="40" t="s">
        <v>24</v>
      </c>
      <c r="C702" s="40" t="s">
        <v>2102</v>
      </c>
      <c r="D702" s="40" t="s">
        <v>522</v>
      </c>
      <c r="E702" s="40">
        <v>21</v>
      </c>
      <c r="F702" s="40" t="s">
        <v>53</v>
      </c>
      <c r="G702" s="40" t="s">
        <v>53</v>
      </c>
      <c r="H702" s="41" t="s">
        <v>647</v>
      </c>
      <c r="I702" s="42" t="s">
        <v>43</v>
      </c>
      <c r="J702" s="40" t="s">
        <v>43</v>
      </c>
      <c r="K702" s="41" t="s">
        <v>44</v>
      </c>
      <c r="L702" s="40">
        <v>3</v>
      </c>
      <c r="M702" s="40">
        <v>2</v>
      </c>
      <c r="N702" s="41">
        <v>2</v>
      </c>
      <c r="O702" s="40">
        <v>5</v>
      </c>
      <c r="P702" s="40">
        <v>2</v>
      </c>
      <c r="Q702" s="41">
        <v>3</v>
      </c>
      <c r="R702" s="40">
        <v>5</v>
      </c>
      <c r="S702" s="40">
        <v>6</v>
      </c>
      <c r="T702" s="40">
        <v>1</v>
      </c>
      <c r="U702" s="40">
        <v>4</v>
      </c>
      <c r="V702" s="40">
        <v>2</v>
      </c>
      <c r="W702" s="40">
        <v>4</v>
      </c>
      <c r="X702" s="40">
        <v>3</v>
      </c>
      <c r="Y702" s="40">
        <v>6</v>
      </c>
      <c r="Z702" s="40" t="s">
        <v>45</v>
      </c>
      <c r="AA702" s="40" t="s">
        <v>45</v>
      </c>
      <c r="AB702" s="40">
        <v>4</v>
      </c>
      <c r="AC702" s="40">
        <v>5</v>
      </c>
      <c r="AD702" s="40" t="s">
        <v>45</v>
      </c>
      <c r="AE702" s="40" t="s">
        <v>45</v>
      </c>
      <c r="AF702" s="40">
        <v>4</v>
      </c>
      <c r="AG702" s="40">
        <v>5</v>
      </c>
      <c r="AH702" s="40" t="s">
        <v>45</v>
      </c>
      <c r="AI702" s="40" t="s">
        <v>45</v>
      </c>
      <c r="AJ702" s="40" t="s">
        <v>45</v>
      </c>
      <c r="AK702" s="40" t="s">
        <v>45</v>
      </c>
      <c r="AL702" s="40" t="s">
        <v>45</v>
      </c>
      <c r="AM702" s="40" t="s">
        <v>45</v>
      </c>
      <c r="AN702" s="40" t="s">
        <v>45</v>
      </c>
      <c r="AO702" s="41" t="s">
        <v>45</v>
      </c>
      <c r="AP702" s="40" t="s">
        <v>60</v>
      </c>
      <c r="AQ702" s="40">
        <v>8</v>
      </c>
      <c r="AR702" s="48" t="s">
        <v>347</v>
      </c>
      <c r="AS702" s="43" t="s">
        <v>45</v>
      </c>
      <c r="AT702" s="43" t="s">
        <v>47</v>
      </c>
      <c r="AU702" s="44">
        <f t="shared" si="80"/>
        <v>-1.8743493064650851</v>
      </c>
      <c r="AV702" s="44">
        <f t="shared" si="81"/>
        <v>-0.79715134065555615</v>
      </c>
      <c r="AW702" s="45">
        <f t="shared" si="82"/>
        <v>6</v>
      </c>
      <c r="AX702" s="45">
        <f t="shared" si="83"/>
        <v>2</v>
      </c>
      <c r="AY702" s="46">
        <f>VLOOKUP(AP702,COND!$A$10:$B$32,2,FALSE)</f>
        <v>1.0249999999999999</v>
      </c>
      <c r="AZ702" s="44">
        <f>($AU$3*AU702+$AV$3*AV702+$AW$3*AW702+$AX$3*AX702)*AY702*IF(AQ702&lt;5,0.95,IF(AQ702&lt;7,0.975,1))+$I$3*VLOOKUP(I702,COND!$A$2:$E$7,4,FALSE)+$J$3*VLOOKUP(J702,COND!$A$2:$E$7,2,FALSE)+$K$3*VLOOKUP(K702,COND!$A$2:$E$7,3,FALSE)+IF(BB702="SP",$BB$3,0)+IF($AW702&lt;3,-5,0)+IF(AND($B$2&gt;0,$E702&lt;20),$B$2*25,0)</f>
        <v>35.611655908735756</v>
      </c>
      <c r="BA702" s="47">
        <f>STANDARDIZE(AZ702,AVERAGE($AZ$5:$AZ$663),STDEVP($AZ$5:$AZ$663))</f>
        <v>-0.15015960074757556</v>
      </c>
      <c r="BB702" s="45" t="str">
        <f t="shared" si="84"/>
        <v>SP</v>
      </c>
      <c r="BC702" s="45">
        <f>RANK(Table3[[#This Row],[zScore]],Table3[zScore])</f>
        <v>360</v>
      </c>
      <c r="BD702" s="45"/>
      <c r="BE702" s="45"/>
      <c r="BF702" s="45" t="str">
        <f t="shared" si="85"/>
        <v>Unlikely</v>
      </c>
      <c r="BG702" s="45"/>
      <c r="BH702" s="45">
        <f>INDEX(Table5[[#All],[Ovr]],MATCH(Table3[[#This Row],[PID]],Table5[[#All],[PID]],0))</f>
        <v>493</v>
      </c>
      <c r="BI702" s="45" t="str">
        <f>INDEX(Table5[[#All],[Rnd]],MATCH(Table3[[#This Row],[PID]],Table5[[#All],[PID]],0))</f>
        <v>17</v>
      </c>
      <c r="BJ702" s="45">
        <f>INDEX(Table5[[#All],[Pick]],MATCH(Table3[[#This Row],[PID]],Table5[[#All],[PID]],0))</f>
        <v>5</v>
      </c>
      <c r="BK702" s="45" t="str">
        <f>INDEX(Table5[[#All],[Team]],MATCH(Table3[[#This Row],[PID]],Table5[[#All],[PID]],0))</f>
        <v>Okinawa Shisa</v>
      </c>
      <c r="BL70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3" spans="1:64" ht="30" x14ac:dyDescent="0.25">
      <c r="A703" s="40">
        <v>20327</v>
      </c>
      <c r="B703" s="40" t="s">
        <v>24</v>
      </c>
      <c r="C703" s="40" t="s">
        <v>198</v>
      </c>
      <c r="D703" s="40" t="s">
        <v>949</v>
      </c>
      <c r="E703" s="40">
        <v>17</v>
      </c>
      <c r="F703" s="40" t="s">
        <v>53</v>
      </c>
      <c r="G703" s="40" t="s">
        <v>53</v>
      </c>
      <c r="H703" s="41" t="s">
        <v>647</v>
      </c>
      <c r="I703" s="42" t="s">
        <v>43</v>
      </c>
      <c r="J703" s="40" t="s">
        <v>43</v>
      </c>
      <c r="K703" s="41" t="s">
        <v>43</v>
      </c>
      <c r="L703" s="40">
        <v>2</v>
      </c>
      <c r="M703" s="40">
        <v>1</v>
      </c>
      <c r="N703" s="41">
        <v>1</v>
      </c>
      <c r="O703" s="40">
        <v>4</v>
      </c>
      <c r="P703" s="40">
        <v>1</v>
      </c>
      <c r="Q703" s="41">
        <v>3</v>
      </c>
      <c r="R703" s="40">
        <v>3</v>
      </c>
      <c r="S703" s="40">
        <v>6</v>
      </c>
      <c r="T703" s="40" t="s">
        <v>45</v>
      </c>
      <c r="U703" s="40" t="s">
        <v>45</v>
      </c>
      <c r="V703" s="40">
        <v>2</v>
      </c>
      <c r="W703" s="40">
        <v>6</v>
      </c>
      <c r="X703" s="40">
        <v>3</v>
      </c>
      <c r="Y703" s="40">
        <v>6</v>
      </c>
      <c r="Z703" s="40" t="s">
        <v>45</v>
      </c>
      <c r="AA703" s="40" t="s">
        <v>45</v>
      </c>
      <c r="AB703" s="40" t="s">
        <v>45</v>
      </c>
      <c r="AC703" s="40" t="s">
        <v>45</v>
      </c>
      <c r="AD703" s="40" t="s">
        <v>45</v>
      </c>
      <c r="AE703" s="40" t="s">
        <v>45</v>
      </c>
      <c r="AF703" s="40" t="s">
        <v>45</v>
      </c>
      <c r="AG703" s="40" t="s">
        <v>45</v>
      </c>
      <c r="AH703" s="40" t="s">
        <v>45</v>
      </c>
      <c r="AI703" s="40" t="s">
        <v>45</v>
      </c>
      <c r="AJ703" s="40" t="s">
        <v>45</v>
      </c>
      <c r="AK703" s="40" t="s">
        <v>45</v>
      </c>
      <c r="AL703" s="40" t="s">
        <v>45</v>
      </c>
      <c r="AM703" s="40" t="s">
        <v>45</v>
      </c>
      <c r="AN703" s="40" t="s">
        <v>45</v>
      </c>
      <c r="AO703" s="41" t="s">
        <v>45</v>
      </c>
      <c r="AP703" s="40" t="s">
        <v>349</v>
      </c>
      <c r="AQ703" s="40">
        <v>6</v>
      </c>
      <c r="AR703" s="48" t="s">
        <v>14</v>
      </c>
      <c r="AS703" s="43" t="s">
        <v>663</v>
      </c>
      <c r="AT703" s="43" t="s">
        <v>47</v>
      </c>
      <c r="AU703" s="44">
        <f t="shared" si="80"/>
        <v>-2.5067929134584248</v>
      </c>
      <c r="AV703" s="44">
        <f t="shared" si="81"/>
        <v>-1.1872743815947853</v>
      </c>
      <c r="AW703" s="45">
        <f t="shared" si="82"/>
        <v>3</v>
      </c>
      <c r="AX703" s="45">
        <f t="shared" si="83"/>
        <v>3</v>
      </c>
      <c r="AY703" s="46">
        <f>VLOOKUP(AP703,COND!$A$10:$B$32,2,FALSE)</f>
        <v>1</v>
      </c>
      <c r="AZ703" s="44">
        <f>($AU$3*AU703+$AV$3*AV703+$AW$3*AW703+$AX$3*AX703)*AY703*IF(AQ703&lt;5,0.95,IF(AQ703&lt;7,0.975,1))+$I$3*VLOOKUP(I703,COND!$A$2:$E$7,4,FALSE)+$J$3*VLOOKUP(J703,COND!$A$2:$E$7,2,FALSE)+$K$3*VLOOKUP(K703,COND!$A$2:$E$7,3,FALSE)+IF(BB703="SP",$BB$3,0)+IF($AW703&lt;3,-5,0)+IF(AND($B$2&gt;0,$E703&lt;20),$B$2*25,0)</f>
        <v>33.47807494077729</v>
      </c>
      <c r="BA703" s="47">
        <f>STANDARDIZE(AZ703,AVERAGE($AZ$5:$AZ$557),STDEVP($AZ$5:$AZ$557))</f>
        <v>-0.15916611590525265</v>
      </c>
      <c r="BB703" s="45" t="str">
        <f t="shared" si="84"/>
        <v>SP</v>
      </c>
      <c r="BC703" s="45">
        <f>RANK(Table3[[#This Row],[zScore]],Table3[zScore])</f>
        <v>366</v>
      </c>
      <c r="BD703" s="45"/>
      <c r="BE703" s="45"/>
      <c r="BF703" s="45" t="str">
        <f t="shared" si="85"/>
        <v>Unlikely</v>
      </c>
      <c r="BG703" s="45"/>
      <c r="BH703" s="45" t="str">
        <f>INDEX(Table5[[#All],[Ovr]],MATCH(Table3[[#This Row],[PID]],Table5[[#All],[PID]],0))</f>
        <v/>
      </c>
      <c r="BI703" s="45" t="str">
        <f>INDEX(Table5[[#All],[Rnd]],MATCH(Table3[[#This Row],[PID]],Table5[[#All],[PID]],0))</f>
        <v/>
      </c>
      <c r="BJ703" s="45" t="str">
        <f>INDEX(Table5[[#All],[Pick]],MATCH(Table3[[#This Row],[PID]],Table5[[#All],[PID]],0))</f>
        <v/>
      </c>
      <c r="BK703" s="45" t="str">
        <f>INDEX(Table5[[#All],[Team]],MATCH(Table3[[#This Row],[PID]],Table5[[#All],[PID]],0))</f>
        <v/>
      </c>
      <c r="BL70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4" spans="1:64" ht="30" x14ac:dyDescent="0.25">
      <c r="A704" s="40">
        <v>20901</v>
      </c>
      <c r="B704" s="40" t="s">
        <v>24</v>
      </c>
      <c r="C704" s="40" t="s">
        <v>2019</v>
      </c>
      <c r="D704" s="40" t="s">
        <v>2020</v>
      </c>
      <c r="E704" s="40">
        <v>18</v>
      </c>
      <c r="F704" s="40" t="s">
        <v>53</v>
      </c>
      <c r="G704" s="40" t="s">
        <v>53</v>
      </c>
      <c r="H704" s="41" t="s">
        <v>647</v>
      </c>
      <c r="I704" s="42" t="s">
        <v>43</v>
      </c>
      <c r="J704" s="40" t="s">
        <v>44</v>
      </c>
      <c r="K704" s="41" t="s">
        <v>43</v>
      </c>
      <c r="L704" s="40">
        <v>2</v>
      </c>
      <c r="M704" s="40">
        <v>2</v>
      </c>
      <c r="N704" s="41">
        <v>1</v>
      </c>
      <c r="O704" s="40">
        <v>4</v>
      </c>
      <c r="P704" s="40">
        <v>2</v>
      </c>
      <c r="Q704" s="41">
        <v>3</v>
      </c>
      <c r="R704" s="40">
        <v>3</v>
      </c>
      <c r="S704" s="40">
        <v>4</v>
      </c>
      <c r="T704" s="40">
        <v>1</v>
      </c>
      <c r="U704" s="40">
        <v>5</v>
      </c>
      <c r="V704" s="40" t="s">
        <v>45</v>
      </c>
      <c r="W704" s="40" t="s">
        <v>45</v>
      </c>
      <c r="X704" s="40" t="s">
        <v>45</v>
      </c>
      <c r="Y704" s="40" t="s">
        <v>45</v>
      </c>
      <c r="Z704" s="40" t="s">
        <v>45</v>
      </c>
      <c r="AA704" s="40" t="s">
        <v>45</v>
      </c>
      <c r="AB704" s="40">
        <v>3</v>
      </c>
      <c r="AC704" s="40">
        <v>5</v>
      </c>
      <c r="AD704" s="40">
        <v>3</v>
      </c>
      <c r="AE704" s="40">
        <v>4</v>
      </c>
      <c r="AF704" s="40" t="s">
        <v>45</v>
      </c>
      <c r="AG704" s="40" t="s">
        <v>45</v>
      </c>
      <c r="AH704" s="40" t="s">
        <v>45</v>
      </c>
      <c r="AI704" s="40" t="s">
        <v>45</v>
      </c>
      <c r="AJ704" s="40" t="s">
        <v>45</v>
      </c>
      <c r="AK704" s="40" t="s">
        <v>45</v>
      </c>
      <c r="AL704" s="40" t="s">
        <v>45</v>
      </c>
      <c r="AM704" s="40" t="s">
        <v>45</v>
      </c>
      <c r="AN704" s="40" t="s">
        <v>45</v>
      </c>
      <c r="AO704" s="41" t="s">
        <v>45</v>
      </c>
      <c r="AP704" s="40" t="s">
        <v>349</v>
      </c>
      <c r="AQ704" s="40">
        <v>10</v>
      </c>
      <c r="AR704" s="48" t="s">
        <v>347</v>
      </c>
      <c r="AS704" s="43" t="s">
        <v>663</v>
      </c>
      <c r="AT704" s="43" t="s">
        <v>47</v>
      </c>
      <c r="AU704" s="44">
        <f t="shared" si="80"/>
        <v>-2.311361197028369</v>
      </c>
      <c r="AV704" s="44">
        <f t="shared" si="81"/>
        <v>-0.99184266516472974</v>
      </c>
      <c r="AW704" s="45">
        <f t="shared" si="82"/>
        <v>4</v>
      </c>
      <c r="AX704" s="45">
        <f t="shared" si="83"/>
        <v>0</v>
      </c>
      <c r="AY704" s="46">
        <f>VLOOKUP(AP704,COND!$A$10:$B$32,2,FALSE)</f>
        <v>1</v>
      </c>
      <c r="AZ704" s="44">
        <f>($AU$3*AU704+$AV$3*AV704+$AW$3*AW704+$AX$3*AX704)*AY704*IF(AQ704&lt;5,0.95,IF(AQ704&lt;7,0.975,1))+$I$3*VLOOKUP(I704,COND!$A$2:$E$7,4,FALSE)+$J$3*VLOOKUP(J704,COND!$A$2:$E$7,2,FALSE)+$K$3*VLOOKUP(K704,COND!$A$2:$E$7,3,FALSE)+IF(BB704="SP",$BB$3,0)+IF($AW704&lt;3,-5,0)+IF(AND($B$2&gt;0,$E704&lt;20),$B$2*25,0)</f>
        <v>33.400874457299729</v>
      </c>
      <c r="BA704" s="47">
        <f>STANDARDIZE(AZ704,AVERAGE($AZ$5:$AZ$557),STDEVP($AZ$5:$AZ$557))</f>
        <v>-0.16430214610027338</v>
      </c>
      <c r="BB704" s="45" t="str">
        <f t="shared" si="84"/>
        <v>SP</v>
      </c>
      <c r="BC704" s="45">
        <f>RANK(Table3[[#This Row],[zScore]],Table3[zScore])</f>
        <v>369</v>
      </c>
      <c r="BD704" s="45"/>
      <c r="BE704" s="45"/>
      <c r="BF704" s="45" t="str">
        <f t="shared" si="85"/>
        <v>Unlikely</v>
      </c>
      <c r="BG704" s="45"/>
      <c r="BH704" s="45" t="str">
        <f>INDEX(Table5[[#All],[Ovr]],MATCH(Table3[[#This Row],[PID]],Table5[[#All],[PID]],0))</f>
        <v/>
      </c>
      <c r="BI704" s="45" t="str">
        <f>INDEX(Table5[[#All],[Rnd]],MATCH(Table3[[#This Row],[PID]],Table5[[#All],[PID]],0))</f>
        <v/>
      </c>
      <c r="BJ704" s="45" t="str">
        <f>INDEX(Table5[[#All],[Pick]],MATCH(Table3[[#This Row],[PID]],Table5[[#All],[PID]],0))</f>
        <v/>
      </c>
      <c r="BK704" s="45" t="str">
        <f>INDEX(Table5[[#All],[Team]],MATCH(Table3[[#This Row],[PID]],Table5[[#All],[PID]],0))</f>
        <v/>
      </c>
      <c r="BL70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5" spans="1:64" ht="30" x14ac:dyDescent="0.25">
      <c r="A705" s="40">
        <v>17837</v>
      </c>
      <c r="B705" s="40" t="s">
        <v>24</v>
      </c>
      <c r="C705" s="40" t="s">
        <v>2208</v>
      </c>
      <c r="D705" s="40" t="s">
        <v>557</v>
      </c>
      <c r="E705" s="40">
        <v>18</v>
      </c>
      <c r="F705" s="40" t="s">
        <v>62</v>
      </c>
      <c r="G705" s="40" t="s">
        <v>42</v>
      </c>
      <c r="H705" s="41" t="s">
        <v>647</v>
      </c>
      <c r="I705" s="42" t="s">
        <v>43</v>
      </c>
      <c r="J705" s="40" t="s">
        <v>43</v>
      </c>
      <c r="K705" s="41" t="s">
        <v>43</v>
      </c>
      <c r="L705" s="40">
        <v>2</v>
      </c>
      <c r="M705" s="40">
        <v>2</v>
      </c>
      <c r="N705" s="41">
        <v>1</v>
      </c>
      <c r="O705" s="40">
        <v>4</v>
      </c>
      <c r="P705" s="40">
        <v>2</v>
      </c>
      <c r="Q705" s="41">
        <v>3</v>
      </c>
      <c r="R705" s="40">
        <v>4</v>
      </c>
      <c r="S705" s="40">
        <v>6</v>
      </c>
      <c r="T705" s="40">
        <v>1</v>
      </c>
      <c r="U705" s="40">
        <v>5</v>
      </c>
      <c r="V705" s="40" t="s">
        <v>45</v>
      </c>
      <c r="W705" s="40" t="s">
        <v>45</v>
      </c>
      <c r="X705" s="40" t="s">
        <v>45</v>
      </c>
      <c r="Y705" s="40" t="s">
        <v>45</v>
      </c>
      <c r="Z705" s="40">
        <v>3</v>
      </c>
      <c r="AA705" s="40">
        <v>4</v>
      </c>
      <c r="AB705" s="40" t="s">
        <v>45</v>
      </c>
      <c r="AC705" s="40" t="s">
        <v>45</v>
      </c>
      <c r="AD705" s="40" t="s">
        <v>45</v>
      </c>
      <c r="AE705" s="40" t="s">
        <v>45</v>
      </c>
      <c r="AF705" s="40" t="s">
        <v>45</v>
      </c>
      <c r="AG705" s="40" t="s">
        <v>45</v>
      </c>
      <c r="AH705" s="40" t="s">
        <v>45</v>
      </c>
      <c r="AI705" s="40" t="s">
        <v>45</v>
      </c>
      <c r="AJ705" s="40" t="s">
        <v>45</v>
      </c>
      <c r="AK705" s="40" t="s">
        <v>45</v>
      </c>
      <c r="AL705" s="40" t="s">
        <v>45</v>
      </c>
      <c r="AM705" s="40" t="s">
        <v>45</v>
      </c>
      <c r="AN705" s="40" t="s">
        <v>45</v>
      </c>
      <c r="AO705" s="41" t="s">
        <v>45</v>
      </c>
      <c r="AP705" s="40" t="s">
        <v>56</v>
      </c>
      <c r="AQ705" s="40">
        <v>8</v>
      </c>
      <c r="AR705" s="48" t="s">
        <v>347</v>
      </c>
      <c r="AS705" s="43" t="s">
        <v>670</v>
      </c>
      <c r="AT705" s="43"/>
      <c r="AU705" s="44">
        <f t="shared" si="80"/>
        <v>-2.311361197028369</v>
      </c>
      <c r="AV705" s="44">
        <f t="shared" si="81"/>
        <v>-0.99184266516472974</v>
      </c>
      <c r="AW705" s="45">
        <f t="shared" si="82"/>
        <v>3</v>
      </c>
      <c r="AX705" s="45">
        <f t="shared" si="83"/>
        <v>1</v>
      </c>
      <c r="AY705" s="46">
        <f>VLOOKUP(AP705,COND!$A$10:$B$32,2,FALSE)</f>
        <v>1</v>
      </c>
      <c r="AZ705" s="44">
        <f>($AU$3*AU705+$AV$3*AV705+$AW$3*AW705+$AX$3*AX705)*AY705*IF(AQ705&lt;5,0.95,IF(AQ705&lt;7,0.975,1))+$I$3*VLOOKUP(I705,COND!$A$2:$E$7,4,FALSE)+$J$3*VLOOKUP(J705,COND!$A$2:$E$7,2,FALSE)+$K$3*VLOOKUP(K705,COND!$A$2:$E$7,3,FALSE)+IF(BB705="SP",$BB$3,0)+IF($AW705&lt;3,-5,0)+IF(AND($B$2&gt;0,$E705&lt;20),$B$2*25,0)</f>
        <v>34.450874457299733</v>
      </c>
      <c r="BA705" s="47">
        <f>STANDARDIZE(AZ705,AVERAGE($AZ$5:$AZ$788),STDEVP($AZ$5:$AZ$788))</f>
        <v>-0.16850342418369749</v>
      </c>
      <c r="BB705" s="45" t="str">
        <f t="shared" si="84"/>
        <v>SP</v>
      </c>
      <c r="BC705" s="45">
        <f>RANK(Table3[[#This Row],[zScore]],Table3[zScore])</f>
        <v>372</v>
      </c>
      <c r="BD705" s="45"/>
      <c r="BE705" s="45"/>
      <c r="BF705" s="45" t="str">
        <f t="shared" si="85"/>
        <v>Unlikely</v>
      </c>
      <c r="BG705" s="45"/>
      <c r="BH705" s="64">
        <f>INDEX(Table5[[#All],[Ovr]],MATCH(Table3[[#This Row],[PID]],Table5[[#All],[PID]],0))</f>
        <v>366</v>
      </c>
      <c r="BI705" s="64" t="str">
        <f>INDEX(Table5[[#All],[Rnd]],MATCH(Table3[[#This Row],[PID]],Table5[[#All],[PID]],0))</f>
        <v>12</v>
      </c>
      <c r="BJ705" s="64">
        <f>INDEX(Table5[[#All],[Pick]],MATCH(Table3[[#This Row],[PID]],Table5[[#All],[PID]],0))</f>
        <v>28</v>
      </c>
      <c r="BK705" s="64" t="str">
        <f>INDEX(Table5[[#All],[Team]],MATCH(Table3[[#This Row],[PID]],Table5[[#All],[PID]],0))</f>
        <v>San Juan Coqui</v>
      </c>
      <c r="BL705" s="64" t="str">
        <f>IF(OR(Table3[[#This Row],[POS]]="SP",Table3[[#This Row],[POS]]="RP",Table3[[#This Row],[POS]]="CL"),"P",INDEX(Batters[[#All],[zScore]],MATCH(Table3[[#This Row],[PID]],Batters[[#All],[PID]],0)))</f>
        <v>P</v>
      </c>
    </row>
    <row r="706" spans="1:64" ht="30" x14ac:dyDescent="0.25">
      <c r="A706" s="40">
        <v>20779</v>
      </c>
      <c r="B706" s="40" t="s">
        <v>24</v>
      </c>
      <c r="C706" s="40" t="s">
        <v>559</v>
      </c>
      <c r="D706" s="40" t="s">
        <v>1982</v>
      </c>
      <c r="E706" s="40">
        <v>18</v>
      </c>
      <c r="F706" s="40" t="s">
        <v>62</v>
      </c>
      <c r="G706" s="40" t="s">
        <v>42</v>
      </c>
      <c r="H706" s="41" t="s">
        <v>647</v>
      </c>
      <c r="I706" s="42" t="s">
        <v>43</v>
      </c>
      <c r="J706" s="40" t="s">
        <v>44</v>
      </c>
      <c r="K706" s="41" t="s">
        <v>47</v>
      </c>
      <c r="L706" s="40">
        <v>1</v>
      </c>
      <c r="M706" s="40">
        <v>2</v>
      </c>
      <c r="N706" s="41">
        <v>1</v>
      </c>
      <c r="O706" s="40">
        <v>4</v>
      </c>
      <c r="P706" s="40">
        <v>2</v>
      </c>
      <c r="Q706" s="41">
        <v>3</v>
      </c>
      <c r="R706" s="40">
        <v>3</v>
      </c>
      <c r="S706" s="40">
        <v>5</v>
      </c>
      <c r="T706" s="40" t="s">
        <v>45</v>
      </c>
      <c r="U706" s="40" t="s">
        <v>45</v>
      </c>
      <c r="V706" s="40">
        <v>1</v>
      </c>
      <c r="W706" s="40">
        <v>5</v>
      </c>
      <c r="X706" s="40">
        <v>2</v>
      </c>
      <c r="Y706" s="40">
        <v>5</v>
      </c>
      <c r="Z706" s="40" t="s">
        <v>45</v>
      </c>
      <c r="AA706" s="40" t="s">
        <v>45</v>
      </c>
      <c r="AB706" s="40" t="s">
        <v>45</v>
      </c>
      <c r="AC706" s="40" t="s">
        <v>45</v>
      </c>
      <c r="AD706" s="40" t="s">
        <v>45</v>
      </c>
      <c r="AE706" s="40" t="s">
        <v>45</v>
      </c>
      <c r="AF706" s="40" t="s">
        <v>45</v>
      </c>
      <c r="AG706" s="40" t="s">
        <v>45</v>
      </c>
      <c r="AH706" s="40" t="s">
        <v>45</v>
      </c>
      <c r="AI706" s="40" t="s">
        <v>45</v>
      </c>
      <c r="AJ706" s="40" t="s">
        <v>45</v>
      </c>
      <c r="AK706" s="40" t="s">
        <v>45</v>
      </c>
      <c r="AL706" s="40" t="s">
        <v>45</v>
      </c>
      <c r="AM706" s="40" t="s">
        <v>45</v>
      </c>
      <c r="AN706" s="40" t="s">
        <v>45</v>
      </c>
      <c r="AO706" s="41" t="s">
        <v>45</v>
      </c>
      <c r="AP706" s="40" t="s">
        <v>349</v>
      </c>
      <c r="AQ706" s="40">
        <v>8</v>
      </c>
      <c r="AR706" s="48" t="s">
        <v>347</v>
      </c>
      <c r="AS706" s="43" t="s">
        <v>414</v>
      </c>
      <c r="AT706" s="43" t="s">
        <v>635</v>
      </c>
      <c r="AU706" s="44">
        <f t="shared" si="80"/>
        <v>-2.5060525215375429</v>
      </c>
      <c r="AV706" s="44">
        <f t="shared" si="81"/>
        <v>-0.99184266516472974</v>
      </c>
      <c r="AW706" s="45">
        <f t="shared" si="82"/>
        <v>3</v>
      </c>
      <c r="AX706" s="45">
        <f t="shared" si="83"/>
        <v>0</v>
      </c>
      <c r="AY706" s="46">
        <f>VLOOKUP(AP706,COND!$A$10:$B$32,2,FALSE)</f>
        <v>1</v>
      </c>
      <c r="AZ706" s="44">
        <f>($AU$3*AU706+$AV$3*AV706+$AW$3*AW706+$AX$3*AX706)*AY706*IF(AQ706&lt;5,0.95,IF(AQ706&lt;7,0.975,1))+$I$3*VLOOKUP(I706,COND!$A$2:$E$7,4,FALSE)+$J$3*VLOOKUP(J706,COND!$A$2:$E$7,2,FALSE)+$K$3*VLOOKUP(K706,COND!$A$2:$E$7,3,FALSE)+IF(BB706="SP",$BB$3,0)+IF($AW706&lt;3,-5,0)+IF(AND($B$2&gt;0,$E706&lt;20),$B$2*25,0)</f>
        <v>33.161936192397896</v>
      </c>
      <c r="BA706" s="47">
        <f>STANDARDIZE(AZ706,AVERAGE($AZ$5:$AZ$557),STDEVP($AZ$5:$AZ$557))</f>
        <v>-0.18019834374051702</v>
      </c>
      <c r="BB706" s="45" t="str">
        <f t="shared" si="84"/>
        <v>SP</v>
      </c>
      <c r="BC706" s="45">
        <f>RANK(Table3[[#This Row],[zScore]],Table3[zScore])</f>
        <v>376</v>
      </c>
      <c r="BD706" s="45"/>
      <c r="BE706" s="45"/>
      <c r="BF706" s="45" t="str">
        <f t="shared" si="85"/>
        <v>Unlikely</v>
      </c>
      <c r="BG706" s="45"/>
      <c r="BH706" s="45" t="str">
        <f>INDEX(Table5[[#All],[Ovr]],MATCH(Table3[[#This Row],[PID]],Table5[[#All],[PID]],0))</f>
        <v/>
      </c>
      <c r="BI706" s="45" t="str">
        <f>INDEX(Table5[[#All],[Rnd]],MATCH(Table3[[#This Row],[PID]],Table5[[#All],[PID]],0))</f>
        <v/>
      </c>
      <c r="BJ706" s="45" t="str">
        <f>INDEX(Table5[[#All],[Pick]],MATCH(Table3[[#This Row],[PID]],Table5[[#All],[PID]],0))</f>
        <v/>
      </c>
      <c r="BK706" s="45" t="str">
        <f>INDEX(Table5[[#All],[Team]],MATCH(Table3[[#This Row],[PID]],Table5[[#All],[PID]],0))</f>
        <v/>
      </c>
      <c r="BL70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7" spans="1:64" ht="30" x14ac:dyDescent="0.25">
      <c r="A707" s="40">
        <v>21029</v>
      </c>
      <c r="B707" s="40" t="s">
        <v>24</v>
      </c>
      <c r="C707" s="40" t="s">
        <v>142</v>
      </c>
      <c r="D707" s="40" t="s">
        <v>2069</v>
      </c>
      <c r="E707" s="40">
        <v>18</v>
      </c>
      <c r="F707" s="40" t="s">
        <v>53</v>
      </c>
      <c r="G707" s="40" t="s">
        <v>53</v>
      </c>
      <c r="H707" s="41" t="s">
        <v>647</v>
      </c>
      <c r="I707" s="42" t="s">
        <v>43</v>
      </c>
      <c r="J707" s="40" t="s">
        <v>43</v>
      </c>
      <c r="K707" s="41" t="s">
        <v>43</v>
      </c>
      <c r="L707" s="40">
        <v>1</v>
      </c>
      <c r="M707" s="40">
        <v>2</v>
      </c>
      <c r="N707" s="41">
        <v>1</v>
      </c>
      <c r="O707" s="40">
        <v>3</v>
      </c>
      <c r="P707" s="40">
        <v>2</v>
      </c>
      <c r="Q707" s="41">
        <v>4</v>
      </c>
      <c r="R707" s="40">
        <v>3</v>
      </c>
      <c r="S707" s="40">
        <v>4</v>
      </c>
      <c r="T707" s="40">
        <v>1</v>
      </c>
      <c r="U707" s="40">
        <v>4</v>
      </c>
      <c r="V707" s="40">
        <v>2</v>
      </c>
      <c r="W707" s="40">
        <v>5</v>
      </c>
      <c r="X707" s="40" t="s">
        <v>45</v>
      </c>
      <c r="Y707" s="40" t="s">
        <v>45</v>
      </c>
      <c r="Z707" s="40" t="s">
        <v>45</v>
      </c>
      <c r="AA707" s="40" t="s">
        <v>45</v>
      </c>
      <c r="AB707" s="40" t="s">
        <v>45</v>
      </c>
      <c r="AC707" s="40" t="s">
        <v>45</v>
      </c>
      <c r="AD707" s="40" t="s">
        <v>45</v>
      </c>
      <c r="AE707" s="40" t="s">
        <v>45</v>
      </c>
      <c r="AF707" s="40" t="s">
        <v>45</v>
      </c>
      <c r="AG707" s="40" t="s">
        <v>45</v>
      </c>
      <c r="AH707" s="40" t="s">
        <v>45</v>
      </c>
      <c r="AI707" s="40" t="s">
        <v>45</v>
      </c>
      <c r="AJ707" s="40" t="s">
        <v>45</v>
      </c>
      <c r="AK707" s="40" t="s">
        <v>45</v>
      </c>
      <c r="AL707" s="40" t="s">
        <v>45</v>
      </c>
      <c r="AM707" s="40" t="s">
        <v>45</v>
      </c>
      <c r="AN707" s="40" t="s">
        <v>45</v>
      </c>
      <c r="AO707" s="41" t="s">
        <v>45</v>
      </c>
      <c r="AP707" s="40" t="s">
        <v>68</v>
      </c>
      <c r="AQ707" s="40">
        <v>10</v>
      </c>
      <c r="AR707" s="48" t="s">
        <v>347</v>
      </c>
      <c r="AS707" s="43" t="s">
        <v>644</v>
      </c>
      <c r="AT707" s="43" t="s">
        <v>635</v>
      </c>
      <c r="AU707" s="44">
        <f t="shared" si="80"/>
        <v>-2.5060525215375429</v>
      </c>
      <c r="AV707" s="44">
        <f t="shared" si="81"/>
        <v>-0.94421342361979277</v>
      </c>
      <c r="AW707" s="45">
        <f t="shared" si="82"/>
        <v>3</v>
      </c>
      <c r="AX707" s="45">
        <f t="shared" si="83"/>
        <v>0</v>
      </c>
      <c r="AY707" s="46">
        <f>VLOOKUP(AP707,COND!$A$10:$B$32,2,FALSE)</f>
        <v>0.95</v>
      </c>
      <c r="AZ707" s="44">
        <f>($AU$3*AU707+$AV$3*AV707+$AW$3*AW707+$AX$3*AX707)*AY707*IF(AQ707&lt;5,0.95,IF(AQ707&lt;7,0.975,1))+$I$3*VLOOKUP(I707,COND!$A$2:$E$7,4,FALSE)+$J$3*VLOOKUP(J707,COND!$A$2:$E$7,2,FALSE)+$K$3*VLOOKUP(K707,COND!$A$2:$E$7,3,FALSE)+IF(BB707="SP",$BB$3,0)+IF($AW707&lt;3,-5,0)+IF(AND($B$2&gt;0,$E707&lt;20),$B$2*25,0)</f>
        <v>35.00879497213181</v>
      </c>
      <c r="BA707" s="47">
        <f>STANDARDIZE(AZ707,AVERAGE($AZ$5:$AZ$663),STDEVP($AZ$5:$AZ$663))</f>
        <v>-0.19145539752605356</v>
      </c>
      <c r="BB707" s="45" t="str">
        <f t="shared" si="84"/>
        <v>SP</v>
      </c>
      <c r="BC707" s="45">
        <f>RANK(Table3[[#This Row],[zScore]],Table3[zScore])</f>
        <v>384</v>
      </c>
      <c r="BD707" s="45"/>
      <c r="BE707" s="45"/>
      <c r="BF707" s="45" t="str">
        <f t="shared" si="85"/>
        <v>Unlikely</v>
      </c>
      <c r="BG707" s="45"/>
      <c r="BH707" s="45" t="str">
        <f>INDEX(Table5[[#All],[Ovr]],MATCH(Table3[[#This Row],[PID]],Table5[[#All],[PID]],0))</f>
        <v/>
      </c>
      <c r="BI707" s="45" t="str">
        <f>INDEX(Table5[[#All],[Rnd]],MATCH(Table3[[#This Row],[PID]],Table5[[#All],[PID]],0))</f>
        <v/>
      </c>
      <c r="BJ707" s="45" t="str">
        <f>INDEX(Table5[[#All],[Pick]],MATCH(Table3[[#This Row],[PID]],Table5[[#All],[PID]],0))</f>
        <v/>
      </c>
      <c r="BK707" s="45" t="str">
        <f>INDEX(Table5[[#All],[Team]],MATCH(Table3[[#This Row],[PID]],Table5[[#All],[PID]],0))</f>
        <v/>
      </c>
      <c r="BL70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08" spans="1:64" ht="30" x14ac:dyDescent="0.25">
      <c r="A708" s="40">
        <v>21108</v>
      </c>
      <c r="B708" s="40" t="s">
        <v>24</v>
      </c>
      <c r="C708" s="40" t="s">
        <v>125</v>
      </c>
      <c r="D708" s="40" t="s">
        <v>1840</v>
      </c>
      <c r="E708" s="40">
        <v>18</v>
      </c>
      <c r="F708" s="40" t="s">
        <v>53</v>
      </c>
      <c r="G708" s="40" t="s">
        <v>53</v>
      </c>
      <c r="H708" s="41" t="s">
        <v>647</v>
      </c>
      <c r="I708" s="42" t="s">
        <v>43</v>
      </c>
      <c r="J708" s="40" t="s">
        <v>43</v>
      </c>
      <c r="K708" s="41" t="s">
        <v>44</v>
      </c>
      <c r="L708" s="40">
        <v>2</v>
      </c>
      <c r="M708" s="40">
        <v>2</v>
      </c>
      <c r="N708" s="41">
        <v>1</v>
      </c>
      <c r="O708" s="40">
        <v>4</v>
      </c>
      <c r="P708" s="40">
        <v>2</v>
      </c>
      <c r="Q708" s="41">
        <v>3</v>
      </c>
      <c r="R708" s="40">
        <v>3</v>
      </c>
      <c r="S708" s="40">
        <v>5</v>
      </c>
      <c r="T708" s="40">
        <v>1</v>
      </c>
      <c r="U708" s="40">
        <v>6</v>
      </c>
      <c r="V708" s="40" t="s">
        <v>45</v>
      </c>
      <c r="W708" s="40" t="s">
        <v>45</v>
      </c>
      <c r="X708" s="40" t="s">
        <v>45</v>
      </c>
      <c r="Y708" s="40" t="s">
        <v>45</v>
      </c>
      <c r="Z708" s="40">
        <v>3</v>
      </c>
      <c r="AA708" s="40">
        <v>4</v>
      </c>
      <c r="AB708" s="40" t="s">
        <v>45</v>
      </c>
      <c r="AC708" s="40" t="s">
        <v>45</v>
      </c>
      <c r="AD708" s="40" t="s">
        <v>45</v>
      </c>
      <c r="AE708" s="40" t="s">
        <v>45</v>
      </c>
      <c r="AF708" s="40" t="s">
        <v>45</v>
      </c>
      <c r="AG708" s="40" t="s">
        <v>45</v>
      </c>
      <c r="AH708" s="40" t="s">
        <v>45</v>
      </c>
      <c r="AI708" s="40" t="s">
        <v>45</v>
      </c>
      <c r="AJ708" s="40" t="s">
        <v>45</v>
      </c>
      <c r="AK708" s="40" t="s">
        <v>45</v>
      </c>
      <c r="AL708" s="40" t="s">
        <v>45</v>
      </c>
      <c r="AM708" s="40" t="s">
        <v>45</v>
      </c>
      <c r="AN708" s="40" t="s">
        <v>45</v>
      </c>
      <c r="AO708" s="41" t="s">
        <v>45</v>
      </c>
      <c r="AP708" s="40" t="s">
        <v>350</v>
      </c>
      <c r="AQ708" s="40">
        <v>9</v>
      </c>
      <c r="AR708" s="48" t="s">
        <v>347</v>
      </c>
      <c r="AS708" s="43" t="s">
        <v>644</v>
      </c>
      <c r="AT708" s="43"/>
      <c r="AU708" s="44">
        <f t="shared" si="80"/>
        <v>-2.311361197028369</v>
      </c>
      <c r="AV708" s="44">
        <f t="shared" si="81"/>
        <v>-0.99184266516472974</v>
      </c>
      <c r="AW708" s="45">
        <f t="shared" si="82"/>
        <v>3</v>
      </c>
      <c r="AX708" s="45">
        <f t="shared" si="83"/>
        <v>1</v>
      </c>
      <c r="AY708" s="46">
        <f>VLOOKUP(AP708,COND!$A$10:$B$32,2,FALSE)</f>
        <v>1</v>
      </c>
      <c r="AZ708" s="44">
        <f>($AU$3*AU708+$AV$3*AV708+$AW$3*AW708+$AX$3*AX708)*AY708*IF(AQ708&lt;5,0.95,IF(AQ708&lt;7,0.975,1))+$I$3*VLOOKUP(I708,COND!$A$2:$E$7,4,FALSE)+$J$3*VLOOKUP(J708,COND!$A$2:$E$7,2,FALSE)+$K$3*VLOOKUP(K708,COND!$A$2:$E$7,3,FALSE)+IF(BB708="SP",$BB$3,0)+IF($AW708&lt;3,-5,0)+IF(AND($B$2&gt;0,$E708&lt;20),$B$2*25,0)</f>
        <v>34.150874457299729</v>
      </c>
      <c r="BA708" s="47">
        <f>STANDARDIZE(AZ708,AVERAGE($AZ$5:$AZ$788),STDEVP($AZ$5:$AZ$788))</f>
        <v>-0.19021216381464492</v>
      </c>
      <c r="BB708" s="45" t="str">
        <f t="shared" si="84"/>
        <v>SP</v>
      </c>
      <c r="BC708" s="45">
        <f>RANK(Table3[[#This Row],[zScore]],Table3[zScore])</f>
        <v>382</v>
      </c>
      <c r="BD708" s="45"/>
      <c r="BE708" s="45"/>
      <c r="BF708" s="45" t="str">
        <f t="shared" si="85"/>
        <v>Unlikely</v>
      </c>
      <c r="BG708" s="45"/>
      <c r="BH708" s="64" t="str">
        <f>INDEX(Table5[[#All],[Ovr]],MATCH(Table3[[#This Row],[PID]],Table5[[#All],[PID]],0))</f>
        <v/>
      </c>
      <c r="BI708" s="64" t="str">
        <f>INDEX(Table5[[#All],[Rnd]],MATCH(Table3[[#This Row],[PID]],Table5[[#All],[PID]],0))</f>
        <v/>
      </c>
      <c r="BJ708" s="64" t="str">
        <f>INDEX(Table5[[#All],[Pick]],MATCH(Table3[[#This Row],[PID]],Table5[[#All],[PID]],0))</f>
        <v/>
      </c>
      <c r="BK708" s="64" t="str">
        <f>INDEX(Table5[[#All],[Team]],MATCH(Table3[[#This Row],[PID]],Table5[[#All],[PID]],0))</f>
        <v/>
      </c>
      <c r="BL708" s="64" t="str">
        <f>IF(OR(Table3[[#This Row],[POS]]="SP",Table3[[#This Row],[POS]]="RP",Table3[[#This Row],[POS]]="CL"),"P",INDEX(Batters[[#All],[zScore]],MATCH(Table3[[#This Row],[PID]],Batters[[#All],[PID]],0)))</f>
        <v>P</v>
      </c>
    </row>
    <row r="709" spans="1:64" ht="30" x14ac:dyDescent="0.25">
      <c r="A709" s="40">
        <v>18111</v>
      </c>
      <c r="B709" s="40" t="s">
        <v>24</v>
      </c>
      <c r="C709" s="40" t="s">
        <v>337</v>
      </c>
      <c r="D709" s="40" t="s">
        <v>421</v>
      </c>
      <c r="E709" s="40">
        <v>21</v>
      </c>
      <c r="F709" s="40" t="s">
        <v>42</v>
      </c>
      <c r="G709" s="40" t="s">
        <v>42</v>
      </c>
      <c r="H709" s="41" t="s">
        <v>647</v>
      </c>
      <c r="I709" s="42" t="s">
        <v>43</v>
      </c>
      <c r="J709" s="40" t="s">
        <v>47</v>
      </c>
      <c r="K709" s="41" t="s">
        <v>47</v>
      </c>
      <c r="L709" s="40">
        <v>3</v>
      </c>
      <c r="M709" s="40">
        <v>1</v>
      </c>
      <c r="N709" s="41">
        <v>2</v>
      </c>
      <c r="O709" s="40">
        <v>5</v>
      </c>
      <c r="P709" s="40">
        <v>1</v>
      </c>
      <c r="Q709" s="41">
        <v>3</v>
      </c>
      <c r="R709" s="40">
        <v>5</v>
      </c>
      <c r="S709" s="40">
        <v>7</v>
      </c>
      <c r="T709" s="40">
        <v>1</v>
      </c>
      <c r="U709" s="40">
        <v>1</v>
      </c>
      <c r="V709" s="40">
        <v>4</v>
      </c>
      <c r="W709" s="40">
        <v>8</v>
      </c>
      <c r="X709" s="40" t="s">
        <v>45</v>
      </c>
      <c r="Y709" s="40" t="s">
        <v>45</v>
      </c>
      <c r="Z709" s="40" t="s">
        <v>45</v>
      </c>
      <c r="AA709" s="40" t="s">
        <v>45</v>
      </c>
      <c r="AB709" s="40">
        <v>4</v>
      </c>
      <c r="AC709" s="40">
        <v>6</v>
      </c>
      <c r="AD709" s="40" t="s">
        <v>45</v>
      </c>
      <c r="AE709" s="40" t="s">
        <v>45</v>
      </c>
      <c r="AF709" s="40" t="s">
        <v>45</v>
      </c>
      <c r="AG709" s="40" t="s">
        <v>45</v>
      </c>
      <c r="AH709" s="40" t="s">
        <v>45</v>
      </c>
      <c r="AI709" s="40" t="s">
        <v>45</v>
      </c>
      <c r="AJ709" s="40" t="s">
        <v>45</v>
      </c>
      <c r="AK709" s="40" t="s">
        <v>45</v>
      </c>
      <c r="AL709" s="40" t="s">
        <v>45</v>
      </c>
      <c r="AM709" s="40" t="s">
        <v>45</v>
      </c>
      <c r="AN709" s="40" t="s">
        <v>45</v>
      </c>
      <c r="AO709" s="41" t="s">
        <v>45</v>
      </c>
      <c r="AP709" s="40" t="s">
        <v>48</v>
      </c>
      <c r="AQ709" s="40">
        <v>8</v>
      </c>
      <c r="AR709" s="48" t="s">
        <v>351</v>
      </c>
      <c r="AS709" s="43" t="s">
        <v>45</v>
      </c>
      <c r="AT709" s="43" t="s">
        <v>47</v>
      </c>
      <c r="AU709" s="44">
        <f t="shared" ref="AU709:AU772" si="87">($O$3*(L709-$O$1)/$O$2+$P$3*(M709-$P$1)/$P$2+$Q$3*(N709-$P$1)/$Q$2)/SUM($O$3:$Q$3)</f>
        <v>-2.0697810228951408</v>
      </c>
      <c r="AV709" s="44">
        <f t="shared" ref="AV709:AV772" si="88">($O$3*(O709-$O$1)/$O$2+$P$3*(P709-$P$1)/$P$2+$Q$3*(Q709-$Q$1)/$Q$2)/SUM($O$3:$Q$3)</f>
        <v>-0.99258305708561179</v>
      </c>
      <c r="AW709" s="45">
        <f t="shared" ref="AW709:AW772" si="89">COUNT(R709:AO709)/2</f>
        <v>4</v>
      </c>
      <c r="AX709" s="45">
        <f t="shared" ref="AX709:AX772" si="90">IF(AND(S709&lt;&gt;"-",S709&gt;5),1,0)+IF(AND(U709&lt;&gt;"-",U709&gt;5),1,0)+IF(AND(W709&lt;&gt;"-",W709&gt;5),1,0)+IF(AND(Y709&lt;&gt;"-",Y709&gt;5),1,0)+IF(AND(AA709&lt;&gt;"-",AA709&gt;5),1,0)+IF(AND(AC709&lt;&gt;"-",AC709&gt;5),1,0)+IF(AND(AE709&lt;&gt;"-",AE709&gt;5),1,0)+IF(AND(AG709&lt;&gt;"-",AG709&gt;5),1,0)+IF(AND(AI709&lt;&gt;"-",AI709&gt;5),1,0)+IF(AND(AK709&lt;&gt;"-",AK709&gt;5),1,0)+IF(AND(AM709&lt;&gt;"-",AM709&gt;5),1,0)+IF(AND(AO709&lt;&gt;"-",AO709&gt;5),1,0)</f>
        <v>3</v>
      </c>
      <c r="AY709" s="46">
        <f>VLOOKUP(AP709,COND!$A$10:$B$32,2,FALSE)</f>
        <v>1.05</v>
      </c>
      <c r="AZ709" s="44">
        <f>($AU$3*AU709+$AV$3*AV709+$AW$3*AW709+$AX$3*AX709)*AY709*IF(AQ709&lt;5,0.95,IF(AQ709&lt;7,0.975,1))+$I$3*VLOOKUP(I709,COND!$A$2:$E$7,4,FALSE)+$J$3*VLOOKUP(J709,COND!$A$2:$E$7,2,FALSE)+$K$3*VLOOKUP(K709,COND!$A$2:$E$7,3,FALSE)+IF(BB709="SP",$BB$3,0)+IF($AW709&lt;3,-5,0)+IF(AND($B$2&gt;0,$E709&lt;20),$B$2*25,0)</f>
        <v>32.358601786394175</v>
      </c>
      <c r="BA709" s="47">
        <f>STANDARDIZE(AZ709,AVERAGE($AZ$5:$AZ$557),STDEVP($AZ$5:$AZ$557))</f>
        <v>-0.23364295418953557</v>
      </c>
      <c r="BB709" s="45" t="str">
        <f t="shared" ref="BB709:BB772" si="91">IF(OR(AND(AQ709&gt;7,AX709&gt;1),AND(AQ709&gt;4,AW709&gt;2)),"SP","RP")</f>
        <v>SP</v>
      </c>
      <c r="BC709" s="45">
        <f>RANK(Table3[[#This Row],[zScore]],Table3[zScore])</f>
        <v>399</v>
      </c>
      <c r="BD709" s="45"/>
      <c r="BE709" s="45"/>
      <c r="BF709" s="45" t="str">
        <f t="shared" ref="BF709:BF772" si="92">IF(AVERAGE($O709:$Q709)&gt;=6,"Likely",IF(AVERAGE($O709:$Q709)&gt;=4,"Possible","Unlikely"))</f>
        <v>Unlikely</v>
      </c>
      <c r="BG709" s="45"/>
      <c r="BH709" s="45" t="str">
        <f>INDEX(Table5[[#All],[Ovr]],MATCH(Table3[[#This Row],[PID]],Table5[[#All],[PID]],0))</f>
        <v/>
      </c>
      <c r="BI709" s="45" t="str">
        <f>INDEX(Table5[[#All],[Rnd]],MATCH(Table3[[#This Row],[PID]],Table5[[#All],[PID]],0))</f>
        <v/>
      </c>
      <c r="BJ709" s="45" t="str">
        <f>INDEX(Table5[[#All],[Pick]],MATCH(Table3[[#This Row],[PID]],Table5[[#All],[PID]],0))</f>
        <v/>
      </c>
      <c r="BK709" s="45" t="str">
        <f>INDEX(Table5[[#All],[Team]],MATCH(Table3[[#This Row],[PID]],Table5[[#All],[PID]],0))</f>
        <v/>
      </c>
      <c r="BL70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0" spans="1:64" ht="30" x14ac:dyDescent="0.25">
      <c r="A710" s="40">
        <v>7241</v>
      </c>
      <c r="B710" s="40" t="s">
        <v>24</v>
      </c>
      <c r="C710" s="40" t="s">
        <v>538</v>
      </c>
      <c r="D710" s="40" t="s">
        <v>790</v>
      </c>
      <c r="E710" s="40">
        <v>22</v>
      </c>
      <c r="F710" s="40" t="s">
        <v>42</v>
      </c>
      <c r="G710" s="40" t="s">
        <v>42</v>
      </c>
      <c r="H710" s="41" t="s">
        <v>647</v>
      </c>
      <c r="I710" s="42" t="s">
        <v>43</v>
      </c>
      <c r="J710" s="40" t="s">
        <v>44</v>
      </c>
      <c r="K710" s="41" t="s">
        <v>44</v>
      </c>
      <c r="L710" s="40">
        <v>3</v>
      </c>
      <c r="M710" s="40">
        <v>2</v>
      </c>
      <c r="N710" s="41">
        <v>4</v>
      </c>
      <c r="O710" s="40">
        <v>4</v>
      </c>
      <c r="P710" s="40">
        <v>2</v>
      </c>
      <c r="Q710" s="41">
        <v>4</v>
      </c>
      <c r="R710" s="40">
        <v>4</v>
      </c>
      <c r="S710" s="40">
        <v>5</v>
      </c>
      <c r="T710" s="40">
        <v>3</v>
      </c>
      <c r="U710" s="40">
        <v>5</v>
      </c>
      <c r="V710" s="40" t="s">
        <v>45</v>
      </c>
      <c r="W710" s="40" t="s">
        <v>45</v>
      </c>
      <c r="X710" s="40">
        <v>3</v>
      </c>
      <c r="Y710" s="40">
        <v>4</v>
      </c>
      <c r="Z710" s="40" t="s">
        <v>45</v>
      </c>
      <c r="AA710" s="40" t="s">
        <v>45</v>
      </c>
      <c r="AB710" s="40" t="s">
        <v>45</v>
      </c>
      <c r="AC710" s="40" t="s">
        <v>45</v>
      </c>
      <c r="AD710" s="40">
        <v>4</v>
      </c>
      <c r="AE710" s="40">
        <v>4</v>
      </c>
      <c r="AF710" s="40" t="s">
        <v>45</v>
      </c>
      <c r="AG710" s="40" t="s">
        <v>45</v>
      </c>
      <c r="AH710" s="40" t="s">
        <v>45</v>
      </c>
      <c r="AI710" s="40" t="s">
        <v>45</v>
      </c>
      <c r="AJ710" s="40" t="s">
        <v>45</v>
      </c>
      <c r="AK710" s="40" t="s">
        <v>45</v>
      </c>
      <c r="AL710" s="40" t="s">
        <v>45</v>
      </c>
      <c r="AM710" s="40" t="s">
        <v>45</v>
      </c>
      <c r="AN710" s="40" t="s">
        <v>45</v>
      </c>
      <c r="AO710" s="41" t="s">
        <v>45</v>
      </c>
      <c r="AP710" s="40" t="s">
        <v>349</v>
      </c>
      <c r="AQ710" s="40">
        <v>6</v>
      </c>
      <c r="AR710" s="48" t="s">
        <v>347</v>
      </c>
      <c r="AS710" s="43" t="s">
        <v>45</v>
      </c>
      <c r="AT710" s="43"/>
      <c r="AU710" s="44">
        <f t="shared" si="87"/>
        <v>-1.3897081743568644</v>
      </c>
      <c r="AV710" s="44">
        <f t="shared" si="88"/>
        <v>-0.74952209911061918</v>
      </c>
      <c r="AW710" s="45">
        <f t="shared" si="89"/>
        <v>4</v>
      </c>
      <c r="AX710" s="45">
        <f t="shared" si="90"/>
        <v>0</v>
      </c>
      <c r="AY710" s="46">
        <f>VLOOKUP(AP710,COND!$A$10:$B$32,2,FALSE)</f>
        <v>1</v>
      </c>
      <c r="AZ710" s="44">
        <f>($AU$3*AU710+$AV$3*AV710+$AW$3*AW710+$AX$3*AX710)*AY710*IF(AQ710&lt;5,0.95,IF(AQ710&lt;7,0.975,1))+$I$3*VLOOKUP(I710,COND!$A$2:$E$7,4,FALSE)+$J$3*VLOOKUP(J710,COND!$A$2:$E$7,2,FALSE)+$K$3*VLOOKUP(K710,COND!$A$2:$E$7,3,FALSE)+IF(BB710="SP",$BB$3,0)+IF($AW710&lt;3,-5,0)+IF(AND($B$2&gt;0,$E710&lt;20),$B$2*25,0)</f>
        <v>33.463325973343331</v>
      </c>
      <c r="BA710" s="47">
        <f>STANDARDIZE(AZ710,AVERAGE($AZ$5:$AZ$788),STDEVP($AZ$5:$AZ$788))</f>
        <v>-0.23996486722085114</v>
      </c>
      <c r="BB710" s="45" t="str">
        <f t="shared" si="91"/>
        <v>SP</v>
      </c>
      <c r="BC710" s="45">
        <f>RANK(Table3[[#This Row],[zScore]],Table3[zScore])</f>
        <v>403</v>
      </c>
      <c r="BD710" s="45"/>
      <c r="BE710" s="45"/>
      <c r="BF710" s="45" t="str">
        <f t="shared" si="92"/>
        <v>Unlikely</v>
      </c>
      <c r="BG710" s="45"/>
      <c r="BH710" s="64" t="str">
        <f>INDEX(Table5[[#All],[Ovr]],MATCH(Table3[[#This Row],[PID]],Table5[[#All],[PID]],0))</f>
        <v/>
      </c>
      <c r="BI710" s="64" t="str">
        <f>INDEX(Table5[[#All],[Rnd]],MATCH(Table3[[#This Row],[PID]],Table5[[#All],[PID]],0))</f>
        <v/>
      </c>
      <c r="BJ710" s="64" t="str">
        <f>INDEX(Table5[[#All],[Pick]],MATCH(Table3[[#This Row],[PID]],Table5[[#All],[PID]],0))</f>
        <v/>
      </c>
      <c r="BK710" s="64" t="str">
        <f>INDEX(Table5[[#All],[Team]],MATCH(Table3[[#This Row],[PID]],Table5[[#All],[PID]],0))</f>
        <v/>
      </c>
      <c r="BL710" s="64" t="str">
        <f>IF(OR(Table3[[#This Row],[POS]]="SP",Table3[[#This Row],[POS]]="RP",Table3[[#This Row],[POS]]="CL"),"P",INDEX(Batters[[#All],[zScore]],MATCH(Table3[[#This Row],[PID]],Batters[[#All],[PID]],0)))</f>
        <v>P</v>
      </c>
    </row>
    <row r="711" spans="1:64" ht="30" x14ac:dyDescent="0.25">
      <c r="A711" s="40">
        <v>7940</v>
      </c>
      <c r="B711" s="40" t="s">
        <v>24</v>
      </c>
      <c r="C711" s="40" t="s">
        <v>1061</v>
      </c>
      <c r="D711" s="40" t="s">
        <v>1062</v>
      </c>
      <c r="E711" s="40">
        <v>22</v>
      </c>
      <c r="F711" s="40" t="s">
        <v>42</v>
      </c>
      <c r="G711" s="40" t="s">
        <v>42</v>
      </c>
      <c r="H711" s="41" t="s">
        <v>647</v>
      </c>
      <c r="I711" s="42" t="s">
        <v>43</v>
      </c>
      <c r="J711" s="40" t="s">
        <v>43</v>
      </c>
      <c r="K711" s="41" t="s">
        <v>43</v>
      </c>
      <c r="L711" s="40">
        <v>2</v>
      </c>
      <c r="M711" s="40">
        <v>1</v>
      </c>
      <c r="N711" s="41">
        <v>3</v>
      </c>
      <c r="O711" s="40">
        <v>4</v>
      </c>
      <c r="P711" s="40">
        <v>1</v>
      </c>
      <c r="Q711" s="41">
        <v>4</v>
      </c>
      <c r="R711" s="40">
        <v>3</v>
      </c>
      <c r="S711" s="40">
        <v>4</v>
      </c>
      <c r="T711" s="40">
        <v>4</v>
      </c>
      <c r="U711" s="40">
        <v>7</v>
      </c>
      <c r="V711" s="40">
        <v>3</v>
      </c>
      <c r="W711" s="40">
        <v>6</v>
      </c>
      <c r="X711" s="40" t="s">
        <v>45</v>
      </c>
      <c r="Y711" s="40" t="s">
        <v>45</v>
      </c>
      <c r="Z711" s="40" t="s">
        <v>45</v>
      </c>
      <c r="AA711" s="40" t="s">
        <v>45</v>
      </c>
      <c r="AB711" s="40" t="s">
        <v>45</v>
      </c>
      <c r="AC711" s="40" t="s">
        <v>45</v>
      </c>
      <c r="AD711" s="40" t="s">
        <v>45</v>
      </c>
      <c r="AE711" s="40" t="s">
        <v>45</v>
      </c>
      <c r="AF711" s="40" t="s">
        <v>45</v>
      </c>
      <c r="AG711" s="40" t="s">
        <v>45</v>
      </c>
      <c r="AH711" s="40" t="s">
        <v>45</v>
      </c>
      <c r="AI711" s="40" t="s">
        <v>45</v>
      </c>
      <c r="AJ711" s="40" t="s">
        <v>45</v>
      </c>
      <c r="AK711" s="40" t="s">
        <v>45</v>
      </c>
      <c r="AL711" s="40" t="s">
        <v>45</v>
      </c>
      <c r="AM711" s="40" t="s">
        <v>45</v>
      </c>
      <c r="AN711" s="40" t="s">
        <v>45</v>
      </c>
      <c r="AO711" s="41" t="s">
        <v>45</v>
      </c>
      <c r="AP711" s="40" t="s">
        <v>349</v>
      </c>
      <c r="AQ711" s="40">
        <v>5</v>
      </c>
      <c r="AR711" s="48" t="s">
        <v>351</v>
      </c>
      <c r="AS711" s="43" t="s">
        <v>45</v>
      </c>
      <c r="AT711" s="43" t="s">
        <v>47</v>
      </c>
      <c r="AU711" s="44">
        <f t="shared" si="87"/>
        <v>-2.0221517813502041</v>
      </c>
      <c r="AV711" s="44">
        <f t="shared" si="88"/>
        <v>-0.94495381554067481</v>
      </c>
      <c r="AW711" s="45">
        <f t="shared" si="89"/>
        <v>3</v>
      </c>
      <c r="AX711" s="45">
        <f t="shared" si="90"/>
        <v>2</v>
      </c>
      <c r="AY711" s="46">
        <f>VLOOKUP(AP711,COND!$A$10:$B$32,2,FALSE)</f>
        <v>1</v>
      </c>
      <c r="AZ711" s="44">
        <f>($AU$3*AU711+$AV$3*AV711+$AW$3*AW711+$AX$3*AX711)*AY711*IF(AQ711&lt;5,0.95,IF(AQ711&lt;7,0.975,1))+$I$3*VLOOKUP(I711,COND!$A$2:$E$7,4,FALSE)+$J$3*VLOOKUP(J711,COND!$A$2:$E$7,2,FALSE)+$K$3*VLOOKUP(K711,COND!$A$2:$E$7,3,FALSE)+IF(BB711="SP",$BB$3,0)+IF($AW711&lt;3,-5,0)+IF(AND($B$2&gt;0,$E711&lt;20),$B$2*25,0)</f>
        <v>32.079080999593558</v>
      </c>
      <c r="BA711" s="47">
        <f>STANDARDIZE(AZ711,AVERAGE($AZ$5:$AZ$557),STDEVP($AZ$5:$AZ$557))</f>
        <v>-0.25223904499719479</v>
      </c>
      <c r="BB711" s="45" t="str">
        <f t="shared" si="91"/>
        <v>SP</v>
      </c>
      <c r="BC711" s="45">
        <f>RANK(Table3[[#This Row],[zScore]],Table3[zScore])</f>
        <v>409</v>
      </c>
      <c r="BD711" s="45"/>
      <c r="BE711" s="45"/>
      <c r="BF711" s="45" t="str">
        <f t="shared" si="92"/>
        <v>Unlikely</v>
      </c>
      <c r="BG711" s="45"/>
      <c r="BH711" s="45" t="str">
        <f>INDEX(Table5[[#All],[Ovr]],MATCH(Table3[[#This Row],[PID]],Table5[[#All],[PID]],0))</f>
        <v/>
      </c>
      <c r="BI711" s="45" t="str">
        <f>INDEX(Table5[[#All],[Rnd]],MATCH(Table3[[#This Row],[PID]],Table5[[#All],[PID]],0))</f>
        <v/>
      </c>
      <c r="BJ711" s="45" t="str">
        <f>INDEX(Table5[[#All],[Pick]],MATCH(Table3[[#This Row],[PID]],Table5[[#All],[PID]],0))</f>
        <v/>
      </c>
      <c r="BK711" s="45" t="str">
        <f>INDEX(Table5[[#All],[Team]],MATCH(Table3[[#This Row],[PID]],Table5[[#All],[PID]],0))</f>
        <v/>
      </c>
      <c r="BL71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2" spans="1:64" ht="30" x14ac:dyDescent="0.25">
      <c r="A712" s="40">
        <v>18305</v>
      </c>
      <c r="B712" s="40" t="s">
        <v>24</v>
      </c>
      <c r="C712" s="40" t="s">
        <v>186</v>
      </c>
      <c r="D712" s="40" t="s">
        <v>1011</v>
      </c>
      <c r="E712" s="40">
        <v>21</v>
      </c>
      <c r="F712" s="40" t="s">
        <v>42</v>
      </c>
      <c r="G712" s="40" t="s">
        <v>42</v>
      </c>
      <c r="H712" s="41" t="s">
        <v>647</v>
      </c>
      <c r="I712" s="42" t="s">
        <v>44</v>
      </c>
      <c r="J712" s="40" t="s">
        <v>43</v>
      </c>
      <c r="K712" s="41" t="s">
        <v>43</v>
      </c>
      <c r="L712" s="40">
        <v>3</v>
      </c>
      <c r="M712" s="40">
        <v>2</v>
      </c>
      <c r="N712" s="41">
        <v>4</v>
      </c>
      <c r="O712" s="40">
        <v>4</v>
      </c>
      <c r="P712" s="40">
        <v>2</v>
      </c>
      <c r="Q712" s="41">
        <v>4</v>
      </c>
      <c r="R712" s="40">
        <v>5</v>
      </c>
      <c r="S712" s="40">
        <v>5</v>
      </c>
      <c r="T712" s="40">
        <v>3</v>
      </c>
      <c r="U712" s="40">
        <v>4</v>
      </c>
      <c r="V712" s="40">
        <v>4</v>
      </c>
      <c r="W712" s="40">
        <v>5</v>
      </c>
      <c r="X712" s="40">
        <v>4</v>
      </c>
      <c r="Y712" s="40">
        <v>5</v>
      </c>
      <c r="Z712" s="40" t="s">
        <v>45</v>
      </c>
      <c r="AA712" s="40" t="s">
        <v>45</v>
      </c>
      <c r="AB712" s="40" t="s">
        <v>45</v>
      </c>
      <c r="AC712" s="40" t="s">
        <v>45</v>
      </c>
      <c r="AD712" s="40" t="s">
        <v>45</v>
      </c>
      <c r="AE712" s="40" t="s">
        <v>45</v>
      </c>
      <c r="AF712" s="40" t="s">
        <v>45</v>
      </c>
      <c r="AG712" s="40" t="s">
        <v>45</v>
      </c>
      <c r="AH712" s="40" t="s">
        <v>45</v>
      </c>
      <c r="AI712" s="40" t="s">
        <v>45</v>
      </c>
      <c r="AJ712" s="40" t="s">
        <v>45</v>
      </c>
      <c r="AK712" s="40" t="s">
        <v>45</v>
      </c>
      <c r="AL712" s="40" t="s">
        <v>45</v>
      </c>
      <c r="AM712" s="40" t="s">
        <v>45</v>
      </c>
      <c r="AN712" s="40" t="s">
        <v>45</v>
      </c>
      <c r="AO712" s="41" t="s">
        <v>45</v>
      </c>
      <c r="AP712" s="40" t="s">
        <v>56</v>
      </c>
      <c r="AQ712" s="40">
        <v>5</v>
      </c>
      <c r="AR712" s="48" t="s">
        <v>347</v>
      </c>
      <c r="AS712" s="43" t="s">
        <v>45</v>
      </c>
      <c r="AT712" s="43" t="s">
        <v>47</v>
      </c>
      <c r="AU712" s="44">
        <f t="shared" si="87"/>
        <v>-1.3897081743568644</v>
      </c>
      <c r="AV712" s="44">
        <f t="shared" si="88"/>
        <v>-0.74952209911061918</v>
      </c>
      <c r="AW712" s="45">
        <f t="shared" si="89"/>
        <v>4</v>
      </c>
      <c r="AX712" s="45">
        <f t="shared" si="90"/>
        <v>0</v>
      </c>
      <c r="AY712" s="46">
        <f>VLOOKUP(AP712,COND!$A$10:$B$32,2,FALSE)</f>
        <v>1</v>
      </c>
      <c r="AZ712" s="44">
        <f>($AU$3*AU712+$AV$3*AV712+$AW$3*AW712+$AX$3*AX712)*AY712*IF(AQ712&lt;5,0.95,IF(AQ712&lt;7,0.975,1))+$I$3*VLOOKUP(I712,COND!$A$2:$E$7,4,FALSE)+$J$3*VLOOKUP(J712,COND!$A$2:$E$7,2,FALSE)+$K$3*VLOOKUP(K712,COND!$A$2:$E$7,3,FALSE)+IF(BB712="SP",$BB$3,0)+IF($AW712&lt;3,-5,0)+IF(AND($B$2&gt;0,$E712&lt;20),$B$2*25,0)</f>
        <v>33.913325973343333</v>
      </c>
      <c r="BA712" s="47">
        <f>STANDARDIZE(AZ712,AVERAGE($AZ$5:$AZ$663),STDEVP($AZ$5:$AZ$663))</f>
        <v>-0.26649470162482164</v>
      </c>
      <c r="BB712" s="45" t="str">
        <f t="shared" si="91"/>
        <v>SP</v>
      </c>
      <c r="BC712" s="45">
        <f>RANK(Table3[[#This Row],[zScore]],Table3[zScore])</f>
        <v>414</v>
      </c>
      <c r="BD712" s="45"/>
      <c r="BE712" s="45"/>
      <c r="BF712" s="45" t="str">
        <f t="shared" si="92"/>
        <v>Unlikely</v>
      </c>
      <c r="BG712" s="45"/>
      <c r="BH712" s="45" t="str">
        <f>INDEX(Table5[[#All],[Ovr]],MATCH(Table3[[#This Row],[PID]],Table5[[#All],[PID]],0))</f>
        <v/>
      </c>
      <c r="BI712" s="45" t="str">
        <f>INDEX(Table5[[#All],[Rnd]],MATCH(Table3[[#This Row],[PID]],Table5[[#All],[PID]],0))</f>
        <v/>
      </c>
      <c r="BJ712" s="45" t="str">
        <f>INDEX(Table5[[#All],[Pick]],MATCH(Table3[[#This Row],[PID]],Table5[[#All],[PID]],0))</f>
        <v/>
      </c>
      <c r="BK712" s="45" t="str">
        <f>INDEX(Table5[[#All],[Team]],MATCH(Table3[[#This Row],[PID]],Table5[[#All],[PID]],0))</f>
        <v/>
      </c>
      <c r="BL71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3" spans="1:64" ht="30" x14ac:dyDescent="0.25">
      <c r="A713" s="40">
        <v>17868</v>
      </c>
      <c r="B713" s="40" t="s">
        <v>24</v>
      </c>
      <c r="C713" s="40" t="s">
        <v>549</v>
      </c>
      <c r="D713" s="40" t="s">
        <v>382</v>
      </c>
      <c r="E713" s="40">
        <v>18</v>
      </c>
      <c r="F713" s="40" t="s">
        <v>53</v>
      </c>
      <c r="G713" s="40" t="s">
        <v>53</v>
      </c>
      <c r="H713" s="41" t="s">
        <v>647</v>
      </c>
      <c r="I713" s="42" t="s">
        <v>44</v>
      </c>
      <c r="J713" s="40" t="s">
        <v>47</v>
      </c>
      <c r="K713" s="41" t="s">
        <v>43</v>
      </c>
      <c r="L713" s="40">
        <v>1</v>
      </c>
      <c r="M713" s="40">
        <v>1</v>
      </c>
      <c r="N713" s="41">
        <v>1</v>
      </c>
      <c r="O713" s="40">
        <v>4</v>
      </c>
      <c r="P713" s="40">
        <v>1</v>
      </c>
      <c r="Q713" s="41">
        <v>3</v>
      </c>
      <c r="R713" s="40">
        <v>3</v>
      </c>
      <c r="S713" s="40">
        <v>6</v>
      </c>
      <c r="T713" s="40">
        <v>1</v>
      </c>
      <c r="U713" s="40">
        <v>6</v>
      </c>
      <c r="V713" s="40">
        <v>2</v>
      </c>
      <c r="W713" s="40">
        <v>6</v>
      </c>
      <c r="X713" s="40" t="s">
        <v>45</v>
      </c>
      <c r="Y713" s="40" t="s">
        <v>45</v>
      </c>
      <c r="Z713" s="40" t="s">
        <v>45</v>
      </c>
      <c r="AA713" s="40" t="s">
        <v>45</v>
      </c>
      <c r="AB713" s="40" t="s">
        <v>45</v>
      </c>
      <c r="AC713" s="40" t="s">
        <v>45</v>
      </c>
      <c r="AD713" s="40" t="s">
        <v>45</v>
      </c>
      <c r="AE713" s="40" t="s">
        <v>45</v>
      </c>
      <c r="AF713" s="40" t="s">
        <v>45</v>
      </c>
      <c r="AG713" s="40" t="s">
        <v>45</v>
      </c>
      <c r="AH713" s="40" t="s">
        <v>45</v>
      </c>
      <c r="AI713" s="40" t="s">
        <v>45</v>
      </c>
      <c r="AJ713" s="40" t="s">
        <v>45</v>
      </c>
      <c r="AK713" s="40" t="s">
        <v>45</v>
      </c>
      <c r="AL713" s="40" t="s">
        <v>45</v>
      </c>
      <c r="AM713" s="40" t="s">
        <v>45</v>
      </c>
      <c r="AN713" s="40" t="s">
        <v>45</v>
      </c>
      <c r="AO713" s="41" t="s">
        <v>45</v>
      </c>
      <c r="AP713" s="40" t="s">
        <v>350</v>
      </c>
      <c r="AQ713" s="40">
        <v>8</v>
      </c>
      <c r="AR713" s="48" t="s">
        <v>14</v>
      </c>
      <c r="AS713" s="43" t="s">
        <v>654</v>
      </c>
      <c r="AT713" s="43"/>
      <c r="AU713" s="44">
        <f t="shared" si="87"/>
        <v>-2.7014842379675978</v>
      </c>
      <c r="AV713" s="44">
        <f t="shared" si="88"/>
        <v>-1.1872743815947853</v>
      </c>
      <c r="AW713" s="45">
        <f t="shared" si="89"/>
        <v>3</v>
      </c>
      <c r="AX713" s="45">
        <f t="shared" si="90"/>
        <v>3</v>
      </c>
      <c r="AY713" s="46">
        <f>VLOOKUP(AP713,COND!$A$10:$B$32,2,FALSE)</f>
        <v>1</v>
      </c>
      <c r="AZ713" s="44">
        <f>($AU$3*AU713+$AV$3*AV713+$AW$3*AW713+$AX$3*AX713)*AY713*IF(AQ713&lt;5,0.95,IF(AQ713&lt;7,0.975,1))+$I$3*VLOOKUP(I713,COND!$A$2:$E$7,4,FALSE)+$J$3*VLOOKUP(J713,COND!$A$2:$E$7,2,FALSE)+$K$3*VLOOKUP(K713,COND!$A$2:$E$7,3,FALSE)+IF(BB713="SP",$BB$3,0)+IF($AW713&lt;3,-5,0)+IF(AND($B$2&gt;0,$E713&lt;20),$B$2*25,0)</f>
        <v>33.114215520510776</v>
      </c>
      <c r="BA713" s="47">
        <f>STANDARDIZE(AZ713,AVERAGE($AZ$5:$AZ$788),STDEVP($AZ$5:$AZ$788))</f>
        <v>-0.26522736029746441</v>
      </c>
      <c r="BB713" s="45" t="str">
        <f t="shared" si="91"/>
        <v>SP</v>
      </c>
      <c r="BC713" s="45">
        <f>RANK(Table3[[#This Row],[zScore]],Table3[zScore])</f>
        <v>413</v>
      </c>
      <c r="BD713" s="45"/>
      <c r="BE713" s="45"/>
      <c r="BF713" s="45" t="str">
        <f t="shared" si="92"/>
        <v>Unlikely</v>
      </c>
      <c r="BG713" s="45"/>
      <c r="BH713" s="64" t="str">
        <f>INDEX(Table5[[#All],[Ovr]],MATCH(Table3[[#This Row],[PID]],Table5[[#All],[PID]],0))</f>
        <v/>
      </c>
      <c r="BI713" s="64" t="str">
        <f>INDEX(Table5[[#All],[Rnd]],MATCH(Table3[[#This Row],[PID]],Table5[[#All],[PID]],0))</f>
        <v/>
      </c>
      <c r="BJ713" s="64" t="str">
        <f>INDEX(Table5[[#All],[Pick]],MATCH(Table3[[#This Row],[PID]],Table5[[#All],[PID]],0))</f>
        <v/>
      </c>
      <c r="BK713" s="64" t="str">
        <f>INDEX(Table5[[#All],[Team]],MATCH(Table3[[#This Row],[PID]],Table5[[#All],[PID]],0))</f>
        <v/>
      </c>
      <c r="BL713" s="64" t="str">
        <f>IF(OR(Table3[[#This Row],[POS]]="SP",Table3[[#This Row],[POS]]="RP",Table3[[#This Row],[POS]]="CL"),"P",INDEX(Batters[[#All],[zScore]],MATCH(Table3[[#This Row],[PID]],Batters[[#All],[PID]],0)))</f>
        <v>P</v>
      </c>
    </row>
    <row r="714" spans="1:64" ht="30" x14ac:dyDescent="0.25">
      <c r="A714" s="40">
        <v>10310</v>
      </c>
      <c r="B714" s="40" t="s">
        <v>24</v>
      </c>
      <c r="C714" s="40" t="s">
        <v>140</v>
      </c>
      <c r="D714" s="40" t="s">
        <v>1069</v>
      </c>
      <c r="E714" s="40">
        <v>22</v>
      </c>
      <c r="F714" s="40" t="s">
        <v>42</v>
      </c>
      <c r="G714" s="40" t="s">
        <v>42</v>
      </c>
      <c r="H714" s="41" t="s">
        <v>647</v>
      </c>
      <c r="I714" s="42" t="s">
        <v>43</v>
      </c>
      <c r="J714" s="40" t="s">
        <v>44</v>
      </c>
      <c r="K714" s="41" t="s">
        <v>43</v>
      </c>
      <c r="L714" s="40">
        <v>3</v>
      </c>
      <c r="M714" s="40">
        <v>2</v>
      </c>
      <c r="N714" s="41">
        <v>2</v>
      </c>
      <c r="O714" s="40">
        <v>4</v>
      </c>
      <c r="P714" s="40">
        <v>2</v>
      </c>
      <c r="Q714" s="41">
        <v>3</v>
      </c>
      <c r="R714" s="40">
        <v>5</v>
      </c>
      <c r="S714" s="40">
        <v>6</v>
      </c>
      <c r="T714" s="40" t="s">
        <v>45</v>
      </c>
      <c r="U714" s="40" t="s">
        <v>45</v>
      </c>
      <c r="V714" s="40">
        <v>4</v>
      </c>
      <c r="W714" s="40">
        <v>6</v>
      </c>
      <c r="X714" s="40">
        <v>3</v>
      </c>
      <c r="Y714" s="40">
        <v>6</v>
      </c>
      <c r="Z714" s="40" t="s">
        <v>45</v>
      </c>
      <c r="AA714" s="40" t="s">
        <v>45</v>
      </c>
      <c r="AB714" s="40" t="s">
        <v>45</v>
      </c>
      <c r="AC714" s="40" t="s">
        <v>45</v>
      </c>
      <c r="AD714" s="40" t="s">
        <v>45</v>
      </c>
      <c r="AE714" s="40" t="s">
        <v>45</v>
      </c>
      <c r="AF714" s="40" t="s">
        <v>45</v>
      </c>
      <c r="AG714" s="40" t="s">
        <v>45</v>
      </c>
      <c r="AH714" s="40" t="s">
        <v>45</v>
      </c>
      <c r="AI714" s="40" t="s">
        <v>45</v>
      </c>
      <c r="AJ714" s="40" t="s">
        <v>45</v>
      </c>
      <c r="AK714" s="40" t="s">
        <v>45</v>
      </c>
      <c r="AL714" s="40" t="s">
        <v>45</v>
      </c>
      <c r="AM714" s="40" t="s">
        <v>45</v>
      </c>
      <c r="AN714" s="40" t="s">
        <v>45</v>
      </c>
      <c r="AO714" s="41" t="s">
        <v>45</v>
      </c>
      <c r="AP714" s="40" t="s">
        <v>54</v>
      </c>
      <c r="AQ714" s="40">
        <v>6</v>
      </c>
      <c r="AR714" s="48" t="s">
        <v>347</v>
      </c>
      <c r="AS714" s="43" t="s">
        <v>45</v>
      </c>
      <c r="AT714" s="43" t="s">
        <v>635</v>
      </c>
      <c r="AU714" s="44">
        <f t="shared" si="87"/>
        <v>-1.8743493064650851</v>
      </c>
      <c r="AV714" s="44">
        <f t="shared" si="88"/>
        <v>-0.99184266516472974</v>
      </c>
      <c r="AW714" s="45">
        <f t="shared" si="89"/>
        <v>3</v>
      </c>
      <c r="AX714" s="45">
        <f t="shared" si="90"/>
        <v>3</v>
      </c>
      <c r="AY714" s="46">
        <f>VLOOKUP(AP714,COND!$A$10:$B$32,2,FALSE)</f>
        <v>1.0249999999999999</v>
      </c>
      <c r="AZ714" s="44">
        <f>($AU$3*AU714+$AV$3*AV714+$AW$3*AW714+$AX$3*AX714)*AY714*IF(AQ714&lt;5,0.95,IF(AQ714&lt;7,0.975,1))+$I$3*VLOOKUP(I714,COND!$A$2:$E$7,4,FALSE)+$J$3*VLOOKUP(J714,COND!$A$2:$E$7,2,FALSE)+$K$3*VLOOKUP(K714,COND!$A$2:$E$7,3,FALSE)+IF(BB714="SP",$BB$3,0)+IF($AW714&lt;3,-5,0)+IF(AND($B$2&gt;0,$E714&lt;20),$B$2*25,0)</f>
        <v>31.747627912390257</v>
      </c>
      <c r="BA714" s="47">
        <f t="shared" ref="BA714:BA720" si="93">STANDARDIZE(AZ714,AVERAGE($AZ$5:$AZ$557),STDEVP($AZ$5:$AZ$557))</f>
        <v>-0.27429011239243706</v>
      </c>
      <c r="BB714" s="45" t="str">
        <f t="shared" si="91"/>
        <v>SP</v>
      </c>
      <c r="BC714" s="45">
        <f>RANK(Table3[[#This Row],[zScore]],Table3[zScore])</f>
        <v>417</v>
      </c>
      <c r="BD714" s="45"/>
      <c r="BE714" s="45"/>
      <c r="BF714" s="45" t="str">
        <f t="shared" si="92"/>
        <v>Unlikely</v>
      </c>
      <c r="BG714" s="45"/>
      <c r="BH714" s="45" t="str">
        <f>INDEX(Table5[[#All],[Ovr]],MATCH(Table3[[#This Row],[PID]],Table5[[#All],[PID]],0))</f>
        <v/>
      </c>
      <c r="BI714" s="45" t="str">
        <f>INDEX(Table5[[#All],[Rnd]],MATCH(Table3[[#This Row],[PID]],Table5[[#All],[PID]],0))</f>
        <v/>
      </c>
      <c r="BJ714" s="45" t="str">
        <f>INDEX(Table5[[#All],[Pick]],MATCH(Table3[[#This Row],[PID]],Table5[[#All],[PID]],0))</f>
        <v/>
      </c>
      <c r="BK714" s="45" t="str">
        <f>INDEX(Table5[[#All],[Team]],MATCH(Table3[[#This Row],[PID]],Table5[[#All],[PID]],0))</f>
        <v/>
      </c>
      <c r="BL71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5" spans="1:64" ht="30" x14ac:dyDescent="0.25">
      <c r="A715" s="40">
        <v>20750</v>
      </c>
      <c r="B715" s="40" t="s">
        <v>24</v>
      </c>
      <c r="C715" s="40" t="s">
        <v>707</v>
      </c>
      <c r="D715" s="40" t="s">
        <v>1964</v>
      </c>
      <c r="E715" s="40">
        <v>17</v>
      </c>
      <c r="F715" s="40" t="s">
        <v>53</v>
      </c>
      <c r="G715" s="40" t="s">
        <v>53</v>
      </c>
      <c r="H715" s="41" t="s">
        <v>647</v>
      </c>
      <c r="I715" s="42" t="s">
        <v>43</v>
      </c>
      <c r="J715" s="40" t="s">
        <v>44</v>
      </c>
      <c r="K715" s="41" t="s">
        <v>43</v>
      </c>
      <c r="L715" s="40">
        <v>1</v>
      </c>
      <c r="M715" s="40">
        <v>2</v>
      </c>
      <c r="N715" s="41">
        <v>1</v>
      </c>
      <c r="O715" s="40">
        <v>3</v>
      </c>
      <c r="P715" s="40">
        <v>2</v>
      </c>
      <c r="Q715" s="41">
        <v>3</v>
      </c>
      <c r="R715" s="40">
        <v>2</v>
      </c>
      <c r="S715" s="40">
        <v>5</v>
      </c>
      <c r="T715" s="40">
        <v>1</v>
      </c>
      <c r="U715" s="40">
        <v>3</v>
      </c>
      <c r="V715" s="40">
        <v>2</v>
      </c>
      <c r="W715" s="40">
        <v>6</v>
      </c>
      <c r="X715" s="40" t="s">
        <v>45</v>
      </c>
      <c r="Y715" s="40" t="s">
        <v>45</v>
      </c>
      <c r="Z715" s="40" t="s">
        <v>45</v>
      </c>
      <c r="AA715" s="40" t="s">
        <v>45</v>
      </c>
      <c r="AB715" s="40" t="s">
        <v>45</v>
      </c>
      <c r="AC715" s="40" t="s">
        <v>45</v>
      </c>
      <c r="AD715" s="40" t="s">
        <v>45</v>
      </c>
      <c r="AE715" s="40" t="s">
        <v>45</v>
      </c>
      <c r="AF715" s="40" t="s">
        <v>45</v>
      </c>
      <c r="AG715" s="40" t="s">
        <v>45</v>
      </c>
      <c r="AH715" s="40" t="s">
        <v>45</v>
      </c>
      <c r="AI715" s="40" t="s">
        <v>45</v>
      </c>
      <c r="AJ715" s="40" t="s">
        <v>45</v>
      </c>
      <c r="AK715" s="40" t="s">
        <v>45</v>
      </c>
      <c r="AL715" s="40" t="s">
        <v>45</v>
      </c>
      <c r="AM715" s="40" t="s">
        <v>45</v>
      </c>
      <c r="AN715" s="40" t="s">
        <v>45</v>
      </c>
      <c r="AO715" s="41" t="s">
        <v>45</v>
      </c>
      <c r="AP715" s="40" t="s">
        <v>65</v>
      </c>
      <c r="AQ715" s="40">
        <v>10</v>
      </c>
      <c r="AR715" s="48" t="s">
        <v>14</v>
      </c>
      <c r="AS715" s="43" t="s">
        <v>644</v>
      </c>
      <c r="AT715" s="43" t="s">
        <v>47</v>
      </c>
      <c r="AU715" s="44">
        <f t="shared" si="87"/>
        <v>-2.5060525215375429</v>
      </c>
      <c r="AV715" s="44">
        <f t="shared" si="88"/>
        <v>-1.1865339896739031</v>
      </c>
      <c r="AW715" s="45">
        <f t="shared" si="89"/>
        <v>3</v>
      </c>
      <c r="AX715" s="45">
        <f t="shared" si="90"/>
        <v>1</v>
      </c>
      <c r="AY715" s="46">
        <f>VLOOKUP(AP715,COND!$A$10:$B$32,2,FALSE)</f>
        <v>0.95</v>
      </c>
      <c r="AZ715" s="44">
        <f>($AU$3*AU715+$AV$3*AV715+$AW$3*AW715+$AX$3*AX715)*AY715*IF(AQ715&lt;5,0.95,IF(AQ715&lt;7,0.975,1))+$I$3*VLOOKUP(I715,COND!$A$2:$E$7,4,FALSE)+$J$3*VLOOKUP(J715,COND!$A$2:$E$7,2,FALSE)+$K$3*VLOOKUP(K715,COND!$A$2:$E$7,3,FALSE)+IF(BB715="SP",$BB$3,0)+IF($AW715&lt;3,-5,0)+IF(AND($B$2&gt;0,$E715&lt;20),$B$2*25,0)</f>
        <v>31.292204217103709</v>
      </c>
      <c r="BA715" s="47">
        <f t="shared" si="93"/>
        <v>-0.3045887549028754</v>
      </c>
      <c r="BB715" s="45" t="str">
        <f t="shared" si="91"/>
        <v>SP</v>
      </c>
      <c r="BC715" s="45">
        <f>RANK(Table3[[#This Row],[zScore]],Table3[zScore])</f>
        <v>427</v>
      </c>
      <c r="BD715" s="45"/>
      <c r="BE715" s="45"/>
      <c r="BF715" s="45" t="str">
        <f t="shared" si="92"/>
        <v>Unlikely</v>
      </c>
      <c r="BG715" s="45"/>
      <c r="BH715" s="45" t="str">
        <f>INDEX(Table5[[#All],[Ovr]],MATCH(Table3[[#This Row],[PID]],Table5[[#All],[PID]],0))</f>
        <v/>
      </c>
      <c r="BI715" s="45" t="str">
        <f>INDEX(Table5[[#All],[Rnd]],MATCH(Table3[[#This Row],[PID]],Table5[[#All],[PID]],0))</f>
        <v/>
      </c>
      <c r="BJ715" s="45" t="str">
        <f>INDEX(Table5[[#All],[Pick]],MATCH(Table3[[#This Row],[PID]],Table5[[#All],[PID]],0))</f>
        <v/>
      </c>
      <c r="BK715" s="45" t="str">
        <f>INDEX(Table5[[#All],[Team]],MATCH(Table3[[#This Row],[PID]],Table5[[#All],[PID]],0))</f>
        <v/>
      </c>
      <c r="BL71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6" spans="1:64" ht="30" x14ac:dyDescent="0.25">
      <c r="A716" s="40">
        <v>20801</v>
      </c>
      <c r="B716" s="40" t="s">
        <v>24</v>
      </c>
      <c r="C716" s="40" t="s">
        <v>394</v>
      </c>
      <c r="D716" s="40" t="s">
        <v>1048</v>
      </c>
      <c r="E716" s="40">
        <v>19</v>
      </c>
      <c r="F716" s="40" t="s">
        <v>53</v>
      </c>
      <c r="G716" s="40" t="s">
        <v>42</v>
      </c>
      <c r="H716" s="41" t="s">
        <v>647</v>
      </c>
      <c r="I716" s="42" t="s">
        <v>43</v>
      </c>
      <c r="J716" s="40" t="s">
        <v>44</v>
      </c>
      <c r="K716" s="41" t="s">
        <v>43</v>
      </c>
      <c r="L716" s="40">
        <v>1</v>
      </c>
      <c r="M716" s="40">
        <v>2</v>
      </c>
      <c r="N716" s="41">
        <v>1</v>
      </c>
      <c r="O716" s="40">
        <v>3</v>
      </c>
      <c r="P716" s="40">
        <v>2</v>
      </c>
      <c r="Q716" s="41">
        <v>3</v>
      </c>
      <c r="R716" s="40">
        <v>3</v>
      </c>
      <c r="S716" s="40">
        <v>5</v>
      </c>
      <c r="T716" s="40">
        <v>1</v>
      </c>
      <c r="U716" s="40">
        <v>2</v>
      </c>
      <c r="V716" s="40" t="s">
        <v>45</v>
      </c>
      <c r="W716" s="40" t="s">
        <v>45</v>
      </c>
      <c r="X716" s="40">
        <v>2</v>
      </c>
      <c r="Y716" s="40">
        <v>6</v>
      </c>
      <c r="Z716" s="40" t="s">
        <v>45</v>
      </c>
      <c r="AA716" s="40" t="s">
        <v>45</v>
      </c>
      <c r="AB716" s="40" t="s">
        <v>45</v>
      </c>
      <c r="AC716" s="40" t="s">
        <v>45</v>
      </c>
      <c r="AD716" s="40" t="s">
        <v>45</v>
      </c>
      <c r="AE716" s="40" t="s">
        <v>45</v>
      </c>
      <c r="AF716" s="40" t="s">
        <v>45</v>
      </c>
      <c r="AG716" s="40" t="s">
        <v>45</v>
      </c>
      <c r="AH716" s="40" t="s">
        <v>45</v>
      </c>
      <c r="AI716" s="40" t="s">
        <v>45</v>
      </c>
      <c r="AJ716" s="40" t="s">
        <v>45</v>
      </c>
      <c r="AK716" s="40" t="s">
        <v>45</v>
      </c>
      <c r="AL716" s="40" t="s">
        <v>45</v>
      </c>
      <c r="AM716" s="40" t="s">
        <v>45</v>
      </c>
      <c r="AN716" s="40" t="s">
        <v>45</v>
      </c>
      <c r="AO716" s="41" t="s">
        <v>45</v>
      </c>
      <c r="AP716" s="40" t="s">
        <v>68</v>
      </c>
      <c r="AQ716" s="40">
        <v>9</v>
      </c>
      <c r="AR716" s="48" t="s">
        <v>347</v>
      </c>
      <c r="AS716" s="43" t="s">
        <v>644</v>
      </c>
      <c r="AT716" s="43" t="s">
        <v>47</v>
      </c>
      <c r="AU716" s="44">
        <f t="shared" si="87"/>
        <v>-2.5060525215375429</v>
      </c>
      <c r="AV716" s="44">
        <f t="shared" si="88"/>
        <v>-1.1865339896739031</v>
      </c>
      <c r="AW716" s="45">
        <f t="shared" si="89"/>
        <v>3</v>
      </c>
      <c r="AX716" s="45">
        <f t="shared" si="90"/>
        <v>1</v>
      </c>
      <c r="AY716" s="46">
        <f>VLOOKUP(AP716,COND!$A$10:$B$32,2,FALSE)</f>
        <v>0.95</v>
      </c>
      <c r="AZ716" s="44">
        <f>($AU$3*AU716+$AV$3*AV716+$AW$3*AW716+$AX$3*AX716)*AY716*IF(AQ716&lt;5,0.95,IF(AQ716&lt;7,0.975,1))+$I$3*VLOOKUP(I716,COND!$A$2:$E$7,4,FALSE)+$J$3*VLOOKUP(J716,COND!$A$2:$E$7,2,FALSE)+$K$3*VLOOKUP(K716,COND!$A$2:$E$7,3,FALSE)+IF(BB716="SP",$BB$3,0)+IF($AW716&lt;3,-5,0)+IF(AND($B$2&gt;0,$E716&lt;20),$B$2*25,0)</f>
        <v>31.292204217103709</v>
      </c>
      <c r="BA716" s="47">
        <f t="shared" si="93"/>
        <v>-0.3045887549028754</v>
      </c>
      <c r="BB716" s="45" t="str">
        <f t="shared" si="91"/>
        <v>SP</v>
      </c>
      <c r="BC716" s="45">
        <f>RANK(Table3[[#This Row],[zScore]],Table3[zScore])</f>
        <v>427</v>
      </c>
      <c r="BD716" s="45"/>
      <c r="BE716" s="45"/>
      <c r="BF716" s="45" t="str">
        <f t="shared" si="92"/>
        <v>Unlikely</v>
      </c>
      <c r="BG716" s="45"/>
      <c r="BH716" s="45" t="str">
        <f>INDEX(Table5[[#All],[Ovr]],MATCH(Table3[[#This Row],[PID]],Table5[[#All],[PID]],0))</f>
        <v/>
      </c>
      <c r="BI716" s="45" t="str">
        <f>INDEX(Table5[[#All],[Rnd]],MATCH(Table3[[#This Row],[PID]],Table5[[#All],[PID]],0))</f>
        <v/>
      </c>
      <c r="BJ716" s="45" t="str">
        <f>INDEX(Table5[[#All],[Pick]],MATCH(Table3[[#This Row],[PID]],Table5[[#All],[PID]],0))</f>
        <v/>
      </c>
      <c r="BK716" s="45" t="str">
        <f>INDEX(Table5[[#All],[Team]],MATCH(Table3[[#This Row],[PID]],Table5[[#All],[PID]],0))</f>
        <v/>
      </c>
      <c r="BL71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7" spans="1:64" ht="30" x14ac:dyDescent="0.25">
      <c r="A717" s="40">
        <v>18054</v>
      </c>
      <c r="B717" s="40" t="s">
        <v>24</v>
      </c>
      <c r="C717" s="40" t="s">
        <v>136</v>
      </c>
      <c r="D717" s="40" t="s">
        <v>195</v>
      </c>
      <c r="E717" s="40">
        <v>21</v>
      </c>
      <c r="F717" s="40" t="s">
        <v>53</v>
      </c>
      <c r="G717" s="40" t="s">
        <v>53</v>
      </c>
      <c r="H717" s="41" t="s">
        <v>647</v>
      </c>
      <c r="I717" s="42" t="s">
        <v>44</v>
      </c>
      <c r="J717" s="40" t="s">
        <v>44</v>
      </c>
      <c r="K717" s="41" t="s">
        <v>44</v>
      </c>
      <c r="L717" s="40">
        <v>2</v>
      </c>
      <c r="M717" s="40">
        <v>2</v>
      </c>
      <c r="N717" s="41">
        <v>1</v>
      </c>
      <c r="O717" s="40">
        <v>4</v>
      </c>
      <c r="P717" s="40">
        <v>2</v>
      </c>
      <c r="Q717" s="41">
        <v>3</v>
      </c>
      <c r="R717" s="40">
        <v>4</v>
      </c>
      <c r="S717" s="40">
        <v>6</v>
      </c>
      <c r="T717" s="40">
        <v>2</v>
      </c>
      <c r="U717" s="40">
        <v>6</v>
      </c>
      <c r="V717" s="40" t="s">
        <v>45</v>
      </c>
      <c r="W717" s="40" t="s">
        <v>45</v>
      </c>
      <c r="X717" s="40">
        <v>4</v>
      </c>
      <c r="Y717" s="40">
        <v>6</v>
      </c>
      <c r="Z717" s="40" t="s">
        <v>45</v>
      </c>
      <c r="AA717" s="40" t="s">
        <v>45</v>
      </c>
      <c r="AB717" s="40" t="s">
        <v>45</v>
      </c>
      <c r="AC717" s="40" t="s">
        <v>45</v>
      </c>
      <c r="AD717" s="40" t="s">
        <v>45</v>
      </c>
      <c r="AE717" s="40" t="s">
        <v>45</v>
      </c>
      <c r="AF717" s="40" t="s">
        <v>45</v>
      </c>
      <c r="AG717" s="40" t="s">
        <v>45</v>
      </c>
      <c r="AH717" s="40" t="s">
        <v>45</v>
      </c>
      <c r="AI717" s="40" t="s">
        <v>45</v>
      </c>
      <c r="AJ717" s="40" t="s">
        <v>45</v>
      </c>
      <c r="AK717" s="40" t="s">
        <v>45</v>
      </c>
      <c r="AL717" s="40" t="s">
        <v>45</v>
      </c>
      <c r="AM717" s="40" t="s">
        <v>45</v>
      </c>
      <c r="AN717" s="40" t="s">
        <v>45</v>
      </c>
      <c r="AO717" s="41" t="s">
        <v>45</v>
      </c>
      <c r="AP717" s="40" t="s">
        <v>56</v>
      </c>
      <c r="AQ717" s="40">
        <v>10</v>
      </c>
      <c r="AR717" s="48" t="s">
        <v>347</v>
      </c>
      <c r="AS717" s="43" t="s">
        <v>45</v>
      </c>
      <c r="AT717" s="43" t="s">
        <v>635</v>
      </c>
      <c r="AU717" s="44">
        <f t="shared" si="87"/>
        <v>-2.311361197028369</v>
      </c>
      <c r="AV717" s="44">
        <f t="shared" si="88"/>
        <v>-0.99184266516472974</v>
      </c>
      <c r="AW717" s="45">
        <f t="shared" si="89"/>
        <v>3</v>
      </c>
      <c r="AX717" s="45">
        <f t="shared" si="90"/>
        <v>3</v>
      </c>
      <c r="AY717" s="46">
        <f>VLOOKUP(AP717,COND!$A$10:$B$32,2,FALSE)</f>
        <v>1</v>
      </c>
      <c r="AZ717" s="44">
        <f>($AU$3*AU717+$AV$3*AV717+$AW$3*AW717+$AX$3*AX717)*AY717*IF(AQ717&lt;5,0.95,IF(AQ717&lt;7,0.975,1))+$I$3*VLOOKUP(I717,COND!$A$2:$E$7,4,FALSE)+$J$3*VLOOKUP(J717,COND!$A$2:$E$7,2,FALSE)+$K$3*VLOOKUP(K717,COND!$A$2:$E$7,3,FALSE)+IF(BB717="SP",$BB$3,0)+IF($AW717&lt;3,-5,0)+IF(AND($B$2&gt;0,$E717&lt;20),$B$2*25,0)</f>
        <v>31.200874457299726</v>
      </c>
      <c r="BA717" s="47">
        <f t="shared" si="93"/>
        <v>-0.31066478426082089</v>
      </c>
      <c r="BB717" s="45" t="str">
        <f t="shared" si="91"/>
        <v>SP</v>
      </c>
      <c r="BC717" s="45">
        <f>RANK(Table3[[#This Row],[zScore]],Table3[zScore])</f>
        <v>431</v>
      </c>
      <c r="BD717" s="45"/>
      <c r="BE717" s="45"/>
      <c r="BF717" s="45" t="str">
        <f t="shared" si="92"/>
        <v>Unlikely</v>
      </c>
      <c r="BG717" s="45"/>
      <c r="BH717" s="45">
        <f>INDEX(Table5[[#All],[Ovr]],MATCH(Table3[[#This Row],[PID]],Table5[[#All],[PID]],0))</f>
        <v>469</v>
      </c>
      <c r="BI717" s="45" t="str">
        <f>INDEX(Table5[[#All],[Rnd]],MATCH(Table3[[#This Row],[PID]],Table5[[#All],[PID]],0))</f>
        <v>16</v>
      </c>
      <c r="BJ717" s="45">
        <f>INDEX(Table5[[#All],[Pick]],MATCH(Table3[[#This Row],[PID]],Table5[[#All],[PID]],0))</f>
        <v>11</v>
      </c>
      <c r="BK717" s="45" t="str">
        <f>INDEX(Table5[[#All],[Team]],MATCH(Table3[[#This Row],[PID]],Table5[[#All],[PID]],0))</f>
        <v>Duluth Warriors</v>
      </c>
      <c r="BL71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8" spans="1:64" ht="30" x14ac:dyDescent="0.25">
      <c r="A718" s="40">
        <v>17783</v>
      </c>
      <c r="B718" s="40" t="s">
        <v>24</v>
      </c>
      <c r="C718" s="40" t="s">
        <v>439</v>
      </c>
      <c r="D718" s="40" t="s">
        <v>1932</v>
      </c>
      <c r="E718" s="40">
        <v>21</v>
      </c>
      <c r="F718" s="40" t="s">
        <v>53</v>
      </c>
      <c r="G718" s="40" t="s">
        <v>53</v>
      </c>
      <c r="H718" s="41" t="s">
        <v>647</v>
      </c>
      <c r="I718" s="42" t="s">
        <v>43</v>
      </c>
      <c r="J718" s="40" t="s">
        <v>43</v>
      </c>
      <c r="K718" s="41" t="s">
        <v>43</v>
      </c>
      <c r="L718" s="40">
        <v>2</v>
      </c>
      <c r="M718" s="40">
        <v>1</v>
      </c>
      <c r="N718" s="41">
        <v>1</v>
      </c>
      <c r="O718" s="40">
        <v>5</v>
      </c>
      <c r="P718" s="40">
        <v>1</v>
      </c>
      <c r="Q718" s="41">
        <v>3</v>
      </c>
      <c r="R718" s="40">
        <v>4</v>
      </c>
      <c r="S718" s="40">
        <v>5</v>
      </c>
      <c r="T718" s="40">
        <v>2</v>
      </c>
      <c r="U718" s="40">
        <v>7</v>
      </c>
      <c r="V718" s="40">
        <v>3</v>
      </c>
      <c r="W718" s="40">
        <v>6</v>
      </c>
      <c r="X718" s="40" t="s">
        <v>45</v>
      </c>
      <c r="Y718" s="40" t="s">
        <v>45</v>
      </c>
      <c r="Z718" s="40" t="s">
        <v>45</v>
      </c>
      <c r="AA718" s="40" t="s">
        <v>45</v>
      </c>
      <c r="AB718" s="40" t="s">
        <v>45</v>
      </c>
      <c r="AC718" s="40" t="s">
        <v>45</v>
      </c>
      <c r="AD718" s="40" t="s">
        <v>45</v>
      </c>
      <c r="AE718" s="40" t="s">
        <v>45</v>
      </c>
      <c r="AF718" s="40" t="s">
        <v>45</v>
      </c>
      <c r="AG718" s="40" t="s">
        <v>45</v>
      </c>
      <c r="AH718" s="40" t="s">
        <v>45</v>
      </c>
      <c r="AI718" s="40" t="s">
        <v>45</v>
      </c>
      <c r="AJ718" s="40" t="s">
        <v>45</v>
      </c>
      <c r="AK718" s="40" t="s">
        <v>45</v>
      </c>
      <c r="AL718" s="40" t="s">
        <v>45</v>
      </c>
      <c r="AM718" s="40" t="s">
        <v>45</v>
      </c>
      <c r="AN718" s="40" t="s">
        <v>45</v>
      </c>
      <c r="AO718" s="41" t="s">
        <v>45</v>
      </c>
      <c r="AP718" s="40" t="s">
        <v>57</v>
      </c>
      <c r="AQ718" s="40">
        <v>6</v>
      </c>
      <c r="AR718" s="48" t="s">
        <v>347</v>
      </c>
      <c r="AS718" s="43" t="s">
        <v>45</v>
      </c>
      <c r="AT718" s="43" t="s">
        <v>635</v>
      </c>
      <c r="AU718" s="44">
        <f t="shared" si="87"/>
        <v>-2.5067929134584248</v>
      </c>
      <c r="AV718" s="44">
        <f t="shared" si="88"/>
        <v>-0.99258305708561179</v>
      </c>
      <c r="AW718" s="45">
        <f t="shared" si="89"/>
        <v>3</v>
      </c>
      <c r="AX718" s="45">
        <f t="shared" si="90"/>
        <v>2</v>
      </c>
      <c r="AY718" s="46">
        <f>VLOOKUP(AP718,COND!$A$10:$B$32,2,FALSE)</f>
        <v>1</v>
      </c>
      <c r="AZ718" s="44">
        <f>($AU$3*AU718+$AV$3*AV718+$AW$3*AW718+$AX$3*AX718)*AY718*IF(AQ718&lt;5,0.95,IF(AQ718&lt;7,0.975,1))+$I$3*VLOOKUP(I718,COND!$A$2:$E$7,4,FALSE)+$J$3*VLOOKUP(J718,COND!$A$2:$E$7,2,FALSE)+$K$3*VLOOKUP(K718,COND!$A$2:$E$7,3,FALSE)+IF(BB718="SP",$BB$3,0)+IF($AW718&lt;3,-5,0)+IF(AND($B$2&gt;0,$E718&lt;20),$B$2*25,0)</f>
        <v>31.055805768706179</v>
      </c>
      <c r="BA718" s="47">
        <f t="shared" si="93"/>
        <v>-0.32031598243220383</v>
      </c>
      <c r="BB718" s="45" t="str">
        <f t="shared" si="91"/>
        <v>SP</v>
      </c>
      <c r="BC718" s="45">
        <f>RANK(Table3[[#This Row],[zScore]],Table3[zScore])</f>
        <v>434</v>
      </c>
      <c r="BD718" s="45"/>
      <c r="BE718" s="45"/>
      <c r="BF718" s="45" t="str">
        <f t="shared" si="92"/>
        <v>Unlikely</v>
      </c>
      <c r="BG718" s="45"/>
      <c r="BH718" s="45" t="str">
        <f>INDEX(Table5[[#All],[Ovr]],MATCH(Table3[[#This Row],[PID]],Table5[[#All],[PID]],0))</f>
        <v/>
      </c>
      <c r="BI718" s="45" t="str">
        <f>INDEX(Table5[[#All],[Rnd]],MATCH(Table3[[#This Row],[PID]],Table5[[#All],[PID]],0))</f>
        <v/>
      </c>
      <c r="BJ718" s="45" t="str">
        <f>INDEX(Table5[[#All],[Pick]],MATCH(Table3[[#This Row],[PID]],Table5[[#All],[PID]],0))</f>
        <v/>
      </c>
      <c r="BK718" s="45" t="str">
        <f>INDEX(Table5[[#All],[Team]],MATCH(Table3[[#This Row],[PID]],Table5[[#All],[PID]],0))</f>
        <v/>
      </c>
      <c r="BL71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19" spans="1:64" ht="30" x14ac:dyDescent="0.25">
      <c r="A719" s="40">
        <v>20856</v>
      </c>
      <c r="B719" s="40" t="s">
        <v>24</v>
      </c>
      <c r="C719" s="40" t="s">
        <v>188</v>
      </c>
      <c r="D719" s="40" t="s">
        <v>2104</v>
      </c>
      <c r="E719" s="40">
        <v>17</v>
      </c>
      <c r="F719" s="40" t="s">
        <v>42</v>
      </c>
      <c r="G719" s="40" t="s">
        <v>53</v>
      </c>
      <c r="H719" s="41" t="s">
        <v>647</v>
      </c>
      <c r="I719" s="42" t="s">
        <v>43</v>
      </c>
      <c r="J719" s="40" t="s">
        <v>44</v>
      </c>
      <c r="K719" s="41" t="s">
        <v>43</v>
      </c>
      <c r="L719" s="40">
        <v>1</v>
      </c>
      <c r="M719" s="40">
        <v>2</v>
      </c>
      <c r="N719" s="41">
        <v>1</v>
      </c>
      <c r="O719" s="40">
        <v>4</v>
      </c>
      <c r="P719" s="40">
        <v>2</v>
      </c>
      <c r="Q719" s="41">
        <v>2</v>
      </c>
      <c r="R719" s="40">
        <v>3</v>
      </c>
      <c r="S719" s="40">
        <v>6</v>
      </c>
      <c r="T719" s="40">
        <v>1</v>
      </c>
      <c r="U719" s="40">
        <v>2</v>
      </c>
      <c r="V719" s="40" t="s">
        <v>45</v>
      </c>
      <c r="W719" s="40" t="s">
        <v>45</v>
      </c>
      <c r="X719" s="40">
        <v>2</v>
      </c>
      <c r="Y719" s="40">
        <v>7</v>
      </c>
      <c r="Z719" s="40" t="s">
        <v>45</v>
      </c>
      <c r="AA719" s="40" t="s">
        <v>45</v>
      </c>
      <c r="AB719" s="40" t="s">
        <v>45</v>
      </c>
      <c r="AC719" s="40" t="s">
        <v>45</v>
      </c>
      <c r="AD719" s="40" t="s">
        <v>45</v>
      </c>
      <c r="AE719" s="40" t="s">
        <v>45</v>
      </c>
      <c r="AF719" s="40" t="s">
        <v>45</v>
      </c>
      <c r="AG719" s="40" t="s">
        <v>45</v>
      </c>
      <c r="AH719" s="40" t="s">
        <v>45</v>
      </c>
      <c r="AI719" s="40" t="s">
        <v>45</v>
      </c>
      <c r="AJ719" s="40" t="s">
        <v>45</v>
      </c>
      <c r="AK719" s="40" t="s">
        <v>45</v>
      </c>
      <c r="AL719" s="40" t="s">
        <v>45</v>
      </c>
      <c r="AM719" s="40" t="s">
        <v>45</v>
      </c>
      <c r="AN719" s="40" t="s">
        <v>45</v>
      </c>
      <c r="AO719" s="41" t="s">
        <v>45</v>
      </c>
      <c r="AP719" s="40" t="s">
        <v>349</v>
      </c>
      <c r="AQ719" s="40">
        <v>6</v>
      </c>
      <c r="AR719" s="48" t="s">
        <v>347</v>
      </c>
      <c r="AS719" s="43" t="s">
        <v>654</v>
      </c>
      <c r="AT719" s="43" t="s">
        <v>47</v>
      </c>
      <c r="AU719" s="44">
        <f t="shared" si="87"/>
        <v>-2.5060525215375429</v>
      </c>
      <c r="AV719" s="44">
        <f t="shared" si="88"/>
        <v>-1.23416323121884</v>
      </c>
      <c r="AW719" s="45">
        <f t="shared" si="89"/>
        <v>3</v>
      </c>
      <c r="AX719" s="45">
        <f t="shared" si="90"/>
        <v>2</v>
      </c>
      <c r="AY719" s="46">
        <f>VLOOKUP(AP719,COND!$A$10:$B$32,2,FALSE)</f>
        <v>1</v>
      </c>
      <c r="AZ719" s="44">
        <f>($AU$3*AU719+$AV$3*AV719+$AW$3*AW719+$AX$3*AX719)*AY719*IF(AQ719&lt;5,0.95,IF(AQ719&lt;7,0.975,1))+$I$3*VLOOKUP(I719,COND!$A$2:$E$7,4,FALSE)+$J$3*VLOOKUP(J719,COND!$A$2:$E$7,2,FALSE)+$K$3*VLOOKUP(K719,COND!$A$2:$E$7,3,FALSE)+IF(BB719="SP",$BB$3,0)+IF($AW719&lt;3,-5,0)+IF(AND($B$2&gt;0,$E719&lt;20),$B$2*25,0)</f>
        <v>31.045136749532798</v>
      </c>
      <c r="BA719" s="47">
        <f t="shared" si="93"/>
        <v>-0.32102577597438631</v>
      </c>
      <c r="BB719" s="45" t="str">
        <f t="shared" si="91"/>
        <v>SP</v>
      </c>
      <c r="BC719" s="45">
        <f>RANK(Table3[[#This Row],[zScore]],Table3[zScore])</f>
        <v>435</v>
      </c>
      <c r="BD719" s="45"/>
      <c r="BE719" s="45"/>
      <c r="BF719" s="45" t="str">
        <f t="shared" si="92"/>
        <v>Unlikely</v>
      </c>
      <c r="BG719" s="45"/>
      <c r="BH719" s="45" t="str">
        <f>INDEX(Table5[[#All],[Ovr]],MATCH(Table3[[#This Row],[PID]],Table5[[#All],[PID]],0))</f>
        <v/>
      </c>
      <c r="BI719" s="45" t="str">
        <f>INDEX(Table5[[#All],[Rnd]],MATCH(Table3[[#This Row],[PID]],Table5[[#All],[PID]],0))</f>
        <v/>
      </c>
      <c r="BJ719" s="45" t="str">
        <f>INDEX(Table5[[#All],[Pick]],MATCH(Table3[[#This Row],[PID]],Table5[[#All],[PID]],0))</f>
        <v/>
      </c>
      <c r="BK719" s="45" t="str">
        <f>INDEX(Table5[[#All],[Team]],MATCH(Table3[[#This Row],[PID]],Table5[[#All],[PID]],0))</f>
        <v/>
      </c>
      <c r="BL71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0" spans="1:64" ht="30" x14ac:dyDescent="0.25">
      <c r="A720" s="40">
        <v>18007</v>
      </c>
      <c r="B720" s="40" t="s">
        <v>24</v>
      </c>
      <c r="C720" s="40" t="s">
        <v>1301</v>
      </c>
      <c r="D720" s="40" t="s">
        <v>1661</v>
      </c>
      <c r="E720" s="40">
        <v>21</v>
      </c>
      <c r="F720" s="40" t="s">
        <v>42</v>
      </c>
      <c r="G720" s="40" t="s">
        <v>42</v>
      </c>
      <c r="H720" s="41" t="s">
        <v>647</v>
      </c>
      <c r="I720" s="42" t="s">
        <v>43</v>
      </c>
      <c r="J720" s="40" t="s">
        <v>44</v>
      </c>
      <c r="K720" s="41" t="s">
        <v>43</v>
      </c>
      <c r="L720" s="40">
        <v>2</v>
      </c>
      <c r="M720" s="40">
        <v>1</v>
      </c>
      <c r="N720" s="41">
        <v>2</v>
      </c>
      <c r="O720" s="40">
        <v>5</v>
      </c>
      <c r="P720" s="40">
        <v>1</v>
      </c>
      <c r="Q720" s="41">
        <v>3</v>
      </c>
      <c r="R720" s="40">
        <v>4</v>
      </c>
      <c r="S720" s="40">
        <v>4</v>
      </c>
      <c r="T720" s="40">
        <v>1</v>
      </c>
      <c r="U720" s="40">
        <v>1</v>
      </c>
      <c r="V720" s="40" t="s">
        <v>45</v>
      </c>
      <c r="W720" s="40" t="s">
        <v>45</v>
      </c>
      <c r="X720" s="40">
        <v>3</v>
      </c>
      <c r="Y720" s="40">
        <v>6</v>
      </c>
      <c r="Z720" s="40" t="s">
        <v>45</v>
      </c>
      <c r="AA720" s="40" t="s">
        <v>45</v>
      </c>
      <c r="AB720" s="40" t="s">
        <v>45</v>
      </c>
      <c r="AC720" s="40" t="s">
        <v>45</v>
      </c>
      <c r="AD720" s="40" t="s">
        <v>45</v>
      </c>
      <c r="AE720" s="40" t="s">
        <v>45</v>
      </c>
      <c r="AF720" s="40">
        <v>4</v>
      </c>
      <c r="AG720" s="40">
        <v>6</v>
      </c>
      <c r="AH720" s="40" t="s">
        <v>45</v>
      </c>
      <c r="AI720" s="40" t="s">
        <v>45</v>
      </c>
      <c r="AJ720" s="40" t="s">
        <v>45</v>
      </c>
      <c r="AK720" s="40" t="s">
        <v>45</v>
      </c>
      <c r="AL720" s="40" t="s">
        <v>45</v>
      </c>
      <c r="AM720" s="40" t="s">
        <v>45</v>
      </c>
      <c r="AN720" s="40" t="s">
        <v>45</v>
      </c>
      <c r="AO720" s="41" t="s">
        <v>45</v>
      </c>
      <c r="AP720" s="40" t="s">
        <v>57</v>
      </c>
      <c r="AQ720" s="40">
        <v>8</v>
      </c>
      <c r="AR720" s="48" t="s">
        <v>14</v>
      </c>
      <c r="AS720" s="43" t="s">
        <v>45</v>
      </c>
      <c r="AT720" s="43" t="s">
        <v>47</v>
      </c>
      <c r="AU720" s="44">
        <f t="shared" si="87"/>
        <v>-2.2644723474043147</v>
      </c>
      <c r="AV720" s="44">
        <f t="shared" si="88"/>
        <v>-0.99258305708561179</v>
      </c>
      <c r="AW720" s="45">
        <f t="shared" si="89"/>
        <v>4</v>
      </c>
      <c r="AX720" s="45">
        <f t="shared" si="90"/>
        <v>2</v>
      </c>
      <c r="AY720" s="46">
        <f>VLOOKUP(AP720,COND!$A$10:$B$32,2,FALSE)</f>
        <v>1</v>
      </c>
      <c r="AZ720" s="44">
        <f>($AU$3*AU720+$AV$3*AV720+$AW$3*AW720+$AX$3*AX720)*AY720*IF(AQ720&lt;5,0.95,IF(AQ720&lt;7,0.975,1))+$I$3*VLOOKUP(I720,COND!$A$2:$E$7,4,FALSE)+$J$3*VLOOKUP(J720,COND!$A$2:$E$7,2,FALSE)+$K$3*VLOOKUP(K720,COND!$A$2:$E$7,3,FALSE)+IF(BB720="SP",$BB$3,0)+IF($AW720&lt;3,-5,0)+IF(AND($B$2&gt;0,$E720&lt;20),$B$2*25,0)</f>
        <v>30.895444388806901</v>
      </c>
      <c r="BA720" s="47">
        <f t="shared" si="93"/>
        <v>-0.33098457998726022</v>
      </c>
      <c r="BB720" s="45" t="str">
        <f t="shared" si="91"/>
        <v>SP</v>
      </c>
      <c r="BC720" s="45">
        <f>RANK(Table3[[#This Row],[zScore]],Table3[zScore])</f>
        <v>441</v>
      </c>
      <c r="BD720" s="45"/>
      <c r="BE720" s="45"/>
      <c r="BF720" s="45" t="str">
        <f t="shared" si="92"/>
        <v>Unlikely</v>
      </c>
      <c r="BG720" s="45"/>
      <c r="BH720" s="45" t="str">
        <f>INDEX(Table5[[#All],[Ovr]],MATCH(Table3[[#This Row],[PID]],Table5[[#All],[PID]],0))</f>
        <v/>
      </c>
      <c r="BI720" s="45" t="str">
        <f>INDEX(Table5[[#All],[Rnd]],MATCH(Table3[[#This Row],[PID]],Table5[[#All],[PID]],0))</f>
        <v/>
      </c>
      <c r="BJ720" s="45" t="str">
        <f>INDEX(Table5[[#All],[Pick]],MATCH(Table3[[#This Row],[PID]],Table5[[#All],[PID]],0))</f>
        <v/>
      </c>
      <c r="BK720" s="45" t="str">
        <f>INDEX(Table5[[#All],[Team]],MATCH(Table3[[#This Row],[PID]],Table5[[#All],[PID]],0))</f>
        <v/>
      </c>
      <c r="BL72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1" spans="1:64" ht="30" x14ac:dyDescent="0.25">
      <c r="A721" s="40">
        <v>14643</v>
      </c>
      <c r="B721" s="40" t="s">
        <v>24</v>
      </c>
      <c r="C721" s="40" t="s">
        <v>1101</v>
      </c>
      <c r="D721" s="40" t="s">
        <v>382</v>
      </c>
      <c r="E721" s="40">
        <v>22</v>
      </c>
      <c r="F721" s="40" t="s">
        <v>42</v>
      </c>
      <c r="G721" s="40" t="s">
        <v>53</v>
      </c>
      <c r="H721" s="41" t="s">
        <v>647</v>
      </c>
      <c r="I721" s="42" t="s">
        <v>43</v>
      </c>
      <c r="J721" s="40" t="s">
        <v>44</v>
      </c>
      <c r="K721" s="41" t="s">
        <v>43</v>
      </c>
      <c r="L721" s="40">
        <v>2</v>
      </c>
      <c r="M721" s="40">
        <v>1</v>
      </c>
      <c r="N721" s="41">
        <v>2</v>
      </c>
      <c r="O721" s="40">
        <v>4</v>
      </c>
      <c r="P721" s="40">
        <v>2</v>
      </c>
      <c r="Q721" s="41">
        <v>3</v>
      </c>
      <c r="R721" s="40">
        <v>3</v>
      </c>
      <c r="S721" s="40">
        <v>4</v>
      </c>
      <c r="T721" s="40">
        <v>4</v>
      </c>
      <c r="U721" s="40">
        <v>8</v>
      </c>
      <c r="V721" s="40">
        <v>4</v>
      </c>
      <c r="W721" s="40">
        <v>7</v>
      </c>
      <c r="X721" s="40" t="s">
        <v>45</v>
      </c>
      <c r="Y721" s="40" t="s">
        <v>45</v>
      </c>
      <c r="Z721" s="40" t="s">
        <v>45</v>
      </c>
      <c r="AA721" s="40" t="s">
        <v>45</v>
      </c>
      <c r="AB721" s="40" t="s">
        <v>45</v>
      </c>
      <c r="AC721" s="40" t="s">
        <v>45</v>
      </c>
      <c r="AD721" s="40" t="s">
        <v>45</v>
      </c>
      <c r="AE721" s="40" t="s">
        <v>45</v>
      </c>
      <c r="AF721" s="40" t="s">
        <v>45</v>
      </c>
      <c r="AG721" s="40" t="s">
        <v>45</v>
      </c>
      <c r="AH721" s="40" t="s">
        <v>45</v>
      </c>
      <c r="AI721" s="40" t="s">
        <v>45</v>
      </c>
      <c r="AJ721" s="40" t="s">
        <v>45</v>
      </c>
      <c r="AK721" s="40" t="s">
        <v>45</v>
      </c>
      <c r="AL721" s="40" t="s">
        <v>45</v>
      </c>
      <c r="AM721" s="40" t="s">
        <v>45</v>
      </c>
      <c r="AN721" s="40" t="s">
        <v>45</v>
      </c>
      <c r="AO721" s="41" t="s">
        <v>45</v>
      </c>
      <c r="AP721" s="40" t="s">
        <v>70</v>
      </c>
      <c r="AQ721" s="40">
        <v>9</v>
      </c>
      <c r="AR721" s="48" t="s">
        <v>351</v>
      </c>
      <c r="AS721" s="43" t="s">
        <v>45</v>
      </c>
      <c r="AT721" s="43"/>
      <c r="AU721" s="44">
        <f t="shared" si="87"/>
        <v>-2.2644723474043147</v>
      </c>
      <c r="AV721" s="44">
        <f t="shared" si="88"/>
        <v>-0.99184266516472974</v>
      </c>
      <c r="AW721" s="45">
        <f t="shared" si="89"/>
        <v>3</v>
      </c>
      <c r="AX721" s="45">
        <f t="shared" si="90"/>
        <v>2</v>
      </c>
      <c r="AY721" s="46">
        <f>VLOOKUP(AP721,COND!$A$10:$B$32,2,FALSE)</f>
        <v>0.9</v>
      </c>
      <c r="AZ721" s="44">
        <f>($AU$3*AU721+$AV$3*AV721+$AW$3*AW721+$AX$3*AX721)*AY721*IF(AQ721&lt;5,0.95,IF(AQ721&lt;7,0.975,1))+$I$3*VLOOKUP(I721,COND!$A$2:$E$7,4,FALSE)+$J$3*VLOOKUP(J721,COND!$A$2:$E$7,2,FALSE)+$K$3*VLOOKUP(K721,COND!$A$2:$E$7,3,FALSE)+IF(BB721="SP",$BB$3,0)+IF($AW721&lt;3,-5,0)+IF(AND($B$2&gt;0,$E721&lt;20),$B$2*25,0)</f>
        <v>32.039227004502081</v>
      </c>
      <c r="BA721" s="47">
        <f>STANDARDIZE(AZ721,AVERAGE($AZ$5:$AZ$788),STDEVP($AZ$5:$AZ$788))</f>
        <v>-0.34301617963176773</v>
      </c>
      <c r="BB721" s="45" t="str">
        <f t="shared" si="91"/>
        <v>SP</v>
      </c>
      <c r="BC721" s="45">
        <f>RANK(Table3[[#This Row],[zScore]],Table3[zScore])</f>
        <v>445</v>
      </c>
      <c r="BD721" s="45"/>
      <c r="BE721" s="45"/>
      <c r="BF721" s="45" t="str">
        <f t="shared" si="92"/>
        <v>Unlikely</v>
      </c>
      <c r="BG721" s="45"/>
      <c r="BH721" s="64" t="str">
        <f>INDEX(Table5[[#All],[Ovr]],MATCH(Table3[[#This Row],[PID]],Table5[[#All],[PID]],0))</f>
        <v/>
      </c>
      <c r="BI721" s="64" t="str">
        <f>INDEX(Table5[[#All],[Rnd]],MATCH(Table3[[#This Row],[PID]],Table5[[#All],[PID]],0))</f>
        <v/>
      </c>
      <c r="BJ721" s="64" t="str">
        <f>INDEX(Table5[[#All],[Pick]],MATCH(Table3[[#This Row],[PID]],Table5[[#All],[PID]],0))</f>
        <v/>
      </c>
      <c r="BK721" s="64" t="str">
        <f>INDEX(Table5[[#All],[Team]],MATCH(Table3[[#This Row],[PID]],Table5[[#All],[PID]],0))</f>
        <v/>
      </c>
      <c r="BL721" s="64" t="str">
        <f>IF(OR(Table3[[#This Row],[POS]]="SP",Table3[[#This Row],[POS]]="RP",Table3[[#This Row],[POS]]="CL"),"P",INDEX(Batters[[#All],[zScore]],MATCH(Table3[[#This Row],[PID]],Batters[[#All],[PID]],0)))</f>
        <v>P</v>
      </c>
    </row>
    <row r="722" spans="1:64" ht="30" x14ac:dyDescent="0.25">
      <c r="A722" s="40">
        <v>17979</v>
      </c>
      <c r="B722" s="40" t="s">
        <v>24</v>
      </c>
      <c r="C722" s="40" t="s">
        <v>159</v>
      </c>
      <c r="D722" s="40" t="s">
        <v>1610</v>
      </c>
      <c r="E722" s="40">
        <v>21</v>
      </c>
      <c r="F722" s="40" t="s">
        <v>42</v>
      </c>
      <c r="G722" s="40" t="s">
        <v>42</v>
      </c>
      <c r="H722" s="41" t="s">
        <v>647</v>
      </c>
      <c r="I722" s="42" t="s">
        <v>43</v>
      </c>
      <c r="J722" s="40" t="s">
        <v>43</v>
      </c>
      <c r="K722" s="41" t="s">
        <v>43</v>
      </c>
      <c r="L722" s="40">
        <v>3</v>
      </c>
      <c r="M722" s="40">
        <v>2</v>
      </c>
      <c r="N722" s="41">
        <v>2</v>
      </c>
      <c r="O722" s="40">
        <v>4</v>
      </c>
      <c r="P722" s="40">
        <v>2</v>
      </c>
      <c r="Q722" s="41">
        <v>3</v>
      </c>
      <c r="R722" s="40">
        <v>4</v>
      </c>
      <c r="S722" s="40">
        <v>6</v>
      </c>
      <c r="T722" s="40" t="s">
        <v>45</v>
      </c>
      <c r="U722" s="40" t="s">
        <v>45</v>
      </c>
      <c r="V722" s="40">
        <v>3</v>
      </c>
      <c r="W722" s="40">
        <v>6</v>
      </c>
      <c r="X722" s="40">
        <v>4</v>
      </c>
      <c r="Y722" s="40">
        <v>6</v>
      </c>
      <c r="Z722" s="40" t="s">
        <v>45</v>
      </c>
      <c r="AA722" s="40" t="s">
        <v>45</v>
      </c>
      <c r="AB722" s="40" t="s">
        <v>45</v>
      </c>
      <c r="AC722" s="40" t="s">
        <v>45</v>
      </c>
      <c r="AD722" s="40" t="s">
        <v>45</v>
      </c>
      <c r="AE722" s="40" t="s">
        <v>45</v>
      </c>
      <c r="AF722" s="40" t="s">
        <v>45</v>
      </c>
      <c r="AG722" s="40" t="s">
        <v>45</v>
      </c>
      <c r="AH722" s="40" t="s">
        <v>45</v>
      </c>
      <c r="AI722" s="40" t="s">
        <v>45</v>
      </c>
      <c r="AJ722" s="40" t="s">
        <v>45</v>
      </c>
      <c r="AK722" s="40" t="s">
        <v>45</v>
      </c>
      <c r="AL722" s="40" t="s">
        <v>45</v>
      </c>
      <c r="AM722" s="40" t="s">
        <v>45</v>
      </c>
      <c r="AN722" s="40" t="s">
        <v>45</v>
      </c>
      <c r="AO722" s="41" t="s">
        <v>45</v>
      </c>
      <c r="AP722" s="40" t="s">
        <v>56</v>
      </c>
      <c r="AQ722" s="40">
        <v>9</v>
      </c>
      <c r="AR722" s="48" t="s">
        <v>347</v>
      </c>
      <c r="AS722" s="43" t="s">
        <v>45</v>
      </c>
      <c r="AT722" s="43"/>
      <c r="AU722" s="44">
        <f t="shared" si="87"/>
        <v>-1.8743493064650851</v>
      </c>
      <c r="AV722" s="44">
        <f t="shared" si="88"/>
        <v>-0.99184266516472974</v>
      </c>
      <c r="AW722" s="45">
        <f t="shared" si="89"/>
        <v>3</v>
      </c>
      <c r="AX722" s="45">
        <f t="shared" si="90"/>
        <v>3</v>
      </c>
      <c r="AY722" s="46">
        <f>VLOOKUP(AP722,COND!$A$10:$B$32,2,FALSE)</f>
        <v>1</v>
      </c>
      <c r="AZ722" s="44">
        <f>($AU$3*AU722+$AV$3*AV722+$AW$3*AW722+$AX$3*AX722)*AY722*IF(AQ722&lt;5,0.95,IF(AQ722&lt;7,0.975,1))+$I$3*VLOOKUP(I722,COND!$A$2:$E$7,4,FALSE)+$J$3*VLOOKUP(J722,COND!$A$2:$E$7,2,FALSE)+$K$3*VLOOKUP(K722,COND!$A$2:$E$7,3,FALSE)+IF(BB722="SP",$BB$3,0)+IF($AW722&lt;3,-5,0)+IF(AND($B$2&gt;0,$E722&lt;20),$B$2*25,0)</f>
        <v>32.03827683541239</v>
      </c>
      <c r="BA722" s="47">
        <f>STANDARDIZE(AZ722,AVERAGE($AZ$5:$AZ$788),STDEVP($AZ$5:$AZ$788))</f>
        <v>-0.34308493620967928</v>
      </c>
      <c r="BB722" s="45" t="str">
        <f t="shared" si="91"/>
        <v>SP</v>
      </c>
      <c r="BC722" s="45">
        <f>RANK(Table3[[#This Row],[zScore]],Table3[zScore])</f>
        <v>446</v>
      </c>
      <c r="BD722" s="45"/>
      <c r="BE722" s="45"/>
      <c r="BF722" s="45" t="str">
        <f t="shared" si="92"/>
        <v>Unlikely</v>
      </c>
      <c r="BG722" s="45"/>
      <c r="BH722" s="64">
        <f>INDEX(Table5[[#All],[Ovr]],MATCH(Table3[[#This Row],[PID]],Table5[[#All],[PID]],0))</f>
        <v>552</v>
      </c>
      <c r="BI722" s="64" t="str">
        <f>INDEX(Table5[[#All],[Rnd]],MATCH(Table3[[#This Row],[PID]],Table5[[#All],[PID]],0))</f>
        <v>19</v>
      </c>
      <c r="BJ722" s="64">
        <f>INDEX(Table5[[#All],[Pick]],MATCH(Table3[[#This Row],[PID]],Table5[[#All],[PID]],0))</f>
        <v>4</v>
      </c>
      <c r="BK722" s="64" t="str">
        <f>INDEX(Table5[[#All],[Team]],MATCH(Table3[[#This Row],[PID]],Table5[[#All],[PID]],0))</f>
        <v>Tempe Knights</v>
      </c>
      <c r="BL722" s="64" t="str">
        <f>IF(OR(Table3[[#This Row],[POS]]="SP",Table3[[#This Row],[POS]]="RP",Table3[[#This Row],[POS]]="CL"),"P",INDEX(Batters[[#All],[zScore]],MATCH(Table3[[#This Row],[PID]],Batters[[#All],[PID]],0)))</f>
        <v>P</v>
      </c>
    </row>
    <row r="723" spans="1:64" ht="30" x14ac:dyDescent="0.25">
      <c r="A723" s="40">
        <v>20454</v>
      </c>
      <c r="B723" s="40" t="s">
        <v>24</v>
      </c>
      <c r="C723" s="40" t="s">
        <v>202</v>
      </c>
      <c r="D723" s="40" t="s">
        <v>1018</v>
      </c>
      <c r="E723" s="40">
        <v>18</v>
      </c>
      <c r="F723" s="40" t="s">
        <v>42</v>
      </c>
      <c r="G723" s="40" t="s">
        <v>42</v>
      </c>
      <c r="H723" s="41" t="s">
        <v>647</v>
      </c>
      <c r="I723" s="42" t="s">
        <v>43</v>
      </c>
      <c r="J723" s="40" t="s">
        <v>44</v>
      </c>
      <c r="K723" s="41" t="s">
        <v>43</v>
      </c>
      <c r="L723" s="40">
        <v>2</v>
      </c>
      <c r="M723" s="40">
        <v>1</v>
      </c>
      <c r="N723" s="41">
        <v>1</v>
      </c>
      <c r="O723" s="40">
        <v>4</v>
      </c>
      <c r="P723" s="40">
        <v>1</v>
      </c>
      <c r="Q723" s="41">
        <v>3</v>
      </c>
      <c r="R723" s="40">
        <v>3</v>
      </c>
      <c r="S723" s="40">
        <v>5</v>
      </c>
      <c r="T723" s="40">
        <v>2</v>
      </c>
      <c r="U723" s="40">
        <v>6</v>
      </c>
      <c r="V723" s="40">
        <v>1</v>
      </c>
      <c r="W723" s="40">
        <v>2</v>
      </c>
      <c r="X723" s="40" t="s">
        <v>45</v>
      </c>
      <c r="Y723" s="40" t="s">
        <v>45</v>
      </c>
      <c r="Z723" s="40" t="s">
        <v>45</v>
      </c>
      <c r="AA723" s="40" t="s">
        <v>45</v>
      </c>
      <c r="AB723" s="40" t="s">
        <v>45</v>
      </c>
      <c r="AC723" s="40" t="s">
        <v>45</v>
      </c>
      <c r="AD723" s="40" t="s">
        <v>45</v>
      </c>
      <c r="AE723" s="40" t="s">
        <v>45</v>
      </c>
      <c r="AF723" s="40">
        <v>3</v>
      </c>
      <c r="AG723" s="40">
        <v>5</v>
      </c>
      <c r="AH723" s="40" t="s">
        <v>45</v>
      </c>
      <c r="AI723" s="40" t="s">
        <v>45</v>
      </c>
      <c r="AJ723" s="40" t="s">
        <v>45</v>
      </c>
      <c r="AK723" s="40" t="s">
        <v>45</v>
      </c>
      <c r="AL723" s="40" t="s">
        <v>45</v>
      </c>
      <c r="AM723" s="40" t="s">
        <v>45</v>
      </c>
      <c r="AN723" s="40" t="s">
        <v>45</v>
      </c>
      <c r="AO723" s="41" t="s">
        <v>45</v>
      </c>
      <c r="AP723" s="40" t="s">
        <v>349</v>
      </c>
      <c r="AQ723" s="40">
        <v>8</v>
      </c>
      <c r="AR723" s="48" t="s">
        <v>14</v>
      </c>
      <c r="AS723" s="43" t="s">
        <v>644</v>
      </c>
      <c r="AT723" s="43" t="s">
        <v>47</v>
      </c>
      <c r="AU723" s="44">
        <f t="shared" si="87"/>
        <v>-2.5067929134584248</v>
      </c>
      <c r="AV723" s="44">
        <f t="shared" si="88"/>
        <v>-1.1872743815947853</v>
      </c>
      <c r="AW723" s="45">
        <f t="shared" si="89"/>
        <v>4</v>
      </c>
      <c r="AX723" s="45">
        <f t="shared" si="90"/>
        <v>1</v>
      </c>
      <c r="AY723" s="46">
        <f>VLOOKUP(AP723,COND!$A$10:$B$32,2,FALSE)</f>
        <v>1</v>
      </c>
      <c r="AZ723" s="44">
        <f>($AU$3*AU723+$AV$3*AV723+$AW$3*AW723+$AX$3*AX723)*AY723*IF(AQ723&lt;5,0.95,IF(AQ723&lt;7,0.975,1))+$I$3*VLOOKUP(I723,COND!$A$2:$E$7,4,FALSE)+$J$3*VLOOKUP(J723,COND!$A$2:$E$7,2,FALSE)+$K$3*VLOOKUP(K723,COND!$A$2:$E$7,3,FALSE)+IF(BB723="SP",$BB$3,0)+IF($AW723&lt;3,-5,0)+IF(AND($B$2&gt;0,$E723&lt;20),$B$2*25,0)</f>
        <v>30.703153785412606</v>
      </c>
      <c r="BA723" s="47">
        <f>STANDARDIZE(AZ723,AVERAGE($AZ$5:$AZ$557),STDEVP($AZ$5:$AZ$557))</f>
        <v>-0.34377737999011132</v>
      </c>
      <c r="BB723" s="45" t="str">
        <f t="shared" si="91"/>
        <v>SP</v>
      </c>
      <c r="BC723" s="45">
        <f>RANK(Table3[[#This Row],[zScore]],Table3[zScore])</f>
        <v>447</v>
      </c>
      <c r="BD723" s="45"/>
      <c r="BE723" s="45"/>
      <c r="BF723" s="45" t="str">
        <f t="shared" si="92"/>
        <v>Unlikely</v>
      </c>
      <c r="BG723" s="45"/>
      <c r="BH723" s="45" t="str">
        <f>INDEX(Table5[[#All],[Ovr]],MATCH(Table3[[#This Row],[PID]],Table5[[#All],[PID]],0))</f>
        <v/>
      </c>
      <c r="BI723" s="45" t="str">
        <f>INDEX(Table5[[#All],[Rnd]],MATCH(Table3[[#This Row],[PID]],Table5[[#All],[PID]],0))</f>
        <v/>
      </c>
      <c r="BJ723" s="45" t="str">
        <f>INDEX(Table5[[#All],[Pick]],MATCH(Table3[[#This Row],[PID]],Table5[[#All],[PID]],0))</f>
        <v/>
      </c>
      <c r="BK723" s="45" t="str">
        <f>INDEX(Table5[[#All],[Team]],MATCH(Table3[[#This Row],[PID]],Table5[[#All],[PID]],0))</f>
        <v/>
      </c>
      <c r="BL72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4" spans="1:64" ht="30" x14ac:dyDescent="0.25">
      <c r="A724" s="40">
        <v>17801</v>
      </c>
      <c r="B724" s="40" t="s">
        <v>24</v>
      </c>
      <c r="C724" s="40" t="s">
        <v>950</v>
      </c>
      <c r="D724" s="40" t="s">
        <v>522</v>
      </c>
      <c r="E724" s="40">
        <v>21</v>
      </c>
      <c r="F724" s="40" t="s">
        <v>42</v>
      </c>
      <c r="G724" s="40" t="s">
        <v>42</v>
      </c>
      <c r="H724" s="41" t="s">
        <v>647</v>
      </c>
      <c r="I724" s="42" t="s">
        <v>43</v>
      </c>
      <c r="J724" s="40" t="s">
        <v>44</v>
      </c>
      <c r="K724" s="41" t="s">
        <v>43</v>
      </c>
      <c r="L724" s="40">
        <v>2</v>
      </c>
      <c r="M724" s="40">
        <v>2</v>
      </c>
      <c r="N724" s="41">
        <v>2</v>
      </c>
      <c r="O724" s="40">
        <v>4</v>
      </c>
      <c r="P724" s="40">
        <v>2</v>
      </c>
      <c r="Q724" s="41">
        <v>3</v>
      </c>
      <c r="R724" s="40">
        <v>5</v>
      </c>
      <c r="S724" s="40">
        <v>6</v>
      </c>
      <c r="T724" s="40">
        <v>2</v>
      </c>
      <c r="U724" s="40">
        <v>6</v>
      </c>
      <c r="V724" s="40" t="s">
        <v>45</v>
      </c>
      <c r="W724" s="40" t="s">
        <v>45</v>
      </c>
      <c r="X724" s="40">
        <v>3</v>
      </c>
      <c r="Y724" s="40">
        <v>5</v>
      </c>
      <c r="Z724" s="40" t="s">
        <v>45</v>
      </c>
      <c r="AA724" s="40" t="s">
        <v>45</v>
      </c>
      <c r="AB724" s="40" t="s">
        <v>45</v>
      </c>
      <c r="AC724" s="40" t="s">
        <v>45</v>
      </c>
      <c r="AD724" s="40" t="s">
        <v>45</v>
      </c>
      <c r="AE724" s="40" t="s">
        <v>45</v>
      </c>
      <c r="AF724" s="40" t="s">
        <v>45</v>
      </c>
      <c r="AG724" s="40" t="s">
        <v>45</v>
      </c>
      <c r="AH724" s="40" t="s">
        <v>45</v>
      </c>
      <c r="AI724" s="40" t="s">
        <v>45</v>
      </c>
      <c r="AJ724" s="40" t="s">
        <v>45</v>
      </c>
      <c r="AK724" s="40" t="s">
        <v>45</v>
      </c>
      <c r="AL724" s="40" t="s">
        <v>45</v>
      </c>
      <c r="AM724" s="40" t="s">
        <v>45</v>
      </c>
      <c r="AN724" s="40" t="s">
        <v>45</v>
      </c>
      <c r="AO724" s="41" t="s">
        <v>45</v>
      </c>
      <c r="AP724" s="40" t="s">
        <v>58</v>
      </c>
      <c r="AQ724" s="40">
        <v>10</v>
      </c>
      <c r="AR724" s="48" t="s">
        <v>347</v>
      </c>
      <c r="AS724" s="43" t="s">
        <v>45</v>
      </c>
      <c r="AT724" s="43" t="s">
        <v>635</v>
      </c>
      <c r="AU724" s="44">
        <f t="shared" si="87"/>
        <v>-2.0690406309742588</v>
      </c>
      <c r="AV724" s="44">
        <f t="shared" si="88"/>
        <v>-0.99184266516472974</v>
      </c>
      <c r="AW724" s="45">
        <f t="shared" si="89"/>
        <v>3</v>
      </c>
      <c r="AX724" s="45">
        <f t="shared" si="90"/>
        <v>2</v>
      </c>
      <c r="AY724" s="46">
        <f>VLOOKUP(AP724,COND!$A$10:$B$32,2,FALSE)</f>
        <v>1</v>
      </c>
      <c r="AZ724" s="44">
        <f>($AU$3*AU724+$AV$3*AV724+$AW$3*AW724+$AX$3*AX724)*AY724*IF(AQ724&lt;5,0.95,IF(AQ724&lt;7,0.975,1))+$I$3*VLOOKUP(I724,COND!$A$2:$E$7,4,FALSE)+$J$3*VLOOKUP(J724,COND!$A$2:$E$7,2,FALSE)+$K$3*VLOOKUP(K724,COND!$A$2:$E$7,3,FALSE)+IF(BB724="SP",$BB$3,0)+IF($AW724&lt;3,-5,0)+IF(AND($B$2&gt;0,$E724&lt;20),$B$2*25,0)</f>
        <v>30.449338570510552</v>
      </c>
      <c r="BA724" s="47">
        <f>STANDARDIZE(AZ724,AVERAGE($AZ$5:$AZ$557),STDEVP($AZ$5:$AZ$557))</f>
        <v>-0.36066331838027088</v>
      </c>
      <c r="BB724" s="45" t="str">
        <f t="shared" si="91"/>
        <v>SP</v>
      </c>
      <c r="BC724" s="45">
        <f>RANK(Table3[[#This Row],[zScore]],Table3[zScore])</f>
        <v>456</v>
      </c>
      <c r="BD724" s="45"/>
      <c r="BE724" s="45"/>
      <c r="BF724" s="45" t="str">
        <f t="shared" si="92"/>
        <v>Unlikely</v>
      </c>
      <c r="BG724" s="45"/>
      <c r="BH724" s="45" t="str">
        <f>INDEX(Table5[[#All],[Ovr]],MATCH(Table3[[#This Row],[PID]],Table5[[#All],[PID]],0))</f>
        <v/>
      </c>
      <c r="BI724" s="45" t="str">
        <f>INDEX(Table5[[#All],[Rnd]],MATCH(Table3[[#This Row],[PID]],Table5[[#All],[PID]],0))</f>
        <v/>
      </c>
      <c r="BJ724" s="45" t="str">
        <f>INDEX(Table5[[#All],[Pick]],MATCH(Table3[[#This Row],[PID]],Table5[[#All],[PID]],0))</f>
        <v/>
      </c>
      <c r="BK724" s="45" t="str">
        <f>INDEX(Table5[[#All],[Team]],MATCH(Table3[[#This Row],[PID]],Table5[[#All],[PID]],0))</f>
        <v/>
      </c>
      <c r="BL72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5" spans="1:64" ht="30" x14ac:dyDescent="0.25">
      <c r="A725" s="40">
        <v>12259</v>
      </c>
      <c r="B725" s="40" t="s">
        <v>24</v>
      </c>
      <c r="C725" s="40" t="s">
        <v>1056</v>
      </c>
      <c r="D725" s="40" t="s">
        <v>1057</v>
      </c>
      <c r="E725" s="40">
        <v>22</v>
      </c>
      <c r="F725" s="40" t="s">
        <v>42</v>
      </c>
      <c r="G725" s="40" t="s">
        <v>42</v>
      </c>
      <c r="H725" s="41" t="s">
        <v>647</v>
      </c>
      <c r="I725" s="42" t="s">
        <v>44</v>
      </c>
      <c r="J725" s="40" t="s">
        <v>44</v>
      </c>
      <c r="K725" s="41" t="s">
        <v>43</v>
      </c>
      <c r="L725" s="40">
        <v>3</v>
      </c>
      <c r="M725" s="40">
        <v>1</v>
      </c>
      <c r="N725" s="41">
        <v>3</v>
      </c>
      <c r="O725" s="40">
        <v>4</v>
      </c>
      <c r="P725" s="40">
        <v>1</v>
      </c>
      <c r="Q725" s="41">
        <v>4</v>
      </c>
      <c r="R725" s="40">
        <v>5</v>
      </c>
      <c r="S725" s="40">
        <v>5</v>
      </c>
      <c r="T725" s="40">
        <v>2</v>
      </c>
      <c r="U725" s="40">
        <v>6</v>
      </c>
      <c r="V725" s="40" t="s">
        <v>45</v>
      </c>
      <c r="W725" s="40" t="s">
        <v>45</v>
      </c>
      <c r="X725" s="40">
        <v>4</v>
      </c>
      <c r="Y725" s="40">
        <v>5</v>
      </c>
      <c r="Z725" s="40" t="s">
        <v>45</v>
      </c>
      <c r="AA725" s="40" t="s">
        <v>45</v>
      </c>
      <c r="AB725" s="40" t="s">
        <v>45</v>
      </c>
      <c r="AC725" s="40" t="s">
        <v>45</v>
      </c>
      <c r="AD725" s="40" t="s">
        <v>45</v>
      </c>
      <c r="AE725" s="40" t="s">
        <v>45</v>
      </c>
      <c r="AF725" s="40" t="s">
        <v>45</v>
      </c>
      <c r="AG725" s="40" t="s">
        <v>45</v>
      </c>
      <c r="AH725" s="40" t="s">
        <v>45</v>
      </c>
      <c r="AI725" s="40" t="s">
        <v>45</v>
      </c>
      <c r="AJ725" s="40" t="s">
        <v>45</v>
      </c>
      <c r="AK725" s="40" t="s">
        <v>45</v>
      </c>
      <c r="AL725" s="40" t="s">
        <v>45</v>
      </c>
      <c r="AM725" s="40" t="s">
        <v>45</v>
      </c>
      <c r="AN725" s="40" t="s">
        <v>45</v>
      </c>
      <c r="AO725" s="41" t="s">
        <v>45</v>
      </c>
      <c r="AP725" s="40" t="s">
        <v>57</v>
      </c>
      <c r="AQ725" s="40">
        <v>6</v>
      </c>
      <c r="AR725" s="48" t="s">
        <v>14</v>
      </c>
      <c r="AS725" s="43" t="s">
        <v>45</v>
      </c>
      <c r="AT725" s="43" t="s">
        <v>635</v>
      </c>
      <c r="AU725" s="44">
        <f t="shared" si="87"/>
        <v>-1.8274604568410304</v>
      </c>
      <c r="AV725" s="44">
        <f t="shared" si="88"/>
        <v>-0.94495381554067481</v>
      </c>
      <c r="AW725" s="45">
        <f t="shared" si="89"/>
        <v>3</v>
      </c>
      <c r="AX725" s="45">
        <f t="shared" si="90"/>
        <v>1</v>
      </c>
      <c r="AY725" s="46">
        <f>VLOOKUP(AP725,COND!$A$10:$B$32,2,FALSE)</f>
        <v>1</v>
      </c>
      <c r="AZ725" s="44">
        <f>($AU$3*AU725+$AV$3*AV725+$AW$3*AW725+$AX$3*AX725)*AY725*IF(AQ725&lt;5,0.95,IF(AQ725&lt;7,0.975,1))+$I$3*VLOOKUP(I725,COND!$A$2:$E$7,4,FALSE)+$J$3*VLOOKUP(J725,COND!$A$2:$E$7,2,FALSE)+$K$3*VLOOKUP(K725,COND!$A$2:$E$7,3,FALSE)+IF(BB725="SP",$BB$3,0)+IF($AW725&lt;3,-5,0)+IF(AND($B$2&gt;0,$E725&lt;20),$B$2*25,0)</f>
        <v>30.448295807872839</v>
      </c>
      <c r="BA725" s="47">
        <f>STANDARDIZE(AZ725,AVERAGE($AZ$5:$AZ$557),STDEVP($AZ$5:$AZ$557))</f>
        <v>-0.36073269178510309</v>
      </c>
      <c r="BB725" s="45" t="str">
        <f t="shared" si="91"/>
        <v>SP</v>
      </c>
      <c r="BC725" s="45">
        <f>RANK(Table3[[#This Row],[zScore]],Table3[zScore])</f>
        <v>457</v>
      </c>
      <c r="BD725" s="45"/>
      <c r="BE725" s="45"/>
      <c r="BF725" s="45" t="str">
        <f t="shared" si="92"/>
        <v>Unlikely</v>
      </c>
      <c r="BG725" s="45"/>
      <c r="BH725" s="45" t="str">
        <f>INDEX(Table5[[#All],[Ovr]],MATCH(Table3[[#This Row],[PID]],Table5[[#All],[PID]],0))</f>
        <v/>
      </c>
      <c r="BI725" s="45" t="str">
        <f>INDEX(Table5[[#All],[Rnd]],MATCH(Table3[[#This Row],[PID]],Table5[[#All],[PID]],0))</f>
        <v/>
      </c>
      <c r="BJ725" s="45" t="str">
        <f>INDEX(Table5[[#All],[Pick]],MATCH(Table3[[#This Row],[PID]],Table5[[#All],[PID]],0))</f>
        <v/>
      </c>
      <c r="BK725" s="45" t="str">
        <f>INDEX(Table5[[#All],[Team]],MATCH(Table3[[#This Row],[PID]],Table5[[#All],[PID]],0))</f>
        <v/>
      </c>
      <c r="BL72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6" spans="1:64" ht="30" x14ac:dyDescent="0.25">
      <c r="A726" s="40">
        <v>13238</v>
      </c>
      <c r="B726" s="40" t="s">
        <v>24</v>
      </c>
      <c r="C726" s="40" t="s">
        <v>1028</v>
      </c>
      <c r="D726" s="40" t="s">
        <v>1029</v>
      </c>
      <c r="E726" s="40">
        <v>22</v>
      </c>
      <c r="F726" s="40" t="s">
        <v>42</v>
      </c>
      <c r="G726" s="40" t="s">
        <v>42</v>
      </c>
      <c r="H726" s="41" t="s">
        <v>647</v>
      </c>
      <c r="I726" s="42" t="s">
        <v>43</v>
      </c>
      <c r="J726" s="40" t="s">
        <v>44</v>
      </c>
      <c r="K726" s="41" t="s">
        <v>43</v>
      </c>
      <c r="L726" s="40">
        <v>2</v>
      </c>
      <c r="M726" s="40">
        <v>1</v>
      </c>
      <c r="N726" s="41">
        <v>2</v>
      </c>
      <c r="O726" s="40">
        <v>4</v>
      </c>
      <c r="P726" s="40">
        <v>2</v>
      </c>
      <c r="Q726" s="41">
        <v>3</v>
      </c>
      <c r="R726" s="40">
        <v>4</v>
      </c>
      <c r="S726" s="40">
        <v>5</v>
      </c>
      <c r="T726" s="40" t="s">
        <v>45</v>
      </c>
      <c r="U726" s="40" t="s">
        <v>45</v>
      </c>
      <c r="V726" s="40">
        <v>2</v>
      </c>
      <c r="W726" s="40">
        <v>6</v>
      </c>
      <c r="X726" s="40">
        <v>2</v>
      </c>
      <c r="Y726" s="40">
        <v>6</v>
      </c>
      <c r="Z726" s="40" t="s">
        <v>45</v>
      </c>
      <c r="AA726" s="40" t="s">
        <v>45</v>
      </c>
      <c r="AB726" s="40" t="s">
        <v>45</v>
      </c>
      <c r="AC726" s="40" t="s">
        <v>45</v>
      </c>
      <c r="AD726" s="40" t="s">
        <v>45</v>
      </c>
      <c r="AE726" s="40" t="s">
        <v>45</v>
      </c>
      <c r="AF726" s="40" t="s">
        <v>45</v>
      </c>
      <c r="AG726" s="40" t="s">
        <v>45</v>
      </c>
      <c r="AH726" s="40" t="s">
        <v>45</v>
      </c>
      <c r="AI726" s="40" t="s">
        <v>45</v>
      </c>
      <c r="AJ726" s="40" t="s">
        <v>45</v>
      </c>
      <c r="AK726" s="40" t="s">
        <v>45</v>
      </c>
      <c r="AL726" s="40" t="s">
        <v>45</v>
      </c>
      <c r="AM726" s="40" t="s">
        <v>45</v>
      </c>
      <c r="AN726" s="40" t="s">
        <v>45</v>
      </c>
      <c r="AO726" s="41" t="s">
        <v>45</v>
      </c>
      <c r="AP726" s="40" t="s">
        <v>68</v>
      </c>
      <c r="AQ726" s="40">
        <v>6</v>
      </c>
      <c r="AR726" s="48" t="s">
        <v>14</v>
      </c>
      <c r="AS726" s="43" t="s">
        <v>45</v>
      </c>
      <c r="AT726" s="43"/>
      <c r="AU726" s="44">
        <f t="shared" si="87"/>
        <v>-2.2644723474043147</v>
      </c>
      <c r="AV726" s="44">
        <f t="shared" si="88"/>
        <v>-0.99184266516472974</v>
      </c>
      <c r="AW726" s="45">
        <f t="shared" si="89"/>
        <v>3</v>
      </c>
      <c r="AX726" s="45">
        <f t="shared" si="90"/>
        <v>2</v>
      </c>
      <c r="AY726" s="46">
        <f>VLOOKUP(AP726,COND!$A$10:$B$32,2,FALSE)</f>
        <v>0.95</v>
      </c>
      <c r="AZ726" s="44">
        <f>($AU$3*AU726+$AV$3*AV726+$AW$3*AW726+$AX$3*AX726)*AY726*IF(AQ726&lt;5,0.95,IF(AQ726&lt;7,0.975,1))+$I$3*VLOOKUP(I726,COND!$A$2:$E$7,4,FALSE)+$J$3*VLOOKUP(J726,COND!$A$2:$E$7,2,FALSE)+$K$3*VLOOKUP(K726,COND!$A$2:$E$7,3,FALSE)+IF(BB726="SP",$BB$3,0)+IF($AW726&lt;3,-5,0)+IF(AND($B$2&gt;0,$E726&lt;20),$B$2*25,0)</f>
        <v>31.611621125466733</v>
      </c>
      <c r="BA726" s="47">
        <f>STANDARDIZE(AZ726,AVERAGE($AZ$5:$AZ$788),STDEVP($AZ$5:$AZ$788))</f>
        <v>-0.37395879527390313</v>
      </c>
      <c r="BB726" s="45" t="str">
        <f t="shared" si="91"/>
        <v>SP</v>
      </c>
      <c r="BC726" s="45">
        <f>RANK(Table3[[#This Row],[zScore]],Table3[zScore])</f>
        <v>463</v>
      </c>
      <c r="BD726" s="45"/>
      <c r="BE726" s="45"/>
      <c r="BF726" s="45" t="str">
        <f t="shared" si="92"/>
        <v>Unlikely</v>
      </c>
      <c r="BG726" s="45"/>
      <c r="BH726" s="64" t="str">
        <f>INDEX(Table5[[#All],[Ovr]],MATCH(Table3[[#This Row],[PID]],Table5[[#All],[PID]],0))</f>
        <v/>
      </c>
      <c r="BI726" s="64" t="str">
        <f>INDEX(Table5[[#All],[Rnd]],MATCH(Table3[[#This Row],[PID]],Table5[[#All],[PID]],0))</f>
        <v/>
      </c>
      <c r="BJ726" s="64" t="str">
        <f>INDEX(Table5[[#All],[Pick]],MATCH(Table3[[#This Row],[PID]],Table5[[#All],[PID]],0))</f>
        <v/>
      </c>
      <c r="BK726" s="64" t="str">
        <f>INDEX(Table5[[#All],[Team]],MATCH(Table3[[#This Row],[PID]],Table5[[#All],[PID]],0))</f>
        <v/>
      </c>
      <c r="BL726" s="64" t="str">
        <f>IF(OR(Table3[[#This Row],[POS]]="SP",Table3[[#This Row],[POS]]="RP",Table3[[#This Row],[POS]]="CL"),"P",INDEX(Batters[[#All],[zScore]],MATCH(Table3[[#This Row],[PID]],Batters[[#All],[PID]],0)))</f>
        <v>P</v>
      </c>
    </row>
    <row r="727" spans="1:64" ht="30" x14ac:dyDescent="0.25">
      <c r="A727" s="40">
        <v>20925</v>
      </c>
      <c r="B727" s="40" t="s">
        <v>24</v>
      </c>
      <c r="C727" s="40" t="s">
        <v>364</v>
      </c>
      <c r="D727" s="40" t="s">
        <v>291</v>
      </c>
      <c r="E727" s="40">
        <v>16</v>
      </c>
      <c r="F727" s="40" t="s">
        <v>53</v>
      </c>
      <c r="G727" s="40" t="s">
        <v>53</v>
      </c>
      <c r="H727" s="41" t="s">
        <v>647</v>
      </c>
      <c r="I727" s="42" t="s">
        <v>43</v>
      </c>
      <c r="J727" s="40" t="s">
        <v>43</v>
      </c>
      <c r="K727" s="41" t="s">
        <v>43</v>
      </c>
      <c r="L727" s="40">
        <v>1</v>
      </c>
      <c r="M727" s="40">
        <v>1</v>
      </c>
      <c r="N727" s="41">
        <v>1</v>
      </c>
      <c r="O727" s="40">
        <v>3</v>
      </c>
      <c r="P727" s="40">
        <v>1</v>
      </c>
      <c r="Q727" s="41">
        <v>3</v>
      </c>
      <c r="R727" s="40">
        <v>2</v>
      </c>
      <c r="S727" s="40">
        <v>4</v>
      </c>
      <c r="T727" s="40" t="s">
        <v>45</v>
      </c>
      <c r="U727" s="40" t="s">
        <v>45</v>
      </c>
      <c r="V727" s="40">
        <v>2</v>
      </c>
      <c r="W727" s="40">
        <v>6</v>
      </c>
      <c r="X727" s="40" t="s">
        <v>45</v>
      </c>
      <c r="Y727" s="40" t="s">
        <v>45</v>
      </c>
      <c r="Z727" s="40" t="s">
        <v>45</v>
      </c>
      <c r="AA727" s="40" t="s">
        <v>45</v>
      </c>
      <c r="AB727" s="40" t="s">
        <v>45</v>
      </c>
      <c r="AC727" s="40" t="s">
        <v>45</v>
      </c>
      <c r="AD727" s="40" t="s">
        <v>45</v>
      </c>
      <c r="AE727" s="40" t="s">
        <v>45</v>
      </c>
      <c r="AF727" s="40" t="s">
        <v>45</v>
      </c>
      <c r="AG727" s="40" t="s">
        <v>45</v>
      </c>
      <c r="AH727" s="40">
        <v>2</v>
      </c>
      <c r="AI727" s="40">
        <v>8</v>
      </c>
      <c r="AJ727" s="40" t="s">
        <v>45</v>
      </c>
      <c r="AK727" s="40" t="s">
        <v>45</v>
      </c>
      <c r="AL727" s="40" t="s">
        <v>45</v>
      </c>
      <c r="AM727" s="40" t="s">
        <v>45</v>
      </c>
      <c r="AN727" s="40" t="s">
        <v>45</v>
      </c>
      <c r="AO727" s="41" t="s">
        <v>45</v>
      </c>
      <c r="AP727" s="40" t="s">
        <v>70</v>
      </c>
      <c r="AQ727" s="40">
        <v>8</v>
      </c>
      <c r="AR727" s="48" t="s">
        <v>14</v>
      </c>
      <c r="AS727" s="43" t="s">
        <v>654</v>
      </c>
      <c r="AT727" s="43" t="s">
        <v>47</v>
      </c>
      <c r="AU727" s="44">
        <f t="shared" si="87"/>
        <v>-2.7014842379675978</v>
      </c>
      <c r="AV727" s="44">
        <f t="shared" si="88"/>
        <v>-1.3819657061039585</v>
      </c>
      <c r="AW727" s="45">
        <f t="shared" si="89"/>
        <v>3</v>
      </c>
      <c r="AX727" s="45">
        <f t="shared" si="90"/>
        <v>2</v>
      </c>
      <c r="AY727" s="46">
        <f>VLOOKUP(AP727,COND!$A$10:$B$32,2,FALSE)</f>
        <v>0.9</v>
      </c>
      <c r="AZ727" s="44">
        <f>($AU$3*AU727+$AV$3*AV727+$AW$3*AW727+$AX$3*AX727)*AY727*IF(AQ727&lt;5,0.95,IF(AQ727&lt;7,0.975,1))+$I$3*VLOOKUP(I727,COND!$A$2:$E$7,4,FALSE)+$J$3*VLOOKUP(J727,COND!$A$2:$E$7,2,FALSE)+$K$3*VLOOKUP(K727,COND!$A$2:$E$7,3,FALSE)+IF(BB727="SP",$BB$3,0)+IF($AW727&lt;3,-5,0)+IF(AND($B$2&gt;0,$E727&lt;20),$B$2*25,0)</f>
        <v>30.238350127294577</v>
      </c>
      <c r="BA727" s="47">
        <f>STANDARDIZE(AZ727,AVERAGE($AZ$5:$AZ$557),STDEVP($AZ$5:$AZ$557))</f>
        <v>-0.37470005709412396</v>
      </c>
      <c r="BB727" s="45" t="str">
        <f t="shared" si="91"/>
        <v>SP</v>
      </c>
      <c r="BC727" s="45">
        <f>RANK(Table3[[#This Row],[zScore]],Table3[zScore])</f>
        <v>465</v>
      </c>
      <c r="BD727" s="45"/>
      <c r="BE727" s="45"/>
      <c r="BF727" s="45" t="str">
        <f t="shared" si="92"/>
        <v>Unlikely</v>
      </c>
      <c r="BG727" s="45"/>
      <c r="BH727" s="45" t="str">
        <f>INDEX(Table5[[#All],[Ovr]],MATCH(Table3[[#This Row],[PID]],Table5[[#All],[PID]],0))</f>
        <v/>
      </c>
      <c r="BI727" s="45" t="str">
        <f>INDEX(Table5[[#All],[Rnd]],MATCH(Table3[[#This Row],[PID]],Table5[[#All],[PID]],0))</f>
        <v/>
      </c>
      <c r="BJ727" s="45" t="str">
        <f>INDEX(Table5[[#All],[Pick]],MATCH(Table3[[#This Row],[PID]],Table5[[#All],[PID]],0))</f>
        <v/>
      </c>
      <c r="BK727" s="45" t="str">
        <f>INDEX(Table5[[#All],[Team]],MATCH(Table3[[#This Row],[PID]],Table5[[#All],[PID]],0))</f>
        <v/>
      </c>
      <c r="BL72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8" spans="1:64" ht="30" x14ac:dyDescent="0.25">
      <c r="A728" s="40">
        <v>17967</v>
      </c>
      <c r="B728" s="40" t="s">
        <v>24</v>
      </c>
      <c r="C728" s="40" t="s">
        <v>426</v>
      </c>
      <c r="D728" s="40" t="s">
        <v>661</v>
      </c>
      <c r="E728" s="40">
        <v>21</v>
      </c>
      <c r="F728" s="40" t="s">
        <v>53</v>
      </c>
      <c r="G728" s="40" t="s">
        <v>53</v>
      </c>
      <c r="H728" s="41" t="s">
        <v>647</v>
      </c>
      <c r="I728" s="42" t="s">
        <v>43</v>
      </c>
      <c r="J728" s="40" t="s">
        <v>43</v>
      </c>
      <c r="K728" s="41" t="s">
        <v>43</v>
      </c>
      <c r="L728" s="40">
        <v>2</v>
      </c>
      <c r="M728" s="40">
        <v>2</v>
      </c>
      <c r="N728" s="41">
        <v>2</v>
      </c>
      <c r="O728" s="40">
        <v>4</v>
      </c>
      <c r="P728" s="40">
        <v>2</v>
      </c>
      <c r="Q728" s="41">
        <v>3</v>
      </c>
      <c r="R728" s="40" t="s">
        <v>45</v>
      </c>
      <c r="S728" s="40" t="s">
        <v>45</v>
      </c>
      <c r="T728" s="40">
        <v>1</v>
      </c>
      <c r="U728" s="40">
        <v>5</v>
      </c>
      <c r="V728" s="40">
        <v>2</v>
      </c>
      <c r="W728" s="40">
        <v>2</v>
      </c>
      <c r="X728" s="40">
        <v>2</v>
      </c>
      <c r="Y728" s="40">
        <v>5</v>
      </c>
      <c r="Z728" s="40" t="s">
        <v>45</v>
      </c>
      <c r="AA728" s="40" t="s">
        <v>45</v>
      </c>
      <c r="AB728" s="40" t="s">
        <v>45</v>
      </c>
      <c r="AC728" s="40" t="s">
        <v>45</v>
      </c>
      <c r="AD728" s="40">
        <v>3</v>
      </c>
      <c r="AE728" s="40">
        <v>5</v>
      </c>
      <c r="AF728" s="40">
        <v>3</v>
      </c>
      <c r="AG728" s="40">
        <v>5</v>
      </c>
      <c r="AH728" s="40">
        <v>2</v>
      </c>
      <c r="AI728" s="40">
        <v>5</v>
      </c>
      <c r="AJ728" s="40" t="s">
        <v>45</v>
      </c>
      <c r="AK728" s="40" t="s">
        <v>45</v>
      </c>
      <c r="AL728" s="40" t="s">
        <v>45</v>
      </c>
      <c r="AM728" s="40" t="s">
        <v>45</v>
      </c>
      <c r="AN728" s="40" t="s">
        <v>45</v>
      </c>
      <c r="AO728" s="41" t="s">
        <v>45</v>
      </c>
      <c r="AP728" s="40" t="s">
        <v>56</v>
      </c>
      <c r="AQ728" s="40">
        <v>8</v>
      </c>
      <c r="AR728" s="48" t="s">
        <v>347</v>
      </c>
      <c r="AS728" s="43" t="s">
        <v>45</v>
      </c>
      <c r="AT728" s="43" t="s">
        <v>635</v>
      </c>
      <c r="AU728" s="44">
        <f t="shared" si="87"/>
        <v>-2.0690406309742588</v>
      </c>
      <c r="AV728" s="44">
        <f t="shared" si="88"/>
        <v>-0.99184266516472974</v>
      </c>
      <c r="AW728" s="45">
        <f t="shared" si="89"/>
        <v>6</v>
      </c>
      <c r="AX728" s="45">
        <f t="shared" si="90"/>
        <v>0</v>
      </c>
      <c r="AY728" s="46">
        <f>VLOOKUP(AP728,COND!$A$10:$B$32,2,FALSE)</f>
        <v>1</v>
      </c>
      <c r="AZ728" s="44">
        <f>($AU$3*AU728+$AV$3*AV728+$AW$3*AW728+$AX$3*AX728)*AY728*IF(AQ728&lt;5,0.95,IF(AQ728&lt;7,0.975,1))+$I$3*VLOOKUP(I728,COND!$A$2:$E$7,4,FALSE)+$J$3*VLOOKUP(J728,COND!$A$2:$E$7,2,FALSE)+$K$3*VLOOKUP(K728,COND!$A$2:$E$7,3,FALSE)+IF(BB728="SP",$BB$3,0)+IF($AW728&lt;3,-5,0)+IF(AND($B$2&gt;0,$E728&lt;20),$B$2*25,0)</f>
        <v>29.749338570510552</v>
      </c>
      <c r="BA728" s="47">
        <f>STANDARDIZE(AZ728,AVERAGE($AZ$5:$AZ$557),STDEVP($AZ$5:$AZ$557))</f>
        <v>-0.40723324870408134</v>
      </c>
      <c r="BB728" s="45" t="str">
        <f t="shared" si="91"/>
        <v>SP</v>
      </c>
      <c r="BC728" s="45">
        <f>RANK(Table3[[#This Row],[zScore]],Table3[zScore])</f>
        <v>473</v>
      </c>
      <c r="BD728" s="45"/>
      <c r="BE728" s="45"/>
      <c r="BF728" s="45" t="str">
        <f t="shared" si="92"/>
        <v>Unlikely</v>
      </c>
      <c r="BG728" s="45"/>
      <c r="BH728" s="45">
        <f>INDEX(Table5[[#All],[Ovr]],MATCH(Table3[[#This Row],[PID]],Table5[[#All],[PID]],0))</f>
        <v>583</v>
      </c>
      <c r="BI728" s="45" t="str">
        <f>INDEX(Table5[[#All],[Rnd]],MATCH(Table3[[#This Row],[PID]],Table5[[#All],[PID]],0))</f>
        <v>20</v>
      </c>
      <c r="BJ728" s="45">
        <f>INDEX(Table5[[#All],[Pick]],MATCH(Table3[[#This Row],[PID]],Table5[[#All],[PID]],0))</f>
        <v>5</v>
      </c>
      <c r="BK728" s="45" t="str">
        <f>INDEX(Table5[[#All],[Team]],MATCH(Table3[[#This Row],[PID]],Table5[[#All],[PID]],0))</f>
        <v>Okinawa Shisa</v>
      </c>
      <c r="BL72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29" spans="1:64" ht="30" x14ac:dyDescent="0.25">
      <c r="A729" s="40">
        <v>18165</v>
      </c>
      <c r="B729" s="40" t="s">
        <v>24</v>
      </c>
      <c r="C729" s="40" t="s">
        <v>370</v>
      </c>
      <c r="D729" s="40" t="s">
        <v>1996</v>
      </c>
      <c r="E729" s="40">
        <v>21</v>
      </c>
      <c r="F729" s="40" t="s">
        <v>53</v>
      </c>
      <c r="G729" s="40" t="s">
        <v>53</v>
      </c>
      <c r="H729" s="41" t="s">
        <v>647</v>
      </c>
      <c r="I729" s="42" t="s">
        <v>43</v>
      </c>
      <c r="J729" s="40" t="s">
        <v>44</v>
      </c>
      <c r="K729" s="41" t="s">
        <v>43</v>
      </c>
      <c r="L729" s="40">
        <v>2</v>
      </c>
      <c r="M729" s="40">
        <v>2</v>
      </c>
      <c r="N729" s="41">
        <v>1</v>
      </c>
      <c r="O729" s="40">
        <v>4</v>
      </c>
      <c r="P729" s="40">
        <v>2</v>
      </c>
      <c r="Q729" s="41">
        <v>3</v>
      </c>
      <c r="R729" s="40">
        <v>4</v>
      </c>
      <c r="S729" s="40">
        <v>5</v>
      </c>
      <c r="T729" s="40">
        <v>1</v>
      </c>
      <c r="U729" s="40">
        <v>6</v>
      </c>
      <c r="V729" s="40" t="s">
        <v>45</v>
      </c>
      <c r="W729" s="40" t="s">
        <v>45</v>
      </c>
      <c r="X729" s="40" t="s">
        <v>45</v>
      </c>
      <c r="Y729" s="40" t="s">
        <v>45</v>
      </c>
      <c r="Z729" s="40" t="s">
        <v>45</v>
      </c>
      <c r="AA729" s="40" t="s">
        <v>45</v>
      </c>
      <c r="AB729" s="40" t="s">
        <v>45</v>
      </c>
      <c r="AC729" s="40" t="s">
        <v>45</v>
      </c>
      <c r="AD729" s="40">
        <v>4</v>
      </c>
      <c r="AE729" s="40">
        <v>5</v>
      </c>
      <c r="AF729" s="40" t="s">
        <v>45</v>
      </c>
      <c r="AG729" s="40" t="s">
        <v>45</v>
      </c>
      <c r="AH729" s="40" t="s">
        <v>45</v>
      </c>
      <c r="AI729" s="40" t="s">
        <v>45</v>
      </c>
      <c r="AJ729" s="40" t="s">
        <v>45</v>
      </c>
      <c r="AK729" s="40" t="s">
        <v>45</v>
      </c>
      <c r="AL729" s="40" t="s">
        <v>45</v>
      </c>
      <c r="AM729" s="40" t="s">
        <v>45</v>
      </c>
      <c r="AN729" s="40" t="s">
        <v>45</v>
      </c>
      <c r="AO729" s="41" t="s">
        <v>45</v>
      </c>
      <c r="AP729" s="40" t="s">
        <v>349</v>
      </c>
      <c r="AQ729" s="40">
        <v>5</v>
      </c>
      <c r="AR729" s="48" t="s">
        <v>347</v>
      </c>
      <c r="AS729" s="43" t="s">
        <v>45</v>
      </c>
      <c r="AT729" s="43" t="s">
        <v>635</v>
      </c>
      <c r="AU729" s="44">
        <f t="shared" si="87"/>
        <v>-2.311361197028369</v>
      </c>
      <c r="AV729" s="44">
        <f t="shared" si="88"/>
        <v>-0.99184266516472974</v>
      </c>
      <c r="AW729" s="45">
        <f t="shared" si="89"/>
        <v>3</v>
      </c>
      <c r="AX729" s="45">
        <f t="shared" si="90"/>
        <v>1</v>
      </c>
      <c r="AY729" s="46">
        <f>VLOOKUP(AP729,COND!$A$10:$B$32,2,FALSE)</f>
        <v>1</v>
      </c>
      <c r="AZ729" s="44">
        <f>($AU$3*AU729+$AV$3*AV729+$AW$3*AW729+$AX$3*AX729)*AY729*IF(AQ729&lt;5,0.95,IF(AQ729&lt;7,0.975,1))+$I$3*VLOOKUP(I729,COND!$A$2:$E$7,4,FALSE)+$J$3*VLOOKUP(J729,COND!$A$2:$E$7,2,FALSE)+$K$3*VLOOKUP(K729,COND!$A$2:$E$7,3,FALSE)+IF(BB729="SP",$BB$3,0)+IF($AW729&lt;3,-5,0)+IF(AND($B$2&gt;0,$E729&lt;20),$B$2*25,0)</f>
        <v>29.589602595867238</v>
      </c>
      <c r="BA729" s="47">
        <f>STANDARDIZE(AZ729,AVERAGE($AZ$5:$AZ$557),STDEVP($AZ$5:$AZ$557))</f>
        <v>-0.41786023900314578</v>
      </c>
      <c r="BB729" s="45" t="str">
        <f t="shared" si="91"/>
        <v>SP</v>
      </c>
      <c r="BC729" s="45">
        <f>RANK(Table3[[#This Row],[zScore]],Table3[zScore])</f>
        <v>478</v>
      </c>
      <c r="BD729" s="45"/>
      <c r="BE729" s="45"/>
      <c r="BF729" s="45" t="str">
        <f t="shared" si="92"/>
        <v>Unlikely</v>
      </c>
      <c r="BG729" s="45"/>
      <c r="BH729" s="45" t="str">
        <f>INDEX(Table5[[#All],[Ovr]],MATCH(Table3[[#This Row],[PID]],Table5[[#All],[PID]],0))</f>
        <v/>
      </c>
      <c r="BI729" s="45" t="str">
        <f>INDEX(Table5[[#All],[Rnd]],MATCH(Table3[[#This Row],[PID]],Table5[[#All],[PID]],0))</f>
        <v/>
      </c>
      <c r="BJ729" s="45" t="str">
        <f>INDEX(Table5[[#All],[Pick]],MATCH(Table3[[#This Row],[PID]],Table5[[#All],[PID]],0))</f>
        <v/>
      </c>
      <c r="BK729" s="45" t="str">
        <f>INDEX(Table5[[#All],[Team]],MATCH(Table3[[#This Row],[PID]],Table5[[#All],[PID]],0))</f>
        <v/>
      </c>
      <c r="BL72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0" spans="1:64" ht="30" x14ac:dyDescent="0.25">
      <c r="A730" s="40">
        <v>20729</v>
      </c>
      <c r="B730" s="40" t="s">
        <v>24</v>
      </c>
      <c r="C730" s="40" t="s">
        <v>1134</v>
      </c>
      <c r="D730" s="40" t="s">
        <v>779</v>
      </c>
      <c r="E730" s="40">
        <v>18</v>
      </c>
      <c r="F730" s="40" t="s">
        <v>42</v>
      </c>
      <c r="G730" s="40" t="s">
        <v>42</v>
      </c>
      <c r="H730" s="41" t="s">
        <v>647</v>
      </c>
      <c r="I730" s="42" t="s">
        <v>43</v>
      </c>
      <c r="J730" s="40" t="s">
        <v>47</v>
      </c>
      <c r="K730" s="41" t="s">
        <v>43</v>
      </c>
      <c r="L730" s="40">
        <v>1</v>
      </c>
      <c r="M730" s="40">
        <v>1</v>
      </c>
      <c r="N730" s="41">
        <v>1</v>
      </c>
      <c r="O730" s="40">
        <v>4</v>
      </c>
      <c r="P730" s="40">
        <v>2</v>
      </c>
      <c r="Q730" s="41">
        <v>2</v>
      </c>
      <c r="R730" s="40">
        <v>3</v>
      </c>
      <c r="S730" s="40">
        <v>4</v>
      </c>
      <c r="T730" s="40" t="s">
        <v>45</v>
      </c>
      <c r="U730" s="40" t="s">
        <v>45</v>
      </c>
      <c r="V730" s="40">
        <v>2</v>
      </c>
      <c r="W730" s="40">
        <v>6</v>
      </c>
      <c r="X730" s="40" t="s">
        <v>45</v>
      </c>
      <c r="Y730" s="40" t="s">
        <v>45</v>
      </c>
      <c r="Z730" s="40" t="s">
        <v>45</v>
      </c>
      <c r="AA730" s="40" t="s">
        <v>45</v>
      </c>
      <c r="AB730" s="40" t="s">
        <v>45</v>
      </c>
      <c r="AC730" s="40" t="s">
        <v>45</v>
      </c>
      <c r="AD730" s="40" t="s">
        <v>45</v>
      </c>
      <c r="AE730" s="40" t="s">
        <v>45</v>
      </c>
      <c r="AF730" s="40" t="s">
        <v>45</v>
      </c>
      <c r="AG730" s="40" t="s">
        <v>45</v>
      </c>
      <c r="AH730" s="40">
        <v>1</v>
      </c>
      <c r="AI730" s="40">
        <v>6</v>
      </c>
      <c r="AJ730" s="40" t="s">
        <v>45</v>
      </c>
      <c r="AK730" s="40" t="s">
        <v>45</v>
      </c>
      <c r="AL730" s="40" t="s">
        <v>45</v>
      </c>
      <c r="AM730" s="40" t="s">
        <v>45</v>
      </c>
      <c r="AN730" s="40" t="s">
        <v>45</v>
      </c>
      <c r="AO730" s="41" t="s">
        <v>45</v>
      </c>
      <c r="AP730" s="40" t="s">
        <v>64</v>
      </c>
      <c r="AQ730" s="40">
        <v>6</v>
      </c>
      <c r="AR730" s="48" t="s">
        <v>14</v>
      </c>
      <c r="AS730" s="43" t="s">
        <v>644</v>
      </c>
      <c r="AT730" s="43" t="s">
        <v>635</v>
      </c>
      <c r="AU730" s="44">
        <f t="shared" si="87"/>
        <v>-2.7014842379675978</v>
      </c>
      <c r="AV730" s="44">
        <f t="shared" si="88"/>
        <v>-1.23416323121884</v>
      </c>
      <c r="AW730" s="45">
        <f t="shared" si="89"/>
        <v>3</v>
      </c>
      <c r="AX730" s="45">
        <f t="shared" si="90"/>
        <v>2</v>
      </c>
      <c r="AY730" s="46">
        <f>VLOOKUP(AP730,COND!$A$10:$B$32,2,FALSE)</f>
        <v>1</v>
      </c>
      <c r="AZ730" s="44">
        <f>($AU$3*AU730+$AV$3*AV730+$AW$3*AW730+$AX$3*AX730)*AY730*IF(AQ730&lt;5,0.95,IF(AQ730&lt;7,0.975,1))+$I$3*VLOOKUP(I730,COND!$A$2:$E$7,4,FALSE)+$J$3*VLOOKUP(J730,COND!$A$2:$E$7,2,FALSE)+$K$3*VLOOKUP(K730,COND!$A$2:$E$7,3,FALSE)+IF(BB730="SP",$BB$3,0)+IF($AW730&lt;3,-5,0)+IF(AND($B$2&gt;0,$E730&lt;20),$B$2*25,0)</f>
        <v>31.60702756482894</v>
      </c>
      <c r="BA730" s="47">
        <f>STANDARDIZE(AZ730,AVERAGE($AZ$5:$AZ$663),STDEVP($AZ$5:$AZ$663))</f>
        <v>-0.42447546402924746</v>
      </c>
      <c r="BB730" s="45" t="str">
        <f t="shared" si="91"/>
        <v>SP</v>
      </c>
      <c r="BC730" s="45">
        <f>RANK(Table3[[#This Row],[zScore]],Table3[zScore])</f>
        <v>483</v>
      </c>
      <c r="BD730" s="45"/>
      <c r="BE730" s="45"/>
      <c r="BF730" s="45" t="str">
        <f t="shared" si="92"/>
        <v>Unlikely</v>
      </c>
      <c r="BG730" s="45"/>
      <c r="BH730" s="45" t="str">
        <f>INDEX(Table5[[#All],[Ovr]],MATCH(Table3[[#This Row],[PID]],Table5[[#All],[PID]],0))</f>
        <v/>
      </c>
      <c r="BI730" s="45" t="str">
        <f>INDEX(Table5[[#All],[Rnd]],MATCH(Table3[[#This Row],[PID]],Table5[[#All],[PID]],0))</f>
        <v/>
      </c>
      <c r="BJ730" s="45" t="str">
        <f>INDEX(Table5[[#All],[Pick]],MATCH(Table3[[#This Row],[PID]],Table5[[#All],[PID]],0))</f>
        <v/>
      </c>
      <c r="BK730" s="45" t="str">
        <f>INDEX(Table5[[#All],[Team]],MATCH(Table3[[#This Row],[PID]],Table5[[#All],[PID]],0))</f>
        <v/>
      </c>
      <c r="BL73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1" spans="1:64" ht="30" x14ac:dyDescent="0.25">
      <c r="A731" s="40">
        <v>20324</v>
      </c>
      <c r="B731" s="40" t="s">
        <v>24</v>
      </c>
      <c r="C731" s="40" t="s">
        <v>2113</v>
      </c>
      <c r="D731" s="40" t="s">
        <v>1320</v>
      </c>
      <c r="E731" s="40">
        <v>19</v>
      </c>
      <c r="F731" s="40" t="s">
        <v>62</v>
      </c>
      <c r="G731" s="40" t="s">
        <v>42</v>
      </c>
      <c r="H731" s="41" t="s">
        <v>647</v>
      </c>
      <c r="I731" s="42" t="s">
        <v>44</v>
      </c>
      <c r="J731" s="40" t="s">
        <v>44</v>
      </c>
      <c r="K731" s="41" t="s">
        <v>43</v>
      </c>
      <c r="L731" s="40">
        <v>2</v>
      </c>
      <c r="M731" s="40">
        <v>1</v>
      </c>
      <c r="N731" s="41">
        <v>1</v>
      </c>
      <c r="O731" s="40">
        <v>4</v>
      </c>
      <c r="P731" s="40">
        <v>1</v>
      </c>
      <c r="Q731" s="41">
        <v>3</v>
      </c>
      <c r="R731" s="40">
        <v>4</v>
      </c>
      <c r="S731" s="40">
        <v>5</v>
      </c>
      <c r="T731" s="40">
        <v>1</v>
      </c>
      <c r="U731" s="40">
        <v>5</v>
      </c>
      <c r="V731" s="40" t="s">
        <v>45</v>
      </c>
      <c r="W731" s="40" t="s">
        <v>45</v>
      </c>
      <c r="X731" s="40">
        <v>2</v>
      </c>
      <c r="Y731" s="40">
        <v>2</v>
      </c>
      <c r="Z731" s="40" t="s">
        <v>45</v>
      </c>
      <c r="AA731" s="40" t="s">
        <v>45</v>
      </c>
      <c r="AB731" s="40">
        <v>3</v>
      </c>
      <c r="AC731" s="40">
        <v>5</v>
      </c>
      <c r="AD731" s="40" t="s">
        <v>45</v>
      </c>
      <c r="AE731" s="40" t="s">
        <v>45</v>
      </c>
      <c r="AF731" s="40" t="s">
        <v>45</v>
      </c>
      <c r="AG731" s="40" t="s">
        <v>45</v>
      </c>
      <c r="AH731" s="40" t="s">
        <v>45</v>
      </c>
      <c r="AI731" s="40" t="s">
        <v>45</v>
      </c>
      <c r="AJ731" s="40" t="s">
        <v>45</v>
      </c>
      <c r="AK731" s="40" t="s">
        <v>45</v>
      </c>
      <c r="AL731" s="40" t="s">
        <v>45</v>
      </c>
      <c r="AM731" s="40" t="s">
        <v>45</v>
      </c>
      <c r="AN731" s="40" t="s">
        <v>45</v>
      </c>
      <c r="AO731" s="41" t="s">
        <v>45</v>
      </c>
      <c r="AP731" s="40" t="s">
        <v>350</v>
      </c>
      <c r="AQ731" s="40">
        <v>8</v>
      </c>
      <c r="AR731" s="48" t="s">
        <v>14</v>
      </c>
      <c r="AS731" s="43" t="s">
        <v>657</v>
      </c>
      <c r="AT731" s="43" t="s">
        <v>47</v>
      </c>
      <c r="AU731" s="44">
        <f t="shared" si="87"/>
        <v>-2.5067929134584248</v>
      </c>
      <c r="AV731" s="44">
        <f t="shared" si="88"/>
        <v>-1.1872743815947853</v>
      </c>
      <c r="AW731" s="45">
        <f t="shared" si="89"/>
        <v>4</v>
      </c>
      <c r="AX731" s="45">
        <f t="shared" si="90"/>
        <v>0</v>
      </c>
      <c r="AY731" s="46">
        <f>VLOOKUP(AP731,COND!$A$10:$B$32,2,FALSE)</f>
        <v>1</v>
      </c>
      <c r="AZ731" s="44">
        <f>($AU$3*AU731+$AV$3*AV731+$AW$3*AW731+$AX$3*AX731)*AY731*IF(AQ731&lt;5,0.95,IF(AQ731&lt;7,0.975,1))+$I$3*VLOOKUP(I731,COND!$A$2:$E$7,4,FALSE)+$J$3*VLOOKUP(J731,COND!$A$2:$E$7,2,FALSE)+$K$3*VLOOKUP(K731,COND!$A$2:$E$7,3,FALSE)+IF(BB731="SP",$BB$3,0)+IF($AW731&lt;3,-5,0)+IF(AND($B$2&gt;0,$E731&lt;20),$B$2*25,0)</f>
        <v>29.303153785412604</v>
      </c>
      <c r="BA731" s="47">
        <f>STANDARDIZE(AZ731,AVERAGE($AZ$5:$AZ$557),STDEVP($AZ$5:$AZ$557))</f>
        <v>-0.43691724063773246</v>
      </c>
      <c r="BB731" s="45" t="str">
        <f t="shared" si="91"/>
        <v>SP</v>
      </c>
      <c r="BC731" s="45">
        <f>RANK(Table3[[#This Row],[zScore]],Table3[zScore])</f>
        <v>486</v>
      </c>
      <c r="BD731" s="45"/>
      <c r="BE731" s="45"/>
      <c r="BF731" s="45" t="str">
        <f t="shared" si="92"/>
        <v>Unlikely</v>
      </c>
      <c r="BG731" s="45"/>
      <c r="BH731" s="45" t="str">
        <f>INDEX(Table5[[#All],[Ovr]],MATCH(Table3[[#This Row],[PID]],Table5[[#All],[PID]],0))</f>
        <v/>
      </c>
      <c r="BI731" s="45" t="str">
        <f>INDEX(Table5[[#All],[Rnd]],MATCH(Table3[[#This Row],[PID]],Table5[[#All],[PID]],0))</f>
        <v/>
      </c>
      <c r="BJ731" s="45" t="str">
        <f>INDEX(Table5[[#All],[Pick]],MATCH(Table3[[#This Row],[PID]],Table5[[#All],[PID]],0))</f>
        <v/>
      </c>
      <c r="BK731" s="45" t="str">
        <f>INDEX(Table5[[#All],[Team]],MATCH(Table3[[#This Row],[PID]],Table5[[#All],[PID]],0))</f>
        <v/>
      </c>
      <c r="BL73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2" spans="1:64" ht="30" x14ac:dyDescent="0.25">
      <c r="A732" s="40">
        <v>21004</v>
      </c>
      <c r="B732" s="40" t="s">
        <v>24</v>
      </c>
      <c r="C732" s="40" t="s">
        <v>132</v>
      </c>
      <c r="D732" s="40" t="s">
        <v>2057</v>
      </c>
      <c r="E732" s="40">
        <v>18</v>
      </c>
      <c r="F732" s="40" t="s">
        <v>53</v>
      </c>
      <c r="G732" s="40" t="s">
        <v>53</v>
      </c>
      <c r="H732" s="41" t="s">
        <v>647</v>
      </c>
      <c r="I732" s="42" t="s">
        <v>43</v>
      </c>
      <c r="J732" s="40" t="s">
        <v>43</v>
      </c>
      <c r="K732" s="41" t="s">
        <v>43</v>
      </c>
      <c r="L732" s="40">
        <v>1</v>
      </c>
      <c r="M732" s="40">
        <v>2</v>
      </c>
      <c r="N732" s="41">
        <v>1</v>
      </c>
      <c r="O732" s="40">
        <v>3</v>
      </c>
      <c r="P732" s="40">
        <v>2</v>
      </c>
      <c r="Q732" s="41">
        <v>3</v>
      </c>
      <c r="R732" s="40">
        <v>3</v>
      </c>
      <c r="S732" s="40">
        <v>5</v>
      </c>
      <c r="T732" s="40" t="s">
        <v>45</v>
      </c>
      <c r="U732" s="40" t="s">
        <v>45</v>
      </c>
      <c r="V732" s="40">
        <v>1</v>
      </c>
      <c r="W732" s="40">
        <v>4</v>
      </c>
      <c r="X732" s="40">
        <v>2</v>
      </c>
      <c r="Y732" s="40">
        <v>4</v>
      </c>
      <c r="Z732" s="40" t="s">
        <v>45</v>
      </c>
      <c r="AA732" s="40" t="s">
        <v>45</v>
      </c>
      <c r="AB732" s="40" t="s">
        <v>45</v>
      </c>
      <c r="AC732" s="40" t="s">
        <v>45</v>
      </c>
      <c r="AD732" s="40" t="s">
        <v>45</v>
      </c>
      <c r="AE732" s="40" t="s">
        <v>45</v>
      </c>
      <c r="AF732" s="40" t="s">
        <v>45</v>
      </c>
      <c r="AG732" s="40" t="s">
        <v>45</v>
      </c>
      <c r="AH732" s="40" t="s">
        <v>45</v>
      </c>
      <c r="AI732" s="40" t="s">
        <v>45</v>
      </c>
      <c r="AJ732" s="40" t="s">
        <v>45</v>
      </c>
      <c r="AK732" s="40" t="s">
        <v>45</v>
      </c>
      <c r="AL732" s="40" t="s">
        <v>45</v>
      </c>
      <c r="AM732" s="40" t="s">
        <v>45</v>
      </c>
      <c r="AN732" s="40" t="s">
        <v>45</v>
      </c>
      <c r="AO732" s="41" t="s">
        <v>45</v>
      </c>
      <c r="AP732" s="40" t="s">
        <v>64</v>
      </c>
      <c r="AQ732" s="40">
        <v>10</v>
      </c>
      <c r="AR732" s="48" t="s">
        <v>347</v>
      </c>
      <c r="AS732" s="43" t="s">
        <v>659</v>
      </c>
      <c r="AT732" s="43" t="s">
        <v>635</v>
      </c>
      <c r="AU732" s="44">
        <f t="shared" si="87"/>
        <v>-2.5060525215375429</v>
      </c>
      <c r="AV732" s="44">
        <f t="shared" si="88"/>
        <v>-1.1865339896739031</v>
      </c>
      <c r="AW732" s="45">
        <f t="shared" si="89"/>
        <v>3</v>
      </c>
      <c r="AX732" s="45">
        <f t="shared" si="90"/>
        <v>0</v>
      </c>
      <c r="AY732" s="46">
        <f>VLOOKUP(AP732,COND!$A$10:$B$32,2,FALSE)</f>
        <v>1</v>
      </c>
      <c r="AZ732" s="44">
        <f>($AU$3*AU732+$AV$3*AV732+$AW$3*AW732+$AX$3*AX732)*AY732*IF(AQ732&lt;5,0.95,IF(AQ732&lt;7,0.975,1))+$I$3*VLOOKUP(I732,COND!$A$2:$E$7,4,FALSE)+$J$3*VLOOKUP(J732,COND!$A$2:$E$7,2,FALSE)+$K$3*VLOOKUP(K732,COND!$A$2:$E$7,3,FALSE)+IF(BB732="SP",$BB$3,0)+IF($AW732&lt;3,-5,0)+IF(AND($B$2&gt;0,$E732&lt;20),$B$2*25,0)</f>
        <v>29.268109702214431</v>
      </c>
      <c r="BA732" s="47">
        <f>STANDARDIZE(AZ732,AVERAGE($AZ$5:$AZ$557),STDEVP($AZ$5:$AZ$557))</f>
        <v>-0.4392486699417335</v>
      </c>
      <c r="BB732" s="45" t="str">
        <f t="shared" si="91"/>
        <v>SP</v>
      </c>
      <c r="BC732" s="45">
        <f>RANK(Table3[[#This Row],[zScore]],Table3[zScore])</f>
        <v>489</v>
      </c>
      <c r="BD732" s="45"/>
      <c r="BE732" s="45"/>
      <c r="BF732" s="45" t="str">
        <f t="shared" si="92"/>
        <v>Unlikely</v>
      </c>
      <c r="BG732" s="45"/>
      <c r="BH732" s="45" t="str">
        <f>INDEX(Table5[[#All],[Ovr]],MATCH(Table3[[#This Row],[PID]],Table5[[#All],[PID]],0))</f>
        <v/>
      </c>
      <c r="BI732" s="45" t="str">
        <f>INDEX(Table5[[#All],[Rnd]],MATCH(Table3[[#This Row],[PID]],Table5[[#All],[PID]],0))</f>
        <v/>
      </c>
      <c r="BJ732" s="45" t="str">
        <f>INDEX(Table5[[#All],[Pick]],MATCH(Table3[[#This Row],[PID]],Table5[[#All],[PID]],0))</f>
        <v/>
      </c>
      <c r="BK732" s="45" t="str">
        <f>INDEX(Table5[[#All],[Team]],MATCH(Table3[[#This Row],[PID]],Table5[[#All],[PID]],0))</f>
        <v/>
      </c>
      <c r="BL73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3" spans="1:64" ht="30" x14ac:dyDescent="0.25">
      <c r="A733" s="40">
        <v>17800</v>
      </c>
      <c r="B733" s="40" t="s">
        <v>24</v>
      </c>
      <c r="C733" s="40" t="s">
        <v>145</v>
      </c>
      <c r="D733" s="40" t="s">
        <v>2175</v>
      </c>
      <c r="E733" s="40">
        <v>21</v>
      </c>
      <c r="F733" s="40" t="s">
        <v>42</v>
      </c>
      <c r="G733" s="40" t="s">
        <v>42</v>
      </c>
      <c r="H733" s="41" t="s">
        <v>647</v>
      </c>
      <c r="I733" s="42" t="s">
        <v>43</v>
      </c>
      <c r="J733" s="40" t="s">
        <v>44</v>
      </c>
      <c r="K733" s="41" t="s">
        <v>47</v>
      </c>
      <c r="L733" s="40">
        <v>2</v>
      </c>
      <c r="M733" s="40">
        <v>1</v>
      </c>
      <c r="N733" s="41">
        <v>1</v>
      </c>
      <c r="O733" s="40">
        <v>4</v>
      </c>
      <c r="P733" s="40">
        <v>2</v>
      </c>
      <c r="Q733" s="41">
        <v>3</v>
      </c>
      <c r="R733" s="40">
        <v>4</v>
      </c>
      <c r="S733" s="40">
        <v>6</v>
      </c>
      <c r="T733" s="40">
        <v>1</v>
      </c>
      <c r="U733" s="40">
        <v>6</v>
      </c>
      <c r="V733" s="40">
        <v>2</v>
      </c>
      <c r="W733" s="40">
        <v>5</v>
      </c>
      <c r="X733" s="40" t="s">
        <v>45</v>
      </c>
      <c r="Y733" s="40" t="s">
        <v>45</v>
      </c>
      <c r="Z733" s="40" t="s">
        <v>45</v>
      </c>
      <c r="AA733" s="40" t="s">
        <v>45</v>
      </c>
      <c r="AB733" s="40" t="s">
        <v>45</v>
      </c>
      <c r="AC733" s="40" t="s">
        <v>45</v>
      </c>
      <c r="AD733" s="40" t="s">
        <v>45</v>
      </c>
      <c r="AE733" s="40" t="s">
        <v>45</v>
      </c>
      <c r="AF733" s="40" t="s">
        <v>45</v>
      </c>
      <c r="AG733" s="40" t="s">
        <v>45</v>
      </c>
      <c r="AH733" s="40" t="s">
        <v>45</v>
      </c>
      <c r="AI733" s="40" t="s">
        <v>45</v>
      </c>
      <c r="AJ733" s="40" t="s">
        <v>45</v>
      </c>
      <c r="AK733" s="40" t="s">
        <v>45</v>
      </c>
      <c r="AL733" s="40" t="s">
        <v>45</v>
      </c>
      <c r="AM733" s="40" t="s">
        <v>45</v>
      </c>
      <c r="AN733" s="40" t="s">
        <v>45</v>
      </c>
      <c r="AO733" s="41" t="s">
        <v>45</v>
      </c>
      <c r="AP733" s="40" t="s">
        <v>56</v>
      </c>
      <c r="AQ733" s="40">
        <v>7</v>
      </c>
      <c r="AR733" s="48" t="s">
        <v>14</v>
      </c>
      <c r="AS733" s="43" t="s">
        <v>45</v>
      </c>
      <c r="AT733" s="43"/>
      <c r="AU733" s="44">
        <f t="shared" si="87"/>
        <v>-2.5067929134584248</v>
      </c>
      <c r="AV733" s="44">
        <f t="shared" si="88"/>
        <v>-0.99184266516472974</v>
      </c>
      <c r="AW733" s="45">
        <f t="shared" si="89"/>
        <v>3</v>
      </c>
      <c r="AX733" s="45">
        <f t="shared" si="90"/>
        <v>2</v>
      </c>
      <c r="AY733" s="46">
        <f>VLOOKUP(AP733,COND!$A$10:$B$32,2,FALSE)</f>
        <v>1</v>
      </c>
      <c r="AZ733" s="44">
        <f>($AU$3*AU733+$AV$3*AV733+$AW$3*AW733+$AX$3*AX733)*AY733*IF(AQ733&lt;5,0.95,IF(AQ733&lt;7,0.975,1))+$I$3*VLOOKUP(I733,COND!$A$2:$E$7,4,FALSE)+$J$3*VLOOKUP(J733,COND!$A$2:$E$7,2,FALSE)+$K$3*VLOOKUP(K733,COND!$A$2:$E$7,3,FALSE)+IF(BB733="SP",$BB$3,0)+IF($AW733&lt;3,-5,0)+IF(AND($B$2&gt;0,$E733&lt;20),$B$2*25,0)</f>
        <v>30.661788114013717</v>
      </c>
      <c r="BA733" s="47">
        <f>STANDARDIZE(AZ733,AVERAGE($AZ$5:$AZ$788),STDEVP($AZ$5:$AZ$788))</f>
        <v>-0.44269105373560957</v>
      </c>
      <c r="BB733" s="45" t="str">
        <f t="shared" si="91"/>
        <v>SP</v>
      </c>
      <c r="BC733" s="45">
        <f>RANK(Table3[[#This Row],[zScore]],Table3[zScore])</f>
        <v>490</v>
      </c>
      <c r="BD733" s="45"/>
      <c r="BE733" s="45"/>
      <c r="BF733" s="45" t="str">
        <f t="shared" si="92"/>
        <v>Unlikely</v>
      </c>
      <c r="BG733" s="45"/>
      <c r="BH733" s="64" t="str">
        <f>INDEX(Table5[[#All],[Ovr]],MATCH(Table3[[#This Row],[PID]],Table5[[#All],[PID]],0))</f>
        <v/>
      </c>
      <c r="BI733" s="64" t="str">
        <f>INDEX(Table5[[#All],[Rnd]],MATCH(Table3[[#This Row],[PID]],Table5[[#All],[PID]],0))</f>
        <v/>
      </c>
      <c r="BJ733" s="64" t="str">
        <f>INDEX(Table5[[#All],[Pick]],MATCH(Table3[[#This Row],[PID]],Table5[[#All],[PID]],0))</f>
        <v/>
      </c>
      <c r="BK733" s="64" t="str">
        <f>INDEX(Table5[[#All],[Team]],MATCH(Table3[[#This Row],[PID]],Table5[[#All],[PID]],0))</f>
        <v/>
      </c>
      <c r="BL733" s="64" t="str">
        <f>IF(OR(Table3[[#This Row],[POS]]="SP",Table3[[#This Row],[POS]]="RP",Table3[[#This Row],[POS]]="CL"),"P",INDEX(Batters[[#All],[zScore]],MATCH(Table3[[#This Row],[PID]],Batters[[#All],[PID]],0)))</f>
        <v>P</v>
      </c>
    </row>
    <row r="734" spans="1:64" ht="30" x14ac:dyDescent="0.25">
      <c r="A734" s="40">
        <v>17582</v>
      </c>
      <c r="B734" s="40" t="s">
        <v>24</v>
      </c>
      <c r="C734" s="40" t="s">
        <v>537</v>
      </c>
      <c r="D734" s="40" t="s">
        <v>2096</v>
      </c>
      <c r="E734" s="40">
        <v>18</v>
      </c>
      <c r="F734" s="40" t="s">
        <v>53</v>
      </c>
      <c r="G734" s="40" t="s">
        <v>53</v>
      </c>
      <c r="H734" s="41" t="s">
        <v>647</v>
      </c>
      <c r="I734" s="42" t="s">
        <v>44</v>
      </c>
      <c r="J734" s="40" t="s">
        <v>47</v>
      </c>
      <c r="K734" s="41" t="s">
        <v>44</v>
      </c>
      <c r="L734" s="40">
        <v>2</v>
      </c>
      <c r="M734" s="40">
        <v>1</v>
      </c>
      <c r="N734" s="41">
        <v>1</v>
      </c>
      <c r="O734" s="40">
        <v>4</v>
      </c>
      <c r="P734" s="40">
        <v>1</v>
      </c>
      <c r="Q734" s="41">
        <v>3</v>
      </c>
      <c r="R734" s="40">
        <v>4</v>
      </c>
      <c r="S734" s="40">
        <v>5</v>
      </c>
      <c r="T734" s="40">
        <v>1</v>
      </c>
      <c r="U734" s="40">
        <v>4</v>
      </c>
      <c r="V734" s="40">
        <v>2</v>
      </c>
      <c r="W734" s="40">
        <v>4</v>
      </c>
      <c r="X734" s="40">
        <v>2</v>
      </c>
      <c r="Y734" s="40">
        <v>5</v>
      </c>
      <c r="Z734" s="40" t="s">
        <v>45</v>
      </c>
      <c r="AA734" s="40" t="s">
        <v>45</v>
      </c>
      <c r="AB734" s="40" t="s">
        <v>45</v>
      </c>
      <c r="AC734" s="40" t="s">
        <v>45</v>
      </c>
      <c r="AD734" s="40" t="s">
        <v>45</v>
      </c>
      <c r="AE734" s="40" t="s">
        <v>45</v>
      </c>
      <c r="AF734" s="40">
        <v>3</v>
      </c>
      <c r="AG734" s="40">
        <v>5</v>
      </c>
      <c r="AH734" s="40" t="s">
        <v>45</v>
      </c>
      <c r="AI734" s="40" t="s">
        <v>45</v>
      </c>
      <c r="AJ734" s="40" t="s">
        <v>45</v>
      </c>
      <c r="AK734" s="40" t="s">
        <v>45</v>
      </c>
      <c r="AL734" s="40" t="s">
        <v>45</v>
      </c>
      <c r="AM734" s="40" t="s">
        <v>45</v>
      </c>
      <c r="AN734" s="40" t="s">
        <v>45</v>
      </c>
      <c r="AO734" s="41" t="s">
        <v>45</v>
      </c>
      <c r="AP734" s="40" t="s">
        <v>56</v>
      </c>
      <c r="AQ734" s="40">
        <v>4</v>
      </c>
      <c r="AR734" s="48" t="s">
        <v>351</v>
      </c>
      <c r="AS734" s="43" t="s">
        <v>644</v>
      </c>
      <c r="AT734" s="43" t="s">
        <v>47</v>
      </c>
      <c r="AU734" s="44">
        <f t="shared" si="87"/>
        <v>-2.5067929134584248</v>
      </c>
      <c r="AV734" s="44">
        <f t="shared" si="88"/>
        <v>-1.1872743815947853</v>
      </c>
      <c r="AW734" s="45">
        <f t="shared" si="89"/>
        <v>5</v>
      </c>
      <c r="AX734" s="45">
        <f t="shared" si="90"/>
        <v>0</v>
      </c>
      <c r="AY734" s="46">
        <f>VLOOKUP(AP734,COND!$A$10:$B$32,2,FALSE)</f>
        <v>1</v>
      </c>
      <c r="AZ734" s="44">
        <f>($AU$3*AU734+$AV$3*AV734+$AW$3*AW734+$AX$3*AX734)*AY734*IF(AQ734&lt;5,0.95,IF(AQ734&lt;7,0.975,1))+$I$3*VLOOKUP(I734,COND!$A$2:$E$7,4,FALSE)+$J$3*VLOOKUP(J734,COND!$A$2:$E$7,2,FALSE)+$K$3*VLOOKUP(K734,COND!$A$2:$E$7,3,FALSE)+IF(BB734="SP",$BB$3,0)+IF($AW734&lt;3,-5,0)+IF(AND($B$2&gt;0,$E734&lt;20),$B$2*25,0)</f>
        <v>29.190496096141977</v>
      </c>
      <c r="BA734" s="47">
        <f>STANDARDIZE(AZ734,AVERAGE($AZ$5:$AZ$557),STDEVP($AZ$5:$AZ$557))</f>
        <v>-0.44441218455169618</v>
      </c>
      <c r="BB734" s="45" t="str">
        <f t="shared" si="91"/>
        <v>RP</v>
      </c>
      <c r="BC734" s="45">
        <f>RANK(Table3[[#This Row],[zScore]],Table3[zScore])</f>
        <v>493</v>
      </c>
      <c r="BD734" s="45"/>
      <c r="BE734" s="45"/>
      <c r="BF734" s="45" t="str">
        <f t="shared" si="92"/>
        <v>Unlikely</v>
      </c>
      <c r="BG734" s="45"/>
      <c r="BH734" s="45" t="str">
        <f>INDEX(Table5[[#All],[Ovr]],MATCH(Table3[[#This Row],[PID]],Table5[[#All],[PID]],0))</f>
        <v/>
      </c>
      <c r="BI734" s="45" t="str">
        <f>INDEX(Table5[[#All],[Rnd]],MATCH(Table3[[#This Row],[PID]],Table5[[#All],[PID]],0))</f>
        <v/>
      </c>
      <c r="BJ734" s="45" t="str">
        <f>INDEX(Table5[[#All],[Pick]],MATCH(Table3[[#This Row],[PID]],Table5[[#All],[PID]],0))</f>
        <v/>
      </c>
      <c r="BK734" s="45" t="str">
        <f>INDEX(Table5[[#All],[Team]],MATCH(Table3[[#This Row],[PID]],Table5[[#All],[PID]],0))</f>
        <v/>
      </c>
      <c r="BL73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5" spans="1:64" ht="30" x14ac:dyDescent="0.25">
      <c r="A735" s="40">
        <v>20676</v>
      </c>
      <c r="B735" s="40" t="s">
        <v>24</v>
      </c>
      <c r="C735" s="40" t="s">
        <v>2197</v>
      </c>
      <c r="D735" s="40" t="s">
        <v>2196</v>
      </c>
      <c r="E735" s="40">
        <v>17</v>
      </c>
      <c r="F735" s="40" t="s">
        <v>53</v>
      </c>
      <c r="G735" s="40" t="s">
        <v>53</v>
      </c>
      <c r="H735" s="41" t="s">
        <v>647</v>
      </c>
      <c r="I735" s="42" t="s">
        <v>43</v>
      </c>
      <c r="J735" s="40" t="s">
        <v>43</v>
      </c>
      <c r="K735" s="41" t="s">
        <v>43</v>
      </c>
      <c r="L735" s="40">
        <v>1</v>
      </c>
      <c r="M735" s="40">
        <v>2</v>
      </c>
      <c r="N735" s="41">
        <v>1</v>
      </c>
      <c r="O735" s="40">
        <v>3</v>
      </c>
      <c r="P735" s="40">
        <v>2</v>
      </c>
      <c r="Q735" s="41">
        <v>3</v>
      </c>
      <c r="R735" s="40">
        <v>3</v>
      </c>
      <c r="S735" s="40">
        <v>4</v>
      </c>
      <c r="T735" s="40" t="s">
        <v>45</v>
      </c>
      <c r="U735" s="40" t="s">
        <v>45</v>
      </c>
      <c r="V735" s="40">
        <v>2</v>
      </c>
      <c r="W735" s="40">
        <v>5</v>
      </c>
      <c r="X735" s="40" t="s">
        <v>45</v>
      </c>
      <c r="Y735" s="40" t="s">
        <v>45</v>
      </c>
      <c r="Z735" s="40">
        <v>2</v>
      </c>
      <c r="AA735" s="40">
        <v>4</v>
      </c>
      <c r="AB735" s="40" t="s">
        <v>45</v>
      </c>
      <c r="AC735" s="40" t="s">
        <v>45</v>
      </c>
      <c r="AD735" s="40" t="s">
        <v>45</v>
      </c>
      <c r="AE735" s="40" t="s">
        <v>45</v>
      </c>
      <c r="AF735" s="40" t="s">
        <v>45</v>
      </c>
      <c r="AG735" s="40" t="s">
        <v>45</v>
      </c>
      <c r="AH735" s="40" t="s">
        <v>45</v>
      </c>
      <c r="AI735" s="40" t="s">
        <v>45</v>
      </c>
      <c r="AJ735" s="40" t="s">
        <v>45</v>
      </c>
      <c r="AK735" s="40" t="s">
        <v>45</v>
      </c>
      <c r="AL735" s="40" t="s">
        <v>45</v>
      </c>
      <c r="AM735" s="40" t="s">
        <v>45</v>
      </c>
      <c r="AN735" s="40" t="s">
        <v>45</v>
      </c>
      <c r="AO735" s="41" t="s">
        <v>45</v>
      </c>
      <c r="AP735" s="40" t="s">
        <v>68</v>
      </c>
      <c r="AQ735" s="40">
        <v>9</v>
      </c>
      <c r="AR735" s="48" t="s">
        <v>347</v>
      </c>
      <c r="AS735" s="43" t="s">
        <v>659</v>
      </c>
      <c r="AT735" s="43"/>
      <c r="AU735" s="44">
        <f t="shared" si="87"/>
        <v>-2.5060525215375429</v>
      </c>
      <c r="AV735" s="44">
        <f t="shared" si="88"/>
        <v>-1.1865339896739031</v>
      </c>
      <c r="AW735" s="45">
        <f t="shared" si="89"/>
        <v>3</v>
      </c>
      <c r="AX735" s="45">
        <f t="shared" si="90"/>
        <v>0</v>
      </c>
      <c r="AY735" s="46">
        <f>VLOOKUP(AP735,COND!$A$10:$B$32,2,FALSE)</f>
        <v>0.95</v>
      </c>
      <c r="AZ735" s="44">
        <f>($AU$3*AU735+$AV$3*AV735+$AW$3*AW735+$AX$3*AX735)*AY735*IF(AQ735&lt;5,0.95,IF(AQ735&lt;7,0.975,1))+$I$3*VLOOKUP(I735,COND!$A$2:$E$7,4,FALSE)+$J$3*VLOOKUP(J735,COND!$A$2:$E$7,2,FALSE)+$K$3*VLOOKUP(K735,COND!$A$2:$E$7,3,FALSE)+IF(BB735="SP",$BB$3,0)+IF($AW735&lt;3,-5,0)+IF(AND($B$2&gt;0,$E735&lt;20),$B$2*25,0)</f>
        <v>30.40470421710371</v>
      </c>
      <c r="BA735" s="47">
        <f>STANDARDIZE(AZ735,AVERAGE($AZ$5:$AZ$788),STDEVP($AZ$5:$AZ$788))</f>
        <v>-0.46129427834003828</v>
      </c>
      <c r="BB735" s="45" t="str">
        <f t="shared" si="91"/>
        <v>SP</v>
      </c>
      <c r="BC735" s="45">
        <f>RANK(Table3[[#This Row],[zScore]],Table3[zScore])</f>
        <v>504</v>
      </c>
      <c r="BD735" s="45"/>
      <c r="BE735" s="45"/>
      <c r="BF735" s="45" t="str">
        <f t="shared" si="92"/>
        <v>Unlikely</v>
      </c>
      <c r="BG735" s="45"/>
      <c r="BH735" s="64" t="str">
        <f>INDEX(Table5[[#All],[Ovr]],MATCH(Table3[[#This Row],[PID]],Table5[[#All],[PID]],0))</f>
        <v/>
      </c>
      <c r="BI735" s="64" t="str">
        <f>INDEX(Table5[[#All],[Rnd]],MATCH(Table3[[#This Row],[PID]],Table5[[#All],[PID]],0))</f>
        <v/>
      </c>
      <c r="BJ735" s="64" t="str">
        <f>INDEX(Table5[[#All],[Pick]],MATCH(Table3[[#This Row],[PID]],Table5[[#All],[PID]],0))</f>
        <v/>
      </c>
      <c r="BK735" s="64" t="str">
        <f>INDEX(Table5[[#All],[Team]],MATCH(Table3[[#This Row],[PID]],Table5[[#All],[PID]],0))</f>
        <v/>
      </c>
      <c r="BL735" s="64" t="str">
        <f>IF(OR(Table3[[#This Row],[POS]]="SP",Table3[[#This Row],[POS]]="RP",Table3[[#This Row],[POS]]="CL"),"P",INDEX(Batters[[#All],[zScore]],MATCH(Table3[[#This Row],[PID]],Batters[[#All],[PID]],0)))</f>
        <v>P</v>
      </c>
    </row>
    <row r="736" spans="1:64" ht="30" x14ac:dyDescent="0.25">
      <c r="A736" s="40">
        <v>18018</v>
      </c>
      <c r="B736" s="40" t="s">
        <v>24</v>
      </c>
      <c r="C736" s="40" t="s">
        <v>366</v>
      </c>
      <c r="D736" s="40" t="s">
        <v>1855</v>
      </c>
      <c r="E736" s="40">
        <v>21</v>
      </c>
      <c r="F736" s="40" t="s">
        <v>42</v>
      </c>
      <c r="G736" s="40" t="s">
        <v>42</v>
      </c>
      <c r="H736" s="41" t="s">
        <v>647</v>
      </c>
      <c r="I736" s="42" t="s">
        <v>47</v>
      </c>
      <c r="J736" s="40" t="s">
        <v>47</v>
      </c>
      <c r="K736" s="41" t="s">
        <v>43</v>
      </c>
      <c r="L736" s="40">
        <v>2</v>
      </c>
      <c r="M736" s="40">
        <v>2</v>
      </c>
      <c r="N736" s="41">
        <v>1</v>
      </c>
      <c r="O736" s="40">
        <v>5</v>
      </c>
      <c r="P736" s="40">
        <v>2</v>
      </c>
      <c r="Q736" s="41">
        <v>2</v>
      </c>
      <c r="R736" s="40" t="s">
        <v>45</v>
      </c>
      <c r="S736" s="40" t="s">
        <v>45</v>
      </c>
      <c r="T736" s="40">
        <v>2</v>
      </c>
      <c r="U736" s="40">
        <v>5</v>
      </c>
      <c r="V736" s="40">
        <v>2</v>
      </c>
      <c r="W736" s="40">
        <v>2</v>
      </c>
      <c r="X736" s="40" t="s">
        <v>45</v>
      </c>
      <c r="Y736" s="40" t="s">
        <v>45</v>
      </c>
      <c r="Z736" s="40" t="s">
        <v>45</v>
      </c>
      <c r="AA736" s="40" t="s">
        <v>45</v>
      </c>
      <c r="AB736" s="40" t="s">
        <v>45</v>
      </c>
      <c r="AC736" s="40" t="s">
        <v>45</v>
      </c>
      <c r="AD736" s="40">
        <v>4</v>
      </c>
      <c r="AE736" s="40">
        <v>6</v>
      </c>
      <c r="AF736" s="40">
        <v>4</v>
      </c>
      <c r="AG736" s="40">
        <v>6</v>
      </c>
      <c r="AH736" s="40" t="s">
        <v>45</v>
      </c>
      <c r="AI736" s="40" t="s">
        <v>45</v>
      </c>
      <c r="AJ736" s="40" t="s">
        <v>45</v>
      </c>
      <c r="AK736" s="40" t="s">
        <v>45</v>
      </c>
      <c r="AL736" s="40" t="s">
        <v>45</v>
      </c>
      <c r="AM736" s="40" t="s">
        <v>45</v>
      </c>
      <c r="AN736" s="40" t="s">
        <v>45</v>
      </c>
      <c r="AO736" s="41" t="s">
        <v>45</v>
      </c>
      <c r="AP736" s="40" t="s">
        <v>58</v>
      </c>
      <c r="AQ736" s="40">
        <v>7</v>
      </c>
      <c r="AR736" s="48" t="s">
        <v>347</v>
      </c>
      <c r="AS736" s="43" t="s">
        <v>45</v>
      </c>
      <c r="AT736" s="43" t="s">
        <v>635</v>
      </c>
      <c r="AU736" s="44">
        <f t="shared" si="87"/>
        <v>-2.311361197028369</v>
      </c>
      <c r="AV736" s="44">
        <f t="shared" si="88"/>
        <v>-1.0394719067096667</v>
      </c>
      <c r="AW736" s="45">
        <f t="shared" si="89"/>
        <v>4</v>
      </c>
      <c r="AX736" s="45">
        <f t="shared" si="90"/>
        <v>2</v>
      </c>
      <c r="AY736" s="46">
        <f>VLOOKUP(AP736,COND!$A$10:$B$32,2,FALSE)</f>
        <v>1</v>
      </c>
      <c r="AZ736" s="44">
        <f>($AU$3*AU736+$AV$3*AV736+$AW$3*AW736+$AX$3*AX736)*AY736*IF(AQ736&lt;5,0.95,IF(AQ736&lt;7,0.975,1))+$I$3*VLOOKUP(I736,COND!$A$2:$E$7,4,FALSE)+$J$3*VLOOKUP(J736,COND!$A$2:$E$7,2,FALSE)+$K$3*VLOOKUP(K736,COND!$A$2:$E$7,3,FALSE)+IF(BB736="SP",$BB$3,0)+IF($AW736&lt;3,-5,0)+IF(AND($B$2&gt;0,$E736&lt;20),$B$2*25,0)</f>
        <v>30.773289626400992</v>
      </c>
      <c r="BA736" s="47">
        <f>STANDARDIZE(AZ736,AVERAGE($AZ$5:$AZ$663),STDEVP($AZ$5:$AZ$663))</f>
        <v>-0.48158626750206673</v>
      </c>
      <c r="BB736" s="45" t="str">
        <f t="shared" si="91"/>
        <v>SP</v>
      </c>
      <c r="BC736" s="45">
        <f>RANK(Table3[[#This Row],[zScore]],Table3[zScore])</f>
        <v>513</v>
      </c>
      <c r="BD736" s="45"/>
      <c r="BE736" s="45"/>
      <c r="BF736" s="45" t="str">
        <f t="shared" si="92"/>
        <v>Unlikely</v>
      </c>
      <c r="BG736" s="45"/>
      <c r="BH736" s="45" t="str">
        <f>INDEX(Table5[[#All],[Ovr]],MATCH(Table3[[#This Row],[PID]],Table5[[#All],[PID]],0))</f>
        <v/>
      </c>
      <c r="BI736" s="45" t="str">
        <f>INDEX(Table5[[#All],[Rnd]],MATCH(Table3[[#This Row],[PID]],Table5[[#All],[PID]],0))</f>
        <v/>
      </c>
      <c r="BJ736" s="45" t="str">
        <f>INDEX(Table5[[#All],[Pick]],MATCH(Table3[[#This Row],[PID]],Table5[[#All],[PID]],0))</f>
        <v/>
      </c>
      <c r="BK736" s="45" t="str">
        <f>INDEX(Table5[[#All],[Team]],MATCH(Table3[[#This Row],[PID]],Table5[[#All],[PID]],0))</f>
        <v/>
      </c>
      <c r="BL73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7" spans="1:64" ht="30" x14ac:dyDescent="0.25">
      <c r="A737" s="40">
        <v>17769</v>
      </c>
      <c r="B737" s="40" t="s">
        <v>24</v>
      </c>
      <c r="C737" s="40" t="s">
        <v>318</v>
      </c>
      <c r="D737" s="40" t="s">
        <v>2193</v>
      </c>
      <c r="E737" s="40">
        <v>21</v>
      </c>
      <c r="F737" s="40" t="s">
        <v>42</v>
      </c>
      <c r="G737" s="40" t="s">
        <v>42</v>
      </c>
      <c r="H737" s="41" t="s">
        <v>647</v>
      </c>
      <c r="I737" s="42" t="s">
        <v>43</v>
      </c>
      <c r="J737" s="40" t="s">
        <v>47</v>
      </c>
      <c r="K737" s="41" t="s">
        <v>43</v>
      </c>
      <c r="L737" s="40">
        <v>2</v>
      </c>
      <c r="M737" s="40">
        <v>2</v>
      </c>
      <c r="N737" s="41">
        <v>2</v>
      </c>
      <c r="O737" s="40">
        <v>3</v>
      </c>
      <c r="P737" s="40">
        <v>2</v>
      </c>
      <c r="Q737" s="41">
        <v>4</v>
      </c>
      <c r="R737" s="40" t="s">
        <v>45</v>
      </c>
      <c r="S737" s="40" t="s">
        <v>45</v>
      </c>
      <c r="T737" s="40">
        <v>1</v>
      </c>
      <c r="U737" s="40">
        <v>1</v>
      </c>
      <c r="V737" s="40">
        <v>3</v>
      </c>
      <c r="W737" s="40">
        <v>5</v>
      </c>
      <c r="X737" s="40">
        <v>2</v>
      </c>
      <c r="Y737" s="40">
        <v>4</v>
      </c>
      <c r="Z737" s="40" t="s">
        <v>45</v>
      </c>
      <c r="AA737" s="40" t="s">
        <v>45</v>
      </c>
      <c r="AB737" s="40" t="s">
        <v>45</v>
      </c>
      <c r="AC737" s="40" t="s">
        <v>45</v>
      </c>
      <c r="AD737" s="40">
        <v>3</v>
      </c>
      <c r="AE737" s="40">
        <v>4</v>
      </c>
      <c r="AF737" s="40" t="s">
        <v>45</v>
      </c>
      <c r="AG737" s="40" t="s">
        <v>45</v>
      </c>
      <c r="AH737" s="40" t="s">
        <v>45</v>
      </c>
      <c r="AI737" s="40" t="s">
        <v>45</v>
      </c>
      <c r="AJ737" s="40" t="s">
        <v>45</v>
      </c>
      <c r="AK737" s="40" t="s">
        <v>45</v>
      </c>
      <c r="AL737" s="40" t="s">
        <v>45</v>
      </c>
      <c r="AM737" s="40" t="s">
        <v>45</v>
      </c>
      <c r="AN737" s="40" t="s">
        <v>45</v>
      </c>
      <c r="AO737" s="41" t="s">
        <v>45</v>
      </c>
      <c r="AP737" s="40" t="s">
        <v>64</v>
      </c>
      <c r="AQ737" s="40">
        <v>7</v>
      </c>
      <c r="AR737" s="48" t="s">
        <v>347</v>
      </c>
      <c r="AS737" s="43" t="s">
        <v>45</v>
      </c>
      <c r="AT737" s="43"/>
      <c r="AU737" s="44">
        <f t="shared" si="87"/>
        <v>-2.0690406309742588</v>
      </c>
      <c r="AV737" s="44">
        <f t="shared" si="88"/>
        <v>-0.94421342361979277</v>
      </c>
      <c r="AW737" s="45">
        <f t="shared" si="89"/>
        <v>4</v>
      </c>
      <c r="AX737" s="45">
        <f t="shared" si="90"/>
        <v>0</v>
      </c>
      <c r="AY737" s="46">
        <f>VLOOKUP(AP737,COND!$A$10:$B$32,2,FALSE)</f>
        <v>1</v>
      </c>
      <c r="AZ737" s="44">
        <f>($AU$3*AU737+$AV$3*AV737+$AW$3*AW737+$AX$3*AX737)*AY737*IF(AQ737&lt;5,0.95,IF(AQ737&lt;7,0.975,1))+$I$3*VLOOKUP(I737,COND!$A$2:$E$7,4,FALSE)+$J$3*VLOOKUP(J737,COND!$A$2:$E$7,2,FALSE)+$K$3*VLOOKUP(K737,COND!$A$2:$E$7,3,FALSE)+IF(BB737="SP",$BB$3,0)+IF($AW737&lt;3,-5,0)+IF(AND($B$2&gt;0,$E737&lt;20),$B$2*25,0)</f>
        <v>30.001923401409293</v>
      </c>
      <c r="BA737" s="47">
        <f>STANDARDIZE(AZ737,AVERAGE($AZ$5:$AZ$788),STDEVP($AZ$5:$AZ$788))</f>
        <v>-0.49044049119420691</v>
      </c>
      <c r="BB737" s="45" t="str">
        <f t="shared" si="91"/>
        <v>SP</v>
      </c>
      <c r="BC737" s="45">
        <f>RANK(Table3[[#This Row],[zScore]],Table3[zScore])</f>
        <v>518</v>
      </c>
      <c r="BD737" s="45"/>
      <c r="BE737" s="45"/>
      <c r="BF737" s="45" t="str">
        <f t="shared" si="92"/>
        <v>Unlikely</v>
      </c>
      <c r="BG737" s="45"/>
      <c r="BH737" s="64" t="str">
        <f>INDEX(Table5[[#All],[Ovr]],MATCH(Table3[[#This Row],[PID]],Table5[[#All],[PID]],0))</f>
        <v/>
      </c>
      <c r="BI737" s="64" t="str">
        <f>INDEX(Table5[[#All],[Rnd]],MATCH(Table3[[#This Row],[PID]],Table5[[#All],[PID]],0))</f>
        <v/>
      </c>
      <c r="BJ737" s="64" t="str">
        <f>INDEX(Table5[[#All],[Pick]],MATCH(Table3[[#This Row],[PID]],Table5[[#All],[PID]],0))</f>
        <v/>
      </c>
      <c r="BK737" s="64" t="str">
        <f>INDEX(Table5[[#All],[Team]],MATCH(Table3[[#This Row],[PID]],Table5[[#All],[PID]],0))</f>
        <v/>
      </c>
      <c r="BL737" s="64" t="str">
        <f>IF(OR(Table3[[#This Row],[POS]]="SP",Table3[[#This Row],[POS]]="RP",Table3[[#This Row],[POS]]="CL"),"P",INDEX(Batters[[#All],[zScore]],MATCH(Table3[[#This Row],[PID]],Batters[[#All],[PID]],0)))</f>
        <v>P</v>
      </c>
    </row>
    <row r="738" spans="1:64" ht="30" x14ac:dyDescent="0.25">
      <c r="A738" s="40">
        <v>17873</v>
      </c>
      <c r="B738" s="40" t="s">
        <v>24</v>
      </c>
      <c r="C738" s="40" t="s">
        <v>328</v>
      </c>
      <c r="D738" s="40" t="s">
        <v>2063</v>
      </c>
      <c r="E738" s="40">
        <v>18</v>
      </c>
      <c r="F738" s="40" t="s">
        <v>53</v>
      </c>
      <c r="G738" s="40" t="s">
        <v>53</v>
      </c>
      <c r="H738" s="41" t="s">
        <v>647</v>
      </c>
      <c r="I738" s="42" t="s">
        <v>43</v>
      </c>
      <c r="J738" s="40" t="s">
        <v>44</v>
      </c>
      <c r="K738" s="41" t="s">
        <v>43</v>
      </c>
      <c r="L738" s="40">
        <v>2</v>
      </c>
      <c r="M738" s="40">
        <v>2</v>
      </c>
      <c r="N738" s="41">
        <v>1</v>
      </c>
      <c r="O738" s="40">
        <v>3</v>
      </c>
      <c r="P738" s="40">
        <v>2</v>
      </c>
      <c r="Q738" s="41">
        <v>3</v>
      </c>
      <c r="R738" s="40">
        <v>3</v>
      </c>
      <c r="S738" s="40">
        <v>5</v>
      </c>
      <c r="T738" s="40">
        <v>1</v>
      </c>
      <c r="U738" s="40">
        <v>3</v>
      </c>
      <c r="V738" s="40" t="s">
        <v>45</v>
      </c>
      <c r="W738" s="40" t="s">
        <v>45</v>
      </c>
      <c r="X738" s="40">
        <v>2</v>
      </c>
      <c r="Y738" s="40">
        <v>4</v>
      </c>
      <c r="Z738" s="40" t="s">
        <v>45</v>
      </c>
      <c r="AA738" s="40" t="s">
        <v>45</v>
      </c>
      <c r="AB738" s="40" t="s">
        <v>45</v>
      </c>
      <c r="AC738" s="40" t="s">
        <v>45</v>
      </c>
      <c r="AD738" s="40">
        <v>3</v>
      </c>
      <c r="AE738" s="40">
        <v>4</v>
      </c>
      <c r="AF738" s="40">
        <v>3</v>
      </c>
      <c r="AG738" s="40">
        <v>3</v>
      </c>
      <c r="AH738" s="40">
        <v>1</v>
      </c>
      <c r="AI738" s="40">
        <v>4</v>
      </c>
      <c r="AJ738" s="40" t="s">
        <v>45</v>
      </c>
      <c r="AK738" s="40" t="s">
        <v>45</v>
      </c>
      <c r="AL738" s="40" t="s">
        <v>45</v>
      </c>
      <c r="AM738" s="40" t="s">
        <v>45</v>
      </c>
      <c r="AN738" s="40" t="s">
        <v>45</v>
      </c>
      <c r="AO738" s="41" t="s">
        <v>45</v>
      </c>
      <c r="AP738" s="40" t="s">
        <v>350</v>
      </c>
      <c r="AQ738" s="40">
        <v>8</v>
      </c>
      <c r="AR738" s="48" t="s">
        <v>347</v>
      </c>
      <c r="AS738" s="43" t="s">
        <v>670</v>
      </c>
      <c r="AT738" s="43" t="s">
        <v>635</v>
      </c>
      <c r="AU738" s="44">
        <f t="shared" si="87"/>
        <v>-2.311361197028369</v>
      </c>
      <c r="AV738" s="44">
        <f t="shared" si="88"/>
        <v>-1.1865339896739031</v>
      </c>
      <c r="AW738" s="45">
        <f t="shared" si="89"/>
        <v>6</v>
      </c>
      <c r="AX738" s="45">
        <f t="shared" si="90"/>
        <v>0</v>
      </c>
      <c r="AY738" s="46">
        <f>VLOOKUP(AP738,COND!$A$10:$B$32,2,FALSE)</f>
        <v>1</v>
      </c>
      <c r="AZ738" s="44">
        <f>($AU$3*AU738+$AV$3*AV738+$AW$3*AW738+$AX$3*AX738)*AY738*IF(AQ738&lt;5,0.95,IF(AQ738&lt;7,0.975,1))+$I$3*VLOOKUP(I738,COND!$A$2:$E$7,4,FALSE)+$J$3*VLOOKUP(J738,COND!$A$2:$E$7,2,FALSE)+$K$3*VLOOKUP(K738,COND!$A$2:$E$7,3,FALSE)+IF(BB738="SP",$BB$3,0)+IF($AW738&lt;3,-5,0)+IF(AND($B$2&gt;0,$E738&lt;20),$B$2*25,0)</f>
        <v>30.507047967116264</v>
      </c>
      <c r="BA738" s="47">
        <f>STANDARDIZE(AZ738,AVERAGE($AZ$5:$AZ$663),STDEVP($AZ$5:$AZ$663))</f>
        <v>-0.49982374282717623</v>
      </c>
      <c r="BB738" s="45" t="str">
        <f t="shared" si="91"/>
        <v>SP</v>
      </c>
      <c r="BC738" s="45">
        <f>RANK(Table3[[#This Row],[zScore]],Table3[zScore])</f>
        <v>523</v>
      </c>
      <c r="BD738" s="45"/>
      <c r="BE738" s="45"/>
      <c r="BF738" s="45" t="str">
        <f t="shared" si="92"/>
        <v>Unlikely</v>
      </c>
      <c r="BG738" s="45"/>
      <c r="BH738" s="45" t="str">
        <f>INDEX(Table5[[#All],[Ovr]],MATCH(Table3[[#This Row],[PID]],Table5[[#All],[PID]],0))</f>
        <v/>
      </c>
      <c r="BI738" s="45" t="str">
        <f>INDEX(Table5[[#All],[Rnd]],MATCH(Table3[[#This Row],[PID]],Table5[[#All],[PID]],0))</f>
        <v/>
      </c>
      <c r="BJ738" s="45" t="str">
        <f>INDEX(Table5[[#All],[Pick]],MATCH(Table3[[#This Row],[PID]],Table5[[#All],[PID]],0))</f>
        <v/>
      </c>
      <c r="BK738" s="45" t="str">
        <f>INDEX(Table5[[#All],[Team]],MATCH(Table3[[#This Row],[PID]],Table5[[#All],[PID]],0))</f>
        <v/>
      </c>
      <c r="BL73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39" spans="1:64" ht="30" x14ac:dyDescent="0.25">
      <c r="A739" s="40">
        <v>17982</v>
      </c>
      <c r="B739" s="40" t="s">
        <v>24</v>
      </c>
      <c r="C739" s="40" t="s">
        <v>1653</v>
      </c>
      <c r="D739" s="40" t="s">
        <v>1364</v>
      </c>
      <c r="E739" s="40">
        <v>21</v>
      </c>
      <c r="F739" s="40" t="s">
        <v>53</v>
      </c>
      <c r="G739" s="40" t="s">
        <v>42</v>
      </c>
      <c r="H739" s="41" t="s">
        <v>647</v>
      </c>
      <c r="I739" s="42" t="s">
        <v>43</v>
      </c>
      <c r="J739" s="40" t="s">
        <v>43</v>
      </c>
      <c r="K739" s="41" t="s">
        <v>43</v>
      </c>
      <c r="L739" s="40">
        <v>2</v>
      </c>
      <c r="M739" s="40">
        <v>2</v>
      </c>
      <c r="N739" s="41">
        <v>1</v>
      </c>
      <c r="O739" s="40">
        <v>4</v>
      </c>
      <c r="P739" s="40">
        <v>2</v>
      </c>
      <c r="Q739" s="41">
        <v>3</v>
      </c>
      <c r="R739" s="40">
        <v>3</v>
      </c>
      <c r="S739" s="40">
        <v>5</v>
      </c>
      <c r="T739" s="40">
        <v>1</v>
      </c>
      <c r="U739" s="40">
        <v>7</v>
      </c>
      <c r="V739" s="40" t="s">
        <v>45</v>
      </c>
      <c r="W739" s="40" t="s">
        <v>45</v>
      </c>
      <c r="X739" s="40" t="s">
        <v>45</v>
      </c>
      <c r="Y739" s="40" t="s">
        <v>45</v>
      </c>
      <c r="Z739" s="40">
        <v>3</v>
      </c>
      <c r="AA739" s="40">
        <v>4</v>
      </c>
      <c r="AB739" s="40" t="s">
        <v>45</v>
      </c>
      <c r="AC739" s="40" t="s">
        <v>45</v>
      </c>
      <c r="AD739" s="40" t="s">
        <v>45</v>
      </c>
      <c r="AE739" s="40" t="s">
        <v>45</v>
      </c>
      <c r="AF739" s="40" t="s">
        <v>45</v>
      </c>
      <c r="AG739" s="40" t="s">
        <v>45</v>
      </c>
      <c r="AH739" s="40" t="s">
        <v>45</v>
      </c>
      <c r="AI739" s="40" t="s">
        <v>45</v>
      </c>
      <c r="AJ739" s="40" t="s">
        <v>45</v>
      </c>
      <c r="AK739" s="40" t="s">
        <v>45</v>
      </c>
      <c r="AL739" s="40" t="s">
        <v>45</v>
      </c>
      <c r="AM739" s="40" t="s">
        <v>45</v>
      </c>
      <c r="AN739" s="40" t="s">
        <v>45</v>
      </c>
      <c r="AO739" s="41" t="s">
        <v>45</v>
      </c>
      <c r="AP739" s="40" t="s">
        <v>350</v>
      </c>
      <c r="AQ739" s="40">
        <v>6</v>
      </c>
      <c r="AR739" s="48" t="s">
        <v>347</v>
      </c>
      <c r="AS739" s="43" t="s">
        <v>45</v>
      </c>
      <c r="AT739" s="43"/>
      <c r="AU739" s="44">
        <f t="shared" si="87"/>
        <v>-2.311361197028369</v>
      </c>
      <c r="AV739" s="44">
        <f t="shared" si="88"/>
        <v>-0.99184266516472974</v>
      </c>
      <c r="AW739" s="45">
        <f t="shared" si="89"/>
        <v>3</v>
      </c>
      <c r="AX739" s="45">
        <f t="shared" si="90"/>
        <v>1</v>
      </c>
      <c r="AY739" s="46">
        <f>VLOOKUP(AP739,COND!$A$10:$B$32,2,FALSE)</f>
        <v>1</v>
      </c>
      <c r="AZ739" s="44">
        <f>($AU$3*AU739+$AV$3*AV739+$AW$3*AW739+$AX$3*AX739)*AY739*IF(AQ739&lt;5,0.95,IF(AQ739&lt;7,0.975,1))+$I$3*VLOOKUP(I739,COND!$A$2:$E$7,4,FALSE)+$J$3*VLOOKUP(J739,COND!$A$2:$E$7,2,FALSE)+$K$3*VLOOKUP(K739,COND!$A$2:$E$7,3,FALSE)+IF(BB739="SP",$BB$3,0)+IF($AW739&lt;3,-5,0)+IF(AND($B$2&gt;0,$E739&lt;20),$B$2*25,0)</f>
        <v>29.889602595867238</v>
      </c>
      <c r="BA739" s="47">
        <f>STANDARDIZE(AZ739,AVERAGE($AZ$5:$AZ$788),STDEVP($AZ$5:$AZ$788))</f>
        <v>-0.49856830160304261</v>
      </c>
      <c r="BB739" s="45" t="str">
        <f t="shared" si="91"/>
        <v>SP</v>
      </c>
      <c r="BC739" s="45">
        <f>RANK(Table3[[#This Row],[zScore]],Table3[zScore])</f>
        <v>522</v>
      </c>
      <c r="BD739" s="45"/>
      <c r="BE739" s="45"/>
      <c r="BF739" s="45" t="str">
        <f t="shared" si="92"/>
        <v>Unlikely</v>
      </c>
      <c r="BG739" s="45"/>
      <c r="BH739" s="64" t="str">
        <f>INDEX(Table5[[#All],[Ovr]],MATCH(Table3[[#This Row],[PID]],Table5[[#All],[PID]],0))</f>
        <v/>
      </c>
      <c r="BI739" s="64" t="str">
        <f>INDEX(Table5[[#All],[Rnd]],MATCH(Table3[[#This Row],[PID]],Table5[[#All],[PID]],0))</f>
        <v/>
      </c>
      <c r="BJ739" s="64" t="str">
        <f>INDEX(Table5[[#All],[Pick]],MATCH(Table3[[#This Row],[PID]],Table5[[#All],[PID]],0))</f>
        <v/>
      </c>
      <c r="BK739" s="64" t="str">
        <f>INDEX(Table5[[#All],[Team]],MATCH(Table3[[#This Row],[PID]],Table5[[#All],[PID]],0))</f>
        <v/>
      </c>
      <c r="BL739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0" spans="1:64" ht="30" x14ac:dyDescent="0.25">
      <c r="A740" s="40">
        <v>17961</v>
      </c>
      <c r="B740" s="40" t="s">
        <v>24</v>
      </c>
      <c r="C740" s="40" t="s">
        <v>182</v>
      </c>
      <c r="D740" s="40" t="s">
        <v>2132</v>
      </c>
      <c r="E740" s="40">
        <v>21</v>
      </c>
      <c r="F740" s="40" t="s">
        <v>53</v>
      </c>
      <c r="G740" s="40" t="s">
        <v>53</v>
      </c>
      <c r="H740" s="41" t="s">
        <v>647</v>
      </c>
      <c r="I740" s="42" t="s">
        <v>43</v>
      </c>
      <c r="J740" s="40" t="s">
        <v>43</v>
      </c>
      <c r="K740" s="41" t="s">
        <v>43</v>
      </c>
      <c r="L740" s="40">
        <v>2</v>
      </c>
      <c r="M740" s="40">
        <v>1</v>
      </c>
      <c r="N740" s="41">
        <v>3</v>
      </c>
      <c r="O740" s="40">
        <v>4</v>
      </c>
      <c r="P740" s="40">
        <v>1</v>
      </c>
      <c r="Q740" s="41">
        <v>4</v>
      </c>
      <c r="R740" s="40">
        <v>4</v>
      </c>
      <c r="S740" s="40">
        <v>6</v>
      </c>
      <c r="T740" s="40">
        <v>2</v>
      </c>
      <c r="U740" s="40">
        <v>5</v>
      </c>
      <c r="V740" s="40" t="s">
        <v>45</v>
      </c>
      <c r="W740" s="40" t="s">
        <v>45</v>
      </c>
      <c r="X740" s="40">
        <v>3</v>
      </c>
      <c r="Y740" s="40">
        <v>5</v>
      </c>
      <c r="Z740" s="40" t="s">
        <v>45</v>
      </c>
      <c r="AA740" s="40" t="s">
        <v>45</v>
      </c>
      <c r="AB740" s="40" t="s">
        <v>45</v>
      </c>
      <c r="AC740" s="40" t="s">
        <v>45</v>
      </c>
      <c r="AD740" s="40" t="s">
        <v>45</v>
      </c>
      <c r="AE740" s="40" t="s">
        <v>45</v>
      </c>
      <c r="AF740" s="40" t="s">
        <v>45</v>
      </c>
      <c r="AG740" s="40" t="s">
        <v>45</v>
      </c>
      <c r="AH740" s="40" t="s">
        <v>45</v>
      </c>
      <c r="AI740" s="40" t="s">
        <v>45</v>
      </c>
      <c r="AJ740" s="40" t="s">
        <v>45</v>
      </c>
      <c r="AK740" s="40" t="s">
        <v>45</v>
      </c>
      <c r="AL740" s="40" t="s">
        <v>45</v>
      </c>
      <c r="AM740" s="40" t="s">
        <v>45</v>
      </c>
      <c r="AN740" s="40" t="s">
        <v>45</v>
      </c>
      <c r="AO740" s="41" t="s">
        <v>45</v>
      </c>
      <c r="AP740" s="40" t="s">
        <v>57</v>
      </c>
      <c r="AQ740" s="40">
        <v>7</v>
      </c>
      <c r="AR740" s="48" t="s">
        <v>14</v>
      </c>
      <c r="AS740" s="43" t="s">
        <v>45</v>
      </c>
      <c r="AT740" s="43" t="s">
        <v>47</v>
      </c>
      <c r="AU740" s="44">
        <f t="shared" si="87"/>
        <v>-2.0221517813502041</v>
      </c>
      <c r="AV740" s="44">
        <f t="shared" si="88"/>
        <v>-0.94495381554067481</v>
      </c>
      <c r="AW740" s="45">
        <f t="shared" si="89"/>
        <v>3</v>
      </c>
      <c r="AX740" s="45">
        <f t="shared" si="90"/>
        <v>1</v>
      </c>
      <c r="AY740" s="46">
        <f>VLOOKUP(AP740,COND!$A$10:$B$32,2,FALSE)</f>
        <v>1</v>
      </c>
      <c r="AZ740" s="44">
        <f>($AU$3*AU740+$AV$3*AV740+$AW$3*AW740+$AX$3*AX740)*AY740*IF(AQ740&lt;5,0.95,IF(AQ740&lt;7,0.975,1))+$I$3*VLOOKUP(I740,COND!$A$2:$E$7,4,FALSE)+$J$3*VLOOKUP(J740,COND!$A$2:$E$7,2,FALSE)+$K$3*VLOOKUP(K740,COND!$A$2:$E$7,3,FALSE)+IF(BB740="SP",$BB$3,0)+IF($AW740&lt;3,-5,0)+IF(AND($B$2&gt;0,$E740&lt;20),$B$2*25,0)</f>
        <v>30.446493332916464</v>
      </c>
      <c r="BA740" s="47">
        <f>STANDARDIZE(AZ740,AVERAGE($AZ$5:$AZ$663),STDEVP($AZ$5:$AZ$663))</f>
        <v>-0.50397171745296099</v>
      </c>
      <c r="BB740" s="45" t="str">
        <f t="shared" si="91"/>
        <v>SP</v>
      </c>
      <c r="BC740" s="45">
        <f>RANK(Table3[[#This Row],[zScore]],Table3[zScore])</f>
        <v>525</v>
      </c>
      <c r="BD740" s="45"/>
      <c r="BE740" s="45"/>
      <c r="BF740" s="45" t="str">
        <f t="shared" si="92"/>
        <v>Unlikely</v>
      </c>
      <c r="BG740" s="45"/>
      <c r="BH740" s="45" t="str">
        <f>INDEX(Table5[[#All],[Ovr]],MATCH(Table3[[#This Row],[PID]],Table5[[#All],[PID]],0))</f>
        <v/>
      </c>
      <c r="BI740" s="45" t="str">
        <f>INDEX(Table5[[#All],[Rnd]],MATCH(Table3[[#This Row],[PID]],Table5[[#All],[PID]],0))</f>
        <v/>
      </c>
      <c r="BJ740" s="45" t="str">
        <f>INDEX(Table5[[#All],[Pick]],MATCH(Table3[[#This Row],[PID]],Table5[[#All],[PID]],0))</f>
        <v/>
      </c>
      <c r="BK740" s="45" t="str">
        <f>INDEX(Table5[[#All],[Team]],MATCH(Table3[[#This Row],[PID]],Table5[[#All],[PID]],0))</f>
        <v/>
      </c>
      <c r="BL74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41" spans="1:64" ht="30" x14ac:dyDescent="0.25">
      <c r="A741" s="40">
        <v>20878</v>
      </c>
      <c r="B741" s="40" t="s">
        <v>24</v>
      </c>
      <c r="C741" s="40" t="s">
        <v>179</v>
      </c>
      <c r="D741" s="40" t="s">
        <v>789</v>
      </c>
      <c r="E741" s="40">
        <v>18</v>
      </c>
      <c r="F741" s="40" t="s">
        <v>42</v>
      </c>
      <c r="G741" s="40" t="s">
        <v>53</v>
      </c>
      <c r="H741" s="41" t="s">
        <v>647</v>
      </c>
      <c r="I741" s="42" t="s">
        <v>47</v>
      </c>
      <c r="J741" s="40" t="s">
        <v>43</v>
      </c>
      <c r="K741" s="41" t="s">
        <v>44</v>
      </c>
      <c r="L741" s="40">
        <v>1</v>
      </c>
      <c r="M741" s="40">
        <v>2</v>
      </c>
      <c r="N741" s="41">
        <v>1</v>
      </c>
      <c r="O741" s="40">
        <v>3</v>
      </c>
      <c r="P741" s="40">
        <v>2</v>
      </c>
      <c r="Q741" s="41">
        <v>3</v>
      </c>
      <c r="R741" s="40">
        <v>3</v>
      </c>
      <c r="S741" s="40">
        <v>4</v>
      </c>
      <c r="T741" s="40">
        <v>1</v>
      </c>
      <c r="U741" s="40">
        <v>4</v>
      </c>
      <c r="V741" s="40" t="s">
        <v>45</v>
      </c>
      <c r="W741" s="40" t="s">
        <v>45</v>
      </c>
      <c r="X741" s="40">
        <v>2</v>
      </c>
      <c r="Y741" s="40">
        <v>3</v>
      </c>
      <c r="Z741" s="40" t="s">
        <v>45</v>
      </c>
      <c r="AA741" s="40" t="s">
        <v>45</v>
      </c>
      <c r="AB741" s="40" t="s">
        <v>45</v>
      </c>
      <c r="AC741" s="40" t="s">
        <v>45</v>
      </c>
      <c r="AD741" s="40" t="s">
        <v>45</v>
      </c>
      <c r="AE741" s="40" t="s">
        <v>45</v>
      </c>
      <c r="AF741" s="40">
        <v>2</v>
      </c>
      <c r="AG741" s="40">
        <v>4</v>
      </c>
      <c r="AH741" s="40" t="s">
        <v>45</v>
      </c>
      <c r="AI741" s="40" t="s">
        <v>45</v>
      </c>
      <c r="AJ741" s="40" t="s">
        <v>45</v>
      </c>
      <c r="AK741" s="40" t="s">
        <v>45</v>
      </c>
      <c r="AL741" s="40" t="s">
        <v>45</v>
      </c>
      <c r="AM741" s="40" t="s">
        <v>45</v>
      </c>
      <c r="AN741" s="40" t="s">
        <v>45</v>
      </c>
      <c r="AO741" s="41" t="s">
        <v>45</v>
      </c>
      <c r="AP741" s="40" t="s">
        <v>64</v>
      </c>
      <c r="AQ741" s="40">
        <v>8</v>
      </c>
      <c r="AR741" s="48" t="s">
        <v>347</v>
      </c>
      <c r="AS741" s="43" t="s">
        <v>659</v>
      </c>
      <c r="AT741" s="43"/>
      <c r="AU741" s="44">
        <f t="shared" si="87"/>
        <v>-2.5060525215375429</v>
      </c>
      <c r="AV741" s="44">
        <f t="shared" si="88"/>
        <v>-1.1865339896739031</v>
      </c>
      <c r="AW741" s="45">
        <f t="shared" si="89"/>
        <v>4</v>
      </c>
      <c r="AX741" s="45">
        <f t="shared" si="90"/>
        <v>0</v>
      </c>
      <c r="AY741" s="46">
        <f>VLOOKUP(AP741,COND!$A$10:$B$32,2,FALSE)</f>
        <v>1</v>
      </c>
      <c r="AZ741" s="44">
        <f>($AU$3*AU741+$AV$3*AV741+$AW$3*AW741+$AX$3*AX741)*AY741*IF(AQ741&lt;5,0.95,IF(AQ741&lt;7,0.975,1))+$I$3*VLOOKUP(I741,COND!$A$2:$E$7,4,FALSE)+$J$3*VLOOKUP(J741,COND!$A$2:$E$7,2,FALSE)+$K$3*VLOOKUP(K741,COND!$A$2:$E$7,3,FALSE)+IF(BB741="SP",$BB$3,0)+IF($AW741&lt;3,-5,0)+IF(AND($B$2&gt;0,$E741&lt;20),$B$2*25,0)</f>
        <v>29.693109702214429</v>
      </c>
      <c r="BA741" s="47">
        <f>STANDARDIZE(AZ741,AVERAGE($AZ$5:$AZ$788),STDEVP($AZ$5:$AZ$788))</f>
        <v>-0.51278701182851005</v>
      </c>
      <c r="BB741" s="45" t="str">
        <f t="shared" si="91"/>
        <v>SP</v>
      </c>
      <c r="BC741" s="45">
        <f>RANK(Table3[[#This Row],[zScore]],Table3[zScore])</f>
        <v>530</v>
      </c>
      <c r="BD741" s="45"/>
      <c r="BE741" s="45"/>
      <c r="BF741" s="45" t="str">
        <f t="shared" si="92"/>
        <v>Unlikely</v>
      </c>
      <c r="BG741" s="45"/>
      <c r="BH741" s="64" t="str">
        <f>INDEX(Table5[[#All],[Ovr]],MATCH(Table3[[#This Row],[PID]],Table5[[#All],[PID]],0))</f>
        <v/>
      </c>
      <c r="BI741" s="64" t="str">
        <f>INDEX(Table5[[#All],[Rnd]],MATCH(Table3[[#This Row],[PID]],Table5[[#All],[PID]],0))</f>
        <v/>
      </c>
      <c r="BJ741" s="64" t="str">
        <f>INDEX(Table5[[#All],[Pick]],MATCH(Table3[[#This Row],[PID]],Table5[[#All],[PID]],0))</f>
        <v/>
      </c>
      <c r="BK741" s="64" t="str">
        <f>INDEX(Table5[[#All],[Team]],MATCH(Table3[[#This Row],[PID]],Table5[[#All],[PID]],0))</f>
        <v/>
      </c>
      <c r="BL741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2" spans="1:64" ht="30" x14ac:dyDescent="0.25">
      <c r="A742" s="40">
        <v>17772</v>
      </c>
      <c r="B742" s="40" t="s">
        <v>24</v>
      </c>
      <c r="C742" s="40" t="s">
        <v>2015</v>
      </c>
      <c r="D742" s="40" t="s">
        <v>693</v>
      </c>
      <c r="E742" s="40">
        <v>21</v>
      </c>
      <c r="F742" s="40" t="s">
        <v>53</v>
      </c>
      <c r="G742" s="40" t="s">
        <v>42</v>
      </c>
      <c r="H742" s="41" t="s">
        <v>647</v>
      </c>
      <c r="I742" s="42" t="s">
        <v>43</v>
      </c>
      <c r="J742" s="40" t="s">
        <v>43</v>
      </c>
      <c r="K742" s="41" t="s">
        <v>47</v>
      </c>
      <c r="L742" s="40">
        <v>3</v>
      </c>
      <c r="M742" s="40">
        <v>2</v>
      </c>
      <c r="N742" s="41">
        <v>2</v>
      </c>
      <c r="O742" s="40">
        <v>5</v>
      </c>
      <c r="P742" s="40">
        <v>2</v>
      </c>
      <c r="Q742" s="41">
        <v>2</v>
      </c>
      <c r="R742" s="40">
        <v>5</v>
      </c>
      <c r="S742" s="40">
        <v>7</v>
      </c>
      <c r="T742" s="40">
        <v>2</v>
      </c>
      <c r="U742" s="40">
        <v>8</v>
      </c>
      <c r="V742" s="40" t="s">
        <v>45</v>
      </c>
      <c r="W742" s="40" t="s">
        <v>45</v>
      </c>
      <c r="X742" s="40">
        <v>3</v>
      </c>
      <c r="Y742" s="40">
        <v>4</v>
      </c>
      <c r="Z742" s="40" t="s">
        <v>45</v>
      </c>
      <c r="AA742" s="40" t="s">
        <v>45</v>
      </c>
      <c r="AB742" s="40" t="s">
        <v>45</v>
      </c>
      <c r="AC742" s="40" t="s">
        <v>45</v>
      </c>
      <c r="AD742" s="40" t="s">
        <v>45</v>
      </c>
      <c r="AE742" s="40" t="s">
        <v>45</v>
      </c>
      <c r="AF742" s="40" t="s">
        <v>45</v>
      </c>
      <c r="AG742" s="40" t="s">
        <v>45</v>
      </c>
      <c r="AH742" s="40" t="s">
        <v>45</v>
      </c>
      <c r="AI742" s="40" t="s">
        <v>45</v>
      </c>
      <c r="AJ742" s="40" t="s">
        <v>45</v>
      </c>
      <c r="AK742" s="40" t="s">
        <v>45</v>
      </c>
      <c r="AL742" s="40" t="s">
        <v>45</v>
      </c>
      <c r="AM742" s="40" t="s">
        <v>45</v>
      </c>
      <c r="AN742" s="40" t="s">
        <v>45</v>
      </c>
      <c r="AO742" s="41" t="s">
        <v>45</v>
      </c>
      <c r="AP742" s="40" t="s">
        <v>61</v>
      </c>
      <c r="AQ742" s="40">
        <v>3</v>
      </c>
      <c r="AR742" s="48" t="s">
        <v>347</v>
      </c>
      <c r="AS742" s="43" t="s">
        <v>45</v>
      </c>
      <c r="AT742" s="43" t="s">
        <v>47</v>
      </c>
      <c r="AU742" s="44">
        <f t="shared" si="87"/>
        <v>-1.8743493064650851</v>
      </c>
      <c r="AV742" s="44">
        <f t="shared" si="88"/>
        <v>-1.0394719067096667</v>
      </c>
      <c r="AW742" s="45">
        <f t="shared" si="89"/>
        <v>3</v>
      </c>
      <c r="AX742" s="45">
        <f t="shared" si="90"/>
        <v>2</v>
      </c>
      <c r="AY742" s="46">
        <f>VLOOKUP(AP742,COND!$A$10:$B$32,2,FALSE)</f>
        <v>1.05</v>
      </c>
      <c r="AZ742" s="44">
        <f>($AU$3*AU742+$AV$3*AV742+$AW$3*AW742+$AX$3*AX742)*AY742*IF(AQ742&lt;5,0.95,IF(AQ742&lt;7,0.975,1))+$I$3*VLOOKUP(I742,COND!$A$2:$E$7,4,FALSE)+$J$3*VLOOKUP(J742,COND!$A$2:$E$7,2,FALSE)+$K$3*VLOOKUP(K742,COND!$A$2:$E$7,3,FALSE)+IF(BB742="SP",$BB$3,0)+IF($AW742&lt;3,-5,0)+IF(AND($B$2&gt;0,$E742&lt;20),$B$2*25,0)</f>
        <v>28.178602774502366</v>
      </c>
      <c r="BA742" s="47">
        <f>STANDARDIZE(AZ742,AVERAGE($AZ$5:$AZ$557),STDEVP($AZ$5:$AZ$557))</f>
        <v>-0.51173190095724741</v>
      </c>
      <c r="BB742" s="45" t="str">
        <f t="shared" si="91"/>
        <v>RP</v>
      </c>
      <c r="BC742" s="45">
        <f>RANK(Table3[[#This Row],[zScore]],Table3[zScore])</f>
        <v>529</v>
      </c>
      <c r="BD742" s="45"/>
      <c r="BE742" s="45"/>
      <c r="BF742" s="45" t="str">
        <f t="shared" si="92"/>
        <v>Unlikely</v>
      </c>
      <c r="BG742" s="45"/>
      <c r="BH742" s="45">
        <f>INDEX(Table5[[#All],[Ovr]],MATCH(Table3[[#This Row],[PID]],Table5[[#All],[PID]],0))</f>
        <v>510</v>
      </c>
      <c r="BI742" s="45" t="str">
        <f>INDEX(Table5[[#All],[Rnd]],MATCH(Table3[[#This Row],[PID]],Table5[[#All],[PID]],0))</f>
        <v>17</v>
      </c>
      <c r="BJ742" s="45">
        <f>INDEX(Table5[[#All],[Pick]],MATCH(Table3[[#This Row],[PID]],Table5[[#All],[PID]],0))</f>
        <v>22</v>
      </c>
      <c r="BK742" s="45" t="str">
        <f>INDEX(Table5[[#All],[Team]],MATCH(Table3[[#This Row],[PID]],Table5[[#All],[PID]],0))</f>
        <v>Fargo Dinosaurs</v>
      </c>
      <c r="BL74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43" spans="1:64" ht="30" x14ac:dyDescent="0.25">
      <c r="A743" s="40">
        <v>20586</v>
      </c>
      <c r="B743" s="40" t="s">
        <v>24</v>
      </c>
      <c r="C743" s="40" t="s">
        <v>2171</v>
      </c>
      <c r="D743" s="40" t="s">
        <v>2172</v>
      </c>
      <c r="E743" s="40">
        <v>17</v>
      </c>
      <c r="F743" s="40" t="s">
        <v>42</v>
      </c>
      <c r="G743" s="40" t="s">
        <v>42</v>
      </c>
      <c r="H743" s="41" t="s">
        <v>647</v>
      </c>
      <c r="I743" s="42" t="s">
        <v>43</v>
      </c>
      <c r="J743" s="40" t="s">
        <v>43</v>
      </c>
      <c r="K743" s="41" t="s">
        <v>43</v>
      </c>
      <c r="L743" s="40">
        <v>2</v>
      </c>
      <c r="M743" s="40">
        <v>1</v>
      </c>
      <c r="N743" s="41">
        <v>1</v>
      </c>
      <c r="O743" s="40">
        <v>4</v>
      </c>
      <c r="P743" s="40">
        <v>2</v>
      </c>
      <c r="Q743" s="41">
        <v>2</v>
      </c>
      <c r="R743" s="40">
        <v>4</v>
      </c>
      <c r="S743" s="40">
        <v>5</v>
      </c>
      <c r="T743" s="40">
        <v>1</v>
      </c>
      <c r="U743" s="40">
        <v>5</v>
      </c>
      <c r="V743" s="40" t="s">
        <v>45</v>
      </c>
      <c r="W743" s="40" t="s">
        <v>45</v>
      </c>
      <c r="X743" s="40" t="s">
        <v>45</v>
      </c>
      <c r="Y743" s="40" t="s">
        <v>45</v>
      </c>
      <c r="Z743" s="40" t="s">
        <v>45</v>
      </c>
      <c r="AA743" s="40" t="s">
        <v>45</v>
      </c>
      <c r="AB743" s="40" t="s">
        <v>45</v>
      </c>
      <c r="AC743" s="40" t="s">
        <v>45</v>
      </c>
      <c r="AD743" s="40" t="s">
        <v>45</v>
      </c>
      <c r="AE743" s="40" t="s">
        <v>45</v>
      </c>
      <c r="AF743" s="40">
        <v>3</v>
      </c>
      <c r="AG743" s="40">
        <v>4</v>
      </c>
      <c r="AH743" s="40" t="s">
        <v>45</v>
      </c>
      <c r="AI743" s="40" t="s">
        <v>45</v>
      </c>
      <c r="AJ743" s="40" t="s">
        <v>45</v>
      </c>
      <c r="AK743" s="40" t="s">
        <v>45</v>
      </c>
      <c r="AL743" s="40">
        <v>2</v>
      </c>
      <c r="AM743" s="40">
        <v>2</v>
      </c>
      <c r="AN743" s="40" t="s">
        <v>45</v>
      </c>
      <c r="AO743" s="41" t="s">
        <v>45</v>
      </c>
      <c r="AP743" s="40" t="s">
        <v>57</v>
      </c>
      <c r="AQ743" s="40">
        <v>5</v>
      </c>
      <c r="AR743" s="48" t="s">
        <v>347</v>
      </c>
      <c r="AS743" s="43" t="s">
        <v>659</v>
      </c>
      <c r="AT743" s="43"/>
      <c r="AU743" s="44">
        <f t="shared" si="87"/>
        <v>-2.5067929134584248</v>
      </c>
      <c r="AV743" s="44">
        <f t="shared" si="88"/>
        <v>-1.23416323121884</v>
      </c>
      <c r="AW743" s="45">
        <f t="shared" si="89"/>
        <v>4</v>
      </c>
      <c r="AX743" s="45">
        <f t="shared" si="90"/>
        <v>0</v>
      </c>
      <c r="AY743" s="46">
        <f>VLOOKUP(AP743,COND!$A$10:$B$32,2,FALSE)</f>
        <v>1</v>
      </c>
      <c r="AZ743" s="44">
        <f>($AU$3*AU743+$AV$3*AV743+$AW$3*AW743+$AX$3*AX743)*AY743*IF(AQ743&lt;5,0.95,IF(AQ743&lt;7,0.975,1))+$I$3*VLOOKUP(I743,COND!$A$2:$E$7,4,FALSE)+$J$3*VLOOKUP(J743,COND!$A$2:$E$7,2,FALSE)+$K$3*VLOOKUP(K743,COND!$A$2:$E$7,3,FALSE)+IF(BB743="SP",$BB$3,0)+IF($AW743&lt;3,-5,0)+IF(AND($B$2&gt;0,$E743&lt;20),$B$2*25,0)</f>
        <v>29.394992373108227</v>
      </c>
      <c r="BA743" s="47">
        <f>STANDARDIZE(AZ743,AVERAGE($AZ$5:$AZ$788),STDEVP($AZ$5:$AZ$788))</f>
        <v>-0.53435951675197635</v>
      </c>
      <c r="BB743" s="45" t="str">
        <f t="shared" si="91"/>
        <v>SP</v>
      </c>
      <c r="BC743" s="45">
        <f>RANK(Table3[[#This Row],[zScore]],Table3[zScore])</f>
        <v>533</v>
      </c>
      <c r="BD743" s="45"/>
      <c r="BE743" s="45"/>
      <c r="BF743" s="45" t="str">
        <f t="shared" si="92"/>
        <v>Unlikely</v>
      </c>
      <c r="BG743" s="45"/>
      <c r="BH743" s="64" t="str">
        <f>INDEX(Table5[[#All],[Ovr]],MATCH(Table3[[#This Row],[PID]],Table5[[#All],[PID]],0))</f>
        <v/>
      </c>
      <c r="BI743" s="64" t="str">
        <f>INDEX(Table5[[#All],[Rnd]],MATCH(Table3[[#This Row],[PID]],Table5[[#All],[PID]],0))</f>
        <v/>
      </c>
      <c r="BJ743" s="64" t="str">
        <f>INDEX(Table5[[#All],[Pick]],MATCH(Table3[[#This Row],[PID]],Table5[[#All],[PID]],0))</f>
        <v/>
      </c>
      <c r="BK743" s="64" t="str">
        <f>INDEX(Table5[[#All],[Team]],MATCH(Table3[[#This Row],[PID]],Table5[[#All],[PID]],0))</f>
        <v/>
      </c>
      <c r="BL743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4" spans="1:64" ht="30" x14ac:dyDescent="0.25">
      <c r="A744" s="40">
        <v>20240</v>
      </c>
      <c r="B744" s="40" t="s">
        <v>24</v>
      </c>
      <c r="C744" s="40" t="s">
        <v>371</v>
      </c>
      <c r="D744" s="40" t="s">
        <v>2160</v>
      </c>
      <c r="E744" s="40">
        <v>22</v>
      </c>
      <c r="F744" s="40" t="s">
        <v>42</v>
      </c>
      <c r="G744" s="40" t="s">
        <v>42</v>
      </c>
      <c r="H744" s="41" t="s">
        <v>647</v>
      </c>
      <c r="I744" s="42" t="s">
        <v>44</v>
      </c>
      <c r="J744" s="40" t="s">
        <v>44</v>
      </c>
      <c r="K744" s="41" t="s">
        <v>43</v>
      </c>
      <c r="L744" s="40">
        <v>3</v>
      </c>
      <c r="M744" s="40">
        <v>2</v>
      </c>
      <c r="N744" s="41">
        <v>2</v>
      </c>
      <c r="O744" s="40">
        <v>4</v>
      </c>
      <c r="P744" s="40">
        <v>2</v>
      </c>
      <c r="Q744" s="41">
        <v>3</v>
      </c>
      <c r="R744" s="40">
        <v>4</v>
      </c>
      <c r="S744" s="40">
        <v>5</v>
      </c>
      <c r="T744" s="40">
        <v>2</v>
      </c>
      <c r="U744" s="40">
        <v>4</v>
      </c>
      <c r="V744" s="40">
        <v>3</v>
      </c>
      <c r="W744" s="40">
        <v>5</v>
      </c>
      <c r="X744" s="40">
        <v>3</v>
      </c>
      <c r="Y744" s="40">
        <v>5</v>
      </c>
      <c r="Z744" s="40" t="s">
        <v>45</v>
      </c>
      <c r="AA744" s="40" t="s">
        <v>45</v>
      </c>
      <c r="AB744" s="40">
        <v>4</v>
      </c>
      <c r="AC744" s="40">
        <v>4</v>
      </c>
      <c r="AD744" s="40" t="s">
        <v>45</v>
      </c>
      <c r="AE744" s="40" t="s">
        <v>45</v>
      </c>
      <c r="AF744" s="40">
        <v>4</v>
      </c>
      <c r="AG744" s="40">
        <v>5</v>
      </c>
      <c r="AH744" s="40" t="s">
        <v>45</v>
      </c>
      <c r="AI744" s="40" t="s">
        <v>45</v>
      </c>
      <c r="AJ744" s="40" t="s">
        <v>45</v>
      </c>
      <c r="AK744" s="40" t="s">
        <v>45</v>
      </c>
      <c r="AL744" s="40" t="s">
        <v>45</v>
      </c>
      <c r="AM744" s="40" t="s">
        <v>45</v>
      </c>
      <c r="AN744" s="40" t="s">
        <v>45</v>
      </c>
      <c r="AO744" s="41" t="s">
        <v>45</v>
      </c>
      <c r="AP744" s="40" t="s">
        <v>56</v>
      </c>
      <c r="AQ744" s="40">
        <v>9</v>
      </c>
      <c r="AR744" s="48" t="s">
        <v>347</v>
      </c>
      <c r="AS744" s="43" t="s">
        <v>45</v>
      </c>
      <c r="AT744" s="43"/>
      <c r="AU744" s="44">
        <f t="shared" si="87"/>
        <v>-1.8743493064650851</v>
      </c>
      <c r="AV744" s="44">
        <f t="shared" si="88"/>
        <v>-0.99184266516472974</v>
      </c>
      <c r="AW744" s="45">
        <f t="shared" si="89"/>
        <v>6</v>
      </c>
      <c r="AX744" s="45">
        <f t="shared" si="90"/>
        <v>0</v>
      </c>
      <c r="AY744" s="46">
        <f>VLOOKUP(AP744,COND!$A$10:$B$32,2,FALSE)</f>
        <v>1</v>
      </c>
      <c r="AZ744" s="44">
        <f>($AU$3*AU744+$AV$3*AV744+$AW$3*AW744+$AX$3*AX744)*AY744*IF(AQ744&lt;5,0.95,IF(AQ744&lt;7,0.975,1))+$I$3*VLOOKUP(I744,COND!$A$2:$E$7,4,FALSE)+$J$3*VLOOKUP(J744,COND!$A$2:$E$7,2,FALSE)+$K$3*VLOOKUP(K744,COND!$A$2:$E$7,3,FALSE)+IF(BB744="SP",$BB$3,0)+IF($AW744&lt;3,-5,0)+IF(AND($B$2&gt;0,$E744&lt;20),$B$2*25,0)</f>
        <v>29.338276835412387</v>
      </c>
      <c r="BA744" s="47">
        <f>STANDARDIZE(AZ744,AVERAGE($AZ$5:$AZ$788),STDEVP($AZ$5:$AZ$788))</f>
        <v>-0.53846359288820356</v>
      </c>
      <c r="BB744" s="45" t="str">
        <f t="shared" si="91"/>
        <v>SP</v>
      </c>
      <c r="BC744" s="45">
        <f>RANK(Table3[[#This Row],[zScore]],Table3[zScore])</f>
        <v>537</v>
      </c>
      <c r="BD744" s="45"/>
      <c r="BE744" s="45"/>
      <c r="BF744" s="45" t="str">
        <f t="shared" si="92"/>
        <v>Unlikely</v>
      </c>
      <c r="BG744" s="45"/>
      <c r="BH744" s="64">
        <f>INDEX(Table5[[#All],[Ovr]],MATCH(Table3[[#This Row],[PID]],Table5[[#All],[PID]],0))</f>
        <v>586</v>
      </c>
      <c r="BI744" s="64" t="str">
        <f>INDEX(Table5[[#All],[Rnd]],MATCH(Table3[[#This Row],[PID]],Table5[[#All],[PID]],0))</f>
        <v>20</v>
      </c>
      <c r="BJ744" s="64">
        <f>INDEX(Table5[[#All],[Pick]],MATCH(Table3[[#This Row],[PID]],Table5[[#All],[PID]],0))</f>
        <v>8</v>
      </c>
      <c r="BK744" s="64" t="str">
        <f>INDEX(Table5[[#All],[Team]],MATCH(Table3[[#This Row],[PID]],Table5[[#All],[PID]],0))</f>
        <v>London Underground</v>
      </c>
      <c r="BL744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5" spans="1:64" ht="30" x14ac:dyDescent="0.25">
      <c r="A745" s="40">
        <v>9358</v>
      </c>
      <c r="B745" s="40" t="s">
        <v>24</v>
      </c>
      <c r="C745" s="40" t="s">
        <v>134</v>
      </c>
      <c r="D745" s="40" t="s">
        <v>857</v>
      </c>
      <c r="E745" s="40">
        <v>22</v>
      </c>
      <c r="F745" s="40" t="s">
        <v>53</v>
      </c>
      <c r="G745" s="40" t="s">
        <v>53</v>
      </c>
      <c r="H745" s="41" t="s">
        <v>647</v>
      </c>
      <c r="I745" s="42" t="s">
        <v>43</v>
      </c>
      <c r="J745" s="40" t="s">
        <v>47</v>
      </c>
      <c r="K745" s="41" t="s">
        <v>43</v>
      </c>
      <c r="L745" s="40">
        <v>2</v>
      </c>
      <c r="M745" s="40">
        <v>1</v>
      </c>
      <c r="N745" s="41">
        <v>2</v>
      </c>
      <c r="O745" s="40">
        <v>4</v>
      </c>
      <c r="P745" s="40">
        <v>1</v>
      </c>
      <c r="Q745" s="41">
        <v>3</v>
      </c>
      <c r="R745" s="40">
        <v>4</v>
      </c>
      <c r="S745" s="40">
        <v>5</v>
      </c>
      <c r="T745" s="40">
        <v>3</v>
      </c>
      <c r="U745" s="40">
        <v>6</v>
      </c>
      <c r="V745" s="40" t="s">
        <v>45</v>
      </c>
      <c r="W745" s="40" t="s">
        <v>45</v>
      </c>
      <c r="X745" s="40">
        <v>4</v>
      </c>
      <c r="Y745" s="40">
        <v>6</v>
      </c>
      <c r="Z745" s="40" t="s">
        <v>45</v>
      </c>
      <c r="AA745" s="40" t="s">
        <v>45</v>
      </c>
      <c r="AB745" s="40" t="s">
        <v>45</v>
      </c>
      <c r="AC745" s="40" t="s">
        <v>45</v>
      </c>
      <c r="AD745" s="40" t="s">
        <v>45</v>
      </c>
      <c r="AE745" s="40" t="s">
        <v>45</v>
      </c>
      <c r="AF745" s="40" t="s">
        <v>45</v>
      </c>
      <c r="AG745" s="40" t="s">
        <v>45</v>
      </c>
      <c r="AH745" s="40" t="s">
        <v>45</v>
      </c>
      <c r="AI745" s="40" t="s">
        <v>45</v>
      </c>
      <c r="AJ745" s="40" t="s">
        <v>45</v>
      </c>
      <c r="AK745" s="40" t="s">
        <v>45</v>
      </c>
      <c r="AL745" s="40" t="s">
        <v>45</v>
      </c>
      <c r="AM745" s="40" t="s">
        <v>45</v>
      </c>
      <c r="AN745" s="40" t="s">
        <v>45</v>
      </c>
      <c r="AO745" s="41" t="s">
        <v>45</v>
      </c>
      <c r="AP745" s="40" t="s">
        <v>57</v>
      </c>
      <c r="AQ745" s="40">
        <v>6</v>
      </c>
      <c r="AR745" s="48" t="s">
        <v>14</v>
      </c>
      <c r="AS745" s="43" t="s">
        <v>45</v>
      </c>
      <c r="AT745" s="43" t="s">
        <v>47</v>
      </c>
      <c r="AU745" s="44">
        <f t="shared" si="87"/>
        <v>-2.2644723474043147</v>
      </c>
      <c r="AV745" s="44">
        <f t="shared" si="88"/>
        <v>-1.1872743815947853</v>
      </c>
      <c r="AW745" s="45">
        <f t="shared" si="89"/>
        <v>3</v>
      </c>
      <c r="AX745" s="45">
        <f t="shared" si="90"/>
        <v>2</v>
      </c>
      <c r="AY745" s="46">
        <f>VLOOKUP(AP745,COND!$A$10:$B$32,2,FALSE)</f>
        <v>1</v>
      </c>
      <c r="AZ745" s="44">
        <f>($AU$3*AU745+$AV$3*AV745+$AW$3*AW745+$AX$3*AX745)*AY745*IF(AQ745&lt;5,0.95,IF(AQ745&lt;7,0.975,1))+$I$3*VLOOKUP(I745,COND!$A$2:$E$7,4,FALSE)+$J$3*VLOOKUP(J745,COND!$A$2:$E$7,2,FALSE)+$K$3*VLOOKUP(K745,COND!$A$2:$E$7,3,FALSE)+IF(BB745="SP",$BB$3,0)+IF($AW745&lt;3,-5,0)+IF(AND($B$2&gt;0,$E745&lt;20),$B$2*25,0)</f>
        <v>27.606577451157847</v>
      </c>
      <c r="BA745" s="47">
        <f>STANDARDIZE(AZ745,AVERAGE($AZ$5:$AZ$557),STDEVP($AZ$5:$AZ$557))</f>
        <v>-0.54978787160240372</v>
      </c>
      <c r="BB745" s="45" t="str">
        <f t="shared" si="91"/>
        <v>SP</v>
      </c>
      <c r="BC745" s="45">
        <f>RANK(Table3[[#This Row],[zScore]],Table3[zScore])</f>
        <v>542</v>
      </c>
      <c r="BD745" s="45"/>
      <c r="BE745" s="45"/>
      <c r="BF745" s="45" t="str">
        <f t="shared" si="92"/>
        <v>Unlikely</v>
      </c>
      <c r="BG745" s="45"/>
      <c r="BH745" s="45" t="str">
        <f>INDEX(Table5[[#All],[Ovr]],MATCH(Table3[[#This Row],[PID]],Table5[[#All],[PID]],0))</f>
        <v/>
      </c>
      <c r="BI745" s="45" t="str">
        <f>INDEX(Table5[[#All],[Rnd]],MATCH(Table3[[#This Row],[PID]],Table5[[#All],[PID]],0))</f>
        <v/>
      </c>
      <c r="BJ745" s="45" t="str">
        <f>INDEX(Table5[[#All],[Pick]],MATCH(Table3[[#This Row],[PID]],Table5[[#All],[PID]],0))</f>
        <v/>
      </c>
      <c r="BK745" s="45" t="str">
        <f>INDEX(Table5[[#All],[Team]],MATCH(Table3[[#This Row],[PID]],Table5[[#All],[PID]],0))</f>
        <v/>
      </c>
      <c r="BL74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46" spans="1:64" ht="30" x14ac:dyDescent="0.25">
      <c r="A746" s="40">
        <v>20213</v>
      </c>
      <c r="B746" s="40" t="s">
        <v>24</v>
      </c>
      <c r="C746" s="40" t="s">
        <v>2176</v>
      </c>
      <c r="D746" s="40" t="s">
        <v>2177</v>
      </c>
      <c r="E746" s="40">
        <v>22</v>
      </c>
      <c r="F746" s="40" t="s">
        <v>42</v>
      </c>
      <c r="G746" s="40" t="s">
        <v>42</v>
      </c>
      <c r="H746" s="41" t="s">
        <v>647</v>
      </c>
      <c r="I746" s="42" t="s">
        <v>43</v>
      </c>
      <c r="J746" s="40" t="s">
        <v>44</v>
      </c>
      <c r="K746" s="41" t="s">
        <v>44</v>
      </c>
      <c r="L746" s="40">
        <v>3</v>
      </c>
      <c r="M746" s="40">
        <v>2</v>
      </c>
      <c r="N746" s="41">
        <v>2</v>
      </c>
      <c r="O746" s="40">
        <v>4</v>
      </c>
      <c r="P746" s="40">
        <v>2</v>
      </c>
      <c r="Q746" s="41">
        <v>3</v>
      </c>
      <c r="R746" s="40" t="s">
        <v>45</v>
      </c>
      <c r="S746" s="40" t="s">
        <v>45</v>
      </c>
      <c r="T746" s="40" t="s">
        <v>45</v>
      </c>
      <c r="U746" s="40" t="s">
        <v>45</v>
      </c>
      <c r="V746" s="40">
        <v>3</v>
      </c>
      <c r="W746" s="40">
        <v>6</v>
      </c>
      <c r="X746" s="40" t="s">
        <v>45</v>
      </c>
      <c r="Y746" s="40" t="s">
        <v>45</v>
      </c>
      <c r="Z746" s="40">
        <v>4</v>
      </c>
      <c r="AA746" s="40">
        <v>5</v>
      </c>
      <c r="AB746" s="40" t="s">
        <v>45</v>
      </c>
      <c r="AC746" s="40" t="s">
        <v>45</v>
      </c>
      <c r="AD746" s="40">
        <v>4</v>
      </c>
      <c r="AE746" s="40">
        <v>5</v>
      </c>
      <c r="AF746" s="40" t="s">
        <v>45</v>
      </c>
      <c r="AG746" s="40" t="s">
        <v>45</v>
      </c>
      <c r="AH746" s="40" t="s">
        <v>45</v>
      </c>
      <c r="AI746" s="40" t="s">
        <v>45</v>
      </c>
      <c r="AJ746" s="40" t="s">
        <v>45</v>
      </c>
      <c r="AK746" s="40" t="s">
        <v>45</v>
      </c>
      <c r="AL746" s="40" t="s">
        <v>45</v>
      </c>
      <c r="AM746" s="40" t="s">
        <v>45</v>
      </c>
      <c r="AN746" s="40" t="s">
        <v>45</v>
      </c>
      <c r="AO746" s="41" t="s">
        <v>45</v>
      </c>
      <c r="AP746" s="40" t="s">
        <v>56</v>
      </c>
      <c r="AQ746" s="40">
        <v>8</v>
      </c>
      <c r="AR746" s="48" t="s">
        <v>347</v>
      </c>
      <c r="AS746" s="43" t="s">
        <v>45</v>
      </c>
      <c r="AT746" s="43"/>
      <c r="AU746" s="44">
        <f t="shared" si="87"/>
        <v>-1.8743493064650851</v>
      </c>
      <c r="AV746" s="44">
        <f t="shared" si="88"/>
        <v>-0.99184266516472974</v>
      </c>
      <c r="AW746" s="45">
        <f t="shared" si="89"/>
        <v>3</v>
      </c>
      <c r="AX746" s="45">
        <f t="shared" si="90"/>
        <v>1</v>
      </c>
      <c r="AY746" s="46">
        <f>VLOOKUP(AP746,COND!$A$10:$B$32,2,FALSE)</f>
        <v>1</v>
      </c>
      <c r="AZ746" s="44">
        <f>($AU$3*AU746+$AV$3*AV746+$AW$3*AW746+$AX$3*AX746)*AY746*IF(AQ746&lt;5,0.95,IF(AQ746&lt;7,0.975,1))+$I$3*VLOOKUP(I746,COND!$A$2:$E$7,4,FALSE)+$J$3*VLOOKUP(J746,COND!$A$2:$E$7,2,FALSE)+$K$3*VLOOKUP(K746,COND!$A$2:$E$7,3,FALSE)+IF(BB746="SP",$BB$3,0)+IF($AW746&lt;3,-5,0)+IF(AND($B$2&gt;0,$E746&lt;20),$B$2*25,0)</f>
        <v>28.938276835412385</v>
      </c>
      <c r="BA746" s="47">
        <f>STANDARDIZE(AZ746,AVERAGE($AZ$5:$AZ$788),STDEVP($AZ$5:$AZ$788))</f>
        <v>-0.56740857906279984</v>
      </c>
      <c r="BB746" s="45" t="str">
        <f t="shared" si="91"/>
        <v>SP</v>
      </c>
      <c r="BC746" s="45">
        <f>RANK(Table3[[#This Row],[zScore]],Table3[zScore])</f>
        <v>546</v>
      </c>
      <c r="BD746" s="45"/>
      <c r="BE746" s="45"/>
      <c r="BF746" s="45" t="str">
        <f t="shared" si="92"/>
        <v>Unlikely</v>
      </c>
      <c r="BG746" s="45"/>
      <c r="BH746" s="64" t="str">
        <f>INDEX(Table5[[#All],[Ovr]],MATCH(Table3[[#This Row],[PID]],Table5[[#All],[PID]],0))</f>
        <v/>
      </c>
      <c r="BI746" s="64" t="str">
        <f>INDEX(Table5[[#All],[Rnd]],MATCH(Table3[[#This Row],[PID]],Table5[[#All],[PID]],0))</f>
        <v/>
      </c>
      <c r="BJ746" s="64" t="str">
        <f>INDEX(Table5[[#All],[Pick]],MATCH(Table3[[#This Row],[PID]],Table5[[#All],[PID]],0))</f>
        <v/>
      </c>
      <c r="BK746" s="64" t="str">
        <f>INDEX(Table5[[#All],[Team]],MATCH(Table3[[#This Row],[PID]],Table5[[#All],[PID]],0))</f>
        <v/>
      </c>
      <c r="BL746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7" spans="1:64" ht="30" x14ac:dyDescent="0.25">
      <c r="A747" s="40">
        <v>20685</v>
      </c>
      <c r="B747" s="40" t="s">
        <v>24</v>
      </c>
      <c r="C747" s="40" t="s">
        <v>2202</v>
      </c>
      <c r="D747" s="40" t="s">
        <v>2203</v>
      </c>
      <c r="E747" s="40">
        <v>19</v>
      </c>
      <c r="F747" s="40" t="s">
        <v>42</v>
      </c>
      <c r="G747" s="40" t="s">
        <v>42</v>
      </c>
      <c r="H747" s="41" t="s">
        <v>647</v>
      </c>
      <c r="I747" s="42" t="s">
        <v>43</v>
      </c>
      <c r="J747" s="40" t="s">
        <v>44</v>
      </c>
      <c r="K747" s="41" t="s">
        <v>43</v>
      </c>
      <c r="L747" s="40">
        <v>2</v>
      </c>
      <c r="M747" s="40">
        <v>1</v>
      </c>
      <c r="N747" s="41">
        <v>1</v>
      </c>
      <c r="O747" s="40">
        <v>5</v>
      </c>
      <c r="P747" s="40">
        <v>1</v>
      </c>
      <c r="Q747" s="41">
        <v>3</v>
      </c>
      <c r="R747" s="40">
        <v>5</v>
      </c>
      <c r="S747" s="40">
        <v>7</v>
      </c>
      <c r="T747" s="40">
        <v>3</v>
      </c>
      <c r="U747" s="40">
        <v>9</v>
      </c>
      <c r="V747" s="40" t="s">
        <v>45</v>
      </c>
      <c r="W747" s="40" t="s">
        <v>45</v>
      </c>
      <c r="X747" s="40" t="s">
        <v>45</v>
      </c>
      <c r="Y747" s="40" t="s">
        <v>45</v>
      </c>
      <c r="Z747" s="40" t="s">
        <v>45</v>
      </c>
      <c r="AA747" s="40" t="s">
        <v>45</v>
      </c>
      <c r="AB747" s="40" t="s">
        <v>45</v>
      </c>
      <c r="AC747" s="40" t="s">
        <v>45</v>
      </c>
      <c r="AD747" s="40" t="s">
        <v>45</v>
      </c>
      <c r="AE747" s="40" t="s">
        <v>45</v>
      </c>
      <c r="AF747" s="40" t="s">
        <v>45</v>
      </c>
      <c r="AG747" s="40" t="s">
        <v>45</v>
      </c>
      <c r="AH747" s="40" t="s">
        <v>45</v>
      </c>
      <c r="AI747" s="40" t="s">
        <v>45</v>
      </c>
      <c r="AJ747" s="40" t="s">
        <v>45</v>
      </c>
      <c r="AK747" s="40" t="s">
        <v>45</v>
      </c>
      <c r="AL747" s="40" t="s">
        <v>45</v>
      </c>
      <c r="AM747" s="40" t="s">
        <v>45</v>
      </c>
      <c r="AN747" s="40" t="s">
        <v>45</v>
      </c>
      <c r="AO747" s="41" t="s">
        <v>45</v>
      </c>
      <c r="AP747" s="40" t="s">
        <v>56</v>
      </c>
      <c r="AQ747" s="40">
        <v>4</v>
      </c>
      <c r="AR747" s="48" t="s">
        <v>14</v>
      </c>
      <c r="AS747" s="43" t="s">
        <v>644</v>
      </c>
      <c r="AT747" s="43"/>
      <c r="AU747" s="44">
        <f t="shared" si="87"/>
        <v>-2.5067929134584248</v>
      </c>
      <c r="AV747" s="44">
        <f t="shared" si="88"/>
        <v>-0.99258305708561179</v>
      </c>
      <c r="AW747" s="45">
        <f t="shared" si="89"/>
        <v>2</v>
      </c>
      <c r="AX747" s="45">
        <f t="shared" si="90"/>
        <v>2</v>
      </c>
      <c r="AY747" s="46">
        <f>VLOOKUP(AP747,COND!$A$10:$B$32,2,FALSE)</f>
        <v>1</v>
      </c>
      <c r="AZ747" s="44">
        <f>($AU$3*AU747+$AV$3*AV747+$AW$3*AW747+$AX$3*AX747)*AY747*IF(AQ747&lt;5,0.95,IF(AQ747&lt;7,0.975,1))+$I$3*VLOOKUP(I747,COND!$A$2:$E$7,4,FALSE)+$J$3*VLOOKUP(J747,COND!$A$2:$E$7,2,FALSE)+$K$3*VLOOKUP(K747,COND!$A$2:$E$7,3,FALSE)+IF(BB747="SP",$BB$3,0)+IF($AW747&lt;3,-5,0)+IF(AND($B$2&gt;0,$E747&lt;20),$B$2*25,0)</f>
        <v>28.689631261816274</v>
      </c>
      <c r="BA747" s="47">
        <f>STANDARDIZE(AZ747,AVERAGE($AZ$5:$AZ$788),STDEVP($AZ$5:$AZ$788))</f>
        <v>-0.58540118578808475</v>
      </c>
      <c r="BB747" s="45" t="str">
        <f t="shared" si="91"/>
        <v>RP</v>
      </c>
      <c r="BC747" s="45">
        <f>RANK(Table3[[#This Row],[zScore]],Table3[zScore])</f>
        <v>549</v>
      </c>
      <c r="BD747" s="45"/>
      <c r="BE747" s="45"/>
      <c r="BF747" s="45" t="str">
        <f t="shared" si="92"/>
        <v>Unlikely</v>
      </c>
      <c r="BG747" s="45"/>
      <c r="BH747" s="64" t="str">
        <f>INDEX(Table5[[#All],[Ovr]],MATCH(Table3[[#This Row],[PID]],Table5[[#All],[PID]],0))</f>
        <v/>
      </c>
      <c r="BI747" s="64" t="str">
        <f>INDEX(Table5[[#All],[Rnd]],MATCH(Table3[[#This Row],[PID]],Table5[[#All],[PID]],0))</f>
        <v/>
      </c>
      <c r="BJ747" s="64" t="str">
        <f>INDEX(Table5[[#All],[Pick]],MATCH(Table3[[#This Row],[PID]],Table5[[#All],[PID]],0))</f>
        <v/>
      </c>
      <c r="BK747" s="64" t="str">
        <f>INDEX(Table5[[#All],[Team]],MATCH(Table3[[#This Row],[PID]],Table5[[#All],[PID]],0))</f>
        <v/>
      </c>
      <c r="BL747" s="64" t="str">
        <f>IF(OR(Table3[[#This Row],[POS]]="SP",Table3[[#This Row],[POS]]="RP",Table3[[#This Row],[POS]]="CL"),"P",INDEX(Batters[[#All],[zScore]],MATCH(Table3[[#This Row],[PID]],Batters[[#All],[PID]],0)))</f>
        <v>P</v>
      </c>
    </row>
    <row r="748" spans="1:64" ht="30" x14ac:dyDescent="0.25">
      <c r="A748" s="40">
        <v>9713</v>
      </c>
      <c r="B748" s="40" t="s">
        <v>24</v>
      </c>
      <c r="C748" s="40" t="s">
        <v>838</v>
      </c>
      <c r="D748" s="40" t="s">
        <v>674</v>
      </c>
      <c r="E748" s="40">
        <v>22</v>
      </c>
      <c r="F748" s="40" t="s">
        <v>42</v>
      </c>
      <c r="G748" s="40" t="s">
        <v>42</v>
      </c>
      <c r="H748" s="41" t="s">
        <v>647</v>
      </c>
      <c r="I748" s="42" t="s">
        <v>47</v>
      </c>
      <c r="J748" s="40" t="s">
        <v>43</v>
      </c>
      <c r="K748" s="41" t="s">
        <v>43</v>
      </c>
      <c r="L748" s="40">
        <v>2</v>
      </c>
      <c r="M748" s="40">
        <v>1</v>
      </c>
      <c r="N748" s="41">
        <v>2</v>
      </c>
      <c r="O748" s="40">
        <v>4</v>
      </c>
      <c r="P748" s="40">
        <v>1</v>
      </c>
      <c r="Q748" s="41">
        <v>3</v>
      </c>
      <c r="R748" s="40">
        <v>5</v>
      </c>
      <c r="S748" s="40">
        <v>6</v>
      </c>
      <c r="T748" s="40">
        <v>3</v>
      </c>
      <c r="U748" s="40">
        <v>5</v>
      </c>
      <c r="V748" s="40" t="s">
        <v>45</v>
      </c>
      <c r="W748" s="40" t="s">
        <v>45</v>
      </c>
      <c r="X748" s="40">
        <v>3</v>
      </c>
      <c r="Y748" s="40">
        <v>7</v>
      </c>
      <c r="Z748" s="40" t="s">
        <v>45</v>
      </c>
      <c r="AA748" s="40" t="s">
        <v>45</v>
      </c>
      <c r="AB748" s="40" t="s">
        <v>45</v>
      </c>
      <c r="AC748" s="40" t="s">
        <v>45</v>
      </c>
      <c r="AD748" s="40" t="s">
        <v>45</v>
      </c>
      <c r="AE748" s="40" t="s">
        <v>45</v>
      </c>
      <c r="AF748" s="40" t="s">
        <v>45</v>
      </c>
      <c r="AG748" s="40" t="s">
        <v>45</v>
      </c>
      <c r="AH748" s="40" t="s">
        <v>45</v>
      </c>
      <c r="AI748" s="40" t="s">
        <v>45</v>
      </c>
      <c r="AJ748" s="40" t="s">
        <v>45</v>
      </c>
      <c r="AK748" s="40" t="s">
        <v>45</v>
      </c>
      <c r="AL748" s="40" t="s">
        <v>45</v>
      </c>
      <c r="AM748" s="40" t="s">
        <v>45</v>
      </c>
      <c r="AN748" s="40" t="s">
        <v>45</v>
      </c>
      <c r="AO748" s="41" t="s">
        <v>45</v>
      </c>
      <c r="AP748" s="40" t="s">
        <v>60</v>
      </c>
      <c r="AQ748" s="40">
        <v>6</v>
      </c>
      <c r="AR748" s="48" t="s">
        <v>351</v>
      </c>
      <c r="AS748" s="43" t="s">
        <v>45</v>
      </c>
      <c r="AT748" s="43" t="s">
        <v>47</v>
      </c>
      <c r="AU748" s="44">
        <f t="shared" si="87"/>
        <v>-2.2644723474043147</v>
      </c>
      <c r="AV748" s="44">
        <f t="shared" si="88"/>
        <v>-1.1872743815947853</v>
      </c>
      <c r="AW748" s="45">
        <f t="shared" si="89"/>
        <v>3</v>
      </c>
      <c r="AX748" s="45">
        <f t="shared" si="90"/>
        <v>2</v>
      </c>
      <c r="AY748" s="46">
        <f>VLOOKUP(AP748,COND!$A$10:$B$32,2,FALSE)</f>
        <v>1.0249999999999999</v>
      </c>
      <c r="AZ748" s="44">
        <f>($AU$3*AU748+$AV$3*AV748+$AW$3*AW748+$AX$3*AX748)*AY748*IF(AQ748&lt;5,0.95,IF(AQ748&lt;7,0.975,1))+$I$3*VLOOKUP(I748,COND!$A$2:$E$7,4,FALSE)+$J$3*VLOOKUP(J748,COND!$A$2:$E$7,2,FALSE)+$K$3*VLOOKUP(K748,COND!$A$2:$E$7,3,FALSE)+IF(BB748="SP",$BB$3,0)+IF($AW748&lt;3,-5,0)+IF(AND($B$2&gt;0,$E748&lt;20),$B$2*25,0)</f>
        <v>27.039241887436791</v>
      </c>
      <c r="BA748" s="47">
        <f>STANDARDIZE(AZ748,AVERAGE($AZ$5:$AZ$557),STDEVP($AZ$5:$AZ$557))</f>
        <v>-0.58753183970627421</v>
      </c>
      <c r="BB748" s="45" t="str">
        <f t="shared" si="91"/>
        <v>SP</v>
      </c>
      <c r="BC748" s="45">
        <f>RANK(Table3[[#This Row],[zScore]],Table3[zScore])</f>
        <v>552</v>
      </c>
      <c r="BD748" s="45"/>
      <c r="BE748" s="45"/>
      <c r="BF748" s="45" t="str">
        <f t="shared" si="92"/>
        <v>Unlikely</v>
      </c>
      <c r="BG748" s="45"/>
      <c r="BH748" s="45" t="str">
        <f>INDEX(Table5[[#All],[Ovr]],MATCH(Table3[[#This Row],[PID]],Table5[[#All],[PID]],0))</f>
        <v/>
      </c>
      <c r="BI748" s="45" t="str">
        <f>INDEX(Table5[[#All],[Rnd]],MATCH(Table3[[#This Row],[PID]],Table5[[#All],[PID]],0))</f>
        <v/>
      </c>
      <c r="BJ748" s="45" t="str">
        <f>INDEX(Table5[[#All],[Pick]],MATCH(Table3[[#This Row],[PID]],Table5[[#All],[PID]],0))</f>
        <v/>
      </c>
      <c r="BK748" s="45" t="str">
        <f>INDEX(Table5[[#All],[Team]],MATCH(Table3[[#This Row],[PID]],Table5[[#All],[PID]],0))</f>
        <v/>
      </c>
      <c r="BL74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49" spans="1:64" ht="30" x14ac:dyDescent="0.25">
      <c r="A749" s="40">
        <v>13917</v>
      </c>
      <c r="B749" s="40" t="s">
        <v>24</v>
      </c>
      <c r="C749" s="40" t="s">
        <v>123</v>
      </c>
      <c r="D749" s="40" t="s">
        <v>1041</v>
      </c>
      <c r="E749" s="40">
        <v>22</v>
      </c>
      <c r="F749" s="40" t="s">
        <v>62</v>
      </c>
      <c r="G749" s="40" t="s">
        <v>42</v>
      </c>
      <c r="H749" s="41" t="s">
        <v>647</v>
      </c>
      <c r="I749" s="42" t="s">
        <v>43</v>
      </c>
      <c r="J749" s="40" t="s">
        <v>44</v>
      </c>
      <c r="K749" s="41" t="s">
        <v>43</v>
      </c>
      <c r="L749" s="40">
        <v>1</v>
      </c>
      <c r="M749" s="40">
        <v>2</v>
      </c>
      <c r="N749" s="41">
        <v>1</v>
      </c>
      <c r="O749" s="40">
        <v>4</v>
      </c>
      <c r="P749" s="40">
        <v>2</v>
      </c>
      <c r="Q749" s="41">
        <v>3</v>
      </c>
      <c r="R749" s="40">
        <v>3</v>
      </c>
      <c r="S749" s="40">
        <v>5</v>
      </c>
      <c r="T749" s="40">
        <v>1</v>
      </c>
      <c r="U749" s="40">
        <v>6</v>
      </c>
      <c r="V749" s="40" t="s">
        <v>45</v>
      </c>
      <c r="W749" s="40" t="s">
        <v>45</v>
      </c>
      <c r="X749" s="40">
        <v>3</v>
      </c>
      <c r="Y749" s="40">
        <v>5</v>
      </c>
      <c r="Z749" s="40" t="s">
        <v>45</v>
      </c>
      <c r="AA749" s="40" t="s">
        <v>45</v>
      </c>
      <c r="AB749" s="40" t="s">
        <v>45</v>
      </c>
      <c r="AC749" s="40" t="s">
        <v>45</v>
      </c>
      <c r="AD749" s="40" t="s">
        <v>45</v>
      </c>
      <c r="AE749" s="40" t="s">
        <v>45</v>
      </c>
      <c r="AF749" s="40" t="s">
        <v>45</v>
      </c>
      <c r="AG749" s="40" t="s">
        <v>45</v>
      </c>
      <c r="AH749" s="40" t="s">
        <v>45</v>
      </c>
      <c r="AI749" s="40" t="s">
        <v>45</v>
      </c>
      <c r="AJ749" s="40" t="s">
        <v>45</v>
      </c>
      <c r="AK749" s="40" t="s">
        <v>45</v>
      </c>
      <c r="AL749" s="40" t="s">
        <v>45</v>
      </c>
      <c r="AM749" s="40" t="s">
        <v>45</v>
      </c>
      <c r="AN749" s="40" t="s">
        <v>45</v>
      </c>
      <c r="AO749" s="41" t="s">
        <v>45</v>
      </c>
      <c r="AP749" s="40" t="s">
        <v>64</v>
      </c>
      <c r="AQ749" s="40">
        <v>7</v>
      </c>
      <c r="AR749" s="48" t="s">
        <v>347</v>
      </c>
      <c r="AS749" s="43" t="s">
        <v>45</v>
      </c>
      <c r="AT749" s="43" t="s">
        <v>47</v>
      </c>
      <c r="AU749" s="44">
        <f t="shared" si="87"/>
        <v>-2.5060525215375429</v>
      </c>
      <c r="AV749" s="44">
        <f t="shared" si="88"/>
        <v>-0.99184266516472974</v>
      </c>
      <c r="AW749" s="45">
        <f t="shared" si="89"/>
        <v>3</v>
      </c>
      <c r="AX749" s="45">
        <f t="shared" si="90"/>
        <v>1</v>
      </c>
      <c r="AY749" s="46">
        <f>VLOOKUP(AP749,COND!$A$10:$B$32,2,FALSE)</f>
        <v>1</v>
      </c>
      <c r="AZ749" s="44">
        <f>($AU$3*AU749+$AV$3*AV749+$AW$3*AW749+$AX$3*AX749)*AY749*IF(AQ749&lt;5,0.95,IF(AQ749&lt;7,0.975,1))+$I$3*VLOOKUP(I749,COND!$A$2:$E$7,4,FALSE)+$J$3*VLOOKUP(J749,COND!$A$2:$E$7,2,FALSE)+$K$3*VLOOKUP(K749,COND!$A$2:$E$7,3,FALSE)+IF(BB749="SP",$BB$3,0)+IF($AW749&lt;3,-5,0)+IF(AND($B$2&gt;0,$E749&lt;20),$B$2*25,0)</f>
        <v>29.111936192397895</v>
      </c>
      <c r="BA749" s="47">
        <f>STANDARDIZE(AZ749,AVERAGE($AZ$5:$AZ$663),STDEVP($AZ$5:$AZ$663))</f>
        <v>-0.59538848891368601</v>
      </c>
      <c r="BB749" s="45" t="str">
        <f t="shared" si="91"/>
        <v>SP</v>
      </c>
      <c r="BC749" s="45">
        <f>RANK(Table3[[#This Row],[zScore]],Table3[zScore])</f>
        <v>557</v>
      </c>
      <c r="BD749" s="45"/>
      <c r="BE749" s="45"/>
      <c r="BF749" s="45" t="str">
        <f t="shared" si="92"/>
        <v>Unlikely</v>
      </c>
      <c r="BG749" s="45"/>
      <c r="BH749" s="45" t="str">
        <f>INDEX(Table5[[#All],[Ovr]],MATCH(Table3[[#This Row],[PID]],Table5[[#All],[PID]],0))</f>
        <v/>
      </c>
      <c r="BI749" s="45" t="str">
        <f>INDEX(Table5[[#All],[Rnd]],MATCH(Table3[[#This Row],[PID]],Table5[[#All],[PID]],0))</f>
        <v/>
      </c>
      <c r="BJ749" s="45" t="str">
        <f>INDEX(Table5[[#All],[Pick]],MATCH(Table3[[#This Row],[PID]],Table5[[#All],[PID]],0))</f>
        <v/>
      </c>
      <c r="BK749" s="45" t="str">
        <f>INDEX(Table5[[#All],[Team]],MATCH(Table3[[#This Row],[PID]],Table5[[#All],[PID]],0))</f>
        <v/>
      </c>
      <c r="BL74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0" spans="1:64" ht="30" x14ac:dyDescent="0.25">
      <c r="A750" s="40">
        <v>20236</v>
      </c>
      <c r="B750" s="40" t="s">
        <v>24</v>
      </c>
      <c r="C750" s="40" t="s">
        <v>337</v>
      </c>
      <c r="D750" s="40" t="s">
        <v>2122</v>
      </c>
      <c r="E750" s="40">
        <v>22</v>
      </c>
      <c r="F750" s="40" t="s">
        <v>42</v>
      </c>
      <c r="G750" s="40" t="s">
        <v>42</v>
      </c>
      <c r="H750" s="41" t="s">
        <v>647</v>
      </c>
      <c r="I750" s="42" t="s">
        <v>43</v>
      </c>
      <c r="J750" s="40" t="s">
        <v>44</v>
      </c>
      <c r="K750" s="41" t="s">
        <v>43</v>
      </c>
      <c r="L750" s="40">
        <v>3</v>
      </c>
      <c r="M750" s="40">
        <v>1</v>
      </c>
      <c r="N750" s="41">
        <v>1</v>
      </c>
      <c r="O750" s="40">
        <v>5</v>
      </c>
      <c r="P750" s="40">
        <v>1</v>
      </c>
      <c r="Q750" s="41">
        <v>2</v>
      </c>
      <c r="R750" s="40">
        <v>6</v>
      </c>
      <c r="S750" s="40">
        <v>8</v>
      </c>
      <c r="T750" s="40">
        <v>3</v>
      </c>
      <c r="U750" s="40">
        <v>6</v>
      </c>
      <c r="V750" s="40" t="s">
        <v>45</v>
      </c>
      <c r="W750" s="40" t="s">
        <v>45</v>
      </c>
      <c r="X750" s="40">
        <v>4</v>
      </c>
      <c r="Y750" s="40">
        <v>6</v>
      </c>
      <c r="Z750" s="40" t="s">
        <v>45</v>
      </c>
      <c r="AA750" s="40" t="s">
        <v>45</v>
      </c>
      <c r="AB750" s="40" t="s">
        <v>45</v>
      </c>
      <c r="AC750" s="40" t="s">
        <v>45</v>
      </c>
      <c r="AD750" s="40" t="s">
        <v>45</v>
      </c>
      <c r="AE750" s="40" t="s">
        <v>45</v>
      </c>
      <c r="AF750" s="40">
        <v>4</v>
      </c>
      <c r="AG750" s="40">
        <v>4</v>
      </c>
      <c r="AH750" s="40" t="s">
        <v>45</v>
      </c>
      <c r="AI750" s="40" t="s">
        <v>45</v>
      </c>
      <c r="AJ750" s="40" t="s">
        <v>45</v>
      </c>
      <c r="AK750" s="40" t="s">
        <v>45</v>
      </c>
      <c r="AL750" s="40" t="s">
        <v>45</v>
      </c>
      <c r="AM750" s="40" t="s">
        <v>45</v>
      </c>
      <c r="AN750" s="40" t="s">
        <v>45</v>
      </c>
      <c r="AO750" s="41" t="s">
        <v>45</v>
      </c>
      <c r="AP750" s="40" t="s">
        <v>54</v>
      </c>
      <c r="AQ750" s="40">
        <v>7</v>
      </c>
      <c r="AR750" s="48" t="s">
        <v>14</v>
      </c>
      <c r="AS750" s="43" t="s">
        <v>45</v>
      </c>
      <c r="AT750" s="43" t="s">
        <v>47</v>
      </c>
      <c r="AU750" s="44">
        <f t="shared" si="87"/>
        <v>-2.3121015889492513</v>
      </c>
      <c r="AV750" s="44">
        <f t="shared" si="88"/>
        <v>-1.2349036231397219</v>
      </c>
      <c r="AW750" s="45">
        <f t="shared" si="89"/>
        <v>4</v>
      </c>
      <c r="AX750" s="45">
        <f t="shared" si="90"/>
        <v>3</v>
      </c>
      <c r="AY750" s="46">
        <f>VLOOKUP(AP750,COND!$A$10:$B$32,2,FALSE)</f>
        <v>1.0249999999999999</v>
      </c>
      <c r="AZ750" s="44">
        <f>($AU$3*AU750+$AV$3*AV750+$AW$3*AW750+$AX$3*AX750)*AY750*IF(AQ750&lt;5,0.95,IF(AQ750&lt;7,0.975,1))+$I$3*VLOOKUP(I750,COND!$A$2:$E$7,4,FALSE)+$J$3*VLOOKUP(J750,COND!$A$2:$E$7,2,FALSE)+$K$3*VLOOKUP(K750,COND!$A$2:$E$7,3,FALSE)+IF(BB750="SP",$BB$3,0)+IF($AW750&lt;3,-5,0)+IF(AND($B$2&gt;0,$E750&lt;20),$B$2*25,0)</f>
        <v>26.804244899901107</v>
      </c>
      <c r="BA750" s="47">
        <f t="shared" ref="BA750:BA756" si="94">STANDARDIZE(AZ750,AVERAGE($AZ$5:$AZ$557),STDEVP($AZ$5:$AZ$557))</f>
        <v>-0.60316583018604875</v>
      </c>
      <c r="BB750" s="45" t="str">
        <f t="shared" si="91"/>
        <v>SP</v>
      </c>
      <c r="BC750" s="45">
        <f>RANK(Table3[[#This Row],[zScore]],Table3[zScore])</f>
        <v>561</v>
      </c>
      <c r="BD750" s="45"/>
      <c r="BE750" s="45"/>
      <c r="BF750" s="45" t="str">
        <f t="shared" si="92"/>
        <v>Unlikely</v>
      </c>
      <c r="BG750" s="45"/>
      <c r="BH750" s="45" t="str">
        <f>INDEX(Table5[[#All],[Ovr]],MATCH(Table3[[#This Row],[PID]],Table5[[#All],[PID]],0))</f>
        <v/>
      </c>
      <c r="BI750" s="45" t="str">
        <f>INDEX(Table5[[#All],[Rnd]],MATCH(Table3[[#This Row],[PID]],Table5[[#All],[PID]],0))</f>
        <v/>
      </c>
      <c r="BJ750" s="45" t="str">
        <f>INDEX(Table5[[#All],[Pick]],MATCH(Table3[[#This Row],[PID]],Table5[[#All],[PID]],0))</f>
        <v/>
      </c>
      <c r="BK750" s="45" t="str">
        <f>INDEX(Table5[[#All],[Team]],MATCH(Table3[[#This Row],[PID]],Table5[[#All],[PID]],0))</f>
        <v/>
      </c>
      <c r="BL75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1" spans="1:64" ht="30" x14ac:dyDescent="0.25">
      <c r="A751" s="40">
        <v>17037</v>
      </c>
      <c r="B751" s="40" t="s">
        <v>24</v>
      </c>
      <c r="C751" s="40" t="s">
        <v>735</v>
      </c>
      <c r="D751" s="40" t="s">
        <v>660</v>
      </c>
      <c r="E751" s="40">
        <v>21</v>
      </c>
      <c r="F751" s="40" t="s">
        <v>42</v>
      </c>
      <c r="G751" s="40" t="s">
        <v>42</v>
      </c>
      <c r="H751" s="41" t="s">
        <v>647</v>
      </c>
      <c r="I751" s="42" t="s">
        <v>43</v>
      </c>
      <c r="J751" s="40" t="s">
        <v>47</v>
      </c>
      <c r="K751" s="41" t="s">
        <v>43</v>
      </c>
      <c r="L751" s="40">
        <v>1</v>
      </c>
      <c r="M751" s="40">
        <v>2</v>
      </c>
      <c r="N751" s="41">
        <v>1</v>
      </c>
      <c r="O751" s="40">
        <v>3</v>
      </c>
      <c r="P751" s="40">
        <v>2</v>
      </c>
      <c r="Q751" s="41">
        <v>3</v>
      </c>
      <c r="R751" s="40">
        <v>2</v>
      </c>
      <c r="S751" s="40">
        <v>4</v>
      </c>
      <c r="T751" s="40">
        <v>1</v>
      </c>
      <c r="U751" s="40">
        <v>4</v>
      </c>
      <c r="V751" s="40" t="s">
        <v>45</v>
      </c>
      <c r="W751" s="40" t="s">
        <v>45</v>
      </c>
      <c r="X751" s="40">
        <v>2</v>
      </c>
      <c r="Y751" s="40">
        <v>5</v>
      </c>
      <c r="Z751" s="40" t="s">
        <v>45</v>
      </c>
      <c r="AA751" s="40" t="s">
        <v>45</v>
      </c>
      <c r="AB751" s="40" t="s">
        <v>45</v>
      </c>
      <c r="AC751" s="40" t="s">
        <v>45</v>
      </c>
      <c r="AD751" s="40" t="s">
        <v>45</v>
      </c>
      <c r="AE751" s="40" t="s">
        <v>45</v>
      </c>
      <c r="AF751" s="40">
        <v>2</v>
      </c>
      <c r="AG751" s="40">
        <v>3</v>
      </c>
      <c r="AH751" s="40" t="s">
        <v>45</v>
      </c>
      <c r="AI751" s="40" t="s">
        <v>45</v>
      </c>
      <c r="AJ751" s="40" t="s">
        <v>45</v>
      </c>
      <c r="AK751" s="40" t="s">
        <v>45</v>
      </c>
      <c r="AL751" s="40" t="s">
        <v>45</v>
      </c>
      <c r="AM751" s="40" t="s">
        <v>45</v>
      </c>
      <c r="AN751" s="40" t="s">
        <v>45</v>
      </c>
      <c r="AO751" s="41" t="s">
        <v>45</v>
      </c>
      <c r="AP751" s="40" t="s">
        <v>65</v>
      </c>
      <c r="AQ751" s="40">
        <v>6</v>
      </c>
      <c r="AR751" s="48" t="s">
        <v>347</v>
      </c>
      <c r="AS751" s="43" t="s">
        <v>649</v>
      </c>
      <c r="AT751" s="43" t="s">
        <v>47</v>
      </c>
      <c r="AU751" s="44">
        <f t="shared" si="87"/>
        <v>-2.5060525215375429</v>
      </c>
      <c r="AV751" s="44">
        <f t="shared" si="88"/>
        <v>-1.1865339896739031</v>
      </c>
      <c r="AW751" s="45">
        <f t="shared" si="89"/>
        <v>4</v>
      </c>
      <c r="AX751" s="45">
        <f t="shared" si="90"/>
        <v>0</v>
      </c>
      <c r="AY751" s="46">
        <f>VLOOKUP(AP751,COND!$A$10:$B$32,2,FALSE)</f>
        <v>0.95</v>
      </c>
      <c r="AZ751" s="44">
        <f>($AU$3*AU751+$AV$3*AV751+$AW$3*AW751+$AX$3*AX751)*AY751*IF(AQ751&lt;5,0.95,IF(AQ751&lt;7,0.975,1))+$I$3*VLOOKUP(I751,COND!$A$2:$E$7,4,FALSE)+$J$3*VLOOKUP(J751,COND!$A$2:$E$7,2,FALSE)+$K$3*VLOOKUP(K751,COND!$A$2:$E$7,3,FALSE)+IF(BB751="SP",$BB$3,0)+IF($AW751&lt;3,-5,0)+IF(AND($B$2&gt;0,$E751&lt;20),$B$2*25,0)</f>
        <v>26.707711611676121</v>
      </c>
      <c r="BA751" s="47">
        <f t="shared" si="94"/>
        <v>-0.60958804233828578</v>
      </c>
      <c r="BB751" s="45" t="str">
        <f t="shared" si="91"/>
        <v>SP</v>
      </c>
      <c r="BC751" s="45">
        <f>RANK(Table3[[#This Row],[zScore]],Table3[zScore])</f>
        <v>562</v>
      </c>
      <c r="BD751" s="45"/>
      <c r="BE751" s="45"/>
      <c r="BF751" s="45" t="str">
        <f t="shared" si="92"/>
        <v>Unlikely</v>
      </c>
      <c r="BG751" s="45"/>
      <c r="BH751" s="45" t="str">
        <f>INDEX(Table5[[#All],[Ovr]],MATCH(Table3[[#This Row],[PID]],Table5[[#All],[PID]],0))</f>
        <v/>
      </c>
      <c r="BI751" s="45" t="str">
        <f>INDEX(Table5[[#All],[Rnd]],MATCH(Table3[[#This Row],[PID]],Table5[[#All],[PID]],0))</f>
        <v/>
      </c>
      <c r="BJ751" s="45" t="str">
        <f>INDEX(Table5[[#All],[Pick]],MATCH(Table3[[#This Row],[PID]],Table5[[#All],[PID]],0))</f>
        <v/>
      </c>
      <c r="BK751" s="45" t="str">
        <f>INDEX(Table5[[#All],[Team]],MATCH(Table3[[#This Row],[PID]],Table5[[#All],[PID]],0))</f>
        <v/>
      </c>
      <c r="BL75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2" spans="1:64" ht="30" x14ac:dyDescent="0.25">
      <c r="A752" s="40">
        <v>12193</v>
      </c>
      <c r="B752" s="40" t="s">
        <v>24</v>
      </c>
      <c r="C752" s="40" t="s">
        <v>132</v>
      </c>
      <c r="D752" s="40" t="s">
        <v>428</v>
      </c>
      <c r="E752" s="40">
        <v>22</v>
      </c>
      <c r="F752" s="40" t="s">
        <v>42</v>
      </c>
      <c r="G752" s="40" t="s">
        <v>42</v>
      </c>
      <c r="H752" s="41" t="s">
        <v>647</v>
      </c>
      <c r="I752" s="42" t="s">
        <v>43</v>
      </c>
      <c r="J752" s="40" t="s">
        <v>47</v>
      </c>
      <c r="K752" s="41" t="s">
        <v>43</v>
      </c>
      <c r="L752" s="40">
        <v>3</v>
      </c>
      <c r="M752" s="40">
        <v>2</v>
      </c>
      <c r="N752" s="41">
        <v>1</v>
      </c>
      <c r="O752" s="40">
        <v>4</v>
      </c>
      <c r="P752" s="40">
        <v>2</v>
      </c>
      <c r="Q752" s="41">
        <v>2</v>
      </c>
      <c r="R752" s="40">
        <v>5</v>
      </c>
      <c r="S752" s="40">
        <v>6</v>
      </c>
      <c r="T752" s="40">
        <v>1</v>
      </c>
      <c r="U752" s="40">
        <v>4</v>
      </c>
      <c r="V752" s="40" t="s">
        <v>45</v>
      </c>
      <c r="W752" s="40" t="s">
        <v>45</v>
      </c>
      <c r="X752" s="40">
        <v>3</v>
      </c>
      <c r="Y752" s="40">
        <v>3</v>
      </c>
      <c r="Z752" s="40" t="s">
        <v>45</v>
      </c>
      <c r="AA752" s="40" t="s">
        <v>45</v>
      </c>
      <c r="AB752" s="40" t="s">
        <v>45</v>
      </c>
      <c r="AC752" s="40" t="s">
        <v>45</v>
      </c>
      <c r="AD752" s="40">
        <v>4</v>
      </c>
      <c r="AE752" s="40">
        <v>6</v>
      </c>
      <c r="AF752" s="40" t="s">
        <v>45</v>
      </c>
      <c r="AG752" s="40" t="s">
        <v>45</v>
      </c>
      <c r="AH752" s="40" t="s">
        <v>45</v>
      </c>
      <c r="AI752" s="40" t="s">
        <v>45</v>
      </c>
      <c r="AJ752" s="40" t="s">
        <v>45</v>
      </c>
      <c r="AK752" s="40" t="s">
        <v>45</v>
      </c>
      <c r="AL752" s="40" t="s">
        <v>45</v>
      </c>
      <c r="AM752" s="40" t="s">
        <v>45</v>
      </c>
      <c r="AN752" s="40" t="s">
        <v>45</v>
      </c>
      <c r="AO752" s="41" t="s">
        <v>45</v>
      </c>
      <c r="AP752" s="40" t="s">
        <v>60</v>
      </c>
      <c r="AQ752" s="40">
        <v>5</v>
      </c>
      <c r="AR752" s="48" t="s">
        <v>347</v>
      </c>
      <c r="AS752" s="43" t="s">
        <v>45</v>
      </c>
      <c r="AT752" s="43" t="s">
        <v>635</v>
      </c>
      <c r="AU752" s="44">
        <f t="shared" si="87"/>
        <v>-2.1166698725191955</v>
      </c>
      <c r="AV752" s="44">
        <f t="shared" si="88"/>
        <v>-1.23416323121884</v>
      </c>
      <c r="AW752" s="45">
        <f t="shared" si="89"/>
        <v>4</v>
      </c>
      <c r="AX752" s="45">
        <f t="shared" si="90"/>
        <v>2</v>
      </c>
      <c r="AY752" s="46">
        <f>VLOOKUP(AP752,COND!$A$10:$B$32,2,FALSE)</f>
        <v>1.0249999999999999</v>
      </c>
      <c r="AZ752" s="44">
        <f>($AU$3*AU752+$AV$3*AV752+$AW$3*AW752+$AX$3*AX752)*AY752*IF(AQ752&lt;5,0.95,IF(AQ752&lt;7,0.975,1))+$I$3*VLOOKUP(I752,COND!$A$2:$E$7,4,FALSE)+$J$3*VLOOKUP(J752,COND!$A$2:$E$7,2,FALSE)+$K$3*VLOOKUP(K752,COND!$A$2:$E$7,3,FALSE)+IF(BB752="SP",$BB$3,0)+IF($AW752&lt;3,-5,0)+IF(AND($B$2&gt;0,$E752&lt;20),$B$2*25,0)</f>
        <v>26.70628052524366</v>
      </c>
      <c r="BA752" s="47">
        <f t="shared" si="94"/>
        <v>-0.60968325033178161</v>
      </c>
      <c r="BB752" s="45" t="str">
        <f t="shared" si="91"/>
        <v>SP</v>
      </c>
      <c r="BC752" s="45">
        <f>RANK(Table3[[#This Row],[zScore]],Table3[zScore])</f>
        <v>563</v>
      </c>
      <c r="BD752" s="45"/>
      <c r="BE752" s="45"/>
      <c r="BF752" s="45" t="str">
        <f t="shared" si="92"/>
        <v>Unlikely</v>
      </c>
      <c r="BG752" s="45"/>
      <c r="BH752" s="45" t="str">
        <f>INDEX(Table5[[#All],[Ovr]],MATCH(Table3[[#This Row],[PID]],Table5[[#All],[PID]],0))</f>
        <v/>
      </c>
      <c r="BI752" s="45" t="str">
        <f>INDEX(Table5[[#All],[Rnd]],MATCH(Table3[[#This Row],[PID]],Table5[[#All],[PID]],0))</f>
        <v/>
      </c>
      <c r="BJ752" s="45" t="str">
        <f>INDEX(Table5[[#All],[Pick]],MATCH(Table3[[#This Row],[PID]],Table5[[#All],[PID]],0))</f>
        <v/>
      </c>
      <c r="BK752" s="45" t="str">
        <f>INDEX(Table5[[#All],[Team]],MATCH(Table3[[#This Row],[PID]],Table5[[#All],[PID]],0))</f>
        <v/>
      </c>
      <c r="BL75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3" spans="1:64" ht="30" x14ac:dyDescent="0.25">
      <c r="A753" s="40">
        <v>17966</v>
      </c>
      <c r="B753" s="40" t="s">
        <v>24</v>
      </c>
      <c r="C753" s="40" t="s">
        <v>146</v>
      </c>
      <c r="D753" s="40" t="s">
        <v>2108</v>
      </c>
      <c r="E753" s="40">
        <v>21</v>
      </c>
      <c r="F753" s="40" t="s">
        <v>53</v>
      </c>
      <c r="G753" s="40" t="s">
        <v>53</v>
      </c>
      <c r="H753" s="41" t="s">
        <v>647</v>
      </c>
      <c r="I753" s="42" t="s">
        <v>43</v>
      </c>
      <c r="J753" s="40" t="s">
        <v>43</v>
      </c>
      <c r="K753" s="41" t="s">
        <v>43</v>
      </c>
      <c r="L753" s="40">
        <v>2</v>
      </c>
      <c r="M753" s="40">
        <v>2</v>
      </c>
      <c r="N753" s="41">
        <v>1</v>
      </c>
      <c r="O753" s="40">
        <v>4</v>
      </c>
      <c r="P753" s="40">
        <v>2</v>
      </c>
      <c r="Q753" s="41">
        <v>2</v>
      </c>
      <c r="R753" s="40">
        <v>4</v>
      </c>
      <c r="S753" s="40">
        <v>6</v>
      </c>
      <c r="T753" s="40" t="s">
        <v>45</v>
      </c>
      <c r="U753" s="40" t="s">
        <v>45</v>
      </c>
      <c r="V753" s="40" t="s">
        <v>45</v>
      </c>
      <c r="W753" s="40" t="s">
        <v>45</v>
      </c>
      <c r="X753" s="40" t="s">
        <v>45</v>
      </c>
      <c r="Y753" s="40" t="s">
        <v>45</v>
      </c>
      <c r="Z753" s="40" t="s">
        <v>45</v>
      </c>
      <c r="AA753" s="40" t="s">
        <v>45</v>
      </c>
      <c r="AB753" s="40">
        <v>4</v>
      </c>
      <c r="AC753" s="40">
        <v>6</v>
      </c>
      <c r="AD753" s="40" t="s">
        <v>45</v>
      </c>
      <c r="AE753" s="40" t="s">
        <v>45</v>
      </c>
      <c r="AF753" s="40" t="s">
        <v>45</v>
      </c>
      <c r="AG753" s="40" t="s">
        <v>45</v>
      </c>
      <c r="AH753" s="40">
        <v>4</v>
      </c>
      <c r="AI753" s="40">
        <v>6</v>
      </c>
      <c r="AJ753" s="40" t="s">
        <v>45</v>
      </c>
      <c r="AK753" s="40" t="s">
        <v>45</v>
      </c>
      <c r="AL753" s="40" t="s">
        <v>45</v>
      </c>
      <c r="AM753" s="40" t="s">
        <v>45</v>
      </c>
      <c r="AN753" s="40" t="s">
        <v>45</v>
      </c>
      <c r="AO753" s="41" t="s">
        <v>45</v>
      </c>
      <c r="AP753" s="40" t="s">
        <v>56</v>
      </c>
      <c r="AQ753" s="40">
        <v>4</v>
      </c>
      <c r="AR753" s="48" t="s">
        <v>347</v>
      </c>
      <c r="AS753" s="43" t="s">
        <v>45</v>
      </c>
      <c r="AT753" s="43" t="s">
        <v>47</v>
      </c>
      <c r="AU753" s="44">
        <f t="shared" si="87"/>
        <v>-2.311361197028369</v>
      </c>
      <c r="AV753" s="44">
        <f t="shared" si="88"/>
        <v>-1.23416323121884</v>
      </c>
      <c r="AW753" s="45">
        <f t="shared" si="89"/>
        <v>3</v>
      </c>
      <c r="AX753" s="45">
        <f t="shared" si="90"/>
        <v>3</v>
      </c>
      <c r="AY753" s="46">
        <f>VLOOKUP(AP753,COND!$A$10:$B$32,2,FALSE)</f>
        <v>1</v>
      </c>
      <c r="AZ753" s="44">
        <f>($AU$3*AU753+$AV$3*AV753+$AW$3*AW753+$AX$3*AX753)*AY753*IF(AQ753&lt;5,0.95,IF(AQ753&lt;7,0.975,1))+$I$3*VLOOKUP(I753,COND!$A$2:$E$7,4,FALSE)+$J$3*VLOOKUP(J753,COND!$A$2:$E$7,2,FALSE)+$K$3*VLOOKUP(K753,COND!$A$2:$E$7,3,FALSE)+IF(BB753="SP",$BB$3,0)+IF($AW753&lt;3,-5,0)+IF(AND($B$2&gt;0,$E753&lt;20),$B$2*25,0)</f>
        <v>26.099239979406651</v>
      </c>
      <c r="BA753" s="47">
        <f t="shared" si="94"/>
        <v>-0.65006873022229217</v>
      </c>
      <c r="BB753" s="45" t="str">
        <f t="shared" si="91"/>
        <v>RP</v>
      </c>
      <c r="BC753" s="45">
        <f>RANK(Table3[[#This Row],[zScore]],Table3[zScore])</f>
        <v>583</v>
      </c>
      <c r="BD753" s="45"/>
      <c r="BE753" s="45"/>
      <c r="BF753" s="45" t="str">
        <f t="shared" si="92"/>
        <v>Unlikely</v>
      </c>
      <c r="BG753" s="45"/>
      <c r="BH753" s="45" t="str">
        <f>INDEX(Table5[[#All],[Ovr]],MATCH(Table3[[#This Row],[PID]],Table5[[#All],[PID]],0))</f>
        <v/>
      </c>
      <c r="BI753" s="45" t="str">
        <f>INDEX(Table5[[#All],[Rnd]],MATCH(Table3[[#This Row],[PID]],Table5[[#All],[PID]],0))</f>
        <v/>
      </c>
      <c r="BJ753" s="45" t="str">
        <f>INDEX(Table5[[#All],[Pick]],MATCH(Table3[[#This Row],[PID]],Table5[[#All],[PID]],0))</f>
        <v/>
      </c>
      <c r="BK753" s="45" t="str">
        <f>INDEX(Table5[[#All],[Team]],MATCH(Table3[[#This Row],[PID]],Table5[[#All],[PID]],0))</f>
        <v/>
      </c>
      <c r="BL75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4" spans="1:64" ht="30" x14ac:dyDescent="0.25">
      <c r="A754" s="40">
        <v>20184</v>
      </c>
      <c r="B754" s="40" t="s">
        <v>24</v>
      </c>
      <c r="C754" s="40" t="s">
        <v>872</v>
      </c>
      <c r="D754" s="40" t="s">
        <v>1949</v>
      </c>
      <c r="E754" s="40">
        <v>21</v>
      </c>
      <c r="F754" s="40" t="s">
        <v>53</v>
      </c>
      <c r="G754" s="40" t="s">
        <v>53</v>
      </c>
      <c r="H754" s="41" t="s">
        <v>647</v>
      </c>
      <c r="I754" s="42" t="s">
        <v>43</v>
      </c>
      <c r="J754" s="40" t="s">
        <v>44</v>
      </c>
      <c r="K754" s="41" t="s">
        <v>43</v>
      </c>
      <c r="L754" s="40">
        <v>3</v>
      </c>
      <c r="M754" s="40">
        <v>1</v>
      </c>
      <c r="N754" s="41">
        <v>1</v>
      </c>
      <c r="O754" s="40">
        <v>5</v>
      </c>
      <c r="P754" s="40">
        <v>1</v>
      </c>
      <c r="Q754" s="41">
        <v>2</v>
      </c>
      <c r="R754" s="40">
        <v>5</v>
      </c>
      <c r="S754" s="40">
        <v>6</v>
      </c>
      <c r="T754" s="40">
        <v>3</v>
      </c>
      <c r="U754" s="40">
        <v>5</v>
      </c>
      <c r="V754" s="40" t="s">
        <v>45</v>
      </c>
      <c r="W754" s="40" t="s">
        <v>45</v>
      </c>
      <c r="X754" s="40">
        <v>5</v>
      </c>
      <c r="Y754" s="40">
        <v>7</v>
      </c>
      <c r="Z754" s="40" t="s">
        <v>45</v>
      </c>
      <c r="AA754" s="40" t="s">
        <v>45</v>
      </c>
      <c r="AB754" s="40" t="s">
        <v>45</v>
      </c>
      <c r="AC754" s="40" t="s">
        <v>45</v>
      </c>
      <c r="AD754" s="40" t="s">
        <v>45</v>
      </c>
      <c r="AE754" s="40" t="s">
        <v>45</v>
      </c>
      <c r="AF754" s="40">
        <v>4</v>
      </c>
      <c r="AG754" s="40">
        <v>4</v>
      </c>
      <c r="AH754" s="40" t="s">
        <v>45</v>
      </c>
      <c r="AI754" s="40" t="s">
        <v>45</v>
      </c>
      <c r="AJ754" s="40" t="s">
        <v>45</v>
      </c>
      <c r="AK754" s="40" t="s">
        <v>45</v>
      </c>
      <c r="AL754" s="40" t="s">
        <v>45</v>
      </c>
      <c r="AM754" s="40" t="s">
        <v>45</v>
      </c>
      <c r="AN754" s="40" t="s">
        <v>45</v>
      </c>
      <c r="AO754" s="41" t="s">
        <v>45</v>
      </c>
      <c r="AP754" s="40" t="s">
        <v>58</v>
      </c>
      <c r="AQ754" s="40">
        <v>9</v>
      </c>
      <c r="AR754" s="48" t="s">
        <v>14</v>
      </c>
      <c r="AS754" s="43" t="s">
        <v>643</v>
      </c>
      <c r="AT754" s="43" t="s">
        <v>47</v>
      </c>
      <c r="AU754" s="44">
        <f t="shared" si="87"/>
        <v>-2.3121015889492513</v>
      </c>
      <c r="AV754" s="44">
        <f t="shared" si="88"/>
        <v>-1.2349036231397219</v>
      </c>
      <c r="AW754" s="45">
        <f t="shared" si="89"/>
        <v>4</v>
      </c>
      <c r="AX754" s="45">
        <f t="shared" si="90"/>
        <v>2</v>
      </c>
      <c r="AY754" s="46">
        <f>VLOOKUP(AP754,COND!$A$10:$B$32,2,FALSE)</f>
        <v>1</v>
      </c>
      <c r="AZ754" s="44">
        <f>($AU$3*AU754+$AV$3*AV754+$AW$3*AW754+$AX$3*AX754)*AY754*IF(AQ754&lt;5,0.95,IF(AQ754&lt;7,0.975,1))+$I$3*VLOOKUP(I754,COND!$A$2:$E$7,4,FALSE)+$J$3*VLOOKUP(J754,COND!$A$2:$E$7,2,FALSE)+$K$3*VLOOKUP(K754,COND!$A$2:$E$7,3,FALSE)+IF(BB754="SP",$BB$3,0)+IF($AW754&lt;3,-5,0)+IF(AND($B$2&gt;0,$E754&lt;20),$B$2*25,0)</f>
        <v>26.039507219415711</v>
      </c>
      <c r="BA754" s="47">
        <f t="shared" si="94"/>
        <v>-0.65404265946633067</v>
      </c>
      <c r="BB754" s="45" t="str">
        <f t="shared" si="91"/>
        <v>SP</v>
      </c>
      <c r="BC754" s="45">
        <f>RANK(Table3[[#This Row],[zScore]],Table3[zScore])</f>
        <v>585</v>
      </c>
      <c r="BD754" s="45"/>
      <c r="BE754" s="45"/>
      <c r="BF754" s="45" t="str">
        <f t="shared" si="92"/>
        <v>Unlikely</v>
      </c>
      <c r="BG754" s="45"/>
      <c r="BH754" s="45">
        <f>INDEX(Table5[[#All],[Ovr]],MATCH(Table3[[#This Row],[PID]],Table5[[#All],[PID]],0))</f>
        <v>558</v>
      </c>
      <c r="BI754" s="45" t="str">
        <f>INDEX(Table5[[#All],[Rnd]],MATCH(Table3[[#This Row],[PID]],Table5[[#All],[PID]],0))</f>
        <v>19</v>
      </c>
      <c r="BJ754" s="45">
        <f>INDEX(Table5[[#All],[Pick]],MATCH(Table3[[#This Row],[PID]],Table5[[#All],[PID]],0))</f>
        <v>10</v>
      </c>
      <c r="BK754" s="45" t="str">
        <f>INDEX(Table5[[#All],[Team]],MATCH(Table3[[#This Row],[PID]],Table5[[#All],[PID]],0))</f>
        <v>Hartford Harpoon</v>
      </c>
      <c r="BL754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5" spans="1:64" ht="30" x14ac:dyDescent="0.25">
      <c r="A755" s="40">
        <v>9706</v>
      </c>
      <c r="B755" s="40" t="s">
        <v>24</v>
      </c>
      <c r="C755" s="40" t="s">
        <v>1054</v>
      </c>
      <c r="D755" s="40" t="s">
        <v>437</v>
      </c>
      <c r="E755" s="40">
        <v>22</v>
      </c>
      <c r="F755" s="40" t="s">
        <v>42</v>
      </c>
      <c r="G755" s="40" t="s">
        <v>42</v>
      </c>
      <c r="H755" s="41" t="s">
        <v>647</v>
      </c>
      <c r="I755" s="42" t="s">
        <v>43</v>
      </c>
      <c r="J755" s="40" t="s">
        <v>47</v>
      </c>
      <c r="K755" s="41" t="s">
        <v>43</v>
      </c>
      <c r="L755" s="40">
        <v>2</v>
      </c>
      <c r="M755" s="40">
        <v>2</v>
      </c>
      <c r="N755" s="41">
        <v>2</v>
      </c>
      <c r="O755" s="40">
        <v>4</v>
      </c>
      <c r="P755" s="40">
        <v>2</v>
      </c>
      <c r="Q755" s="41">
        <v>2</v>
      </c>
      <c r="R755" s="40">
        <v>5</v>
      </c>
      <c r="S755" s="40">
        <v>6</v>
      </c>
      <c r="T755" s="40">
        <v>1</v>
      </c>
      <c r="U755" s="40">
        <v>5</v>
      </c>
      <c r="V755" s="40" t="s">
        <v>45</v>
      </c>
      <c r="W755" s="40" t="s">
        <v>45</v>
      </c>
      <c r="X755" s="40">
        <v>3</v>
      </c>
      <c r="Y755" s="40">
        <v>3</v>
      </c>
      <c r="Z755" s="40" t="s">
        <v>45</v>
      </c>
      <c r="AA755" s="40" t="s">
        <v>45</v>
      </c>
      <c r="AB755" s="40" t="s">
        <v>45</v>
      </c>
      <c r="AC755" s="40" t="s">
        <v>45</v>
      </c>
      <c r="AD755" s="40" t="s">
        <v>45</v>
      </c>
      <c r="AE755" s="40" t="s">
        <v>45</v>
      </c>
      <c r="AF755" s="40">
        <v>4</v>
      </c>
      <c r="AG755" s="40">
        <v>5</v>
      </c>
      <c r="AH755" s="40" t="s">
        <v>45</v>
      </c>
      <c r="AI755" s="40" t="s">
        <v>45</v>
      </c>
      <c r="AJ755" s="40" t="s">
        <v>45</v>
      </c>
      <c r="AK755" s="40" t="s">
        <v>45</v>
      </c>
      <c r="AL755" s="40" t="s">
        <v>45</v>
      </c>
      <c r="AM755" s="40" t="s">
        <v>45</v>
      </c>
      <c r="AN755" s="40" t="s">
        <v>45</v>
      </c>
      <c r="AO755" s="41" t="s">
        <v>45</v>
      </c>
      <c r="AP755" s="40" t="s">
        <v>58</v>
      </c>
      <c r="AQ755" s="40">
        <v>5</v>
      </c>
      <c r="AR755" s="48" t="s">
        <v>347</v>
      </c>
      <c r="AS755" s="43" t="s">
        <v>45</v>
      </c>
      <c r="AT755" s="43" t="s">
        <v>47</v>
      </c>
      <c r="AU755" s="44">
        <f t="shared" si="87"/>
        <v>-2.0690406309742588</v>
      </c>
      <c r="AV755" s="44">
        <f t="shared" si="88"/>
        <v>-1.23416323121884</v>
      </c>
      <c r="AW755" s="45">
        <f t="shared" si="89"/>
        <v>4</v>
      </c>
      <c r="AX755" s="45">
        <f t="shared" si="90"/>
        <v>1</v>
      </c>
      <c r="AY755" s="46">
        <f>VLOOKUP(AP755,COND!$A$10:$B$32,2,FALSE)</f>
        <v>1</v>
      </c>
      <c r="AZ755" s="44">
        <f>($AU$3*AU755+$AV$3*AV755+$AW$3*AW755+$AX$3*AX755)*AY755*IF(AQ755&lt;5,0.95,IF(AQ755&lt;7,0.975,1))+$I$3*VLOOKUP(I755,COND!$A$2:$E$7,4,FALSE)+$J$3*VLOOKUP(J755,COND!$A$2:$E$7,2,FALSE)+$K$3*VLOOKUP(K755,COND!$A$2:$E$7,3,FALSE)+IF(BB755="SP",$BB$3,0)+IF($AW755&lt;3,-5,0)+IF(AND($B$2&gt;0,$E755&lt;20),$B$2*25,0)</f>
        <v>25.99910406819264</v>
      </c>
      <c r="BA755" s="47">
        <f t="shared" si="94"/>
        <v>-0.656730619376789</v>
      </c>
      <c r="BB755" s="45" t="str">
        <f t="shared" si="91"/>
        <v>SP</v>
      </c>
      <c r="BC755" s="45">
        <f>RANK(Table3[[#This Row],[zScore]],Table3[zScore])</f>
        <v>586</v>
      </c>
      <c r="BD755" s="45"/>
      <c r="BE755" s="45"/>
      <c r="BF755" s="45" t="str">
        <f t="shared" si="92"/>
        <v>Unlikely</v>
      </c>
      <c r="BG755" s="45"/>
      <c r="BH755" s="45" t="str">
        <f>INDEX(Table5[[#All],[Ovr]],MATCH(Table3[[#This Row],[PID]],Table5[[#All],[PID]],0))</f>
        <v/>
      </c>
      <c r="BI755" s="45" t="str">
        <f>INDEX(Table5[[#All],[Rnd]],MATCH(Table3[[#This Row],[PID]],Table5[[#All],[PID]],0))</f>
        <v/>
      </c>
      <c r="BJ755" s="45" t="str">
        <f>INDEX(Table5[[#All],[Pick]],MATCH(Table3[[#This Row],[PID]],Table5[[#All],[PID]],0))</f>
        <v/>
      </c>
      <c r="BK755" s="45" t="str">
        <f>INDEX(Table5[[#All],[Team]],MATCH(Table3[[#This Row],[PID]],Table5[[#All],[PID]],0))</f>
        <v/>
      </c>
      <c r="BL75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6" spans="1:64" ht="30" x14ac:dyDescent="0.25">
      <c r="A756" s="40">
        <v>20828</v>
      </c>
      <c r="B756" s="40" t="s">
        <v>24</v>
      </c>
      <c r="C756" s="40" t="s">
        <v>2023</v>
      </c>
      <c r="D756" s="40" t="s">
        <v>179</v>
      </c>
      <c r="E756" s="40">
        <v>16</v>
      </c>
      <c r="F756" s="40" t="s">
        <v>53</v>
      </c>
      <c r="G756" s="40" t="s">
        <v>42</v>
      </c>
      <c r="H756" s="41" t="s">
        <v>647</v>
      </c>
      <c r="I756" s="42" t="s">
        <v>43</v>
      </c>
      <c r="J756" s="40" t="s">
        <v>43</v>
      </c>
      <c r="K756" s="41" t="s">
        <v>43</v>
      </c>
      <c r="L756" s="40">
        <v>1</v>
      </c>
      <c r="M756" s="40">
        <v>1</v>
      </c>
      <c r="N756" s="41">
        <v>1</v>
      </c>
      <c r="O756" s="40">
        <v>3</v>
      </c>
      <c r="P756" s="40">
        <v>1</v>
      </c>
      <c r="Q756" s="41">
        <v>3</v>
      </c>
      <c r="R756" s="40">
        <v>3</v>
      </c>
      <c r="S756" s="40">
        <v>4</v>
      </c>
      <c r="T756" s="40">
        <v>1</v>
      </c>
      <c r="U756" s="40">
        <v>5</v>
      </c>
      <c r="V756" s="40">
        <v>1</v>
      </c>
      <c r="W756" s="40">
        <v>4</v>
      </c>
      <c r="X756" s="40" t="s">
        <v>45</v>
      </c>
      <c r="Y756" s="40" t="s">
        <v>45</v>
      </c>
      <c r="Z756" s="40" t="s">
        <v>45</v>
      </c>
      <c r="AA756" s="40" t="s">
        <v>45</v>
      </c>
      <c r="AB756" s="40" t="s">
        <v>45</v>
      </c>
      <c r="AC756" s="40" t="s">
        <v>45</v>
      </c>
      <c r="AD756" s="40" t="s">
        <v>45</v>
      </c>
      <c r="AE756" s="40" t="s">
        <v>45</v>
      </c>
      <c r="AF756" s="40">
        <v>2</v>
      </c>
      <c r="AG756" s="40">
        <v>4</v>
      </c>
      <c r="AH756" s="40" t="s">
        <v>45</v>
      </c>
      <c r="AI756" s="40" t="s">
        <v>45</v>
      </c>
      <c r="AJ756" s="40" t="s">
        <v>45</v>
      </c>
      <c r="AK756" s="40" t="s">
        <v>45</v>
      </c>
      <c r="AL756" s="40" t="s">
        <v>45</v>
      </c>
      <c r="AM756" s="40" t="s">
        <v>45</v>
      </c>
      <c r="AN756" s="40" t="s">
        <v>45</v>
      </c>
      <c r="AO756" s="41" t="s">
        <v>45</v>
      </c>
      <c r="AP756" s="40" t="s">
        <v>64</v>
      </c>
      <c r="AQ756" s="40">
        <v>7</v>
      </c>
      <c r="AR756" s="48" t="s">
        <v>14</v>
      </c>
      <c r="AS756" s="43" t="s">
        <v>670</v>
      </c>
      <c r="AT756" s="43" t="s">
        <v>635</v>
      </c>
      <c r="AU756" s="44">
        <f t="shared" si="87"/>
        <v>-2.7014842379675978</v>
      </c>
      <c r="AV756" s="44">
        <f t="shared" si="88"/>
        <v>-1.3819657061039585</v>
      </c>
      <c r="AW756" s="45">
        <f t="shared" si="89"/>
        <v>4</v>
      </c>
      <c r="AX756" s="45">
        <f t="shared" si="90"/>
        <v>0</v>
      </c>
      <c r="AY756" s="46">
        <f>VLOOKUP(AP756,COND!$A$10:$B$32,2,FALSE)</f>
        <v>1</v>
      </c>
      <c r="AZ756" s="44">
        <f>($AU$3*AU756+$AV$3*AV756+$AW$3*AW756+$AX$3*AX756)*AY756*IF(AQ756&lt;5,0.95,IF(AQ756&lt;7,0.975,1))+$I$3*VLOOKUP(I756,COND!$A$2:$E$7,4,FALSE)+$J$3*VLOOKUP(J756,COND!$A$2:$E$7,2,FALSE)+$K$3*VLOOKUP(K756,COND!$A$2:$E$7,3,FALSE)+IF(BB756="SP",$BB$3,0)+IF($AW756&lt;3,-5,0)+IF(AND($B$2&gt;0,$E756&lt;20),$B$2*25,0)</f>
        <v>25.820389030327309</v>
      </c>
      <c r="BA756" s="47">
        <f t="shared" si="94"/>
        <v>-0.66862025774993983</v>
      </c>
      <c r="BB756" s="45" t="str">
        <f t="shared" si="91"/>
        <v>SP</v>
      </c>
      <c r="BC756" s="45">
        <f>RANK(Table3[[#This Row],[zScore]],Table3[zScore])</f>
        <v>590</v>
      </c>
      <c r="BD756" s="45"/>
      <c r="BE756" s="45"/>
      <c r="BF756" s="45" t="str">
        <f t="shared" si="92"/>
        <v>Unlikely</v>
      </c>
      <c r="BG756" s="45"/>
      <c r="BH756" s="45" t="str">
        <f>INDEX(Table5[[#All],[Ovr]],MATCH(Table3[[#This Row],[PID]],Table5[[#All],[PID]],0))</f>
        <v/>
      </c>
      <c r="BI756" s="45" t="str">
        <f>INDEX(Table5[[#All],[Rnd]],MATCH(Table3[[#This Row],[PID]],Table5[[#All],[PID]],0))</f>
        <v/>
      </c>
      <c r="BJ756" s="45" t="str">
        <f>INDEX(Table5[[#All],[Pick]],MATCH(Table3[[#This Row],[PID]],Table5[[#All],[PID]],0))</f>
        <v/>
      </c>
      <c r="BK756" s="45" t="str">
        <f>INDEX(Table5[[#All],[Team]],MATCH(Table3[[#This Row],[PID]],Table5[[#All],[PID]],0))</f>
        <v/>
      </c>
      <c r="BL75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7" spans="1:64" ht="30" x14ac:dyDescent="0.25">
      <c r="A757" s="40">
        <v>2734</v>
      </c>
      <c r="B757" s="40" t="s">
        <v>24</v>
      </c>
      <c r="C757" s="40" t="s">
        <v>335</v>
      </c>
      <c r="D757" s="40" t="s">
        <v>1106</v>
      </c>
      <c r="E757" s="40">
        <v>22</v>
      </c>
      <c r="F757" s="40" t="s">
        <v>42</v>
      </c>
      <c r="G757" s="40" t="s">
        <v>42</v>
      </c>
      <c r="H757" s="41" t="s">
        <v>647</v>
      </c>
      <c r="I757" s="42" t="s">
        <v>43</v>
      </c>
      <c r="J757" s="40" t="s">
        <v>43</v>
      </c>
      <c r="K757" s="41" t="s">
        <v>43</v>
      </c>
      <c r="L757" s="40">
        <v>2</v>
      </c>
      <c r="M757" s="40">
        <v>1</v>
      </c>
      <c r="N757" s="41">
        <v>2</v>
      </c>
      <c r="O757" s="40">
        <v>4</v>
      </c>
      <c r="P757" s="40">
        <v>1</v>
      </c>
      <c r="Q757" s="41">
        <v>3</v>
      </c>
      <c r="R757" s="40">
        <v>5</v>
      </c>
      <c r="S757" s="40">
        <v>6</v>
      </c>
      <c r="T757" s="40" t="s">
        <v>45</v>
      </c>
      <c r="U757" s="40" t="s">
        <v>45</v>
      </c>
      <c r="V757" s="40" t="s">
        <v>45</v>
      </c>
      <c r="W757" s="40" t="s">
        <v>45</v>
      </c>
      <c r="X757" s="40">
        <v>3</v>
      </c>
      <c r="Y757" s="40">
        <v>5</v>
      </c>
      <c r="Z757" s="40" t="s">
        <v>45</v>
      </c>
      <c r="AA757" s="40" t="s">
        <v>45</v>
      </c>
      <c r="AB757" s="40" t="s">
        <v>45</v>
      </c>
      <c r="AC757" s="40" t="s">
        <v>45</v>
      </c>
      <c r="AD757" s="40" t="s">
        <v>45</v>
      </c>
      <c r="AE757" s="40" t="s">
        <v>45</v>
      </c>
      <c r="AF757" s="40" t="s">
        <v>45</v>
      </c>
      <c r="AG757" s="40" t="s">
        <v>45</v>
      </c>
      <c r="AH757" s="40">
        <v>2</v>
      </c>
      <c r="AI757" s="40">
        <v>6</v>
      </c>
      <c r="AJ757" s="40" t="s">
        <v>45</v>
      </c>
      <c r="AK757" s="40" t="s">
        <v>45</v>
      </c>
      <c r="AL757" s="40" t="s">
        <v>45</v>
      </c>
      <c r="AM757" s="40" t="s">
        <v>45</v>
      </c>
      <c r="AN757" s="40" t="s">
        <v>45</v>
      </c>
      <c r="AO757" s="41" t="s">
        <v>45</v>
      </c>
      <c r="AP757" s="40" t="s">
        <v>58</v>
      </c>
      <c r="AQ757" s="40">
        <v>6</v>
      </c>
      <c r="AR757" s="48" t="s">
        <v>351</v>
      </c>
      <c r="AS757" s="43" t="s">
        <v>45</v>
      </c>
      <c r="AT757" s="43"/>
      <c r="AU757" s="44">
        <f t="shared" si="87"/>
        <v>-2.2644723474043147</v>
      </c>
      <c r="AV757" s="44">
        <f t="shared" si="88"/>
        <v>-1.1872743815947853</v>
      </c>
      <c r="AW757" s="45">
        <f t="shared" si="89"/>
        <v>3</v>
      </c>
      <c r="AX757" s="45">
        <f t="shared" si="90"/>
        <v>2</v>
      </c>
      <c r="AY757" s="46">
        <f>VLOOKUP(AP757,COND!$A$10:$B$32,2,FALSE)</f>
        <v>1</v>
      </c>
      <c r="AZ757" s="44">
        <f>($AU$3*AU757+$AV$3*AV757+$AW$3*AW757+$AX$3*AX757)*AY757*IF(AQ757&lt;5,0.95,IF(AQ757&lt;7,0.975,1))+$I$3*VLOOKUP(I757,COND!$A$2:$E$7,4,FALSE)+$J$3*VLOOKUP(J757,COND!$A$2:$E$7,2,FALSE)+$K$3*VLOOKUP(K757,COND!$A$2:$E$7,3,FALSE)+IF(BB757="SP",$BB$3,0)+IF($AW757&lt;3,-5,0)+IF(AND($B$2&gt;0,$E757&lt;20),$B$2*25,0)</f>
        <v>27.306577451157846</v>
      </c>
      <c r="BA757" s="47">
        <f>STANDARDIZE(AZ757,AVERAGE($AZ$5:$AZ$788),STDEVP($AZ$5:$AZ$788))</f>
        <v>-0.68548236935866158</v>
      </c>
      <c r="BB757" s="45" t="str">
        <f t="shared" si="91"/>
        <v>SP</v>
      </c>
      <c r="BC757" s="45">
        <f>RANK(Table3[[#This Row],[zScore]],Table3[zScore])</f>
        <v>596</v>
      </c>
      <c r="BD757" s="45"/>
      <c r="BE757" s="45"/>
      <c r="BF757" s="45" t="str">
        <f t="shared" si="92"/>
        <v>Unlikely</v>
      </c>
      <c r="BG757" s="45"/>
      <c r="BH757" s="64" t="str">
        <f>INDEX(Table5[[#All],[Ovr]],MATCH(Table3[[#This Row],[PID]],Table5[[#All],[PID]],0))</f>
        <v/>
      </c>
      <c r="BI757" s="64" t="str">
        <f>INDEX(Table5[[#All],[Rnd]],MATCH(Table3[[#This Row],[PID]],Table5[[#All],[PID]],0))</f>
        <v/>
      </c>
      <c r="BJ757" s="64" t="str">
        <f>INDEX(Table5[[#All],[Pick]],MATCH(Table3[[#This Row],[PID]],Table5[[#All],[PID]],0))</f>
        <v/>
      </c>
      <c r="BK757" s="64" t="str">
        <f>INDEX(Table5[[#All],[Team]],MATCH(Table3[[#This Row],[PID]],Table5[[#All],[PID]],0))</f>
        <v/>
      </c>
      <c r="BL757" s="64" t="str">
        <f>IF(OR(Table3[[#This Row],[POS]]="SP",Table3[[#This Row],[POS]]="RP",Table3[[#This Row],[POS]]="CL"),"P",INDEX(Batters[[#All],[zScore]],MATCH(Table3[[#This Row],[PID]],Batters[[#All],[PID]],0)))</f>
        <v>P</v>
      </c>
    </row>
    <row r="758" spans="1:64" ht="30" x14ac:dyDescent="0.25">
      <c r="A758" s="40">
        <v>12091</v>
      </c>
      <c r="B758" s="40" t="s">
        <v>24</v>
      </c>
      <c r="C758" s="40" t="s">
        <v>205</v>
      </c>
      <c r="D758" s="40" t="s">
        <v>651</v>
      </c>
      <c r="E758" s="40">
        <v>22</v>
      </c>
      <c r="F758" s="40" t="s">
        <v>42</v>
      </c>
      <c r="G758" s="40" t="s">
        <v>42</v>
      </c>
      <c r="H758" s="41" t="s">
        <v>647</v>
      </c>
      <c r="I758" s="42" t="s">
        <v>43</v>
      </c>
      <c r="J758" s="40" t="s">
        <v>44</v>
      </c>
      <c r="K758" s="41" t="s">
        <v>43</v>
      </c>
      <c r="L758" s="40">
        <v>2</v>
      </c>
      <c r="M758" s="40">
        <v>2</v>
      </c>
      <c r="N758" s="41">
        <v>2</v>
      </c>
      <c r="O758" s="40">
        <v>4</v>
      </c>
      <c r="P758" s="40">
        <v>2</v>
      </c>
      <c r="Q758" s="41">
        <v>2</v>
      </c>
      <c r="R758" s="40">
        <v>4</v>
      </c>
      <c r="S758" s="40">
        <v>6</v>
      </c>
      <c r="T758" s="40">
        <v>1</v>
      </c>
      <c r="U758" s="40">
        <v>4</v>
      </c>
      <c r="V758" s="40">
        <v>2</v>
      </c>
      <c r="W758" s="40">
        <v>3</v>
      </c>
      <c r="X758" s="40">
        <v>2</v>
      </c>
      <c r="Y758" s="40">
        <v>5</v>
      </c>
      <c r="Z758" s="40" t="s">
        <v>45</v>
      </c>
      <c r="AA758" s="40" t="s">
        <v>45</v>
      </c>
      <c r="AB758" s="40" t="s">
        <v>45</v>
      </c>
      <c r="AC758" s="40" t="s">
        <v>45</v>
      </c>
      <c r="AD758" s="40" t="s">
        <v>45</v>
      </c>
      <c r="AE758" s="40" t="s">
        <v>45</v>
      </c>
      <c r="AF758" s="40" t="s">
        <v>45</v>
      </c>
      <c r="AG758" s="40" t="s">
        <v>45</v>
      </c>
      <c r="AH758" s="40" t="s">
        <v>45</v>
      </c>
      <c r="AI758" s="40" t="s">
        <v>45</v>
      </c>
      <c r="AJ758" s="40" t="s">
        <v>45</v>
      </c>
      <c r="AK758" s="40" t="s">
        <v>45</v>
      </c>
      <c r="AL758" s="40" t="s">
        <v>45</v>
      </c>
      <c r="AM758" s="40" t="s">
        <v>45</v>
      </c>
      <c r="AN758" s="40" t="s">
        <v>45</v>
      </c>
      <c r="AO758" s="41" t="s">
        <v>45</v>
      </c>
      <c r="AP758" s="40" t="s">
        <v>57</v>
      </c>
      <c r="AQ758" s="40">
        <v>5</v>
      </c>
      <c r="AR758" s="48" t="s">
        <v>347</v>
      </c>
      <c r="AS758" s="43" t="s">
        <v>45</v>
      </c>
      <c r="AT758" s="43" t="s">
        <v>635</v>
      </c>
      <c r="AU758" s="44">
        <f t="shared" si="87"/>
        <v>-2.0690406309742588</v>
      </c>
      <c r="AV758" s="44">
        <f t="shared" si="88"/>
        <v>-1.23416323121884</v>
      </c>
      <c r="AW758" s="45">
        <f t="shared" si="89"/>
        <v>4</v>
      </c>
      <c r="AX758" s="45">
        <f t="shared" si="90"/>
        <v>1</v>
      </c>
      <c r="AY758" s="46">
        <f>VLOOKUP(AP758,COND!$A$10:$B$32,2,FALSE)</f>
        <v>1</v>
      </c>
      <c r="AZ758" s="44">
        <f>($AU$3*AU758+$AV$3*AV758+$AW$3*AW758+$AX$3*AX758)*AY758*IF(AQ758&lt;5,0.95,IF(AQ758&lt;7,0.975,1))+$I$3*VLOOKUP(I758,COND!$A$2:$E$7,4,FALSE)+$J$3*VLOOKUP(J758,COND!$A$2:$E$7,2,FALSE)+$K$3*VLOOKUP(K758,COND!$A$2:$E$7,3,FALSE)+IF(BB758="SP",$BB$3,0)+IF($AW758&lt;3,-5,0)+IF(AND($B$2&gt;0,$E758&lt;20),$B$2*25,0)</f>
        <v>25.399104068192639</v>
      </c>
      <c r="BA758" s="47">
        <f>STANDARDIZE(AZ758,AVERAGE($AZ$5:$AZ$557),STDEVP($AZ$5:$AZ$557))</f>
        <v>-0.69664770251148378</v>
      </c>
      <c r="BB758" s="45" t="str">
        <f t="shared" si="91"/>
        <v>SP</v>
      </c>
      <c r="BC758" s="45">
        <f>RANK(Table3[[#This Row],[zScore]],Table3[zScore])</f>
        <v>599</v>
      </c>
      <c r="BD758" s="45"/>
      <c r="BE758" s="45"/>
      <c r="BF758" s="45" t="str">
        <f t="shared" si="92"/>
        <v>Unlikely</v>
      </c>
      <c r="BG758" s="45"/>
      <c r="BH758" s="45" t="str">
        <f>INDEX(Table5[[#All],[Ovr]],MATCH(Table3[[#This Row],[PID]],Table5[[#All],[PID]],0))</f>
        <v/>
      </c>
      <c r="BI758" s="45" t="str">
        <f>INDEX(Table5[[#All],[Rnd]],MATCH(Table3[[#This Row],[PID]],Table5[[#All],[PID]],0))</f>
        <v/>
      </c>
      <c r="BJ758" s="45" t="str">
        <f>INDEX(Table5[[#All],[Pick]],MATCH(Table3[[#This Row],[PID]],Table5[[#All],[PID]],0))</f>
        <v/>
      </c>
      <c r="BK758" s="45" t="str">
        <f>INDEX(Table5[[#All],[Team]],MATCH(Table3[[#This Row],[PID]],Table5[[#All],[PID]],0))</f>
        <v/>
      </c>
      <c r="BL75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59" spans="1:64" ht="30" x14ac:dyDescent="0.25">
      <c r="A759" s="40">
        <v>18050</v>
      </c>
      <c r="B759" s="40" t="s">
        <v>24</v>
      </c>
      <c r="C759" s="40" t="s">
        <v>1049</v>
      </c>
      <c r="D759" s="40" t="s">
        <v>1050</v>
      </c>
      <c r="E759" s="40">
        <v>22</v>
      </c>
      <c r="F759" s="40" t="s">
        <v>53</v>
      </c>
      <c r="G759" s="40" t="s">
        <v>53</v>
      </c>
      <c r="H759" s="41" t="s">
        <v>647</v>
      </c>
      <c r="I759" s="42" t="s">
        <v>43</v>
      </c>
      <c r="J759" s="40" t="s">
        <v>44</v>
      </c>
      <c r="K759" s="41" t="s">
        <v>44</v>
      </c>
      <c r="L759" s="40">
        <v>2</v>
      </c>
      <c r="M759" s="40">
        <v>2</v>
      </c>
      <c r="N759" s="41">
        <v>1</v>
      </c>
      <c r="O759" s="40">
        <v>4</v>
      </c>
      <c r="P759" s="40">
        <v>2</v>
      </c>
      <c r="Q759" s="41">
        <v>2</v>
      </c>
      <c r="R759" s="40">
        <v>5</v>
      </c>
      <c r="S759" s="40">
        <v>6</v>
      </c>
      <c r="T759" s="40">
        <v>1</v>
      </c>
      <c r="U759" s="40">
        <v>7</v>
      </c>
      <c r="V759" s="40">
        <v>3</v>
      </c>
      <c r="W759" s="40">
        <v>5</v>
      </c>
      <c r="X759" s="40" t="s">
        <v>45</v>
      </c>
      <c r="Y759" s="40" t="s">
        <v>45</v>
      </c>
      <c r="Z759" s="40" t="s">
        <v>45</v>
      </c>
      <c r="AA759" s="40" t="s">
        <v>45</v>
      </c>
      <c r="AB759" s="40" t="s">
        <v>45</v>
      </c>
      <c r="AC759" s="40" t="s">
        <v>45</v>
      </c>
      <c r="AD759" s="40" t="s">
        <v>45</v>
      </c>
      <c r="AE759" s="40" t="s">
        <v>45</v>
      </c>
      <c r="AF759" s="40" t="s">
        <v>45</v>
      </c>
      <c r="AG759" s="40" t="s">
        <v>45</v>
      </c>
      <c r="AH759" s="40" t="s">
        <v>45</v>
      </c>
      <c r="AI759" s="40" t="s">
        <v>45</v>
      </c>
      <c r="AJ759" s="40" t="s">
        <v>45</v>
      </c>
      <c r="AK759" s="40" t="s">
        <v>45</v>
      </c>
      <c r="AL759" s="40" t="s">
        <v>45</v>
      </c>
      <c r="AM759" s="40" t="s">
        <v>45</v>
      </c>
      <c r="AN759" s="40" t="s">
        <v>45</v>
      </c>
      <c r="AO759" s="41" t="s">
        <v>45</v>
      </c>
      <c r="AP759" s="40" t="s">
        <v>58</v>
      </c>
      <c r="AQ759" s="40">
        <v>8</v>
      </c>
      <c r="AR759" s="48" t="s">
        <v>347</v>
      </c>
      <c r="AS759" s="43" t="s">
        <v>45</v>
      </c>
      <c r="AT759" s="43" t="s">
        <v>635</v>
      </c>
      <c r="AU759" s="44">
        <f t="shared" si="87"/>
        <v>-2.311361197028369</v>
      </c>
      <c r="AV759" s="44">
        <f t="shared" si="88"/>
        <v>-1.23416323121884</v>
      </c>
      <c r="AW759" s="45">
        <f t="shared" si="89"/>
        <v>3</v>
      </c>
      <c r="AX759" s="45">
        <f t="shared" si="90"/>
        <v>2</v>
      </c>
      <c r="AY759" s="46">
        <f>VLOOKUP(AP759,COND!$A$10:$B$32,2,FALSE)</f>
        <v>1</v>
      </c>
      <c r="AZ759" s="44">
        <f>($AU$3*AU759+$AV$3*AV759+$AW$3*AW759+$AX$3*AX759)*AY759*IF(AQ759&lt;5,0.95,IF(AQ759&lt;7,0.975,1))+$I$3*VLOOKUP(I759,COND!$A$2:$E$7,4,FALSE)+$J$3*VLOOKUP(J759,COND!$A$2:$E$7,2,FALSE)+$K$3*VLOOKUP(K759,COND!$A$2:$E$7,3,FALSE)+IF(BB759="SP",$BB$3,0)+IF($AW759&lt;3,-5,0)+IF(AND($B$2&gt;0,$E759&lt;20),$B$2*25,0)</f>
        <v>25.254463136217524</v>
      </c>
      <c r="BA759" s="47">
        <f>STANDARDIZE(AZ759,AVERAGE($AZ$5:$AZ$557),STDEVP($AZ$5:$AZ$557))</f>
        <v>-0.70627044268870109</v>
      </c>
      <c r="BB759" s="45" t="str">
        <f t="shared" si="91"/>
        <v>SP</v>
      </c>
      <c r="BC759" s="45">
        <f>RANK(Table3[[#This Row],[zScore]],Table3[zScore])</f>
        <v>601</v>
      </c>
      <c r="BD759" s="45"/>
      <c r="BE759" s="45"/>
      <c r="BF759" s="45" t="str">
        <f t="shared" si="92"/>
        <v>Unlikely</v>
      </c>
      <c r="BG759" s="45"/>
      <c r="BH759" s="45" t="str">
        <f>INDEX(Table5[[#All],[Ovr]],MATCH(Table3[[#This Row],[PID]],Table5[[#All],[PID]],0))</f>
        <v/>
      </c>
      <c r="BI759" s="45" t="str">
        <f>INDEX(Table5[[#All],[Rnd]],MATCH(Table3[[#This Row],[PID]],Table5[[#All],[PID]],0))</f>
        <v/>
      </c>
      <c r="BJ759" s="45" t="str">
        <f>INDEX(Table5[[#All],[Pick]],MATCH(Table3[[#This Row],[PID]],Table5[[#All],[PID]],0))</f>
        <v/>
      </c>
      <c r="BK759" s="45" t="str">
        <f>INDEX(Table5[[#All],[Team]],MATCH(Table3[[#This Row],[PID]],Table5[[#All],[PID]],0))</f>
        <v/>
      </c>
      <c r="BL75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0" spans="1:64" ht="30" x14ac:dyDescent="0.25">
      <c r="A760" s="40">
        <v>12688</v>
      </c>
      <c r="B760" s="40" t="s">
        <v>24</v>
      </c>
      <c r="C760" s="40" t="s">
        <v>894</v>
      </c>
      <c r="D760" s="40" t="s">
        <v>895</v>
      </c>
      <c r="E760" s="40">
        <v>22</v>
      </c>
      <c r="F760" s="40" t="s">
        <v>42</v>
      </c>
      <c r="G760" s="40" t="s">
        <v>42</v>
      </c>
      <c r="H760" s="41" t="s">
        <v>647</v>
      </c>
      <c r="I760" s="42" t="s">
        <v>43</v>
      </c>
      <c r="J760" s="40" t="s">
        <v>47</v>
      </c>
      <c r="K760" s="41" t="s">
        <v>43</v>
      </c>
      <c r="L760" s="40">
        <v>2</v>
      </c>
      <c r="M760" s="40">
        <v>1</v>
      </c>
      <c r="N760" s="41">
        <v>3</v>
      </c>
      <c r="O760" s="40">
        <v>4</v>
      </c>
      <c r="P760" s="40">
        <v>1</v>
      </c>
      <c r="Q760" s="41">
        <v>3</v>
      </c>
      <c r="R760" s="40" t="s">
        <v>45</v>
      </c>
      <c r="S760" s="40" t="s">
        <v>45</v>
      </c>
      <c r="T760" s="40">
        <v>2</v>
      </c>
      <c r="U760" s="40">
        <v>5</v>
      </c>
      <c r="V760" s="40">
        <v>2</v>
      </c>
      <c r="W760" s="40">
        <v>4</v>
      </c>
      <c r="X760" s="40" t="s">
        <v>45</v>
      </c>
      <c r="Y760" s="40" t="s">
        <v>45</v>
      </c>
      <c r="Z760" s="40" t="s">
        <v>45</v>
      </c>
      <c r="AA760" s="40" t="s">
        <v>45</v>
      </c>
      <c r="AB760" s="40" t="s">
        <v>45</v>
      </c>
      <c r="AC760" s="40" t="s">
        <v>45</v>
      </c>
      <c r="AD760" s="40">
        <v>3</v>
      </c>
      <c r="AE760" s="40">
        <v>5</v>
      </c>
      <c r="AF760" s="40" t="s">
        <v>45</v>
      </c>
      <c r="AG760" s="40" t="s">
        <v>45</v>
      </c>
      <c r="AH760" s="40">
        <v>2</v>
      </c>
      <c r="AI760" s="40">
        <v>4</v>
      </c>
      <c r="AJ760" s="40" t="s">
        <v>45</v>
      </c>
      <c r="AK760" s="40" t="s">
        <v>45</v>
      </c>
      <c r="AL760" s="40" t="s">
        <v>45</v>
      </c>
      <c r="AM760" s="40" t="s">
        <v>45</v>
      </c>
      <c r="AN760" s="40" t="s">
        <v>45</v>
      </c>
      <c r="AO760" s="41" t="s">
        <v>45</v>
      </c>
      <c r="AP760" s="40" t="s">
        <v>57</v>
      </c>
      <c r="AQ760" s="40">
        <v>9</v>
      </c>
      <c r="AR760" s="48" t="s">
        <v>14</v>
      </c>
      <c r="AS760" s="43" t="s">
        <v>45</v>
      </c>
      <c r="AT760" s="43" t="s">
        <v>635</v>
      </c>
      <c r="AU760" s="44">
        <f t="shared" si="87"/>
        <v>-2.0221517813502041</v>
      </c>
      <c r="AV760" s="44">
        <f t="shared" si="88"/>
        <v>-1.1872743815947853</v>
      </c>
      <c r="AW760" s="45">
        <f t="shared" si="89"/>
        <v>4</v>
      </c>
      <c r="AX760" s="45">
        <f t="shared" si="90"/>
        <v>0</v>
      </c>
      <c r="AY760" s="46">
        <f>VLOOKUP(AP760,COND!$A$10:$B$32,2,FALSE)</f>
        <v>1</v>
      </c>
      <c r="AZ760" s="44">
        <f>($AU$3*AU760+$AV$3*AV760+$AW$3*AW760+$AX$3*AX760)*AY760*IF(AQ760&lt;5,0.95,IF(AQ760&lt;7,0.975,1))+$I$3*VLOOKUP(I760,COND!$A$2:$E$7,4,FALSE)+$J$3*VLOOKUP(J760,COND!$A$2:$E$7,2,FALSE)+$K$3*VLOOKUP(K760,COND!$A$2:$E$7,3,FALSE)+IF(BB760="SP",$BB$3,0)+IF($AW760&lt;3,-5,0)+IF(AND($B$2&gt;0,$E760&lt;20),$B$2*25,0)</f>
        <v>25.150082011834254</v>
      </c>
      <c r="BA760" s="47">
        <f>STANDARDIZE(AZ760,AVERAGE($AZ$5:$AZ$557),STDEVP($AZ$5:$AZ$557))</f>
        <v>-0.71321475938820089</v>
      </c>
      <c r="BB760" s="45" t="str">
        <f t="shared" si="91"/>
        <v>SP</v>
      </c>
      <c r="BC760" s="45">
        <f>RANK(Table3[[#This Row],[zScore]],Table3[zScore])</f>
        <v>603</v>
      </c>
      <c r="BD760" s="45"/>
      <c r="BE760" s="45"/>
      <c r="BF760" s="45" t="str">
        <f t="shared" si="92"/>
        <v>Unlikely</v>
      </c>
      <c r="BG760" s="45"/>
      <c r="BH760" s="45" t="str">
        <f>INDEX(Table5[[#All],[Ovr]],MATCH(Table3[[#This Row],[PID]],Table5[[#All],[PID]],0))</f>
        <v/>
      </c>
      <c r="BI760" s="45" t="str">
        <f>INDEX(Table5[[#All],[Rnd]],MATCH(Table3[[#This Row],[PID]],Table5[[#All],[PID]],0))</f>
        <v/>
      </c>
      <c r="BJ760" s="45" t="str">
        <f>INDEX(Table5[[#All],[Pick]],MATCH(Table3[[#This Row],[PID]],Table5[[#All],[PID]],0))</f>
        <v/>
      </c>
      <c r="BK760" s="45" t="str">
        <f>INDEX(Table5[[#All],[Team]],MATCH(Table3[[#This Row],[PID]],Table5[[#All],[PID]],0))</f>
        <v/>
      </c>
      <c r="BL76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1" spans="1:64" ht="30" x14ac:dyDescent="0.25">
      <c r="A761" s="40">
        <v>17999</v>
      </c>
      <c r="B761" s="40" t="s">
        <v>24</v>
      </c>
      <c r="C761" s="40" t="s">
        <v>144</v>
      </c>
      <c r="D761" s="40" t="s">
        <v>1933</v>
      </c>
      <c r="E761" s="40">
        <v>21</v>
      </c>
      <c r="F761" s="40" t="s">
        <v>42</v>
      </c>
      <c r="G761" s="40" t="s">
        <v>42</v>
      </c>
      <c r="H761" s="41" t="s">
        <v>647</v>
      </c>
      <c r="I761" s="42" t="s">
        <v>47</v>
      </c>
      <c r="J761" s="40" t="s">
        <v>47</v>
      </c>
      <c r="K761" s="41" t="s">
        <v>43</v>
      </c>
      <c r="L761" s="40">
        <v>3</v>
      </c>
      <c r="M761" s="40">
        <v>2</v>
      </c>
      <c r="N761" s="41">
        <v>1</v>
      </c>
      <c r="O761" s="40">
        <v>4</v>
      </c>
      <c r="P761" s="40">
        <v>2</v>
      </c>
      <c r="Q761" s="41">
        <v>2</v>
      </c>
      <c r="R761" s="40">
        <v>5</v>
      </c>
      <c r="S761" s="40">
        <v>6</v>
      </c>
      <c r="T761" s="40">
        <v>1</v>
      </c>
      <c r="U761" s="40">
        <v>4</v>
      </c>
      <c r="V761" s="40" t="s">
        <v>45</v>
      </c>
      <c r="W761" s="40" t="s">
        <v>45</v>
      </c>
      <c r="X761" s="40" t="s">
        <v>45</v>
      </c>
      <c r="Y761" s="40" t="s">
        <v>45</v>
      </c>
      <c r="Z761" s="40" t="s">
        <v>45</v>
      </c>
      <c r="AA761" s="40" t="s">
        <v>45</v>
      </c>
      <c r="AB761" s="40">
        <v>4</v>
      </c>
      <c r="AC761" s="40">
        <v>5</v>
      </c>
      <c r="AD761" s="40">
        <v>4</v>
      </c>
      <c r="AE761" s="40">
        <v>5</v>
      </c>
      <c r="AF761" s="40" t="s">
        <v>45</v>
      </c>
      <c r="AG761" s="40" t="s">
        <v>45</v>
      </c>
      <c r="AH761" s="40" t="s">
        <v>45</v>
      </c>
      <c r="AI761" s="40" t="s">
        <v>45</v>
      </c>
      <c r="AJ761" s="40" t="s">
        <v>45</v>
      </c>
      <c r="AK761" s="40" t="s">
        <v>45</v>
      </c>
      <c r="AL761" s="40" t="s">
        <v>45</v>
      </c>
      <c r="AM761" s="40" t="s">
        <v>45</v>
      </c>
      <c r="AN761" s="40" t="s">
        <v>45</v>
      </c>
      <c r="AO761" s="41" t="s">
        <v>45</v>
      </c>
      <c r="AP761" s="40" t="s">
        <v>54</v>
      </c>
      <c r="AQ761" s="40">
        <v>8</v>
      </c>
      <c r="AR761" s="48" t="s">
        <v>347</v>
      </c>
      <c r="AS761" s="43" t="s">
        <v>45</v>
      </c>
      <c r="AT761" s="43" t="s">
        <v>47</v>
      </c>
      <c r="AU761" s="44">
        <f t="shared" si="87"/>
        <v>-2.1166698725191955</v>
      </c>
      <c r="AV761" s="44">
        <f t="shared" si="88"/>
        <v>-1.23416323121884</v>
      </c>
      <c r="AW761" s="45">
        <f t="shared" si="89"/>
        <v>4</v>
      </c>
      <c r="AX761" s="45">
        <f t="shared" si="90"/>
        <v>1</v>
      </c>
      <c r="AY761" s="46">
        <f>VLOOKUP(AP761,COND!$A$10:$B$32,2,FALSE)</f>
        <v>1.0249999999999999</v>
      </c>
      <c r="AZ761" s="44">
        <f>($AU$3*AU761+$AV$3*AV761+$AW$3*AW761+$AX$3*AX761)*AY761*IF(AQ761&lt;5,0.95,IF(AQ761&lt;7,0.975,1))+$I$3*VLOOKUP(I761,COND!$A$2:$E$7,4,FALSE)+$J$3*VLOOKUP(J761,COND!$A$2:$E$7,2,FALSE)+$K$3*VLOOKUP(K761,COND!$A$2:$E$7,3,FALSE)+IF(BB761="SP",$BB$3,0)+IF($AW761&lt;3,-5,0)+IF(AND($B$2&gt;0,$E761&lt;20),$B$2*25,0)</f>
        <v>25.121986436147342</v>
      </c>
      <c r="BA761" s="47">
        <f>STANDARDIZE(AZ761,AVERAGE($AZ$5:$AZ$557),STDEVP($AZ$5:$AZ$557))</f>
        <v>-0.71508391510555358</v>
      </c>
      <c r="BB761" s="45" t="str">
        <f t="shared" si="91"/>
        <v>SP</v>
      </c>
      <c r="BC761" s="45">
        <f>RANK(Table3[[#This Row],[zScore]],Table3[zScore])</f>
        <v>606</v>
      </c>
      <c r="BD761" s="45"/>
      <c r="BE761" s="45"/>
      <c r="BF761" s="45" t="str">
        <f t="shared" si="92"/>
        <v>Unlikely</v>
      </c>
      <c r="BG761" s="45"/>
      <c r="BH761" s="45" t="str">
        <f>INDEX(Table5[[#All],[Ovr]],MATCH(Table3[[#This Row],[PID]],Table5[[#All],[PID]],0))</f>
        <v/>
      </c>
      <c r="BI761" s="45" t="str">
        <f>INDEX(Table5[[#All],[Rnd]],MATCH(Table3[[#This Row],[PID]],Table5[[#All],[PID]],0))</f>
        <v/>
      </c>
      <c r="BJ761" s="45" t="str">
        <f>INDEX(Table5[[#All],[Pick]],MATCH(Table3[[#This Row],[PID]],Table5[[#All],[PID]],0))</f>
        <v/>
      </c>
      <c r="BK761" s="45" t="str">
        <f>INDEX(Table5[[#All],[Team]],MATCH(Table3[[#This Row],[PID]],Table5[[#All],[PID]],0))</f>
        <v/>
      </c>
      <c r="BL76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2" spans="1:64" ht="30" x14ac:dyDescent="0.25">
      <c r="A762" s="40">
        <v>9673</v>
      </c>
      <c r="B762" s="40" t="s">
        <v>24</v>
      </c>
      <c r="C762" s="40" t="s">
        <v>813</v>
      </c>
      <c r="D762" s="40" t="s">
        <v>720</v>
      </c>
      <c r="E762" s="40">
        <v>22</v>
      </c>
      <c r="F762" s="40" t="s">
        <v>53</v>
      </c>
      <c r="G762" s="40" t="s">
        <v>53</v>
      </c>
      <c r="H762" s="41" t="s">
        <v>647</v>
      </c>
      <c r="I762" s="42" t="s">
        <v>43</v>
      </c>
      <c r="J762" s="40" t="s">
        <v>43</v>
      </c>
      <c r="K762" s="41" t="s">
        <v>44</v>
      </c>
      <c r="L762" s="40">
        <v>3</v>
      </c>
      <c r="M762" s="40">
        <v>1</v>
      </c>
      <c r="N762" s="41">
        <v>3</v>
      </c>
      <c r="O762" s="40">
        <v>4</v>
      </c>
      <c r="P762" s="40">
        <v>1</v>
      </c>
      <c r="Q762" s="41">
        <v>3</v>
      </c>
      <c r="R762" s="40">
        <v>5</v>
      </c>
      <c r="S762" s="40">
        <v>6</v>
      </c>
      <c r="T762" s="40">
        <v>3</v>
      </c>
      <c r="U762" s="40">
        <v>6</v>
      </c>
      <c r="V762" s="40" t="s">
        <v>45</v>
      </c>
      <c r="W762" s="40" t="s">
        <v>45</v>
      </c>
      <c r="X762" s="40">
        <v>3</v>
      </c>
      <c r="Y762" s="40">
        <v>5</v>
      </c>
      <c r="Z762" s="40" t="s">
        <v>45</v>
      </c>
      <c r="AA762" s="40" t="s">
        <v>45</v>
      </c>
      <c r="AB762" s="40" t="s">
        <v>45</v>
      </c>
      <c r="AC762" s="40" t="s">
        <v>45</v>
      </c>
      <c r="AD762" s="40" t="s">
        <v>45</v>
      </c>
      <c r="AE762" s="40" t="s">
        <v>45</v>
      </c>
      <c r="AF762" s="40" t="s">
        <v>45</v>
      </c>
      <c r="AG762" s="40" t="s">
        <v>45</v>
      </c>
      <c r="AH762" s="40" t="s">
        <v>45</v>
      </c>
      <c r="AI762" s="40" t="s">
        <v>45</v>
      </c>
      <c r="AJ762" s="40" t="s">
        <v>45</v>
      </c>
      <c r="AK762" s="40" t="s">
        <v>45</v>
      </c>
      <c r="AL762" s="40" t="s">
        <v>45</v>
      </c>
      <c r="AM762" s="40" t="s">
        <v>45</v>
      </c>
      <c r="AN762" s="40" t="s">
        <v>45</v>
      </c>
      <c r="AO762" s="41" t="s">
        <v>45</v>
      </c>
      <c r="AP762" s="40" t="s">
        <v>54</v>
      </c>
      <c r="AQ762" s="40">
        <v>3</v>
      </c>
      <c r="AR762" s="48" t="s">
        <v>351</v>
      </c>
      <c r="AS762" s="43" t="s">
        <v>45</v>
      </c>
      <c r="AT762" s="43" t="s">
        <v>47</v>
      </c>
      <c r="AU762" s="44">
        <f t="shared" si="87"/>
        <v>-1.8274604568410304</v>
      </c>
      <c r="AV762" s="44">
        <f t="shared" si="88"/>
        <v>-1.1872743815947853</v>
      </c>
      <c r="AW762" s="45">
        <f t="shared" si="89"/>
        <v>3</v>
      </c>
      <c r="AX762" s="45">
        <f t="shared" si="90"/>
        <v>2</v>
      </c>
      <c r="AY762" s="46">
        <f>VLOOKUP(AP762,COND!$A$10:$B$32,2,FALSE)</f>
        <v>1.0249999999999999</v>
      </c>
      <c r="AZ762" s="44">
        <f>($AU$3*AU762+$AV$3*AV762+$AW$3*AW762+$AX$3*AX762)*AY762*IF(AQ762&lt;5,0.95,IF(AQ762&lt;7,0.975,1))+$I$3*VLOOKUP(I762,COND!$A$2:$E$7,4,FALSE)+$J$3*VLOOKUP(J762,COND!$A$2:$E$7,2,FALSE)+$K$3*VLOOKUP(K762,COND!$A$2:$E$7,3,FALSE)+IF(BB762="SP",$BB$3,0)+IF($AW762&lt;3,-5,0)+IF(AND($B$2&gt;0,$E762&lt;20),$B$2*25,0)</f>
        <v>25.116933494471766</v>
      </c>
      <c r="BA762" s="47">
        <f>STANDARDIZE(AZ762,AVERAGE($AZ$5:$AZ$557),STDEVP($AZ$5:$AZ$557))</f>
        <v>-0.71542007959378473</v>
      </c>
      <c r="BB762" s="45" t="str">
        <f t="shared" si="91"/>
        <v>RP</v>
      </c>
      <c r="BC762" s="45">
        <f>RANK(Table3[[#This Row],[zScore]],Table3[zScore])</f>
        <v>607</v>
      </c>
      <c r="BD762" s="45"/>
      <c r="BE762" s="45"/>
      <c r="BF762" s="45" t="str">
        <f t="shared" si="92"/>
        <v>Unlikely</v>
      </c>
      <c r="BG762" s="45"/>
      <c r="BH762" s="45" t="str">
        <f>INDEX(Table5[[#All],[Ovr]],MATCH(Table3[[#This Row],[PID]],Table5[[#All],[PID]],0))</f>
        <v/>
      </c>
      <c r="BI762" s="45" t="str">
        <f>INDEX(Table5[[#All],[Rnd]],MATCH(Table3[[#This Row],[PID]],Table5[[#All],[PID]],0))</f>
        <v/>
      </c>
      <c r="BJ762" s="45" t="str">
        <f>INDEX(Table5[[#All],[Pick]],MATCH(Table3[[#This Row],[PID]],Table5[[#All],[PID]],0))</f>
        <v/>
      </c>
      <c r="BK762" s="45" t="str">
        <f>INDEX(Table5[[#All],[Team]],MATCH(Table3[[#This Row],[PID]],Table5[[#All],[PID]],0))</f>
        <v/>
      </c>
      <c r="BL76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3" spans="1:64" ht="30" x14ac:dyDescent="0.25">
      <c r="A763" s="40">
        <v>20300</v>
      </c>
      <c r="B763" s="40" t="s">
        <v>24</v>
      </c>
      <c r="C763" s="40" t="s">
        <v>2035</v>
      </c>
      <c r="D763" s="40" t="s">
        <v>694</v>
      </c>
      <c r="E763" s="40">
        <v>17</v>
      </c>
      <c r="F763" s="40" t="s">
        <v>53</v>
      </c>
      <c r="G763" s="40" t="s">
        <v>53</v>
      </c>
      <c r="H763" s="41" t="s">
        <v>647</v>
      </c>
      <c r="I763" s="42" t="s">
        <v>43</v>
      </c>
      <c r="J763" s="40" t="s">
        <v>44</v>
      </c>
      <c r="K763" s="41" t="s">
        <v>47</v>
      </c>
      <c r="L763" s="40">
        <v>2</v>
      </c>
      <c r="M763" s="40">
        <v>1</v>
      </c>
      <c r="N763" s="41">
        <v>1</v>
      </c>
      <c r="O763" s="40">
        <v>3</v>
      </c>
      <c r="P763" s="40">
        <v>1</v>
      </c>
      <c r="Q763" s="41">
        <v>3</v>
      </c>
      <c r="R763" s="40">
        <v>3</v>
      </c>
      <c r="S763" s="40">
        <v>4</v>
      </c>
      <c r="T763" s="40">
        <v>2</v>
      </c>
      <c r="U763" s="40">
        <v>4</v>
      </c>
      <c r="V763" s="40" t="s">
        <v>45</v>
      </c>
      <c r="W763" s="40" t="s">
        <v>45</v>
      </c>
      <c r="X763" s="40" t="s">
        <v>45</v>
      </c>
      <c r="Y763" s="40" t="s">
        <v>45</v>
      </c>
      <c r="Z763" s="40" t="s">
        <v>45</v>
      </c>
      <c r="AA763" s="40" t="s">
        <v>45</v>
      </c>
      <c r="AB763" s="40" t="s">
        <v>45</v>
      </c>
      <c r="AC763" s="40" t="s">
        <v>45</v>
      </c>
      <c r="AD763" s="40">
        <v>3</v>
      </c>
      <c r="AE763" s="40">
        <v>4</v>
      </c>
      <c r="AF763" s="40">
        <v>2</v>
      </c>
      <c r="AG763" s="40">
        <v>3</v>
      </c>
      <c r="AH763" s="40" t="s">
        <v>45</v>
      </c>
      <c r="AI763" s="40" t="s">
        <v>45</v>
      </c>
      <c r="AJ763" s="40" t="s">
        <v>45</v>
      </c>
      <c r="AK763" s="40" t="s">
        <v>45</v>
      </c>
      <c r="AL763" s="40" t="s">
        <v>45</v>
      </c>
      <c r="AM763" s="40" t="s">
        <v>45</v>
      </c>
      <c r="AN763" s="40" t="s">
        <v>45</v>
      </c>
      <c r="AO763" s="41" t="s">
        <v>45</v>
      </c>
      <c r="AP763" s="40" t="s">
        <v>68</v>
      </c>
      <c r="AQ763" s="40">
        <v>7</v>
      </c>
      <c r="AR763" s="48" t="s">
        <v>14</v>
      </c>
      <c r="AS763" s="43" t="s">
        <v>659</v>
      </c>
      <c r="AT763" s="43" t="s">
        <v>635</v>
      </c>
      <c r="AU763" s="44">
        <f t="shared" si="87"/>
        <v>-2.5067929134584248</v>
      </c>
      <c r="AV763" s="44">
        <f t="shared" si="88"/>
        <v>-1.3819657061039585</v>
      </c>
      <c r="AW763" s="45">
        <f t="shared" si="89"/>
        <v>4</v>
      </c>
      <c r="AX763" s="45">
        <f t="shared" si="90"/>
        <v>0</v>
      </c>
      <c r="AY763" s="46">
        <f>VLOOKUP(AP763,COND!$A$10:$B$32,2,FALSE)</f>
        <v>0.95</v>
      </c>
      <c r="AZ763" s="44">
        <f>($AU$3*AU763+$AV$3*AV763+$AW$3*AW763+$AX$3*AX763)*AY763*IF(AQ763&lt;5,0.95,IF(AQ763&lt;7,0.975,1))+$I$3*VLOOKUP(I763,COND!$A$2:$E$7,4,FALSE)+$J$3*VLOOKUP(J763,COND!$A$2:$E$7,2,FALSE)+$K$3*VLOOKUP(K763,COND!$A$2:$E$7,3,FALSE)+IF(BB763="SP",$BB$3,0)+IF($AW763&lt;3,-5,0)+IF(AND($B$2&gt;0,$E763&lt;20),$B$2*25,0)</f>
        <v>27.166360930467686</v>
      </c>
      <c r="BA763" s="47">
        <f>STANDARDIZE(AZ763,AVERAGE($AZ$5:$AZ$663),STDEVP($AZ$5:$AZ$663))</f>
        <v>-0.72865982191213929</v>
      </c>
      <c r="BB763" s="45" t="str">
        <f t="shared" si="91"/>
        <v>SP</v>
      </c>
      <c r="BC763" s="45">
        <f>RANK(Table3[[#This Row],[zScore]],Table3[zScore])</f>
        <v>611</v>
      </c>
      <c r="BD763" s="45"/>
      <c r="BE763" s="45"/>
      <c r="BF763" s="45" t="str">
        <f t="shared" si="92"/>
        <v>Unlikely</v>
      </c>
      <c r="BG763" s="45"/>
      <c r="BH763" s="45" t="str">
        <f>INDEX(Table5[[#All],[Ovr]],MATCH(Table3[[#This Row],[PID]],Table5[[#All],[PID]],0))</f>
        <v/>
      </c>
      <c r="BI763" s="45" t="str">
        <f>INDEX(Table5[[#All],[Rnd]],MATCH(Table3[[#This Row],[PID]],Table5[[#All],[PID]],0))</f>
        <v/>
      </c>
      <c r="BJ763" s="45" t="str">
        <f>INDEX(Table5[[#All],[Pick]],MATCH(Table3[[#This Row],[PID]],Table5[[#All],[PID]],0))</f>
        <v/>
      </c>
      <c r="BK763" s="45" t="str">
        <f>INDEX(Table5[[#All],[Team]],MATCH(Table3[[#This Row],[PID]],Table5[[#All],[PID]],0))</f>
        <v/>
      </c>
      <c r="BL76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4" spans="1:64" ht="30" x14ac:dyDescent="0.25">
      <c r="A764" s="40">
        <v>20579</v>
      </c>
      <c r="B764" s="40" t="s">
        <v>24</v>
      </c>
      <c r="C764" s="40" t="s">
        <v>1335</v>
      </c>
      <c r="D764" s="40" t="s">
        <v>2178</v>
      </c>
      <c r="E764" s="40">
        <v>18</v>
      </c>
      <c r="F764" s="40" t="s">
        <v>42</v>
      </c>
      <c r="G764" s="40" t="s">
        <v>42</v>
      </c>
      <c r="H764" s="41" t="s">
        <v>647</v>
      </c>
      <c r="I764" s="42" t="s">
        <v>43</v>
      </c>
      <c r="J764" s="40" t="s">
        <v>43</v>
      </c>
      <c r="K764" s="41" t="s">
        <v>43</v>
      </c>
      <c r="L764" s="40">
        <v>2</v>
      </c>
      <c r="M764" s="40">
        <v>2</v>
      </c>
      <c r="N764" s="41">
        <v>1</v>
      </c>
      <c r="O764" s="40">
        <v>3</v>
      </c>
      <c r="P764" s="40">
        <v>2</v>
      </c>
      <c r="Q764" s="41">
        <v>2</v>
      </c>
      <c r="R764" s="40">
        <v>4</v>
      </c>
      <c r="S764" s="40">
        <v>5</v>
      </c>
      <c r="T764" s="40">
        <v>1</v>
      </c>
      <c r="U764" s="40">
        <v>2</v>
      </c>
      <c r="V764" s="40">
        <v>3</v>
      </c>
      <c r="W764" s="40">
        <v>6</v>
      </c>
      <c r="X764" s="40" t="s">
        <v>45</v>
      </c>
      <c r="Y764" s="40" t="s">
        <v>45</v>
      </c>
      <c r="Z764" s="40" t="s">
        <v>45</v>
      </c>
      <c r="AA764" s="40" t="s">
        <v>45</v>
      </c>
      <c r="AB764" s="40" t="s">
        <v>45</v>
      </c>
      <c r="AC764" s="40" t="s">
        <v>45</v>
      </c>
      <c r="AD764" s="40" t="s">
        <v>45</v>
      </c>
      <c r="AE764" s="40" t="s">
        <v>45</v>
      </c>
      <c r="AF764" s="40" t="s">
        <v>45</v>
      </c>
      <c r="AG764" s="40" t="s">
        <v>45</v>
      </c>
      <c r="AH764" s="40" t="s">
        <v>45</v>
      </c>
      <c r="AI764" s="40" t="s">
        <v>45</v>
      </c>
      <c r="AJ764" s="40" t="s">
        <v>45</v>
      </c>
      <c r="AK764" s="40" t="s">
        <v>45</v>
      </c>
      <c r="AL764" s="40" t="s">
        <v>45</v>
      </c>
      <c r="AM764" s="40" t="s">
        <v>45</v>
      </c>
      <c r="AN764" s="40" t="s">
        <v>45</v>
      </c>
      <c r="AO764" s="41" t="s">
        <v>45</v>
      </c>
      <c r="AP764" s="40" t="s">
        <v>349</v>
      </c>
      <c r="AQ764" s="40">
        <v>6</v>
      </c>
      <c r="AR764" s="48" t="s">
        <v>347</v>
      </c>
      <c r="AS764" s="43" t="s">
        <v>659</v>
      </c>
      <c r="AT764" s="43"/>
      <c r="AU764" s="44">
        <f t="shared" si="87"/>
        <v>-2.311361197028369</v>
      </c>
      <c r="AV764" s="44">
        <f t="shared" si="88"/>
        <v>-1.4288545557280135</v>
      </c>
      <c r="AW764" s="45">
        <f t="shared" si="89"/>
        <v>3</v>
      </c>
      <c r="AX764" s="45">
        <f t="shared" si="90"/>
        <v>1</v>
      </c>
      <c r="AY764" s="46">
        <f>VLOOKUP(AP764,COND!$A$10:$B$32,2,FALSE)</f>
        <v>1</v>
      </c>
      <c r="AZ764" s="44">
        <f>($AU$3*AU764+$AV$3*AV764+$AW$3*AW764+$AX$3*AX764)*AY764*IF(AQ764&lt;5,0.95,IF(AQ764&lt;7,0.975,1))+$I$3*VLOOKUP(I764,COND!$A$2:$E$7,4,FALSE)+$J$3*VLOOKUP(J764,COND!$A$2:$E$7,2,FALSE)+$K$3*VLOOKUP(K764,COND!$A$2:$E$7,3,FALSE)+IF(BB764="SP",$BB$3,0)+IF($AW764&lt;3,-5,0)+IF(AND($B$2&gt;0,$E764&lt;20),$B$2*25,0)</f>
        <v>26.367870729883208</v>
      </c>
      <c r="BA764" s="47">
        <f>STANDARDIZE(AZ764,AVERAGE($AZ$5:$AZ$788),STDEVP($AZ$5:$AZ$788))</f>
        <v>-0.75340950203189883</v>
      </c>
      <c r="BB764" s="45" t="str">
        <f t="shared" si="91"/>
        <v>SP</v>
      </c>
      <c r="BC764" s="45">
        <f>RANK(Table3[[#This Row],[zScore]],Table3[zScore])</f>
        <v>619</v>
      </c>
      <c r="BD764" s="45"/>
      <c r="BE764" s="45"/>
      <c r="BF764" s="45" t="str">
        <f t="shared" si="92"/>
        <v>Unlikely</v>
      </c>
      <c r="BG764" s="45"/>
      <c r="BH764" s="64" t="str">
        <f>INDEX(Table5[[#All],[Ovr]],MATCH(Table3[[#This Row],[PID]],Table5[[#All],[PID]],0))</f>
        <v/>
      </c>
      <c r="BI764" s="64" t="str">
        <f>INDEX(Table5[[#All],[Rnd]],MATCH(Table3[[#This Row],[PID]],Table5[[#All],[PID]],0))</f>
        <v/>
      </c>
      <c r="BJ764" s="64" t="str">
        <f>INDEX(Table5[[#All],[Pick]],MATCH(Table3[[#This Row],[PID]],Table5[[#All],[PID]],0))</f>
        <v/>
      </c>
      <c r="BK764" s="64" t="str">
        <f>INDEX(Table5[[#All],[Team]],MATCH(Table3[[#This Row],[PID]],Table5[[#All],[PID]],0))</f>
        <v/>
      </c>
      <c r="BL764" s="64" t="str">
        <f>IF(OR(Table3[[#This Row],[POS]]="SP",Table3[[#This Row],[POS]]="RP",Table3[[#This Row],[POS]]="CL"),"P",INDEX(Batters[[#All],[zScore]],MATCH(Table3[[#This Row],[PID]],Batters[[#All],[PID]],0)))</f>
        <v>P</v>
      </c>
    </row>
    <row r="765" spans="1:64" ht="30" x14ac:dyDescent="0.25">
      <c r="A765" s="40">
        <v>20214</v>
      </c>
      <c r="B765" s="40" t="s">
        <v>24</v>
      </c>
      <c r="C765" s="40" t="s">
        <v>186</v>
      </c>
      <c r="D765" s="40" t="s">
        <v>981</v>
      </c>
      <c r="E765" s="40">
        <v>22</v>
      </c>
      <c r="F765" s="40" t="s">
        <v>53</v>
      </c>
      <c r="G765" s="40" t="s">
        <v>53</v>
      </c>
      <c r="H765" s="41" t="s">
        <v>647</v>
      </c>
      <c r="I765" s="42" t="s">
        <v>43</v>
      </c>
      <c r="J765" s="40" t="s">
        <v>44</v>
      </c>
      <c r="K765" s="41" t="s">
        <v>43</v>
      </c>
      <c r="L765" s="40">
        <v>3</v>
      </c>
      <c r="M765" s="40">
        <v>1</v>
      </c>
      <c r="N765" s="41">
        <v>3</v>
      </c>
      <c r="O765" s="40">
        <v>4</v>
      </c>
      <c r="P765" s="40">
        <v>1</v>
      </c>
      <c r="Q765" s="41">
        <v>3</v>
      </c>
      <c r="R765" s="40">
        <v>4</v>
      </c>
      <c r="S765" s="40">
        <v>5</v>
      </c>
      <c r="T765" s="40">
        <v>4</v>
      </c>
      <c r="U765" s="40">
        <v>6</v>
      </c>
      <c r="V765" s="40">
        <v>3</v>
      </c>
      <c r="W765" s="40">
        <v>5</v>
      </c>
      <c r="X765" s="40" t="s">
        <v>45</v>
      </c>
      <c r="Y765" s="40" t="s">
        <v>45</v>
      </c>
      <c r="Z765" s="40" t="s">
        <v>45</v>
      </c>
      <c r="AA765" s="40" t="s">
        <v>45</v>
      </c>
      <c r="AB765" s="40">
        <v>3</v>
      </c>
      <c r="AC765" s="40">
        <v>4</v>
      </c>
      <c r="AD765" s="40" t="s">
        <v>45</v>
      </c>
      <c r="AE765" s="40" t="s">
        <v>45</v>
      </c>
      <c r="AF765" s="40">
        <v>4</v>
      </c>
      <c r="AG765" s="40">
        <v>4</v>
      </c>
      <c r="AH765" s="40" t="s">
        <v>45</v>
      </c>
      <c r="AI765" s="40" t="s">
        <v>45</v>
      </c>
      <c r="AJ765" s="40" t="s">
        <v>45</v>
      </c>
      <c r="AK765" s="40" t="s">
        <v>45</v>
      </c>
      <c r="AL765" s="40" t="s">
        <v>45</v>
      </c>
      <c r="AM765" s="40" t="s">
        <v>45</v>
      </c>
      <c r="AN765" s="40" t="s">
        <v>45</v>
      </c>
      <c r="AO765" s="41" t="s">
        <v>45</v>
      </c>
      <c r="AP765" s="40" t="s">
        <v>349</v>
      </c>
      <c r="AQ765" s="40">
        <v>9</v>
      </c>
      <c r="AR765" s="48" t="s">
        <v>351</v>
      </c>
      <c r="AS765" s="43" t="s">
        <v>45</v>
      </c>
      <c r="AT765" s="43"/>
      <c r="AU765" s="44">
        <f t="shared" si="87"/>
        <v>-1.8274604568410304</v>
      </c>
      <c r="AV765" s="44">
        <f t="shared" si="88"/>
        <v>-1.1872743815947853</v>
      </c>
      <c r="AW765" s="45">
        <f t="shared" si="89"/>
        <v>5</v>
      </c>
      <c r="AX765" s="45">
        <f t="shared" si="90"/>
        <v>1</v>
      </c>
      <c r="AY765" s="46">
        <f>VLOOKUP(AP765,COND!$A$10:$B$32,2,FALSE)</f>
        <v>1</v>
      </c>
      <c r="AZ765" s="44">
        <f>($AU$3*AU765+$AV$3*AV765+$AW$3*AW765+$AX$3*AX765)*AY765*IF(AQ765&lt;5,0.95,IF(AQ765&lt;7,0.975,1))+$I$3*VLOOKUP(I765,COND!$A$2:$E$7,4,FALSE)+$J$3*VLOOKUP(J765,COND!$A$2:$E$7,2,FALSE)+$K$3*VLOOKUP(K765,COND!$A$2:$E$7,3,FALSE)+IF(BB765="SP",$BB$3,0)+IF($AW765&lt;3,-5,0)+IF(AND($B$2&gt;0,$E765&lt;20),$B$2*25,0)</f>
        <v>26.339020276736086</v>
      </c>
      <c r="BA765" s="47">
        <f>STANDARDIZE(AZ765,AVERAGE($AZ$5:$AZ$788),STDEVP($AZ$5:$AZ$788))</f>
        <v>-0.75549719195058451</v>
      </c>
      <c r="BB765" s="45" t="str">
        <f t="shared" si="91"/>
        <v>SP</v>
      </c>
      <c r="BC765" s="45">
        <f>RANK(Table3[[#This Row],[zScore]],Table3[zScore])</f>
        <v>621</v>
      </c>
      <c r="BD765" s="45"/>
      <c r="BE765" s="45"/>
      <c r="BF765" s="45" t="str">
        <f t="shared" si="92"/>
        <v>Unlikely</v>
      </c>
      <c r="BG765" s="45"/>
      <c r="BH765" s="64" t="str">
        <f>INDEX(Table5[[#All],[Ovr]],MATCH(Table3[[#This Row],[PID]],Table5[[#All],[PID]],0))</f>
        <v/>
      </c>
      <c r="BI765" s="64" t="str">
        <f>INDEX(Table5[[#All],[Rnd]],MATCH(Table3[[#This Row],[PID]],Table5[[#All],[PID]],0))</f>
        <v/>
      </c>
      <c r="BJ765" s="64" t="str">
        <f>INDEX(Table5[[#All],[Pick]],MATCH(Table3[[#This Row],[PID]],Table5[[#All],[PID]],0))</f>
        <v/>
      </c>
      <c r="BK765" s="64" t="str">
        <f>INDEX(Table5[[#All],[Team]],MATCH(Table3[[#This Row],[PID]],Table5[[#All],[PID]],0))</f>
        <v/>
      </c>
      <c r="BL765" s="64" t="str">
        <f>IF(OR(Table3[[#This Row],[POS]]="SP",Table3[[#This Row],[POS]]="RP",Table3[[#This Row],[POS]]="CL"),"P",INDEX(Batters[[#All],[zScore]],MATCH(Table3[[#This Row],[PID]],Batters[[#All],[PID]],0)))</f>
        <v>P</v>
      </c>
    </row>
    <row r="766" spans="1:64" ht="30" x14ac:dyDescent="0.25">
      <c r="A766" s="40">
        <v>11852</v>
      </c>
      <c r="B766" s="40" t="s">
        <v>24</v>
      </c>
      <c r="C766" s="40" t="s">
        <v>1045</v>
      </c>
      <c r="D766" s="40" t="s">
        <v>679</v>
      </c>
      <c r="E766" s="40">
        <v>22</v>
      </c>
      <c r="F766" s="40" t="s">
        <v>53</v>
      </c>
      <c r="G766" s="40" t="s">
        <v>42</v>
      </c>
      <c r="H766" s="41" t="s">
        <v>647</v>
      </c>
      <c r="I766" s="42" t="s">
        <v>47</v>
      </c>
      <c r="J766" s="40" t="s">
        <v>47</v>
      </c>
      <c r="K766" s="41" t="s">
        <v>43</v>
      </c>
      <c r="L766" s="40">
        <v>2</v>
      </c>
      <c r="M766" s="40">
        <v>2</v>
      </c>
      <c r="N766" s="41">
        <v>2</v>
      </c>
      <c r="O766" s="40">
        <v>4</v>
      </c>
      <c r="P766" s="40">
        <v>2</v>
      </c>
      <c r="Q766" s="41">
        <v>2</v>
      </c>
      <c r="R766" s="40">
        <v>4</v>
      </c>
      <c r="S766" s="40">
        <v>5</v>
      </c>
      <c r="T766" s="40">
        <v>1</v>
      </c>
      <c r="U766" s="40">
        <v>5</v>
      </c>
      <c r="V766" s="40" t="s">
        <v>45</v>
      </c>
      <c r="W766" s="40" t="s">
        <v>45</v>
      </c>
      <c r="X766" s="40">
        <v>3</v>
      </c>
      <c r="Y766" s="40">
        <v>5</v>
      </c>
      <c r="Z766" s="40" t="s">
        <v>45</v>
      </c>
      <c r="AA766" s="40" t="s">
        <v>45</v>
      </c>
      <c r="AB766" s="40" t="s">
        <v>45</v>
      </c>
      <c r="AC766" s="40" t="s">
        <v>45</v>
      </c>
      <c r="AD766" s="40" t="s">
        <v>45</v>
      </c>
      <c r="AE766" s="40" t="s">
        <v>45</v>
      </c>
      <c r="AF766" s="40">
        <v>3</v>
      </c>
      <c r="AG766" s="40">
        <v>4</v>
      </c>
      <c r="AH766" s="40" t="s">
        <v>45</v>
      </c>
      <c r="AI766" s="40" t="s">
        <v>45</v>
      </c>
      <c r="AJ766" s="40" t="s">
        <v>45</v>
      </c>
      <c r="AK766" s="40" t="s">
        <v>45</v>
      </c>
      <c r="AL766" s="40" t="s">
        <v>45</v>
      </c>
      <c r="AM766" s="40" t="s">
        <v>45</v>
      </c>
      <c r="AN766" s="40" t="s">
        <v>45</v>
      </c>
      <c r="AO766" s="41" t="s">
        <v>45</v>
      </c>
      <c r="AP766" s="40" t="s">
        <v>57</v>
      </c>
      <c r="AQ766" s="40">
        <v>7</v>
      </c>
      <c r="AR766" s="48" t="s">
        <v>347</v>
      </c>
      <c r="AS766" s="43" t="s">
        <v>45</v>
      </c>
      <c r="AT766" s="43" t="s">
        <v>47</v>
      </c>
      <c r="AU766" s="44">
        <f t="shared" si="87"/>
        <v>-2.0690406309742588</v>
      </c>
      <c r="AV766" s="44">
        <f t="shared" si="88"/>
        <v>-1.23416323121884</v>
      </c>
      <c r="AW766" s="45">
        <f t="shared" si="89"/>
        <v>4</v>
      </c>
      <c r="AX766" s="45">
        <f t="shared" si="90"/>
        <v>0</v>
      </c>
      <c r="AY766" s="46">
        <f>VLOOKUP(AP766,COND!$A$10:$B$32,2,FALSE)</f>
        <v>1</v>
      </c>
      <c r="AZ766" s="44">
        <f>($AU$3*AU766+$AV$3*AV766+$AW$3*AW766+$AX$3*AX766)*AY766*IF(AQ766&lt;5,0.95,IF(AQ766&lt;7,0.975,1))+$I$3*VLOOKUP(I766,COND!$A$2:$E$7,4,FALSE)+$J$3*VLOOKUP(J766,COND!$A$2:$E$7,2,FALSE)+$K$3*VLOOKUP(K766,COND!$A$2:$E$7,3,FALSE)+IF(BB766="SP",$BB$3,0)+IF($AW766&lt;3,-5,0)+IF(AND($B$2&gt;0,$E766&lt;20),$B$2*25,0)</f>
        <v>24.427927249428347</v>
      </c>
      <c r="BA766" s="47">
        <f>STANDARDIZE(AZ766,AVERAGE($AZ$5:$AZ$557),STDEVP($AZ$5:$AZ$557))</f>
        <v>-0.76125861219998814</v>
      </c>
      <c r="BB766" s="45" t="str">
        <f t="shared" si="91"/>
        <v>SP</v>
      </c>
      <c r="BC766" s="45">
        <f>RANK(Table3[[#This Row],[zScore]],Table3[zScore])</f>
        <v>624</v>
      </c>
      <c r="BD766" s="45"/>
      <c r="BE766" s="45"/>
      <c r="BF766" s="45" t="str">
        <f t="shared" si="92"/>
        <v>Unlikely</v>
      </c>
      <c r="BG766" s="45"/>
      <c r="BH766" s="45">
        <f>INDEX(Table5[[#All],[Ovr]],MATCH(Table3[[#This Row],[PID]],Table5[[#All],[PID]],0))</f>
        <v>581</v>
      </c>
      <c r="BI766" s="45" t="str">
        <f>INDEX(Table5[[#All],[Rnd]],MATCH(Table3[[#This Row],[PID]],Table5[[#All],[PID]],0))</f>
        <v>20</v>
      </c>
      <c r="BJ766" s="45">
        <f>INDEX(Table5[[#All],[Pick]],MATCH(Table3[[#This Row],[PID]],Table5[[#All],[PID]],0))</f>
        <v>3</v>
      </c>
      <c r="BK766" s="45" t="str">
        <f>INDEX(Table5[[#All],[Team]],MATCH(Table3[[#This Row],[PID]],Table5[[#All],[PID]],0))</f>
        <v>New Orleans Trendsetters</v>
      </c>
      <c r="BL76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7" spans="1:64" ht="30" x14ac:dyDescent="0.25">
      <c r="A767" s="40">
        <v>9751</v>
      </c>
      <c r="B767" s="40" t="s">
        <v>24</v>
      </c>
      <c r="C767" s="40" t="s">
        <v>183</v>
      </c>
      <c r="D767" s="40" t="s">
        <v>755</v>
      </c>
      <c r="E767" s="40">
        <v>22</v>
      </c>
      <c r="F767" s="40" t="s">
        <v>53</v>
      </c>
      <c r="G767" s="40" t="s">
        <v>53</v>
      </c>
      <c r="H767" s="41" t="s">
        <v>647</v>
      </c>
      <c r="I767" s="42" t="s">
        <v>43</v>
      </c>
      <c r="J767" s="40" t="s">
        <v>43</v>
      </c>
      <c r="K767" s="41" t="s">
        <v>43</v>
      </c>
      <c r="L767" s="40">
        <v>2</v>
      </c>
      <c r="M767" s="40">
        <v>2</v>
      </c>
      <c r="N767" s="41">
        <v>1</v>
      </c>
      <c r="O767" s="40">
        <v>3</v>
      </c>
      <c r="P767" s="40">
        <v>2</v>
      </c>
      <c r="Q767" s="41">
        <v>3</v>
      </c>
      <c r="R767" s="40">
        <v>4</v>
      </c>
      <c r="S767" s="40">
        <v>5</v>
      </c>
      <c r="T767" s="40" t="s">
        <v>45</v>
      </c>
      <c r="U767" s="40" t="s">
        <v>45</v>
      </c>
      <c r="V767" s="40">
        <v>3</v>
      </c>
      <c r="W767" s="40">
        <v>5</v>
      </c>
      <c r="X767" s="40" t="s">
        <v>45</v>
      </c>
      <c r="Y767" s="40" t="s">
        <v>45</v>
      </c>
      <c r="Z767" s="40" t="s">
        <v>45</v>
      </c>
      <c r="AA767" s="40" t="s">
        <v>45</v>
      </c>
      <c r="AB767" s="40">
        <v>4</v>
      </c>
      <c r="AC767" s="40">
        <v>5</v>
      </c>
      <c r="AD767" s="40" t="s">
        <v>45</v>
      </c>
      <c r="AE767" s="40" t="s">
        <v>45</v>
      </c>
      <c r="AF767" s="40" t="s">
        <v>45</v>
      </c>
      <c r="AG767" s="40" t="s">
        <v>45</v>
      </c>
      <c r="AH767" s="40" t="s">
        <v>45</v>
      </c>
      <c r="AI767" s="40" t="s">
        <v>45</v>
      </c>
      <c r="AJ767" s="40" t="s">
        <v>45</v>
      </c>
      <c r="AK767" s="40" t="s">
        <v>45</v>
      </c>
      <c r="AL767" s="40" t="s">
        <v>45</v>
      </c>
      <c r="AM767" s="40" t="s">
        <v>45</v>
      </c>
      <c r="AN767" s="40" t="s">
        <v>45</v>
      </c>
      <c r="AO767" s="41" t="s">
        <v>45</v>
      </c>
      <c r="AP767" s="40" t="s">
        <v>56</v>
      </c>
      <c r="AQ767" s="40">
        <v>9</v>
      </c>
      <c r="AR767" s="48" t="s">
        <v>347</v>
      </c>
      <c r="AS767" s="43" t="s">
        <v>45</v>
      </c>
      <c r="AT767" s="43" t="s">
        <v>47</v>
      </c>
      <c r="AU767" s="44">
        <f t="shared" si="87"/>
        <v>-2.311361197028369</v>
      </c>
      <c r="AV767" s="44">
        <f t="shared" si="88"/>
        <v>-1.1865339896739031</v>
      </c>
      <c r="AW767" s="45">
        <f t="shared" si="89"/>
        <v>3</v>
      </c>
      <c r="AX767" s="45">
        <f t="shared" si="90"/>
        <v>0</v>
      </c>
      <c r="AY767" s="46">
        <f>VLOOKUP(AP767,COND!$A$10:$B$32,2,FALSE)</f>
        <v>1</v>
      </c>
      <c r="AZ767" s="44">
        <f>($AU$3*AU767+$AV$3*AV767+$AW$3*AW767+$AX$3*AX767)*AY767*IF(AQ767&lt;5,0.95,IF(AQ767&lt;7,0.975,1))+$I$3*VLOOKUP(I767,COND!$A$2:$E$7,4,FALSE)+$J$3*VLOOKUP(J767,COND!$A$2:$E$7,2,FALSE)+$K$3*VLOOKUP(K767,COND!$A$2:$E$7,3,FALSE)+IF(BB767="SP",$BB$3,0)+IF($AW767&lt;3,-5,0)+IF(AND($B$2&gt;0,$E767&lt;20),$B$2*25,0)</f>
        <v>24.307047967116265</v>
      </c>
      <c r="BA767" s="47">
        <f>STANDARDIZE(AZ767,AVERAGE($AZ$5:$AZ$557),STDEVP($AZ$5:$AZ$557))</f>
        <v>-0.76930052613551081</v>
      </c>
      <c r="BB767" s="45" t="str">
        <f t="shared" si="91"/>
        <v>SP</v>
      </c>
      <c r="BC767" s="45">
        <f>RANK(Table3[[#This Row],[zScore]],Table3[zScore])</f>
        <v>628</v>
      </c>
      <c r="BD767" s="45"/>
      <c r="BE767" s="45"/>
      <c r="BF767" s="45" t="str">
        <f t="shared" si="92"/>
        <v>Unlikely</v>
      </c>
      <c r="BG767" s="45"/>
      <c r="BH767" s="45" t="str">
        <f>INDEX(Table5[[#All],[Ovr]],MATCH(Table3[[#This Row],[PID]],Table5[[#All],[PID]],0))</f>
        <v/>
      </c>
      <c r="BI767" s="45" t="str">
        <f>INDEX(Table5[[#All],[Rnd]],MATCH(Table3[[#This Row],[PID]],Table5[[#All],[PID]],0))</f>
        <v/>
      </c>
      <c r="BJ767" s="45" t="str">
        <f>INDEX(Table5[[#All],[Pick]],MATCH(Table3[[#This Row],[PID]],Table5[[#All],[PID]],0))</f>
        <v/>
      </c>
      <c r="BK767" s="45" t="str">
        <f>INDEX(Table5[[#All],[Team]],MATCH(Table3[[#This Row],[PID]],Table5[[#All],[PID]],0))</f>
        <v/>
      </c>
      <c r="BL76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8" spans="1:64" ht="30" x14ac:dyDescent="0.25">
      <c r="A768" s="40">
        <v>20378</v>
      </c>
      <c r="B768" s="40" t="s">
        <v>24</v>
      </c>
      <c r="C768" s="40" t="s">
        <v>2090</v>
      </c>
      <c r="D768" s="40" t="s">
        <v>2091</v>
      </c>
      <c r="E768" s="40">
        <v>17</v>
      </c>
      <c r="F768" s="40" t="s">
        <v>42</v>
      </c>
      <c r="G768" s="40" t="s">
        <v>42</v>
      </c>
      <c r="H768" s="41" t="s">
        <v>647</v>
      </c>
      <c r="I768" s="42" t="s">
        <v>43</v>
      </c>
      <c r="J768" s="40" t="s">
        <v>43</v>
      </c>
      <c r="K768" s="41" t="s">
        <v>43</v>
      </c>
      <c r="L768" s="40">
        <v>1</v>
      </c>
      <c r="M768" s="40">
        <v>1</v>
      </c>
      <c r="N768" s="41">
        <v>1</v>
      </c>
      <c r="O768" s="40">
        <v>2</v>
      </c>
      <c r="P768" s="40">
        <v>1</v>
      </c>
      <c r="Q768" s="41">
        <v>3</v>
      </c>
      <c r="R768" s="40">
        <v>2</v>
      </c>
      <c r="S768" s="40">
        <v>5</v>
      </c>
      <c r="T768" s="40">
        <v>1</v>
      </c>
      <c r="U768" s="40">
        <v>2</v>
      </c>
      <c r="V768" s="40" t="s">
        <v>45</v>
      </c>
      <c r="W768" s="40" t="s">
        <v>45</v>
      </c>
      <c r="X768" s="40">
        <v>2</v>
      </c>
      <c r="Y768" s="40">
        <v>4</v>
      </c>
      <c r="Z768" s="40" t="s">
        <v>45</v>
      </c>
      <c r="AA768" s="40" t="s">
        <v>45</v>
      </c>
      <c r="AB768" s="40">
        <v>2</v>
      </c>
      <c r="AC768" s="40">
        <v>3</v>
      </c>
      <c r="AD768" s="40" t="s">
        <v>45</v>
      </c>
      <c r="AE768" s="40" t="s">
        <v>45</v>
      </c>
      <c r="AF768" s="40" t="s">
        <v>45</v>
      </c>
      <c r="AG768" s="40" t="s">
        <v>45</v>
      </c>
      <c r="AH768" s="40" t="s">
        <v>45</v>
      </c>
      <c r="AI768" s="40" t="s">
        <v>45</v>
      </c>
      <c r="AJ768" s="40" t="s">
        <v>45</v>
      </c>
      <c r="AK768" s="40" t="s">
        <v>45</v>
      </c>
      <c r="AL768" s="40" t="s">
        <v>45</v>
      </c>
      <c r="AM768" s="40" t="s">
        <v>45</v>
      </c>
      <c r="AN768" s="40" t="s">
        <v>45</v>
      </c>
      <c r="AO768" s="41" t="s">
        <v>45</v>
      </c>
      <c r="AP768" s="40" t="s">
        <v>67</v>
      </c>
      <c r="AQ768" s="40">
        <v>4</v>
      </c>
      <c r="AR768" s="48" t="s">
        <v>14</v>
      </c>
      <c r="AS768" s="43" t="s">
        <v>670</v>
      </c>
      <c r="AT768" s="43" t="s">
        <v>635</v>
      </c>
      <c r="AU768" s="44">
        <f t="shared" si="87"/>
        <v>-2.7014842379675978</v>
      </c>
      <c r="AV768" s="44">
        <f t="shared" si="88"/>
        <v>-1.5766570306131322</v>
      </c>
      <c r="AW768" s="45">
        <f t="shared" si="89"/>
        <v>4</v>
      </c>
      <c r="AX768" s="45">
        <f t="shared" si="90"/>
        <v>0</v>
      </c>
      <c r="AY768" s="46">
        <f>VLOOKUP(AP768,COND!$A$10:$B$32,2,FALSE)</f>
        <v>0.9</v>
      </c>
      <c r="AZ768" s="44">
        <f>($AU$3*AU768+$AV$3*AV768+$AW$3*AW768+$AX$3*AX768)*AY768*IF(AQ768&lt;5,0.95,IF(AQ768&lt;7,0.975,1))+$I$3*VLOOKUP(I768,COND!$A$2:$E$7,4,FALSE)+$J$3*VLOOKUP(J768,COND!$A$2:$E$7,2,FALSE)+$K$3*VLOOKUP(K768,COND!$A$2:$E$7,3,FALSE)+IF(BB768="SP",$BB$3,0)+IF($AW768&lt;3,-5,0)+IF(AND($B$2&gt;0,$E768&lt;20),$B$2*25,0)</f>
        <v>24.287210971822979</v>
      </c>
      <c r="BA768" s="47">
        <f>STANDARDIZE(AZ768,AVERAGE($AZ$5:$AZ$557),STDEVP($AZ$5:$AZ$557))</f>
        <v>-0.77062025111928512</v>
      </c>
      <c r="BB768" s="45" t="str">
        <f t="shared" si="91"/>
        <v>RP</v>
      </c>
      <c r="BC768" s="45">
        <f>RANK(Table3[[#This Row],[zScore]],Table3[zScore])</f>
        <v>629</v>
      </c>
      <c r="BD768" s="45"/>
      <c r="BE768" s="45"/>
      <c r="BF768" s="45" t="str">
        <f t="shared" si="92"/>
        <v>Unlikely</v>
      </c>
      <c r="BG768" s="45"/>
      <c r="BH768" s="45" t="str">
        <f>INDEX(Table5[[#All],[Ovr]],MATCH(Table3[[#This Row],[PID]],Table5[[#All],[PID]],0))</f>
        <v/>
      </c>
      <c r="BI768" s="45" t="str">
        <f>INDEX(Table5[[#All],[Rnd]],MATCH(Table3[[#This Row],[PID]],Table5[[#All],[PID]],0))</f>
        <v/>
      </c>
      <c r="BJ768" s="45" t="str">
        <f>INDEX(Table5[[#All],[Pick]],MATCH(Table3[[#This Row],[PID]],Table5[[#All],[PID]],0))</f>
        <v/>
      </c>
      <c r="BK768" s="45" t="str">
        <f>INDEX(Table5[[#All],[Team]],MATCH(Table3[[#This Row],[PID]],Table5[[#All],[PID]],0))</f>
        <v/>
      </c>
      <c r="BL76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69" spans="1:64" ht="30" x14ac:dyDescent="0.25">
      <c r="A769" s="40">
        <v>8609</v>
      </c>
      <c r="B769" s="40" t="s">
        <v>24</v>
      </c>
      <c r="C769" s="40" t="s">
        <v>160</v>
      </c>
      <c r="D769" s="40" t="s">
        <v>1090</v>
      </c>
      <c r="E769" s="40">
        <v>22</v>
      </c>
      <c r="F769" s="40" t="s">
        <v>42</v>
      </c>
      <c r="G769" s="40" t="s">
        <v>42</v>
      </c>
      <c r="H769" s="41" t="s">
        <v>647</v>
      </c>
      <c r="I769" s="42" t="s">
        <v>43</v>
      </c>
      <c r="J769" s="40" t="s">
        <v>43</v>
      </c>
      <c r="K769" s="41" t="s">
        <v>43</v>
      </c>
      <c r="L769" s="40">
        <v>2</v>
      </c>
      <c r="M769" s="40">
        <v>2</v>
      </c>
      <c r="N769" s="41">
        <v>1</v>
      </c>
      <c r="O769" s="40">
        <v>4</v>
      </c>
      <c r="P769" s="40">
        <v>2</v>
      </c>
      <c r="Q769" s="41">
        <v>2</v>
      </c>
      <c r="R769" s="40">
        <v>4</v>
      </c>
      <c r="S769" s="40">
        <v>5</v>
      </c>
      <c r="T769" s="40">
        <v>1</v>
      </c>
      <c r="U769" s="40">
        <v>7</v>
      </c>
      <c r="V769" s="40" t="s">
        <v>45</v>
      </c>
      <c r="W769" s="40" t="s">
        <v>45</v>
      </c>
      <c r="X769" s="40">
        <v>3</v>
      </c>
      <c r="Y769" s="40">
        <v>6</v>
      </c>
      <c r="Z769" s="40" t="s">
        <v>45</v>
      </c>
      <c r="AA769" s="40" t="s">
        <v>45</v>
      </c>
      <c r="AB769" s="40" t="s">
        <v>45</v>
      </c>
      <c r="AC769" s="40" t="s">
        <v>45</v>
      </c>
      <c r="AD769" s="40" t="s">
        <v>45</v>
      </c>
      <c r="AE769" s="40" t="s">
        <v>45</v>
      </c>
      <c r="AF769" s="40" t="s">
        <v>45</v>
      </c>
      <c r="AG769" s="40" t="s">
        <v>45</v>
      </c>
      <c r="AH769" s="40" t="s">
        <v>45</v>
      </c>
      <c r="AI769" s="40" t="s">
        <v>45</v>
      </c>
      <c r="AJ769" s="40" t="s">
        <v>45</v>
      </c>
      <c r="AK769" s="40" t="s">
        <v>45</v>
      </c>
      <c r="AL769" s="40" t="s">
        <v>45</v>
      </c>
      <c r="AM769" s="40" t="s">
        <v>45</v>
      </c>
      <c r="AN769" s="40" t="s">
        <v>45</v>
      </c>
      <c r="AO769" s="41" t="s">
        <v>45</v>
      </c>
      <c r="AP769" s="40" t="s">
        <v>57</v>
      </c>
      <c r="AQ769" s="40">
        <v>5</v>
      </c>
      <c r="AR769" s="48" t="s">
        <v>347</v>
      </c>
      <c r="AS769" s="43" t="s">
        <v>45</v>
      </c>
      <c r="AT769" s="43" t="s">
        <v>47</v>
      </c>
      <c r="AU769" s="44">
        <f t="shared" si="87"/>
        <v>-2.311361197028369</v>
      </c>
      <c r="AV769" s="44">
        <f t="shared" si="88"/>
        <v>-1.23416323121884</v>
      </c>
      <c r="AW769" s="45">
        <f t="shared" si="89"/>
        <v>3</v>
      </c>
      <c r="AX769" s="45">
        <f t="shared" si="90"/>
        <v>2</v>
      </c>
      <c r="AY769" s="46">
        <f>VLOOKUP(AP769,COND!$A$10:$B$32,2,FALSE)</f>
        <v>1</v>
      </c>
      <c r="AZ769" s="44">
        <f>($AU$3*AU769+$AV$3*AV769+$AW$3*AW769+$AX$3*AX769)*AY769*IF(AQ769&lt;5,0.95,IF(AQ769&lt;7,0.975,1))+$I$3*VLOOKUP(I769,COND!$A$2:$E$7,4,FALSE)+$J$3*VLOOKUP(J769,COND!$A$2:$E$7,2,FALSE)+$K$3*VLOOKUP(K769,COND!$A$2:$E$7,3,FALSE)+IF(BB769="SP",$BB$3,0)+IF($AW769&lt;3,-5,0)+IF(AND($B$2&gt;0,$E769&lt;20),$B$2*25,0)</f>
        <v>26.383101557812086</v>
      </c>
      <c r="BA769" s="47">
        <f>STANDARDIZE(AZ769,AVERAGE($AZ$5:$AZ$663),STDEVP($AZ$5:$AZ$663))</f>
        <v>-0.78231285848178744</v>
      </c>
      <c r="BB769" s="45" t="str">
        <f t="shared" si="91"/>
        <v>SP</v>
      </c>
      <c r="BC769" s="45">
        <f>RANK(Table3[[#This Row],[zScore]],Table3[zScore])</f>
        <v>634</v>
      </c>
      <c r="BD769" s="45"/>
      <c r="BE769" s="45"/>
      <c r="BF769" s="45" t="str">
        <f t="shared" si="92"/>
        <v>Unlikely</v>
      </c>
      <c r="BG769" s="45"/>
      <c r="BH769" s="45" t="str">
        <f>INDEX(Table5[[#All],[Ovr]],MATCH(Table3[[#This Row],[PID]],Table5[[#All],[PID]],0))</f>
        <v/>
      </c>
      <c r="BI769" s="45" t="str">
        <f>INDEX(Table5[[#All],[Rnd]],MATCH(Table3[[#This Row],[PID]],Table5[[#All],[PID]],0))</f>
        <v/>
      </c>
      <c r="BJ769" s="45" t="str">
        <f>INDEX(Table5[[#All],[Pick]],MATCH(Table3[[#This Row],[PID]],Table5[[#All],[PID]],0))</f>
        <v/>
      </c>
      <c r="BK769" s="45" t="str">
        <f>INDEX(Table5[[#All],[Team]],MATCH(Table3[[#This Row],[PID]],Table5[[#All],[PID]],0))</f>
        <v/>
      </c>
      <c r="BL76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0" spans="1:64" ht="30" x14ac:dyDescent="0.25">
      <c r="A770" s="40">
        <v>20479</v>
      </c>
      <c r="B770" s="40" t="s">
        <v>24</v>
      </c>
      <c r="C770" s="40" t="s">
        <v>893</v>
      </c>
      <c r="D770" s="40" t="s">
        <v>736</v>
      </c>
      <c r="E770" s="40">
        <v>18</v>
      </c>
      <c r="F770" s="40" t="s">
        <v>42</v>
      </c>
      <c r="G770" s="40" t="s">
        <v>42</v>
      </c>
      <c r="H770" s="41" t="s">
        <v>647</v>
      </c>
      <c r="I770" s="42" t="s">
        <v>43</v>
      </c>
      <c r="J770" s="40" t="s">
        <v>44</v>
      </c>
      <c r="K770" s="41" t="s">
        <v>43</v>
      </c>
      <c r="L770" s="40">
        <v>2</v>
      </c>
      <c r="M770" s="40">
        <v>1</v>
      </c>
      <c r="N770" s="41">
        <v>1</v>
      </c>
      <c r="O770" s="40">
        <v>4</v>
      </c>
      <c r="P770" s="40">
        <v>1</v>
      </c>
      <c r="Q770" s="41">
        <v>2</v>
      </c>
      <c r="R770" s="40">
        <v>3</v>
      </c>
      <c r="S770" s="40">
        <v>5</v>
      </c>
      <c r="T770" s="40" t="s">
        <v>45</v>
      </c>
      <c r="U770" s="40" t="s">
        <v>45</v>
      </c>
      <c r="V770" s="40">
        <v>2</v>
      </c>
      <c r="W770" s="40">
        <v>5</v>
      </c>
      <c r="X770" s="40">
        <v>3</v>
      </c>
      <c r="Y770" s="40">
        <v>5</v>
      </c>
      <c r="Z770" s="40" t="s">
        <v>45</v>
      </c>
      <c r="AA770" s="40" t="s">
        <v>45</v>
      </c>
      <c r="AB770" s="40" t="s">
        <v>45</v>
      </c>
      <c r="AC770" s="40" t="s">
        <v>45</v>
      </c>
      <c r="AD770" s="40" t="s">
        <v>45</v>
      </c>
      <c r="AE770" s="40" t="s">
        <v>45</v>
      </c>
      <c r="AF770" s="40" t="s">
        <v>45</v>
      </c>
      <c r="AG770" s="40" t="s">
        <v>45</v>
      </c>
      <c r="AH770" s="40" t="s">
        <v>45</v>
      </c>
      <c r="AI770" s="40" t="s">
        <v>45</v>
      </c>
      <c r="AJ770" s="40" t="s">
        <v>45</v>
      </c>
      <c r="AK770" s="40" t="s">
        <v>45</v>
      </c>
      <c r="AL770" s="40" t="s">
        <v>45</v>
      </c>
      <c r="AM770" s="40" t="s">
        <v>45</v>
      </c>
      <c r="AN770" s="40" t="s">
        <v>45</v>
      </c>
      <c r="AO770" s="41" t="s">
        <v>45</v>
      </c>
      <c r="AP770" s="40" t="s">
        <v>64</v>
      </c>
      <c r="AQ770" s="40">
        <v>7</v>
      </c>
      <c r="AR770" s="48" t="s">
        <v>14</v>
      </c>
      <c r="AS770" s="43" t="s">
        <v>412</v>
      </c>
      <c r="AT770" s="43" t="s">
        <v>635</v>
      </c>
      <c r="AU770" s="44">
        <f t="shared" si="87"/>
        <v>-2.5067929134584248</v>
      </c>
      <c r="AV770" s="44">
        <f t="shared" si="88"/>
        <v>-1.4295949476488956</v>
      </c>
      <c r="AW770" s="45">
        <f t="shared" si="89"/>
        <v>3</v>
      </c>
      <c r="AX770" s="45">
        <f t="shared" si="90"/>
        <v>0</v>
      </c>
      <c r="AY770" s="46">
        <f>VLOOKUP(AP770,COND!$A$10:$B$32,2,FALSE)</f>
        <v>1</v>
      </c>
      <c r="AZ770" s="44">
        <f>($AU$3*AU770+$AV$3*AV770+$AW$3*AW770+$AX$3*AX770)*AY770*IF(AQ770&lt;5,0.95,IF(AQ770&lt;7,0.975,1))+$I$3*VLOOKUP(I770,COND!$A$2:$E$7,4,FALSE)+$J$3*VLOOKUP(J770,COND!$A$2:$E$7,2,FALSE)+$K$3*VLOOKUP(K770,COND!$A$2:$E$7,3,FALSE)+IF(BB770="SP",$BB$3,0)+IF($AW770&lt;3,-5,0)+IF(AND($B$2&gt;0,$E770&lt;20),$B$2*25,0)</f>
        <v>24.106742464330399</v>
      </c>
      <c r="BA770" s="47">
        <f>STANDARDIZE(AZ770,AVERAGE($AZ$5:$AZ$557),STDEVP($AZ$5:$AZ$557))</f>
        <v>-0.7826265451472445</v>
      </c>
      <c r="BB770" s="45" t="str">
        <f t="shared" si="91"/>
        <v>SP</v>
      </c>
      <c r="BC770" s="45">
        <f>RANK(Table3[[#This Row],[zScore]],Table3[zScore])</f>
        <v>635</v>
      </c>
      <c r="BD770" s="45"/>
      <c r="BE770" s="45"/>
      <c r="BF770" s="45" t="str">
        <f t="shared" si="92"/>
        <v>Unlikely</v>
      </c>
      <c r="BG770" s="45"/>
      <c r="BH770" s="45" t="str">
        <f>INDEX(Table5[[#All],[Ovr]],MATCH(Table3[[#This Row],[PID]],Table5[[#All],[PID]],0))</f>
        <v/>
      </c>
      <c r="BI770" s="45" t="str">
        <f>INDEX(Table5[[#All],[Rnd]],MATCH(Table3[[#This Row],[PID]],Table5[[#All],[PID]],0))</f>
        <v/>
      </c>
      <c r="BJ770" s="45" t="str">
        <f>INDEX(Table5[[#All],[Pick]],MATCH(Table3[[#This Row],[PID]],Table5[[#All],[PID]],0))</f>
        <v/>
      </c>
      <c r="BK770" s="45" t="str">
        <f>INDEX(Table5[[#All],[Team]],MATCH(Table3[[#This Row],[PID]],Table5[[#All],[PID]],0))</f>
        <v/>
      </c>
      <c r="BL77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1" spans="1:64" ht="30" x14ac:dyDescent="0.25">
      <c r="A771" s="40">
        <v>20683</v>
      </c>
      <c r="B771" s="40" t="s">
        <v>24</v>
      </c>
      <c r="C771" s="40" t="s">
        <v>2061</v>
      </c>
      <c r="D771" s="40" t="s">
        <v>2062</v>
      </c>
      <c r="E771" s="40">
        <v>18</v>
      </c>
      <c r="F771" s="40" t="s">
        <v>53</v>
      </c>
      <c r="G771" s="40" t="s">
        <v>53</v>
      </c>
      <c r="H771" s="41" t="s">
        <v>647</v>
      </c>
      <c r="I771" s="42" t="s">
        <v>43</v>
      </c>
      <c r="J771" s="40" t="s">
        <v>43</v>
      </c>
      <c r="K771" s="41" t="s">
        <v>43</v>
      </c>
      <c r="L771" s="40">
        <v>1</v>
      </c>
      <c r="M771" s="40">
        <v>2</v>
      </c>
      <c r="N771" s="41">
        <v>1</v>
      </c>
      <c r="O771" s="40">
        <v>3</v>
      </c>
      <c r="P771" s="40">
        <v>2</v>
      </c>
      <c r="Q771" s="41">
        <v>2</v>
      </c>
      <c r="R771" s="40" t="s">
        <v>45</v>
      </c>
      <c r="S771" s="40" t="s">
        <v>45</v>
      </c>
      <c r="T771" s="40" t="s">
        <v>45</v>
      </c>
      <c r="U771" s="40" t="s">
        <v>45</v>
      </c>
      <c r="V771" s="40">
        <v>2</v>
      </c>
      <c r="W771" s="40">
        <v>5</v>
      </c>
      <c r="X771" s="40">
        <v>2</v>
      </c>
      <c r="Y771" s="40">
        <v>5</v>
      </c>
      <c r="Z771" s="40" t="s">
        <v>45</v>
      </c>
      <c r="AA771" s="40" t="s">
        <v>45</v>
      </c>
      <c r="AB771" s="40" t="s">
        <v>45</v>
      </c>
      <c r="AC771" s="40" t="s">
        <v>45</v>
      </c>
      <c r="AD771" s="40">
        <v>3</v>
      </c>
      <c r="AE771" s="40">
        <v>4</v>
      </c>
      <c r="AF771" s="40" t="s">
        <v>45</v>
      </c>
      <c r="AG771" s="40" t="s">
        <v>45</v>
      </c>
      <c r="AH771" s="40" t="s">
        <v>45</v>
      </c>
      <c r="AI771" s="40" t="s">
        <v>45</v>
      </c>
      <c r="AJ771" s="40" t="s">
        <v>45</v>
      </c>
      <c r="AK771" s="40" t="s">
        <v>45</v>
      </c>
      <c r="AL771" s="40" t="s">
        <v>45</v>
      </c>
      <c r="AM771" s="40" t="s">
        <v>45</v>
      </c>
      <c r="AN771" s="40" t="s">
        <v>45</v>
      </c>
      <c r="AO771" s="41" t="s">
        <v>45</v>
      </c>
      <c r="AP771" s="40" t="s">
        <v>68</v>
      </c>
      <c r="AQ771" s="40">
        <v>8</v>
      </c>
      <c r="AR771" s="48" t="s">
        <v>347</v>
      </c>
      <c r="AS771" s="43" t="s">
        <v>670</v>
      </c>
      <c r="AT771" s="43" t="s">
        <v>47</v>
      </c>
      <c r="AU771" s="44">
        <f t="shared" si="87"/>
        <v>-2.5060525215375429</v>
      </c>
      <c r="AV771" s="44">
        <f t="shared" si="88"/>
        <v>-1.4288545557280135</v>
      </c>
      <c r="AW771" s="45">
        <f t="shared" si="89"/>
        <v>3</v>
      </c>
      <c r="AX771" s="45">
        <f t="shared" si="90"/>
        <v>0</v>
      </c>
      <c r="AY771" s="46">
        <f>VLOOKUP(AP771,COND!$A$10:$B$32,2,FALSE)</f>
        <v>0.95</v>
      </c>
      <c r="AZ771" s="44">
        <f>($AU$3*AU771+$AV$3*AV771+$AW$3*AW771+$AX$3*AX771)*AY771*IF(AQ771&lt;5,0.95,IF(AQ771&lt;7,0.975,1))+$I$3*VLOOKUP(I771,COND!$A$2:$E$7,4,FALSE)+$J$3*VLOOKUP(J771,COND!$A$2:$E$7,2,FALSE)+$K$3*VLOOKUP(K771,COND!$A$2:$E$7,3,FALSE)+IF(BB771="SP",$BB$3,0)+IF($AW771&lt;3,-5,0)+IF(AND($B$2&gt;0,$E771&lt;20),$B$2*25,0)</f>
        <v>25.800613462075614</v>
      </c>
      <c r="BA771" s="47">
        <f>STANDARDIZE(AZ771,AVERAGE($AZ$5:$AZ$663),STDEVP($AZ$5:$AZ$663))</f>
        <v>-0.82221312165511462</v>
      </c>
      <c r="BB771" s="45" t="str">
        <f t="shared" si="91"/>
        <v>SP</v>
      </c>
      <c r="BC771" s="45">
        <f>RANK(Table3[[#This Row],[zScore]],Table3[zScore])</f>
        <v>647</v>
      </c>
      <c r="BD771" s="45"/>
      <c r="BE771" s="45"/>
      <c r="BF771" s="45" t="str">
        <f t="shared" si="92"/>
        <v>Unlikely</v>
      </c>
      <c r="BG771" s="45"/>
      <c r="BH771" s="45" t="str">
        <f>INDEX(Table5[[#All],[Ovr]],MATCH(Table3[[#This Row],[PID]],Table5[[#All],[PID]],0))</f>
        <v/>
      </c>
      <c r="BI771" s="45" t="str">
        <f>INDEX(Table5[[#All],[Rnd]],MATCH(Table3[[#This Row],[PID]],Table5[[#All],[PID]],0))</f>
        <v/>
      </c>
      <c r="BJ771" s="45" t="str">
        <f>INDEX(Table5[[#All],[Pick]],MATCH(Table3[[#This Row],[PID]],Table5[[#All],[PID]],0))</f>
        <v/>
      </c>
      <c r="BK771" s="45" t="str">
        <f>INDEX(Table5[[#All],[Team]],MATCH(Table3[[#This Row],[PID]],Table5[[#All],[PID]],0))</f>
        <v/>
      </c>
      <c r="BL771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2" spans="1:64" ht="30" x14ac:dyDescent="0.25">
      <c r="A772" s="40">
        <v>3079</v>
      </c>
      <c r="B772" s="40" t="s">
        <v>24</v>
      </c>
      <c r="C772" s="40" t="s">
        <v>1035</v>
      </c>
      <c r="D772" s="40" t="s">
        <v>1036</v>
      </c>
      <c r="E772" s="40">
        <v>22</v>
      </c>
      <c r="F772" s="40" t="s">
        <v>42</v>
      </c>
      <c r="G772" s="40" t="s">
        <v>42</v>
      </c>
      <c r="H772" s="41" t="s">
        <v>647</v>
      </c>
      <c r="I772" s="42" t="s">
        <v>43</v>
      </c>
      <c r="J772" s="40" t="s">
        <v>43</v>
      </c>
      <c r="K772" s="41" t="s">
        <v>43</v>
      </c>
      <c r="L772" s="40">
        <v>3</v>
      </c>
      <c r="M772" s="40">
        <v>1</v>
      </c>
      <c r="N772" s="41">
        <v>1</v>
      </c>
      <c r="O772" s="40">
        <v>4</v>
      </c>
      <c r="P772" s="40">
        <v>1</v>
      </c>
      <c r="Q772" s="41">
        <v>3</v>
      </c>
      <c r="R772" s="40">
        <v>5</v>
      </c>
      <c r="S772" s="40">
        <v>5</v>
      </c>
      <c r="T772" s="40">
        <v>2</v>
      </c>
      <c r="U772" s="40">
        <v>5</v>
      </c>
      <c r="V772" s="40" t="s">
        <v>45</v>
      </c>
      <c r="W772" s="40" t="s">
        <v>45</v>
      </c>
      <c r="X772" s="40" t="s">
        <v>45</v>
      </c>
      <c r="Y772" s="40" t="s">
        <v>45</v>
      </c>
      <c r="Z772" s="40" t="s">
        <v>45</v>
      </c>
      <c r="AA772" s="40" t="s">
        <v>45</v>
      </c>
      <c r="AB772" s="40" t="s">
        <v>45</v>
      </c>
      <c r="AC772" s="40" t="s">
        <v>45</v>
      </c>
      <c r="AD772" s="40">
        <v>4</v>
      </c>
      <c r="AE772" s="40">
        <v>5</v>
      </c>
      <c r="AF772" s="40" t="s">
        <v>45</v>
      </c>
      <c r="AG772" s="40" t="s">
        <v>45</v>
      </c>
      <c r="AH772" s="40" t="s">
        <v>45</v>
      </c>
      <c r="AI772" s="40" t="s">
        <v>45</v>
      </c>
      <c r="AJ772" s="40" t="s">
        <v>45</v>
      </c>
      <c r="AK772" s="40" t="s">
        <v>45</v>
      </c>
      <c r="AL772" s="40" t="s">
        <v>45</v>
      </c>
      <c r="AM772" s="40" t="s">
        <v>45</v>
      </c>
      <c r="AN772" s="40" t="s">
        <v>45</v>
      </c>
      <c r="AO772" s="41" t="s">
        <v>45</v>
      </c>
      <c r="AP772" s="40" t="s">
        <v>58</v>
      </c>
      <c r="AQ772" s="40">
        <v>3</v>
      </c>
      <c r="AR772" s="48" t="s">
        <v>351</v>
      </c>
      <c r="AS772" s="43" t="s">
        <v>45</v>
      </c>
      <c r="AT772" s="43" t="s">
        <v>635</v>
      </c>
      <c r="AU772" s="44">
        <f t="shared" si="87"/>
        <v>-2.3121015889492513</v>
      </c>
      <c r="AV772" s="44">
        <f t="shared" si="88"/>
        <v>-1.1872743815947853</v>
      </c>
      <c r="AW772" s="45">
        <f t="shared" si="89"/>
        <v>3</v>
      </c>
      <c r="AX772" s="45">
        <f t="shared" si="90"/>
        <v>0</v>
      </c>
      <c r="AY772" s="46">
        <f>VLOOKUP(AP772,COND!$A$10:$B$32,2,FALSE)</f>
        <v>1</v>
      </c>
      <c r="AZ772" s="44">
        <f>($AU$3*AU772+$AV$3*AV772+$AW$3*AW772+$AX$3*AX772)*AY772*IF(AQ772&lt;5,0.95,IF(AQ772&lt;7,0.975,1))+$I$3*VLOOKUP(I772,COND!$A$2:$E$7,4,FALSE)+$J$3*VLOOKUP(J772,COND!$A$2:$E$7,2,FALSE)+$K$3*VLOOKUP(K772,COND!$A$2:$E$7,3,FALSE)+IF(BB772="SP",$BB$3,0)+IF($AW772&lt;3,-5,0)+IF(AND($B$2&gt;0,$E772&lt;20),$B$2*25,0)</f>
        <v>23.427487447798722</v>
      </c>
      <c r="BA772" s="47">
        <f>STANDARDIZE(AZ772,AVERAGE($AZ$5:$AZ$557),STDEVP($AZ$5:$AZ$557))</f>
        <v>-0.82781634342150012</v>
      </c>
      <c r="BB772" s="45" t="str">
        <f t="shared" si="91"/>
        <v>RP</v>
      </c>
      <c r="BC772" s="45">
        <f>RANK(Table3[[#This Row],[zScore]],Table3[zScore])</f>
        <v>653</v>
      </c>
      <c r="BD772" s="45"/>
      <c r="BE772" s="45"/>
      <c r="BF772" s="45" t="str">
        <f t="shared" si="92"/>
        <v>Unlikely</v>
      </c>
      <c r="BG772" s="45"/>
      <c r="BH772" s="45" t="str">
        <f>INDEX(Table5[[#All],[Ovr]],MATCH(Table3[[#This Row],[PID]],Table5[[#All],[PID]],0))</f>
        <v/>
      </c>
      <c r="BI772" s="45" t="str">
        <f>INDEX(Table5[[#All],[Rnd]],MATCH(Table3[[#This Row],[PID]],Table5[[#All],[PID]],0))</f>
        <v/>
      </c>
      <c r="BJ772" s="45" t="str">
        <f>INDEX(Table5[[#All],[Pick]],MATCH(Table3[[#This Row],[PID]],Table5[[#All],[PID]],0))</f>
        <v/>
      </c>
      <c r="BK772" s="45" t="str">
        <f>INDEX(Table5[[#All],[Team]],MATCH(Table3[[#This Row],[PID]],Table5[[#All],[PID]],0))</f>
        <v/>
      </c>
      <c r="BL772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3" spans="1:64" ht="30" x14ac:dyDescent="0.25">
      <c r="A773" s="40">
        <v>11999</v>
      </c>
      <c r="B773" s="40" t="s">
        <v>24</v>
      </c>
      <c r="C773" s="40" t="s">
        <v>1092</v>
      </c>
      <c r="D773" s="40" t="s">
        <v>619</v>
      </c>
      <c r="E773" s="40">
        <v>22</v>
      </c>
      <c r="F773" s="40" t="s">
        <v>42</v>
      </c>
      <c r="G773" s="40" t="s">
        <v>42</v>
      </c>
      <c r="H773" s="41" t="s">
        <v>647</v>
      </c>
      <c r="I773" s="42" t="s">
        <v>43</v>
      </c>
      <c r="J773" s="40" t="s">
        <v>43</v>
      </c>
      <c r="K773" s="41" t="s">
        <v>43</v>
      </c>
      <c r="L773" s="40">
        <v>2</v>
      </c>
      <c r="M773" s="40">
        <v>1</v>
      </c>
      <c r="N773" s="41">
        <v>1</v>
      </c>
      <c r="O773" s="40">
        <v>4</v>
      </c>
      <c r="P773" s="40">
        <v>1</v>
      </c>
      <c r="Q773" s="41">
        <v>3</v>
      </c>
      <c r="R773" s="40">
        <v>4</v>
      </c>
      <c r="S773" s="40">
        <v>5</v>
      </c>
      <c r="T773" s="40">
        <v>1</v>
      </c>
      <c r="U773" s="40">
        <v>4</v>
      </c>
      <c r="V773" s="40">
        <v>2</v>
      </c>
      <c r="W773" s="40">
        <v>5</v>
      </c>
      <c r="X773" s="40">
        <v>2</v>
      </c>
      <c r="Y773" s="40">
        <v>2</v>
      </c>
      <c r="Z773" s="40" t="s">
        <v>45</v>
      </c>
      <c r="AA773" s="40" t="s">
        <v>45</v>
      </c>
      <c r="AB773" s="40" t="s">
        <v>45</v>
      </c>
      <c r="AC773" s="40" t="s">
        <v>45</v>
      </c>
      <c r="AD773" s="40" t="s">
        <v>45</v>
      </c>
      <c r="AE773" s="40" t="s">
        <v>45</v>
      </c>
      <c r="AF773" s="40">
        <v>3</v>
      </c>
      <c r="AG773" s="40">
        <v>5</v>
      </c>
      <c r="AH773" s="40" t="s">
        <v>45</v>
      </c>
      <c r="AI773" s="40" t="s">
        <v>45</v>
      </c>
      <c r="AJ773" s="40" t="s">
        <v>45</v>
      </c>
      <c r="AK773" s="40" t="s">
        <v>45</v>
      </c>
      <c r="AL773" s="40" t="s">
        <v>45</v>
      </c>
      <c r="AM773" s="40" t="s">
        <v>45</v>
      </c>
      <c r="AN773" s="40" t="s">
        <v>45</v>
      </c>
      <c r="AO773" s="41" t="s">
        <v>45</v>
      </c>
      <c r="AP773" s="40" t="s">
        <v>56</v>
      </c>
      <c r="AQ773" s="40">
        <v>8</v>
      </c>
      <c r="AR773" s="48" t="s">
        <v>14</v>
      </c>
      <c r="AS773" s="43" t="s">
        <v>45</v>
      </c>
      <c r="AT773" s="43" t="s">
        <v>47</v>
      </c>
      <c r="AU773" s="44">
        <f t="shared" ref="AU773:AU781" si="95">($O$3*(L773-$O$1)/$O$2+$P$3*(M773-$P$1)/$P$2+$Q$3*(N773-$P$1)/$Q$2)/SUM($O$3:$Q$3)</f>
        <v>-2.5067929134584248</v>
      </c>
      <c r="AV773" s="44">
        <f t="shared" ref="AV773:AV781" si="96">($O$3*(O773-$O$1)/$O$2+$P$3*(P773-$P$1)/$P$2+$Q$3*(Q773-$Q$1)/$Q$2)/SUM($O$3:$Q$3)</f>
        <v>-1.1872743815947853</v>
      </c>
      <c r="AW773" s="45">
        <f t="shared" ref="AW773:AW781" si="97">COUNT(R773:AO773)/2</f>
        <v>5</v>
      </c>
      <c r="AX773" s="45">
        <f t="shared" ref="AX773:AX781" si="98">IF(AND(S773&lt;&gt;"-",S773&gt;5),1,0)+IF(AND(U773&lt;&gt;"-",U773&gt;5),1,0)+IF(AND(W773&lt;&gt;"-",W773&gt;5),1,0)+IF(AND(Y773&lt;&gt;"-",Y773&gt;5),1,0)+IF(AND(AA773&lt;&gt;"-",AA773&gt;5),1,0)+IF(AND(AC773&lt;&gt;"-",AC773&gt;5),1,0)+IF(AND(AE773&lt;&gt;"-",AE773&gt;5),1,0)+IF(AND(AG773&lt;&gt;"-",AG773&gt;5),1,0)+IF(AND(AI773&lt;&gt;"-",AI773&gt;5),1,0)+IF(AND(AK773&lt;&gt;"-",AK773&gt;5),1,0)+IF(AND(AM773&lt;&gt;"-",AM773&gt;5),1,0)+IF(AND(AO773&lt;&gt;"-",AO773&gt;5),1,0)</f>
        <v>0</v>
      </c>
      <c r="AY773" s="46">
        <f>VLOOKUP(AP773,COND!$A$10:$B$32,2,FALSE)</f>
        <v>1</v>
      </c>
      <c r="AZ773" s="44">
        <f>($AU$3*AU773+$AV$3*AV773+$AW$3*AW773+$AX$3*AX773)*AY773*IF(AQ773&lt;5,0.95,IF(AQ773&lt;7,0.975,1))+$I$3*VLOOKUP(I773,COND!$A$2:$E$7,4,FALSE)+$J$3*VLOOKUP(J773,COND!$A$2:$E$7,2,FALSE)+$K$3*VLOOKUP(K773,COND!$A$2:$E$7,3,FALSE)+IF(BB773="SP",$BB$3,0)+IF($AW773&lt;3,-5,0)+IF(AND($B$2&gt;0,$E773&lt;20),$B$2*25,0)</f>
        <v>25.253153785412607</v>
      </c>
      <c r="BA773" s="47">
        <f>STANDARDIZE(AZ773,AVERAGE($AZ$5:$AZ$663),STDEVP($AZ$5:$AZ$663))</f>
        <v>-0.85971394842827009</v>
      </c>
      <c r="BB773" s="45" t="str">
        <f t="shared" ref="BB773:BB781" si="99">IF(OR(AND(AQ773&gt;7,AX773&gt;1),AND(AQ773&gt;4,AW773&gt;2)),"SP","RP")</f>
        <v>SP</v>
      </c>
      <c r="BC773" s="45">
        <f>RANK(Table3[[#This Row],[zScore]],Table3[zScore])</f>
        <v>659</v>
      </c>
      <c r="BD773" s="45"/>
      <c r="BE773" s="45"/>
      <c r="BF773" s="45" t="str">
        <f t="shared" ref="BF773:BF781" si="100">IF(AVERAGE($O773:$Q773)&gt;=6,"Likely",IF(AVERAGE($O773:$Q773)&gt;=4,"Possible","Unlikely"))</f>
        <v>Unlikely</v>
      </c>
      <c r="BG773" s="45"/>
      <c r="BH773" s="45" t="str">
        <f>INDEX(Table5[[#All],[Ovr]],MATCH(Table3[[#This Row],[PID]],Table5[[#All],[PID]],0))</f>
        <v/>
      </c>
      <c r="BI773" s="45" t="str">
        <f>INDEX(Table5[[#All],[Rnd]],MATCH(Table3[[#This Row],[PID]],Table5[[#All],[PID]],0))</f>
        <v/>
      </c>
      <c r="BJ773" s="45" t="str">
        <f>INDEX(Table5[[#All],[Pick]],MATCH(Table3[[#This Row],[PID]],Table5[[#All],[PID]],0))</f>
        <v/>
      </c>
      <c r="BK773" s="45" t="str">
        <f>INDEX(Table5[[#All],[Team]],MATCH(Table3[[#This Row],[PID]],Table5[[#All],[PID]],0))</f>
        <v/>
      </c>
      <c r="BL773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4" spans="1:64" ht="30" x14ac:dyDescent="0.25">
      <c r="A774" s="40">
        <v>9847</v>
      </c>
      <c r="B774" s="40" t="s">
        <v>24</v>
      </c>
      <c r="C774" s="40" t="s">
        <v>182</v>
      </c>
      <c r="D774" s="40" t="s">
        <v>1139</v>
      </c>
      <c r="E774" s="40">
        <v>22</v>
      </c>
      <c r="F774" s="40" t="s">
        <v>53</v>
      </c>
      <c r="G774" s="40" t="s">
        <v>42</v>
      </c>
      <c r="H774" s="41" t="s">
        <v>647</v>
      </c>
      <c r="I774" s="42" t="s">
        <v>43</v>
      </c>
      <c r="J774" s="40" t="s">
        <v>47</v>
      </c>
      <c r="K774" s="41" t="s">
        <v>43</v>
      </c>
      <c r="L774" s="40">
        <v>2</v>
      </c>
      <c r="M774" s="40">
        <v>2</v>
      </c>
      <c r="N774" s="41">
        <v>2</v>
      </c>
      <c r="O774" s="40">
        <v>3</v>
      </c>
      <c r="P774" s="40">
        <v>2</v>
      </c>
      <c r="Q774" s="41">
        <v>3</v>
      </c>
      <c r="R774" s="40">
        <v>4</v>
      </c>
      <c r="S774" s="40">
        <v>5</v>
      </c>
      <c r="T774" s="40">
        <v>2</v>
      </c>
      <c r="U774" s="40">
        <v>5</v>
      </c>
      <c r="V774" s="40">
        <v>2</v>
      </c>
      <c r="W774" s="40">
        <v>5</v>
      </c>
      <c r="X774" s="40" t="s">
        <v>45</v>
      </c>
      <c r="Y774" s="40" t="s">
        <v>45</v>
      </c>
      <c r="Z774" s="40" t="s">
        <v>45</v>
      </c>
      <c r="AA774" s="40" t="s">
        <v>45</v>
      </c>
      <c r="AB774" s="40" t="s">
        <v>45</v>
      </c>
      <c r="AC774" s="40" t="s">
        <v>45</v>
      </c>
      <c r="AD774" s="40" t="s">
        <v>45</v>
      </c>
      <c r="AE774" s="40" t="s">
        <v>45</v>
      </c>
      <c r="AF774" s="40" t="s">
        <v>45</v>
      </c>
      <c r="AG774" s="40" t="s">
        <v>45</v>
      </c>
      <c r="AH774" s="40" t="s">
        <v>45</v>
      </c>
      <c r="AI774" s="40" t="s">
        <v>45</v>
      </c>
      <c r="AJ774" s="40" t="s">
        <v>45</v>
      </c>
      <c r="AK774" s="40" t="s">
        <v>45</v>
      </c>
      <c r="AL774" s="40" t="s">
        <v>45</v>
      </c>
      <c r="AM774" s="40" t="s">
        <v>45</v>
      </c>
      <c r="AN774" s="40" t="s">
        <v>45</v>
      </c>
      <c r="AO774" s="41" t="s">
        <v>45</v>
      </c>
      <c r="AP774" s="40" t="s">
        <v>350</v>
      </c>
      <c r="AQ774" s="40">
        <v>7</v>
      </c>
      <c r="AR774" s="48" t="s">
        <v>347</v>
      </c>
      <c r="AS774" s="43" t="s">
        <v>45</v>
      </c>
      <c r="AT774" s="43"/>
      <c r="AU774" s="44">
        <f t="shared" si="95"/>
        <v>-2.0690406309742588</v>
      </c>
      <c r="AV774" s="44">
        <f t="shared" si="96"/>
        <v>-1.1865339896739031</v>
      </c>
      <c r="AW774" s="45">
        <f t="shared" si="97"/>
        <v>3</v>
      </c>
      <c r="AX774" s="45">
        <f t="shared" si="98"/>
        <v>0</v>
      </c>
      <c r="AY774" s="46">
        <f>VLOOKUP(AP774,COND!$A$10:$B$32,2,FALSE)</f>
        <v>1</v>
      </c>
      <c r="AZ774" s="44">
        <f>($AU$3*AU774+$AV$3*AV774+$AW$3*AW774+$AX$3*AX774)*AY774*IF(AQ774&lt;5,0.95,IF(AQ774&lt;7,0.975,1))+$I$3*VLOOKUP(I774,COND!$A$2:$E$7,4,FALSE)+$J$3*VLOOKUP(J774,COND!$A$2:$E$7,2,FALSE)+$K$3*VLOOKUP(K774,COND!$A$2:$E$7,3,FALSE)+IF(BB774="SP",$BB$3,0)+IF($AW774&lt;3,-5,0)+IF(AND($B$2&gt;0,$E774&lt;20),$B$2*25,0)</f>
        <v>24.655512080327089</v>
      </c>
      <c r="BA774" s="47">
        <f>STANDARDIZE(AZ774,AVERAGE($AZ$5:$AZ$788),STDEVP($AZ$5:$AZ$788))</f>
        <v>-0.87731999562527885</v>
      </c>
      <c r="BB774" s="45" t="str">
        <f t="shared" si="99"/>
        <v>SP</v>
      </c>
      <c r="BC774" s="45">
        <f>RANK(Table3[[#This Row],[zScore]],Table3[zScore])</f>
        <v>664</v>
      </c>
      <c r="BD774" s="45"/>
      <c r="BE774" s="45"/>
      <c r="BF774" s="45" t="str">
        <f t="shared" si="100"/>
        <v>Unlikely</v>
      </c>
      <c r="BG774" s="45"/>
      <c r="BH774" s="64" t="str">
        <f>INDEX(Table5[[#All],[Ovr]],MATCH(Table3[[#This Row],[PID]],Table5[[#All],[PID]],0))</f>
        <v/>
      </c>
      <c r="BI774" s="64" t="str">
        <f>INDEX(Table5[[#All],[Rnd]],MATCH(Table3[[#This Row],[PID]],Table5[[#All],[PID]],0))</f>
        <v/>
      </c>
      <c r="BJ774" s="64" t="str">
        <f>INDEX(Table5[[#All],[Pick]],MATCH(Table3[[#This Row],[PID]],Table5[[#All],[PID]],0))</f>
        <v/>
      </c>
      <c r="BK774" s="64" t="str">
        <f>INDEX(Table5[[#All],[Team]],MATCH(Table3[[#This Row],[PID]],Table5[[#All],[PID]],0))</f>
        <v/>
      </c>
      <c r="BL774" s="64" t="str">
        <f>IF(OR(Table3[[#This Row],[POS]]="SP",Table3[[#This Row],[POS]]="RP",Table3[[#This Row],[POS]]="CL"),"P",INDEX(Batters[[#All],[zScore]],MATCH(Table3[[#This Row],[PID]],Batters[[#All],[PID]],0)))</f>
        <v>P</v>
      </c>
    </row>
    <row r="775" spans="1:64" ht="30" x14ac:dyDescent="0.25">
      <c r="A775" s="40">
        <v>9489</v>
      </c>
      <c r="B775" s="40" t="s">
        <v>24</v>
      </c>
      <c r="C775" s="40" t="s">
        <v>155</v>
      </c>
      <c r="D775" s="40" t="s">
        <v>296</v>
      </c>
      <c r="E775" s="40">
        <v>22</v>
      </c>
      <c r="F775" s="40" t="s">
        <v>53</v>
      </c>
      <c r="G775" s="40" t="s">
        <v>53</v>
      </c>
      <c r="H775" s="41" t="s">
        <v>647</v>
      </c>
      <c r="I775" s="42" t="s">
        <v>47</v>
      </c>
      <c r="J775" s="40" t="s">
        <v>47</v>
      </c>
      <c r="K775" s="41" t="s">
        <v>43</v>
      </c>
      <c r="L775" s="40">
        <v>2</v>
      </c>
      <c r="M775" s="40">
        <v>1</v>
      </c>
      <c r="N775" s="41">
        <v>3</v>
      </c>
      <c r="O775" s="40">
        <v>3</v>
      </c>
      <c r="P775" s="40">
        <v>1</v>
      </c>
      <c r="Q775" s="41">
        <v>3</v>
      </c>
      <c r="R775" s="40">
        <v>4</v>
      </c>
      <c r="S775" s="40">
        <v>5</v>
      </c>
      <c r="T775" s="40">
        <v>1</v>
      </c>
      <c r="U775" s="40">
        <v>1</v>
      </c>
      <c r="V775" s="40">
        <v>3</v>
      </c>
      <c r="W775" s="40">
        <v>5</v>
      </c>
      <c r="X775" s="40" t="s">
        <v>45</v>
      </c>
      <c r="Y775" s="40" t="s">
        <v>45</v>
      </c>
      <c r="Z775" s="40" t="s">
        <v>45</v>
      </c>
      <c r="AA775" s="40" t="s">
        <v>45</v>
      </c>
      <c r="AB775" s="40" t="s">
        <v>45</v>
      </c>
      <c r="AC775" s="40" t="s">
        <v>45</v>
      </c>
      <c r="AD775" s="40" t="s">
        <v>45</v>
      </c>
      <c r="AE775" s="40" t="s">
        <v>45</v>
      </c>
      <c r="AF775" s="40">
        <v>3</v>
      </c>
      <c r="AG775" s="40">
        <v>4</v>
      </c>
      <c r="AH775" s="40" t="s">
        <v>45</v>
      </c>
      <c r="AI775" s="40" t="s">
        <v>45</v>
      </c>
      <c r="AJ775" s="40" t="s">
        <v>45</v>
      </c>
      <c r="AK775" s="40" t="s">
        <v>45</v>
      </c>
      <c r="AL775" s="40" t="s">
        <v>45</v>
      </c>
      <c r="AM775" s="40" t="s">
        <v>45</v>
      </c>
      <c r="AN775" s="40" t="s">
        <v>45</v>
      </c>
      <c r="AO775" s="41" t="s">
        <v>45</v>
      </c>
      <c r="AP775" s="40" t="s">
        <v>349</v>
      </c>
      <c r="AQ775" s="40">
        <v>10</v>
      </c>
      <c r="AR775" s="48" t="s">
        <v>351</v>
      </c>
      <c r="AS775" s="43" t="s">
        <v>45</v>
      </c>
      <c r="AT775" s="43" t="s">
        <v>47</v>
      </c>
      <c r="AU775" s="44">
        <f t="shared" si="95"/>
        <v>-2.0221517813502041</v>
      </c>
      <c r="AV775" s="44">
        <f t="shared" si="96"/>
        <v>-1.3819657061039585</v>
      </c>
      <c r="AW775" s="45">
        <f t="shared" si="97"/>
        <v>4</v>
      </c>
      <c r="AX775" s="45">
        <f t="shared" si="98"/>
        <v>0</v>
      </c>
      <c r="AY775" s="46">
        <f>VLOOKUP(AP775,COND!$A$10:$B$32,2,FALSE)</f>
        <v>1</v>
      </c>
      <c r="AZ775" s="44">
        <f>($AU$3*AU775+$AV$3*AV775+$AW$3*AW775+$AX$3*AX775)*AY775*IF(AQ775&lt;5,0.95,IF(AQ775&lt;7,0.975,1))+$I$3*VLOOKUP(I775,COND!$A$2:$E$7,4,FALSE)+$J$3*VLOOKUP(J775,COND!$A$2:$E$7,2,FALSE)+$K$3*VLOOKUP(K775,COND!$A$2:$E$7,3,FALSE)+IF(BB775="SP",$BB$3,0)+IF($AW775&lt;3,-5,0)+IF(AND($B$2&gt;0,$E775&lt;20),$B$2*25,0)</f>
        <v>21.481255521650787</v>
      </c>
      <c r="BA775" s="47">
        <f>STANDARDIZE(AZ775,AVERAGE($AZ$5:$AZ$557),STDEVP($AZ$5:$AZ$557))</f>
        <v>-0.9572961794139071</v>
      </c>
      <c r="BB775" s="45" t="str">
        <f t="shared" si="99"/>
        <v>SP</v>
      </c>
      <c r="BC775" s="45">
        <f>RANK(Table3[[#This Row],[zScore]],Table3[zScore])</f>
        <v>690</v>
      </c>
      <c r="BD775" s="45"/>
      <c r="BE775" s="45"/>
      <c r="BF775" s="45" t="str">
        <f t="shared" si="100"/>
        <v>Unlikely</v>
      </c>
      <c r="BG775" s="45"/>
      <c r="BH775" s="45" t="str">
        <f>INDEX(Table5[[#All],[Ovr]],MATCH(Table3[[#This Row],[PID]],Table5[[#All],[PID]],0))</f>
        <v/>
      </c>
      <c r="BI775" s="45" t="str">
        <f>INDEX(Table5[[#All],[Rnd]],MATCH(Table3[[#This Row],[PID]],Table5[[#All],[PID]],0))</f>
        <v/>
      </c>
      <c r="BJ775" s="45" t="str">
        <f>INDEX(Table5[[#All],[Pick]],MATCH(Table3[[#This Row],[PID]],Table5[[#All],[PID]],0))</f>
        <v/>
      </c>
      <c r="BK775" s="45" t="str">
        <f>INDEX(Table5[[#All],[Team]],MATCH(Table3[[#This Row],[PID]],Table5[[#All],[PID]],0))</f>
        <v/>
      </c>
      <c r="BL775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6" spans="1:64" ht="30" x14ac:dyDescent="0.25">
      <c r="A776" s="40">
        <v>11973</v>
      </c>
      <c r="B776" s="40" t="s">
        <v>24</v>
      </c>
      <c r="C776" s="40" t="s">
        <v>1363</v>
      </c>
      <c r="D776" s="40" t="s">
        <v>2151</v>
      </c>
      <c r="E776" s="40">
        <v>21</v>
      </c>
      <c r="F776" s="40" t="s">
        <v>53</v>
      </c>
      <c r="G776" s="40" t="s">
        <v>42</v>
      </c>
      <c r="H776" s="41" t="s">
        <v>647</v>
      </c>
      <c r="I776" s="42" t="s">
        <v>43</v>
      </c>
      <c r="J776" s="40" t="s">
        <v>44</v>
      </c>
      <c r="K776" s="41" t="s">
        <v>43</v>
      </c>
      <c r="L776" s="40">
        <v>1</v>
      </c>
      <c r="M776" s="40">
        <v>1</v>
      </c>
      <c r="N776" s="41">
        <v>2</v>
      </c>
      <c r="O776" s="40">
        <v>4</v>
      </c>
      <c r="P776" s="40">
        <v>1</v>
      </c>
      <c r="Q776" s="41">
        <v>3</v>
      </c>
      <c r="R776" s="40">
        <v>4</v>
      </c>
      <c r="S776" s="40">
        <v>5</v>
      </c>
      <c r="T776" s="40">
        <v>1</v>
      </c>
      <c r="U776" s="40">
        <v>5</v>
      </c>
      <c r="V776" s="40">
        <v>2</v>
      </c>
      <c r="W776" s="40">
        <v>5</v>
      </c>
      <c r="X776" s="40" t="s">
        <v>45</v>
      </c>
      <c r="Y776" s="40" t="s">
        <v>45</v>
      </c>
      <c r="Z776" s="40" t="s">
        <v>45</v>
      </c>
      <c r="AA776" s="40" t="s">
        <v>45</v>
      </c>
      <c r="AB776" s="40" t="s">
        <v>45</v>
      </c>
      <c r="AC776" s="40" t="s">
        <v>45</v>
      </c>
      <c r="AD776" s="40" t="s">
        <v>45</v>
      </c>
      <c r="AE776" s="40" t="s">
        <v>45</v>
      </c>
      <c r="AF776" s="40" t="s">
        <v>45</v>
      </c>
      <c r="AG776" s="40" t="s">
        <v>45</v>
      </c>
      <c r="AH776" s="40" t="s">
        <v>45</v>
      </c>
      <c r="AI776" s="40" t="s">
        <v>45</v>
      </c>
      <c r="AJ776" s="40" t="s">
        <v>45</v>
      </c>
      <c r="AK776" s="40" t="s">
        <v>45</v>
      </c>
      <c r="AL776" s="40" t="s">
        <v>45</v>
      </c>
      <c r="AM776" s="40" t="s">
        <v>45</v>
      </c>
      <c r="AN776" s="40" t="s">
        <v>45</v>
      </c>
      <c r="AO776" s="41" t="s">
        <v>45</v>
      </c>
      <c r="AP776" s="40" t="s">
        <v>57</v>
      </c>
      <c r="AQ776" s="40">
        <v>3</v>
      </c>
      <c r="AR776" s="48" t="s">
        <v>14</v>
      </c>
      <c r="AS776" s="43" t="s">
        <v>45</v>
      </c>
      <c r="AT776" s="43" t="s">
        <v>635</v>
      </c>
      <c r="AU776" s="44">
        <f t="shared" si="95"/>
        <v>-2.4591636719134877</v>
      </c>
      <c r="AV776" s="44">
        <f t="shared" si="96"/>
        <v>-1.1872743815947853</v>
      </c>
      <c r="AW776" s="45">
        <f t="shared" si="97"/>
        <v>3</v>
      </c>
      <c r="AX776" s="45">
        <f t="shared" si="98"/>
        <v>0</v>
      </c>
      <c r="AY776" s="46">
        <f>VLOOKUP(AP776,COND!$A$10:$B$32,2,FALSE)</f>
        <v>1</v>
      </c>
      <c r="AZ776" s="44">
        <f>($AU$3*AU776+$AV$3*AV776+$AW$3*AW776+$AX$3*AX776)*AY776*IF(AQ776&lt;5,0.95,IF(AQ776&lt;7,0.975,1))+$I$3*VLOOKUP(I776,COND!$A$2:$E$7,4,FALSE)+$J$3*VLOOKUP(J776,COND!$A$2:$E$7,2,FALSE)+$K$3*VLOOKUP(K776,COND!$A$2:$E$7,3,FALSE)+IF(BB776="SP",$BB$3,0)+IF($AW776&lt;3,-5,0)+IF(AND($B$2&gt;0,$E776&lt;20),$B$2*25,0)</f>
        <v>23.099545652035516</v>
      </c>
      <c r="BA776" s="47">
        <f>STANDARDIZE(AZ776,AVERAGE($AZ$5:$AZ$663),STDEVP($AZ$5:$AZ$663))</f>
        <v>-1.007235471911627</v>
      </c>
      <c r="BB776" s="45" t="str">
        <f t="shared" si="99"/>
        <v>RP</v>
      </c>
      <c r="BC776" s="45">
        <f>RANK(Table3[[#This Row],[zScore]],Table3[zScore])</f>
        <v>698</v>
      </c>
      <c r="BD776" s="45"/>
      <c r="BE776" s="45"/>
      <c r="BF776" s="45" t="str">
        <f t="shared" si="100"/>
        <v>Unlikely</v>
      </c>
      <c r="BG776" s="45"/>
      <c r="BH776" s="45" t="str">
        <f>INDEX(Table5[[#All],[Ovr]],MATCH(Table3[[#This Row],[PID]],Table5[[#All],[PID]],0))</f>
        <v/>
      </c>
      <c r="BI776" s="45" t="str">
        <f>INDEX(Table5[[#All],[Rnd]],MATCH(Table3[[#This Row],[PID]],Table5[[#All],[PID]],0))</f>
        <v/>
      </c>
      <c r="BJ776" s="45" t="str">
        <f>INDEX(Table5[[#All],[Pick]],MATCH(Table3[[#This Row],[PID]],Table5[[#All],[PID]],0))</f>
        <v/>
      </c>
      <c r="BK776" s="45" t="str">
        <f>INDEX(Table5[[#All],[Team]],MATCH(Table3[[#This Row],[PID]],Table5[[#All],[PID]],0))</f>
        <v/>
      </c>
      <c r="BL776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7" spans="1:64" ht="30" x14ac:dyDescent="0.25">
      <c r="A777" s="40">
        <v>9088</v>
      </c>
      <c r="B777" s="40" t="s">
        <v>24</v>
      </c>
      <c r="C777" s="40" t="s">
        <v>336</v>
      </c>
      <c r="D777" s="40" t="s">
        <v>402</v>
      </c>
      <c r="E777" s="40">
        <v>22</v>
      </c>
      <c r="F777" s="40" t="s">
        <v>53</v>
      </c>
      <c r="G777" s="40" t="s">
        <v>53</v>
      </c>
      <c r="H777" s="41" t="s">
        <v>647</v>
      </c>
      <c r="I777" s="42" t="s">
        <v>43</v>
      </c>
      <c r="J777" s="40" t="s">
        <v>47</v>
      </c>
      <c r="K777" s="41" t="s">
        <v>44</v>
      </c>
      <c r="L777" s="40">
        <v>2</v>
      </c>
      <c r="M777" s="40">
        <v>1</v>
      </c>
      <c r="N777" s="41">
        <v>1</v>
      </c>
      <c r="O777" s="40">
        <v>4</v>
      </c>
      <c r="P777" s="40">
        <v>1</v>
      </c>
      <c r="Q777" s="41">
        <v>2</v>
      </c>
      <c r="R777" s="40">
        <v>4</v>
      </c>
      <c r="S777" s="40">
        <v>4</v>
      </c>
      <c r="T777" s="40">
        <v>2</v>
      </c>
      <c r="U777" s="40">
        <v>4</v>
      </c>
      <c r="V777" s="40" t="s">
        <v>45</v>
      </c>
      <c r="W777" s="40" t="s">
        <v>45</v>
      </c>
      <c r="X777" s="40" t="s">
        <v>45</v>
      </c>
      <c r="Y777" s="40" t="s">
        <v>45</v>
      </c>
      <c r="Z777" s="40" t="s">
        <v>45</v>
      </c>
      <c r="AA777" s="40" t="s">
        <v>45</v>
      </c>
      <c r="AB777" s="40" t="s">
        <v>45</v>
      </c>
      <c r="AC777" s="40" t="s">
        <v>45</v>
      </c>
      <c r="AD777" s="40">
        <v>3</v>
      </c>
      <c r="AE777" s="40">
        <v>4</v>
      </c>
      <c r="AF777" s="40">
        <v>3</v>
      </c>
      <c r="AG777" s="40">
        <v>4</v>
      </c>
      <c r="AH777" s="40" t="s">
        <v>45</v>
      </c>
      <c r="AI777" s="40" t="s">
        <v>45</v>
      </c>
      <c r="AJ777" s="40" t="s">
        <v>45</v>
      </c>
      <c r="AK777" s="40" t="s">
        <v>45</v>
      </c>
      <c r="AL777" s="40" t="s">
        <v>45</v>
      </c>
      <c r="AM777" s="40" t="s">
        <v>45</v>
      </c>
      <c r="AN777" s="40" t="s">
        <v>45</v>
      </c>
      <c r="AO777" s="41" t="s">
        <v>45</v>
      </c>
      <c r="AP777" s="40" t="s">
        <v>349</v>
      </c>
      <c r="AQ777" s="40">
        <v>9</v>
      </c>
      <c r="AR777" s="48" t="s">
        <v>351</v>
      </c>
      <c r="AS777" s="43" t="s">
        <v>45</v>
      </c>
      <c r="AT777" s="43" t="s">
        <v>47</v>
      </c>
      <c r="AU777" s="44">
        <f t="shared" si="95"/>
        <v>-2.5067929134584248</v>
      </c>
      <c r="AV777" s="44">
        <f t="shared" si="96"/>
        <v>-1.4295949476488956</v>
      </c>
      <c r="AW777" s="45">
        <f t="shared" si="97"/>
        <v>4</v>
      </c>
      <c r="AX777" s="45">
        <f t="shared" si="98"/>
        <v>0</v>
      </c>
      <c r="AY777" s="46">
        <f>VLOOKUP(AP777,COND!$A$10:$B$32,2,FALSE)</f>
        <v>1</v>
      </c>
      <c r="AZ777" s="44">
        <f>($AU$3*AU777+$AV$3*AV777+$AW$3*AW777+$AX$3*AX777)*AY777*IF(AQ777&lt;5,0.95,IF(AQ777&lt;7,0.975,1))+$I$3*VLOOKUP(I777,COND!$A$2:$E$7,4,FALSE)+$J$3*VLOOKUP(J777,COND!$A$2:$E$7,2,FALSE)+$K$3*VLOOKUP(K777,COND!$A$2:$E$7,3,FALSE)+IF(BB777="SP",$BB$3,0)+IF($AW777&lt;3,-5,0)+IF(AND($B$2&gt;0,$E777&lt;20),$B$2*25,0)</f>
        <v>19.906742464330399</v>
      </c>
      <c r="BA777" s="47">
        <f>STANDARDIZE(AZ777,AVERAGE($AZ$5:$AZ$557),STDEVP($AZ$5:$AZ$557))</f>
        <v>-1.0620461270901076</v>
      </c>
      <c r="BB777" s="45" t="str">
        <f t="shared" si="99"/>
        <v>SP</v>
      </c>
      <c r="BC777" s="45">
        <f>RANK(Table3[[#This Row],[zScore]],Table3[zScore])</f>
        <v>710</v>
      </c>
      <c r="BD777" s="45"/>
      <c r="BE777" s="45"/>
      <c r="BF777" s="45" t="str">
        <f t="shared" si="100"/>
        <v>Unlikely</v>
      </c>
      <c r="BG777" s="45"/>
      <c r="BH777" s="45" t="str">
        <f>INDEX(Table5[[#All],[Ovr]],MATCH(Table3[[#This Row],[PID]],Table5[[#All],[PID]],0))</f>
        <v/>
      </c>
      <c r="BI777" s="45" t="str">
        <f>INDEX(Table5[[#All],[Rnd]],MATCH(Table3[[#This Row],[PID]],Table5[[#All],[PID]],0))</f>
        <v/>
      </c>
      <c r="BJ777" s="45" t="str">
        <f>INDEX(Table5[[#All],[Pick]],MATCH(Table3[[#This Row],[PID]],Table5[[#All],[PID]],0))</f>
        <v/>
      </c>
      <c r="BK777" s="45" t="str">
        <f>INDEX(Table5[[#All],[Team]],MATCH(Table3[[#This Row],[PID]],Table5[[#All],[PID]],0))</f>
        <v/>
      </c>
      <c r="BL777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8" spans="1:64" ht="30" x14ac:dyDescent="0.25">
      <c r="A778" s="40">
        <v>20452</v>
      </c>
      <c r="B778" s="40" t="s">
        <v>24</v>
      </c>
      <c r="C778" s="40" t="s">
        <v>2124</v>
      </c>
      <c r="D778" s="40" t="s">
        <v>2125</v>
      </c>
      <c r="E778" s="40">
        <v>18</v>
      </c>
      <c r="F778" s="40" t="s">
        <v>42</v>
      </c>
      <c r="G778" s="40" t="s">
        <v>42</v>
      </c>
      <c r="H778" s="41" t="s">
        <v>647</v>
      </c>
      <c r="I778" s="42" t="s">
        <v>47</v>
      </c>
      <c r="J778" s="40" t="s">
        <v>43</v>
      </c>
      <c r="K778" s="41" t="s">
        <v>44</v>
      </c>
      <c r="L778" s="40">
        <v>2</v>
      </c>
      <c r="M778" s="40">
        <v>1</v>
      </c>
      <c r="N778" s="41">
        <v>1</v>
      </c>
      <c r="O778" s="40">
        <v>3</v>
      </c>
      <c r="P778" s="40">
        <v>1</v>
      </c>
      <c r="Q778" s="41">
        <v>2</v>
      </c>
      <c r="R778" s="40">
        <v>3</v>
      </c>
      <c r="S778" s="40">
        <v>4</v>
      </c>
      <c r="T778" s="40">
        <v>1</v>
      </c>
      <c r="U778" s="40">
        <v>1</v>
      </c>
      <c r="V778" s="40" t="s">
        <v>45</v>
      </c>
      <c r="W778" s="40" t="s">
        <v>45</v>
      </c>
      <c r="X778" s="40">
        <v>2</v>
      </c>
      <c r="Y778" s="40">
        <v>5</v>
      </c>
      <c r="Z778" s="40" t="s">
        <v>45</v>
      </c>
      <c r="AA778" s="40" t="s">
        <v>45</v>
      </c>
      <c r="AB778" s="40">
        <v>3</v>
      </c>
      <c r="AC778" s="40">
        <v>4</v>
      </c>
      <c r="AD778" s="40" t="s">
        <v>45</v>
      </c>
      <c r="AE778" s="40" t="s">
        <v>45</v>
      </c>
      <c r="AF778" s="40" t="s">
        <v>45</v>
      </c>
      <c r="AG778" s="40" t="s">
        <v>45</v>
      </c>
      <c r="AH778" s="40" t="s">
        <v>45</v>
      </c>
      <c r="AI778" s="40" t="s">
        <v>45</v>
      </c>
      <c r="AJ778" s="40" t="s">
        <v>45</v>
      </c>
      <c r="AK778" s="40" t="s">
        <v>45</v>
      </c>
      <c r="AL778" s="40" t="s">
        <v>45</v>
      </c>
      <c r="AM778" s="40" t="s">
        <v>45</v>
      </c>
      <c r="AN778" s="40" t="s">
        <v>45</v>
      </c>
      <c r="AO778" s="41" t="s">
        <v>45</v>
      </c>
      <c r="AP778" s="40" t="s">
        <v>349</v>
      </c>
      <c r="AQ778" s="40">
        <v>8</v>
      </c>
      <c r="AR778" s="48" t="s">
        <v>347</v>
      </c>
      <c r="AS778" s="43" t="s">
        <v>644</v>
      </c>
      <c r="AT778" s="43" t="s">
        <v>47</v>
      </c>
      <c r="AU778" s="44">
        <f t="shared" si="95"/>
        <v>-2.5067929134584248</v>
      </c>
      <c r="AV778" s="44">
        <f t="shared" si="96"/>
        <v>-1.6242862721580691</v>
      </c>
      <c r="AW778" s="45">
        <f t="shared" si="97"/>
        <v>4</v>
      </c>
      <c r="AX778" s="45">
        <f t="shared" si="98"/>
        <v>0</v>
      </c>
      <c r="AY778" s="46">
        <f>VLOOKUP(AP778,COND!$A$10:$B$32,2,FALSE)</f>
        <v>1</v>
      </c>
      <c r="AZ778" s="44">
        <f>($AU$3*AU778+$AV$3*AV778+$AW$3*AW778+$AX$3*AX778)*AY778*IF(AQ778&lt;5,0.95,IF(AQ778&lt;7,0.975,1))+$I$3*VLOOKUP(I778,COND!$A$2:$E$7,4,FALSE)+$J$3*VLOOKUP(J778,COND!$A$2:$E$7,2,FALSE)+$K$3*VLOOKUP(K778,COND!$A$2:$E$7,3,FALSE)+IF(BB778="SP",$BB$3,0)+IF($AW778&lt;3,-5,0)+IF(AND($B$2&gt;0,$E778&lt;20),$B$2*25,0)</f>
        <v>20.937915974146925</v>
      </c>
      <c r="BA778" s="47">
        <f>STANDARDIZE(AZ778,AVERAGE($AZ$5:$AZ$663),STDEVP($AZ$5:$AZ$663))</f>
        <v>-1.1553064688338546</v>
      </c>
      <c r="BB778" s="45" t="str">
        <f t="shared" si="99"/>
        <v>SP</v>
      </c>
      <c r="BC778" s="45">
        <f>RANK(Table3[[#This Row],[zScore]],Table3[zScore])</f>
        <v>733</v>
      </c>
      <c r="BD778" s="45"/>
      <c r="BE778" s="45"/>
      <c r="BF778" s="45" t="str">
        <f t="shared" si="100"/>
        <v>Unlikely</v>
      </c>
      <c r="BG778" s="45"/>
      <c r="BH778" s="45" t="str">
        <f>INDEX(Table5[[#All],[Ovr]],MATCH(Table3[[#This Row],[PID]],Table5[[#All],[PID]],0))</f>
        <v/>
      </c>
      <c r="BI778" s="45" t="str">
        <f>INDEX(Table5[[#All],[Rnd]],MATCH(Table3[[#This Row],[PID]],Table5[[#All],[PID]],0))</f>
        <v/>
      </c>
      <c r="BJ778" s="45" t="str">
        <f>INDEX(Table5[[#All],[Pick]],MATCH(Table3[[#This Row],[PID]],Table5[[#All],[PID]],0))</f>
        <v/>
      </c>
      <c r="BK778" s="45" t="str">
        <f>INDEX(Table5[[#All],[Team]],MATCH(Table3[[#This Row],[PID]],Table5[[#All],[PID]],0))</f>
        <v/>
      </c>
      <c r="BL778" s="45" t="str">
        <f>IF(OR(Table3[[#This Row],[POS]]="SP",Table3[[#This Row],[POS]]="RP",Table3[[#This Row],[POS]]="CL"),"P",INDEX(Batters[[#All],[zScore]],MATCH(Table3[[#This Row],[PID]],Batters[[#All],[PID]],0)))</f>
        <v>P</v>
      </c>
    </row>
    <row r="779" spans="1:64" ht="30" x14ac:dyDescent="0.25">
      <c r="A779" s="40">
        <v>4469</v>
      </c>
      <c r="B779" s="40" t="s">
        <v>24</v>
      </c>
      <c r="C779" s="40" t="s">
        <v>582</v>
      </c>
      <c r="D779" s="40" t="s">
        <v>1067</v>
      </c>
      <c r="E779" s="40">
        <v>22</v>
      </c>
      <c r="F779" s="40" t="s">
        <v>42</v>
      </c>
      <c r="G779" s="40" t="s">
        <v>42</v>
      </c>
      <c r="H779" s="41" t="s">
        <v>647</v>
      </c>
      <c r="I779" s="42" t="s">
        <v>43</v>
      </c>
      <c r="J779" s="40" t="s">
        <v>47</v>
      </c>
      <c r="K779" s="41" t="s">
        <v>44</v>
      </c>
      <c r="L779" s="40">
        <v>1</v>
      </c>
      <c r="M779" s="40">
        <v>1</v>
      </c>
      <c r="N779" s="41">
        <v>1</v>
      </c>
      <c r="O779" s="40">
        <v>3</v>
      </c>
      <c r="P779" s="40">
        <v>1</v>
      </c>
      <c r="Q779" s="41">
        <v>2</v>
      </c>
      <c r="R779" s="40">
        <v>3</v>
      </c>
      <c r="S779" s="40">
        <v>4</v>
      </c>
      <c r="T779" s="40">
        <v>1</v>
      </c>
      <c r="U779" s="40">
        <v>1</v>
      </c>
      <c r="V779" s="40">
        <v>2</v>
      </c>
      <c r="W779" s="40">
        <v>5</v>
      </c>
      <c r="X779" s="40">
        <v>2</v>
      </c>
      <c r="Y779" s="40">
        <v>5</v>
      </c>
      <c r="Z779" s="40" t="s">
        <v>45</v>
      </c>
      <c r="AA779" s="40" t="s">
        <v>45</v>
      </c>
      <c r="AB779" s="40" t="s">
        <v>45</v>
      </c>
      <c r="AC779" s="40" t="s">
        <v>45</v>
      </c>
      <c r="AD779" s="40" t="s">
        <v>45</v>
      </c>
      <c r="AE779" s="40" t="s">
        <v>45</v>
      </c>
      <c r="AF779" s="40" t="s">
        <v>45</v>
      </c>
      <c r="AG779" s="40" t="s">
        <v>45</v>
      </c>
      <c r="AH779" s="40" t="s">
        <v>45</v>
      </c>
      <c r="AI779" s="40" t="s">
        <v>45</v>
      </c>
      <c r="AJ779" s="40" t="s">
        <v>45</v>
      </c>
      <c r="AK779" s="40" t="s">
        <v>45</v>
      </c>
      <c r="AL779" s="40" t="s">
        <v>45</v>
      </c>
      <c r="AM779" s="40" t="s">
        <v>45</v>
      </c>
      <c r="AN779" s="40" t="s">
        <v>45</v>
      </c>
      <c r="AO779" s="41" t="s">
        <v>45</v>
      </c>
      <c r="AP779" s="40" t="s">
        <v>64</v>
      </c>
      <c r="AQ779" s="40">
        <v>7</v>
      </c>
      <c r="AR779" s="48" t="s">
        <v>351</v>
      </c>
      <c r="AS779" s="43" t="s">
        <v>45</v>
      </c>
      <c r="AT779" s="43" t="s">
        <v>635</v>
      </c>
      <c r="AU779" s="44">
        <f t="shared" si="95"/>
        <v>-2.7014842379675978</v>
      </c>
      <c r="AV779" s="44">
        <f t="shared" si="96"/>
        <v>-1.6242862721580691</v>
      </c>
      <c r="AW779" s="45">
        <f t="shared" si="97"/>
        <v>4</v>
      </c>
      <c r="AX779" s="45">
        <f t="shared" si="98"/>
        <v>0</v>
      </c>
      <c r="AY779" s="46">
        <f>VLOOKUP(AP779,COND!$A$10:$B$32,2,FALSE)</f>
        <v>1</v>
      </c>
      <c r="AZ779" s="44">
        <f>($AU$3*AU779+$AV$3*AV779+$AW$3*AW779+$AX$3*AX779)*AY779*IF(AQ779&lt;5,0.95,IF(AQ779&lt;7,0.975,1))+$I$3*VLOOKUP(I779,COND!$A$2:$E$7,4,FALSE)+$J$3*VLOOKUP(J779,COND!$A$2:$E$7,2,FALSE)+$K$3*VLOOKUP(K779,COND!$A$2:$E$7,3,FALSE)+IF(BB779="SP",$BB$3,0)+IF($AW779&lt;3,-5,0)+IF(AND($B$2&gt;0,$E779&lt;20),$B$2*25,0)</f>
        <v>15.973977709245098</v>
      </c>
      <c r="BA779" s="47">
        <f>STANDARDIZE(AZ779,AVERAGE($AZ$5:$AZ$557),STDEVP($AZ$5:$AZ$557))</f>
        <v>-1.3236869565533365</v>
      </c>
      <c r="BB779" s="45" t="str">
        <f t="shared" si="99"/>
        <v>SP</v>
      </c>
      <c r="BC779" s="45">
        <f>RANK(Table3[[#This Row],[zScore]],Table3[zScore])</f>
        <v>757</v>
      </c>
      <c r="BD779" s="45"/>
      <c r="BE779" s="45"/>
      <c r="BF779" s="45" t="str">
        <f t="shared" si="100"/>
        <v>Unlikely</v>
      </c>
      <c r="BG779" s="45"/>
      <c r="BH779" s="45" t="str">
        <f>INDEX(Table5[[#All],[Ovr]],MATCH(Table3[[#This Row],[PID]],Table5[[#All],[PID]],0))</f>
        <v/>
      </c>
      <c r="BI779" s="45" t="str">
        <f>INDEX(Table5[[#All],[Rnd]],MATCH(Table3[[#This Row],[PID]],Table5[[#All],[PID]],0))</f>
        <v/>
      </c>
      <c r="BJ779" s="45" t="str">
        <f>INDEX(Table5[[#All],[Pick]],MATCH(Table3[[#This Row],[PID]],Table5[[#All],[PID]],0))</f>
        <v/>
      </c>
      <c r="BK779" s="45" t="str">
        <f>INDEX(Table5[[#All],[Team]],MATCH(Table3[[#This Row],[PID]],Table5[[#All],[PID]],0))</f>
        <v/>
      </c>
      <c r="BL779" s="45" t="str">
        <f>IF(OR(Table3[[#This Row],[POS]]="SP",Table3[[#This Row],[POS]]="RP",Table3[[#This Row],[POS]]="CL"),"P",INDEX(Batters[[#All],[zScore]],MATCH(Table3[[#This Row],[PID]],Batters[[#All],[PID]],0)))</f>
        <v>P</v>
      </c>
    </row>
    <row r="780" spans="1:64" ht="30" x14ac:dyDescent="0.25">
      <c r="A780" s="40">
        <v>12628</v>
      </c>
      <c r="B780" s="40" t="s">
        <v>24</v>
      </c>
      <c r="C780" s="40" t="s">
        <v>150</v>
      </c>
      <c r="D780" s="40" t="s">
        <v>206</v>
      </c>
      <c r="E780" s="40">
        <v>22</v>
      </c>
      <c r="F780" s="40" t="s">
        <v>42</v>
      </c>
      <c r="G780" s="40" t="s">
        <v>42</v>
      </c>
      <c r="H780" s="41" t="s">
        <v>647</v>
      </c>
      <c r="I780" s="42" t="s">
        <v>43</v>
      </c>
      <c r="J780" s="40" t="s">
        <v>43</v>
      </c>
      <c r="K780" s="41" t="s">
        <v>44</v>
      </c>
      <c r="L780" s="40">
        <v>2</v>
      </c>
      <c r="M780" s="40">
        <v>2</v>
      </c>
      <c r="N780" s="41">
        <v>1</v>
      </c>
      <c r="O780" s="40">
        <v>4</v>
      </c>
      <c r="P780" s="40">
        <v>2</v>
      </c>
      <c r="Q780" s="41">
        <v>1</v>
      </c>
      <c r="R780" s="40">
        <v>3</v>
      </c>
      <c r="S780" s="40">
        <v>4</v>
      </c>
      <c r="T780" s="40">
        <v>2</v>
      </c>
      <c r="U780" s="40">
        <v>5</v>
      </c>
      <c r="V780" s="40" t="s">
        <v>45</v>
      </c>
      <c r="W780" s="40" t="s">
        <v>45</v>
      </c>
      <c r="X780" s="40" t="s">
        <v>45</v>
      </c>
      <c r="Y780" s="40" t="s">
        <v>45</v>
      </c>
      <c r="Z780" s="40" t="s">
        <v>45</v>
      </c>
      <c r="AA780" s="40" t="s">
        <v>45</v>
      </c>
      <c r="AB780" s="40">
        <v>3</v>
      </c>
      <c r="AC780" s="40">
        <v>5</v>
      </c>
      <c r="AD780" s="40" t="s">
        <v>45</v>
      </c>
      <c r="AE780" s="40" t="s">
        <v>45</v>
      </c>
      <c r="AF780" s="40" t="s">
        <v>45</v>
      </c>
      <c r="AG780" s="40" t="s">
        <v>45</v>
      </c>
      <c r="AH780" s="40" t="s">
        <v>45</v>
      </c>
      <c r="AI780" s="40" t="s">
        <v>45</v>
      </c>
      <c r="AJ780" s="40" t="s">
        <v>45</v>
      </c>
      <c r="AK780" s="40" t="s">
        <v>45</v>
      </c>
      <c r="AL780" s="40" t="s">
        <v>45</v>
      </c>
      <c r="AM780" s="40" t="s">
        <v>45</v>
      </c>
      <c r="AN780" s="40" t="s">
        <v>45</v>
      </c>
      <c r="AO780" s="41" t="s">
        <v>45</v>
      </c>
      <c r="AP780" s="40" t="s">
        <v>64</v>
      </c>
      <c r="AQ780" s="40">
        <v>8</v>
      </c>
      <c r="AR780" s="48" t="s">
        <v>347</v>
      </c>
      <c r="AS780" s="43" t="s">
        <v>45</v>
      </c>
      <c r="AT780" s="43" t="s">
        <v>47</v>
      </c>
      <c r="AU780" s="44">
        <f t="shared" si="95"/>
        <v>-2.311361197028369</v>
      </c>
      <c r="AV780" s="44">
        <f t="shared" si="96"/>
        <v>-1.4764837972729503</v>
      </c>
      <c r="AW780" s="45">
        <f t="shared" si="97"/>
        <v>3</v>
      </c>
      <c r="AX780" s="45">
        <f t="shared" si="98"/>
        <v>0</v>
      </c>
      <c r="AY780" s="46">
        <f>VLOOKUP(AP780,COND!$A$10:$B$32,2,FALSE)</f>
        <v>1</v>
      </c>
      <c r="AZ780" s="44">
        <f>($AU$3*AU780+$AV$3*AV780+$AW$3*AW780+$AX$3*AX780)*AY780*IF(AQ780&lt;5,0.95,IF(AQ780&lt;7,0.975,1))+$I$3*VLOOKUP(I780,COND!$A$2:$E$7,4,FALSE)+$J$3*VLOOKUP(J780,COND!$A$2:$E$7,2,FALSE)+$K$3*VLOOKUP(K780,COND!$A$2:$E$7,3,FALSE)+IF(BB780="SP",$BB$3,0)+IF($AW780&lt;3,-5,0)+IF(AND($B$2&gt;0,$E780&lt;20),$B$2*25,0)</f>
        <v>18.20805181513532</v>
      </c>
      <c r="BA780" s="47">
        <f>STANDARDIZE(AZ780,AVERAGE($AZ$5:$AZ$663),STDEVP($AZ$5:$AZ$663))</f>
        <v>-1.3423013605222076</v>
      </c>
      <c r="BB780" s="45" t="str">
        <f t="shared" si="99"/>
        <v>SP</v>
      </c>
      <c r="BC780" s="45">
        <f>RANK(Table3[[#This Row],[zScore]],Table3[zScore])</f>
        <v>759</v>
      </c>
      <c r="BD780" s="45"/>
      <c r="BE780" s="45"/>
      <c r="BF780" s="45" t="str">
        <f t="shared" si="100"/>
        <v>Unlikely</v>
      </c>
      <c r="BG780" s="45"/>
      <c r="BH780" s="45" t="str">
        <f>INDEX(Table5[[#All],[Ovr]],MATCH(Table3[[#This Row],[PID]],Table5[[#All],[PID]],0))</f>
        <v/>
      </c>
      <c r="BI780" s="45" t="str">
        <f>INDEX(Table5[[#All],[Rnd]],MATCH(Table3[[#This Row],[PID]],Table5[[#All],[PID]],0))</f>
        <v/>
      </c>
      <c r="BJ780" s="45" t="str">
        <f>INDEX(Table5[[#All],[Pick]],MATCH(Table3[[#This Row],[PID]],Table5[[#All],[PID]],0))</f>
        <v/>
      </c>
      <c r="BK780" s="45" t="str">
        <f>INDEX(Table5[[#All],[Team]],MATCH(Table3[[#This Row],[PID]],Table5[[#All],[PID]],0))</f>
        <v/>
      </c>
      <c r="BL780" s="45" t="str">
        <f>IF(OR(Table3[[#This Row],[POS]]="SP",Table3[[#This Row],[POS]]="RP",Table3[[#This Row],[POS]]="CL"),"P",INDEX(Batters[[#All],[zScore]],MATCH(Table3[[#This Row],[PID]],Batters[[#All],[PID]],0)))</f>
        <v>P</v>
      </c>
    </row>
    <row r="781" spans="1:64" ht="30" x14ac:dyDescent="0.25">
      <c r="A781" s="40">
        <v>12968</v>
      </c>
      <c r="B781" s="40" t="s">
        <v>24</v>
      </c>
      <c r="C781" s="40" t="s">
        <v>826</v>
      </c>
      <c r="D781" s="40" t="s">
        <v>1066</v>
      </c>
      <c r="E781" s="40">
        <v>22</v>
      </c>
      <c r="F781" s="40" t="s">
        <v>53</v>
      </c>
      <c r="G781" s="40" t="s">
        <v>53</v>
      </c>
      <c r="H781" s="41" t="s">
        <v>647</v>
      </c>
      <c r="I781" s="42" t="s">
        <v>43</v>
      </c>
      <c r="J781" s="40" t="s">
        <v>43</v>
      </c>
      <c r="K781" s="41" t="s">
        <v>43</v>
      </c>
      <c r="L781" s="40">
        <v>2</v>
      </c>
      <c r="M781" s="40">
        <v>2</v>
      </c>
      <c r="N781" s="41">
        <v>1</v>
      </c>
      <c r="O781" s="40">
        <v>3</v>
      </c>
      <c r="P781" s="40">
        <v>2</v>
      </c>
      <c r="Q781" s="41">
        <v>1</v>
      </c>
      <c r="R781" s="40">
        <v>4</v>
      </c>
      <c r="S781" s="40">
        <v>5</v>
      </c>
      <c r="T781" s="40">
        <v>1</v>
      </c>
      <c r="U781" s="40">
        <v>1</v>
      </c>
      <c r="V781" s="40">
        <v>2</v>
      </c>
      <c r="W781" s="40">
        <v>5</v>
      </c>
      <c r="X781" s="40" t="s">
        <v>45</v>
      </c>
      <c r="Y781" s="40" t="s">
        <v>45</v>
      </c>
      <c r="Z781" s="40" t="s">
        <v>45</v>
      </c>
      <c r="AA781" s="40" t="s">
        <v>45</v>
      </c>
      <c r="AB781" s="40" t="s">
        <v>45</v>
      </c>
      <c r="AC781" s="40" t="s">
        <v>45</v>
      </c>
      <c r="AD781" s="40" t="s">
        <v>45</v>
      </c>
      <c r="AE781" s="40" t="s">
        <v>45</v>
      </c>
      <c r="AF781" s="40">
        <v>3</v>
      </c>
      <c r="AG781" s="40">
        <v>4</v>
      </c>
      <c r="AH781" s="40" t="s">
        <v>45</v>
      </c>
      <c r="AI781" s="40" t="s">
        <v>45</v>
      </c>
      <c r="AJ781" s="40" t="s">
        <v>45</v>
      </c>
      <c r="AK781" s="40" t="s">
        <v>45</v>
      </c>
      <c r="AL781" s="40" t="s">
        <v>45</v>
      </c>
      <c r="AM781" s="40" t="s">
        <v>45</v>
      </c>
      <c r="AN781" s="40" t="s">
        <v>45</v>
      </c>
      <c r="AO781" s="41" t="s">
        <v>45</v>
      </c>
      <c r="AP781" s="40" t="s">
        <v>57</v>
      </c>
      <c r="AQ781" s="40">
        <v>7</v>
      </c>
      <c r="AR781" s="48" t="s">
        <v>347</v>
      </c>
      <c r="AS781" s="43" t="s">
        <v>45</v>
      </c>
      <c r="AT781" s="43" t="s">
        <v>47</v>
      </c>
      <c r="AU781" s="44">
        <f t="shared" si="95"/>
        <v>-2.311361197028369</v>
      </c>
      <c r="AV781" s="44">
        <f t="shared" si="96"/>
        <v>-1.6711751217821238</v>
      </c>
      <c r="AW781" s="45">
        <f t="shared" si="97"/>
        <v>4</v>
      </c>
      <c r="AX781" s="45">
        <f t="shared" si="98"/>
        <v>0</v>
      </c>
      <c r="AY781" s="46">
        <f>VLOOKUP(AP781,COND!$A$10:$B$32,2,FALSE)</f>
        <v>1</v>
      </c>
      <c r="AZ781" s="44">
        <f>($AU$3*AU781+$AV$3*AV781+$AW$3*AW781+$AX$3*AX781)*AY781*IF(AQ781&lt;5,0.95,IF(AQ781&lt;7,0.975,1))+$I$3*VLOOKUP(I781,COND!$A$2:$E$7,4,FALSE)+$J$3*VLOOKUP(J781,COND!$A$2:$E$7,2,FALSE)+$K$3*VLOOKUP(K781,COND!$A$2:$E$7,3,FALSE)+IF(BB781="SP",$BB$3,0)+IF($AW781&lt;3,-5,0)+IF(AND($B$2&gt;0,$E781&lt;20),$B$2*25,0)</f>
        <v>15.114225324951853</v>
      </c>
      <c r="BA781" s="47">
        <f>STANDARDIZE(AZ781,AVERAGE($AZ$5:$AZ$557),STDEVP($AZ$5:$AZ$557))</f>
        <v>-1.3808849688851454</v>
      </c>
      <c r="BB781" s="45" t="str">
        <f t="shared" si="99"/>
        <v>SP</v>
      </c>
      <c r="BC781" s="45">
        <f>RANK(Table3[[#This Row],[zScore]],Table3[zScore])</f>
        <v>762</v>
      </c>
      <c r="BD781" s="45"/>
      <c r="BE781" s="45"/>
      <c r="BF781" s="45" t="str">
        <f t="shared" si="100"/>
        <v>Unlikely</v>
      </c>
      <c r="BG781" s="45"/>
      <c r="BH781" s="45" t="str">
        <f>INDEX(Table5[[#All],[Ovr]],MATCH(Table3[[#This Row],[PID]],Table5[[#All],[PID]],0))</f>
        <v/>
      </c>
      <c r="BI781" s="45" t="str">
        <f>INDEX(Table5[[#All],[Rnd]],MATCH(Table3[[#This Row],[PID]],Table5[[#All],[PID]],0))</f>
        <v/>
      </c>
      <c r="BJ781" s="45" t="str">
        <f>INDEX(Table5[[#All],[Pick]],MATCH(Table3[[#This Row],[PID]],Table5[[#All],[PID]],0))</f>
        <v/>
      </c>
      <c r="BK781" s="45" t="str">
        <f>INDEX(Table5[[#All],[Team]],MATCH(Table3[[#This Row],[PID]],Table5[[#All],[PID]],0))</f>
        <v/>
      </c>
      <c r="BL781" s="45" t="str">
        <f>IF(OR(Table3[[#This Row],[POS]]="SP",Table3[[#This Row],[POS]]="RP",Table3[[#This Row],[POS]]="CL"),"P",INDEX(Batters[[#All],[zScore]],MATCH(Table3[[#This Row],[PID]],Batters[[#All],[PID]],0)))</f>
        <v>P</v>
      </c>
    </row>
  </sheetData>
  <sortState xmlns:xlrd2="http://schemas.microsoft.com/office/spreadsheetml/2017/richdata2" ref="A135:BL557">
    <sortCondition ref="BH5:BH557"/>
    <sortCondition ref="BD5:BD557"/>
    <sortCondition ref="BC5:BC557"/>
    <sortCondition ref="BE5:BE557"/>
    <sortCondition descending="1" ref="BA5:BA557"/>
    <sortCondition ref="D5:D557"/>
    <sortCondition ref="C5:C557"/>
  </sortState>
  <conditionalFormatting sqref="A5:BG781">
    <cfRule type="expression" dxfId="8" priority="21">
      <formula>IF($BI5&lt;&gt;"",1,0)</formula>
    </cfRule>
  </conditionalFormatting>
  <conditionalFormatting sqref="BM32:XFD531">
    <cfRule type="expression" dxfId="7" priority="12">
      <formula>IF(MOD(ROW(),2)=1,1,0)</formula>
    </cfRule>
  </conditionalFormatting>
  <conditionalFormatting sqref="AQ5:AQ781">
    <cfRule type="colorScale" priority="19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781">
    <cfRule type="colorScale" priority="1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781">
    <cfRule type="colorScale" priority="19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781">
    <cfRule type="colorScale" priority="19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543"/>
  <sheetViews>
    <sheetView tabSelected="1" workbookViewId="0">
      <pane xSplit="9" ySplit="4" topLeftCell="J1017" activePane="bottomRight" state="frozenSplit"/>
      <selection pane="topRight" activeCell="J1" sqref="J1"/>
      <selection pane="bottomLeft" activeCell="A5" sqref="A5"/>
      <selection pane="bottomRight" activeCell="E1033" sqref="E1033"/>
    </sheetView>
  </sheetViews>
  <sheetFormatPr defaultRowHeight="15" x14ac:dyDescent="0.25"/>
  <cols>
    <col min="1" max="1" width="8.42578125" customWidth="1"/>
    <col min="2" max="2" width="6.7109375" customWidth="1"/>
    <col min="3" max="3" width="7.42578125" customWidth="1"/>
    <col min="4" max="4" width="6.7109375" style="6" bestFit="1" customWidth="1"/>
    <col min="5" max="5" width="15" style="7" customWidth="1"/>
    <col min="6" max="6" width="16" style="7" customWidth="1"/>
    <col min="7" max="7" width="6.7109375" style="7" bestFit="1" customWidth="1"/>
    <col min="8" max="8" width="4.42578125" style="7" bestFit="1" customWidth="1"/>
    <col min="9" max="9" width="4.28515625" style="3" bestFit="1" customWidth="1"/>
    <col min="10" max="10" width="9.5703125" bestFit="1" customWidth="1"/>
    <col min="11" max="11" width="9.5703125" style="7" bestFit="1" customWidth="1"/>
    <col min="12" max="12" width="5.5703125" style="6" customWidth="1"/>
    <col min="13" max="13" width="7.140625" customWidth="1"/>
    <col min="14" max="14" width="6.5703125" customWidth="1"/>
    <col min="15" max="15" width="11.140625" bestFit="1" customWidth="1"/>
    <col min="16" max="16" width="5.85546875" style="7" customWidth="1"/>
    <col min="17" max="17" width="7.5703125" style="6" bestFit="1" customWidth="1"/>
    <col min="18" max="18" width="8.85546875" style="7" customWidth="1"/>
    <col min="19" max="19" width="12.5703125" style="6" bestFit="1" customWidth="1"/>
    <col min="20" max="20" width="10.5703125" style="6" customWidth="1"/>
    <col min="21" max="21" width="9.5703125" customWidth="1"/>
    <col min="22" max="22" width="9.140625" style="7" customWidth="1"/>
    <col min="23" max="23" width="9.85546875" customWidth="1"/>
    <col min="24" max="24" width="9.140625" style="3"/>
    <col min="25" max="25" width="6.42578125" bestFit="1" customWidth="1"/>
    <col min="26" max="26" width="6.7109375" bestFit="1" customWidth="1"/>
    <col min="27" max="27" width="6.85546875" bestFit="1" customWidth="1"/>
    <col min="28" max="28" width="29.28515625" bestFit="1" customWidth="1"/>
    <col min="29" max="29" width="11.42578125" bestFit="1" customWidth="1"/>
    <col min="30" max="30" width="11.5703125" bestFit="1" customWidth="1"/>
    <col min="31" max="31" width="10.140625" bestFit="1" customWidth="1"/>
  </cols>
  <sheetData>
    <row r="1" spans="1:31" x14ac:dyDescent="0.25">
      <c r="A1" s="1" t="s">
        <v>463</v>
      </c>
      <c r="B1">
        <v>0</v>
      </c>
      <c r="C1" t="s">
        <v>624</v>
      </c>
      <c r="F1" s="31"/>
      <c r="T1" s="6" t="s">
        <v>302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215</v>
      </c>
      <c r="AD1" s="5" t="e">
        <f>AVERAGE(AD5:AD683)</f>
        <v>#DIV/0!</v>
      </c>
    </row>
    <row r="2" spans="1:31" x14ac:dyDescent="0.25">
      <c r="A2" s="1" t="s">
        <v>791</v>
      </c>
      <c r="B2">
        <v>0</v>
      </c>
      <c r="F2" s="31"/>
      <c r="W2" s="1" t="s">
        <v>793</v>
      </c>
    </row>
    <row r="3" spans="1:31" x14ac:dyDescent="0.25">
      <c r="A3" s="1" t="s">
        <v>792</v>
      </c>
      <c r="B3">
        <v>0.2</v>
      </c>
      <c r="F3" s="7">
        <f>COUNTIF(G5:G1543,"&lt;20")</f>
        <v>837</v>
      </c>
      <c r="G3" s="7">
        <f>COUNTIF(G5:G1543,"&gt;19")</f>
        <v>702</v>
      </c>
      <c r="L3" s="6" t="s">
        <v>216</v>
      </c>
      <c r="M3" t="s">
        <v>217</v>
      </c>
      <c r="N3" t="s">
        <v>218</v>
      </c>
      <c r="O3" t="s">
        <v>219</v>
      </c>
      <c r="P3" s="7" t="s">
        <v>220</v>
      </c>
      <c r="S3" s="57">
        <v>4000000</v>
      </c>
      <c r="W3" t="s">
        <v>45</v>
      </c>
      <c r="Y3">
        <v>24</v>
      </c>
      <c r="Z3">
        <v>8</v>
      </c>
      <c r="AC3" t="s">
        <v>221</v>
      </c>
      <c r="AD3" s="5" t="e">
        <f>MEDIAN(AD5:AD683)</f>
        <v>#NUM!</v>
      </c>
    </row>
    <row r="4" spans="1:31" s="9" customFormat="1" x14ac:dyDescent="0.25">
      <c r="A4" s="9" t="s">
        <v>213</v>
      </c>
      <c r="B4" s="9" t="s">
        <v>237</v>
      </c>
      <c r="C4" s="9" t="s">
        <v>222</v>
      </c>
      <c r="D4" s="8" t="s">
        <v>122</v>
      </c>
      <c r="E4" s="9" t="s">
        <v>406</v>
      </c>
      <c r="F4" s="9" t="s">
        <v>407</v>
      </c>
      <c r="G4" s="9" t="s">
        <v>2</v>
      </c>
      <c r="H4" s="9" t="s">
        <v>3</v>
      </c>
      <c r="I4" s="4" t="s">
        <v>4</v>
      </c>
      <c r="J4" s="9" t="s">
        <v>6</v>
      </c>
      <c r="K4" s="9" t="s">
        <v>7</v>
      </c>
      <c r="L4" s="8" t="s">
        <v>223</v>
      </c>
      <c r="M4" s="9" t="s">
        <v>224</v>
      </c>
      <c r="N4" s="9" t="s">
        <v>216</v>
      </c>
      <c r="O4" s="9" t="s">
        <v>94</v>
      </c>
      <c r="P4" s="9" t="s">
        <v>225</v>
      </c>
      <c r="Q4" s="8" t="s">
        <v>95</v>
      </c>
      <c r="R4" s="9" t="s">
        <v>96</v>
      </c>
      <c r="S4" s="8" t="s">
        <v>226</v>
      </c>
      <c r="T4" s="8" t="s">
        <v>301</v>
      </c>
      <c r="U4" s="9" t="s">
        <v>623</v>
      </c>
      <c r="V4" s="9" t="s">
        <v>622</v>
      </c>
      <c r="W4" s="9" t="s">
        <v>358</v>
      </c>
      <c r="X4" s="4" t="s">
        <v>359</v>
      </c>
      <c r="Y4" s="9" t="s">
        <v>230</v>
      </c>
      <c r="Z4" s="9" t="s">
        <v>231</v>
      </c>
      <c r="AA4" s="9" t="s">
        <v>232</v>
      </c>
      <c r="AB4" s="9" t="s">
        <v>233</v>
      </c>
      <c r="AC4" s="9" t="s">
        <v>234</v>
      </c>
      <c r="AD4" s="9" t="s">
        <v>263</v>
      </c>
      <c r="AE4" s="9" t="s">
        <v>264</v>
      </c>
    </row>
    <row r="5" spans="1:31" s="50" customFormat="1" x14ac:dyDescent="0.25">
      <c r="A5" s="50">
        <v>20215</v>
      </c>
      <c r="B5" s="50">
        <f>COUNTIF(Table5[PID],A5)</f>
        <v>1</v>
      </c>
      <c r="C5" s="50" t="str">
        <f>IF(COUNTIF(Table3[[#All],[PID]],A5)&gt;0,"P","B")</f>
        <v>P</v>
      </c>
      <c r="D5" s="59" t="str">
        <f>IF($C5="B",INDEX(Batters[[#All],[POS]],MATCH(Table5[[#This Row],[PID]],Batters[[#All],[PID]],0)),INDEX(Table3[[#All],[POS]],MATCH(Table5[[#This Row],[PID]],Table3[[#All],[PID]],0)))</f>
        <v>CL</v>
      </c>
      <c r="E5" s="52" t="str">
        <f>IF($C5="B",INDEX(Batters[[#All],[First]],MATCH(Table5[[#This Row],[PID]],Batters[[#All],[PID]],0)),INDEX(Table3[[#All],[First]],MATCH(Table5[[#This Row],[PID]],Table3[[#All],[PID]],0)))</f>
        <v>Devlyn</v>
      </c>
      <c r="F5" s="50" t="str">
        <f>IF($C5="B",INDEX(Batters[[#All],[Last]],MATCH(A5,Batters[[#All],[PID]],0)),INDEX(Table3[[#All],[Last]],MATCH(A5,Table3[[#All],[PID]],0)))</f>
        <v>Hale</v>
      </c>
      <c r="G5" s="56">
        <f>IF($C5="B",INDEX(Batters[[#All],[Age]],MATCH(Table5[[#This Row],[PID]],Batters[[#All],[PID]],0)),INDEX(Table3[[#All],[Age]],MATCH(Table5[[#This Row],[PID]],Table3[[#All],[PID]],0)))</f>
        <v>22</v>
      </c>
      <c r="H5" s="52" t="str">
        <f>IF($C5="B",INDEX(Batters[[#All],[B]],MATCH(Table5[[#This Row],[PID]],Batters[[#All],[PID]],0)),INDEX(Table3[[#All],[B]],MATCH(Table5[[#This Row],[PID]],Table3[[#All],[PID]],0)))</f>
        <v>R</v>
      </c>
      <c r="I5" s="52" t="str">
        <f>IF($C5="B",INDEX(Batters[[#All],[T]],MATCH(Table5[[#This Row],[PID]],Batters[[#All],[PID]],0)),INDEX(Table3[[#All],[T]],MATCH(Table5[[#This Row],[PID]],Table3[[#All],[PID]],0)))</f>
        <v>R</v>
      </c>
      <c r="J5" s="52" t="str">
        <f>IF($C5="B",INDEX(Batters[[#All],[WE]],MATCH(Table5[[#This Row],[PID]],Batters[[#All],[PID]],0)),INDEX(Table3[[#All],[WE]],MATCH(Table5[[#This Row],[PID]],Table3[[#All],[PID]],0)))</f>
        <v>Normal</v>
      </c>
      <c r="K5" s="52" t="str">
        <f>IF($C5="B",INDEX(Batters[[#All],[INT]],MATCH(Table5[[#This Row],[PID]],Batters[[#All],[PID]],0)),INDEX(Table3[[#All],[INT]],MATCH(Table5[[#This Row],[PID]],Table3[[#All],[PID]],0)))</f>
        <v>Normal</v>
      </c>
      <c r="L5" s="60">
        <f>IF($C5="B",INDEX(Batters[[#All],[CON P]],MATCH(Table5[[#This Row],[PID]],Batters[[#All],[PID]],0)),INDEX(Table3[[#All],[STU P]],MATCH(Table5[[#This Row],[PID]],Table3[[#All],[PID]],0)))</f>
        <v>9</v>
      </c>
      <c r="M5" s="56">
        <f>IF($C5="B",INDEX(Batters[[#All],[GAP P]],MATCH(Table5[[#This Row],[PID]],Batters[[#All],[PID]],0)),INDEX(Table3[[#All],[MOV P]],MATCH(Table5[[#This Row],[PID]],Table3[[#All],[PID]],0)))</f>
        <v>4</v>
      </c>
      <c r="N5" s="56">
        <f>IF($C5="B",INDEX(Batters[[#All],[POW P]],MATCH(Table5[[#This Row],[PID]],Batters[[#All],[PID]],0)),INDEX(Table3[[#All],[CON P]],MATCH(Table5[[#This Row],[PID]],Table3[[#All],[PID]],0)))</f>
        <v>7</v>
      </c>
      <c r="O5" s="56" t="str">
        <f>IF($C5="B",INDEX(Batters[[#All],[EYE P]],MATCH(Table5[[#This Row],[PID]],Batters[[#All],[PID]],0)),INDEX(Table3[[#All],[VELO]],MATCH(Table5[[#This Row],[PID]],Table3[[#All],[PID]],0)))</f>
        <v>98-100 Mph</v>
      </c>
      <c r="P5" s="56">
        <f>IF($C5="B",INDEX(Batters[[#All],[K P]],MATCH(Table5[[#This Row],[PID]],Batters[[#All],[PID]],0)),INDEX(Table3[[#All],[STM]],MATCH(Table5[[#This Row],[PID]],Table3[[#All],[PID]],0)))</f>
        <v>9</v>
      </c>
      <c r="Q5" s="61">
        <f>IF($C5="B",INDEX(Batters[[#All],[Tot]],MATCH(Table5[[#This Row],[PID]],Batters[[#All],[PID]],0)),INDEX(Table3[[#All],[Tot]],MATCH(Table5[[#This Row],[PID]],Table3[[#All],[PID]],0)))</f>
        <v>74.573096593165587</v>
      </c>
      <c r="R5" s="52">
        <f>IF($C5="B",INDEX(Batters[[#All],[zScore]],MATCH(Table5[[#This Row],[PID]],Batters[[#All],[PID]],0)),INDEX(Table3[[#All],[zScore]],MATCH(Table5[[#This Row],[PID]],Table3[[#All],[PID]],0)))</f>
        <v>2.5748228769621861</v>
      </c>
      <c r="S5" s="58" t="str">
        <f>IF($C5="B",INDEX(Batters[[#All],[DEM]],MATCH(Table5[[#This Row],[PID]],Batters[[#All],[PID]],0)),INDEX(Table3[[#All],[DEM]],MATCH(Table5[[#This Row],[PID]],Table3[[#All],[PID]],0)))</f>
        <v>$170k</v>
      </c>
      <c r="T5" s="62">
        <f>IF($C5="B",INDEX(Batters[[#All],[Rnk]],MATCH(Table5[[#This Row],[PID]],Batters[[#All],[PID]],0)),INDEX(Table3[[#All],[Rnk]],MATCH(Table5[[#This Row],[PID]],Table3[[#All],[PID]],0)))</f>
        <v>6</v>
      </c>
      <c r="U5" s="68">
        <f>IF($C5="B",VLOOKUP($A5,Bat!$A$4:$BA$1621,47,FALSE),VLOOKUP($A5,Pit!$A$4:$BF$1557,56,FALSE))</f>
        <v>0</v>
      </c>
      <c r="V5" s="50">
        <f>IF($C5="B",VLOOKUP($A5,Bat!$A$4:$BA$1621,48,FALSE),VLOOKUP($A5,Pit!$A$4:$BF$1557,57,FALSE))</f>
        <v>0</v>
      </c>
      <c r="W5" s="50">
        <f>Table5[[#This Row],[posRnk]]+Table5[[#This Row],[zRnk]]+IF($W$3&lt;&gt;Table5[[#This Row],[Type]],50,0)</f>
        <v>70</v>
      </c>
      <c r="X5" s="51">
        <f>RANK(Table5[[#This Row],[zScore]],Table5[[#All],[zScore]])</f>
        <v>14</v>
      </c>
      <c r="Y5" s="50">
        <f>IFERROR(INDEX(DraftResults[[#All],[OVR]],MATCH(Table5[[#This Row],[PID]],DraftResults[[#All],[Player ID]],0)),"")</f>
        <v>1</v>
      </c>
      <c r="Z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5" s="50">
        <f>IFERROR(INDEX(DraftResults[[#All],[Pick in Round]],MATCH(Table5[[#This Row],[PID]],DraftResults[[#All],[Player ID]],0)),"")</f>
        <v>1</v>
      </c>
      <c r="AB5" s="50" t="str">
        <f>IFERROR(INDEX(DraftResults[[#All],[Team Name]],MATCH(Table5[[#This Row],[PID]],DraftResults[[#All],[Player ID]],0)),"")</f>
        <v>Yuma Arroyos</v>
      </c>
      <c r="AC5" s="50">
        <f>IF(Table5[[#This Row],[Ovr]]="","",IF(Table5[[#This Row],[cmbList]]="","",Table5[[#This Row],[cmbList]]-Table5[[#This Row],[Ovr]]))</f>
        <v>69</v>
      </c>
      <c r="AD5" s="54" t="str">
        <f>IF(ISERROR(VLOOKUP($AB5&amp;"-"&amp;$E5&amp;" "&amp;F5,Bonuses!$B$1:$G$1006,4,FALSE)),"",INT(VLOOKUP($AB5&amp;"-"&amp;$E5&amp;" "&amp;$F5,Bonuses!$B$1:$G$1006,4,FALSE)))</f>
        <v/>
      </c>
      <c r="AE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 (1) - CL Devlyn Hale</v>
      </c>
    </row>
    <row r="6" spans="1:31" s="50" customFormat="1" x14ac:dyDescent="0.25">
      <c r="A6" s="68">
        <v>20528</v>
      </c>
      <c r="B6" s="69">
        <f>COUNTIF(Table5[PID],A6)</f>
        <v>1</v>
      </c>
      <c r="C6" s="69" t="str">
        <f>IF(COUNTIF(Table3[[#All],[PID]],A6)&gt;0,"P","B")</f>
        <v>P</v>
      </c>
      <c r="D6" s="59" t="str">
        <f>IF($C6="B",INDEX(Batters[[#All],[POS]],MATCH(Table5[[#This Row],[PID]],Batters[[#All],[PID]],0)),INDEX(Table3[[#All],[POS]],MATCH(Table5[[#This Row],[PID]],Table3[[#All],[PID]],0)))</f>
        <v>SP</v>
      </c>
      <c r="E6" s="52" t="str">
        <f>IF($C6="B",INDEX(Batters[[#All],[First]],MATCH(Table5[[#This Row],[PID]],Batters[[#All],[PID]],0)),INDEX(Table3[[#All],[First]],MATCH(Table5[[#This Row],[PID]],Table3[[#All],[PID]],0)))</f>
        <v>Ding-bong</v>
      </c>
      <c r="F6" s="55" t="str">
        <f>IF($C6="B",INDEX(Batters[[#All],[Last]],MATCH(A6,Batters[[#All],[PID]],0)),INDEX(Table3[[#All],[Last]],MATCH(A6,Table3[[#All],[PID]],0)))</f>
        <v>Zhu</v>
      </c>
      <c r="G6" s="56">
        <f>IF($C6="B",INDEX(Batters[[#All],[Age]],MATCH(Table5[[#This Row],[PID]],Batters[[#All],[PID]],0)),INDEX(Table3[[#All],[Age]],MATCH(Table5[[#This Row],[PID]],Table3[[#All],[PID]],0)))</f>
        <v>17</v>
      </c>
      <c r="H6" s="52" t="str">
        <f>IF($C6="B",INDEX(Batters[[#All],[B]],MATCH(Table5[[#This Row],[PID]],Batters[[#All],[PID]],0)),INDEX(Table3[[#All],[B]],MATCH(Table5[[#This Row],[PID]],Table3[[#All],[PID]],0)))</f>
        <v>R</v>
      </c>
      <c r="I6" s="52" t="str">
        <f>IF($C6="B",INDEX(Batters[[#All],[T]],MATCH(Table5[[#This Row],[PID]],Batters[[#All],[PID]],0)),INDEX(Table3[[#All],[T]],MATCH(Table5[[#This Row],[PID]],Table3[[#All],[PID]],0)))</f>
        <v>R</v>
      </c>
      <c r="J6" s="71" t="str">
        <f>IF($C6="B",INDEX(Batters[[#All],[WE]],MATCH(Table5[[#This Row],[PID]],Batters[[#All],[PID]],0)),INDEX(Table3[[#All],[WE]],MATCH(Table5[[#This Row],[PID]],Table3[[#All],[PID]],0)))</f>
        <v>High</v>
      </c>
      <c r="K6" s="52" t="str">
        <f>IF($C6="B",INDEX(Batters[[#All],[INT]],MATCH(Table5[[#This Row],[PID]],Batters[[#All],[PID]],0)),INDEX(Table3[[#All],[INT]],MATCH(Table5[[#This Row],[PID]],Table3[[#All],[PID]],0)))</f>
        <v>Normal</v>
      </c>
      <c r="L6" s="60">
        <f>IF($C6="B",INDEX(Batters[[#All],[CON P]],MATCH(Table5[[#This Row],[PID]],Batters[[#All],[PID]],0)),INDEX(Table3[[#All],[STU P]],MATCH(Table5[[#This Row],[PID]],Table3[[#All],[PID]],0)))</f>
        <v>7</v>
      </c>
      <c r="M6" s="72">
        <f>IF($C6="B",INDEX(Batters[[#All],[GAP P]],MATCH(Table5[[#This Row],[PID]],Batters[[#All],[PID]],0)),INDEX(Table3[[#All],[MOV P]],MATCH(Table5[[#This Row],[PID]],Table3[[#All],[PID]],0)))</f>
        <v>7</v>
      </c>
      <c r="N6" s="72">
        <f>IF($C6="B",INDEX(Batters[[#All],[POW P]],MATCH(Table5[[#This Row],[PID]],Batters[[#All],[PID]],0)),INDEX(Table3[[#All],[CON P]],MATCH(Table5[[#This Row],[PID]],Table3[[#All],[PID]],0)))</f>
        <v>6</v>
      </c>
      <c r="O6" s="72" t="str">
        <f>IF($C6="B",INDEX(Batters[[#All],[EYE P]],MATCH(Table5[[#This Row],[PID]],Batters[[#All],[PID]],0)),INDEX(Table3[[#All],[VELO]],MATCH(Table5[[#This Row],[PID]],Table3[[#All],[PID]],0)))</f>
        <v>96-98 Mph</v>
      </c>
      <c r="P6" s="56">
        <f>IF($C6="B",INDEX(Batters[[#All],[K P]],MATCH(Table5[[#This Row],[PID]],Batters[[#All],[PID]],0)),INDEX(Table3[[#All],[STM]],MATCH(Table5[[#This Row],[PID]],Table3[[#All],[PID]],0)))</f>
        <v>6</v>
      </c>
      <c r="Q6" s="61">
        <f>IF($C6="B",INDEX(Batters[[#All],[Tot]],MATCH(Table5[[#This Row],[PID]],Batters[[#All],[PID]],0)),INDEX(Table3[[#All],[Tot]],MATCH(Table5[[#This Row],[PID]],Table3[[#All],[PID]],0)))</f>
        <v>84.524696222061536</v>
      </c>
      <c r="R6" s="52">
        <f>IF($C6="B",INDEX(Batters[[#All],[zScore]],MATCH(Table5[[#This Row],[PID]],Batters[[#All],[PID]],0)),INDEX(Table3[[#All],[zScore]],MATCH(Table5[[#This Row],[PID]],Table3[[#All],[PID]],0)))</f>
        <v>3.2368875931452474</v>
      </c>
      <c r="S6" s="78" t="str">
        <f>IF($C6="B",INDEX(Batters[[#All],[DEM]],MATCH(Table5[[#This Row],[PID]],Batters[[#All],[PID]],0)),INDEX(Table3[[#All],[DEM]],MATCH(Table5[[#This Row],[PID]],Table3[[#All],[PID]],0)))</f>
        <v>$3.8m</v>
      </c>
      <c r="T6" s="75">
        <f>IF($C6="B",INDEX(Batters[[#All],[Rnk]],MATCH(Table5[[#This Row],[PID]],Batters[[#All],[PID]],0)),INDEX(Table3[[#All],[Rnk]],MATCH(Table5[[#This Row],[PID]],Table3[[#All],[PID]],0)))</f>
        <v>1</v>
      </c>
      <c r="U6" s="68">
        <f>IF($C6="B",VLOOKUP($A6,Bat!$A$4:$BA$1621,47,FALSE),VLOOKUP($A6,Pit!$A$4:$BF$1557,56,FALSE))</f>
        <v>0</v>
      </c>
      <c r="V6" s="50">
        <f>IF($C6="B",VLOOKUP($A6,Bat!$A$4:$BA$1621,48,FALSE),VLOOKUP($A6,Pit!$A$4:$BF$1557,57,FALSE))</f>
        <v>0</v>
      </c>
      <c r="W6" s="69">
        <f>Table5[[#This Row],[posRnk]]+Table5[[#This Row],[zRnk]]+IF($W$3&lt;&gt;Table5[[#This Row],[Type]],50,0)</f>
        <v>56</v>
      </c>
      <c r="X6" s="73">
        <f>RANK(Table5[[#This Row],[zScore]],Table5[[#All],[zScore]])</f>
        <v>5</v>
      </c>
      <c r="Y6" s="69">
        <f>IFERROR(INDEX(DraftResults[[#All],[OVR]],MATCH(Table5[[#This Row],[PID]],DraftResults[[#All],[Player ID]],0)),"")</f>
        <v>2</v>
      </c>
      <c r="Z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6" s="69">
        <f>IFERROR(INDEX(DraftResults[[#All],[Pick in Round]],MATCH(Table5[[#This Row],[PID]],DraftResults[[#All],[Player ID]],0)),"")</f>
        <v>2</v>
      </c>
      <c r="AB6" s="69" t="str">
        <f>IFERROR(INDEX(DraftResults[[#All],[Team Name]],MATCH(Table5[[#This Row],[PID]],DraftResults[[#All],[Player ID]],0)),"")</f>
        <v>Charleston Statesmen</v>
      </c>
      <c r="AC6" s="69">
        <f>IF(Table5[[#This Row],[Ovr]]="","",IF(Table5[[#This Row],[cmbList]]="","",Table5[[#This Row],[cmbList]]-Table5[[#This Row],[Ovr]]))</f>
        <v>54</v>
      </c>
      <c r="AD6" s="77" t="str">
        <f>IF(ISERROR(VLOOKUP($AB6&amp;"-"&amp;$E6&amp;" "&amp;F6,Bonuses!$B$1:$G$1006,4,FALSE)),"",INT(VLOOKUP($AB6&amp;"-"&amp;$E6&amp;" "&amp;$F6,Bonuses!$B$1:$G$1006,4,FALSE)))</f>
        <v/>
      </c>
      <c r="AE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 (2) - SP Ding-bong Zhu</v>
      </c>
    </row>
    <row r="7" spans="1:31" s="50" customFormat="1" x14ac:dyDescent="0.25">
      <c r="A7" s="68">
        <v>18318</v>
      </c>
      <c r="B7" s="69">
        <f>COUNTIF(Table5[PID],A7)</f>
        <v>1</v>
      </c>
      <c r="C7" s="69" t="str">
        <f>IF(COUNTIF(Table3[[#All],[PID]],A7)&gt;0,"P","B")</f>
        <v>P</v>
      </c>
      <c r="D7" s="59" t="str">
        <f>IF($C7="B",INDEX(Batters[[#All],[POS]],MATCH(Table5[[#This Row],[PID]],Batters[[#All],[PID]],0)),INDEX(Table3[[#All],[POS]],MATCH(Table5[[#This Row],[PID]],Table3[[#All],[PID]],0)))</f>
        <v>SP</v>
      </c>
      <c r="E7" s="52" t="str">
        <f>IF($C7="B",INDEX(Batters[[#All],[First]],MATCH(Table5[[#This Row],[PID]],Batters[[#All],[PID]],0)),INDEX(Table3[[#All],[First]],MATCH(Table5[[#This Row],[PID]],Table3[[#All],[PID]],0)))</f>
        <v>Karst</v>
      </c>
      <c r="F7" s="55" t="str">
        <f>IF($C7="B",INDEX(Batters[[#All],[Last]],MATCH(A7,Batters[[#All],[PID]],0)),INDEX(Table3[[#All],[Last]],MATCH(A7,Table3[[#All],[PID]],0)))</f>
        <v>Koninck</v>
      </c>
      <c r="G7" s="56">
        <f>IF($C7="B",INDEX(Batters[[#All],[Age]],MATCH(Table5[[#This Row],[PID]],Batters[[#All],[PID]],0)),INDEX(Table3[[#All],[Age]],MATCH(Table5[[#This Row],[PID]],Table3[[#All],[PID]],0)))</f>
        <v>21</v>
      </c>
      <c r="H7" s="52" t="str">
        <f>IF($C7="B",INDEX(Batters[[#All],[B]],MATCH(Table5[[#This Row],[PID]],Batters[[#All],[PID]],0)),INDEX(Table3[[#All],[B]],MATCH(Table5[[#This Row],[PID]],Table3[[#All],[PID]],0)))</f>
        <v>L</v>
      </c>
      <c r="I7" s="52" t="str">
        <f>IF($C7="B",INDEX(Batters[[#All],[T]],MATCH(Table5[[#This Row],[PID]],Batters[[#All],[PID]],0)),INDEX(Table3[[#All],[T]],MATCH(Table5[[#This Row],[PID]],Table3[[#All],[PID]],0)))</f>
        <v>R</v>
      </c>
      <c r="J7" s="71" t="str">
        <f>IF($C7="B",INDEX(Batters[[#All],[WE]],MATCH(Table5[[#This Row],[PID]],Batters[[#All],[PID]],0)),INDEX(Table3[[#All],[WE]],MATCH(Table5[[#This Row],[PID]],Table3[[#All],[PID]],0)))</f>
        <v>Normal</v>
      </c>
      <c r="K7" s="52" t="str">
        <f>IF($C7="B",INDEX(Batters[[#All],[INT]],MATCH(Table5[[#This Row],[PID]],Batters[[#All],[PID]],0)),INDEX(Table3[[#All],[INT]],MATCH(Table5[[#This Row],[PID]],Table3[[#All],[PID]],0)))</f>
        <v>High</v>
      </c>
      <c r="L7" s="60">
        <f>IF($C7="B",INDEX(Batters[[#All],[CON P]],MATCH(Table5[[#This Row],[PID]],Batters[[#All],[PID]],0)),INDEX(Table3[[#All],[STU P]],MATCH(Table5[[#This Row],[PID]],Table3[[#All],[PID]],0)))</f>
        <v>6</v>
      </c>
      <c r="M7" s="72">
        <f>IF($C7="B",INDEX(Batters[[#All],[GAP P]],MATCH(Table5[[#This Row],[PID]],Batters[[#All],[PID]],0)),INDEX(Table3[[#All],[MOV P]],MATCH(Table5[[#This Row],[PID]],Table3[[#All],[PID]],0)))</f>
        <v>5</v>
      </c>
      <c r="N7" s="72">
        <f>IF($C7="B",INDEX(Batters[[#All],[POW P]],MATCH(Table5[[#This Row],[PID]],Batters[[#All],[PID]],0)),INDEX(Table3[[#All],[CON P]],MATCH(Table5[[#This Row],[PID]],Table3[[#All],[PID]],0)))</f>
        <v>7</v>
      </c>
      <c r="O7" s="72" t="str">
        <f>IF($C7="B",INDEX(Batters[[#All],[EYE P]],MATCH(Table5[[#This Row],[PID]],Batters[[#All],[PID]],0)),INDEX(Table3[[#All],[VELO]],MATCH(Table5[[#This Row],[PID]],Table3[[#All],[PID]],0)))</f>
        <v>95-97 Mph</v>
      </c>
      <c r="P7" s="56">
        <f>IF($C7="B",INDEX(Batters[[#All],[K P]],MATCH(Table5[[#This Row],[PID]],Batters[[#All],[PID]],0)),INDEX(Table3[[#All],[STM]],MATCH(Table5[[#This Row],[PID]],Table3[[#All],[PID]],0)))</f>
        <v>8</v>
      </c>
      <c r="Q7" s="61">
        <f>IF($C7="B",INDEX(Batters[[#All],[Tot]],MATCH(Table5[[#This Row],[PID]],Batters[[#All],[PID]],0)),INDEX(Table3[[#All],[Tot]],MATCH(Table5[[#This Row],[PID]],Table3[[#All],[PID]],0)))</f>
        <v>72.587013946821145</v>
      </c>
      <c r="R7" s="52">
        <f>IF($C7="B",INDEX(Batters[[#All],[zScore]],MATCH(Table5[[#This Row],[PID]],Batters[[#All],[PID]],0)),INDEX(Table3[[#All],[zScore]],MATCH(Table5[[#This Row],[PID]],Table3[[#All],[PID]],0)))</f>
        <v>2.4426918334513434</v>
      </c>
      <c r="S7" s="78" t="str">
        <f>IF($C7="B",INDEX(Batters[[#All],[DEM]],MATCH(Table5[[#This Row],[PID]],Batters[[#All],[PID]],0)),INDEX(Table3[[#All],[DEM]],MATCH(Table5[[#This Row],[PID]],Table3[[#All],[PID]],0)))</f>
        <v>$1.4m</v>
      </c>
      <c r="T7" s="75">
        <f>IF($C7="B",INDEX(Batters[[#All],[Rnk]],MATCH(Table5[[#This Row],[PID]],Batters[[#All],[PID]],0)),INDEX(Table3[[#All],[Rnk]],MATCH(Table5[[#This Row],[PID]],Table3[[#All],[PID]],0)))</f>
        <v>8</v>
      </c>
      <c r="U7" s="68">
        <f>IF($C7="B",VLOOKUP($A7,Bat!$A$4:$BA$1621,47,FALSE),VLOOKUP($A7,Pit!$A$4:$BF$1557,56,FALSE))</f>
        <v>0</v>
      </c>
      <c r="V7" s="50">
        <f>IF($C7="B",VLOOKUP($A7,Bat!$A$4:$BA$1621,48,FALSE),VLOOKUP($A7,Pit!$A$4:$BF$1557,57,FALSE))</f>
        <v>0</v>
      </c>
      <c r="W7" s="69">
        <f>Table5[[#This Row],[posRnk]]+Table5[[#This Row],[zRnk]]+IF($W$3&lt;&gt;Table5[[#This Row],[Type]],50,0)</f>
        <v>77</v>
      </c>
      <c r="X7" s="73">
        <f>RANK(Table5[[#This Row],[zScore]],Table5[[#All],[zScore]])</f>
        <v>19</v>
      </c>
      <c r="Y7" s="69">
        <f>IFERROR(INDEX(DraftResults[[#All],[OVR]],MATCH(Table5[[#This Row],[PID]],DraftResults[[#All],[Player ID]],0)),"")</f>
        <v>3</v>
      </c>
      <c r="Z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7" s="69">
        <f>IFERROR(INDEX(DraftResults[[#All],[Pick in Round]],MATCH(Table5[[#This Row],[PID]],DraftResults[[#All],[Player ID]],0)),"")</f>
        <v>3</v>
      </c>
      <c r="AB7" s="69" t="str">
        <f>IFERROR(INDEX(DraftResults[[#All],[Team Name]],MATCH(Table5[[#This Row],[PID]],DraftResults[[#All],[Player ID]],0)),"")</f>
        <v>New Orleans Trendsetters</v>
      </c>
      <c r="AC7" s="69">
        <f>IF(Table5[[#This Row],[Ovr]]="","",IF(Table5[[#This Row],[cmbList]]="","",Table5[[#This Row],[cmbList]]-Table5[[#This Row],[Ovr]]))</f>
        <v>74</v>
      </c>
      <c r="AD7" s="77" t="str">
        <f>IF(ISERROR(VLOOKUP($AB7&amp;"-"&amp;$E7&amp;" "&amp;F7,Bonuses!$B$1:$G$1006,4,FALSE)),"",INT(VLOOKUP($AB7&amp;"-"&amp;$E7&amp;" "&amp;$F7,Bonuses!$B$1:$G$1006,4,FALSE)))</f>
        <v/>
      </c>
      <c r="AE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1.3 (3) - SP Karst Koninck</v>
      </c>
    </row>
    <row r="8" spans="1:31" s="50" customFormat="1" x14ac:dyDescent="0.25">
      <c r="A8" s="68">
        <v>18417</v>
      </c>
      <c r="B8" s="69">
        <f>COUNTIF(Table5[PID],A8)</f>
        <v>1</v>
      </c>
      <c r="C8" s="69" t="str">
        <f>IF(COUNTIF(Table3[[#All],[PID]],A8)&gt;0,"P","B")</f>
        <v>P</v>
      </c>
      <c r="D8" s="59" t="str">
        <f>IF($C8="B",INDEX(Batters[[#All],[POS]],MATCH(Table5[[#This Row],[PID]],Batters[[#All],[PID]],0)),INDEX(Table3[[#All],[POS]],MATCH(Table5[[#This Row],[PID]],Table3[[#All],[PID]],0)))</f>
        <v>SP</v>
      </c>
      <c r="E8" s="52" t="str">
        <f>IF($C8="B",INDEX(Batters[[#All],[First]],MATCH(Table5[[#This Row],[PID]],Batters[[#All],[PID]],0)),INDEX(Table3[[#All],[First]],MATCH(Table5[[#This Row],[PID]],Table3[[#All],[PID]],0)))</f>
        <v>Karel</v>
      </c>
      <c r="F8" s="55" t="str">
        <f>IF($C8="B",INDEX(Batters[[#All],[Last]],MATCH(A8,Batters[[#All],[PID]],0)),INDEX(Table3[[#All],[Last]],MATCH(A8,Table3[[#All],[PID]],0)))</f>
        <v>Rietkerk</v>
      </c>
      <c r="G8" s="56">
        <f>IF($C8="B",INDEX(Batters[[#All],[Age]],MATCH(Table5[[#This Row],[PID]],Batters[[#All],[PID]],0)),INDEX(Table3[[#All],[Age]],MATCH(Table5[[#This Row],[PID]],Table3[[#All],[PID]],0)))</f>
        <v>18</v>
      </c>
      <c r="H8" s="52" t="str">
        <f>IF($C8="B",INDEX(Batters[[#All],[B]],MATCH(Table5[[#This Row],[PID]],Batters[[#All],[PID]],0)),INDEX(Table3[[#All],[B]],MATCH(Table5[[#This Row],[PID]],Table3[[#All],[PID]],0)))</f>
        <v>S</v>
      </c>
      <c r="I8" s="52" t="str">
        <f>IF($C8="B",INDEX(Batters[[#All],[T]],MATCH(Table5[[#This Row],[PID]],Batters[[#All],[PID]],0)),INDEX(Table3[[#All],[T]],MATCH(Table5[[#This Row],[PID]],Table3[[#All],[PID]],0)))</f>
        <v>R</v>
      </c>
      <c r="J8" s="71" t="str">
        <f>IF($C8="B",INDEX(Batters[[#All],[WE]],MATCH(Table5[[#This Row],[PID]],Batters[[#All],[PID]],0)),INDEX(Table3[[#All],[WE]],MATCH(Table5[[#This Row],[PID]],Table3[[#All],[PID]],0)))</f>
        <v>Normal</v>
      </c>
      <c r="K8" s="52" t="str">
        <f>IF($C8="B",INDEX(Batters[[#All],[INT]],MATCH(Table5[[#This Row],[PID]],Batters[[#All],[PID]],0)),INDEX(Table3[[#All],[INT]],MATCH(Table5[[#This Row],[PID]],Table3[[#All],[PID]],0)))</f>
        <v>Normal</v>
      </c>
      <c r="L8" s="60">
        <f>IF($C8="B",INDEX(Batters[[#All],[CON P]],MATCH(Table5[[#This Row],[PID]],Batters[[#All],[PID]],0)),INDEX(Table3[[#All],[STU P]],MATCH(Table5[[#This Row],[PID]],Table3[[#All],[PID]],0)))</f>
        <v>7</v>
      </c>
      <c r="M8" s="72">
        <f>IF($C8="B",INDEX(Batters[[#All],[GAP P]],MATCH(Table5[[#This Row],[PID]],Batters[[#All],[PID]],0)),INDEX(Table3[[#All],[MOV P]],MATCH(Table5[[#This Row],[PID]],Table3[[#All],[PID]],0)))</f>
        <v>7</v>
      </c>
      <c r="N8" s="72">
        <f>IF($C8="B",INDEX(Batters[[#All],[POW P]],MATCH(Table5[[#This Row],[PID]],Batters[[#All],[PID]],0)),INDEX(Table3[[#All],[CON P]],MATCH(Table5[[#This Row],[PID]],Table3[[#All],[PID]],0)))</f>
        <v>5</v>
      </c>
      <c r="O8" s="72" t="str">
        <f>IF($C8="B",INDEX(Batters[[#All],[EYE P]],MATCH(Table5[[#This Row],[PID]],Batters[[#All],[PID]],0)),INDEX(Table3[[#All],[VELO]],MATCH(Table5[[#This Row],[PID]],Table3[[#All],[PID]],0)))</f>
        <v>98-100 Mph</v>
      </c>
      <c r="P8" s="56">
        <f>IF($C8="B",INDEX(Batters[[#All],[K P]],MATCH(Table5[[#This Row],[PID]],Batters[[#All],[PID]],0)),INDEX(Table3[[#All],[STM]],MATCH(Table5[[#This Row],[PID]],Table3[[#All],[PID]],0)))</f>
        <v>8</v>
      </c>
      <c r="Q8" s="61">
        <f>IF($C8="B",INDEX(Batters[[#All],[Tot]],MATCH(Table5[[#This Row],[PID]],Batters[[#All],[PID]],0)),INDEX(Table3[[#All],[Tot]],MATCH(Table5[[#This Row],[PID]],Table3[[#All],[PID]],0)))</f>
        <v>82.405058339269644</v>
      </c>
      <c r="R8" s="52">
        <f>IF($C8="B",INDEX(Batters[[#All],[zScore]],MATCH(Table5[[#This Row],[PID]],Batters[[#All],[PID]],0)),INDEX(Table3[[#All],[zScore]],MATCH(Table5[[#This Row],[PID]],Table3[[#All],[PID]],0)))</f>
        <v>3.0958713238404938</v>
      </c>
      <c r="S8" s="78" t="str">
        <f>IF($C8="B",INDEX(Batters[[#All],[DEM]],MATCH(Table5[[#This Row],[PID]],Batters[[#All],[PID]],0)),INDEX(Table3[[#All],[DEM]],MATCH(Table5[[#This Row],[PID]],Table3[[#All],[PID]],0)))</f>
        <v>$3.4m</v>
      </c>
      <c r="T8" s="75">
        <f>IF($C8="B",INDEX(Batters[[#All],[Rnk]],MATCH(Table5[[#This Row],[PID]],Batters[[#All],[PID]],0)),INDEX(Table3[[#All],[Rnk]],MATCH(Table5[[#This Row],[PID]],Table3[[#All],[PID]],0)))</f>
        <v>2</v>
      </c>
      <c r="U8" s="68">
        <f>IF($C8="B",VLOOKUP($A8,Bat!$A$4:$BA$1621,47,FALSE),VLOOKUP($A8,Pit!$A$4:$BF$1557,56,FALSE))</f>
        <v>0</v>
      </c>
      <c r="V8" s="50">
        <f>IF($C8="B",VLOOKUP($A8,Bat!$A$4:$BA$1621,48,FALSE),VLOOKUP($A8,Pit!$A$4:$BF$1557,57,FALSE))</f>
        <v>0</v>
      </c>
      <c r="W8" s="69">
        <f>Table5[[#This Row],[posRnk]]+Table5[[#This Row],[zRnk]]+IF($W$3&lt;&gt;Table5[[#This Row],[Type]],50,0)</f>
        <v>58</v>
      </c>
      <c r="X8" s="73">
        <f>RANK(Table5[[#This Row],[zScore]],Table5[[#All],[zScore]])</f>
        <v>6</v>
      </c>
      <c r="Y8" s="69">
        <f>IFERROR(INDEX(DraftResults[[#All],[OVR]],MATCH(Table5[[#This Row],[PID]],DraftResults[[#All],[Player ID]],0)),"")</f>
        <v>4</v>
      </c>
      <c r="Z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8" s="69">
        <f>IFERROR(INDEX(DraftResults[[#All],[Pick in Round]],MATCH(Table5[[#This Row],[PID]],DraftResults[[#All],[Player ID]],0)),"")</f>
        <v>4</v>
      </c>
      <c r="AB8" s="69" t="str">
        <f>IFERROR(INDEX(DraftResults[[#All],[Team Name]],MATCH(Table5[[#This Row],[PID]],DraftResults[[#All],[Player ID]],0)),"")</f>
        <v>Tempe Knights</v>
      </c>
      <c r="AC8" s="69">
        <f>IF(Table5[[#This Row],[Ovr]]="","",IF(Table5[[#This Row],[cmbList]]="","",Table5[[#This Row],[cmbList]]-Table5[[#This Row],[Ovr]]))</f>
        <v>54</v>
      </c>
      <c r="AD8" s="77" t="str">
        <f>IF(ISERROR(VLOOKUP($AB8&amp;"-"&amp;$E8&amp;" "&amp;F8,Bonuses!$B$1:$G$1006,4,FALSE)),"",INT(VLOOKUP($AB8&amp;"-"&amp;$E8&amp;" "&amp;$F8,Bonuses!$B$1:$G$1006,4,FALSE)))</f>
        <v/>
      </c>
      <c r="AE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1.4 (4) - SP Karel Rietkerk</v>
      </c>
    </row>
    <row r="9" spans="1:31" s="50" customFormat="1" x14ac:dyDescent="0.25">
      <c r="A9" s="68">
        <v>18393</v>
      </c>
      <c r="B9" s="69">
        <f>COUNTIF(Table5[PID],A9)</f>
        <v>1</v>
      </c>
      <c r="C9" s="69" t="str">
        <f>IF(COUNTIF(Table3[[#All],[PID]],A9)&gt;0,"P","B")</f>
        <v>P</v>
      </c>
      <c r="D9" s="59" t="str">
        <f>IF($C9="B",INDEX(Batters[[#All],[POS]],MATCH(Table5[[#This Row],[PID]],Batters[[#All],[PID]],0)),INDEX(Table3[[#All],[POS]],MATCH(Table5[[#This Row],[PID]],Table3[[#All],[PID]],0)))</f>
        <v>SP</v>
      </c>
      <c r="E9" s="52" t="str">
        <f>IF($C9="B",INDEX(Batters[[#All],[First]],MATCH(Table5[[#This Row],[PID]],Batters[[#All],[PID]],0)),INDEX(Table3[[#All],[First]],MATCH(Table5[[#This Row],[PID]],Table3[[#All],[PID]],0)))</f>
        <v>Finlay</v>
      </c>
      <c r="F9" s="55" t="str">
        <f>IF($C9="B",INDEX(Batters[[#All],[Last]],MATCH(A9,Batters[[#All],[PID]],0)),INDEX(Table3[[#All],[Last]],MATCH(A9,Table3[[#All],[PID]],0)))</f>
        <v>MacEwan</v>
      </c>
      <c r="G9" s="56">
        <f>IF($C9="B",INDEX(Batters[[#All],[Age]],MATCH(Table5[[#This Row],[PID]],Batters[[#All],[PID]],0)),INDEX(Table3[[#All],[Age]],MATCH(Table5[[#This Row],[PID]],Table3[[#All],[PID]],0)))</f>
        <v>18</v>
      </c>
      <c r="H9" s="52" t="str">
        <f>IF($C9="B",INDEX(Batters[[#All],[B]],MATCH(Table5[[#This Row],[PID]],Batters[[#All],[PID]],0)),INDEX(Table3[[#All],[B]],MATCH(Table5[[#This Row],[PID]],Table3[[#All],[PID]],0)))</f>
        <v>S</v>
      </c>
      <c r="I9" s="52" t="str">
        <f>IF($C9="B",INDEX(Batters[[#All],[T]],MATCH(Table5[[#This Row],[PID]],Batters[[#All],[PID]],0)),INDEX(Table3[[#All],[T]],MATCH(Table5[[#This Row],[PID]],Table3[[#All],[PID]],0)))</f>
        <v>R</v>
      </c>
      <c r="J9" s="71" t="str">
        <f>IF($C9="B",INDEX(Batters[[#All],[WE]],MATCH(Table5[[#This Row],[PID]],Batters[[#All],[PID]],0)),INDEX(Table3[[#All],[WE]],MATCH(Table5[[#This Row],[PID]],Table3[[#All],[PID]],0)))</f>
        <v>Normal</v>
      </c>
      <c r="K9" s="52" t="str">
        <f>IF($C9="B",INDEX(Batters[[#All],[INT]],MATCH(Table5[[#This Row],[PID]],Batters[[#All],[PID]],0)),INDEX(Table3[[#All],[INT]],MATCH(Table5[[#This Row],[PID]],Table3[[#All],[PID]],0)))</f>
        <v>Normal</v>
      </c>
      <c r="L9" s="60">
        <f>IF($C9="B",INDEX(Batters[[#All],[CON P]],MATCH(Table5[[#This Row],[PID]],Batters[[#All],[PID]],0)),INDEX(Table3[[#All],[STU P]],MATCH(Table5[[#This Row],[PID]],Table3[[#All],[PID]],0)))</f>
        <v>7</v>
      </c>
      <c r="M9" s="72">
        <f>IF($C9="B",INDEX(Batters[[#All],[GAP P]],MATCH(Table5[[#This Row],[PID]],Batters[[#All],[PID]],0)),INDEX(Table3[[#All],[MOV P]],MATCH(Table5[[#This Row],[PID]],Table3[[#All],[PID]],0)))</f>
        <v>6</v>
      </c>
      <c r="N9" s="72">
        <f>IF($C9="B",INDEX(Batters[[#All],[POW P]],MATCH(Table5[[#This Row],[PID]],Batters[[#All],[PID]],0)),INDEX(Table3[[#All],[CON P]],MATCH(Table5[[#This Row],[PID]],Table3[[#All],[PID]],0)))</f>
        <v>4</v>
      </c>
      <c r="O9" s="72" t="str">
        <f>IF($C9="B",INDEX(Batters[[#All],[EYE P]],MATCH(Table5[[#This Row],[PID]],Batters[[#All],[PID]],0)),INDEX(Table3[[#All],[VELO]],MATCH(Table5[[#This Row],[PID]],Table3[[#All],[PID]],0)))</f>
        <v>93-95 Mph</v>
      </c>
      <c r="P9" s="56">
        <f>IF($C9="B",INDEX(Batters[[#All],[K P]],MATCH(Table5[[#This Row],[PID]],Batters[[#All],[PID]],0)),INDEX(Table3[[#All],[STM]],MATCH(Table5[[#This Row],[PID]],Table3[[#All],[PID]],0)))</f>
        <v>8</v>
      </c>
      <c r="Q9" s="61">
        <f>IF($C9="B",INDEX(Batters[[#All],[Tot]],MATCH(Table5[[#This Row],[PID]],Batters[[#All],[PID]],0)),INDEX(Table3[[#All],[Tot]],MATCH(Table5[[#This Row],[PID]],Table3[[#All],[PID]],0)))</f>
        <v>69.590810843461298</v>
      </c>
      <c r="R9" s="52">
        <f>IF($C9="B",INDEX(Batters[[#All],[zScore]],MATCH(Table5[[#This Row],[PID]],Batters[[#All],[PID]],0)),INDEX(Table3[[#All],[zScore]],MATCH(Table5[[#This Row],[PID]],Table3[[#All],[PID]],0)))</f>
        <v>2.2433590195092679</v>
      </c>
      <c r="S9" s="78" t="str">
        <f>IF($C9="B",INDEX(Batters[[#All],[DEM]],MATCH(Table5[[#This Row],[PID]],Batters[[#All],[PID]],0)),INDEX(Table3[[#All],[DEM]],MATCH(Table5[[#This Row],[PID]],Table3[[#All],[PID]],0)))</f>
        <v>$3.0m</v>
      </c>
      <c r="T9" s="75">
        <f>IF($C9="B",INDEX(Batters[[#All],[Rnk]],MATCH(Table5[[#This Row],[PID]],Batters[[#All],[PID]],0)),INDEX(Table3[[#All],[Rnk]],MATCH(Table5[[#This Row],[PID]],Table3[[#All],[PID]],0)))</f>
        <v>17</v>
      </c>
      <c r="U9" s="68">
        <f>IF($C9="B",VLOOKUP($A9,Bat!$A$4:$BA$1621,47,FALSE),VLOOKUP($A9,Pit!$A$4:$BF$1557,56,FALSE))</f>
        <v>0</v>
      </c>
      <c r="V9" s="50">
        <f>IF($C9="B",VLOOKUP($A9,Bat!$A$4:$BA$1621,48,FALSE),VLOOKUP($A9,Pit!$A$4:$BF$1557,57,FALSE))</f>
        <v>0</v>
      </c>
      <c r="W9" s="69">
        <f>Table5[[#This Row],[posRnk]]+Table5[[#This Row],[zRnk]]+IF($W$3&lt;&gt;Table5[[#This Row],[Type]],50,0)</f>
        <v>97</v>
      </c>
      <c r="X9" s="73">
        <f>RANK(Table5[[#This Row],[zScore]],Table5[[#All],[zScore]])</f>
        <v>30</v>
      </c>
      <c r="Y9" s="69">
        <f>IFERROR(INDEX(DraftResults[[#All],[OVR]],MATCH(Table5[[#This Row],[PID]],DraftResults[[#All],[Player ID]],0)),"")</f>
        <v>5</v>
      </c>
      <c r="Z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9" s="69">
        <f>IFERROR(INDEX(DraftResults[[#All],[Pick in Round]],MATCH(Table5[[#This Row],[PID]],DraftResults[[#All],[Player ID]],0)),"")</f>
        <v>5</v>
      </c>
      <c r="AB9" s="69" t="str">
        <f>IFERROR(INDEX(DraftResults[[#All],[Team Name]],MATCH(Table5[[#This Row],[PID]],DraftResults[[#All],[Player ID]],0)),"")</f>
        <v>Charleston Statesmen</v>
      </c>
      <c r="AC9" s="69">
        <f>IF(Table5[[#This Row],[Ovr]]="","",IF(Table5[[#This Row],[cmbList]]="","",Table5[[#This Row],[cmbList]]-Table5[[#This Row],[Ovr]]))</f>
        <v>92</v>
      </c>
      <c r="AD9" s="77" t="str">
        <f>IF(ISERROR(VLOOKUP($AB9&amp;"-"&amp;$E9&amp;" "&amp;F9,Bonuses!$B$1:$G$1006,4,FALSE)),"",INT(VLOOKUP($AB9&amp;"-"&amp;$E9&amp;" "&amp;$F9,Bonuses!$B$1:$G$1006,4,FALSE)))</f>
        <v/>
      </c>
      <c r="AE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1.5 (5) - SP Finlay MacEwan</v>
      </c>
    </row>
    <row r="10" spans="1:31" s="50" customFormat="1" x14ac:dyDescent="0.25">
      <c r="A10" s="68">
        <v>18149</v>
      </c>
      <c r="B10" s="69">
        <f>COUNTIF(Table5[PID],A10)</f>
        <v>1</v>
      </c>
      <c r="C10" s="69" t="str">
        <f>IF(COUNTIF(Table3[[#All],[PID]],A10)&gt;0,"P","B")</f>
        <v>P</v>
      </c>
      <c r="D10" s="59" t="str">
        <f>IF($C10="B",INDEX(Batters[[#All],[POS]],MATCH(Table5[[#This Row],[PID]],Batters[[#All],[PID]],0)),INDEX(Table3[[#All],[POS]],MATCH(Table5[[#This Row],[PID]],Table3[[#All],[PID]],0)))</f>
        <v>SP</v>
      </c>
      <c r="E10" s="52" t="str">
        <f>IF($C10="B",INDEX(Batters[[#All],[First]],MATCH(Table5[[#This Row],[PID]],Batters[[#All],[PID]],0)),INDEX(Table3[[#All],[First]],MATCH(Table5[[#This Row],[PID]],Table3[[#All],[PID]],0)))</f>
        <v>Phil</v>
      </c>
      <c r="F10" s="55" t="str">
        <f>IF($C10="B",INDEX(Batters[[#All],[Last]],MATCH(A10,Batters[[#All],[PID]],0)),INDEX(Table3[[#All],[Last]],MATCH(A10,Table3[[#All],[PID]],0)))</f>
        <v>Warren</v>
      </c>
      <c r="G10" s="56">
        <f>IF($C10="B",INDEX(Batters[[#All],[Age]],MATCH(Table5[[#This Row],[PID]],Batters[[#All],[PID]],0)),INDEX(Table3[[#All],[Age]],MATCH(Table5[[#This Row],[PID]],Table3[[#All],[PID]],0)))</f>
        <v>21</v>
      </c>
      <c r="H10" s="52" t="str">
        <f>IF($C10="B",INDEX(Batters[[#All],[B]],MATCH(Table5[[#This Row],[PID]],Batters[[#All],[PID]],0)),INDEX(Table3[[#All],[B]],MATCH(Table5[[#This Row],[PID]],Table3[[#All],[PID]],0)))</f>
        <v>L</v>
      </c>
      <c r="I10" s="52" t="str">
        <f>IF($C10="B",INDEX(Batters[[#All],[T]],MATCH(Table5[[#This Row],[PID]],Batters[[#All],[PID]],0)),INDEX(Table3[[#All],[T]],MATCH(Table5[[#This Row],[PID]],Table3[[#All],[PID]],0)))</f>
        <v>R</v>
      </c>
      <c r="J10" s="71" t="str">
        <f>IF($C10="B",INDEX(Batters[[#All],[WE]],MATCH(Table5[[#This Row],[PID]],Batters[[#All],[PID]],0)),INDEX(Table3[[#All],[WE]],MATCH(Table5[[#This Row],[PID]],Table3[[#All],[PID]],0)))</f>
        <v>Normal</v>
      </c>
      <c r="K10" s="52" t="str">
        <f>IF($C10="B",INDEX(Batters[[#All],[INT]],MATCH(Table5[[#This Row],[PID]],Batters[[#All],[PID]],0)),INDEX(Table3[[#All],[INT]],MATCH(Table5[[#This Row],[PID]],Table3[[#All],[PID]],0)))</f>
        <v>Normal</v>
      </c>
      <c r="L10" s="60">
        <f>IF($C10="B",INDEX(Batters[[#All],[CON P]],MATCH(Table5[[#This Row],[PID]],Batters[[#All],[PID]],0)),INDEX(Table3[[#All],[STU P]],MATCH(Table5[[#This Row],[PID]],Table3[[#All],[PID]],0)))</f>
        <v>7</v>
      </c>
      <c r="M10" s="72">
        <f>IF($C10="B",INDEX(Batters[[#All],[GAP P]],MATCH(Table5[[#This Row],[PID]],Batters[[#All],[PID]],0)),INDEX(Table3[[#All],[MOV P]],MATCH(Table5[[#This Row],[PID]],Table3[[#All],[PID]],0)))</f>
        <v>5</v>
      </c>
      <c r="N10" s="72">
        <f>IF($C10="B",INDEX(Batters[[#All],[POW P]],MATCH(Table5[[#This Row],[PID]],Batters[[#All],[PID]],0)),INDEX(Table3[[#All],[CON P]],MATCH(Table5[[#This Row],[PID]],Table3[[#All],[PID]],0)))</f>
        <v>7</v>
      </c>
      <c r="O10" s="72" t="str">
        <f>IF($C10="B",INDEX(Batters[[#All],[EYE P]],MATCH(Table5[[#This Row],[PID]],Batters[[#All],[PID]],0)),INDEX(Table3[[#All],[VELO]],MATCH(Table5[[#This Row],[PID]],Table3[[#All],[PID]],0)))</f>
        <v>97-99 Mph</v>
      </c>
      <c r="P10" s="56">
        <f>IF($C10="B",INDEX(Batters[[#All],[K P]],MATCH(Table5[[#This Row],[PID]],Batters[[#All],[PID]],0)),INDEX(Table3[[#All],[STM]],MATCH(Table5[[#This Row],[PID]],Table3[[#All],[PID]],0)))</f>
        <v>7</v>
      </c>
      <c r="Q10" s="61">
        <f>IF($C10="B",INDEX(Batters[[#All],[Tot]],MATCH(Table5[[#This Row],[PID]],Batters[[#All],[PID]],0)),INDEX(Table3[[#All],[Tot]],MATCH(Table5[[#This Row],[PID]],Table3[[#All],[PID]],0)))</f>
        <v>76.931570281239672</v>
      </c>
      <c r="R10" s="52">
        <f>IF($C10="B",INDEX(Batters[[#All],[zScore]],MATCH(Table5[[#This Row],[PID]],Batters[[#All],[PID]],0)),INDEX(Table3[[#All],[zScore]],MATCH(Table5[[#This Row],[PID]],Table3[[#All],[PID]],0)))</f>
        <v>2.7317285274252585</v>
      </c>
      <c r="S10" s="78" t="str">
        <f>IF($C10="B",INDEX(Batters[[#All],[DEM]],MATCH(Table5[[#This Row],[PID]],Batters[[#All],[PID]],0)),INDEX(Table3[[#All],[DEM]],MATCH(Table5[[#This Row],[PID]],Table3[[#All],[PID]],0)))</f>
        <v>$1.7m</v>
      </c>
      <c r="T10" s="75">
        <f>IF($C10="B",INDEX(Batters[[#All],[Rnk]],MATCH(Table5[[#This Row],[PID]],Batters[[#All],[PID]],0)),INDEX(Table3[[#All],[Rnk]],MATCH(Table5[[#This Row],[PID]],Table3[[#All],[PID]],0)))</f>
        <v>3</v>
      </c>
      <c r="U10" s="68">
        <f>IF($C10="B",VLOOKUP($A10,Bat!$A$4:$BA$1621,47,FALSE),VLOOKUP($A10,Pit!$A$4:$BF$1557,56,FALSE))</f>
        <v>0</v>
      </c>
      <c r="V10" s="50">
        <f>IF($C10="B",VLOOKUP($A10,Bat!$A$4:$BA$1621,48,FALSE),VLOOKUP($A10,Pit!$A$4:$BF$1557,57,FALSE))</f>
        <v>0</v>
      </c>
      <c r="W10" s="69">
        <f>Table5[[#This Row],[posRnk]]+Table5[[#This Row],[zRnk]]+IF($W$3&lt;&gt;Table5[[#This Row],[Type]],50,0)</f>
        <v>64</v>
      </c>
      <c r="X10" s="73">
        <f>RANK(Table5[[#This Row],[zScore]],Table5[[#All],[zScore]])</f>
        <v>11</v>
      </c>
      <c r="Y10" s="69">
        <f>IFERROR(INDEX(DraftResults[[#All],[OVR]],MATCH(Table5[[#This Row],[PID]],DraftResults[[#All],[Player ID]],0)),"")</f>
        <v>6</v>
      </c>
      <c r="Z1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0" s="69">
        <f>IFERROR(INDEX(DraftResults[[#All],[Pick in Round]],MATCH(Table5[[#This Row],[PID]],DraftResults[[#All],[Player ID]],0)),"")</f>
        <v>6</v>
      </c>
      <c r="AB10" s="69" t="str">
        <f>IFERROR(INDEX(DraftResults[[#All],[Team Name]],MATCH(Table5[[#This Row],[PID]],DraftResults[[#All],[Player ID]],0)),"")</f>
        <v>Manchester Maulers</v>
      </c>
      <c r="AC10" s="69">
        <f>IF(Table5[[#This Row],[Ovr]]="","",IF(Table5[[#This Row],[cmbList]]="","",Table5[[#This Row],[cmbList]]-Table5[[#This Row],[Ovr]]))</f>
        <v>58</v>
      </c>
      <c r="AD10" s="77" t="str">
        <f>IF(ISERROR(VLOOKUP($AB10&amp;"-"&amp;$E10&amp;" "&amp;F10,Bonuses!$B$1:$G$1006,4,FALSE)),"",INT(VLOOKUP($AB10&amp;"-"&amp;$E10&amp;" "&amp;$F10,Bonuses!$B$1:$G$1006,4,FALSE)))</f>
        <v/>
      </c>
      <c r="AE1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1.6 (6) - SP Phil Warren</v>
      </c>
    </row>
    <row r="11" spans="1:31" s="50" customFormat="1" x14ac:dyDescent="0.25">
      <c r="A11" s="68">
        <v>18331</v>
      </c>
      <c r="B11" s="69">
        <f>COUNTIF(Table5[PID],A11)</f>
        <v>1</v>
      </c>
      <c r="C11" s="69" t="str">
        <f>IF(COUNTIF(Table3[[#All],[PID]],A11)&gt;0,"P","B")</f>
        <v>P</v>
      </c>
      <c r="D11" s="59" t="str">
        <f>IF($C11="B",INDEX(Batters[[#All],[POS]],MATCH(Table5[[#This Row],[PID]],Batters[[#All],[PID]],0)),INDEX(Table3[[#All],[POS]],MATCH(Table5[[#This Row],[PID]],Table3[[#All],[PID]],0)))</f>
        <v>SP</v>
      </c>
      <c r="E11" s="52" t="str">
        <f>IF($C11="B",INDEX(Batters[[#All],[First]],MATCH(Table5[[#This Row],[PID]],Batters[[#All],[PID]],0)),INDEX(Table3[[#All],[First]],MATCH(Table5[[#This Row],[PID]],Table3[[#All],[PID]],0)))</f>
        <v>Gonzalo</v>
      </c>
      <c r="F11" s="55" t="str">
        <f>IF($C11="B",INDEX(Batters[[#All],[Last]],MATCH(A11,Batters[[#All],[PID]],0)),INDEX(Table3[[#All],[Last]],MATCH(A11,Table3[[#All],[PID]],0)))</f>
        <v>Reyna</v>
      </c>
      <c r="G11" s="56">
        <f>IF($C11="B",INDEX(Batters[[#All],[Age]],MATCH(Table5[[#This Row],[PID]],Batters[[#All],[PID]],0)),INDEX(Table3[[#All],[Age]],MATCH(Table5[[#This Row],[PID]],Table3[[#All],[PID]],0)))</f>
        <v>18</v>
      </c>
      <c r="H11" s="52" t="str">
        <f>IF($C11="B",INDEX(Batters[[#All],[B]],MATCH(Table5[[#This Row],[PID]],Batters[[#All],[PID]],0)),INDEX(Table3[[#All],[B]],MATCH(Table5[[#This Row],[PID]],Table3[[#All],[PID]],0)))</f>
        <v>R</v>
      </c>
      <c r="I11" s="52" t="str">
        <f>IF($C11="B",INDEX(Batters[[#All],[T]],MATCH(Table5[[#This Row],[PID]],Batters[[#All],[PID]],0)),INDEX(Table3[[#All],[T]],MATCH(Table5[[#This Row],[PID]],Table3[[#All],[PID]],0)))</f>
        <v>R</v>
      </c>
      <c r="J11" s="71" t="str">
        <f>IF($C11="B",INDEX(Batters[[#All],[WE]],MATCH(Table5[[#This Row],[PID]],Batters[[#All],[PID]],0)),INDEX(Table3[[#All],[WE]],MATCH(Table5[[#This Row],[PID]],Table3[[#All],[PID]],0)))</f>
        <v>Normal</v>
      </c>
      <c r="K11" s="52" t="str">
        <f>IF($C11="B",INDEX(Batters[[#All],[INT]],MATCH(Table5[[#This Row],[PID]],Batters[[#All],[PID]],0)),INDEX(Table3[[#All],[INT]],MATCH(Table5[[#This Row],[PID]],Table3[[#All],[PID]],0)))</f>
        <v>Normal</v>
      </c>
      <c r="L11" s="60">
        <f>IF($C11="B",INDEX(Batters[[#All],[CON P]],MATCH(Table5[[#This Row],[PID]],Batters[[#All],[PID]],0)),INDEX(Table3[[#All],[STU P]],MATCH(Table5[[#This Row],[PID]],Table3[[#All],[PID]],0)))</f>
        <v>6</v>
      </c>
      <c r="M11" s="72">
        <f>IF($C11="B",INDEX(Batters[[#All],[GAP P]],MATCH(Table5[[#This Row],[PID]],Batters[[#All],[PID]],0)),INDEX(Table3[[#All],[MOV P]],MATCH(Table5[[#This Row],[PID]],Table3[[#All],[PID]],0)))</f>
        <v>6</v>
      </c>
      <c r="N11" s="72">
        <f>IF($C11="B",INDEX(Batters[[#All],[POW P]],MATCH(Table5[[#This Row],[PID]],Batters[[#All],[PID]],0)),INDEX(Table3[[#All],[CON P]],MATCH(Table5[[#This Row],[PID]],Table3[[#All],[PID]],0)))</f>
        <v>6</v>
      </c>
      <c r="O11" s="72" t="str">
        <f>IF($C11="B",INDEX(Batters[[#All],[EYE P]],MATCH(Table5[[#This Row],[PID]],Batters[[#All],[PID]],0)),INDEX(Table3[[#All],[VELO]],MATCH(Table5[[#This Row],[PID]],Table3[[#All],[PID]],0)))</f>
        <v>95-97 Mph</v>
      </c>
      <c r="P11" s="56">
        <f>IF($C11="B",INDEX(Batters[[#All],[K P]],MATCH(Table5[[#This Row],[PID]],Batters[[#All],[PID]],0)),INDEX(Table3[[#All],[STM]],MATCH(Table5[[#This Row],[PID]],Table3[[#All],[PID]],0)))</f>
        <v>10</v>
      </c>
      <c r="Q11" s="61">
        <f>IF($C11="B",INDEX(Batters[[#All],[Tot]],MATCH(Table5[[#This Row],[PID]],Batters[[#All],[PID]],0)),INDEX(Table3[[#All],[Tot]],MATCH(Table5[[#This Row],[PID]],Table3[[#All],[PID]],0)))</f>
        <v>76.200573466973268</v>
      </c>
      <c r="R11" s="52">
        <f>IF($C11="B",INDEX(Batters[[#All],[zScore]],MATCH(Table5[[#This Row],[PID]],Batters[[#All],[PID]],0)),INDEX(Table3[[#All],[zScore]],MATCH(Table5[[#This Row],[PID]],Table3[[#All],[PID]],0)))</f>
        <v>2.6830964264148101</v>
      </c>
      <c r="S11" s="78" t="str">
        <f>IF($C11="B",INDEX(Batters[[#All],[DEM]],MATCH(Table5[[#This Row],[PID]],Batters[[#All],[PID]],0)),INDEX(Table3[[#All],[DEM]],MATCH(Table5[[#This Row],[PID]],Table3[[#All],[PID]],0)))</f>
        <v>$3.2m</v>
      </c>
      <c r="T11" s="75">
        <f>IF($C11="B",INDEX(Batters[[#All],[Rnk]],MATCH(Table5[[#This Row],[PID]],Batters[[#All],[PID]],0)),INDEX(Table3[[#All],[Rnk]],MATCH(Table5[[#This Row],[PID]],Table3[[#All],[PID]],0)))</f>
        <v>5</v>
      </c>
      <c r="U11" s="68">
        <f>IF($C11="B",VLOOKUP($A11,Bat!$A$4:$BA$1621,47,FALSE),VLOOKUP($A11,Pit!$A$4:$BF$1557,56,FALSE))</f>
        <v>0</v>
      </c>
      <c r="V11" s="50">
        <f>IF($C11="B",VLOOKUP($A11,Bat!$A$4:$BA$1621,48,FALSE),VLOOKUP($A11,Pit!$A$4:$BF$1557,57,FALSE))</f>
        <v>0</v>
      </c>
      <c r="W11" s="69">
        <f>Table5[[#This Row],[posRnk]]+Table5[[#This Row],[zRnk]]+IF($W$3&lt;&gt;Table5[[#This Row],[Type]],50,0)</f>
        <v>68</v>
      </c>
      <c r="X11" s="73">
        <f>RANK(Table5[[#This Row],[zScore]],Table5[[#All],[zScore]])</f>
        <v>13</v>
      </c>
      <c r="Y11" s="69">
        <f>IFERROR(INDEX(DraftResults[[#All],[OVR]],MATCH(Table5[[#This Row],[PID]],DraftResults[[#All],[Player ID]],0)),"")</f>
        <v>7</v>
      </c>
      <c r="Z1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1" s="69">
        <f>IFERROR(INDEX(DraftResults[[#All],[Pick in Round]],MATCH(Table5[[#This Row],[PID]],DraftResults[[#All],[Player ID]],0)),"")</f>
        <v>7</v>
      </c>
      <c r="AB11" s="69" t="str">
        <f>IFERROR(INDEX(DraftResults[[#All],[Team Name]],MATCH(Table5[[#This Row],[PID]],DraftResults[[#All],[Player ID]],0)),"")</f>
        <v>West Virginia Alleghenies</v>
      </c>
      <c r="AC11" s="69">
        <f>IF(Table5[[#This Row],[Ovr]]="","",IF(Table5[[#This Row],[cmbList]]="","",Table5[[#This Row],[cmbList]]-Table5[[#This Row],[Ovr]]))</f>
        <v>61</v>
      </c>
      <c r="AD11" s="77" t="str">
        <f>IF(ISERROR(VLOOKUP($AB11&amp;"-"&amp;$E11&amp;" "&amp;F11,Bonuses!$B$1:$G$1006,4,FALSE)),"",INT(VLOOKUP($AB11&amp;"-"&amp;$E11&amp;" "&amp;$F11,Bonuses!$B$1:$G$1006,4,FALSE)))</f>
        <v/>
      </c>
      <c r="AE1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1.7 (7) - SP Gonzalo Reyna</v>
      </c>
    </row>
    <row r="12" spans="1:31" s="50" customFormat="1" x14ac:dyDescent="0.25">
      <c r="A12" s="50">
        <v>18420</v>
      </c>
      <c r="B12" s="50">
        <f>COUNTIF(Table5[PID],A12)</f>
        <v>1</v>
      </c>
      <c r="C12" s="50" t="str">
        <f>IF(COUNTIF(Table3[[#All],[PID]],A12)&gt;0,"P","B")</f>
        <v>B</v>
      </c>
      <c r="D12" s="59" t="str">
        <f>IF($C12="B",INDEX(Batters[[#All],[POS]],MATCH(Table5[[#This Row],[PID]],Batters[[#All],[PID]],0)),INDEX(Table3[[#All],[POS]],MATCH(Table5[[#This Row],[PID]],Table3[[#All],[PID]],0)))</f>
        <v>CF</v>
      </c>
      <c r="E12" s="52" t="str">
        <f>IF($C12="B",INDEX(Batters[[#All],[First]],MATCH(Table5[[#This Row],[PID]],Batters[[#All],[PID]],0)),INDEX(Table3[[#All],[First]],MATCH(Table5[[#This Row],[PID]],Table3[[#All],[PID]],0)))</f>
        <v>Zak</v>
      </c>
      <c r="F12" s="50" t="str">
        <f>IF($C12="B",INDEX(Batters[[#All],[Last]],MATCH(A12,Batters[[#All],[PID]],0)),INDEX(Table3[[#All],[Last]],MATCH(A12,Table3[[#All],[PID]],0)))</f>
        <v>Osmond</v>
      </c>
      <c r="G12" s="56">
        <f>IF($C12="B",INDEX(Batters[[#All],[Age]],MATCH(Table5[[#This Row],[PID]],Batters[[#All],[PID]],0)),INDEX(Table3[[#All],[Age]],MATCH(Table5[[#This Row],[PID]],Table3[[#All],[PID]],0)))</f>
        <v>18</v>
      </c>
      <c r="H12" s="52" t="str">
        <f>IF($C12="B",INDEX(Batters[[#All],[B]],MATCH(Table5[[#This Row],[PID]],Batters[[#All],[PID]],0)),INDEX(Table3[[#All],[B]],MATCH(Table5[[#This Row],[PID]],Table3[[#All],[PID]],0)))</f>
        <v>L</v>
      </c>
      <c r="I12" s="52" t="str">
        <f>IF($C12="B",INDEX(Batters[[#All],[T]],MATCH(Table5[[#This Row],[PID]],Batters[[#All],[PID]],0)),INDEX(Table3[[#All],[T]],MATCH(Table5[[#This Row],[PID]],Table3[[#All],[PID]],0)))</f>
        <v>L</v>
      </c>
      <c r="J12" s="52" t="str">
        <f>IF($C12="B",INDEX(Batters[[#All],[WE]],MATCH(Table5[[#This Row],[PID]],Batters[[#All],[PID]],0)),INDEX(Table3[[#All],[WE]],MATCH(Table5[[#This Row],[PID]],Table3[[#All],[PID]],0)))</f>
        <v>High</v>
      </c>
      <c r="K12" s="52" t="str">
        <f>IF($C12="B",INDEX(Batters[[#All],[INT]],MATCH(Table5[[#This Row],[PID]],Batters[[#All],[PID]],0)),INDEX(Table3[[#All],[INT]],MATCH(Table5[[#This Row],[PID]],Table3[[#All],[PID]],0)))</f>
        <v>Normal</v>
      </c>
      <c r="L12" s="60">
        <f>IF($C12="B",INDEX(Batters[[#All],[CON P]],MATCH(Table5[[#This Row],[PID]],Batters[[#All],[PID]],0)),INDEX(Table3[[#All],[STU P]],MATCH(Table5[[#This Row],[PID]],Table3[[#All],[PID]],0)))</f>
        <v>6</v>
      </c>
      <c r="M12" s="56">
        <f>IF($C12="B",INDEX(Batters[[#All],[GAP P]],MATCH(Table5[[#This Row],[PID]],Batters[[#All],[PID]],0)),INDEX(Table3[[#All],[MOV P]],MATCH(Table5[[#This Row],[PID]],Table3[[#All],[PID]],0)))</f>
        <v>6</v>
      </c>
      <c r="N12" s="56">
        <f>IF($C12="B",INDEX(Batters[[#All],[POW P]],MATCH(Table5[[#This Row],[PID]],Batters[[#All],[PID]],0)),INDEX(Table3[[#All],[CON P]],MATCH(Table5[[#This Row],[PID]],Table3[[#All],[PID]],0)))</f>
        <v>6</v>
      </c>
      <c r="O12" s="56">
        <f>IF($C12="B",INDEX(Batters[[#All],[EYE P]],MATCH(Table5[[#This Row],[PID]],Batters[[#All],[PID]],0)),INDEX(Table3[[#All],[VELO]],MATCH(Table5[[#This Row],[PID]],Table3[[#All],[PID]],0)))</f>
        <v>4</v>
      </c>
      <c r="P12" s="56">
        <f>IF($C12="B",INDEX(Batters[[#All],[K P]],MATCH(Table5[[#This Row],[PID]],Batters[[#All],[PID]],0)),INDEX(Table3[[#All],[STM]],MATCH(Table5[[#This Row],[PID]],Table3[[#All],[PID]],0)))</f>
        <v>5</v>
      </c>
      <c r="Q12" s="61">
        <f>IF($C12="B",INDEX(Batters[[#All],[Tot]],MATCH(Table5[[#This Row],[PID]],Batters[[#All],[PID]],0)),INDEX(Table3[[#All],[Tot]],MATCH(Table5[[#This Row],[PID]],Table3[[#All],[PID]],0)))</f>
        <v>59.124231271328078</v>
      </c>
      <c r="R12" s="52">
        <f>IF($C12="B",INDEX(Batters[[#All],[zScore]],MATCH(Table5[[#This Row],[PID]],Batters[[#All],[PID]],0)),INDEX(Table3[[#All],[zScore]],MATCH(Table5[[#This Row],[PID]],Table3[[#All],[PID]],0)))</f>
        <v>3.3238923750531217</v>
      </c>
      <c r="S12" s="58" t="str">
        <f>IF($C12="B",INDEX(Batters[[#All],[DEM]],MATCH(Table5[[#This Row],[PID]],Batters[[#All],[PID]],0)),INDEX(Table3[[#All],[DEM]],MATCH(Table5[[#This Row],[PID]],Table3[[#All],[PID]],0)))</f>
        <v>$1.9m</v>
      </c>
      <c r="T12" s="62">
        <f>IF($C12="B",INDEX(Batters[[#All],[Rnk]],MATCH(Table5[[#This Row],[PID]],Batters[[#All],[PID]],0)),INDEX(Table3[[#All],[Rnk]],MATCH(Table5[[#This Row],[PID]],Table3[[#All],[PID]],0)))</f>
        <v>3</v>
      </c>
      <c r="U12" s="68">
        <f>IF($C12="B",VLOOKUP($A12,Bat!$A$4:$BA$1621,47,FALSE),VLOOKUP($A12,Pit!$A$4:$BF$1557,56,FALSE))</f>
        <v>0</v>
      </c>
      <c r="V12" s="50">
        <f>IF($C12="B",VLOOKUP($A12,Bat!$A$4:$BA$1621,48,FALSE),VLOOKUP($A12,Pit!$A$4:$BF$1557,57,FALSE))</f>
        <v>0</v>
      </c>
      <c r="W12" s="50">
        <f>Table5[[#This Row],[posRnk]]+Table5[[#This Row],[zRnk]]+IF($W$3&lt;&gt;Table5[[#This Row],[Type]],50,0)</f>
        <v>56</v>
      </c>
      <c r="X12" s="51">
        <f>RANK(Table5[[#This Row],[zScore]],Table5[[#All],[zScore]])</f>
        <v>3</v>
      </c>
      <c r="Y12" s="50">
        <f>IFERROR(INDEX(DraftResults[[#All],[OVR]],MATCH(Table5[[#This Row],[PID]],DraftResults[[#All],[Player ID]],0)),"")</f>
        <v>8</v>
      </c>
      <c r="Z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2" s="50">
        <f>IFERROR(INDEX(DraftResults[[#All],[Pick in Round]],MATCH(Table5[[#This Row],[PID]],DraftResults[[#All],[Player ID]],0)),"")</f>
        <v>8</v>
      </c>
      <c r="AB12" s="50" t="str">
        <f>IFERROR(INDEX(DraftResults[[#All],[Team Name]],MATCH(Table5[[#This Row],[PID]],DraftResults[[#All],[Player ID]],0)),"")</f>
        <v>London Underground</v>
      </c>
      <c r="AC12" s="50">
        <f>IF(Table5[[#This Row],[Ovr]]="","",IF(Table5[[#This Row],[cmbList]]="","",Table5[[#This Row],[cmbList]]-Table5[[#This Row],[Ovr]]))</f>
        <v>48</v>
      </c>
      <c r="AD12" s="54" t="str">
        <f>IF(ISERROR(VLOOKUP($AB12&amp;"-"&amp;$E12&amp;" "&amp;F12,Bonuses!$B$1:$G$1006,4,FALSE)),"",INT(VLOOKUP($AB12&amp;"-"&amp;$E12&amp;" "&amp;$F12,Bonuses!$B$1:$G$1006,4,FALSE)))</f>
        <v/>
      </c>
      <c r="AE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1.8 (8) - CF Zak Osmond</v>
      </c>
    </row>
    <row r="13" spans="1:31" s="50" customFormat="1" x14ac:dyDescent="0.25">
      <c r="A13" s="50">
        <v>18159</v>
      </c>
      <c r="B13" s="50">
        <f>COUNTIF(Table5[PID],A13)</f>
        <v>1</v>
      </c>
      <c r="C13" s="50" t="str">
        <f>IF(COUNTIF(Table3[[#All],[PID]],A13)&gt;0,"P","B")</f>
        <v>B</v>
      </c>
      <c r="D13" s="59" t="str">
        <f>IF($C13="B",INDEX(Batters[[#All],[POS]],MATCH(Table5[[#This Row],[PID]],Batters[[#All],[PID]],0)),INDEX(Table3[[#All],[POS]],MATCH(Table5[[#This Row],[PID]],Table3[[#All],[PID]],0)))</f>
        <v>1B</v>
      </c>
      <c r="E13" s="52" t="str">
        <f>IF($C13="B",INDEX(Batters[[#All],[First]],MATCH(Table5[[#This Row],[PID]],Batters[[#All],[PID]],0)),INDEX(Table3[[#All],[First]],MATCH(Table5[[#This Row],[PID]],Table3[[#All],[PID]],0)))</f>
        <v>Rob</v>
      </c>
      <c r="F13" s="50" t="str">
        <f>IF($C13="B",INDEX(Batters[[#All],[Last]],MATCH(A13,Batters[[#All],[PID]],0)),INDEX(Table3[[#All],[Last]],MATCH(A13,Table3[[#All],[PID]],0)))</f>
        <v>Woodard</v>
      </c>
      <c r="G13" s="56">
        <f>IF($C13="B",INDEX(Batters[[#All],[Age]],MATCH(Table5[[#This Row],[PID]],Batters[[#All],[PID]],0)),INDEX(Table3[[#All],[Age]],MATCH(Table5[[#This Row],[PID]],Table3[[#All],[PID]],0)))</f>
        <v>21</v>
      </c>
      <c r="H13" s="52" t="str">
        <f>IF($C13="B",INDEX(Batters[[#All],[B]],MATCH(Table5[[#This Row],[PID]],Batters[[#All],[PID]],0)),INDEX(Table3[[#All],[B]],MATCH(Table5[[#This Row],[PID]],Table3[[#All],[PID]],0)))</f>
        <v>L</v>
      </c>
      <c r="I13" s="52" t="str">
        <f>IF($C13="B",INDEX(Batters[[#All],[T]],MATCH(Table5[[#This Row],[PID]],Batters[[#All],[PID]],0)),INDEX(Table3[[#All],[T]],MATCH(Table5[[#This Row],[PID]],Table3[[#All],[PID]],0)))</f>
        <v>R</v>
      </c>
      <c r="J13" s="52" t="str">
        <f>IF($C13="B",INDEX(Batters[[#All],[WE]],MATCH(Table5[[#This Row],[PID]],Batters[[#All],[PID]],0)),INDEX(Table3[[#All],[WE]],MATCH(Table5[[#This Row],[PID]],Table3[[#All],[PID]],0)))</f>
        <v>Normal</v>
      </c>
      <c r="K13" s="52" t="str">
        <f>IF($C13="B",INDEX(Batters[[#All],[INT]],MATCH(Table5[[#This Row],[PID]],Batters[[#All],[PID]],0)),INDEX(Table3[[#All],[INT]],MATCH(Table5[[#This Row],[PID]],Table3[[#All],[PID]],0)))</f>
        <v>Low</v>
      </c>
      <c r="L13" s="60">
        <f>IF($C13="B",INDEX(Batters[[#All],[CON P]],MATCH(Table5[[#This Row],[PID]],Batters[[#All],[PID]],0)),INDEX(Table3[[#All],[STU P]],MATCH(Table5[[#This Row],[PID]],Table3[[#All],[PID]],0)))</f>
        <v>5</v>
      </c>
      <c r="M13" s="56">
        <f>IF($C13="B",INDEX(Batters[[#All],[GAP P]],MATCH(Table5[[#This Row],[PID]],Batters[[#All],[PID]],0)),INDEX(Table3[[#All],[MOV P]],MATCH(Table5[[#This Row],[PID]],Table3[[#All],[PID]],0)))</f>
        <v>8</v>
      </c>
      <c r="N13" s="56">
        <f>IF($C13="B",INDEX(Batters[[#All],[POW P]],MATCH(Table5[[#This Row],[PID]],Batters[[#All],[PID]],0)),INDEX(Table3[[#All],[CON P]],MATCH(Table5[[#This Row],[PID]],Table3[[#All],[PID]],0)))</f>
        <v>7</v>
      </c>
      <c r="O13" s="56">
        <f>IF($C13="B",INDEX(Batters[[#All],[EYE P]],MATCH(Table5[[#This Row],[PID]],Batters[[#All],[PID]],0)),INDEX(Table3[[#All],[VELO]],MATCH(Table5[[#This Row],[PID]],Table3[[#All],[PID]],0)))</f>
        <v>6</v>
      </c>
      <c r="P13" s="56">
        <f>IF($C13="B",INDEX(Batters[[#All],[K P]],MATCH(Table5[[#This Row],[PID]],Batters[[#All],[PID]],0)),INDEX(Table3[[#All],[STM]],MATCH(Table5[[#This Row],[PID]],Table3[[#All],[PID]],0)))</f>
        <v>6</v>
      </c>
      <c r="Q13" s="61">
        <f>IF($C13="B",INDEX(Batters[[#All],[Tot]],MATCH(Table5[[#This Row],[PID]],Batters[[#All],[PID]],0)),INDEX(Table3[[#All],[Tot]],MATCH(Table5[[#This Row],[PID]],Table3[[#All],[PID]],0)))</f>
        <v>53.420059015989921</v>
      </c>
      <c r="R13" s="52">
        <f>IF($C13="B",INDEX(Batters[[#All],[zScore]],MATCH(Table5[[#This Row],[PID]],Batters[[#All],[PID]],0)),INDEX(Table3[[#All],[zScore]],MATCH(Table5[[#This Row],[PID]],Table3[[#All],[PID]],0)))</f>
        <v>2.0592388294185424</v>
      </c>
      <c r="S13" s="58" t="str">
        <f>IF($C13="B",INDEX(Batters[[#All],[DEM]],MATCH(Table5[[#This Row],[PID]],Batters[[#All],[PID]],0)),INDEX(Table3[[#All],[DEM]],MATCH(Table5[[#This Row],[PID]],Table3[[#All],[PID]],0)))</f>
        <v>$850k</v>
      </c>
      <c r="T13" s="62">
        <f>IF($C13="B",INDEX(Batters[[#All],[Rnk]],MATCH(Table5[[#This Row],[PID]],Batters[[#All],[PID]],0)),INDEX(Table3[[#All],[Rnk]],MATCH(Table5[[#This Row],[PID]],Table3[[#All],[PID]],0)))</f>
        <v>17</v>
      </c>
      <c r="U13" s="68">
        <f>IF($C13="B",VLOOKUP($A13,Bat!$A$4:$BA$1621,47,FALSE),VLOOKUP($A13,Pit!$A$4:$BF$1557,56,FALSE))</f>
        <v>0</v>
      </c>
      <c r="V13" s="50">
        <f>IF($C13="B",VLOOKUP($A13,Bat!$A$4:$BA$1621,48,FALSE),VLOOKUP($A13,Pit!$A$4:$BF$1557,57,FALSE))</f>
        <v>0</v>
      </c>
      <c r="W13" s="50">
        <f>Table5[[#This Row],[posRnk]]+Table5[[#This Row],[zRnk]]+IF($W$3&lt;&gt;Table5[[#This Row],[Type]],50,0)</f>
        <v>107</v>
      </c>
      <c r="X13" s="51">
        <f>RANK(Table5[[#This Row],[zScore]],Table5[[#All],[zScore]])</f>
        <v>40</v>
      </c>
      <c r="Y13" s="50">
        <f>IFERROR(INDEX(DraftResults[[#All],[OVR]],MATCH(Table5[[#This Row],[PID]],DraftResults[[#All],[Player ID]],0)),"")</f>
        <v>9</v>
      </c>
      <c r="Z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3" s="50">
        <f>IFERROR(INDEX(DraftResults[[#All],[Pick in Round]],MATCH(Table5[[#This Row],[PID]],DraftResults[[#All],[Player ID]],0)),"")</f>
        <v>9</v>
      </c>
      <c r="AB13" s="50" t="str">
        <f>IFERROR(INDEX(DraftResults[[#All],[Team Name]],MATCH(Table5[[#This Row],[PID]],DraftResults[[#All],[Player ID]],0)),"")</f>
        <v>Scottish Claymores</v>
      </c>
      <c r="AC13" s="50">
        <f>IF(Table5[[#This Row],[Ovr]]="","",IF(Table5[[#This Row],[cmbList]]="","",Table5[[#This Row],[cmbList]]-Table5[[#This Row],[Ovr]]))</f>
        <v>98</v>
      </c>
      <c r="AD13" s="54" t="str">
        <f>IF(ISERROR(VLOOKUP($AB13&amp;"-"&amp;$E13&amp;" "&amp;F13,Bonuses!$B$1:$G$1006,4,FALSE)),"",INT(VLOOKUP($AB13&amp;"-"&amp;$E13&amp;" "&amp;$F13,Bonuses!$B$1:$G$1006,4,FALSE)))</f>
        <v/>
      </c>
      <c r="AE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1.9 (9) - 1B Rob Woodard</v>
      </c>
    </row>
    <row r="14" spans="1:31" s="50" customFormat="1" x14ac:dyDescent="0.25">
      <c r="A14" s="50">
        <v>16944</v>
      </c>
      <c r="B14" s="50">
        <f>COUNTIF(Table5[PID],A14)</f>
        <v>1</v>
      </c>
      <c r="C14" s="50" t="str">
        <f>IF(COUNTIF(Table3[[#All],[PID]],A14)&gt;0,"P","B")</f>
        <v>P</v>
      </c>
      <c r="D14" s="59" t="str">
        <f>IF($C14="B",INDEX(Batters[[#All],[POS]],MATCH(Table5[[#This Row],[PID]],Batters[[#All],[PID]],0)),INDEX(Table3[[#All],[POS]],MATCH(Table5[[#This Row],[PID]],Table3[[#All],[PID]],0)))</f>
        <v>RP</v>
      </c>
      <c r="E14" s="52" t="str">
        <f>IF($C14="B",INDEX(Batters[[#All],[First]],MATCH(Table5[[#This Row],[PID]],Batters[[#All],[PID]],0)),INDEX(Table3[[#All],[First]],MATCH(Table5[[#This Row],[PID]],Table3[[#All],[PID]],0)))</f>
        <v>Kyle</v>
      </c>
      <c r="F14" s="50" t="str">
        <f>IF($C14="B",INDEX(Batters[[#All],[Last]],MATCH(A14,Batters[[#All],[PID]],0)),INDEX(Table3[[#All],[Last]],MATCH(A14,Table3[[#All],[PID]],0)))</f>
        <v>Maynard</v>
      </c>
      <c r="G14" s="56">
        <f>IF($C14="B",INDEX(Batters[[#All],[Age]],MATCH(Table5[[#This Row],[PID]],Batters[[#All],[PID]],0)),INDEX(Table3[[#All],[Age]],MATCH(Table5[[#This Row],[PID]],Table3[[#All],[PID]],0)))</f>
        <v>21</v>
      </c>
      <c r="H14" s="52" t="str">
        <f>IF($C14="B",INDEX(Batters[[#All],[B]],MATCH(Table5[[#This Row],[PID]],Batters[[#All],[PID]],0)),INDEX(Table3[[#All],[B]],MATCH(Table5[[#This Row],[PID]],Table3[[#All],[PID]],0)))</f>
        <v>S</v>
      </c>
      <c r="I14" s="52" t="str">
        <f>IF($C14="B",INDEX(Batters[[#All],[T]],MATCH(Table5[[#This Row],[PID]],Batters[[#All],[PID]],0)),INDEX(Table3[[#All],[T]],MATCH(Table5[[#This Row],[PID]],Table3[[#All],[PID]],0)))</f>
        <v>R</v>
      </c>
      <c r="J14" s="52" t="str">
        <f>IF($C14="B",INDEX(Batters[[#All],[WE]],MATCH(Table5[[#This Row],[PID]],Batters[[#All],[PID]],0)),INDEX(Table3[[#All],[WE]],MATCH(Table5[[#This Row],[PID]],Table3[[#All],[PID]],0)))</f>
        <v>Normal</v>
      </c>
      <c r="K14" s="52" t="str">
        <f>IF($C14="B",INDEX(Batters[[#All],[INT]],MATCH(Table5[[#This Row],[PID]],Batters[[#All],[PID]],0)),INDEX(Table3[[#All],[INT]],MATCH(Table5[[#This Row],[PID]],Table3[[#All],[PID]],0)))</f>
        <v>Normal</v>
      </c>
      <c r="L14" s="60">
        <f>IF($C14="B",INDEX(Batters[[#All],[CON P]],MATCH(Table5[[#This Row],[PID]],Batters[[#All],[PID]],0)),INDEX(Table3[[#All],[STU P]],MATCH(Table5[[#This Row],[PID]],Table3[[#All],[PID]],0)))</f>
        <v>7</v>
      </c>
      <c r="M14" s="56">
        <f>IF($C14="B",INDEX(Batters[[#All],[GAP P]],MATCH(Table5[[#This Row],[PID]],Batters[[#All],[PID]],0)),INDEX(Table3[[#All],[MOV P]],MATCH(Table5[[#This Row],[PID]],Table3[[#All],[PID]],0)))</f>
        <v>5</v>
      </c>
      <c r="N14" s="56">
        <f>IF($C14="B",INDEX(Batters[[#All],[POW P]],MATCH(Table5[[#This Row],[PID]],Batters[[#All],[PID]],0)),INDEX(Table3[[#All],[CON P]],MATCH(Table5[[#This Row],[PID]],Table3[[#All],[PID]],0)))</f>
        <v>5</v>
      </c>
      <c r="O14" s="56" t="str">
        <f>IF($C14="B",INDEX(Batters[[#All],[EYE P]],MATCH(Table5[[#This Row],[PID]],Batters[[#All],[PID]],0)),INDEX(Table3[[#All],[VELO]],MATCH(Table5[[#This Row],[PID]],Table3[[#All],[PID]],0)))</f>
        <v>90-92 Mph</v>
      </c>
      <c r="P14" s="56">
        <f>IF($C14="B",INDEX(Batters[[#All],[K P]],MATCH(Table5[[#This Row],[PID]],Batters[[#All],[PID]],0)),INDEX(Table3[[#All],[STM]],MATCH(Table5[[#This Row],[PID]],Table3[[#All],[PID]],0)))</f>
        <v>9</v>
      </c>
      <c r="Q14" s="61">
        <f>IF($C14="B",INDEX(Batters[[#All],[Tot]],MATCH(Table5[[#This Row],[PID]],Batters[[#All],[PID]],0)),INDEX(Table3[[#All],[Tot]],MATCH(Table5[[#This Row],[PID]],Table3[[#All],[PID]],0)))</f>
        <v>63.849543669028705</v>
      </c>
      <c r="R14" s="52">
        <f>IF($C14="B",INDEX(Batters[[#All],[zScore]],MATCH(Table5[[#This Row],[PID]],Batters[[#All],[PID]],0)),INDEX(Table3[[#All],[zScore]],MATCH(Table5[[#This Row],[PID]],Table3[[#All],[PID]],0)))</f>
        <v>1.8614012876754018</v>
      </c>
      <c r="S14" s="58" t="str">
        <f>IF($C14="B",INDEX(Batters[[#All],[DEM]],MATCH(Table5[[#This Row],[PID]],Batters[[#All],[PID]],0)),INDEX(Table3[[#All],[DEM]],MATCH(Table5[[#This Row],[PID]],Table3[[#All],[PID]],0)))</f>
        <v>$290k</v>
      </c>
      <c r="T14" s="62">
        <f>IF($C14="B",INDEX(Batters[[#All],[Rnk]],MATCH(Table5[[#This Row],[PID]],Batters[[#All],[PID]],0)),INDEX(Table3[[#All],[Rnk]],MATCH(Table5[[#This Row],[PID]],Table3[[#All],[PID]],0)))</f>
        <v>39</v>
      </c>
      <c r="U14" s="68">
        <f>IF($C14="B",VLOOKUP($A14,Bat!$A$4:$BA$1621,47,FALSE),VLOOKUP($A14,Pit!$A$4:$BF$1557,56,FALSE))</f>
        <v>0</v>
      </c>
      <c r="V14" s="50">
        <f>IF($C14="B",VLOOKUP($A14,Bat!$A$4:$BA$1621,48,FALSE),VLOOKUP($A14,Pit!$A$4:$BF$1557,57,FALSE))</f>
        <v>0</v>
      </c>
      <c r="W14" s="50">
        <f>Table5[[#This Row],[posRnk]]+Table5[[#This Row],[zRnk]]+IF($W$3&lt;&gt;Table5[[#This Row],[Type]],50,0)</f>
        <v>152</v>
      </c>
      <c r="X14" s="51">
        <f>RANK(Table5[[#This Row],[zScore]],Table5[[#All],[zScore]])</f>
        <v>63</v>
      </c>
      <c r="Y14" s="50">
        <f>IFERROR(INDEX(DraftResults[[#All],[OVR]],MATCH(Table5[[#This Row],[PID]],DraftResults[[#All],[Player ID]],0)),"")</f>
        <v>10</v>
      </c>
      <c r="Z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4" s="50">
        <f>IFERROR(INDEX(DraftResults[[#All],[Pick in Round]],MATCH(Table5[[#This Row],[PID]],DraftResults[[#All],[Player ID]],0)),"")</f>
        <v>10</v>
      </c>
      <c r="AB14" s="50" t="str">
        <f>IFERROR(INDEX(DraftResults[[#All],[Team Name]],MATCH(Table5[[#This Row],[PID]],DraftResults[[#All],[Player ID]],0)),"")</f>
        <v>Hartford Harpoon</v>
      </c>
      <c r="AC14" s="50">
        <f>IF(Table5[[#This Row],[Ovr]]="","",IF(Table5[[#This Row],[cmbList]]="","",Table5[[#This Row],[cmbList]]-Table5[[#This Row],[Ovr]]))</f>
        <v>142</v>
      </c>
      <c r="AD14" s="54" t="str">
        <f>IF(ISERROR(VLOOKUP($AB14&amp;"-"&amp;$E14&amp;" "&amp;F14,Bonuses!$B$1:$G$1006,4,FALSE)),"",INT(VLOOKUP($AB14&amp;"-"&amp;$E14&amp;" "&amp;$F14,Bonuses!$B$1:$G$1006,4,FALSE)))</f>
        <v/>
      </c>
      <c r="AE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1.10 (10) - RP Kyle Maynard</v>
      </c>
    </row>
    <row r="15" spans="1:31" s="50" customFormat="1" x14ac:dyDescent="0.25">
      <c r="A15" s="50">
        <v>18163</v>
      </c>
      <c r="B15" s="50">
        <f>COUNTIF(Table5[PID],A15)</f>
        <v>1</v>
      </c>
      <c r="C15" s="50" t="str">
        <f>IF(COUNTIF(Table3[[#All],[PID]],A15)&gt;0,"P","B")</f>
        <v>B</v>
      </c>
      <c r="D15" s="59" t="str">
        <f>IF($C15="B",INDEX(Batters[[#All],[POS]],MATCH(Table5[[#This Row],[PID]],Batters[[#All],[PID]],0)),INDEX(Table3[[#All],[POS]],MATCH(Table5[[#This Row],[PID]],Table3[[#All],[PID]],0)))</f>
        <v>CF</v>
      </c>
      <c r="E15" s="52" t="str">
        <f>IF($C15="B",INDEX(Batters[[#All],[First]],MATCH(Table5[[#This Row],[PID]],Batters[[#All],[PID]],0)),INDEX(Table3[[#All],[First]],MATCH(Table5[[#This Row],[PID]],Table3[[#All],[PID]],0)))</f>
        <v>Robert</v>
      </c>
      <c r="F15" s="50" t="str">
        <f>IF($C15="B",INDEX(Batters[[#All],[Last]],MATCH(A15,Batters[[#All],[PID]],0)),INDEX(Table3[[#All],[Last]],MATCH(A15,Table3[[#All],[PID]],0)))</f>
        <v>Hayes</v>
      </c>
      <c r="G15" s="56">
        <f>IF($C15="B",INDEX(Batters[[#All],[Age]],MATCH(Table5[[#This Row],[PID]],Batters[[#All],[PID]],0)),INDEX(Table3[[#All],[Age]],MATCH(Table5[[#This Row],[PID]],Table3[[#All],[PID]],0)))</f>
        <v>21</v>
      </c>
      <c r="H15" s="52" t="str">
        <f>IF($C15="B",INDEX(Batters[[#All],[B]],MATCH(Table5[[#This Row],[PID]],Batters[[#All],[PID]],0)),INDEX(Table3[[#All],[B]],MATCH(Table5[[#This Row],[PID]],Table3[[#All],[PID]],0)))</f>
        <v>R</v>
      </c>
      <c r="I15" s="52" t="str">
        <f>IF($C15="B",INDEX(Batters[[#All],[T]],MATCH(Table5[[#This Row],[PID]],Batters[[#All],[PID]],0)),INDEX(Table3[[#All],[T]],MATCH(Table5[[#This Row],[PID]],Table3[[#All],[PID]],0)))</f>
        <v>R</v>
      </c>
      <c r="J15" s="52" t="str">
        <f>IF($C15="B",INDEX(Batters[[#All],[WE]],MATCH(Table5[[#This Row],[PID]],Batters[[#All],[PID]],0)),INDEX(Table3[[#All],[WE]],MATCH(Table5[[#This Row],[PID]],Table3[[#All],[PID]],0)))</f>
        <v>Normal</v>
      </c>
      <c r="K15" s="52" t="str">
        <f>IF($C15="B",INDEX(Batters[[#All],[INT]],MATCH(Table5[[#This Row],[PID]],Batters[[#All],[PID]],0)),INDEX(Table3[[#All],[INT]],MATCH(Table5[[#This Row],[PID]],Table3[[#All],[PID]],0)))</f>
        <v>Normal</v>
      </c>
      <c r="L15" s="60">
        <f>IF($C15="B",INDEX(Batters[[#All],[CON P]],MATCH(Table5[[#This Row],[PID]],Batters[[#All],[PID]],0)),INDEX(Table3[[#All],[STU P]],MATCH(Table5[[#This Row],[PID]],Table3[[#All],[PID]],0)))</f>
        <v>5</v>
      </c>
      <c r="M15" s="56">
        <f>IF($C15="B",INDEX(Batters[[#All],[GAP P]],MATCH(Table5[[#This Row],[PID]],Batters[[#All],[PID]],0)),INDEX(Table3[[#All],[MOV P]],MATCH(Table5[[#This Row],[PID]],Table3[[#All],[PID]],0)))</f>
        <v>7</v>
      </c>
      <c r="N15" s="56">
        <f>IF($C15="B",INDEX(Batters[[#All],[POW P]],MATCH(Table5[[#This Row],[PID]],Batters[[#All],[PID]],0)),INDEX(Table3[[#All],[CON P]],MATCH(Table5[[#This Row],[PID]],Table3[[#All],[PID]],0)))</f>
        <v>6</v>
      </c>
      <c r="O15" s="56">
        <f>IF($C15="B",INDEX(Batters[[#All],[EYE P]],MATCH(Table5[[#This Row],[PID]],Batters[[#All],[PID]],0)),INDEX(Table3[[#All],[VELO]],MATCH(Table5[[#This Row],[PID]],Table3[[#All],[PID]],0)))</f>
        <v>5</v>
      </c>
      <c r="P15" s="56">
        <f>IF($C15="B",INDEX(Batters[[#All],[K P]],MATCH(Table5[[#This Row],[PID]],Batters[[#All],[PID]],0)),INDEX(Table3[[#All],[STM]],MATCH(Table5[[#This Row],[PID]],Table3[[#All],[PID]],0)))</f>
        <v>5</v>
      </c>
      <c r="Q15" s="61">
        <f>IF($C15="B",INDEX(Batters[[#All],[Tot]],MATCH(Table5[[#This Row],[PID]],Batters[[#All],[PID]],0)),INDEX(Table3[[#All],[Tot]],MATCH(Table5[[#This Row],[PID]],Table3[[#All],[PID]],0)))</f>
        <v>51.747460252351821</v>
      </c>
      <c r="R15" s="52">
        <f>IF($C15="B",INDEX(Batters[[#All],[zScore]],MATCH(Table5[[#This Row],[PID]],Batters[[#All],[PID]],0)),INDEX(Table3[[#All],[zScore]],MATCH(Table5[[#This Row],[PID]],Table3[[#All],[PID]],0)))</f>
        <v>1.6884123778015867</v>
      </c>
      <c r="S15" s="58" t="str">
        <f>IF($C15="B",INDEX(Batters[[#All],[DEM]],MATCH(Table5[[#This Row],[PID]],Batters[[#All],[PID]],0)),INDEX(Table3[[#All],[DEM]],MATCH(Table5[[#This Row],[PID]],Table3[[#All],[PID]],0)))</f>
        <v>$1.1m</v>
      </c>
      <c r="T15" s="62">
        <f>IF($C15="B",INDEX(Batters[[#All],[Rnk]],MATCH(Table5[[#This Row],[PID]],Batters[[#All],[PID]],0)),INDEX(Table3[[#All],[Rnk]],MATCH(Table5[[#This Row],[PID]],Table3[[#All],[PID]],0)))</f>
        <v>32</v>
      </c>
      <c r="U15" s="68">
        <f>IF($C15="B",VLOOKUP($A15,Bat!$A$4:$BA$1621,47,FALSE),VLOOKUP($A15,Pit!$A$4:$BF$1557,56,FALSE))</f>
        <v>0</v>
      </c>
      <c r="V15" s="50">
        <f>IF($C15="B",VLOOKUP($A15,Bat!$A$4:$BA$1621,48,FALSE),VLOOKUP($A15,Pit!$A$4:$BF$1557,57,FALSE))</f>
        <v>0</v>
      </c>
      <c r="W15" s="50">
        <f>Table5[[#This Row],[posRnk]]+Table5[[#This Row],[zRnk]]+IF($W$3&lt;&gt;Table5[[#This Row],[Type]],50,0)</f>
        <v>169</v>
      </c>
      <c r="X15" s="51">
        <f>RANK(Table5[[#This Row],[zScore]],Table5[[#All],[zScore]])</f>
        <v>87</v>
      </c>
      <c r="Y15" s="50">
        <f>IFERROR(INDEX(DraftResults[[#All],[OVR]],MATCH(Table5[[#This Row],[PID]],DraftResults[[#All],[Player ID]],0)),"")</f>
        <v>11</v>
      </c>
      <c r="Z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5" s="50">
        <f>IFERROR(INDEX(DraftResults[[#All],[Pick in Round]],MATCH(Table5[[#This Row],[PID]],DraftResults[[#All],[Player ID]],0)),"")</f>
        <v>11</v>
      </c>
      <c r="AB15" s="50" t="str">
        <f>IFERROR(INDEX(DraftResults[[#All],[Team Name]],MATCH(Table5[[#This Row],[PID]],DraftResults[[#All],[Player ID]],0)),"")</f>
        <v>Duluth Warriors</v>
      </c>
      <c r="AC15" s="50">
        <f>IF(Table5[[#This Row],[Ovr]]="","",IF(Table5[[#This Row],[cmbList]]="","",Table5[[#This Row],[cmbList]]-Table5[[#This Row],[Ovr]]))</f>
        <v>158</v>
      </c>
      <c r="AD15" s="54" t="str">
        <f>IF(ISERROR(VLOOKUP($AB15&amp;"-"&amp;$E15&amp;" "&amp;F15,Bonuses!$B$1:$G$1006,4,FALSE)),"",INT(VLOOKUP($AB15&amp;"-"&amp;$E15&amp;" "&amp;$F15,Bonuses!$B$1:$G$1006,4,FALSE)))</f>
        <v/>
      </c>
      <c r="AE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1.11 (11) - CF Robert Hayes</v>
      </c>
    </row>
    <row r="16" spans="1:31" s="50" customFormat="1" x14ac:dyDescent="0.25">
      <c r="A16" s="50">
        <v>18153</v>
      </c>
      <c r="B16" s="50">
        <f>COUNTIF(Table5[PID],A16)</f>
        <v>1</v>
      </c>
      <c r="C16" s="50" t="str">
        <f>IF(COUNTIF(Table3[[#All],[PID]],A16)&gt;0,"P","B")</f>
        <v>P</v>
      </c>
      <c r="D16" s="59" t="str">
        <f>IF($C16="B",INDEX(Batters[[#All],[POS]],MATCH(Table5[[#This Row],[PID]],Batters[[#All],[PID]],0)),INDEX(Table3[[#All],[POS]],MATCH(Table5[[#This Row],[PID]],Table3[[#All],[PID]],0)))</f>
        <v>CL</v>
      </c>
      <c r="E16" s="52" t="str">
        <f>IF($C16="B",INDEX(Batters[[#All],[First]],MATCH(Table5[[#This Row],[PID]],Batters[[#All],[PID]],0)),INDEX(Table3[[#All],[First]],MATCH(Table5[[#This Row],[PID]],Table3[[#All],[PID]],0)))</f>
        <v>John</v>
      </c>
      <c r="F16" s="50" t="str">
        <f>IF($C16="B",INDEX(Batters[[#All],[Last]],MATCH(A16,Batters[[#All],[PID]],0)),INDEX(Table3[[#All],[Last]],MATCH(A16,Table3[[#All],[PID]],0)))</f>
        <v>Vázquez</v>
      </c>
      <c r="G16" s="56">
        <f>IF($C16="B",INDEX(Batters[[#All],[Age]],MATCH(Table5[[#This Row],[PID]],Batters[[#All],[PID]],0)),INDEX(Table3[[#All],[Age]],MATCH(Table5[[#This Row],[PID]],Table3[[#All],[PID]],0)))</f>
        <v>21</v>
      </c>
      <c r="H16" s="52" t="str">
        <f>IF($C16="B",INDEX(Batters[[#All],[B]],MATCH(Table5[[#This Row],[PID]],Batters[[#All],[PID]],0)),INDEX(Table3[[#All],[B]],MATCH(Table5[[#This Row],[PID]],Table3[[#All],[PID]],0)))</f>
        <v>L</v>
      </c>
      <c r="I16" s="52" t="str">
        <f>IF($C16="B",INDEX(Batters[[#All],[T]],MATCH(Table5[[#This Row],[PID]],Batters[[#All],[PID]],0)),INDEX(Table3[[#All],[T]],MATCH(Table5[[#This Row],[PID]],Table3[[#All],[PID]],0)))</f>
        <v>L</v>
      </c>
      <c r="J16" s="52" t="str">
        <f>IF($C16="B",INDEX(Batters[[#All],[WE]],MATCH(Table5[[#This Row],[PID]],Batters[[#All],[PID]],0)),INDEX(Table3[[#All],[WE]],MATCH(Table5[[#This Row],[PID]],Table3[[#All],[PID]],0)))</f>
        <v>High</v>
      </c>
      <c r="K16" s="52" t="str">
        <f>IF($C16="B",INDEX(Batters[[#All],[INT]],MATCH(Table5[[#This Row],[PID]],Batters[[#All],[PID]],0)),INDEX(Table3[[#All],[INT]],MATCH(Table5[[#This Row],[PID]],Table3[[#All],[PID]],0)))</f>
        <v>Normal</v>
      </c>
      <c r="L16" s="60">
        <f>IF($C16="B",INDEX(Batters[[#All],[CON P]],MATCH(Table5[[#This Row],[PID]],Batters[[#All],[PID]],0)),INDEX(Table3[[#All],[STU P]],MATCH(Table5[[#This Row],[PID]],Table3[[#All],[PID]],0)))</f>
        <v>8</v>
      </c>
      <c r="M16" s="56">
        <f>IF($C16="B",INDEX(Batters[[#All],[GAP P]],MATCH(Table5[[#This Row],[PID]],Batters[[#All],[PID]],0)),INDEX(Table3[[#All],[MOV P]],MATCH(Table5[[#This Row],[PID]],Table3[[#All],[PID]],0)))</f>
        <v>5</v>
      </c>
      <c r="N16" s="56">
        <f>IF($C16="B",INDEX(Batters[[#All],[POW P]],MATCH(Table5[[#This Row],[PID]],Batters[[#All],[PID]],0)),INDEX(Table3[[#All],[CON P]],MATCH(Table5[[#This Row],[PID]],Table3[[#All],[PID]],0)))</f>
        <v>6</v>
      </c>
      <c r="O16" s="56" t="str">
        <f>IF($C16="B",INDEX(Batters[[#All],[EYE P]],MATCH(Table5[[#This Row],[PID]],Batters[[#All],[PID]],0)),INDEX(Table3[[#All],[VELO]],MATCH(Table5[[#This Row],[PID]],Table3[[#All],[PID]],0)))</f>
        <v>97-99 Mph</v>
      </c>
      <c r="P16" s="56">
        <f>IF($C16="B",INDEX(Batters[[#All],[K P]],MATCH(Table5[[#This Row],[PID]],Batters[[#All],[PID]],0)),INDEX(Table3[[#All],[STM]],MATCH(Table5[[#This Row],[PID]],Table3[[#All],[PID]],0)))</f>
        <v>7</v>
      </c>
      <c r="Q16" s="61">
        <f>IF($C16="B",INDEX(Batters[[#All],[Tot]],MATCH(Table5[[#This Row],[PID]],Batters[[#All],[PID]],0)),INDEX(Table3[[#All],[Tot]],MATCH(Table5[[#This Row],[PID]],Table3[[#All],[PID]],0)))</f>
        <v>74.342968889924634</v>
      </c>
      <c r="R16" s="52">
        <f>IF($C16="B",INDEX(Batters[[#All],[zScore]],MATCH(Table5[[#This Row],[PID]],Batters[[#All],[PID]],0)),INDEX(Table3[[#All],[zScore]],MATCH(Table5[[#This Row],[PID]],Table3[[#All],[PID]],0)))</f>
        <v>2.5595128325257437</v>
      </c>
      <c r="S16" s="58" t="str">
        <f>IF($C16="B",INDEX(Batters[[#All],[DEM]],MATCH(Table5[[#This Row],[PID]],Batters[[#All],[PID]],0)),INDEX(Table3[[#All],[DEM]],MATCH(Table5[[#This Row],[PID]],Table3[[#All],[PID]],0)))</f>
        <v>$33k</v>
      </c>
      <c r="T16" s="62">
        <f>IF($C16="B",INDEX(Batters[[#All],[Rnk]],MATCH(Table5[[#This Row],[PID]],Batters[[#All],[PID]],0)),INDEX(Table3[[#All],[Rnk]],MATCH(Table5[[#This Row],[PID]],Table3[[#All],[PID]],0)))</f>
        <v>7</v>
      </c>
      <c r="U16" s="68">
        <f>IF($C16="B",VLOOKUP($A16,Bat!$A$4:$BA$1621,47,FALSE),VLOOKUP($A16,Pit!$A$4:$BF$1557,56,FALSE))</f>
        <v>0</v>
      </c>
      <c r="V16" s="50">
        <f>IF($C16="B",VLOOKUP($A16,Bat!$A$4:$BA$1621,48,FALSE),VLOOKUP($A16,Pit!$A$4:$BF$1557,57,FALSE))</f>
        <v>0</v>
      </c>
      <c r="W16" s="50">
        <f>Table5[[#This Row],[posRnk]]+Table5[[#This Row],[zRnk]]+IF($W$3&lt;&gt;Table5[[#This Row],[Type]],50,0)</f>
        <v>72</v>
      </c>
      <c r="X16" s="51">
        <f>RANK(Table5[[#This Row],[zScore]],Table5[[#All],[zScore]])</f>
        <v>15</v>
      </c>
      <c r="Y16" s="50">
        <f>IFERROR(INDEX(DraftResults[[#All],[OVR]],MATCH(Table5[[#This Row],[PID]],DraftResults[[#All],[Player ID]],0)),"")</f>
        <v>12</v>
      </c>
      <c r="Z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6" s="50">
        <f>IFERROR(INDEX(DraftResults[[#All],[Pick in Round]],MATCH(Table5[[#This Row],[PID]],DraftResults[[#All],[Player ID]],0)),"")</f>
        <v>12</v>
      </c>
      <c r="AB16" s="50" t="str">
        <f>IFERROR(INDEX(DraftResults[[#All],[Team Name]],MATCH(Table5[[#This Row],[PID]],DraftResults[[#All],[Player ID]],0)),"")</f>
        <v>Palm Springs Codgers</v>
      </c>
      <c r="AC16" s="50">
        <f>IF(Table5[[#This Row],[Ovr]]="","",IF(Table5[[#This Row],[cmbList]]="","",Table5[[#This Row],[cmbList]]-Table5[[#This Row],[Ovr]]))</f>
        <v>60</v>
      </c>
      <c r="AD16" s="54" t="str">
        <f>IF(ISERROR(VLOOKUP($AB16&amp;"-"&amp;$E16&amp;" "&amp;F16,Bonuses!$B$1:$G$1006,4,FALSE)),"",INT(VLOOKUP($AB16&amp;"-"&amp;$E16&amp;" "&amp;$F16,Bonuses!$B$1:$G$1006,4,FALSE)))</f>
        <v/>
      </c>
      <c r="AE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1.12 (12) - CL John Vázquez</v>
      </c>
    </row>
    <row r="17" spans="1:31" s="50" customFormat="1" x14ac:dyDescent="0.25">
      <c r="A17" s="50">
        <v>18093</v>
      </c>
      <c r="B17" s="50">
        <f>COUNTIF(Table5[PID],A17)</f>
        <v>1</v>
      </c>
      <c r="C17" s="50" t="str">
        <f>IF(COUNTIF(Table3[[#All],[PID]],A17)&gt;0,"P","B")</f>
        <v>B</v>
      </c>
      <c r="D17" s="59" t="str">
        <f>IF($C17="B",INDEX(Batters[[#All],[POS]],MATCH(Table5[[#This Row],[PID]],Batters[[#All],[PID]],0)),INDEX(Table3[[#All],[POS]],MATCH(Table5[[#This Row],[PID]],Table3[[#All],[PID]],0)))</f>
        <v>SS</v>
      </c>
      <c r="E17" s="52" t="str">
        <f>IF($C17="B",INDEX(Batters[[#All],[First]],MATCH(Table5[[#This Row],[PID]],Batters[[#All],[PID]],0)),INDEX(Table3[[#All],[First]],MATCH(Table5[[#This Row],[PID]],Table3[[#All],[PID]],0)))</f>
        <v>Ken</v>
      </c>
      <c r="F17" s="50" t="str">
        <f>IF($C17="B",INDEX(Batters[[#All],[Last]],MATCH(A17,Batters[[#All],[PID]],0)),INDEX(Table3[[#All],[Last]],MATCH(A17,Table3[[#All],[PID]],0)))</f>
        <v>Schmidt</v>
      </c>
      <c r="G17" s="56">
        <f>IF($C17="B",INDEX(Batters[[#All],[Age]],MATCH(Table5[[#This Row],[PID]],Batters[[#All],[PID]],0)),INDEX(Table3[[#All],[Age]],MATCH(Table5[[#This Row],[PID]],Table3[[#All],[PID]],0)))</f>
        <v>21</v>
      </c>
      <c r="H17" s="52" t="str">
        <f>IF($C17="B",INDEX(Batters[[#All],[B]],MATCH(Table5[[#This Row],[PID]],Batters[[#All],[PID]],0)),INDEX(Table3[[#All],[B]],MATCH(Table5[[#This Row],[PID]],Table3[[#All],[PID]],0)))</f>
        <v>L</v>
      </c>
      <c r="I17" s="52" t="str">
        <f>IF($C17="B",INDEX(Batters[[#All],[T]],MATCH(Table5[[#This Row],[PID]],Batters[[#All],[PID]],0)),INDEX(Table3[[#All],[T]],MATCH(Table5[[#This Row],[PID]],Table3[[#All],[PID]],0)))</f>
        <v>R</v>
      </c>
      <c r="J17" s="52" t="str">
        <f>IF($C17="B",INDEX(Batters[[#All],[WE]],MATCH(Table5[[#This Row],[PID]],Batters[[#All],[PID]],0)),INDEX(Table3[[#All],[WE]],MATCH(Table5[[#This Row],[PID]],Table3[[#All],[PID]],0)))</f>
        <v>High</v>
      </c>
      <c r="K17" s="52" t="str">
        <f>IF($C17="B",INDEX(Batters[[#All],[INT]],MATCH(Table5[[#This Row],[PID]],Batters[[#All],[PID]],0)),INDEX(Table3[[#All],[INT]],MATCH(Table5[[#This Row],[PID]],Table3[[#All],[PID]],0)))</f>
        <v>High</v>
      </c>
      <c r="L17" s="60">
        <f>IF($C17="B",INDEX(Batters[[#All],[CON P]],MATCH(Table5[[#This Row],[PID]],Batters[[#All],[PID]],0)),INDEX(Table3[[#All],[STU P]],MATCH(Table5[[#This Row],[PID]],Table3[[#All],[PID]],0)))</f>
        <v>5</v>
      </c>
      <c r="M17" s="56">
        <f>IF($C17="B",INDEX(Batters[[#All],[GAP P]],MATCH(Table5[[#This Row],[PID]],Batters[[#All],[PID]],0)),INDEX(Table3[[#All],[MOV P]],MATCH(Table5[[#This Row],[PID]],Table3[[#All],[PID]],0)))</f>
        <v>7</v>
      </c>
      <c r="N17" s="56">
        <f>IF($C17="B",INDEX(Batters[[#All],[POW P]],MATCH(Table5[[#This Row],[PID]],Batters[[#All],[PID]],0)),INDEX(Table3[[#All],[CON P]],MATCH(Table5[[#This Row],[PID]],Table3[[#All],[PID]],0)))</f>
        <v>4</v>
      </c>
      <c r="O17" s="56">
        <f>IF($C17="B",INDEX(Batters[[#All],[EYE P]],MATCH(Table5[[#This Row],[PID]],Batters[[#All],[PID]],0)),INDEX(Table3[[#All],[VELO]],MATCH(Table5[[#This Row],[PID]],Table3[[#All],[PID]],0)))</f>
        <v>3</v>
      </c>
      <c r="P17" s="56">
        <f>IF($C17="B",INDEX(Batters[[#All],[K P]],MATCH(Table5[[#This Row],[PID]],Batters[[#All],[PID]],0)),INDEX(Table3[[#All],[STM]],MATCH(Table5[[#This Row],[PID]],Table3[[#All],[PID]],0)))</f>
        <v>6</v>
      </c>
      <c r="Q17" s="61">
        <f>IF($C17="B",INDEX(Batters[[#All],[Tot]],MATCH(Table5[[#This Row],[PID]],Batters[[#All],[PID]],0)),INDEX(Table3[[#All],[Tot]],MATCH(Table5[[#This Row],[PID]],Table3[[#All],[PID]],0)))</f>
        <v>49.221850252982364</v>
      </c>
      <c r="R17" s="52">
        <f>IF($C17="B",INDEX(Batters[[#All],[zScore]],MATCH(Table5[[#This Row],[PID]],Batters[[#All],[PID]],0)),INDEX(Table3[[#All],[zScore]],MATCH(Table5[[#This Row],[PID]],Table3[[#All],[PID]],0)))</f>
        <v>1.1284675694021455</v>
      </c>
      <c r="S17" s="58" t="str">
        <f>IF($C17="B",INDEX(Batters[[#All],[DEM]],MATCH(Table5[[#This Row],[PID]],Batters[[#All],[PID]],0)),INDEX(Table3[[#All],[DEM]],MATCH(Table5[[#This Row],[PID]],Table3[[#All],[PID]],0)))</f>
        <v>$170k</v>
      </c>
      <c r="T17" s="62">
        <f>IF($C17="B",INDEX(Batters[[#All],[Rnk]],MATCH(Table5[[#This Row],[PID]],Batters[[#All],[PID]],0)),INDEX(Table3[[#All],[Rnk]],MATCH(Table5[[#This Row],[PID]],Table3[[#All],[PID]],0)))</f>
        <v>82</v>
      </c>
      <c r="U17" s="68">
        <f>IF($C17="B",VLOOKUP($A17,Bat!$A$4:$BA$1621,47,FALSE),VLOOKUP($A17,Pit!$A$4:$BF$1557,56,FALSE))</f>
        <v>0</v>
      </c>
      <c r="V17" s="50">
        <f>IF($C17="B",VLOOKUP($A17,Bat!$A$4:$BA$1621,48,FALSE),VLOOKUP($A17,Pit!$A$4:$BF$1557,57,FALSE))</f>
        <v>0</v>
      </c>
      <c r="W17" s="50">
        <f>Table5[[#This Row],[posRnk]]+Table5[[#This Row],[zRnk]]+IF($W$3&lt;&gt;Table5[[#This Row],[Type]],50,0)</f>
        <v>336</v>
      </c>
      <c r="X17" s="51">
        <f>RANK(Table5[[#This Row],[zScore]],Table5[[#All],[zScore]])</f>
        <v>204</v>
      </c>
      <c r="Y17" s="50">
        <f>IFERROR(INDEX(DraftResults[[#All],[OVR]],MATCH(Table5[[#This Row],[PID]],DraftResults[[#All],[Player ID]],0)),"")</f>
        <v>13</v>
      </c>
      <c r="Z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7" s="50">
        <f>IFERROR(INDEX(DraftResults[[#All],[Pick in Round]],MATCH(Table5[[#This Row],[PID]],DraftResults[[#All],[Player ID]],0)),"")</f>
        <v>13</v>
      </c>
      <c r="AB17" s="50" t="str">
        <f>IFERROR(INDEX(DraftResults[[#All],[Team Name]],MATCH(Table5[[#This Row],[PID]],DraftResults[[#All],[Player ID]],0)),"")</f>
        <v>Reno Zephyrs</v>
      </c>
      <c r="AC17" s="50">
        <f>IF(Table5[[#This Row],[Ovr]]="","",IF(Table5[[#This Row],[cmbList]]="","",Table5[[#This Row],[cmbList]]-Table5[[#This Row],[Ovr]]))</f>
        <v>323</v>
      </c>
      <c r="AD17" s="54" t="str">
        <f>IF(ISERROR(VLOOKUP($AB17&amp;"-"&amp;$E17&amp;" "&amp;F17,Bonuses!$B$1:$G$1006,4,FALSE)),"",INT(VLOOKUP($AB17&amp;"-"&amp;$E17&amp;" "&amp;$F17,Bonuses!$B$1:$G$1006,4,FALSE)))</f>
        <v/>
      </c>
      <c r="AE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1.13 (13) - SS Ken Schmidt</v>
      </c>
    </row>
    <row r="18" spans="1:31" s="50" customFormat="1" x14ac:dyDescent="0.25">
      <c r="A18" s="50">
        <v>18178</v>
      </c>
      <c r="B18" s="50">
        <f>COUNTIF(Table5[PID],A18)</f>
        <v>1</v>
      </c>
      <c r="C18" s="50" t="str">
        <f>IF(COUNTIF(Table3[[#All],[PID]],A18)&gt;0,"P","B")</f>
        <v>B</v>
      </c>
      <c r="D18" s="59" t="str">
        <f>IF($C18="B",INDEX(Batters[[#All],[POS]],MATCH(Table5[[#This Row],[PID]],Batters[[#All],[PID]],0)),INDEX(Table3[[#All],[POS]],MATCH(Table5[[#This Row],[PID]],Table3[[#All],[PID]],0)))</f>
        <v>2B</v>
      </c>
      <c r="E18" s="52" t="str">
        <f>IF($C18="B",INDEX(Batters[[#All],[First]],MATCH(Table5[[#This Row],[PID]],Batters[[#All],[PID]],0)),INDEX(Table3[[#All],[First]],MATCH(Table5[[#This Row],[PID]],Table3[[#All],[PID]],0)))</f>
        <v>Colin</v>
      </c>
      <c r="F18" s="50" t="str">
        <f>IF($C18="B",INDEX(Batters[[#All],[Last]],MATCH(A18,Batters[[#All],[PID]],0)),INDEX(Table3[[#All],[Last]],MATCH(A18,Table3[[#All],[PID]],0)))</f>
        <v>Kendall</v>
      </c>
      <c r="G18" s="56">
        <f>IF($C18="B",INDEX(Batters[[#All],[Age]],MATCH(Table5[[#This Row],[PID]],Batters[[#All],[PID]],0)),INDEX(Table3[[#All],[Age]],MATCH(Table5[[#This Row],[PID]],Table3[[#All],[PID]],0)))</f>
        <v>18</v>
      </c>
      <c r="H18" s="52" t="str">
        <f>IF($C18="B",INDEX(Batters[[#All],[B]],MATCH(Table5[[#This Row],[PID]],Batters[[#All],[PID]],0)),INDEX(Table3[[#All],[B]],MATCH(Table5[[#This Row],[PID]],Table3[[#All],[PID]],0)))</f>
        <v>R</v>
      </c>
      <c r="I18" s="52" t="str">
        <f>IF($C18="B",INDEX(Batters[[#All],[T]],MATCH(Table5[[#This Row],[PID]],Batters[[#All],[PID]],0)),INDEX(Table3[[#All],[T]],MATCH(Table5[[#This Row],[PID]],Table3[[#All],[PID]],0)))</f>
        <v>R</v>
      </c>
      <c r="J18" s="52" t="str">
        <f>IF($C18="B",INDEX(Batters[[#All],[WE]],MATCH(Table5[[#This Row],[PID]],Batters[[#All],[PID]],0)),INDEX(Table3[[#All],[WE]],MATCH(Table5[[#This Row],[PID]],Table3[[#All],[PID]],0)))</f>
        <v>High</v>
      </c>
      <c r="K18" s="52" t="str">
        <f>IF($C18="B",INDEX(Batters[[#All],[INT]],MATCH(Table5[[#This Row],[PID]],Batters[[#All],[PID]],0)),INDEX(Table3[[#All],[INT]],MATCH(Table5[[#This Row],[PID]],Table3[[#All],[PID]],0)))</f>
        <v>Normal</v>
      </c>
      <c r="L18" s="60">
        <f>IF($C18="B",INDEX(Batters[[#All],[CON P]],MATCH(Table5[[#This Row],[PID]],Batters[[#All],[PID]],0)),INDEX(Table3[[#All],[STU P]],MATCH(Table5[[#This Row],[PID]],Table3[[#All],[PID]],0)))</f>
        <v>5</v>
      </c>
      <c r="M18" s="56">
        <f>IF($C18="B",INDEX(Batters[[#All],[GAP P]],MATCH(Table5[[#This Row],[PID]],Batters[[#All],[PID]],0)),INDEX(Table3[[#All],[MOV P]],MATCH(Table5[[#This Row],[PID]],Table3[[#All],[PID]],0)))</f>
        <v>6</v>
      </c>
      <c r="N18" s="56">
        <f>IF($C18="B",INDEX(Batters[[#All],[POW P]],MATCH(Table5[[#This Row],[PID]],Batters[[#All],[PID]],0)),INDEX(Table3[[#All],[CON P]],MATCH(Table5[[#This Row],[PID]],Table3[[#All],[PID]],0)))</f>
        <v>2</v>
      </c>
      <c r="O18" s="56">
        <f>IF($C18="B",INDEX(Batters[[#All],[EYE P]],MATCH(Table5[[#This Row],[PID]],Batters[[#All],[PID]],0)),INDEX(Table3[[#All],[VELO]],MATCH(Table5[[#This Row],[PID]],Table3[[#All],[PID]],0)))</f>
        <v>3</v>
      </c>
      <c r="P18" s="56">
        <f>IF($C18="B",INDEX(Batters[[#All],[K P]],MATCH(Table5[[#This Row],[PID]],Batters[[#All],[PID]],0)),INDEX(Table3[[#All],[STM]],MATCH(Table5[[#This Row],[PID]],Table3[[#All],[PID]],0)))</f>
        <v>7</v>
      </c>
      <c r="Q18" s="61">
        <f>IF($C18="B",INDEX(Batters[[#All],[Tot]],MATCH(Table5[[#This Row],[PID]],Batters[[#All],[PID]],0)),INDEX(Table3[[#All],[Tot]],MATCH(Table5[[#This Row],[PID]],Table3[[#All],[PID]],0)))</f>
        <v>49.524075748629713</v>
      </c>
      <c r="R18" s="52">
        <f>IF($C18="B",INDEX(Batters[[#All],[zScore]],MATCH(Table5[[#This Row],[PID]],Batters[[#All],[PID]],0)),INDEX(Table3[[#All],[zScore]],MATCH(Table5[[#This Row],[PID]],Table3[[#All],[PID]],0)))</f>
        <v>1.1954730046419215</v>
      </c>
      <c r="S18" s="58" t="str">
        <f>IF($C18="B",INDEX(Batters[[#All],[DEM]],MATCH(Table5[[#This Row],[PID]],Batters[[#All],[PID]],0)),INDEX(Table3[[#All],[DEM]],MATCH(Table5[[#This Row],[PID]],Table3[[#All],[PID]],0)))</f>
        <v>$65k</v>
      </c>
      <c r="T18" s="62">
        <f>IF($C18="B",INDEX(Batters[[#All],[Rnk]],MATCH(Table5[[#This Row],[PID]],Batters[[#All],[PID]],0)),INDEX(Table3[[#All],[Rnk]],MATCH(Table5[[#This Row],[PID]],Table3[[#All],[PID]],0)))</f>
        <v>71</v>
      </c>
      <c r="U18" s="68">
        <f>IF($C18="B",VLOOKUP($A18,Bat!$A$4:$BA$1621,47,FALSE),VLOOKUP($A18,Pit!$A$4:$BF$1557,56,FALSE))</f>
        <v>0</v>
      </c>
      <c r="V18" s="50">
        <f>IF($C18="B",VLOOKUP($A18,Bat!$A$4:$BA$1621,48,FALSE),VLOOKUP($A18,Pit!$A$4:$BF$1557,57,FALSE))</f>
        <v>0</v>
      </c>
      <c r="W18" s="50">
        <f>Table5[[#This Row],[posRnk]]+Table5[[#This Row],[zRnk]]+IF($W$3&lt;&gt;Table5[[#This Row],[Type]],50,0)</f>
        <v>305</v>
      </c>
      <c r="X18" s="51">
        <f>RANK(Table5[[#This Row],[zScore]],Table5[[#All],[zScore]])</f>
        <v>184</v>
      </c>
      <c r="Y18" s="50">
        <f>IFERROR(INDEX(DraftResults[[#All],[OVR]],MATCH(Table5[[#This Row],[PID]],DraftResults[[#All],[Player ID]],0)),"")</f>
        <v>14</v>
      </c>
      <c r="Z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8" s="50">
        <f>IFERROR(INDEX(DraftResults[[#All],[Pick in Round]],MATCH(Table5[[#This Row],[PID]],DraftResults[[#All],[Player ID]],0)),"")</f>
        <v>14</v>
      </c>
      <c r="AB18" s="50" t="str">
        <f>IFERROR(INDEX(DraftResults[[#All],[Team Name]],MATCH(Table5[[#This Row],[PID]],DraftResults[[#All],[Player ID]],0)),"")</f>
        <v>Arlington Bureaucrats</v>
      </c>
      <c r="AC18" s="50">
        <f>IF(Table5[[#This Row],[Ovr]]="","",IF(Table5[[#This Row],[cmbList]]="","",Table5[[#This Row],[cmbList]]-Table5[[#This Row],[Ovr]]))</f>
        <v>291</v>
      </c>
      <c r="AD18" s="54" t="str">
        <f>IF(ISERROR(VLOOKUP($AB18&amp;"-"&amp;$E18&amp;" "&amp;F18,Bonuses!$B$1:$G$1006,4,FALSE)),"",INT(VLOOKUP($AB18&amp;"-"&amp;$E18&amp;" "&amp;$F18,Bonuses!$B$1:$G$1006,4,FALSE)))</f>
        <v/>
      </c>
      <c r="AE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1.14 (14) - 2B Colin Kendall</v>
      </c>
    </row>
    <row r="19" spans="1:31" s="50" customFormat="1" x14ac:dyDescent="0.25">
      <c r="A19" s="50">
        <v>20641</v>
      </c>
      <c r="B19" s="50">
        <f>COUNTIF(Table5[PID],A19)</f>
        <v>1</v>
      </c>
      <c r="C19" s="50" t="str">
        <f>IF(COUNTIF(Table3[[#All],[PID]],A19)&gt;0,"P","B")</f>
        <v>B</v>
      </c>
      <c r="D19" s="59" t="str">
        <f>IF($C19="B",INDEX(Batters[[#All],[POS]],MATCH(Table5[[#This Row],[PID]],Batters[[#All],[PID]],0)),INDEX(Table3[[#All],[POS]],MATCH(Table5[[#This Row],[PID]],Table3[[#All],[PID]],0)))</f>
        <v>2B</v>
      </c>
      <c r="E19" s="52" t="str">
        <f>IF($C19="B",INDEX(Batters[[#All],[First]],MATCH(Table5[[#This Row],[PID]],Batters[[#All],[PID]],0)),INDEX(Table3[[#All],[First]],MATCH(Table5[[#This Row],[PID]],Table3[[#All],[PID]],0)))</f>
        <v>Kyung-bae</v>
      </c>
      <c r="F19" s="50" t="str">
        <f>IF($C19="B",INDEX(Batters[[#All],[Last]],MATCH(A19,Batters[[#All],[PID]],0)),INDEX(Table3[[#All],[Last]],MATCH(A19,Table3[[#All],[PID]],0)))</f>
        <v>Kang</v>
      </c>
      <c r="G19" s="56">
        <f>IF($C19="B",INDEX(Batters[[#All],[Age]],MATCH(Table5[[#This Row],[PID]],Batters[[#All],[PID]],0)),INDEX(Table3[[#All],[Age]],MATCH(Table5[[#This Row],[PID]],Table3[[#All],[PID]],0)))</f>
        <v>17</v>
      </c>
      <c r="H19" s="52" t="str">
        <f>IF($C19="B",INDEX(Batters[[#All],[B]],MATCH(Table5[[#This Row],[PID]],Batters[[#All],[PID]],0)),INDEX(Table3[[#All],[B]],MATCH(Table5[[#This Row],[PID]],Table3[[#All],[PID]],0)))</f>
        <v>R</v>
      </c>
      <c r="I19" s="52" t="str">
        <f>IF($C19="B",INDEX(Batters[[#All],[T]],MATCH(Table5[[#This Row],[PID]],Batters[[#All],[PID]],0)),INDEX(Table3[[#All],[T]],MATCH(Table5[[#This Row],[PID]],Table3[[#All],[PID]],0)))</f>
        <v>R</v>
      </c>
      <c r="J19" s="52" t="str">
        <f>IF($C19="B",INDEX(Batters[[#All],[WE]],MATCH(Table5[[#This Row],[PID]],Batters[[#All],[PID]],0)),INDEX(Table3[[#All],[WE]],MATCH(Table5[[#This Row],[PID]],Table3[[#All],[PID]],0)))</f>
        <v>Normal</v>
      </c>
      <c r="K19" s="52" t="str">
        <f>IF($C19="B",INDEX(Batters[[#All],[INT]],MATCH(Table5[[#This Row],[PID]],Batters[[#All],[PID]],0)),INDEX(Table3[[#All],[INT]],MATCH(Table5[[#This Row],[PID]],Table3[[#All],[PID]],0)))</f>
        <v>Low</v>
      </c>
      <c r="L19" s="60">
        <f>IF($C19="B",INDEX(Batters[[#All],[CON P]],MATCH(Table5[[#This Row],[PID]],Batters[[#All],[PID]],0)),INDEX(Table3[[#All],[STU P]],MATCH(Table5[[#This Row],[PID]],Table3[[#All],[PID]],0)))</f>
        <v>6</v>
      </c>
      <c r="M19" s="56">
        <f>IF($C19="B",INDEX(Batters[[#All],[GAP P]],MATCH(Table5[[#This Row],[PID]],Batters[[#All],[PID]],0)),INDEX(Table3[[#All],[MOV P]],MATCH(Table5[[#This Row],[PID]],Table3[[#All],[PID]],0)))</f>
        <v>6</v>
      </c>
      <c r="N19" s="56">
        <f>IF($C19="B",INDEX(Batters[[#All],[POW P]],MATCH(Table5[[#This Row],[PID]],Batters[[#All],[PID]],0)),INDEX(Table3[[#All],[CON P]],MATCH(Table5[[#This Row],[PID]],Table3[[#All],[PID]],0)))</f>
        <v>7</v>
      </c>
      <c r="O19" s="56">
        <f>IF($C19="B",INDEX(Batters[[#All],[EYE P]],MATCH(Table5[[#This Row],[PID]],Batters[[#All],[PID]],0)),INDEX(Table3[[#All],[VELO]],MATCH(Table5[[#This Row],[PID]],Table3[[#All],[PID]],0)))</f>
        <v>6</v>
      </c>
      <c r="P19" s="56">
        <f>IF($C19="B",INDEX(Batters[[#All],[K P]],MATCH(Table5[[#This Row],[PID]],Batters[[#All],[PID]],0)),INDEX(Table3[[#All],[STM]],MATCH(Table5[[#This Row],[PID]],Table3[[#All],[PID]],0)))</f>
        <v>5</v>
      </c>
      <c r="Q19" s="61">
        <f>IF($C19="B",INDEX(Batters[[#All],[Tot]],MATCH(Table5[[#This Row],[PID]],Batters[[#All],[PID]],0)),INDEX(Table3[[#All],[Tot]],MATCH(Table5[[#This Row],[PID]],Table3[[#All],[PID]],0)))</f>
        <v>60.237247265999386</v>
      </c>
      <c r="R19" s="52">
        <f>IF($C19="B",INDEX(Batters[[#All],[zScore]],MATCH(Table5[[#This Row],[PID]],Batters[[#All],[PID]],0)),INDEX(Table3[[#All],[zScore]],MATCH(Table5[[#This Row],[PID]],Table3[[#All],[PID]],0)))</f>
        <v>3.5706555443616588</v>
      </c>
      <c r="S19" s="58" t="str">
        <f>IF($C19="B",INDEX(Batters[[#All],[DEM]],MATCH(Table5[[#This Row],[PID]],Batters[[#All],[PID]],0)),INDEX(Table3[[#All],[DEM]],MATCH(Table5[[#This Row],[PID]],Table3[[#All],[PID]],0)))</f>
        <v>$420k</v>
      </c>
      <c r="T19" s="62">
        <f>IF($C19="B",INDEX(Batters[[#All],[Rnk]],MATCH(Table5[[#This Row],[PID]],Batters[[#All],[PID]],0)),INDEX(Table3[[#All],[Rnk]],MATCH(Table5[[#This Row],[PID]],Table3[[#All],[PID]],0)))</f>
        <v>1</v>
      </c>
      <c r="U19" s="68">
        <f>IF($C19="B",VLOOKUP($A19,Bat!$A$4:$BA$1621,47,FALSE),VLOOKUP($A19,Pit!$A$4:$BF$1557,56,FALSE))</f>
        <v>0</v>
      </c>
      <c r="V19" s="50">
        <f>IF($C19="B",VLOOKUP($A19,Bat!$A$4:$BA$1621,48,FALSE),VLOOKUP($A19,Pit!$A$4:$BF$1557,57,FALSE))</f>
        <v>0</v>
      </c>
      <c r="W19" s="50">
        <f>Table5[[#This Row],[posRnk]]+Table5[[#This Row],[zRnk]]+IF($W$3&lt;&gt;Table5[[#This Row],[Type]],50,0)</f>
        <v>52</v>
      </c>
      <c r="X19" s="51">
        <f>RANK(Table5[[#This Row],[zScore]],Table5[[#All],[zScore]])</f>
        <v>1</v>
      </c>
      <c r="Y19" s="50">
        <f>IFERROR(INDEX(DraftResults[[#All],[OVR]],MATCH(Table5[[#This Row],[PID]],DraftResults[[#All],[Player ID]],0)),"")</f>
        <v>15</v>
      </c>
      <c r="Z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19" s="50">
        <f>IFERROR(INDEX(DraftResults[[#All],[Pick in Round]],MATCH(Table5[[#This Row],[PID]],DraftResults[[#All],[Player ID]],0)),"")</f>
        <v>15</v>
      </c>
      <c r="AB19" s="50" t="str">
        <f>IFERROR(INDEX(DraftResults[[#All],[Team Name]],MATCH(Table5[[#This Row],[PID]],DraftResults[[#All],[Player ID]],0)),"")</f>
        <v>Yuma Arroyos</v>
      </c>
      <c r="AC19" s="50">
        <f>IF(Table5[[#This Row],[Ovr]]="","",IF(Table5[[#This Row],[cmbList]]="","",Table5[[#This Row],[cmbList]]-Table5[[#This Row],[Ovr]]))</f>
        <v>37</v>
      </c>
      <c r="AD19" s="54" t="str">
        <f>IF(ISERROR(VLOOKUP($AB19&amp;"-"&amp;$E19&amp;" "&amp;F19,Bonuses!$B$1:$G$1006,4,FALSE)),"",INT(VLOOKUP($AB19&amp;"-"&amp;$E19&amp;" "&amp;$F19,Bonuses!$B$1:$G$1006,4,FALSE)))</f>
        <v/>
      </c>
      <c r="AE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1.15 (15) - 2B Kyung-bae Kang</v>
      </c>
    </row>
    <row r="20" spans="1:31" s="50" customFormat="1" x14ac:dyDescent="0.25">
      <c r="A20" s="68">
        <v>20700</v>
      </c>
      <c r="B20" s="69">
        <f>COUNTIF(Table5[PID],A20)</f>
        <v>1</v>
      </c>
      <c r="C20" s="69" t="str">
        <f>IF(COUNTIF(Table3[[#All],[PID]],A20)&gt;0,"P","B")</f>
        <v>P</v>
      </c>
      <c r="D20" s="59" t="str">
        <f>IF($C20="B",INDEX(Batters[[#All],[POS]],MATCH(Table5[[#This Row],[PID]],Batters[[#All],[PID]],0)),INDEX(Table3[[#All],[POS]],MATCH(Table5[[#This Row],[PID]],Table3[[#All],[PID]],0)))</f>
        <v>SP</v>
      </c>
      <c r="E20" s="52" t="str">
        <f>IF($C20="B",INDEX(Batters[[#All],[First]],MATCH(Table5[[#This Row],[PID]],Batters[[#All],[PID]],0)),INDEX(Table3[[#All],[First]],MATCH(Table5[[#This Row],[PID]],Table3[[#All],[PID]],0)))</f>
        <v>Jeremy</v>
      </c>
      <c r="F20" s="55" t="str">
        <f>IF($C20="B",INDEX(Batters[[#All],[Last]],MATCH(A20,Batters[[#All],[PID]],0)),INDEX(Table3[[#All],[Last]],MATCH(A20,Table3[[#All],[PID]],0)))</f>
        <v>Anderson</v>
      </c>
      <c r="G20" s="56">
        <f>IF($C20="B",INDEX(Batters[[#All],[Age]],MATCH(Table5[[#This Row],[PID]],Batters[[#All],[PID]],0)),INDEX(Table3[[#All],[Age]],MATCH(Table5[[#This Row],[PID]],Table3[[#All],[PID]],0)))</f>
        <v>19</v>
      </c>
      <c r="H20" s="52" t="str">
        <f>IF($C20="B",INDEX(Batters[[#All],[B]],MATCH(Table5[[#This Row],[PID]],Batters[[#All],[PID]],0)),INDEX(Table3[[#All],[B]],MATCH(Table5[[#This Row],[PID]],Table3[[#All],[PID]],0)))</f>
        <v>R</v>
      </c>
      <c r="I20" s="52" t="str">
        <f>IF($C20="B",INDEX(Batters[[#All],[T]],MATCH(Table5[[#This Row],[PID]],Batters[[#All],[PID]],0)),INDEX(Table3[[#All],[T]],MATCH(Table5[[#This Row],[PID]],Table3[[#All],[PID]],0)))</f>
        <v>R</v>
      </c>
      <c r="J20" s="71" t="str">
        <f>IF($C20="B",INDEX(Batters[[#All],[WE]],MATCH(Table5[[#This Row],[PID]],Batters[[#All],[PID]],0)),INDEX(Table3[[#All],[WE]],MATCH(Table5[[#This Row],[PID]],Table3[[#All],[PID]],0)))</f>
        <v>High</v>
      </c>
      <c r="K20" s="52" t="str">
        <f>IF($C20="B",INDEX(Batters[[#All],[INT]],MATCH(Table5[[#This Row],[PID]],Batters[[#All],[PID]],0)),INDEX(Table3[[#All],[INT]],MATCH(Table5[[#This Row],[PID]],Table3[[#All],[PID]],0)))</f>
        <v>Normal</v>
      </c>
      <c r="L20" s="60">
        <f>IF($C20="B",INDEX(Batters[[#All],[CON P]],MATCH(Table5[[#This Row],[PID]],Batters[[#All],[PID]],0)),INDEX(Table3[[#All],[STU P]],MATCH(Table5[[#This Row],[PID]],Table3[[#All],[PID]],0)))</f>
        <v>5</v>
      </c>
      <c r="M20" s="72">
        <f>IF($C20="B",INDEX(Batters[[#All],[GAP P]],MATCH(Table5[[#This Row],[PID]],Batters[[#All],[PID]],0)),INDEX(Table3[[#All],[MOV P]],MATCH(Table5[[#This Row],[PID]],Table3[[#All],[PID]],0)))</f>
        <v>5</v>
      </c>
      <c r="N20" s="72">
        <f>IF($C20="B",INDEX(Batters[[#All],[POW P]],MATCH(Table5[[#This Row],[PID]],Batters[[#All],[PID]],0)),INDEX(Table3[[#All],[CON P]],MATCH(Table5[[#This Row],[PID]],Table3[[#All],[PID]],0)))</f>
        <v>5</v>
      </c>
      <c r="O20" s="72" t="str">
        <f>IF($C20="B",INDEX(Batters[[#All],[EYE P]],MATCH(Table5[[#This Row],[PID]],Batters[[#All],[PID]],0)),INDEX(Table3[[#All],[VELO]],MATCH(Table5[[#This Row],[PID]],Table3[[#All],[PID]],0)))</f>
        <v>93-95 Mph</v>
      </c>
      <c r="P20" s="56">
        <f>IF($C20="B",INDEX(Batters[[#All],[K P]],MATCH(Table5[[#This Row],[PID]],Batters[[#All],[PID]],0)),INDEX(Table3[[#All],[STM]],MATCH(Table5[[#This Row],[PID]],Table3[[#All],[PID]],0)))</f>
        <v>8</v>
      </c>
      <c r="Q20" s="61">
        <f>IF($C20="B",INDEX(Batters[[#All],[Tot]],MATCH(Table5[[#This Row],[PID]],Batters[[#All],[PID]],0)),INDEX(Table3[[#All],[Tot]],MATCH(Table5[[#This Row],[PID]],Table3[[#All],[PID]],0)))</f>
        <v>63.04501223983722</v>
      </c>
      <c r="R20" s="52">
        <f>IF($C20="B",INDEX(Batters[[#All],[zScore]],MATCH(Table5[[#This Row],[PID]],Batters[[#All],[PID]],0)),INDEX(Table3[[#All],[zScore]],MATCH(Table5[[#This Row],[PID]],Table3[[#All],[PID]],0)))</f>
        <v>1.8078770411028831</v>
      </c>
      <c r="S20" s="78" t="str">
        <f>IF($C20="B",INDEX(Batters[[#All],[DEM]],MATCH(Table5[[#This Row],[PID]],Batters[[#All],[PID]],0)),INDEX(Table3[[#All],[DEM]],MATCH(Table5[[#This Row],[PID]],Table3[[#All],[PID]],0)))</f>
        <v>$2.0m</v>
      </c>
      <c r="T20" s="75">
        <f>IF($C20="B",INDEX(Batters[[#All],[Rnk]],MATCH(Table5[[#This Row],[PID]],Batters[[#All],[PID]],0)),INDEX(Table3[[#All],[Rnk]],MATCH(Table5[[#This Row],[PID]],Table3[[#All],[PID]],0)))</f>
        <v>43</v>
      </c>
      <c r="U20" s="68">
        <f>IF($C20="B",VLOOKUP($A20,Bat!$A$4:$BA$1621,47,FALSE),VLOOKUP($A20,Pit!$A$4:$BF$1557,56,FALSE))</f>
        <v>0</v>
      </c>
      <c r="V20" s="50">
        <f>IF($C20="B",VLOOKUP($A20,Bat!$A$4:$BA$1621,48,FALSE),VLOOKUP($A20,Pit!$A$4:$BF$1557,57,FALSE))</f>
        <v>0</v>
      </c>
      <c r="W20" s="69">
        <f>Table5[[#This Row],[posRnk]]+Table5[[#This Row],[zRnk]]+IF($W$3&lt;&gt;Table5[[#This Row],[Type]],50,0)</f>
        <v>161</v>
      </c>
      <c r="X20" s="73">
        <f>RANK(Table5[[#This Row],[zScore]],Table5[[#All],[zScore]])</f>
        <v>68</v>
      </c>
      <c r="Y20" s="69">
        <f>IFERROR(INDEX(DraftResults[[#All],[OVR]],MATCH(Table5[[#This Row],[PID]],DraftResults[[#All],[Player ID]],0)),"")</f>
        <v>16</v>
      </c>
      <c r="Z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0" s="69">
        <f>IFERROR(INDEX(DraftResults[[#All],[Pick in Round]],MATCH(Table5[[#This Row],[PID]],DraftResults[[#All],[Player ID]],0)),"")</f>
        <v>16</v>
      </c>
      <c r="AB20" s="69" t="str">
        <f>IFERROR(INDEX(DraftResults[[#All],[Team Name]],MATCH(Table5[[#This Row],[PID]],DraftResults[[#All],[Player ID]],0)),"")</f>
        <v>Madison Malts</v>
      </c>
      <c r="AC20" s="69">
        <f>IF(Table5[[#This Row],[Ovr]]="","",IF(Table5[[#This Row],[cmbList]]="","",Table5[[#This Row],[cmbList]]-Table5[[#This Row],[Ovr]]))</f>
        <v>145</v>
      </c>
      <c r="AD20" s="77" t="str">
        <f>IF(ISERROR(VLOOKUP($AB20&amp;"-"&amp;$E20&amp;" "&amp;F20,Bonuses!$B$1:$G$1006,4,FALSE)),"",INT(VLOOKUP($AB20&amp;"-"&amp;$E20&amp;" "&amp;$F20,Bonuses!$B$1:$G$1006,4,FALSE)))</f>
        <v/>
      </c>
      <c r="AE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1.16 (16) - SP Jeremy Anderson</v>
      </c>
    </row>
    <row r="21" spans="1:31" s="50" customFormat="1" x14ac:dyDescent="0.25">
      <c r="A21" s="50">
        <v>18108</v>
      </c>
      <c r="B21" s="50">
        <f>COUNTIF(Table5[PID],A21)</f>
        <v>1</v>
      </c>
      <c r="C21" s="50" t="str">
        <f>IF(COUNTIF(Table3[[#All],[PID]],A21)&gt;0,"P","B")</f>
        <v>B</v>
      </c>
      <c r="D21" s="59" t="str">
        <f>IF($C21="B",INDEX(Batters[[#All],[POS]],MATCH(Table5[[#This Row],[PID]],Batters[[#All],[PID]],0)),INDEX(Table3[[#All],[POS]],MATCH(Table5[[#This Row],[PID]],Table3[[#All],[PID]],0)))</f>
        <v>RF</v>
      </c>
      <c r="E21" s="52" t="str">
        <f>IF($C21="B",INDEX(Batters[[#All],[First]],MATCH(Table5[[#This Row],[PID]],Batters[[#All],[PID]],0)),INDEX(Table3[[#All],[First]],MATCH(Table5[[#This Row],[PID]],Table3[[#All],[PID]],0)))</f>
        <v>Bruce</v>
      </c>
      <c r="F21" s="50" t="str">
        <f>IF($C21="B",INDEX(Batters[[#All],[Last]],MATCH(A21,Batters[[#All],[PID]],0)),INDEX(Table3[[#All],[Last]],MATCH(A21,Table3[[#All],[PID]],0)))</f>
        <v>Lawson</v>
      </c>
      <c r="G21" s="56">
        <f>IF($C21="B",INDEX(Batters[[#All],[Age]],MATCH(Table5[[#This Row],[PID]],Batters[[#All],[PID]],0)),INDEX(Table3[[#All],[Age]],MATCH(Table5[[#This Row],[PID]],Table3[[#All],[PID]],0)))</f>
        <v>21</v>
      </c>
      <c r="H21" s="52" t="str">
        <f>IF($C21="B",INDEX(Batters[[#All],[B]],MATCH(Table5[[#This Row],[PID]],Batters[[#All],[PID]],0)),INDEX(Table3[[#All],[B]],MATCH(Table5[[#This Row],[PID]],Table3[[#All],[PID]],0)))</f>
        <v>L</v>
      </c>
      <c r="I21" s="52" t="str">
        <f>IF($C21="B",INDEX(Batters[[#All],[T]],MATCH(Table5[[#This Row],[PID]],Batters[[#All],[PID]],0)),INDEX(Table3[[#All],[T]],MATCH(Table5[[#This Row],[PID]],Table3[[#All],[PID]],0)))</f>
        <v>L</v>
      </c>
      <c r="J21" s="52" t="str">
        <f>IF($C21="B",INDEX(Batters[[#All],[WE]],MATCH(Table5[[#This Row],[PID]],Batters[[#All],[PID]],0)),INDEX(Table3[[#All],[WE]],MATCH(Table5[[#This Row],[PID]],Table3[[#All],[PID]],0)))</f>
        <v>High</v>
      </c>
      <c r="K21" s="52" t="str">
        <f>IF($C21="B",INDEX(Batters[[#All],[INT]],MATCH(Table5[[#This Row],[PID]],Batters[[#All],[PID]],0)),INDEX(Table3[[#All],[INT]],MATCH(Table5[[#This Row],[PID]],Table3[[#All],[PID]],0)))</f>
        <v>Normal</v>
      </c>
      <c r="L21" s="60">
        <f>IF($C21="B",INDEX(Batters[[#All],[CON P]],MATCH(Table5[[#This Row],[PID]],Batters[[#All],[PID]],0)),INDEX(Table3[[#All],[STU P]],MATCH(Table5[[#This Row],[PID]],Table3[[#All],[PID]],0)))</f>
        <v>7</v>
      </c>
      <c r="M21" s="56">
        <f>IF($C21="B",INDEX(Batters[[#All],[GAP P]],MATCH(Table5[[#This Row],[PID]],Batters[[#All],[PID]],0)),INDEX(Table3[[#All],[MOV P]],MATCH(Table5[[#This Row],[PID]],Table3[[#All],[PID]],0)))</f>
        <v>7</v>
      </c>
      <c r="N21" s="56">
        <f>IF($C21="B",INDEX(Batters[[#All],[POW P]],MATCH(Table5[[#This Row],[PID]],Batters[[#All],[PID]],0)),INDEX(Table3[[#All],[CON P]],MATCH(Table5[[#This Row],[PID]],Table3[[#All],[PID]],0)))</f>
        <v>7</v>
      </c>
      <c r="O21" s="56">
        <f>IF($C21="B",INDEX(Batters[[#All],[EYE P]],MATCH(Table5[[#This Row],[PID]],Batters[[#All],[PID]],0)),INDEX(Table3[[#All],[VELO]],MATCH(Table5[[#This Row],[PID]],Table3[[#All],[PID]],0)))</f>
        <v>4</v>
      </c>
      <c r="P21" s="56">
        <f>IF($C21="B",INDEX(Batters[[#All],[K P]],MATCH(Table5[[#This Row],[PID]],Batters[[#All],[PID]],0)),INDEX(Table3[[#All],[STM]],MATCH(Table5[[#This Row],[PID]],Table3[[#All],[PID]],0)))</f>
        <v>6</v>
      </c>
      <c r="Q21" s="61">
        <f>IF($C21="B",INDEX(Batters[[#All],[Tot]],MATCH(Table5[[#This Row],[PID]],Batters[[#All],[PID]],0)),INDEX(Table3[[#All],[Tot]],MATCH(Table5[[#This Row],[PID]],Table3[[#All],[PID]],0)))</f>
        <v>58.771090877581329</v>
      </c>
      <c r="R21" s="52">
        <f>IF($C21="B",INDEX(Batters[[#All],[zScore]],MATCH(Table5[[#This Row],[PID]],Batters[[#All],[PID]],0)),INDEX(Table3[[#All],[zScore]],MATCH(Table5[[#This Row],[PID]],Table3[[#All],[PID]],0)))</f>
        <v>3.2455987627519378</v>
      </c>
      <c r="S21" s="58" t="str">
        <f>IF($C21="B",INDEX(Batters[[#All],[DEM]],MATCH(Table5[[#This Row],[PID]],Batters[[#All],[PID]],0)),INDEX(Table3[[#All],[DEM]],MATCH(Table5[[#This Row],[PID]],Table3[[#All],[PID]],0)))</f>
        <v>$210k</v>
      </c>
      <c r="T21" s="62">
        <f>IF($C21="B",INDEX(Batters[[#All],[Rnk]],MATCH(Table5[[#This Row],[PID]],Batters[[#All],[PID]],0)),INDEX(Table3[[#All],[Rnk]],MATCH(Table5[[#This Row],[PID]],Table3[[#All],[PID]],0)))</f>
        <v>4</v>
      </c>
      <c r="U21" s="68">
        <f>IF($C21="B",VLOOKUP($A21,Bat!$A$4:$BA$1621,47,FALSE),VLOOKUP($A21,Pit!$A$4:$BF$1557,56,FALSE))</f>
        <v>0</v>
      </c>
      <c r="V21" s="50">
        <f>IF($C21="B",VLOOKUP($A21,Bat!$A$4:$BA$1621,48,FALSE),VLOOKUP($A21,Pit!$A$4:$BF$1557,57,FALSE))</f>
        <v>0</v>
      </c>
      <c r="W21" s="50">
        <f>Table5[[#This Row],[posRnk]]+Table5[[#This Row],[zRnk]]+IF($W$3&lt;&gt;Table5[[#This Row],[Type]],50,0)</f>
        <v>58</v>
      </c>
      <c r="X21" s="51">
        <f>RANK(Table5[[#This Row],[zScore]],Table5[[#All],[zScore]])</f>
        <v>4</v>
      </c>
      <c r="Y21" s="50">
        <f>IFERROR(INDEX(DraftResults[[#All],[OVR]],MATCH(Table5[[#This Row],[PID]],DraftResults[[#All],[Player ID]],0)),"")</f>
        <v>17</v>
      </c>
      <c r="Z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1" s="50">
        <f>IFERROR(INDEX(DraftResults[[#All],[Pick in Round]],MATCH(Table5[[#This Row],[PID]],DraftResults[[#All],[Player ID]],0)),"")</f>
        <v>17</v>
      </c>
      <c r="AB21" s="50" t="str">
        <f>IFERROR(INDEX(DraftResults[[#All],[Team Name]],MATCH(Table5[[#This Row],[PID]],DraftResults[[#All],[Player ID]],0)),"")</f>
        <v>West Virginia Alleghenies</v>
      </c>
      <c r="AC21" s="50">
        <f>IF(Table5[[#This Row],[Ovr]]="","",IF(Table5[[#This Row],[cmbList]]="","",Table5[[#This Row],[cmbList]]-Table5[[#This Row],[Ovr]]))</f>
        <v>41</v>
      </c>
      <c r="AD21" s="54" t="str">
        <f>IF(ISERROR(VLOOKUP($AB21&amp;"-"&amp;$E21&amp;" "&amp;F21,Bonuses!$B$1:$G$1006,4,FALSE)),"",INT(VLOOKUP($AB21&amp;"-"&amp;$E21&amp;" "&amp;$F21,Bonuses!$B$1:$G$1006,4,FALSE)))</f>
        <v/>
      </c>
      <c r="AE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1.17 (17) - RF Bruce Lawson</v>
      </c>
    </row>
    <row r="22" spans="1:31" s="50" customFormat="1" x14ac:dyDescent="0.25">
      <c r="A22" s="68">
        <v>18362</v>
      </c>
      <c r="B22" s="69">
        <f>COUNTIF(Table5[PID],A22)</f>
        <v>1</v>
      </c>
      <c r="C22" s="69" t="str">
        <f>IF(COUNTIF(Table3[[#All],[PID]],A22)&gt;0,"P","B")</f>
        <v>P</v>
      </c>
      <c r="D22" s="59" t="str">
        <f>IF($C22="B",INDEX(Batters[[#All],[POS]],MATCH(Table5[[#This Row],[PID]],Batters[[#All],[PID]],0)),INDEX(Table3[[#All],[POS]],MATCH(Table5[[#This Row],[PID]],Table3[[#All],[PID]],0)))</f>
        <v>SP</v>
      </c>
      <c r="E22" s="52" t="str">
        <f>IF($C22="B",INDEX(Batters[[#All],[First]],MATCH(Table5[[#This Row],[PID]],Batters[[#All],[PID]],0)),INDEX(Table3[[#All],[First]],MATCH(Table5[[#This Row],[PID]],Table3[[#All],[PID]],0)))</f>
        <v>Adam</v>
      </c>
      <c r="F22" s="55" t="str">
        <f>IF($C22="B",INDEX(Batters[[#All],[Last]],MATCH(A22,Batters[[#All],[PID]],0)),INDEX(Table3[[#All],[Last]],MATCH(A22,Table3[[#All],[PID]],0)))</f>
        <v>Geake</v>
      </c>
      <c r="G22" s="56">
        <f>IF($C22="B",INDEX(Batters[[#All],[Age]],MATCH(Table5[[#This Row],[PID]],Batters[[#All],[PID]],0)),INDEX(Table3[[#All],[Age]],MATCH(Table5[[#This Row],[PID]],Table3[[#All],[PID]],0)))</f>
        <v>18</v>
      </c>
      <c r="H22" s="52" t="str">
        <f>IF($C22="B",INDEX(Batters[[#All],[B]],MATCH(Table5[[#This Row],[PID]],Batters[[#All],[PID]],0)),INDEX(Table3[[#All],[B]],MATCH(Table5[[#This Row],[PID]],Table3[[#All],[PID]],0)))</f>
        <v>R</v>
      </c>
      <c r="I22" s="52" t="str">
        <f>IF($C22="B",INDEX(Batters[[#All],[T]],MATCH(Table5[[#This Row],[PID]],Batters[[#All],[PID]],0)),INDEX(Table3[[#All],[T]],MATCH(Table5[[#This Row],[PID]],Table3[[#All],[PID]],0)))</f>
        <v>R</v>
      </c>
      <c r="J22" s="71" t="str">
        <f>IF($C22="B",INDEX(Batters[[#All],[WE]],MATCH(Table5[[#This Row],[PID]],Batters[[#All],[PID]],0)),INDEX(Table3[[#All],[WE]],MATCH(Table5[[#This Row],[PID]],Table3[[#All],[PID]],0)))</f>
        <v>High</v>
      </c>
      <c r="K22" s="52" t="str">
        <f>IF($C22="B",INDEX(Batters[[#All],[INT]],MATCH(Table5[[#This Row],[PID]],Batters[[#All],[PID]],0)),INDEX(Table3[[#All],[INT]],MATCH(Table5[[#This Row],[PID]],Table3[[#All],[PID]],0)))</f>
        <v>Normal</v>
      </c>
      <c r="L22" s="60">
        <f>IF($C22="B",INDEX(Batters[[#All],[CON P]],MATCH(Table5[[#This Row],[PID]],Batters[[#All],[PID]],0)),INDEX(Table3[[#All],[STU P]],MATCH(Table5[[#This Row],[PID]],Table3[[#All],[PID]],0)))</f>
        <v>5</v>
      </c>
      <c r="M22" s="72">
        <f>IF($C22="B",INDEX(Batters[[#All],[GAP P]],MATCH(Table5[[#This Row],[PID]],Batters[[#All],[PID]],0)),INDEX(Table3[[#All],[MOV P]],MATCH(Table5[[#This Row],[PID]],Table3[[#All],[PID]],0)))</f>
        <v>6</v>
      </c>
      <c r="N22" s="72">
        <f>IF($C22="B",INDEX(Batters[[#All],[POW P]],MATCH(Table5[[#This Row],[PID]],Batters[[#All],[PID]],0)),INDEX(Table3[[#All],[CON P]],MATCH(Table5[[#This Row],[PID]],Table3[[#All],[PID]],0)))</f>
        <v>6</v>
      </c>
      <c r="O22" s="72" t="str">
        <f>IF($C22="B",INDEX(Batters[[#All],[EYE P]],MATCH(Table5[[#This Row],[PID]],Batters[[#All],[PID]],0)),INDEX(Table3[[#All],[VELO]],MATCH(Table5[[#This Row],[PID]],Table3[[#All],[PID]],0)))</f>
        <v>93-95 Mph</v>
      </c>
      <c r="P22" s="56">
        <f>IF($C22="B",INDEX(Batters[[#All],[K P]],MATCH(Table5[[#This Row],[PID]],Batters[[#All],[PID]],0)),INDEX(Table3[[#All],[STM]],MATCH(Table5[[#This Row],[PID]],Table3[[#All],[PID]],0)))</f>
        <v>7</v>
      </c>
      <c r="Q22" s="61">
        <f>IF($C22="B",INDEX(Batters[[#All],[Tot]],MATCH(Table5[[#This Row],[PID]],Batters[[#All],[PID]],0)),INDEX(Table3[[#All],[Tot]],MATCH(Table5[[#This Row],[PID]],Table3[[#All],[PID]],0)))</f>
        <v>71.16444718436918</v>
      </c>
      <c r="R22" s="52">
        <f>IF($C22="B",INDEX(Batters[[#All],[zScore]],MATCH(Table5[[#This Row],[PID]],Batters[[#All],[PID]],0)),INDEX(Table3[[#All],[zScore]],MATCH(Table5[[#This Row],[PID]],Table3[[#All],[PID]],0)))</f>
        <v>2.3480506405822625</v>
      </c>
      <c r="S22" s="78" t="str">
        <f>IF($C22="B",INDEX(Batters[[#All],[DEM]],MATCH(Table5[[#This Row],[PID]],Batters[[#All],[PID]],0)),INDEX(Table3[[#All],[DEM]],MATCH(Table5[[#This Row],[PID]],Table3[[#All],[PID]],0)))</f>
        <v>$2.4m</v>
      </c>
      <c r="T22" s="75">
        <f>IF($C22="B",INDEX(Batters[[#All],[Rnk]],MATCH(Table5[[#This Row],[PID]],Batters[[#All],[PID]],0)),INDEX(Table3[[#All],[Rnk]],MATCH(Table5[[#This Row],[PID]],Table3[[#All],[PID]],0)))</f>
        <v>11</v>
      </c>
      <c r="U22" s="68">
        <f>IF($C22="B",VLOOKUP($A22,Bat!$A$4:$BA$1621,47,FALSE),VLOOKUP($A22,Pit!$A$4:$BF$1557,56,FALSE))</f>
        <v>0</v>
      </c>
      <c r="V22" s="50">
        <f>IF($C22="B",VLOOKUP($A22,Bat!$A$4:$BA$1621,48,FALSE),VLOOKUP($A22,Pit!$A$4:$BF$1557,57,FALSE))</f>
        <v>0</v>
      </c>
      <c r="W22" s="69">
        <f>Table5[[#This Row],[posRnk]]+Table5[[#This Row],[zRnk]]+IF($W$3&lt;&gt;Table5[[#This Row],[Type]],50,0)</f>
        <v>83</v>
      </c>
      <c r="X22" s="73">
        <f>RANK(Table5[[#This Row],[zScore]],Table5[[#All],[zScore]])</f>
        <v>22</v>
      </c>
      <c r="Y22" s="69">
        <f>IFERROR(INDEX(DraftResults[[#All],[OVR]],MATCH(Table5[[#This Row],[PID]],DraftResults[[#All],[Player ID]],0)),"")</f>
        <v>18</v>
      </c>
      <c r="Z2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2" s="69">
        <f>IFERROR(INDEX(DraftResults[[#All],[Pick in Round]],MATCH(Table5[[#This Row],[PID]],DraftResults[[#All],[Player ID]],0)),"")</f>
        <v>18</v>
      </c>
      <c r="AB22" s="69" t="str">
        <f>IFERROR(INDEX(DraftResults[[#All],[Team Name]],MATCH(Table5[[#This Row],[PID]],DraftResults[[#All],[Player ID]],0)),"")</f>
        <v>Kalamazoo Badgers</v>
      </c>
      <c r="AC22" s="69">
        <f>IF(Table5[[#This Row],[Ovr]]="","",IF(Table5[[#This Row],[cmbList]]="","",Table5[[#This Row],[cmbList]]-Table5[[#This Row],[Ovr]]))</f>
        <v>65</v>
      </c>
      <c r="AD22" s="77" t="str">
        <f>IF(ISERROR(VLOOKUP($AB22&amp;"-"&amp;$E22&amp;" "&amp;F22,Bonuses!$B$1:$G$1006,4,FALSE)),"",INT(VLOOKUP($AB22&amp;"-"&amp;$E22&amp;" "&amp;$F22,Bonuses!$B$1:$G$1006,4,FALSE)))</f>
        <v/>
      </c>
      <c r="AE2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1.18 (18) - SP Adam Geake</v>
      </c>
    </row>
    <row r="23" spans="1:31" s="50" customFormat="1" x14ac:dyDescent="0.25">
      <c r="A23" s="50">
        <v>18445</v>
      </c>
      <c r="B23" s="50">
        <f>COUNTIF(Table5[PID],A23)</f>
        <v>1</v>
      </c>
      <c r="C23" s="50" t="str">
        <f>IF(COUNTIF(Table3[[#All],[PID]],A23)&gt;0,"P","B")</f>
        <v>B</v>
      </c>
      <c r="D23" s="59" t="str">
        <f>IF($C23="B",INDEX(Batters[[#All],[POS]],MATCH(Table5[[#This Row],[PID]],Batters[[#All],[PID]],0)),INDEX(Table3[[#All],[POS]],MATCH(Table5[[#This Row],[PID]],Table3[[#All],[PID]],0)))</f>
        <v>3B</v>
      </c>
      <c r="E23" s="52" t="str">
        <f>IF($C23="B",INDEX(Batters[[#All],[First]],MATCH(Table5[[#This Row],[PID]],Batters[[#All],[PID]],0)),INDEX(Table3[[#All],[First]],MATCH(Table5[[#This Row],[PID]],Table3[[#All],[PID]],0)))</f>
        <v>Adam</v>
      </c>
      <c r="F23" s="50" t="str">
        <f>IF($C23="B",INDEX(Batters[[#All],[Last]],MATCH(A23,Batters[[#All],[PID]],0)),INDEX(Table3[[#All],[Last]],MATCH(A23,Table3[[#All],[PID]],0)))</f>
        <v>Eikelenboom</v>
      </c>
      <c r="G23" s="56">
        <f>IF($C23="B",INDEX(Batters[[#All],[Age]],MATCH(Table5[[#This Row],[PID]],Batters[[#All],[PID]],0)),INDEX(Table3[[#All],[Age]],MATCH(Table5[[#This Row],[PID]],Table3[[#All],[PID]],0)))</f>
        <v>18</v>
      </c>
      <c r="H23" s="52" t="str">
        <f>IF($C23="B",INDEX(Batters[[#All],[B]],MATCH(Table5[[#This Row],[PID]],Batters[[#All],[PID]],0)),INDEX(Table3[[#All],[B]],MATCH(Table5[[#This Row],[PID]],Table3[[#All],[PID]],0)))</f>
        <v>R</v>
      </c>
      <c r="I23" s="52" t="str">
        <f>IF($C23="B",INDEX(Batters[[#All],[T]],MATCH(Table5[[#This Row],[PID]],Batters[[#All],[PID]],0)),INDEX(Table3[[#All],[T]],MATCH(Table5[[#This Row],[PID]],Table3[[#All],[PID]],0)))</f>
        <v>R</v>
      </c>
      <c r="J23" s="52" t="str">
        <f>IF($C23="B",INDEX(Batters[[#All],[WE]],MATCH(Table5[[#This Row],[PID]],Batters[[#All],[PID]],0)),INDEX(Table3[[#All],[WE]],MATCH(Table5[[#This Row],[PID]],Table3[[#All],[PID]],0)))</f>
        <v>Normal</v>
      </c>
      <c r="K23" s="52" t="str">
        <f>IF($C23="B",INDEX(Batters[[#All],[INT]],MATCH(Table5[[#This Row],[PID]],Batters[[#All],[PID]],0)),INDEX(Table3[[#All],[INT]],MATCH(Table5[[#This Row],[PID]],Table3[[#All],[PID]],0)))</f>
        <v>Normal</v>
      </c>
      <c r="L23" s="60">
        <f>IF($C23="B",INDEX(Batters[[#All],[CON P]],MATCH(Table5[[#This Row],[PID]],Batters[[#All],[PID]],0)),INDEX(Table3[[#All],[STU P]],MATCH(Table5[[#This Row],[PID]],Table3[[#All],[PID]],0)))</f>
        <v>5</v>
      </c>
      <c r="M23" s="56">
        <f>IF($C23="B",INDEX(Batters[[#All],[GAP P]],MATCH(Table5[[#This Row],[PID]],Batters[[#All],[PID]],0)),INDEX(Table3[[#All],[MOV P]],MATCH(Table5[[#This Row],[PID]],Table3[[#All],[PID]],0)))</f>
        <v>5</v>
      </c>
      <c r="N23" s="56">
        <f>IF($C23="B",INDEX(Batters[[#All],[POW P]],MATCH(Table5[[#This Row],[PID]],Batters[[#All],[PID]],0)),INDEX(Table3[[#All],[CON P]],MATCH(Table5[[#This Row],[PID]],Table3[[#All],[PID]],0)))</f>
        <v>8</v>
      </c>
      <c r="O23" s="56">
        <f>IF($C23="B",INDEX(Batters[[#All],[EYE P]],MATCH(Table5[[#This Row],[PID]],Batters[[#All],[PID]],0)),INDEX(Table3[[#All],[VELO]],MATCH(Table5[[#This Row],[PID]],Table3[[#All],[PID]],0)))</f>
        <v>6</v>
      </c>
      <c r="P23" s="56">
        <f>IF($C23="B",INDEX(Batters[[#All],[K P]],MATCH(Table5[[#This Row],[PID]],Batters[[#All],[PID]],0)),INDEX(Table3[[#All],[STM]],MATCH(Table5[[#This Row],[PID]],Table3[[#All],[PID]],0)))</f>
        <v>4</v>
      </c>
      <c r="Q23" s="61">
        <f>IF($C23="B",INDEX(Batters[[#All],[Tot]],MATCH(Table5[[#This Row],[PID]],Batters[[#All],[PID]],0)),INDEX(Table3[[#All],[Tot]],MATCH(Table5[[#This Row],[PID]],Table3[[#All],[PID]],0)))</f>
        <v>56.552986755278695</v>
      </c>
      <c r="R23" s="52">
        <f>IF($C23="B",INDEX(Batters[[#All],[zScore]],MATCH(Table5[[#This Row],[PID]],Batters[[#All],[PID]],0)),INDEX(Table3[[#All],[zScore]],MATCH(Table5[[#This Row],[PID]],Table3[[#All],[PID]],0)))</f>
        <v>2.7538300858450357</v>
      </c>
      <c r="S23" s="58" t="str">
        <f>IF($C23="B",INDEX(Batters[[#All],[DEM]],MATCH(Table5[[#This Row],[PID]],Batters[[#All],[PID]],0)),INDEX(Table3[[#All],[DEM]],MATCH(Table5[[#This Row],[PID]],Table3[[#All],[PID]],0)))</f>
        <v>$750k</v>
      </c>
      <c r="T23" s="62">
        <f>IF($C23="B",INDEX(Batters[[#All],[Rnk]],MATCH(Table5[[#This Row],[PID]],Batters[[#All],[PID]],0)),INDEX(Table3[[#All],[Rnk]],MATCH(Table5[[#This Row],[PID]],Table3[[#All],[PID]],0)))</f>
        <v>8</v>
      </c>
      <c r="U23" s="68">
        <f>IF($C23="B",VLOOKUP($A23,Bat!$A$4:$BA$1621,47,FALSE),VLOOKUP($A23,Pit!$A$4:$BF$1557,56,FALSE))</f>
        <v>0</v>
      </c>
      <c r="V23" s="50">
        <f>IF($C23="B",VLOOKUP($A23,Bat!$A$4:$BA$1621,48,FALSE),VLOOKUP($A23,Pit!$A$4:$BF$1557,57,FALSE))</f>
        <v>0</v>
      </c>
      <c r="W23" s="50">
        <f>Table5[[#This Row],[posRnk]]+Table5[[#This Row],[zRnk]]+IF($W$3&lt;&gt;Table5[[#This Row],[Type]],50,0)</f>
        <v>68</v>
      </c>
      <c r="X23" s="51">
        <f>RANK(Table5[[#This Row],[zScore]],Table5[[#All],[zScore]])</f>
        <v>10</v>
      </c>
      <c r="Y23" s="50">
        <f>IFERROR(INDEX(DraftResults[[#All],[OVR]],MATCH(Table5[[#This Row],[PID]],DraftResults[[#All],[Player ID]],0)),"")</f>
        <v>19</v>
      </c>
      <c r="Z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3" s="50">
        <f>IFERROR(INDEX(DraftResults[[#All],[Pick in Round]],MATCH(Table5[[#This Row],[PID]],DraftResults[[#All],[Player ID]],0)),"")</f>
        <v>19</v>
      </c>
      <c r="AB23" s="50" t="str">
        <f>IFERROR(INDEX(DraftResults[[#All],[Team Name]],MATCH(Table5[[#This Row],[PID]],DraftResults[[#All],[Player ID]],0)),"")</f>
        <v>Florida Farstriders</v>
      </c>
      <c r="AC23" s="50">
        <f>IF(Table5[[#This Row],[Ovr]]="","",IF(Table5[[#This Row],[cmbList]]="","",Table5[[#This Row],[cmbList]]-Table5[[#This Row],[Ovr]]))</f>
        <v>49</v>
      </c>
      <c r="AD23" s="54" t="str">
        <f>IF(ISERROR(VLOOKUP($AB23&amp;"-"&amp;$E23&amp;" "&amp;F23,Bonuses!$B$1:$G$1006,4,FALSE)),"",INT(VLOOKUP($AB23&amp;"-"&amp;$E23&amp;" "&amp;$F23,Bonuses!$B$1:$G$1006,4,FALSE)))</f>
        <v/>
      </c>
      <c r="AE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1.19 (19) - 3B Adam Eikelenboom</v>
      </c>
    </row>
    <row r="24" spans="1:31" s="50" customFormat="1" x14ac:dyDescent="0.25">
      <c r="A24" s="50">
        <v>17775</v>
      </c>
      <c r="B24" s="50">
        <f>COUNTIF(Table5[PID],A24)</f>
        <v>1</v>
      </c>
      <c r="C24" s="50" t="str">
        <f>IF(COUNTIF(Table3[[#All],[PID]],A24)&gt;0,"P","B")</f>
        <v>P</v>
      </c>
      <c r="D24" s="59" t="str">
        <f>IF($C24="B",INDEX(Batters[[#All],[POS]],MATCH(Table5[[#This Row],[PID]],Batters[[#All],[PID]],0)),INDEX(Table3[[#All],[POS]],MATCH(Table5[[#This Row],[PID]],Table3[[#All],[PID]],0)))</f>
        <v>CL</v>
      </c>
      <c r="E24" s="52" t="str">
        <f>IF($C24="B",INDEX(Batters[[#All],[First]],MATCH(Table5[[#This Row],[PID]],Batters[[#All],[PID]],0)),INDEX(Table3[[#All],[First]],MATCH(Table5[[#This Row],[PID]],Table3[[#All],[PID]],0)))</f>
        <v>Edward</v>
      </c>
      <c r="F24" s="50" t="str">
        <f>IF($C24="B",INDEX(Batters[[#All],[Last]],MATCH(A24,Batters[[#All],[PID]],0)),INDEX(Table3[[#All],[Last]],MATCH(A24,Table3[[#All],[PID]],0)))</f>
        <v>Neelen</v>
      </c>
      <c r="G24" s="56">
        <f>IF($C24="B",INDEX(Batters[[#All],[Age]],MATCH(Table5[[#This Row],[PID]],Batters[[#All],[PID]],0)),INDEX(Table3[[#All],[Age]],MATCH(Table5[[#This Row],[PID]],Table3[[#All],[PID]],0)))</f>
        <v>21</v>
      </c>
      <c r="H24" s="52" t="str">
        <f>IF($C24="B",INDEX(Batters[[#All],[B]],MATCH(Table5[[#This Row],[PID]],Batters[[#All],[PID]],0)),INDEX(Table3[[#All],[B]],MATCH(Table5[[#This Row],[PID]],Table3[[#All],[PID]],0)))</f>
        <v>R</v>
      </c>
      <c r="I24" s="52" t="str">
        <f>IF($C24="B",INDEX(Batters[[#All],[T]],MATCH(Table5[[#This Row],[PID]],Batters[[#All],[PID]],0)),INDEX(Table3[[#All],[T]],MATCH(Table5[[#This Row],[PID]],Table3[[#All],[PID]],0)))</f>
        <v>R</v>
      </c>
      <c r="J24" s="52" t="str">
        <f>IF($C24="B",INDEX(Batters[[#All],[WE]],MATCH(Table5[[#This Row],[PID]],Batters[[#All],[PID]],0)),INDEX(Table3[[#All],[WE]],MATCH(Table5[[#This Row],[PID]],Table3[[#All],[PID]],0)))</f>
        <v>High</v>
      </c>
      <c r="K24" s="52" t="str">
        <f>IF($C24="B",INDEX(Batters[[#All],[INT]],MATCH(Table5[[#This Row],[PID]],Batters[[#All],[PID]],0)),INDEX(Table3[[#All],[INT]],MATCH(Table5[[#This Row],[PID]],Table3[[#All],[PID]],0)))</f>
        <v>Normal</v>
      </c>
      <c r="L24" s="60">
        <f>IF($C24="B",INDEX(Batters[[#All],[CON P]],MATCH(Table5[[#This Row],[PID]],Batters[[#All],[PID]],0)),INDEX(Table3[[#All],[STU P]],MATCH(Table5[[#This Row],[PID]],Table3[[#All],[PID]],0)))</f>
        <v>8</v>
      </c>
      <c r="M24" s="56">
        <f>IF($C24="B",INDEX(Batters[[#All],[GAP P]],MATCH(Table5[[#This Row],[PID]],Batters[[#All],[PID]],0)),INDEX(Table3[[#All],[MOV P]],MATCH(Table5[[#This Row],[PID]],Table3[[#All],[PID]],0)))</f>
        <v>6</v>
      </c>
      <c r="N24" s="56">
        <f>IF($C24="B",INDEX(Batters[[#All],[POW P]],MATCH(Table5[[#This Row],[PID]],Batters[[#All],[PID]],0)),INDEX(Table3[[#All],[CON P]],MATCH(Table5[[#This Row],[PID]],Table3[[#All],[PID]],0)))</f>
        <v>5</v>
      </c>
      <c r="O24" s="56" t="str">
        <f>IF($C24="B",INDEX(Batters[[#All],[EYE P]],MATCH(Table5[[#This Row],[PID]],Batters[[#All],[PID]],0)),INDEX(Table3[[#All],[VELO]],MATCH(Table5[[#This Row],[PID]],Table3[[#All],[PID]],0)))</f>
        <v>95-97 Mph</v>
      </c>
      <c r="P24" s="56">
        <f>IF($C24="B",INDEX(Batters[[#All],[K P]],MATCH(Table5[[#This Row],[PID]],Batters[[#All],[PID]],0)),INDEX(Table3[[#All],[STM]],MATCH(Table5[[#This Row],[PID]],Table3[[#All],[PID]],0)))</f>
        <v>2</v>
      </c>
      <c r="Q24" s="61">
        <f>IF($C24="B",INDEX(Batters[[#All],[Tot]],MATCH(Table5[[#This Row],[PID]],Batters[[#All],[PID]],0)),INDEX(Table3[[#All],[Tot]],MATCH(Table5[[#This Row],[PID]],Table3[[#All],[PID]],0)))</f>
        <v>64.547283569928496</v>
      </c>
      <c r="R24" s="52">
        <f>IF($C24="B",INDEX(Batters[[#All],[zScore]],MATCH(Table5[[#This Row],[PID]],Batters[[#All],[PID]],0)),INDEX(Table3[[#All],[zScore]],MATCH(Table5[[#This Row],[PID]],Table3[[#All],[PID]],0)))</f>
        <v>1.9078208570597528</v>
      </c>
      <c r="S24" s="58" t="str">
        <f>IF($C24="B",INDEX(Batters[[#All],[DEM]],MATCH(Table5[[#This Row],[PID]],Batters[[#All],[PID]],0)),INDEX(Table3[[#All],[DEM]],MATCH(Table5[[#This Row],[PID]],Table3[[#All],[PID]],0)))</f>
        <v>$65k</v>
      </c>
      <c r="T24" s="62">
        <f>IF($C24="B",INDEX(Batters[[#All],[Rnk]],MATCH(Table5[[#This Row],[PID]],Batters[[#All],[PID]],0)),INDEX(Table3[[#All],[Rnk]],MATCH(Table5[[#This Row],[PID]],Table3[[#All],[PID]],0)))</f>
        <v>36</v>
      </c>
      <c r="U24" s="68">
        <f>IF($C24="B",VLOOKUP($A24,Bat!$A$4:$BA$1621,47,FALSE),VLOOKUP($A24,Pit!$A$4:$BF$1557,56,FALSE))</f>
        <v>0</v>
      </c>
      <c r="V24" s="50">
        <f>IF($C24="B",VLOOKUP($A24,Bat!$A$4:$BA$1621,48,FALSE),VLOOKUP($A24,Pit!$A$4:$BF$1557,57,FALSE))</f>
        <v>0</v>
      </c>
      <c r="W24" s="50">
        <f>Table5[[#This Row],[posRnk]]+Table5[[#This Row],[zRnk]]+IF($W$3&lt;&gt;Table5[[#This Row],[Type]],50,0)</f>
        <v>141</v>
      </c>
      <c r="X24" s="51">
        <f>RANK(Table5[[#This Row],[zScore]],Table5[[#All],[zScore]])</f>
        <v>55</v>
      </c>
      <c r="Y24" s="50">
        <f>IFERROR(INDEX(DraftResults[[#All],[OVR]],MATCH(Table5[[#This Row],[PID]],DraftResults[[#All],[Player ID]],0)),"")</f>
        <v>20</v>
      </c>
      <c r="Z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4" s="50">
        <f>IFERROR(INDEX(DraftResults[[#All],[Pick in Round]],MATCH(Table5[[#This Row],[PID]],DraftResults[[#All],[Player ID]],0)),"")</f>
        <v>20</v>
      </c>
      <c r="AB24" s="50" t="str">
        <f>IFERROR(INDEX(DraftResults[[#All],[Team Name]],MATCH(Table5[[#This Row],[PID]],DraftResults[[#All],[Player ID]],0)),"")</f>
        <v>Hartford Harpoon</v>
      </c>
      <c r="AC24" s="50">
        <f>IF(Table5[[#This Row],[Ovr]]="","",IF(Table5[[#This Row],[cmbList]]="","",Table5[[#This Row],[cmbList]]-Table5[[#This Row],[Ovr]]))</f>
        <v>121</v>
      </c>
      <c r="AD24" s="54" t="str">
        <f>IF(ISERROR(VLOOKUP($AB24&amp;"-"&amp;$E24&amp;" "&amp;F24,Bonuses!$B$1:$G$1006,4,FALSE)),"",INT(VLOOKUP($AB24&amp;"-"&amp;$E24&amp;" "&amp;$F24,Bonuses!$B$1:$G$1006,4,FALSE)))</f>
        <v/>
      </c>
      <c r="AE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1.20 (20) - CL Edward Neelen</v>
      </c>
    </row>
    <row r="25" spans="1:31" s="50" customFormat="1" x14ac:dyDescent="0.25">
      <c r="A25" s="68">
        <v>18319</v>
      </c>
      <c r="B25" s="69">
        <f>COUNTIF(Table5[PID],A25)</f>
        <v>1</v>
      </c>
      <c r="C25" s="69" t="str">
        <f>IF(COUNTIF(Table3[[#All],[PID]],A25)&gt;0,"P","B")</f>
        <v>P</v>
      </c>
      <c r="D25" s="59" t="str">
        <f>IF($C25="B",INDEX(Batters[[#All],[POS]],MATCH(Table5[[#This Row],[PID]],Batters[[#All],[PID]],0)),INDEX(Table3[[#All],[POS]],MATCH(Table5[[#This Row],[PID]],Table3[[#All],[PID]],0)))</f>
        <v>SP</v>
      </c>
      <c r="E25" s="52" t="str">
        <f>IF($C25="B",INDEX(Batters[[#All],[First]],MATCH(Table5[[#This Row],[PID]],Batters[[#All],[PID]],0)),INDEX(Table3[[#All],[First]],MATCH(Table5[[#This Row],[PID]],Table3[[#All],[PID]],0)))</f>
        <v>Sozui</v>
      </c>
      <c r="F25" s="55" t="str">
        <f>IF($C25="B",INDEX(Batters[[#All],[Last]],MATCH(A25,Batters[[#All],[PID]],0)),INDEX(Table3[[#All],[Last]],MATCH(A25,Table3[[#All],[PID]],0)))</f>
        <v>Kimura</v>
      </c>
      <c r="G25" s="56">
        <f>IF($C25="B",INDEX(Batters[[#All],[Age]],MATCH(Table5[[#This Row],[PID]],Batters[[#All],[PID]],0)),INDEX(Table3[[#All],[Age]],MATCH(Table5[[#This Row],[PID]],Table3[[#All],[PID]],0)))</f>
        <v>21</v>
      </c>
      <c r="H25" s="52" t="str">
        <f>IF($C25="B",INDEX(Batters[[#All],[B]],MATCH(Table5[[#This Row],[PID]],Batters[[#All],[PID]],0)),INDEX(Table3[[#All],[B]],MATCH(Table5[[#This Row],[PID]],Table3[[#All],[PID]],0)))</f>
        <v>L</v>
      </c>
      <c r="I25" s="52" t="str">
        <f>IF($C25="B",INDEX(Batters[[#All],[T]],MATCH(Table5[[#This Row],[PID]],Batters[[#All],[PID]],0)),INDEX(Table3[[#All],[T]],MATCH(Table5[[#This Row],[PID]],Table3[[#All],[PID]],0)))</f>
        <v>L</v>
      </c>
      <c r="J25" s="71" t="str">
        <f>IF($C25="B",INDEX(Batters[[#All],[WE]],MATCH(Table5[[#This Row],[PID]],Batters[[#All],[PID]],0)),INDEX(Table3[[#All],[WE]],MATCH(Table5[[#This Row],[PID]],Table3[[#All],[PID]],0)))</f>
        <v>Normal</v>
      </c>
      <c r="K25" s="52" t="str">
        <f>IF($C25="B",INDEX(Batters[[#All],[INT]],MATCH(Table5[[#This Row],[PID]],Batters[[#All],[PID]],0)),INDEX(Table3[[#All],[INT]],MATCH(Table5[[#This Row],[PID]],Table3[[#All],[PID]],0)))</f>
        <v>Normal</v>
      </c>
      <c r="L25" s="60">
        <f>IF($C25="B",INDEX(Batters[[#All],[CON P]],MATCH(Table5[[#This Row],[PID]],Batters[[#All],[PID]],0)),INDEX(Table3[[#All],[STU P]],MATCH(Table5[[#This Row],[PID]],Table3[[#All],[PID]],0)))</f>
        <v>7</v>
      </c>
      <c r="M25" s="72">
        <f>IF($C25="B",INDEX(Batters[[#All],[GAP P]],MATCH(Table5[[#This Row],[PID]],Batters[[#All],[PID]],0)),INDEX(Table3[[#All],[MOV P]],MATCH(Table5[[#This Row],[PID]],Table3[[#All],[PID]],0)))</f>
        <v>6</v>
      </c>
      <c r="N25" s="72">
        <f>IF($C25="B",INDEX(Batters[[#All],[POW P]],MATCH(Table5[[#This Row],[PID]],Batters[[#All],[PID]],0)),INDEX(Table3[[#All],[CON P]],MATCH(Table5[[#This Row],[PID]],Table3[[#All],[PID]],0)))</f>
        <v>4</v>
      </c>
      <c r="O25" s="72" t="str">
        <f>IF($C25="B",INDEX(Batters[[#All],[EYE P]],MATCH(Table5[[#This Row],[PID]],Batters[[#All],[PID]],0)),INDEX(Table3[[#All],[VELO]],MATCH(Table5[[#This Row],[PID]],Table3[[#All],[PID]],0)))</f>
        <v>99-101 Mph</v>
      </c>
      <c r="P25" s="56">
        <f>IF($C25="B",INDEX(Batters[[#All],[K P]],MATCH(Table5[[#This Row],[PID]],Batters[[#All],[PID]],0)),INDEX(Table3[[#All],[STM]],MATCH(Table5[[#This Row],[PID]],Table3[[#All],[PID]],0)))</f>
        <v>9</v>
      </c>
      <c r="Q25" s="61">
        <f>IF($C25="B",INDEX(Batters[[#All],[Tot]],MATCH(Table5[[#This Row],[PID]],Batters[[#All],[PID]],0)),INDEX(Table3[[#All],[Tot]],MATCH(Table5[[#This Row],[PID]],Table3[[#All],[PID]],0)))</f>
        <v>65.762708563065274</v>
      </c>
      <c r="R25" s="52">
        <f>IF($C25="B",INDEX(Batters[[#All],[zScore]],MATCH(Table5[[#This Row],[PID]],Batters[[#All],[PID]],0)),INDEX(Table3[[#All],[zScore]],MATCH(Table5[[#This Row],[PID]],Table3[[#All],[PID]],0)))</f>
        <v>1.9886812245514638</v>
      </c>
      <c r="S25" s="78" t="str">
        <f>IF($C25="B",INDEX(Batters[[#All],[DEM]],MATCH(Table5[[#This Row],[PID]],Batters[[#All],[PID]],0)),INDEX(Table3[[#All],[DEM]],MATCH(Table5[[#This Row],[PID]],Table3[[#All],[PID]],0)))</f>
        <v>$850k</v>
      </c>
      <c r="T25" s="75">
        <f>IF($C25="B",INDEX(Batters[[#All],[Rnk]],MATCH(Table5[[#This Row],[PID]],Batters[[#All],[PID]],0)),INDEX(Table3[[#All],[Rnk]],MATCH(Table5[[#This Row],[PID]],Table3[[#All],[PID]],0)))</f>
        <v>28</v>
      </c>
      <c r="U25" s="68">
        <f>IF($C25="B",VLOOKUP($A25,Bat!$A$4:$BA$1621,47,FALSE),VLOOKUP($A25,Pit!$A$4:$BF$1557,56,FALSE))</f>
        <v>0</v>
      </c>
      <c r="V25" s="50">
        <f>IF($C25="B",VLOOKUP($A25,Bat!$A$4:$BA$1621,48,FALSE),VLOOKUP($A25,Pit!$A$4:$BF$1557,57,FALSE))</f>
        <v>0</v>
      </c>
      <c r="W25" s="69">
        <f>Table5[[#This Row],[posRnk]]+Table5[[#This Row],[zRnk]]+IF($W$3&lt;&gt;Table5[[#This Row],[Type]],50,0)</f>
        <v>123</v>
      </c>
      <c r="X25" s="73">
        <f>RANK(Table5[[#This Row],[zScore]],Table5[[#All],[zScore]])</f>
        <v>45</v>
      </c>
      <c r="Y25" s="69">
        <f>IFERROR(INDEX(DraftResults[[#All],[OVR]],MATCH(Table5[[#This Row],[PID]],DraftResults[[#All],[Player ID]],0)),"")</f>
        <v>21</v>
      </c>
      <c r="Z2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5" s="69">
        <f>IFERROR(INDEX(DraftResults[[#All],[Pick in Round]],MATCH(Table5[[#This Row],[PID]],DraftResults[[#All],[Player ID]],0)),"")</f>
        <v>21</v>
      </c>
      <c r="AB25" s="69" t="str">
        <f>IFERROR(INDEX(DraftResults[[#All],[Team Name]],MATCH(Table5[[#This Row],[PID]],DraftResults[[#All],[Player ID]],0)),"")</f>
        <v>Reno Zephyrs</v>
      </c>
      <c r="AC25" s="69">
        <f>IF(Table5[[#This Row],[Ovr]]="","",IF(Table5[[#This Row],[cmbList]]="","",Table5[[#This Row],[cmbList]]-Table5[[#This Row],[Ovr]]))</f>
        <v>102</v>
      </c>
      <c r="AD25" s="77" t="str">
        <f>IF(ISERROR(VLOOKUP($AB25&amp;"-"&amp;$E25&amp;" "&amp;F25,Bonuses!$B$1:$G$1006,4,FALSE)),"",INT(VLOOKUP($AB25&amp;"-"&amp;$E25&amp;" "&amp;$F25,Bonuses!$B$1:$G$1006,4,FALSE)))</f>
        <v/>
      </c>
      <c r="AE2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1.21 (21) - SP Sozui Kimura</v>
      </c>
    </row>
    <row r="26" spans="1:31" s="50" customFormat="1" x14ac:dyDescent="0.25">
      <c r="A26" s="50">
        <v>17912</v>
      </c>
      <c r="B26" s="50">
        <f>COUNTIF(Table5[PID],A26)</f>
        <v>1</v>
      </c>
      <c r="C26" s="50" t="str">
        <f>IF(COUNTIF(Table3[[#All],[PID]],A26)&gt;0,"P","B")</f>
        <v>B</v>
      </c>
      <c r="D26" s="59" t="str">
        <f>IF($C26="B",INDEX(Batters[[#All],[POS]],MATCH(Table5[[#This Row],[PID]],Batters[[#All],[PID]],0)),INDEX(Table3[[#All],[POS]],MATCH(Table5[[#This Row],[PID]],Table3[[#All],[PID]],0)))</f>
        <v>LF</v>
      </c>
      <c r="E26" s="52" t="str">
        <f>IF($C26="B",INDEX(Batters[[#All],[First]],MATCH(Table5[[#This Row],[PID]],Batters[[#All],[PID]],0)),INDEX(Table3[[#All],[First]],MATCH(Table5[[#This Row],[PID]],Table3[[#All],[PID]],0)))</f>
        <v>Katsuhito</v>
      </c>
      <c r="F26" s="50" t="str">
        <f>IF($C26="B",INDEX(Batters[[#All],[Last]],MATCH(A26,Batters[[#All],[PID]],0)),INDEX(Table3[[#All],[Last]],MATCH(A26,Table3[[#All],[PID]],0)))</f>
        <v>Kato</v>
      </c>
      <c r="G26" s="56">
        <f>IF($C26="B",INDEX(Batters[[#All],[Age]],MATCH(Table5[[#This Row],[PID]],Batters[[#All],[PID]],0)),INDEX(Table3[[#All],[Age]],MATCH(Table5[[#This Row],[PID]],Table3[[#All],[PID]],0)))</f>
        <v>18</v>
      </c>
      <c r="H26" s="52" t="str">
        <f>IF($C26="B",INDEX(Batters[[#All],[B]],MATCH(Table5[[#This Row],[PID]],Batters[[#All],[PID]],0)),INDEX(Table3[[#All],[B]],MATCH(Table5[[#This Row],[PID]],Table3[[#All],[PID]],0)))</f>
        <v>L</v>
      </c>
      <c r="I26" s="52" t="str">
        <f>IF($C26="B",INDEX(Batters[[#All],[T]],MATCH(Table5[[#This Row],[PID]],Batters[[#All],[PID]],0)),INDEX(Table3[[#All],[T]],MATCH(Table5[[#This Row],[PID]],Table3[[#All],[PID]],0)))</f>
        <v>L</v>
      </c>
      <c r="J26" s="52" t="str">
        <f>IF($C26="B",INDEX(Batters[[#All],[WE]],MATCH(Table5[[#This Row],[PID]],Batters[[#All],[PID]],0)),INDEX(Table3[[#All],[WE]],MATCH(Table5[[#This Row],[PID]],Table3[[#All],[PID]],0)))</f>
        <v>Normal</v>
      </c>
      <c r="K26" s="52" t="str">
        <f>IF($C26="B",INDEX(Batters[[#All],[INT]],MATCH(Table5[[#This Row],[PID]],Batters[[#All],[PID]],0)),INDEX(Table3[[#All],[INT]],MATCH(Table5[[#This Row],[PID]],Table3[[#All],[PID]],0)))</f>
        <v>Normal</v>
      </c>
      <c r="L26" s="60">
        <f>IF($C26="B",INDEX(Batters[[#All],[CON P]],MATCH(Table5[[#This Row],[PID]],Batters[[#All],[PID]],0)),INDEX(Table3[[#All],[STU P]],MATCH(Table5[[#This Row],[PID]],Table3[[#All],[PID]],0)))</f>
        <v>6</v>
      </c>
      <c r="M26" s="56">
        <f>IF($C26="B",INDEX(Batters[[#All],[GAP P]],MATCH(Table5[[#This Row],[PID]],Batters[[#All],[PID]],0)),INDEX(Table3[[#All],[MOV P]],MATCH(Table5[[#This Row],[PID]],Table3[[#All],[PID]],0)))</f>
        <v>8</v>
      </c>
      <c r="N26" s="56">
        <f>IF($C26="B",INDEX(Batters[[#All],[POW P]],MATCH(Table5[[#This Row],[PID]],Batters[[#All],[PID]],0)),INDEX(Table3[[#All],[CON P]],MATCH(Table5[[#This Row],[PID]],Table3[[#All],[PID]],0)))</f>
        <v>7</v>
      </c>
      <c r="O26" s="56">
        <f>IF($C26="B",INDEX(Batters[[#All],[EYE P]],MATCH(Table5[[#This Row],[PID]],Batters[[#All],[PID]],0)),INDEX(Table3[[#All],[VELO]],MATCH(Table5[[#This Row],[PID]],Table3[[#All],[PID]],0)))</f>
        <v>4</v>
      </c>
      <c r="P26" s="56">
        <f>IF($C26="B",INDEX(Batters[[#All],[K P]],MATCH(Table5[[#This Row],[PID]],Batters[[#All],[PID]],0)),INDEX(Table3[[#All],[STM]],MATCH(Table5[[#This Row],[PID]],Table3[[#All],[PID]],0)))</f>
        <v>5</v>
      </c>
      <c r="Q26" s="61">
        <f>IF($C26="B",INDEX(Batters[[#All],[Tot]],MATCH(Table5[[#This Row],[PID]],Batters[[#All],[PID]],0)),INDEX(Table3[[#All],[Tot]],MATCH(Table5[[#This Row],[PID]],Table3[[#All],[PID]],0)))</f>
        <v>59.651018382182173</v>
      </c>
      <c r="R26" s="52">
        <f>IF($C26="B",INDEX(Batters[[#All],[zScore]],MATCH(Table5[[#This Row],[PID]],Batters[[#All],[PID]],0)),INDEX(Table3[[#All],[zScore]],MATCH(Table5[[#This Row],[PID]],Table3[[#All],[PID]],0)))</f>
        <v>3.4406846382798806</v>
      </c>
      <c r="S26" s="58" t="str">
        <f>IF($C26="B",INDEX(Batters[[#All],[DEM]],MATCH(Table5[[#This Row],[PID]],Batters[[#All],[PID]],0)),INDEX(Table3[[#All],[DEM]],MATCH(Table5[[#This Row],[PID]],Table3[[#All],[PID]],0)))</f>
        <v>$650k</v>
      </c>
      <c r="T26" s="62">
        <f>IF($C26="B",INDEX(Batters[[#All],[Rnk]],MATCH(Table5[[#This Row],[PID]],Batters[[#All],[PID]],0)),INDEX(Table3[[#All],[Rnk]],MATCH(Table5[[#This Row],[PID]],Table3[[#All],[PID]],0)))</f>
        <v>2</v>
      </c>
      <c r="U26" s="68">
        <f>IF($C26="B",VLOOKUP($A26,Bat!$A$4:$BA$1621,47,FALSE),VLOOKUP($A26,Pit!$A$4:$BF$1557,56,FALSE))</f>
        <v>0</v>
      </c>
      <c r="V26" s="50">
        <f>IF($C26="B",VLOOKUP($A26,Bat!$A$4:$BA$1621,48,FALSE),VLOOKUP($A26,Pit!$A$4:$BF$1557,57,FALSE))</f>
        <v>0</v>
      </c>
      <c r="W26" s="50">
        <f>Table5[[#This Row],[posRnk]]+Table5[[#This Row],[zRnk]]+IF($W$3&lt;&gt;Table5[[#This Row],[Type]],50,0)</f>
        <v>54</v>
      </c>
      <c r="X26" s="51">
        <f>RANK(Table5[[#This Row],[zScore]],Table5[[#All],[zScore]])</f>
        <v>2</v>
      </c>
      <c r="Y26" s="50">
        <f>IFERROR(INDEX(DraftResults[[#All],[OVR]],MATCH(Table5[[#This Row],[PID]],DraftResults[[#All],[Player ID]],0)),"")</f>
        <v>22</v>
      </c>
      <c r="Z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6" s="50">
        <f>IFERROR(INDEX(DraftResults[[#All],[Pick in Round]],MATCH(Table5[[#This Row],[PID]],DraftResults[[#All],[Player ID]],0)),"")</f>
        <v>22</v>
      </c>
      <c r="AB26" s="50" t="str">
        <f>IFERROR(INDEX(DraftResults[[#All],[Team Name]],MATCH(Table5[[#This Row],[PID]],DraftResults[[#All],[Player ID]],0)),"")</f>
        <v>Toyama Wind Dancers</v>
      </c>
      <c r="AC26" s="50">
        <f>IF(Table5[[#This Row],[Ovr]]="","",IF(Table5[[#This Row],[cmbList]]="","",Table5[[#This Row],[cmbList]]-Table5[[#This Row],[Ovr]]))</f>
        <v>32</v>
      </c>
      <c r="AD26" s="54" t="str">
        <f>IF(ISERROR(VLOOKUP($AB26&amp;"-"&amp;$E26&amp;" "&amp;F26,Bonuses!$B$1:$G$1006,4,FALSE)),"",INT(VLOOKUP($AB26&amp;"-"&amp;$E26&amp;" "&amp;$F26,Bonuses!$B$1:$G$1006,4,FALSE)))</f>
        <v/>
      </c>
      <c r="AE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1.22 (22) - LF Katsuhito Kato</v>
      </c>
    </row>
    <row r="27" spans="1:31" s="50" customFormat="1" x14ac:dyDescent="0.25">
      <c r="A27" s="50">
        <v>18282</v>
      </c>
      <c r="B27" s="50">
        <f>COUNTIF(Table5[PID],A27)</f>
        <v>1</v>
      </c>
      <c r="C27" s="50" t="str">
        <f>IF(COUNTIF(Table3[[#All],[PID]],A27)&gt;0,"P","B")</f>
        <v>B</v>
      </c>
      <c r="D27" s="59" t="str">
        <f>IF($C27="B",INDEX(Batters[[#All],[POS]],MATCH(Table5[[#This Row],[PID]],Batters[[#All],[PID]],0)),INDEX(Table3[[#All],[POS]],MATCH(Table5[[#This Row],[PID]],Table3[[#All],[PID]],0)))</f>
        <v>SS</v>
      </c>
      <c r="E27" s="52" t="str">
        <f>IF($C27="B",INDEX(Batters[[#All],[First]],MATCH(Table5[[#This Row],[PID]],Batters[[#All],[PID]],0)),INDEX(Table3[[#All],[First]],MATCH(Table5[[#This Row],[PID]],Table3[[#All],[PID]],0)))</f>
        <v>Brenden</v>
      </c>
      <c r="F27" s="50" t="str">
        <f>IF($C27="B",INDEX(Batters[[#All],[Last]],MATCH(A27,Batters[[#All],[PID]],0)),INDEX(Table3[[#All],[Last]],MATCH(A27,Table3[[#All],[PID]],0)))</f>
        <v>Cumberbatch</v>
      </c>
      <c r="G27" s="56">
        <f>IF($C27="B",INDEX(Batters[[#All],[Age]],MATCH(Table5[[#This Row],[PID]],Batters[[#All],[PID]],0)),INDEX(Table3[[#All],[Age]],MATCH(Table5[[#This Row],[PID]],Table3[[#All],[PID]],0)))</f>
        <v>21</v>
      </c>
      <c r="H27" s="52" t="str">
        <f>IF($C27="B",INDEX(Batters[[#All],[B]],MATCH(Table5[[#This Row],[PID]],Batters[[#All],[PID]],0)),INDEX(Table3[[#All],[B]],MATCH(Table5[[#This Row],[PID]],Table3[[#All],[PID]],0)))</f>
        <v>L</v>
      </c>
      <c r="I27" s="52" t="str">
        <f>IF($C27="B",INDEX(Batters[[#All],[T]],MATCH(Table5[[#This Row],[PID]],Batters[[#All],[PID]],0)),INDEX(Table3[[#All],[T]],MATCH(Table5[[#This Row],[PID]],Table3[[#All],[PID]],0)))</f>
        <v>R</v>
      </c>
      <c r="J27" s="52" t="str">
        <f>IF($C27="B",INDEX(Batters[[#All],[WE]],MATCH(Table5[[#This Row],[PID]],Batters[[#All],[PID]],0)),INDEX(Table3[[#All],[WE]],MATCH(Table5[[#This Row],[PID]],Table3[[#All],[PID]],0)))</f>
        <v>Normal</v>
      </c>
      <c r="K27" s="52" t="str">
        <f>IF($C27="B",INDEX(Batters[[#All],[INT]],MATCH(Table5[[#This Row],[PID]],Batters[[#All],[PID]],0)),INDEX(Table3[[#All],[INT]],MATCH(Table5[[#This Row],[PID]],Table3[[#All],[PID]],0)))</f>
        <v>Normal</v>
      </c>
      <c r="L27" s="60">
        <f>IF($C27="B",INDEX(Batters[[#All],[CON P]],MATCH(Table5[[#This Row],[PID]],Batters[[#All],[PID]],0)),INDEX(Table3[[#All],[STU P]],MATCH(Table5[[#This Row],[PID]],Table3[[#All],[PID]],0)))</f>
        <v>5</v>
      </c>
      <c r="M27" s="56">
        <f>IF($C27="B",INDEX(Batters[[#All],[GAP P]],MATCH(Table5[[#This Row],[PID]],Batters[[#All],[PID]],0)),INDEX(Table3[[#All],[MOV P]],MATCH(Table5[[#This Row],[PID]],Table3[[#All],[PID]],0)))</f>
        <v>7</v>
      </c>
      <c r="N27" s="56">
        <f>IF($C27="B",INDEX(Batters[[#All],[POW P]],MATCH(Table5[[#This Row],[PID]],Batters[[#All],[PID]],0)),INDEX(Table3[[#All],[CON P]],MATCH(Table5[[#This Row],[PID]],Table3[[#All],[PID]],0)))</f>
        <v>6</v>
      </c>
      <c r="O27" s="56">
        <f>IF($C27="B",INDEX(Batters[[#All],[EYE P]],MATCH(Table5[[#This Row],[PID]],Batters[[#All],[PID]],0)),INDEX(Table3[[#All],[VELO]],MATCH(Table5[[#This Row],[PID]],Table3[[#All],[PID]],0)))</f>
        <v>4</v>
      </c>
      <c r="P27" s="56">
        <f>IF($C27="B",INDEX(Batters[[#All],[K P]],MATCH(Table5[[#This Row],[PID]],Batters[[#All],[PID]],0)),INDEX(Table3[[#All],[STM]],MATCH(Table5[[#This Row],[PID]],Table3[[#All],[PID]],0)))</f>
        <v>5</v>
      </c>
      <c r="Q27" s="61">
        <f>IF($C27="B",INDEX(Batters[[#All],[Tot]],MATCH(Table5[[#This Row],[PID]],Batters[[#All],[PID]],0)),INDEX(Table3[[#All],[Tot]],MATCH(Table5[[#This Row],[PID]],Table3[[#All],[PID]],0)))</f>
        <v>50.987892111606435</v>
      </c>
      <c r="R27" s="52">
        <f>IF($C27="B",INDEX(Batters[[#All],[zScore]],MATCH(Table5[[#This Row],[PID]],Batters[[#All],[PID]],0)),INDEX(Table3[[#All],[zScore]],MATCH(Table5[[#This Row],[PID]],Table3[[#All],[PID]],0)))</f>
        <v>1.5200109867941947</v>
      </c>
      <c r="S27" s="58" t="str">
        <f>IF($C27="B",INDEX(Batters[[#All],[DEM]],MATCH(Table5[[#This Row],[PID]],Batters[[#All],[PID]],0)),INDEX(Table3[[#All],[DEM]],MATCH(Table5[[#This Row],[PID]],Table3[[#All],[PID]],0)))</f>
        <v>$20k</v>
      </c>
      <c r="T27" s="62">
        <f>IF($C27="B",INDEX(Batters[[#All],[Rnk]],MATCH(Table5[[#This Row],[PID]],Batters[[#All],[PID]],0)),INDEX(Table3[[#All],[Rnk]],MATCH(Table5[[#This Row],[PID]],Table3[[#All],[PID]],0)))</f>
        <v>44</v>
      </c>
      <c r="U27" s="68">
        <f>IF($C27="B",VLOOKUP($A27,Bat!$A$4:$BA$1621,47,FALSE),VLOOKUP($A27,Pit!$A$4:$BF$1557,56,FALSE))</f>
        <v>0</v>
      </c>
      <c r="V27" s="50">
        <f>IF($C27="B",VLOOKUP($A27,Bat!$A$4:$BA$1621,48,FALSE),VLOOKUP($A27,Pit!$A$4:$BF$1557,57,FALSE))</f>
        <v>0</v>
      </c>
      <c r="W27" s="50">
        <f>Table5[[#This Row],[posRnk]]+Table5[[#This Row],[zRnk]]+IF($W$3&lt;&gt;Table5[[#This Row],[Type]],50,0)</f>
        <v>210</v>
      </c>
      <c r="X27" s="51">
        <f>RANK(Table5[[#This Row],[zScore]],Table5[[#All],[zScore]])</f>
        <v>116</v>
      </c>
      <c r="Y27" s="50">
        <f>IFERROR(INDEX(DraftResults[[#All],[OVR]],MATCH(Table5[[#This Row],[PID]],DraftResults[[#All],[Player ID]],0)),"")</f>
        <v>23</v>
      </c>
      <c r="Z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7" s="50">
        <f>IFERROR(INDEX(DraftResults[[#All],[Pick in Round]],MATCH(Table5[[#This Row],[PID]],DraftResults[[#All],[Player ID]],0)),"")</f>
        <v>23</v>
      </c>
      <c r="AB27" s="50" t="str">
        <f>IFERROR(INDEX(DraftResults[[#All],[Team Name]],MATCH(Table5[[#This Row],[PID]],DraftResults[[#All],[Player ID]],0)),"")</f>
        <v>West Virginia Alleghenies</v>
      </c>
      <c r="AC27" s="50">
        <f>IF(Table5[[#This Row],[Ovr]]="","",IF(Table5[[#This Row],[cmbList]]="","",Table5[[#This Row],[cmbList]]-Table5[[#This Row],[Ovr]]))</f>
        <v>187</v>
      </c>
      <c r="AD27" s="54" t="str">
        <f>IF(ISERROR(VLOOKUP($AB27&amp;"-"&amp;$E27&amp;" "&amp;F27,Bonuses!$B$1:$G$1006,4,FALSE)),"",INT(VLOOKUP($AB27&amp;"-"&amp;$E27&amp;" "&amp;$F27,Bonuses!$B$1:$G$1006,4,FALSE)))</f>
        <v/>
      </c>
      <c r="AE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1.23 (23) - SS Brenden Cumberbatch</v>
      </c>
    </row>
    <row r="28" spans="1:31" s="50" customFormat="1" x14ac:dyDescent="0.25">
      <c r="A28" s="50">
        <v>20673</v>
      </c>
      <c r="B28" s="50">
        <f>COUNTIF(Table5[PID],A28)</f>
        <v>1</v>
      </c>
      <c r="C28" s="50" t="str">
        <f>IF(COUNTIF(Table3[[#All],[PID]],A28)&gt;0,"P","B")</f>
        <v>B</v>
      </c>
      <c r="D28" s="59" t="str">
        <f>IF($C28="B",INDEX(Batters[[#All],[POS]],MATCH(Table5[[#This Row],[PID]],Batters[[#All],[PID]],0)),INDEX(Table3[[#All],[POS]],MATCH(Table5[[#This Row],[PID]],Table3[[#All],[PID]],0)))</f>
        <v>LF</v>
      </c>
      <c r="E28" s="52" t="str">
        <f>IF($C28="B",INDEX(Batters[[#All],[First]],MATCH(Table5[[#This Row],[PID]],Batters[[#All],[PID]],0)),INDEX(Table3[[#All],[First]],MATCH(Table5[[#This Row],[PID]],Table3[[#All],[PID]],0)))</f>
        <v>Geun-pyo</v>
      </c>
      <c r="F28" s="50" t="str">
        <f>IF($C28="B",INDEX(Batters[[#All],[Last]],MATCH(A28,Batters[[#All],[PID]],0)),INDEX(Table3[[#All],[Last]],MATCH(A28,Table3[[#All],[PID]],0)))</f>
        <v>Ch'ae</v>
      </c>
      <c r="G28" s="56">
        <f>IF($C28="B",INDEX(Batters[[#All],[Age]],MATCH(Table5[[#This Row],[PID]],Batters[[#All],[PID]],0)),INDEX(Table3[[#All],[Age]],MATCH(Table5[[#This Row],[PID]],Table3[[#All],[PID]],0)))</f>
        <v>17</v>
      </c>
      <c r="H28" s="52" t="str">
        <f>IF($C28="B",INDEX(Batters[[#All],[B]],MATCH(Table5[[#This Row],[PID]],Batters[[#All],[PID]],0)),INDEX(Table3[[#All],[B]],MATCH(Table5[[#This Row],[PID]],Table3[[#All],[PID]],0)))</f>
        <v>L</v>
      </c>
      <c r="I28" s="52" t="str">
        <f>IF($C28="B",INDEX(Batters[[#All],[T]],MATCH(Table5[[#This Row],[PID]],Batters[[#All],[PID]],0)),INDEX(Table3[[#All],[T]],MATCH(Table5[[#This Row],[PID]],Table3[[#All],[PID]],0)))</f>
        <v>L</v>
      </c>
      <c r="J28" s="52" t="str">
        <f>IF($C28="B",INDEX(Batters[[#All],[WE]],MATCH(Table5[[#This Row],[PID]],Batters[[#All],[PID]],0)),INDEX(Table3[[#All],[WE]],MATCH(Table5[[#This Row],[PID]],Table3[[#All],[PID]],0)))</f>
        <v>Normal</v>
      </c>
      <c r="K28" s="52" t="str">
        <f>IF($C28="B",INDEX(Batters[[#All],[INT]],MATCH(Table5[[#This Row],[PID]],Batters[[#All],[PID]],0)),INDEX(Table3[[#All],[INT]],MATCH(Table5[[#This Row],[PID]],Table3[[#All],[PID]],0)))</f>
        <v>Normal</v>
      </c>
      <c r="L28" s="60">
        <f>IF($C28="B",INDEX(Batters[[#All],[CON P]],MATCH(Table5[[#This Row],[PID]],Batters[[#All],[PID]],0)),INDEX(Table3[[#All],[STU P]],MATCH(Table5[[#This Row],[PID]],Table3[[#All],[PID]],0)))</f>
        <v>4</v>
      </c>
      <c r="M28" s="56">
        <f>IF($C28="B",INDEX(Batters[[#All],[GAP P]],MATCH(Table5[[#This Row],[PID]],Batters[[#All],[PID]],0)),INDEX(Table3[[#All],[MOV P]],MATCH(Table5[[#This Row],[PID]],Table3[[#All],[PID]],0)))</f>
        <v>4</v>
      </c>
      <c r="N28" s="56">
        <f>IF($C28="B",INDEX(Batters[[#All],[POW P]],MATCH(Table5[[#This Row],[PID]],Batters[[#All],[PID]],0)),INDEX(Table3[[#All],[CON P]],MATCH(Table5[[#This Row],[PID]],Table3[[#All],[PID]],0)))</f>
        <v>8</v>
      </c>
      <c r="O28" s="56">
        <f>IF($C28="B",INDEX(Batters[[#All],[EYE P]],MATCH(Table5[[#This Row],[PID]],Batters[[#All],[PID]],0)),INDEX(Table3[[#All],[VELO]],MATCH(Table5[[#This Row],[PID]],Table3[[#All],[PID]],0)))</f>
        <v>7</v>
      </c>
      <c r="P28" s="56">
        <f>IF($C28="B",INDEX(Batters[[#All],[K P]],MATCH(Table5[[#This Row],[PID]],Batters[[#All],[PID]],0)),INDEX(Table3[[#All],[STM]],MATCH(Table5[[#This Row],[PID]],Table3[[#All],[PID]],0)))</f>
        <v>3</v>
      </c>
      <c r="Q28" s="61">
        <f>IF($C28="B",INDEX(Batters[[#All],[Tot]],MATCH(Table5[[#This Row],[PID]],Batters[[#All],[PID]],0)),INDEX(Table3[[#All],[Tot]],MATCH(Table5[[#This Row],[PID]],Table3[[#All],[PID]],0)))</f>
        <v>52.682528986536909</v>
      </c>
      <c r="R28" s="52">
        <f>IF($C28="B",INDEX(Batters[[#All],[zScore]],MATCH(Table5[[#This Row],[PID]],Batters[[#All],[PID]],0)),INDEX(Table3[[#All],[zScore]],MATCH(Table5[[#This Row],[PID]],Table3[[#All],[PID]],0)))</f>
        <v>1.8957234366484772</v>
      </c>
      <c r="S28" s="58" t="str">
        <f>IF($C28="B",INDEX(Batters[[#All],[DEM]],MATCH(Table5[[#This Row],[PID]],Batters[[#All],[PID]],0)),INDEX(Table3[[#All],[DEM]],MATCH(Table5[[#This Row],[PID]],Table3[[#All],[PID]],0)))</f>
        <v>$200k</v>
      </c>
      <c r="T28" s="62">
        <f>IF($C28="B",INDEX(Batters[[#All],[Rnk]],MATCH(Table5[[#This Row],[PID]],Batters[[#All],[PID]],0)),INDEX(Table3[[#All],[Rnk]],MATCH(Table5[[#This Row],[PID]],Table3[[#All],[PID]],0)))</f>
        <v>22</v>
      </c>
      <c r="U28" s="68">
        <f>IF($C28="B",VLOOKUP($A28,Bat!$A$4:$BA$1621,47,FALSE),VLOOKUP($A28,Pit!$A$4:$BF$1557,56,FALSE))</f>
        <v>0</v>
      </c>
      <c r="V28" s="50">
        <f>IF($C28="B",VLOOKUP($A28,Bat!$A$4:$BA$1621,48,FALSE),VLOOKUP($A28,Pit!$A$4:$BF$1557,57,FALSE))</f>
        <v>0</v>
      </c>
      <c r="W28" s="50">
        <f>Table5[[#This Row],[posRnk]]+Table5[[#This Row],[zRnk]]+IF($W$3&lt;&gt;Table5[[#This Row],[Type]],50,0)</f>
        <v>131</v>
      </c>
      <c r="X28" s="51">
        <f>RANK(Table5[[#This Row],[zScore]],Table5[[#All],[zScore]])</f>
        <v>59</v>
      </c>
      <c r="Y28" s="50">
        <f>IFERROR(INDEX(DraftResults[[#All],[OVR]],MATCH(Table5[[#This Row],[PID]],DraftResults[[#All],[Player ID]],0)),"")</f>
        <v>24</v>
      </c>
      <c r="Z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8" s="50">
        <f>IFERROR(INDEX(DraftResults[[#All],[Pick in Round]],MATCH(Table5[[#This Row],[PID]],DraftResults[[#All],[Player ID]],0)),"")</f>
        <v>24</v>
      </c>
      <c r="AB28" s="50" t="str">
        <f>IFERROR(INDEX(DraftResults[[#All],[Team Name]],MATCH(Table5[[#This Row],[PID]],DraftResults[[#All],[Player ID]],0)),"")</f>
        <v>Yuma Arroyos</v>
      </c>
      <c r="AC28" s="50">
        <f>IF(Table5[[#This Row],[Ovr]]="","",IF(Table5[[#This Row],[cmbList]]="","",Table5[[#This Row],[cmbList]]-Table5[[#This Row],[Ovr]]))</f>
        <v>107</v>
      </c>
      <c r="AD28" s="54" t="str">
        <f>IF(ISERROR(VLOOKUP($AB28&amp;"-"&amp;$E28&amp;" "&amp;F28,Bonuses!$B$1:$G$1006,4,FALSE)),"",INT(VLOOKUP($AB28&amp;"-"&amp;$E28&amp;" "&amp;$F28,Bonuses!$B$1:$G$1006,4,FALSE)))</f>
        <v/>
      </c>
      <c r="AE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1.24 (24) - LF Geun-pyo Ch'ae</v>
      </c>
    </row>
    <row r="29" spans="1:31" s="50" customFormat="1" x14ac:dyDescent="0.25">
      <c r="A29" s="50">
        <v>20271</v>
      </c>
      <c r="B29" s="50">
        <f>COUNTIF(Table5[PID],A29)</f>
        <v>1</v>
      </c>
      <c r="C29" s="50" t="str">
        <f>IF(COUNTIF(Table3[[#All],[PID]],A29)&gt;0,"P","B")</f>
        <v>P</v>
      </c>
      <c r="D29" s="59" t="str">
        <f>IF($C29="B",INDEX(Batters[[#All],[POS]],MATCH(Table5[[#This Row],[PID]],Batters[[#All],[PID]],0)),INDEX(Table3[[#All],[POS]],MATCH(Table5[[#This Row],[PID]],Table3[[#All],[PID]],0)))</f>
        <v>CL</v>
      </c>
      <c r="E29" s="52" t="str">
        <f>IF($C29="B",INDEX(Batters[[#All],[First]],MATCH(Table5[[#This Row],[PID]],Batters[[#All],[PID]],0)),INDEX(Table3[[#All],[First]],MATCH(Table5[[#This Row],[PID]],Table3[[#All],[PID]],0)))</f>
        <v>Petro</v>
      </c>
      <c r="F29" s="50" t="str">
        <f>IF($C29="B",INDEX(Batters[[#All],[Last]],MATCH(A29,Batters[[#All],[PID]],0)),INDEX(Table3[[#All],[Last]],MATCH(A29,Table3[[#All],[PID]],0)))</f>
        <v>Cuypers</v>
      </c>
      <c r="G29" s="56">
        <f>IF($C29="B",INDEX(Batters[[#All],[Age]],MATCH(Table5[[#This Row],[PID]],Batters[[#All],[PID]],0)),INDEX(Table3[[#All],[Age]],MATCH(Table5[[#This Row],[PID]],Table3[[#All],[PID]],0)))</f>
        <v>21</v>
      </c>
      <c r="H29" s="52" t="str">
        <f>IF($C29="B",INDEX(Batters[[#All],[B]],MATCH(Table5[[#This Row],[PID]],Batters[[#All],[PID]],0)),INDEX(Table3[[#All],[B]],MATCH(Table5[[#This Row],[PID]],Table3[[#All],[PID]],0)))</f>
        <v>R</v>
      </c>
      <c r="I29" s="52" t="str">
        <f>IF($C29="B",INDEX(Batters[[#All],[T]],MATCH(Table5[[#This Row],[PID]],Batters[[#All],[PID]],0)),INDEX(Table3[[#All],[T]],MATCH(Table5[[#This Row],[PID]],Table3[[#All],[PID]],0)))</f>
        <v>R</v>
      </c>
      <c r="J29" s="52" t="str">
        <f>IF($C29="B",INDEX(Batters[[#All],[WE]],MATCH(Table5[[#This Row],[PID]],Batters[[#All],[PID]],0)),INDEX(Table3[[#All],[WE]],MATCH(Table5[[#This Row],[PID]],Table3[[#All],[PID]],0)))</f>
        <v>Normal</v>
      </c>
      <c r="K29" s="52" t="str">
        <f>IF($C29="B",INDEX(Batters[[#All],[INT]],MATCH(Table5[[#This Row],[PID]],Batters[[#All],[PID]],0)),INDEX(Table3[[#All],[INT]],MATCH(Table5[[#This Row],[PID]],Table3[[#All],[PID]],0)))</f>
        <v>High</v>
      </c>
      <c r="L29" s="60">
        <f>IF($C29="B",INDEX(Batters[[#All],[CON P]],MATCH(Table5[[#This Row],[PID]],Batters[[#All],[PID]],0)),INDEX(Table3[[#All],[STU P]],MATCH(Table5[[#This Row],[PID]],Table3[[#All],[PID]],0)))</f>
        <v>6</v>
      </c>
      <c r="M29" s="56">
        <f>IF($C29="B",INDEX(Batters[[#All],[GAP P]],MATCH(Table5[[#This Row],[PID]],Batters[[#All],[PID]],0)),INDEX(Table3[[#All],[MOV P]],MATCH(Table5[[#This Row],[PID]],Table3[[#All],[PID]],0)))</f>
        <v>6</v>
      </c>
      <c r="N29" s="56">
        <f>IF($C29="B",INDEX(Batters[[#All],[POW P]],MATCH(Table5[[#This Row],[PID]],Batters[[#All],[PID]],0)),INDEX(Table3[[#All],[CON P]],MATCH(Table5[[#This Row],[PID]],Table3[[#All],[PID]],0)))</f>
        <v>7</v>
      </c>
      <c r="O29" s="56" t="str">
        <f>IF($C29="B",INDEX(Batters[[#All],[EYE P]],MATCH(Table5[[#This Row],[PID]],Batters[[#All],[PID]],0)),INDEX(Table3[[#All],[VELO]],MATCH(Table5[[#This Row],[PID]],Table3[[#All],[PID]],0)))</f>
        <v>90-92 Mph</v>
      </c>
      <c r="P29" s="56">
        <f>IF($C29="B",INDEX(Batters[[#All],[K P]],MATCH(Table5[[#This Row],[PID]],Batters[[#All],[PID]],0)),INDEX(Table3[[#All],[STM]],MATCH(Table5[[#This Row],[PID]],Table3[[#All],[PID]],0)))</f>
        <v>2</v>
      </c>
      <c r="Q29" s="61">
        <f>IF($C29="B",INDEX(Batters[[#All],[Tot]],MATCH(Table5[[#This Row],[PID]],Batters[[#All],[PID]],0)),INDEX(Table3[[#All],[Tot]],MATCH(Table5[[#This Row],[PID]],Table3[[#All],[PID]],0)))</f>
        <v>70.702816946459677</v>
      </c>
      <c r="R29" s="52">
        <f>IF($C29="B",INDEX(Batters[[#All],[zScore]],MATCH(Table5[[#This Row],[PID]],Batters[[#All],[PID]],0)),INDEX(Table3[[#All],[zScore]],MATCH(Table5[[#This Row],[PID]],Table3[[#All],[PID]],0)))</f>
        <v>2.3173390862753918</v>
      </c>
      <c r="S29" s="58" t="str">
        <f>IF($C29="B",INDEX(Batters[[#All],[DEM]],MATCH(Table5[[#This Row],[PID]],Batters[[#All],[PID]],0)),INDEX(Table3[[#All],[DEM]],MATCH(Table5[[#This Row],[PID]],Table3[[#All],[PID]],0)))</f>
        <v>-</v>
      </c>
      <c r="T29" s="62">
        <f>IF($C29="B",INDEX(Batters[[#All],[Rnk]],MATCH(Table5[[#This Row],[PID]],Batters[[#All],[PID]],0)),INDEX(Table3[[#All],[Rnk]],MATCH(Table5[[#This Row],[PID]],Table3[[#All],[PID]],0)))</f>
        <v>14</v>
      </c>
      <c r="U29" s="68">
        <f>IF($C29="B",VLOOKUP($A29,Bat!$A$4:$BA$1621,47,FALSE),VLOOKUP($A29,Pit!$A$4:$BF$1557,56,FALSE))</f>
        <v>0</v>
      </c>
      <c r="V29" s="50">
        <f>IF($C29="B",VLOOKUP($A29,Bat!$A$4:$BA$1621,48,FALSE),VLOOKUP($A29,Pit!$A$4:$BF$1557,57,FALSE))</f>
        <v>0</v>
      </c>
      <c r="W29" s="50">
        <f>Table5[[#This Row],[posRnk]]+Table5[[#This Row],[zRnk]]+IF($W$3&lt;&gt;Table5[[#This Row],[Type]],50,0)</f>
        <v>90</v>
      </c>
      <c r="X29" s="51">
        <f>RANK(Table5[[#This Row],[zScore]],Table5[[#All],[zScore]])</f>
        <v>26</v>
      </c>
      <c r="Y29" s="50">
        <f>IFERROR(INDEX(DraftResults[[#All],[OVR]],MATCH(Table5[[#This Row],[PID]],DraftResults[[#All],[Player ID]],0)),"")</f>
        <v>25</v>
      </c>
      <c r="Z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29" s="50">
        <f>IFERROR(INDEX(DraftResults[[#All],[Pick in Round]],MATCH(Table5[[#This Row],[PID]],DraftResults[[#All],[Player ID]],0)),"")</f>
        <v>25</v>
      </c>
      <c r="AB29" s="50" t="str">
        <f>IFERROR(INDEX(DraftResults[[#All],[Team Name]],MATCH(Table5[[#This Row],[PID]],DraftResults[[#All],[Player ID]],0)),"")</f>
        <v>San Juan Coqui</v>
      </c>
      <c r="AC29" s="50">
        <f>IF(Table5[[#This Row],[Ovr]]="","",IF(Table5[[#This Row],[cmbList]]="","",Table5[[#This Row],[cmbList]]-Table5[[#This Row],[Ovr]]))</f>
        <v>65</v>
      </c>
      <c r="AD29" s="54" t="str">
        <f>IF(ISERROR(VLOOKUP($AB29&amp;"-"&amp;$E29&amp;" "&amp;F29,Bonuses!$B$1:$G$1006,4,FALSE)),"",INT(VLOOKUP($AB29&amp;"-"&amp;$E29&amp;" "&amp;$F29,Bonuses!$B$1:$G$1006,4,FALSE)))</f>
        <v/>
      </c>
      <c r="AE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1.25 (25) - CL Petro Cuypers</v>
      </c>
    </row>
    <row r="30" spans="1:31" s="50" customFormat="1" x14ac:dyDescent="0.25">
      <c r="A30" s="50">
        <v>17779</v>
      </c>
      <c r="B30" s="50">
        <f>COUNTIF(Table5[PID],A30)</f>
        <v>1</v>
      </c>
      <c r="C30" s="50" t="str">
        <f>IF(COUNTIF(Table3[[#All],[PID]],A30)&gt;0,"P","B")</f>
        <v>B</v>
      </c>
      <c r="D30" s="59" t="str">
        <f>IF($C30="B",INDEX(Batters[[#All],[POS]],MATCH(Table5[[#This Row],[PID]],Batters[[#All],[PID]],0)),INDEX(Table3[[#All],[POS]],MATCH(Table5[[#This Row],[PID]],Table3[[#All],[PID]],0)))</f>
        <v>SS</v>
      </c>
      <c r="E30" s="52" t="str">
        <f>IF($C30="B",INDEX(Batters[[#All],[First]],MATCH(Table5[[#This Row],[PID]],Batters[[#All],[PID]],0)),INDEX(Table3[[#All],[First]],MATCH(Table5[[#This Row],[PID]],Table3[[#All],[PID]],0)))</f>
        <v>Odmar</v>
      </c>
      <c r="F30" s="50" t="str">
        <f>IF($C30="B",INDEX(Batters[[#All],[Last]],MATCH(A30,Batters[[#All],[PID]],0)),INDEX(Table3[[#All],[Last]],MATCH(A30,Table3[[#All],[PID]],0)))</f>
        <v>Veldhoven</v>
      </c>
      <c r="G30" s="56">
        <f>IF($C30="B",INDEX(Batters[[#All],[Age]],MATCH(Table5[[#This Row],[PID]],Batters[[#All],[PID]],0)),INDEX(Table3[[#All],[Age]],MATCH(Table5[[#This Row],[PID]],Table3[[#All],[PID]],0)))</f>
        <v>21</v>
      </c>
      <c r="H30" s="52" t="str">
        <f>IF($C30="B",INDEX(Batters[[#All],[B]],MATCH(Table5[[#This Row],[PID]],Batters[[#All],[PID]],0)),INDEX(Table3[[#All],[B]],MATCH(Table5[[#This Row],[PID]],Table3[[#All],[PID]],0)))</f>
        <v>L</v>
      </c>
      <c r="I30" s="52" t="str">
        <f>IF($C30="B",INDEX(Batters[[#All],[T]],MATCH(Table5[[#This Row],[PID]],Batters[[#All],[PID]],0)),INDEX(Table3[[#All],[T]],MATCH(Table5[[#This Row],[PID]],Table3[[#All],[PID]],0)))</f>
        <v>R</v>
      </c>
      <c r="J30" s="52" t="str">
        <f>IF($C30="B",INDEX(Batters[[#All],[WE]],MATCH(Table5[[#This Row],[PID]],Batters[[#All],[PID]],0)),INDEX(Table3[[#All],[WE]],MATCH(Table5[[#This Row],[PID]],Table3[[#All],[PID]],0)))</f>
        <v>High</v>
      </c>
      <c r="K30" s="52" t="str">
        <f>IF($C30="B",INDEX(Batters[[#All],[INT]],MATCH(Table5[[#This Row],[PID]],Batters[[#All],[PID]],0)),INDEX(Table3[[#All],[INT]],MATCH(Table5[[#This Row],[PID]],Table3[[#All],[PID]],0)))</f>
        <v>Normal</v>
      </c>
      <c r="L30" s="60">
        <f>IF($C30="B",INDEX(Batters[[#All],[CON P]],MATCH(Table5[[#This Row],[PID]],Batters[[#All],[PID]],0)),INDEX(Table3[[#All],[STU P]],MATCH(Table5[[#This Row],[PID]],Table3[[#All],[PID]],0)))</f>
        <v>5</v>
      </c>
      <c r="M30" s="56">
        <f>IF($C30="B",INDEX(Batters[[#All],[GAP P]],MATCH(Table5[[#This Row],[PID]],Batters[[#All],[PID]],0)),INDEX(Table3[[#All],[MOV P]],MATCH(Table5[[#This Row],[PID]],Table3[[#All],[PID]],0)))</f>
        <v>7</v>
      </c>
      <c r="N30" s="56">
        <f>IF($C30="B",INDEX(Batters[[#All],[POW P]],MATCH(Table5[[#This Row],[PID]],Batters[[#All],[PID]],0)),INDEX(Table3[[#All],[CON P]],MATCH(Table5[[#This Row],[PID]],Table3[[#All],[PID]],0)))</f>
        <v>4</v>
      </c>
      <c r="O30" s="56">
        <f>IF($C30="B",INDEX(Batters[[#All],[EYE P]],MATCH(Table5[[#This Row],[PID]],Batters[[#All],[PID]],0)),INDEX(Table3[[#All],[VELO]],MATCH(Table5[[#This Row],[PID]],Table3[[#All],[PID]],0)))</f>
        <v>3</v>
      </c>
      <c r="P30" s="56">
        <f>IF($C30="B",INDEX(Batters[[#All],[K P]],MATCH(Table5[[#This Row],[PID]],Batters[[#All],[PID]],0)),INDEX(Table3[[#All],[STM]],MATCH(Table5[[#This Row],[PID]],Table3[[#All],[PID]],0)))</f>
        <v>6</v>
      </c>
      <c r="Q30" s="61">
        <f>IF($C30="B",INDEX(Batters[[#All],[Tot]],MATCH(Table5[[#This Row],[PID]],Batters[[#All],[PID]],0)),INDEX(Table3[[#All],[Tot]],MATCH(Table5[[#This Row],[PID]],Table3[[#All],[PID]],0)))</f>
        <v>48.374032356675599</v>
      </c>
      <c r="R30" s="52">
        <f>IF($C30="B",INDEX(Batters[[#All],[zScore]],MATCH(Table5[[#This Row],[PID]],Batters[[#All],[PID]],0)),INDEX(Table3[[#All],[zScore]],MATCH(Table5[[#This Row],[PID]],Table3[[#All],[PID]],0)))</f>
        <v>0.94050061107380911</v>
      </c>
      <c r="S30" s="58" t="str">
        <f>IF($C30="B",INDEX(Batters[[#All],[DEM]],MATCH(Table5[[#This Row],[PID]],Batters[[#All],[PID]],0)),INDEX(Table3[[#All],[DEM]],MATCH(Table5[[#This Row],[PID]],Table3[[#All],[PID]],0)))</f>
        <v>$20k</v>
      </c>
      <c r="T30" s="62">
        <f>IF($C30="B",INDEX(Batters[[#All],[Rnk]],MATCH(Table5[[#This Row],[PID]],Batters[[#All],[PID]],0)),INDEX(Table3[[#All],[Rnk]],MATCH(Table5[[#This Row],[PID]],Table3[[#All],[PID]],0)))</f>
        <v>97</v>
      </c>
      <c r="U30" s="68">
        <f>IF($C30="B",VLOOKUP($A30,Bat!$A$4:$BA$1621,47,FALSE),VLOOKUP($A30,Pit!$A$4:$BF$1557,56,FALSE))</f>
        <v>0</v>
      </c>
      <c r="V30" s="50">
        <f>IF($C30="B",VLOOKUP($A30,Bat!$A$4:$BA$1621,48,FALSE),VLOOKUP($A30,Pit!$A$4:$BF$1557,57,FALSE))</f>
        <v>0</v>
      </c>
      <c r="W30" s="50">
        <f>Table5[[#This Row],[posRnk]]+Table5[[#This Row],[zRnk]]+IF($W$3&lt;&gt;Table5[[#This Row],[Type]],50,0)</f>
        <v>391</v>
      </c>
      <c r="X30" s="51">
        <f>RANK(Table5[[#This Row],[zScore]],Table5[[#All],[zScore]])</f>
        <v>244</v>
      </c>
      <c r="Y30" s="50">
        <f>IFERROR(INDEX(DraftResults[[#All],[OVR]],MATCH(Table5[[#This Row],[PID]],DraftResults[[#All],[Player ID]],0)),"")</f>
        <v>26</v>
      </c>
      <c r="Z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30" s="50">
        <f>IFERROR(INDEX(DraftResults[[#All],[Pick in Round]],MATCH(Table5[[#This Row],[PID]],DraftResults[[#All],[Player ID]],0)),"")</f>
        <v>26</v>
      </c>
      <c r="AB30" s="50" t="str">
        <f>IFERROR(INDEX(DraftResults[[#All],[Team Name]],MATCH(Table5[[#This Row],[PID]],DraftResults[[#All],[Player ID]],0)),"")</f>
        <v>Havana Leones</v>
      </c>
      <c r="AC30" s="50">
        <f>IF(Table5[[#This Row],[Ovr]]="","",IF(Table5[[#This Row],[cmbList]]="","",Table5[[#This Row],[cmbList]]-Table5[[#This Row],[Ovr]]))</f>
        <v>365</v>
      </c>
      <c r="AD30" s="54" t="str">
        <f>IF(ISERROR(VLOOKUP($AB30&amp;"-"&amp;$E30&amp;" "&amp;F30,Bonuses!$B$1:$G$1006,4,FALSE)),"",INT(VLOOKUP($AB30&amp;"-"&amp;$E30&amp;" "&amp;$F30,Bonuses!$B$1:$G$1006,4,FALSE)))</f>
        <v/>
      </c>
      <c r="AE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1.26 (26) - SS Odmar Veldhoven</v>
      </c>
    </row>
    <row r="31" spans="1:31" s="50" customFormat="1" x14ac:dyDescent="0.25">
      <c r="A31" s="50">
        <v>18441</v>
      </c>
      <c r="B31" s="50">
        <f>COUNTIF(Table5[PID],A31)</f>
        <v>1</v>
      </c>
      <c r="C31" s="50" t="str">
        <f>IF(COUNTIF(Table3[[#All],[PID]],A31)&gt;0,"P","B")</f>
        <v>P</v>
      </c>
      <c r="D31" s="59" t="str">
        <f>IF($C31="B",INDEX(Batters[[#All],[POS]],MATCH(Table5[[#This Row],[PID]],Batters[[#All],[PID]],0)),INDEX(Table3[[#All],[POS]],MATCH(Table5[[#This Row],[PID]],Table3[[#All],[PID]],0)))</f>
        <v>CL</v>
      </c>
      <c r="E31" s="52" t="str">
        <f>IF($C31="B",INDEX(Batters[[#All],[First]],MATCH(Table5[[#This Row],[PID]],Batters[[#All],[PID]],0)),INDEX(Table3[[#All],[First]],MATCH(Table5[[#This Row],[PID]],Table3[[#All],[PID]],0)))</f>
        <v>Kiyohira</v>
      </c>
      <c r="F31" s="50" t="str">
        <f>IF($C31="B",INDEX(Batters[[#All],[Last]],MATCH(A31,Batters[[#All],[PID]],0)),INDEX(Table3[[#All],[Last]],MATCH(A31,Table3[[#All],[PID]],0)))</f>
        <v>Goto</v>
      </c>
      <c r="G31" s="56">
        <f>IF($C31="B",INDEX(Batters[[#All],[Age]],MATCH(Table5[[#This Row],[PID]],Batters[[#All],[PID]],0)),INDEX(Table3[[#All],[Age]],MATCH(Table5[[#This Row],[PID]],Table3[[#All],[PID]],0)))</f>
        <v>18</v>
      </c>
      <c r="H31" s="52" t="str">
        <f>IF($C31="B",INDEX(Batters[[#All],[B]],MATCH(Table5[[#This Row],[PID]],Batters[[#All],[PID]],0)),INDEX(Table3[[#All],[B]],MATCH(Table5[[#This Row],[PID]],Table3[[#All],[PID]],0)))</f>
        <v>R</v>
      </c>
      <c r="I31" s="52" t="str">
        <f>IF($C31="B",INDEX(Batters[[#All],[T]],MATCH(Table5[[#This Row],[PID]],Batters[[#All],[PID]],0)),INDEX(Table3[[#All],[T]],MATCH(Table5[[#This Row],[PID]],Table3[[#All],[PID]],0)))</f>
        <v>R</v>
      </c>
      <c r="J31" s="52" t="str">
        <f>IF($C31="B",INDEX(Batters[[#All],[WE]],MATCH(Table5[[#This Row],[PID]],Batters[[#All],[PID]],0)),INDEX(Table3[[#All],[WE]],MATCH(Table5[[#This Row],[PID]],Table3[[#All],[PID]],0)))</f>
        <v>High</v>
      </c>
      <c r="K31" s="52" t="str">
        <f>IF($C31="B",INDEX(Batters[[#All],[INT]],MATCH(Table5[[#This Row],[PID]],Batters[[#All],[PID]],0)),INDEX(Table3[[#All],[INT]],MATCH(Table5[[#This Row],[PID]],Table3[[#All],[PID]],0)))</f>
        <v>Normal</v>
      </c>
      <c r="L31" s="60">
        <f>IF($C31="B",INDEX(Batters[[#All],[CON P]],MATCH(Table5[[#This Row],[PID]],Batters[[#All],[PID]],0)),INDEX(Table3[[#All],[STU P]],MATCH(Table5[[#This Row],[PID]],Table3[[#All],[PID]],0)))</f>
        <v>7</v>
      </c>
      <c r="M31" s="56">
        <f>IF($C31="B",INDEX(Batters[[#All],[GAP P]],MATCH(Table5[[#This Row],[PID]],Batters[[#All],[PID]],0)),INDEX(Table3[[#All],[MOV P]],MATCH(Table5[[#This Row],[PID]],Table3[[#All],[PID]],0)))</f>
        <v>8</v>
      </c>
      <c r="N31" s="56">
        <f>IF($C31="B",INDEX(Batters[[#All],[POW P]],MATCH(Table5[[#This Row],[PID]],Batters[[#All],[PID]],0)),INDEX(Table3[[#All],[CON P]],MATCH(Table5[[#This Row],[PID]],Table3[[#All],[PID]],0)))</f>
        <v>4</v>
      </c>
      <c r="O31" s="56" t="str">
        <f>IF($C31="B",INDEX(Batters[[#All],[EYE P]],MATCH(Table5[[#This Row],[PID]],Batters[[#All],[PID]],0)),INDEX(Table3[[#All],[VELO]],MATCH(Table5[[#This Row],[PID]],Table3[[#All],[PID]],0)))</f>
        <v>93-95 Mph</v>
      </c>
      <c r="P31" s="56">
        <f>IF($C31="B",INDEX(Batters[[#All],[K P]],MATCH(Table5[[#This Row],[PID]],Batters[[#All],[PID]],0)),INDEX(Table3[[#All],[STM]],MATCH(Table5[[#This Row],[PID]],Table3[[#All],[PID]],0)))</f>
        <v>7</v>
      </c>
      <c r="Q31" s="61">
        <f>IF($C31="B",INDEX(Batters[[#All],[Tot]],MATCH(Table5[[#This Row],[PID]],Batters[[#All],[PID]],0)),INDEX(Table3[[#All],[Tot]],MATCH(Table5[[#This Row],[PID]],Table3[[#All],[PID]],0)))</f>
        <v>76.74245172269805</v>
      </c>
      <c r="R31" s="52">
        <f>IF($C31="B",INDEX(Batters[[#All],[zScore]],MATCH(Table5[[#This Row],[PID]],Batters[[#All],[PID]],0)),INDEX(Table3[[#All],[zScore]],MATCH(Table5[[#This Row],[PID]],Table3[[#All],[PID]],0)))</f>
        <v>2.7191467587192255</v>
      </c>
      <c r="S31" s="58" t="str">
        <f>IF($C31="B",INDEX(Batters[[#All],[DEM]],MATCH(Table5[[#This Row],[PID]],Batters[[#All],[PID]],0)),INDEX(Table3[[#All],[DEM]],MATCH(Table5[[#This Row],[PID]],Table3[[#All],[PID]],0)))</f>
        <v>$650k</v>
      </c>
      <c r="T31" s="62">
        <f>IF($C31="B",INDEX(Batters[[#All],[Rnk]],MATCH(Table5[[#This Row],[PID]],Batters[[#All],[PID]],0)),INDEX(Table3[[#All],[Rnk]],MATCH(Table5[[#This Row],[PID]],Table3[[#All],[PID]],0)))</f>
        <v>4</v>
      </c>
      <c r="U31" s="68">
        <f>IF($C31="B",VLOOKUP($A31,Bat!$A$4:$BA$1621,47,FALSE),VLOOKUP($A31,Pit!$A$4:$BF$1557,56,FALSE))</f>
        <v>0</v>
      </c>
      <c r="V31" s="50">
        <f>IF($C31="B",VLOOKUP($A31,Bat!$A$4:$BA$1621,48,FALSE),VLOOKUP($A31,Pit!$A$4:$BF$1557,57,FALSE))</f>
        <v>0</v>
      </c>
      <c r="W31" s="50">
        <f>Table5[[#This Row],[posRnk]]+Table5[[#This Row],[zRnk]]+IF($W$3&lt;&gt;Table5[[#This Row],[Type]],50,0)</f>
        <v>66</v>
      </c>
      <c r="X31" s="51">
        <f>RANK(Table5[[#This Row],[zScore]],Table5[[#All],[zScore]])</f>
        <v>12</v>
      </c>
      <c r="Y31" s="50">
        <f>IFERROR(INDEX(DraftResults[[#All],[OVR]],MATCH(Table5[[#This Row],[PID]],DraftResults[[#All],[Player ID]],0)),"")</f>
        <v>27</v>
      </c>
      <c r="Z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</v>
      </c>
      <c r="AA31" s="50">
        <f>IFERROR(INDEX(DraftResults[[#All],[Pick in Round]],MATCH(Table5[[#This Row],[PID]],DraftResults[[#All],[Player ID]],0)),"")</f>
        <v>27</v>
      </c>
      <c r="AB31" s="50" t="str">
        <f>IFERROR(INDEX(DraftResults[[#All],[Team Name]],MATCH(Table5[[#This Row],[PID]],DraftResults[[#All],[Player ID]],0)),"")</f>
        <v>Florida Farstriders</v>
      </c>
      <c r="AC31" s="50">
        <f>IF(Table5[[#This Row],[Ovr]]="","",IF(Table5[[#This Row],[cmbList]]="","",Table5[[#This Row],[cmbList]]-Table5[[#This Row],[Ovr]]))</f>
        <v>39</v>
      </c>
      <c r="AD31" s="54" t="str">
        <f>IF(ISERROR(VLOOKUP($AB31&amp;"-"&amp;$E31&amp;" "&amp;F31,Bonuses!$B$1:$G$1006,4,FALSE)),"",INT(VLOOKUP($AB31&amp;"-"&amp;$E31&amp;" "&amp;$F31,Bonuses!$B$1:$G$1006,4,FALSE)))</f>
        <v/>
      </c>
      <c r="AE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1.27 (27) - CL Kiyohira Goto</v>
      </c>
    </row>
    <row r="32" spans="1:31" s="50" customFormat="1" x14ac:dyDescent="0.25">
      <c r="A32" s="50">
        <v>18387</v>
      </c>
      <c r="B32" s="50">
        <f>COUNTIF(Table5[PID],A32)</f>
        <v>1</v>
      </c>
      <c r="C32" s="50" t="str">
        <f>IF(COUNTIF(Table3[[#All],[PID]],A32)&gt;0,"P","B")</f>
        <v>B</v>
      </c>
      <c r="D32" s="59" t="str">
        <f>IF($C32="B",INDEX(Batters[[#All],[POS]],MATCH(Table5[[#This Row],[PID]],Batters[[#All],[PID]],0)),INDEX(Table3[[#All],[POS]],MATCH(Table5[[#This Row],[PID]],Table3[[#All],[PID]],0)))</f>
        <v>1B</v>
      </c>
      <c r="E32" s="52" t="str">
        <f>IF($C32="B",INDEX(Batters[[#All],[First]],MATCH(Table5[[#This Row],[PID]],Batters[[#All],[PID]],0)),INDEX(Table3[[#All],[First]],MATCH(Table5[[#This Row],[PID]],Table3[[#All],[PID]],0)))</f>
        <v>Shimei</v>
      </c>
      <c r="F32" s="50" t="str">
        <f>IF($C32="B",INDEX(Batters[[#All],[Last]],MATCH(A32,Batters[[#All],[PID]],0)),INDEX(Table3[[#All],[Last]],MATCH(A32,Table3[[#All],[PID]],0)))</f>
        <v>Yashiki</v>
      </c>
      <c r="G32" s="56">
        <f>IF($C32="B",INDEX(Batters[[#All],[Age]],MATCH(Table5[[#This Row],[PID]],Batters[[#All],[PID]],0)),INDEX(Table3[[#All],[Age]],MATCH(Table5[[#This Row],[PID]],Table3[[#All],[PID]],0)))</f>
        <v>18</v>
      </c>
      <c r="H32" s="52" t="str">
        <f>IF($C32="B",INDEX(Batters[[#All],[B]],MATCH(Table5[[#This Row],[PID]],Batters[[#All],[PID]],0)),INDEX(Table3[[#All],[B]],MATCH(Table5[[#This Row],[PID]],Table3[[#All],[PID]],0)))</f>
        <v>L</v>
      </c>
      <c r="I32" s="52" t="str">
        <f>IF($C32="B",INDEX(Batters[[#All],[T]],MATCH(Table5[[#This Row],[PID]],Batters[[#All],[PID]],0)),INDEX(Table3[[#All],[T]],MATCH(Table5[[#This Row],[PID]],Table3[[#All],[PID]],0)))</f>
        <v>R</v>
      </c>
      <c r="J32" s="52" t="str">
        <f>IF($C32="B",INDEX(Batters[[#All],[WE]],MATCH(Table5[[#This Row],[PID]],Batters[[#All],[PID]],0)),INDEX(Table3[[#All],[WE]],MATCH(Table5[[#This Row],[PID]],Table3[[#All],[PID]],0)))</f>
        <v>Normal</v>
      </c>
      <c r="K32" s="52" t="str">
        <f>IF($C32="B",INDEX(Batters[[#All],[INT]],MATCH(Table5[[#This Row],[PID]],Batters[[#All],[PID]],0)),INDEX(Table3[[#All],[INT]],MATCH(Table5[[#This Row],[PID]],Table3[[#All],[PID]],0)))</f>
        <v>Low</v>
      </c>
      <c r="L32" s="60">
        <f>IF($C32="B",INDEX(Batters[[#All],[CON P]],MATCH(Table5[[#This Row],[PID]],Batters[[#All],[PID]],0)),INDEX(Table3[[#All],[STU P]],MATCH(Table5[[#This Row],[PID]],Table3[[#All],[PID]],0)))</f>
        <v>5</v>
      </c>
      <c r="M32" s="56">
        <f>IF($C32="B",INDEX(Batters[[#All],[GAP P]],MATCH(Table5[[#This Row],[PID]],Batters[[#All],[PID]],0)),INDEX(Table3[[#All],[MOV P]],MATCH(Table5[[#This Row],[PID]],Table3[[#All],[PID]],0)))</f>
        <v>6</v>
      </c>
      <c r="N32" s="56">
        <f>IF($C32="B",INDEX(Batters[[#All],[POW P]],MATCH(Table5[[#This Row],[PID]],Batters[[#All],[PID]],0)),INDEX(Table3[[#All],[CON P]],MATCH(Table5[[#This Row],[PID]],Table3[[#All],[PID]],0)))</f>
        <v>8</v>
      </c>
      <c r="O32" s="56">
        <f>IF($C32="B",INDEX(Batters[[#All],[EYE P]],MATCH(Table5[[#This Row],[PID]],Batters[[#All],[PID]],0)),INDEX(Table3[[#All],[VELO]],MATCH(Table5[[#This Row],[PID]],Table3[[#All],[PID]],0)))</f>
        <v>5</v>
      </c>
      <c r="P32" s="56">
        <f>IF($C32="B",INDEX(Batters[[#All],[K P]],MATCH(Table5[[#This Row],[PID]],Batters[[#All],[PID]],0)),INDEX(Table3[[#All],[STM]],MATCH(Table5[[#This Row],[PID]],Table3[[#All],[PID]],0)))</f>
        <v>6</v>
      </c>
      <c r="Q32" s="61">
        <f>IF($C32="B",INDEX(Batters[[#All],[Tot]],MATCH(Table5[[#This Row],[PID]],Batters[[#All],[PID]],0)),INDEX(Table3[[#All],[Tot]],MATCH(Table5[[#This Row],[PID]],Table3[[#All],[PID]],0)))</f>
        <v>56.789176912183279</v>
      </c>
      <c r="R32" s="52">
        <f>IF($C32="B",INDEX(Batters[[#All],[zScore]],MATCH(Table5[[#This Row],[PID]],Batters[[#All],[PID]],0)),INDEX(Table3[[#All],[zScore]],MATCH(Table5[[#This Row],[PID]],Table3[[#All],[PID]],0)))</f>
        <v>2.8061950401280762</v>
      </c>
      <c r="S32" s="58" t="str">
        <f>IF($C32="B",INDEX(Batters[[#All],[DEM]],MATCH(Table5[[#This Row],[PID]],Batters[[#All],[PID]],0)),INDEX(Table3[[#All],[DEM]],MATCH(Table5[[#This Row],[PID]],Table3[[#All],[PID]],0)))</f>
        <v>$2.4m</v>
      </c>
      <c r="T32" s="62">
        <f>IF($C32="B",INDEX(Batters[[#All],[Rnk]],MATCH(Table5[[#This Row],[PID]],Batters[[#All],[PID]],0)),INDEX(Table3[[#All],[Rnk]],MATCH(Table5[[#This Row],[PID]],Table3[[#All],[PID]],0)))</f>
        <v>7</v>
      </c>
      <c r="U32" s="68">
        <f>IF($C32="B",VLOOKUP($A32,Bat!$A$4:$BA$1621,47,FALSE),VLOOKUP($A32,Pit!$A$4:$BF$1557,56,FALSE))</f>
        <v>0</v>
      </c>
      <c r="V32" s="50">
        <f>IF($C32="B",VLOOKUP($A32,Bat!$A$4:$BA$1621,48,FALSE),VLOOKUP($A32,Pit!$A$4:$BF$1557,57,FALSE))</f>
        <v>0</v>
      </c>
      <c r="W32" s="50">
        <f>Table5[[#This Row],[posRnk]]+Table5[[#This Row],[zRnk]]+IF($W$3&lt;&gt;Table5[[#This Row],[Type]],50,0)</f>
        <v>66</v>
      </c>
      <c r="X32" s="51">
        <f>RANK(Table5[[#This Row],[zScore]],Table5[[#All],[zScore]])</f>
        <v>9</v>
      </c>
      <c r="Y32" s="50">
        <f>IFERROR(INDEX(DraftResults[[#All],[OVR]],MATCH(Table5[[#This Row],[PID]],DraftResults[[#All],[Player ID]],0)),"")</f>
        <v>28</v>
      </c>
      <c r="Z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2" s="50">
        <f>IFERROR(INDEX(DraftResults[[#All],[Pick in Round]],MATCH(Table5[[#This Row],[PID]],DraftResults[[#All],[Player ID]],0)),"")</f>
        <v>1</v>
      </c>
      <c r="AB32" s="50" t="str">
        <f>IFERROR(INDEX(DraftResults[[#All],[Team Name]],MATCH(Table5[[#This Row],[PID]],DraftResults[[#All],[Player ID]],0)),"")</f>
        <v>Bakersfield Bears</v>
      </c>
      <c r="AC32" s="50">
        <f>IF(Table5[[#This Row],[Ovr]]="","",IF(Table5[[#This Row],[cmbList]]="","",Table5[[#This Row],[cmbList]]-Table5[[#This Row],[Ovr]]))</f>
        <v>38</v>
      </c>
      <c r="AD32" s="54" t="str">
        <f>IF(ISERROR(VLOOKUP($AB32&amp;"-"&amp;$E32&amp;" "&amp;F32,Bonuses!$B$1:$G$1006,4,FALSE)),"",INT(VLOOKUP($AB32&amp;"-"&amp;$E32&amp;" "&amp;$F32,Bonuses!$B$1:$G$1006,4,FALSE)))</f>
        <v/>
      </c>
      <c r="AE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S1.1 (28) - 1B Shimei Yashiki</v>
      </c>
    </row>
    <row r="33" spans="1:31" s="50" customFormat="1" x14ac:dyDescent="0.25">
      <c r="A33" s="68">
        <v>18003</v>
      </c>
      <c r="B33" s="69">
        <f>COUNTIF(Table5[PID],A33)</f>
        <v>1</v>
      </c>
      <c r="C33" s="69" t="str">
        <f>IF(COUNTIF(Table3[[#All],[PID]],A33)&gt;0,"P","B")</f>
        <v>P</v>
      </c>
      <c r="D33" s="59" t="str">
        <f>IF($C33="B",INDEX(Batters[[#All],[POS]],MATCH(Table5[[#This Row],[PID]],Batters[[#All],[PID]],0)),INDEX(Table3[[#All],[POS]],MATCH(Table5[[#This Row],[PID]],Table3[[#All],[PID]],0)))</f>
        <v>SP</v>
      </c>
      <c r="E33" s="52" t="str">
        <f>IF($C33="B",INDEX(Batters[[#All],[First]],MATCH(Table5[[#This Row],[PID]],Batters[[#All],[PID]],0)),INDEX(Table3[[#All],[First]],MATCH(Table5[[#This Row],[PID]],Table3[[#All],[PID]],0)))</f>
        <v>Albert</v>
      </c>
      <c r="F33" s="55" t="str">
        <f>IF($C33="B",INDEX(Batters[[#All],[Last]],MATCH(A33,Batters[[#All],[PID]],0)),INDEX(Table3[[#All],[Last]],MATCH(A33,Table3[[#All],[PID]],0)))</f>
        <v>Barrios</v>
      </c>
      <c r="G33" s="56">
        <f>IF($C33="B",INDEX(Batters[[#All],[Age]],MATCH(Table5[[#This Row],[PID]],Batters[[#All],[PID]],0)),INDEX(Table3[[#All],[Age]],MATCH(Table5[[#This Row],[PID]],Table3[[#All],[PID]],0)))</f>
        <v>21</v>
      </c>
      <c r="H33" s="52" t="str">
        <f>IF($C33="B",INDEX(Batters[[#All],[B]],MATCH(Table5[[#This Row],[PID]],Batters[[#All],[PID]],0)),INDEX(Table3[[#All],[B]],MATCH(Table5[[#This Row],[PID]],Table3[[#All],[PID]],0)))</f>
        <v>R</v>
      </c>
      <c r="I33" s="52" t="str">
        <f>IF($C33="B",INDEX(Batters[[#All],[T]],MATCH(Table5[[#This Row],[PID]],Batters[[#All],[PID]],0)),INDEX(Table3[[#All],[T]],MATCH(Table5[[#This Row],[PID]],Table3[[#All],[PID]],0)))</f>
        <v>R</v>
      </c>
      <c r="J33" s="71" t="str">
        <f>IF($C33="B",INDEX(Batters[[#All],[WE]],MATCH(Table5[[#This Row],[PID]],Batters[[#All],[PID]],0)),INDEX(Table3[[#All],[WE]],MATCH(Table5[[#This Row],[PID]],Table3[[#All],[PID]],0)))</f>
        <v>Normal</v>
      </c>
      <c r="K33" s="52" t="str">
        <f>IF($C33="B",INDEX(Batters[[#All],[INT]],MATCH(Table5[[#This Row],[PID]],Batters[[#All],[PID]],0)),INDEX(Table3[[#All],[INT]],MATCH(Table5[[#This Row],[PID]],Table3[[#All],[PID]],0)))</f>
        <v>Normal</v>
      </c>
      <c r="L33" s="60">
        <f>IF($C33="B",INDEX(Batters[[#All],[CON P]],MATCH(Table5[[#This Row],[PID]],Batters[[#All],[PID]],0)),INDEX(Table3[[#All],[STU P]],MATCH(Table5[[#This Row],[PID]],Table3[[#All],[PID]],0)))</f>
        <v>6</v>
      </c>
      <c r="M33" s="72">
        <f>IF($C33="B",INDEX(Batters[[#All],[GAP P]],MATCH(Table5[[#This Row],[PID]],Batters[[#All],[PID]],0)),INDEX(Table3[[#All],[MOV P]],MATCH(Table5[[#This Row],[PID]],Table3[[#All],[PID]],0)))</f>
        <v>5</v>
      </c>
      <c r="N33" s="72">
        <f>IF($C33="B",INDEX(Batters[[#All],[POW P]],MATCH(Table5[[#This Row],[PID]],Batters[[#All],[PID]],0)),INDEX(Table3[[#All],[CON P]],MATCH(Table5[[#This Row],[PID]],Table3[[#All],[PID]],0)))</f>
        <v>4</v>
      </c>
      <c r="O33" s="72" t="str">
        <f>IF($C33="B",INDEX(Batters[[#All],[EYE P]],MATCH(Table5[[#This Row],[PID]],Batters[[#All],[PID]],0)),INDEX(Table3[[#All],[VELO]],MATCH(Table5[[#This Row],[PID]],Table3[[#All],[PID]],0)))</f>
        <v>93-95 Mph</v>
      </c>
      <c r="P33" s="56">
        <f>IF($C33="B",INDEX(Batters[[#All],[K P]],MATCH(Table5[[#This Row],[PID]],Batters[[#All],[PID]],0)),INDEX(Table3[[#All],[STM]],MATCH(Table5[[#This Row],[PID]],Table3[[#All],[PID]],0)))</f>
        <v>5</v>
      </c>
      <c r="Q33" s="61">
        <f>IF($C33="B",INDEX(Batters[[#All],[Tot]],MATCH(Table5[[#This Row],[PID]],Batters[[#All],[PID]],0)),INDEX(Table3[[#All],[Tot]],MATCH(Table5[[#This Row],[PID]],Table3[[#All],[PID]],0)))</f>
        <v>56.892205705923381</v>
      </c>
      <c r="R33" s="52">
        <f>IF($C33="B",INDEX(Batters[[#All],[zScore]],MATCH(Table5[[#This Row],[PID]],Batters[[#All],[PID]],0)),INDEX(Table3[[#All],[zScore]],MATCH(Table5[[#This Row],[PID]],Table3[[#All],[PID]],0)))</f>
        <v>1.3985402245596636</v>
      </c>
      <c r="S33" s="78" t="str">
        <f>IF($C33="B",INDEX(Batters[[#All],[DEM]],MATCH(Table5[[#This Row],[PID]],Batters[[#All],[PID]],0)),INDEX(Table3[[#All],[DEM]],MATCH(Table5[[#This Row],[PID]],Table3[[#All],[PID]],0)))</f>
        <v>$650k</v>
      </c>
      <c r="T33" s="75">
        <f>IF($C33="B",INDEX(Batters[[#All],[Rnk]],MATCH(Table5[[#This Row],[PID]],Batters[[#All],[PID]],0)),INDEX(Table3[[#All],[Rnk]],MATCH(Table5[[#This Row],[PID]],Table3[[#All],[PID]],0)))</f>
        <v>84</v>
      </c>
      <c r="U33" s="68">
        <f>IF($C33="B",VLOOKUP($A33,Bat!$A$4:$BA$1621,47,FALSE),VLOOKUP($A33,Pit!$A$4:$BF$1557,56,FALSE))</f>
        <v>0</v>
      </c>
      <c r="V33" s="50">
        <f>IF($C33="B",VLOOKUP($A33,Bat!$A$4:$BA$1621,48,FALSE),VLOOKUP($A33,Pit!$A$4:$BF$1557,57,FALSE))</f>
        <v>0</v>
      </c>
      <c r="W33" s="69">
        <f>Table5[[#This Row],[posRnk]]+Table5[[#This Row],[zRnk]]+IF($W$3&lt;&gt;Table5[[#This Row],[Type]],50,0)</f>
        <v>269</v>
      </c>
      <c r="X33" s="73">
        <f>RANK(Table5[[#This Row],[zScore]],Table5[[#All],[zScore]])</f>
        <v>135</v>
      </c>
      <c r="Y33" s="69">
        <f>IFERROR(INDEX(DraftResults[[#All],[OVR]],MATCH(Table5[[#This Row],[PID]],DraftResults[[#All],[Player ID]],0)),"")</f>
        <v>29</v>
      </c>
      <c r="Z3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3" s="69">
        <f>IFERROR(INDEX(DraftResults[[#All],[Pick in Round]],MATCH(Table5[[#This Row],[PID]],DraftResults[[#All],[Player ID]],0)),"")</f>
        <v>2</v>
      </c>
      <c r="AB33" s="69" t="str">
        <f>IFERROR(INDEX(DraftResults[[#All],[Team Name]],MATCH(Table5[[#This Row],[PID]],DraftResults[[#All],[Player ID]],0)),"")</f>
        <v>Kalamazoo Badgers</v>
      </c>
      <c r="AC33" s="69">
        <f>IF(Table5[[#This Row],[Ovr]]="","",IF(Table5[[#This Row],[cmbList]]="","",Table5[[#This Row],[cmbList]]-Table5[[#This Row],[Ovr]]))</f>
        <v>240</v>
      </c>
      <c r="AD33" s="77" t="str">
        <f>IF(ISERROR(VLOOKUP($AB33&amp;"-"&amp;$E33&amp;" "&amp;F33,Bonuses!$B$1:$G$1006,4,FALSE)),"",INT(VLOOKUP($AB33&amp;"-"&amp;$E33&amp;" "&amp;$F33,Bonuses!$B$1:$G$1006,4,FALSE)))</f>
        <v/>
      </c>
      <c r="AE3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S1.2 (29) - SP Albert Barrios</v>
      </c>
    </row>
    <row r="34" spans="1:31" s="50" customFormat="1" x14ac:dyDescent="0.25">
      <c r="A34" s="50">
        <v>18012</v>
      </c>
      <c r="B34" s="50">
        <f>COUNTIF(Table5[PID],A34)</f>
        <v>1</v>
      </c>
      <c r="C34" s="50" t="str">
        <f>IF(COUNTIF(Table3[[#All],[PID]],A34)&gt;0,"P","B")</f>
        <v>B</v>
      </c>
      <c r="D34" s="59" t="str">
        <f>IF($C34="B",INDEX(Batters[[#All],[POS]],MATCH(Table5[[#This Row],[PID]],Batters[[#All],[PID]],0)),INDEX(Table3[[#All],[POS]],MATCH(Table5[[#This Row],[PID]],Table3[[#All],[PID]],0)))</f>
        <v>1B</v>
      </c>
      <c r="E34" s="52" t="str">
        <f>IF($C34="B",INDEX(Batters[[#All],[First]],MATCH(Table5[[#This Row],[PID]],Batters[[#All],[PID]],0)),INDEX(Table3[[#All],[First]],MATCH(Table5[[#This Row],[PID]],Table3[[#All],[PID]],0)))</f>
        <v>Herb</v>
      </c>
      <c r="F34" s="50" t="str">
        <f>IF($C34="B",INDEX(Batters[[#All],[Last]],MATCH(A34,Batters[[#All],[PID]],0)),INDEX(Table3[[#All],[Last]],MATCH(A34,Table3[[#All],[PID]],0)))</f>
        <v>MacGruder</v>
      </c>
      <c r="G34" s="56">
        <f>IF($C34="B",INDEX(Batters[[#All],[Age]],MATCH(Table5[[#This Row],[PID]],Batters[[#All],[PID]],0)),INDEX(Table3[[#All],[Age]],MATCH(Table5[[#This Row],[PID]],Table3[[#All],[PID]],0)))</f>
        <v>21</v>
      </c>
      <c r="H34" s="52" t="str">
        <f>IF($C34="B",INDEX(Batters[[#All],[B]],MATCH(Table5[[#This Row],[PID]],Batters[[#All],[PID]],0)),INDEX(Table3[[#All],[B]],MATCH(Table5[[#This Row],[PID]],Table3[[#All],[PID]],0)))</f>
        <v>S</v>
      </c>
      <c r="I34" s="52" t="str">
        <f>IF($C34="B",INDEX(Batters[[#All],[T]],MATCH(Table5[[#This Row],[PID]],Batters[[#All],[PID]],0)),INDEX(Table3[[#All],[T]],MATCH(Table5[[#This Row],[PID]],Table3[[#All],[PID]],0)))</f>
        <v>R</v>
      </c>
      <c r="J34" s="52" t="str">
        <f>IF($C34="B",INDEX(Batters[[#All],[WE]],MATCH(Table5[[#This Row],[PID]],Batters[[#All],[PID]],0)),INDEX(Table3[[#All],[WE]],MATCH(Table5[[#This Row],[PID]],Table3[[#All],[PID]],0)))</f>
        <v>Normal</v>
      </c>
      <c r="K34" s="52" t="str">
        <f>IF($C34="B",INDEX(Batters[[#All],[INT]],MATCH(Table5[[#This Row],[PID]],Batters[[#All],[PID]],0)),INDEX(Table3[[#All],[INT]],MATCH(Table5[[#This Row],[PID]],Table3[[#All],[PID]],0)))</f>
        <v>Normal</v>
      </c>
      <c r="L34" s="60">
        <f>IF($C34="B",INDEX(Batters[[#All],[CON P]],MATCH(Table5[[#This Row],[PID]],Batters[[#All],[PID]],0)),INDEX(Table3[[#All],[STU P]],MATCH(Table5[[#This Row],[PID]],Table3[[#All],[PID]],0)))</f>
        <v>6</v>
      </c>
      <c r="M34" s="56">
        <f>IF($C34="B",INDEX(Batters[[#All],[GAP P]],MATCH(Table5[[#This Row],[PID]],Batters[[#All],[PID]],0)),INDEX(Table3[[#All],[MOV P]],MATCH(Table5[[#This Row],[PID]],Table3[[#All],[PID]],0)))</f>
        <v>7</v>
      </c>
      <c r="N34" s="56">
        <f>IF($C34="B",INDEX(Batters[[#All],[POW P]],MATCH(Table5[[#This Row],[PID]],Batters[[#All],[PID]],0)),INDEX(Table3[[#All],[CON P]],MATCH(Table5[[#This Row],[PID]],Table3[[#All],[PID]],0)))</f>
        <v>6</v>
      </c>
      <c r="O34" s="56">
        <f>IF($C34="B",INDEX(Batters[[#All],[EYE P]],MATCH(Table5[[#This Row],[PID]],Batters[[#All],[PID]],0)),INDEX(Table3[[#All],[VELO]],MATCH(Table5[[#This Row],[PID]],Table3[[#All],[PID]],0)))</f>
        <v>4</v>
      </c>
      <c r="P34" s="56">
        <f>IF($C34="B",INDEX(Batters[[#All],[K P]],MATCH(Table5[[#This Row],[PID]],Batters[[#All],[PID]],0)),INDEX(Table3[[#All],[STM]],MATCH(Table5[[#This Row],[PID]],Table3[[#All],[PID]],0)))</f>
        <v>5</v>
      </c>
      <c r="Q34" s="61">
        <f>IF($C34="B",INDEX(Batters[[#All],[Tot]],MATCH(Table5[[#This Row],[PID]],Batters[[#All],[PID]],0)),INDEX(Table3[[#All],[Tot]],MATCH(Table5[[#This Row],[PID]],Table3[[#All],[PID]],0)))</f>
        <v>53.0616463656497</v>
      </c>
      <c r="R34" s="52">
        <f>IF($C34="B",INDEX(Batters[[#All],[zScore]],MATCH(Table5[[#This Row],[PID]],Batters[[#All],[PID]],0)),INDEX(Table3[[#All],[zScore]],MATCH(Table5[[#This Row],[PID]],Table3[[#All],[PID]],0)))</f>
        <v>1.9797763221934384</v>
      </c>
      <c r="S34" s="58" t="str">
        <f>IF($C34="B",INDEX(Batters[[#All],[DEM]],MATCH(Table5[[#This Row],[PID]],Batters[[#All],[PID]],0)),INDEX(Table3[[#All],[DEM]],MATCH(Table5[[#This Row],[PID]],Table3[[#All],[PID]],0)))</f>
        <v>$130k</v>
      </c>
      <c r="T34" s="62">
        <f>IF($C34="B",INDEX(Batters[[#All],[Rnk]],MATCH(Table5[[#This Row],[PID]],Batters[[#All],[PID]],0)),INDEX(Table3[[#All],[Rnk]],MATCH(Table5[[#This Row],[PID]],Table3[[#All],[PID]],0)))</f>
        <v>18</v>
      </c>
      <c r="U34" s="68">
        <f>IF($C34="B",VLOOKUP($A34,Bat!$A$4:$BA$1621,47,FALSE),VLOOKUP($A34,Pit!$A$4:$BF$1557,56,FALSE))</f>
        <v>0</v>
      </c>
      <c r="V34" s="50">
        <f>IF($C34="B",VLOOKUP($A34,Bat!$A$4:$BA$1621,48,FALSE),VLOOKUP($A34,Pit!$A$4:$BF$1557,57,FALSE))</f>
        <v>0</v>
      </c>
      <c r="W34" s="50">
        <f>Table5[[#This Row],[posRnk]]+Table5[[#This Row],[zRnk]]+IF($W$3&lt;&gt;Table5[[#This Row],[Type]],50,0)</f>
        <v>115</v>
      </c>
      <c r="X34" s="51">
        <f>RANK(Table5[[#This Row],[zScore]],Table5[[#All],[zScore]])</f>
        <v>47</v>
      </c>
      <c r="Y34" s="50">
        <f>IFERROR(INDEX(DraftResults[[#All],[OVR]],MATCH(Table5[[#This Row],[PID]],DraftResults[[#All],[Player ID]],0)),"")</f>
        <v>30</v>
      </c>
      <c r="Z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4" s="50">
        <f>IFERROR(INDEX(DraftResults[[#All],[Pick in Round]],MATCH(Table5[[#This Row],[PID]],DraftResults[[#All],[Player ID]],0)),"")</f>
        <v>3</v>
      </c>
      <c r="AB34" s="50" t="str">
        <f>IFERROR(INDEX(DraftResults[[#All],[Team Name]],MATCH(Table5[[#This Row],[PID]],DraftResults[[#All],[Player ID]],0)),"")</f>
        <v>Crystal Lake Sandgnats</v>
      </c>
      <c r="AC34" s="50">
        <f>IF(Table5[[#This Row],[Ovr]]="","",IF(Table5[[#This Row],[cmbList]]="","",Table5[[#This Row],[cmbList]]-Table5[[#This Row],[Ovr]]))</f>
        <v>85</v>
      </c>
      <c r="AD34" s="54" t="str">
        <f>IF(ISERROR(VLOOKUP($AB34&amp;"-"&amp;$E34&amp;" "&amp;F34,Bonuses!$B$1:$G$1006,4,FALSE)),"",INT(VLOOKUP($AB34&amp;"-"&amp;$E34&amp;" "&amp;$F34,Bonuses!$B$1:$G$1006,4,FALSE)))</f>
        <v/>
      </c>
      <c r="AE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S1.3 (30) - 1B Herb MacGruder</v>
      </c>
    </row>
    <row r="35" spans="1:31" s="50" customFormat="1" x14ac:dyDescent="0.25">
      <c r="A35" s="50">
        <v>20515</v>
      </c>
      <c r="B35" s="50">
        <f>COUNTIF(Table5[PID],A35)</f>
        <v>1</v>
      </c>
      <c r="C35" s="50" t="str">
        <f>IF(COUNTIF(Table3[[#All],[PID]],A35)&gt;0,"P","B")</f>
        <v>B</v>
      </c>
      <c r="D35" s="59" t="str">
        <f>IF($C35="B",INDEX(Batters[[#All],[POS]],MATCH(Table5[[#This Row],[PID]],Batters[[#All],[PID]],0)),INDEX(Table3[[#All],[POS]],MATCH(Table5[[#This Row],[PID]],Table3[[#All],[PID]],0)))</f>
        <v>1B</v>
      </c>
      <c r="E35" s="52" t="str">
        <f>IF($C35="B",INDEX(Batters[[#All],[First]],MATCH(Table5[[#This Row],[PID]],Batters[[#All],[PID]],0)),INDEX(Table3[[#All],[First]],MATCH(Table5[[#This Row],[PID]],Table3[[#All],[PID]],0)))</f>
        <v>Wildemar</v>
      </c>
      <c r="F35" s="50" t="str">
        <f>IF($C35="B",INDEX(Batters[[#All],[Last]],MATCH(A35,Batters[[#All],[PID]],0)),INDEX(Table3[[#All],[Last]],MATCH(A35,Table3[[#All],[PID]],0)))</f>
        <v>Fantone</v>
      </c>
      <c r="G35" s="56">
        <f>IF($C35="B",INDEX(Batters[[#All],[Age]],MATCH(Table5[[#This Row],[PID]],Batters[[#All],[PID]],0)),INDEX(Table3[[#All],[Age]],MATCH(Table5[[#This Row],[PID]],Table3[[#All],[PID]],0)))</f>
        <v>17</v>
      </c>
      <c r="H35" s="52" t="str">
        <f>IF($C35="B",INDEX(Batters[[#All],[B]],MATCH(Table5[[#This Row],[PID]],Batters[[#All],[PID]],0)),INDEX(Table3[[#All],[B]],MATCH(Table5[[#This Row],[PID]],Table3[[#All],[PID]],0)))</f>
        <v>R</v>
      </c>
      <c r="I35" s="52" t="str">
        <f>IF($C35="B",INDEX(Batters[[#All],[T]],MATCH(Table5[[#This Row],[PID]],Batters[[#All],[PID]],0)),INDEX(Table3[[#All],[T]],MATCH(Table5[[#This Row],[PID]],Table3[[#All],[PID]],0)))</f>
        <v>R</v>
      </c>
      <c r="J35" s="52" t="str">
        <f>IF($C35="B",INDEX(Batters[[#All],[WE]],MATCH(Table5[[#This Row],[PID]],Batters[[#All],[PID]],0)),INDEX(Table3[[#All],[WE]],MATCH(Table5[[#This Row],[PID]],Table3[[#All],[PID]],0)))</f>
        <v>Normal</v>
      </c>
      <c r="K35" s="52" t="str">
        <f>IF($C35="B",INDEX(Batters[[#All],[INT]],MATCH(Table5[[#This Row],[PID]],Batters[[#All],[PID]],0)),INDEX(Table3[[#All],[INT]],MATCH(Table5[[#This Row],[PID]],Table3[[#All],[PID]],0)))</f>
        <v>Normal</v>
      </c>
      <c r="L35" s="60">
        <f>IF($C35="B",INDEX(Batters[[#All],[CON P]],MATCH(Table5[[#This Row],[PID]],Batters[[#All],[PID]],0)),INDEX(Table3[[#All],[STU P]],MATCH(Table5[[#This Row],[PID]],Table3[[#All],[PID]],0)))</f>
        <v>5</v>
      </c>
      <c r="M35" s="56">
        <f>IF($C35="B",INDEX(Batters[[#All],[GAP P]],MATCH(Table5[[#This Row],[PID]],Batters[[#All],[PID]],0)),INDEX(Table3[[#All],[MOV P]],MATCH(Table5[[#This Row],[PID]],Table3[[#All],[PID]],0)))</f>
        <v>7</v>
      </c>
      <c r="N35" s="56">
        <f>IF($C35="B",INDEX(Batters[[#All],[POW P]],MATCH(Table5[[#This Row],[PID]],Batters[[#All],[PID]],0)),INDEX(Table3[[#All],[CON P]],MATCH(Table5[[#This Row],[PID]],Table3[[#All],[PID]],0)))</f>
        <v>5</v>
      </c>
      <c r="O35" s="56">
        <f>IF($C35="B",INDEX(Batters[[#All],[EYE P]],MATCH(Table5[[#This Row],[PID]],Batters[[#All],[PID]],0)),INDEX(Table3[[#All],[VELO]],MATCH(Table5[[#This Row],[PID]],Table3[[#All],[PID]],0)))</f>
        <v>4</v>
      </c>
      <c r="P35" s="56">
        <f>IF($C35="B",INDEX(Batters[[#All],[K P]],MATCH(Table5[[#This Row],[PID]],Batters[[#All],[PID]],0)),INDEX(Table3[[#All],[STM]],MATCH(Table5[[#This Row],[PID]],Table3[[#All],[PID]],0)))</f>
        <v>7</v>
      </c>
      <c r="Q35" s="61">
        <f>IF($C35="B",INDEX(Batters[[#All],[Tot]],MATCH(Table5[[#This Row],[PID]],Batters[[#All],[PID]],0)),INDEX(Table3[[#All],[Tot]],MATCH(Table5[[#This Row],[PID]],Table3[[#All],[PID]],0)))</f>
        <v>54.125272254922066</v>
      </c>
      <c r="R35" s="52">
        <f>IF($C35="B",INDEX(Batters[[#All],[zScore]],MATCH(Table5[[#This Row],[PID]],Batters[[#All],[PID]],0)),INDEX(Table3[[#All],[zScore]],MATCH(Table5[[#This Row],[PID]],Table3[[#All],[PID]],0)))</f>
        <v>2.2155893712889005</v>
      </c>
      <c r="S35" s="58" t="str">
        <f>IF($C35="B",INDEX(Batters[[#All],[DEM]],MATCH(Table5[[#This Row],[PID]],Batters[[#All],[PID]],0)),INDEX(Table3[[#All],[DEM]],MATCH(Table5[[#This Row],[PID]],Table3[[#All],[PID]],0)))</f>
        <v>$200k</v>
      </c>
      <c r="T35" s="62">
        <f>IF($C35="B",INDEX(Batters[[#All],[Rnk]],MATCH(Table5[[#This Row],[PID]],Batters[[#All],[PID]],0)),INDEX(Table3[[#All],[Rnk]],MATCH(Table5[[#This Row],[PID]],Table3[[#All],[PID]],0)))</f>
        <v>15</v>
      </c>
      <c r="U35" s="68">
        <f>IF($C35="B",VLOOKUP($A35,Bat!$A$4:$BA$1621,47,FALSE),VLOOKUP($A35,Pit!$A$4:$BF$1557,56,FALSE))</f>
        <v>0</v>
      </c>
      <c r="V35" s="50">
        <f>IF($C35="B",VLOOKUP($A35,Bat!$A$4:$BA$1621,48,FALSE),VLOOKUP($A35,Pit!$A$4:$BF$1557,57,FALSE))</f>
        <v>0</v>
      </c>
      <c r="W35" s="50">
        <f>Table5[[#This Row],[posRnk]]+Table5[[#This Row],[zRnk]]+IF($W$3&lt;&gt;Table5[[#This Row],[Type]],50,0)</f>
        <v>97</v>
      </c>
      <c r="X35" s="51">
        <f>RANK(Table5[[#This Row],[zScore]],Table5[[#All],[zScore]])</f>
        <v>32</v>
      </c>
      <c r="Y35" s="50">
        <f>IFERROR(INDEX(DraftResults[[#All],[OVR]],MATCH(Table5[[#This Row],[PID]],DraftResults[[#All],[Player ID]],0)),"")</f>
        <v>31</v>
      </c>
      <c r="Z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5" s="50">
        <f>IFERROR(INDEX(DraftResults[[#All],[Pick in Round]],MATCH(Table5[[#This Row],[PID]],DraftResults[[#All],[Player ID]],0)),"")</f>
        <v>4</v>
      </c>
      <c r="AB35" s="50" t="str">
        <f>IFERROR(INDEX(DraftResults[[#All],[Team Name]],MATCH(Table5[[#This Row],[PID]],DraftResults[[#All],[Player ID]],0)),"")</f>
        <v>Crystal Lake Sandgnats</v>
      </c>
      <c r="AC35" s="50">
        <f>IF(Table5[[#This Row],[Ovr]]="","",IF(Table5[[#This Row],[cmbList]]="","",Table5[[#This Row],[cmbList]]-Table5[[#This Row],[Ovr]]))</f>
        <v>66</v>
      </c>
      <c r="AD35" s="54" t="str">
        <f>IF(ISERROR(VLOOKUP($AB35&amp;"-"&amp;$E35&amp;" "&amp;F35,Bonuses!$B$1:$G$1006,4,FALSE)),"",INT(VLOOKUP($AB35&amp;"-"&amp;$E35&amp;" "&amp;$F35,Bonuses!$B$1:$G$1006,4,FALSE)))</f>
        <v/>
      </c>
      <c r="AE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S1.4 (31) - 1B Wildemar Fantone</v>
      </c>
    </row>
    <row r="36" spans="1:31" s="50" customFormat="1" x14ac:dyDescent="0.25">
      <c r="A36" s="50">
        <v>18306</v>
      </c>
      <c r="B36" s="50">
        <f>COUNTIF(Table5[PID],A36)</f>
        <v>1</v>
      </c>
      <c r="C36" s="50" t="str">
        <f>IF(COUNTIF(Table3[[#All],[PID]],A36)&gt;0,"P","B")</f>
        <v>B</v>
      </c>
      <c r="D36" s="59" t="str">
        <f>IF($C36="B",INDEX(Batters[[#All],[POS]],MATCH(Table5[[#This Row],[PID]],Batters[[#All],[PID]],0)),INDEX(Table3[[#All],[POS]],MATCH(Table5[[#This Row],[PID]],Table3[[#All],[PID]],0)))</f>
        <v>CF</v>
      </c>
      <c r="E36" s="52" t="str">
        <f>IF($C36="B",INDEX(Batters[[#All],[First]],MATCH(Table5[[#This Row],[PID]],Batters[[#All],[PID]],0)),INDEX(Table3[[#All],[First]],MATCH(Table5[[#This Row],[PID]],Table3[[#All],[PID]],0)))</f>
        <v>Micah</v>
      </c>
      <c r="F36" s="50" t="str">
        <f>IF($C36="B",INDEX(Batters[[#All],[Last]],MATCH(A36,Batters[[#All],[PID]],0)),INDEX(Table3[[#All],[Last]],MATCH(A36,Table3[[#All],[PID]],0)))</f>
        <v>Hill</v>
      </c>
      <c r="G36" s="56">
        <f>IF($C36="B",INDEX(Batters[[#All],[Age]],MATCH(Table5[[#This Row],[PID]],Batters[[#All],[PID]],0)),INDEX(Table3[[#All],[Age]],MATCH(Table5[[#This Row],[PID]],Table3[[#All],[PID]],0)))</f>
        <v>21</v>
      </c>
      <c r="H36" s="52" t="str">
        <f>IF($C36="B",INDEX(Batters[[#All],[B]],MATCH(Table5[[#This Row],[PID]],Batters[[#All],[PID]],0)),INDEX(Table3[[#All],[B]],MATCH(Table5[[#This Row],[PID]],Table3[[#All],[PID]],0)))</f>
        <v>R</v>
      </c>
      <c r="I36" s="52" t="str">
        <f>IF($C36="B",INDEX(Batters[[#All],[T]],MATCH(Table5[[#This Row],[PID]],Batters[[#All],[PID]],0)),INDEX(Table3[[#All],[T]],MATCH(Table5[[#This Row],[PID]],Table3[[#All],[PID]],0)))</f>
        <v>R</v>
      </c>
      <c r="J36" s="52" t="str">
        <f>IF($C36="B",INDEX(Batters[[#All],[WE]],MATCH(Table5[[#This Row],[PID]],Batters[[#All],[PID]],0)),INDEX(Table3[[#All],[WE]],MATCH(Table5[[#This Row],[PID]],Table3[[#All],[PID]],0)))</f>
        <v>High</v>
      </c>
      <c r="K36" s="52" t="str">
        <f>IF($C36="B",INDEX(Batters[[#All],[INT]],MATCH(Table5[[#This Row],[PID]],Batters[[#All],[PID]],0)),INDEX(Table3[[#All],[INT]],MATCH(Table5[[#This Row],[PID]],Table3[[#All],[PID]],0)))</f>
        <v>Normal</v>
      </c>
      <c r="L36" s="60">
        <f>IF($C36="B",INDEX(Batters[[#All],[CON P]],MATCH(Table5[[#This Row],[PID]],Batters[[#All],[PID]],0)),INDEX(Table3[[#All],[STU P]],MATCH(Table5[[#This Row],[PID]],Table3[[#All],[PID]],0)))</f>
        <v>7</v>
      </c>
      <c r="M36" s="56">
        <f>IF($C36="B",INDEX(Batters[[#All],[GAP P]],MATCH(Table5[[#This Row],[PID]],Batters[[#All],[PID]],0)),INDEX(Table3[[#All],[MOV P]],MATCH(Table5[[#This Row],[PID]],Table3[[#All],[PID]],0)))</f>
        <v>6</v>
      </c>
      <c r="N36" s="56">
        <f>IF($C36="B",INDEX(Batters[[#All],[POW P]],MATCH(Table5[[#This Row],[PID]],Batters[[#All],[PID]],0)),INDEX(Table3[[#All],[CON P]],MATCH(Table5[[#This Row],[PID]],Table3[[#All],[PID]],0)))</f>
        <v>3</v>
      </c>
      <c r="O36" s="56">
        <f>IF($C36="B",INDEX(Batters[[#All],[EYE P]],MATCH(Table5[[#This Row],[PID]],Batters[[#All],[PID]],0)),INDEX(Table3[[#All],[VELO]],MATCH(Table5[[#This Row],[PID]],Table3[[#All],[PID]],0)))</f>
        <v>2</v>
      </c>
      <c r="P36" s="56">
        <f>IF($C36="B",INDEX(Batters[[#All],[K P]],MATCH(Table5[[#This Row],[PID]],Batters[[#All],[PID]],0)),INDEX(Table3[[#All],[STM]],MATCH(Table5[[#This Row],[PID]],Table3[[#All],[PID]],0)))</f>
        <v>8</v>
      </c>
      <c r="Q36" s="61">
        <f>IF($C36="B",INDEX(Batters[[#All],[Tot]],MATCH(Table5[[#This Row],[PID]],Batters[[#All],[PID]],0)),INDEX(Table3[[#All],[Tot]],MATCH(Table5[[#This Row],[PID]],Table3[[#All],[PID]],0)))</f>
        <v>54.684818852200422</v>
      </c>
      <c r="R36" s="52">
        <f>IF($C36="B",INDEX(Batters[[#All],[zScore]],MATCH(Table5[[#This Row],[PID]],Batters[[#All],[PID]],0)),INDEX(Table3[[#All],[zScore]],MATCH(Table5[[#This Row],[PID]],Table3[[#All],[PID]],0)))</f>
        <v>2.3396446340894954</v>
      </c>
      <c r="S36" s="58" t="str">
        <f>IF($C36="B",INDEX(Batters[[#All],[DEM]],MATCH(Table5[[#This Row],[PID]],Batters[[#All],[PID]],0)),INDEX(Table3[[#All],[DEM]],MATCH(Table5[[#This Row],[PID]],Table3[[#All],[PID]],0)))</f>
        <v>$65k</v>
      </c>
      <c r="T36" s="62">
        <f>IF($C36="B",INDEX(Batters[[#All],[Rnk]],MATCH(Table5[[#This Row],[PID]],Batters[[#All],[PID]],0)),INDEX(Table3[[#All],[Rnk]],MATCH(Table5[[#This Row],[PID]],Table3[[#All],[PID]],0)))</f>
        <v>12</v>
      </c>
      <c r="U36" s="68">
        <f>IF($C36="B",VLOOKUP($A36,Bat!$A$4:$BA$1621,47,FALSE),VLOOKUP($A36,Pit!$A$4:$BF$1557,56,FALSE))</f>
        <v>0</v>
      </c>
      <c r="V36" s="50">
        <f>IF($C36="B",VLOOKUP($A36,Bat!$A$4:$BA$1621,48,FALSE),VLOOKUP($A36,Pit!$A$4:$BF$1557,57,FALSE))</f>
        <v>0</v>
      </c>
      <c r="W36" s="50">
        <f>Table5[[#This Row],[posRnk]]+Table5[[#This Row],[zRnk]]+IF($W$3&lt;&gt;Table5[[#This Row],[Type]],50,0)</f>
        <v>85</v>
      </c>
      <c r="X36" s="51">
        <f>RANK(Table5[[#This Row],[zScore]],Table5[[#All],[zScore]])</f>
        <v>23</v>
      </c>
      <c r="Y36" s="50">
        <f>IFERROR(INDEX(DraftResults[[#All],[OVR]],MATCH(Table5[[#This Row],[PID]],DraftResults[[#All],[Player ID]],0)),"")</f>
        <v>32</v>
      </c>
      <c r="Z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6" s="50">
        <f>IFERROR(INDEX(DraftResults[[#All],[Pick in Round]],MATCH(Table5[[#This Row],[PID]],DraftResults[[#All],[Player ID]],0)),"")</f>
        <v>5</v>
      </c>
      <c r="AB36" s="50" t="str">
        <f>IFERROR(INDEX(DraftResults[[#All],[Team Name]],MATCH(Table5[[#This Row],[PID]],DraftResults[[#All],[Player ID]],0)),"")</f>
        <v>Crystal Lake Sandgnats</v>
      </c>
      <c r="AC36" s="50">
        <f>IF(Table5[[#This Row],[Ovr]]="","",IF(Table5[[#This Row],[cmbList]]="","",Table5[[#This Row],[cmbList]]-Table5[[#This Row],[Ovr]]))</f>
        <v>53</v>
      </c>
      <c r="AD36" s="54" t="str">
        <f>IF(ISERROR(VLOOKUP($AB36&amp;"-"&amp;$E36&amp;" "&amp;F36,Bonuses!$B$1:$G$1006,4,FALSE)),"",INT(VLOOKUP($AB36&amp;"-"&amp;$E36&amp;" "&amp;$F36,Bonuses!$B$1:$G$1006,4,FALSE)))</f>
        <v/>
      </c>
      <c r="AE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S1.5 (32) - CF Micah Hill</v>
      </c>
    </row>
    <row r="37" spans="1:31" s="50" customFormat="1" x14ac:dyDescent="0.25">
      <c r="A37" s="50">
        <v>18309</v>
      </c>
      <c r="B37" s="50">
        <f>COUNTIF(Table5[PID],A37)</f>
        <v>1</v>
      </c>
      <c r="C37" s="50" t="str">
        <f>IF(COUNTIF(Table3[[#All],[PID]],A37)&gt;0,"P","B")</f>
        <v>P</v>
      </c>
      <c r="D37" s="59" t="str">
        <f>IF($C37="B",INDEX(Batters[[#All],[POS]],MATCH(Table5[[#This Row],[PID]],Batters[[#All],[PID]],0)),INDEX(Table3[[#All],[POS]],MATCH(Table5[[#This Row],[PID]],Table3[[#All],[PID]],0)))</f>
        <v>CL</v>
      </c>
      <c r="E37" s="52" t="str">
        <f>IF($C37="B",INDEX(Batters[[#All],[First]],MATCH(Table5[[#This Row],[PID]],Batters[[#All],[PID]],0)),INDEX(Table3[[#All],[First]],MATCH(Table5[[#This Row],[PID]],Table3[[#All],[PID]],0)))</f>
        <v>Shunen</v>
      </c>
      <c r="F37" s="50" t="str">
        <f>IF($C37="B",INDEX(Batters[[#All],[Last]],MATCH(A37,Batters[[#All],[PID]],0)),INDEX(Table3[[#All],[Last]],MATCH(A37,Table3[[#All],[PID]],0)))</f>
        <v>Fujihara</v>
      </c>
      <c r="G37" s="56">
        <f>IF($C37="B",INDEX(Batters[[#All],[Age]],MATCH(Table5[[#This Row],[PID]],Batters[[#All],[PID]],0)),INDEX(Table3[[#All],[Age]],MATCH(Table5[[#This Row],[PID]],Table3[[#All],[PID]],0)))</f>
        <v>21</v>
      </c>
      <c r="H37" s="52" t="str">
        <f>IF($C37="B",INDEX(Batters[[#All],[B]],MATCH(Table5[[#This Row],[PID]],Batters[[#All],[PID]],0)),INDEX(Table3[[#All],[B]],MATCH(Table5[[#This Row],[PID]],Table3[[#All],[PID]],0)))</f>
        <v>L</v>
      </c>
      <c r="I37" s="52" t="str">
        <f>IF($C37="B",INDEX(Batters[[#All],[T]],MATCH(Table5[[#This Row],[PID]],Batters[[#All],[PID]],0)),INDEX(Table3[[#All],[T]],MATCH(Table5[[#This Row],[PID]],Table3[[#All],[PID]],0)))</f>
        <v>R</v>
      </c>
      <c r="J37" s="52" t="str">
        <f>IF($C37="B",INDEX(Batters[[#All],[WE]],MATCH(Table5[[#This Row],[PID]],Batters[[#All],[PID]],0)),INDEX(Table3[[#All],[WE]],MATCH(Table5[[#This Row],[PID]],Table3[[#All],[PID]],0)))</f>
        <v>Normal</v>
      </c>
      <c r="K37" s="52" t="str">
        <f>IF($C37="B",INDEX(Batters[[#All],[INT]],MATCH(Table5[[#This Row],[PID]],Batters[[#All],[PID]],0)),INDEX(Table3[[#All],[INT]],MATCH(Table5[[#This Row],[PID]],Table3[[#All],[PID]],0)))</f>
        <v>High</v>
      </c>
      <c r="L37" s="60">
        <f>IF($C37="B",INDEX(Batters[[#All],[CON P]],MATCH(Table5[[#This Row],[PID]],Batters[[#All],[PID]],0)),INDEX(Table3[[#All],[STU P]],MATCH(Table5[[#This Row],[PID]],Table3[[#All],[PID]],0)))</f>
        <v>9</v>
      </c>
      <c r="M37" s="56">
        <f>IF($C37="B",INDEX(Batters[[#All],[GAP P]],MATCH(Table5[[#This Row],[PID]],Batters[[#All],[PID]],0)),INDEX(Table3[[#All],[MOV P]],MATCH(Table5[[#This Row],[PID]],Table3[[#All],[PID]],0)))</f>
        <v>3</v>
      </c>
      <c r="N37" s="56">
        <f>IF($C37="B",INDEX(Batters[[#All],[POW P]],MATCH(Table5[[#This Row],[PID]],Batters[[#All],[PID]],0)),INDEX(Table3[[#All],[CON P]],MATCH(Table5[[#This Row],[PID]],Table3[[#All],[PID]],0)))</f>
        <v>6</v>
      </c>
      <c r="O37" s="56" t="str">
        <f>IF($C37="B",INDEX(Batters[[#All],[EYE P]],MATCH(Table5[[#This Row],[PID]],Batters[[#All],[PID]],0)),INDEX(Table3[[#All],[VELO]],MATCH(Table5[[#This Row],[PID]],Table3[[#All],[PID]],0)))</f>
        <v>97-99 Mph</v>
      </c>
      <c r="P37" s="56">
        <f>IF($C37="B",INDEX(Batters[[#All],[K P]],MATCH(Table5[[#This Row],[PID]],Batters[[#All],[PID]],0)),INDEX(Table3[[#All],[STM]],MATCH(Table5[[#This Row],[PID]],Table3[[#All],[PID]],0)))</f>
        <v>3</v>
      </c>
      <c r="Q37" s="61">
        <f>IF($C37="B",INDEX(Batters[[#All],[Tot]],MATCH(Table5[[#This Row],[PID]],Batters[[#All],[PID]],0)),INDEX(Table3[[#All],[Tot]],MATCH(Table5[[#This Row],[PID]],Table3[[#All],[PID]],0)))</f>
        <v>61.713963708922378</v>
      </c>
      <c r="R37" s="52">
        <f>IF($C37="B",INDEX(Batters[[#All],[zScore]],MATCH(Table5[[#This Row],[PID]],Batters[[#All],[PID]],0)),INDEX(Table3[[#All],[zScore]],MATCH(Table5[[#This Row],[PID]],Table3[[#All],[PID]],0)))</f>
        <v>1.719324416328148</v>
      </c>
      <c r="S37" s="58" t="str">
        <f>IF($C37="B",INDEX(Batters[[#All],[DEM]],MATCH(Table5[[#This Row],[PID]],Batters[[#All],[PID]],0)),INDEX(Table3[[#All],[DEM]],MATCH(Table5[[#This Row],[PID]],Table3[[#All],[PID]],0)))</f>
        <v>$20k</v>
      </c>
      <c r="T37" s="62">
        <f>IF($C37="B",INDEX(Batters[[#All],[Rnk]],MATCH(Table5[[#This Row],[PID]],Batters[[#All],[PID]],0)),INDEX(Table3[[#All],[Rnk]],MATCH(Table5[[#This Row],[PID]],Table3[[#All],[PID]],0)))</f>
        <v>52</v>
      </c>
      <c r="U37" s="68">
        <f>IF($C37="B",VLOOKUP($A37,Bat!$A$4:$BA$1621,47,FALSE),VLOOKUP($A37,Pit!$A$4:$BF$1557,56,FALSE))</f>
        <v>0</v>
      </c>
      <c r="V37" s="50">
        <f>IF($C37="B",VLOOKUP($A37,Bat!$A$4:$BA$1621,48,FALSE),VLOOKUP($A37,Pit!$A$4:$BF$1557,57,FALSE))</f>
        <v>0</v>
      </c>
      <c r="W37" s="50">
        <f>Table5[[#This Row],[posRnk]]+Table5[[#This Row],[zRnk]]+IF($W$3&lt;&gt;Table5[[#This Row],[Type]],50,0)</f>
        <v>184</v>
      </c>
      <c r="X37" s="51">
        <f>RANK(Table5[[#This Row],[zScore]],Table5[[#All],[zScore]])</f>
        <v>82</v>
      </c>
      <c r="Y37" s="50">
        <f>IFERROR(INDEX(DraftResults[[#All],[OVR]],MATCH(Table5[[#This Row],[PID]],DraftResults[[#All],[Player ID]],0)),"")</f>
        <v>33</v>
      </c>
      <c r="Z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7" s="50">
        <f>IFERROR(INDEX(DraftResults[[#All],[Pick in Round]],MATCH(Table5[[#This Row],[PID]],DraftResults[[#All],[Player ID]],0)),"")</f>
        <v>6</v>
      </c>
      <c r="AB37" s="50" t="str">
        <f>IFERROR(INDEX(DraftResults[[#All],[Team Name]],MATCH(Table5[[#This Row],[PID]],DraftResults[[#All],[Player ID]],0)),"")</f>
        <v>San Juan Coqui</v>
      </c>
      <c r="AC37" s="50">
        <f>IF(Table5[[#This Row],[Ovr]]="","",IF(Table5[[#This Row],[cmbList]]="","",Table5[[#This Row],[cmbList]]-Table5[[#This Row],[Ovr]]))</f>
        <v>151</v>
      </c>
      <c r="AD37" s="54" t="str">
        <f>IF(ISERROR(VLOOKUP($AB37&amp;"-"&amp;$E37&amp;" "&amp;F37,Bonuses!$B$1:$G$1006,4,FALSE)),"",INT(VLOOKUP($AB37&amp;"-"&amp;$E37&amp;" "&amp;$F37,Bonuses!$B$1:$G$1006,4,FALSE)))</f>
        <v/>
      </c>
      <c r="AE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S1.6 (33) - CL Shunen Fujihara</v>
      </c>
    </row>
    <row r="38" spans="1:31" s="50" customFormat="1" x14ac:dyDescent="0.25">
      <c r="A38" s="50">
        <v>14440</v>
      </c>
      <c r="B38" s="50">
        <f>COUNTIF(Table5[PID],A38)</f>
        <v>1</v>
      </c>
      <c r="C38" s="50" t="str">
        <f>IF(COUNTIF(Table3[[#All],[PID]],A38)&gt;0,"P","B")</f>
        <v>P</v>
      </c>
      <c r="D38" s="59" t="str">
        <f>IF($C38="B",INDEX(Batters[[#All],[POS]],MATCH(Table5[[#This Row],[PID]],Batters[[#All],[PID]],0)),INDEX(Table3[[#All],[POS]],MATCH(Table5[[#This Row],[PID]],Table3[[#All],[PID]],0)))</f>
        <v>CL</v>
      </c>
      <c r="E38" s="52" t="str">
        <f>IF($C38="B",INDEX(Batters[[#All],[First]],MATCH(Table5[[#This Row],[PID]],Batters[[#All],[PID]],0)),INDEX(Table3[[#All],[First]],MATCH(Table5[[#This Row],[PID]],Table3[[#All],[PID]],0)))</f>
        <v>Samuel</v>
      </c>
      <c r="F38" s="50" t="str">
        <f>IF($C38="B",INDEX(Batters[[#All],[Last]],MATCH(A38,Batters[[#All],[PID]],0)),INDEX(Table3[[#All],[Last]],MATCH(A38,Table3[[#All],[PID]],0)))</f>
        <v>Alderson</v>
      </c>
      <c r="G38" s="56">
        <f>IF($C38="B",INDEX(Batters[[#All],[Age]],MATCH(Table5[[#This Row],[PID]],Batters[[#All],[PID]],0)),INDEX(Table3[[#All],[Age]],MATCH(Table5[[#This Row],[PID]],Table3[[#All],[PID]],0)))</f>
        <v>18</v>
      </c>
      <c r="H38" s="52" t="str">
        <f>IF($C38="B",INDEX(Batters[[#All],[B]],MATCH(Table5[[#This Row],[PID]],Batters[[#All],[PID]],0)),INDEX(Table3[[#All],[B]],MATCH(Table5[[#This Row],[PID]],Table3[[#All],[PID]],0)))</f>
        <v>L</v>
      </c>
      <c r="I38" s="52" t="str">
        <f>IF($C38="B",INDEX(Batters[[#All],[T]],MATCH(Table5[[#This Row],[PID]],Batters[[#All],[PID]],0)),INDEX(Table3[[#All],[T]],MATCH(Table5[[#This Row],[PID]],Table3[[#All],[PID]],0)))</f>
        <v>L</v>
      </c>
      <c r="J38" s="52" t="str">
        <f>IF($C38="B",INDEX(Batters[[#All],[WE]],MATCH(Table5[[#This Row],[PID]],Batters[[#All],[PID]],0)),INDEX(Table3[[#All],[WE]],MATCH(Table5[[#This Row],[PID]],Table3[[#All],[PID]],0)))</f>
        <v>Normal</v>
      </c>
      <c r="K38" s="52" t="str">
        <f>IF($C38="B",INDEX(Batters[[#All],[INT]],MATCH(Table5[[#This Row],[PID]],Batters[[#All],[PID]],0)),INDEX(Table3[[#All],[INT]],MATCH(Table5[[#This Row],[PID]],Table3[[#All],[PID]],0)))</f>
        <v>Normal</v>
      </c>
      <c r="L38" s="60">
        <f>IF($C38="B",INDEX(Batters[[#All],[CON P]],MATCH(Table5[[#This Row],[PID]],Batters[[#All],[PID]],0)),INDEX(Table3[[#All],[STU P]],MATCH(Table5[[#This Row],[PID]],Table3[[#All],[PID]],0)))</f>
        <v>9</v>
      </c>
      <c r="M38" s="56">
        <f>IF($C38="B",INDEX(Batters[[#All],[GAP P]],MATCH(Table5[[#This Row],[PID]],Batters[[#All],[PID]],0)),INDEX(Table3[[#All],[MOV P]],MATCH(Table5[[#This Row],[PID]],Table3[[#All],[PID]],0)))</f>
        <v>7</v>
      </c>
      <c r="N38" s="56">
        <f>IF($C38="B",INDEX(Batters[[#All],[POW P]],MATCH(Table5[[#This Row],[PID]],Batters[[#All],[PID]],0)),INDEX(Table3[[#All],[CON P]],MATCH(Table5[[#This Row],[PID]],Table3[[#All],[PID]],0)))</f>
        <v>3</v>
      </c>
      <c r="O38" s="56" t="str">
        <f>IF($C38="B",INDEX(Batters[[#All],[EYE P]],MATCH(Table5[[#This Row],[PID]],Batters[[#All],[PID]],0)),INDEX(Table3[[#All],[VELO]],MATCH(Table5[[#This Row],[PID]],Table3[[#All],[PID]],0)))</f>
        <v>96-98 Mph</v>
      </c>
      <c r="P38" s="56">
        <f>IF($C38="B",INDEX(Batters[[#All],[K P]],MATCH(Table5[[#This Row],[PID]],Batters[[#All],[PID]],0)),INDEX(Table3[[#All],[STM]],MATCH(Table5[[#This Row],[PID]],Table3[[#All],[PID]],0)))</f>
        <v>5</v>
      </c>
      <c r="Q38" s="61">
        <f>IF($C38="B",INDEX(Batters[[#All],[Tot]],MATCH(Table5[[#This Row],[PID]],Batters[[#All],[PID]],0)),INDEX(Table3[[#All],[Tot]],MATCH(Table5[[#This Row],[PID]],Table3[[#All],[PID]],0)))</f>
        <v>67.780756185753219</v>
      </c>
      <c r="R38" s="52">
        <f>IF($C38="B",INDEX(Batters[[#All],[zScore]],MATCH(Table5[[#This Row],[PID]],Batters[[#All],[PID]],0)),INDEX(Table3[[#All],[zScore]],MATCH(Table5[[#This Row],[PID]],Table3[[#All],[PID]],0)))</f>
        <v>2.1229388490924768</v>
      </c>
      <c r="S38" s="58" t="str">
        <f>IF($C38="B",INDEX(Batters[[#All],[DEM]],MATCH(Table5[[#This Row],[PID]],Batters[[#All],[PID]],0)),INDEX(Table3[[#All],[DEM]],MATCH(Table5[[#This Row],[PID]],Table3[[#All],[PID]],0)))</f>
        <v>$500k</v>
      </c>
      <c r="T38" s="62">
        <f>IF($C38="B",INDEX(Batters[[#All],[Rnk]],MATCH(Table5[[#This Row],[PID]],Batters[[#All],[PID]],0)),INDEX(Table3[[#All],[Rnk]],MATCH(Table5[[#This Row],[PID]],Table3[[#All],[PID]],0)))</f>
        <v>21</v>
      </c>
      <c r="U38" s="68">
        <f>IF($C38="B",VLOOKUP($A38,Bat!$A$4:$BA$1621,47,FALSE),VLOOKUP($A38,Pit!$A$4:$BF$1557,56,FALSE))</f>
        <v>0</v>
      </c>
      <c r="V38" s="50">
        <f>IF($C38="B",VLOOKUP($A38,Bat!$A$4:$BA$1621,48,FALSE),VLOOKUP($A38,Pit!$A$4:$BF$1557,57,FALSE))</f>
        <v>0</v>
      </c>
      <c r="W38" s="50">
        <f>Table5[[#This Row],[posRnk]]+Table5[[#This Row],[zRnk]]+IF($W$3&lt;&gt;Table5[[#This Row],[Type]],50,0)</f>
        <v>108</v>
      </c>
      <c r="X38" s="51">
        <f>RANK(Table5[[#This Row],[zScore]],Table5[[#All],[zScore]])</f>
        <v>37</v>
      </c>
      <c r="Y38" s="50">
        <f>IFERROR(INDEX(DraftResults[[#All],[OVR]],MATCH(Table5[[#This Row],[PID]],DraftResults[[#All],[Player ID]],0)),"")</f>
        <v>34</v>
      </c>
      <c r="Z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8" s="50">
        <f>IFERROR(INDEX(DraftResults[[#All],[Pick in Round]],MATCH(Table5[[#This Row],[PID]],DraftResults[[#All],[Player ID]],0)),"")</f>
        <v>7</v>
      </c>
      <c r="AB38" s="50" t="str">
        <f>IFERROR(INDEX(DraftResults[[#All],[Team Name]],MATCH(Table5[[#This Row],[PID]],DraftResults[[#All],[Player ID]],0)),"")</f>
        <v>West Virginia Alleghenies</v>
      </c>
      <c r="AC38" s="50">
        <f>IF(Table5[[#This Row],[Ovr]]="","",IF(Table5[[#This Row],[cmbList]]="","",Table5[[#This Row],[cmbList]]-Table5[[#This Row],[Ovr]]))</f>
        <v>74</v>
      </c>
      <c r="AD38" s="54" t="str">
        <f>IF(ISERROR(VLOOKUP($AB38&amp;"-"&amp;$E38&amp;" "&amp;F38,Bonuses!$B$1:$G$1006,4,FALSE)),"",INT(VLOOKUP($AB38&amp;"-"&amp;$E38&amp;" "&amp;$F38,Bonuses!$B$1:$G$1006,4,FALSE)))</f>
        <v/>
      </c>
      <c r="AE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S1.7 (34) - CL Samuel Alderson</v>
      </c>
    </row>
    <row r="39" spans="1:31" s="50" customFormat="1" x14ac:dyDescent="0.25">
      <c r="A39" s="50">
        <v>18157</v>
      </c>
      <c r="B39" s="50">
        <f>COUNTIF(Table5[PID],A39)</f>
        <v>1</v>
      </c>
      <c r="C39" s="50" t="str">
        <f>IF(COUNTIF(Table3[[#All],[PID]],A39)&gt;0,"P","B")</f>
        <v>B</v>
      </c>
      <c r="D39" s="59" t="str">
        <f>IF($C39="B",INDEX(Batters[[#All],[POS]],MATCH(Table5[[#This Row],[PID]],Batters[[#All],[PID]],0)),INDEX(Table3[[#All],[POS]],MATCH(Table5[[#This Row],[PID]],Table3[[#All],[PID]],0)))</f>
        <v>SS</v>
      </c>
      <c r="E39" s="52" t="str">
        <f>IF($C39="B",INDEX(Batters[[#All],[First]],MATCH(Table5[[#This Row],[PID]],Batters[[#All],[PID]],0)),INDEX(Table3[[#All],[First]],MATCH(Table5[[#This Row],[PID]],Table3[[#All],[PID]],0)))</f>
        <v>Manny</v>
      </c>
      <c r="F39" s="50" t="str">
        <f>IF($C39="B",INDEX(Batters[[#All],[Last]],MATCH(A39,Batters[[#All],[PID]],0)),INDEX(Table3[[#All],[Last]],MATCH(A39,Table3[[#All],[PID]],0)))</f>
        <v>Sáenz</v>
      </c>
      <c r="G39" s="56">
        <f>IF($C39="B",INDEX(Batters[[#All],[Age]],MATCH(Table5[[#This Row],[PID]],Batters[[#All],[PID]],0)),INDEX(Table3[[#All],[Age]],MATCH(Table5[[#This Row],[PID]],Table3[[#All],[PID]],0)))</f>
        <v>21</v>
      </c>
      <c r="H39" s="52" t="str">
        <f>IF($C39="B",INDEX(Batters[[#All],[B]],MATCH(Table5[[#This Row],[PID]],Batters[[#All],[PID]],0)),INDEX(Table3[[#All],[B]],MATCH(Table5[[#This Row],[PID]],Table3[[#All],[PID]],0)))</f>
        <v>S</v>
      </c>
      <c r="I39" s="52" t="str">
        <f>IF($C39="B",INDEX(Batters[[#All],[T]],MATCH(Table5[[#This Row],[PID]],Batters[[#All],[PID]],0)),INDEX(Table3[[#All],[T]],MATCH(Table5[[#This Row],[PID]],Table3[[#All],[PID]],0)))</f>
        <v>R</v>
      </c>
      <c r="J39" s="52" t="str">
        <f>IF($C39="B",INDEX(Batters[[#All],[WE]],MATCH(Table5[[#This Row],[PID]],Batters[[#All],[PID]],0)),INDEX(Table3[[#All],[WE]],MATCH(Table5[[#This Row],[PID]],Table3[[#All],[PID]],0)))</f>
        <v>Normal</v>
      </c>
      <c r="K39" s="52" t="str">
        <f>IF($C39="B",INDEX(Batters[[#All],[INT]],MATCH(Table5[[#This Row],[PID]],Batters[[#All],[PID]],0)),INDEX(Table3[[#All],[INT]],MATCH(Table5[[#This Row],[PID]],Table3[[#All],[PID]],0)))</f>
        <v>Low</v>
      </c>
      <c r="L39" s="60">
        <f>IF($C39="B",INDEX(Batters[[#All],[CON P]],MATCH(Table5[[#This Row],[PID]],Batters[[#All],[PID]],0)),INDEX(Table3[[#All],[STU P]],MATCH(Table5[[#This Row],[PID]],Table3[[#All],[PID]],0)))</f>
        <v>4</v>
      </c>
      <c r="M39" s="56">
        <f>IF($C39="B",INDEX(Batters[[#All],[GAP P]],MATCH(Table5[[#This Row],[PID]],Batters[[#All],[PID]],0)),INDEX(Table3[[#All],[MOV P]],MATCH(Table5[[#This Row],[PID]],Table3[[#All],[PID]],0)))</f>
        <v>6</v>
      </c>
      <c r="N39" s="56">
        <f>IF($C39="B",INDEX(Batters[[#All],[POW P]],MATCH(Table5[[#This Row],[PID]],Batters[[#All],[PID]],0)),INDEX(Table3[[#All],[CON P]],MATCH(Table5[[#This Row],[PID]],Table3[[#All],[PID]],0)))</f>
        <v>5</v>
      </c>
      <c r="O39" s="56">
        <f>IF($C39="B",INDEX(Batters[[#All],[EYE P]],MATCH(Table5[[#This Row],[PID]],Batters[[#All],[PID]],0)),INDEX(Table3[[#All],[VELO]],MATCH(Table5[[#This Row],[PID]],Table3[[#All],[PID]],0)))</f>
        <v>5</v>
      </c>
      <c r="P39" s="56">
        <f>IF($C39="B",INDEX(Batters[[#All],[K P]],MATCH(Table5[[#This Row],[PID]],Batters[[#All],[PID]],0)),INDEX(Table3[[#All],[STM]],MATCH(Table5[[#This Row],[PID]],Table3[[#All],[PID]],0)))</f>
        <v>4</v>
      </c>
      <c r="Q39" s="61">
        <f>IF($C39="B",INDEX(Batters[[#All],[Tot]],MATCH(Table5[[#This Row],[PID]],Batters[[#All],[PID]],0)),INDEX(Table3[[#All],[Tot]],MATCH(Table5[[#This Row],[PID]],Table3[[#All],[PID]],0)))</f>
        <v>45.237137656403462</v>
      </c>
      <c r="R39" s="52">
        <f>IF($C39="B",INDEX(Batters[[#All],[zScore]],MATCH(Table5[[#This Row],[PID]],Batters[[#All],[PID]],0)),INDEX(Table3[[#All],[zScore]],MATCH(Table5[[#This Row],[PID]],Table3[[#All],[PID]],0)))</f>
        <v>0.24502985258313636</v>
      </c>
      <c r="S39" s="58" t="str">
        <f>IF($C39="B",INDEX(Batters[[#All],[DEM]],MATCH(Table5[[#This Row],[PID]],Batters[[#All],[PID]],0)),INDEX(Table3[[#All],[DEM]],MATCH(Table5[[#This Row],[PID]],Table3[[#All],[PID]],0)))</f>
        <v>$20k</v>
      </c>
      <c r="T39" s="62">
        <f>IF($C39="B",INDEX(Batters[[#All],[Rnk]],MATCH(Table5[[#This Row],[PID]],Batters[[#All],[PID]],0)),INDEX(Table3[[#All],[Rnk]],MATCH(Table5[[#This Row],[PID]],Table3[[#All],[PID]],0)))</f>
        <v>189</v>
      </c>
      <c r="U39" s="68">
        <f>IF($C39="B",VLOOKUP($A39,Bat!$A$4:$BA$1621,47,FALSE),VLOOKUP($A39,Pit!$A$4:$BF$1557,56,FALSE))</f>
        <v>0</v>
      </c>
      <c r="V39" s="50">
        <f>IF($C39="B",VLOOKUP($A39,Bat!$A$4:$BA$1621,48,FALSE),VLOOKUP($A39,Pit!$A$4:$BF$1557,57,FALSE))</f>
        <v>0</v>
      </c>
      <c r="W39" s="50">
        <f>Table5[[#This Row],[posRnk]]+Table5[[#This Row],[zRnk]]+IF($W$3&lt;&gt;Table5[[#This Row],[Type]],50,0)</f>
        <v>680</v>
      </c>
      <c r="X39" s="51">
        <f>RANK(Table5[[#This Row],[zScore]],Table5[[#All],[zScore]])</f>
        <v>441</v>
      </c>
      <c r="Y39" s="50">
        <f>IFERROR(INDEX(DraftResults[[#All],[OVR]],MATCH(Table5[[#This Row],[PID]],DraftResults[[#All],[Player ID]],0)),"")</f>
        <v>35</v>
      </c>
      <c r="Z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S1</v>
      </c>
      <c r="AA39" s="50">
        <f>IFERROR(INDEX(DraftResults[[#All],[Pick in Round]],MATCH(Table5[[#This Row],[PID]],DraftResults[[#All],[Player ID]],0)),"")</f>
        <v>8</v>
      </c>
      <c r="AB39" s="50" t="str">
        <f>IFERROR(INDEX(DraftResults[[#All],[Team Name]],MATCH(Table5[[#This Row],[PID]],DraftResults[[#All],[Player ID]],0)),"")</f>
        <v>Florida Farstriders</v>
      </c>
      <c r="AC39" s="50">
        <f>IF(Table5[[#This Row],[Ovr]]="","",IF(Table5[[#This Row],[cmbList]]="","",Table5[[#This Row],[cmbList]]-Table5[[#This Row],[Ovr]]))</f>
        <v>645</v>
      </c>
      <c r="AD39" s="54" t="str">
        <f>IF(ISERROR(VLOOKUP($AB39&amp;"-"&amp;$E39&amp;" "&amp;F39,Bonuses!$B$1:$G$1006,4,FALSE)),"",INT(VLOOKUP($AB39&amp;"-"&amp;$E39&amp;" "&amp;$F39,Bonuses!$B$1:$G$1006,4,FALSE)))</f>
        <v/>
      </c>
      <c r="AE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S1.8 (35) - SS Manny Sáenz</v>
      </c>
    </row>
    <row r="40" spans="1:31" s="50" customFormat="1" x14ac:dyDescent="0.25">
      <c r="A40" s="50">
        <v>20317</v>
      </c>
      <c r="B40" s="50">
        <f>COUNTIF(Table5[PID],A40)</f>
        <v>1</v>
      </c>
      <c r="C40" s="50" t="str">
        <f>IF(COUNTIF(Table3[[#All],[PID]],A40)&gt;0,"P","B")</f>
        <v>B</v>
      </c>
      <c r="D40" s="59" t="str">
        <f>IF($C40="B",INDEX(Batters[[#All],[POS]],MATCH(Table5[[#This Row],[PID]],Batters[[#All],[PID]],0)),INDEX(Table3[[#All],[POS]],MATCH(Table5[[#This Row],[PID]],Table3[[#All],[PID]],0)))</f>
        <v>RF</v>
      </c>
      <c r="E40" s="52" t="str">
        <f>IF($C40="B",INDEX(Batters[[#All],[First]],MATCH(Table5[[#This Row],[PID]],Batters[[#All],[PID]],0)),INDEX(Table3[[#All],[First]],MATCH(Table5[[#This Row],[PID]],Table3[[#All],[PID]],0)))</f>
        <v>Dae-su</v>
      </c>
      <c r="F40" s="50" t="str">
        <f>IF($C40="B",INDEX(Batters[[#All],[Last]],MATCH(A40,Batters[[#All],[PID]],0)),INDEX(Table3[[#All],[Last]],MATCH(A40,Table3[[#All],[PID]],0)))</f>
        <v>Hwa</v>
      </c>
      <c r="G40" s="56">
        <f>IF($C40="B",INDEX(Batters[[#All],[Age]],MATCH(Table5[[#This Row],[PID]],Batters[[#All],[PID]],0)),INDEX(Table3[[#All],[Age]],MATCH(Table5[[#This Row],[PID]],Table3[[#All],[PID]],0)))</f>
        <v>17</v>
      </c>
      <c r="H40" s="52" t="str">
        <f>IF($C40="B",INDEX(Batters[[#All],[B]],MATCH(Table5[[#This Row],[PID]],Batters[[#All],[PID]],0)),INDEX(Table3[[#All],[B]],MATCH(Table5[[#This Row],[PID]],Table3[[#All],[PID]],0)))</f>
        <v>R</v>
      </c>
      <c r="I40" s="52" t="str">
        <f>IF($C40="B",INDEX(Batters[[#All],[T]],MATCH(Table5[[#This Row],[PID]],Batters[[#All],[PID]],0)),INDEX(Table3[[#All],[T]],MATCH(Table5[[#This Row],[PID]],Table3[[#All],[PID]],0)))</f>
        <v>R</v>
      </c>
      <c r="J40" s="52" t="str">
        <f>IF($C40="B",INDEX(Batters[[#All],[WE]],MATCH(Table5[[#This Row],[PID]],Batters[[#All],[PID]],0)),INDEX(Table3[[#All],[WE]],MATCH(Table5[[#This Row],[PID]],Table3[[#All],[PID]],0)))</f>
        <v>Normal</v>
      </c>
      <c r="K40" s="52" t="str">
        <f>IF($C40="B",INDEX(Batters[[#All],[INT]],MATCH(Table5[[#This Row],[PID]],Batters[[#All],[PID]],0)),INDEX(Table3[[#All],[INT]],MATCH(Table5[[#This Row],[PID]],Table3[[#All],[PID]],0)))</f>
        <v>Low</v>
      </c>
      <c r="L40" s="60">
        <f>IF($C40="B",INDEX(Batters[[#All],[CON P]],MATCH(Table5[[#This Row],[PID]],Batters[[#All],[PID]],0)),INDEX(Table3[[#All],[STU P]],MATCH(Table5[[#This Row],[PID]],Table3[[#All],[PID]],0)))</f>
        <v>3</v>
      </c>
      <c r="M40" s="56">
        <f>IF($C40="B",INDEX(Batters[[#All],[GAP P]],MATCH(Table5[[#This Row],[PID]],Batters[[#All],[PID]],0)),INDEX(Table3[[#All],[MOV P]],MATCH(Table5[[#This Row],[PID]],Table3[[#All],[PID]],0)))</f>
        <v>7</v>
      </c>
      <c r="N40" s="56">
        <f>IF($C40="B",INDEX(Batters[[#All],[POW P]],MATCH(Table5[[#This Row],[PID]],Batters[[#All],[PID]],0)),INDEX(Table3[[#All],[CON P]],MATCH(Table5[[#This Row],[PID]],Table3[[#All],[PID]],0)))</f>
        <v>8</v>
      </c>
      <c r="O40" s="56">
        <f>IF($C40="B",INDEX(Batters[[#All],[EYE P]],MATCH(Table5[[#This Row],[PID]],Batters[[#All],[PID]],0)),INDEX(Table3[[#All],[VELO]],MATCH(Table5[[#This Row],[PID]],Table3[[#All],[PID]],0)))</f>
        <v>6</v>
      </c>
      <c r="P40" s="56">
        <f>IF($C40="B",INDEX(Batters[[#All],[K P]],MATCH(Table5[[#This Row],[PID]],Batters[[#All],[PID]],0)),INDEX(Table3[[#All],[STM]],MATCH(Table5[[#This Row],[PID]],Table3[[#All],[PID]],0)))</f>
        <v>3</v>
      </c>
      <c r="Q40" s="61">
        <f>IF($C40="B",INDEX(Batters[[#All],[Tot]],MATCH(Table5[[#This Row],[PID]],Batters[[#All],[PID]],0)),INDEX(Table3[[#All],[Tot]],MATCH(Table5[[#This Row],[PID]],Table3[[#All],[PID]],0)))</f>
        <v>49.675378660853568</v>
      </c>
      <c r="R40" s="52">
        <f>IF($C40="B",INDEX(Batters[[#All],[zScore]],MATCH(Table5[[#This Row],[PID]],Batters[[#All],[PID]],0)),INDEX(Table3[[#All],[zScore]],MATCH(Table5[[#This Row],[PID]],Table3[[#All],[PID]],0)))</f>
        <v>1.2290178829947216</v>
      </c>
      <c r="S40" s="58" t="str">
        <f>IF($C40="B",INDEX(Batters[[#All],[DEM]],MATCH(Table5[[#This Row],[PID]],Batters[[#All],[PID]],0)),INDEX(Table3[[#All],[DEM]],MATCH(Table5[[#This Row],[PID]],Table3[[#All],[PID]],0)))</f>
        <v>$320k</v>
      </c>
      <c r="T40" s="62">
        <f>IF($C40="B",INDEX(Batters[[#All],[Rnk]],MATCH(Table5[[#This Row],[PID]],Batters[[#All],[PID]],0)),INDEX(Table3[[#All],[Rnk]],MATCH(Table5[[#This Row],[PID]],Table3[[#All],[PID]],0)))</f>
        <v>67</v>
      </c>
      <c r="U40" s="68">
        <f>IF($C40="B",VLOOKUP($A40,Bat!$A$4:$BA$1621,47,FALSE),VLOOKUP($A40,Pit!$A$4:$BF$1557,56,FALSE))</f>
        <v>0</v>
      </c>
      <c r="V40" s="50">
        <f>IF($C40="B",VLOOKUP($A40,Bat!$A$4:$BA$1621,48,FALSE),VLOOKUP($A40,Pit!$A$4:$BF$1557,57,FALSE))</f>
        <v>0</v>
      </c>
      <c r="W40" s="50">
        <f>Table5[[#This Row],[posRnk]]+Table5[[#This Row],[zRnk]]+IF($W$3&lt;&gt;Table5[[#This Row],[Type]],50,0)</f>
        <v>295</v>
      </c>
      <c r="X40" s="51">
        <f>RANK(Table5[[#This Row],[zScore]],Table5[[#All],[zScore]])</f>
        <v>178</v>
      </c>
      <c r="Y40" s="50">
        <f>IFERROR(INDEX(DraftResults[[#All],[OVR]],MATCH(Table5[[#This Row],[PID]],DraftResults[[#All],[Player ID]],0)),"")</f>
        <v>36</v>
      </c>
      <c r="Z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0" s="50">
        <f>IFERROR(INDEX(DraftResults[[#All],[Pick in Round]],MATCH(Table5[[#This Row],[PID]],DraftResults[[#All],[Player ID]],0)),"")</f>
        <v>1</v>
      </c>
      <c r="AB40" s="50" t="str">
        <f>IFERROR(INDEX(DraftResults[[#All],[Team Name]],MATCH(Table5[[#This Row],[PID]],DraftResults[[#All],[Player ID]],0)),"")</f>
        <v>West Virginia Alleghenies</v>
      </c>
      <c r="AC40" s="50">
        <f>IF(Table5[[#This Row],[Ovr]]="","",IF(Table5[[#This Row],[cmbList]]="","",Table5[[#This Row],[cmbList]]-Table5[[#This Row],[Ovr]]))</f>
        <v>259</v>
      </c>
      <c r="AD40" s="54" t="str">
        <f>IF(ISERROR(VLOOKUP($AB40&amp;"-"&amp;$E40&amp;" "&amp;F40,Bonuses!$B$1:$G$1006,4,FALSE)),"",INT(VLOOKUP($AB40&amp;"-"&amp;$E40&amp;" "&amp;$F40,Bonuses!$B$1:$G$1006,4,FALSE)))</f>
        <v/>
      </c>
      <c r="AE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 (36) - RF Dae-su Hwa</v>
      </c>
    </row>
    <row r="41" spans="1:31" s="50" customFormat="1" x14ac:dyDescent="0.25">
      <c r="A41" s="50">
        <v>18256</v>
      </c>
      <c r="B41" s="50">
        <f>COUNTIF(Table5[PID],A41)</f>
        <v>1</v>
      </c>
      <c r="C41" s="50" t="str">
        <f>IF(COUNTIF(Table3[[#All],[PID]],A41)&gt;0,"P","B")</f>
        <v>B</v>
      </c>
      <c r="D41" s="59" t="str">
        <f>IF($C41="B",INDEX(Batters[[#All],[POS]],MATCH(Table5[[#This Row],[PID]],Batters[[#All],[PID]],0)),INDEX(Table3[[#All],[POS]],MATCH(Table5[[#This Row],[PID]],Table3[[#All],[PID]],0)))</f>
        <v>1B</v>
      </c>
      <c r="E41" s="52" t="str">
        <f>IF($C41="B",INDEX(Batters[[#All],[First]],MATCH(Table5[[#This Row],[PID]],Batters[[#All],[PID]],0)),INDEX(Table3[[#All],[First]],MATCH(Table5[[#This Row],[PID]],Table3[[#All],[PID]],0)))</f>
        <v>Corbin</v>
      </c>
      <c r="F41" s="50" t="str">
        <f>IF($C41="B",INDEX(Batters[[#All],[Last]],MATCH(A41,Batters[[#All],[PID]],0)),INDEX(Table3[[#All],[Last]],MATCH(A41,Table3[[#All],[PID]],0)))</f>
        <v>Taylor</v>
      </c>
      <c r="G41" s="56">
        <f>IF($C41="B",INDEX(Batters[[#All],[Age]],MATCH(Table5[[#This Row],[PID]],Batters[[#All],[PID]],0)),INDEX(Table3[[#All],[Age]],MATCH(Table5[[#This Row],[PID]],Table3[[#All],[PID]],0)))</f>
        <v>18</v>
      </c>
      <c r="H41" s="52" t="str">
        <f>IF($C41="B",INDEX(Batters[[#All],[B]],MATCH(Table5[[#This Row],[PID]],Batters[[#All],[PID]],0)),INDEX(Table3[[#All],[B]],MATCH(Table5[[#This Row],[PID]],Table3[[#All],[PID]],0)))</f>
        <v>L</v>
      </c>
      <c r="I41" s="52" t="str">
        <f>IF($C41="B",INDEX(Batters[[#All],[T]],MATCH(Table5[[#This Row],[PID]],Batters[[#All],[PID]],0)),INDEX(Table3[[#All],[T]],MATCH(Table5[[#This Row],[PID]],Table3[[#All],[PID]],0)))</f>
        <v>L</v>
      </c>
      <c r="J41" s="52" t="str">
        <f>IF($C41="B",INDEX(Batters[[#All],[WE]],MATCH(Table5[[#This Row],[PID]],Batters[[#All],[PID]],0)),INDEX(Table3[[#All],[WE]],MATCH(Table5[[#This Row],[PID]],Table3[[#All],[PID]],0)))</f>
        <v>Normal</v>
      </c>
      <c r="K41" s="52" t="str">
        <f>IF($C41="B",INDEX(Batters[[#All],[INT]],MATCH(Table5[[#This Row],[PID]],Batters[[#All],[PID]],0)),INDEX(Table3[[#All],[INT]],MATCH(Table5[[#This Row],[PID]],Table3[[#All],[PID]],0)))</f>
        <v>Normal</v>
      </c>
      <c r="L41" s="60">
        <f>IF($C41="B",INDEX(Batters[[#All],[CON P]],MATCH(Table5[[#This Row],[PID]],Batters[[#All],[PID]],0)),INDEX(Table3[[#All],[STU P]],MATCH(Table5[[#This Row],[PID]],Table3[[#All],[PID]],0)))</f>
        <v>6</v>
      </c>
      <c r="M41" s="56">
        <f>IF($C41="B",INDEX(Batters[[#All],[GAP P]],MATCH(Table5[[#This Row],[PID]],Batters[[#All],[PID]],0)),INDEX(Table3[[#All],[MOV P]],MATCH(Table5[[#This Row],[PID]],Table3[[#All],[PID]],0)))</f>
        <v>7</v>
      </c>
      <c r="N41" s="56">
        <f>IF($C41="B",INDEX(Batters[[#All],[POW P]],MATCH(Table5[[#This Row],[PID]],Batters[[#All],[PID]],0)),INDEX(Table3[[#All],[CON P]],MATCH(Table5[[#This Row],[PID]],Table3[[#All],[PID]],0)))</f>
        <v>4</v>
      </c>
      <c r="O41" s="56">
        <f>IF($C41="B",INDEX(Batters[[#All],[EYE P]],MATCH(Table5[[#This Row],[PID]],Batters[[#All],[PID]],0)),INDEX(Table3[[#All],[VELO]],MATCH(Table5[[#This Row],[PID]],Table3[[#All],[PID]],0)))</f>
        <v>4</v>
      </c>
      <c r="P41" s="56">
        <f>IF($C41="B",INDEX(Batters[[#All],[K P]],MATCH(Table5[[#This Row],[PID]],Batters[[#All],[PID]],0)),INDEX(Table3[[#All],[STM]],MATCH(Table5[[#This Row],[PID]],Table3[[#All],[PID]],0)))</f>
        <v>7</v>
      </c>
      <c r="Q41" s="61">
        <f>IF($C41="B",INDEX(Batters[[#All],[Tot]],MATCH(Table5[[#This Row],[PID]],Batters[[#All],[PID]],0)),INDEX(Table3[[#All],[Tot]],MATCH(Table5[[#This Row],[PID]],Table3[[#All],[PID]],0)))</f>
        <v>56.941531738137691</v>
      </c>
      <c r="R41" s="52">
        <f>IF($C41="B",INDEX(Batters[[#All],[zScore]],MATCH(Table5[[#This Row],[PID]],Batters[[#All],[PID]],0)),INDEX(Table3[[#All],[zScore]],MATCH(Table5[[#This Row],[PID]],Table3[[#All],[PID]],0)))</f>
        <v>2.8399731348652177</v>
      </c>
      <c r="S41" s="59" t="str">
        <f>IF($C41="B",INDEX(Batters[[#All],[DEM]],MATCH(Table5[[#This Row],[PID]],Batters[[#All],[PID]],0)),INDEX(Table3[[#All],[DEM]],MATCH(Table5[[#This Row],[PID]],Table3[[#All],[PID]],0)))</f>
        <v>$190k</v>
      </c>
      <c r="T41" s="62">
        <f>IF($C41="B",INDEX(Batters[[#All],[Rnk]],MATCH(Table5[[#This Row],[PID]],Batters[[#All],[PID]],0)),INDEX(Table3[[#All],[Rnk]],MATCH(Table5[[#This Row],[PID]],Table3[[#All],[PID]],0)))</f>
        <v>5</v>
      </c>
      <c r="U41" s="68">
        <f>IF($C41="B",VLOOKUP($A41,Bat!$A$4:$BA$1621,47,FALSE),VLOOKUP($A41,Pit!$A$4:$BF$1557,56,FALSE))</f>
        <v>0</v>
      </c>
      <c r="V41" s="50">
        <f>IF($C41="B",VLOOKUP($A41,Bat!$A$4:$BA$1621,48,FALSE),VLOOKUP($A41,Pit!$A$4:$BF$1557,57,FALSE))</f>
        <v>0</v>
      </c>
      <c r="W41" s="50">
        <f>Table5[[#This Row],[posRnk]]+Table5[[#This Row],[zRnk]]+IF($W$3&lt;&gt;Table5[[#This Row],[Type]],50,0)</f>
        <v>62</v>
      </c>
      <c r="X41" s="51">
        <f>RANK(Table5[[#This Row],[zScore]],Table5[[#All],[zScore]])</f>
        <v>7</v>
      </c>
      <c r="Y41" s="50">
        <f>IFERROR(INDEX(DraftResults[[#All],[OVR]],MATCH(Table5[[#This Row],[PID]],DraftResults[[#All],[Player ID]],0)),"")</f>
        <v>37</v>
      </c>
      <c r="Z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1" s="50">
        <f>IFERROR(INDEX(DraftResults[[#All],[Pick in Round]],MATCH(Table5[[#This Row],[PID]],DraftResults[[#All],[Player ID]],0)),"")</f>
        <v>2</v>
      </c>
      <c r="AB41" s="50" t="str">
        <f>IFERROR(INDEX(DraftResults[[#All],[Team Name]],MATCH(Table5[[#This Row],[PID]],DraftResults[[#All],[Player ID]],0)),"")</f>
        <v>Bakersfield Bears</v>
      </c>
      <c r="AC41" s="50">
        <f>IF(Table5[[#This Row],[Ovr]]="","",IF(Table5[[#This Row],[cmbList]]="","",Table5[[#This Row],[cmbList]]-Table5[[#This Row],[Ovr]]))</f>
        <v>25</v>
      </c>
      <c r="AD41" s="54" t="str">
        <f>IF(ISERROR(VLOOKUP($AB41&amp;"-"&amp;$E41&amp;" "&amp;F41,Bonuses!$B$1:$G$1006,4,FALSE)),"",INT(VLOOKUP($AB41&amp;"-"&amp;$E41&amp;" "&amp;$F41,Bonuses!$B$1:$G$1006,4,FALSE)))</f>
        <v/>
      </c>
      <c r="AE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 (37) - 1B Corbin Taylor</v>
      </c>
    </row>
    <row r="42" spans="1:31" s="50" customFormat="1" x14ac:dyDescent="0.25">
      <c r="A42" s="68">
        <v>20727</v>
      </c>
      <c r="B42" s="69">
        <f>COUNTIF(Table5[PID],A42)</f>
        <v>1</v>
      </c>
      <c r="C42" s="69" t="str">
        <f>IF(COUNTIF(Table3[[#All],[PID]],A42)&gt;0,"P","B")</f>
        <v>P</v>
      </c>
      <c r="D42" s="59" t="str">
        <f>IF($C42="B",INDEX(Batters[[#All],[POS]],MATCH(Table5[[#This Row],[PID]],Batters[[#All],[PID]],0)),INDEX(Table3[[#All],[POS]],MATCH(Table5[[#This Row],[PID]],Table3[[#All],[PID]],0)))</f>
        <v>SP</v>
      </c>
      <c r="E42" s="52" t="str">
        <f>IF($C42="B",INDEX(Batters[[#All],[First]],MATCH(Table5[[#This Row],[PID]],Batters[[#All],[PID]],0)),INDEX(Table3[[#All],[First]],MATCH(Table5[[#This Row],[PID]],Table3[[#All],[PID]],0)))</f>
        <v>Rusty</v>
      </c>
      <c r="F42" s="55" t="str">
        <f>IF($C42="B",INDEX(Batters[[#All],[Last]],MATCH(A42,Batters[[#All],[PID]],0)),INDEX(Table3[[#All],[Last]],MATCH(A42,Table3[[#All],[PID]],0)))</f>
        <v>Hughes</v>
      </c>
      <c r="G42" s="56">
        <f>IF($C42="B",INDEX(Batters[[#All],[Age]],MATCH(Table5[[#This Row],[PID]],Batters[[#All],[PID]],0)),INDEX(Table3[[#All],[Age]],MATCH(Table5[[#This Row],[PID]],Table3[[#All],[PID]],0)))</f>
        <v>17</v>
      </c>
      <c r="H42" s="52" t="str">
        <f>IF($C42="B",INDEX(Batters[[#All],[B]],MATCH(Table5[[#This Row],[PID]],Batters[[#All],[PID]],0)),INDEX(Table3[[#All],[B]],MATCH(Table5[[#This Row],[PID]],Table3[[#All],[PID]],0)))</f>
        <v>L</v>
      </c>
      <c r="I42" s="52" t="str">
        <f>IF($C42="B",INDEX(Batters[[#All],[T]],MATCH(Table5[[#This Row],[PID]],Batters[[#All],[PID]],0)),INDEX(Table3[[#All],[T]],MATCH(Table5[[#This Row],[PID]],Table3[[#All],[PID]],0)))</f>
        <v>L</v>
      </c>
      <c r="J42" s="71" t="str">
        <f>IF($C42="B",INDEX(Batters[[#All],[WE]],MATCH(Table5[[#This Row],[PID]],Batters[[#All],[PID]],0)),INDEX(Table3[[#All],[WE]],MATCH(Table5[[#This Row],[PID]],Table3[[#All],[PID]],0)))</f>
        <v>Normal</v>
      </c>
      <c r="K42" s="52" t="str">
        <f>IF($C42="B",INDEX(Batters[[#All],[INT]],MATCH(Table5[[#This Row],[PID]],Batters[[#All],[PID]],0)),INDEX(Table3[[#All],[INT]],MATCH(Table5[[#This Row],[PID]],Table3[[#All],[PID]],0)))</f>
        <v>Normal</v>
      </c>
      <c r="L42" s="60">
        <f>IF($C42="B",INDEX(Batters[[#All],[CON P]],MATCH(Table5[[#This Row],[PID]],Batters[[#All],[PID]],0)),INDEX(Table3[[#All],[STU P]],MATCH(Table5[[#This Row],[PID]],Table3[[#All],[PID]],0)))</f>
        <v>5</v>
      </c>
      <c r="M42" s="72">
        <f>IF($C42="B",INDEX(Batters[[#All],[GAP P]],MATCH(Table5[[#This Row],[PID]],Batters[[#All],[PID]],0)),INDEX(Table3[[#All],[MOV P]],MATCH(Table5[[#This Row],[PID]],Table3[[#All],[PID]],0)))</f>
        <v>6</v>
      </c>
      <c r="N42" s="72">
        <f>IF($C42="B",INDEX(Batters[[#All],[POW P]],MATCH(Table5[[#This Row],[PID]],Batters[[#All],[PID]],0)),INDEX(Table3[[#All],[CON P]],MATCH(Table5[[#This Row],[PID]],Table3[[#All],[PID]],0)))</f>
        <v>4</v>
      </c>
      <c r="O42" s="72" t="str">
        <f>IF($C42="B",INDEX(Batters[[#All],[EYE P]],MATCH(Table5[[#This Row],[PID]],Batters[[#All],[PID]],0)),INDEX(Table3[[#All],[VELO]],MATCH(Table5[[#This Row],[PID]],Table3[[#All],[PID]],0)))</f>
        <v>88-90 Mph</v>
      </c>
      <c r="P42" s="56">
        <f>IF($C42="B",INDEX(Batters[[#All],[K P]],MATCH(Table5[[#This Row],[PID]],Batters[[#All],[PID]],0)),INDEX(Table3[[#All],[STM]],MATCH(Table5[[#This Row],[PID]],Table3[[#All],[PID]],0)))</f>
        <v>8</v>
      </c>
      <c r="Q42" s="61">
        <f>IF($C42="B",INDEX(Batters[[#All],[Tot]],MATCH(Table5[[#This Row],[PID]],Batters[[#All],[PID]],0)),INDEX(Table3[[#All],[Tot]],MATCH(Table5[[#This Row],[PID]],Table3[[#All],[PID]],0)))</f>
        <v>63.114735926255854</v>
      </c>
      <c r="R42" s="52">
        <f>IF($C42="B",INDEX(Batters[[#All],[zScore]],MATCH(Table5[[#This Row],[PID]],Batters[[#All],[PID]],0)),INDEX(Table3[[#All],[zScore]],MATCH(Table5[[#This Row],[PID]],Table3[[#All],[PID]],0)))</f>
        <v>1.812515651414933</v>
      </c>
      <c r="S42" s="78" t="str">
        <f>IF($C42="B",INDEX(Batters[[#All],[DEM]],MATCH(Table5[[#This Row],[PID]],Batters[[#All],[PID]],0)),INDEX(Table3[[#All],[DEM]],MATCH(Table5[[#This Row],[PID]],Table3[[#All],[PID]],0)))</f>
        <v>$2.4m</v>
      </c>
      <c r="T42" s="75">
        <f>IF($C42="B",INDEX(Batters[[#All],[Rnk]],MATCH(Table5[[#This Row],[PID]],Batters[[#All],[PID]],0)),INDEX(Table3[[#All],[Rnk]],MATCH(Table5[[#This Row],[PID]],Table3[[#All],[PID]],0)))</f>
        <v>42</v>
      </c>
      <c r="U42" s="68">
        <f>IF($C42="B",VLOOKUP($A42,Bat!$A$4:$BA$1621,47,FALSE),VLOOKUP($A42,Pit!$A$4:$BF$1557,56,FALSE))</f>
        <v>0</v>
      </c>
      <c r="V42" s="50">
        <f>IF($C42="B",VLOOKUP($A42,Bat!$A$4:$BA$1621,48,FALSE),VLOOKUP($A42,Pit!$A$4:$BF$1557,57,FALSE))</f>
        <v>0</v>
      </c>
      <c r="W42" s="69">
        <f>Table5[[#This Row],[posRnk]]+Table5[[#This Row],[zRnk]]+IF($W$3&lt;&gt;Table5[[#This Row],[Type]],50,0)</f>
        <v>159</v>
      </c>
      <c r="X42" s="73">
        <f>RANK(Table5[[#This Row],[zScore]],Table5[[#All],[zScore]])</f>
        <v>67</v>
      </c>
      <c r="Y42" s="69">
        <f>IFERROR(INDEX(DraftResults[[#All],[OVR]],MATCH(Table5[[#This Row],[PID]],DraftResults[[#All],[Player ID]],0)),"")</f>
        <v>38</v>
      </c>
      <c r="Z4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2" s="69">
        <f>IFERROR(INDEX(DraftResults[[#All],[Pick in Round]],MATCH(Table5[[#This Row],[PID]],DraftResults[[#All],[Player ID]],0)),"")</f>
        <v>3</v>
      </c>
      <c r="AB42" s="69" t="str">
        <f>IFERROR(INDEX(DraftResults[[#All],[Team Name]],MATCH(Table5[[#This Row],[PID]],DraftResults[[#All],[Player ID]],0)),"")</f>
        <v>Charleston Statesmen</v>
      </c>
      <c r="AC42" s="69">
        <f>IF(Table5[[#This Row],[Ovr]]="","",IF(Table5[[#This Row],[cmbList]]="","",Table5[[#This Row],[cmbList]]-Table5[[#This Row],[Ovr]]))</f>
        <v>121</v>
      </c>
      <c r="AD42" s="77" t="str">
        <f>IF(ISERROR(VLOOKUP($AB42&amp;"-"&amp;$E42&amp;" "&amp;F42,Bonuses!$B$1:$G$1006,4,FALSE)),"",INT(VLOOKUP($AB42&amp;"-"&amp;$E42&amp;" "&amp;$F42,Bonuses!$B$1:$G$1006,4,FALSE)))</f>
        <v/>
      </c>
      <c r="AE4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 (38) - SP Rusty Hughes</v>
      </c>
    </row>
    <row r="43" spans="1:31" s="50" customFormat="1" x14ac:dyDescent="0.25">
      <c r="A43" s="50">
        <v>20661</v>
      </c>
      <c r="B43" s="50">
        <f>COUNTIF(Table5[PID],A43)</f>
        <v>1</v>
      </c>
      <c r="C43" s="50" t="str">
        <f>IF(COUNTIF(Table3[[#All],[PID]],A43)&gt;0,"P","B")</f>
        <v>P</v>
      </c>
      <c r="D43" s="59" t="str">
        <f>IF($C43="B",INDEX(Batters[[#All],[POS]],MATCH(Table5[[#This Row],[PID]],Batters[[#All],[PID]],0)),INDEX(Table3[[#All],[POS]],MATCH(Table5[[#This Row],[PID]],Table3[[#All],[PID]],0)))</f>
        <v>CL</v>
      </c>
      <c r="E43" s="52" t="str">
        <f>IF($C43="B",INDEX(Batters[[#All],[First]],MATCH(Table5[[#This Row],[PID]],Batters[[#All],[PID]],0)),INDEX(Table3[[#All],[First]],MATCH(Table5[[#This Row],[PID]],Table3[[#All],[PID]],0)))</f>
        <v>Diego</v>
      </c>
      <c r="F43" s="50" t="str">
        <f>IF($C43="B",INDEX(Batters[[#All],[Last]],MATCH(A43,Batters[[#All],[PID]],0)),INDEX(Table3[[#All],[Last]],MATCH(A43,Table3[[#All],[PID]],0)))</f>
        <v>Gómez</v>
      </c>
      <c r="G43" s="56">
        <f>IF($C43="B",INDEX(Batters[[#All],[Age]],MATCH(Table5[[#This Row],[PID]],Batters[[#All],[PID]],0)),INDEX(Table3[[#All],[Age]],MATCH(Table5[[#This Row],[PID]],Table3[[#All],[PID]],0)))</f>
        <v>18</v>
      </c>
      <c r="H43" s="52" t="str">
        <f>IF($C43="B",INDEX(Batters[[#All],[B]],MATCH(Table5[[#This Row],[PID]],Batters[[#All],[PID]],0)),INDEX(Table3[[#All],[B]],MATCH(Table5[[#This Row],[PID]],Table3[[#All],[PID]],0)))</f>
        <v>R</v>
      </c>
      <c r="I43" s="52" t="str">
        <f>IF($C43="B",INDEX(Batters[[#All],[T]],MATCH(Table5[[#This Row],[PID]],Batters[[#All],[PID]],0)),INDEX(Table3[[#All],[T]],MATCH(Table5[[#This Row],[PID]],Table3[[#All],[PID]],0)))</f>
        <v>R</v>
      </c>
      <c r="J43" s="52" t="str">
        <f>IF($C43="B",INDEX(Batters[[#All],[WE]],MATCH(Table5[[#This Row],[PID]],Batters[[#All],[PID]],0)),INDEX(Table3[[#All],[WE]],MATCH(Table5[[#This Row],[PID]],Table3[[#All],[PID]],0)))</f>
        <v>Normal</v>
      </c>
      <c r="K43" s="52" t="str">
        <f>IF($C43="B",INDEX(Batters[[#All],[INT]],MATCH(Table5[[#This Row],[PID]],Batters[[#All],[PID]],0)),INDEX(Table3[[#All],[INT]],MATCH(Table5[[#This Row],[PID]],Table3[[#All],[PID]],0)))</f>
        <v>High</v>
      </c>
      <c r="L43" s="60">
        <f>IF($C43="B",INDEX(Batters[[#All],[CON P]],MATCH(Table5[[#This Row],[PID]],Batters[[#All],[PID]],0)),INDEX(Table3[[#All],[STU P]],MATCH(Table5[[#This Row],[PID]],Table3[[#All],[PID]],0)))</f>
        <v>7</v>
      </c>
      <c r="M43" s="56">
        <f>IF($C43="B",INDEX(Batters[[#All],[GAP P]],MATCH(Table5[[#This Row],[PID]],Batters[[#All],[PID]],0)),INDEX(Table3[[#All],[MOV P]],MATCH(Table5[[#This Row],[PID]],Table3[[#All],[PID]],0)))</f>
        <v>5</v>
      </c>
      <c r="N43" s="56">
        <f>IF($C43="B",INDEX(Batters[[#All],[POW P]],MATCH(Table5[[#This Row],[PID]],Batters[[#All],[PID]],0)),INDEX(Table3[[#All],[CON P]],MATCH(Table5[[#This Row],[PID]],Table3[[#All],[PID]],0)))</f>
        <v>4</v>
      </c>
      <c r="O43" s="56" t="str">
        <f>IF($C43="B",INDEX(Batters[[#All],[EYE P]],MATCH(Table5[[#This Row],[PID]],Batters[[#All],[PID]],0)),INDEX(Table3[[#All],[VELO]],MATCH(Table5[[#This Row],[PID]],Table3[[#All],[PID]],0)))</f>
        <v>93-95 Mph</v>
      </c>
      <c r="P43" s="56">
        <f>IF($C43="B",INDEX(Batters[[#All],[K P]],MATCH(Table5[[#This Row],[PID]],Batters[[#All],[PID]],0)),INDEX(Table3[[#All],[STM]],MATCH(Table5[[#This Row],[PID]],Table3[[#All],[PID]],0)))</f>
        <v>2</v>
      </c>
      <c r="Q43" s="61">
        <f>IF($C43="B",INDEX(Batters[[#All],[Tot]],MATCH(Table5[[#This Row],[PID]],Batters[[#All],[PID]],0)),INDEX(Table3[[#All],[Tot]],MATCH(Table5[[#This Row],[PID]],Table3[[#All],[PID]],0)))</f>
        <v>56.52981546447019</v>
      </c>
      <c r="R43" s="52">
        <f>IF($C43="B",INDEX(Batters[[#All],[zScore]],MATCH(Table5[[#This Row],[PID]],Batters[[#All],[PID]],0)),INDEX(Table3[[#All],[zScore]],MATCH(Table5[[#This Row],[PID]],Table3[[#All],[PID]],0)))</f>
        <v>1.3744309555675152</v>
      </c>
      <c r="S43" s="58" t="str">
        <f>IF($C43="B",INDEX(Batters[[#All],[DEM]],MATCH(Table5[[#This Row],[PID]],Batters[[#All],[PID]],0)),INDEX(Table3[[#All],[DEM]],MATCH(Table5[[#This Row],[PID]],Table3[[#All],[PID]],0)))</f>
        <v>$75k</v>
      </c>
      <c r="T43" s="62">
        <f>IF($C43="B",INDEX(Batters[[#All],[Rnk]],MATCH(Table5[[#This Row],[PID]],Batters[[#All],[PID]],0)),INDEX(Table3[[#All],[Rnk]],MATCH(Table5[[#This Row],[PID]],Table3[[#All],[PID]],0)))</f>
        <v>88</v>
      </c>
      <c r="U43" s="68">
        <f>IF($C43="B",VLOOKUP($A43,Bat!$A$4:$BA$1621,47,FALSE),VLOOKUP($A43,Pit!$A$4:$BF$1557,56,FALSE))</f>
        <v>0</v>
      </c>
      <c r="V43" s="50">
        <f>IF($C43="B",VLOOKUP($A43,Bat!$A$4:$BA$1621,48,FALSE),VLOOKUP($A43,Pit!$A$4:$BF$1557,57,FALSE))</f>
        <v>0</v>
      </c>
      <c r="W43" s="50">
        <f>Table5[[#This Row],[posRnk]]+Table5[[#This Row],[zRnk]]+IF($W$3&lt;&gt;Table5[[#This Row],[Type]],50,0)</f>
        <v>278</v>
      </c>
      <c r="X43" s="51">
        <f>RANK(Table5[[#This Row],[zScore]],Table5[[#All],[zScore]])</f>
        <v>140</v>
      </c>
      <c r="Y43" s="50">
        <f>IFERROR(INDEX(DraftResults[[#All],[OVR]],MATCH(Table5[[#This Row],[PID]],DraftResults[[#All],[Player ID]],0)),"")</f>
        <v>39</v>
      </c>
      <c r="Z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3" s="50">
        <f>IFERROR(INDEX(DraftResults[[#All],[Pick in Round]],MATCH(Table5[[#This Row],[PID]],DraftResults[[#All],[Player ID]],0)),"")</f>
        <v>4</v>
      </c>
      <c r="AB43" s="50" t="str">
        <f>IFERROR(INDEX(DraftResults[[#All],[Team Name]],MATCH(Table5[[#This Row],[PID]],DraftResults[[#All],[Player ID]],0)),"")</f>
        <v>New Orleans Trendsetters</v>
      </c>
      <c r="AC43" s="50">
        <f>IF(Table5[[#This Row],[Ovr]]="","",IF(Table5[[#This Row],[cmbList]]="","",Table5[[#This Row],[cmbList]]-Table5[[#This Row],[Ovr]]))</f>
        <v>239</v>
      </c>
      <c r="AD43" s="54" t="str">
        <f>IF(ISERROR(VLOOKUP($AB43&amp;"-"&amp;$E43&amp;" "&amp;F43,Bonuses!$B$1:$G$1006,4,FALSE)),"",INT(VLOOKUP($AB43&amp;"-"&amp;$E43&amp;" "&amp;$F43,Bonuses!$B$1:$G$1006,4,FALSE)))</f>
        <v/>
      </c>
      <c r="AE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2.4 (39) - CL Diego Gómez</v>
      </c>
    </row>
    <row r="44" spans="1:31" s="50" customFormat="1" x14ac:dyDescent="0.25">
      <c r="A44" s="50">
        <v>13397</v>
      </c>
      <c r="B44" s="50">
        <f>COUNTIF(Table5[PID],A44)</f>
        <v>1</v>
      </c>
      <c r="C44" s="50" t="str">
        <f>IF(COUNTIF(Table3[[#All],[PID]],A44)&gt;0,"P","B")</f>
        <v>P</v>
      </c>
      <c r="D44" s="59" t="str">
        <f>IF($C44="B",INDEX(Batters[[#All],[POS]],MATCH(Table5[[#This Row],[PID]],Batters[[#All],[PID]],0)),INDEX(Table3[[#All],[POS]],MATCH(Table5[[#This Row],[PID]],Table3[[#All],[PID]],0)))</f>
        <v>CL</v>
      </c>
      <c r="E44" s="52" t="str">
        <f>IF($C44="B",INDEX(Batters[[#All],[First]],MATCH(Table5[[#This Row],[PID]],Batters[[#All],[PID]],0)),INDEX(Table3[[#All],[First]],MATCH(Table5[[#This Row],[PID]],Table3[[#All],[PID]],0)))</f>
        <v>Fernando</v>
      </c>
      <c r="F44" s="50" t="str">
        <f>IF($C44="B",INDEX(Batters[[#All],[Last]],MATCH(A44,Batters[[#All],[PID]],0)),INDEX(Table3[[#All],[Last]],MATCH(A44,Table3[[#All],[PID]],0)))</f>
        <v>Ramos</v>
      </c>
      <c r="G44" s="56">
        <f>IF($C44="B",INDEX(Batters[[#All],[Age]],MATCH(Table5[[#This Row],[PID]],Batters[[#All],[PID]],0)),INDEX(Table3[[#All],[Age]],MATCH(Table5[[#This Row],[PID]],Table3[[#All],[PID]],0)))</f>
        <v>18</v>
      </c>
      <c r="H44" s="52" t="str">
        <f>IF($C44="B",INDEX(Batters[[#All],[B]],MATCH(Table5[[#This Row],[PID]],Batters[[#All],[PID]],0)),INDEX(Table3[[#All],[B]],MATCH(Table5[[#This Row],[PID]],Table3[[#All],[PID]],0)))</f>
        <v>L</v>
      </c>
      <c r="I44" s="52" t="str">
        <f>IF($C44="B",INDEX(Batters[[#All],[T]],MATCH(Table5[[#This Row],[PID]],Batters[[#All],[PID]],0)),INDEX(Table3[[#All],[T]],MATCH(Table5[[#This Row],[PID]],Table3[[#All],[PID]],0)))</f>
        <v>L</v>
      </c>
      <c r="J44" s="52" t="str">
        <f>IF($C44="B",INDEX(Batters[[#All],[WE]],MATCH(Table5[[#This Row],[PID]],Batters[[#All],[PID]],0)),INDEX(Table3[[#All],[WE]],MATCH(Table5[[#This Row],[PID]],Table3[[#All],[PID]],0)))</f>
        <v>Low</v>
      </c>
      <c r="K44" s="52" t="str">
        <f>IF($C44="B",INDEX(Batters[[#All],[INT]],MATCH(Table5[[#This Row],[PID]],Batters[[#All],[PID]],0)),INDEX(Table3[[#All],[INT]],MATCH(Table5[[#This Row],[PID]],Table3[[#All],[PID]],0)))</f>
        <v>High</v>
      </c>
      <c r="L44" s="60">
        <f>IF($C44="B",INDEX(Batters[[#All],[CON P]],MATCH(Table5[[#This Row],[PID]],Batters[[#All],[PID]],0)),INDEX(Table3[[#All],[STU P]],MATCH(Table5[[#This Row],[PID]],Table3[[#All],[PID]],0)))</f>
        <v>8</v>
      </c>
      <c r="M44" s="56">
        <f>IF($C44="B",INDEX(Batters[[#All],[GAP P]],MATCH(Table5[[#This Row],[PID]],Batters[[#All],[PID]],0)),INDEX(Table3[[#All],[MOV P]],MATCH(Table5[[#This Row],[PID]],Table3[[#All],[PID]],0)))</f>
        <v>4</v>
      </c>
      <c r="N44" s="56">
        <f>IF($C44="B",INDEX(Batters[[#All],[POW P]],MATCH(Table5[[#This Row],[PID]],Batters[[#All],[PID]],0)),INDEX(Table3[[#All],[CON P]],MATCH(Table5[[#This Row],[PID]],Table3[[#All],[PID]],0)))</f>
        <v>4</v>
      </c>
      <c r="O44" s="56" t="str">
        <f>IF($C44="B",INDEX(Batters[[#All],[EYE P]],MATCH(Table5[[#This Row],[PID]],Batters[[#All],[PID]],0)),INDEX(Table3[[#All],[VELO]],MATCH(Table5[[#This Row],[PID]],Table3[[#All],[PID]],0)))</f>
        <v>92-94 Mph</v>
      </c>
      <c r="P44" s="56">
        <f>IF($C44="B",INDEX(Batters[[#All],[K P]],MATCH(Table5[[#This Row],[PID]],Batters[[#All],[PID]],0)),INDEX(Table3[[#All],[STM]],MATCH(Table5[[#This Row],[PID]],Table3[[#All],[PID]],0)))</f>
        <v>9</v>
      </c>
      <c r="Q44" s="61">
        <f>IF($C44="B",INDEX(Batters[[#All],[Tot]],MATCH(Table5[[#This Row],[PID]],Batters[[#All],[PID]],0)),INDEX(Table3[[#All],[Tot]],MATCH(Table5[[#This Row],[PID]],Table3[[#All],[PID]],0)))</f>
        <v>58.439860396318039</v>
      </c>
      <c r="R44" s="52">
        <f>IF($C44="B",INDEX(Batters[[#All],[zScore]],MATCH(Table5[[#This Row],[PID]],Batters[[#All],[PID]],0)),INDEX(Table3[[#All],[zScore]],MATCH(Table5[[#This Row],[PID]],Table3[[#All],[PID]],0)))</f>
        <v>1.5015033261268034</v>
      </c>
      <c r="S44" s="58" t="str">
        <f>IF($C44="B",INDEX(Batters[[#All],[DEM]],MATCH(Table5[[#This Row],[PID]],Batters[[#All],[PID]],0)),INDEX(Table3[[#All],[DEM]],MATCH(Table5[[#This Row],[PID]],Table3[[#All],[PID]],0)))</f>
        <v>$200k</v>
      </c>
      <c r="T44" s="62">
        <f>IF($C44="B",INDEX(Batters[[#All],[Rnk]],MATCH(Table5[[#This Row],[PID]],Batters[[#All],[PID]],0)),INDEX(Table3[[#All],[Rnk]],MATCH(Table5[[#This Row],[PID]],Table3[[#All],[PID]],0)))</f>
        <v>74</v>
      </c>
      <c r="U44" s="68">
        <f>IF($C44="B",VLOOKUP($A44,Bat!$A$4:$BA$1621,47,FALSE),VLOOKUP($A44,Pit!$A$4:$BF$1557,56,FALSE))</f>
        <v>0</v>
      </c>
      <c r="V44" s="50">
        <f>IF($C44="B",VLOOKUP($A44,Bat!$A$4:$BA$1621,48,FALSE),VLOOKUP($A44,Pit!$A$4:$BF$1557,57,FALSE))</f>
        <v>0</v>
      </c>
      <c r="W44" s="50">
        <f>Table5[[#This Row],[posRnk]]+Table5[[#This Row],[zRnk]]+IF($W$3&lt;&gt;Table5[[#This Row],[Type]],50,0)</f>
        <v>245</v>
      </c>
      <c r="X44" s="51">
        <f>RANK(Table5[[#This Row],[zScore]],Table5[[#All],[zScore]])</f>
        <v>121</v>
      </c>
      <c r="Y44" s="50">
        <f>IFERROR(INDEX(DraftResults[[#All],[OVR]],MATCH(Table5[[#This Row],[PID]],DraftResults[[#All],[Player ID]],0)),"")</f>
        <v>40</v>
      </c>
      <c r="Z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4" s="50">
        <f>IFERROR(INDEX(DraftResults[[#All],[Pick in Round]],MATCH(Table5[[#This Row],[PID]],DraftResults[[#All],[Player ID]],0)),"")</f>
        <v>5</v>
      </c>
      <c r="AB44" s="50" t="str">
        <f>IFERROR(INDEX(DraftResults[[#All],[Team Name]],MATCH(Table5[[#This Row],[PID]],DraftResults[[#All],[Player ID]],0)),"")</f>
        <v>Hartford Harpoon</v>
      </c>
      <c r="AC44" s="50">
        <f>IF(Table5[[#This Row],[Ovr]]="","",IF(Table5[[#This Row],[cmbList]]="","",Table5[[#This Row],[cmbList]]-Table5[[#This Row],[Ovr]]))</f>
        <v>205</v>
      </c>
      <c r="AD44" s="54" t="str">
        <f>IF(ISERROR(VLOOKUP($AB44&amp;"-"&amp;$E44&amp;" "&amp;F44,Bonuses!$B$1:$G$1006,4,FALSE)),"",INT(VLOOKUP($AB44&amp;"-"&amp;$E44&amp;" "&amp;$F44,Bonuses!$B$1:$G$1006,4,FALSE)))</f>
        <v/>
      </c>
      <c r="AE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2.5 (40) - CL Fernando Ramos</v>
      </c>
    </row>
    <row r="45" spans="1:31" s="50" customFormat="1" x14ac:dyDescent="0.25">
      <c r="A45" s="68">
        <v>18189</v>
      </c>
      <c r="B45" s="69">
        <f>COUNTIF(Table5[PID],A45)</f>
        <v>1</v>
      </c>
      <c r="C45" s="69" t="str">
        <f>IF(COUNTIF(Table3[[#All],[PID]],A45)&gt;0,"P","B")</f>
        <v>P</v>
      </c>
      <c r="D45" s="59" t="str">
        <f>IF($C45="B",INDEX(Batters[[#All],[POS]],MATCH(Table5[[#This Row],[PID]],Batters[[#All],[PID]],0)),INDEX(Table3[[#All],[POS]],MATCH(Table5[[#This Row],[PID]],Table3[[#All],[PID]],0)))</f>
        <v>SP</v>
      </c>
      <c r="E45" s="52" t="str">
        <f>IF($C45="B",INDEX(Batters[[#All],[First]],MATCH(Table5[[#This Row],[PID]],Batters[[#All],[PID]],0)),INDEX(Table3[[#All],[First]],MATCH(Table5[[#This Row],[PID]],Table3[[#All],[PID]],0)))</f>
        <v>Glenn</v>
      </c>
      <c r="F45" s="55" t="str">
        <f>IF($C45="B",INDEX(Batters[[#All],[Last]],MATCH(A45,Batters[[#All],[PID]],0)),INDEX(Table3[[#All],[Last]],MATCH(A45,Table3[[#All],[PID]],0)))</f>
        <v>Taylor</v>
      </c>
      <c r="G45" s="56">
        <f>IF($C45="B",INDEX(Batters[[#All],[Age]],MATCH(Table5[[#This Row],[PID]],Batters[[#All],[PID]],0)),INDEX(Table3[[#All],[Age]],MATCH(Table5[[#This Row],[PID]],Table3[[#All],[PID]],0)))</f>
        <v>18</v>
      </c>
      <c r="H45" s="52" t="str">
        <f>IF($C45="B",INDEX(Batters[[#All],[B]],MATCH(Table5[[#This Row],[PID]],Batters[[#All],[PID]],0)),INDEX(Table3[[#All],[B]],MATCH(Table5[[#This Row],[PID]],Table3[[#All],[PID]],0)))</f>
        <v>R</v>
      </c>
      <c r="I45" s="52" t="str">
        <f>IF($C45="B",INDEX(Batters[[#All],[T]],MATCH(Table5[[#This Row],[PID]],Batters[[#All],[PID]],0)),INDEX(Table3[[#All],[T]],MATCH(Table5[[#This Row],[PID]],Table3[[#All],[PID]],0)))</f>
        <v>R</v>
      </c>
      <c r="J45" s="71" t="str">
        <f>IF($C45="B",INDEX(Batters[[#All],[WE]],MATCH(Table5[[#This Row],[PID]],Batters[[#All],[PID]],0)),INDEX(Table3[[#All],[WE]],MATCH(Table5[[#This Row],[PID]],Table3[[#All],[PID]],0)))</f>
        <v>Normal</v>
      </c>
      <c r="K45" s="52" t="str">
        <f>IF($C45="B",INDEX(Batters[[#All],[INT]],MATCH(Table5[[#This Row],[PID]],Batters[[#All],[PID]],0)),INDEX(Table3[[#All],[INT]],MATCH(Table5[[#This Row],[PID]],Table3[[#All],[PID]],0)))</f>
        <v>Normal</v>
      </c>
      <c r="L45" s="60">
        <f>IF($C45="B",INDEX(Batters[[#All],[CON P]],MATCH(Table5[[#This Row],[PID]],Batters[[#All],[PID]],0)),INDEX(Table3[[#All],[STU P]],MATCH(Table5[[#This Row],[PID]],Table3[[#All],[PID]],0)))</f>
        <v>5</v>
      </c>
      <c r="M45" s="72">
        <f>IF($C45="B",INDEX(Batters[[#All],[GAP P]],MATCH(Table5[[#This Row],[PID]],Batters[[#All],[PID]],0)),INDEX(Table3[[#All],[MOV P]],MATCH(Table5[[#This Row],[PID]],Table3[[#All],[PID]],0)))</f>
        <v>6</v>
      </c>
      <c r="N45" s="72">
        <f>IF($C45="B",INDEX(Batters[[#All],[POW P]],MATCH(Table5[[#This Row],[PID]],Batters[[#All],[PID]],0)),INDEX(Table3[[#All],[CON P]],MATCH(Table5[[#This Row],[PID]],Table3[[#All],[PID]],0)))</f>
        <v>5</v>
      </c>
      <c r="O45" s="72" t="str">
        <f>IF($C45="B",INDEX(Batters[[#All],[EYE P]],MATCH(Table5[[#This Row],[PID]],Batters[[#All],[PID]],0)),INDEX(Table3[[#All],[VELO]],MATCH(Table5[[#This Row],[PID]],Table3[[#All],[PID]],0)))</f>
        <v>92-94 Mph</v>
      </c>
      <c r="P45" s="56">
        <f>IF($C45="B",INDEX(Batters[[#All],[K P]],MATCH(Table5[[#This Row],[PID]],Batters[[#All],[PID]],0)),INDEX(Table3[[#All],[STM]],MATCH(Table5[[#This Row],[PID]],Table3[[#All],[PID]],0)))</f>
        <v>9</v>
      </c>
      <c r="Q45" s="61">
        <f>IF($C45="B",INDEX(Batters[[#All],[Tot]],MATCH(Table5[[#This Row],[PID]],Batters[[#All],[PID]],0)),INDEX(Table3[[#All],[Tot]],MATCH(Table5[[#This Row],[PID]],Table3[[#All],[PID]],0)))</f>
        <v>65.461147247338062</v>
      </c>
      <c r="R45" s="52">
        <f>IF($C45="B",INDEX(Batters[[#All],[zScore]],MATCH(Table5[[#This Row],[PID]],Batters[[#All],[PID]],0)),INDEX(Table3[[#All],[zScore]],MATCH(Table5[[#This Row],[PID]],Table3[[#All],[PID]],0)))</f>
        <v>1.9686188110346452</v>
      </c>
      <c r="S45" s="78" t="str">
        <f>IF($C45="B",INDEX(Batters[[#All],[DEM]],MATCH(Table5[[#This Row],[PID]],Batters[[#All],[PID]],0)),INDEX(Table3[[#All],[DEM]],MATCH(Table5[[#This Row],[PID]],Table3[[#All],[PID]],0)))</f>
        <v>$2.6m</v>
      </c>
      <c r="T45" s="75">
        <f>IF($C45="B",INDEX(Batters[[#All],[Rnk]],MATCH(Table5[[#This Row],[PID]],Batters[[#All],[PID]],0)),INDEX(Table3[[#All],[Rnk]],MATCH(Table5[[#This Row],[PID]],Table3[[#All],[PID]],0)))</f>
        <v>31</v>
      </c>
      <c r="U45" s="68">
        <f>IF($C45="B",VLOOKUP($A45,Bat!$A$4:$BA$1621,47,FALSE),VLOOKUP($A45,Pit!$A$4:$BF$1557,56,FALSE))</f>
        <v>0</v>
      </c>
      <c r="V45" s="50">
        <f>IF($C45="B",VLOOKUP($A45,Bat!$A$4:$BA$1621,48,FALSE),VLOOKUP($A45,Pit!$A$4:$BF$1557,57,FALSE))</f>
        <v>0</v>
      </c>
      <c r="W45" s="69">
        <f>Table5[[#This Row],[posRnk]]+Table5[[#This Row],[zRnk]]+IF($W$3&lt;&gt;Table5[[#This Row],[Type]],50,0)</f>
        <v>130</v>
      </c>
      <c r="X45" s="73">
        <f>RANK(Table5[[#This Row],[zScore]],Table5[[#All],[zScore]])</f>
        <v>49</v>
      </c>
      <c r="Y45" s="69">
        <f>IFERROR(INDEX(DraftResults[[#All],[OVR]],MATCH(Table5[[#This Row],[PID]],DraftResults[[#All],[Player ID]],0)),"")</f>
        <v>41</v>
      </c>
      <c r="Z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5" s="69">
        <f>IFERROR(INDEX(DraftResults[[#All],[Pick in Round]],MATCH(Table5[[#This Row],[PID]],DraftResults[[#All],[Player ID]],0)),"")</f>
        <v>6</v>
      </c>
      <c r="AB45" s="69" t="str">
        <f>IFERROR(INDEX(DraftResults[[#All],[Team Name]],MATCH(Table5[[#This Row],[PID]],DraftResults[[#All],[Player ID]],0)),"")</f>
        <v>Charleston Statesmen</v>
      </c>
      <c r="AC45" s="69">
        <f>IF(Table5[[#This Row],[Ovr]]="","",IF(Table5[[#This Row],[cmbList]]="","",Table5[[#This Row],[cmbList]]-Table5[[#This Row],[Ovr]]))</f>
        <v>89</v>
      </c>
      <c r="AD45" s="77" t="str">
        <f>IF(ISERROR(VLOOKUP($AB45&amp;"-"&amp;$E45&amp;" "&amp;F45,Bonuses!$B$1:$G$1006,4,FALSE)),"",INT(VLOOKUP($AB45&amp;"-"&amp;$E45&amp;" "&amp;$F45,Bonuses!$B$1:$G$1006,4,FALSE)))</f>
        <v/>
      </c>
      <c r="AE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2.6 (41) - SP Glenn Taylor</v>
      </c>
    </row>
    <row r="46" spans="1:31" s="50" customFormat="1" x14ac:dyDescent="0.25">
      <c r="A46" s="68">
        <v>18158</v>
      </c>
      <c r="B46" s="69">
        <f>COUNTIF(Table5[PID],A46)</f>
        <v>1</v>
      </c>
      <c r="C46" s="69" t="str">
        <f>IF(COUNTIF(Table3[[#All],[PID]],A46)&gt;0,"P","B")</f>
        <v>P</v>
      </c>
      <c r="D46" s="59" t="str">
        <f>IF($C46="B",INDEX(Batters[[#All],[POS]],MATCH(Table5[[#This Row],[PID]],Batters[[#All],[PID]],0)),INDEX(Table3[[#All],[POS]],MATCH(Table5[[#This Row],[PID]],Table3[[#All],[PID]],0)))</f>
        <v>SP</v>
      </c>
      <c r="E46" s="52" t="str">
        <f>IF($C46="B",INDEX(Batters[[#All],[First]],MATCH(Table5[[#This Row],[PID]],Batters[[#All],[PID]],0)),INDEX(Table3[[#All],[First]],MATCH(Table5[[#This Row],[PID]],Table3[[#All],[PID]],0)))</f>
        <v>Michael</v>
      </c>
      <c r="F46" s="55" t="str">
        <f>IF($C46="B",INDEX(Batters[[#All],[Last]],MATCH(A46,Batters[[#All],[PID]],0)),INDEX(Table3[[#All],[Last]],MATCH(A46,Table3[[#All],[PID]],0)))</f>
        <v>Henderson</v>
      </c>
      <c r="G46" s="56">
        <f>IF($C46="B",INDEX(Batters[[#All],[Age]],MATCH(Table5[[#This Row],[PID]],Batters[[#All],[PID]],0)),INDEX(Table3[[#All],[Age]],MATCH(Table5[[#This Row],[PID]],Table3[[#All],[PID]],0)))</f>
        <v>21</v>
      </c>
      <c r="H46" s="52" t="str">
        <f>IF($C46="B",INDEX(Batters[[#All],[B]],MATCH(Table5[[#This Row],[PID]],Batters[[#All],[PID]],0)),INDEX(Table3[[#All],[B]],MATCH(Table5[[#This Row],[PID]],Table3[[#All],[PID]],0)))</f>
        <v>L</v>
      </c>
      <c r="I46" s="52" t="str">
        <f>IF($C46="B",INDEX(Batters[[#All],[T]],MATCH(Table5[[#This Row],[PID]],Batters[[#All],[PID]],0)),INDEX(Table3[[#All],[T]],MATCH(Table5[[#This Row],[PID]],Table3[[#All],[PID]],0)))</f>
        <v>L</v>
      </c>
      <c r="J46" s="71" t="str">
        <f>IF($C46="B",INDEX(Batters[[#All],[WE]],MATCH(Table5[[#This Row],[PID]],Batters[[#All],[PID]],0)),INDEX(Table3[[#All],[WE]],MATCH(Table5[[#This Row],[PID]],Table3[[#All],[PID]],0)))</f>
        <v>High</v>
      </c>
      <c r="K46" s="52" t="str">
        <f>IF($C46="B",INDEX(Batters[[#All],[INT]],MATCH(Table5[[#This Row],[PID]],Batters[[#All],[PID]],0)),INDEX(Table3[[#All],[INT]],MATCH(Table5[[#This Row],[PID]],Table3[[#All],[PID]],0)))</f>
        <v>Low</v>
      </c>
      <c r="L46" s="60">
        <f>IF($C46="B",INDEX(Batters[[#All],[CON P]],MATCH(Table5[[#This Row],[PID]],Batters[[#All],[PID]],0)),INDEX(Table3[[#All],[STU P]],MATCH(Table5[[#This Row],[PID]],Table3[[#All],[PID]],0)))</f>
        <v>6</v>
      </c>
      <c r="M46" s="72">
        <f>IF($C46="B",INDEX(Batters[[#All],[GAP P]],MATCH(Table5[[#This Row],[PID]],Batters[[#All],[PID]],0)),INDEX(Table3[[#All],[MOV P]],MATCH(Table5[[#This Row],[PID]],Table3[[#All],[PID]],0)))</f>
        <v>5</v>
      </c>
      <c r="N46" s="72">
        <f>IF($C46="B",INDEX(Batters[[#All],[POW P]],MATCH(Table5[[#This Row],[PID]],Batters[[#All],[PID]],0)),INDEX(Table3[[#All],[CON P]],MATCH(Table5[[#This Row],[PID]],Table3[[#All],[PID]],0)))</f>
        <v>4</v>
      </c>
      <c r="O46" s="72" t="str">
        <f>IF($C46="B",INDEX(Batters[[#All],[EYE P]],MATCH(Table5[[#This Row],[PID]],Batters[[#All],[PID]],0)),INDEX(Table3[[#All],[VELO]],MATCH(Table5[[#This Row],[PID]],Table3[[#All],[PID]],0)))</f>
        <v>96-98 Mph</v>
      </c>
      <c r="P46" s="56">
        <f>IF($C46="B",INDEX(Batters[[#All],[K P]],MATCH(Table5[[#This Row],[PID]],Batters[[#All],[PID]],0)),INDEX(Table3[[#All],[STM]],MATCH(Table5[[#This Row],[PID]],Table3[[#All],[PID]],0)))</f>
        <v>5</v>
      </c>
      <c r="Q46" s="61">
        <f>IF($C46="B",INDEX(Batters[[#All],[Tot]],MATCH(Table5[[#This Row],[PID]],Batters[[#All],[PID]],0)),INDEX(Table3[[#All],[Tot]],MATCH(Table5[[#This Row],[PID]],Table3[[#All],[PID]],0)))</f>
        <v>56.711082200416783</v>
      </c>
      <c r="R46" s="52">
        <f>IF($C46="B",INDEX(Batters[[#All],[zScore]],MATCH(Table5[[#This Row],[PID]],Batters[[#All],[PID]],0)),INDEX(Table3[[#All],[zScore]],MATCH(Table5[[#This Row],[PID]],Table3[[#All],[PID]],0)))</f>
        <v>1.38649035451474</v>
      </c>
      <c r="S46" s="78" t="str">
        <f>IF($C46="B",INDEX(Batters[[#All],[DEM]],MATCH(Table5[[#This Row],[PID]],Batters[[#All],[PID]],0)),INDEX(Table3[[#All],[DEM]],MATCH(Table5[[#This Row],[PID]],Table3[[#All],[PID]],0)))</f>
        <v>$180k</v>
      </c>
      <c r="T46" s="75">
        <f>IF($C46="B",INDEX(Batters[[#All],[Rnk]],MATCH(Table5[[#This Row],[PID]],Batters[[#All],[PID]],0)),INDEX(Table3[[#All],[Rnk]],MATCH(Table5[[#This Row],[PID]],Table3[[#All],[PID]],0)))</f>
        <v>87</v>
      </c>
      <c r="U46" s="68">
        <f>IF($C46="B",VLOOKUP($A46,Bat!$A$4:$BA$1621,47,FALSE),VLOOKUP($A46,Pit!$A$4:$BF$1557,56,FALSE))</f>
        <v>0</v>
      </c>
      <c r="V46" s="50">
        <f>IF($C46="B",VLOOKUP($A46,Bat!$A$4:$BA$1621,48,FALSE),VLOOKUP($A46,Pit!$A$4:$BF$1557,57,FALSE))</f>
        <v>0</v>
      </c>
      <c r="W46" s="69">
        <f>Table5[[#This Row],[posRnk]]+Table5[[#This Row],[zRnk]]+IF($W$3&lt;&gt;Table5[[#This Row],[Type]],50,0)</f>
        <v>276</v>
      </c>
      <c r="X46" s="73">
        <f>RANK(Table5[[#This Row],[zScore]],Table5[[#All],[zScore]])</f>
        <v>139</v>
      </c>
      <c r="Y46" s="69">
        <f>IFERROR(INDEX(DraftResults[[#All],[OVR]],MATCH(Table5[[#This Row],[PID]],DraftResults[[#All],[Player ID]],0)),"")</f>
        <v>42</v>
      </c>
      <c r="Z4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6" s="69">
        <f>IFERROR(INDEX(DraftResults[[#All],[Pick in Round]],MATCH(Table5[[#This Row],[PID]],DraftResults[[#All],[Player ID]],0)),"")</f>
        <v>7</v>
      </c>
      <c r="AB46" s="69" t="str">
        <f>IFERROR(INDEX(DraftResults[[#All],[Team Name]],MATCH(Table5[[#This Row],[PID]],DraftResults[[#All],[Player ID]],0)),"")</f>
        <v>Manchester Maulers</v>
      </c>
      <c r="AC46" s="69">
        <f>IF(Table5[[#This Row],[Ovr]]="","",IF(Table5[[#This Row],[cmbList]]="","",Table5[[#This Row],[cmbList]]-Table5[[#This Row],[Ovr]]))</f>
        <v>234</v>
      </c>
      <c r="AD46" s="77" t="str">
        <f>IF(ISERROR(VLOOKUP($AB46&amp;"-"&amp;$E46&amp;" "&amp;F46,Bonuses!$B$1:$G$1006,4,FALSE)),"",INT(VLOOKUP($AB46&amp;"-"&amp;$E46&amp;" "&amp;$F46,Bonuses!$B$1:$G$1006,4,FALSE)))</f>
        <v/>
      </c>
      <c r="AE4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2.7 (42) - SP Michael Henderson</v>
      </c>
    </row>
    <row r="47" spans="1:31" s="50" customFormat="1" x14ac:dyDescent="0.25">
      <c r="A47" s="50">
        <v>18296</v>
      </c>
      <c r="B47" s="50">
        <f>COUNTIF(Table5[PID],A47)</f>
        <v>1</v>
      </c>
      <c r="C47" s="50" t="str">
        <f>IF(COUNTIF(Table3[[#All],[PID]],A47)&gt;0,"P","B")</f>
        <v>P</v>
      </c>
      <c r="D47" s="59" t="str">
        <f>IF($C47="B",INDEX(Batters[[#All],[POS]],MATCH(Table5[[#This Row],[PID]],Batters[[#All],[PID]],0)),INDEX(Table3[[#All],[POS]],MATCH(Table5[[#This Row],[PID]],Table3[[#All],[PID]],0)))</f>
        <v>CL</v>
      </c>
      <c r="E47" s="52" t="str">
        <f>IF($C47="B",INDEX(Batters[[#All],[First]],MATCH(Table5[[#This Row],[PID]],Batters[[#All],[PID]],0)),INDEX(Table3[[#All],[First]],MATCH(Table5[[#This Row],[PID]],Table3[[#All],[PID]],0)))</f>
        <v>Eduardo</v>
      </c>
      <c r="F47" s="50" t="str">
        <f>IF($C47="B",INDEX(Batters[[#All],[Last]],MATCH(A47,Batters[[#All],[PID]],0)),INDEX(Table3[[#All],[Last]],MATCH(A47,Table3[[#All],[PID]],0)))</f>
        <v>Torres</v>
      </c>
      <c r="G47" s="56">
        <f>IF($C47="B",INDEX(Batters[[#All],[Age]],MATCH(Table5[[#This Row],[PID]],Batters[[#All],[PID]],0)),INDEX(Table3[[#All],[Age]],MATCH(Table5[[#This Row],[PID]],Table3[[#All],[PID]],0)))</f>
        <v>21</v>
      </c>
      <c r="H47" s="52" t="str">
        <f>IF($C47="B",INDEX(Batters[[#All],[B]],MATCH(Table5[[#This Row],[PID]],Batters[[#All],[PID]],0)),INDEX(Table3[[#All],[B]],MATCH(Table5[[#This Row],[PID]],Table3[[#All],[PID]],0)))</f>
        <v>R</v>
      </c>
      <c r="I47" s="52" t="str">
        <f>IF($C47="B",INDEX(Batters[[#All],[T]],MATCH(Table5[[#This Row],[PID]],Batters[[#All],[PID]],0)),INDEX(Table3[[#All],[T]],MATCH(Table5[[#This Row],[PID]],Table3[[#All],[PID]],0)))</f>
        <v>R</v>
      </c>
      <c r="J47" s="52" t="str">
        <f>IF($C47="B",INDEX(Batters[[#All],[WE]],MATCH(Table5[[#This Row],[PID]],Batters[[#All],[PID]],0)),INDEX(Table3[[#All],[WE]],MATCH(Table5[[#This Row],[PID]],Table3[[#All],[PID]],0)))</f>
        <v>High</v>
      </c>
      <c r="K47" s="52" t="str">
        <f>IF($C47="B",INDEX(Batters[[#All],[INT]],MATCH(Table5[[#This Row],[PID]],Batters[[#All],[PID]],0)),INDEX(Table3[[#All],[INT]],MATCH(Table5[[#This Row],[PID]],Table3[[#All],[PID]],0)))</f>
        <v>Normal</v>
      </c>
      <c r="L47" s="60">
        <f>IF($C47="B",INDEX(Batters[[#All],[CON P]],MATCH(Table5[[#This Row],[PID]],Batters[[#All],[PID]],0)),INDEX(Table3[[#All],[STU P]],MATCH(Table5[[#This Row],[PID]],Table3[[#All],[PID]],0)))</f>
        <v>8</v>
      </c>
      <c r="M47" s="56">
        <f>IF($C47="B",INDEX(Batters[[#All],[GAP P]],MATCH(Table5[[#This Row],[PID]],Batters[[#All],[PID]],0)),INDEX(Table3[[#All],[MOV P]],MATCH(Table5[[#This Row],[PID]],Table3[[#All],[PID]],0)))</f>
        <v>3</v>
      </c>
      <c r="N47" s="56">
        <f>IF($C47="B",INDEX(Batters[[#All],[POW P]],MATCH(Table5[[#This Row],[PID]],Batters[[#All],[PID]],0)),INDEX(Table3[[#All],[CON P]],MATCH(Table5[[#This Row],[PID]],Table3[[#All],[PID]],0)))</f>
        <v>6</v>
      </c>
      <c r="O47" s="56" t="str">
        <f>IF($C47="B",INDEX(Batters[[#All],[EYE P]],MATCH(Table5[[#This Row],[PID]],Batters[[#All],[PID]],0)),INDEX(Table3[[#All],[VELO]],MATCH(Table5[[#This Row],[PID]],Table3[[#All],[PID]],0)))</f>
        <v>97-99 Mph</v>
      </c>
      <c r="P47" s="56">
        <f>IF($C47="B",INDEX(Batters[[#All],[K P]],MATCH(Table5[[#This Row],[PID]],Batters[[#All],[PID]],0)),INDEX(Table3[[#All],[STM]],MATCH(Table5[[#This Row],[PID]],Table3[[#All],[PID]],0)))</f>
        <v>8</v>
      </c>
      <c r="Q47" s="61">
        <f>IF($C47="B",INDEX(Batters[[#All],[Tot]],MATCH(Table5[[#This Row],[PID]],Batters[[#All],[PID]],0)),INDEX(Table3[[#All],[Tot]],MATCH(Table5[[#This Row],[PID]],Table3[[#All],[PID]],0)))</f>
        <v>66.236455955301636</v>
      </c>
      <c r="R47" s="52">
        <f>IF($C47="B",INDEX(Batters[[#All],[zScore]],MATCH(Table5[[#This Row],[PID]],Batters[[#All],[PID]],0)),INDEX(Table3[[#All],[zScore]],MATCH(Table5[[#This Row],[PID]],Table3[[#All],[PID]],0)))</f>
        <v>2.0201989146193697</v>
      </c>
      <c r="S47" s="58" t="str">
        <f>IF($C47="B",INDEX(Batters[[#All],[DEM]],MATCH(Table5[[#This Row],[PID]],Batters[[#All],[PID]],0)),INDEX(Table3[[#All],[DEM]],MATCH(Table5[[#This Row],[PID]],Table3[[#All],[PID]],0)))</f>
        <v>$20k</v>
      </c>
      <c r="T47" s="62">
        <f>IF($C47="B",INDEX(Batters[[#All],[Rnk]],MATCH(Table5[[#This Row],[PID]],Batters[[#All],[PID]],0)),INDEX(Table3[[#All],[Rnk]],MATCH(Table5[[#This Row],[PID]],Table3[[#All],[PID]],0)))</f>
        <v>25</v>
      </c>
      <c r="U47" s="68">
        <f>IF($C47="B",VLOOKUP($A47,Bat!$A$4:$BA$1621,47,FALSE),VLOOKUP($A47,Pit!$A$4:$BF$1557,56,FALSE))</f>
        <v>0</v>
      </c>
      <c r="V47" s="50">
        <f>IF($C47="B",VLOOKUP($A47,Bat!$A$4:$BA$1621,48,FALSE),VLOOKUP($A47,Pit!$A$4:$BF$1557,57,FALSE))</f>
        <v>0</v>
      </c>
      <c r="W47" s="50">
        <f>Table5[[#This Row],[posRnk]]+Table5[[#This Row],[zRnk]]+IF($W$3&lt;&gt;Table5[[#This Row],[Type]],50,0)</f>
        <v>117</v>
      </c>
      <c r="X47" s="51">
        <f>RANK(Table5[[#This Row],[zScore]],Table5[[#All],[zScore]])</f>
        <v>42</v>
      </c>
      <c r="Y47" s="50">
        <f>IFERROR(INDEX(DraftResults[[#All],[OVR]],MATCH(Table5[[#This Row],[PID]],DraftResults[[#All],[Player ID]],0)),"")</f>
        <v>43</v>
      </c>
      <c r="Z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7" s="50">
        <f>IFERROR(INDEX(DraftResults[[#All],[Pick in Round]],MATCH(Table5[[#This Row],[PID]],DraftResults[[#All],[Player ID]],0)),"")</f>
        <v>8</v>
      </c>
      <c r="AB47" s="50" t="str">
        <f>IFERROR(INDEX(DraftResults[[#All],[Team Name]],MATCH(Table5[[#This Row],[PID]],DraftResults[[#All],[Player ID]],0)),"")</f>
        <v>West Virginia Alleghenies</v>
      </c>
      <c r="AC47" s="50">
        <f>IF(Table5[[#This Row],[Ovr]]="","",IF(Table5[[#This Row],[cmbList]]="","",Table5[[#This Row],[cmbList]]-Table5[[#This Row],[Ovr]]))</f>
        <v>74</v>
      </c>
      <c r="AD47" s="54" t="str">
        <f>IF(ISERROR(VLOOKUP($AB47&amp;"-"&amp;$E47&amp;" "&amp;F47,Bonuses!$B$1:$G$1006,4,FALSE)),"",INT(VLOOKUP($AB47&amp;"-"&amp;$E47&amp;" "&amp;$F47,Bonuses!$B$1:$G$1006,4,FALSE)))</f>
        <v/>
      </c>
      <c r="AE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2.8 (43) - CL Eduardo Torres</v>
      </c>
    </row>
    <row r="48" spans="1:31" s="50" customFormat="1" x14ac:dyDescent="0.25">
      <c r="A48" s="50">
        <v>18164</v>
      </c>
      <c r="B48" s="50">
        <f>COUNTIF(Table5[PID],A48)</f>
        <v>1</v>
      </c>
      <c r="C48" s="50" t="str">
        <f>IF(COUNTIF(Table3[[#All],[PID]],A48)&gt;0,"P","B")</f>
        <v>B</v>
      </c>
      <c r="D48" s="59" t="str">
        <f>IF($C48="B",INDEX(Batters[[#All],[POS]],MATCH(Table5[[#This Row],[PID]],Batters[[#All],[PID]],0)),INDEX(Table3[[#All],[POS]],MATCH(Table5[[#This Row],[PID]],Table3[[#All],[PID]],0)))</f>
        <v>RF</v>
      </c>
      <c r="E48" s="52" t="str">
        <f>IF($C48="B",INDEX(Batters[[#All],[First]],MATCH(Table5[[#This Row],[PID]],Batters[[#All],[PID]],0)),INDEX(Table3[[#All],[First]],MATCH(Table5[[#This Row],[PID]],Table3[[#All],[PID]],0)))</f>
        <v>Marvin</v>
      </c>
      <c r="F48" s="50" t="str">
        <f>IF($C48="B",INDEX(Batters[[#All],[Last]],MATCH(A48,Batters[[#All],[PID]],0)),INDEX(Table3[[#All],[Last]],MATCH(A48,Table3[[#All],[PID]],0)))</f>
        <v>Heidelberg</v>
      </c>
      <c r="G48" s="56">
        <f>IF($C48="B",INDEX(Batters[[#All],[Age]],MATCH(Table5[[#This Row],[PID]],Batters[[#All],[PID]],0)),INDEX(Table3[[#All],[Age]],MATCH(Table5[[#This Row],[PID]],Table3[[#All],[PID]],0)))</f>
        <v>21</v>
      </c>
      <c r="H48" s="52" t="str">
        <f>IF($C48="B",INDEX(Batters[[#All],[B]],MATCH(Table5[[#This Row],[PID]],Batters[[#All],[PID]],0)),INDEX(Table3[[#All],[B]],MATCH(Table5[[#This Row],[PID]],Table3[[#All],[PID]],0)))</f>
        <v>S</v>
      </c>
      <c r="I48" s="52" t="str">
        <f>IF($C48="B",INDEX(Batters[[#All],[T]],MATCH(Table5[[#This Row],[PID]],Batters[[#All],[PID]],0)),INDEX(Table3[[#All],[T]],MATCH(Table5[[#This Row],[PID]],Table3[[#All],[PID]],0)))</f>
        <v>R</v>
      </c>
      <c r="J48" s="52" t="str">
        <f>IF($C48="B",INDEX(Batters[[#All],[WE]],MATCH(Table5[[#This Row],[PID]],Batters[[#All],[PID]],0)),INDEX(Table3[[#All],[WE]],MATCH(Table5[[#This Row],[PID]],Table3[[#All],[PID]],0)))</f>
        <v>High</v>
      </c>
      <c r="K48" s="52" t="str">
        <f>IF($C48="B",INDEX(Batters[[#All],[INT]],MATCH(Table5[[#This Row],[PID]],Batters[[#All],[PID]],0)),INDEX(Table3[[#All],[INT]],MATCH(Table5[[#This Row],[PID]],Table3[[#All],[PID]],0)))</f>
        <v>Normal</v>
      </c>
      <c r="L48" s="60">
        <f>IF($C48="B",INDEX(Batters[[#All],[CON P]],MATCH(Table5[[#This Row],[PID]],Batters[[#All],[PID]],0)),INDEX(Table3[[#All],[STU P]],MATCH(Table5[[#This Row],[PID]],Table3[[#All],[PID]],0)))</f>
        <v>5</v>
      </c>
      <c r="M48" s="56">
        <f>IF($C48="B",INDEX(Batters[[#All],[GAP P]],MATCH(Table5[[#This Row],[PID]],Batters[[#All],[PID]],0)),INDEX(Table3[[#All],[MOV P]],MATCH(Table5[[#This Row],[PID]],Table3[[#All],[PID]],0)))</f>
        <v>7</v>
      </c>
      <c r="N48" s="56">
        <f>IF($C48="B",INDEX(Batters[[#All],[POW P]],MATCH(Table5[[#This Row],[PID]],Batters[[#All],[PID]],0)),INDEX(Table3[[#All],[CON P]],MATCH(Table5[[#This Row],[PID]],Table3[[#All],[PID]],0)))</f>
        <v>6</v>
      </c>
      <c r="O48" s="56">
        <f>IF($C48="B",INDEX(Batters[[#All],[EYE P]],MATCH(Table5[[#This Row],[PID]],Batters[[#All],[PID]],0)),INDEX(Table3[[#All],[VELO]],MATCH(Table5[[#This Row],[PID]],Table3[[#All],[PID]],0)))</f>
        <v>7</v>
      </c>
      <c r="P48" s="56">
        <f>IF($C48="B",INDEX(Batters[[#All],[K P]],MATCH(Table5[[#This Row],[PID]],Batters[[#All],[PID]],0)),INDEX(Table3[[#All],[STM]],MATCH(Table5[[#This Row],[PID]],Table3[[#All],[PID]],0)))</f>
        <v>4</v>
      </c>
      <c r="Q48" s="61">
        <f>IF($C48="B",INDEX(Batters[[#All],[Tot]],MATCH(Table5[[#This Row],[PID]],Batters[[#All],[PID]],0)),INDEX(Table3[[#All],[Tot]],MATCH(Table5[[#This Row],[PID]],Table3[[#All],[PID]],0)))</f>
        <v>52.125543068162784</v>
      </c>
      <c r="R48" s="52">
        <f>IF($C48="B",INDEX(Batters[[#All],[zScore]],MATCH(Table5[[#This Row],[PID]],Batters[[#All],[PID]],0)),INDEX(Table3[[#All],[zScore]],MATCH(Table5[[#This Row],[PID]],Table3[[#All],[PID]],0)))</f>
        <v>1.7722358936695335</v>
      </c>
      <c r="S48" s="58" t="str">
        <f>IF($C48="B",INDEX(Batters[[#All],[DEM]],MATCH(Table5[[#This Row],[PID]],Batters[[#All],[PID]],0)),INDEX(Table3[[#All],[DEM]],MATCH(Table5[[#This Row],[PID]],Table3[[#All],[PID]],0)))</f>
        <v>$20k</v>
      </c>
      <c r="T48" s="62">
        <f>IF($C48="B",INDEX(Batters[[#All],[Rnk]],MATCH(Table5[[#This Row],[PID]],Batters[[#All],[PID]],0)),INDEX(Table3[[#All],[Rnk]],MATCH(Table5[[#This Row],[PID]],Table3[[#All],[PID]],0)))</f>
        <v>26</v>
      </c>
      <c r="U48" s="68">
        <f>IF($C48="B",VLOOKUP($A48,Bat!$A$4:$BA$1621,47,FALSE),VLOOKUP($A48,Pit!$A$4:$BF$1557,56,FALSE))</f>
        <v>0</v>
      </c>
      <c r="V48" s="50">
        <f>IF($C48="B",VLOOKUP($A48,Bat!$A$4:$BA$1621,48,FALSE),VLOOKUP($A48,Pit!$A$4:$BF$1557,57,FALSE))</f>
        <v>0</v>
      </c>
      <c r="W48" s="50">
        <f>Table5[[#This Row],[posRnk]]+Table5[[#This Row],[zRnk]]+IF($W$3&lt;&gt;Table5[[#This Row],[Type]],50,0)</f>
        <v>149</v>
      </c>
      <c r="X48" s="51">
        <f>RANK(Table5[[#This Row],[zScore]],Table5[[#All],[zScore]])</f>
        <v>73</v>
      </c>
      <c r="Y48" s="50">
        <f>IFERROR(INDEX(DraftResults[[#All],[OVR]],MATCH(Table5[[#This Row],[PID]],DraftResults[[#All],[Player ID]],0)),"")</f>
        <v>44</v>
      </c>
      <c r="Z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8" s="50">
        <f>IFERROR(INDEX(DraftResults[[#All],[Pick in Round]],MATCH(Table5[[#This Row],[PID]],DraftResults[[#All],[Player ID]],0)),"")</f>
        <v>9</v>
      </c>
      <c r="AB48" s="50" t="str">
        <f>IFERROR(INDEX(DraftResults[[#All],[Team Name]],MATCH(Table5[[#This Row],[PID]],DraftResults[[#All],[Player ID]],0)),"")</f>
        <v>Kalamazoo Badgers</v>
      </c>
      <c r="AC48" s="50">
        <f>IF(Table5[[#This Row],[Ovr]]="","",IF(Table5[[#This Row],[cmbList]]="","",Table5[[#This Row],[cmbList]]-Table5[[#This Row],[Ovr]]))</f>
        <v>105</v>
      </c>
      <c r="AD48" s="54" t="str">
        <f>IF(ISERROR(VLOOKUP($AB48&amp;"-"&amp;$E48&amp;" "&amp;F48,Bonuses!$B$1:$G$1006,4,FALSE)),"",INT(VLOOKUP($AB48&amp;"-"&amp;$E48&amp;" "&amp;$F48,Bonuses!$B$1:$G$1006,4,FALSE)))</f>
        <v/>
      </c>
      <c r="AE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2.9 (44) - RF Marvin Heidelberg</v>
      </c>
    </row>
    <row r="49" spans="1:31" s="50" customFormat="1" x14ac:dyDescent="0.25">
      <c r="A49" s="50">
        <v>20216</v>
      </c>
      <c r="B49" s="50">
        <f>COUNTIF(Table5[PID],A49)</f>
        <v>1</v>
      </c>
      <c r="C49" s="50" t="str">
        <f>IF(COUNTIF(Table3[[#All],[PID]],A49)&gt;0,"P","B")</f>
        <v>P</v>
      </c>
      <c r="D49" s="59" t="str">
        <f>IF($C49="B",INDEX(Batters[[#All],[POS]],MATCH(Table5[[#This Row],[PID]],Batters[[#All],[PID]],0)),INDEX(Table3[[#All],[POS]],MATCH(Table5[[#This Row],[PID]],Table3[[#All],[PID]],0)))</f>
        <v>RP</v>
      </c>
      <c r="E49" s="52" t="str">
        <f>IF($C49="B",INDEX(Batters[[#All],[First]],MATCH(Table5[[#This Row],[PID]],Batters[[#All],[PID]],0)),INDEX(Table3[[#All],[First]],MATCH(Table5[[#This Row],[PID]],Table3[[#All],[PID]],0)))</f>
        <v>Gerald</v>
      </c>
      <c r="F49" s="50" t="str">
        <f>IF($C49="B",INDEX(Batters[[#All],[Last]],MATCH(A49,Batters[[#All],[PID]],0)),INDEX(Table3[[#All],[Last]],MATCH(A49,Table3[[#All],[PID]],0)))</f>
        <v>Smith</v>
      </c>
      <c r="G49" s="56">
        <f>IF($C49="B",INDEX(Batters[[#All],[Age]],MATCH(Table5[[#This Row],[PID]],Batters[[#All],[PID]],0)),INDEX(Table3[[#All],[Age]],MATCH(Table5[[#This Row],[PID]],Table3[[#All],[PID]],0)))</f>
        <v>22</v>
      </c>
      <c r="H49" s="52" t="str">
        <f>IF($C49="B",INDEX(Batters[[#All],[B]],MATCH(Table5[[#This Row],[PID]],Batters[[#All],[PID]],0)),INDEX(Table3[[#All],[B]],MATCH(Table5[[#This Row],[PID]],Table3[[#All],[PID]],0)))</f>
        <v>R</v>
      </c>
      <c r="I49" s="52" t="str">
        <f>IF($C49="B",INDEX(Batters[[#All],[T]],MATCH(Table5[[#This Row],[PID]],Batters[[#All],[PID]],0)),INDEX(Table3[[#All],[T]],MATCH(Table5[[#This Row],[PID]],Table3[[#All],[PID]],0)))</f>
        <v>R</v>
      </c>
      <c r="J49" s="52" t="str">
        <f>IF($C49="B",INDEX(Batters[[#All],[WE]],MATCH(Table5[[#This Row],[PID]],Batters[[#All],[PID]],0)),INDEX(Table3[[#All],[WE]],MATCH(Table5[[#This Row],[PID]],Table3[[#All],[PID]],0)))</f>
        <v>Normal</v>
      </c>
      <c r="K49" s="52" t="str">
        <f>IF($C49="B",INDEX(Batters[[#All],[INT]],MATCH(Table5[[#This Row],[PID]],Batters[[#All],[PID]],0)),INDEX(Table3[[#All],[INT]],MATCH(Table5[[#This Row],[PID]],Table3[[#All],[PID]],0)))</f>
        <v>High</v>
      </c>
      <c r="L49" s="60">
        <f>IF($C49="B",INDEX(Batters[[#All],[CON P]],MATCH(Table5[[#This Row],[PID]],Batters[[#All],[PID]],0)),INDEX(Table3[[#All],[STU P]],MATCH(Table5[[#This Row],[PID]],Table3[[#All],[PID]],0)))</f>
        <v>6</v>
      </c>
      <c r="M49" s="56">
        <f>IF($C49="B",INDEX(Batters[[#All],[GAP P]],MATCH(Table5[[#This Row],[PID]],Batters[[#All],[PID]],0)),INDEX(Table3[[#All],[MOV P]],MATCH(Table5[[#This Row],[PID]],Table3[[#All],[PID]],0)))</f>
        <v>7</v>
      </c>
      <c r="N49" s="56">
        <f>IF($C49="B",INDEX(Batters[[#All],[POW P]],MATCH(Table5[[#This Row],[PID]],Batters[[#All],[PID]],0)),INDEX(Table3[[#All],[CON P]],MATCH(Table5[[#This Row],[PID]],Table3[[#All],[PID]],0)))</f>
        <v>5</v>
      </c>
      <c r="O49" s="56" t="str">
        <f>IF($C49="B",INDEX(Batters[[#All],[EYE P]],MATCH(Table5[[#This Row],[PID]],Batters[[#All],[PID]],0)),INDEX(Table3[[#All],[VELO]],MATCH(Table5[[#This Row],[PID]],Table3[[#All],[PID]],0)))</f>
        <v>94-96 Mph</v>
      </c>
      <c r="P49" s="56">
        <f>IF($C49="B",INDEX(Batters[[#All],[K P]],MATCH(Table5[[#This Row],[PID]],Batters[[#All],[PID]],0)),INDEX(Table3[[#All],[STM]],MATCH(Table5[[#This Row],[PID]],Table3[[#All],[PID]],0)))</f>
        <v>2</v>
      </c>
      <c r="Q49" s="61">
        <f>IF($C49="B",INDEX(Batters[[#All],[Tot]],MATCH(Table5[[#This Row],[PID]],Batters[[#All],[PID]],0)),INDEX(Table3[[#All],[Tot]],MATCH(Table5[[#This Row],[PID]],Table3[[#All],[PID]],0)))</f>
        <v>65.812092069549863</v>
      </c>
      <c r="R49" s="52">
        <f>IF($C49="B",INDEX(Batters[[#All],[zScore]],MATCH(Table5[[#This Row],[PID]],Batters[[#All],[PID]],0)),INDEX(Table3[[#All],[zScore]],MATCH(Table5[[#This Row],[PID]],Table3[[#All],[PID]],0)))</f>
        <v>1.9919666337745106</v>
      </c>
      <c r="S49" s="58" t="str">
        <f>IF($C49="B",INDEX(Batters[[#All],[DEM]],MATCH(Table5[[#This Row],[PID]],Batters[[#All],[PID]],0)),INDEX(Table3[[#All],[DEM]],MATCH(Table5[[#This Row],[PID]],Table3[[#All],[PID]],0)))</f>
        <v>$20k</v>
      </c>
      <c r="T49" s="62">
        <f>IF($C49="B",INDEX(Batters[[#All],[Rnk]],MATCH(Table5[[#This Row],[PID]],Batters[[#All],[PID]],0)),INDEX(Table3[[#All],[Rnk]],MATCH(Table5[[#This Row],[PID]],Table3[[#All],[PID]],0)))</f>
        <v>27</v>
      </c>
      <c r="U49" s="68">
        <f>IF($C49="B",VLOOKUP($A49,Bat!$A$4:$BA$1621,47,FALSE),VLOOKUP($A49,Pit!$A$4:$BF$1557,56,FALSE))</f>
        <v>0</v>
      </c>
      <c r="V49" s="50">
        <f>IF($C49="B",VLOOKUP($A49,Bat!$A$4:$BA$1621,48,FALSE),VLOOKUP($A49,Pit!$A$4:$BF$1557,57,FALSE))</f>
        <v>0</v>
      </c>
      <c r="W49" s="50">
        <f>Table5[[#This Row],[posRnk]]+Table5[[#This Row],[zRnk]]+IF($W$3&lt;&gt;Table5[[#This Row],[Type]],50,0)</f>
        <v>121</v>
      </c>
      <c r="X49" s="51">
        <f>RANK(Table5[[#This Row],[zScore]],Table5[[#All],[zScore]])</f>
        <v>44</v>
      </c>
      <c r="Y49" s="50">
        <f>IFERROR(INDEX(DraftResults[[#All],[OVR]],MATCH(Table5[[#This Row],[PID]],DraftResults[[#All],[Player ID]],0)),"")</f>
        <v>45</v>
      </c>
      <c r="Z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49" s="50">
        <f>IFERROR(INDEX(DraftResults[[#All],[Pick in Round]],MATCH(Table5[[#This Row],[PID]],DraftResults[[#All],[Player ID]],0)),"")</f>
        <v>10</v>
      </c>
      <c r="AB49" s="50" t="str">
        <f>IFERROR(INDEX(DraftResults[[#All],[Team Name]],MATCH(Table5[[#This Row],[PID]],DraftResults[[#All],[Player ID]],0)),"")</f>
        <v>London Underground</v>
      </c>
      <c r="AC49" s="50">
        <f>IF(Table5[[#This Row],[Ovr]]="","",IF(Table5[[#This Row],[cmbList]]="","",Table5[[#This Row],[cmbList]]-Table5[[#This Row],[Ovr]]))</f>
        <v>76</v>
      </c>
      <c r="AD49" s="54" t="str">
        <f>IF(ISERROR(VLOOKUP($AB49&amp;"-"&amp;$E49&amp;" "&amp;F49,Bonuses!$B$1:$G$1006,4,FALSE)),"",INT(VLOOKUP($AB49&amp;"-"&amp;$E49&amp;" "&amp;$F49,Bonuses!$B$1:$G$1006,4,FALSE)))</f>
        <v/>
      </c>
      <c r="AE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2.10 (45) - RP Gerald Smith</v>
      </c>
    </row>
    <row r="50" spans="1:31" s="50" customFormat="1" x14ac:dyDescent="0.25">
      <c r="A50" s="68">
        <v>18226</v>
      </c>
      <c r="B50" s="69">
        <f>COUNTIF(Table5[PID],A50)</f>
        <v>1</v>
      </c>
      <c r="C50" s="69" t="str">
        <f>IF(COUNTIF(Table3[[#All],[PID]],A50)&gt;0,"P","B")</f>
        <v>P</v>
      </c>
      <c r="D50" s="59" t="str">
        <f>IF($C50="B",INDEX(Batters[[#All],[POS]],MATCH(Table5[[#This Row],[PID]],Batters[[#All],[PID]],0)),INDEX(Table3[[#All],[POS]],MATCH(Table5[[#This Row],[PID]],Table3[[#All],[PID]],0)))</f>
        <v>SP</v>
      </c>
      <c r="E50" s="52" t="str">
        <f>IF($C50="B",INDEX(Batters[[#All],[First]],MATCH(Table5[[#This Row],[PID]],Batters[[#All],[PID]],0)),INDEX(Table3[[#All],[First]],MATCH(Table5[[#This Row],[PID]],Table3[[#All],[PID]],0)))</f>
        <v>Craig</v>
      </c>
      <c r="F50" s="55" t="str">
        <f>IF($C50="B",INDEX(Batters[[#All],[Last]],MATCH(A50,Batters[[#All],[PID]],0)),INDEX(Table3[[#All],[Last]],MATCH(A50,Table3[[#All],[PID]],0)))</f>
        <v>Keen</v>
      </c>
      <c r="G50" s="56">
        <f>IF($C50="B",INDEX(Batters[[#All],[Age]],MATCH(Table5[[#This Row],[PID]],Batters[[#All],[PID]],0)),INDEX(Table3[[#All],[Age]],MATCH(Table5[[#This Row],[PID]],Table3[[#All],[PID]],0)))</f>
        <v>18</v>
      </c>
      <c r="H50" s="52" t="str">
        <f>IF($C50="B",INDEX(Batters[[#All],[B]],MATCH(Table5[[#This Row],[PID]],Batters[[#All],[PID]],0)),INDEX(Table3[[#All],[B]],MATCH(Table5[[#This Row],[PID]],Table3[[#All],[PID]],0)))</f>
        <v>L</v>
      </c>
      <c r="I50" s="52" t="str">
        <f>IF($C50="B",INDEX(Batters[[#All],[T]],MATCH(Table5[[#This Row],[PID]],Batters[[#All],[PID]],0)),INDEX(Table3[[#All],[T]],MATCH(Table5[[#This Row],[PID]],Table3[[#All],[PID]],0)))</f>
        <v>L</v>
      </c>
      <c r="J50" s="71" t="str">
        <f>IF($C50="B",INDEX(Batters[[#All],[WE]],MATCH(Table5[[#This Row],[PID]],Batters[[#All],[PID]],0)),INDEX(Table3[[#All],[WE]],MATCH(Table5[[#This Row],[PID]],Table3[[#All],[PID]],0)))</f>
        <v>High</v>
      </c>
      <c r="K50" s="52" t="str">
        <f>IF($C50="B",INDEX(Batters[[#All],[INT]],MATCH(Table5[[#This Row],[PID]],Batters[[#All],[PID]],0)),INDEX(Table3[[#All],[INT]],MATCH(Table5[[#This Row],[PID]],Table3[[#All],[PID]],0)))</f>
        <v>High</v>
      </c>
      <c r="L50" s="60">
        <f>IF($C50="B",INDEX(Batters[[#All],[CON P]],MATCH(Table5[[#This Row],[PID]],Batters[[#All],[PID]],0)),INDEX(Table3[[#All],[STU P]],MATCH(Table5[[#This Row],[PID]],Table3[[#All],[PID]],0)))</f>
        <v>5</v>
      </c>
      <c r="M50" s="72">
        <f>IF($C50="B",INDEX(Batters[[#All],[GAP P]],MATCH(Table5[[#This Row],[PID]],Batters[[#All],[PID]],0)),INDEX(Table3[[#All],[MOV P]],MATCH(Table5[[#This Row],[PID]],Table3[[#All],[PID]],0)))</f>
        <v>5</v>
      </c>
      <c r="N50" s="72">
        <f>IF($C50="B",INDEX(Batters[[#All],[POW P]],MATCH(Table5[[#This Row],[PID]],Batters[[#All],[PID]],0)),INDEX(Table3[[#All],[CON P]],MATCH(Table5[[#This Row],[PID]],Table3[[#All],[PID]],0)))</f>
        <v>6</v>
      </c>
      <c r="O50" s="72" t="str">
        <f>IF($C50="B",INDEX(Batters[[#All],[EYE P]],MATCH(Table5[[#This Row],[PID]],Batters[[#All],[PID]],0)),INDEX(Table3[[#All],[VELO]],MATCH(Table5[[#This Row],[PID]],Table3[[#All],[PID]],0)))</f>
        <v>89-91 Mph</v>
      </c>
      <c r="P50" s="56">
        <f>IF($C50="B",INDEX(Batters[[#All],[K P]],MATCH(Table5[[#This Row],[PID]],Batters[[#All],[PID]],0)),INDEX(Table3[[#All],[STM]],MATCH(Table5[[#This Row],[PID]],Table3[[#All],[PID]],0)))</f>
        <v>6</v>
      </c>
      <c r="Q50" s="61">
        <f>IF($C50="B",INDEX(Batters[[#All],[Tot]],MATCH(Table5[[#This Row],[PID]],Batters[[#All],[PID]],0)),INDEX(Table3[[#All],[Tot]],MATCH(Table5[[#This Row],[PID]],Table3[[#All],[PID]],0)))</f>
        <v>67.29412714084053</v>
      </c>
      <c r="R50" s="52">
        <f>IF($C50="B",INDEX(Batters[[#All],[zScore]],MATCH(Table5[[#This Row],[PID]],Batters[[#All],[PID]],0)),INDEX(Table3[[#All],[zScore]],MATCH(Table5[[#This Row],[PID]],Table3[[#All],[PID]],0)))</f>
        <v>2.0905641623565816</v>
      </c>
      <c r="S50" s="78" t="str">
        <f>IF($C50="B",INDEX(Batters[[#All],[DEM]],MATCH(Table5[[#This Row],[PID]],Batters[[#All],[PID]],0)),INDEX(Table3[[#All],[DEM]],MATCH(Table5[[#This Row],[PID]],Table3[[#All],[PID]],0)))</f>
        <v>$1.9m</v>
      </c>
      <c r="T50" s="75">
        <f>IF($C50="B",INDEX(Batters[[#All],[Rnk]],MATCH(Table5[[#This Row],[PID]],Batters[[#All],[PID]],0)),INDEX(Table3[[#All],[Rnk]],MATCH(Table5[[#This Row],[PID]],Table3[[#All],[PID]],0)))</f>
        <v>22</v>
      </c>
      <c r="U50" s="68">
        <f>IF($C50="B",VLOOKUP($A50,Bat!$A$4:$BA$1621,47,FALSE),VLOOKUP($A50,Pit!$A$4:$BF$1557,56,FALSE))</f>
        <v>0</v>
      </c>
      <c r="V50" s="50">
        <f>IF($C50="B",VLOOKUP($A50,Bat!$A$4:$BA$1621,48,FALSE),VLOOKUP($A50,Pit!$A$4:$BF$1557,57,FALSE))</f>
        <v>0</v>
      </c>
      <c r="W50" s="69">
        <f>Table5[[#This Row],[posRnk]]+Table5[[#This Row],[zRnk]]+IF($W$3&lt;&gt;Table5[[#This Row],[Type]],50,0)</f>
        <v>110</v>
      </c>
      <c r="X50" s="73">
        <f>RANK(Table5[[#This Row],[zScore]],Table5[[#All],[zScore]])</f>
        <v>38</v>
      </c>
      <c r="Y50" s="69">
        <f>IFERROR(INDEX(DraftResults[[#All],[OVR]],MATCH(Table5[[#This Row],[PID]],DraftResults[[#All],[Player ID]],0)),"")</f>
        <v>46</v>
      </c>
      <c r="Z5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0" s="69">
        <f>IFERROR(INDEX(DraftResults[[#All],[Pick in Round]],MATCH(Table5[[#This Row],[PID]],DraftResults[[#All],[Player ID]],0)),"")</f>
        <v>11</v>
      </c>
      <c r="AB50" s="69" t="str">
        <f>IFERROR(INDEX(DraftResults[[#All],[Team Name]],MATCH(Table5[[#This Row],[PID]],DraftResults[[#All],[Player ID]],0)),"")</f>
        <v>Scottish Claymores</v>
      </c>
      <c r="AC50" s="69">
        <f>IF(Table5[[#This Row],[Ovr]]="","",IF(Table5[[#This Row],[cmbList]]="","",Table5[[#This Row],[cmbList]]-Table5[[#This Row],[Ovr]]))</f>
        <v>64</v>
      </c>
      <c r="AD50" s="77" t="str">
        <f>IF(ISERROR(VLOOKUP($AB50&amp;"-"&amp;$E50&amp;" "&amp;F50,Bonuses!$B$1:$G$1006,4,FALSE)),"",INT(VLOOKUP($AB50&amp;"-"&amp;$E50&amp;" "&amp;$F50,Bonuses!$B$1:$G$1006,4,FALSE)))</f>
        <v/>
      </c>
      <c r="AE5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2.11 (46) - SP Craig Keen</v>
      </c>
    </row>
    <row r="51" spans="1:31" s="50" customFormat="1" x14ac:dyDescent="0.25">
      <c r="A51" s="68">
        <v>18442</v>
      </c>
      <c r="B51" s="69">
        <f>COUNTIF(Table5[PID],A51)</f>
        <v>1</v>
      </c>
      <c r="C51" s="69" t="str">
        <f>IF(COUNTIF(Table3[[#All],[PID]],A51)&gt;0,"P","B")</f>
        <v>P</v>
      </c>
      <c r="D51" s="59" t="str">
        <f>IF($C51="B",INDEX(Batters[[#All],[POS]],MATCH(Table5[[#This Row],[PID]],Batters[[#All],[PID]],0)),INDEX(Table3[[#All],[POS]],MATCH(Table5[[#This Row],[PID]],Table3[[#All],[PID]],0)))</f>
        <v>SP</v>
      </c>
      <c r="E51" s="52" t="str">
        <f>IF($C51="B",INDEX(Batters[[#All],[First]],MATCH(Table5[[#This Row],[PID]],Batters[[#All],[PID]],0)),INDEX(Table3[[#All],[First]],MATCH(Table5[[#This Row],[PID]],Table3[[#All],[PID]],0)))</f>
        <v>Isaac</v>
      </c>
      <c r="F51" s="55" t="str">
        <f>IF($C51="B",INDEX(Batters[[#All],[Last]],MATCH(A51,Batters[[#All],[PID]],0)),INDEX(Table3[[#All],[Last]],MATCH(A51,Table3[[#All],[PID]],0)))</f>
        <v>Kennedy</v>
      </c>
      <c r="G51" s="56">
        <f>IF($C51="B",INDEX(Batters[[#All],[Age]],MATCH(Table5[[#This Row],[PID]],Batters[[#All],[PID]],0)),INDEX(Table3[[#All],[Age]],MATCH(Table5[[#This Row],[PID]],Table3[[#All],[PID]],0)))</f>
        <v>18</v>
      </c>
      <c r="H51" s="52" t="str">
        <f>IF($C51="B",INDEX(Batters[[#All],[B]],MATCH(Table5[[#This Row],[PID]],Batters[[#All],[PID]],0)),INDEX(Table3[[#All],[B]],MATCH(Table5[[#This Row],[PID]],Table3[[#All],[PID]],0)))</f>
        <v>R</v>
      </c>
      <c r="I51" s="52" t="str">
        <f>IF($C51="B",INDEX(Batters[[#All],[T]],MATCH(Table5[[#This Row],[PID]],Batters[[#All],[PID]],0)),INDEX(Table3[[#All],[T]],MATCH(Table5[[#This Row],[PID]],Table3[[#All],[PID]],0)))</f>
        <v>R</v>
      </c>
      <c r="J51" s="71" t="str">
        <f>IF($C51="B",INDEX(Batters[[#All],[WE]],MATCH(Table5[[#This Row],[PID]],Batters[[#All],[PID]],0)),INDEX(Table3[[#All],[WE]],MATCH(Table5[[#This Row],[PID]],Table3[[#All],[PID]],0)))</f>
        <v>Low</v>
      </c>
      <c r="K51" s="52" t="str">
        <f>IF($C51="B",INDEX(Batters[[#All],[INT]],MATCH(Table5[[#This Row],[PID]],Batters[[#All],[PID]],0)),INDEX(Table3[[#All],[INT]],MATCH(Table5[[#This Row],[PID]],Table3[[#All],[PID]],0)))</f>
        <v>Normal</v>
      </c>
      <c r="L51" s="60">
        <f>IF($C51="B",INDEX(Batters[[#All],[CON P]],MATCH(Table5[[#This Row],[PID]],Batters[[#All],[PID]],0)),INDEX(Table3[[#All],[STU P]],MATCH(Table5[[#This Row],[PID]],Table3[[#All],[PID]],0)))</f>
        <v>5</v>
      </c>
      <c r="M51" s="72">
        <f>IF($C51="B",INDEX(Batters[[#All],[GAP P]],MATCH(Table5[[#This Row],[PID]],Batters[[#All],[PID]],0)),INDEX(Table3[[#All],[MOV P]],MATCH(Table5[[#This Row],[PID]],Table3[[#All],[PID]],0)))</f>
        <v>5</v>
      </c>
      <c r="N51" s="72">
        <f>IF($C51="B",INDEX(Batters[[#All],[POW P]],MATCH(Table5[[#This Row],[PID]],Batters[[#All],[PID]],0)),INDEX(Table3[[#All],[CON P]],MATCH(Table5[[#This Row],[PID]],Table3[[#All],[PID]],0)))</f>
        <v>6</v>
      </c>
      <c r="O51" s="72" t="str">
        <f>IF($C51="B",INDEX(Batters[[#All],[EYE P]],MATCH(Table5[[#This Row],[PID]],Batters[[#All],[PID]],0)),INDEX(Table3[[#All],[VELO]],MATCH(Table5[[#This Row],[PID]],Table3[[#All],[PID]],0)))</f>
        <v>89-91 Mph</v>
      </c>
      <c r="P51" s="56">
        <f>IF($C51="B",INDEX(Batters[[#All],[K P]],MATCH(Table5[[#This Row],[PID]],Batters[[#All],[PID]],0)),INDEX(Table3[[#All],[STM]],MATCH(Table5[[#This Row],[PID]],Table3[[#All],[PID]],0)))</f>
        <v>9</v>
      </c>
      <c r="Q51" s="61">
        <f>IF($C51="B",INDEX(Batters[[#All],[Tot]],MATCH(Table5[[#This Row],[PID]],Batters[[#All],[PID]],0)),INDEX(Table3[[#All],[Tot]],MATCH(Table5[[#This Row],[PID]],Table3[[#All],[PID]],0)))</f>
        <v>67.217827858052956</v>
      </c>
      <c r="R51" s="52">
        <f>IF($C51="B",INDEX(Batters[[#All],[zScore]],MATCH(Table5[[#This Row],[PID]],Batters[[#All],[PID]],0)),INDEX(Table3[[#All],[zScore]],MATCH(Table5[[#This Row],[PID]],Table3[[#All],[PID]],0)))</f>
        <v>2.0854880876663331</v>
      </c>
      <c r="S51" s="78" t="str">
        <f>IF($C51="B",INDEX(Batters[[#All],[DEM]],MATCH(Table5[[#This Row],[PID]],Batters[[#All],[PID]],0)),INDEX(Table3[[#All],[DEM]],MATCH(Table5[[#This Row],[PID]],Table3[[#All],[PID]],0)))</f>
        <v>$2.8m</v>
      </c>
      <c r="T51" s="75">
        <f>IF($C51="B",INDEX(Batters[[#All],[Rnk]],MATCH(Table5[[#This Row],[PID]],Batters[[#All],[PID]],0)),INDEX(Table3[[#All],[Rnk]],MATCH(Table5[[#This Row],[PID]],Table3[[#All],[PID]],0)))</f>
        <v>23</v>
      </c>
      <c r="U51" s="68">
        <f>IF($C51="B",VLOOKUP($A51,Bat!$A$4:$BA$1621,47,FALSE),VLOOKUP($A51,Pit!$A$4:$BF$1557,56,FALSE))</f>
        <v>0</v>
      </c>
      <c r="V51" s="50">
        <f>IF($C51="B",VLOOKUP($A51,Bat!$A$4:$BA$1621,48,FALSE),VLOOKUP($A51,Pit!$A$4:$BF$1557,57,FALSE))</f>
        <v>0</v>
      </c>
      <c r="W51" s="69">
        <f>Table5[[#This Row],[posRnk]]+Table5[[#This Row],[zRnk]]+IF($W$3&lt;&gt;Table5[[#This Row],[Type]],50,0)</f>
        <v>112</v>
      </c>
      <c r="X51" s="73">
        <f>RANK(Table5[[#This Row],[zScore]],Table5[[#All],[zScore]])</f>
        <v>39</v>
      </c>
      <c r="Y51" s="69">
        <f>IFERROR(INDEX(DraftResults[[#All],[OVR]],MATCH(Table5[[#This Row],[PID]],DraftResults[[#All],[Player ID]],0)),"")</f>
        <v>47</v>
      </c>
      <c r="Z5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1" s="69">
        <f>IFERROR(INDEX(DraftResults[[#All],[Pick in Round]],MATCH(Table5[[#This Row],[PID]],DraftResults[[#All],[Player ID]],0)),"")</f>
        <v>12</v>
      </c>
      <c r="AB51" s="69" t="str">
        <f>IFERROR(INDEX(DraftResults[[#All],[Team Name]],MATCH(Table5[[#This Row],[PID]],DraftResults[[#All],[Player ID]],0)),"")</f>
        <v>Hartford Harpoon</v>
      </c>
      <c r="AC51" s="69">
        <f>IF(Table5[[#This Row],[Ovr]]="","",IF(Table5[[#This Row],[cmbList]]="","",Table5[[#This Row],[cmbList]]-Table5[[#This Row],[Ovr]]))</f>
        <v>65</v>
      </c>
      <c r="AD51" s="77" t="str">
        <f>IF(ISERROR(VLOOKUP($AB51&amp;"-"&amp;$E51&amp;" "&amp;F51,Bonuses!$B$1:$G$1006,4,FALSE)),"",INT(VLOOKUP($AB51&amp;"-"&amp;$E51&amp;" "&amp;$F51,Bonuses!$B$1:$G$1006,4,FALSE)))</f>
        <v/>
      </c>
      <c r="AE5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2.12 (47) - SP Isaac Kennedy</v>
      </c>
    </row>
    <row r="52" spans="1:31" s="50" customFormat="1" x14ac:dyDescent="0.25">
      <c r="A52" s="68">
        <v>18200</v>
      </c>
      <c r="B52" s="69">
        <f>COUNTIF(Table5[PID],A52)</f>
        <v>1</v>
      </c>
      <c r="C52" s="69" t="str">
        <f>IF(COUNTIF(Table3[[#All],[PID]],A52)&gt;0,"P","B")</f>
        <v>P</v>
      </c>
      <c r="D52" s="59" t="str">
        <f>IF($C52="B",INDEX(Batters[[#All],[POS]],MATCH(Table5[[#This Row],[PID]],Batters[[#All],[PID]],0)),INDEX(Table3[[#All],[POS]],MATCH(Table5[[#This Row],[PID]],Table3[[#All],[PID]],0)))</f>
        <v>SP</v>
      </c>
      <c r="E52" s="52" t="str">
        <f>IF($C52="B",INDEX(Batters[[#All],[First]],MATCH(Table5[[#This Row],[PID]],Batters[[#All],[PID]],0)),INDEX(Table3[[#All],[First]],MATCH(Table5[[#This Row],[PID]],Table3[[#All],[PID]],0)))</f>
        <v>Jorge</v>
      </c>
      <c r="F52" s="55" t="str">
        <f>IF($C52="B",INDEX(Batters[[#All],[Last]],MATCH(A52,Batters[[#All],[PID]],0)),INDEX(Table3[[#All],[Last]],MATCH(A52,Table3[[#All],[PID]],0)))</f>
        <v>Rodríguez</v>
      </c>
      <c r="G52" s="56">
        <f>IF($C52="B",INDEX(Batters[[#All],[Age]],MATCH(Table5[[#This Row],[PID]],Batters[[#All],[PID]],0)),INDEX(Table3[[#All],[Age]],MATCH(Table5[[#This Row],[PID]],Table3[[#All],[PID]],0)))</f>
        <v>18</v>
      </c>
      <c r="H52" s="52" t="str">
        <f>IF($C52="B",INDEX(Batters[[#All],[B]],MATCH(Table5[[#This Row],[PID]],Batters[[#All],[PID]],0)),INDEX(Table3[[#All],[B]],MATCH(Table5[[#This Row],[PID]],Table3[[#All],[PID]],0)))</f>
        <v>R</v>
      </c>
      <c r="I52" s="52" t="str">
        <f>IF($C52="B",INDEX(Batters[[#All],[T]],MATCH(Table5[[#This Row],[PID]],Batters[[#All],[PID]],0)),INDEX(Table3[[#All],[T]],MATCH(Table5[[#This Row],[PID]],Table3[[#All],[PID]],0)))</f>
        <v>R</v>
      </c>
      <c r="J52" s="71" t="str">
        <f>IF($C52="B",INDEX(Batters[[#All],[WE]],MATCH(Table5[[#This Row],[PID]],Batters[[#All],[PID]],0)),INDEX(Table3[[#All],[WE]],MATCH(Table5[[#This Row],[PID]],Table3[[#All],[PID]],0)))</f>
        <v>High</v>
      </c>
      <c r="K52" s="52" t="str">
        <f>IF($C52="B",INDEX(Batters[[#All],[INT]],MATCH(Table5[[#This Row],[PID]],Batters[[#All],[PID]],0)),INDEX(Table3[[#All],[INT]],MATCH(Table5[[#This Row],[PID]],Table3[[#All],[PID]],0)))</f>
        <v>Normal</v>
      </c>
      <c r="L52" s="60">
        <f>IF($C52="B",INDEX(Batters[[#All],[CON P]],MATCH(Table5[[#This Row],[PID]],Batters[[#All],[PID]],0)),INDEX(Table3[[#All],[STU P]],MATCH(Table5[[#This Row],[PID]],Table3[[#All],[PID]],0)))</f>
        <v>8</v>
      </c>
      <c r="M52" s="72">
        <f>IF($C52="B",INDEX(Batters[[#All],[GAP P]],MATCH(Table5[[#This Row],[PID]],Batters[[#All],[PID]],0)),INDEX(Table3[[#All],[MOV P]],MATCH(Table5[[#This Row],[PID]],Table3[[#All],[PID]],0)))</f>
        <v>5</v>
      </c>
      <c r="N52" s="72">
        <f>IF($C52="B",INDEX(Batters[[#All],[POW P]],MATCH(Table5[[#This Row],[PID]],Batters[[#All],[PID]],0)),INDEX(Table3[[#All],[CON P]],MATCH(Table5[[#This Row],[PID]],Table3[[#All],[PID]],0)))</f>
        <v>2</v>
      </c>
      <c r="O52" s="72" t="str">
        <f>IF($C52="B",INDEX(Batters[[#All],[EYE P]],MATCH(Table5[[#This Row],[PID]],Batters[[#All],[PID]],0)),INDEX(Table3[[#All],[VELO]],MATCH(Table5[[#This Row],[PID]],Table3[[#All],[PID]],0)))</f>
        <v>98-100 Mph</v>
      </c>
      <c r="P52" s="56">
        <f>IF($C52="B",INDEX(Batters[[#All],[K P]],MATCH(Table5[[#This Row],[PID]],Batters[[#All],[PID]],0)),INDEX(Table3[[#All],[STM]],MATCH(Table5[[#This Row],[PID]],Table3[[#All],[PID]],0)))</f>
        <v>4</v>
      </c>
      <c r="Q52" s="61">
        <f>IF($C52="B",INDEX(Batters[[#All],[Tot]],MATCH(Table5[[#This Row],[PID]],Batters[[#All],[PID]],0)),INDEX(Table3[[#All],[Tot]],MATCH(Table5[[#This Row],[PID]],Table3[[#All],[PID]],0)))</f>
        <v>58.167574020575259</v>
      </c>
      <c r="R52" s="52">
        <f>IF($C52="B",INDEX(Batters[[#All],[zScore]],MATCH(Table5[[#This Row],[PID]],Batters[[#All],[PID]],0)),INDEX(Table3[[#All],[zScore]],MATCH(Table5[[#This Row],[PID]],Table3[[#All],[PID]],0)))</f>
        <v>1.4833885296318545</v>
      </c>
      <c r="S52" s="78" t="str">
        <f>IF($C52="B",INDEX(Batters[[#All],[DEM]],MATCH(Table5[[#This Row],[PID]],Batters[[#All],[PID]],0)),INDEX(Table3[[#All],[DEM]],MATCH(Table5[[#This Row],[PID]],Table3[[#All],[PID]],0)))</f>
        <v>$2.8m</v>
      </c>
      <c r="T52" s="75">
        <f>IF($C52="B",INDEX(Batters[[#All],[Rnk]],MATCH(Table5[[#This Row],[PID]],Batters[[#All],[PID]],0)),INDEX(Table3[[#All],[Rnk]],MATCH(Table5[[#This Row],[PID]],Table3[[#All],[PID]],0)))</f>
        <v>76</v>
      </c>
      <c r="U52" s="68">
        <f>IF($C52="B",VLOOKUP($A52,Bat!$A$4:$BA$1621,47,FALSE),VLOOKUP($A52,Pit!$A$4:$BF$1557,56,FALSE))</f>
        <v>0</v>
      </c>
      <c r="V52" s="50">
        <f>IF($C52="B",VLOOKUP($A52,Bat!$A$4:$BA$1621,48,FALSE),VLOOKUP($A52,Pit!$A$4:$BF$1557,57,FALSE))</f>
        <v>0</v>
      </c>
      <c r="W52" s="69">
        <f>Table5[[#This Row],[posRnk]]+Table5[[#This Row],[zRnk]]+IF($W$3&lt;&gt;Table5[[#This Row],[Type]],50,0)</f>
        <v>250</v>
      </c>
      <c r="X52" s="73">
        <f>RANK(Table5[[#This Row],[zScore]],Table5[[#All],[zScore]])</f>
        <v>124</v>
      </c>
      <c r="Y52" s="69">
        <f>IFERROR(INDEX(DraftResults[[#All],[OVR]],MATCH(Table5[[#This Row],[PID]],DraftResults[[#All],[Player ID]],0)),"")</f>
        <v>48</v>
      </c>
      <c r="Z5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2" s="69">
        <f>IFERROR(INDEX(DraftResults[[#All],[Pick in Round]],MATCH(Table5[[#This Row],[PID]],DraftResults[[#All],[Player ID]],0)),"")</f>
        <v>13</v>
      </c>
      <c r="AB52" s="69" t="str">
        <f>IFERROR(INDEX(DraftResults[[#All],[Team Name]],MATCH(Table5[[#This Row],[PID]],DraftResults[[#All],[Player ID]],0)),"")</f>
        <v>Duluth Warriors</v>
      </c>
      <c r="AC52" s="69">
        <f>IF(Table5[[#This Row],[Ovr]]="","",IF(Table5[[#This Row],[cmbList]]="","",Table5[[#This Row],[cmbList]]-Table5[[#This Row],[Ovr]]))</f>
        <v>202</v>
      </c>
      <c r="AD52" s="77" t="str">
        <f>IF(ISERROR(VLOOKUP($AB52&amp;"-"&amp;$E52&amp;" "&amp;F52,Bonuses!$B$1:$G$1006,4,FALSE)),"",INT(VLOOKUP($AB52&amp;"-"&amp;$E52&amp;" "&amp;$F52,Bonuses!$B$1:$G$1006,4,FALSE)))</f>
        <v/>
      </c>
      <c r="AE5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2.13 (48) - SP Jorge Rodríguez</v>
      </c>
    </row>
    <row r="53" spans="1:31" s="50" customFormat="1" x14ac:dyDescent="0.25">
      <c r="A53" s="68">
        <v>18423</v>
      </c>
      <c r="B53" s="69">
        <f>COUNTIF(Table5[PID],A53)</f>
        <v>1</v>
      </c>
      <c r="C53" s="69" t="str">
        <f>IF(COUNTIF(Table3[[#All],[PID]],A53)&gt;0,"P","B")</f>
        <v>P</v>
      </c>
      <c r="D53" s="59" t="str">
        <f>IF($C53="B",INDEX(Batters[[#All],[POS]],MATCH(Table5[[#This Row],[PID]],Batters[[#All],[PID]],0)),INDEX(Table3[[#All],[POS]],MATCH(Table5[[#This Row],[PID]],Table3[[#All],[PID]],0)))</f>
        <v>SP</v>
      </c>
      <c r="E53" s="52" t="str">
        <f>IF($C53="B",INDEX(Batters[[#All],[First]],MATCH(Table5[[#This Row],[PID]],Batters[[#All],[PID]],0)),INDEX(Table3[[#All],[First]],MATCH(Table5[[#This Row],[PID]],Table3[[#All],[PID]],0)))</f>
        <v>Nathan</v>
      </c>
      <c r="F53" s="55" t="str">
        <f>IF($C53="B",INDEX(Batters[[#All],[Last]],MATCH(A53,Batters[[#All],[PID]],0)),INDEX(Table3[[#All],[Last]],MATCH(A53,Table3[[#All],[PID]],0)))</f>
        <v>Comyn</v>
      </c>
      <c r="G53" s="56">
        <f>IF($C53="B",INDEX(Batters[[#All],[Age]],MATCH(Table5[[#This Row],[PID]],Batters[[#All],[PID]],0)),INDEX(Table3[[#All],[Age]],MATCH(Table5[[#This Row],[PID]],Table3[[#All],[PID]],0)))</f>
        <v>18</v>
      </c>
      <c r="H53" s="52" t="str">
        <f>IF($C53="B",INDEX(Batters[[#All],[B]],MATCH(Table5[[#This Row],[PID]],Batters[[#All],[PID]],0)),INDEX(Table3[[#All],[B]],MATCH(Table5[[#This Row],[PID]],Table3[[#All],[PID]],0)))</f>
        <v>L</v>
      </c>
      <c r="I53" s="52" t="str">
        <f>IF($C53="B",INDEX(Batters[[#All],[T]],MATCH(Table5[[#This Row],[PID]],Batters[[#All],[PID]],0)),INDEX(Table3[[#All],[T]],MATCH(Table5[[#This Row],[PID]],Table3[[#All],[PID]],0)))</f>
        <v>R</v>
      </c>
      <c r="J53" s="71" t="str">
        <f>IF($C53="B",INDEX(Batters[[#All],[WE]],MATCH(Table5[[#This Row],[PID]],Batters[[#All],[PID]],0)),INDEX(Table3[[#All],[WE]],MATCH(Table5[[#This Row],[PID]],Table3[[#All],[PID]],0)))</f>
        <v>Normal</v>
      </c>
      <c r="K53" s="52" t="str">
        <f>IF($C53="B",INDEX(Batters[[#All],[INT]],MATCH(Table5[[#This Row],[PID]],Batters[[#All],[PID]],0)),INDEX(Table3[[#All],[INT]],MATCH(Table5[[#This Row],[PID]],Table3[[#All],[PID]],0)))</f>
        <v>Normal</v>
      </c>
      <c r="L53" s="60">
        <f>IF($C53="B",INDEX(Batters[[#All],[CON P]],MATCH(Table5[[#This Row],[PID]],Batters[[#All],[PID]],0)),INDEX(Table3[[#All],[STU P]],MATCH(Table5[[#This Row],[PID]],Table3[[#All],[PID]],0)))</f>
        <v>5</v>
      </c>
      <c r="M53" s="72">
        <f>IF($C53="B",INDEX(Batters[[#All],[GAP P]],MATCH(Table5[[#This Row],[PID]],Batters[[#All],[PID]],0)),INDEX(Table3[[#All],[MOV P]],MATCH(Table5[[#This Row],[PID]],Table3[[#All],[PID]],0)))</f>
        <v>6</v>
      </c>
      <c r="N53" s="72">
        <f>IF($C53="B",INDEX(Batters[[#All],[POW P]],MATCH(Table5[[#This Row],[PID]],Batters[[#All],[PID]],0)),INDEX(Table3[[#All],[CON P]],MATCH(Table5[[#This Row],[PID]],Table3[[#All],[PID]],0)))</f>
        <v>6</v>
      </c>
      <c r="O53" s="72" t="str">
        <f>IF($C53="B",INDEX(Batters[[#All],[EYE P]],MATCH(Table5[[#This Row],[PID]],Batters[[#All],[PID]],0)),INDEX(Table3[[#All],[VELO]],MATCH(Table5[[#This Row],[PID]],Table3[[#All],[PID]],0)))</f>
        <v>93-95 Mph</v>
      </c>
      <c r="P53" s="56">
        <f>IF($C53="B",INDEX(Batters[[#All],[K P]],MATCH(Table5[[#This Row],[PID]],Batters[[#All],[PID]],0)),INDEX(Table3[[#All],[STM]],MATCH(Table5[[#This Row],[PID]],Table3[[#All],[PID]],0)))</f>
        <v>5</v>
      </c>
      <c r="Q53" s="61">
        <f>IF($C53="B",INDEX(Batters[[#All],[Tot]],MATCH(Table5[[#This Row],[PID]],Batters[[#All],[PID]],0)),INDEX(Table3[[#All],[Tot]],MATCH(Table5[[#This Row],[PID]],Table3[[#All],[PID]],0)))</f>
        <v>71.392358990595142</v>
      </c>
      <c r="R53" s="52">
        <f>IF($C53="B",INDEX(Batters[[#All],[zScore]],MATCH(Table5[[#This Row],[PID]],Batters[[#All],[PID]],0)),INDEX(Table3[[#All],[zScore]],MATCH(Table5[[#This Row],[PID]],Table3[[#All],[PID]],0)))</f>
        <v>2.3632132647764292</v>
      </c>
      <c r="S53" s="78" t="str">
        <f>IF($C53="B",INDEX(Batters[[#All],[DEM]],MATCH(Table5[[#This Row],[PID]],Batters[[#All],[PID]],0)),INDEX(Table3[[#All],[DEM]],MATCH(Table5[[#This Row],[PID]],Table3[[#All],[PID]],0)))</f>
        <v>$1.9m</v>
      </c>
      <c r="T53" s="75">
        <f>IF($C53="B",INDEX(Batters[[#All],[Rnk]],MATCH(Table5[[#This Row],[PID]],Batters[[#All],[PID]],0)),INDEX(Table3[[#All],[Rnk]],MATCH(Table5[[#This Row],[PID]],Table3[[#All],[PID]],0)))</f>
        <v>10</v>
      </c>
      <c r="U53" s="68">
        <f>IF($C53="B",VLOOKUP($A53,Bat!$A$4:$BA$1621,47,FALSE),VLOOKUP($A53,Pit!$A$4:$BF$1557,56,FALSE))</f>
        <v>0</v>
      </c>
      <c r="V53" s="50">
        <f>IF($C53="B",VLOOKUP($A53,Bat!$A$4:$BA$1621,48,FALSE),VLOOKUP($A53,Pit!$A$4:$BF$1557,57,FALSE))</f>
        <v>0</v>
      </c>
      <c r="W53" s="69">
        <f>Table5[[#This Row],[posRnk]]+Table5[[#This Row],[zRnk]]+IF($W$3&lt;&gt;Table5[[#This Row],[Type]],50,0)</f>
        <v>81</v>
      </c>
      <c r="X53" s="73">
        <f>RANK(Table5[[#This Row],[zScore]],Table5[[#All],[zScore]])</f>
        <v>21</v>
      </c>
      <c r="Y53" s="69">
        <f>IFERROR(INDEX(DraftResults[[#All],[OVR]],MATCH(Table5[[#This Row],[PID]],DraftResults[[#All],[Player ID]],0)),"")</f>
        <v>49</v>
      </c>
      <c r="Z5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3" s="69">
        <f>IFERROR(INDEX(DraftResults[[#All],[Pick in Round]],MATCH(Table5[[#This Row],[PID]],DraftResults[[#All],[Player ID]],0)),"")</f>
        <v>14</v>
      </c>
      <c r="AB53" s="69" t="str">
        <f>IFERROR(INDEX(DraftResults[[#All],[Team Name]],MATCH(Table5[[#This Row],[PID]],DraftResults[[#All],[Player ID]],0)),"")</f>
        <v>Palm Springs Codgers</v>
      </c>
      <c r="AC53" s="69">
        <f>IF(Table5[[#This Row],[Ovr]]="","",IF(Table5[[#This Row],[cmbList]]="","",Table5[[#This Row],[cmbList]]-Table5[[#This Row],[Ovr]]))</f>
        <v>32</v>
      </c>
      <c r="AD53" s="77" t="str">
        <f>IF(ISERROR(VLOOKUP($AB53&amp;"-"&amp;$E53&amp;" "&amp;F53,Bonuses!$B$1:$G$1006,4,FALSE)),"",INT(VLOOKUP($AB53&amp;"-"&amp;$E53&amp;" "&amp;$F53,Bonuses!$B$1:$G$1006,4,FALSE)))</f>
        <v/>
      </c>
      <c r="AE5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2.14 (49) - SP Nathan Comyn</v>
      </c>
    </row>
    <row r="54" spans="1:31" s="50" customFormat="1" x14ac:dyDescent="0.25">
      <c r="A54" s="50">
        <v>18160</v>
      </c>
      <c r="B54" s="50">
        <f>COUNTIF(Table5[PID],A54)</f>
        <v>1</v>
      </c>
      <c r="C54" s="50" t="str">
        <f>IF(COUNTIF(Table3[[#All],[PID]],A54)&gt;0,"P","B")</f>
        <v>B</v>
      </c>
      <c r="D54" s="59" t="str">
        <f>IF($C54="B",INDEX(Batters[[#All],[POS]],MATCH(Table5[[#This Row],[PID]],Batters[[#All],[PID]],0)),INDEX(Table3[[#All],[POS]],MATCH(Table5[[#This Row],[PID]],Table3[[#All],[PID]],0)))</f>
        <v>SS</v>
      </c>
      <c r="E54" s="52" t="str">
        <f>IF($C54="B",INDEX(Batters[[#All],[First]],MATCH(Table5[[#This Row],[PID]],Batters[[#All],[PID]],0)),INDEX(Table3[[#All],[First]],MATCH(Table5[[#This Row],[PID]],Table3[[#All],[PID]],0)))</f>
        <v>Ken</v>
      </c>
      <c r="F54" s="50" t="str">
        <f>IF($C54="B",INDEX(Batters[[#All],[Last]],MATCH(A54,Batters[[#All],[PID]],0)),INDEX(Table3[[#All],[Last]],MATCH(A54,Table3[[#All],[PID]],0)))</f>
        <v>Fields</v>
      </c>
      <c r="G54" s="56">
        <f>IF($C54="B",INDEX(Batters[[#All],[Age]],MATCH(Table5[[#This Row],[PID]],Batters[[#All],[PID]],0)),INDEX(Table3[[#All],[Age]],MATCH(Table5[[#This Row],[PID]],Table3[[#All],[PID]],0)))</f>
        <v>21</v>
      </c>
      <c r="H54" s="52" t="str">
        <f>IF($C54="B",INDEX(Batters[[#All],[B]],MATCH(Table5[[#This Row],[PID]],Batters[[#All],[PID]],0)),INDEX(Table3[[#All],[B]],MATCH(Table5[[#This Row],[PID]],Table3[[#All],[PID]],0)))</f>
        <v>R</v>
      </c>
      <c r="I54" s="52" t="str">
        <f>IF($C54="B",INDEX(Batters[[#All],[T]],MATCH(Table5[[#This Row],[PID]],Batters[[#All],[PID]],0)),INDEX(Table3[[#All],[T]],MATCH(Table5[[#This Row],[PID]],Table3[[#All],[PID]],0)))</f>
        <v>R</v>
      </c>
      <c r="J54" s="52" t="str">
        <f>IF($C54="B",INDEX(Batters[[#All],[WE]],MATCH(Table5[[#This Row],[PID]],Batters[[#All],[PID]],0)),INDEX(Table3[[#All],[WE]],MATCH(Table5[[#This Row],[PID]],Table3[[#All],[PID]],0)))</f>
        <v>Normal</v>
      </c>
      <c r="K54" s="52" t="str">
        <f>IF($C54="B",INDEX(Batters[[#All],[INT]],MATCH(Table5[[#This Row],[PID]],Batters[[#All],[PID]],0)),INDEX(Table3[[#All],[INT]],MATCH(Table5[[#This Row],[PID]],Table3[[#All],[PID]],0)))</f>
        <v>Normal</v>
      </c>
      <c r="L54" s="60">
        <f>IF($C54="B",INDEX(Batters[[#All],[CON P]],MATCH(Table5[[#This Row],[PID]],Batters[[#All],[PID]],0)),INDEX(Table3[[#All],[STU P]],MATCH(Table5[[#This Row],[PID]],Table3[[#All],[PID]],0)))</f>
        <v>4</v>
      </c>
      <c r="M54" s="56">
        <f>IF($C54="B",INDEX(Batters[[#All],[GAP P]],MATCH(Table5[[#This Row],[PID]],Batters[[#All],[PID]],0)),INDEX(Table3[[#All],[MOV P]],MATCH(Table5[[#This Row],[PID]],Table3[[#All],[PID]],0)))</f>
        <v>5</v>
      </c>
      <c r="N54" s="56">
        <f>IF($C54="B",INDEX(Batters[[#All],[POW P]],MATCH(Table5[[#This Row],[PID]],Batters[[#All],[PID]],0)),INDEX(Table3[[#All],[CON P]],MATCH(Table5[[#This Row],[PID]],Table3[[#All],[PID]],0)))</f>
        <v>4</v>
      </c>
      <c r="O54" s="56">
        <f>IF($C54="B",INDEX(Batters[[#All],[EYE P]],MATCH(Table5[[#This Row],[PID]],Batters[[#All],[PID]],0)),INDEX(Table3[[#All],[VELO]],MATCH(Table5[[#This Row],[PID]],Table3[[#All],[PID]],0)))</f>
        <v>6</v>
      </c>
      <c r="P54" s="56">
        <f>IF($C54="B",INDEX(Batters[[#All],[K P]],MATCH(Table5[[#This Row],[PID]],Batters[[#All],[PID]],0)),INDEX(Table3[[#All],[STM]],MATCH(Table5[[#This Row],[PID]],Table3[[#All],[PID]],0)))</f>
        <v>3</v>
      </c>
      <c r="Q54" s="61">
        <f>IF($C54="B",INDEX(Batters[[#All],[Tot]],MATCH(Table5[[#This Row],[PID]],Batters[[#All],[PID]],0)),INDEX(Table3[[#All],[Tot]],MATCH(Table5[[#This Row],[PID]],Table3[[#All],[PID]],0)))</f>
        <v>44.278168123144084</v>
      </c>
      <c r="R54" s="52">
        <f>IF($C54="B",INDEX(Batters[[#All],[zScore]],MATCH(Table5[[#This Row],[PID]],Batters[[#All],[PID]],0)),INDEX(Table3[[#All],[zScore]],MATCH(Table5[[#This Row],[PID]],Table3[[#All],[PID]],0)))</f>
        <v>3.2419825027067382E-2</v>
      </c>
      <c r="S54" s="58" t="str">
        <f>IF($C54="B",INDEX(Batters[[#All],[DEM]],MATCH(Table5[[#This Row],[PID]],Batters[[#All],[PID]],0)),INDEX(Table3[[#All],[DEM]],MATCH(Table5[[#This Row],[PID]],Table3[[#All],[PID]],0)))</f>
        <v>$90k</v>
      </c>
      <c r="T54" s="62">
        <f>IF($C54="B",INDEX(Batters[[#All],[Rnk]],MATCH(Table5[[#This Row],[PID]],Batters[[#All],[PID]],0)),INDEX(Table3[[#All],[Rnk]],MATCH(Table5[[#This Row],[PID]],Table3[[#All],[PID]],0)))</f>
        <v>237</v>
      </c>
      <c r="U54" s="68">
        <f>IF($C54="B",VLOOKUP($A54,Bat!$A$4:$BA$1621,47,FALSE),VLOOKUP($A54,Pit!$A$4:$BF$1557,56,FALSE))</f>
        <v>0</v>
      </c>
      <c r="V54" s="50">
        <f>IF($C54="B",VLOOKUP($A54,Bat!$A$4:$BA$1621,48,FALSE),VLOOKUP($A54,Pit!$A$4:$BF$1557,57,FALSE))</f>
        <v>0</v>
      </c>
      <c r="W54" s="50">
        <f>Table5[[#This Row],[posRnk]]+Table5[[#This Row],[zRnk]]+IF($W$3&lt;&gt;Table5[[#This Row],[Type]],50,0)</f>
        <v>825</v>
      </c>
      <c r="X54" s="51">
        <f>RANK(Table5[[#This Row],[zScore]],Table5[[#All],[zScore]])</f>
        <v>538</v>
      </c>
      <c r="Y54" s="50">
        <f>IFERROR(INDEX(DraftResults[[#All],[OVR]],MATCH(Table5[[#This Row],[PID]],DraftResults[[#All],[Player ID]],0)),"")</f>
        <v>50</v>
      </c>
      <c r="Z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4" s="50">
        <f>IFERROR(INDEX(DraftResults[[#All],[Pick in Round]],MATCH(Table5[[#This Row],[PID]],DraftResults[[#All],[Player ID]],0)),"")</f>
        <v>15</v>
      </c>
      <c r="AB54" s="50" t="str">
        <f>IFERROR(INDEX(DraftResults[[#All],[Team Name]],MATCH(Table5[[#This Row],[PID]],DraftResults[[#All],[Player ID]],0)),"")</f>
        <v>Reno Zephyrs</v>
      </c>
      <c r="AC54" s="50">
        <f>IF(Table5[[#This Row],[Ovr]]="","",IF(Table5[[#This Row],[cmbList]]="","",Table5[[#This Row],[cmbList]]-Table5[[#This Row],[Ovr]]))</f>
        <v>775</v>
      </c>
      <c r="AD54" s="54" t="str">
        <f>IF(ISERROR(VLOOKUP($AB54&amp;"-"&amp;$E54&amp;" "&amp;F54,Bonuses!$B$1:$G$1006,4,FALSE)),"",INT(VLOOKUP($AB54&amp;"-"&amp;$E54&amp;" "&amp;$F54,Bonuses!$B$1:$G$1006,4,FALSE)))</f>
        <v/>
      </c>
      <c r="AE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2.15 (50) - SS Ken Fields</v>
      </c>
    </row>
    <row r="55" spans="1:31" s="50" customFormat="1" x14ac:dyDescent="0.25">
      <c r="A55" s="50">
        <v>20969</v>
      </c>
      <c r="B55" s="50">
        <f>COUNTIF(Table5[PID],A55)</f>
        <v>1</v>
      </c>
      <c r="C55" s="50" t="str">
        <f>IF(COUNTIF(Table3[[#All],[PID]],A55)&gt;0,"P","B")</f>
        <v>B</v>
      </c>
      <c r="D55" s="59" t="str">
        <f>IF($C55="B",INDEX(Batters[[#All],[POS]],MATCH(Table5[[#This Row],[PID]],Batters[[#All],[PID]],0)),INDEX(Table3[[#All],[POS]],MATCH(Table5[[#This Row],[PID]],Table3[[#All],[PID]],0)))</f>
        <v>LF</v>
      </c>
      <c r="E55" s="52" t="str">
        <f>IF($C55="B",INDEX(Batters[[#All],[First]],MATCH(Table5[[#This Row],[PID]],Batters[[#All],[PID]],0)),INDEX(Table3[[#All],[First]],MATCH(Table5[[#This Row],[PID]],Table3[[#All],[PID]],0)))</f>
        <v>John</v>
      </c>
      <c r="F55" s="50" t="str">
        <f>IF($C55="B",INDEX(Batters[[#All],[Last]],MATCH(A55,Batters[[#All],[PID]],0)),INDEX(Table3[[#All],[Last]],MATCH(A55,Table3[[#All],[PID]],0)))</f>
        <v>Newsome</v>
      </c>
      <c r="G55" s="56">
        <f>IF($C55="B",INDEX(Batters[[#All],[Age]],MATCH(Table5[[#This Row],[PID]],Batters[[#All],[PID]],0)),INDEX(Table3[[#All],[Age]],MATCH(Table5[[#This Row],[PID]],Table3[[#All],[PID]],0)))</f>
        <v>18</v>
      </c>
      <c r="H55" s="52" t="str">
        <f>IF($C55="B",INDEX(Batters[[#All],[B]],MATCH(Table5[[#This Row],[PID]],Batters[[#All],[PID]],0)),INDEX(Table3[[#All],[B]],MATCH(Table5[[#This Row],[PID]],Table3[[#All],[PID]],0)))</f>
        <v>R</v>
      </c>
      <c r="I55" s="52" t="str">
        <f>IF($C55="B",INDEX(Batters[[#All],[T]],MATCH(Table5[[#This Row],[PID]],Batters[[#All],[PID]],0)),INDEX(Table3[[#All],[T]],MATCH(Table5[[#This Row],[PID]],Table3[[#All],[PID]],0)))</f>
        <v>R</v>
      </c>
      <c r="J55" s="52" t="str">
        <f>IF($C55="B",INDEX(Batters[[#All],[WE]],MATCH(Table5[[#This Row],[PID]],Batters[[#All],[PID]],0)),INDEX(Table3[[#All],[WE]],MATCH(Table5[[#This Row],[PID]],Table3[[#All],[PID]],0)))</f>
        <v>High</v>
      </c>
      <c r="K55" s="52" t="str">
        <f>IF($C55="B",INDEX(Batters[[#All],[INT]],MATCH(Table5[[#This Row],[PID]],Batters[[#All],[PID]],0)),INDEX(Table3[[#All],[INT]],MATCH(Table5[[#This Row],[PID]],Table3[[#All],[PID]],0)))</f>
        <v>Normal</v>
      </c>
      <c r="L55" s="60">
        <f>IF($C55="B",INDEX(Batters[[#All],[CON P]],MATCH(Table5[[#This Row],[PID]],Batters[[#All],[PID]],0)),INDEX(Table3[[#All],[STU P]],MATCH(Table5[[#This Row],[PID]],Table3[[#All],[PID]],0)))</f>
        <v>5</v>
      </c>
      <c r="M55" s="56">
        <f>IF($C55="B",INDEX(Batters[[#All],[GAP P]],MATCH(Table5[[#This Row],[PID]],Batters[[#All],[PID]],0)),INDEX(Table3[[#All],[MOV P]],MATCH(Table5[[#This Row],[PID]],Table3[[#All],[PID]],0)))</f>
        <v>6</v>
      </c>
      <c r="N55" s="56">
        <f>IF($C55="B",INDEX(Batters[[#All],[POW P]],MATCH(Table5[[#This Row],[PID]],Batters[[#All],[PID]],0)),INDEX(Table3[[#All],[CON P]],MATCH(Table5[[#This Row],[PID]],Table3[[#All],[PID]],0)))</f>
        <v>8</v>
      </c>
      <c r="O55" s="56">
        <f>IF($C55="B",INDEX(Batters[[#All],[EYE P]],MATCH(Table5[[#This Row],[PID]],Batters[[#All],[PID]],0)),INDEX(Table3[[#All],[VELO]],MATCH(Table5[[#This Row],[PID]],Table3[[#All],[PID]],0)))</f>
        <v>5</v>
      </c>
      <c r="P55" s="56">
        <f>IF($C55="B",INDEX(Batters[[#All],[K P]],MATCH(Table5[[#This Row],[PID]],Batters[[#All],[PID]],0)),INDEX(Table3[[#All],[STM]],MATCH(Table5[[#This Row],[PID]],Table3[[#All],[PID]],0)))</f>
        <v>5</v>
      </c>
      <c r="Q55" s="61">
        <f>IF($C55="B",INDEX(Batters[[#All],[Tot]],MATCH(Table5[[#This Row],[PID]],Batters[[#All],[PID]],0)),INDEX(Table3[[#All],[Tot]],MATCH(Table5[[#This Row],[PID]],Table3[[#All],[PID]],0)))</f>
        <v>56.864417467373912</v>
      </c>
      <c r="R55" s="52">
        <f>IF($C55="B",INDEX(Batters[[#All],[zScore]],MATCH(Table5[[#This Row],[PID]],Batters[[#All],[PID]],0)),INDEX(Table3[[#All],[zScore]],MATCH(Table5[[#This Row],[PID]],Table3[[#All],[PID]],0)))</f>
        <v>2.8228763797927927</v>
      </c>
      <c r="S55" s="58" t="str">
        <f>IF($C55="B",INDEX(Batters[[#All],[DEM]],MATCH(Table5[[#This Row],[PID]],Batters[[#All],[PID]],0)),INDEX(Table3[[#All],[DEM]],MATCH(Table5[[#This Row],[PID]],Table3[[#All],[PID]],0)))</f>
        <v>$550k</v>
      </c>
      <c r="T55" s="62">
        <f>IF($C55="B",INDEX(Batters[[#All],[Rnk]],MATCH(Table5[[#This Row],[PID]],Batters[[#All],[PID]],0)),INDEX(Table3[[#All],[Rnk]],MATCH(Table5[[#This Row],[PID]],Table3[[#All],[PID]],0)))</f>
        <v>6</v>
      </c>
      <c r="U55" s="68">
        <f>IF($C55="B",VLOOKUP($A55,Bat!$A$4:$BA$1621,47,FALSE),VLOOKUP($A55,Pit!$A$4:$BF$1557,56,FALSE))</f>
        <v>0</v>
      </c>
      <c r="V55" s="50">
        <f>IF($C55="B",VLOOKUP($A55,Bat!$A$4:$BA$1621,48,FALSE),VLOOKUP($A55,Pit!$A$4:$BF$1557,57,FALSE))</f>
        <v>0</v>
      </c>
      <c r="W55" s="50">
        <f>Table5[[#This Row],[posRnk]]+Table5[[#This Row],[zRnk]]+IF($W$3&lt;&gt;Table5[[#This Row],[Type]],50,0)</f>
        <v>64</v>
      </c>
      <c r="X55" s="51">
        <f>RANK(Table5[[#This Row],[zScore]],Table5[[#All],[zScore]])</f>
        <v>8</v>
      </c>
      <c r="Y55" s="50">
        <f>IFERROR(INDEX(DraftResults[[#All],[OVR]],MATCH(Table5[[#This Row],[PID]],DraftResults[[#All],[Player ID]],0)),"")</f>
        <v>51</v>
      </c>
      <c r="Z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5" s="50">
        <f>IFERROR(INDEX(DraftResults[[#All],[Pick in Round]],MATCH(Table5[[#This Row],[PID]],DraftResults[[#All],[Player ID]],0)),"")</f>
        <v>16</v>
      </c>
      <c r="AB55" s="50" t="str">
        <f>IFERROR(INDEX(DraftResults[[#All],[Team Name]],MATCH(Table5[[#This Row],[PID]],DraftResults[[#All],[Player ID]],0)),"")</f>
        <v>West Virginia Alleghenies</v>
      </c>
      <c r="AC55" s="50">
        <f>IF(Table5[[#This Row],[Ovr]]="","",IF(Table5[[#This Row],[cmbList]]="","",Table5[[#This Row],[cmbList]]-Table5[[#This Row],[Ovr]]))</f>
        <v>13</v>
      </c>
      <c r="AD55" s="54" t="str">
        <f>IF(ISERROR(VLOOKUP($AB55&amp;"-"&amp;$E55&amp;" "&amp;F55,Bonuses!$B$1:$G$1006,4,FALSE)),"",INT(VLOOKUP($AB55&amp;"-"&amp;$E55&amp;" "&amp;$F55,Bonuses!$B$1:$G$1006,4,FALSE)))</f>
        <v/>
      </c>
      <c r="AE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2.16 (51) - LF John Newsome</v>
      </c>
    </row>
    <row r="56" spans="1:31" s="50" customFormat="1" x14ac:dyDescent="0.25">
      <c r="A56" s="50">
        <v>18134</v>
      </c>
      <c r="B56" s="55">
        <f>COUNTIF(Table5[PID],A56)</f>
        <v>1</v>
      </c>
      <c r="C56" s="55" t="str">
        <f>IF(COUNTIF(Table3[[#All],[PID]],A56)&gt;0,"P","B")</f>
        <v>B</v>
      </c>
      <c r="D56" s="59" t="str">
        <f>IF($C56="B",INDEX(Batters[[#All],[POS]],MATCH(Table5[[#This Row],[PID]],Batters[[#All],[PID]],0)),INDEX(Table3[[#All],[POS]],MATCH(Table5[[#This Row],[PID]],Table3[[#All],[PID]],0)))</f>
        <v>C</v>
      </c>
      <c r="E56" s="52" t="str">
        <f>IF($C56="B",INDEX(Batters[[#All],[First]],MATCH(Table5[[#This Row],[PID]],Batters[[#All],[PID]],0)),INDEX(Table3[[#All],[First]],MATCH(Table5[[#This Row],[PID]],Table3[[#All],[PID]],0)))</f>
        <v>Tony</v>
      </c>
      <c r="F56" s="50" t="str">
        <f>IF($C56="B",INDEX(Batters[[#All],[Last]],MATCH(A56,Batters[[#All],[PID]],0)),INDEX(Table3[[#All],[Last]],MATCH(A56,Table3[[#All],[PID]],0)))</f>
        <v>González</v>
      </c>
      <c r="G56" s="56">
        <f>IF($C56="B",INDEX(Batters[[#All],[Age]],MATCH(Table5[[#This Row],[PID]],Batters[[#All],[PID]],0)),INDEX(Table3[[#All],[Age]],MATCH(Table5[[#This Row],[PID]],Table3[[#All],[PID]],0)))</f>
        <v>21</v>
      </c>
      <c r="H56" s="52" t="str">
        <f>IF($C56="B",INDEX(Batters[[#All],[B]],MATCH(Table5[[#This Row],[PID]],Batters[[#All],[PID]],0)),INDEX(Table3[[#All],[B]],MATCH(Table5[[#This Row],[PID]],Table3[[#All],[PID]],0)))</f>
        <v>R</v>
      </c>
      <c r="I56" s="52" t="str">
        <f>IF($C56="B",INDEX(Batters[[#All],[T]],MATCH(Table5[[#This Row],[PID]],Batters[[#All],[PID]],0)),INDEX(Table3[[#All],[T]],MATCH(Table5[[#This Row],[PID]],Table3[[#All],[PID]],0)))</f>
        <v>R</v>
      </c>
      <c r="J56" s="52" t="str">
        <f>IF($C56="B",INDEX(Batters[[#All],[WE]],MATCH(Table5[[#This Row],[PID]],Batters[[#All],[PID]],0)),INDEX(Table3[[#All],[WE]],MATCH(Table5[[#This Row],[PID]],Table3[[#All],[PID]],0)))</f>
        <v>Normal</v>
      </c>
      <c r="K56" s="52" t="str">
        <f>IF($C56="B",INDEX(Batters[[#All],[INT]],MATCH(Table5[[#This Row],[PID]],Batters[[#All],[PID]],0)),INDEX(Table3[[#All],[INT]],MATCH(Table5[[#This Row],[PID]],Table3[[#All],[PID]],0)))</f>
        <v>Normal</v>
      </c>
      <c r="L56" s="60">
        <f>IF($C56="B",INDEX(Batters[[#All],[CON P]],MATCH(Table5[[#This Row],[PID]],Batters[[#All],[PID]],0)),INDEX(Table3[[#All],[STU P]],MATCH(Table5[[#This Row],[PID]],Table3[[#All],[PID]],0)))</f>
        <v>4</v>
      </c>
      <c r="M56" s="56">
        <f>IF($C56="B",INDEX(Batters[[#All],[GAP P]],MATCH(Table5[[#This Row],[PID]],Batters[[#All],[PID]],0)),INDEX(Table3[[#All],[MOV P]],MATCH(Table5[[#This Row],[PID]],Table3[[#All],[PID]],0)))</f>
        <v>6</v>
      </c>
      <c r="N56" s="56">
        <f>IF($C56="B",INDEX(Batters[[#All],[POW P]],MATCH(Table5[[#This Row],[PID]],Batters[[#All],[PID]],0)),INDEX(Table3[[#All],[CON P]],MATCH(Table5[[#This Row],[PID]],Table3[[#All],[PID]],0)))</f>
        <v>6</v>
      </c>
      <c r="O56" s="56">
        <f>IF($C56="B",INDEX(Batters[[#All],[EYE P]],MATCH(Table5[[#This Row],[PID]],Batters[[#All],[PID]],0)),INDEX(Table3[[#All],[VELO]],MATCH(Table5[[#This Row],[PID]],Table3[[#All],[PID]],0)))</f>
        <v>5</v>
      </c>
      <c r="P56" s="56">
        <f>IF($C56="B",INDEX(Batters[[#All],[K P]],MATCH(Table5[[#This Row],[PID]],Batters[[#All],[PID]],0)),INDEX(Table3[[#All],[STM]],MATCH(Table5[[#This Row],[PID]],Table3[[#All],[PID]],0)))</f>
        <v>5</v>
      </c>
      <c r="Q56" s="61">
        <f>IF($C56="B",INDEX(Batters[[#All],[Tot]],MATCH(Table5[[#This Row],[PID]],Batters[[#All],[PID]],0)),INDEX(Table3[[#All],[Tot]],MATCH(Table5[[#This Row],[PID]],Table3[[#All],[PID]],0)))</f>
        <v>45.778859686571543</v>
      </c>
      <c r="R56" s="52">
        <f>IF($C56="B",INDEX(Batters[[#All],[zScore]],MATCH(Table5[[#This Row],[PID]],Batters[[#All],[PID]],0)),INDEX(Table3[[#All],[zScore]],MATCH(Table5[[#This Row],[PID]],Table3[[#All],[PID]],0)))</f>
        <v>0.36513328837249137</v>
      </c>
      <c r="S56" s="58" t="str">
        <f>IF($C56="B",INDEX(Batters[[#All],[DEM]],MATCH(Table5[[#This Row],[PID]],Batters[[#All],[PID]],0)),INDEX(Table3[[#All],[DEM]],MATCH(Table5[[#This Row],[PID]],Table3[[#All],[PID]],0)))</f>
        <v>$55k</v>
      </c>
      <c r="T56" s="62">
        <f>IF($C56="B",INDEX(Batters[[#All],[Rnk]],MATCH(Table5[[#This Row],[PID]],Batters[[#All],[PID]],0)),INDEX(Table3[[#All],[Rnk]],MATCH(Table5[[#This Row],[PID]],Table3[[#All],[PID]],0)))</f>
        <v>165</v>
      </c>
      <c r="U56" s="68">
        <f>IF($C56="B",VLOOKUP($A56,Bat!$A$4:$BA$1621,47,FALSE),VLOOKUP($A56,Pit!$A$4:$BF$1557,56,FALSE))</f>
        <v>0</v>
      </c>
      <c r="V56" s="50">
        <f>IF($C56="B",VLOOKUP($A56,Bat!$A$4:$BA$1621,48,FALSE),VLOOKUP($A56,Pit!$A$4:$BF$1557,57,FALSE))</f>
        <v>0</v>
      </c>
      <c r="W56" s="50">
        <f>Table5[[#This Row],[posRnk]]+Table5[[#This Row],[zRnk]]+IF($W$3&lt;&gt;Table5[[#This Row],[Type]],50,0)</f>
        <v>612</v>
      </c>
      <c r="X56" s="51">
        <f>RANK(Table5[[#This Row],[zScore]],Table5[[#All],[zScore]])</f>
        <v>397</v>
      </c>
      <c r="Y56" s="50">
        <f>IFERROR(INDEX(DraftResults[[#All],[OVR]],MATCH(Table5[[#This Row],[PID]],DraftResults[[#All],[Player ID]],0)),"")</f>
        <v>52</v>
      </c>
      <c r="Z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6" s="50">
        <f>IFERROR(INDEX(DraftResults[[#All],[Pick in Round]],MATCH(Table5[[#This Row],[PID]],DraftResults[[#All],[Player ID]],0)),"")</f>
        <v>17</v>
      </c>
      <c r="AB56" s="50" t="str">
        <f>IFERROR(INDEX(DraftResults[[#All],[Team Name]],MATCH(Table5[[#This Row],[PID]],DraftResults[[#All],[Player ID]],0)),"")</f>
        <v>Kentucky Thoroughbreds</v>
      </c>
      <c r="AC56" s="50">
        <f>IF(Table5[[#This Row],[Ovr]]="","",IF(Table5[[#This Row],[cmbList]]="","",Table5[[#This Row],[cmbList]]-Table5[[#This Row],[Ovr]]))</f>
        <v>560</v>
      </c>
      <c r="AD56" s="54" t="str">
        <f>IF(ISERROR(VLOOKUP($AB56&amp;"-"&amp;$E56&amp;" "&amp;F56,Bonuses!$B$1:$G$1006,4,FALSE)),"",INT(VLOOKUP($AB56&amp;"-"&amp;$E56&amp;" "&amp;$F56,Bonuses!$B$1:$G$1006,4,FALSE)))</f>
        <v/>
      </c>
      <c r="AE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2.17 (52) - C Tony González</v>
      </c>
    </row>
    <row r="57" spans="1:31" s="50" customFormat="1" x14ac:dyDescent="0.25">
      <c r="A57" s="68">
        <v>14885</v>
      </c>
      <c r="B57" s="69">
        <f>COUNTIF(Table5[PID],A57)</f>
        <v>1</v>
      </c>
      <c r="C57" s="69" t="str">
        <f>IF(COUNTIF(Table3[[#All],[PID]],A57)&gt;0,"P","B")</f>
        <v>P</v>
      </c>
      <c r="D57" s="59" t="str">
        <f>IF($C57="B",INDEX(Batters[[#All],[POS]],MATCH(Table5[[#This Row],[PID]],Batters[[#All],[PID]],0)),INDEX(Table3[[#All],[POS]],MATCH(Table5[[#This Row],[PID]],Table3[[#All],[PID]],0)))</f>
        <v>SP</v>
      </c>
      <c r="E57" s="52" t="str">
        <f>IF($C57="B",INDEX(Batters[[#All],[First]],MATCH(Table5[[#This Row],[PID]],Batters[[#All],[PID]],0)),INDEX(Table3[[#All],[First]],MATCH(Table5[[#This Row],[PID]],Table3[[#All],[PID]],0)))</f>
        <v>Yasunobu</v>
      </c>
      <c r="F57" s="55" t="str">
        <f>IF($C57="B",INDEX(Batters[[#All],[Last]],MATCH(A57,Batters[[#All],[PID]],0)),INDEX(Table3[[#All],[Last]],MATCH(A57,Table3[[#All],[PID]],0)))</f>
        <v>Suzuki</v>
      </c>
      <c r="G57" s="56">
        <f>IF($C57="B",INDEX(Batters[[#All],[Age]],MATCH(Table5[[#This Row],[PID]],Batters[[#All],[PID]],0)),INDEX(Table3[[#All],[Age]],MATCH(Table5[[#This Row],[PID]],Table3[[#All],[PID]],0)))</f>
        <v>18</v>
      </c>
      <c r="H57" s="52" t="str">
        <f>IF($C57="B",INDEX(Batters[[#All],[B]],MATCH(Table5[[#This Row],[PID]],Batters[[#All],[PID]],0)),INDEX(Table3[[#All],[B]],MATCH(Table5[[#This Row],[PID]],Table3[[#All],[PID]],0)))</f>
        <v>R</v>
      </c>
      <c r="I57" s="52" t="str">
        <f>IF($C57="B",INDEX(Batters[[#All],[T]],MATCH(Table5[[#This Row],[PID]],Batters[[#All],[PID]],0)),INDEX(Table3[[#All],[T]],MATCH(Table5[[#This Row],[PID]],Table3[[#All],[PID]],0)))</f>
        <v>R</v>
      </c>
      <c r="J57" s="71" t="str">
        <f>IF($C57="B",INDEX(Batters[[#All],[WE]],MATCH(Table5[[#This Row],[PID]],Batters[[#All],[PID]],0)),INDEX(Table3[[#All],[WE]],MATCH(Table5[[#This Row],[PID]],Table3[[#All],[PID]],0)))</f>
        <v>Normal</v>
      </c>
      <c r="K57" s="52" t="str">
        <f>IF($C57="B",INDEX(Batters[[#All],[INT]],MATCH(Table5[[#This Row],[PID]],Batters[[#All],[PID]],0)),INDEX(Table3[[#All],[INT]],MATCH(Table5[[#This Row],[PID]],Table3[[#All],[PID]],0)))</f>
        <v>Normal</v>
      </c>
      <c r="L57" s="60">
        <f>IF($C57="B",INDEX(Batters[[#All],[CON P]],MATCH(Table5[[#This Row],[PID]],Batters[[#All],[PID]],0)),INDEX(Table3[[#All],[STU P]],MATCH(Table5[[#This Row],[PID]],Table3[[#All],[PID]],0)))</f>
        <v>5</v>
      </c>
      <c r="M57" s="72">
        <f>IF($C57="B",INDEX(Batters[[#All],[GAP P]],MATCH(Table5[[#This Row],[PID]],Batters[[#All],[PID]],0)),INDEX(Table3[[#All],[MOV P]],MATCH(Table5[[#This Row],[PID]],Table3[[#All],[PID]],0)))</f>
        <v>6</v>
      </c>
      <c r="N57" s="72">
        <f>IF($C57="B",INDEX(Batters[[#All],[POW P]],MATCH(Table5[[#This Row],[PID]],Batters[[#All],[PID]],0)),INDEX(Table3[[#All],[CON P]],MATCH(Table5[[#This Row],[PID]],Table3[[#All],[PID]],0)))</f>
        <v>3</v>
      </c>
      <c r="O57" s="72" t="str">
        <f>IF($C57="B",INDEX(Batters[[#All],[EYE P]],MATCH(Table5[[#This Row],[PID]],Batters[[#All],[PID]],0)),INDEX(Table3[[#All],[VELO]],MATCH(Table5[[#This Row],[PID]],Table3[[#All],[PID]],0)))</f>
        <v>95-97 Mph</v>
      </c>
      <c r="P57" s="56">
        <f>IF($C57="B",INDEX(Batters[[#All],[K P]],MATCH(Table5[[#This Row],[PID]],Batters[[#All],[PID]],0)),INDEX(Table3[[#All],[STM]],MATCH(Table5[[#This Row],[PID]],Table3[[#All],[PID]],0)))</f>
        <v>6</v>
      </c>
      <c r="Q57" s="61">
        <f>IF($C57="B",INDEX(Batters[[#All],[Tot]],MATCH(Table5[[#This Row],[PID]],Batters[[#All],[PID]],0)),INDEX(Table3[[#All],[Tot]],MATCH(Table5[[#This Row],[PID]],Table3[[#All],[PID]],0)))</f>
        <v>55.345947314546521</v>
      </c>
      <c r="R57" s="52">
        <f>IF($C57="B",INDEX(Batters[[#All],[zScore]],MATCH(Table5[[#This Row],[PID]],Batters[[#All],[PID]],0)),INDEX(Table3[[#All],[zScore]],MATCH(Table5[[#This Row],[PID]],Table3[[#All],[PID]],0)))</f>
        <v>1.3435155632417719</v>
      </c>
      <c r="S57" s="78" t="str">
        <f>IF($C57="B",INDEX(Batters[[#All],[DEM]],MATCH(Table5[[#This Row],[PID]],Batters[[#All],[PID]],0)),INDEX(Table3[[#All],[DEM]],MATCH(Table5[[#This Row],[PID]],Table3[[#All],[PID]],0)))</f>
        <v>$65k</v>
      </c>
      <c r="T57" s="75">
        <f>IF($C57="B",INDEX(Batters[[#All],[Rnk]],MATCH(Table5[[#This Row],[PID]],Batters[[#All],[PID]],0)),INDEX(Table3[[#All],[Rnk]],MATCH(Table5[[#This Row],[PID]],Table3[[#All],[PID]],0)))</f>
        <v>94</v>
      </c>
      <c r="U57" s="68">
        <f>IF($C57="B",VLOOKUP($A57,Bat!$A$4:$BA$1621,47,FALSE),VLOOKUP($A57,Pit!$A$4:$BF$1557,56,FALSE))</f>
        <v>0</v>
      </c>
      <c r="V57" s="50">
        <f>IF($C57="B",VLOOKUP($A57,Bat!$A$4:$BA$1621,48,FALSE),VLOOKUP($A57,Pit!$A$4:$BF$1557,57,FALSE))</f>
        <v>0</v>
      </c>
      <c r="W57" s="69">
        <f>Table5[[#This Row],[posRnk]]+Table5[[#This Row],[zRnk]]+IF($W$3&lt;&gt;Table5[[#This Row],[Type]],50,0)</f>
        <v>293</v>
      </c>
      <c r="X57" s="73">
        <f>RANK(Table5[[#This Row],[zScore]],Table5[[#All],[zScore]])</f>
        <v>149</v>
      </c>
      <c r="Y57" s="69">
        <f>IFERROR(INDEX(DraftResults[[#All],[OVR]],MATCH(Table5[[#This Row],[PID]],DraftResults[[#All],[Player ID]],0)),"")</f>
        <v>53</v>
      </c>
      <c r="Z5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7" s="69">
        <f>IFERROR(INDEX(DraftResults[[#All],[Pick in Round]],MATCH(Table5[[#This Row],[PID]],DraftResults[[#All],[Player ID]],0)),"")</f>
        <v>18</v>
      </c>
      <c r="AB57" s="69" t="str">
        <f>IFERROR(INDEX(DraftResults[[#All],[Team Name]],MATCH(Table5[[#This Row],[PID]],DraftResults[[#All],[Player ID]],0)),"")</f>
        <v>San Antonio Calzones of Laredo</v>
      </c>
      <c r="AC57" s="69">
        <f>IF(Table5[[#This Row],[Ovr]]="","",IF(Table5[[#This Row],[cmbList]]="","",Table5[[#This Row],[cmbList]]-Table5[[#This Row],[Ovr]]))</f>
        <v>240</v>
      </c>
      <c r="AD57" s="77" t="str">
        <f>IF(ISERROR(VLOOKUP($AB57&amp;"-"&amp;$E57&amp;" "&amp;F57,Bonuses!$B$1:$G$1006,4,FALSE)),"",INT(VLOOKUP($AB57&amp;"-"&amp;$E57&amp;" "&amp;$F57,Bonuses!$B$1:$G$1006,4,FALSE)))</f>
        <v/>
      </c>
      <c r="AE5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2.18 (53) - SP Yasunobu Suzuki</v>
      </c>
    </row>
    <row r="58" spans="1:31" s="50" customFormat="1" x14ac:dyDescent="0.25">
      <c r="A58" s="50">
        <v>18373</v>
      </c>
      <c r="B58" s="50">
        <f>COUNTIF(Table5[PID],A58)</f>
        <v>1</v>
      </c>
      <c r="C58" s="50" t="str">
        <f>IF(COUNTIF(Table3[[#All],[PID]],A58)&gt;0,"P","B")</f>
        <v>P</v>
      </c>
      <c r="D58" s="59" t="str">
        <f>IF($C58="B",INDEX(Batters[[#All],[POS]],MATCH(Table5[[#This Row],[PID]],Batters[[#All],[PID]],0)),INDEX(Table3[[#All],[POS]],MATCH(Table5[[#This Row],[PID]],Table3[[#All],[PID]],0)))</f>
        <v>CL</v>
      </c>
      <c r="E58" s="52" t="str">
        <f>IF($C58="B",INDEX(Batters[[#All],[First]],MATCH(Table5[[#This Row],[PID]],Batters[[#All],[PID]],0)),INDEX(Table3[[#All],[First]],MATCH(Table5[[#This Row],[PID]],Table3[[#All],[PID]],0)))</f>
        <v>Mannus</v>
      </c>
      <c r="F58" s="50" t="str">
        <f>IF($C58="B",INDEX(Batters[[#All],[Last]],MATCH(A58,Batters[[#All],[PID]],0)),INDEX(Table3[[#All],[Last]],MATCH(A58,Table3[[#All],[PID]],0)))</f>
        <v>Dubbeldam</v>
      </c>
      <c r="G58" s="56">
        <f>IF($C58="B",INDEX(Batters[[#All],[Age]],MATCH(Table5[[#This Row],[PID]],Batters[[#All],[PID]],0)),INDEX(Table3[[#All],[Age]],MATCH(Table5[[#This Row],[PID]],Table3[[#All],[PID]],0)))</f>
        <v>18</v>
      </c>
      <c r="H58" s="52" t="str">
        <f>IF($C58="B",INDEX(Batters[[#All],[B]],MATCH(Table5[[#This Row],[PID]],Batters[[#All],[PID]],0)),INDEX(Table3[[#All],[B]],MATCH(Table5[[#This Row],[PID]],Table3[[#All],[PID]],0)))</f>
        <v>L</v>
      </c>
      <c r="I58" s="52" t="str">
        <f>IF($C58="B",INDEX(Batters[[#All],[T]],MATCH(Table5[[#This Row],[PID]],Batters[[#All],[PID]],0)),INDEX(Table3[[#All],[T]],MATCH(Table5[[#This Row],[PID]],Table3[[#All],[PID]],0)))</f>
        <v>L</v>
      </c>
      <c r="J58" s="52" t="str">
        <f>IF($C58="B",INDEX(Batters[[#All],[WE]],MATCH(Table5[[#This Row],[PID]],Batters[[#All],[PID]],0)),INDEX(Table3[[#All],[WE]],MATCH(Table5[[#This Row],[PID]],Table3[[#All],[PID]],0)))</f>
        <v>Normal</v>
      </c>
      <c r="K58" s="52" t="str">
        <f>IF($C58="B",INDEX(Batters[[#All],[INT]],MATCH(Table5[[#This Row],[PID]],Batters[[#All],[PID]],0)),INDEX(Table3[[#All],[INT]],MATCH(Table5[[#This Row],[PID]],Table3[[#All],[PID]],0)))</f>
        <v>Normal</v>
      </c>
      <c r="L58" s="60">
        <f>IF($C58="B",INDEX(Batters[[#All],[CON P]],MATCH(Table5[[#This Row],[PID]],Batters[[#All],[PID]],0)),INDEX(Table3[[#All],[STU P]],MATCH(Table5[[#This Row],[PID]],Table3[[#All],[PID]],0)))</f>
        <v>6</v>
      </c>
      <c r="M58" s="56">
        <f>IF($C58="B",INDEX(Batters[[#All],[GAP P]],MATCH(Table5[[#This Row],[PID]],Batters[[#All],[PID]],0)),INDEX(Table3[[#All],[MOV P]],MATCH(Table5[[#This Row],[PID]],Table3[[#All],[PID]],0)))</f>
        <v>4</v>
      </c>
      <c r="N58" s="56">
        <f>IF($C58="B",INDEX(Batters[[#All],[POW P]],MATCH(Table5[[#This Row],[PID]],Batters[[#All],[PID]],0)),INDEX(Table3[[#All],[CON P]],MATCH(Table5[[#This Row],[PID]],Table3[[#All],[PID]],0)))</f>
        <v>5</v>
      </c>
      <c r="O58" s="56" t="str">
        <f>IF($C58="B",INDEX(Batters[[#All],[EYE P]],MATCH(Table5[[#This Row],[PID]],Batters[[#All],[PID]],0)),INDEX(Table3[[#All],[VELO]],MATCH(Table5[[#This Row],[PID]],Table3[[#All],[PID]],0)))</f>
        <v>92-94 Mph</v>
      </c>
      <c r="P58" s="56">
        <f>IF($C58="B",INDEX(Batters[[#All],[K P]],MATCH(Table5[[#This Row],[PID]],Batters[[#All],[PID]],0)),INDEX(Table3[[#All],[STM]],MATCH(Table5[[#This Row],[PID]],Table3[[#All],[PID]],0)))</f>
        <v>8</v>
      </c>
      <c r="Q58" s="61">
        <f>IF($C58="B",INDEX(Batters[[#All],[Tot]],MATCH(Table5[[#This Row],[PID]],Batters[[#All],[PID]],0)),INDEX(Table3[[#All],[Tot]],MATCH(Table5[[#This Row],[PID]],Table3[[#All],[PID]],0)))</f>
        <v>61.272082850244125</v>
      </c>
      <c r="R58" s="52">
        <f>IF($C58="B",INDEX(Batters[[#All],[zScore]],MATCH(Table5[[#This Row],[PID]],Batters[[#All],[PID]],0)),INDEX(Table3[[#All],[zScore]],MATCH(Table5[[#This Row],[PID]],Table3[[#All],[PID]],0)))</f>
        <v>1.6899267580423312</v>
      </c>
      <c r="S58" s="58" t="str">
        <f>IF($C58="B",INDEX(Batters[[#All],[DEM]],MATCH(Table5[[#This Row],[PID]],Batters[[#All],[PID]],0)),INDEX(Table3[[#All],[DEM]],MATCH(Table5[[#This Row],[PID]],Table3[[#All],[PID]],0)))</f>
        <v>$190k</v>
      </c>
      <c r="T58" s="62">
        <f>IF($C58="B",INDEX(Batters[[#All],[Rnk]],MATCH(Table5[[#This Row],[PID]],Batters[[#All],[PID]],0)),INDEX(Table3[[#All],[Rnk]],MATCH(Table5[[#This Row],[PID]],Table3[[#All],[PID]],0)))</f>
        <v>55</v>
      </c>
      <c r="U58" s="68">
        <f>IF($C58="B",VLOOKUP($A58,Bat!$A$4:$BA$1621,47,FALSE),VLOOKUP($A58,Pit!$A$4:$BF$1557,56,FALSE))</f>
        <v>0</v>
      </c>
      <c r="V58" s="50">
        <f>IF($C58="B",VLOOKUP($A58,Bat!$A$4:$BA$1621,48,FALSE),VLOOKUP($A58,Pit!$A$4:$BF$1557,57,FALSE))</f>
        <v>0</v>
      </c>
      <c r="W58" s="50">
        <f>Table5[[#This Row],[posRnk]]+Table5[[#This Row],[zRnk]]+IF($W$3&lt;&gt;Table5[[#This Row],[Type]],50,0)</f>
        <v>191</v>
      </c>
      <c r="X58" s="51">
        <f>RANK(Table5[[#This Row],[zScore]],Table5[[#All],[zScore]])</f>
        <v>86</v>
      </c>
      <c r="Y58" s="50">
        <f>IFERROR(INDEX(DraftResults[[#All],[OVR]],MATCH(Table5[[#This Row],[PID]],DraftResults[[#All],[Player ID]],0)),"")</f>
        <v>54</v>
      </c>
      <c r="Z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8" s="50">
        <f>IFERROR(INDEX(DraftResults[[#All],[Pick in Round]],MATCH(Table5[[#This Row],[PID]],DraftResults[[#All],[Player ID]],0)),"")</f>
        <v>19</v>
      </c>
      <c r="AB58" s="50" t="str">
        <f>IFERROR(INDEX(DraftResults[[#All],[Team Name]],MATCH(Table5[[#This Row],[PID]],DraftResults[[#All],[Player ID]],0)),"")</f>
        <v>Madison Malts</v>
      </c>
      <c r="AC58" s="50">
        <f>IF(Table5[[#This Row],[Ovr]]="","",IF(Table5[[#This Row],[cmbList]]="","",Table5[[#This Row],[cmbList]]-Table5[[#This Row],[Ovr]]))</f>
        <v>137</v>
      </c>
      <c r="AD58" s="54" t="str">
        <f>IF(ISERROR(VLOOKUP($AB58&amp;"-"&amp;$E58&amp;" "&amp;F58,Bonuses!$B$1:$G$1006,4,FALSE)),"",INT(VLOOKUP($AB58&amp;"-"&amp;$E58&amp;" "&amp;$F58,Bonuses!$B$1:$G$1006,4,FALSE)))</f>
        <v/>
      </c>
      <c r="AE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2.19 (54) - CL Mannus Dubbeldam</v>
      </c>
    </row>
    <row r="59" spans="1:31" s="50" customFormat="1" x14ac:dyDescent="0.25">
      <c r="A59" s="50">
        <v>18291</v>
      </c>
      <c r="B59" s="50">
        <f>COUNTIF(Table5[PID],A59)</f>
        <v>1</v>
      </c>
      <c r="C59" s="50" t="str">
        <f>IF(COUNTIF(Table3[[#All],[PID]],A59)&gt;0,"P","B")</f>
        <v>B</v>
      </c>
      <c r="D59" s="59" t="str">
        <f>IF($C59="B",INDEX(Batters[[#All],[POS]],MATCH(Table5[[#This Row],[PID]],Batters[[#All],[PID]],0)),INDEX(Table3[[#All],[POS]],MATCH(Table5[[#This Row],[PID]],Table3[[#All],[PID]],0)))</f>
        <v>C</v>
      </c>
      <c r="E59" s="52" t="str">
        <f>IF($C59="B",INDEX(Batters[[#All],[First]],MATCH(Table5[[#This Row],[PID]],Batters[[#All],[PID]],0)),INDEX(Table3[[#All],[First]],MATCH(Table5[[#This Row],[PID]],Table3[[#All],[PID]],0)))</f>
        <v>Andre</v>
      </c>
      <c r="F59" s="50" t="str">
        <f>IF($C59="B",INDEX(Batters[[#All],[Last]],MATCH(A59,Batters[[#All],[PID]],0)),INDEX(Table3[[#All],[Last]],MATCH(A59,Table3[[#All],[PID]],0)))</f>
        <v>Cooper</v>
      </c>
      <c r="G59" s="56">
        <f>IF($C59="B",INDEX(Batters[[#All],[Age]],MATCH(Table5[[#This Row],[PID]],Batters[[#All],[PID]],0)),INDEX(Table3[[#All],[Age]],MATCH(Table5[[#This Row],[PID]],Table3[[#All],[PID]],0)))</f>
        <v>21</v>
      </c>
      <c r="H59" s="52" t="str">
        <f>IF($C59="B",INDEX(Batters[[#All],[B]],MATCH(Table5[[#This Row],[PID]],Batters[[#All],[PID]],0)),INDEX(Table3[[#All],[B]],MATCH(Table5[[#This Row],[PID]],Table3[[#All],[PID]],0)))</f>
        <v>S</v>
      </c>
      <c r="I59" s="52" t="str">
        <f>IF($C59="B",INDEX(Batters[[#All],[T]],MATCH(Table5[[#This Row],[PID]],Batters[[#All],[PID]],0)),INDEX(Table3[[#All],[T]],MATCH(Table5[[#This Row],[PID]],Table3[[#All],[PID]],0)))</f>
        <v>R</v>
      </c>
      <c r="J59" s="52" t="str">
        <f>IF($C59="B",INDEX(Batters[[#All],[WE]],MATCH(Table5[[#This Row],[PID]],Batters[[#All],[PID]],0)),INDEX(Table3[[#All],[WE]],MATCH(Table5[[#This Row],[PID]],Table3[[#All],[PID]],0)))</f>
        <v>Normal</v>
      </c>
      <c r="K59" s="52" t="str">
        <f>IF($C59="B",INDEX(Batters[[#All],[INT]],MATCH(Table5[[#This Row],[PID]],Batters[[#All],[PID]],0)),INDEX(Table3[[#All],[INT]],MATCH(Table5[[#This Row],[PID]],Table3[[#All],[PID]],0)))</f>
        <v>Normal</v>
      </c>
      <c r="L59" s="60">
        <f>IF($C59="B",INDEX(Batters[[#All],[CON P]],MATCH(Table5[[#This Row],[PID]],Batters[[#All],[PID]],0)),INDEX(Table3[[#All],[STU P]],MATCH(Table5[[#This Row],[PID]],Table3[[#All],[PID]],0)))</f>
        <v>4</v>
      </c>
      <c r="M59" s="56">
        <f>IF($C59="B",INDEX(Batters[[#All],[GAP P]],MATCH(Table5[[#This Row],[PID]],Batters[[#All],[PID]],0)),INDEX(Table3[[#All],[MOV P]],MATCH(Table5[[#This Row],[PID]],Table3[[#All],[PID]],0)))</f>
        <v>7</v>
      </c>
      <c r="N59" s="56">
        <f>IF($C59="B",INDEX(Batters[[#All],[POW P]],MATCH(Table5[[#This Row],[PID]],Batters[[#All],[PID]],0)),INDEX(Table3[[#All],[CON P]],MATCH(Table5[[#This Row],[PID]],Table3[[#All],[PID]],0)))</f>
        <v>5</v>
      </c>
      <c r="O59" s="56">
        <f>IF($C59="B",INDEX(Batters[[#All],[EYE P]],MATCH(Table5[[#This Row],[PID]],Batters[[#All],[PID]],0)),INDEX(Table3[[#All],[VELO]],MATCH(Table5[[#This Row],[PID]],Table3[[#All],[PID]],0)))</f>
        <v>5</v>
      </c>
      <c r="P59" s="56">
        <f>IF($C59="B",INDEX(Batters[[#All],[K P]],MATCH(Table5[[#This Row],[PID]],Batters[[#All],[PID]],0)),INDEX(Table3[[#All],[STM]],MATCH(Table5[[#This Row],[PID]],Table3[[#All],[PID]],0)))</f>
        <v>6</v>
      </c>
      <c r="Q59" s="61">
        <f>IF($C59="B",INDEX(Batters[[#All],[Tot]],MATCH(Table5[[#This Row],[PID]],Batters[[#All],[PID]],0)),INDEX(Table3[[#All],[Tot]],MATCH(Table5[[#This Row],[PID]],Table3[[#All],[PID]],0)))</f>
        <v>47.009561052767133</v>
      </c>
      <c r="R59" s="52">
        <f>IF($C59="B",INDEX(Batters[[#All],[zScore]],MATCH(Table5[[#This Row],[PID]],Batters[[#All],[PID]],0)),INDEX(Table3[[#All],[zScore]],MATCH(Table5[[#This Row],[PID]],Table3[[#All],[PID]],0)))</f>
        <v>0.6379881000272466</v>
      </c>
      <c r="S59" s="58" t="str">
        <f>IF($C59="B",INDEX(Batters[[#All],[DEM]],MATCH(Table5[[#This Row],[PID]],Batters[[#All],[PID]],0)),INDEX(Table3[[#All],[DEM]],MATCH(Table5[[#This Row],[PID]],Table3[[#All],[PID]],0)))</f>
        <v>$36k</v>
      </c>
      <c r="T59" s="62">
        <f>IF($C59="B",INDEX(Batters[[#All],[Rnk]],MATCH(Table5[[#This Row],[PID]],Batters[[#All],[PID]],0)),INDEX(Table3[[#All],[Rnk]],MATCH(Table5[[#This Row],[PID]],Table3[[#All],[PID]],0)))</f>
        <v>131</v>
      </c>
      <c r="U59" s="68">
        <f>IF($C59="B",VLOOKUP($A59,Bat!$A$4:$BA$1621,47,FALSE),VLOOKUP($A59,Pit!$A$4:$BF$1557,56,FALSE))</f>
        <v>0</v>
      </c>
      <c r="V59" s="50">
        <f>IF($C59="B",VLOOKUP($A59,Bat!$A$4:$BA$1621,48,FALSE),VLOOKUP($A59,Pit!$A$4:$BF$1557,57,FALSE))</f>
        <v>0</v>
      </c>
      <c r="W59" s="50">
        <f>Table5[[#This Row],[posRnk]]+Table5[[#This Row],[zRnk]]+IF($W$3&lt;&gt;Table5[[#This Row],[Type]],50,0)</f>
        <v>505</v>
      </c>
      <c r="X59" s="51">
        <f>RANK(Table5[[#This Row],[zScore]],Table5[[#All],[zScore]])</f>
        <v>324</v>
      </c>
      <c r="Y59" s="50">
        <f>IFERROR(INDEX(DraftResults[[#All],[OVR]],MATCH(Table5[[#This Row],[PID]],DraftResults[[#All],[Player ID]],0)),"")</f>
        <v>55</v>
      </c>
      <c r="Z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59" s="50">
        <f>IFERROR(INDEX(DraftResults[[#All],[Pick in Round]],MATCH(Table5[[#This Row],[PID]],DraftResults[[#All],[Player ID]],0)),"")</f>
        <v>20</v>
      </c>
      <c r="AB59" s="50" t="str">
        <f>IFERROR(INDEX(DraftResults[[#All],[Team Name]],MATCH(Table5[[#This Row],[PID]],DraftResults[[#All],[Player ID]],0)),"")</f>
        <v>Florida Farstriders</v>
      </c>
      <c r="AC59" s="50">
        <f>IF(Table5[[#This Row],[Ovr]]="","",IF(Table5[[#This Row],[cmbList]]="","",Table5[[#This Row],[cmbList]]-Table5[[#This Row],[Ovr]]))</f>
        <v>450</v>
      </c>
      <c r="AD59" s="54" t="str">
        <f>IF(ISERROR(VLOOKUP($AB59&amp;"-"&amp;$E59&amp;" "&amp;F59,Bonuses!$B$1:$G$1006,4,FALSE)),"",INT(VLOOKUP($AB59&amp;"-"&amp;$E59&amp;" "&amp;$F59,Bonuses!$B$1:$G$1006,4,FALSE)))</f>
        <v/>
      </c>
      <c r="AE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2.20 (55) - C Andre Cooper</v>
      </c>
    </row>
    <row r="60" spans="1:31" s="50" customFormat="1" x14ac:dyDescent="0.25">
      <c r="A60" s="50">
        <v>18395</v>
      </c>
      <c r="B60" s="50">
        <f>COUNTIF(Table5[PID],A60)</f>
        <v>1</v>
      </c>
      <c r="C60" s="50" t="str">
        <f>IF(COUNTIF(Table3[[#All],[PID]],A60)&gt;0,"P","B")</f>
        <v>B</v>
      </c>
      <c r="D60" s="59" t="str">
        <f>IF($C60="B",INDEX(Batters[[#All],[POS]],MATCH(Table5[[#This Row],[PID]],Batters[[#All],[PID]],0)),INDEX(Table3[[#All],[POS]],MATCH(Table5[[#This Row],[PID]],Table3[[#All],[PID]],0)))</f>
        <v>RF</v>
      </c>
      <c r="E60" s="52" t="str">
        <f>IF($C60="B",INDEX(Batters[[#All],[First]],MATCH(Table5[[#This Row],[PID]],Batters[[#All],[PID]],0)),INDEX(Table3[[#All],[First]],MATCH(Table5[[#This Row],[PID]],Table3[[#All],[PID]],0)))</f>
        <v>Declan</v>
      </c>
      <c r="F60" s="50" t="str">
        <f>IF($C60="B",INDEX(Batters[[#All],[Last]],MATCH(A60,Batters[[#All],[PID]],0)),INDEX(Table3[[#All],[Last]],MATCH(A60,Table3[[#All],[PID]],0)))</f>
        <v>Wanlace</v>
      </c>
      <c r="G60" s="56">
        <f>IF($C60="B",INDEX(Batters[[#All],[Age]],MATCH(Table5[[#This Row],[PID]],Batters[[#All],[PID]],0)),INDEX(Table3[[#All],[Age]],MATCH(Table5[[#This Row],[PID]],Table3[[#All],[PID]],0)))</f>
        <v>18</v>
      </c>
      <c r="H60" s="52" t="str">
        <f>IF($C60="B",INDEX(Batters[[#All],[B]],MATCH(Table5[[#This Row],[PID]],Batters[[#All],[PID]],0)),INDEX(Table3[[#All],[B]],MATCH(Table5[[#This Row],[PID]],Table3[[#All],[PID]],0)))</f>
        <v>L</v>
      </c>
      <c r="I60" s="52" t="str">
        <f>IF($C60="B",INDEX(Batters[[#All],[T]],MATCH(Table5[[#This Row],[PID]],Batters[[#All],[PID]],0)),INDEX(Table3[[#All],[T]],MATCH(Table5[[#This Row],[PID]],Table3[[#All],[PID]],0)))</f>
        <v>L</v>
      </c>
      <c r="J60" s="52" t="str">
        <f>IF($C60="B",INDEX(Batters[[#All],[WE]],MATCH(Table5[[#This Row],[PID]],Batters[[#All],[PID]],0)),INDEX(Table3[[#All],[WE]],MATCH(Table5[[#This Row],[PID]],Table3[[#All],[PID]],0)))</f>
        <v>Normal</v>
      </c>
      <c r="K60" s="52" t="str">
        <f>IF($C60="B",INDEX(Batters[[#All],[INT]],MATCH(Table5[[#This Row],[PID]],Batters[[#All],[PID]],0)),INDEX(Table3[[#All],[INT]],MATCH(Table5[[#This Row],[PID]],Table3[[#All],[PID]],0)))</f>
        <v>High</v>
      </c>
      <c r="L60" s="60">
        <f>IF($C60="B",INDEX(Batters[[#All],[CON P]],MATCH(Table5[[#This Row],[PID]],Batters[[#All],[PID]],0)),INDEX(Table3[[#All],[STU P]],MATCH(Table5[[#This Row],[PID]],Table3[[#All],[PID]],0)))</f>
        <v>5</v>
      </c>
      <c r="M60" s="56">
        <f>IF($C60="B",INDEX(Batters[[#All],[GAP P]],MATCH(Table5[[#This Row],[PID]],Batters[[#All],[PID]],0)),INDEX(Table3[[#All],[MOV P]],MATCH(Table5[[#This Row],[PID]],Table3[[#All],[PID]],0)))</f>
        <v>6</v>
      </c>
      <c r="N60" s="56">
        <f>IF($C60="B",INDEX(Batters[[#All],[POW P]],MATCH(Table5[[#This Row],[PID]],Batters[[#All],[PID]],0)),INDEX(Table3[[#All],[CON P]],MATCH(Table5[[#This Row],[PID]],Table3[[#All],[PID]],0)))</f>
        <v>6</v>
      </c>
      <c r="O60" s="56">
        <f>IF($C60="B",INDEX(Batters[[#All],[EYE P]],MATCH(Table5[[#This Row],[PID]],Batters[[#All],[PID]],0)),INDEX(Table3[[#All],[VELO]],MATCH(Table5[[#This Row],[PID]],Table3[[#All],[PID]],0)))</f>
        <v>5</v>
      </c>
      <c r="P60" s="56">
        <f>IF($C60="B",INDEX(Batters[[#All],[K P]],MATCH(Table5[[#This Row],[PID]],Batters[[#All],[PID]],0)),INDEX(Table3[[#All],[STM]],MATCH(Table5[[#This Row],[PID]],Table3[[#All],[PID]],0)))</f>
        <v>6</v>
      </c>
      <c r="Q60" s="61">
        <f>IF($C60="B",INDEX(Batters[[#All],[Tot]],MATCH(Table5[[#This Row],[PID]],Batters[[#All],[PID]],0)),INDEX(Table3[[#All],[Tot]],MATCH(Table5[[#This Row],[PID]],Table3[[#All],[PID]],0)))</f>
        <v>55.392500894169117</v>
      </c>
      <c r="R60" s="52">
        <f>IF($C60="B",INDEX(Batters[[#All],[zScore]],MATCH(Table5[[#This Row],[PID]],Batters[[#All],[PID]],0)),INDEX(Table3[[#All],[zScore]],MATCH(Table5[[#This Row],[PID]],Table3[[#All],[PID]],0)))</f>
        <v>2.4965425262806162</v>
      </c>
      <c r="S60" s="58" t="str">
        <f>IF($C60="B",INDEX(Batters[[#All],[DEM]],MATCH(Table5[[#This Row],[PID]],Batters[[#All],[PID]],0)),INDEX(Table3[[#All],[DEM]],MATCH(Table5[[#This Row],[PID]],Table3[[#All],[PID]],0)))</f>
        <v>$75k</v>
      </c>
      <c r="T60" s="62">
        <f>IF($C60="B",INDEX(Batters[[#All],[Rnk]],MATCH(Table5[[#This Row],[PID]],Batters[[#All],[PID]],0)),INDEX(Table3[[#All],[Rnk]],MATCH(Table5[[#This Row],[PID]],Table3[[#All],[PID]],0)))</f>
        <v>9</v>
      </c>
      <c r="U60" s="68">
        <f>IF($C60="B",VLOOKUP($A60,Bat!$A$4:$BA$1621,47,FALSE),VLOOKUP($A60,Pit!$A$4:$BF$1557,56,FALSE))</f>
        <v>0</v>
      </c>
      <c r="V60" s="50">
        <f>IF($C60="B",VLOOKUP($A60,Bat!$A$4:$BA$1621,48,FALSE),VLOOKUP($A60,Pit!$A$4:$BF$1557,57,FALSE))</f>
        <v>0</v>
      </c>
      <c r="W60" s="50">
        <f>Table5[[#This Row],[posRnk]]+Table5[[#This Row],[zRnk]]+IF($W$3&lt;&gt;Table5[[#This Row],[Type]],50,0)</f>
        <v>75</v>
      </c>
      <c r="X60" s="51">
        <f>RANK(Table5[[#This Row],[zScore]],Table5[[#All],[zScore]])</f>
        <v>16</v>
      </c>
      <c r="Y60" s="50">
        <f>IFERROR(INDEX(DraftResults[[#All],[OVR]],MATCH(Table5[[#This Row],[PID]],DraftResults[[#All],[Player ID]],0)),"")</f>
        <v>56</v>
      </c>
      <c r="Z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0" s="50">
        <f>IFERROR(INDEX(DraftResults[[#All],[Pick in Round]],MATCH(Table5[[#This Row],[PID]],DraftResults[[#All],[Player ID]],0)),"")</f>
        <v>21</v>
      </c>
      <c r="AB60" s="50" t="str">
        <f>IFERROR(INDEX(DraftResults[[#All],[Team Name]],MATCH(Table5[[#This Row],[PID]],DraftResults[[#All],[Player ID]],0)),"")</f>
        <v>Amsterdam Lions</v>
      </c>
      <c r="AC60" s="50">
        <f>IF(Table5[[#This Row],[Ovr]]="","",IF(Table5[[#This Row],[cmbList]]="","",Table5[[#This Row],[cmbList]]-Table5[[#This Row],[Ovr]]))</f>
        <v>19</v>
      </c>
      <c r="AD60" s="54" t="str">
        <f>IF(ISERROR(VLOOKUP($AB60&amp;"-"&amp;$E60&amp;" "&amp;F60,Bonuses!$B$1:$G$1006,4,FALSE)),"",INT(VLOOKUP($AB60&amp;"-"&amp;$E60&amp;" "&amp;$F60,Bonuses!$B$1:$G$1006,4,FALSE)))</f>
        <v/>
      </c>
      <c r="AE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2.21 (56) - RF Declan Wanlace</v>
      </c>
    </row>
    <row r="61" spans="1:31" s="50" customFormat="1" x14ac:dyDescent="0.25">
      <c r="A61" s="50">
        <v>20256</v>
      </c>
      <c r="B61" s="50">
        <f>COUNTIF(Table5[PID],A61)</f>
        <v>1</v>
      </c>
      <c r="C61" s="50" t="str">
        <f>IF(COUNTIF(Table3[[#All],[PID]],A61)&gt;0,"P","B")</f>
        <v>B</v>
      </c>
      <c r="D61" s="59" t="str">
        <f>IF($C61="B",INDEX(Batters[[#All],[POS]],MATCH(Table5[[#This Row],[PID]],Batters[[#All],[PID]],0)),INDEX(Table3[[#All],[POS]],MATCH(Table5[[#This Row],[PID]],Table3[[#All],[PID]],0)))</f>
        <v>LF</v>
      </c>
      <c r="E61" s="52" t="str">
        <f>IF($C61="B",INDEX(Batters[[#All],[First]],MATCH(Table5[[#This Row],[PID]],Batters[[#All],[PID]],0)),INDEX(Table3[[#All],[First]],MATCH(Table5[[#This Row],[PID]],Table3[[#All],[PID]],0)))</f>
        <v>Curt</v>
      </c>
      <c r="F61" s="50" t="str">
        <f>IF($C61="B",INDEX(Batters[[#All],[Last]],MATCH(A61,Batters[[#All],[PID]],0)),INDEX(Table3[[#All],[Last]],MATCH(A61,Table3[[#All],[PID]],0)))</f>
        <v>Darrah</v>
      </c>
      <c r="G61" s="56">
        <f>IF($C61="B",INDEX(Batters[[#All],[Age]],MATCH(Table5[[#This Row],[PID]],Batters[[#All],[PID]],0)),INDEX(Table3[[#All],[Age]],MATCH(Table5[[#This Row],[PID]],Table3[[#All],[PID]],0)))</f>
        <v>22</v>
      </c>
      <c r="H61" s="52" t="str">
        <f>IF($C61="B",INDEX(Batters[[#All],[B]],MATCH(Table5[[#This Row],[PID]],Batters[[#All],[PID]],0)),INDEX(Table3[[#All],[B]],MATCH(Table5[[#This Row],[PID]],Table3[[#All],[PID]],0)))</f>
        <v>L</v>
      </c>
      <c r="I61" s="52" t="str">
        <f>IF($C61="B",INDEX(Batters[[#All],[T]],MATCH(Table5[[#This Row],[PID]],Batters[[#All],[PID]],0)),INDEX(Table3[[#All],[T]],MATCH(Table5[[#This Row],[PID]],Table3[[#All],[PID]],0)))</f>
        <v>R</v>
      </c>
      <c r="J61" s="52" t="str">
        <f>IF($C61="B",INDEX(Batters[[#All],[WE]],MATCH(Table5[[#This Row],[PID]],Batters[[#All],[PID]],0)),INDEX(Table3[[#All],[WE]],MATCH(Table5[[#This Row],[PID]],Table3[[#All],[PID]],0)))</f>
        <v>High</v>
      </c>
      <c r="K61" s="52" t="str">
        <f>IF($C61="B",INDEX(Batters[[#All],[INT]],MATCH(Table5[[#This Row],[PID]],Batters[[#All],[PID]],0)),INDEX(Table3[[#All],[INT]],MATCH(Table5[[#This Row],[PID]],Table3[[#All],[PID]],0)))</f>
        <v>Normal</v>
      </c>
      <c r="L61" s="60">
        <f>IF($C61="B",INDEX(Batters[[#All],[CON P]],MATCH(Table5[[#This Row],[PID]],Batters[[#All],[PID]],0)),INDEX(Table3[[#All],[STU P]],MATCH(Table5[[#This Row],[PID]],Table3[[#All],[PID]],0)))</f>
        <v>3</v>
      </c>
      <c r="M61" s="56">
        <f>IF($C61="B",INDEX(Batters[[#All],[GAP P]],MATCH(Table5[[#This Row],[PID]],Batters[[#All],[PID]],0)),INDEX(Table3[[#All],[MOV P]],MATCH(Table5[[#This Row],[PID]],Table3[[#All],[PID]],0)))</f>
        <v>8</v>
      </c>
      <c r="N61" s="56">
        <f>IF($C61="B",INDEX(Batters[[#All],[POW P]],MATCH(Table5[[#This Row],[PID]],Batters[[#All],[PID]],0)),INDEX(Table3[[#All],[CON P]],MATCH(Table5[[#This Row],[PID]],Table3[[#All],[PID]],0)))</f>
        <v>9</v>
      </c>
      <c r="O61" s="56">
        <f>IF($C61="B",INDEX(Batters[[#All],[EYE P]],MATCH(Table5[[#This Row],[PID]],Batters[[#All],[PID]],0)),INDEX(Table3[[#All],[VELO]],MATCH(Table5[[#This Row],[PID]],Table3[[#All],[PID]],0)))</f>
        <v>5</v>
      </c>
      <c r="P61" s="56">
        <f>IF($C61="B",INDEX(Batters[[#All],[K P]],MATCH(Table5[[#This Row],[PID]],Batters[[#All],[PID]],0)),INDEX(Table3[[#All],[STM]],MATCH(Table5[[#This Row],[PID]],Table3[[#All],[PID]],0)))</f>
        <v>1</v>
      </c>
      <c r="Q61" s="61">
        <f>IF($C61="B",INDEX(Batters[[#All],[Tot]],MATCH(Table5[[#This Row],[PID]],Batters[[#All],[PID]],0)),INDEX(Table3[[#All],[Tot]],MATCH(Table5[[#This Row],[PID]],Table3[[#All],[PID]],0)))</f>
        <v>45.004858651530249</v>
      </c>
      <c r="R61" s="52">
        <f>IF($C61="B",INDEX(Batters[[#All],[zScore]],MATCH(Table5[[#This Row],[PID]],Batters[[#All],[PID]],0)),INDEX(Table3[[#All],[zScore]],MATCH(Table5[[#This Row],[PID]],Table3[[#All],[PID]],0)))</f>
        <v>0.19353202714238515</v>
      </c>
      <c r="S61" s="58" t="str">
        <f>IF($C61="B",INDEX(Batters[[#All],[DEM]],MATCH(Table5[[#This Row],[PID]],Batters[[#All],[PID]],0)),INDEX(Table3[[#All],[DEM]],MATCH(Table5[[#This Row],[PID]],Table3[[#All],[PID]],0)))</f>
        <v>$20k</v>
      </c>
      <c r="T61" s="62">
        <f>IF($C61="B",INDEX(Batters[[#All],[Rnk]],MATCH(Table5[[#This Row],[PID]],Batters[[#All],[PID]],0)),INDEX(Table3[[#All],[Rnk]],MATCH(Table5[[#This Row],[PID]],Table3[[#All],[PID]],0)))</f>
        <v>207</v>
      </c>
      <c r="U61" s="68">
        <f>IF($C61="B",VLOOKUP($A61,Bat!$A$4:$BA$1621,47,FALSE),VLOOKUP($A61,Pit!$A$4:$BF$1557,56,FALSE))</f>
        <v>0</v>
      </c>
      <c r="V61" s="50">
        <f>IF($C61="B",VLOOKUP($A61,Bat!$A$4:$BA$1621,48,FALSE),VLOOKUP($A61,Pit!$A$4:$BF$1557,57,FALSE))</f>
        <v>0</v>
      </c>
      <c r="W61" s="50">
        <f>Table5[[#This Row],[posRnk]]+Table5[[#This Row],[zRnk]]+IF($W$3&lt;&gt;Table5[[#This Row],[Type]],50,0)</f>
        <v>729</v>
      </c>
      <c r="X61" s="51">
        <f>RANK(Table5[[#This Row],[zScore]],Table5[[#All],[zScore]])</f>
        <v>472</v>
      </c>
      <c r="Y61" s="50">
        <f>IFERROR(INDEX(DraftResults[[#All],[OVR]],MATCH(Table5[[#This Row],[PID]],DraftResults[[#All],[Player ID]],0)),"")</f>
        <v>57</v>
      </c>
      <c r="Z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1" s="50">
        <f>IFERROR(INDEX(DraftResults[[#All],[Pick in Round]],MATCH(Table5[[#This Row],[PID]],DraftResults[[#All],[Player ID]],0)),"")</f>
        <v>22</v>
      </c>
      <c r="AB61" s="50" t="str">
        <f>IFERROR(INDEX(DraftResults[[#All],[Team Name]],MATCH(Table5[[#This Row],[PID]],DraftResults[[#All],[Player ID]],0)),"")</f>
        <v>Palm Springs Codgers</v>
      </c>
      <c r="AC61" s="50">
        <f>IF(Table5[[#This Row],[Ovr]]="","",IF(Table5[[#This Row],[cmbList]]="","",Table5[[#This Row],[cmbList]]-Table5[[#This Row],[Ovr]]))</f>
        <v>672</v>
      </c>
      <c r="AD61" s="54" t="str">
        <f>IF(ISERROR(VLOOKUP($AB61&amp;"-"&amp;$E61&amp;" "&amp;F61,Bonuses!$B$1:$G$1006,4,FALSE)),"",INT(VLOOKUP($AB61&amp;"-"&amp;$E61&amp;" "&amp;$F61,Bonuses!$B$1:$G$1006,4,FALSE)))</f>
        <v/>
      </c>
      <c r="AE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2.22 (57) - LF Curt Darrah</v>
      </c>
    </row>
    <row r="62" spans="1:31" s="50" customFormat="1" x14ac:dyDescent="0.25">
      <c r="A62" s="50">
        <v>18146</v>
      </c>
      <c r="B62" s="50">
        <f>COUNTIF(Table5[PID],A62)</f>
        <v>1</v>
      </c>
      <c r="C62" s="50" t="str">
        <f>IF(COUNTIF(Table3[[#All],[PID]],A62)&gt;0,"P","B")</f>
        <v>B</v>
      </c>
      <c r="D62" s="59" t="str">
        <f>IF($C62="B",INDEX(Batters[[#All],[POS]],MATCH(Table5[[#This Row],[PID]],Batters[[#All],[PID]],0)),INDEX(Table3[[#All],[POS]],MATCH(Table5[[#This Row],[PID]],Table3[[#All],[PID]],0)))</f>
        <v>LF</v>
      </c>
      <c r="E62" s="52" t="str">
        <f>IF($C62="B",INDEX(Batters[[#All],[First]],MATCH(Table5[[#This Row],[PID]],Batters[[#All],[PID]],0)),INDEX(Table3[[#All],[First]],MATCH(Table5[[#This Row],[PID]],Table3[[#All],[PID]],0)))</f>
        <v>Owen</v>
      </c>
      <c r="F62" s="50" t="str">
        <f>IF($C62="B",INDEX(Batters[[#All],[Last]],MATCH(A62,Batters[[#All],[PID]],0)),INDEX(Table3[[#All],[Last]],MATCH(A62,Table3[[#All],[PID]],0)))</f>
        <v>Ross</v>
      </c>
      <c r="G62" s="56">
        <f>IF($C62="B",INDEX(Batters[[#All],[Age]],MATCH(Table5[[#This Row],[PID]],Batters[[#All],[PID]],0)),INDEX(Table3[[#All],[Age]],MATCH(Table5[[#This Row],[PID]],Table3[[#All],[PID]],0)))</f>
        <v>21</v>
      </c>
      <c r="H62" s="52" t="str">
        <f>IF($C62="B",INDEX(Batters[[#All],[B]],MATCH(Table5[[#This Row],[PID]],Batters[[#All],[PID]],0)),INDEX(Table3[[#All],[B]],MATCH(Table5[[#This Row],[PID]],Table3[[#All],[PID]],0)))</f>
        <v>R</v>
      </c>
      <c r="I62" s="52" t="str">
        <f>IF($C62="B",INDEX(Batters[[#All],[T]],MATCH(Table5[[#This Row],[PID]],Batters[[#All],[PID]],0)),INDEX(Table3[[#All],[T]],MATCH(Table5[[#This Row],[PID]],Table3[[#All],[PID]],0)))</f>
        <v>R</v>
      </c>
      <c r="J62" s="52" t="str">
        <f>IF($C62="B",INDEX(Batters[[#All],[WE]],MATCH(Table5[[#This Row],[PID]],Batters[[#All],[PID]],0)),INDEX(Table3[[#All],[WE]],MATCH(Table5[[#This Row],[PID]],Table3[[#All],[PID]],0)))</f>
        <v>Normal</v>
      </c>
      <c r="K62" s="52" t="str">
        <f>IF($C62="B",INDEX(Batters[[#All],[INT]],MATCH(Table5[[#This Row],[PID]],Batters[[#All],[PID]],0)),INDEX(Table3[[#All],[INT]],MATCH(Table5[[#This Row],[PID]],Table3[[#All],[PID]],0)))</f>
        <v>Normal</v>
      </c>
      <c r="L62" s="60">
        <f>IF($C62="B",INDEX(Batters[[#All],[CON P]],MATCH(Table5[[#This Row],[PID]],Batters[[#All],[PID]],0)),INDEX(Table3[[#All],[STU P]],MATCH(Table5[[#This Row],[PID]],Table3[[#All],[PID]],0)))</f>
        <v>5</v>
      </c>
      <c r="M62" s="56">
        <f>IF($C62="B",INDEX(Batters[[#All],[GAP P]],MATCH(Table5[[#This Row],[PID]],Batters[[#All],[PID]],0)),INDEX(Table3[[#All],[MOV P]],MATCH(Table5[[#This Row],[PID]],Table3[[#All],[PID]],0)))</f>
        <v>6</v>
      </c>
      <c r="N62" s="56">
        <f>IF($C62="B",INDEX(Batters[[#All],[POW P]],MATCH(Table5[[#This Row],[PID]],Batters[[#All],[PID]],0)),INDEX(Table3[[#All],[CON P]],MATCH(Table5[[#This Row],[PID]],Table3[[#All],[PID]],0)))</f>
        <v>2</v>
      </c>
      <c r="O62" s="56">
        <f>IF($C62="B",INDEX(Batters[[#All],[EYE P]],MATCH(Table5[[#This Row],[PID]],Batters[[#All],[PID]],0)),INDEX(Table3[[#All],[VELO]],MATCH(Table5[[#This Row],[PID]],Table3[[#All],[PID]],0)))</f>
        <v>3</v>
      </c>
      <c r="P62" s="56">
        <f>IF($C62="B",INDEX(Batters[[#All],[K P]],MATCH(Table5[[#This Row],[PID]],Batters[[#All],[PID]],0)),INDEX(Table3[[#All],[STM]],MATCH(Table5[[#This Row],[PID]],Table3[[#All],[PID]],0)))</f>
        <v>7</v>
      </c>
      <c r="Q62" s="61">
        <f>IF($C62="B",INDEX(Batters[[#All],[Tot]],MATCH(Table5[[#This Row],[PID]],Batters[[#All],[PID]],0)),INDEX(Table3[[#All],[Tot]],MATCH(Table5[[#This Row],[PID]],Table3[[#All],[PID]],0)))</f>
        <v>45.464805427720826</v>
      </c>
      <c r="R62" s="52">
        <f>IF($C62="B",INDEX(Batters[[#All],[zScore]],MATCH(Table5[[#This Row],[PID]],Batters[[#All],[PID]],0)),INDEX(Table3[[#All],[zScore]],MATCH(Table5[[#This Row],[PID]],Table3[[#All],[PID]],0)))</f>
        <v>0.29550533637550974</v>
      </c>
      <c r="S62" s="58" t="str">
        <f>IF($C62="B",INDEX(Batters[[#All],[DEM]],MATCH(Table5[[#This Row],[PID]],Batters[[#All],[PID]],0)),INDEX(Table3[[#All],[DEM]],MATCH(Table5[[#This Row],[PID]],Table3[[#All],[PID]],0)))</f>
        <v>$20k</v>
      </c>
      <c r="T62" s="62">
        <f>IF($C62="B",INDEX(Batters[[#All],[Rnk]],MATCH(Table5[[#This Row],[PID]],Batters[[#All],[PID]],0)),INDEX(Table3[[#All],[Rnk]],MATCH(Table5[[#This Row],[PID]],Table3[[#All],[PID]],0)))</f>
        <v>175</v>
      </c>
      <c r="U62" s="68">
        <f>IF($C62="B",VLOOKUP($A62,Bat!$A$4:$BA$1621,47,FALSE),VLOOKUP($A62,Pit!$A$4:$BF$1557,56,FALSE))</f>
        <v>0</v>
      </c>
      <c r="V62" s="50">
        <f>IF($C62="B",VLOOKUP($A62,Bat!$A$4:$BA$1621,48,FALSE),VLOOKUP($A62,Pit!$A$4:$BF$1557,57,FALSE))</f>
        <v>0</v>
      </c>
      <c r="W62" s="50">
        <f>Table5[[#This Row],[posRnk]]+Table5[[#This Row],[zRnk]]+IF($W$3&lt;&gt;Table5[[#This Row],[Type]],50,0)</f>
        <v>643</v>
      </c>
      <c r="X62" s="51">
        <f>RANK(Table5[[#This Row],[zScore]],Table5[[#All],[zScore]])</f>
        <v>418</v>
      </c>
      <c r="Y62" s="50">
        <f>IFERROR(INDEX(DraftResults[[#All],[OVR]],MATCH(Table5[[#This Row],[PID]],DraftResults[[#All],[Player ID]],0)),"")</f>
        <v>58</v>
      </c>
      <c r="Z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2" s="50">
        <f>IFERROR(INDEX(DraftResults[[#All],[Pick in Round]],MATCH(Table5[[#This Row],[PID]],DraftResults[[#All],[Player ID]],0)),"")</f>
        <v>23</v>
      </c>
      <c r="AB62" s="50" t="str">
        <f>IFERROR(INDEX(DraftResults[[#All],[Team Name]],MATCH(Table5[[#This Row],[PID]],DraftResults[[#All],[Player ID]],0)),"")</f>
        <v>New Orleans Trendsetters</v>
      </c>
      <c r="AC62" s="50">
        <f>IF(Table5[[#This Row],[Ovr]]="","",IF(Table5[[#This Row],[cmbList]]="","",Table5[[#This Row],[cmbList]]-Table5[[#This Row],[Ovr]]))</f>
        <v>585</v>
      </c>
      <c r="AD62" s="54" t="str">
        <f>IF(ISERROR(VLOOKUP($AB62&amp;"-"&amp;$E62&amp;" "&amp;F62,Bonuses!$B$1:$G$1006,4,FALSE)),"",INT(VLOOKUP($AB62&amp;"-"&amp;$E62&amp;" "&amp;$F62,Bonuses!$B$1:$G$1006,4,FALSE)))</f>
        <v/>
      </c>
      <c r="AE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2.23 (58) - LF Owen Ross</v>
      </c>
    </row>
    <row r="63" spans="1:31" s="50" customFormat="1" x14ac:dyDescent="0.25">
      <c r="A63" s="50">
        <v>18379</v>
      </c>
      <c r="B63" s="50">
        <f>COUNTIF(Table5[PID],A63)</f>
        <v>1</v>
      </c>
      <c r="C63" s="50" t="str">
        <f>IF(COUNTIF(Table3[[#All],[PID]],A63)&gt;0,"P","B")</f>
        <v>P</v>
      </c>
      <c r="D63" s="59" t="str">
        <f>IF($C63="B",INDEX(Batters[[#All],[POS]],MATCH(Table5[[#This Row],[PID]],Batters[[#All],[PID]],0)),INDEX(Table3[[#All],[POS]],MATCH(Table5[[#This Row],[PID]],Table3[[#All],[PID]],0)))</f>
        <v>CL</v>
      </c>
      <c r="E63" s="52" t="str">
        <f>IF($C63="B",INDEX(Batters[[#All],[First]],MATCH(Table5[[#This Row],[PID]],Batters[[#All],[PID]],0)),INDEX(Table3[[#All],[First]],MATCH(Table5[[#This Row],[PID]],Table3[[#All],[PID]],0)))</f>
        <v>Tetsuzan</v>
      </c>
      <c r="F63" s="50" t="str">
        <f>IF($C63="B",INDEX(Batters[[#All],[Last]],MATCH(A63,Batters[[#All],[PID]],0)),INDEX(Table3[[#All],[Last]],MATCH(A63,Table3[[#All],[PID]],0)))</f>
        <v>Hashimoto</v>
      </c>
      <c r="G63" s="56">
        <f>IF($C63="B",INDEX(Batters[[#All],[Age]],MATCH(Table5[[#This Row],[PID]],Batters[[#All],[PID]],0)),INDEX(Table3[[#All],[Age]],MATCH(Table5[[#This Row],[PID]],Table3[[#All],[PID]],0)))</f>
        <v>18</v>
      </c>
      <c r="H63" s="52" t="str">
        <f>IF($C63="B",INDEX(Batters[[#All],[B]],MATCH(Table5[[#This Row],[PID]],Batters[[#All],[PID]],0)),INDEX(Table3[[#All],[B]],MATCH(Table5[[#This Row],[PID]],Table3[[#All],[PID]],0)))</f>
        <v>L</v>
      </c>
      <c r="I63" s="52" t="str">
        <f>IF($C63="B",INDEX(Batters[[#All],[T]],MATCH(Table5[[#This Row],[PID]],Batters[[#All],[PID]],0)),INDEX(Table3[[#All],[T]],MATCH(Table5[[#This Row],[PID]],Table3[[#All],[PID]],0)))</f>
        <v>L</v>
      </c>
      <c r="J63" s="52" t="str">
        <f>IF($C63="B",INDEX(Batters[[#All],[WE]],MATCH(Table5[[#This Row],[PID]],Batters[[#All],[PID]],0)),INDEX(Table3[[#All],[WE]],MATCH(Table5[[#This Row],[PID]],Table3[[#All],[PID]],0)))</f>
        <v>Normal</v>
      </c>
      <c r="K63" s="52" t="str">
        <f>IF($C63="B",INDEX(Batters[[#All],[INT]],MATCH(Table5[[#This Row],[PID]],Batters[[#All],[PID]],0)),INDEX(Table3[[#All],[INT]],MATCH(Table5[[#This Row],[PID]],Table3[[#All],[PID]],0)))</f>
        <v>Normal</v>
      </c>
      <c r="L63" s="60">
        <f>IF($C63="B",INDEX(Batters[[#All],[CON P]],MATCH(Table5[[#This Row],[PID]],Batters[[#All],[PID]],0)),INDEX(Table3[[#All],[STU P]],MATCH(Table5[[#This Row],[PID]],Table3[[#All],[PID]],0)))</f>
        <v>6</v>
      </c>
      <c r="M63" s="56">
        <f>IF($C63="B",INDEX(Batters[[#All],[GAP P]],MATCH(Table5[[#This Row],[PID]],Batters[[#All],[PID]],0)),INDEX(Table3[[#All],[MOV P]],MATCH(Table5[[#This Row],[PID]],Table3[[#All],[PID]],0)))</f>
        <v>4</v>
      </c>
      <c r="N63" s="56">
        <f>IF($C63="B",INDEX(Batters[[#All],[POW P]],MATCH(Table5[[#This Row],[PID]],Batters[[#All],[PID]],0)),INDEX(Table3[[#All],[CON P]],MATCH(Table5[[#This Row],[PID]],Table3[[#All],[PID]],0)))</f>
        <v>5</v>
      </c>
      <c r="O63" s="56" t="str">
        <f>IF($C63="B",INDEX(Batters[[#All],[EYE P]],MATCH(Table5[[#This Row],[PID]],Batters[[#All],[PID]],0)),INDEX(Table3[[#All],[VELO]],MATCH(Table5[[#This Row],[PID]],Table3[[#All],[PID]],0)))</f>
        <v>93-95 Mph</v>
      </c>
      <c r="P63" s="56">
        <f>IF($C63="B",INDEX(Batters[[#All],[K P]],MATCH(Table5[[#This Row],[PID]],Batters[[#All],[PID]],0)),INDEX(Table3[[#All],[STM]],MATCH(Table5[[#This Row],[PID]],Table3[[#All],[PID]],0)))</f>
        <v>7</v>
      </c>
      <c r="Q63" s="61">
        <f>IF($C63="B",INDEX(Batters[[#All],[Tot]],MATCH(Table5[[#This Row],[PID]],Batters[[#All],[PID]],0)),INDEX(Table3[[#All],[Tot]],MATCH(Table5[[#This Row],[PID]],Table3[[#All],[PID]],0)))</f>
        <v>61.353235144892771</v>
      </c>
      <c r="R63" s="52">
        <f>IF($C63="B",INDEX(Batters[[#All],[zScore]],MATCH(Table5[[#This Row],[PID]],Batters[[#All],[PID]],0)),INDEX(Table3[[#All],[zScore]],MATCH(Table5[[#This Row],[PID]],Table3[[#All],[PID]],0)))</f>
        <v>1.6953256961957666</v>
      </c>
      <c r="S63" s="58" t="str">
        <f>IF($C63="B",INDEX(Batters[[#All],[DEM]],MATCH(Table5[[#This Row],[PID]],Batters[[#All],[PID]],0)),INDEX(Table3[[#All],[DEM]],MATCH(Table5[[#This Row],[PID]],Table3[[#All],[PID]],0)))</f>
        <v>$65k</v>
      </c>
      <c r="T63" s="62">
        <f>IF($C63="B",INDEX(Batters[[#All],[Rnk]],MATCH(Table5[[#This Row],[PID]],Batters[[#All],[PID]],0)),INDEX(Table3[[#All],[Rnk]],MATCH(Table5[[#This Row],[PID]],Table3[[#All],[PID]],0)))</f>
        <v>54</v>
      </c>
      <c r="U63" s="68">
        <f>IF($C63="B",VLOOKUP($A63,Bat!$A$4:$BA$1621,47,FALSE),VLOOKUP($A63,Pit!$A$4:$BF$1557,56,FALSE))</f>
        <v>0</v>
      </c>
      <c r="V63" s="50">
        <f>IF($C63="B",VLOOKUP($A63,Bat!$A$4:$BA$1621,48,FALSE),VLOOKUP($A63,Pit!$A$4:$BF$1557,57,FALSE))</f>
        <v>0</v>
      </c>
      <c r="W63" s="50">
        <f>Table5[[#This Row],[posRnk]]+Table5[[#This Row],[zRnk]]+IF($W$3&lt;&gt;Table5[[#This Row],[Type]],50,0)</f>
        <v>189</v>
      </c>
      <c r="X63" s="51">
        <f>RANK(Table5[[#This Row],[zScore]],Table5[[#All],[zScore]])</f>
        <v>85</v>
      </c>
      <c r="Y63" s="50">
        <f>IFERROR(INDEX(DraftResults[[#All],[OVR]],MATCH(Table5[[#This Row],[PID]],DraftResults[[#All],[Player ID]],0)),"")</f>
        <v>59</v>
      </c>
      <c r="Z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3" s="50">
        <f>IFERROR(INDEX(DraftResults[[#All],[Pick in Round]],MATCH(Table5[[#This Row],[PID]],DraftResults[[#All],[Player ID]],0)),"")</f>
        <v>24</v>
      </c>
      <c r="AB63" s="50" t="str">
        <f>IFERROR(INDEX(DraftResults[[#All],[Team Name]],MATCH(Table5[[#This Row],[PID]],DraftResults[[#All],[Player ID]],0)),"")</f>
        <v>Florida Farstriders</v>
      </c>
      <c r="AC63" s="50">
        <f>IF(Table5[[#This Row],[Ovr]]="","",IF(Table5[[#This Row],[cmbList]]="","",Table5[[#This Row],[cmbList]]-Table5[[#This Row],[Ovr]]))</f>
        <v>130</v>
      </c>
      <c r="AD63" s="54" t="str">
        <f>IF(ISERROR(VLOOKUP($AB63&amp;"-"&amp;$E63&amp;" "&amp;F63,Bonuses!$B$1:$G$1006,4,FALSE)),"",INT(VLOOKUP($AB63&amp;"-"&amp;$E63&amp;" "&amp;$F63,Bonuses!$B$1:$G$1006,4,FALSE)))</f>
        <v/>
      </c>
      <c r="AE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2.24 (59) - CL Tetsuzan Hashimoto</v>
      </c>
    </row>
    <row r="64" spans="1:31" s="50" customFormat="1" x14ac:dyDescent="0.25">
      <c r="A64" s="50">
        <v>18312</v>
      </c>
      <c r="B64" s="55">
        <f>COUNTIF(Table5[PID],A64)</f>
        <v>1</v>
      </c>
      <c r="C64" s="55" t="str">
        <f>IF(COUNTIF(Table3[[#All],[PID]],A64)&gt;0,"P","B")</f>
        <v>B</v>
      </c>
      <c r="D64" s="59" t="str">
        <f>IF($C64="B",INDEX(Batters[[#All],[POS]],MATCH(Table5[[#This Row],[PID]],Batters[[#All],[PID]],0)),INDEX(Table3[[#All],[POS]],MATCH(Table5[[#This Row],[PID]],Table3[[#All],[PID]],0)))</f>
        <v>3B</v>
      </c>
      <c r="E64" s="52" t="str">
        <f>IF($C64="B",INDEX(Batters[[#All],[First]],MATCH(Table5[[#This Row],[PID]],Batters[[#All],[PID]],0)),INDEX(Table3[[#All],[First]],MATCH(Table5[[#This Row],[PID]],Table3[[#All],[PID]],0)))</f>
        <v>Rio</v>
      </c>
      <c r="F64" s="50" t="str">
        <f>IF($C64="B",INDEX(Batters[[#All],[Last]],MATCH(A64,Batters[[#All],[PID]],0)),INDEX(Table3[[#All],[Last]],MATCH(A64,Table3[[#All],[PID]],0)))</f>
        <v>Broom</v>
      </c>
      <c r="G64" s="56">
        <f>IF($C64="B",INDEX(Batters[[#All],[Age]],MATCH(Table5[[#This Row],[PID]],Batters[[#All],[PID]],0)),INDEX(Table3[[#All],[Age]],MATCH(Table5[[#This Row],[PID]],Table3[[#All],[PID]],0)))</f>
        <v>21</v>
      </c>
      <c r="H64" s="52" t="str">
        <f>IF($C64="B",INDEX(Batters[[#All],[B]],MATCH(Table5[[#This Row],[PID]],Batters[[#All],[PID]],0)),INDEX(Table3[[#All],[B]],MATCH(Table5[[#This Row],[PID]],Table3[[#All],[PID]],0)))</f>
        <v>S</v>
      </c>
      <c r="I64" s="52" t="str">
        <f>IF($C64="B",INDEX(Batters[[#All],[T]],MATCH(Table5[[#This Row],[PID]],Batters[[#All],[PID]],0)),INDEX(Table3[[#All],[T]],MATCH(Table5[[#This Row],[PID]],Table3[[#All],[PID]],0)))</f>
        <v>R</v>
      </c>
      <c r="J64" s="52" t="str">
        <f>IF($C64="B",INDEX(Batters[[#All],[WE]],MATCH(Table5[[#This Row],[PID]],Batters[[#All],[PID]],0)),INDEX(Table3[[#All],[WE]],MATCH(Table5[[#This Row],[PID]],Table3[[#All],[PID]],0)))</f>
        <v>Normal</v>
      </c>
      <c r="K64" s="52" t="str">
        <f>IF($C64="B",INDEX(Batters[[#All],[INT]],MATCH(Table5[[#This Row],[PID]],Batters[[#All],[PID]],0)),INDEX(Table3[[#All],[INT]],MATCH(Table5[[#This Row],[PID]],Table3[[#All],[PID]],0)))</f>
        <v>Low</v>
      </c>
      <c r="L64" s="60">
        <f>IF($C64="B",INDEX(Batters[[#All],[CON P]],MATCH(Table5[[#This Row],[PID]],Batters[[#All],[PID]],0)),INDEX(Table3[[#All],[STU P]],MATCH(Table5[[#This Row],[PID]],Table3[[#All],[PID]],0)))</f>
        <v>4</v>
      </c>
      <c r="M64" s="56">
        <f>IF($C64="B",INDEX(Batters[[#All],[GAP P]],MATCH(Table5[[#This Row],[PID]],Batters[[#All],[PID]],0)),INDEX(Table3[[#All],[MOV P]],MATCH(Table5[[#This Row],[PID]],Table3[[#All],[PID]],0)))</f>
        <v>6</v>
      </c>
      <c r="N64" s="56">
        <f>IF($C64="B",INDEX(Batters[[#All],[POW P]],MATCH(Table5[[#This Row],[PID]],Batters[[#All],[PID]],0)),INDEX(Table3[[#All],[CON P]],MATCH(Table5[[#This Row],[PID]],Table3[[#All],[PID]],0)))</f>
        <v>6</v>
      </c>
      <c r="O64" s="56">
        <f>IF($C64="B",INDEX(Batters[[#All],[EYE P]],MATCH(Table5[[#This Row],[PID]],Batters[[#All],[PID]],0)),INDEX(Table3[[#All],[VELO]],MATCH(Table5[[#This Row],[PID]],Table3[[#All],[PID]],0)))</f>
        <v>5</v>
      </c>
      <c r="P64" s="56">
        <f>IF($C64="B",INDEX(Batters[[#All],[K P]],MATCH(Table5[[#This Row],[PID]],Batters[[#All],[PID]],0)),INDEX(Table3[[#All],[STM]],MATCH(Table5[[#This Row],[PID]],Table3[[#All],[PID]],0)))</f>
        <v>4</v>
      </c>
      <c r="Q64" s="61">
        <f>IF($C64="B",INDEX(Batters[[#All],[Tot]],MATCH(Table5[[#This Row],[PID]],Batters[[#All],[PID]],0)),INDEX(Table3[[#All],[Tot]],MATCH(Table5[[#This Row],[PID]],Table3[[#All],[PID]],0)))</f>
        <v>45.77215105511192</v>
      </c>
      <c r="R64" s="52">
        <f>IF($C64="B",INDEX(Batters[[#All],[zScore]],MATCH(Table5[[#This Row],[PID]],Batters[[#All],[PID]],0)),INDEX(Table3[[#All],[zScore]],MATCH(Table5[[#This Row],[PID]],Table3[[#All],[PID]],0)))</f>
        <v>0.36364593943175255</v>
      </c>
      <c r="S64" s="58" t="str">
        <f>IF($C64="B",INDEX(Batters[[#All],[DEM]],MATCH(Table5[[#This Row],[PID]],Batters[[#All],[PID]],0)),INDEX(Table3[[#All],[DEM]],MATCH(Table5[[#This Row],[PID]],Table3[[#All],[PID]],0)))</f>
        <v>$20k</v>
      </c>
      <c r="T64" s="62">
        <f>IF($C64="B",INDEX(Batters[[#All],[Rnk]],MATCH(Table5[[#This Row],[PID]],Batters[[#All],[PID]],0)),INDEX(Table3[[#All],[Rnk]],MATCH(Table5[[#This Row],[PID]],Table3[[#All],[PID]],0)))</f>
        <v>166</v>
      </c>
      <c r="U64" s="68">
        <f>IF($C64="B",VLOOKUP($A64,Bat!$A$4:$BA$1621,47,FALSE),VLOOKUP($A64,Pit!$A$4:$BF$1557,56,FALSE))</f>
        <v>0</v>
      </c>
      <c r="V64" s="50">
        <f>IF($C64="B",VLOOKUP($A64,Bat!$A$4:$BA$1621,48,FALSE),VLOOKUP($A64,Pit!$A$4:$BF$1557,57,FALSE))</f>
        <v>0</v>
      </c>
      <c r="W64" s="50">
        <f>Table5[[#This Row],[posRnk]]+Table5[[#This Row],[zRnk]]+IF($W$3&lt;&gt;Table5[[#This Row],[Type]],50,0)</f>
        <v>614</v>
      </c>
      <c r="X64" s="51">
        <f>RANK(Table5[[#This Row],[zScore]],Table5[[#All],[zScore]])</f>
        <v>398</v>
      </c>
      <c r="Y64" s="50">
        <f>IFERROR(INDEX(DraftResults[[#All],[OVR]],MATCH(Table5[[#This Row],[PID]],DraftResults[[#All],[Player ID]],0)),"")</f>
        <v>60</v>
      </c>
      <c r="Z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4" s="50">
        <f>IFERROR(INDEX(DraftResults[[#All],[Pick in Round]],MATCH(Table5[[#This Row],[PID]],DraftResults[[#All],[Player ID]],0)),"")</f>
        <v>25</v>
      </c>
      <c r="AB64" s="50" t="str">
        <f>IFERROR(INDEX(DraftResults[[#All],[Team Name]],MATCH(Table5[[#This Row],[PID]],DraftResults[[#All],[Player ID]],0)),"")</f>
        <v>Yuma Arroyos</v>
      </c>
      <c r="AC64" s="50">
        <f>IF(Table5[[#This Row],[Ovr]]="","",IF(Table5[[#This Row],[cmbList]]="","",Table5[[#This Row],[cmbList]]-Table5[[#This Row],[Ovr]]))</f>
        <v>554</v>
      </c>
      <c r="AD64" s="54" t="str">
        <f>IF(ISERROR(VLOOKUP($AB64&amp;"-"&amp;$E64&amp;" "&amp;F64,Bonuses!$B$1:$G$1006,4,FALSE)),"",INT(VLOOKUP($AB64&amp;"-"&amp;$E64&amp;" "&amp;$F64,Bonuses!$B$1:$G$1006,4,FALSE)))</f>
        <v/>
      </c>
      <c r="AE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2.25 (60) - 3B Rio Broom</v>
      </c>
    </row>
    <row r="65" spans="1:31" s="50" customFormat="1" x14ac:dyDescent="0.25">
      <c r="A65" s="68">
        <v>18381</v>
      </c>
      <c r="B65" s="69">
        <f>COUNTIF(Table5[PID],A65)</f>
        <v>1</v>
      </c>
      <c r="C65" s="69" t="str">
        <f>IF(COUNTIF(Table3[[#All],[PID]],A65)&gt;0,"P","B")</f>
        <v>P</v>
      </c>
      <c r="D65" s="59" t="str">
        <f>IF($C65="B",INDEX(Batters[[#All],[POS]],MATCH(Table5[[#This Row],[PID]],Batters[[#All],[PID]],0)),INDEX(Table3[[#All],[POS]],MATCH(Table5[[#This Row],[PID]],Table3[[#All],[PID]],0)))</f>
        <v>SP</v>
      </c>
      <c r="E65" s="52" t="str">
        <f>IF($C65="B",INDEX(Batters[[#All],[First]],MATCH(Table5[[#This Row],[PID]],Batters[[#All],[PID]],0)),INDEX(Table3[[#All],[First]],MATCH(Table5[[#This Row],[PID]],Table3[[#All],[PID]],0)))</f>
        <v>Hideaki</v>
      </c>
      <c r="F65" s="55" t="str">
        <f>IF($C65="B",INDEX(Batters[[#All],[Last]],MATCH(A65,Batters[[#All],[PID]],0)),INDEX(Table3[[#All],[Last]],MATCH(A65,Table3[[#All],[PID]],0)))</f>
        <v>Hasegawa</v>
      </c>
      <c r="G65" s="56">
        <f>IF($C65="B",INDEX(Batters[[#All],[Age]],MATCH(Table5[[#This Row],[PID]],Batters[[#All],[PID]],0)),INDEX(Table3[[#All],[Age]],MATCH(Table5[[#This Row],[PID]],Table3[[#All],[PID]],0)))</f>
        <v>18</v>
      </c>
      <c r="H65" s="52" t="str">
        <f>IF($C65="B",INDEX(Batters[[#All],[B]],MATCH(Table5[[#This Row],[PID]],Batters[[#All],[PID]],0)),INDEX(Table3[[#All],[B]],MATCH(Table5[[#This Row],[PID]],Table3[[#All],[PID]],0)))</f>
        <v>L</v>
      </c>
      <c r="I65" s="52" t="str">
        <f>IF($C65="B",INDEX(Batters[[#All],[T]],MATCH(Table5[[#This Row],[PID]],Batters[[#All],[PID]],0)),INDEX(Table3[[#All],[T]],MATCH(Table5[[#This Row],[PID]],Table3[[#All],[PID]],0)))</f>
        <v>L</v>
      </c>
      <c r="J65" s="71" t="str">
        <f>IF($C65="B",INDEX(Batters[[#All],[WE]],MATCH(Table5[[#This Row],[PID]],Batters[[#All],[PID]],0)),INDEX(Table3[[#All],[WE]],MATCH(Table5[[#This Row],[PID]],Table3[[#All],[PID]],0)))</f>
        <v>Normal</v>
      </c>
      <c r="K65" s="52" t="str">
        <f>IF($C65="B",INDEX(Batters[[#All],[INT]],MATCH(Table5[[#This Row],[PID]],Batters[[#All],[PID]],0)),INDEX(Table3[[#All],[INT]],MATCH(Table5[[#This Row],[PID]],Table3[[#All],[PID]],0)))</f>
        <v>Normal</v>
      </c>
      <c r="L65" s="60">
        <f>IF($C65="B",INDEX(Batters[[#All],[CON P]],MATCH(Table5[[#This Row],[PID]],Batters[[#All],[PID]],0)),INDEX(Table3[[#All],[STU P]],MATCH(Table5[[#This Row],[PID]],Table3[[#All],[PID]],0)))</f>
        <v>6</v>
      </c>
      <c r="M65" s="72">
        <f>IF($C65="B",INDEX(Batters[[#All],[GAP P]],MATCH(Table5[[#This Row],[PID]],Batters[[#All],[PID]],0)),INDEX(Table3[[#All],[MOV P]],MATCH(Table5[[#This Row],[PID]],Table3[[#All],[PID]],0)))</f>
        <v>4</v>
      </c>
      <c r="N65" s="72">
        <f>IF($C65="B",INDEX(Batters[[#All],[POW P]],MATCH(Table5[[#This Row],[PID]],Batters[[#All],[PID]],0)),INDEX(Table3[[#All],[CON P]],MATCH(Table5[[#This Row],[PID]],Table3[[#All],[PID]],0)))</f>
        <v>6</v>
      </c>
      <c r="O65" s="72" t="str">
        <f>IF($C65="B",INDEX(Batters[[#All],[EYE P]],MATCH(Table5[[#This Row],[PID]],Batters[[#All],[PID]],0)),INDEX(Table3[[#All],[VELO]],MATCH(Table5[[#This Row],[PID]],Table3[[#All],[PID]],0)))</f>
        <v>93-95 Mph</v>
      </c>
      <c r="P65" s="56">
        <f>IF($C65="B",INDEX(Batters[[#All],[K P]],MATCH(Table5[[#This Row],[PID]],Batters[[#All],[PID]],0)),INDEX(Table3[[#All],[STM]],MATCH(Table5[[#This Row],[PID]],Table3[[#All],[PID]],0)))</f>
        <v>7</v>
      </c>
      <c r="Q65" s="61">
        <f>IF($C65="B",INDEX(Batters[[#All],[Tot]],MATCH(Table5[[#This Row],[PID]],Batters[[#All],[PID]],0)),INDEX(Table3[[#All],[Tot]],MATCH(Table5[[#This Row],[PID]],Table3[[#All],[PID]],0)))</f>
        <v>67.796757241650582</v>
      </c>
      <c r="R65" s="52">
        <f>IF($C65="B",INDEX(Batters[[#All],[zScore]],MATCH(Table5[[#This Row],[PID]],Batters[[#All],[PID]],0)),INDEX(Table3[[#All],[zScore]],MATCH(Table5[[#This Row],[PID]],Table3[[#All],[PID]],0)))</f>
        <v>2.1240033748899734</v>
      </c>
      <c r="S65" s="78" t="str">
        <f>IF($C65="B",INDEX(Batters[[#All],[DEM]],MATCH(Table5[[#This Row],[PID]],Batters[[#All],[PID]],0)),INDEX(Table3[[#All],[DEM]],MATCH(Table5[[#This Row],[PID]],Table3[[#All],[PID]],0)))</f>
        <v>$2.2m</v>
      </c>
      <c r="T65" s="75">
        <f>IF($C65="B",INDEX(Batters[[#All],[Rnk]],MATCH(Table5[[#This Row],[PID]],Batters[[#All],[PID]],0)),INDEX(Table3[[#All],[Rnk]],MATCH(Table5[[#This Row],[PID]],Table3[[#All],[PID]],0)))</f>
        <v>20</v>
      </c>
      <c r="U65" s="68">
        <f>IF($C65="B",VLOOKUP($A65,Bat!$A$4:$BA$1621,47,FALSE),VLOOKUP($A65,Pit!$A$4:$BF$1557,56,FALSE))</f>
        <v>0</v>
      </c>
      <c r="V65" s="50">
        <f>IF($C65="B",VLOOKUP($A65,Bat!$A$4:$BA$1621,48,FALSE),VLOOKUP($A65,Pit!$A$4:$BF$1557,57,FALSE))</f>
        <v>0</v>
      </c>
      <c r="W65" s="69">
        <f>Table5[[#This Row],[posRnk]]+Table5[[#This Row],[zRnk]]+IF($W$3&lt;&gt;Table5[[#This Row],[Type]],50,0)</f>
        <v>106</v>
      </c>
      <c r="X65" s="73">
        <f>RANK(Table5[[#This Row],[zScore]],Table5[[#All],[zScore]])</f>
        <v>36</v>
      </c>
      <c r="Y65" s="69">
        <f>IFERROR(INDEX(DraftResults[[#All],[OVR]],MATCH(Table5[[#This Row],[PID]],DraftResults[[#All],[Player ID]],0)),"")</f>
        <v>61</v>
      </c>
      <c r="Z6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5" s="69">
        <f>IFERROR(INDEX(DraftResults[[#All],[Pick in Round]],MATCH(Table5[[#This Row],[PID]],DraftResults[[#All],[Player ID]],0)),"")</f>
        <v>26</v>
      </c>
      <c r="AB65" s="69" t="str">
        <f>IFERROR(INDEX(DraftResults[[#All],[Team Name]],MATCH(Table5[[#This Row],[PID]],DraftResults[[#All],[Player ID]],0)),"")</f>
        <v>West Virginia Alleghenies</v>
      </c>
      <c r="AC65" s="69">
        <f>IF(Table5[[#This Row],[Ovr]]="","",IF(Table5[[#This Row],[cmbList]]="","",Table5[[#This Row],[cmbList]]-Table5[[#This Row],[Ovr]]))</f>
        <v>45</v>
      </c>
      <c r="AD65" s="77" t="str">
        <f>IF(ISERROR(VLOOKUP($AB65&amp;"-"&amp;$E65&amp;" "&amp;F65,Bonuses!$B$1:$G$1006,4,FALSE)),"",INT(VLOOKUP($AB65&amp;"-"&amp;$E65&amp;" "&amp;$F65,Bonuses!$B$1:$G$1006,4,FALSE)))</f>
        <v/>
      </c>
      <c r="AE6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2.26 (61) - SP Hideaki Hasegawa</v>
      </c>
    </row>
    <row r="66" spans="1:31" s="50" customFormat="1" x14ac:dyDescent="0.25">
      <c r="A66" s="50">
        <v>13915</v>
      </c>
      <c r="B66" s="50">
        <f>COUNTIF(Table5[PID],A66)</f>
        <v>1</v>
      </c>
      <c r="C66" s="50" t="str">
        <f>IF(COUNTIF(Table3[[#All],[PID]],A66)&gt;0,"P","B")</f>
        <v>P</v>
      </c>
      <c r="D66" s="59" t="str">
        <f>IF($C66="B",INDEX(Batters[[#All],[POS]],MATCH(Table5[[#This Row],[PID]],Batters[[#All],[PID]],0)),INDEX(Table3[[#All],[POS]],MATCH(Table5[[#This Row],[PID]],Table3[[#All],[PID]],0)))</f>
        <v>RP</v>
      </c>
      <c r="E66" s="52" t="str">
        <f>IF($C66="B",INDEX(Batters[[#All],[First]],MATCH(Table5[[#This Row],[PID]],Batters[[#All],[PID]],0)),INDEX(Table3[[#All],[First]],MATCH(Table5[[#This Row],[PID]],Table3[[#All],[PID]],0)))</f>
        <v>Wifredo</v>
      </c>
      <c r="F66" s="50" t="str">
        <f>IF($C66="B",INDEX(Batters[[#All],[Last]],MATCH(A66,Batters[[#All],[PID]],0)),INDEX(Table3[[#All],[Last]],MATCH(A66,Table3[[#All],[PID]],0)))</f>
        <v>Lam</v>
      </c>
      <c r="G66" s="56">
        <f>IF($C66="B",INDEX(Batters[[#All],[Age]],MATCH(Table5[[#This Row],[PID]],Batters[[#All],[PID]],0)),INDEX(Table3[[#All],[Age]],MATCH(Table5[[#This Row],[PID]],Table3[[#All],[PID]],0)))</f>
        <v>18</v>
      </c>
      <c r="H66" s="52" t="str">
        <f>IF($C66="B",INDEX(Batters[[#All],[B]],MATCH(Table5[[#This Row],[PID]],Batters[[#All],[PID]],0)),INDEX(Table3[[#All],[B]],MATCH(Table5[[#This Row],[PID]],Table3[[#All],[PID]],0)))</f>
        <v>S</v>
      </c>
      <c r="I66" s="52" t="str">
        <f>IF($C66="B",INDEX(Batters[[#All],[T]],MATCH(Table5[[#This Row],[PID]],Batters[[#All],[PID]],0)),INDEX(Table3[[#All],[T]],MATCH(Table5[[#This Row],[PID]],Table3[[#All],[PID]],0)))</f>
        <v>R</v>
      </c>
      <c r="J66" s="52" t="str">
        <f>IF($C66="B",INDEX(Batters[[#All],[WE]],MATCH(Table5[[#This Row],[PID]],Batters[[#All],[PID]],0)),INDEX(Table3[[#All],[WE]],MATCH(Table5[[#This Row],[PID]],Table3[[#All],[PID]],0)))</f>
        <v>Normal</v>
      </c>
      <c r="K66" s="52" t="str">
        <f>IF($C66="B",INDEX(Batters[[#All],[INT]],MATCH(Table5[[#This Row],[PID]],Batters[[#All],[PID]],0)),INDEX(Table3[[#All],[INT]],MATCH(Table5[[#This Row],[PID]],Table3[[#All],[PID]],0)))</f>
        <v>Low</v>
      </c>
      <c r="L66" s="60">
        <f>IF($C66="B",INDEX(Batters[[#All],[CON P]],MATCH(Table5[[#This Row],[PID]],Batters[[#All],[PID]],0)),INDEX(Table3[[#All],[STU P]],MATCH(Table5[[#This Row],[PID]],Table3[[#All],[PID]],0)))</f>
        <v>7</v>
      </c>
      <c r="M66" s="56">
        <f>IF($C66="B",INDEX(Batters[[#All],[GAP P]],MATCH(Table5[[#This Row],[PID]],Batters[[#All],[PID]],0)),INDEX(Table3[[#All],[MOV P]],MATCH(Table5[[#This Row],[PID]],Table3[[#All],[PID]],0)))</f>
        <v>3</v>
      </c>
      <c r="N66" s="56">
        <f>IF($C66="B",INDEX(Batters[[#All],[POW P]],MATCH(Table5[[#This Row],[PID]],Batters[[#All],[PID]],0)),INDEX(Table3[[#All],[CON P]],MATCH(Table5[[#This Row],[PID]],Table3[[#All],[PID]],0)))</f>
        <v>6</v>
      </c>
      <c r="O66" s="56" t="str">
        <f>IF($C66="B",INDEX(Batters[[#All],[EYE P]],MATCH(Table5[[#This Row],[PID]],Batters[[#All],[PID]],0)),INDEX(Table3[[#All],[VELO]],MATCH(Table5[[#This Row],[PID]],Table3[[#All],[PID]],0)))</f>
        <v>93-95 Mph</v>
      </c>
      <c r="P66" s="56">
        <f>IF($C66="B",INDEX(Batters[[#All],[K P]],MATCH(Table5[[#This Row],[PID]],Batters[[#All],[PID]],0)),INDEX(Table3[[#All],[STM]],MATCH(Table5[[#This Row],[PID]],Table3[[#All],[PID]],0)))</f>
        <v>6</v>
      </c>
      <c r="Q66" s="61">
        <f>IF($C66="B",INDEX(Batters[[#All],[Tot]],MATCH(Table5[[#This Row],[PID]],Batters[[#All],[PID]],0)),INDEX(Table3[[#All],[Tot]],MATCH(Table5[[#This Row],[PID]],Table3[[#All],[PID]],0)))</f>
        <v>65.608926082436895</v>
      </c>
      <c r="R66" s="52">
        <f>IF($C66="B",INDEX(Batters[[#All],[zScore]],MATCH(Table5[[#This Row],[PID]],Batters[[#All],[PID]],0)),INDEX(Table3[[#All],[zScore]],MATCH(Table5[[#This Row],[PID]],Table3[[#All],[PID]],0)))</f>
        <v>1.9784503111116261</v>
      </c>
      <c r="S66" s="58" t="str">
        <f>IF($C66="B",INDEX(Batters[[#All],[DEM]],MATCH(Table5[[#This Row],[PID]],Batters[[#All],[PID]],0)),INDEX(Table3[[#All],[DEM]],MATCH(Table5[[#This Row],[PID]],Table3[[#All],[PID]],0)))</f>
        <v>$200k</v>
      </c>
      <c r="T66" s="62">
        <f>IF($C66="B",INDEX(Batters[[#All],[Rnk]],MATCH(Table5[[#This Row],[PID]],Batters[[#All],[PID]],0)),INDEX(Table3[[#All],[Rnk]],MATCH(Table5[[#This Row],[PID]],Table3[[#All],[PID]],0)))</f>
        <v>30</v>
      </c>
      <c r="U66" s="68">
        <f>IF($C66="B",VLOOKUP($A66,Bat!$A$4:$BA$1621,47,FALSE),VLOOKUP($A66,Pit!$A$4:$BF$1557,56,FALSE))</f>
        <v>0</v>
      </c>
      <c r="V66" s="50">
        <f>IF($C66="B",VLOOKUP($A66,Bat!$A$4:$BA$1621,48,FALSE),VLOOKUP($A66,Pit!$A$4:$BF$1557,57,FALSE))</f>
        <v>0</v>
      </c>
      <c r="W66" s="50">
        <f>Table5[[#This Row],[posRnk]]+Table5[[#This Row],[zRnk]]+IF($W$3&lt;&gt;Table5[[#This Row],[Type]],50,0)</f>
        <v>128</v>
      </c>
      <c r="X66" s="51">
        <f>RANK(Table5[[#This Row],[zScore]],Table5[[#All],[zScore]])</f>
        <v>48</v>
      </c>
      <c r="Y66" s="50">
        <f>IFERROR(INDEX(DraftResults[[#All],[OVR]],MATCH(Table5[[#This Row],[PID]],DraftResults[[#All],[Player ID]],0)),"")</f>
        <v>62</v>
      </c>
      <c r="Z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6" s="50">
        <f>IFERROR(INDEX(DraftResults[[#All],[Pick in Round]],MATCH(Table5[[#This Row],[PID]],DraftResults[[#All],[Player ID]],0)),"")</f>
        <v>27</v>
      </c>
      <c r="AB66" s="50" t="str">
        <f>IFERROR(INDEX(DraftResults[[#All],[Team Name]],MATCH(Table5[[#This Row],[PID]],DraftResults[[#All],[Player ID]],0)),"")</f>
        <v>West Virginia Alleghenies</v>
      </c>
      <c r="AC66" s="50">
        <f>IF(Table5[[#This Row],[Ovr]]="","",IF(Table5[[#This Row],[cmbList]]="","",Table5[[#This Row],[cmbList]]-Table5[[#This Row],[Ovr]]))</f>
        <v>66</v>
      </c>
      <c r="AD66" s="54" t="str">
        <f>IF(ISERROR(VLOOKUP($AB66&amp;"-"&amp;$E66&amp;" "&amp;F66,Bonuses!$B$1:$G$1006,4,FALSE)),"",INT(VLOOKUP($AB66&amp;"-"&amp;$E66&amp;" "&amp;$F66,Bonuses!$B$1:$G$1006,4,FALSE)))</f>
        <v/>
      </c>
      <c r="AE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2.27 (62) - RP Wifredo Lam</v>
      </c>
    </row>
    <row r="67" spans="1:31" s="50" customFormat="1" x14ac:dyDescent="0.25">
      <c r="A67" s="68">
        <v>18408</v>
      </c>
      <c r="B67" s="69">
        <f>COUNTIF(Table5[PID],A67)</f>
        <v>1</v>
      </c>
      <c r="C67" s="69" t="str">
        <f>IF(COUNTIF(Table3[[#All],[PID]],A67)&gt;0,"P","B")</f>
        <v>P</v>
      </c>
      <c r="D67" s="59" t="str">
        <f>IF($C67="B",INDEX(Batters[[#All],[POS]],MATCH(Table5[[#This Row],[PID]],Batters[[#All],[PID]],0)),INDEX(Table3[[#All],[POS]],MATCH(Table5[[#This Row],[PID]],Table3[[#All],[PID]],0)))</f>
        <v>SP</v>
      </c>
      <c r="E67" s="52" t="str">
        <f>IF($C67="B",INDEX(Batters[[#All],[First]],MATCH(Table5[[#This Row],[PID]],Batters[[#All],[PID]],0)),INDEX(Table3[[#All],[First]],MATCH(Table5[[#This Row],[PID]],Table3[[#All],[PID]],0)))</f>
        <v>Ichiro</v>
      </c>
      <c r="F67" s="55" t="str">
        <f>IF($C67="B",INDEX(Batters[[#All],[Last]],MATCH(A67,Batters[[#All],[PID]],0)),INDEX(Table3[[#All],[Last]],MATCH(A67,Table3[[#All],[PID]],0)))</f>
        <v>Taguchi</v>
      </c>
      <c r="G67" s="56">
        <f>IF($C67="B",INDEX(Batters[[#All],[Age]],MATCH(Table5[[#This Row],[PID]],Batters[[#All],[PID]],0)),INDEX(Table3[[#All],[Age]],MATCH(Table5[[#This Row],[PID]],Table3[[#All],[PID]],0)))</f>
        <v>18</v>
      </c>
      <c r="H67" s="52" t="str">
        <f>IF($C67="B",INDEX(Batters[[#All],[B]],MATCH(Table5[[#This Row],[PID]],Batters[[#All],[PID]],0)),INDEX(Table3[[#All],[B]],MATCH(Table5[[#This Row],[PID]],Table3[[#All],[PID]],0)))</f>
        <v>R</v>
      </c>
      <c r="I67" s="52" t="str">
        <f>IF($C67="B",INDEX(Batters[[#All],[T]],MATCH(Table5[[#This Row],[PID]],Batters[[#All],[PID]],0)),INDEX(Table3[[#All],[T]],MATCH(Table5[[#This Row],[PID]],Table3[[#All],[PID]],0)))</f>
        <v>R</v>
      </c>
      <c r="J67" s="71" t="str">
        <f>IF($C67="B",INDEX(Batters[[#All],[WE]],MATCH(Table5[[#This Row],[PID]],Batters[[#All],[PID]],0)),INDEX(Table3[[#All],[WE]],MATCH(Table5[[#This Row],[PID]],Table3[[#All],[PID]],0)))</f>
        <v>Low</v>
      </c>
      <c r="K67" s="52" t="str">
        <f>IF($C67="B",INDEX(Batters[[#All],[INT]],MATCH(Table5[[#This Row],[PID]],Batters[[#All],[PID]],0)),INDEX(Table3[[#All],[INT]],MATCH(Table5[[#This Row],[PID]],Table3[[#All],[PID]],0)))</f>
        <v>Normal</v>
      </c>
      <c r="L67" s="60">
        <f>IF($C67="B",INDEX(Batters[[#All],[CON P]],MATCH(Table5[[#This Row],[PID]],Batters[[#All],[PID]],0)),INDEX(Table3[[#All],[STU P]],MATCH(Table5[[#This Row],[PID]],Table3[[#All],[PID]],0)))</f>
        <v>4</v>
      </c>
      <c r="M67" s="72">
        <f>IF($C67="B",INDEX(Batters[[#All],[GAP P]],MATCH(Table5[[#This Row],[PID]],Batters[[#All],[PID]],0)),INDEX(Table3[[#All],[MOV P]],MATCH(Table5[[#This Row],[PID]],Table3[[#All],[PID]],0)))</f>
        <v>6</v>
      </c>
      <c r="N67" s="72">
        <f>IF($C67="B",INDEX(Batters[[#All],[POW P]],MATCH(Table5[[#This Row],[PID]],Batters[[#All],[PID]],0)),INDEX(Table3[[#All],[CON P]],MATCH(Table5[[#This Row],[PID]],Table3[[#All],[PID]],0)))</f>
        <v>5</v>
      </c>
      <c r="O67" s="72" t="str">
        <f>IF($C67="B",INDEX(Batters[[#All],[EYE P]],MATCH(Table5[[#This Row],[PID]],Batters[[#All],[PID]],0)),INDEX(Table3[[#All],[VELO]],MATCH(Table5[[#This Row],[PID]],Table3[[#All],[PID]],0)))</f>
        <v>92-94 Mph</v>
      </c>
      <c r="P67" s="56">
        <f>IF($C67="B",INDEX(Batters[[#All],[K P]],MATCH(Table5[[#This Row],[PID]],Batters[[#All],[PID]],0)),INDEX(Table3[[#All],[STM]],MATCH(Table5[[#This Row],[PID]],Table3[[#All],[PID]],0)))</f>
        <v>8</v>
      </c>
      <c r="Q67" s="61">
        <f>IF($C67="B",INDEX(Batters[[#All],[Tot]],MATCH(Table5[[#This Row],[PID]],Batters[[#All],[PID]],0)),INDEX(Table3[[#All],[Tot]],MATCH(Table5[[#This Row],[PID]],Table3[[#All],[PID]],0)))</f>
        <v>61.96424898357624</v>
      </c>
      <c r="R67" s="52">
        <f>IF($C67="B",INDEX(Batters[[#All],[zScore]],MATCH(Table5[[#This Row],[PID]],Batters[[#All],[PID]],0)),INDEX(Table3[[#All],[zScore]],MATCH(Table5[[#This Row],[PID]],Table3[[#All],[PID]],0)))</f>
        <v>1.7359755131877281</v>
      </c>
      <c r="S67" s="78" t="str">
        <f>IF($C67="B",INDEX(Batters[[#All],[DEM]],MATCH(Table5[[#This Row],[PID]],Batters[[#All],[PID]],0)),INDEX(Table3[[#All],[DEM]],MATCH(Table5[[#This Row],[PID]],Table3[[#All],[PID]],0)))</f>
        <v>$850k</v>
      </c>
      <c r="T67" s="75">
        <f>IF($C67="B",INDEX(Batters[[#All],[Rnk]],MATCH(Table5[[#This Row],[PID]],Batters[[#All],[PID]],0)),INDEX(Table3[[#All],[Rnk]],MATCH(Table5[[#This Row],[PID]],Table3[[#All],[PID]],0)))</f>
        <v>50</v>
      </c>
      <c r="U67" s="68">
        <f>IF($C67="B",VLOOKUP($A67,Bat!$A$4:$BA$1621,47,FALSE),VLOOKUP($A67,Pit!$A$4:$BF$1557,56,FALSE))</f>
        <v>0</v>
      </c>
      <c r="V67" s="50">
        <f>IF($C67="B",VLOOKUP($A67,Bat!$A$4:$BA$1621,48,FALSE),VLOOKUP($A67,Pit!$A$4:$BF$1557,57,FALSE))</f>
        <v>0</v>
      </c>
      <c r="W67" s="69">
        <f>Table5[[#This Row],[posRnk]]+Table5[[#This Row],[zRnk]]+IF($W$3&lt;&gt;Table5[[#This Row],[Type]],50,0)</f>
        <v>177</v>
      </c>
      <c r="X67" s="73">
        <f>RANK(Table5[[#This Row],[zScore]],Table5[[#All],[zScore]])</f>
        <v>77</v>
      </c>
      <c r="Y67" s="69">
        <f>IFERROR(INDEX(DraftResults[[#All],[OVR]],MATCH(Table5[[#This Row],[PID]],DraftResults[[#All],[Player ID]],0)),"")</f>
        <v>63</v>
      </c>
      <c r="Z6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7" s="69">
        <f>IFERROR(INDEX(DraftResults[[#All],[Pick in Round]],MATCH(Table5[[#This Row],[PID]],DraftResults[[#All],[Player ID]],0)),"")</f>
        <v>28</v>
      </c>
      <c r="AB67" s="69" t="str">
        <f>IFERROR(INDEX(DraftResults[[#All],[Team Name]],MATCH(Table5[[#This Row],[PID]],DraftResults[[#All],[Player ID]],0)),"")</f>
        <v>West Virginia Alleghenies</v>
      </c>
      <c r="AC67" s="69">
        <f>IF(Table5[[#This Row],[Ovr]]="","",IF(Table5[[#This Row],[cmbList]]="","",Table5[[#This Row],[cmbList]]-Table5[[#This Row],[Ovr]]))</f>
        <v>114</v>
      </c>
      <c r="AD67" s="77" t="str">
        <f>IF(ISERROR(VLOOKUP($AB67&amp;"-"&amp;$E67&amp;" "&amp;F67,Bonuses!$B$1:$G$1006,4,FALSE)),"",INT(VLOOKUP($AB67&amp;"-"&amp;$E67&amp;" "&amp;$F67,Bonuses!$B$1:$G$1006,4,FALSE)))</f>
        <v/>
      </c>
      <c r="AE6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2.28 (63) - SP Ichiro Taguchi</v>
      </c>
    </row>
    <row r="68" spans="1:31" s="50" customFormat="1" x14ac:dyDescent="0.25">
      <c r="A68" s="68">
        <v>18406</v>
      </c>
      <c r="B68" s="69">
        <f>COUNTIF(Table5[PID],A68)</f>
        <v>1</v>
      </c>
      <c r="C68" s="69" t="str">
        <f>IF(COUNTIF(Table3[[#All],[PID]],A68)&gt;0,"P","B")</f>
        <v>P</v>
      </c>
      <c r="D68" s="59" t="str">
        <f>IF($C68="B",INDEX(Batters[[#All],[POS]],MATCH(Table5[[#This Row],[PID]],Batters[[#All],[PID]],0)),INDEX(Table3[[#All],[POS]],MATCH(Table5[[#This Row],[PID]],Table3[[#All],[PID]],0)))</f>
        <v>SP</v>
      </c>
      <c r="E68" s="52" t="str">
        <f>IF($C68="B",INDEX(Batters[[#All],[First]],MATCH(Table5[[#This Row],[PID]],Batters[[#All],[PID]],0)),INDEX(Table3[[#All],[First]],MATCH(Table5[[#This Row],[PID]],Table3[[#All],[PID]],0)))</f>
        <v>Munemitsu</v>
      </c>
      <c r="F68" s="55" t="str">
        <f>IF($C68="B",INDEX(Batters[[#All],[Last]],MATCH(A68,Batters[[#All],[PID]],0)),INDEX(Table3[[#All],[Last]],MATCH(A68,Table3[[#All],[PID]],0)))</f>
        <v>Murakami</v>
      </c>
      <c r="G68" s="56">
        <f>IF($C68="B",INDEX(Batters[[#All],[Age]],MATCH(Table5[[#This Row],[PID]],Batters[[#All],[PID]],0)),INDEX(Table3[[#All],[Age]],MATCH(Table5[[#This Row],[PID]],Table3[[#All],[PID]],0)))</f>
        <v>18</v>
      </c>
      <c r="H68" s="52" t="str">
        <f>IF($C68="B",INDEX(Batters[[#All],[B]],MATCH(Table5[[#This Row],[PID]],Batters[[#All],[PID]],0)),INDEX(Table3[[#All],[B]],MATCH(Table5[[#This Row],[PID]],Table3[[#All],[PID]],0)))</f>
        <v>R</v>
      </c>
      <c r="I68" s="52" t="str">
        <f>IF($C68="B",INDEX(Batters[[#All],[T]],MATCH(Table5[[#This Row],[PID]],Batters[[#All],[PID]],0)),INDEX(Table3[[#All],[T]],MATCH(Table5[[#This Row],[PID]],Table3[[#All],[PID]],0)))</f>
        <v>R</v>
      </c>
      <c r="J68" s="71" t="str">
        <f>IF($C68="B",INDEX(Batters[[#All],[WE]],MATCH(Table5[[#This Row],[PID]],Batters[[#All],[PID]],0)),INDEX(Table3[[#All],[WE]],MATCH(Table5[[#This Row],[PID]],Table3[[#All],[PID]],0)))</f>
        <v>Normal</v>
      </c>
      <c r="K68" s="52" t="str">
        <f>IF($C68="B",INDEX(Batters[[#All],[INT]],MATCH(Table5[[#This Row],[PID]],Batters[[#All],[PID]],0)),INDEX(Table3[[#All],[INT]],MATCH(Table5[[#This Row],[PID]],Table3[[#All],[PID]],0)))</f>
        <v>Low</v>
      </c>
      <c r="L68" s="60">
        <f>IF($C68="B",INDEX(Batters[[#All],[CON P]],MATCH(Table5[[#This Row],[PID]],Batters[[#All],[PID]],0)),INDEX(Table3[[#All],[STU P]],MATCH(Table5[[#This Row],[PID]],Table3[[#All],[PID]],0)))</f>
        <v>5</v>
      </c>
      <c r="M68" s="72">
        <f>IF($C68="B",INDEX(Batters[[#All],[GAP P]],MATCH(Table5[[#This Row],[PID]],Batters[[#All],[PID]],0)),INDEX(Table3[[#All],[MOV P]],MATCH(Table5[[#This Row],[PID]],Table3[[#All],[PID]],0)))</f>
        <v>6</v>
      </c>
      <c r="N68" s="72">
        <f>IF($C68="B",INDEX(Batters[[#All],[POW P]],MATCH(Table5[[#This Row],[PID]],Batters[[#All],[PID]],0)),INDEX(Table3[[#All],[CON P]],MATCH(Table5[[#This Row],[PID]],Table3[[#All],[PID]],0)))</f>
        <v>6</v>
      </c>
      <c r="O68" s="72" t="str">
        <f>IF($C68="B",INDEX(Batters[[#All],[EYE P]],MATCH(Table5[[#This Row],[PID]],Batters[[#All],[PID]],0)),INDEX(Table3[[#All],[VELO]],MATCH(Table5[[#This Row],[PID]],Table3[[#All],[PID]],0)))</f>
        <v>91-93 Mph</v>
      </c>
      <c r="P68" s="56">
        <f>IF($C68="B",INDEX(Batters[[#All],[K P]],MATCH(Table5[[#This Row],[PID]],Batters[[#All],[PID]],0)),INDEX(Table3[[#All],[STM]],MATCH(Table5[[#This Row],[PID]],Table3[[#All],[PID]],0)))</f>
        <v>8</v>
      </c>
      <c r="Q68" s="61">
        <f>IF($C68="B",INDEX(Batters[[#All],[Tot]],MATCH(Table5[[#This Row],[PID]],Batters[[#All],[PID]],0)),INDEX(Table3[[#All],[Tot]],MATCH(Table5[[#This Row],[PID]],Table3[[#All],[PID]],0)))</f>
        <v>70.727998073443246</v>
      </c>
      <c r="R68" s="52">
        <f>IF($C68="B",INDEX(Batters[[#All],[zScore]],MATCH(Table5[[#This Row],[PID]],Batters[[#All],[PID]],0)),INDEX(Table3[[#All],[zScore]],MATCH(Table5[[#This Row],[PID]],Table3[[#All],[PID]],0)))</f>
        <v>2.3190143481741057</v>
      </c>
      <c r="S68" s="78" t="str">
        <f>IF($C68="B",INDEX(Batters[[#All],[DEM]],MATCH(Table5[[#This Row],[PID]],Batters[[#All],[PID]],0)),INDEX(Table3[[#All],[DEM]],MATCH(Table5[[#This Row],[PID]],Table3[[#All],[PID]],0)))</f>
        <v>$3.8m</v>
      </c>
      <c r="T68" s="75">
        <f>IF($C68="B",INDEX(Batters[[#All],[Rnk]],MATCH(Table5[[#This Row],[PID]],Batters[[#All],[PID]],0)),INDEX(Table3[[#All],[Rnk]],MATCH(Table5[[#This Row],[PID]],Table3[[#All],[PID]],0)))</f>
        <v>13</v>
      </c>
      <c r="U68" s="68">
        <f>IF($C68="B",VLOOKUP($A68,Bat!$A$4:$BA$1621,47,FALSE),VLOOKUP($A68,Pit!$A$4:$BF$1557,56,FALSE))</f>
        <v>0</v>
      </c>
      <c r="V68" s="50">
        <f>IF($C68="B",VLOOKUP($A68,Bat!$A$4:$BA$1621,48,FALSE),VLOOKUP($A68,Pit!$A$4:$BF$1557,57,FALSE))</f>
        <v>0</v>
      </c>
      <c r="W68" s="69">
        <f>Table5[[#This Row],[posRnk]]+Table5[[#This Row],[zRnk]]+IF($W$3&lt;&gt;Table5[[#This Row],[Type]],50,0)</f>
        <v>88</v>
      </c>
      <c r="X68" s="73">
        <f>RANK(Table5[[#This Row],[zScore]],Table5[[#All],[zScore]])</f>
        <v>25</v>
      </c>
      <c r="Y68" s="69">
        <f>IFERROR(INDEX(DraftResults[[#All],[OVR]],MATCH(Table5[[#This Row],[PID]],DraftResults[[#All],[Player ID]],0)),"")</f>
        <v>64</v>
      </c>
      <c r="Z6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8" s="69">
        <f>IFERROR(INDEX(DraftResults[[#All],[Pick in Round]],MATCH(Table5[[#This Row],[PID]],DraftResults[[#All],[Player ID]],0)),"")</f>
        <v>29</v>
      </c>
      <c r="AB68" s="69" t="str">
        <f>IFERROR(INDEX(DraftResults[[#All],[Team Name]],MATCH(Table5[[#This Row],[PID]],DraftResults[[#All],[Player ID]],0)),"")</f>
        <v>Neo-Tokyo Akira</v>
      </c>
      <c r="AC68" s="69">
        <f>IF(Table5[[#This Row],[Ovr]]="","",IF(Table5[[#This Row],[cmbList]]="","",Table5[[#This Row],[cmbList]]-Table5[[#This Row],[Ovr]]))</f>
        <v>24</v>
      </c>
      <c r="AD68" s="77" t="str">
        <f>IF(ISERROR(VLOOKUP($AB68&amp;"-"&amp;$E68&amp;" "&amp;F68,Bonuses!$B$1:$G$1006,4,FALSE)),"",INT(VLOOKUP($AB68&amp;"-"&amp;$E68&amp;" "&amp;$F68,Bonuses!$B$1:$G$1006,4,FALSE)))</f>
        <v/>
      </c>
      <c r="AE6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2.29 (64) - SP Munemitsu Murakami</v>
      </c>
    </row>
    <row r="69" spans="1:31" s="50" customFormat="1" x14ac:dyDescent="0.25">
      <c r="A69" s="50">
        <v>17561</v>
      </c>
      <c r="B69" s="50">
        <f>COUNTIF(Table5[PID],A69)</f>
        <v>1</v>
      </c>
      <c r="C69" s="50" t="str">
        <f>IF(COUNTIF(Table3[[#All],[PID]],A69)&gt;0,"P","B")</f>
        <v>B</v>
      </c>
      <c r="D69" s="59" t="str">
        <f>IF($C69="B",INDEX(Batters[[#All],[POS]],MATCH(Table5[[#This Row],[PID]],Batters[[#All],[PID]],0)),INDEX(Table3[[#All],[POS]],MATCH(Table5[[#This Row],[PID]],Table3[[#All],[PID]],0)))</f>
        <v>3B</v>
      </c>
      <c r="E69" s="52" t="str">
        <f>IF($C69="B",INDEX(Batters[[#All],[First]],MATCH(Table5[[#This Row],[PID]],Batters[[#All],[PID]],0)),INDEX(Table3[[#All],[First]],MATCH(Table5[[#This Row],[PID]],Table3[[#All],[PID]],0)))</f>
        <v>Dan</v>
      </c>
      <c r="F69" s="50" t="str">
        <f>IF($C69="B",INDEX(Batters[[#All],[Last]],MATCH(A69,Batters[[#All],[PID]],0)),INDEX(Table3[[#All],[Last]],MATCH(A69,Table3[[#All],[PID]],0)))</f>
        <v>Curtis</v>
      </c>
      <c r="G69" s="56">
        <f>IF($C69="B",INDEX(Batters[[#All],[Age]],MATCH(Table5[[#This Row],[PID]],Batters[[#All],[PID]],0)),INDEX(Table3[[#All],[Age]],MATCH(Table5[[#This Row],[PID]],Table3[[#All],[PID]],0)))</f>
        <v>18</v>
      </c>
      <c r="H69" s="52" t="str">
        <f>IF($C69="B",INDEX(Batters[[#All],[B]],MATCH(Table5[[#This Row],[PID]],Batters[[#All],[PID]],0)),INDEX(Table3[[#All],[B]],MATCH(Table5[[#This Row],[PID]],Table3[[#All],[PID]],0)))</f>
        <v>L</v>
      </c>
      <c r="I69" s="52" t="str">
        <f>IF($C69="B",INDEX(Batters[[#All],[T]],MATCH(Table5[[#This Row],[PID]],Batters[[#All],[PID]],0)),INDEX(Table3[[#All],[T]],MATCH(Table5[[#This Row],[PID]],Table3[[#All],[PID]],0)))</f>
        <v>R</v>
      </c>
      <c r="J69" s="52" t="str">
        <f>IF($C69="B",INDEX(Batters[[#All],[WE]],MATCH(Table5[[#This Row],[PID]],Batters[[#All],[PID]],0)),INDEX(Table3[[#All],[WE]],MATCH(Table5[[#This Row],[PID]],Table3[[#All],[PID]],0)))</f>
        <v>Normal</v>
      </c>
      <c r="K69" s="52" t="str">
        <f>IF($C69="B",INDEX(Batters[[#All],[INT]],MATCH(Table5[[#This Row],[PID]],Batters[[#All],[PID]],0)),INDEX(Table3[[#All],[INT]],MATCH(Table5[[#This Row],[PID]],Table3[[#All],[PID]],0)))</f>
        <v>Normal</v>
      </c>
      <c r="L69" s="60">
        <f>IF($C69="B",INDEX(Batters[[#All],[CON P]],MATCH(Table5[[#This Row],[PID]],Batters[[#All],[PID]],0)),INDEX(Table3[[#All],[STU P]],MATCH(Table5[[#This Row],[PID]],Table3[[#All],[PID]],0)))</f>
        <v>4</v>
      </c>
      <c r="M69" s="56">
        <f>IF($C69="B",INDEX(Batters[[#All],[GAP P]],MATCH(Table5[[#This Row],[PID]],Batters[[#All],[PID]],0)),INDEX(Table3[[#All],[MOV P]],MATCH(Table5[[#This Row],[PID]],Table3[[#All],[PID]],0)))</f>
        <v>4</v>
      </c>
      <c r="N69" s="56">
        <f>IF($C69="B",INDEX(Batters[[#All],[POW P]],MATCH(Table5[[#This Row],[PID]],Batters[[#All],[PID]],0)),INDEX(Table3[[#All],[CON P]],MATCH(Table5[[#This Row],[PID]],Table3[[#All],[PID]],0)))</f>
        <v>5</v>
      </c>
      <c r="O69" s="56">
        <f>IF($C69="B",INDEX(Batters[[#All],[EYE P]],MATCH(Table5[[#This Row],[PID]],Batters[[#All],[PID]],0)),INDEX(Table3[[#All],[VELO]],MATCH(Table5[[#This Row],[PID]],Table3[[#All],[PID]],0)))</f>
        <v>6</v>
      </c>
      <c r="P69" s="56">
        <f>IF($C69="B",INDEX(Batters[[#All],[K P]],MATCH(Table5[[#This Row],[PID]],Batters[[#All],[PID]],0)),INDEX(Table3[[#All],[STM]],MATCH(Table5[[#This Row],[PID]],Table3[[#All],[PID]],0)))</f>
        <v>4</v>
      </c>
      <c r="Q69" s="61">
        <f>IF($C69="B",INDEX(Batters[[#All],[Tot]],MATCH(Table5[[#This Row],[PID]],Batters[[#All],[PID]],0)),INDEX(Table3[[#All],[Tot]],MATCH(Table5[[#This Row],[PID]],Table3[[#All],[PID]],0)))</f>
        <v>48.90313632115739</v>
      </c>
      <c r="R69" s="52">
        <f>IF($C69="B",INDEX(Batters[[#All],[zScore]],MATCH(Table5[[#This Row],[PID]],Batters[[#All],[PID]],0)),INDEX(Table3[[#All],[zScore]],MATCH(Table5[[#This Row],[PID]],Table3[[#All],[PID]],0)))</f>
        <v>1.0578065364103051</v>
      </c>
      <c r="S69" s="58" t="str">
        <f>IF($C69="B",INDEX(Batters[[#All],[DEM]],MATCH(Table5[[#This Row],[PID]],Batters[[#All],[PID]],0)),INDEX(Table3[[#All],[DEM]],MATCH(Table5[[#This Row],[PID]],Table3[[#All],[PID]],0)))</f>
        <v>$65k</v>
      </c>
      <c r="T69" s="62">
        <f>IF($C69="B",INDEX(Batters[[#All],[Rnk]],MATCH(Table5[[#This Row],[PID]],Batters[[#All],[PID]],0)),INDEX(Table3[[#All],[Rnk]],MATCH(Table5[[#This Row],[PID]],Table3[[#All],[PID]],0)))</f>
        <v>86</v>
      </c>
      <c r="U69" s="68">
        <f>IF($C69="B",VLOOKUP($A69,Bat!$A$4:$BA$1621,47,FALSE),VLOOKUP($A69,Pit!$A$4:$BF$1557,56,FALSE))</f>
        <v>0</v>
      </c>
      <c r="V69" s="50">
        <f>IF($C69="B",VLOOKUP($A69,Bat!$A$4:$BA$1621,48,FALSE),VLOOKUP($A69,Pit!$A$4:$BF$1557,57,FALSE))</f>
        <v>0</v>
      </c>
      <c r="W69" s="50">
        <f>Table5[[#This Row],[posRnk]]+Table5[[#This Row],[zRnk]]+IF($W$3&lt;&gt;Table5[[#This Row],[Type]],50,0)</f>
        <v>352</v>
      </c>
      <c r="X69" s="51">
        <f>RANK(Table5[[#This Row],[zScore]],Table5[[#All],[zScore]])</f>
        <v>216</v>
      </c>
      <c r="Y69" s="50">
        <f>IFERROR(INDEX(DraftResults[[#All],[OVR]],MATCH(Table5[[#This Row],[PID]],DraftResults[[#All],[Player ID]],0)),"")</f>
        <v>65</v>
      </c>
      <c r="Z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69" s="50">
        <f>IFERROR(INDEX(DraftResults[[#All],[Pick in Round]],MATCH(Table5[[#This Row],[PID]],DraftResults[[#All],[Player ID]],0)),"")</f>
        <v>30</v>
      </c>
      <c r="AB69" s="50" t="str">
        <f>IFERROR(INDEX(DraftResults[[#All],[Team Name]],MATCH(Table5[[#This Row],[PID]],DraftResults[[#All],[Player ID]],0)),"")</f>
        <v>Bakersfield Bears</v>
      </c>
      <c r="AC69" s="50">
        <f>IF(Table5[[#This Row],[Ovr]]="","",IF(Table5[[#This Row],[cmbList]]="","",Table5[[#This Row],[cmbList]]-Table5[[#This Row],[Ovr]]))</f>
        <v>287</v>
      </c>
      <c r="AD69" s="54" t="str">
        <f>IF(ISERROR(VLOOKUP($AB69&amp;"-"&amp;$E69&amp;" "&amp;F69,Bonuses!$B$1:$G$1006,4,FALSE)),"",INT(VLOOKUP($AB69&amp;"-"&amp;$E69&amp;" "&amp;$F69,Bonuses!$B$1:$G$1006,4,FALSE)))</f>
        <v/>
      </c>
      <c r="AE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2.30 (65) - 3B Dan Curtis</v>
      </c>
    </row>
    <row r="70" spans="1:31" s="50" customFormat="1" x14ac:dyDescent="0.25">
      <c r="A70" s="50">
        <v>18325</v>
      </c>
      <c r="B70" s="50">
        <f>COUNTIF(Table5[PID],A70)</f>
        <v>1</v>
      </c>
      <c r="C70" s="50" t="str">
        <f>IF(COUNTIF(Table3[[#All],[PID]],A70)&gt;0,"P","B")</f>
        <v>P</v>
      </c>
      <c r="D70" s="59" t="str">
        <f>IF($C70="B",INDEX(Batters[[#All],[POS]],MATCH(Table5[[#This Row],[PID]],Batters[[#All],[PID]],0)),INDEX(Table3[[#All],[POS]],MATCH(Table5[[#This Row],[PID]],Table3[[#All],[PID]],0)))</f>
        <v>CL</v>
      </c>
      <c r="E70" s="52" t="str">
        <f>IF($C70="B",INDEX(Batters[[#All],[First]],MATCH(Table5[[#This Row],[PID]],Batters[[#All],[PID]],0)),INDEX(Table3[[#All],[First]],MATCH(Table5[[#This Row],[PID]],Table3[[#All],[PID]],0)))</f>
        <v>Bastiaan</v>
      </c>
      <c r="F70" s="50" t="str">
        <f>IF($C70="B",INDEX(Batters[[#All],[Last]],MATCH(A70,Batters[[#All],[PID]],0)),INDEX(Table3[[#All],[Last]],MATCH(A70,Table3[[#All],[PID]],0)))</f>
        <v>Walraven</v>
      </c>
      <c r="G70" s="56">
        <f>IF($C70="B",INDEX(Batters[[#All],[Age]],MATCH(Table5[[#This Row],[PID]],Batters[[#All],[PID]],0)),INDEX(Table3[[#All],[Age]],MATCH(Table5[[#This Row],[PID]],Table3[[#All],[PID]],0)))</f>
        <v>21</v>
      </c>
      <c r="H70" s="52" t="str">
        <f>IF($C70="B",INDEX(Batters[[#All],[B]],MATCH(Table5[[#This Row],[PID]],Batters[[#All],[PID]],0)),INDEX(Table3[[#All],[B]],MATCH(Table5[[#This Row],[PID]],Table3[[#All],[PID]],0)))</f>
        <v>S</v>
      </c>
      <c r="I70" s="52" t="str">
        <f>IF($C70="B",INDEX(Batters[[#All],[T]],MATCH(Table5[[#This Row],[PID]],Batters[[#All],[PID]],0)),INDEX(Table3[[#All],[T]],MATCH(Table5[[#This Row],[PID]],Table3[[#All],[PID]],0)))</f>
        <v>R</v>
      </c>
      <c r="J70" s="52" t="str">
        <f>IF($C70="B",INDEX(Batters[[#All],[WE]],MATCH(Table5[[#This Row],[PID]],Batters[[#All],[PID]],0)),INDEX(Table3[[#All],[WE]],MATCH(Table5[[#This Row],[PID]],Table3[[#All],[PID]],0)))</f>
        <v>Normal</v>
      </c>
      <c r="K70" s="52" t="str">
        <f>IF($C70="B",INDEX(Batters[[#All],[INT]],MATCH(Table5[[#This Row],[PID]],Batters[[#All],[PID]],0)),INDEX(Table3[[#All],[INT]],MATCH(Table5[[#This Row],[PID]],Table3[[#All],[PID]],0)))</f>
        <v>Normal</v>
      </c>
      <c r="L70" s="60">
        <f>IF($C70="B",INDEX(Batters[[#All],[CON P]],MATCH(Table5[[#This Row],[PID]],Batters[[#All],[PID]],0)),INDEX(Table3[[#All],[STU P]],MATCH(Table5[[#This Row],[PID]],Table3[[#All],[PID]],0)))</f>
        <v>6</v>
      </c>
      <c r="M70" s="56">
        <f>IF($C70="B",INDEX(Batters[[#All],[GAP P]],MATCH(Table5[[#This Row],[PID]],Batters[[#All],[PID]],0)),INDEX(Table3[[#All],[MOV P]],MATCH(Table5[[#This Row],[PID]],Table3[[#All],[PID]],0)))</f>
        <v>7</v>
      </c>
      <c r="N70" s="56">
        <f>IF($C70="B",INDEX(Batters[[#All],[POW P]],MATCH(Table5[[#This Row],[PID]],Batters[[#All],[PID]],0)),INDEX(Table3[[#All],[CON P]],MATCH(Table5[[#This Row],[PID]],Table3[[#All],[PID]],0)))</f>
        <v>5</v>
      </c>
      <c r="O70" s="56" t="str">
        <f>IF($C70="B",INDEX(Batters[[#All],[EYE P]],MATCH(Table5[[#This Row],[PID]],Batters[[#All],[PID]],0)),INDEX(Table3[[#All],[VELO]],MATCH(Table5[[#This Row],[PID]],Table3[[#All],[PID]],0)))</f>
        <v>93-95 Mph</v>
      </c>
      <c r="P70" s="56">
        <f>IF($C70="B",INDEX(Batters[[#All],[K P]],MATCH(Table5[[#This Row],[PID]],Batters[[#All],[PID]],0)),INDEX(Table3[[#All],[STM]],MATCH(Table5[[#This Row],[PID]],Table3[[#All],[PID]],0)))</f>
        <v>3</v>
      </c>
      <c r="Q70" s="61">
        <f>IF($C70="B",INDEX(Batters[[#All],[Tot]],MATCH(Table5[[#This Row],[PID]],Batters[[#All],[PID]],0)),INDEX(Table3[[#All],[Tot]],MATCH(Table5[[#This Row],[PID]],Table3[[#All],[PID]],0)))</f>
        <v>60.025361260876451</v>
      </c>
      <c r="R70" s="52">
        <f>IF($C70="B",INDEX(Batters[[#All],[zScore]],MATCH(Table5[[#This Row],[PID]],Batters[[#All],[PID]],0)),INDEX(Table3[[#All],[zScore]],MATCH(Table5[[#This Row],[PID]],Table3[[#All],[PID]],0)))</f>
        <v>1.6069842758279842</v>
      </c>
      <c r="S70" s="58" t="str">
        <f>IF($C70="B",INDEX(Batters[[#All],[DEM]],MATCH(Table5[[#This Row],[PID]],Batters[[#All],[PID]],0)),INDEX(Table3[[#All],[DEM]],MATCH(Table5[[#This Row],[PID]],Table3[[#All],[PID]],0)))</f>
        <v>-</v>
      </c>
      <c r="T70" s="62">
        <f>IF($C70="B",INDEX(Batters[[#All],[Rnk]],MATCH(Table5[[#This Row],[PID]],Batters[[#All],[PID]],0)),INDEX(Table3[[#All],[Rnk]],MATCH(Table5[[#This Row],[PID]],Table3[[#All],[PID]],0)))</f>
        <v>65</v>
      </c>
      <c r="U70" s="68">
        <f>IF($C70="B",VLOOKUP($A70,Bat!$A$4:$BA$1621,47,FALSE),VLOOKUP($A70,Pit!$A$4:$BF$1557,56,FALSE))</f>
        <v>0</v>
      </c>
      <c r="V70" s="50">
        <f>IF($C70="B",VLOOKUP($A70,Bat!$A$4:$BA$1621,48,FALSE),VLOOKUP($A70,Pit!$A$4:$BF$1557,57,FALSE))</f>
        <v>0</v>
      </c>
      <c r="W70" s="50">
        <f>Table5[[#This Row],[posRnk]]+Table5[[#This Row],[zRnk]]+IF($W$3&lt;&gt;Table5[[#This Row],[Type]],50,0)</f>
        <v>216</v>
      </c>
      <c r="X70" s="51">
        <f>RANK(Table5[[#This Row],[zScore]],Table5[[#All],[zScore]])</f>
        <v>101</v>
      </c>
      <c r="Y70" s="50">
        <f>IFERROR(INDEX(DraftResults[[#All],[OVR]],MATCH(Table5[[#This Row],[PID]],DraftResults[[#All],[Player ID]],0)),"")</f>
        <v>66</v>
      </c>
      <c r="Z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70" s="50">
        <f>IFERROR(INDEX(DraftResults[[#All],[Pick in Round]],MATCH(Table5[[#This Row],[PID]],DraftResults[[#All],[Player ID]],0)),"")</f>
        <v>31</v>
      </c>
      <c r="AB70" s="50" t="str">
        <f>IFERROR(INDEX(DraftResults[[#All],[Team Name]],MATCH(Table5[[#This Row],[PID]],DraftResults[[#All],[Player ID]],0)),"")</f>
        <v>San Juan Coqui</v>
      </c>
      <c r="AC70" s="50">
        <f>IF(Table5[[#This Row],[Ovr]]="","",IF(Table5[[#This Row],[cmbList]]="","",Table5[[#This Row],[cmbList]]-Table5[[#This Row],[Ovr]]))</f>
        <v>150</v>
      </c>
      <c r="AD70" s="54" t="str">
        <f>IF(ISERROR(VLOOKUP($AB70&amp;"-"&amp;$E70&amp;" "&amp;F70,Bonuses!$B$1:$G$1006,4,FALSE)),"",INT(VLOOKUP($AB70&amp;"-"&amp;$E70&amp;" "&amp;$F70,Bonuses!$B$1:$G$1006,4,FALSE)))</f>
        <v/>
      </c>
      <c r="AE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2.31 (66) - CL Bastiaan Walraven</v>
      </c>
    </row>
    <row r="71" spans="1:31" s="50" customFormat="1" x14ac:dyDescent="0.25">
      <c r="A71" s="50">
        <v>18389</v>
      </c>
      <c r="B71" s="50">
        <f>COUNTIF(Table5[PID],A71)</f>
        <v>1</v>
      </c>
      <c r="C71" s="50" t="str">
        <f>IF(COUNTIF(Table3[[#All],[PID]],A71)&gt;0,"P","B")</f>
        <v>P</v>
      </c>
      <c r="D71" s="59" t="str">
        <f>IF($C71="B",INDEX(Batters[[#All],[POS]],MATCH(Table5[[#This Row],[PID]],Batters[[#All],[PID]],0)),INDEX(Table3[[#All],[POS]],MATCH(Table5[[#This Row],[PID]],Table3[[#All],[PID]],0)))</f>
        <v>CL</v>
      </c>
      <c r="E71" s="52" t="str">
        <f>IF($C71="B",INDEX(Batters[[#All],[First]],MATCH(Table5[[#This Row],[PID]],Batters[[#All],[PID]],0)),INDEX(Table3[[#All],[First]],MATCH(Table5[[#This Row],[PID]],Table3[[#All],[PID]],0)))</f>
        <v>Naofumi</v>
      </c>
      <c r="F71" s="50" t="str">
        <f>IF($C71="B",INDEX(Batters[[#All],[Last]],MATCH(A71,Batters[[#All],[PID]],0)),INDEX(Table3[[#All],[Last]],MATCH(A71,Table3[[#All],[PID]],0)))</f>
        <v>Okamoto</v>
      </c>
      <c r="G71" s="56">
        <f>IF($C71="B",INDEX(Batters[[#All],[Age]],MATCH(Table5[[#This Row],[PID]],Batters[[#All],[PID]],0)),INDEX(Table3[[#All],[Age]],MATCH(Table5[[#This Row],[PID]],Table3[[#All],[PID]],0)))</f>
        <v>18</v>
      </c>
      <c r="H71" s="52" t="str">
        <f>IF($C71="B",INDEX(Batters[[#All],[B]],MATCH(Table5[[#This Row],[PID]],Batters[[#All],[PID]],0)),INDEX(Table3[[#All],[B]],MATCH(Table5[[#This Row],[PID]],Table3[[#All],[PID]],0)))</f>
        <v>L</v>
      </c>
      <c r="I71" s="52" t="str">
        <f>IF($C71="B",INDEX(Batters[[#All],[T]],MATCH(Table5[[#This Row],[PID]],Batters[[#All],[PID]],0)),INDEX(Table3[[#All],[T]],MATCH(Table5[[#This Row],[PID]],Table3[[#All],[PID]],0)))</f>
        <v>L</v>
      </c>
      <c r="J71" s="52" t="str">
        <f>IF($C71="B",INDEX(Batters[[#All],[WE]],MATCH(Table5[[#This Row],[PID]],Batters[[#All],[PID]],0)),INDEX(Table3[[#All],[WE]],MATCH(Table5[[#This Row],[PID]],Table3[[#All],[PID]],0)))</f>
        <v>High</v>
      </c>
      <c r="K71" s="52" t="str">
        <f>IF($C71="B",INDEX(Batters[[#All],[INT]],MATCH(Table5[[#This Row],[PID]],Batters[[#All],[PID]],0)),INDEX(Table3[[#All],[INT]],MATCH(Table5[[#This Row],[PID]],Table3[[#All],[PID]],0)))</f>
        <v>Normal</v>
      </c>
      <c r="L71" s="60">
        <f>IF($C71="B",INDEX(Batters[[#All],[CON P]],MATCH(Table5[[#This Row],[PID]],Batters[[#All],[PID]],0)),INDEX(Table3[[#All],[STU P]],MATCH(Table5[[#This Row],[PID]],Table3[[#All],[PID]],0)))</f>
        <v>5</v>
      </c>
      <c r="M71" s="56">
        <f>IF($C71="B",INDEX(Batters[[#All],[GAP P]],MATCH(Table5[[#This Row],[PID]],Batters[[#All],[PID]],0)),INDEX(Table3[[#All],[MOV P]],MATCH(Table5[[#This Row],[PID]],Table3[[#All],[PID]],0)))</f>
        <v>6</v>
      </c>
      <c r="N71" s="56">
        <f>IF($C71="B",INDEX(Batters[[#All],[POW P]],MATCH(Table5[[#This Row],[PID]],Batters[[#All],[PID]],0)),INDEX(Table3[[#All],[CON P]],MATCH(Table5[[#This Row],[PID]],Table3[[#All],[PID]],0)))</f>
        <v>6</v>
      </c>
      <c r="O71" s="56" t="str">
        <f>IF($C71="B",INDEX(Batters[[#All],[EYE P]],MATCH(Table5[[#This Row],[PID]],Batters[[#All],[PID]],0)),INDEX(Table3[[#All],[VELO]],MATCH(Table5[[#This Row],[PID]],Table3[[#All],[PID]],0)))</f>
        <v>86-88 Mph</v>
      </c>
      <c r="P71" s="56">
        <f>IF($C71="B",INDEX(Batters[[#All],[K P]],MATCH(Table5[[#This Row],[PID]],Batters[[#All],[PID]],0)),INDEX(Table3[[#All],[STM]],MATCH(Table5[[#This Row],[PID]],Table3[[#All],[PID]],0)))</f>
        <v>4</v>
      </c>
      <c r="Q71" s="61">
        <f>IF($C71="B",INDEX(Batters[[#All],[Tot]],MATCH(Table5[[#This Row],[PID]],Batters[[#All],[PID]],0)),INDEX(Table3[[#All],[Tot]],MATCH(Table5[[#This Row],[PID]],Table3[[#All],[PID]],0)))</f>
        <v>65.286935470172068</v>
      </c>
      <c r="R71" s="52">
        <f>IF($C71="B",INDEX(Batters[[#All],[zScore]],MATCH(Table5[[#This Row],[PID]],Batters[[#All],[PID]],0)),INDEX(Table3[[#All],[zScore]],MATCH(Table5[[#This Row],[PID]],Table3[[#All],[PID]],0)))</f>
        <v>1.9570287677143487</v>
      </c>
      <c r="S71" s="58" t="str">
        <f>IF($C71="B",INDEX(Batters[[#All],[DEM]],MATCH(Table5[[#This Row],[PID]],Batters[[#All],[PID]],0)),INDEX(Table3[[#All],[DEM]],MATCH(Table5[[#This Row],[PID]],Table3[[#All],[PID]],0)))</f>
        <v>$65k</v>
      </c>
      <c r="T71" s="62">
        <f>IF($C71="B",INDEX(Batters[[#All],[Rnk]],MATCH(Table5[[#This Row],[PID]],Batters[[#All],[PID]],0)),INDEX(Table3[[#All],[Rnk]],MATCH(Table5[[#This Row],[PID]],Table3[[#All],[PID]],0)))</f>
        <v>32</v>
      </c>
      <c r="U71" s="68">
        <f>IF($C71="B",VLOOKUP($A71,Bat!$A$4:$BA$1621,47,FALSE),VLOOKUP($A71,Pit!$A$4:$BF$1557,56,FALSE))</f>
        <v>0</v>
      </c>
      <c r="V71" s="50">
        <f>IF($C71="B",VLOOKUP($A71,Bat!$A$4:$BA$1621,48,FALSE),VLOOKUP($A71,Pit!$A$4:$BF$1557,57,FALSE))</f>
        <v>0</v>
      </c>
      <c r="W71" s="50">
        <f>Table5[[#This Row],[posRnk]]+Table5[[#This Row],[zRnk]]+IF($W$3&lt;&gt;Table5[[#This Row],[Type]],50,0)</f>
        <v>132</v>
      </c>
      <c r="X71" s="51">
        <f>RANK(Table5[[#This Row],[zScore]],Table5[[#All],[zScore]])</f>
        <v>50</v>
      </c>
      <c r="Y71" s="50">
        <f>IFERROR(INDEX(DraftResults[[#All],[OVR]],MATCH(Table5[[#This Row],[PID]],DraftResults[[#All],[Player ID]],0)),"")</f>
        <v>67</v>
      </c>
      <c r="Z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71" s="50">
        <f>IFERROR(INDEX(DraftResults[[#All],[Pick in Round]],MATCH(Table5[[#This Row],[PID]],DraftResults[[#All],[Player ID]],0)),"")</f>
        <v>32</v>
      </c>
      <c r="AB71" s="50" t="str">
        <f>IFERROR(INDEX(DraftResults[[#All],[Team Name]],MATCH(Table5[[#This Row],[PID]],DraftResults[[#All],[Player ID]],0)),"")</f>
        <v>Havana Leones</v>
      </c>
      <c r="AC71" s="50">
        <f>IF(Table5[[#This Row],[Ovr]]="","",IF(Table5[[#This Row],[cmbList]]="","",Table5[[#This Row],[cmbList]]-Table5[[#This Row],[Ovr]]))</f>
        <v>65</v>
      </c>
      <c r="AD71" s="54" t="str">
        <f>IF(ISERROR(VLOOKUP($AB71&amp;"-"&amp;$E71&amp;" "&amp;F71,Bonuses!$B$1:$G$1006,4,FALSE)),"",INT(VLOOKUP($AB71&amp;"-"&amp;$E71&amp;" "&amp;$F71,Bonuses!$B$1:$G$1006,4,FALSE)))</f>
        <v/>
      </c>
      <c r="AE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2.32 (67) - CL Naofumi Okamoto</v>
      </c>
    </row>
    <row r="72" spans="1:31" s="50" customFormat="1" x14ac:dyDescent="0.25">
      <c r="A72" s="50">
        <v>18327</v>
      </c>
      <c r="B72" s="50">
        <f>COUNTIF(Table5[PID],A72)</f>
        <v>1</v>
      </c>
      <c r="C72" s="50" t="str">
        <f>IF(COUNTIF(Table3[[#All],[PID]],A72)&gt;0,"P","B")</f>
        <v>B</v>
      </c>
      <c r="D72" s="59" t="str">
        <f>IF($C72="B",INDEX(Batters[[#All],[POS]],MATCH(Table5[[#This Row],[PID]],Batters[[#All],[PID]],0)),INDEX(Table3[[#All],[POS]],MATCH(Table5[[#This Row],[PID]],Table3[[#All],[PID]],0)))</f>
        <v>CF</v>
      </c>
      <c r="E72" s="52" t="str">
        <f>IF($C72="B",INDEX(Batters[[#All],[First]],MATCH(Table5[[#This Row],[PID]],Batters[[#All],[PID]],0)),INDEX(Table3[[#All],[First]],MATCH(Table5[[#This Row],[PID]],Table3[[#All],[PID]],0)))</f>
        <v>Magnus</v>
      </c>
      <c r="F72" s="50" t="str">
        <f>IF($C72="B",INDEX(Batters[[#All],[Last]],MATCH(A72,Batters[[#All],[PID]],0)),INDEX(Table3[[#All],[Last]],MATCH(A72,Table3[[#All],[PID]],0)))</f>
        <v>Stroo</v>
      </c>
      <c r="G72" s="56">
        <f>IF($C72="B",INDEX(Batters[[#All],[Age]],MATCH(Table5[[#This Row],[PID]],Batters[[#All],[PID]],0)),INDEX(Table3[[#All],[Age]],MATCH(Table5[[#This Row],[PID]],Table3[[#All],[PID]],0)))</f>
        <v>21</v>
      </c>
      <c r="H72" s="52" t="str">
        <f>IF($C72="B",INDEX(Batters[[#All],[B]],MATCH(Table5[[#This Row],[PID]],Batters[[#All],[PID]],0)),INDEX(Table3[[#All],[B]],MATCH(Table5[[#This Row],[PID]],Table3[[#All],[PID]],0)))</f>
        <v>L</v>
      </c>
      <c r="I72" s="52" t="str">
        <f>IF($C72="B",INDEX(Batters[[#All],[T]],MATCH(Table5[[#This Row],[PID]],Batters[[#All],[PID]],0)),INDEX(Table3[[#All],[T]],MATCH(Table5[[#This Row],[PID]],Table3[[#All],[PID]],0)))</f>
        <v>R</v>
      </c>
      <c r="J72" s="52" t="str">
        <f>IF($C72="B",INDEX(Batters[[#All],[WE]],MATCH(Table5[[#This Row],[PID]],Batters[[#All],[PID]],0)),INDEX(Table3[[#All],[WE]],MATCH(Table5[[#This Row],[PID]],Table3[[#All],[PID]],0)))</f>
        <v>Normal</v>
      </c>
      <c r="K72" s="52" t="str">
        <f>IF($C72="B",INDEX(Batters[[#All],[INT]],MATCH(Table5[[#This Row],[PID]],Batters[[#All],[PID]],0)),INDEX(Table3[[#All],[INT]],MATCH(Table5[[#This Row],[PID]],Table3[[#All],[PID]],0)))</f>
        <v>Normal</v>
      </c>
      <c r="L72" s="60">
        <f>IF($C72="B",INDEX(Batters[[#All],[CON P]],MATCH(Table5[[#This Row],[PID]],Batters[[#All],[PID]],0)),INDEX(Table3[[#All],[STU P]],MATCH(Table5[[#This Row],[PID]],Table3[[#All],[PID]],0)))</f>
        <v>5</v>
      </c>
      <c r="M72" s="56">
        <f>IF($C72="B",INDEX(Batters[[#All],[GAP P]],MATCH(Table5[[#This Row],[PID]],Batters[[#All],[PID]],0)),INDEX(Table3[[#All],[MOV P]],MATCH(Table5[[#This Row],[PID]],Table3[[#All],[PID]],0)))</f>
        <v>6</v>
      </c>
      <c r="N72" s="56">
        <f>IF($C72="B",INDEX(Batters[[#All],[POW P]],MATCH(Table5[[#This Row],[PID]],Batters[[#All],[PID]],0)),INDEX(Table3[[#All],[CON P]],MATCH(Table5[[#This Row],[PID]],Table3[[#All],[PID]],0)))</f>
        <v>2</v>
      </c>
      <c r="O72" s="56">
        <f>IF($C72="B",INDEX(Batters[[#All],[EYE P]],MATCH(Table5[[#This Row],[PID]],Batters[[#All],[PID]],0)),INDEX(Table3[[#All],[VELO]],MATCH(Table5[[#This Row],[PID]],Table3[[#All],[PID]],0)))</f>
        <v>3</v>
      </c>
      <c r="P72" s="56">
        <f>IF($C72="B",INDEX(Batters[[#All],[K P]],MATCH(Table5[[#This Row],[PID]],Batters[[#All],[PID]],0)),INDEX(Table3[[#All],[STM]],MATCH(Table5[[#This Row],[PID]],Table3[[#All],[PID]],0)))</f>
        <v>6</v>
      </c>
      <c r="Q72" s="61">
        <f>IF($C72="B",INDEX(Batters[[#All],[Tot]],MATCH(Table5[[#This Row],[PID]],Batters[[#All],[PID]],0)),INDEX(Table3[[#All],[Tot]],MATCH(Table5[[#This Row],[PID]],Table3[[#All],[PID]],0)))</f>
        <v>45.106271941868833</v>
      </c>
      <c r="R72" s="52">
        <f>IF($C72="B",INDEX(Batters[[#All],[zScore]],MATCH(Table5[[#This Row],[PID]],Batters[[#All],[PID]],0)),INDEX(Table3[[#All],[zScore]],MATCH(Table5[[#This Row],[PID]],Table3[[#All],[PID]],0)))</f>
        <v>0.21601603910067346</v>
      </c>
      <c r="S72" s="58" t="str">
        <f>IF($C72="B",INDEX(Batters[[#All],[DEM]],MATCH(Table5[[#This Row],[PID]],Batters[[#All],[PID]],0)),INDEX(Table3[[#All],[DEM]],MATCH(Table5[[#This Row],[PID]],Table3[[#All],[PID]],0)))</f>
        <v>$20k</v>
      </c>
      <c r="T72" s="62">
        <f>IF($C72="B",INDEX(Batters[[#All],[Rnk]],MATCH(Table5[[#This Row],[PID]],Batters[[#All],[PID]],0)),INDEX(Table3[[#All],[Rnk]],MATCH(Table5[[#This Row],[PID]],Table3[[#All],[PID]],0)))</f>
        <v>198</v>
      </c>
      <c r="U72" s="68">
        <f>IF($C72="B",VLOOKUP($A72,Bat!$A$4:$BA$1621,47,FALSE),VLOOKUP($A72,Pit!$A$4:$BF$1557,56,FALSE))</f>
        <v>0</v>
      </c>
      <c r="V72" s="50">
        <f>IF($C72="B",VLOOKUP($A72,Bat!$A$4:$BA$1621,48,FALSE),VLOOKUP($A72,Pit!$A$4:$BF$1557,57,FALSE))</f>
        <v>0</v>
      </c>
      <c r="W72" s="50">
        <f>Table5[[#This Row],[posRnk]]+Table5[[#This Row],[zRnk]]+IF($W$3&lt;&gt;Table5[[#This Row],[Type]],50,0)</f>
        <v>706</v>
      </c>
      <c r="X72" s="51">
        <f>RANK(Table5[[#This Row],[zScore]],Table5[[#All],[zScore]])</f>
        <v>458</v>
      </c>
      <c r="Y72" s="50">
        <f>IFERROR(INDEX(DraftResults[[#All],[OVR]],MATCH(Table5[[#This Row],[PID]],DraftResults[[#All],[Player ID]],0)),"")</f>
        <v>68</v>
      </c>
      <c r="Z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</v>
      </c>
      <c r="AA72" s="50">
        <f>IFERROR(INDEX(DraftResults[[#All],[Pick in Round]],MATCH(Table5[[#This Row],[PID]],DraftResults[[#All],[Player ID]],0)),"")</f>
        <v>33</v>
      </c>
      <c r="AB72" s="50" t="str">
        <f>IFERROR(INDEX(DraftResults[[#All],[Team Name]],MATCH(Table5[[#This Row],[PID]],DraftResults[[#All],[Player ID]],0)),"")</f>
        <v>Florida Farstriders</v>
      </c>
      <c r="AC72" s="50">
        <f>IF(Table5[[#This Row],[Ovr]]="","",IF(Table5[[#This Row],[cmbList]]="","",Table5[[#This Row],[cmbList]]-Table5[[#This Row],[Ovr]]))</f>
        <v>638</v>
      </c>
      <c r="AD72" s="54" t="str">
        <f>IF(ISERROR(VLOOKUP($AB72&amp;"-"&amp;$E72&amp;" "&amp;F72,Bonuses!$B$1:$G$1006,4,FALSE)),"",INT(VLOOKUP($AB72&amp;"-"&amp;$E72&amp;" "&amp;$F72,Bonuses!$B$1:$G$1006,4,FALSE)))</f>
        <v/>
      </c>
      <c r="AE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2.33 (68) - CF Magnus Stroo</v>
      </c>
    </row>
    <row r="73" spans="1:31" s="50" customFormat="1" x14ac:dyDescent="0.25">
      <c r="A73" s="50">
        <v>18295</v>
      </c>
      <c r="B73" s="50">
        <f>COUNTIF(Table5[PID],A73)</f>
        <v>1</v>
      </c>
      <c r="C73" s="50" t="str">
        <f>IF(COUNTIF(Table3[[#All],[PID]],A73)&gt;0,"P","B")</f>
        <v>B</v>
      </c>
      <c r="D73" s="59" t="str">
        <f>IF($C73="B",INDEX(Batters[[#All],[POS]],MATCH(Table5[[#This Row],[PID]],Batters[[#All],[PID]],0)),INDEX(Table3[[#All],[POS]],MATCH(Table5[[#This Row],[PID]],Table3[[#All],[PID]],0)))</f>
        <v>C</v>
      </c>
      <c r="E73" s="52" t="str">
        <f>IF($C73="B",INDEX(Batters[[#All],[First]],MATCH(Table5[[#This Row],[PID]],Batters[[#All],[PID]],0)),INDEX(Table3[[#All],[First]],MATCH(Table5[[#This Row],[PID]],Table3[[#All],[PID]],0)))</f>
        <v>Michael</v>
      </c>
      <c r="F73" s="50" t="str">
        <f>IF($C73="B",INDEX(Batters[[#All],[Last]],MATCH(A73,Batters[[#All],[PID]],0)),INDEX(Table3[[#All],[Last]],MATCH(A73,Table3[[#All],[PID]],0)))</f>
        <v>MacGillivray</v>
      </c>
      <c r="G73" s="56">
        <f>IF($C73="B",INDEX(Batters[[#All],[Age]],MATCH(Table5[[#This Row],[PID]],Batters[[#All],[PID]],0)),INDEX(Table3[[#All],[Age]],MATCH(Table5[[#This Row],[PID]],Table3[[#All],[PID]],0)))</f>
        <v>21</v>
      </c>
      <c r="H73" s="52" t="str">
        <f>IF($C73="B",INDEX(Batters[[#All],[B]],MATCH(Table5[[#This Row],[PID]],Batters[[#All],[PID]],0)),INDEX(Table3[[#All],[B]],MATCH(Table5[[#This Row],[PID]],Table3[[#All],[PID]],0)))</f>
        <v>R</v>
      </c>
      <c r="I73" s="52" t="str">
        <f>IF($C73="B",INDEX(Batters[[#All],[T]],MATCH(Table5[[#This Row],[PID]],Batters[[#All],[PID]],0)),INDEX(Table3[[#All],[T]],MATCH(Table5[[#This Row],[PID]],Table3[[#All],[PID]],0)))</f>
        <v>R</v>
      </c>
      <c r="J73" s="52" t="str">
        <f>IF($C73="B",INDEX(Batters[[#All],[WE]],MATCH(Table5[[#This Row],[PID]],Batters[[#All],[PID]],0)),INDEX(Table3[[#All],[WE]],MATCH(Table5[[#This Row],[PID]],Table3[[#All],[PID]],0)))</f>
        <v>Normal</v>
      </c>
      <c r="K73" s="52" t="str">
        <f>IF($C73="B",INDEX(Batters[[#All],[INT]],MATCH(Table5[[#This Row],[PID]],Batters[[#All],[PID]],0)),INDEX(Table3[[#All],[INT]],MATCH(Table5[[#This Row],[PID]],Table3[[#All],[PID]],0)))</f>
        <v>Low</v>
      </c>
      <c r="L73" s="60">
        <f>IF($C73="B",INDEX(Batters[[#All],[CON P]],MATCH(Table5[[#This Row],[PID]],Batters[[#All],[PID]],0)),INDEX(Table3[[#All],[STU P]],MATCH(Table5[[#This Row],[PID]],Table3[[#All],[PID]],0)))</f>
        <v>4</v>
      </c>
      <c r="M73" s="56">
        <f>IF($C73="B",INDEX(Batters[[#All],[GAP P]],MATCH(Table5[[#This Row],[PID]],Batters[[#All],[PID]],0)),INDEX(Table3[[#All],[MOV P]],MATCH(Table5[[#This Row],[PID]],Table3[[#All],[PID]],0)))</f>
        <v>6</v>
      </c>
      <c r="N73" s="56">
        <f>IF($C73="B",INDEX(Batters[[#All],[POW P]],MATCH(Table5[[#This Row],[PID]],Batters[[#All],[PID]],0)),INDEX(Table3[[#All],[CON P]],MATCH(Table5[[#This Row],[PID]],Table3[[#All],[PID]],0)))</f>
        <v>6</v>
      </c>
      <c r="O73" s="56">
        <f>IF($C73="B",INDEX(Batters[[#All],[EYE P]],MATCH(Table5[[#This Row],[PID]],Batters[[#All],[PID]],0)),INDEX(Table3[[#All],[VELO]],MATCH(Table5[[#This Row],[PID]],Table3[[#All],[PID]],0)))</f>
        <v>6</v>
      </c>
      <c r="P73" s="56">
        <f>IF($C73="B",INDEX(Batters[[#All],[K P]],MATCH(Table5[[#This Row],[PID]],Batters[[#All],[PID]],0)),INDEX(Table3[[#All],[STM]],MATCH(Table5[[#This Row],[PID]],Table3[[#All],[PID]],0)))</f>
        <v>3</v>
      </c>
      <c r="Q73" s="61">
        <f>IF($C73="B",INDEX(Batters[[#All],[Tot]],MATCH(Table5[[#This Row],[PID]],Batters[[#All],[PID]],0)),INDEX(Table3[[#All],[Tot]],MATCH(Table5[[#This Row],[PID]],Table3[[#All],[PID]],0)))</f>
        <v>46.718469577421899</v>
      </c>
      <c r="R73" s="52">
        <f>IF($C73="B",INDEX(Batters[[#All],[zScore]],MATCH(Table5[[#This Row],[PID]],Batters[[#All],[PID]],0)),INDEX(Table3[[#All],[zScore]],MATCH(Table5[[#This Row],[PID]],Table3[[#All],[PID]],0)))</f>
        <v>0.57345115234744226</v>
      </c>
      <c r="S73" s="58" t="str">
        <f>IF($C73="B",INDEX(Batters[[#All],[DEM]],MATCH(Table5[[#This Row],[PID]],Batters[[#All],[PID]],0)),INDEX(Table3[[#All],[DEM]],MATCH(Table5[[#This Row],[PID]],Table3[[#All],[PID]],0)))</f>
        <v>-</v>
      </c>
      <c r="T73" s="62">
        <f>IF($C73="B",INDEX(Batters[[#All],[Rnk]],MATCH(Table5[[#This Row],[PID]],Batters[[#All],[PID]],0)),INDEX(Table3[[#All],[Rnk]],MATCH(Table5[[#This Row],[PID]],Table3[[#All],[PID]],0)))</f>
        <v>141</v>
      </c>
      <c r="U73" s="68">
        <f>IF($C73="B",VLOOKUP($A73,Bat!$A$4:$BA$1621,47,FALSE),VLOOKUP($A73,Pit!$A$4:$BF$1557,56,FALSE))</f>
        <v>0</v>
      </c>
      <c r="V73" s="50">
        <f>IF($C73="B",VLOOKUP($A73,Bat!$A$4:$BA$1621,48,FALSE),VLOOKUP($A73,Pit!$A$4:$BF$1557,57,FALSE))</f>
        <v>0</v>
      </c>
      <c r="W73" s="50">
        <f>Table5[[#This Row],[posRnk]]+Table5[[#This Row],[zRnk]]+IF($W$3&lt;&gt;Table5[[#This Row],[Type]],50,0)</f>
        <v>535</v>
      </c>
      <c r="X73" s="51">
        <f>RANK(Table5[[#This Row],[zScore]],Table5[[#All],[zScore]])</f>
        <v>344</v>
      </c>
      <c r="Y73" s="50">
        <f>IFERROR(INDEX(DraftResults[[#All],[OVR]],MATCH(Table5[[#This Row],[PID]],DraftResults[[#All],[Player ID]],0)),"")</f>
        <v>69</v>
      </c>
      <c r="Z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3" s="50">
        <f>IFERROR(INDEX(DraftResults[[#All],[Pick in Round]],MATCH(Table5[[#This Row],[PID]],DraftResults[[#All],[Player ID]],0)),"")</f>
        <v>1</v>
      </c>
      <c r="AB73" s="50" t="str">
        <f>IFERROR(INDEX(DraftResults[[#All],[Team Name]],MATCH(Table5[[#This Row],[PID]],DraftResults[[#All],[Player ID]],0)),"")</f>
        <v>Yuma Arroyos</v>
      </c>
      <c r="AC73" s="50">
        <f>IF(Table5[[#This Row],[Ovr]]="","",IF(Table5[[#This Row],[cmbList]]="","",Table5[[#This Row],[cmbList]]-Table5[[#This Row],[Ovr]]))</f>
        <v>466</v>
      </c>
      <c r="AD73" s="54" t="str">
        <f>IF(ISERROR(VLOOKUP($AB73&amp;"-"&amp;$E73&amp;" "&amp;F73,Bonuses!$B$1:$G$1006,4,FALSE)),"",INT(VLOOKUP($AB73&amp;"-"&amp;$E73&amp;" "&amp;$F73,Bonuses!$B$1:$G$1006,4,FALSE)))</f>
        <v/>
      </c>
      <c r="AE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 (69) - C Michael MacGillivray</v>
      </c>
    </row>
    <row r="74" spans="1:31" s="50" customFormat="1" x14ac:dyDescent="0.25">
      <c r="A74" s="68">
        <v>18449</v>
      </c>
      <c r="B74" s="69">
        <f>COUNTIF(Table5[PID],A74)</f>
        <v>1</v>
      </c>
      <c r="C74" s="69" t="str">
        <f>IF(COUNTIF(Table3[[#All],[PID]],A74)&gt;0,"P","B")</f>
        <v>P</v>
      </c>
      <c r="D74" s="59" t="str">
        <f>IF($C74="B",INDEX(Batters[[#All],[POS]],MATCH(Table5[[#This Row],[PID]],Batters[[#All],[PID]],0)),INDEX(Table3[[#All],[POS]],MATCH(Table5[[#This Row],[PID]],Table3[[#All],[PID]],0)))</f>
        <v>SP</v>
      </c>
      <c r="E74" s="52" t="str">
        <f>IF($C74="B",INDEX(Batters[[#All],[First]],MATCH(Table5[[#This Row],[PID]],Batters[[#All],[PID]],0)),INDEX(Table3[[#All],[First]],MATCH(Table5[[#This Row],[PID]],Table3[[#All],[PID]],0)))</f>
        <v>Cameron</v>
      </c>
      <c r="F74" s="55" t="str">
        <f>IF($C74="B",INDEX(Batters[[#All],[Last]],MATCH(A74,Batters[[#All],[PID]],0)),INDEX(Table3[[#All],[Last]],MATCH(A74,Table3[[#All],[PID]],0)))</f>
        <v>Auchmulty</v>
      </c>
      <c r="G74" s="56">
        <f>IF($C74="B",INDEX(Batters[[#All],[Age]],MATCH(Table5[[#This Row],[PID]],Batters[[#All],[PID]],0)),INDEX(Table3[[#All],[Age]],MATCH(Table5[[#This Row],[PID]],Table3[[#All],[PID]],0)))</f>
        <v>18</v>
      </c>
      <c r="H74" s="52" t="str">
        <f>IF($C74="B",INDEX(Batters[[#All],[B]],MATCH(Table5[[#This Row],[PID]],Batters[[#All],[PID]],0)),INDEX(Table3[[#All],[B]],MATCH(Table5[[#This Row],[PID]],Table3[[#All],[PID]],0)))</f>
        <v>S</v>
      </c>
      <c r="I74" s="52" t="str">
        <f>IF($C74="B",INDEX(Batters[[#All],[T]],MATCH(Table5[[#This Row],[PID]],Batters[[#All],[PID]],0)),INDEX(Table3[[#All],[T]],MATCH(Table5[[#This Row],[PID]],Table3[[#All],[PID]],0)))</f>
        <v>R</v>
      </c>
      <c r="J74" s="71" t="str">
        <f>IF($C74="B",INDEX(Batters[[#All],[WE]],MATCH(Table5[[#This Row],[PID]],Batters[[#All],[PID]],0)),INDEX(Table3[[#All],[WE]],MATCH(Table5[[#This Row],[PID]],Table3[[#All],[PID]],0)))</f>
        <v>High</v>
      </c>
      <c r="K74" s="52" t="str">
        <f>IF($C74="B",INDEX(Batters[[#All],[INT]],MATCH(Table5[[#This Row],[PID]],Batters[[#All],[PID]],0)),INDEX(Table3[[#All],[INT]],MATCH(Table5[[#This Row],[PID]],Table3[[#All],[PID]],0)))</f>
        <v>Normal</v>
      </c>
      <c r="L74" s="60">
        <f>IF($C74="B",INDEX(Batters[[#All],[CON P]],MATCH(Table5[[#This Row],[PID]],Batters[[#All],[PID]],0)),INDEX(Table3[[#All],[STU P]],MATCH(Table5[[#This Row],[PID]],Table3[[#All],[PID]],0)))</f>
        <v>6</v>
      </c>
      <c r="M74" s="72">
        <f>IF($C74="B",INDEX(Batters[[#All],[GAP P]],MATCH(Table5[[#This Row],[PID]],Batters[[#All],[PID]],0)),INDEX(Table3[[#All],[MOV P]],MATCH(Table5[[#This Row],[PID]],Table3[[#All],[PID]],0)))</f>
        <v>5</v>
      </c>
      <c r="N74" s="72">
        <f>IF($C74="B",INDEX(Batters[[#All],[POW P]],MATCH(Table5[[#This Row],[PID]],Batters[[#All],[PID]],0)),INDEX(Table3[[#All],[CON P]],MATCH(Table5[[#This Row],[PID]],Table3[[#All],[PID]],0)))</f>
        <v>5</v>
      </c>
      <c r="O74" s="72" t="str">
        <f>IF($C74="B",INDEX(Batters[[#All],[EYE P]],MATCH(Table5[[#This Row],[PID]],Batters[[#All],[PID]],0)),INDEX(Table3[[#All],[VELO]],MATCH(Table5[[#This Row],[PID]],Table3[[#All],[PID]],0)))</f>
        <v>92-94 Mph</v>
      </c>
      <c r="P74" s="56">
        <f>IF($C74="B",INDEX(Batters[[#All],[K P]],MATCH(Table5[[#This Row],[PID]],Batters[[#All],[PID]],0)),INDEX(Table3[[#All],[STM]],MATCH(Table5[[#This Row],[PID]],Table3[[#All],[PID]],0)))</f>
        <v>6</v>
      </c>
      <c r="Q74" s="61">
        <f>IF($C74="B",INDEX(Batters[[#All],[Tot]],MATCH(Table5[[#This Row],[PID]],Batters[[#All],[PID]],0)),INDEX(Table3[[#All],[Tot]],MATCH(Table5[[#This Row],[PID]],Table3[[#All],[PID]],0)))</f>
        <v>66.6380742493741</v>
      </c>
      <c r="R74" s="52">
        <f>IF($C74="B",INDEX(Batters[[#All],[zScore]],MATCH(Table5[[#This Row],[PID]],Batters[[#All],[PID]],0)),INDEX(Table3[[#All],[zScore]],MATCH(Table5[[#This Row],[PID]],Table3[[#All],[PID]],0)))</f>
        <v>2.0469179660075447</v>
      </c>
      <c r="S74" s="78" t="str">
        <f>IF($C74="B",INDEX(Batters[[#All],[DEM]],MATCH(Table5[[#This Row],[PID]],Batters[[#All],[PID]],0)),INDEX(Table3[[#All],[DEM]],MATCH(Table5[[#This Row],[PID]],Table3[[#All],[PID]],0)))</f>
        <v>$850k</v>
      </c>
      <c r="T74" s="75">
        <f>IF($C74="B",INDEX(Batters[[#All],[Rnk]],MATCH(Table5[[#This Row],[PID]],Batters[[#All],[PID]],0)),INDEX(Table3[[#All],[Rnk]],MATCH(Table5[[#This Row],[PID]],Table3[[#All],[PID]],0)))</f>
        <v>24</v>
      </c>
      <c r="U74" s="68">
        <f>IF($C74="B",VLOOKUP($A74,Bat!$A$4:$BA$1621,47,FALSE),VLOOKUP($A74,Pit!$A$4:$BF$1557,56,FALSE))</f>
        <v>0</v>
      </c>
      <c r="V74" s="50">
        <f>IF($C74="B",VLOOKUP($A74,Bat!$A$4:$BA$1621,48,FALSE),VLOOKUP($A74,Pit!$A$4:$BF$1557,57,FALSE))</f>
        <v>0</v>
      </c>
      <c r="W74" s="69">
        <f>Table5[[#This Row],[posRnk]]+Table5[[#This Row],[zRnk]]+IF($W$3&lt;&gt;Table5[[#This Row],[Type]],50,0)</f>
        <v>115</v>
      </c>
      <c r="X74" s="73">
        <f>RANK(Table5[[#This Row],[zScore]],Table5[[#All],[zScore]])</f>
        <v>41</v>
      </c>
      <c r="Y74" s="69">
        <f>IFERROR(INDEX(DraftResults[[#All],[OVR]],MATCH(Table5[[#This Row],[PID]],DraftResults[[#All],[Player ID]],0)),"")</f>
        <v>70</v>
      </c>
      <c r="Z7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4" s="69">
        <f>IFERROR(INDEX(DraftResults[[#All],[Pick in Round]],MATCH(Table5[[#This Row],[PID]],DraftResults[[#All],[Player ID]],0)),"")</f>
        <v>2</v>
      </c>
      <c r="AB74" s="69" t="str">
        <f>IFERROR(INDEX(DraftResults[[#All],[Team Name]],MATCH(Table5[[#This Row],[PID]],DraftResults[[#All],[Player ID]],0)),"")</f>
        <v>Charleston Statesmen</v>
      </c>
      <c r="AC74" s="69">
        <f>IF(Table5[[#This Row],[Ovr]]="","",IF(Table5[[#This Row],[cmbList]]="","",Table5[[#This Row],[cmbList]]-Table5[[#This Row],[Ovr]]))</f>
        <v>45</v>
      </c>
      <c r="AD74" s="77" t="str">
        <f>IF(ISERROR(VLOOKUP($AB74&amp;"-"&amp;$E74&amp;" "&amp;F74,Bonuses!$B$1:$G$1006,4,FALSE)),"",INT(VLOOKUP($AB74&amp;"-"&amp;$E74&amp;" "&amp;$F74,Bonuses!$B$1:$G$1006,4,FALSE)))</f>
        <v/>
      </c>
      <c r="AE7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 (70) - SP Cameron Auchmulty</v>
      </c>
    </row>
    <row r="75" spans="1:31" s="50" customFormat="1" x14ac:dyDescent="0.25">
      <c r="A75" s="50">
        <v>18298</v>
      </c>
      <c r="B75" s="50">
        <f>COUNTIF(Table5[PID],A75)</f>
        <v>1</v>
      </c>
      <c r="C75" s="50" t="str">
        <f>IF(COUNTIF(Table3[[#All],[PID]],A75)&gt;0,"P","B")</f>
        <v>B</v>
      </c>
      <c r="D75" s="59" t="str">
        <f>IF($C75="B",INDEX(Batters[[#All],[POS]],MATCH(Table5[[#This Row],[PID]],Batters[[#All],[PID]],0)),INDEX(Table3[[#All],[POS]],MATCH(Table5[[#This Row],[PID]],Table3[[#All],[PID]],0)))</f>
        <v>RF</v>
      </c>
      <c r="E75" s="52" t="str">
        <f>IF($C75="B",INDEX(Batters[[#All],[First]],MATCH(Table5[[#This Row],[PID]],Batters[[#All],[PID]],0)),INDEX(Table3[[#All],[First]],MATCH(Table5[[#This Row],[PID]],Table3[[#All],[PID]],0)))</f>
        <v>Lucas</v>
      </c>
      <c r="F75" s="50" t="str">
        <f>IF($C75="B",INDEX(Batters[[#All],[Last]],MATCH(A75,Batters[[#All],[PID]],0)),INDEX(Table3[[#All],[Last]],MATCH(A75,Table3[[#All],[PID]],0)))</f>
        <v>van Hal</v>
      </c>
      <c r="G75" s="56">
        <f>IF($C75="B",INDEX(Batters[[#All],[Age]],MATCH(Table5[[#This Row],[PID]],Batters[[#All],[PID]],0)),INDEX(Table3[[#All],[Age]],MATCH(Table5[[#This Row],[PID]],Table3[[#All],[PID]],0)))</f>
        <v>21</v>
      </c>
      <c r="H75" s="52" t="str">
        <f>IF($C75="B",INDEX(Batters[[#All],[B]],MATCH(Table5[[#This Row],[PID]],Batters[[#All],[PID]],0)),INDEX(Table3[[#All],[B]],MATCH(Table5[[#This Row],[PID]],Table3[[#All],[PID]],0)))</f>
        <v>R</v>
      </c>
      <c r="I75" s="52" t="str">
        <f>IF($C75="B",INDEX(Batters[[#All],[T]],MATCH(Table5[[#This Row],[PID]],Batters[[#All],[PID]],0)),INDEX(Table3[[#All],[T]],MATCH(Table5[[#This Row],[PID]],Table3[[#All],[PID]],0)))</f>
        <v>R</v>
      </c>
      <c r="J75" s="52" t="str">
        <f>IF($C75="B",INDEX(Batters[[#All],[WE]],MATCH(Table5[[#This Row],[PID]],Batters[[#All],[PID]],0)),INDEX(Table3[[#All],[WE]],MATCH(Table5[[#This Row],[PID]],Table3[[#All],[PID]],0)))</f>
        <v>Normal</v>
      </c>
      <c r="K75" s="52" t="str">
        <f>IF($C75="B",INDEX(Batters[[#All],[INT]],MATCH(Table5[[#This Row],[PID]],Batters[[#All],[PID]],0)),INDEX(Table3[[#All],[INT]],MATCH(Table5[[#This Row],[PID]],Table3[[#All],[PID]],0)))</f>
        <v>Normal</v>
      </c>
      <c r="L75" s="60">
        <f>IF($C75="B",INDEX(Batters[[#All],[CON P]],MATCH(Table5[[#This Row],[PID]],Batters[[#All],[PID]],0)),INDEX(Table3[[#All],[STU P]],MATCH(Table5[[#This Row],[PID]],Table3[[#All],[PID]],0)))</f>
        <v>5</v>
      </c>
      <c r="M75" s="56">
        <f>IF($C75="B",INDEX(Batters[[#All],[GAP P]],MATCH(Table5[[#This Row],[PID]],Batters[[#All],[PID]],0)),INDEX(Table3[[#All],[MOV P]],MATCH(Table5[[#This Row],[PID]],Table3[[#All],[PID]],0)))</f>
        <v>6</v>
      </c>
      <c r="N75" s="56">
        <f>IF($C75="B",INDEX(Batters[[#All],[POW P]],MATCH(Table5[[#This Row],[PID]],Batters[[#All],[PID]],0)),INDEX(Table3[[#All],[CON P]],MATCH(Table5[[#This Row],[PID]],Table3[[#All],[PID]],0)))</f>
        <v>4</v>
      </c>
      <c r="O75" s="56">
        <f>IF($C75="B",INDEX(Batters[[#All],[EYE P]],MATCH(Table5[[#This Row],[PID]],Batters[[#All],[PID]],0)),INDEX(Table3[[#All],[VELO]],MATCH(Table5[[#This Row],[PID]],Table3[[#All],[PID]],0)))</f>
        <v>3</v>
      </c>
      <c r="P75" s="56">
        <f>IF($C75="B",INDEX(Batters[[#All],[K P]],MATCH(Table5[[#This Row],[PID]],Batters[[#All],[PID]],0)),INDEX(Table3[[#All],[STM]],MATCH(Table5[[#This Row],[PID]],Table3[[#All],[PID]],0)))</f>
        <v>8</v>
      </c>
      <c r="Q75" s="61">
        <f>IF($C75="B",INDEX(Batters[[#All],[Tot]],MATCH(Table5[[#This Row],[PID]],Batters[[#All],[PID]],0)),INDEX(Table3[[#All],[Tot]],MATCH(Table5[[#This Row],[PID]],Table3[[#All],[PID]],0)))</f>
        <v>46.81596644242655</v>
      </c>
      <c r="R75" s="52">
        <f>IF($C75="B",INDEX(Batters[[#All],[zScore]],MATCH(Table5[[#This Row],[PID]],Batters[[#All],[PID]],0)),INDEX(Table3[[#All],[zScore]],MATCH(Table5[[#This Row],[PID]],Table3[[#All],[PID]],0)))</f>
        <v>0.59506686633661909</v>
      </c>
      <c r="S75" s="58" t="str">
        <f>IF($C75="B",INDEX(Batters[[#All],[DEM]],MATCH(Table5[[#This Row],[PID]],Batters[[#All],[PID]],0)),INDEX(Table3[[#All],[DEM]],MATCH(Table5[[#This Row],[PID]],Table3[[#All],[PID]],0)))</f>
        <v>-</v>
      </c>
      <c r="T75" s="62">
        <f>IF($C75="B",INDEX(Batters[[#All],[Rnk]],MATCH(Table5[[#This Row],[PID]],Batters[[#All],[PID]],0)),INDEX(Table3[[#All],[Rnk]],MATCH(Table5[[#This Row],[PID]],Table3[[#All],[PID]],0)))</f>
        <v>138</v>
      </c>
      <c r="U75" s="68">
        <f>IF($C75="B",VLOOKUP($A75,Bat!$A$4:$BA$1621,47,FALSE),VLOOKUP($A75,Pit!$A$4:$BF$1557,56,FALSE))</f>
        <v>0</v>
      </c>
      <c r="V75" s="50">
        <f>IF($C75="B",VLOOKUP($A75,Bat!$A$4:$BA$1621,48,FALSE),VLOOKUP($A75,Pit!$A$4:$BF$1557,57,FALSE))</f>
        <v>0</v>
      </c>
      <c r="W75" s="50">
        <f>Table5[[#This Row],[posRnk]]+Table5[[#This Row],[zRnk]]+IF($W$3&lt;&gt;Table5[[#This Row],[Type]],50,0)</f>
        <v>525</v>
      </c>
      <c r="X75" s="51">
        <f>RANK(Table5[[#This Row],[zScore]],Table5[[#All],[zScore]])</f>
        <v>337</v>
      </c>
      <c r="Y75" s="50">
        <f>IFERROR(INDEX(DraftResults[[#All],[OVR]],MATCH(Table5[[#This Row],[PID]],DraftResults[[#All],[Player ID]],0)),"")</f>
        <v>71</v>
      </c>
      <c r="Z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5" s="50">
        <f>IFERROR(INDEX(DraftResults[[#All],[Pick in Round]],MATCH(Table5[[#This Row],[PID]],DraftResults[[#All],[Player ID]],0)),"")</f>
        <v>3</v>
      </c>
      <c r="AB75" s="50" t="str">
        <f>IFERROR(INDEX(DraftResults[[#All],[Team Name]],MATCH(Table5[[#This Row],[PID]],DraftResults[[#All],[Player ID]],0)),"")</f>
        <v>New Orleans Trendsetters</v>
      </c>
      <c r="AC75" s="50">
        <f>IF(Table5[[#This Row],[Ovr]]="","",IF(Table5[[#This Row],[cmbList]]="","",Table5[[#This Row],[cmbList]]-Table5[[#This Row],[Ovr]]))</f>
        <v>454</v>
      </c>
      <c r="AD75" s="54" t="str">
        <f>IF(ISERROR(VLOOKUP($AB75&amp;"-"&amp;$E75&amp;" "&amp;F75,Bonuses!$B$1:$G$1006,4,FALSE)),"",INT(VLOOKUP($AB75&amp;"-"&amp;$E75&amp;" "&amp;$F75,Bonuses!$B$1:$G$1006,4,FALSE)))</f>
        <v/>
      </c>
      <c r="AE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3.3 (71) - RF Lucas van Hal</v>
      </c>
    </row>
    <row r="76" spans="1:31" s="50" customFormat="1" x14ac:dyDescent="0.25">
      <c r="A76" s="50">
        <v>18230</v>
      </c>
      <c r="B76" s="55">
        <f>COUNTIF(Table5[PID],A76)</f>
        <v>1</v>
      </c>
      <c r="C76" s="55" t="str">
        <f>IF(COUNTIF(Table3[[#All],[PID]],A76)&gt;0,"P","B")</f>
        <v>B</v>
      </c>
      <c r="D76" s="59" t="str">
        <f>IF($C76="B",INDEX(Batters[[#All],[POS]],MATCH(Table5[[#This Row],[PID]],Batters[[#All],[PID]],0)),INDEX(Table3[[#All],[POS]],MATCH(Table5[[#This Row],[PID]],Table3[[#All],[PID]],0)))</f>
        <v>LF</v>
      </c>
      <c r="E76" s="52" t="str">
        <f>IF($C76="B",INDEX(Batters[[#All],[First]],MATCH(Table5[[#This Row],[PID]],Batters[[#All],[PID]],0)),INDEX(Table3[[#All],[First]],MATCH(Table5[[#This Row],[PID]],Table3[[#All],[PID]],0)))</f>
        <v>Dave</v>
      </c>
      <c r="F76" s="50" t="str">
        <f>IF($C76="B",INDEX(Batters[[#All],[Last]],MATCH(A76,Batters[[#All],[PID]],0)),INDEX(Table3[[#All],[Last]],MATCH(A76,Table3[[#All],[PID]],0)))</f>
        <v>Sawyer</v>
      </c>
      <c r="G76" s="56">
        <f>IF($C76="B",INDEX(Batters[[#All],[Age]],MATCH(Table5[[#This Row],[PID]],Batters[[#All],[PID]],0)),INDEX(Table3[[#All],[Age]],MATCH(Table5[[#This Row],[PID]],Table3[[#All],[PID]],0)))</f>
        <v>18</v>
      </c>
      <c r="H76" s="52" t="str">
        <f>IF($C76="B",INDEX(Batters[[#All],[B]],MATCH(Table5[[#This Row],[PID]],Batters[[#All],[PID]],0)),INDEX(Table3[[#All],[B]],MATCH(Table5[[#This Row],[PID]],Table3[[#All],[PID]],0)))</f>
        <v>L</v>
      </c>
      <c r="I76" s="52" t="str">
        <f>IF($C76="B",INDEX(Batters[[#All],[T]],MATCH(Table5[[#This Row],[PID]],Batters[[#All],[PID]],0)),INDEX(Table3[[#All],[T]],MATCH(Table5[[#This Row],[PID]],Table3[[#All],[PID]],0)))</f>
        <v>L</v>
      </c>
      <c r="J76" s="52" t="str">
        <f>IF($C76="B",INDEX(Batters[[#All],[WE]],MATCH(Table5[[#This Row],[PID]],Batters[[#All],[PID]],0)),INDEX(Table3[[#All],[WE]],MATCH(Table5[[#This Row],[PID]],Table3[[#All],[PID]],0)))</f>
        <v>High</v>
      </c>
      <c r="K76" s="52" t="str">
        <f>IF($C76="B",INDEX(Batters[[#All],[INT]],MATCH(Table5[[#This Row],[PID]],Batters[[#All],[PID]],0)),INDEX(Table3[[#All],[INT]],MATCH(Table5[[#This Row],[PID]],Table3[[#All],[PID]],0)))</f>
        <v>Normal</v>
      </c>
      <c r="L76" s="60">
        <f>IF($C76="B",INDEX(Batters[[#All],[CON P]],MATCH(Table5[[#This Row],[PID]],Batters[[#All],[PID]],0)),INDEX(Table3[[#All],[STU P]],MATCH(Table5[[#This Row],[PID]],Table3[[#All],[PID]],0)))</f>
        <v>4</v>
      </c>
      <c r="M76" s="56">
        <f>IF($C76="B",INDEX(Batters[[#All],[GAP P]],MATCH(Table5[[#This Row],[PID]],Batters[[#All],[PID]],0)),INDEX(Table3[[#All],[MOV P]],MATCH(Table5[[#This Row],[PID]],Table3[[#All],[PID]],0)))</f>
        <v>7</v>
      </c>
      <c r="N76" s="56">
        <f>IF($C76="B",INDEX(Batters[[#All],[POW P]],MATCH(Table5[[#This Row],[PID]],Batters[[#All],[PID]],0)),INDEX(Table3[[#All],[CON P]],MATCH(Table5[[#This Row],[PID]],Table3[[#All],[PID]],0)))</f>
        <v>7</v>
      </c>
      <c r="O76" s="56">
        <f>IF($C76="B",INDEX(Batters[[#All],[EYE P]],MATCH(Table5[[#This Row],[PID]],Batters[[#All],[PID]],0)),INDEX(Table3[[#All],[VELO]],MATCH(Table5[[#This Row],[PID]],Table3[[#All],[PID]],0)))</f>
        <v>6</v>
      </c>
      <c r="P76" s="56">
        <f>IF($C76="B",INDEX(Batters[[#All],[K P]],MATCH(Table5[[#This Row],[PID]],Batters[[#All],[PID]],0)),INDEX(Table3[[#All],[STM]],MATCH(Table5[[#This Row],[PID]],Table3[[#All],[PID]],0)))</f>
        <v>3</v>
      </c>
      <c r="Q76" s="61">
        <f>IF($C76="B",INDEX(Batters[[#All],[Tot]],MATCH(Table5[[#This Row],[PID]],Batters[[#All],[PID]],0)),INDEX(Table3[[#All],[Tot]],MATCH(Table5[[#This Row],[PID]],Table3[[#All],[PID]],0)))</f>
        <v>52.721848870602699</v>
      </c>
      <c r="R76" s="52">
        <f>IF($C76="B",INDEX(Batters[[#All],[zScore]],MATCH(Table5[[#This Row],[PID]],Batters[[#All],[PID]],0)),INDEX(Table3[[#All],[zScore]],MATCH(Table5[[#This Row],[PID]],Table3[[#All],[PID]],0)))</f>
        <v>1.904440920723613</v>
      </c>
      <c r="S76" s="58" t="str">
        <f>IF($C76="B",INDEX(Batters[[#All],[DEM]],MATCH(Table5[[#This Row],[PID]],Batters[[#All],[PID]],0)),INDEX(Table3[[#All],[DEM]],MATCH(Table5[[#This Row],[PID]],Table3[[#All],[PID]],0)))</f>
        <v>$390k</v>
      </c>
      <c r="T76" s="62">
        <f>IF($C76="B",INDEX(Batters[[#All],[Rnk]],MATCH(Table5[[#This Row],[PID]],Batters[[#All],[PID]],0)),INDEX(Table3[[#All],[Rnk]],MATCH(Table5[[#This Row],[PID]],Table3[[#All],[PID]],0)))</f>
        <v>20</v>
      </c>
      <c r="U76" s="68">
        <f>IF($C76="B",VLOOKUP($A76,Bat!$A$4:$BA$1621,47,FALSE),VLOOKUP($A76,Pit!$A$4:$BF$1557,56,FALSE))</f>
        <v>0</v>
      </c>
      <c r="V76" s="50">
        <f>IF($C76="B",VLOOKUP($A76,Bat!$A$4:$BA$1621,48,FALSE),VLOOKUP($A76,Pit!$A$4:$BF$1557,57,FALSE))</f>
        <v>0</v>
      </c>
      <c r="W76" s="50">
        <f>Table5[[#This Row],[posRnk]]+Table5[[#This Row],[zRnk]]+IF($W$3&lt;&gt;Table5[[#This Row],[Type]],50,0)</f>
        <v>126</v>
      </c>
      <c r="X76" s="51">
        <f>RANK(Table5[[#This Row],[zScore]],Table5[[#All],[zScore]])</f>
        <v>56</v>
      </c>
      <c r="Y76" s="50">
        <f>IFERROR(INDEX(DraftResults[[#All],[OVR]],MATCH(Table5[[#This Row],[PID]],DraftResults[[#All],[Player ID]],0)),"")</f>
        <v>72</v>
      </c>
      <c r="Z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6" s="50">
        <f>IFERROR(INDEX(DraftResults[[#All],[Pick in Round]],MATCH(Table5[[#This Row],[PID]],DraftResults[[#All],[Player ID]],0)),"")</f>
        <v>4</v>
      </c>
      <c r="AB76" s="50" t="str">
        <f>IFERROR(INDEX(DraftResults[[#All],[Team Name]],MATCH(Table5[[#This Row],[PID]],DraftResults[[#All],[Player ID]],0)),"")</f>
        <v>Florida Farstriders</v>
      </c>
      <c r="AC76" s="50">
        <f>IF(Table5[[#This Row],[Ovr]]="","",IF(Table5[[#This Row],[cmbList]]="","",Table5[[#This Row],[cmbList]]-Table5[[#This Row],[Ovr]]))</f>
        <v>54</v>
      </c>
      <c r="AD76" s="54" t="str">
        <f>IF(ISERROR(VLOOKUP($AB76&amp;"-"&amp;$E76&amp;" "&amp;F76,Bonuses!$B$1:$G$1006,4,FALSE)),"",INT(VLOOKUP($AB76&amp;"-"&amp;$E76&amp;" "&amp;$F76,Bonuses!$B$1:$G$1006,4,FALSE)))</f>
        <v/>
      </c>
      <c r="AE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3.4 (72) - LF Dave Sawyer</v>
      </c>
    </row>
    <row r="77" spans="1:31" s="50" customFormat="1" x14ac:dyDescent="0.25">
      <c r="A77" s="50">
        <v>20189</v>
      </c>
      <c r="B77" s="50">
        <f>COUNTIF(Table5[PID],A77)</f>
        <v>1</v>
      </c>
      <c r="C77" s="50" t="str">
        <f>IF(COUNTIF(Table3[[#All],[PID]],A77)&gt;0,"P","B")</f>
        <v>P</v>
      </c>
      <c r="D77" s="59" t="str">
        <f>IF($C77="B",INDEX(Batters[[#All],[POS]],MATCH(Table5[[#This Row],[PID]],Batters[[#All],[PID]],0)),INDEX(Table3[[#All],[POS]],MATCH(Table5[[#This Row],[PID]],Table3[[#All],[PID]],0)))</f>
        <v>CL</v>
      </c>
      <c r="E77" s="52" t="str">
        <f>IF($C77="B",INDEX(Batters[[#All],[First]],MATCH(Table5[[#This Row],[PID]],Batters[[#All],[PID]],0)),INDEX(Table3[[#All],[First]],MATCH(Table5[[#This Row],[PID]],Table3[[#All],[PID]],0)))</f>
        <v>Toshikuni</v>
      </c>
      <c r="F77" s="50" t="str">
        <f>IF($C77="B",INDEX(Batters[[#All],[Last]],MATCH(A77,Batters[[#All],[PID]],0)),INDEX(Table3[[#All],[Last]],MATCH(A77,Table3[[#All],[PID]],0)))</f>
        <v>Kichida</v>
      </c>
      <c r="G77" s="56">
        <f>IF($C77="B",INDEX(Batters[[#All],[Age]],MATCH(Table5[[#This Row],[PID]],Batters[[#All],[PID]],0)),INDEX(Table3[[#All],[Age]],MATCH(Table5[[#This Row],[PID]],Table3[[#All],[PID]],0)))</f>
        <v>21</v>
      </c>
      <c r="H77" s="52" t="str">
        <f>IF($C77="B",INDEX(Batters[[#All],[B]],MATCH(Table5[[#This Row],[PID]],Batters[[#All],[PID]],0)),INDEX(Table3[[#All],[B]],MATCH(Table5[[#This Row],[PID]],Table3[[#All],[PID]],0)))</f>
        <v>S</v>
      </c>
      <c r="I77" s="52" t="str">
        <f>IF($C77="B",INDEX(Batters[[#All],[T]],MATCH(Table5[[#This Row],[PID]],Batters[[#All],[PID]],0)),INDEX(Table3[[#All],[T]],MATCH(Table5[[#This Row],[PID]],Table3[[#All],[PID]],0)))</f>
        <v>R</v>
      </c>
      <c r="J77" s="52" t="str">
        <f>IF($C77="B",INDEX(Batters[[#All],[WE]],MATCH(Table5[[#This Row],[PID]],Batters[[#All],[PID]],0)),INDEX(Table3[[#All],[WE]],MATCH(Table5[[#This Row],[PID]],Table3[[#All],[PID]],0)))</f>
        <v>Normal</v>
      </c>
      <c r="K77" s="52" t="str">
        <f>IF($C77="B",INDEX(Batters[[#All],[INT]],MATCH(Table5[[#This Row],[PID]],Batters[[#All],[PID]],0)),INDEX(Table3[[#All],[INT]],MATCH(Table5[[#This Row],[PID]],Table3[[#All],[PID]],0)))</f>
        <v>Normal</v>
      </c>
      <c r="L77" s="60">
        <f>IF($C77="B",INDEX(Batters[[#All],[CON P]],MATCH(Table5[[#This Row],[PID]],Batters[[#All],[PID]],0)),INDEX(Table3[[#All],[STU P]],MATCH(Table5[[#This Row],[PID]],Table3[[#All],[PID]],0)))</f>
        <v>8</v>
      </c>
      <c r="M77" s="56">
        <f>IF($C77="B",INDEX(Batters[[#All],[GAP P]],MATCH(Table5[[#This Row],[PID]],Batters[[#All],[PID]],0)),INDEX(Table3[[#All],[MOV P]],MATCH(Table5[[#This Row],[PID]],Table3[[#All],[PID]],0)))</f>
        <v>4</v>
      </c>
      <c r="N77" s="56">
        <f>IF($C77="B",INDEX(Batters[[#All],[POW P]],MATCH(Table5[[#This Row],[PID]],Batters[[#All],[PID]],0)),INDEX(Table3[[#All],[CON P]],MATCH(Table5[[#This Row],[PID]],Table3[[#All],[PID]],0)))</f>
        <v>5</v>
      </c>
      <c r="O77" s="56" t="str">
        <f>IF($C77="B",INDEX(Batters[[#All],[EYE P]],MATCH(Table5[[#This Row],[PID]],Batters[[#All],[PID]],0)),INDEX(Table3[[#All],[VELO]],MATCH(Table5[[#This Row],[PID]],Table3[[#All],[PID]],0)))</f>
        <v>95-97 Mph</v>
      </c>
      <c r="P77" s="56">
        <f>IF($C77="B",INDEX(Batters[[#All],[K P]],MATCH(Table5[[#This Row],[PID]],Batters[[#All],[PID]],0)),INDEX(Table3[[#All],[STM]],MATCH(Table5[[#This Row],[PID]],Table3[[#All],[PID]],0)))</f>
        <v>4</v>
      </c>
      <c r="Q77" s="61">
        <f>IF($C77="B",INDEX(Batters[[#All],[Tot]],MATCH(Table5[[#This Row],[PID]],Batters[[#All],[PID]],0)),INDEX(Table3[[#All],[Tot]],MATCH(Table5[[#This Row],[PID]],Table3[[#All],[PID]],0)))</f>
        <v>55.26023265460887</v>
      </c>
      <c r="R77" s="52">
        <f>IF($C77="B",INDEX(Batters[[#All],[zScore]],MATCH(Table5[[#This Row],[PID]],Batters[[#All],[PID]],0)),INDEX(Table3[[#All],[zScore]],MATCH(Table5[[#This Row],[PID]],Table3[[#All],[PID]],0)))</f>
        <v>1.2899675512881592</v>
      </c>
      <c r="S77" s="58" t="str">
        <f>IF($C77="B",INDEX(Batters[[#All],[DEM]],MATCH(Table5[[#This Row],[PID]],Batters[[#All],[PID]],0)),INDEX(Table3[[#All],[DEM]],MATCH(Table5[[#This Row],[PID]],Table3[[#All],[PID]],0)))</f>
        <v>$20k</v>
      </c>
      <c r="T77" s="62">
        <f>IF($C77="B",INDEX(Batters[[#All],[Rnk]],MATCH(Table5[[#This Row],[PID]],Batters[[#All],[PID]],0)),INDEX(Table3[[#All],[Rnk]],MATCH(Table5[[#This Row],[PID]],Table3[[#All],[PID]],0)))</f>
        <v>103</v>
      </c>
      <c r="U77" s="68">
        <f>IF($C77="B",VLOOKUP($A77,Bat!$A$4:$BA$1621,47,FALSE),VLOOKUP($A77,Pit!$A$4:$BF$1557,56,FALSE))</f>
        <v>0</v>
      </c>
      <c r="V77" s="50">
        <f>IF($C77="B",VLOOKUP($A77,Bat!$A$4:$BA$1621,48,FALSE),VLOOKUP($A77,Pit!$A$4:$BF$1557,57,FALSE))</f>
        <v>0</v>
      </c>
      <c r="W77" s="50">
        <f>Table5[[#This Row],[posRnk]]+Table5[[#This Row],[zRnk]]+IF($W$3&lt;&gt;Table5[[#This Row],[Type]],50,0)</f>
        <v>315</v>
      </c>
      <c r="X77" s="51">
        <f>RANK(Table5[[#This Row],[zScore]],Table5[[#All],[zScore]])</f>
        <v>162</v>
      </c>
      <c r="Y77" s="50">
        <f>IFERROR(INDEX(DraftResults[[#All],[OVR]],MATCH(Table5[[#This Row],[PID]],DraftResults[[#All],[Player ID]],0)),"")</f>
        <v>73</v>
      </c>
      <c r="Z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7" s="50">
        <f>IFERROR(INDEX(DraftResults[[#All],[Pick in Round]],MATCH(Table5[[#This Row],[PID]],DraftResults[[#All],[Player ID]],0)),"")</f>
        <v>5</v>
      </c>
      <c r="AB77" s="50" t="str">
        <f>IFERROR(INDEX(DraftResults[[#All],[Team Name]],MATCH(Table5[[#This Row],[PID]],DraftResults[[#All],[Player ID]],0)),"")</f>
        <v>Aurora Borealis</v>
      </c>
      <c r="AC77" s="50">
        <f>IF(Table5[[#This Row],[Ovr]]="","",IF(Table5[[#This Row],[cmbList]]="","",Table5[[#This Row],[cmbList]]-Table5[[#This Row],[Ovr]]))</f>
        <v>242</v>
      </c>
      <c r="AD77" s="54" t="str">
        <f>IF(ISERROR(VLOOKUP($AB77&amp;"-"&amp;$E77&amp;" "&amp;F77,Bonuses!$B$1:$G$1006,4,FALSE)),"",INT(VLOOKUP($AB77&amp;"-"&amp;$E77&amp;" "&amp;$F77,Bonuses!$B$1:$G$1006,4,FALSE)))</f>
        <v/>
      </c>
      <c r="AE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3.5 (73) - CL Toshikuni Kichida</v>
      </c>
    </row>
    <row r="78" spans="1:31" s="50" customFormat="1" x14ac:dyDescent="0.25">
      <c r="A78" s="68">
        <v>18265</v>
      </c>
      <c r="B78" s="69">
        <f>COUNTIF(Table5[PID],A78)</f>
        <v>1</v>
      </c>
      <c r="C78" s="69" t="str">
        <f>IF(COUNTIF(Table3[[#All],[PID]],A78)&gt;0,"P","B")</f>
        <v>P</v>
      </c>
      <c r="D78" s="59" t="str">
        <f>IF($C78="B",INDEX(Batters[[#All],[POS]],MATCH(Table5[[#This Row],[PID]],Batters[[#All],[PID]],0)),INDEX(Table3[[#All],[POS]],MATCH(Table5[[#This Row],[PID]],Table3[[#All],[PID]],0)))</f>
        <v>SP</v>
      </c>
      <c r="E78" s="52" t="str">
        <f>IF($C78="B",INDEX(Batters[[#All],[First]],MATCH(Table5[[#This Row],[PID]],Batters[[#All],[PID]],0)),INDEX(Table3[[#All],[First]],MATCH(Table5[[#This Row],[PID]],Table3[[#All],[PID]],0)))</f>
        <v>Brian</v>
      </c>
      <c r="F78" s="55" t="str">
        <f>IF($C78="B",INDEX(Batters[[#All],[Last]],MATCH(A78,Batters[[#All],[PID]],0)),INDEX(Table3[[#All],[Last]],MATCH(A78,Table3[[#All],[PID]],0)))</f>
        <v>Tilghman</v>
      </c>
      <c r="G78" s="56">
        <f>IF($C78="B",INDEX(Batters[[#All],[Age]],MATCH(Table5[[#This Row],[PID]],Batters[[#All],[PID]],0)),INDEX(Table3[[#All],[Age]],MATCH(Table5[[#This Row],[PID]],Table3[[#All],[PID]],0)))</f>
        <v>18</v>
      </c>
      <c r="H78" s="52" t="str">
        <f>IF($C78="B",INDEX(Batters[[#All],[B]],MATCH(Table5[[#This Row],[PID]],Batters[[#All],[PID]],0)),INDEX(Table3[[#All],[B]],MATCH(Table5[[#This Row],[PID]],Table3[[#All],[PID]],0)))</f>
        <v>S</v>
      </c>
      <c r="I78" s="52" t="str">
        <f>IF($C78="B",INDEX(Batters[[#All],[T]],MATCH(Table5[[#This Row],[PID]],Batters[[#All],[PID]],0)),INDEX(Table3[[#All],[T]],MATCH(Table5[[#This Row],[PID]],Table3[[#All],[PID]],0)))</f>
        <v>R</v>
      </c>
      <c r="J78" s="71" t="str">
        <f>IF($C78="B",INDEX(Batters[[#All],[WE]],MATCH(Table5[[#This Row],[PID]],Batters[[#All],[PID]],0)),INDEX(Table3[[#All],[WE]],MATCH(Table5[[#This Row],[PID]],Table3[[#All],[PID]],0)))</f>
        <v>Normal</v>
      </c>
      <c r="K78" s="52" t="str">
        <f>IF($C78="B",INDEX(Batters[[#All],[INT]],MATCH(Table5[[#This Row],[PID]],Batters[[#All],[PID]],0)),INDEX(Table3[[#All],[INT]],MATCH(Table5[[#This Row],[PID]],Table3[[#All],[PID]],0)))</f>
        <v>Normal</v>
      </c>
      <c r="L78" s="60">
        <f>IF($C78="B",INDEX(Batters[[#All],[CON P]],MATCH(Table5[[#This Row],[PID]],Batters[[#All],[PID]],0)),INDEX(Table3[[#All],[STU P]],MATCH(Table5[[#This Row],[PID]],Table3[[#All],[PID]],0)))</f>
        <v>6</v>
      </c>
      <c r="M78" s="72">
        <f>IF($C78="B",INDEX(Batters[[#All],[GAP P]],MATCH(Table5[[#This Row],[PID]],Batters[[#All],[PID]],0)),INDEX(Table3[[#All],[MOV P]],MATCH(Table5[[#This Row],[PID]],Table3[[#All],[PID]],0)))</f>
        <v>5</v>
      </c>
      <c r="N78" s="72">
        <f>IF($C78="B",INDEX(Batters[[#All],[POW P]],MATCH(Table5[[#This Row],[PID]],Batters[[#All],[PID]],0)),INDEX(Table3[[#All],[CON P]],MATCH(Table5[[#This Row],[PID]],Table3[[#All],[PID]],0)))</f>
        <v>5</v>
      </c>
      <c r="O78" s="72" t="str">
        <f>IF($C78="B",INDEX(Batters[[#All],[EYE P]],MATCH(Table5[[#This Row],[PID]],Batters[[#All],[PID]],0)),INDEX(Table3[[#All],[VELO]],MATCH(Table5[[#This Row],[PID]],Table3[[#All],[PID]],0)))</f>
        <v>94-96 Mph</v>
      </c>
      <c r="P78" s="56">
        <f>IF($C78="B",INDEX(Batters[[#All],[K P]],MATCH(Table5[[#This Row],[PID]],Batters[[#All],[PID]],0)),INDEX(Table3[[#All],[STM]],MATCH(Table5[[#This Row],[PID]],Table3[[#All],[PID]],0)))</f>
        <v>9</v>
      </c>
      <c r="Q78" s="61">
        <f>IF($C78="B",INDEX(Batters[[#All],[Tot]],MATCH(Table5[[#This Row],[PID]],Batters[[#All],[PID]],0)),INDEX(Table3[[#All],[Tot]],MATCH(Table5[[#This Row],[PID]],Table3[[#All],[PID]],0)))</f>
        <v>65.269997894143444</v>
      </c>
      <c r="R78" s="52">
        <f>IF($C78="B",INDEX(Batters[[#All],[zScore]],MATCH(Table5[[#This Row],[PID]],Batters[[#All],[PID]],0)),INDEX(Table3[[#All],[zScore]],MATCH(Table5[[#This Row],[PID]],Table3[[#All],[PID]],0)))</f>
        <v>1.9559019366636241</v>
      </c>
      <c r="S78" s="78" t="str">
        <f>IF($C78="B",INDEX(Batters[[#All],[DEM]],MATCH(Table5[[#This Row],[PID]],Batters[[#All],[PID]],0)),INDEX(Table3[[#All],[DEM]],MATCH(Table5[[#This Row],[PID]],Table3[[#All],[PID]],0)))</f>
        <v>$270k</v>
      </c>
      <c r="T78" s="75">
        <f>IF($C78="B",INDEX(Batters[[#All],[Rnk]],MATCH(Table5[[#This Row],[PID]],Batters[[#All],[PID]],0)),INDEX(Table3[[#All],[Rnk]],MATCH(Table5[[#This Row],[PID]],Table3[[#All],[PID]],0)))</f>
        <v>34</v>
      </c>
      <c r="U78" s="68">
        <f>IF($C78="B",VLOOKUP($A78,Bat!$A$4:$BA$1621,47,FALSE),VLOOKUP($A78,Pit!$A$4:$BF$1557,56,FALSE))</f>
        <v>0</v>
      </c>
      <c r="V78" s="50">
        <f>IF($C78="B",VLOOKUP($A78,Bat!$A$4:$BA$1621,48,FALSE),VLOOKUP($A78,Pit!$A$4:$BF$1557,57,FALSE))</f>
        <v>0</v>
      </c>
      <c r="W78" s="69">
        <f>Table5[[#This Row],[posRnk]]+Table5[[#This Row],[zRnk]]+IF($W$3&lt;&gt;Table5[[#This Row],[Type]],50,0)</f>
        <v>136</v>
      </c>
      <c r="X78" s="73">
        <f>RANK(Table5[[#This Row],[zScore]],Table5[[#All],[zScore]])</f>
        <v>52</v>
      </c>
      <c r="Y78" s="69">
        <f>IFERROR(INDEX(DraftResults[[#All],[OVR]],MATCH(Table5[[#This Row],[PID]],DraftResults[[#All],[Player ID]],0)),"")</f>
        <v>74</v>
      </c>
      <c r="Z7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8" s="69">
        <f>IFERROR(INDEX(DraftResults[[#All],[Pick in Round]],MATCH(Table5[[#This Row],[PID]],DraftResults[[#All],[Player ID]],0)),"")</f>
        <v>6</v>
      </c>
      <c r="AB78" s="69" t="str">
        <f>IFERROR(INDEX(DraftResults[[#All],[Team Name]],MATCH(Table5[[#This Row],[PID]],DraftResults[[#All],[Player ID]],0)),"")</f>
        <v>Manchester Maulers</v>
      </c>
      <c r="AC78" s="69">
        <f>IF(Table5[[#This Row],[Ovr]]="","",IF(Table5[[#This Row],[cmbList]]="","",Table5[[#This Row],[cmbList]]-Table5[[#This Row],[Ovr]]))</f>
        <v>62</v>
      </c>
      <c r="AD78" s="77" t="str">
        <f>IF(ISERROR(VLOOKUP($AB78&amp;"-"&amp;$E78&amp;" "&amp;F78,Bonuses!$B$1:$G$1006,4,FALSE)),"",INT(VLOOKUP($AB78&amp;"-"&amp;$E78&amp;" "&amp;$F78,Bonuses!$B$1:$G$1006,4,FALSE)))</f>
        <v/>
      </c>
      <c r="AE7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3.6 (74) - SP Brian Tilghman</v>
      </c>
    </row>
    <row r="79" spans="1:31" s="50" customFormat="1" x14ac:dyDescent="0.25">
      <c r="A79" s="68">
        <v>18002</v>
      </c>
      <c r="B79" s="69">
        <f>COUNTIF(Table5[PID],A79)</f>
        <v>1</v>
      </c>
      <c r="C79" s="69" t="str">
        <f>IF(COUNTIF(Table3[[#All],[PID]],A79)&gt;0,"P","B")</f>
        <v>P</v>
      </c>
      <c r="D79" s="59" t="str">
        <f>IF($C79="B",INDEX(Batters[[#All],[POS]],MATCH(Table5[[#This Row],[PID]],Batters[[#All],[PID]],0)),INDEX(Table3[[#All],[POS]],MATCH(Table5[[#This Row],[PID]],Table3[[#All],[PID]],0)))</f>
        <v>SP</v>
      </c>
      <c r="E79" s="52" t="str">
        <f>IF($C79="B",INDEX(Batters[[#All],[First]],MATCH(Table5[[#This Row],[PID]],Batters[[#All],[PID]],0)),INDEX(Table3[[#All],[First]],MATCH(Table5[[#This Row],[PID]],Table3[[#All],[PID]],0)))</f>
        <v>Tommy</v>
      </c>
      <c r="F79" s="55" t="str">
        <f>IF($C79="B",INDEX(Batters[[#All],[Last]],MATCH(A79,Batters[[#All],[PID]],0)),INDEX(Table3[[#All],[Last]],MATCH(A79,Table3[[#All],[PID]],0)))</f>
        <v>Atkins</v>
      </c>
      <c r="G79" s="56">
        <f>IF($C79="B",INDEX(Batters[[#All],[Age]],MATCH(Table5[[#This Row],[PID]],Batters[[#All],[PID]],0)),INDEX(Table3[[#All],[Age]],MATCH(Table5[[#This Row],[PID]],Table3[[#All],[PID]],0)))</f>
        <v>21</v>
      </c>
      <c r="H79" s="52" t="str">
        <f>IF($C79="B",INDEX(Batters[[#All],[B]],MATCH(Table5[[#This Row],[PID]],Batters[[#All],[PID]],0)),INDEX(Table3[[#All],[B]],MATCH(Table5[[#This Row],[PID]],Table3[[#All],[PID]],0)))</f>
        <v>L</v>
      </c>
      <c r="I79" s="52" t="str">
        <f>IF($C79="B",INDEX(Batters[[#All],[T]],MATCH(Table5[[#This Row],[PID]],Batters[[#All],[PID]],0)),INDEX(Table3[[#All],[T]],MATCH(Table5[[#This Row],[PID]],Table3[[#All],[PID]],0)))</f>
        <v>L</v>
      </c>
      <c r="J79" s="71" t="str">
        <f>IF($C79="B",INDEX(Batters[[#All],[WE]],MATCH(Table5[[#This Row],[PID]],Batters[[#All],[PID]],0)),INDEX(Table3[[#All],[WE]],MATCH(Table5[[#This Row],[PID]],Table3[[#All],[PID]],0)))</f>
        <v>Normal</v>
      </c>
      <c r="K79" s="52" t="str">
        <f>IF($C79="B",INDEX(Batters[[#All],[INT]],MATCH(Table5[[#This Row],[PID]],Batters[[#All],[PID]],0)),INDEX(Table3[[#All],[INT]],MATCH(Table5[[#This Row],[PID]],Table3[[#All],[PID]],0)))</f>
        <v>Normal</v>
      </c>
      <c r="L79" s="60">
        <f>IF($C79="B",INDEX(Batters[[#All],[CON P]],MATCH(Table5[[#This Row],[PID]],Batters[[#All],[PID]],0)),INDEX(Table3[[#All],[STU P]],MATCH(Table5[[#This Row],[PID]],Table3[[#All],[PID]],0)))</f>
        <v>5</v>
      </c>
      <c r="M79" s="72">
        <f>IF($C79="B",INDEX(Batters[[#All],[GAP P]],MATCH(Table5[[#This Row],[PID]],Batters[[#All],[PID]],0)),INDEX(Table3[[#All],[MOV P]],MATCH(Table5[[#This Row],[PID]],Table3[[#All],[PID]],0)))</f>
        <v>6</v>
      </c>
      <c r="N79" s="72">
        <f>IF($C79="B",INDEX(Batters[[#All],[POW P]],MATCH(Table5[[#This Row],[PID]],Batters[[#All],[PID]],0)),INDEX(Table3[[#All],[CON P]],MATCH(Table5[[#This Row],[PID]],Table3[[#All],[PID]],0)))</f>
        <v>5</v>
      </c>
      <c r="O79" s="72" t="str">
        <f>IF($C79="B",INDEX(Batters[[#All],[EYE P]],MATCH(Table5[[#This Row],[PID]],Batters[[#All],[PID]],0)),INDEX(Table3[[#All],[VELO]],MATCH(Table5[[#This Row],[PID]],Table3[[#All],[PID]],0)))</f>
        <v>91-93 Mph</v>
      </c>
      <c r="P79" s="56">
        <f>IF($C79="B",INDEX(Batters[[#All],[K P]],MATCH(Table5[[#This Row],[PID]],Batters[[#All],[PID]],0)),INDEX(Table3[[#All],[STM]],MATCH(Table5[[#This Row],[PID]],Table3[[#All],[PID]],0)))</f>
        <v>9</v>
      </c>
      <c r="Q79" s="61">
        <f>IF($C79="B",INDEX(Batters[[#All],[Tot]],MATCH(Table5[[#This Row],[PID]],Batters[[#All],[PID]],0)),INDEX(Table3[[#All],[Tot]],MATCH(Table5[[#This Row],[PID]],Table3[[#All],[PID]],0)))</f>
        <v>61.856539586970527</v>
      </c>
      <c r="R79" s="52">
        <f>IF($C79="B",INDEX(Batters[[#All],[zScore]],MATCH(Table5[[#This Row],[PID]],Batters[[#All],[PID]],0)),INDEX(Table3[[#All],[zScore]],MATCH(Table5[[#This Row],[PID]],Table3[[#All],[PID]],0)))</f>
        <v>1.7288097716232314</v>
      </c>
      <c r="S79" s="78" t="str">
        <f>IF($C79="B",INDEX(Batters[[#All],[DEM]],MATCH(Table5[[#This Row],[PID]],Batters[[#All],[PID]],0)),INDEX(Table3[[#All],[DEM]],MATCH(Table5[[#This Row],[PID]],Table3[[#All],[PID]],0)))</f>
        <v>$1.3m</v>
      </c>
      <c r="T79" s="75">
        <f>IF($C79="B",INDEX(Batters[[#All],[Rnk]],MATCH(Table5[[#This Row],[PID]],Batters[[#All],[PID]],0)),INDEX(Table3[[#All],[Rnk]],MATCH(Table5[[#This Row],[PID]],Table3[[#All],[PID]],0)))</f>
        <v>51</v>
      </c>
      <c r="U79" s="68">
        <f>IF($C79="B",VLOOKUP($A79,Bat!$A$4:$BA$1621,47,FALSE),VLOOKUP($A79,Pit!$A$4:$BF$1557,56,FALSE))</f>
        <v>0</v>
      </c>
      <c r="V79" s="50">
        <f>IF($C79="B",VLOOKUP($A79,Bat!$A$4:$BA$1621,48,FALSE),VLOOKUP($A79,Pit!$A$4:$BF$1557,57,FALSE))</f>
        <v>0</v>
      </c>
      <c r="W79" s="69">
        <f>Table5[[#This Row],[posRnk]]+Table5[[#This Row],[zRnk]]+IF($W$3&lt;&gt;Table5[[#This Row],[Type]],50,0)</f>
        <v>180</v>
      </c>
      <c r="X79" s="73">
        <f>RANK(Table5[[#This Row],[zScore]],Table5[[#All],[zScore]])</f>
        <v>79</v>
      </c>
      <c r="Y79" s="69">
        <f>IFERROR(INDEX(DraftResults[[#All],[OVR]],MATCH(Table5[[#This Row],[PID]],DraftResults[[#All],[Player ID]],0)),"")</f>
        <v>75</v>
      </c>
      <c r="Z7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79" s="69">
        <f>IFERROR(INDEX(DraftResults[[#All],[Pick in Round]],MATCH(Table5[[#This Row],[PID]],DraftResults[[#All],[Player ID]],0)),"")</f>
        <v>7</v>
      </c>
      <c r="AB79" s="69" t="str">
        <f>IFERROR(INDEX(DraftResults[[#All],[Team Name]],MATCH(Table5[[#This Row],[PID]],DraftResults[[#All],[Player ID]],0)),"")</f>
        <v>Yuma Arroyos</v>
      </c>
      <c r="AC79" s="69">
        <f>IF(Table5[[#This Row],[Ovr]]="","",IF(Table5[[#This Row],[cmbList]]="","",Table5[[#This Row],[cmbList]]-Table5[[#This Row],[Ovr]]))</f>
        <v>105</v>
      </c>
      <c r="AD79" s="77" t="str">
        <f>IF(ISERROR(VLOOKUP($AB79&amp;"-"&amp;$E79&amp;" "&amp;F79,Bonuses!$B$1:$G$1006,4,FALSE)),"",INT(VLOOKUP($AB79&amp;"-"&amp;$E79&amp;" "&amp;$F79,Bonuses!$B$1:$G$1006,4,FALSE)))</f>
        <v/>
      </c>
      <c r="AE7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3.7 (75) - SP Tommy Atkins</v>
      </c>
    </row>
    <row r="80" spans="1:31" s="50" customFormat="1" x14ac:dyDescent="0.25">
      <c r="A80" s="50">
        <v>12544</v>
      </c>
      <c r="B80" s="50">
        <f>COUNTIF(Table5[PID],A80)</f>
        <v>1</v>
      </c>
      <c r="C80" s="50" t="str">
        <f>IF(COUNTIF(Table3[[#All],[PID]],A80)&gt;0,"P","B")</f>
        <v>P</v>
      </c>
      <c r="D80" s="59" t="str">
        <f>IF($C80="B",INDEX(Batters[[#All],[POS]],MATCH(Table5[[#This Row],[PID]],Batters[[#All],[PID]],0)),INDEX(Table3[[#All],[POS]],MATCH(Table5[[#This Row],[PID]],Table3[[#All],[PID]],0)))</f>
        <v>CL</v>
      </c>
      <c r="E80" s="52" t="str">
        <f>IF($C80="B",INDEX(Batters[[#All],[First]],MATCH(Table5[[#This Row],[PID]],Batters[[#All],[PID]],0)),INDEX(Table3[[#All],[First]],MATCH(Table5[[#This Row],[PID]],Table3[[#All],[PID]],0)))</f>
        <v>Billy</v>
      </c>
      <c r="F80" s="50" t="str">
        <f>IF($C80="B",INDEX(Batters[[#All],[Last]],MATCH(A80,Batters[[#All],[PID]],0)),INDEX(Table3[[#All],[Last]],MATCH(A80,Table3[[#All],[PID]],0)))</f>
        <v>Summers</v>
      </c>
      <c r="G80" s="56">
        <f>IF($C80="B",INDEX(Batters[[#All],[Age]],MATCH(Table5[[#This Row],[PID]],Batters[[#All],[PID]],0)),INDEX(Table3[[#All],[Age]],MATCH(Table5[[#This Row],[PID]],Table3[[#All],[PID]],0)))</f>
        <v>18</v>
      </c>
      <c r="H80" s="52" t="str">
        <f>IF($C80="B",INDEX(Batters[[#All],[B]],MATCH(Table5[[#This Row],[PID]],Batters[[#All],[PID]],0)),INDEX(Table3[[#All],[B]],MATCH(Table5[[#This Row],[PID]],Table3[[#All],[PID]],0)))</f>
        <v>R</v>
      </c>
      <c r="I80" s="52" t="str">
        <f>IF($C80="B",INDEX(Batters[[#All],[T]],MATCH(Table5[[#This Row],[PID]],Batters[[#All],[PID]],0)),INDEX(Table3[[#All],[T]],MATCH(Table5[[#This Row],[PID]],Table3[[#All],[PID]],0)))</f>
        <v>R</v>
      </c>
      <c r="J80" s="52" t="str">
        <f>IF($C80="B",INDEX(Batters[[#All],[WE]],MATCH(Table5[[#This Row],[PID]],Batters[[#All],[PID]],0)),INDEX(Table3[[#All],[WE]],MATCH(Table5[[#This Row],[PID]],Table3[[#All],[PID]],0)))</f>
        <v>Normal</v>
      </c>
      <c r="K80" s="52" t="str">
        <f>IF($C80="B",INDEX(Batters[[#All],[INT]],MATCH(Table5[[#This Row],[PID]],Batters[[#All],[PID]],0)),INDEX(Table3[[#All],[INT]],MATCH(Table5[[#This Row],[PID]],Table3[[#All],[PID]],0)))</f>
        <v>Normal</v>
      </c>
      <c r="L80" s="60">
        <f>IF($C80="B",INDEX(Batters[[#All],[CON P]],MATCH(Table5[[#This Row],[PID]],Batters[[#All],[PID]],0)),INDEX(Table3[[#All],[STU P]],MATCH(Table5[[#This Row],[PID]],Table3[[#All],[PID]],0)))</f>
        <v>7</v>
      </c>
      <c r="M80" s="56">
        <f>IF($C80="B",INDEX(Batters[[#All],[GAP P]],MATCH(Table5[[#This Row],[PID]],Batters[[#All],[PID]],0)),INDEX(Table3[[#All],[MOV P]],MATCH(Table5[[#This Row],[PID]],Table3[[#All],[PID]],0)))</f>
        <v>5</v>
      </c>
      <c r="N80" s="56">
        <f>IF($C80="B",INDEX(Batters[[#All],[POW P]],MATCH(Table5[[#This Row],[PID]],Batters[[#All],[PID]],0)),INDEX(Table3[[#All],[CON P]],MATCH(Table5[[#This Row],[PID]],Table3[[#All],[PID]],0)))</f>
        <v>6</v>
      </c>
      <c r="O80" s="56" t="str">
        <f>IF($C80="B",INDEX(Batters[[#All],[EYE P]],MATCH(Table5[[#This Row],[PID]],Batters[[#All],[PID]],0)),INDEX(Table3[[#All],[VELO]],MATCH(Table5[[#This Row],[PID]],Table3[[#All],[PID]],0)))</f>
        <v>93-95 Mph</v>
      </c>
      <c r="P80" s="56">
        <f>IF($C80="B",INDEX(Batters[[#All],[K P]],MATCH(Table5[[#This Row],[PID]],Batters[[#All],[PID]],0)),INDEX(Table3[[#All],[STM]],MATCH(Table5[[#This Row],[PID]],Table3[[#All],[PID]],0)))</f>
        <v>2</v>
      </c>
      <c r="Q80" s="61">
        <f>IF($C80="B",INDEX(Batters[[#All],[Tot]],MATCH(Table5[[#This Row],[PID]],Batters[[#All],[PID]],0)),INDEX(Table3[[#All],[Tot]],MATCH(Table5[[#This Row],[PID]],Table3[[#All],[PID]],0)))</f>
        <v>65.677477307068656</v>
      </c>
      <c r="R80" s="52">
        <f>IF($C80="B",INDEX(Batters[[#All],[zScore]],MATCH(Table5[[#This Row],[PID]],Batters[[#All],[PID]],0)),INDEX(Table3[[#All],[zScore]],MATCH(Table5[[#This Row],[PID]],Table3[[#All],[PID]],0)))</f>
        <v>1.9830109193326446</v>
      </c>
      <c r="S80" s="58" t="str">
        <f>IF($C80="B",INDEX(Batters[[#All],[DEM]],MATCH(Table5[[#This Row],[PID]],Batters[[#All],[PID]],0)),INDEX(Table3[[#All],[DEM]],MATCH(Table5[[#This Row],[PID]],Table3[[#All],[PID]],0)))</f>
        <v>$200k</v>
      </c>
      <c r="T80" s="62">
        <f>IF($C80="B",INDEX(Batters[[#All],[Rnk]],MATCH(Table5[[#This Row],[PID]],Batters[[#All],[PID]],0)),INDEX(Table3[[#All],[Rnk]],MATCH(Table5[[#This Row],[PID]],Table3[[#All],[PID]],0)))</f>
        <v>29</v>
      </c>
      <c r="U80" s="68">
        <f>IF($C80="B",VLOOKUP($A80,Bat!$A$4:$BA$1621,47,FALSE),VLOOKUP($A80,Pit!$A$4:$BF$1557,56,FALSE))</f>
        <v>0</v>
      </c>
      <c r="V80" s="50">
        <f>IF($C80="B",VLOOKUP($A80,Bat!$A$4:$BA$1621,48,FALSE),VLOOKUP($A80,Pit!$A$4:$BF$1557,57,FALSE))</f>
        <v>0</v>
      </c>
      <c r="W80" s="50">
        <f>Table5[[#This Row],[posRnk]]+Table5[[#This Row],[zRnk]]+IF($W$3&lt;&gt;Table5[[#This Row],[Type]],50,0)</f>
        <v>125</v>
      </c>
      <c r="X80" s="51">
        <f>RANK(Table5[[#This Row],[zScore]],Table5[[#All],[zScore]])</f>
        <v>46</v>
      </c>
      <c r="Y80" s="50">
        <f>IFERROR(INDEX(DraftResults[[#All],[OVR]],MATCH(Table5[[#This Row],[PID]],DraftResults[[#All],[Player ID]],0)),"")</f>
        <v>76</v>
      </c>
      <c r="Z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0" s="50">
        <f>IFERROR(INDEX(DraftResults[[#All],[Pick in Round]],MATCH(Table5[[#This Row],[PID]],DraftResults[[#All],[Player ID]],0)),"")</f>
        <v>8</v>
      </c>
      <c r="AB80" s="50" t="str">
        <f>IFERROR(INDEX(DraftResults[[#All],[Team Name]],MATCH(Table5[[#This Row],[PID]],DraftResults[[#All],[Player ID]],0)),"")</f>
        <v>Toyama Wind Dancers</v>
      </c>
      <c r="AC80" s="50">
        <f>IF(Table5[[#This Row],[Ovr]]="","",IF(Table5[[#This Row],[cmbList]]="","",Table5[[#This Row],[cmbList]]-Table5[[#This Row],[Ovr]]))</f>
        <v>49</v>
      </c>
      <c r="AD80" s="54" t="str">
        <f>IF(ISERROR(VLOOKUP($AB80&amp;"-"&amp;$E80&amp;" "&amp;F80,Bonuses!$B$1:$G$1006,4,FALSE)),"",INT(VLOOKUP($AB80&amp;"-"&amp;$E80&amp;" "&amp;$F80,Bonuses!$B$1:$G$1006,4,FALSE)))</f>
        <v/>
      </c>
      <c r="AE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3.8 (76) - CL Billy Summers</v>
      </c>
    </row>
    <row r="81" spans="1:31" s="50" customFormat="1" x14ac:dyDescent="0.25">
      <c r="A81" s="50">
        <v>20445</v>
      </c>
      <c r="B81" s="50">
        <f>COUNTIF(Table5[PID],A81)</f>
        <v>1</v>
      </c>
      <c r="C81" s="50" t="str">
        <f>IF(COUNTIF(Table3[[#All],[PID]],A81)&gt;0,"P","B")</f>
        <v>B</v>
      </c>
      <c r="D81" s="59" t="str">
        <f>IF($C81="B",INDEX(Batters[[#All],[POS]],MATCH(Table5[[#This Row],[PID]],Batters[[#All],[PID]],0)),INDEX(Table3[[#All],[POS]],MATCH(Table5[[#This Row],[PID]],Table3[[#All],[PID]],0)))</f>
        <v>CF</v>
      </c>
      <c r="E81" s="52" t="str">
        <f>IF($C81="B",INDEX(Batters[[#All],[First]],MATCH(Table5[[#This Row],[PID]],Batters[[#All],[PID]],0)),INDEX(Table3[[#All],[First]],MATCH(Table5[[#This Row],[PID]],Table3[[#All],[PID]],0)))</f>
        <v>Nobuhisa</v>
      </c>
      <c r="F81" s="50" t="str">
        <f>IF($C81="B",INDEX(Batters[[#All],[Last]],MATCH(A81,Batters[[#All],[PID]],0)),INDEX(Table3[[#All],[Last]],MATCH(A81,Table3[[#All],[PID]],0)))</f>
        <v>Tanaka</v>
      </c>
      <c r="G81" s="56">
        <f>IF($C81="B",INDEX(Batters[[#All],[Age]],MATCH(Table5[[#This Row],[PID]],Batters[[#All],[PID]],0)),INDEX(Table3[[#All],[Age]],MATCH(Table5[[#This Row],[PID]],Table3[[#All],[PID]],0)))</f>
        <v>18</v>
      </c>
      <c r="H81" s="52" t="str">
        <f>IF($C81="B",INDEX(Batters[[#All],[B]],MATCH(Table5[[#This Row],[PID]],Batters[[#All],[PID]],0)),INDEX(Table3[[#All],[B]],MATCH(Table5[[#This Row],[PID]],Table3[[#All],[PID]],0)))</f>
        <v>R</v>
      </c>
      <c r="I81" s="52" t="str">
        <f>IF($C81="B",INDEX(Batters[[#All],[T]],MATCH(Table5[[#This Row],[PID]],Batters[[#All],[PID]],0)),INDEX(Table3[[#All],[T]],MATCH(Table5[[#This Row],[PID]],Table3[[#All],[PID]],0)))</f>
        <v>R</v>
      </c>
      <c r="J81" s="52" t="str">
        <f>IF($C81="B",INDEX(Batters[[#All],[WE]],MATCH(Table5[[#This Row],[PID]],Batters[[#All],[PID]],0)),INDEX(Table3[[#All],[WE]],MATCH(Table5[[#This Row],[PID]],Table3[[#All],[PID]],0)))</f>
        <v>High</v>
      </c>
      <c r="K81" s="52" t="str">
        <f>IF($C81="B",INDEX(Batters[[#All],[INT]],MATCH(Table5[[#This Row],[PID]],Batters[[#All],[PID]],0)),INDEX(Table3[[#All],[INT]],MATCH(Table5[[#This Row],[PID]],Table3[[#All],[PID]],0)))</f>
        <v>Normal</v>
      </c>
      <c r="L81" s="60">
        <f>IF($C81="B",INDEX(Batters[[#All],[CON P]],MATCH(Table5[[#This Row],[PID]],Batters[[#All],[PID]],0)),INDEX(Table3[[#All],[STU P]],MATCH(Table5[[#This Row],[PID]],Table3[[#All],[PID]],0)))</f>
        <v>4</v>
      </c>
      <c r="M81" s="56">
        <f>IF($C81="B",INDEX(Batters[[#All],[GAP P]],MATCH(Table5[[#This Row],[PID]],Batters[[#All],[PID]],0)),INDEX(Table3[[#All],[MOV P]],MATCH(Table5[[#This Row],[PID]],Table3[[#All],[PID]],0)))</f>
        <v>5</v>
      </c>
      <c r="N81" s="56">
        <f>IF($C81="B",INDEX(Batters[[#All],[POW P]],MATCH(Table5[[#This Row],[PID]],Batters[[#All],[PID]],0)),INDEX(Table3[[#All],[CON P]],MATCH(Table5[[#This Row],[PID]],Table3[[#All],[PID]],0)))</f>
        <v>6</v>
      </c>
      <c r="O81" s="56">
        <f>IF($C81="B",INDEX(Batters[[#All],[EYE P]],MATCH(Table5[[#This Row],[PID]],Batters[[#All],[PID]],0)),INDEX(Table3[[#All],[VELO]],MATCH(Table5[[#This Row],[PID]],Table3[[#All],[PID]],0)))</f>
        <v>7</v>
      </c>
      <c r="P81" s="56">
        <f>IF($C81="B",INDEX(Batters[[#All],[K P]],MATCH(Table5[[#This Row],[PID]],Batters[[#All],[PID]],0)),INDEX(Table3[[#All],[STM]],MATCH(Table5[[#This Row],[PID]],Table3[[#All],[PID]],0)))</f>
        <v>4</v>
      </c>
      <c r="Q81" s="61">
        <f>IF($C81="B",INDEX(Batters[[#All],[Tot]],MATCH(Table5[[#This Row],[PID]],Batters[[#All],[PID]],0)),INDEX(Table3[[#All],[Tot]],MATCH(Table5[[#This Row],[PID]],Table3[[#All],[PID]],0)))</f>
        <v>52.083434041332467</v>
      </c>
      <c r="R81" s="52">
        <f>IF($C81="B",INDEX(Batters[[#All],[zScore]],MATCH(Table5[[#This Row],[PID]],Batters[[#All],[PID]],0)),INDEX(Table3[[#All],[zScore]],MATCH(Table5[[#This Row],[PID]],Table3[[#All],[PID]],0)))</f>
        <v>1.7629000377906465</v>
      </c>
      <c r="S81" s="58" t="str">
        <f>IF($C81="B",INDEX(Batters[[#All],[DEM]],MATCH(Table5[[#This Row],[PID]],Batters[[#All],[PID]],0)),INDEX(Table3[[#All],[DEM]],MATCH(Table5[[#This Row],[PID]],Table3[[#All],[PID]],0)))</f>
        <v>$90k</v>
      </c>
      <c r="T81" s="62">
        <f>IF($C81="B",INDEX(Batters[[#All],[Rnk]],MATCH(Table5[[#This Row],[PID]],Batters[[#All],[PID]],0)),INDEX(Table3[[#All],[Rnk]],MATCH(Table5[[#This Row],[PID]],Table3[[#All],[PID]],0)))</f>
        <v>27</v>
      </c>
      <c r="U81" s="68">
        <f>IF($C81="B",VLOOKUP($A81,Bat!$A$4:$BA$1621,47,FALSE),VLOOKUP($A81,Pit!$A$4:$BF$1557,56,FALSE))</f>
        <v>0</v>
      </c>
      <c r="V81" s="50">
        <f>IF($C81="B",VLOOKUP($A81,Bat!$A$4:$BA$1621,48,FALSE),VLOOKUP($A81,Pit!$A$4:$BF$1557,57,FALSE))</f>
        <v>0</v>
      </c>
      <c r="W81" s="50">
        <f>Table5[[#This Row],[posRnk]]+Table5[[#This Row],[zRnk]]+IF($W$3&lt;&gt;Table5[[#This Row],[Type]],50,0)</f>
        <v>151</v>
      </c>
      <c r="X81" s="51">
        <f>RANK(Table5[[#This Row],[zScore]],Table5[[#All],[zScore]])</f>
        <v>74</v>
      </c>
      <c r="Y81" s="50">
        <f>IFERROR(INDEX(DraftResults[[#All],[OVR]],MATCH(Table5[[#This Row],[PID]],DraftResults[[#All],[Player ID]],0)),"")</f>
        <v>77</v>
      </c>
      <c r="Z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1" s="50">
        <f>IFERROR(INDEX(DraftResults[[#All],[Pick in Round]],MATCH(Table5[[#This Row],[PID]],DraftResults[[#All],[Player ID]],0)),"")</f>
        <v>9</v>
      </c>
      <c r="AB81" s="50" t="str">
        <f>IFERROR(INDEX(DraftResults[[#All],[Team Name]],MATCH(Table5[[#This Row],[PID]],DraftResults[[#All],[Player ID]],0)),"")</f>
        <v>Scottish Claymores</v>
      </c>
      <c r="AC81" s="50">
        <f>IF(Table5[[#This Row],[Ovr]]="","",IF(Table5[[#This Row],[cmbList]]="","",Table5[[#This Row],[cmbList]]-Table5[[#This Row],[Ovr]]))</f>
        <v>74</v>
      </c>
      <c r="AD81" s="54" t="str">
        <f>IF(ISERROR(VLOOKUP($AB81&amp;"-"&amp;$E81&amp;" "&amp;F81,Bonuses!$B$1:$G$1006,4,FALSE)),"",INT(VLOOKUP($AB81&amp;"-"&amp;$E81&amp;" "&amp;$F81,Bonuses!$B$1:$G$1006,4,FALSE)))</f>
        <v/>
      </c>
      <c r="AE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3.9 (77) - CF Nobuhisa Tanaka</v>
      </c>
    </row>
    <row r="82" spans="1:31" s="50" customFormat="1" x14ac:dyDescent="0.25">
      <c r="A82" s="50">
        <v>20710</v>
      </c>
      <c r="B82" s="50">
        <f>COUNTIF(Table5[PID],A82)</f>
        <v>1</v>
      </c>
      <c r="C82" s="50" t="str">
        <f>IF(COUNTIF(Table3[[#All],[PID]],A82)&gt;0,"P","B")</f>
        <v>P</v>
      </c>
      <c r="D82" s="59" t="str">
        <f>IF($C82="B",INDEX(Batters[[#All],[POS]],MATCH(Table5[[#This Row],[PID]],Batters[[#All],[PID]],0)),INDEX(Table3[[#All],[POS]],MATCH(Table5[[#This Row],[PID]],Table3[[#All],[PID]],0)))</f>
        <v>CL</v>
      </c>
      <c r="E82" s="52" t="str">
        <f>IF($C82="B",INDEX(Batters[[#All],[First]],MATCH(Table5[[#This Row],[PID]],Batters[[#All],[PID]],0)),INDEX(Table3[[#All],[First]],MATCH(Table5[[#This Row],[PID]],Table3[[#All],[PID]],0)))</f>
        <v>Pat</v>
      </c>
      <c r="F82" s="50" t="str">
        <f>IF($C82="B",INDEX(Batters[[#All],[Last]],MATCH(A82,Batters[[#All],[PID]],0)),INDEX(Table3[[#All],[Last]],MATCH(A82,Table3[[#All],[PID]],0)))</f>
        <v>Smith</v>
      </c>
      <c r="G82" s="56">
        <f>IF($C82="B",INDEX(Batters[[#All],[Age]],MATCH(Table5[[#This Row],[PID]],Batters[[#All],[PID]],0)),INDEX(Table3[[#All],[Age]],MATCH(Table5[[#This Row],[PID]],Table3[[#All],[PID]],0)))</f>
        <v>18</v>
      </c>
      <c r="H82" s="52" t="str">
        <f>IF($C82="B",INDEX(Batters[[#All],[B]],MATCH(Table5[[#This Row],[PID]],Batters[[#All],[PID]],0)),INDEX(Table3[[#All],[B]],MATCH(Table5[[#This Row],[PID]],Table3[[#All],[PID]],0)))</f>
        <v>S</v>
      </c>
      <c r="I82" s="52" t="str">
        <f>IF($C82="B",INDEX(Batters[[#All],[T]],MATCH(Table5[[#This Row],[PID]],Batters[[#All],[PID]],0)),INDEX(Table3[[#All],[T]],MATCH(Table5[[#This Row],[PID]],Table3[[#All],[PID]],0)))</f>
        <v>R</v>
      </c>
      <c r="J82" s="52" t="str">
        <f>IF($C82="B",INDEX(Batters[[#All],[WE]],MATCH(Table5[[#This Row],[PID]],Batters[[#All],[PID]],0)),INDEX(Table3[[#All],[WE]],MATCH(Table5[[#This Row],[PID]],Table3[[#All],[PID]],0)))</f>
        <v>High</v>
      </c>
      <c r="K82" s="52" t="str">
        <f>IF($C82="B",INDEX(Batters[[#All],[INT]],MATCH(Table5[[#This Row],[PID]],Batters[[#All],[PID]],0)),INDEX(Table3[[#All],[INT]],MATCH(Table5[[#This Row],[PID]],Table3[[#All],[PID]],0)))</f>
        <v>Normal</v>
      </c>
      <c r="L82" s="60">
        <f>IF($C82="B",INDEX(Batters[[#All],[CON P]],MATCH(Table5[[#This Row],[PID]],Batters[[#All],[PID]],0)),INDEX(Table3[[#All],[STU P]],MATCH(Table5[[#This Row],[PID]],Table3[[#All],[PID]],0)))</f>
        <v>7</v>
      </c>
      <c r="M82" s="56">
        <f>IF($C82="B",INDEX(Batters[[#All],[GAP P]],MATCH(Table5[[#This Row],[PID]],Batters[[#All],[PID]],0)),INDEX(Table3[[#All],[MOV P]],MATCH(Table5[[#This Row],[PID]],Table3[[#All],[PID]],0)))</f>
        <v>5</v>
      </c>
      <c r="N82" s="56">
        <f>IF($C82="B",INDEX(Batters[[#All],[POW P]],MATCH(Table5[[#This Row],[PID]],Batters[[#All],[PID]],0)),INDEX(Table3[[#All],[CON P]],MATCH(Table5[[#This Row],[PID]],Table3[[#All],[PID]],0)))</f>
        <v>4</v>
      </c>
      <c r="O82" s="56" t="str">
        <f>IF($C82="B",INDEX(Batters[[#All],[EYE P]],MATCH(Table5[[#This Row],[PID]],Batters[[#All],[PID]],0)),INDEX(Table3[[#All],[VELO]],MATCH(Table5[[#This Row],[PID]],Table3[[#All],[PID]],0)))</f>
        <v>93-95 Mph</v>
      </c>
      <c r="P82" s="56">
        <f>IF($C82="B",INDEX(Batters[[#All],[K P]],MATCH(Table5[[#This Row],[PID]],Batters[[#All],[PID]],0)),INDEX(Table3[[#All],[STM]],MATCH(Table5[[#This Row],[PID]],Table3[[#All],[PID]],0)))</f>
        <v>2</v>
      </c>
      <c r="Q82" s="61">
        <f>IF($C82="B",INDEX(Batters[[#All],[Tot]],MATCH(Table5[[#This Row],[PID]],Batters[[#All],[PID]],0)),INDEX(Table3[[#All],[Tot]],MATCH(Table5[[#This Row],[PID]],Table3[[#All],[PID]],0)))</f>
        <v>56.341899329022027</v>
      </c>
      <c r="R82" s="52">
        <f>IF($C82="B",INDEX(Batters[[#All],[zScore]],MATCH(Table5[[#This Row],[PID]],Batters[[#All],[PID]],0)),INDEX(Table3[[#All],[zScore]],MATCH(Table5[[#This Row],[PID]],Table3[[#All],[PID]],0)))</f>
        <v>1.3619291822324571</v>
      </c>
      <c r="S82" s="58" t="str">
        <f>IF($C82="B",INDEX(Batters[[#All],[DEM]],MATCH(Table5[[#This Row],[PID]],Batters[[#All],[PID]],0)),INDEX(Table3[[#All],[DEM]],MATCH(Table5[[#This Row],[PID]],Table3[[#All],[PID]],0)))</f>
        <v>$65k</v>
      </c>
      <c r="T82" s="62">
        <f>IF($C82="B",INDEX(Batters[[#All],[Rnk]],MATCH(Table5[[#This Row],[PID]],Batters[[#All],[PID]],0)),INDEX(Table3[[#All],[Rnk]],MATCH(Table5[[#This Row],[PID]],Table3[[#All],[PID]],0)))</f>
        <v>91</v>
      </c>
      <c r="U82" s="68">
        <f>IF($C82="B",VLOOKUP($A82,Bat!$A$4:$BA$1621,47,FALSE),VLOOKUP($A82,Pit!$A$4:$BF$1557,56,FALSE))</f>
        <v>0</v>
      </c>
      <c r="V82" s="50">
        <f>IF($C82="B",VLOOKUP($A82,Bat!$A$4:$BA$1621,48,FALSE),VLOOKUP($A82,Pit!$A$4:$BF$1557,57,FALSE))</f>
        <v>0</v>
      </c>
      <c r="W82" s="50">
        <f>Table5[[#This Row],[posRnk]]+Table5[[#This Row],[zRnk]]+IF($W$3&lt;&gt;Table5[[#This Row],[Type]],50,0)</f>
        <v>285</v>
      </c>
      <c r="X82" s="51">
        <f>RANK(Table5[[#This Row],[zScore]],Table5[[#All],[zScore]])</f>
        <v>144</v>
      </c>
      <c r="Y82" s="50">
        <f>IFERROR(INDEX(DraftResults[[#All],[OVR]],MATCH(Table5[[#This Row],[PID]],DraftResults[[#All],[Player ID]],0)),"")</f>
        <v>78</v>
      </c>
      <c r="Z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2" s="50">
        <f>IFERROR(INDEX(DraftResults[[#All],[Pick in Round]],MATCH(Table5[[#This Row],[PID]],DraftResults[[#All],[Player ID]],0)),"")</f>
        <v>10</v>
      </c>
      <c r="AB82" s="50" t="str">
        <f>IFERROR(INDEX(DraftResults[[#All],[Team Name]],MATCH(Table5[[#This Row],[PID]],DraftResults[[#All],[Player ID]],0)),"")</f>
        <v>Hartford Harpoon</v>
      </c>
      <c r="AC82" s="50">
        <f>IF(Table5[[#This Row],[Ovr]]="","",IF(Table5[[#This Row],[cmbList]]="","",Table5[[#This Row],[cmbList]]-Table5[[#This Row],[Ovr]]))</f>
        <v>207</v>
      </c>
      <c r="AD82" s="54" t="str">
        <f>IF(ISERROR(VLOOKUP($AB82&amp;"-"&amp;$E82&amp;" "&amp;F82,Bonuses!$B$1:$G$1006,4,FALSE)),"",INT(VLOOKUP($AB82&amp;"-"&amp;$E82&amp;" "&amp;$F82,Bonuses!$B$1:$G$1006,4,FALSE)))</f>
        <v/>
      </c>
      <c r="AE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3.10 (78) - CL Pat Smith</v>
      </c>
    </row>
    <row r="83" spans="1:31" s="50" customFormat="1" x14ac:dyDescent="0.25">
      <c r="A83" s="50">
        <v>14736</v>
      </c>
      <c r="B83" s="50">
        <f>COUNTIF(Table5[PID],A83)</f>
        <v>1</v>
      </c>
      <c r="C83" s="50" t="str">
        <f>IF(COUNTIF(Table3[[#All],[PID]],A83)&gt;0,"P","B")</f>
        <v>B</v>
      </c>
      <c r="D83" s="59" t="str">
        <f>IF($C83="B",INDEX(Batters[[#All],[POS]],MATCH(Table5[[#This Row],[PID]],Batters[[#All],[PID]],0)),INDEX(Table3[[#All],[POS]],MATCH(Table5[[#This Row],[PID]],Table3[[#All],[PID]],0)))</f>
        <v>3B</v>
      </c>
      <c r="E83" s="52" t="str">
        <f>IF($C83="B",INDEX(Batters[[#All],[First]],MATCH(Table5[[#This Row],[PID]],Batters[[#All],[PID]],0)),INDEX(Table3[[#All],[First]],MATCH(Table5[[#This Row],[PID]],Table3[[#All],[PID]],0)))</f>
        <v>Ashwin</v>
      </c>
      <c r="F83" s="50" t="str">
        <f>IF($C83="B",INDEX(Batters[[#All],[Last]],MATCH(A83,Batters[[#All],[PID]],0)),INDEX(Table3[[#All],[Last]],MATCH(A83,Table3[[#All],[PID]],0)))</f>
        <v>Hoeks</v>
      </c>
      <c r="G83" s="56">
        <f>IF($C83="B",INDEX(Batters[[#All],[Age]],MATCH(Table5[[#This Row],[PID]],Batters[[#All],[PID]],0)),INDEX(Table3[[#All],[Age]],MATCH(Table5[[#This Row],[PID]],Table3[[#All],[PID]],0)))</f>
        <v>18</v>
      </c>
      <c r="H83" s="52" t="str">
        <f>IF($C83="B",INDEX(Batters[[#All],[B]],MATCH(Table5[[#This Row],[PID]],Batters[[#All],[PID]],0)),INDEX(Table3[[#All],[B]],MATCH(Table5[[#This Row],[PID]],Table3[[#All],[PID]],0)))</f>
        <v>R</v>
      </c>
      <c r="I83" s="52" t="str">
        <f>IF($C83="B",INDEX(Batters[[#All],[T]],MATCH(Table5[[#This Row],[PID]],Batters[[#All],[PID]],0)),INDEX(Table3[[#All],[T]],MATCH(Table5[[#This Row],[PID]],Table3[[#All],[PID]],0)))</f>
        <v>R</v>
      </c>
      <c r="J83" s="52" t="str">
        <f>IF($C83="B",INDEX(Batters[[#All],[WE]],MATCH(Table5[[#This Row],[PID]],Batters[[#All],[PID]],0)),INDEX(Table3[[#All],[WE]],MATCH(Table5[[#This Row],[PID]],Table3[[#All],[PID]],0)))</f>
        <v>Normal</v>
      </c>
      <c r="K83" s="52" t="str">
        <f>IF($C83="B",INDEX(Batters[[#All],[INT]],MATCH(Table5[[#This Row],[PID]],Batters[[#All],[PID]],0)),INDEX(Table3[[#All],[INT]],MATCH(Table5[[#This Row],[PID]],Table3[[#All],[PID]],0)))</f>
        <v>Normal</v>
      </c>
      <c r="L83" s="60">
        <f>IF($C83="B",INDEX(Batters[[#All],[CON P]],MATCH(Table5[[#This Row],[PID]],Batters[[#All],[PID]],0)),INDEX(Table3[[#All],[STU P]],MATCH(Table5[[#This Row],[PID]],Table3[[#All],[PID]],0)))</f>
        <v>4</v>
      </c>
      <c r="M83" s="56">
        <f>IF($C83="B",INDEX(Batters[[#All],[GAP P]],MATCH(Table5[[#This Row],[PID]],Batters[[#All],[PID]],0)),INDEX(Table3[[#All],[MOV P]],MATCH(Table5[[#This Row],[PID]],Table3[[#All],[PID]],0)))</f>
        <v>6</v>
      </c>
      <c r="N83" s="56">
        <f>IF($C83="B",INDEX(Batters[[#All],[POW P]],MATCH(Table5[[#This Row],[PID]],Batters[[#All],[PID]],0)),INDEX(Table3[[#All],[CON P]],MATCH(Table5[[#This Row],[PID]],Table3[[#All],[PID]],0)))</f>
        <v>4</v>
      </c>
      <c r="O83" s="56">
        <f>IF($C83="B",INDEX(Batters[[#All],[EYE P]],MATCH(Table5[[#This Row],[PID]],Batters[[#All],[PID]],0)),INDEX(Table3[[#All],[VELO]],MATCH(Table5[[#This Row],[PID]],Table3[[#All],[PID]],0)))</f>
        <v>2</v>
      </c>
      <c r="P83" s="56">
        <f>IF($C83="B",INDEX(Batters[[#All],[K P]],MATCH(Table5[[#This Row],[PID]],Batters[[#All],[PID]],0)),INDEX(Table3[[#All],[STM]],MATCH(Table5[[#This Row],[PID]],Table3[[#All],[PID]],0)))</f>
        <v>7</v>
      </c>
      <c r="Q83" s="61">
        <f>IF($C83="B",INDEX(Batters[[#All],[Tot]],MATCH(Table5[[#This Row],[PID]],Batters[[#All],[PID]],0)),INDEX(Table3[[#All],[Tot]],MATCH(Table5[[#This Row],[PID]],Table3[[#All],[PID]],0)))</f>
        <v>47.899368024974144</v>
      </c>
      <c r="R83" s="52">
        <f>IF($C83="B",INDEX(Batters[[#All],[zScore]],MATCH(Table5[[#This Row],[PID]],Batters[[#All],[PID]],0)),INDEX(Table3[[#All],[zScore]],MATCH(Table5[[#This Row],[PID]],Table3[[#All],[PID]],0)))</f>
        <v>0.83526432030248032</v>
      </c>
      <c r="S83" s="58" t="str">
        <f>IF($C83="B",INDEX(Batters[[#All],[DEM]],MATCH(Table5[[#This Row],[PID]],Batters[[#All],[PID]],0)),INDEX(Table3[[#All],[DEM]],MATCH(Table5[[#This Row],[PID]],Table3[[#All],[PID]],0)))</f>
        <v>$38k</v>
      </c>
      <c r="T83" s="62">
        <f>IF($C83="B",INDEX(Batters[[#All],[Rnk]],MATCH(Table5[[#This Row],[PID]],Batters[[#All],[PID]],0)),INDEX(Table3[[#All],[Rnk]],MATCH(Table5[[#This Row],[PID]],Table3[[#All],[PID]],0)))</f>
        <v>112</v>
      </c>
      <c r="U83" s="68">
        <f>IF($C83="B",VLOOKUP($A83,Bat!$A$4:$BA$1621,47,FALSE),VLOOKUP($A83,Pit!$A$4:$BF$1557,56,FALSE))</f>
        <v>0</v>
      </c>
      <c r="V83" s="50">
        <f>IF($C83="B",VLOOKUP($A83,Bat!$A$4:$BA$1621,48,FALSE),VLOOKUP($A83,Pit!$A$4:$BF$1557,57,FALSE))</f>
        <v>0</v>
      </c>
      <c r="W83" s="50">
        <f>Table5[[#This Row],[posRnk]]+Table5[[#This Row],[zRnk]]+IF($W$3&lt;&gt;Table5[[#This Row],[Type]],50,0)</f>
        <v>438</v>
      </c>
      <c r="X83" s="51">
        <f>RANK(Table5[[#This Row],[zScore]],Table5[[#All],[zScore]])</f>
        <v>276</v>
      </c>
      <c r="Y83" s="50">
        <f>IFERROR(INDEX(DraftResults[[#All],[OVR]],MATCH(Table5[[#This Row],[PID]],DraftResults[[#All],[Player ID]],0)),"")</f>
        <v>79</v>
      </c>
      <c r="Z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3" s="50">
        <f>IFERROR(INDEX(DraftResults[[#All],[Pick in Round]],MATCH(Table5[[#This Row],[PID]],DraftResults[[#All],[Player ID]],0)),"")</f>
        <v>11</v>
      </c>
      <c r="AB83" s="50" t="str">
        <f>IFERROR(INDEX(DraftResults[[#All],[Team Name]],MATCH(Table5[[#This Row],[PID]],DraftResults[[#All],[Player ID]],0)),"")</f>
        <v>Duluth Warriors</v>
      </c>
      <c r="AC83" s="50">
        <f>IF(Table5[[#This Row],[Ovr]]="","",IF(Table5[[#This Row],[cmbList]]="","",Table5[[#This Row],[cmbList]]-Table5[[#This Row],[Ovr]]))</f>
        <v>359</v>
      </c>
      <c r="AD83" s="54" t="str">
        <f>IF(ISERROR(VLOOKUP($AB83&amp;"-"&amp;$E83&amp;" "&amp;F83,Bonuses!$B$1:$G$1006,4,FALSE)),"",INT(VLOOKUP($AB83&amp;"-"&amp;$E83&amp;" "&amp;$F83,Bonuses!$B$1:$G$1006,4,FALSE)))</f>
        <v/>
      </c>
      <c r="AE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3.11 (79) - 3B Ashwin Hoeks</v>
      </c>
    </row>
    <row r="84" spans="1:31" s="50" customFormat="1" x14ac:dyDescent="0.25">
      <c r="A84" s="50">
        <v>18112</v>
      </c>
      <c r="B84" s="50">
        <f>COUNTIF(Table5[PID],A84)</f>
        <v>1</v>
      </c>
      <c r="C84" s="50" t="str">
        <f>IF(COUNTIF(Table3[[#All],[PID]],A84)&gt;0,"P","B")</f>
        <v>P</v>
      </c>
      <c r="D84" s="59" t="str">
        <f>IF($C84="B",INDEX(Batters[[#All],[POS]],MATCH(Table5[[#This Row],[PID]],Batters[[#All],[PID]],0)),INDEX(Table3[[#All],[POS]],MATCH(Table5[[#This Row],[PID]],Table3[[#All],[PID]],0)))</f>
        <v>CL</v>
      </c>
      <c r="E84" s="52" t="str">
        <f>IF($C84="B",INDEX(Batters[[#All],[First]],MATCH(Table5[[#This Row],[PID]],Batters[[#All],[PID]],0)),INDEX(Table3[[#All],[First]],MATCH(Table5[[#This Row],[PID]],Table3[[#All],[PID]],0)))</f>
        <v>Bartolo</v>
      </c>
      <c r="F84" s="50" t="str">
        <f>IF($C84="B",INDEX(Batters[[#All],[Last]],MATCH(A84,Batters[[#All],[PID]],0)),INDEX(Table3[[#All],[Last]],MATCH(A84,Table3[[#All],[PID]],0)))</f>
        <v>Torres</v>
      </c>
      <c r="G84" s="56">
        <f>IF($C84="B",INDEX(Batters[[#All],[Age]],MATCH(Table5[[#This Row],[PID]],Batters[[#All],[PID]],0)),INDEX(Table3[[#All],[Age]],MATCH(Table5[[#This Row],[PID]],Table3[[#All],[PID]],0)))</f>
        <v>21</v>
      </c>
      <c r="H84" s="52" t="str">
        <f>IF($C84="B",INDEX(Batters[[#All],[B]],MATCH(Table5[[#This Row],[PID]],Batters[[#All],[PID]],0)),INDEX(Table3[[#All],[B]],MATCH(Table5[[#This Row],[PID]],Table3[[#All],[PID]],0)))</f>
        <v>L</v>
      </c>
      <c r="I84" s="52" t="str">
        <f>IF($C84="B",INDEX(Batters[[#All],[T]],MATCH(Table5[[#This Row],[PID]],Batters[[#All],[PID]],0)),INDEX(Table3[[#All],[T]],MATCH(Table5[[#This Row],[PID]],Table3[[#All],[PID]],0)))</f>
        <v>L</v>
      </c>
      <c r="J84" s="52" t="str">
        <f>IF($C84="B",INDEX(Batters[[#All],[WE]],MATCH(Table5[[#This Row],[PID]],Batters[[#All],[PID]],0)),INDEX(Table3[[#All],[WE]],MATCH(Table5[[#This Row],[PID]],Table3[[#All],[PID]],0)))</f>
        <v>Normal</v>
      </c>
      <c r="K84" s="52" t="str">
        <f>IF($C84="B",INDEX(Batters[[#All],[INT]],MATCH(Table5[[#This Row],[PID]],Batters[[#All],[PID]],0)),INDEX(Table3[[#All],[INT]],MATCH(Table5[[#This Row],[PID]],Table3[[#All],[PID]],0)))</f>
        <v>Normal</v>
      </c>
      <c r="L84" s="60">
        <f>IF($C84="B",INDEX(Batters[[#All],[CON P]],MATCH(Table5[[#This Row],[PID]],Batters[[#All],[PID]],0)),INDEX(Table3[[#All],[STU P]],MATCH(Table5[[#This Row],[PID]],Table3[[#All],[PID]],0)))</f>
        <v>7</v>
      </c>
      <c r="M84" s="56">
        <f>IF($C84="B",INDEX(Batters[[#All],[GAP P]],MATCH(Table5[[#This Row],[PID]],Batters[[#All],[PID]],0)),INDEX(Table3[[#All],[MOV P]],MATCH(Table5[[#This Row],[PID]],Table3[[#All],[PID]],0)))</f>
        <v>4</v>
      </c>
      <c r="N84" s="56">
        <f>IF($C84="B",INDEX(Batters[[#All],[POW P]],MATCH(Table5[[#This Row],[PID]],Batters[[#All],[PID]],0)),INDEX(Table3[[#All],[CON P]],MATCH(Table5[[#This Row],[PID]],Table3[[#All],[PID]],0)))</f>
        <v>5</v>
      </c>
      <c r="O84" s="56" t="str">
        <f>IF($C84="B",INDEX(Batters[[#All],[EYE P]],MATCH(Table5[[#This Row],[PID]],Batters[[#All],[PID]],0)),INDEX(Table3[[#All],[VELO]],MATCH(Table5[[#This Row],[PID]],Table3[[#All],[PID]],0)))</f>
        <v>96-98 Mph</v>
      </c>
      <c r="P84" s="56">
        <f>IF($C84="B",INDEX(Batters[[#All],[K P]],MATCH(Table5[[#This Row],[PID]],Batters[[#All],[PID]],0)),INDEX(Table3[[#All],[STM]],MATCH(Table5[[#This Row],[PID]],Table3[[#All],[PID]],0)))</f>
        <v>8</v>
      </c>
      <c r="Q84" s="61">
        <f>IF($C84="B",INDEX(Batters[[#All],[Tot]],MATCH(Table5[[#This Row],[PID]],Batters[[#All],[PID]],0)),INDEX(Table3[[#All],[Tot]],MATCH(Table5[[#This Row],[PID]],Table3[[#All],[PID]],0)))</f>
        <v>60.720612482614193</v>
      </c>
      <c r="R84" s="52">
        <f>IF($C84="B",INDEX(Batters[[#All],[zScore]],MATCH(Table5[[#This Row],[PID]],Batters[[#All],[PID]],0)),INDEX(Table3[[#All],[zScore]],MATCH(Table5[[#This Row],[PID]],Table3[[#All],[PID]],0)))</f>
        <v>1.6532382771906566</v>
      </c>
      <c r="S84" s="58" t="str">
        <f>IF($C84="B",INDEX(Batters[[#All],[DEM]],MATCH(Table5[[#This Row],[PID]],Batters[[#All],[PID]],0)),INDEX(Table3[[#All],[DEM]],MATCH(Table5[[#This Row],[PID]],Table3[[#All],[PID]],0)))</f>
        <v>$20k</v>
      </c>
      <c r="T84" s="62">
        <f>IF($C84="B",INDEX(Batters[[#All],[Rnk]],MATCH(Table5[[#This Row],[PID]],Batters[[#All],[PID]],0)),INDEX(Table3[[#All],[Rnk]],MATCH(Table5[[#This Row],[PID]],Table3[[#All],[PID]],0)))</f>
        <v>60</v>
      </c>
      <c r="U84" s="68">
        <f>IF($C84="B",VLOOKUP($A84,Bat!$A$4:$BA$1621,47,FALSE),VLOOKUP($A84,Pit!$A$4:$BF$1557,56,FALSE))</f>
        <v>0</v>
      </c>
      <c r="V84" s="50">
        <f>IF($C84="B",VLOOKUP($A84,Bat!$A$4:$BA$1621,48,FALSE),VLOOKUP($A84,Pit!$A$4:$BF$1557,57,FALSE))</f>
        <v>0</v>
      </c>
      <c r="W84" s="50">
        <f>Table5[[#This Row],[posRnk]]+Table5[[#This Row],[zRnk]]+IF($W$3&lt;&gt;Table5[[#This Row],[Type]],50,0)</f>
        <v>204</v>
      </c>
      <c r="X84" s="51">
        <f>RANK(Table5[[#This Row],[zScore]],Table5[[#All],[zScore]])</f>
        <v>94</v>
      </c>
      <c r="Y84" s="50">
        <f>IFERROR(INDEX(DraftResults[[#All],[OVR]],MATCH(Table5[[#This Row],[PID]],DraftResults[[#All],[Player ID]],0)),"")</f>
        <v>80</v>
      </c>
      <c r="Z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4" s="50">
        <f>IFERROR(INDEX(DraftResults[[#All],[Pick in Round]],MATCH(Table5[[#This Row],[PID]],DraftResults[[#All],[Player ID]],0)),"")</f>
        <v>12</v>
      </c>
      <c r="AB84" s="50" t="str">
        <f>IFERROR(INDEX(DraftResults[[#All],[Team Name]],MATCH(Table5[[#This Row],[PID]],DraftResults[[#All],[Player ID]],0)),"")</f>
        <v>Palm Springs Codgers</v>
      </c>
      <c r="AC84" s="50">
        <f>IF(Table5[[#This Row],[Ovr]]="","",IF(Table5[[#This Row],[cmbList]]="","",Table5[[#This Row],[cmbList]]-Table5[[#This Row],[Ovr]]))</f>
        <v>124</v>
      </c>
      <c r="AD84" s="54" t="str">
        <f>IF(ISERROR(VLOOKUP($AB84&amp;"-"&amp;$E84&amp;" "&amp;F84,Bonuses!$B$1:$G$1006,4,FALSE)),"",INT(VLOOKUP($AB84&amp;"-"&amp;$E84&amp;" "&amp;$F84,Bonuses!$B$1:$G$1006,4,FALSE)))</f>
        <v/>
      </c>
      <c r="AE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3.12 (80) - CL Bartolo Torres</v>
      </c>
    </row>
    <row r="85" spans="1:31" s="50" customFormat="1" x14ac:dyDescent="0.25">
      <c r="A85" s="50">
        <v>18313</v>
      </c>
      <c r="B85" s="50">
        <f>COUNTIF(Table5[PID],A85)</f>
        <v>1</v>
      </c>
      <c r="C85" s="50" t="str">
        <f>IF(COUNTIF(Table3[[#All],[PID]],A85)&gt;0,"P","B")</f>
        <v>B</v>
      </c>
      <c r="D85" s="59" t="str">
        <f>IF($C85="B",INDEX(Batters[[#All],[POS]],MATCH(Table5[[#This Row],[PID]],Batters[[#All],[PID]],0)),INDEX(Table3[[#All],[POS]],MATCH(Table5[[#This Row],[PID]],Table3[[#All],[PID]],0)))</f>
        <v>CF</v>
      </c>
      <c r="E85" s="52" t="str">
        <f>IF($C85="B",INDEX(Batters[[#All],[First]],MATCH(Table5[[#This Row],[PID]],Batters[[#All],[PID]],0)),INDEX(Table3[[#All],[First]],MATCH(Table5[[#This Row],[PID]],Table3[[#All],[PID]],0)))</f>
        <v>Pablo</v>
      </c>
      <c r="F85" s="50" t="str">
        <f>IF($C85="B",INDEX(Batters[[#All],[Last]],MATCH(A85,Batters[[#All],[PID]],0)),INDEX(Table3[[#All],[Last]],MATCH(A85,Table3[[#All],[PID]],0)))</f>
        <v>López</v>
      </c>
      <c r="G85" s="56">
        <f>IF($C85="B",INDEX(Batters[[#All],[Age]],MATCH(Table5[[#This Row],[PID]],Batters[[#All],[PID]],0)),INDEX(Table3[[#All],[Age]],MATCH(Table5[[#This Row],[PID]],Table3[[#All],[PID]],0)))</f>
        <v>21</v>
      </c>
      <c r="H85" s="52" t="str">
        <f>IF($C85="B",INDEX(Batters[[#All],[B]],MATCH(Table5[[#This Row],[PID]],Batters[[#All],[PID]],0)),INDEX(Table3[[#All],[B]],MATCH(Table5[[#This Row],[PID]],Table3[[#All],[PID]],0)))</f>
        <v>L</v>
      </c>
      <c r="I85" s="52" t="str">
        <f>IF($C85="B",INDEX(Batters[[#All],[T]],MATCH(Table5[[#This Row],[PID]],Batters[[#All],[PID]],0)),INDEX(Table3[[#All],[T]],MATCH(Table5[[#This Row],[PID]],Table3[[#All],[PID]],0)))</f>
        <v>L</v>
      </c>
      <c r="J85" s="52" t="str">
        <f>IF($C85="B",INDEX(Batters[[#All],[WE]],MATCH(Table5[[#This Row],[PID]],Batters[[#All],[PID]],0)),INDEX(Table3[[#All],[WE]],MATCH(Table5[[#This Row],[PID]],Table3[[#All],[PID]],0)))</f>
        <v>Low</v>
      </c>
      <c r="K85" s="52" t="str">
        <f>IF($C85="B",INDEX(Batters[[#All],[INT]],MATCH(Table5[[#This Row],[PID]],Batters[[#All],[PID]],0)),INDEX(Table3[[#All],[INT]],MATCH(Table5[[#This Row],[PID]],Table3[[#All],[PID]],0)))</f>
        <v>Normal</v>
      </c>
      <c r="L85" s="60">
        <f>IF($C85="B",INDEX(Batters[[#All],[CON P]],MATCH(Table5[[#This Row],[PID]],Batters[[#All],[PID]],0)),INDEX(Table3[[#All],[STU P]],MATCH(Table5[[#This Row],[PID]],Table3[[#All],[PID]],0)))</f>
        <v>4</v>
      </c>
      <c r="M85" s="56">
        <f>IF($C85="B",INDEX(Batters[[#All],[GAP P]],MATCH(Table5[[#This Row],[PID]],Batters[[#All],[PID]],0)),INDEX(Table3[[#All],[MOV P]],MATCH(Table5[[#This Row],[PID]],Table3[[#All],[PID]],0)))</f>
        <v>5</v>
      </c>
      <c r="N85" s="56">
        <f>IF($C85="B",INDEX(Batters[[#All],[POW P]],MATCH(Table5[[#This Row],[PID]],Batters[[#All],[PID]],0)),INDEX(Table3[[#All],[CON P]],MATCH(Table5[[#This Row],[PID]],Table3[[#All],[PID]],0)))</f>
        <v>5</v>
      </c>
      <c r="O85" s="56">
        <f>IF($C85="B",INDEX(Batters[[#All],[EYE P]],MATCH(Table5[[#This Row],[PID]],Batters[[#All],[PID]],0)),INDEX(Table3[[#All],[VELO]],MATCH(Table5[[#This Row],[PID]],Table3[[#All],[PID]],0)))</f>
        <v>7</v>
      </c>
      <c r="P85" s="56">
        <f>IF($C85="B",INDEX(Batters[[#All],[K P]],MATCH(Table5[[#This Row],[PID]],Batters[[#All],[PID]],0)),INDEX(Table3[[#All],[STM]],MATCH(Table5[[#This Row],[PID]],Table3[[#All],[PID]],0)))</f>
        <v>4</v>
      </c>
      <c r="Q85" s="61">
        <f>IF($C85="B",INDEX(Batters[[#All],[Tot]],MATCH(Table5[[#This Row],[PID]],Batters[[#All],[PID]],0)),INDEX(Table3[[#All],[Tot]],MATCH(Table5[[#This Row],[PID]],Table3[[#All],[PID]],0)))</f>
        <v>46.668621051632158</v>
      </c>
      <c r="R85" s="52">
        <f>IF($C85="B",INDEX(Batters[[#All],[zScore]],MATCH(Table5[[#This Row],[PID]],Batters[[#All],[PID]],0)),INDEX(Table3[[#All],[zScore]],MATCH(Table5[[#This Row],[PID]],Table3[[#All],[PID]],0)))</f>
        <v>0.56239939723509313</v>
      </c>
      <c r="S85" s="58" t="str">
        <f>IF($C85="B",INDEX(Batters[[#All],[DEM]],MATCH(Table5[[#This Row],[PID]],Batters[[#All],[PID]],0)),INDEX(Table3[[#All],[DEM]],MATCH(Table5[[#This Row],[PID]],Table3[[#All],[PID]],0)))</f>
        <v>$20k</v>
      </c>
      <c r="T85" s="62">
        <f>IF($C85="B",INDEX(Batters[[#All],[Rnk]],MATCH(Table5[[#This Row],[PID]],Batters[[#All],[PID]],0)),INDEX(Table3[[#All],[Rnk]],MATCH(Table5[[#This Row],[PID]],Table3[[#All],[PID]],0)))</f>
        <v>144</v>
      </c>
      <c r="U85" s="68">
        <f>IF($C85="B",VLOOKUP($A85,Bat!$A$4:$BA$1621,47,FALSE),VLOOKUP($A85,Pit!$A$4:$BF$1557,56,FALSE))</f>
        <v>0</v>
      </c>
      <c r="V85" s="50">
        <f>IF($C85="B",VLOOKUP($A85,Bat!$A$4:$BA$1621,48,FALSE),VLOOKUP($A85,Pit!$A$4:$BF$1557,57,FALSE))</f>
        <v>0</v>
      </c>
      <c r="W85" s="50">
        <f>Table5[[#This Row],[posRnk]]+Table5[[#This Row],[zRnk]]+IF($W$3&lt;&gt;Table5[[#This Row],[Type]],50,0)</f>
        <v>543</v>
      </c>
      <c r="X85" s="51">
        <f>RANK(Table5[[#This Row],[zScore]],Table5[[#All],[zScore]])</f>
        <v>349</v>
      </c>
      <c r="Y85" s="50">
        <f>IFERROR(INDEX(DraftResults[[#All],[OVR]],MATCH(Table5[[#This Row],[PID]],DraftResults[[#All],[Player ID]],0)),"")</f>
        <v>81</v>
      </c>
      <c r="Z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5" s="50">
        <f>IFERROR(INDEX(DraftResults[[#All],[Pick in Round]],MATCH(Table5[[#This Row],[PID]],DraftResults[[#All],[Player ID]],0)),"")</f>
        <v>13</v>
      </c>
      <c r="AB85" s="50" t="str">
        <f>IFERROR(INDEX(DraftResults[[#All],[Team Name]],MATCH(Table5[[#This Row],[PID]],DraftResults[[#All],[Player ID]],0)),"")</f>
        <v>Reno Zephyrs</v>
      </c>
      <c r="AC85" s="50">
        <f>IF(Table5[[#This Row],[Ovr]]="","",IF(Table5[[#This Row],[cmbList]]="","",Table5[[#This Row],[cmbList]]-Table5[[#This Row],[Ovr]]))</f>
        <v>462</v>
      </c>
      <c r="AD85" s="54" t="str">
        <f>IF(ISERROR(VLOOKUP($AB85&amp;"-"&amp;$E85&amp;" "&amp;F85,Bonuses!$B$1:$G$1006,4,FALSE)),"",INT(VLOOKUP($AB85&amp;"-"&amp;$E85&amp;" "&amp;$F85,Bonuses!$B$1:$G$1006,4,FALSE)))</f>
        <v/>
      </c>
      <c r="AE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3.13 (81) - CF Pablo López</v>
      </c>
    </row>
    <row r="86" spans="1:31" s="50" customFormat="1" x14ac:dyDescent="0.25">
      <c r="A86" s="68">
        <v>18293</v>
      </c>
      <c r="B86" s="69">
        <f>COUNTIF(Table5[PID],A86)</f>
        <v>1</v>
      </c>
      <c r="C86" s="69" t="str">
        <f>IF(COUNTIF(Table3[[#All],[PID]],A86)&gt;0,"P","B")</f>
        <v>P</v>
      </c>
      <c r="D86" s="59" t="str">
        <f>IF($C86="B",INDEX(Batters[[#All],[POS]],MATCH(Table5[[#This Row],[PID]],Batters[[#All],[PID]],0)),INDEX(Table3[[#All],[POS]],MATCH(Table5[[#This Row],[PID]],Table3[[#All],[PID]],0)))</f>
        <v>SP</v>
      </c>
      <c r="E86" s="52" t="str">
        <f>IF($C86="B",INDEX(Batters[[#All],[First]],MATCH(Table5[[#This Row],[PID]],Batters[[#All],[PID]],0)),INDEX(Table3[[#All],[First]],MATCH(Table5[[#This Row],[PID]],Table3[[#All],[PID]],0)))</f>
        <v>Kantaro</v>
      </c>
      <c r="F86" s="55" t="str">
        <f>IF($C86="B",INDEX(Batters[[#All],[Last]],MATCH(A86,Batters[[#All],[PID]],0)),INDEX(Table3[[#All],[Last]],MATCH(A86,Table3[[#All],[PID]],0)))</f>
        <v>Nomura</v>
      </c>
      <c r="G86" s="56">
        <f>IF($C86="B",INDEX(Batters[[#All],[Age]],MATCH(Table5[[#This Row],[PID]],Batters[[#All],[PID]],0)),INDEX(Table3[[#All],[Age]],MATCH(Table5[[#This Row],[PID]],Table3[[#All],[PID]],0)))</f>
        <v>21</v>
      </c>
      <c r="H86" s="52" t="str">
        <f>IF($C86="B",INDEX(Batters[[#All],[B]],MATCH(Table5[[#This Row],[PID]],Batters[[#All],[PID]],0)),INDEX(Table3[[#All],[B]],MATCH(Table5[[#This Row],[PID]],Table3[[#All],[PID]],0)))</f>
        <v>R</v>
      </c>
      <c r="I86" s="52" t="str">
        <f>IF($C86="B",INDEX(Batters[[#All],[T]],MATCH(Table5[[#This Row],[PID]],Batters[[#All],[PID]],0)),INDEX(Table3[[#All],[T]],MATCH(Table5[[#This Row],[PID]],Table3[[#All],[PID]],0)))</f>
        <v>R</v>
      </c>
      <c r="J86" s="71" t="str">
        <f>IF($C86="B",INDEX(Batters[[#All],[WE]],MATCH(Table5[[#This Row],[PID]],Batters[[#All],[PID]],0)),INDEX(Table3[[#All],[WE]],MATCH(Table5[[#This Row],[PID]],Table3[[#All],[PID]],0)))</f>
        <v>Low</v>
      </c>
      <c r="K86" s="52" t="str">
        <f>IF($C86="B",INDEX(Batters[[#All],[INT]],MATCH(Table5[[#This Row],[PID]],Batters[[#All],[PID]],0)),INDEX(Table3[[#All],[INT]],MATCH(Table5[[#This Row],[PID]],Table3[[#All],[PID]],0)))</f>
        <v>Normal</v>
      </c>
      <c r="L86" s="60">
        <f>IF($C86="B",INDEX(Batters[[#All],[CON P]],MATCH(Table5[[#This Row],[PID]],Batters[[#All],[PID]],0)),INDEX(Table3[[#All],[STU P]],MATCH(Table5[[#This Row],[PID]],Table3[[#All],[PID]],0)))</f>
        <v>6</v>
      </c>
      <c r="M86" s="72">
        <f>IF($C86="B",INDEX(Batters[[#All],[GAP P]],MATCH(Table5[[#This Row],[PID]],Batters[[#All],[PID]],0)),INDEX(Table3[[#All],[MOV P]],MATCH(Table5[[#This Row],[PID]],Table3[[#All],[PID]],0)))</f>
        <v>6</v>
      </c>
      <c r="N86" s="72">
        <f>IF($C86="B",INDEX(Batters[[#All],[POW P]],MATCH(Table5[[#This Row],[PID]],Batters[[#All],[PID]],0)),INDEX(Table3[[#All],[CON P]],MATCH(Table5[[#This Row],[PID]],Table3[[#All],[PID]],0)))</f>
        <v>4</v>
      </c>
      <c r="O86" s="72" t="str">
        <f>IF($C86="B",INDEX(Batters[[#All],[EYE P]],MATCH(Table5[[#This Row],[PID]],Batters[[#All],[PID]],0)),INDEX(Table3[[#All],[VELO]],MATCH(Table5[[#This Row],[PID]],Table3[[#All],[PID]],0)))</f>
        <v>95-97 Mph</v>
      </c>
      <c r="P86" s="56">
        <f>IF($C86="B",INDEX(Batters[[#All],[K P]],MATCH(Table5[[#This Row],[PID]],Batters[[#All],[PID]],0)),INDEX(Table3[[#All],[STM]],MATCH(Table5[[#This Row],[PID]],Table3[[#All],[PID]],0)))</f>
        <v>7</v>
      </c>
      <c r="Q86" s="61">
        <f>IF($C86="B",INDEX(Batters[[#All],[Tot]],MATCH(Table5[[#This Row],[PID]],Batters[[#All],[PID]],0)),INDEX(Table3[[#All],[Tot]],MATCH(Table5[[#This Row],[PID]],Table3[[#All],[PID]],0)))</f>
        <v>62.652537672022305</v>
      </c>
      <c r="R86" s="52">
        <f>IF($C86="B",INDEX(Batters[[#All],[zScore]],MATCH(Table5[[#This Row],[PID]],Batters[[#All],[PID]],0)),INDEX(Table3[[#All],[zScore]],MATCH(Table5[[#This Row],[PID]],Table3[[#All],[PID]],0)))</f>
        <v>1.7817663078500141</v>
      </c>
      <c r="S86" s="78" t="str">
        <f>IF($C86="B",INDEX(Batters[[#All],[DEM]],MATCH(Table5[[#This Row],[PID]],Batters[[#All],[PID]],0)),INDEX(Table3[[#All],[DEM]],MATCH(Table5[[#This Row],[PID]],Table3[[#All],[PID]],0)))</f>
        <v>$180k</v>
      </c>
      <c r="T86" s="75">
        <f>IF($C86="B",INDEX(Batters[[#All],[Rnk]],MATCH(Table5[[#This Row],[PID]],Batters[[#All],[PID]],0)),INDEX(Table3[[#All],[Rnk]],MATCH(Table5[[#This Row],[PID]],Table3[[#All],[PID]],0)))</f>
        <v>46</v>
      </c>
      <c r="U86" s="68">
        <f>IF($C86="B",VLOOKUP($A86,Bat!$A$4:$BA$1621,47,FALSE),VLOOKUP($A86,Pit!$A$4:$BF$1557,56,FALSE))</f>
        <v>0</v>
      </c>
      <c r="V86" s="50">
        <f>IF($C86="B",VLOOKUP($A86,Bat!$A$4:$BA$1621,48,FALSE),VLOOKUP($A86,Pit!$A$4:$BF$1557,57,FALSE))</f>
        <v>0</v>
      </c>
      <c r="W86" s="69">
        <f>Table5[[#This Row],[posRnk]]+Table5[[#This Row],[zRnk]]+IF($W$3&lt;&gt;Table5[[#This Row],[Type]],50,0)</f>
        <v>167</v>
      </c>
      <c r="X86" s="73">
        <f>RANK(Table5[[#This Row],[zScore]],Table5[[#All],[zScore]])</f>
        <v>71</v>
      </c>
      <c r="Y86" s="69">
        <f>IFERROR(INDEX(DraftResults[[#All],[OVR]],MATCH(Table5[[#This Row],[PID]],DraftResults[[#All],[Player ID]],0)),"")</f>
        <v>82</v>
      </c>
      <c r="Z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6" s="69">
        <f>IFERROR(INDEX(DraftResults[[#All],[Pick in Round]],MATCH(Table5[[#This Row],[PID]],DraftResults[[#All],[Player ID]],0)),"")</f>
        <v>14</v>
      </c>
      <c r="AB86" s="69" t="str">
        <f>IFERROR(INDEX(DraftResults[[#All],[Team Name]],MATCH(Table5[[#This Row],[PID]],DraftResults[[#All],[Player ID]],0)),"")</f>
        <v>West Virginia Alleghenies</v>
      </c>
      <c r="AC86" s="69">
        <f>IF(Table5[[#This Row],[Ovr]]="","",IF(Table5[[#This Row],[cmbList]]="","",Table5[[#This Row],[cmbList]]-Table5[[#This Row],[Ovr]]))</f>
        <v>85</v>
      </c>
      <c r="AD86" s="77" t="str">
        <f>IF(ISERROR(VLOOKUP($AB86&amp;"-"&amp;$E86&amp;" "&amp;F86,Bonuses!$B$1:$G$1006,4,FALSE)),"",INT(VLOOKUP($AB86&amp;"-"&amp;$E86&amp;" "&amp;$F86,Bonuses!$B$1:$G$1006,4,FALSE)))</f>
        <v/>
      </c>
      <c r="AE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3.14 (82) - SP Kantaro Nomura</v>
      </c>
    </row>
    <row r="87" spans="1:31" s="50" customFormat="1" x14ac:dyDescent="0.25">
      <c r="A87" s="50">
        <v>18140</v>
      </c>
      <c r="B87" s="50">
        <f>COUNTIF(Table5[PID],A87)</f>
        <v>1</v>
      </c>
      <c r="C87" s="50" t="str">
        <f>IF(COUNTIF(Table3[[#All],[PID]],A87)&gt;0,"P","B")</f>
        <v>B</v>
      </c>
      <c r="D87" s="59" t="str">
        <f>IF($C87="B",INDEX(Batters[[#All],[POS]],MATCH(Table5[[#This Row],[PID]],Batters[[#All],[PID]],0)),INDEX(Table3[[#All],[POS]],MATCH(Table5[[#This Row],[PID]],Table3[[#All],[PID]],0)))</f>
        <v>1B</v>
      </c>
      <c r="E87" s="52" t="str">
        <f>IF($C87="B",INDEX(Batters[[#All],[First]],MATCH(Table5[[#This Row],[PID]],Batters[[#All],[PID]],0)),INDEX(Table3[[#All],[First]],MATCH(Table5[[#This Row],[PID]],Table3[[#All],[PID]],0)))</f>
        <v>José</v>
      </c>
      <c r="F87" s="50" t="str">
        <f>IF($C87="B",INDEX(Batters[[#All],[Last]],MATCH(A87,Batters[[#All],[PID]],0)),INDEX(Table3[[#All],[Last]],MATCH(A87,Table3[[#All],[PID]],0)))</f>
        <v>Ayala</v>
      </c>
      <c r="G87" s="56">
        <f>IF($C87="B",INDEX(Batters[[#All],[Age]],MATCH(Table5[[#This Row],[PID]],Batters[[#All],[PID]],0)),INDEX(Table3[[#All],[Age]],MATCH(Table5[[#This Row],[PID]],Table3[[#All],[PID]],0)))</f>
        <v>21</v>
      </c>
      <c r="H87" s="52" t="str">
        <f>IF($C87="B",INDEX(Batters[[#All],[B]],MATCH(Table5[[#This Row],[PID]],Batters[[#All],[PID]],0)),INDEX(Table3[[#All],[B]],MATCH(Table5[[#This Row],[PID]],Table3[[#All],[PID]],0)))</f>
        <v>L</v>
      </c>
      <c r="I87" s="52" t="str">
        <f>IF($C87="B",INDEX(Batters[[#All],[T]],MATCH(Table5[[#This Row],[PID]],Batters[[#All],[PID]],0)),INDEX(Table3[[#All],[T]],MATCH(Table5[[#This Row],[PID]],Table3[[#All],[PID]],0)))</f>
        <v>L</v>
      </c>
      <c r="J87" s="52" t="str">
        <f>IF($C87="B",INDEX(Batters[[#All],[WE]],MATCH(Table5[[#This Row],[PID]],Batters[[#All],[PID]],0)),INDEX(Table3[[#All],[WE]],MATCH(Table5[[#This Row],[PID]],Table3[[#All],[PID]],0)))</f>
        <v>Normal</v>
      </c>
      <c r="K87" s="52" t="str">
        <f>IF($C87="B",INDEX(Batters[[#All],[INT]],MATCH(Table5[[#This Row],[PID]],Batters[[#All],[PID]],0)),INDEX(Table3[[#All],[INT]],MATCH(Table5[[#This Row],[PID]],Table3[[#All],[PID]],0)))</f>
        <v>Normal</v>
      </c>
      <c r="L87" s="60">
        <f>IF($C87="B",INDEX(Batters[[#All],[CON P]],MATCH(Table5[[#This Row],[PID]],Batters[[#All],[PID]],0)),INDEX(Table3[[#All],[STU P]],MATCH(Table5[[#This Row],[PID]],Table3[[#All],[PID]],0)))</f>
        <v>5</v>
      </c>
      <c r="M87" s="56">
        <f>IF($C87="B",INDEX(Batters[[#All],[GAP P]],MATCH(Table5[[#This Row],[PID]],Batters[[#All],[PID]],0)),INDEX(Table3[[#All],[MOV P]],MATCH(Table5[[#This Row],[PID]],Table3[[#All],[PID]],0)))</f>
        <v>6</v>
      </c>
      <c r="N87" s="56">
        <f>IF($C87="B",INDEX(Batters[[#All],[POW P]],MATCH(Table5[[#This Row],[PID]],Batters[[#All],[PID]],0)),INDEX(Table3[[#All],[CON P]],MATCH(Table5[[#This Row],[PID]],Table3[[#All],[PID]],0)))</f>
        <v>5</v>
      </c>
      <c r="O87" s="56">
        <f>IF($C87="B",INDEX(Batters[[#All],[EYE P]],MATCH(Table5[[#This Row],[PID]],Batters[[#All],[PID]],0)),INDEX(Table3[[#All],[VELO]],MATCH(Table5[[#This Row],[PID]],Table3[[#All],[PID]],0)))</f>
        <v>4</v>
      </c>
      <c r="P87" s="56">
        <f>IF($C87="B",INDEX(Batters[[#All],[K P]],MATCH(Table5[[#This Row],[PID]],Batters[[#All],[PID]],0)),INDEX(Table3[[#All],[STM]],MATCH(Table5[[#This Row],[PID]],Table3[[#All],[PID]],0)))</f>
        <v>5</v>
      </c>
      <c r="Q87" s="61">
        <f>IF($C87="B",INDEX(Batters[[#All],[Tot]],MATCH(Table5[[#This Row],[PID]],Batters[[#All],[PID]],0)),INDEX(Table3[[#All],[Tot]],MATCH(Table5[[#This Row],[PID]],Table3[[#All],[PID]],0)))</f>
        <v>48.11626509111754</v>
      </c>
      <c r="R87" s="52">
        <f>IF($C87="B",INDEX(Batters[[#All],[zScore]],MATCH(Table5[[#This Row],[PID]],Batters[[#All],[PID]],0)),INDEX(Table3[[#All],[zScore]],MATCH(Table5[[#This Row],[PID]],Table3[[#All],[PID]],0)))</f>
        <v>0.88335186595457471</v>
      </c>
      <c r="S87" s="58" t="str">
        <f>IF($C87="B",INDEX(Batters[[#All],[DEM]],MATCH(Table5[[#This Row],[PID]],Batters[[#All],[PID]],0)),INDEX(Table3[[#All],[DEM]],MATCH(Table5[[#This Row],[PID]],Table3[[#All],[PID]],0)))</f>
        <v>$20k</v>
      </c>
      <c r="T87" s="62">
        <f>IF($C87="B",INDEX(Batters[[#All],[Rnk]],MATCH(Table5[[#This Row],[PID]],Batters[[#All],[PID]],0)),INDEX(Table3[[#All],[Rnk]],MATCH(Table5[[#This Row],[PID]],Table3[[#All],[PID]],0)))</f>
        <v>102</v>
      </c>
      <c r="U87" s="68">
        <f>IF($C87="B",VLOOKUP($A87,Bat!$A$4:$BA$1621,47,FALSE),VLOOKUP($A87,Pit!$A$4:$BF$1557,56,FALSE))</f>
        <v>0</v>
      </c>
      <c r="V87" s="50">
        <f>IF($C87="B",VLOOKUP($A87,Bat!$A$4:$BA$1621,48,FALSE),VLOOKUP($A87,Pit!$A$4:$BF$1557,57,FALSE))</f>
        <v>0</v>
      </c>
      <c r="W87" s="50">
        <f>Table5[[#This Row],[posRnk]]+Table5[[#This Row],[zRnk]]+IF($W$3&lt;&gt;Table5[[#This Row],[Type]],50,0)</f>
        <v>409</v>
      </c>
      <c r="X87" s="51">
        <f>RANK(Table5[[#This Row],[zScore]],Table5[[#All],[zScore]])</f>
        <v>257</v>
      </c>
      <c r="Y87" s="50">
        <f>IFERROR(INDEX(DraftResults[[#All],[OVR]],MATCH(Table5[[#This Row],[PID]],DraftResults[[#All],[Player ID]],0)),"")</f>
        <v>83</v>
      </c>
      <c r="Z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7" s="50">
        <f>IFERROR(INDEX(DraftResults[[#All],[Pick in Round]],MATCH(Table5[[#This Row],[PID]],DraftResults[[#All],[Player ID]],0)),"")</f>
        <v>15</v>
      </c>
      <c r="AB87" s="50" t="str">
        <f>IFERROR(INDEX(DraftResults[[#All],[Team Name]],MATCH(Table5[[#This Row],[PID]],DraftResults[[#All],[Player ID]],0)),"")</f>
        <v>Kentucky Thoroughbreds</v>
      </c>
      <c r="AC87" s="50">
        <f>IF(Table5[[#This Row],[Ovr]]="","",IF(Table5[[#This Row],[cmbList]]="","",Table5[[#This Row],[cmbList]]-Table5[[#This Row],[Ovr]]))</f>
        <v>326</v>
      </c>
      <c r="AD87" s="54" t="str">
        <f>IF(ISERROR(VLOOKUP($AB87&amp;"-"&amp;$E87&amp;" "&amp;F87,Bonuses!$B$1:$G$1006,4,FALSE)),"",INT(VLOOKUP($AB87&amp;"-"&amp;$E87&amp;" "&amp;$F87,Bonuses!$B$1:$G$1006,4,FALSE)))</f>
        <v/>
      </c>
      <c r="AE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3.15 (83) - 1B José Ayala</v>
      </c>
    </row>
    <row r="88" spans="1:31" s="50" customFormat="1" x14ac:dyDescent="0.25">
      <c r="A88" s="50">
        <v>20399</v>
      </c>
      <c r="B88" s="50">
        <f>COUNTIF(Table5[PID],A88)</f>
        <v>1</v>
      </c>
      <c r="C88" s="50" t="str">
        <f>IF(COUNTIF(Table3[[#All],[PID]],A88)&gt;0,"P","B")</f>
        <v>B</v>
      </c>
      <c r="D88" s="59" t="str">
        <f>IF($C88="B",INDEX(Batters[[#All],[POS]],MATCH(Table5[[#This Row],[PID]],Batters[[#All],[PID]],0)),INDEX(Table3[[#All],[POS]],MATCH(Table5[[#This Row],[PID]],Table3[[#All],[PID]],0)))</f>
        <v>RF</v>
      </c>
      <c r="E88" s="52" t="str">
        <f>IF($C88="B",INDEX(Batters[[#All],[First]],MATCH(Table5[[#This Row],[PID]],Batters[[#All],[PID]],0)),INDEX(Table3[[#All],[First]],MATCH(Table5[[#This Row],[PID]],Table3[[#All],[PID]],0)))</f>
        <v>Tom</v>
      </c>
      <c r="F88" s="50" t="str">
        <f>IF($C88="B",INDEX(Batters[[#All],[Last]],MATCH(A88,Batters[[#All],[PID]],0)),INDEX(Table3[[#All],[Last]],MATCH(A88,Table3[[#All],[PID]],0)))</f>
        <v>O'Quane</v>
      </c>
      <c r="G88" s="56">
        <f>IF($C88="B",INDEX(Batters[[#All],[Age]],MATCH(Table5[[#This Row],[PID]],Batters[[#All],[PID]],0)),INDEX(Table3[[#All],[Age]],MATCH(Table5[[#This Row],[PID]],Table3[[#All],[PID]],0)))</f>
        <v>18</v>
      </c>
      <c r="H88" s="52" t="str">
        <f>IF($C88="B",INDEX(Batters[[#All],[B]],MATCH(Table5[[#This Row],[PID]],Batters[[#All],[PID]],0)),INDEX(Table3[[#All],[B]],MATCH(Table5[[#This Row],[PID]],Table3[[#All],[PID]],0)))</f>
        <v>R</v>
      </c>
      <c r="I88" s="52" t="str">
        <f>IF($C88="B",INDEX(Batters[[#All],[T]],MATCH(Table5[[#This Row],[PID]],Batters[[#All],[PID]],0)),INDEX(Table3[[#All],[T]],MATCH(Table5[[#This Row],[PID]],Table3[[#All],[PID]],0)))</f>
        <v>R</v>
      </c>
      <c r="J88" s="52" t="str">
        <f>IF($C88="B",INDEX(Batters[[#All],[WE]],MATCH(Table5[[#This Row],[PID]],Batters[[#All],[PID]],0)),INDEX(Table3[[#All],[WE]],MATCH(Table5[[#This Row],[PID]],Table3[[#All],[PID]],0)))</f>
        <v>Normal</v>
      </c>
      <c r="K88" s="52" t="str">
        <f>IF($C88="B",INDEX(Batters[[#All],[INT]],MATCH(Table5[[#This Row],[PID]],Batters[[#All],[PID]],0)),INDEX(Table3[[#All],[INT]],MATCH(Table5[[#This Row],[PID]],Table3[[#All],[PID]],0)))</f>
        <v>Normal</v>
      </c>
      <c r="L88" s="60">
        <f>IF($C88="B",INDEX(Batters[[#All],[CON P]],MATCH(Table5[[#This Row],[PID]],Batters[[#All],[PID]],0)),INDEX(Table3[[#All],[STU P]],MATCH(Table5[[#This Row],[PID]],Table3[[#All],[PID]],0)))</f>
        <v>6</v>
      </c>
      <c r="M88" s="56">
        <f>IF($C88="B",INDEX(Batters[[#All],[GAP P]],MATCH(Table5[[#This Row],[PID]],Batters[[#All],[PID]],0)),INDEX(Table3[[#All],[MOV P]],MATCH(Table5[[#This Row],[PID]],Table3[[#All],[PID]],0)))</f>
        <v>7</v>
      </c>
      <c r="N88" s="56">
        <f>IF($C88="B",INDEX(Batters[[#All],[POW P]],MATCH(Table5[[#This Row],[PID]],Batters[[#All],[PID]],0)),INDEX(Table3[[#All],[CON P]],MATCH(Table5[[#This Row],[PID]],Table3[[#All],[PID]],0)))</f>
        <v>4</v>
      </c>
      <c r="O88" s="56">
        <f>IF($C88="B",INDEX(Batters[[#All],[EYE P]],MATCH(Table5[[#This Row],[PID]],Batters[[#All],[PID]],0)),INDEX(Table3[[#All],[VELO]],MATCH(Table5[[#This Row],[PID]],Table3[[#All],[PID]],0)))</f>
        <v>2</v>
      </c>
      <c r="P88" s="56">
        <f>IF($C88="B",INDEX(Batters[[#All],[K P]],MATCH(Table5[[#This Row],[PID]],Batters[[#All],[PID]],0)),INDEX(Table3[[#All],[STM]],MATCH(Table5[[#This Row],[PID]],Table3[[#All],[PID]],0)))</f>
        <v>8</v>
      </c>
      <c r="Q88" s="61">
        <f>IF($C88="B",INDEX(Batters[[#All],[Tot]],MATCH(Table5[[#This Row],[PID]],Batters[[#All],[PID]],0)),INDEX(Table3[[#All],[Tot]],MATCH(Table5[[#This Row],[PID]],Table3[[#All],[PID]],0)))</f>
        <v>55.320297563642988</v>
      </c>
      <c r="R88" s="52">
        <f>IF($C88="B",INDEX(Batters[[#All],[zScore]],MATCH(Table5[[#This Row],[PID]],Batters[[#All],[PID]],0)),INDEX(Table3[[#All],[zScore]],MATCH(Table5[[#This Row],[PID]],Table3[[#All],[PID]],0)))</f>
        <v>2.4805345598537536</v>
      </c>
      <c r="S88" s="58" t="str">
        <f>IF($C88="B",INDEX(Batters[[#All],[DEM]],MATCH(Table5[[#This Row],[PID]],Batters[[#All],[PID]],0)),INDEX(Table3[[#All],[DEM]],MATCH(Table5[[#This Row],[PID]],Table3[[#All],[PID]],0)))</f>
        <v>$75k</v>
      </c>
      <c r="T88" s="62">
        <f>IF($C88="B",INDEX(Batters[[#All],[Rnk]],MATCH(Table5[[#This Row],[PID]],Batters[[#All],[PID]],0)),INDEX(Table3[[#All],[Rnk]],MATCH(Table5[[#This Row],[PID]],Table3[[#All],[PID]],0)))</f>
        <v>10</v>
      </c>
      <c r="U88" s="68">
        <f>IF($C88="B",VLOOKUP($A88,Bat!$A$4:$BA$1621,47,FALSE),VLOOKUP($A88,Pit!$A$4:$BF$1557,56,FALSE))</f>
        <v>0</v>
      </c>
      <c r="V88" s="50">
        <f>IF($C88="B",VLOOKUP($A88,Bat!$A$4:$BA$1621,48,FALSE),VLOOKUP($A88,Pit!$A$4:$BF$1557,57,FALSE))</f>
        <v>0</v>
      </c>
      <c r="W88" s="50">
        <f>Table5[[#This Row],[posRnk]]+Table5[[#This Row],[zRnk]]+IF($W$3&lt;&gt;Table5[[#This Row],[Type]],50,0)</f>
        <v>77</v>
      </c>
      <c r="X88" s="51">
        <f>RANK(Table5[[#This Row],[zScore]],Table5[[#All],[zScore]])</f>
        <v>17</v>
      </c>
      <c r="Y88" s="50">
        <f>IFERROR(INDEX(DraftResults[[#All],[OVR]],MATCH(Table5[[#This Row],[PID]],DraftResults[[#All],[Player ID]],0)),"")</f>
        <v>84</v>
      </c>
      <c r="Z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8" s="50">
        <f>IFERROR(INDEX(DraftResults[[#All],[Pick in Round]],MATCH(Table5[[#This Row],[PID]],DraftResults[[#All],[Player ID]],0)),"")</f>
        <v>16</v>
      </c>
      <c r="AB88" s="50" t="str">
        <f>IFERROR(INDEX(DraftResults[[#All],[Team Name]],MATCH(Table5[[#This Row],[PID]],DraftResults[[#All],[Player ID]],0)),"")</f>
        <v>London Underground</v>
      </c>
      <c r="AC88" s="50">
        <f>IF(Table5[[#This Row],[Ovr]]="","",IF(Table5[[#This Row],[cmbList]]="","",Table5[[#This Row],[cmbList]]-Table5[[#This Row],[Ovr]]))</f>
        <v>-7</v>
      </c>
      <c r="AD88" s="54" t="str">
        <f>IF(ISERROR(VLOOKUP($AB88&amp;"-"&amp;$E88&amp;" "&amp;F88,Bonuses!$B$1:$G$1006,4,FALSE)),"",INT(VLOOKUP($AB88&amp;"-"&amp;$E88&amp;" "&amp;$F88,Bonuses!$B$1:$G$1006,4,FALSE)))</f>
        <v/>
      </c>
      <c r="AE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3.16 (84) - RF Tom O'Quane</v>
      </c>
    </row>
    <row r="89" spans="1:31" s="50" customFormat="1" x14ac:dyDescent="0.25">
      <c r="A89" s="68">
        <v>18130</v>
      </c>
      <c r="B89" s="69">
        <f>COUNTIF(Table5[PID],A89)</f>
        <v>1</v>
      </c>
      <c r="C89" s="69" t="str">
        <f>IF(COUNTIF(Table3[[#All],[PID]],A89)&gt;0,"P","B")</f>
        <v>P</v>
      </c>
      <c r="D89" s="59" t="str">
        <f>IF($C89="B",INDEX(Batters[[#All],[POS]],MATCH(Table5[[#This Row],[PID]],Batters[[#All],[PID]],0)),INDEX(Table3[[#All],[POS]],MATCH(Table5[[#This Row],[PID]],Table3[[#All],[PID]],0)))</f>
        <v>SP</v>
      </c>
      <c r="E89" s="52" t="str">
        <f>IF($C89="B",INDEX(Batters[[#All],[First]],MATCH(Table5[[#This Row],[PID]],Batters[[#All],[PID]],0)),INDEX(Table3[[#All],[First]],MATCH(Table5[[#This Row],[PID]],Table3[[#All],[PID]],0)))</f>
        <v>Jonathan</v>
      </c>
      <c r="F89" s="55" t="str">
        <f>IF($C89="B",INDEX(Batters[[#All],[Last]],MATCH(A89,Batters[[#All],[PID]],0)),INDEX(Table3[[#All],[Last]],MATCH(A89,Table3[[#All],[PID]],0)))</f>
        <v>Abley</v>
      </c>
      <c r="G89" s="56">
        <f>IF($C89="B",INDEX(Batters[[#All],[Age]],MATCH(Table5[[#This Row],[PID]],Batters[[#All],[PID]],0)),INDEX(Table3[[#All],[Age]],MATCH(Table5[[#This Row],[PID]],Table3[[#All],[PID]],0)))</f>
        <v>21</v>
      </c>
      <c r="H89" s="52" t="str">
        <f>IF($C89="B",INDEX(Batters[[#All],[B]],MATCH(Table5[[#This Row],[PID]],Batters[[#All],[PID]],0)),INDEX(Table3[[#All],[B]],MATCH(Table5[[#This Row],[PID]],Table3[[#All],[PID]],0)))</f>
        <v>L</v>
      </c>
      <c r="I89" s="52" t="str">
        <f>IF($C89="B",INDEX(Batters[[#All],[T]],MATCH(Table5[[#This Row],[PID]],Batters[[#All],[PID]],0)),INDEX(Table3[[#All],[T]],MATCH(Table5[[#This Row],[PID]],Table3[[#All],[PID]],0)))</f>
        <v>L</v>
      </c>
      <c r="J89" s="71" t="str">
        <f>IF($C89="B",INDEX(Batters[[#All],[WE]],MATCH(Table5[[#This Row],[PID]],Batters[[#All],[PID]],0)),INDEX(Table3[[#All],[WE]],MATCH(Table5[[#This Row],[PID]],Table3[[#All],[PID]],0)))</f>
        <v>Normal</v>
      </c>
      <c r="K89" s="52" t="str">
        <f>IF($C89="B",INDEX(Batters[[#All],[INT]],MATCH(Table5[[#This Row],[PID]],Batters[[#All],[PID]],0)),INDEX(Table3[[#All],[INT]],MATCH(Table5[[#This Row],[PID]],Table3[[#All],[PID]],0)))</f>
        <v>Normal</v>
      </c>
      <c r="L89" s="60">
        <f>IF($C89="B",INDEX(Batters[[#All],[CON P]],MATCH(Table5[[#This Row],[PID]],Batters[[#All],[PID]],0)),INDEX(Table3[[#All],[STU P]],MATCH(Table5[[#This Row],[PID]],Table3[[#All],[PID]],0)))</f>
        <v>5</v>
      </c>
      <c r="M89" s="72">
        <f>IF($C89="B",INDEX(Batters[[#All],[GAP P]],MATCH(Table5[[#This Row],[PID]],Batters[[#All],[PID]],0)),INDEX(Table3[[#All],[MOV P]],MATCH(Table5[[#This Row],[PID]],Table3[[#All],[PID]],0)))</f>
        <v>6</v>
      </c>
      <c r="N89" s="72">
        <f>IF($C89="B",INDEX(Batters[[#All],[POW P]],MATCH(Table5[[#This Row],[PID]],Batters[[#All],[PID]],0)),INDEX(Table3[[#All],[CON P]],MATCH(Table5[[#This Row],[PID]],Table3[[#All],[PID]],0)))</f>
        <v>3</v>
      </c>
      <c r="O89" s="72" t="str">
        <f>IF($C89="B",INDEX(Batters[[#All],[EYE P]],MATCH(Table5[[#This Row],[PID]],Batters[[#All],[PID]],0)),INDEX(Table3[[#All],[VELO]],MATCH(Table5[[#This Row],[PID]],Table3[[#All],[PID]],0)))</f>
        <v>91-93 Mph</v>
      </c>
      <c r="P89" s="56">
        <f>IF($C89="B",INDEX(Batters[[#All],[K P]],MATCH(Table5[[#This Row],[PID]],Batters[[#All],[PID]],0)),INDEX(Table3[[#All],[STM]],MATCH(Table5[[#This Row],[PID]],Table3[[#All],[PID]],0)))</f>
        <v>7</v>
      </c>
      <c r="Q89" s="61">
        <f>IF($C89="B",INDEX(Batters[[#All],[Tot]],MATCH(Table5[[#This Row],[PID]],Batters[[#All],[PID]],0)),INDEX(Table3[[#All],[Tot]],MATCH(Table5[[#This Row],[PID]],Table3[[#All],[PID]],0)))</f>
        <v>51.596349213361492</v>
      </c>
      <c r="R89" s="52">
        <f>IF($C89="B",INDEX(Batters[[#All],[zScore]],MATCH(Table5[[#This Row],[PID]],Batters[[#All],[PID]],0)),INDEX(Table3[[#All],[zScore]],MATCH(Table5[[#This Row],[PID]],Table3[[#All],[PID]],0)))</f>
        <v>1.0462149847546542</v>
      </c>
      <c r="S89" s="78" t="str">
        <f>IF($C89="B",INDEX(Batters[[#All],[DEM]],MATCH(Table5[[#This Row],[PID]],Batters[[#All],[PID]],0)),INDEX(Table3[[#All],[DEM]],MATCH(Table5[[#This Row],[PID]],Table3[[#All],[PID]],0)))</f>
        <v>$34k</v>
      </c>
      <c r="T89" s="75">
        <f>IF($C89="B",INDEX(Batters[[#All],[Rnk]],MATCH(Table5[[#This Row],[PID]],Batters[[#All],[PID]],0)),INDEX(Table3[[#All],[Rnk]],MATCH(Table5[[#This Row],[PID]],Table3[[#All],[PID]],0)))</f>
        <v>132</v>
      </c>
      <c r="U89" s="68">
        <f>IF($C89="B",VLOOKUP($A89,Bat!$A$4:$BA$1621,47,FALSE),VLOOKUP($A89,Pit!$A$4:$BF$1557,56,FALSE))</f>
        <v>0</v>
      </c>
      <c r="V89" s="50">
        <f>IF($C89="B",VLOOKUP($A89,Bat!$A$4:$BA$1621,48,FALSE),VLOOKUP($A89,Pit!$A$4:$BF$1557,57,FALSE))</f>
        <v>0</v>
      </c>
      <c r="W89" s="69">
        <f>Table5[[#This Row],[posRnk]]+Table5[[#This Row],[zRnk]]+IF($W$3&lt;&gt;Table5[[#This Row],[Type]],50,0)</f>
        <v>400</v>
      </c>
      <c r="X89" s="73">
        <f>RANK(Table5[[#This Row],[zScore]],Table5[[#All],[zScore]])</f>
        <v>218</v>
      </c>
      <c r="Y89" s="69">
        <f>IFERROR(INDEX(DraftResults[[#All],[OVR]],MATCH(Table5[[#This Row],[PID]],DraftResults[[#All],[Player ID]],0)),"")</f>
        <v>85</v>
      </c>
      <c r="Z8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89" s="69">
        <f>IFERROR(INDEX(DraftResults[[#All],[Pick in Round]],MATCH(Table5[[#This Row],[PID]],DraftResults[[#All],[Player ID]],0)),"")</f>
        <v>17</v>
      </c>
      <c r="AB89" s="69" t="str">
        <f>IFERROR(INDEX(DraftResults[[#All],[Team Name]],MATCH(Table5[[#This Row],[PID]],DraftResults[[#All],[Player ID]],0)),"")</f>
        <v>San Antonio Calzones of Laredo</v>
      </c>
      <c r="AC89" s="69">
        <f>IF(Table5[[#This Row],[Ovr]]="","",IF(Table5[[#This Row],[cmbList]]="","",Table5[[#This Row],[cmbList]]-Table5[[#This Row],[Ovr]]))</f>
        <v>315</v>
      </c>
      <c r="AD89" s="77" t="str">
        <f>IF(ISERROR(VLOOKUP($AB89&amp;"-"&amp;$E89&amp;" "&amp;F89,Bonuses!$B$1:$G$1006,4,FALSE)),"",INT(VLOOKUP($AB89&amp;"-"&amp;$E89&amp;" "&amp;$F89,Bonuses!$B$1:$G$1006,4,FALSE)))</f>
        <v/>
      </c>
      <c r="AE8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3.17 (85) - SP Jonathan Abley</v>
      </c>
    </row>
    <row r="90" spans="1:31" s="50" customFormat="1" x14ac:dyDescent="0.25">
      <c r="A90" s="50">
        <v>14028</v>
      </c>
      <c r="B90" s="50">
        <f>COUNTIF(Table5[PID],A90)</f>
        <v>1</v>
      </c>
      <c r="C90" s="50" t="str">
        <f>IF(COUNTIF(Table3[[#All],[PID]],A90)&gt;0,"P","B")</f>
        <v>B</v>
      </c>
      <c r="D90" s="59" t="str">
        <f>IF($C90="B",INDEX(Batters[[#All],[POS]],MATCH(Table5[[#This Row],[PID]],Batters[[#All],[PID]],0)),INDEX(Table3[[#All],[POS]],MATCH(Table5[[#This Row],[PID]],Table3[[#All],[PID]],0)))</f>
        <v>SS</v>
      </c>
      <c r="E90" s="52" t="str">
        <f>IF($C90="B",INDEX(Batters[[#All],[First]],MATCH(Table5[[#This Row],[PID]],Batters[[#All],[PID]],0)),INDEX(Table3[[#All],[First]],MATCH(Table5[[#This Row],[PID]],Table3[[#All],[PID]],0)))</f>
        <v>Pete</v>
      </c>
      <c r="F90" s="50" t="str">
        <f>IF($C90="B",INDEX(Batters[[#All],[Last]],MATCH(A90,Batters[[#All],[PID]],0)),INDEX(Table3[[#All],[Last]],MATCH(A90,Table3[[#All],[PID]],0)))</f>
        <v>Acheson</v>
      </c>
      <c r="G90" s="56">
        <f>IF($C90="B",INDEX(Batters[[#All],[Age]],MATCH(Table5[[#This Row],[PID]],Batters[[#All],[PID]],0)),INDEX(Table3[[#All],[Age]],MATCH(Table5[[#This Row],[PID]],Table3[[#All],[PID]],0)))</f>
        <v>18</v>
      </c>
      <c r="H90" s="52" t="str">
        <f>IF($C90="B",INDEX(Batters[[#All],[B]],MATCH(Table5[[#This Row],[PID]],Batters[[#All],[PID]],0)),INDEX(Table3[[#All],[B]],MATCH(Table5[[#This Row],[PID]],Table3[[#All],[PID]],0)))</f>
        <v>R</v>
      </c>
      <c r="I90" s="52" t="str">
        <f>IF($C90="B",INDEX(Batters[[#All],[T]],MATCH(Table5[[#This Row],[PID]],Batters[[#All],[PID]],0)),INDEX(Table3[[#All],[T]],MATCH(Table5[[#This Row],[PID]],Table3[[#All],[PID]],0)))</f>
        <v>R</v>
      </c>
      <c r="J90" s="52" t="str">
        <f>IF($C90="B",INDEX(Batters[[#All],[WE]],MATCH(Table5[[#This Row],[PID]],Batters[[#All],[PID]],0)),INDEX(Table3[[#All],[WE]],MATCH(Table5[[#This Row],[PID]],Table3[[#All],[PID]],0)))</f>
        <v>Normal</v>
      </c>
      <c r="K90" s="52" t="str">
        <f>IF($C90="B",INDEX(Batters[[#All],[INT]],MATCH(Table5[[#This Row],[PID]],Batters[[#All],[PID]],0)),INDEX(Table3[[#All],[INT]],MATCH(Table5[[#This Row],[PID]],Table3[[#All],[PID]],0)))</f>
        <v>Normal</v>
      </c>
      <c r="L90" s="60">
        <f>IF($C90="B",INDEX(Batters[[#All],[CON P]],MATCH(Table5[[#This Row],[PID]],Batters[[#All],[PID]],0)),INDEX(Table3[[#All],[STU P]],MATCH(Table5[[#This Row],[PID]],Table3[[#All],[PID]],0)))</f>
        <v>4</v>
      </c>
      <c r="M90" s="56">
        <f>IF($C90="B",INDEX(Batters[[#All],[GAP P]],MATCH(Table5[[#This Row],[PID]],Batters[[#All],[PID]],0)),INDEX(Table3[[#All],[MOV P]],MATCH(Table5[[#This Row],[PID]],Table3[[#All],[PID]],0)))</f>
        <v>6</v>
      </c>
      <c r="N90" s="56">
        <f>IF($C90="B",INDEX(Batters[[#All],[POW P]],MATCH(Table5[[#This Row],[PID]],Batters[[#All],[PID]],0)),INDEX(Table3[[#All],[CON P]],MATCH(Table5[[#This Row],[PID]],Table3[[#All],[PID]],0)))</f>
        <v>4</v>
      </c>
      <c r="O90" s="56">
        <f>IF($C90="B",INDEX(Batters[[#All],[EYE P]],MATCH(Table5[[#This Row],[PID]],Batters[[#All],[PID]],0)),INDEX(Table3[[#All],[VELO]],MATCH(Table5[[#This Row],[PID]],Table3[[#All],[PID]],0)))</f>
        <v>4</v>
      </c>
      <c r="P90" s="56">
        <f>IF($C90="B",INDEX(Batters[[#All],[K P]],MATCH(Table5[[#This Row],[PID]],Batters[[#All],[PID]],0)),INDEX(Table3[[#All],[STM]],MATCH(Table5[[#This Row],[PID]],Table3[[#All],[PID]],0)))</f>
        <v>6</v>
      </c>
      <c r="Q90" s="61">
        <f>IF($C90="B",INDEX(Batters[[#All],[Tot]],MATCH(Table5[[#This Row],[PID]],Batters[[#All],[PID]],0)),INDEX(Table3[[#All],[Tot]],MATCH(Table5[[#This Row],[PID]],Table3[[#All],[PID]],0)))</f>
        <v>49.317402715734929</v>
      </c>
      <c r="R90" s="52">
        <f>IF($C90="B",INDEX(Batters[[#All],[zScore]],MATCH(Table5[[#This Row],[PID]],Batters[[#All],[PID]],0)),INDEX(Table3[[#All],[zScore]],MATCH(Table5[[#This Row],[PID]],Table3[[#All],[PID]],0)))</f>
        <v>1.1496521962690955</v>
      </c>
      <c r="S90" s="58" t="str">
        <f>IF($C90="B",INDEX(Batters[[#All],[DEM]],MATCH(Table5[[#This Row],[PID]],Batters[[#All],[PID]],0)),INDEX(Table3[[#All],[DEM]],MATCH(Table5[[#This Row],[PID]],Table3[[#All],[PID]],0)))</f>
        <v>$330k</v>
      </c>
      <c r="T90" s="62">
        <f>IF($C90="B",INDEX(Batters[[#All],[Rnk]],MATCH(Table5[[#This Row],[PID]],Batters[[#All],[PID]],0)),INDEX(Table3[[#All],[Rnk]],MATCH(Table5[[#This Row],[PID]],Table3[[#All],[PID]],0)))</f>
        <v>78</v>
      </c>
      <c r="U90" s="68">
        <f>IF($C90="B",VLOOKUP($A90,Bat!$A$4:$BA$1621,47,FALSE),VLOOKUP($A90,Pit!$A$4:$BF$1557,56,FALSE))</f>
        <v>0</v>
      </c>
      <c r="V90" s="50">
        <f>IF($C90="B",VLOOKUP($A90,Bat!$A$4:$BA$1621,48,FALSE),VLOOKUP($A90,Pit!$A$4:$BF$1557,57,FALSE))</f>
        <v>0</v>
      </c>
      <c r="W90" s="50">
        <f>Table5[[#This Row],[posRnk]]+Table5[[#This Row],[zRnk]]+IF($W$3&lt;&gt;Table5[[#This Row],[Type]],50,0)</f>
        <v>326</v>
      </c>
      <c r="X90" s="51">
        <f>RANK(Table5[[#This Row],[zScore]],Table5[[#All],[zScore]])</f>
        <v>198</v>
      </c>
      <c r="Y90" s="50">
        <f>IFERROR(INDEX(DraftResults[[#All],[OVR]],MATCH(Table5[[#This Row],[PID]],DraftResults[[#All],[Player ID]],0)),"")</f>
        <v>86</v>
      </c>
      <c r="Z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0" s="50">
        <f>IFERROR(INDEX(DraftResults[[#All],[Pick in Round]],MATCH(Table5[[#This Row],[PID]],DraftResults[[#All],[Player ID]],0)),"")</f>
        <v>18</v>
      </c>
      <c r="AB90" s="50" t="str">
        <f>IFERROR(INDEX(DraftResults[[#All],[Team Name]],MATCH(Table5[[#This Row],[PID]],DraftResults[[#All],[Player ID]],0)),"")</f>
        <v>Madison Malts</v>
      </c>
      <c r="AC90" s="50">
        <f>IF(Table5[[#This Row],[Ovr]]="","",IF(Table5[[#This Row],[cmbList]]="","",Table5[[#This Row],[cmbList]]-Table5[[#This Row],[Ovr]]))</f>
        <v>240</v>
      </c>
      <c r="AD90" s="54" t="str">
        <f>IF(ISERROR(VLOOKUP($AB90&amp;"-"&amp;$E90&amp;" "&amp;F90,Bonuses!$B$1:$G$1006,4,FALSE)),"",INT(VLOOKUP($AB90&amp;"-"&amp;$E90&amp;" "&amp;$F90,Bonuses!$B$1:$G$1006,4,FALSE)))</f>
        <v/>
      </c>
      <c r="AE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3.18 (86) - SS Pete Acheson</v>
      </c>
    </row>
    <row r="91" spans="1:31" s="50" customFormat="1" x14ac:dyDescent="0.25">
      <c r="A91" s="68">
        <v>14616</v>
      </c>
      <c r="B91" s="69">
        <f>COUNTIF(Table5[PID],A91)</f>
        <v>1</v>
      </c>
      <c r="C91" s="69" t="str">
        <f>IF(COUNTIF(Table3[[#All],[PID]],A91)&gt;0,"P","B")</f>
        <v>P</v>
      </c>
      <c r="D91" s="59" t="str">
        <f>IF($C91="B",INDEX(Batters[[#All],[POS]],MATCH(Table5[[#This Row],[PID]],Batters[[#All],[PID]],0)),INDEX(Table3[[#All],[POS]],MATCH(Table5[[#This Row],[PID]],Table3[[#All],[PID]],0)))</f>
        <v>SP</v>
      </c>
      <c r="E91" s="52" t="str">
        <f>IF($C91="B",INDEX(Batters[[#All],[First]],MATCH(Table5[[#This Row],[PID]],Batters[[#All],[PID]],0)),INDEX(Table3[[#All],[First]],MATCH(Table5[[#This Row],[PID]],Table3[[#All],[PID]],0)))</f>
        <v>Razan</v>
      </c>
      <c r="F91" s="55" t="str">
        <f>IF($C91="B",INDEX(Batters[[#All],[Last]],MATCH(A91,Batters[[#All],[PID]],0)),INDEX(Table3[[#All],[Last]],MATCH(A91,Table3[[#All],[PID]],0)))</f>
        <v>Sano</v>
      </c>
      <c r="G91" s="56">
        <f>IF($C91="B",INDEX(Batters[[#All],[Age]],MATCH(Table5[[#This Row],[PID]],Batters[[#All],[PID]],0)),INDEX(Table3[[#All],[Age]],MATCH(Table5[[#This Row],[PID]],Table3[[#All],[PID]],0)))</f>
        <v>18</v>
      </c>
      <c r="H91" s="52" t="str">
        <f>IF($C91="B",INDEX(Batters[[#All],[B]],MATCH(Table5[[#This Row],[PID]],Batters[[#All],[PID]],0)),INDEX(Table3[[#All],[B]],MATCH(Table5[[#This Row],[PID]],Table3[[#All],[PID]],0)))</f>
        <v>S</v>
      </c>
      <c r="I91" s="52" t="str">
        <f>IF($C91="B",INDEX(Batters[[#All],[T]],MATCH(Table5[[#This Row],[PID]],Batters[[#All],[PID]],0)),INDEX(Table3[[#All],[T]],MATCH(Table5[[#This Row],[PID]],Table3[[#All],[PID]],0)))</f>
        <v>R</v>
      </c>
      <c r="J91" s="71" t="str">
        <f>IF($C91="B",INDEX(Batters[[#All],[WE]],MATCH(Table5[[#This Row],[PID]],Batters[[#All],[PID]],0)),INDEX(Table3[[#All],[WE]],MATCH(Table5[[#This Row],[PID]],Table3[[#All],[PID]],0)))</f>
        <v>Low</v>
      </c>
      <c r="K91" s="52" t="str">
        <f>IF($C91="B",INDEX(Batters[[#All],[INT]],MATCH(Table5[[#This Row],[PID]],Batters[[#All],[PID]],0)),INDEX(Table3[[#All],[INT]],MATCH(Table5[[#This Row],[PID]],Table3[[#All],[PID]],0)))</f>
        <v>Normal</v>
      </c>
      <c r="L91" s="60">
        <f>IF($C91="B",INDEX(Batters[[#All],[CON P]],MATCH(Table5[[#This Row],[PID]],Batters[[#All],[PID]],0)),INDEX(Table3[[#All],[STU P]],MATCH(Table5[[#This Row],[PID]],Table3[[#All],[PID]],0)))</f>
        <v>6</v>
      </c>
      <c r="M91" s="72">
        <f>IF($C91="B",INDEX(Batters[[#All],[GAP P]],MATCH(Table5[[#This Row],[PID]],Batters[[#All],[PID]],0)),INDEX(Table3[[#All],[MOV P]],MATCH(Table5[[#This Row],[PID]],Table3[[#All],[PID]],0)))</f>
        <v>5</v>
      </c>
      <c r="N91" s="72">
        <f>IF($C91="B",INDEX(Batters[[#All],[POW P]],MATCH(Table5[[#This Row],[PID]],Batters[[#All],[PID]],0)),INDEX(Table3[[#All],[CON P]],MATCH(Table5[[#This Row],[PID]],Table3[[#All],[PID]],0)))</f>
        <v>5</v>
      </c>
      <c r="O91" s="72" t="str">
        <f>IF($C91="B",INDEX(Batters[[#All],[EYE P]],MATCH(Table5[[#This Row],[PID]],Batters[[#All],[PID]],0)),INDEX(Table3[[#All],[VELO]],MATCH(Table5[[#This Row],[PID]],Table3[[#All],[PID]],0)))</f>
        <v>94-96 Mph</v>
      </c>
      <c r="P91" s="56">
        <f>IF($C91="B",INDEX(Batters[[#All],[K P]],MATCH(Table5[[#This Row],[PID]],Batters[[#All],[PID]],0)),INDEX(Table3[[#All],[STM]],MATCH(Table5[[#This Row],[PID]],Table3[[#All],[PID]],0)))</f>
        <v>9</v>
      </c>
      <c r="Q91" s="61">
        <f>IF($C91="B",INDEX(Batters[[#All],[Tot]],MATCH(Table5[[#This Row],[PID]],Batters[[#All],[PID]],0)),INDEX(Table3[[#All],[Tot]],MATCH(Table5[[#This Row],[PID]],Table3[[#All],[PID]],0)))</f>
        <v>64.979610108316365</v>
      </c>
      <c r="R91" s="52">
        <f>IF($C91="B",INDEX(Batters[[#All],[zScore]],MATCH(Table5[[#This Row],[PID]],Batters[[#All],[PID]],0)),INDEX(Table3[[#All],[zScore]],MATCH(Table5[[#This Row],[PID]],Table3[[#All],[PID]],0)))</f>
        <v>1.9365828810166918</v>
      </c>
      <c r="S91" s="78" t="str">
        <f>IF($C91="B",INDEX(Batters[[#All],[DEM]],MATCH(Table5[[#This Row],[PID]],Batters[[#All],[PID]],0)),INDEX(Table3[[#All],[DEM]],MATCH(Table5[[#This Row],[PID]],Table3[[#All],[PID]],0)))</f>
        <v>$200k</v>
      </c>
      <c r="T91" s="75">
        <f>IF($C91="B",INDEX(Batters[[#All],[Rnk]],MATCH(Table5[[#This Row],[PID]],Batters[[#All],[PID]],0)),INDEX(Table3[[#All],[Rnk]],MATCH(Table5[[#This Row],[PID]],Table3[[#All],[PID]],0)))</f>
        <v>35</v>
      </c>
      <c r="U91" s="68">
        <f>IF($C91="B",VLOOKUP($A91,Bat!$A$4:$BA$1621,47,FALSE),VLOOKUP($A91,Pit!$A$4:$BF$1557,56,FALSE))</f>
        <v>0</v>
      </c>
      <c r="V91" s="50">
        <f>IF($C91="B",VLOOKUP($A91,Bat!$A$4:$BA$1621,48,FALSE),VLOOKUP($A91,Pit!$A$4:$BF$1557,57,FALSE))</f>
        <v>0</v>
      </c>
      <c r="W91" s="69">
        <f>Table5[[#This Row],[posRnk]]+Table5[[#This Row],[zRnk]]+IF($W$3&lt;&gt;Table5[[#This Row],[Type]],50,0)</f>
        <v>139</v>
      </c>
      <c r="X91" s="73">
        <f>RANK(Table5[[#This Row],[zScore]],Table5[[#All],[zScore]])</f>
        <v>54</v>
      </c>
      <c r="Y91" s="69">
        <f>IFERROR(INDEX(DraftResults[[#All],[OVR]],MATCH(Table5[[#This Row],[PID]],DraftResults[[#All],[Player ID]],0)),"")</f>
        <v>87</v>
      </c>
      <c r="Z9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1" s="69">
        <f>IFERROR(INDEX(DraftResults[[#All],[Pick in Round]],MATCH(Table5[[#This Row],[PID]],DraftResults[[#All],[Player ID]],0)),"")</f>
        <v>19</v>
      </c>
      <c r="AB91" s="69" t="str">
        <f>IFERROR(INDEX(DraftResults[[#All],[Team Name]],MATCH(Table5[[#This Row],[PID]],DraftResults[[#All],[Player ID]],0)),"")</f>
        <v>Bakersfield Bears</v>
      </c>
      <c r="AC91" s="69">
        <f>IF(Table5[[#This Row],[Ovr]]="","",IF(Table5[[#This Row],[cmbList]]="","",Table5[[#This Row],[cmbList]]-Table5[[#This Row],[Ovr]]))</f>
        <v>52</v>
      </c>
      <c r="AD91" s="77" t="str">
        <f>IF(ISERROR(VLOOKUP($AB91&amp;"-"&amp;$E91&amp;" "&amp;F91,Bonuses!$B$1:$G$1006,4,FALSE)),"",INT(VLOOKUP($AB91&amp;"-"&amp;$E91&amp;" "&amp;$F91,Bonuses!$B$1:$G$1006,4,FALSE)))</f>
        <v/>
      </c>
      <c r="AE9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3.19 (87) - SP Razan Sano</v>
      </c>
    </row>
    <row r="92" spans="1:31" s="50" customFormat="1" x14ac:dyDescent="0.25">
      <c r="A92" s="50">
        <v>18316</v>
      </c>
      <c r="B92" s="50">
        <f>COUNTIF(Table5[PID],A92)</f>
        <v>1</v>
      </c>
      <c r="C92" s="50" t="str">
        <f>IF(COUNTIF(Table3[[#All],[PID]],A92)&gt;0,"P","B")</f>
        <v>B</v>
      </c>
      <c r="D92" s="59" t="str">
        <f>IF($C92="B",INDEX(Batters[[#All],[POS]],MATCH(Table5[[#This Row],[PID]],Batters[[#All],[PID]],0)),INDEX(Table3[[#All],[POS]],MATCH(Table5[[#This Row],[PID]],Table3[[#All],[PID]],0)))</f>
        <v>2B</v>
      </c>
      <c r="E92" s="52" t="str">
        <f>IF($C92="B",INDEX(Batters[[#All],[First]],MATCH(Table5[[#This Row],[PID]],Batters[[#All],[PID]],0)),INDEX(Table3[[#All],[First]],MATCH(Table5[[#This Row],[PID]],Table3[[#All],[PID]],0)))</f>
        <v>Dylan</v>
      </c>
      <c r="F92" s="50" t="str">
        <f>IF($C92="B",INDEX(Batters[[#All],[Last]],MATCH(A92,Batters[[#All],[PID]],0)),INDEX(Table3[[#All],[Last]],MATCH(A92,Table3[[#All],[PID]],0)))</f>
        <v>Matheson</v>
      </c>
      <c r="G92" s="56">
        <f>IF($C92="B",INDEX(Batters[[#All],[Age]],MATCH(Table5[[#This Row],[PID]],Batters[[#All],[PID]],0)),INDEX(Table3[[#All],[Age]],MATCH(Table5[[#This Row],[PID]],Table3[[#All],[PID]],0)))</f>
        <v>21</v>
      </c>
      <c r="H92" s="52" t="str">
        <f>IF($C92="B",INDEX(Batters[[#All],[B]],MATCH(Table5[[#This Row],[PID]],Batters[[#All],[PID]],0)),INDEX(Table3[[#All],[B]],MATCH(Table5[[#This Row],[PID]],Table3[[#All],[PID]],0)))</f>
        <v>L</v>
      </c>
      <c r="I92" s="52" t="str">
        <f>IF($C92="B",INDEX(Batters[[#All],[T]],MATCH(Table5[[#This Row],[PID]],Batters[[#All],[PID]],0)),INDEX(Table3[[#All],[T]],MATCH(Table5[[#This Row],[PID]],Table3[[#All],[PID]],0)))</f>
        <v>R</v>
      </c>
      <c r="J92" s="52" t="str">
        <f>IF($C92="B",INDEX(Batters[[#All],[WE]],MATCH(Table5[[#This Row],[PID]],Batters[[#All],[PID]],0)),INDEX(Table3[[#All],[WE]],MATCH(Table5[[#This Row],[PID]],Table3[[#All],[PID]],0)))</f>
        <v>Normal</v>
      </c>
      <c r="K92" s="52" t="str">
        <f>IF($C92="B",INDEX(Batters[[#All],[INT]],MATCH(Table5[[#This Row],[PID]],Batters[[#All],[PID]],0)),INDEX(Table3[[#All],[INT]],MATCH(Table5[[#This Row],[PID]],Table3[[#All],[PID]],0)))</f>
        <v>Normal</v>
      </c>
      <c r="L92" s="60">
        <f>IF($C92="B",INDEX(Batters[[#All],[CON P]],MATCH(Table5[[#This Row],[PID]],Batters[[#All],[PID]],0)),INDEX(Table3[[#All],[STU P]],MATCH(Table5[[#This Row],[PID]],Table3[[#All],[PID]],0)))</f>
        <v>5</v>
      </c>
      <c r="M92" s="56">
        <f>IF($C92="B",INDEX(Batters[[#All],[GAP P]],MATCH(Table5[[#This Row],[PID]],Batters[[#All],[PID]],0)),INDEX(Table3[[#All],[MOV P]],MATCH(Table5[[#This Row],[PID]],Table3[[#All],[PID]],0)))</f>
        <v>6</v>
      </c>
      <c r="N92" s="56">
        <f>IF($C92="B",INDEX(Batters[[#All],[POW P]],MATCH(Table5[[#This Row],[PID]],Batters[[#All],[PID]],0)),INDEX(Table3[[#All],[CON P]],MATCH(Table5[[#This Row],[PID]],Table3[[#All],[PID]],0)))</f>
        <v>3</v>
      </c>
      <c r="O92" s="56">
        <f>IF($C92="B",INDEX(Batters[[#All],[EYE P]],MATCH(Table5[[#This Row],[PID]],Batters[[#All],[PID]],0)),INDEX(Table3[[#All],[VELO]],MATCH(Table5[[#This Row],[PID]],Table3[[#All],[PID]],0)))</f>
        <v>5</v>
      </c>
      <c r="P92" s="56">
        <f>IF($C92="B",INDEX(Batters[[#All],[K P]],MATCH(Table5[[#This Row],[PID]],Batters[[#All],[PID]],0)),INDEX(Table3[[#All],[STM]],MATCH(Table5[[#This Row],[PID]],Table3[[#All],[PID]],0)))</f>
        <v>6</v>
      </c>
      <c r="Q92" s="61">
        <f>IF($C92="B",INDEX(Batters[[#All],[Tot]],MATCH(Table5[[#This Row],[PID]],Batters[[#All],[PID]],0)),INDEX(Table3[[#All],[Tot]],MATCH(Table5[[#This Row],[PID]],Table3[[#All],[PID]],0)))</f>
        <v>47.96575713006586</v>
      </c>
      <c r="R92" s="52">
        <f>IF($C92="B",INDEX(Batters[[#All],[zScore]],MATCH(Table5[[#This Row],[PID]],Batters[[#All],[PID]],0)),INDEX(Table3[[#All],[zScore]],MATCH(Table5[[#This Row],[PID]],Table3[[#All],[PID]],0)))</f>
        <v>0.84998323365001693</v>
      </c>
      <c r="S92" s="58" t="str">
        <f>IF($C92="B",INDEX(Batters[[#All],[DEM]],MATCH(Table5[[#This Row],[PID]],Batters[[#All],[PID]],0)),INDEX(Table3[[#All],[DEM]],MATCH(Table5[[#This Row],[PID]],Table3[[#All],[PID]],0)))</f>
        <v>-</v>
      </c>
      <c r="T92" s="62">
        <f>IF($C92="B",INDEX(Batters[[#All],[Rnk]],MATCH(Table5[[#This Row],[PID]],Batters[[#All],[PID]],0)),INDEX(Table3[[#All],[Rnk]],MATCH(Table5[[#This Row],[PID]],Table3[[#All],[PID]],0)))</f>
        <v>110</v>
      </c>
      <c r="U92" s="68">
        <f>IF($C92="B",VLOOKUP($A92,Bat!$A$4:$BA$1621,47,FALSE),VLOOKUP($A92,Pit!$A$4:$BF$1557,56,FALSE))</f>
        <v>0</v>
      </c>
      <c r="V92" s="50">
        <f>IF($C92="B",VLOOKUP($A92,Bat!$A$4:$BA$1621,48,FALSE),VLOOKUP($A92,Pit!$A$4:$BF$1557,57,FALSE))</f>
        <v>0</v>
      </c>
      <c r="W92" s="50">
        <f>Table5[[#This Row],[posRnk]]+Table5[[#This Row],[zRnk]]+IF($W$3&lt;&gt;Table5[[#This Row],[Type]],50,0)</f>
        <v>433</v>
      </c>
      <c r="X92" s="51">
        <f>RANK(Table5[[#This Row],[zScore]],Table5[[#All],[zScore]])</f>
        <v>273</v>
      </c>
      <c r="Y92" s="50">
        <f>IFERROR(INDEX(DraftResults[[#All],[OVR]],MATCH(Table5[[#This Row],[PID]],DraftResults[[#All],[Player ID]],0)),"")</f>
        <v>88</v>
      </c>
      <c r="Z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2" s="50">
        <f>IFERROR(INDEX(DraftResults[[#All],[Pick in Round]],MATCH(Table5[[#This Row],[PID]],DraftResults[[#All],[Player ID]],0)),"")</f>
        <v>20</v>
      </c>
      <c r="AB92" s="50" t="str">
        <f>IFERROR(INDEX(DraftResults[[#All],[Team Name]],MATCH(Table5[[#This Row],[PID]],DraftResults[[#All],[Player ID]],0)),"")</f>
        <v>West Virginia Alleghenies</v>
      </c>
      <c r="AC92" s="50">
        <f>IF(Table5[[#This Row],[Ovr]]="","",IF(Table5[[#This Row],[cmbList]]="","",Table5[[#This Row],[cmbList]]-Table5[[#This Row],[Ovr]]))</f>
        <v>345</v>
      </c>
      <c r="AD92" s="54" t="str">
        <f>IF(ISERROR(VLOOKUP($AB92&amp;"-"&amp;$E92&amp;" "&amp;F92,Bonuses!$B$1:$G$1006,4,FALSE)),"",INT(VLOOKUP($AB92&amp;"-"&amp;$E92&amp;" "&amp;$F92,Bonuses!$B$1:$G$1006,4,FALSE)))</f>
        <v/>
      </c>
      <c r="AE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3.20 (88) - 2B Dylan Matheson</v>
      </c>
    </row>
    <row r="93" spans="1:31" s="50" customFormat="1" x14ac:dyDescent="0.25">
      <c r="A93" s="50">
        <v>18118</v>
      </c>
      <c r="B93" s="50">
        <f>COUNTIF(Table5[PID],A93)</f>
        <v>1</v>
      </c>
      <c r="C93" s="50" t="str">
        <f>IF(COUNTIF(Table3[[#All],[PID]],A93)&gt;0,"P","B")</f>
        <v>B</v>
      </c>
      <c r="D93" s="59" t="str">
        <f>IF($C93="B",INDEX(Batters[[#All],[POS]],MATCH(Table5[[#This Row],[PID]],Batters[[#All],[PID]],0)),INDEX(Table3[[#All],[POS]],MATCH(Table5[[#This Row],[PID]],Table3[[#All],[PID]],0)))</f>
        <v>2B</v>
      </c>
      <c r="E93" s="52" t="str">
        <f>IF($C93="B",INDEX(Batters[[#All],[First]],MATCH(Table5[[#This Row],[PID]],Batters[[#All],[PID]],0)),INDEX(Table3[[#All],[First]],MATCH(Table5[[#This Row],[PID]],Table3[[#All],[PID]],0)))</f>
        <v>Sean</v>
      </c>
      <c r="F93" s="50" t="str">
        <f>IF($C93="B",INDEX(Batters[[#All],[Last]],MATCH(A93,Batters[[#All],[PID]],0)),INDEX(Table3[[#All],[Last]],MATCH(A93,Table3[[#All],[PID]],0)))</f>
        <v>Weaver</v>
      </c>
      <c r="G93" s="56">
        <f>IF($C93="B",INDEX(Batters[[#All],[Age]],MATCH(Table5[[#This Row],[PID]],Batters[[#All],[PID]],0)),INDEX(Table3[[#All],[Age]],MATCH(Table5[[#This Row],[PID]],Table3[[#All],[PID]],0)))</f>
        <v>21</v>
      </c>
      <c r="H93" s="52" t="str">
        <f>IF($C93="B",INDEX(Batters[[#All],[B]],MATCH(Table5[[#This Row],[PID]],Batters[[#All],[PID]],0)),INDEX(Table3[[#All],[B]],MATCH(Table5[[#This Row],[PID]],Table3[[#All],[PID]],0)))</f>
        <v>R</v>
      </c>
      <c r="I93" s="52" t="str">
        <f>IF($C93="B",INDEX(Batters[[#All],[T]],MATCH(Table5[[#This Row],[PID]],Batters[[#All],[PID]],0)),INDEX(Table3[[#All],[T]],MATCH(Table5[[#This Row],[PID]],Table3[[#All],[PID]],0)))</f>
        <v>R</v>
      </c>
      <c r="J93" s="52" t="str">
        <f>IF($C93="B",INDEX(Batters[[#All],[WE]],MATCH(Table5[[#This Row],[PID]],Batters[[#All],[PID]],0)),INDEX(Table3[[#All],[WE]],MATCH(Table5[[#This Row],[PID]],Table3[[#All],[PID]],0)))</f>
        <v>Normal</v>
      </c>
      <c r="K93" s="52" t="str">
        <f>IF($C93="B",INDEX(Batters[[#All],[INT]],MATCH(Table5[[#This Row],[PID]],Batters[[#All],[PID]],0)),INDEX(Table3[[#All],[INT]],MATCH(Table5[[#This Row],[PID]],Table3[[#All],[PID]],0)))</f>
        <v>Normal</v>
      </c>
      <c r="L93" s="60">
        <f>IF($C93="B",INDEX(Batters[[#All],[CON P]],MATCH(Table5[[#This Row],[PID]],Batters[[#All],[PID]],0)),INDEX(Table3[[#All],[STU P]],MATCH(Table5[[#This Row],[PID]],Table3[[#All],[PID]],0)))</f>
        <v>5</v>
      </c>
      <c r="M93" s="56">
        <f>IF($C93="B",INDEX(Batters[[#All],[GAP P]],MATCH(Table5[[#This Row],[PID]],Batters[[#All],[PID]],0)),INDEX(Table3[[#All],[MOV P]],MATCH(Table5[[#This Row],[PID]],Table3[[#All],[PID]],0)))</f>
        <v>7</v>
      </c>
      <c r="N93" s="56">
        <f>IF($C93="B",INDEX(Batters[[#All],[POW P]],MATCH(Table5[[#This Row],[PID]],Batters[[#All],[PID]],0)),INDEX(Table3[[#All],[CON P]],MATCH(Table5[[#This Row],[PID]],Table3[[#All],[PID]],0)))</f>
        <v>4</v>
      </c>
      <c r="O93" s="56">
        <f>IF($C93="B",INDEX(Batters[[#All],[EYE P]],MATCH(Table5[[#This Row],[PID]],Batters[[#All],[PID]],0)),INDEX(Table3[[#All],[VELO]],MATCH(Table5[[#This Row],[PID]],Table3[[#All],[PID]],0)))</f>
        <v>6</v>
      </c>
      <c r="P93" s="56">
        <f>IF($C93="B",INDEX(Batters[[#All],[K P]],MATCH(Table5[[#This Row],[PID]],Batters[[#All],[PID]],0)),INDEX(Table3[[#All],[STM]],MATCH(Table5[[#This Row],[PID]],Table3[[#All],[PID]],0)))</f>
        <v>5</v>
      </c>
      <c r="Q93" s="61">
        <f>IF($C93="B",INDEX(Batters[[#All],[Tot]],MATCH(Table5[[#This Row],[PID]],Batters[[#All],[PID]],0)),INDEX(Table3[[#All],[Tot]],MATCH(Table5[[#This Row],[PID]],Table3[[#All],[PID]],0)))</f>
        <v>50.008753525195566</v>
      </c>
      <c r="R93" s="52">
        <f>IF($C93="B",INDEX(Batters[[#All],[zScore]],MATCH(Table5[[#This Row],[PID]],Batters[[#All],[PID]],0)),INDEX(Table3[[#All],[zScore]],MATCH(Table5[[#This Row],[PID]],Table3[[#All],[PID]],0)))</f>
        <v>1.302929343824293</v>
      </c>
      <c r="S93" s="58" t="str">
        <f>IF($C93="B",INDEX(Batters[[#All],[DEM]],MATCH(Table5[[#This Row],[PID]],Batters[[#All],[PID]],0)),INDEX(Table3[[#All],[DEM]],MATCH(Table5[[#This Row],[PID]],Table3[[#All],[PID]],0)))</f>
        <v>$95k</v>
      </c>
      <c r="T93" s="62">
        <f>IF($C93="B",INDEX(Batters[[#All],[Rnk]],MATCH(Table5[[#This Row],[PID]],Batters[[#All],[PID]],0)),INDEX(Table3[[#All],[Rnk]],MATCH(Table5[[#This Row],[PID]],Table3[[#All],[PID]],0)))</f>
        <v>59</v>
      </c>
      <c r="U93" s="68">
        <f>IF($C93="B",VLOOKUP($A93,Bat!$A$4:$BA$1621,47,FALSE),VLOOKUP($A93,Pit!$A$4:$BF$1557,56,FALSE))</f>
        <v>0</v>
      </c>
      <c r="V93" s="50">
        <f>IF($C93="B",VLOOKUP($A93,Bat!$A$4:$BA$1621,48,FALSE),VLOOKUP($A93,Pit!$A$4:$BF$1557,57,FALSE))</f>
        <v>0</v>
      </c>
      <c r="W93" s="50">
        <f>Table5[[#This Row],[posRnk]]+Table5[[#This Row],[zRnk]]+IF($W$3&lt;&gt;Table5[[#This Row],[Type]],50,0)</f>
        <v>270</v>
      </c>
      <c r="X93" s="51">
        <f>RANK(Table5[[#This Row],[zScore]],Table5[[#All],[zScore]])</f>
        <v>161</v>
      </c>
      <c r="Y93" s="50">
        <f>IFERROR(INDEX(DraftResults[[#All],[OVR]],MATCH(Table5[[#This Row],[PID]],DraftResults[[#All],[Player ID]],0)),"")</f>
        <v>89</v>
      </c>
      <c r="Z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3" s="50">
        <f>IFERROR(INDEX(DraftResults[[#All],[Pick in Round]],MATCH(Table5[[#This Row],[PID]],DraftResults[[#All],[Player ID]],0)),"")</f>
        <v>21</v>
      </c>
      <c r="AB93" s="50" t="str">
        <f>IFERROR(INDEX(DraftResults[[#All],[Team Name]],MATCH(Table5[[#This Row],[PID]],DraftResults[[#All],[Player ID]],0)),"")</f>
        <v>Toyama Wind Dancers</v>
      </c>
      <c r="AC93" s="50">
        <f>IF(Table5[[#This Row],[Ovr]]="","",IF(Table5[[#This Row],[cmbList]]="","",Table5[[#This Row],[cmbList]]-Table5[[#This Row],[Ovr]]))</f>
        <v>181</v>
      </c>
      <c r="AD93" s="54" t="str">
        <f>IF(ISERROR(VLOOKUP($AB93&amp;"-"&amp;$E93&amp;" "&amp;F93,Bonuses!$B$1:$G$1006,4,FALSE)),"",INT(VLOOKUP($AB93&amp;"-"&amp;$E93&amp;" "&amp;$F93,Bonuses!$B$1:$G$1006,4,FALSE)))</f>
        <v/>
      </c>
      <c r="AE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3.21 (89) - 2B Sean Weaver</v>
      </c>
    </row>
    <row r="94" spans="1:31" s="50" customFormat="1" x14ac:dyDescent="0.25">
      <c r="A94" s="50">
        <v>18403</v>
      </c>
      <c r="B94" s="50">
        <f>COUNTIF(Table5[PID],A94)</f>
        <v>1</v>
      </c>
      <c r="C94" s="50" t="str">
        <f>IF(COUNTIF(Table3[[#All],[PID]],A94)&gt;0,"P","B")</f>
        <v>B</v>
      </c>
      <c r="D94" s="59" t="str">
        <f>IF($C94="B",INDEX(Batters[[#All],[POS]],MATCH(Table5[[#This Row],[PID]],Batters[[#All],[PID]],0)),INDEX(Table3[[#All],[POS]],MATCH(Table5[[#This Row],[PID]],Table3[[#All],[PID]],0)))</f>
        <v>CF</v>
      </c>
      <c r="E94" s="52" t="str">
        <f>IF($C94="B",INDEX(Batters[[#All],[First]],MATCH(Table5[[#This Row],[PID]],Batters[[#All],[PID]],0)),INDEX(Table3[[#All],[First]],MATCH(Table5[[#This Row],[PID]],Table3[[#All],[PID]],0)))</f>
        <v>Tokutomi</v>
      </c>
      <c r="F94" s="50" t="str">
        <f>IF($C94="B",INDEX(Batters[[#All],[Last]],MATCH(A94,Batters[[#All],[PID]],0)),INDEX(Table3[[#All],[Last]],MATCH(A94,Table3[[#All],[PID]],0)))</f>
        <v>Goto</v>
      </c>
      <c r="G94" s="56">
        <f>IF($C94="B",INDEX(Batters[[#All],[Age]],MATCH(Table5[[#This Row],[PID]],Batters[[#All],[PID]],0)),INDEX(Table3[[#All],[Age]],MATCH(Table5[[#This Row],[PID]],Table3[[#All],[PID]],0)))</f>
        <v>18</v>
      </c>
      <c r="H94" s="52" t="str">
        <f>IF($C94="B",INDEX(Batters[[#All],[B]],MATCH(Table5[[#This Row],[PID]],Batters[[#All],[PID]],0)),INDEX(Table3[[#All],[B]],MATCH(Table5[[#This Row],[PID]],Table3[[#All],[PID]],0)))</f>
        <v>L</v>
      </c>
      <c r="I94" s="52" t="str">
        <f>IF($C94="B",INDEX(Batters[[#All],[T]],MATCH(Table5[[#This Row],[PID]],Batters[[#All],[PID]],0)),INDEX(Table3[[#All],[T]],MATCH(Table5[[#This Row],[PID]],Table3[[#All],[PID]],0)))</f>
        <v>R</v>
      </c>
      <c r="J94" s="52" t="str">
        <f>IF($C94="B",INDEX(Batters[[#All],[WE]],MATCH(Table5[[#This Row],[PID]],Batters[[#All],[PID]],0)),INDEX(Table3[[#All],[WE]],MATCH(Table5[[#This Row],[PID]],Table3[[#All],[PID]],0)))</f>
        <v>Low</v>
      </c>
      <c r="K94" s="52" t="str">
        <f>IF($C94="B",INDEX(Batters[[#All],[INT]],MATCH(Table5[[#This Row],[PID]],Batters[[#All],[PID]],0)),INDEX(Table3[[#All],[INT]],MATCH(Table5[[#This Row],[PID]],Table3[[#All],[PID]],0)))</f>
        <v>Normal</v>
      </c>
      <c r="L94" s="60">
        <f>IF($C94="B",INDEX(Batters[[#All],[CON P]],MATCH(Table5[[#This Row],[PID]],Batters[[#All],[PID]],0)),INDEX(Table3[[#All],[STU P]],MATCH(Table5[[#This Row],[PID]],Table3[[#All],[PID]],0)))</f>
        <v>4</v>
      </c>
      <c r="M94" s="56">
        <f>IF($C94="B",INDEX(Batters[[#All],[GAP P]],MATCH(Table5[[#This Row],[PID]],Batters[[#All],[PID]],0)),INDEX(Table3[[#All],[MOV P]],MATCH(Table5[[#This Row],[PID]],Table3[[#All],[PID]],0)))</f>
        <v>6</v>
      </c>
      <c r="N94" s="56">
        <f>IF($C94="B",INDEX(Batters[[#All],[POW P]],MATCH(Table5[[#This Row],[PID]],Batters[[#All],[PID]],0)),INDEX(Table3[[#All],[CON P]],MATCH(Table5[[#This Row],[PID]],Table3[[#All],[PID]],0)))</f>
        <v>5</v>
      </c>
      <c r="O94" s="56">
        <f>IF($C94="B",INDEX(Batters[[#All],[EYE P]],MATCH(Table5[[#This Row],[PID]],Batters[[#All],[PID]],0)),INDEX(Table3[[#All],[VELO]],MATCH(Table5[[#This Row],[PID]],Table3[[#All],[PID]],0)))</f>
        <v>6</v>
      </c>
      <c r="P94" s="56">
        <f>IF($C94="B",INDEX(Batters[[#All],[K P]],MATCH(Table5[[#This Row],[PID]],Batters[[#All],[PID]],0)),INDEX(Table3[[#All],[STM]],MATCH(Table5[[#This Row],[PID]],Table3[[#All],[PID]],0)))</f>
        <v>5</v>
      </c>
      <c r="Q94" s="61">
        <f>IF($C94="B",INDEX(Batters[[#All],[Tot]],MATCH(Table5[[#This Row],[PID]],Batters[[#All],[PID]],0)),INDEX(Table3[[#All],[Tot]],MATCH(Table5[[#This Row],[PID]],Table3[[#All],[PID]],0)))</f>
        <v>50.840123557177449</v>
      </c>
      <c r="R94" s="52">
        <f>IF($C94="B",INDEX(Batters[[#All],[zScore]],MATCH(Table5[[#This Row],[PID]],Batters[[#All],[PID]],0)),INDEX(Table3[[#All],[zScore]],MATCH(Table5[[#This Row],[PID]],Table3[[#All],[PID]],0)))</f>
        <v>1.4872496994545585</v>
      </c>
      <c r="S94" s="58" t="str">
        <f>IF($C94="B",INDEX(Batters[[#All],[DEM]],MATCH(Table5[[#This Row],[PID]],Batters[[#All],[PID]],0)),INDEX(Table3[[#All],[DEM]],MATCH(Table5[[#This Row],[PID]],Table3[[#All],[PID]],0)))</f>
        <v>$430k</v>
      </c>
      <c r="T94" s="62">
        <f>IF($C94="B",INDEX(Batters[[#All],[Rnk]],MATCH(Table5[[#This Row],[PID]],Batters[[#All],[PID]],0)),INDEX(Table3[[#All],[Rnk]],MATCH(Table5[[#This Row],[PID]],Table3[[#All],[PID]],0)))</f>
        <v>48</v>
      </c>
      <c r="U94" s="68">
        <f>IF($C94="B",VLOOKUP($A94,Bat!$A$4:$BA$1621,47,FALSE),VLOOKUP($A94,Pit!$A$4:$BF$1557,56,FALSE))</f>
        <v>0</v>
      </c>
      <c r="V94" s="50">
        <f>IF($C94="B",VLOOKUP($A94,Bat!$A$4:$BA$1621,48,FALSE),VLOOKUP($A94,Pit!$A$4:$BF$1557,57,FALSE))</f>
        <v>0</v>
      </c>
      <c r="W94" s="50">
        <f>Table5[[#This Row],[posRnk]]+Table5[[#This Row],[zRnk]]+IF($W$3&lt;&gt;Table5[[#This Row],[Type]],50,0)</f>
        <v>221</v>
      </c>
      <c r="X94" s="51">
        <f>RANK(Table5[[#This Row],[zScore]],Table5[[#All],[zScore]])</f>
        <v>123</v>
      </c>
      <c r="Y94" s="50">
        <f>IFERROR(INDEX(DraftResults[[#All],[OVR]],MATCH(Table5[[#This Row],[PID]],DraftResults[[#All],[Player ID]],0)),"")</f>
        <v>90</v>
      </c>
      <c r="Z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4" s="50">
        <f>IFERROR(INDEX(DraftResults[[#All],[Pick in Round]],MATCH(Table5[[#This Row],[PID]],DraftResults[[#All],[Player ID]],0)),"")</f>
        <v>22</v>
      </c>
      <c r="AB94" s="50" t="str">
        <f>IFERROR(INDEX(DraftResults[[#All],[Team Name]],MATCH(Table5[[#This Row],[PID]],DraftResults[[#All],[Player ID]],0)),"")</f>
        <v>Reno Zephyrs</v>
      </c>
      <c r="AC94" s="50">
        <f>IF(Table5[[#This Row],[Ovr]]="","",IF(Table5[[#This Row],[cmbList]]="","",Table5[[#This Row],[cmbList]]-Table5[[#This Row],[Ovr]]))</f>
        <v>131</v>
      </c>
      <c r="AD94" s="54" t="str">
        <f>IF(ISERROR(VLOOKUP($AB94&amp;"-"&amp;$E94&amp;" "&amp;F94,Bonuses!$B$1:$G$1006,4,FALSE)),"",INT(VLOOKUP($AB94&amp;"-"&amp;$E94&amp;" "&amp;$F94,Bonuses!$B$1:$G$1006,4,FALSE)))</f>
        <v/>
      </c>
      <c r="AE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3.22 (90) - CF Tokutomi Goto</v>
      </c>
    </row>
    <row r="95" spans="1:31" s="50" customFormat="1" x14ac:dyDescent="0.25">
      <c r="A95" s="50">
        <v>20524</v>
      </c>
      <c r="B95" s="50">
        <f>COUNTIF(Table5[PID],A95)</f>
        <v>1</v>
      </c>
      <c r="C95" s="50" t="str">
        <f>IF(COUNTIF(Table3[[#All],[PID]],A95)&gt;0,"P","B")</f>
        <v>B</v>
      </c>
      <c r="D95" s="59" t="str">
        <f>IF($C95="B",INDEX(Batters[[#All],[POS]],MATCH(Table5[[#This Row],[PID]],Batters[[#All],[PID]],0)),INDEX(Table3[[#All],[POS]],MATCH(Table5[[#This Row],[PID]],Table3[[#All],[PID]],0)))</f>
        <v>CF</v>
      </c>
      <c r="E95" s="52" t="str">
        <f>IF($C95="B",INDEX(Batters[[#All],[First]],MATCH(Table5[[#This Row],[PID]],Batters[[#All],[PID]],0)),INDEX(Table3[[#All],[First]],MATCH(Table5[[#This Row],[PID]],Table3[[#All],[PID]],0)))</f>
        <v>Jay</v>
      </c>
      <c r="F95" s="50" t="str">
        <f>IF($C95="B",INDEX(Batters[[#All],[Last]],MATCH(A95,Batters[[#All],[PID]],0)),INDEX(Table3[[#All],[Last]],MATCH(A95,Table3[[#All],[PID]],0)))</f>
        <v>Rulluda</v>
      </c>
      <c r="G95" s="56">
        <f>IF($C95="B",INDEX(Batters[[#All],[Age]],MATCH(Table5[[#This Row],[PID]],Batters[[#All],[PID]],0)),INDEX(Table3[[#All],[Age]],MATCH(Table5[[#This Row],[PID]],Table3[[#All],[PID]],0)))</f>
        <v>17</v>
      </c>
      <c r="H95" s="52" t="str">
        <f>IF($C95="B",INDEX(Batters[[#All],[B]],MATCH(Table5[[#This Row],[PID]],Batters[[#All],[PID]],0)),INDEX(Table3[[#All],[B]],MATCH(Table5[[#This Row],[PID]],Table3[[#All],[PID]],0)))</f>
        <v>R</v>
      </c>
      <c r="I95" s="52" t="str">
        <f>IF($C95="B",INDEX(Batters[[#All],[T]],MATCH(Table5[[#This Row],[PID]],Batters[[#All],[PID]],0)),INDEX(Table3[[#All],[T]],MATCH(Table5[[#This Row],[PID]],Table3[[#All],[PID]],0)))</f>
        <v>R</v>
      </c>
      <c r="J95" s="52" t="str">
        <f>IF($C95="B",INDEX(Batters[[#All],[WE]],MATCH(Table5[[#This Row],[PID]],Batters[[#All],[PID]],0)),INDEX(Table3[[#All],[WE]],MATCH(Table5[[#This Row],[PID]],Table3[[#All],[PID]],0)))</f>
        <v>Low</v>
      </c>
      <c r="K95" s="52" t="str">
        <f>IF($C95="B",INDEX(Batters[[#All],[INT]],MATCH(Table5[[#This Row],[PID]],Batters[[#All],[PID]],0)),INDEX(Table3[[#All],[INT]],MATCH(Table5[[#This Row],[PID]],Table3[[#All],[PID]],0)))</f>
        <v>Normal</v>
      </c>
      <c r="L95" s="60">
        <f>IF($C95="B",INDEX(Batters[[#All],[CON P]],MATCH(Table5[[#This Row],[PID]],Batters[[#All],[PID]],0)),INDEX(Table3[[#All],[STU P]],MATCH(Table5[[#This Row],[PID]],Table3[[#All],[PID]],0)))</f>
        <v>4</v>
      </c>
      <c r="M95" s="56">
        <f>IF($C95="B",INDEX(Batters[[#All],[GAP P]],MATCH(Table5[[#This Row],[PID]],Batters[[#All],[PID]],0)),INDEX(Table3[[#All],[MOV P]],MATCH(Table5[[#This Row],[PID]],Table3[[#All],[PID]],0)))</f>
        <v>6</v>
      </c>
      <c r="N95" s="56">
        <f>IF($C95="B",INDEX(Batters[[#All],[POW P]],MATCH(Table5[[#This Row],[PID]],Batters[[#All],[PID]],0)),INDEX(Table3[[#All],[CON P]],MATCH(Table5[[#This Row],[PID]],Table3[[#All],[PID]],0)))</f>
        <v>8</v>
      </c>
      <c r="O95" s="56">
        <f>IF($C95="B",INDEX(Batters[[#All],[EYE P]],MATCH(Table5[[#This Row],[PID]],Batters[[#All],[PID]],0)),INDEX(Table3[[#All],[VELO]],MATCH(Table5[[#This Row],[PID]],Table3[[#All],[PID]],0)))</f>
        <v>5</v>
      </c>
      <c r="P95" s="56">
        <f>IF($C95="B",INDEX(Batters[[#All],[K P]],MATCH(Table5[[#This Row],[PID]],Batters[[#All],[PID]],0)),INDEX(Table3[[#All],[STM]],MATCH(Table5[[#This Row],[PID]],Table3[[#All],[PID]],0)))</f>
        <v>2</v>
      </c>
      <c r="Q95" s="61">
        <f>IF($C95="B",INDEX(Batters[[#All],[Tot]],MATCH(Table5[[#This Row],[PID]],Batters[[#All],[PID]],0)),INDEX(Table3[[#All],[Tot]],MATCH(Table5[[#This Row],[PID]],Table3[[#All],[PID]],0)))</f>
        <v>51.304209185645092</v>
      </c>
      <c r="R95" s="52">
        <f>IF($C95="B",INDEX(Batters[[#All],[zScore]],MATCH(Table5[[#This Row],[PID]],Batters[[#All],[PID]],0)),INDEX(Table3[[#All],[zScore]],MATCH(Table5[[#This Row],[PID]],Table3[[#All],[PID]],0)))</f>
        <v>1.5901406202135537</v>
      </c>
      <c r="S95" s="58" t="str">
        <f>IF($C95="B",INDEX(Batters[[#All],[DEM]],MATCH(Table5[[#This Row],[PID]],Batters[[#All],[PID]],0)),INDEX(Table3[[#All],[DEM]],MATCH(Table5[[#This Row],[PID]],Table3[[#All],[PID]],0)))</f>
        <v>$500k</v>
      </c>
      <c r="T95" s="62">
        <f>IF($C95="B",INDEX(Batters[[#All],[Rnk]],MATCH(Table5[[#This Row],[PID]],Batters[[#All],[PID]],0)),INDEX(Table3[[#All],[Rnk]],MATCH(Table5[[#This Row],[PID]],Table3[[#All],[PID]],0)))</f>
        <v>37</v>
      </c>
      <c r="U95" s="68">
        <f>IF($C95="B",VLOOKUP($A95,Bat!$A$4:$BA$1621,47,FALSE),VLOOKUP($A95,Pit!$A$4:$BF$1557,56,FALSE))</f>
        <v>0</v>
      </c>
      <c r="V95" s="50">
        <f>IF($C95="B",VLOOKUP($A95,Bat!$A$4:$BA$1621,48,FALSE),VLOOKUP($A95,Pit!$A$4:$BF$1557,57,FALSE))</f>
        <v>0</v>
      </c>
      <c r="W95" s="50">
        <f>Table5[[#This Row],[posRnk]]+Table5[[#This Row],[zRnk]]+IF($W$3&lt;&gt;Table5[[#This Row],[Type]],50,0)</f>
        <v>189</v>
      </c>
      <c r="X95" s="51">
        <f>RANK(Table5[[#This Row],[zScore]],Table5[[#All],[zScore]])</f>
        <v>102</v>
      </c>
      <c r="Y95" s="50">
        <f>IFERROR(INDEX(DraftResults[[#All],[OVR]],MATCH(Table5[[#This Row],[PID]],DraftResults[[#All],[Player ID]],0)),"")</f>
        <v>91</v>
      </c>
      <c r="Z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5" s="50">
        <f>IFERROR(INDEX(DraftResults[[#All],[Pick in Round]],MATCH(Table5[[#This Row],[PID]],DraftResults[[#All],[Player ID]],0)),"")</f>
        <v>23</v>
      </c>
      <c r="AB95" s="50" t="str">
        <f>IFERROR(INDEX(DraftResults[[#All],[Team Name]],MATCH(Table5[[#This Row],[PID]],DraftResults[[#All],[Player ID]],0)),"")</f>
        <v>Fargo Dinosaurs</v>
      </c>
      <c r="AC95" s="50">
        <f>IF(Table5[[#This Row],[Ovr]]="","",IF(Table5[[#This Row],[cmbList]]="","",Table5[[#This Row],[cmbList]]-Table5[[#This Row],[Ovr]]))</f>
        <v>98</v>
      </c>
      <c r="AD95" s="54" t="str">
        <f>IF(ISERROR(VLOOKUP($AB95&amp;"-"&amp;$E95&amp;" "&amp;F95,Bonuses!$B$1:$G$1006,4,FALSE)),"",INT(VLOOKUP($AB95&amp;"-"&amp;$E95&amp;" "&amp;$F95,Bonuses!$B$1:$G$1006,4,FALSE)))</f>
        <v/>
      </c>
      <c r="AE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3.23 (91) - CF Jay Rulluda</v>
      </c>
    </row>
    <row r="96" spans="1:31" s="50" customFormat="1" x14ac:dyDescent="0.25">
      <c r="A96" s="68">
        <v>18097</v>
      </c>
      <c r="B96" s="69">
        <f>COUNTIF(Table5[PID],A96)</f>
        <v>1</v>
      </c>
      <c r="C96" s="69" t="str">
        <f>IF(COUNTIF(Table3[[#All],[PID]],A96)&gt;0,"P","B")</f>
        <v>P</v>
      </c>
      <c r="D96" s="59" t="str">
        <f>IF($C96="B",INDEX(Batters[[#All],[POS]],MATCH(Table5[[#This Row],[PID]],Batters[[#All],[PID]],0)),INDEX(Table3[[#All],[POS]],MATCH(Table5[[#This Row],[PID]],Table3[[#All],[PID]],0)))</f>
        <v>SP</v>
      </c>
      <c r="E96" s="52" t="str">
        <f>IF($C96="B",INDEX(Batters[[#All],[First]],MATCH(Table5[[#This Row],[PID]],Batters[[#All],[PID]],0)),INDEX(Table3[[#All],[First]],MATCH(Table5[[#This Row],[PID]],Table3[[#All],[PID]],0)))</f>
        <v>Tom</v>
      </c>
      <c r="F96" s="55" t="str">
        <f>IF($C96="B",INDEX(Batters[[#All],[Last]],MATCH(A96,Batters[[#All],[PID]],0)),INDEX(Table3[[#All],[Last]],MATCH(A96,Table3[[#All],[PID]],0)))</f>
        <v>Lang</v>
      </c>
      <c r="G96" s="56">
        <f>IF($C96="B",INDEX(Batters[[#All],[Age]],MATCH(Table5[[#This Row],[PID]],Batters[[#All],[PID]],0)),INDEX(Table3[[#All],[Age]],MATCH(Table5[[#This Row],[PID]],Table3[[#All],[PID]],0)))</f>
        <v>21</v>
      </c>
      <c r="H96" s="52" t="str">
        <f>IF($C96="B",INDEX(Batters[[#All],[B]],MATCH(Table5[[#This Row],[PID]],Batters[[#All],[PID]],0)),INDEX(Table3[[#All],[B]],MATCH(Table5[[#This Row],[PID]],Table3[[#All],[PID]],0)))</f>
        <v>R</v>
      </c>
      <c r="I96" s="52" t="str">
        <f>IF($C96="B",INDEX(Batters[[#All],[T]],MATCH(Table5[[#This Row],[PID]],Batters[[#All],[PID]],0)),INDEX(Table3[[#All],[T]],MATCH(Table5[[#This Row],[PID]],Table3[[#All],[PID]],0)))</f>
        <v>R</v>
      </c>
      <c r="J96" s="71" t="str">
        <f>IF($C96="B",INDEX(Batters[[#All],[WE]],MATCH(Table5[[#This Row],[PID]],Batters[[#All],[PID]],0)),INDEX(Table3[[#All],[WE]],MATCH(Table5[[#This Row],[PID]],Table3[[#All],[PID]],0)))</f>
        <v>Normal</v>
      </c>
      <c r="K96" s="52" t="str">
        <f>IF($C96="B",INDEX(Batters[[#All],[INT]],MATCH(Table5[[#This Row],[PID]],Batters[[#All],[PID]],0)),INDEX(Table3[[#All],[INT]],MATCH(Table5[[#This Row],[PID]],Table3[[#All],[PID]],0)))</f>
        <v>Normal</v>
      </c>
      <c r="L96" s="60">
        <f>IF($C96="B",INDEX(Batters[[#All],[CON P]],MATCH(Table5[[#This Row],[PID]],Batters[[#All],[PID]],0)),INDEX(Table3[[#All],[STU P]],MATCH(Table5[[#This Row],[PID]],Table3[[#All],[PID]],0)))</f>
        <v>5</v>
      </c>
      <c r="M96" s="72">
        <f>IF($C96="B",INDEX(Batters[[#All],[GAP P]],MATCH(Table5[[#This Row],[PID]],Batters[[#All],[PID]],0)),INDEX(Table3[[#All],[MOV P]],MATCH(Table5[[#This Row],[PID]],Table3[[#All],[PID]],0)))</f>
        <v>5</v>
      </c>
      <c r="N96" s="72">
        <f>IF($C96="B",INDEX(Batters[[#All],[POW P]],MATCH(Table5[[#This Row],[PID]],Batters[[#All],[PID]],0)),INDEX(Table3[[#All],[CON P]],MATCH(Table5[[#This Row],[PID]],Table3[[#All],[PID]],0)))</f>
        <v>6</v>
      </c>
      <c r="O96" s="72" t="str">
        <f>IF($C96="B",INDEX(Batters[[#All],[EYE P]],MATCH(Table5[[#This Row],[PID]],Batters[[#All],[PID]],0)),INDEX(Table3[[#All],[VELO]],MATCH(Table5[[#This Row],[PID]],Table3[[#All],[PID]],0)))</f>
        <v>92-94 Mph</v>
      </c>
      <c r="P96" s="56">
        <f>IF($C96="B",INDEX(Batters[[#All],[K P]],MATCH(Table5[[#This Row],[PID]],Batters[[#All],[PID]],0)),INDEX(Table3[[#All],[STM]],MATCH(Table5[[#This Row],[PID]],Table3[[#All],[PID]],0)))</f>
        <v>10</v>
      </c>
      <c r="Q96" s="61">
        <f>IF($C96="B",INDEX(Batters[[#All],[Tot]],MATCH(Table5[[#This Row],[PID]],Batters[[#All],[PID]],0)),INDEX(Table3[[#All],[Tot]],MATCH(Table5[[#This Row],[PID]],Table3[[#All],[PID]],0)))</f>
        <v>62.333254844353462</v>
      </c>
      <c r="R96" s="52">
        <f>IF($C96="B",INDEX(Batters[[#All],[zScore]],MATCH(Table5[[#This Row],[PID]],Batters[[#All],[PID]],0)),INDEX(Table3[[#All],[zScore]],MATCH(Table5[[#This Row],[PID]],Table3[[#All],[PID]],0)))</f>
        <v>1.7605249092241182</v>
      </c>
      <c r="S96" s="78" t="str">
        <f>IF($C96="B",INDEX(Batters[[#All],[DEM]],MATCH(Table5[[#This Row],[PID]],Batters[[#All],[PID]],0)),INDEX(Table3[[#All],[DEM]],MATCH(Table5[[#This Row],[PID]],Table3[[#All],[PID]],0)))</f>
        <v>$950k</v>
      </c>
      <c r="T96" s="75">
        <f>IF($C96="B",INDEX(Batters[[#All],[Rnk]],MATCH(Table5[[#This Row],[PID]],Batters[[#All],[PID]],0)),INDEX(Table3[[#All],[Rnk]],MATCH(Table5[[#This Row],[PID]],Table3[[#All],[PID]],0)))</f>
        <v>48</v>
      </c>
      <c r="U96" s="68">
        <f>IF($C96="B",VLOOKUP($A96,Bat!$A$4:$BA$1621,47,FALSE),VLOOKUP($A96,Pit!$A$4:$BF$1557,56,FALSE))</f>
        <v>0</v>
      </c>
      <c r="V96" s="50">
        <f>IF($C96="B",VLOOKUP($A96,Bat!$A$4:$BA$1621,48,FALSE),VLOOKUP($A96,Pit!$A$4:$BF$1557,57,FALSE))</f>
        <v>0</v>
      </c>
      <c r="W96" s="69">
        <f>Table5[[#This Row],[posRnk]]+Table5[[#This Row],[zRnk]]+IF($W$3&lt;&gt;Table5[[#This Row],[Type]],50,0)</f>
        <v>173</v>
      </c>
      <c r="X96" s="73">
        <f>RANK(Table5[[#This Row],[zScore]],Table5[[#All],[zScore]])</f>
        <v>75</v>
      </c>
      <c r="Y96" s="69">
        <f>IFERROR(INDEX(DraftResults[[#All],[OVR]],MATCH(Table5[[#This Row],[PID]],DraftResults[[#All],[Player ID]],0)),"")</f>
        <v>92</v>
      </c>
      <c r="Z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6" s="69">
        <f>IFERROR(INDEX(DraftResults[[#All],[Pick in Round]],MATCH(Table5[[#This Row],[PID]],DraftResults[[#All],[Player ID]],0)),"")</f>
        <v>24</v>
      </c>
      <c r="AB96" s="69" t="str">
        <f>IFERROR(INDEX(DraftResults[[#All],[Team Name]],MATCH(Table5[[#This Row],[PID]],DraftResults[[#All],[Player ID]],0)),"")</f>
        <v>Yuma Arroyos</v>
      </c>
      <c r="AC96" s="69">
        <f>IF(Table5[[#This Row],[Ovr]]="","",IF(Table5[[#This Row],[cmbList]]="","",Table5[[#This Row],[cmbList]]-Table5[[#This Row],[Ovr]]))</f>
        <v>81</v>
      </c>
      <c r="AD96" s="77" t="str">
        <f>IF(ISERROR(VLOOKUP($AB96&amp;"-"&amp;$E96&amp;" "&amp;F96,Bonuses!$B$1:$G$1006,4,FALSE)),"",INT(VLOOKUP($AB96&amp;"-"&amp;$E96&amp;" "&amp;$F96,Bonuses!$B$1:$G$1006,4,FALSE)))</f>
        <v/>
      </c>
      <c r="AE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3.24 (92) - SP Tom Lang</v>
      </c>
    </row>
    <row r="97" spans="1:31" s="50" customFormat="1" x14ac:dyDescent="0.25">
      <c r="A97" s="50">
        <v>18248</v>
      </c>
      <c r="B97" s="50">
        <f>COUNTIF(Table5[PID],A97)</f>
        <v>1</v>
      </c>
      <c r="C97" s="50" t="str">
        <f>IF(COUNTIF(Table3[[#All],[PID]],A97)&gt;0,"P","B")</f>
        <v>B</v>
      </c>
      <c r="D97" s="59" t="str">
        <f>IF($C97="B",INDEX(Batters[[#All],[POS]],MATCH(Table5[[#This Row],[PID]],Batters[[#All],[PID]],0)),INDEX(Table3[[#All],[POS]],MATCH(Table5[[#This Row],[PID]],Table3[[#All],[PID]],0)))</f>
        <v>C</v>
      </c>
      <c r="E97" s="52" t="str">
        <f>IF($C97="B",INDEX(Batters[[#All],[First]],MATCH(Table5[[#This Row],[PID]],Batters[[#All],[PID]],0)),INDEX(Table3[[#All],[First]],MATCH(Table5[[#This Row],[PID]],Table3[[#All],[PID]],0)))</f>
        <v>Alden</v>
      </c>
      <c r="F97" s="50" t="str">
        <f>IF($C97="B",INDEX(Batters[[#All],[Last]],MATCH(A97,Batters[[#All],[PID]],0)),INDEX(Table3[[#All],[Last]],MATCH(A97,Table3[[#All],[PID]],0)))</f>
        <v>Horton</v>
      </c>
      <c r="G97" s="56">
        <f>IF($C97="B",INDEX(Batters[[#All],[Age]],MATCH(Table5[[#This Row],[PID]],Batters[[#All],[PID]],0)),INDEX(Table3[[#All],[Age]],MATCH(Table5[[#This Row],[PID]],Table3[[#All],[PID]],0)))</f>
        <v>18</v>
      </c>
      <c r="H97" s="52" t="str">
        <f>IF($C97="B",INDEX(Batters[[#All],[B]],MATCH(Table5[[#This Row],[PID]],Batters[[#All],[PID]],0)),INDEX(Table3[[#All],[B]],MATCH(Table5[[#This Row],[PID]],Table3[[#All],[PID]],0)))</f>
        <v>R</v>
      </c>
      <c r="I97" s="52" t="str">
        <f>IF($C97="B",INDEX(Batters[[#All],[T]],MATCH(Table5[[#This Row],[PID]],Batters[[#All],[PID]],0)),INDEX(Table3[[#All],[T]],MATCH(Table5[[#This Row],[PID]],Table3[[#All],[PID]],0)))</f>
        <v>R</v>
      </c>
      <c r="J97" s="52" t="str">
        <f>IF($C97="B",INDEX(Batters[[#All],[WE]],MATCH(Table5[[#This Row],[PID]],Batters[[#All],[PID]],0)),INDEX(Table3[[#All],[WE]],MATCH(Table5[[#This Row],[PID]],Table3[[#All],[PID]],0)))</f>
        <v>High</v>
      </c>
      <c r="K97" s="52" t="str">
        <f>IF($C97="B",INDEX(Batters[[#All],[INT]],MATCH(Table5[[#This Row],[PID]],Batters[[#All],[PID]],0)),INDEX(Table3[[#All],[INT]],MATCH(Table5[[#This Row],[PID]],Table3[[#All],[PID]],0)))</f>
        <v>Normal</v>
      </c>
      <c r="L97" s="60">
        <f>IF($C97="B",INDEX(Batters[[#All],[CON P]],MATCH(Table5[[#This Row],[PID]],Batters[[#All],[PID]],0)),INDEX(Table3[[#All],[STU P]],MATCH(Table5[[#This Row],[PID]],Table3[[#All],[PID]],0)))</f>
        <v>4</v>
      </c>
      <c r="M97" s="56">
        <f>IF($C97="B",INDEX(Batters[[#All],[GAP P]],MATCH(Table5[[#This Row],[PID]],Batters[[#All],[PID]],0)),INDEX(Table3[[#All],[MOV P]],MATCH(Table5[[#This Row],[PID]],Table3[[#All],[PID]],0)))</f>
        <v>4</v>
      </c>
      <c r="N97" s="56">
        <f>IF($C97="B",INDEX(Batters[[#All],[POW P]],MATCH(Table5[[#This Row],[PID]],Batters[[#All],[PID]],0)),INDEX(Table3[[#All],[CON P]],MATCH(Table5[[#This Row],[PID]],Table3[[#All],[PID]],0)))</f>
        <v>3</v>
      </c>
      <c r="O97" s="56">
        <f>IF($C97="B",INDEX(Batters[[#All],[EYE P]],MATCH(Table5[[#This Row],[PID]],Batters[[#All],[PID]],0)),INDEX(Table3[[#All],[VELO]],MATCH(Table5[[#This Row],[PID]],Table3[[#All],[PID]],0)))</f>
        <v>4</v>
      </c>
      <c r="P97" s="56">
        <f>IF($C97="B",INDEX(Batters[[#All],[K P]],MATCH(Table5[[#This Row],[PID]],Batters[[#All],[PID]],0)),INDEX(Table3[[#All],[STM]],MATCH(Table5[[#This Row],[PID]],Table3[[#All],[PID]],0)))</f>
        <v>5</v>
      </c>
      <c r="Q97" s="61">
        <f>IF($C97="B",INDEX(Batters[[#All],[Tot]],MATCH(Table5[[#This Row],[PID]],Batters[[#All],[PID]],0)),INDEX(Table3[[#All],[Tot]],MATCH(Table5[[#This Row],[PID]],Table3[[#All],[PID]],0)))</f>
        <v>45.694830610122231</v>
      </c>
      <c r="R97" s="52">
        <f>IF($C97="B",INDEX(Batters[[#All],[zScore]],MATCH(Table5[[#This Row],[PID]],Batters[[#All],[PID]],0)),INDEX(Table3[[#All],[zScore]],MATCH(Table5[[#This Row],[PID]],Table3[[#All],[PID]],0)))</f>
        <v>0.34650347413983518</v>
      </c>
      <c r="S97" s="58" t="str">
        <f>IF($C97="B",INDEX(Batters[[#All],[DEM]],MATCH(Table5[[#This Row],[PID]],Batters[[#All],[PID]],0)),INDEX(Table3[[#All],[DEM]],MATCH(Table5[[#This Row],[PID]],Table3[[#All],[PID]],0)))</f>
        <v>-</v>
      </c>
      <c r="T97" s="62">
        <f>IF($C97="B",INDEX(Batters[[#All],[Rnk]],MATCH(Table5[[#This Row],[PID]],Batters[[#All],[PID]],0)),INDEX(Table3[[#All],[Rnk]],MATCH(Table5[[#This Row],[PID]],Table3[[#All],[PID]],0)))</f>
        <v>168</v>
      </c>
      <c r="U97" s="68">
        <f>IF($C97="B",VLOOKUP($A97,Bat!$A$4:$BA$1621,47,FALSE),VLOOKUP($A97,Pit!$A$4:$BF$1557,56,FALSE))</f>
        <v>0</v>
      </c>
      <c r="V97" s="50">
        <f>IF($C97="B",VLOOKUP($A97,Bat!$A$4:$BA$1621,48,FALSE),VLOOKUP($A97,Pit!$A$4:$BF$1557,57,FALSE))</f>
        <v>0</v>
      </c>
      <c r="W97" s="50">
        <f>Table5[[#This Row],[posRnk]]+Table5[[#This Row],[zRnk]]+IF($W$3&lt;&gt;Table5[[#This Row],[Type]],50,0)</f>
        <v>619</v>
      </c>
      <c r="X97" s="51">
        <f>RANK(Table5[[#This Row],[zScore]],Table5[[#All],[zScore]])</f>
        <v>401</v>
      </c>
      <c r="Y97" s="50">
        <f>IFERROR(INDEX(DraftResults[[#All],[OVR]],MATCH(Table5[[#This Row],[PID]],DraftResults[[#All],[Player ID]],0)),"")</f>
        <v>93</v>
      </c>
      <c r="Z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7" s="50">
        <f>IFERROR(INDEX(DraftResults[[#All],[Pick in Round]],MATCH(Table5[[#This Row],[PID]],DraftResults[[#All],[Player ID]],0)),"")</f>
        <v>25</v>
      </c>
      <c r="AB97" s="50" t="str">
        <f>IFERROR(INDEX(DraftResults[[#All],[Team Name]],MATCH(Table5[[#This Row],[PID]],DraftResults[[#All],[Player ID]],0)),"")</f>
        <v>London Underground</v>
      </c>
      <c r="AC97" s="50">
        <f>IF(Table5[[#This Row],[Ovr]]="","",IF(Table5[[#This Row],[cmbList]]="","",Table5[[#This Row],[cmbList]]-Table5[[#This Row],[Ovr]]))</f>
        <v>526</v>
      </c>
      <c r="AD97" s="54" t="str">
        <f>IF(ISERROR(VLOOKUP($AB97&amp;"-"&amp;$E97&amp;" "&amp;F97,Bonuses!$B$1:$G$1006,4,FALSE)),"",INT(VLOOKUP($AB97&amp;"-"&amp;$E97&amp;" "&amp;$F97,Bonuses!$B$1:$G$1006,4,FALSE)))</f>
        <v/>
      </c>
      <c r="AE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3.25 (93) - C Alden Horton</v>
      </c>
    </row>
    <row r="98" spans="1:31" s="50" customFormat="1" x14ac:dyDescent="0.25">
      <c r="A98" s="68">
        <v>20402</v>
      </c>
      <c r="B98" s="69">
        <f>COUNTIF(Table5[PID],A98)</f>
        <v>1</v>
      </c>
      <c r="C98" s="69" t="str">
        <f>IF(COUNTIF(Table3[[#All],[PID]],A98)&gt;0,"P","B")</f>
        <v>P</v>
      </c>
      <c r="D98" s="59" t="str">
        <f>IF($C98="B",INDEX(Batters[[#All],[POS]],MATCH(Table5[[#This Row],[PID]],Batters[[#All],[PID]],0)),INDEX(Table3[[#All],[POS]],MATCH(Table5[[#This Row],[PID]],Table3[[#All],[PID]],0)))</f>
        <v>SP</v>
      </c>
      <c r="E98" s="52" t="str">
        <f>IF($C98="B",INDEX(Batters[[#All],[First]],MATCH(Table5[[#This Row],[PID]],Batters[[#All],[PID]],0)),INDEX(Table3[[#All],[First]],MATCH(Table5[[#This Row],[PID]],Table3[[#All],[PID]],0)))</f>
        <v>Bruno</v>
      </c>
      <c r="F98" s="55" t="str">
        <f>IF($C98="B",INDEX(Batters[[#All],[Last]],MATCH(A98,Batters[[#All],[PID]],0)),INDEX(Table3[[#All],[Last]],MATCH(A98,Table3[[#All],[PID]],0)))</f>
        <v>Floyd</v>
      </c>
      <c r="G98" s="56">
        <f>IF($C98="B",INDEX(Batters[[#All],[Age]],MATCH(Table5[[#This Row],[PID]],Batters[[#All],[PID]],0)),INDEX(Table3[[#All],[Age]],MATCH(Table5[[#This Row],[PID]],Table3[[#All],[PID]],0)))</f>
        <v>17</v>
      </c>
      <c r="H98" s="52" t="str">
        <f>IF($C98="B",INDEX(Batters[[#All],[B]],MATCH(Table5[[#This Row],[PID]],Batters[[#All],[PID]],0)),INDEX(Table3[[#All],[B]],MATCH(Table5[[#This Row],[PID]],Table3[[#All],[PID]],0)))</f>
        <v>L</v>
      </c>
      <c r="I98" s="52" t="str">
        <f>IF($C98="B",INDEX(Batters[[#All],[T]],MATCH(Table5[[#This Row],[PID]],Batters[[#All],[PID]],0)),INDEX(Table3[[#All],[T]],MATCH(Table5[[#This Row],[PID]],Table3[[#All],[PID]],0)))</f>
        <v>R</v>
      </c>
      <c r="J98" s="71" t="str">
        <f>IF($C98="B",INDEX(Batters[[#All],[WE]],MATCH(Table5[[#This Row],[PID]],Batters[[#All],[PID]],0)),INDEX(Table3[[#All],[WE]],MATCH(Table5[[#This Row],[PID]],Table3[[#All],[PID]],0)))</f>
        <v>Normal</v>
      </c>
      <c r="K98" s="52" t="str">
        <f>IF($C98="B",INDEX(Batters[[#All],[INT]],MATCH(Table5[[#This Row],[PID]],Batters[[#All],[PID]],0)),INDEX(Table3[[#All],[INT]],MATCH(Table5[[#This Row],[PID]],Table3[[#All],[PID]],0)))</f>
        <v>High</v>
      </c>
      <c r="L98" s="60">
        <f>IF($C98="B",INDEX(Batters[[#All],[CON P]],MATCH(Table5[[#This Row],[PID]],Batters[[#All],[PID]],0)),INDEX(Table3[[#All],[STU P]],MATCH(Table5[[#This Row],[PID]],Table3[[#All],[PID]],0)))</f>
        <v>5</v>
      </c>
      <c r="M98" s="72">
        <f>IF($C98="B",INDEX(Batters[[#All],[GAP P]],MATCH(Table5[[#This Row],[PID]],Batters[[#All],[PID]],0)),INDEX(Table3[[#All],[MOV P]],MATCH(Table5[[#This Row],[PID]],Table3[[#All],[PID]],0)))</f>
        <v>3</v>
      </c>
      <c r="N98" s="72">
        <f>IF($C98="B",INDEX(Batters[[#All],[POW P]],MATCH(Table5[[#This Row],[PID]],Batters[[#All],[PID]],0)),INDEX(Table3[[#All],[CON P]],MATCH(Table5[[#This Row],[PID]],Table3[[#All],[PID]],0)))</f>
        <v>3</v>
      </c>
      <c r="O98" s="72" t="str">
        <f>IF($C98="B",INDEX(Batters[[#All],[EYE P]],MATCH(Table5[[#This Row],[PID]],Batters[[#All],[PID]],0)),INDEX(Table3[[#All],[VELO]],MATCH(Table5[[#This Row],[PID]],Table3[[#All],[PID]],0)))</f>
        <v>88-90 Mph</v>
      </c>
      <c r="P98" s="56">
        <f>IF($C98="B",INDEX(Batters[[#All],[K P]],MATCH(Table5[[#This Row],[PID]],Batters[[#All],[PID]],0)),INDEX(Table3[[#All],[STM]],MATCH(Table5[[#This Row],[PID]],Table3[[#All],[PID]],0)))</f>
        <v>6</v>
      </c>
      <c r="Q98" s="61">
        <f>IF($C98="B",INDEX(Batters[[#All],[Tot]],MATCH(Table5[[#This Row],[PID]],Batters[[#All],[PID]],0)),INDEX(Table3[[#All],[Tot]],MATCH(Table5[[#This Row],[PID]],Table3[[#All],[PID]],0)))</f>
        <v>45.234501894182202</v>
      </c>
      <c r="R98" s="52">
        <f>IF($C98="B",INDEX(Batters[[#All],[zScore]],MATCH(Table5[[#This Row],[PID]],Batters[[#All],[PID]],0)),INDEX(Table3[[#All],[zScore]],MATCH(Table5[[#This Row],[PID]],Table3[[#All],[PID]],0)))</f>
        <v>0.62297100420479679</v>
      </c>
      <c r="S98" s="78" t="str">
        <f>IF($C98="B",INDEX(Batters[[#All],[DEM]],MATCH(Table5[[#This Row],[PID]],Batters[[#All],[PID]],0)),INDEX(Table3[[#All],[DEM]],MATCH(Table5[[#This Row],[PID]],Table3[[#All],[PID]],0)))</f>
        <v>$130k</v>
      </c>
      <c r="T98" s="75">
        <f>IF($C98="B",INDEX(Batters[[#All],[Rnk]],MATCH(Table5[[#This Row],[PID]],Batters[[#All],[PID]],0)),INDEX(Table3[[#All],[Rnk]],MATCH(Table5[[#This Row],[PID]],Table3[[#All],[PID]],0)))</f>
        <v>196</v>
      </c>
      <c r="U98" s="68">
        <f>IF($C98="B",VLOOKUP($A98,Bat!$A$4:$BA$1621,47,FALSE),VLOOKUP($A98,Pit!$A$4:$BF$1557,56,FALSE))</f>
        <v>0</v>
      </c>
      <c r="V98" s="50">
        <f>IF($C98="B",VLOOKUP($A98,Bat!$A$4:$BA$1621,48,FALSE),VLOOKUP($A98,Pit!$A$4:$BF$1557,57,FALSE))</f>
        <v>0</v>
      </c>
      <c r="W98" s="69">
        <f>Table5[[#This Row],[posRnk]]+Table5[[#This Row],[zRnk]]+IF($W$3&lt;&gt;Table5[[#This Row],[Type]],50,0)</f>
        <v>573</v>
      </c>
      <c r="X98" s="73">
        <f>RANK(Table5[[#This Row],[zScore]],Table5[[#All],[zScore]])</f>
        <v>327</v>
      </c>
      <c r="Y98" s="69">
        <f>IFERROR(INDEX(DraftResults[[#All],[OVR]],MATCH(Table5[[#This Row],[PID]],DraftResults[[#All],[Player ID]],0)),"")</f>
        <v>94</v>
      </c>
      <c r="Z9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8" s="69">
        <f>IFERROR(INDEX(DraftResults[[#All],[Pick in Round]],MATCH(Table5[[#This Row],[PID]],DraftResults[[#All],[Player ID]],0)),"")</f>
        <v>26</v>
      </c>
      <c r="AB98" s="69" t="str">
        <f>IFERROR(INDEX(DraftResults[[#All],[Team Name]],MATCH(Table5[[#This Row],[PID]],DraftResults[[#All],[Player ID]],0)),"")</f>
        <v>Bakersfield Bears</v>
      </c>
      <c r="AC98" s="69">
        <f>IF(Table5[[#This Row],[Ovr]]="","",IF(Table5[[#This Row],[cmbList]]="","",Table5[[#This Row],[cmbList]]-Table5[[#This Row],[Ovr]]))</f>
        <v>479</v>
      </c>
      <c r="AD98" s="77" t="str">
        <f>IF(ISERROR(VLOOKUP($AB98&amp;"-"&amp;$E98&amp;" "&amp;F98,Bonuses!$B$1:$G$1006,4,FALSE)),"",INT(VLOOKUP($AB98&amp;"-"&amp;$E98&amp;" "&amp;$F98,Bonuses!$B$1:$G$1006,4,FALSE)))</f>
        <v/>
      </c>
      <c r="AE9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3.26 (94) - SP Bruno Floyd</v>
      </c>
    </row>
    <row r="99" spans="1:31" s="50" customFormat="1" x14ac:dyDescent="0.25">
      <c r="A99" s="68">
        <v>18308</v>
      </c>
      <c r="B99" s="69">
        <f>COUNTIF(Table5[PID],A99)</f>
        <v>1</v>
      </c>
      <c r="C99" s="69" t="str">
        <f>IF(COUNTIF(Table3[[#All],[PID]],A99)&gt;0,"P","B")</f>
        <v>P</v>
      </c>
      <c r="D99" s="59" t="str">
        <f>IF($C99="B",INDEX(Batters[[#All],[POS]],MATCH(Table5[[#This Row],[PID]],Batters[[#All],[PID]],0)),INDEX(Table3[[#All],[POS]],MATCH(Table5[[#This Row],[PID]],Table3[[#All],[PID]],0)))</f>
        <v>SP</v>
      </c>
      <c r="E99" s="52" t="str">
        <f>IF($C99="B",INDEX(Batters[[#All],[First]],MATCH(Table5[[#This Row],[PID]],Batters[[#All],[PID]],0)),INDEX(Table3[[#All],[First]],MATCH(Table5[[#This Row],[PID]],Table3[[#All],[PID]],0)))</f>
        <v>Kosami</v>
      </c>
      <c r="F99" s="55" t="str">
        <f>IF($C99="B",INDEX(Batters[[#All],[Last]],MATCH(A99,Batters[[#All],[PID]],0)),INDEX(Table3[[#All],[Last]],MATCH(A99,Table3[[#All],[PID]],0)))</f>
        <v>Yamasaki</v>
      </c>
      <c r="G99" s="56">
        <f>IF($C99="B",INDEX(Batters[[#All],[Age]],MATCH(Table5[[#This Row],[PID]],Batters[[#All],[PID]],0)),INDEX(Table3[[#All],[Age]],MATCH(Table5[[#This Row],[PID]],Table3[[#All],[PID]],0)))</f>
        <v>21</v>
      </c>
      <c r="H99" s="52" t="str">
        <f>IF($C99="B",INDEX(Batters[[#All],[B]],MATCH(Table5[[#This Row],[PID]],Batters[[#All],[PID]],0)),INDEX(Table3[[#All],[B]],MATCH(Table5[[#This Row],[PID]],Table3[[#All],[PID]],0)))</f>
        <v>L</v>
      </c>
      <c r="I99" s="52" t="str">
        <f>IF($C99="B",INDEX(Batters[[#All],[T]],MATCH(Table5[[#This Row],[PID]],Batters[[#All],[PID]],0)),INDEX(Table3[[#All],[T]],MATCH(Table5[[#This Row],[PID]],Table3[[#All],[PID]],0)))</f>
        <v>L</v>
      </c>
      <c r="J99" s="71" t="str">
        <f>IF($C99="B",INDEX(Batters[[#All],[WE]],MATCH(Table5[[#This Row],[PID]],Batters[[#All],[PID]],0)),INDEX(Table3[[#All],[WE]],MATCH(Table5[[#This Row],[PID]],Table3[[#All],[PID]],0)))</f>
        <v>Low</v>
      </c>
      <c r="K99" s="52" t="str">
        <f>IF($C99="B",INDEX(Batters[[#All],[INT]],MATCH(Table5[[#This Row],[PID]],Batters[[#All],[PID]],0)),INDEX(Table3[[#All],[INT]],MATCH(Table5[[#This Row],[PID]],Table3[[#All],[PID]],0)))</f>
        <v>Normal</v>
      </c>
      <c r="L99" s="60">
        <f>IF($C99="B",INDEX(Batters[[#All],[CON P]],MATCH(Table5[[#This Row],[PID]],Batters[[#All],[PID]],0)),INDEX(Table3[[#All],[STU P]],MATCH(Table5[[#This Row],[PID]],Table3[[#All],[PID]],0)))</f>
        <v>6</v>
      </c>
      <c r="M99" s="72">
        <f>IF($C99="B",INDEX(Batters[[#All],[GAP P]],MATCH(Table5[[#This Row],[PID]],Batters[[#All],[PID]],0)),INDEX(Table3[[#All],[MOV P]],MATCH(Table5[[#This Row],[PID]],Table3[[#All],[PID]],0)))</f>
        <v>5</v>
      </c>
      <c r="N99" s="72">
        <f>IF($C99="B",INDEX(Batters[[#All],[POW P]],MATCH(Table5[[#This Row],[PID]],Batters[[#All],[PID]],0)),INDEX(Table3[[#All],[CON P]],MATCH(Table5[[#This Row],[PID]],Table3[[#All],[PID]],0)))</f>
        <v>5</v>
      </c>
      <c r="O99" s="72" t="str">
        <f>IF($C99="B",INDEX(Batters[[#All],[EYE P]],MATCH(Table5[[#This Row],[PID]],Batters[[#All],[PID]],0)),INDEX(Table3[[#All],[VELO]],MATCH(Table5[[#This Row],[PID]],Table3[[#All],[PID]],0)))</f>
        <v>95-97 Mph</v>
      </c>
      <c r="P99" s="56">
        <f>IF($C99="B",INDEX(Batters[[#All],[K P]],MATCH(Table5[[#This Row],[PID]],Batters[[#All],[PID]],0)),INDEX(Table3[[#All],[STM]],MATCH(Table5[[#This Row],[PID]],Table3[[#All],[PID]],0)))</f>
        <v>4</v>
      </c>
      <c r="Q99" s="61">
        <f>IF($C99="B",INDEX(Batters[[#All],[Tot]],MATCH(Table5[[#This Row],[PID]],Batters[[#All],[PID]],0)),INDEX(Table3[[#All],[Tot]],MATCH(Table5[[#This Row],[PID]],Table3[[#All],[PID]],0)))</f>
        <v>57.797843338421089</v>
      </c>
      <c r="R99" s="52">
        <f>IF($C99="B",INDEX(Batters[[#All],[zScore]],MATCH(Table5[[#This Row],[PID]],Batters[[#All],[PID]],0)),INDEX(Table3[[#All],[zScore]],MATCH(Table5[[#This Row],[PID]],Table3[[#All],[PID]],0)))</f>
        <v>1.4587909123368623</v>
      </c>
      <c r="S99" s="78" t="str">
        <f>IF($C99="B",INDEX(Batters[[#All],[DEM]],MATCH(Table5[[#This Row],[PID]],Batters[[#All],[PID]],0)),INDEX(Table3[[#All],[DEM]],MATCH(Table5[[#This Row],[PID]],Table3[[#All],[PID]],0)))</f>
        <v>$55k</v>
      </c>
      <c r="T99" s="75">
        <f>IF($C99="B",INDEX(Batters[[#All],[Rnk]],MATCH(Table5[[#This Row],[PID]],Batters[[#All],[PID]],0)),INDEX(Table3[[#All],[Rnk]],MATCH(Table5[[#This Row],[PID]],Table3[[#All],[PID]],0)))</f>
        <v>79</v>
      </c>
      <c r="U99" s="68">
        <f>IF($C99="B",VLOOKUP($A99,Bat!$A$4:$BA$1621,47,FALSE),VLOOKUP($A99,Pit!$A$4:$BF$1557,56,FALSE))</f>
        <v>0</v>
      </c>
      <c r="V99" s="50">
        <f>IF($C99="B",VLOOKUP($A99,Bat!$A$4:$BA$1621,48,FALSE),VLOOKUP($A99,Pit!$A$4:$BF$1557,57,FALSE))</f>
        <v>0</v>
      </c>
      <c r="W99" s="69">
        <f>Table5[[#This Row],[posRnk]]+Table5[[#This Row],[zRnk]]+IF($W$3&lt;&gt;Table5[[#This Row],[Type]],50,0)</f>
        <v>256</v>
      </c>
      <c r="X99" s="73">
        <f>RANK(Table5[[#This Row],[zScore]],Table5[[#All],[zScore]])</f>
        <v>127</v>
      </c>
      <c r="Y99" s="69">
        <f>IFERROR(INDEX(DraftResults[[#All],[OVR]],MATCH(Table5[[#This Row],[PID]],DraftResults[[#All],[Player ID]],0)),"")</f>
        <v>95</v>
      </c>
      <c r="Z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99" s="69">
        <f>IFERROR(INDEX(DraftResults[[#All],[Pick in Round]],MATCH(Table5[[#This Row],[PID]],DraftResults[[#All],[Player ID]],0)),"")</f>
        <v>27</v>
      </c>
      <c r="AB99" s="69" t="str">
        <f>IFERROR(INDEX(DraftResults[[#All],[Team Name]],MATCH(Table5[[#This Row],[PID]],DraftResults[[#All],[Player ID]],0)),"")</f>
        <v>Toyama Wind Dancers</v>
      </c>
      <c r="AC99" s="69">
        <f>IF(Table5[[#This Row],[Ovr]]="","",IF(Table5[[#This Row],[cmbList]]="","",Table5[[#This Row],[cmbList]]-Table5[[#This Row],[Ovr]]))</f>
        <v>161</v>
      </c>
      <c r="AD99" s="77" t="str">
        <f>IF(ISERROR(VLOOKUP($AB99&amp;"-"&amp;$E99&amp;" "&amp;F99,Bonuses!$B$1:$G$1006,4,FALSE)),"",INT(VLOOKUP($AB99&amp;"-"&amp;$E99&amp;" "&amp;$F99,Bonuses!$B$1:$G$1006,4,FALSE)))</f>
        <v/>
      </c>
      <c r="AE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3.27 (95) - SP Kosami Yamasaki</v>
      </c>
    </row>
    <row r="100" spans="1:31" s="50" customFormat="1" x14ac:dyDescent="0.25">
      <c r="A100" s="50">
        <v>20417</v>
      </c>
      <c r="B100" s="50">
        <f>COUNTIF(Table5[PID],A100)</f>
        <v>1</v>
      </c>
      <c r="C100" s="50" t="str">
        <f>IF(COUNTIF(Table3[[#All],[PID]],A100)&gt;0,"P","B")</f>
        <v>B</v>
      </c>
      <c r="D100" s="59" t="str">
        <f>IF($C100="B",INDEX(Batters[[#All],[POS]],MATCH(Table5[[#This Row],[PID]],Batters[[#All],[PID]],0)),INDEX(Table3[[#All],[POS]],MATCH(Table5[[#This Row],[PID]],Table3[[#All],[PID]],0)))</f>
        <v>RF</v>
      </c>
      <c r="E100" s="52" t="str">
        <f>IF($C100="B",INDEX(Batters[[#All],[First]],MATCH(Table5[[#This Row],[PID]],Batters[[#All],[PID]],0)),INDEX(Table3[[#All],[First]],MATCH(Table5[[#This Row],[PID]],Table3[[#All],[PID]],0)))</f>
        <v>Aaron</v>
      </c>
      <c r="F100" s="50" t="str">
        <f>IF($C100="B",INDEX(Batters[[#All],[Last]],MATCH(A100,Batters[[#All],[PID]],0)),INDEX(Table3[[#All],[Last]],MATCH(A100,Table3[[#All],[PID]],0)))</f>
        <v>Limeburner</v>
      </c>
      <c r="G100" s="56">
        <f>IF($C100="B",INDEX(Batters[[#All],[Age]],MATCH(Table5[[#This Row],[PID]],Batters[[#All],[PID]],0)),INDEX(Table3[[#All],[Age]],MATCH(Table5[[#This Row],[PID]],Table3[[#All],[PID]],0)))</f>
        <v>17</v>
      </c>
      <c r="H100" s="52" t="str">
        <f>IF($C100="B",INDEX(Batters[[#All],[B]],MATCH(Table5[[#This Row],[PID]],Batters[[#All],[PID]],0)),INDEX(Table3[[#All],[B]],MATCH(Table5[[#This Row],[PID]],Table3[[#All],[PID]],0)))</f>
        <v>R</v>
      </c>
      <c r="I100" s="52" t="str">
        <f>IF($C100="B",INDEX(Batters[[#All],[T]],MATCH(Table5[[#This Row],[PID]],Batters[[#All],[PID]],0)),INDEX(Table3[[#All],[T]],MATCH(Table5[[#This Row],[PID]],Table3[[#All],[PID]],0)))</f>
        <v>R</v>
      </c>
      <c r="J100" s="52" t="str">
        <f>IF($C100="B",INDEX(Batters[[#All],[WE]],MATCH(Table5[[#This Row],[PID]],Batters[[#All],[PID]],0)),INDEX(Table3[[#All],[WE]],MATCH(Table5[[#This Row],[PID]],Table3[[#All],[PID]],0)))</f>
        <v>Low</v>
      </c>
      <c r="K100" s="52" t="str">
        <f>IF($C100="B",INDEX(Batters[[#All],[INT]],MATCH(Table5[[#This Row],[PID]],Batters[[#All],[PID]],0)),INDEX(Table3[[#All],[INT]],MATCH(Table5[[#This Row],[PID]],Table3[[#All],[PID]],0)))</f>
        <v>Low</v>
      </c>
      <c r="L100" s="60">
        <f>IF($C100="B",INDEX(Batters[[#All],[CON P]],MATCH(Table5[[#This Row],[PID]],Batters[[#All],[PID]],0)),INDEX(Table3[[#All],[STU P]],MATCH(Table5[[#This Row],[PID]],Table3[[#All],[PID]],0)))</f>
        <v>4</v>
      </c>
      <c r="M100" s="56">
        <f>IF($C100="B",INDEX(Batters[[#All],[GAP P]],MATCH(Table5[[#This Row],[PID]],Batters[[#All],[PID]],0)),INDEX(Table3[[#All],[MOV P]],MATCH(Table5[[#This Row],[PID]],Table3[[#All],[PID]],0)))</f>
        <v>6</v>
      </c>
      <c r="N100" s="56">
        <f>IF($C100="B",INDEX(Batters[[#All],[POW P]],MATCH(Table5[[#This Row],[PID]],Batters[[#All],[PID]],0)),INDEX(Table3[[#All],[CON P]],MATCH(Table5[[#This Row],[PID]],Table3[[#All],[PID]],0)))</f>
        <v>8</v>
      </c>
      <c r="O100" s="56">
        <f>IF($C100="B",INDEX(Batters[[#All],[EYE P]],MATCH(Table5[[#This Row],[PID]],Batters[[#All],[PID]],0)),INDEX(Table3[[#All],[VELO]],MATCH(Table5[[#This Row],[PID]],Table3[[#All],[PID]],0)))</f>
        <v>6</v>
      </c>
      <c r="P100" s="56">
        <f>IF($C100="B",INDEX(Batters[[#All],[K P]],MATCH(Table5[[#This Row],[PID]],Batters[[#All],[PID]],0)),INDEX(Table3[[#All],[STM]],MATCH(Table5[[#This Row],[PID]],Table3[[#All],[PID]],0)))</f>
        <v>4</v>
      </c>
      <c r="Q100" s="61">
        <f>IF($C100="B",INDEX(Batters[[#All],[Tot]],MATCH(Table5[[#This Row],[PID]],Batters[[#All],[PID]],0)),INDEX(Table3[[#All],[Tot]],MATCH(Table5[[#This Row],[PID]],Table3[[#All],[PID]],0)))</f>
        <v>52.716753563037685</v>
      </c>
      <c r="R100" s="52">
        <f>IF($C100="B",INDEX(Batters[[#All],[zScore]],MATCH(Table5[[#This Row],[PID]],Batters[[#All],[PID]],0)),INDEX(Table3[[#All],[zScore]],MATCH(Table5[[#This Row],[PID]],Table3[[#All],[PID]],0)))</f>
        <v>1.9033112565953667</v>
      </c>
      <c r="S100" s="58" t="str">
        <f>IF($C100="B",INDEX(Batters[[#All],[DEM]],MATCH(Table5[[#This Row],[PID]],Batters[[#All],[PID]],0)),INDEX(Table3[[#All],[DEM]],MATCH(Table5[[#This Row],[PID]],Table3[[#All],[PID]],0)))</f>
        <v>$240k</v>
      </c>
      <c r="T100" s="62">
        <f>IF($C100="B",INDEX(Batters[[#All],[Rnk]],MATCH(Table5[[#This Row],[PID]],Batters[[#All],[PID]],0)),INDEX(Table3[[#All],[Rnk]],MATCH(Table5[[#This Row],[PID]],Table3[[#All],[PID]],0)))</f>
        <v>21</v>
      </c>
      <c r="U100" s="68">
        <f>IF($C100="B",VLOOKUP($A100,Bat!$A$4:$BA$1621,47,FALSE),VLOOKUP($A100,Pit!$A$4:$BF$1557,56,FALSE))</f>
        <v>0</v>
      </c>
      <c r="V100" s="50">
        <f>IF($C100="B",VLOOKUP($A100,Bat!$A$4:$BA$1621,48,FALSE),VLOOKUP($A100,Pit!$A$4:$BF$1557,57,FALSE))</f>
        <v>0</v>
      </c>
      <c r="W100" s="50">
        <f>Table5[[#This Row],[posRnk]]+Table5[[#This Row],[zRnk]]+IF($W$3&lt;&gt;Table5[[#This Row],[Type]],50,0)</f>
        <v>128</v>
      </c>
      <c r="X100" s="51">
        <f>RANK(Table5[[#This Row],[zScore]],Table5[[#All],[zScore]])</f>
        <v>57</v>
      </c>
      <c r="Y100" s="50">
        <f>IFERROR(INDEX(DraftResults[[#All],[OVR]],MATCH(Table5[[#This Row],[PID]],DraftResults[[#All],[Player ID]],0)),"")</f>
        <v>96</v>
      </c>
      <c r="Z1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00" s="50">
        <f>IFERROR(INDEX(DraftResults[[#All],[Pick in Round]],MATCH(Table5[[#This Row],[PID]],DraftResults[[#All],[Player ID]],0)),"")</f>
        <v>28</v>
      </c>
      <c r="AB100" s="50" t="str">
        <f>IFERROR(INDEX(DraftResults[[#All],[Team Name]],MATCH(Table5[[#This Row],[PID]],DraftResults[[#All],[Player ID]],0)),"")</f>
        <v>Kalamazoo Badgers</v>
      </c>
      <c r="AC100" s="50">
        <f>IF(Table5[[#This Row],[Ovr]]="","",IF(Table5[[#This Row],[cmbList]]="","",Table5[[#This Row],[cmbList]]-Table5[[#This Row],[Ovr]]))</f>
        <v>32</v>
      </c>
      <c r="AD100" s="54" t="str">
        <f>IF(ISERROR(VLOOKUP($AB100&amp;"-"&amp;$E100&amp;" "&amp;F100,Bonuses!$B$1:$G$1006,4,FALSE)),"",INT(VLOOKUP($AB100&amp;"-"&amp;$E100&amp;" "&amp;$F100,Bonuses!$B$1:$G$1006,4,FALSE)))</f>
        <v/>
      </c>
      <c r="AE1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3.28 (96) - RF Aaron Limeburner</v>
      </c>
    </row>
    <row r="101" spans="1:31" s="50" customFormat="1" x14ac:dyDescent="0.25">
      <c r="A101" s="68">
        <v>18271</v>
      </c>
      <c r="B101" s="69">
        <f>COUNTIF(Table5[PID],A101)</f>
        <v>1</v>
      </c>
      <c r="C101" s="69" t="str">
        <f>IF(COUNTIF(Table3[[#All],[PID]],A101)&gt;0,"P","B")</f>
        <v>P</v>
      </c>
      <c r="D101" s="59" t="str">
        <f>IF($C101="B",INDEX(Batters[[#All],[POS]],MATCH(Table5[[#This Row],[PID]],Batters[[#All],[PID]],0)),INDEX(Table3[[#All],[POS]],MATCH(Table5[[#This Row],[PID]],Table3[[#All],[PID]],0)))</f>
        <v>SP</v>
      </c>
      <c r="E101" s="52" t="str">
        <f>IF($C101="B",INDEX(Batters[[#All],[First]],MATCH(Table5[[#This Row],[PID]],Batters[[#All],[PID]],0)),INDEX(Table3[[#All],[First]],MATCH(Table5[[#This Row],[PID]],Table3[[#All],[PID]],0)))</f>
        <v>Mal</v>
      </c>
      <c r="F101" s="55" t="str">
        <f>IF($C101="B",INDEX(Batters[[#All],[Last]],MATCH(A101,Batters[[#All],[PID]],0)),INDEX(Table3[[#All],[Last]],MATCH(A101,Table3[[#All],[PID]],0)))</f>
        <v>Jones</v>
      </c>
      <c r="G101" s="56">
        <f>IF($C101="B",INDEX(Batters[[#All],[Age]],MATCH(Table5[[#This Row],[PID]],Batters[[#All],[PID]],0)),INDEX(Table3[[#All],[Age]],MATCH(Table5[[#This Row],[PID]],Table3[[#All],[PID]],0)))</f>
        <v>18</v>
      </c>
      <c r="H101" s="52" t="str">
        <f>IF($C101="B",INDEX(Batters[[#All],[B]],MATCH(Table5[[#This Row],[PID]],Batters[[#All],[PID]],0)),INDEX(Table3[[#All],[B]],MATCH(Table5[[#This Row],[PID]],Table3[[#All],[PID]],0)))</f>
        <v>R</v>
      </c>
      <c r="I101" s="52" t="str">
        <f>IF($C101="B",INDEX(Batters[[#All],[T]],MATCH(Table5[[#This Row],[PID]],Batters[[#All],[PID]],0)),INDEX(Table3[[#All],[T]],MATCH(Table5[[#This Row],[PID]],Table3[[#All],[PID]],0)))</f>
        <v>R</v>
      </c>
      <c r="J101" s="71" t="str">
        <f>IF($C101="B",INDEX(Batters[[#All],[WE]],MATCH(Table5[[#This Row],[PID]],Batters[[#All],[PID]],0)),INDEX(Table3[[#All],[WE]],MATCH(Table5[[#This Row],[PID]],Table3[[#All],[PID]],0)))</f>
        <v>High</v>
      </c>
      <c r="K101" s="52" t="str">
        <f>IF($C101="B",INDEX(Batters[[#All],[INT]],MATCH(Table5[[#This Row],[PID]],Batters[[#All],[PID]],0)),INDEX(Table3[[#All],[INT]],MATCH(Table5[[#This Row],[PID]],Table3[[#All],[PID]],0)))</f>
        <v>Normal</v>
      </c>
      <c r="L101" s="60">
        <f>IF($C101="B",INDEX(Batters[[#All],[CON P]],MATCH(Table5[[#This Row],[PID]],Batters[[#All],[PID]],0)),INDEX(Table3[[#All],[STU P]],MATCH(Table5[[#This Row],[PID]],Table3[[#All],[PID]],0)))</f>
        <v>5</v>
      </c>
      <c r="M101" s="72">
        <f>IF($C101="B",INDEX(Batters[[#All],[GAP P]],MATCH(Table5[[#This Row],[PID]],Batters[[#All],[PID]],0)),INDEX(Table3[[#All],[MOV P]],MATCH(Table5[[#This Row],[PID]],Table3[[#All],[PID]],0)))</f>
        <v>4</v>
      </c>
      <c r="N101" s="72">
        <f>IF($C101="B",INDEX(Batters[[#All],[POW P]],MATCH(Table5[[#This Row],[PID]],Batters[[#All],[PID]],0)),INDEX(Table3[[#All],[CON P]],MATCH(Table5[[#This Row],[PID]],Table3[[#All],[PID]],0)))</f>
        <v>5</v>
      </c>
      <c r="O101" s="72" t="str">
        <f>IF($C101="B",INDEX(Batters[[#All],[EYE P]],MATCH(Table5[[#This Row],[PID]],Batters[[#All],[PID]],0)),INDEX(Table3[[#All],[VELO]],MATCH(Table5[[#This Row],[PID]],Table3[[#All],[PID]],0)))</f>
        <v>93-95 Mph</v>
      </c>
      <c r="P101" s="56">
        <f>IF($C101="B",INDEX(Batters[[#All],[K P]],MATCH(Table5[[#This Row],[PID]],Batters[[#All],[PID]],0)),INDEX(Table3[[#All],[STM]],MATCH(Table5[[#This Row],[PID]],Table3[[#All],[PID]],0)))</f>
        <v>9</v>
      </c>
      <c r="Q101" s="61">
        <f>IF($C101="B",INDEX(Batters[[#All],[Tot]],MATCH(Table5[[#This Row],[PID]],Batters[[#All],[PID]],0)),INDEX(Table3[[#All],[Tot]],MATCH(Table5[[#This Row],[PID]],Table3[[#All],[PID]],0)))</f>
        <v>58.86333776906217</v>
      </c>
      <c r="R101" s="52">
        <f>IF($C101="B",INDEX(Batters[[#All],[zScore]],MATCH(Table5[[#This Row],[PID]],Batters[[#All],[PID]],0)),INDEX(Table3[[#All],[zScore]],MATCH(Table5[[#This Row],[PID]],Table3[[#All],[PID]],0)))</f>
        <v>1.5296766286159527</v>
      </c>
      <c r="S101" s="78" t="str">
        <f>IF($C101="B",INDEX(Batters[[#All],[DEM]],MATCH(Table5[[#This Row],[PID]],Batters[[#All],[PID]],0)),INDEX(Table3[[#All],[DEM]],MATCH(Table5[[#This Row],[PID]],Table3[[#All],[PID]],0)))</f>
        <v>$550k</v>
      </c>
      <c r="T101" s="75">
        <f>IF($C101="B",INDEX(Batters[[#All],[Rnk]],MATCH(Table5[[#This Row],[PID]],Batters[[#All],[PID]],0)),INDEX(Table3[[#All],[Rnk]],MATCH(Table5[[#This Row],[PID]],Table3[[#All],[PID]],0)))</f>
        <v>71</v>
      </c>
      <c r="U101" s="68">
        <f>IF($C101="B",VLOOKUP($A101,Bat!$A$4:$BA$1621,47,FALSE),VLOOKUP($A101,Pit!$A$4:$BF$1557,56,FALSE))</f>
        <v>0</v>
      </c>
      <c r="V101" s="50">
        <f>IF($C101="B",VLOOKUP($A101,Bat!$A$4:$BA$1621,48,FALSE),VLOOKUP($A101,Pit!$A$4:$BF$1557,57,FALSE))</f>
        <v>0</v>
      </c>
      <c r="W101" s="69">
        <f>Table5[[#This Row],[posRnk]]+Table5[[#This Row],[zRnk]]+IF($W$3&lt;&gt;Table5[[#This Row],[Type]],50,0)</f>
        <v>233</v>
      </c>
      <c r="X101" s="73">
        <f>RANK(Table5[[#This Row],[zScore]],Table5[[#All],[zScore]])</f>
        <v>112</v>
      </c>
      <c r="Y101" s="69">
        <f>IFERROR(INDEX(DraftResults[[#All],[OVR]],MATCH(Table5[[#This Row],[PID]],DraftResults[[#All],[Player ID]],0)),"")</f>
        <v>97</v>
      </c>
      <c r="Z10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01" s="69">
        <f>IFERROR(INDEX(DraftResults[[#All],[Pick in Round]],MATCH(Table5[[#This Row],[PID]],DraftResults[[#All],[Player ID]],0)),"")</f>
        <v>29</v>
      </c>
      <c r="AB101" s="69" t="str">
        <f>IFERROR(INDEX(DraftResults[[#All],[Team Name]],MATCH(Table5[[#This Row],[PID]],DraftResults[[#All],[Player ID]],0)),"")</f>
        <v>Neo-Tokyo Akira</v>
      </c>
      <c r="AC101" s="69">
        <f>IF(Table5[[#This Row],[Ovr]]="","",IF(Table5[[#This Row],[cmbList]]="","",Table5[[#This Row],[cmbList]]-Table5[[#This Row],[Ovr]]))</f>
        <v>136</v>
      </c>
      <c r="AD101" s="77" t="str">
        <f>IF(ISERROR(VLOOKUP($AB101&amp;"-"&amp;$E101&amp;" "&amp;F101,Bonuses!$B$1:$G$1006,4,FALSE)),"",INT(VLOOKUP($AB101&amp;"-"&amp;$E101&amp;" "&amp;$F101,Bonuses!$B$1:$G$1006,4,FALSE)))</f>
        <v/>
      </c>
      <c r="AE10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3.29 (97) - SP Mal Jones</v>
      </c>
    </row>
    <row r="102" spans="1:31" s="50" customFormat="1" x14ac:dyDescent="0.25">
      <c r="A102" s="68">
        <v>18185</v>
      </c>
      <c r="B102" s="69">
        <f>COUNTIF(Table5[PID],A102)</f>
        <v>1</v>
      </c>
      <c r="C102" s="69" t="str">
        <f>IF(COUNTIF(Table3[[#All],[PID]],A102)&gt;0,"P","B")</f>
        <v>P</v>
      </c>
      <c r="D102" s="59" t="str">
        <f>IF($C102="B",INDEX(Batters[[#All],[POS]],MATCH(Table5[[#This Row],[PID]],Batters[[#All],[PID]],0)),INDEX(Table3[[#All],[POS]],MATCH(Table5[[#This Row],[PID]],Table3[[#All],[PID]],0)))</f>
        <v>SP</v>
      </c>
      <c r="E102" s="52" t="str">
        <f>IF($C102="B",INDEX(Batters[[#All],[First]],MATCH(Table5[[#This Row],[PID]],Batters[[#All],[PID]],0)),INDEX(Table3[[#All],[First]],MATCH(Table5[[#This Row],[PID]],Table3[[#All],[PID]],0)))</f>
        <v>David</v>
      </c>
      <c r="F102" s="55" t="str">
        <f>IF($C102="B",INDEX(Batters[[#All],[Last]],MATCH(A102,Batters[[#All],[PID]],0)),INDEX(Table3[[#All],[Last]],MATCH(A102,Table3[[#All],[PID]],0)))</f>
        <v>Sánz</v>
      </c>
      <c r="G102" s="56">
        <f>IF($C102="B",INDEX(Batters[[#All],[Age]],MATCH(Table5[[#This Row],[PID]],Batters[[#All],[PID]],0)),INDEX(Table3[[#All],[Age]],MATCH(Table5[[#This Row],[PID]],Table3[[#All],[PID]],0)))</f>
        <v>18</v>
      </c>
      <c r="H102" s="52" t="str">
        <f>IF($C102="B",INDEX(Batters[[#All],[B]],MATCH(Table5[[#This Row],[PID]],Batters[[#All],[PID]],0)),INDEX(Table3[[#All],[B]],MATCH(Table5[[#This Row],[PID]],Table3[[#All],[PID]],0)))</f>
        <v>L</v>
      </c>
      <c r="I102" s="52" t="str">
        <f>IF($C102="B",INDEX(Batters[[#All],[T]],MATCH(Table5[[#This Row],[PID]],Batters[[#All],[PID]],0)),INDEX(Table3[[#All],[T]],MATCH(Table5[[#This Row],[PID]],Table3[[#All],[PID]],0)))</f>
        <v>L</v>
      </c>
      <c r="J102" s="71" t="str">
        <f>IF($C102="B",INDEX(Batters[[#All],[WE]],MATCH(Table5[[#This Row],[PID]],Batters[[#All],[PID]],0)),INDEX(Table3[[#All],[WE]],MATCH(Table5[[#This Row],[PID]],Table3[[#All],[PID]],0)))</f>
        <v>Normal</v>
      </c>
      <c r="K102" s="52" t="str">
        <f>IF($C102="B",INDEX(Batters[[#All],[INT]],MATCH(Table5[[#This Row],[PID]],Batters[[#All],[PID]],0)),INDEX(Table3[[#All],[INT]],MATCH(Table5[[#This Row],[PID]],Table3[[#All],[PID]],0)))</f>
        <v>High</v>
      </c>
      <c r="L102" s="60">
        <f>IF($C102="B",INDEX(Batters[[#All],[CON P]],MATCH(Table5[[#This Row],[PID]],Batters[[#All],[PID]],0)),INDEX(Table3[[#All],[STU P]],MATCH(Table5[[#This Row],[PID]],Table3[[#All],[PID]],0)))</f>
        <v>6</v>
      </c>
      <c r="M102" s="72">
        <f>IF($C102="B",INDEX(Batters[[#All],[GAP P]],MATCH(Table5[[#This Row],[PID]],Batters[[#All],[PID]],0)),INDEX(Table3[[#All],[MOV P]],MATCH(Table5[[#This Row],[PID]],Table3[[#All],[PID]],0)))</f>
        <v>4</v>
      </c>
      <c r="N102" s="72">
        <f>IF($C102="B",INDEX(Batters[[#All],[POW P]],MATCH(Table5[[#This Row],[PID]],Batters[[#All],[PID]],0)),INDEX(Table3[[#All],[CON P]],MATCH(Table5[[#This Row],[PID]],Table3[[#All],[PID]],0)))</f>
        <v>6</v>
      </c>
      <c r="O102" s="72" t="str">
        <f>IF($C102="B",INDEX(Batters[[#All],[EYE P]],MATCH(Table5[[#This Row],[PID]],Batters[[#All],[PID]],0)),INDEX(Table3[[#All],[VELO]],MATCH(Table5[[#This Row],[PID]],Table3[[#All],[PID]],0)))</f>
        <v>95-97 Mph</v>
      </c>
      <c r="P102" s="56">
        <f>IF($C102="B",INDEX(Batters[[#All],[K P]],MATCH(Table5[[#This Row],[PID]],Batters[[#All],[PID]],0)),INDEX(Table3[[#All],[STM]],MATCH(Table5[[#This Row],[PID]],Table3[[#All],[PID]],0)))</f>
        <v>7</v>
      </c>
      <c r="Q102" s="61">
        <f>IF($C102="B",INDEX(Batters[[#All],[Tot]],MATCH(Table5[[#This Row],[PID]],Batters[[#All],[PID]],0)),INDEX(Table3[[#All],[Tot]],MATCH(Table5[[#This Row],[PID]],Table3[[#All],[PID]],0)))</f>
        <v>68.050668879892655</v>
      </c>
      <c r="R102" s="52">
        <f>IF($C102="B",INDEX(Batters[[#All],[zScore]],MATCH(Table5[[#This Row],[PID]],Batters[[#All],[PID]],0)),INDEX(Table3[[#All],[zScore]],MATCH(Table5[[#This Row],[PID]],Table3[[#All],[PID]],0)))</f>
        <v>2.1408957281775987</v>
      </c>
      <c r="S102" s="78" t="str">
        <f>IF($C102="B",INDEX(Batters[[#All],[DEM]],MATCH(Table5[[#This Row],[PID]],Batters[[#All],[PID]],0)),INDEX(Table3[[#All],[DEM]],MATCH(Table5[[#This Row],[PID]],Table3[[#All],[PID]],0)))</f>
        <v>$3.0m</v>
      </c>
      <c r="T102" s="75">
        <f>IF($C102="B",INDEX(Batters[[#All],[Rnk]],MATCH(Table5[[#This Row],[PID]],Batters[[#All],[PID]],0)),INDEX(Table3[[#All],[Rnk]],MATCH(Table5[[#This Row],[PID]],Table3[[#All],[PID]],0)))</f>
        <v>19</v>
      </c>
      <c r="U102" s="68">
        <f>IF($C102="B",VLOOKUP($A102,Bat!$A$4:$BA$1621,47,FALSE),VLOOKUP($A102,Pit!$A$4:$BF$1557,56,FALSE))</f>
        <v>0</v>
      </c>
      <c r="V102" s="50">
        <f>IF($C102="B",VLOOKUP($A102,Bat!$A$4:$BA$1621,48,FALSE),VLOOKUP($A102,Pit!$A$4:$BF$1557,57,FALSE))</f>
        <v>0</v>
      </c>
      <c r="W102" s="69">
        <f>Table5[[#This Row],[posRnk]]+Table5[[#This Row],[zRnk]]+IF($W$3&lt;&gt;Table5[[#This Row],[Type]],50,0)</f>
        <v>103</v>
      </c>
      <c r="X102" s="73">
        <f>RANK(Table5[[#This Row],[zScore]],Table5[[#All],[zScore]])</f>
        <v>34</v>
      </c>
      <c r="Y102" s="69">
        <f>IFERROR(INDEX(DraftResults[[#All],[OVR]],MATCH(Table5[[#This Row],[PID]],DraftResults[[#All],[Player ID]],0)),"")</f>
        <v>98</v>
      </c>
      <c r="Z10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02" s="69">
        <f>IFERROR(INDEX(DraftResults[[#All],[Pick in Round]],MATCH(Table5[[#This Row],[PID]],DraftResults[[#All],[Player ID]],0)),"")</f>
        <v>30</v>
      </c>
      <c r="AB102" s="69" t="str">
        <f>IFERROR(INDEX(DraftResults[[#All],[Team Name]],MATCH(Table5[[#This Row],[PID]],DraftResults[[#All],[Player ID]],0)),"")</f>
        <v>Niihama-shi Ghosts</v>
      </c>
      <c r="AC102" s="69">
        <f>IF(Table5[[#This Row],[Ovr]]="","",IF(Table5[[#This Row],[cmbList]]="","",Table5[[#This Row],[cmbList]]-Table5[[#This Row],[Ovr]]))</f>
        <v>5</v>
      </c>
      <c r="AD102" s="77" t="str">
        <f>IF(ISERROR(VLOOKUP($AB102&amp;"-"&amp;$E102&amp;" "&amp;F102,Bonuses!$B$1:$G$1006,4,FALSE)),"",INT(VLOOKUP($AB102&amp;"-"&amp;$E102&amp;" "&amp;$F102,Bonuses!$B$1:$G$1006,4,FALSE)))</f>
        <v/>
      </c>
      <c r="AE10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3.30 (98) - SP David Sánz</v>
      </c>
    </row>
    <row r="103" spans="1:31" s="50" customFormat="1" x14ac:dyDescent="0.25">
      <c r="A103" s="68">
        <v>16084</v>
      </c>
      <c r="B103" s="69">
        <f>COUNTIF(Table5[PID],A103)</f>
        <v>1</v>
      </c>
      <c r="C103" s="69" t="str">
        <f>IF(COUNTIF(Table3[[#All],[PID]],A103)&gt;0,"P","B")</f>
        <v>P</v>
      </c>
      <c r="D103" s="59" t="str">
        <f>IF($C103="B",INDEX(Batters[[#All],[POS]],MATCH(Table5[[#This Row],[PID]],Batters[[#All],[PID]],0)),INDEX(Table3[[#All],[POS]],MATCH(Table5[[#This Row],[PID]],Table3[[#All],[PID]],0)))</f>
        <v>SP</v>
      </c>
      <c r="E103" s="52" t="str">
        <f>IF($C103="B",INDEX(Batters[[#All],[First]],MATCH(Table5[[#This Row],[PID]],Batters[[#All],[PID]],0)),INDEX(Table3[[#All],[First]],MATCH(Table5[[#This Row],[PID]],Table3[[#All],[PID]],0)))</f>
        <v>Roelof</v>
      </c>
      <c r="F103" s="55" t="str">
        <f>IF($C103="B",INDEX(Batters[[#All],[Last]],MATCH(A103,Batters[[#All],[PID]],0)),INDEX(Table3[[#All],[Last]],MATCH(A103,Table3[[#All],[PID]],0)))</f>
        <v>Drenth</v>
      </c>
      <c r="G103" s="56">
        <f>IF($C103="B",INDEX(Batters[[#All],[Age]],MATCH(Table5[[#This Row],[PID]],Batters[[#All],[PID]],0)),INDEX(Table3[[#All],[Age]],MATCH(Table5[[#This Row],[PID]],Table3[[#All],[PID]],0)))</f>
        <v>21</v>
      </c>
      <c r="H103" s="52" t="str">
        <f>IF($C103="B",INDEX(Batters[[#All],[B]],MATCH(Table5[[#This Row],[PID]],Batters[[#All],[PID]],0)),INDEX(Table3[[#All],[B]],MATCH(Table5[[#This Row],[PID]],Table3[[#All],[PID]],0)))</f>
        <v>L</v>
      </c>
      <c r="I103" s="52" t="str">
        <f>IF($C103="B",INDEX(Batters[[#All],[T]],MATCH(Table5[[#This Row],[PID]],Batters[[#All],[PID]],0)),INDEX(Table3[[#All],[T]],MATCH(Table5[[#This Row],[PID]],Table3[[#All],[PID]],0)))</f>
        <v>L</v>
      </c>
      <c r="J103" s="71" t="str">
        <f>IF($C103="B",INDEX(Batters[[#All],[WE]],MATCH(Table5[[#This Row],[PID]],Batters[[#All],[PID]],0)),INDEX(Table3[[#All],[WE]],MATCH(Table5[[#This Row],[PID]],Table3[[#All],[PID]],0)))</f>
        <v>Normal</v>
      </c>
      <c r="K103" s="52" t="str">
        <f>IF($C103="B",INDEX(Batters[[#All],[INT]],MATCH(Table5[[#This Row],[PID]],Batters[[#All],[PID]],0)),INDEX(Table3[[#All],[INT]],MATCH(Table5[[#This Row],[PID]],Table3[[#All],[PID]],0)))</f>
        <v>High</v>
      </c>
      <c r="L103" s="60">
        <f>IF($C103="B",INDEX(Batters[[#All],[CON P]],MATCH(Table5[[#This Row],[PID]],Batters[[#All],[PID]],0)),INDEX(Table3[[#All],[STU P]],MATCH(Table5[[#This Row],[PID]],Table3[[#All],[PID]],0)))</f>
        <v>5</v>
      </c>
      <c r="M103" s="72">
        <f>IF($C103="B",INDEX(Batters[[#All],[GAP P]],MATCH(Table5[[#This Row],[PID]],Batters[[#All],[PID]],0)),INDEX(Table3[[#All],[MOV P]],MATCH(Table5[[#This Row],[PID]],Table3[[#All],[PID]],0)))</f>
        <v>5</v>
      </c>
      <c r="N103" s="72">
        <f>IF($C103="B",INDEX(Batters[[#All],[POW P]],MATCH(Table5[[#This Row],[PID]],Batters[[#All],[PID]],0)),INDEX(Table3[[#All],[CON P]],MATCH(Table5[[#This Row],[PID]],Table3[[#All],[PID]],0)))</f>
        <v>5</v>
      </c>
      <c r="O103" s="72" t="str">
        <f>IF($C103="B",INDEX(Batters[[#All],[EYE P]],MATCH(Table5[[#This Row],[PID]],Batters[[#All],[PID]],0)),INDEX(Table3[[#All],[VELO]],MATCH(Table5[[#This Row],[PID]],Table3[[#All],[PID]],0)))</f>
        <v>89-91 Mph</v>
      </c>
      <c r="P103" s="56">
        <f>IF($C103="B",INDEX(Batters[[#All],[K P]],MATCH(Table5[[#This Row],[PID]],Batters[[#All],[PID]],0)),INDEX(Table3[[#All],[STM]],MATCH(Table5[[#This Row],[PID]],Table3[[#All],[PID]],0)))</f>
        <v>7</v>
      </c>
      <c r="Q103" s="61">
        <f>IF($C103="B",INDEX(Batters[[#All],[Tot]],MATCH(Table5[[#This Row],[PID]],Batters[[#All],[PID]],0)),INDEX(Table3[[#All],[Tot]],MATCH(Table5[[#This Row],[PID]],Table3[[#All],[PID]],0)))</f>
        <v>58.699441145158602</v>
      </c>
      <c r="R103" s="52">
        <f>IF($C103="B",INDEX(Batters[[#All],[zScore]],MATCH(Table5[[#This Row],[PID]],Batters[[#All],[PID]],0)),INDEX(Table3[[#All],[zScore]],MATCH(Table5[[#This Row],[PID]],Table3[[#All],[PID]],0)))</f>
        <v>1.5861826446509224</v>
      </c>
      <c r="S103" s="78" t="str">
        <f>IF($C103="B",INDEX(Batters[[#All],[DEM]],MATCH(Table5[[#This Row],[PID]],Batters[[#All],[PID]],0)),INDEX(Table3[[#All],[DEM]],MATCH(Table5[[#This Row],[PID]],Table3[[#All],[PID]],0)))</f>
        <v>$390k</v>
      </c>
      <c r="T103" s="75">
        <f>IF($C103="B",INDEX(Batters[[#All],[Rnk]],MATCH(Table5[[#This Row],[PID]],Batters[[#All],[PID]],0)),INDEX(Table3[[#All],[Rnk]],MATCH(Table5[[#This Row],[PID]],Table3[[#All],[PID]],0)))</f>
        <v>66</v>
      </c>
      <c r="U103" s="68">
        <f>IF($C103="B",VLOOKUP($A103,Bat!$A$4:$BA$1621,47,FALSE),VLOOKUP($A103,Pit!$A$4:$BF$1557,56,FALSE))</f>
        <v>0</v>
      </c>
      <c r="V103" s="50">
        <f>IF($C103="B",VLOOKUP($A103,Bat!$A$4:$BA$1621,48,FALSE),VLOOKUP($A103,Pit!$A$4:$BF$1557,57,FALSE))</f>
        <v>0</v>
      </c>
      <c r="W103" s="69">
        <f>Table5[[#This Row],[posRnk]]+Table5[[#This Row],[zRnk]]+IF($W$3&lt;&gt;Table5[[#This Row],[Type]],50,0)</f>
        <v>220</v>
      </c>
      <c r="X103" s="73">
        <f>RANK(Table5[[#This Row],[zScore]],Table5[[#All],[zScore]])</f>
        <v>104</v>
      </c>
      <c r="Y103" s="69">
        <f>IFERROR(INDEX(DraftResults[[#All],[OVR]],MATCH(Table5[[#This Row],[PID]],DraftResults[[#All],[Player ID]],0)),"")</f>
        <v>99</v>
      </c>
      <c r="Z10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03" s="69">
        <f>IFERROR(INDEX(DraftResults[[#All],[Pick in Round]],MATCH(Table5[[#This Row],[PID]],DraftResults[[#All],[Player ID]],0)),"")</f>
        <v>31</v>
      </c>
      <c r="AB103" s="69" t="str">
        <f>IFERROR(INDEX(DraftResults[[#All],[Team Name]],MATCH(Table5[[#This Row],[PID]],DraftResults[[#All],[Player ID]],0)),"")</f>
        <v>Havana Leones</v>
      </c>
      <c r="AC103" s="69">
        <f>IF(Table5[[#This Row],[Ovr]]="","",IF(Table5[[#This Row],[cmbList]]="","",Table5[[#This Row],[cmbList]]-Table5[[#This Row],[Ovr]]))</f>
        <v>121</v>
      </c>
      <c r="AD103" s="77" t="str">
        <f>IF(ISERROR(VLOOKUP($AB103&amp;"-"&amp;$E103&amp;" "&amp;F103,Bonuses!$B$1:$G$1006,4,FALSE)),"",INT(VLOOKUP($AB103&amp;"-"&amp;$E103&amp;" "&amp;$F103,Bonuses!$B$1:$G$1006,4,FALSE)))</f>
        <v/>
      </c>
      <c r="AE10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3.31 (99) - SP Roelof Drenth</v>
      </c>
    </row>
    <row r="104" spans="1:31" s="50" customFormat="1" x14ac:dyDescent="0.25">
      <c r="A104" s="50">
        <v>20694</v>
      </c>
      <c r="B104" s="50">
        <f>COUNTIF(Table5[PID],A104)</f>
        <v>1</v>
      </c>
      <c r="C104" s="50" t="str">
        <f>IF(COUNTIF(Table3[[#All],[PID]],A104)&gt;0,"P","B")</f>
        <v>B</v>
      </c>
      <c r="D104" s="59" t="str">
        <f>IF($C104="B",INDEX(Batters[[#All],[POS]],MATCH(Table5[[#This Row],[PID]],Batters[[#All],[PID]],0)),INDEX(Table3[[#All],[POS]],MATCH(Table5[[#This Row],[PID]],Table3[[#All],[PID]],0)))</f>
        <v>RF</v>
      </c>
      <c r="E104" s="52" t="str">
        <f>IF($C104="B",INDEX(Batters[[#All],[First]],MATCH(Table5[[#This Row],[PID]],Batters[[#All],[PID]],0)),INDEX(Table3[[#All],[First]],MATCH(Table5[[#This Row],[PID]],Table3[[#All],[PID]],0)))</f>
        <v>Kung</v>
      </c>
      <c r="F104" s="50" t="str">
        <f>IF($C104="B",INDEX(Batters[[#All],[Last]],MATCH(A104,Batters[[#All],[PID]],0)),INDEX(Table3[[#All],[Last]],MATCH(A104,Table3[[#All],[PID]],0)))</f>
        <v>Tsai</v>
      </c>
      <c r="G104" s="56">
        <f>IF($C104="B",INDEX(Batters[[#All],[Age]],MATCH(Table5[[#This Row],[PID]],Batters[[#All],[PID]],0)),INDEX(Table3[[#All],[Age]],MATCH(Table5[[#This Row],[PID]],Table3[[#All],[PID]],0)))</f>
        <v>18</v>
      </c>
      <c r="H104" s="52" t="str">
        <f>IF($C104="B",INDEX(Batters[[#All],[B]],MATCH(Table5[[#This Row],[PID]],Batters[[#All],[PID]],0)),INDEX(Table3[[#All],[B]],MATCH(Table5[[#This Row],[PID]],Table3[[#All],[PID]],0)))</f>
        <v>R</v>
      </c>
      <c r="I104" s="52" t="str">
        <f>IF($C104="B",INDEX(Batters[[#All],[T]],MATCH(Table5[[#This Row],[PID]],Batters[[#All],[PID]],0)),INDEX(Table3[[#All],[T]],MATCH(Table5[[#This Row],[PID]],Table3[[#All],[PID]],0)))</f>
        <v>R</v>
      </c>
      <c r="J104" s="52" t="str">
        <f>IF($C104="B",INDEX(Batters[[#All],[WE]],MATCH(Table5[[#This Row],[PID]],Batters[[#All],[PID]],0)),INDEX(Table3[[#All],[WE]],MATCH(Table5[[#This Row],[PID]],Table3[[#All],[PID]],0)))</f>
        <v>Low</v>
      </c>
      <c r="K104" s="52" t="str">
        <f>IF($C104="B",INDEX(Batters[[#All],[INT]],MATCH(Table5[[#This Row],[PID]],Batters[[#All],[PID]],0)),INDEX(Table3[[#All],[INT]],MATCH(Table5[[#This Row],[PID]],Table3[[#All],[PID]],0)))</f>
        <v>Normal</v>
      </c>
      <c r="L104" s="60">
        <f>IF($C104="B",INDEX(Batters[[#All],[CON P]],MATCH(Table5[[#This Row],[PID]],Batters[[#All],[PID]],0)),INDEX(Table3[[#All],[STU P]],MATCH(Table5[[#This Row],[PID]],Table3[[#All],[PID]],0)))</f>
        <v>3</v>
      </c>
      <c r="M104" s="56">
        <f>IF($C104="B",INDEX(Batters[[#All],[GAP P]],MATCH(Table5[[#This Row],[PID]],Batters[[#All],[PID]],0)),INDEX(Table3[[#All],[MOV P]],MATCH(Table5[[#This Row],[PID]],Table3[[#All],[PID]],0)))</f>
        <v>7</v>
      </c>
      <c r="N104" s="56">
        <f>IF($C104="B",INDEX(Batters[[#All],[POW P]],MATCH(Table5[[#This Row],[PID]],Batters[[#All],[PID]],0)),INDEX(Table3[[#All],[CON P]],MATCH(Table5[[#This Row],[PID]],Table3[[#All],[PID]],0)))</f>
        <v>9</v>
      </c>
      <c r="O104" s="56">
        <f>IF($C104="B",INDEX(Batters[[#All],[EYE P]],MATCH(Table5[[#This Row],[PID]],Batters[[#All],[PID]],0)),INDEX(Table3[[#All],[VELO]],MATCH(Table5[[#This Row],[PID]],Table3[[#All],[PID]],0)))</f>
        <v>6</v>
      </c>
      <c r="P104" s="56">
        <f>IF($C104="B",INDEX(Batters[[#All],[K P]],MATCH(Table5[[#This Row],[PID]],Batters[[#All],[PID]],0)),INDEX(Table3[[#All],[STM]],MATCH(Table5[[#This Row],[PID]],Table3[[#All],[PID]],0)))</f>
        <v>2</v>
      </c>
      <c r="Q104" s="61">
        <f>IF($C104="B",INDEX(Batters[[#All],[Tot]],MATCH(Table5[[#This Row],[PID]],Batters[[#All],[PID]],0)),INDEX(Table3[[#All],[Tot]],MATCH(Table5[[#This Row],[PID]],Table3[[#All],[PID]],0)))</f>
        <v>49.800253844668717</v>
      </c>
      <c r="R104" s="52">
        <f>IF($C104="B",INDEX(Batters[[#All],[zScore]],MATCH(Table5[[#This Row],[PID]],Batters[[#All],[PID]],0)),INDEX(Table3[[#All],[zScore]],MATCH(Table5[[#This Row],[PID]],Table3[[#All],[PID]],0)))</f>
        <v>1.2567035553244461</v>
      </c>
      <c r="S104" s="58" t="str">
        <f>IF($C104="B",INDEX(Batters[[#All],[DEM]],MATCH(Table5[[#This Row],[PID]],Batters[[#All],[PID]],0)),INDEX(Table3[[#All],[DEM]],MATCH(Table5[[#This Row],[PID]],Table3[[#All],[PID]],0)))</f>
        <v>$330k</v>
      </c>
      <c r="T104" s="62">
        <f>IF($C104="B",INDEX(Batters[[#All],[Rnk]],MATCH(Table5[[#This Row],[PID]],Batters[[#All],[PID]],0)),INDEX(Table3[[#All],[Rnk]],MATCH(Table5[[#This Row],[PID]],Table3[[#All],[PID]],0)))</f>
        <v>64</v>
      </c>
      <c r="U104" s="68">
        <f>IF($C104="B",VLOOKUP($A104,Bat!$A$4:$BA$1621,47,FALSE),VLOOKUP($A104,Pit!$A$4:$BF$1557,56,FALSE))</f>
        <v>0</v>
      </c>
      <c r="V104" s="50">
        <f>IF($C104="B",VLOOKUP($A104,Bat!$A$4:$BA$1621,48,FALSE),VLOOKUP($A104,Pit!$A$4:$BF$1557,57,FALSE))</f>
        <v>0</v>
      </c>
      <c r="W104" s="50">
        <f>Table5[[#This Row],[posRnk]]+Table5[[#This Row],[zRnk]]+IF($W$3&lt;&gt;Table5[[#This Row],[Type]],50,0)</f>
        <v>283</v>
      </c>
      <c r="X104" s="51">
        <f>RANK(Table5[[#This Row],[zScore]],Table5[[#All],[zScore]])</f>
        <v>169</v>
      </c>
      <c r="Y104" s="50">
        <f>IFERROR(INDEX(DraftResults[[#All],[OVR]],MATCH(Table5[[#This Row],[PID]],DraftResults[[#All],[Player ID]],0)),"")</f>
        <v>100</v>
      </c>
      <c r="Z1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3</v>
      </c>
      <c r="AA104" s="50">
        <f>IFERROR(INDEX(DraftResults[[#All],[Pick in Round]],MATCH(Table5[[#This Row],[PID]],DraftResults[[#All],[Player ID]],0)),"")</f>
        <v>32</v>
      </c>
      <c r="AB104" s="50" t="str">
        <f>IFERROR(INDEX(DraftResults[[#All],[Team Name]],MATCH(Table5[[#This Row],[PID]],DraftResults[[#All],[Player ID]],0)),"")</f>
        <v>Fargo Dinosaurs</v>
      </c>
      <c r="AC104" s="50">
        <f>IF(Table5[[#This Row],[Ovr]]="","",IF(Table5[[#This Row],[cmbList]]="","",Table5[[#This Row],[cmbList]]-Table5[[#This Row],[Ovr]]))</f>
        <v>183</v>
      </c>
      <c r="AD104" s="54" t="str">
        <f>IF(ISERROR(VLOOKUP($AB104&amp;"-"&amp;$E104&amp;" "&amp;F104,Bonuses!$B$1:$G$1006,4,FALSE)),"",INT(VLOOKUP($AB104&amp;"-"&amp;$E104&amp;" "&amp;$F104,Bonuses!$B$1:$G$1006,4,FALSE)))</f>
        <v/>
      </c>
      <c r="AE1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3.32 (100) - RF Kung Tsai</v>
      </c>
    </row>
    <row r="105" spans="1:31" s="50" customFormat="1" x14ac:dyDescent="0.25">
      <c r="A105" s="50">
        <v>18281</v>
      </c>
      <c r="B105" s="50">
        <f>COUNTIF(Table5[PID],A105)</f>
        <v>1</v>
      </c>
      <c r="C105" s="50" t="str">
        <f>IF(COUNTIF(Table3[[#All],[PID]],A105)&gt;0,"P","B")</f>
        <v>B</v>
      </c>
      <c r="D105" s="59" t="str">
        <f>IF($C105="B",INDEX(Batters[[#All],[POS]],MATCH(Table5[[#This Row],[PID]],Batters[[#All],[PID]],0)),INDEX(Table3[[#All],[POS]],MATCH(Table5[[#This Row],[PID]],Table3[[#All],[PID]],0)))</f>
        <v>SS</v>
      </c>
      <c r="E105" s="52" t="str">
        <f>IF($C105="B",INDEX(Batters[[#All],[First]],MATCH(Table5[[#This Row],[PID]],Batters[[#All],[PID]],0)),INDEX(Table3[[#All],[First]],MATCH(Table5[[#This Row],[PID]],Table3[[#All],[PID]],0)))</f>
        <v>Jun</v>
      </c>
      <c r="F105" s="50" t="str">
        <f>IF($C105="B",INDEX(Batters[[#All],[Last]],MATCH(A105,Batters[[#All],[PID]],0)),INDEX(Table3[[#All],[Last]],MATCH(A105,Table3[[#All],[PID]],0)))</f>
        <v>Daisen</v>
      </c>
      <c r="G105" s="56">
        <f>IF($C105="B",INDEX(Batters[[#All],[Age]],MATCH(Table5[[#This Row],[PID]],Batters[[#All],[PID]],0)),INDEX(Table3[[#All],[Age]],MATCH(Table5[[#This Row],[PID]],Table3[[#All],[PID]],0)))</f>
        <v>21</v>
      </c>
      <c r="H105" s="52" t="str">
        <f>IF($C105="B",INDEX(Batters[[#All],[B]],MATCH(Table5[[#This Row],[PID]],Batters[[#All],[PID]],0)),INDEX(Table3[[#All],[B]],MATCH(Table5[[#This Row],[PID]],Table3[[#All],[PID]],0)))</f>
        <v>S</v>
      </c>
      <c r="I105" s="52" t="str">
        <f>IF($C105="B",INDEX(Batters[[#All],[T]],MATCH(Table5[[#This Row],[PID]],Batters[[#All],[PID]],0)),INDEX(Table3[[#All],[T]],MATCH(Table5[[#This Row],[PID]],Table3[[#All],[PID]],0)))</f>
        <v>R</v>
      </c>
      <c r="J105" s="52" t="str">
        <f>IF($C105="B",INDEX(Batters[[#All],[WE]],MATCH(Table5[[#This Row],[PID]],Batters[[#All],[PID]],0)),INDEX(Table3[[#All],[WE]],MATCH(Table5[[#This Row],[PID]],Table3[[#All],[PID]],0)))</f>
        <v>High</v>
      </c>
      <c r="K105" s="52" t="str">
        <f>IF($C105="B",INDEX(Batters[[#All],[INT]],MATCH(Table5[[#This Row],[PID]],Batters[[#All],[PID]],0)),INDEX(Table3[[#All],[INT]],MATCH(Table5[[#This Row],[PID]],Table3[[#All],[PID]],0)))</f>
        <v>Normal</v>
      </c>
      <c r="L105" s="60">
        <f>IF($C105="B",INDEX(Batters[[#All],[CON P]],MATCH(Table5[[#This Row],[PID]],Batters[[#All],[PID]],0)),INDEX(Table3[[#All],[STU P]],MATCH(Table5[[#This Row],[PID]],Table3[[#All],[PID]],0)))</f>
        <v>4</v>
      </c>
      <c r="M105" s="56">
        <f>IF($C105="B",INDEX(Batters[[#All],[GAP P]],MATCH(Table5[[#This Row],[PID]],Batters[[#All],[PID]],0)),INDEX(Table3[[#All],[MOV P]],MATCH(Table5[[#This Row],[PID]],Table3[[#All],[PID]],0)))</f>
        <v>6</v>
      </c>
      <c r="N105" s="56">
        <f>IF($C105="B",INDEX(Batters[[#All],[POW P]],MATCH(Table5[[#This Row],[PID]],Batters[[#All],[PID]],0)),INDEX(Table3[[#All],[CON P]],MATCH(Table5[[#This Row],[PID]],Table3[[#All],[PID]],0)))</f>
        <v>5</v>
      </c>
      <c r="O105" s="56">
        <f>IF($C105="B",INDEX(Batters[[#All],[EYE P]],MATCH(Table5[[#This Row],[PID]],Batters[[#All],[PID]],0)),INDEX(Table3[[#All],[VELO]],MATCH(Table5[[#This Row],[PID]],Table3[[#All],[PID]],0)))</f>
        <v>5</v>
      </c>
      <c r="P105" s="56">
        <f>IF($C105="B",INDEX(Batters[[#All],[K P]],MATCH(Table5[[#This Row],[PID]],Batters[[#All],[PID]],0)),INDEX(Table3[[#All],[STM]],MATCH(Table5[[#This Row],[PID]],Table3[[#All],[PID]],0)))</f>
        <v>3</v>
      </c>
      <c r="Q105" s="61">
        <f>IF($C105="B",INDEX(Batters[[#All],[Tot]],MATCH(Table5[[#This Row],[PID]],Batters[[#All],[PID]],0)),INDEX(Table3[[#All],[Tot]],MATCH(Table5[[#This Row],[PID]],Table3[[#All],[PID]],0)))</f>
        <v>45.136246094019143</v>
      </c>
      <c r="R105" s="52">
        <f>IF($C105="B",INDEX(Batters[[#All],[zScore]],MATCH(Table5[[#This Row],[PID]],Batters[[#All],[PID]],0)),INDEX(Table3[[#All],[zScore]],MATCH(Table5[[#This Row],[PID]],Table3[[#All],[PID]],0)))</f>
        <v>0.22266151123886224</v>
      </c>
      <c r="S105" s="58" t="str">
        <f>IF($C105="B",INDEX(Batters[[#All],[DEM]],MATCH(Table5[[#This Row],[PID]],Batters[[#All],[PID]],0)),INDEX(Table3[[#All],[DEM]],MATCH(Table5[[#This Row],[PID]],Table3[[#All],[PID]],0)))</f>
        <v>$20k</v>
      </c>
      <c r="T105" s="62">
        <f>IF($C105="B",INDEX(Batters[[#All],[Rnk]],MATCH(Table5[[#This Row],[PID]],Batters[[#All],[PID]],0)),INDEX(Table3[[#All],[Rnk]],MATCH(Table5[[#This Row],[PID]],Table3[[#All],[PID]],0)))</f>
        <v>195</v>
      </c>
      <c r="U105" s="68">
        <f>IF($C105="B",VLOOKUP($A105,Bat!$A$4:$BA$1621,47,FALSE),VLOOKUP($A105,Pit!$A$4:$BF$1557,56,FALSE))</f>
        <v>0</v>
      </c>
      <c r="V105" s="50">
        <f>IF($C105="B",VLOOKUP($A105,Bat!$A$4:$BA$1621,48,FALSE),VLOOKUP($A105,Pit!$A$4:$BF$1557,57,FALSE))</f>
        <v>0</v>
      </c>
      <c r="W105" s="50">
        <f>Table5[[#This Row],[posRnk]]+Table5[[#This Row],[zRnk]]+IF($W$3&lt;&gt;Table5[[#This Row],[Type]],50,0)</f>
        <v>698</v>
      </c>
      <c r="X105" s="51">
        <f>RANK(Table5[[#This Row],[zScore]],Table5[[#All],[zScore]])</f>
        <v>453</v>
      </c>
      <c r="Y105" s="50">
        <f>IFERROR(INDEX(DraftResults[[#All],[OVR]],MATCH(Table5[[#This Row],[PID]],DraftResults[[#All],[Player ID]],0)),"")</f>
        <v>101</v>
      </c>
      <c r="Z1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5" s="50">
        <f>IFERROR(INDEX(DraftResults[[#All],[Pick in Round]],MATCH(Table5[[#This Row],[PID]],DraftResults[[#All],[Player ID]],0)),"")</f>
        <v>1</v>
      </c>
      <c r="AB105" s="50" t="str">
        <f>IFERROR(INDEX(DraftResults[[#All],[Team Name]],MATCH(Table5[[#This Row],[PID]],DraftResults[[#All],[Player ID]],0)),"")</f>
        <v>Yuma Arroyos</v>
      </c>
      <c r="AC105" s="50">
        <f>IF(Table5[[#This Row],[Ovr]]="","",IF(Table5[[#This Row],[cmbList]]="","",Table5[[#This Row],[cmbList]]-Table5[[#This Row],[Ovr]]))</f>
        <v>597</v>
      </c>
      <c r="AD105" s="54" t="str">
        <f>IF(ISERROR(VLOOKUP($AB105&amp;"-"&amp;$E105&amp;" "&amp;F105,Bonuses!$B$1:$G$1006,4,FALSE)),"",INT(VLOOKUP($AB105&amp;"-"&amp;$E105&amp;" "&amp;$F105,Bonuses!$B$1:$G$1006,4,FALSE)))</f>
        <v/>
      </c>
      <c r="AE1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 (101) - SS Jun Daisen</v>
      </c>
    </row>
    <row r="106" spans="1:31" s="50" customFormat="1" x14ac:dyDescent="0.25">
      <c r="A106" s="68">
        <v>21079</v>
      </c>
      <c r="B106" s="69">
        <f>COUNTIF(Table5[PID],A106)</f>
        <v>1</v>
      </c>
      <c r="C106" s="69" t="str">
        <f>IF(COUNTIF(Table3[[#All],[PID]],A106)&gt;0,"P","B")</f>
        <v>P</v>
      </c>
      <c r="D106" s="59" t="str">
        <f>IF($C106="B",INDEX(Batters[[#All],[POS]],MATCH(Table5[[#This Row],[PID]],Batters[[#All],[PID]],0)),INDEX(Table3[[#All],[POS]],MATCH(Table5[[#This Row],[PID]],Table3[[#All],[PID]],0)))</f>
        <v>SP</v>
      </c>
      <c r="E106" s="52" t="str">
        <f>IF($C106="B",INDEX(Batters[[#All],[First]],MATCH(Table5[[#This Row],[PID]],Batters[[#All],[PID]],0)),INDEX(Table3[[#All],[First]],MATCH(Table5[[#This Row],[PID]],Table3[[#All],[PID]],0)))</f>
        <v>Peter</v>
      </c>
      <c r="F106" s="55" t="str">
        <f>IF($C106="B",INDEX(Batters[[#All],[Last]],MATCH(A106,Batters[[#All],[PID]],0)),INDEX(Table3[[#All],[Last]],MATCH(A106,Table3[[#All],[PID]],0)))</f>
        <v>Phillips</v>
      </c>
      <c r="G106" s="56">
        <f>IF($C106="B",INDEX(Batters[[#All],[Age]],MATCH(Table5[[#This Row],[PID]],Batters[[#All],[PID]],0)),INDEX(Table3[[#All],[Age]],MATCH(Table5[[#This Row],[PID]],Table3[[#All],[PID]],0)))</f>
        <v>17</v>
      </c>
      <c r="H106" s="52" t="str">
        <f>IF($C106="B",INDEX(Batters[[#All],[B]],MATCH(Table5[[#This Row],[PID]],Batters[[#All],[PID]],0)),INDEX(Table3[[#All],[B]],MATCH(Table5[[#This Row],[PID]],Table3[[#All],[PID]],0)))</f>
        <v>R</v>
      </c>
      <c r="I106" s="52" t="str">
        <f>IF($C106="B",INDEX(Batters[[#All],[T]],MATCH(Table5[[#This Row],[PID]],Batters[[#All],[PID]],0)),INDEX(Table3[[#All],[T]],MATCH(Table5[[#This Row],[PID]],Table3[[#All],[PID]],0)))</f>
        <v>R</v>
      </c>
      <c r="J106" s="71" t="str">
        <f>IF($C106="B",INDEX(Batters[[#All],[WE]],MATCH(Table5[[#This Row],[PID]],Batters[[#All],[PID]],0)),INDEX(Table3[[#All],[WE]],MATCH(Table5[[#This Row],[PID]],Table3[[#All],[PID]],0)))</f>
        <v>Normal</v>
      </c>
      <c r="K106" s="52" t="str">
        <f>IF($C106="B",INDEX(Batters[[#All],[INT]],MATCH(Table5[[#This Row],[PID]],Batters[[#All],[PID]],0)),INDEX(Table3[[#All],[INT]],MATCH(Table5[[#This Row],[PID]],Table3[[#All],[PID]],0)))</f>
        <v>Normal</v>
      </c>
      <c r="L106" s="60">
        <f>IF($C106="B",INDEX(Batters[[#All],[CON P]],MATCH(Table5[[#This Row],[PID]],Batters[[#All],[PID]],0)),INDEX(Table3[[#All],[STU P]],MATCH(Table5[[#This Row],[PID]],Table3[[#All],[PID]],0)))</f>
        <v>5</v>
      </c>
      <c r="M106" s="72">
        <f>IF($C106="B",INDEX(Batters[[#All],[GAP P]],MATCH(Table5[[#This Row],[PID]],Batters[[#All],[PID]],0)),INDEX(Table3[[#All],[MOV P]],MATCH(Table5[[#This Row],[PID]],Table3[[#All],[PID]],0)))</f>
        <v>6</v>
      </c>
      <c r="N106" s="72">
        <f>IF($C106="B",INDEX(Batters[[#All],[POW P]],MATCH(Table5[[#This Row],[PID]],Batters[[#All],[PID]],0)),INDEX(Table3[[#All],[CON P]],MATCH(Table5[[#This Row],[PID]],Table3[[#All],[PID]],0)))</f>
        <v>5</v>
      </c>
      <c r="O106" s="72" t="str">
        <f>IF($C106="B",INDEX(Batters[[#All],[EYE P]],MATCH(Table5[[#This Row],[PID]],Batters[[#All],[PID]],0)),INDEX(Table3[[#All],[VELO]],MATCH(Table5[[#This Row],[PID]],Table3[[#All],[PID]],0)))</f>
        <v>90-92 Mph</v>
      </c>
      <c r="P106" s="56">
        <f>IF($C106="B",INDEX(Batters[[#All],[K P]],MATCH(Table5[[#This Row],[PID]],Batters[[#All],[PID]],0)),INDEX(Table3[[#All],[STM]],MATCH(Table5[[#This Row],[PID]],Table3[[#All],[PID]],0)))</f>
        <v>7</v>
      </c>
      <c r="Q106" s="61">
        <f>IF($C106="B",INDEX(Batters[[#All],[Tot]],MATCH(Table5[[#This Row],[PID]],Batters[[#All],[PID]],0)),INDEX(Table3[[#All],[Tot]],MATCH(Table5[[#This Row],[PID]],Table3[[#All],[PID]],0)))</f>
        <v>65.272060904052054</v>
      </c>
      <c r="R106" s="52">
        <f>IF($C106="B",INDEX(Batters[[#All],[zScore]],MATCH(Table5[[#This Row],[PID]],Batters[[#All],[PID]],0)),INDEX(Table3[[#All],[zScore]],MATCH(Table5[[#This Row],[PID]],Table3[[#All],[PID]],0)))</f>
        <v>1.9560391855603403</v>
      </c>
      <c r="S106" s="78" t="str">
        <f>IF($C106="B",INDEX(Batters[[#All],[DEM]],MATCH(Table5[[#This Row],[PID]],Batters[[#All],[PID]],0)),INDEX(Table3[[#All],[DEM]],MATCH(Table5[[#This Row],[PID]],Table3[[#All],[PID]],0)))</f>
        <v>$2.4m</v>
      </c>
      <c r="T106" s="75">
        <f>IF($C106="B",INDEX(Batters[[#All],[Rnk]],MATCH(Table5[[#This Row],[PID]],Batters[[#All],[PID]],0)),INDEX(Table3[[#All],[Rnk]],MATCH(Table5[[#This Row],[PID]],Table3[[#All],[PID]],0)))</f>
        <v>33</v>
      </c>
      <c r="U106" s="68">
        <f>IF($C106="B",VLOOKUP($A106,Bat!$A$4:$BA$1621,47,FALSE),VLOOKUP($A106,Pit!$A$4:$BF$1557,56,FALSE))</f>
        <v>0</v>
      </c>
      <c r="V106" s="50">
        <f>IF($C106="B",VLOOKUP($A106,Bat!$A$4:$BA$1621,48,FALSE),VLOOKUP($A106,Pit!$A$4:$BF$1557,57,FALSE))</f>
        <v>0</v>
      </c>
      <c r="W106" s="69">
        <f>Table5[[#This Row],[posRnk]]+Table5[[#This Row],[zRnk]]+IF($W$3&lt;&gt;Table5[[#This Row],[Type]],50,0)</f>
        <v>134</v>
      </c>
      <c r="X106" s="73">
        <f>RANK(Table5[[#This Row],[zScore]],Table5[[#All],[zScore]])</f>
        <v>51</v>
      </c>
      <c r="Y106" s="69">
        <f>IFERROR(INDEX(DraftResults[[#All],[OVR]],MATCH(Table5[[#This Row],[PID]],DraftResults[[#All],[Player ID]],0)),"")</f>
        <v>102</v>
      </c>
      <c r="Z10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6" s="69">
        <f>IFERROR(INDEX(DraftResults[[#All],[Pick in Round]],MATCH(Table5[[#This Row],[PID]],DraftResults[[#All],[Player ID]],0)),"")</f>
        <v>2</v>
      </c>
      <c r="AB106" s="69" t="str">
        <f>IFERROR(INDEX(DraftResults[[#All],[Team Name]],MATCH(Table5[[#This Row],[PID]],DraftResults[[#All],[Player ID]],0)),"")</f>
        <v>Charleston Statesmen</v>
      </c>
      <c r="AC106" s="69">
        <f>IF(Table5[[#This Row],[Ovr]]="","",IF(Table5[[#This Row],[cmbList]]="","",Table5[[#This Row],[cmbList]]-Table5[[#This Row],[Ovr]]))</f>
        <v>32</v>
      </c>
      <c r="AD106" s="77" t="str">
        <f>IF(ISERROR(VLOOKUP($AB106&amp;"-"&amp;$E106&amp;" "&amp;F106,Bonuses!$B$1:$G$1006,4,FALSE)),"",INT(VLOOKUP($AB106&amp;"-"&amp;$E106&amp;" "&amp;$F106,Bonuses!$B$1:$G$1006,4,FALSE)))</f>
        <v/>
      </c>
      <c r="AE10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 (102) - SP Peter Phillips</v>
      </c>
    </row>
    <row r="107" spans="1:31" s="50" customFormat="1" x14ac:dyDescent="0.25">
      <c r="A107" s="50">
        <v>20234</v>
      </c>
      <c r="B107" s="50">
        <f>COUNTIF(Table5[PID],A107)</f>
        <v>1</v>
      </c>
      <c r="C107" s="50" t="str">
        <f>IF(COUNTIF(Table3[[#All],[PID]],A107)&gt;0,"P","B")</f>
        <v>B</v>
      </c>
      <c r="D107" s="59" t="str">
        <f>IF($C107="B",INDEX(Batters[[#All],[POS]],MATCH(Table5[[#This Row],[PID]],Batters[[#All],[PID]],0)),INDEX(Table3[[#All],[POS]],MATCH(Table5[[#This Row],[PID]],Table3[[#All],[PID]],0)))</f>
        <v>SS</v>
      </c>
      <c r="E107" s="52" t="str">
        <f>IF($C107="B",INDEX(Batters[[#All],[First]],MATCH(Table5[[#This Row],[PID]],Batters[[#All],[PID]],0)),INDEX(Table3[[#All],[First]],MATCH(Table5[[#This Row],[PID]],Table3[[#All],[PID]],0)))</f>
        <v>Dave</v>
      </c>
      <c r="F107" s="50" t="str">
        <f>IF($C107="B",INDEX(Batters[[#All],[Last]],MATCH(A107,Batters[[#All],[PID]],0)),INDEX(Table3[[#All],[Last]],MATCH(A107,Table3[[#All],[PID]],0)))</f>
        <v>Talbot</v>
      </c>
      <c r="G107" s="56">
        <f>IF($C107="B",INDEX(Batters[[#All],[Age]],MATCH(Table5[[#This Row],[PID]],Batters[[#All],[PID]],0)),INDEX(Table3[[#All],[Age]],MATCH(Table5[[#This Row],[PID]],Table3[[#All],[PID]],0)))</f>
        <v>21</v>
      </c>
      <c r="H107" s="52" t="str">
        <f>IF($C107="B",INDEX(Batters[[#All],[B]],MATCH(Table5[[#This Row],[PID]],Batters[[#All],[PID]],0)),INDEX(Table3[[#All],[B]],MATCH(Table5[[#This Row],[PID]],Table3[[#All],[PID]],0)))</f>
        <v>S</v>
      </c>
      <c r="I107" s="52" t="str">
        <f>IF($C107="B",INDEX(Batters[[#All],[T]],MATCH(Table5[[#This Row],[PID]],Batters[[#All],[PID]],0)),INDEX(Table3[[#All],[T]],MATCH(Table5[[#This Row],[PID]],Table3[[#All],[PID]],0)))</f>
        <v>R</v>
      </c>
      <c r="J107" s="52" t="str">
        <f>IF($C107="B",INDEX(Batters[[#All],[WE]],MATCH(Table5[[#This Row],[PID]],Batters[[#All],[PID]],0)),INDEX(Table3[[#All],[WE]],MATCH(Table5[[#This Row],[PID]],Table3[[#All],[PID]],0)))</f>
        <v>High</v>
      </c>
      <c r="K107" s="52" t="str">
        <f>IF($C107="B",INDEX(Batters[[#All],[INT]],MATCH(Table5[[#This Row],[PID]],Batters[[#All],[PID]],0)),INDEX(Table3[[#All],[INT]],MATCH(Table5[[#This Row],[PID]],Table3[[#All],[PID]],0)))</f>
        <v>Normal</v>
      </c>
      <c r="L107" s="60">
        <f>IF($C107="B",INDEX(Batters[[#All],[CON P]],MATCH(Table5[[#This Row],[PID]],Batters[[#All],[PID]],0)),INDEX(Table3[[#All],[STU P]],MATCH(Table5[[#This Row],[PID]],Table3[[#All],[PID]],0)))</f>
        <v>4</v>
      </c>
      <c r="M107" s="56">
        <f>IF($C107="B",INDEX(Batters[[#All],[GAP P]],MATCH(Table5[[#This Row],[PID]],Batters[[#All],[PID]],0)),INDEX(Table3[[#All],[MOV P]],MATCH(Table5[[#This Row],[PID]],Table3[[#All],[PID]],0)))</f>
        <v>4</v>
      </c>
      <c r="N107" s="56">
        <f>IF($C107="B",INDEX(Batters[[#All],[POW P]],MATCH(Table5[[#This Row],[PID]],Batters[[#All],[PID]],0)),INDEX(Table3[[#All],[CON P]],MATCH(Table5[[#This Row],[PID]],Table3[[#All],[PID]],0)))</f>
        <v>2</v>
      </c>
      <c r="O107" s="56">
        <f>IF($C107="B",INDEX(Batters[[#All],[EYE P]],MATCH(Table5[[#This Row],[PID]],Batters[[#All],[PID]],0)),INDEX(Table3[[#All],[VELO]],MATCH(Table5[[#This Row],[PID]],Table3[[#All],[PID]],0)))</f>
        <v>4</v>
      </c>
      <c r="P107" s="56">
        <f>IF($C107="B",INDEX(Batters[[#All],[K P]],MATCH(Table5[[#This Row],[PID]],Batters[[#All],[PID]],0)),INDEX(Table3[[#All],[STM]],MATCH(Table5[[#This Row],[PID]],Table3[[#All],[PID]],0)))</f>
        <v>9</v>
      </c>
      <c r="Q107" s="61">
        <f>IF($C107="B",INDEX(Batters[[#All],[Tot]],MATCH(Table5[[#This Row],[PID]],Batters[[#All],[PID]],0)),INDEX(Table3[[#All],[Tot]],MATCH(Table5[[#This Row],[PID]],Table3[[#All],[PID]],0)))</f>
        <v>42.731550216130152</v>
      </c>
      <c r="R107" s="52">
        <f>IF($C107="B",INDEX(Batters[[#All],[zScore]],MATCH(Table5[[#This Row],[PID]],Batters[[#All],[PID]],0)),INDEX(Table3[[#All],[zScore]],MATCH(Table5[[#This Row],[PID]],Table3[[#All],[PID]],0)))</f>
        <v>-0.31047581912474981</v>
      </c>
      <c r="S107" s="58" t="str">
        <f>IF($C107="B",INDEX(Batters[[#All],[DEM]],MATCH(Table5[[#This Row],[PID]],Batters[[#All],[PID]],0)),INDEX(Table3[[#All],[DEM]],MATCH(Table5[[#This Row],[PID]],Table3[[#All],[PID]],0)))</f>
        <v>$90k</v>
      </c>
      <c r="T107" s="62">
        <f>IF($C107="B",INDEX(Batters[[#All],[Rnk]],MATCH(Table5[[#This Row],[PID]],Batters[[#All],[PID]],0)),INDEX(Table3[[#All],[Rnk]],MATCH(Table5[[#This Row],[PID]],Table3[[#All],[PID]],0)))</f>
        <v>303</v>
      </c>
      <c r="U107" s="68">
        <f>IF($C107="B",VLOOKUP($A107,Bat!$A$4:$BA$1621,47,FALSE),VLOOKUP($A107,Pit!$A$4:$BF$1557,56,FALSE))</f>
        <v>0</v>
      </c>
      <c r="V107" s="50">
        <f>IF($C107="B",VLOOKUP($A107,Bat!$A$4:$BA$1621,48,FALSE),VLOOKUP($A107,Pit!$A$4:$BF$1557,57,FALSE))</f>
        <v>0</v>
      </c>
      <c r="W107" s="50">
        <f>Table5[[#This Row],[posRnk]]+Table5[[#This Row],[zRnk]]+IF($W$3&lt;&gt;Table5[[#This Row],[Type]],50,0)</f>
        <v>1086</v>
      </c>
      <c r="X107" s="51">
        <f>RANK(Table5[[#This Row],[zScore]],Table5[[#All],[zScore]])</f>
        <v>733</v>
      </c>
      <c r="Y107" s="50">
        <f>IFERROR(INDEX(DraftResults[[#All],[OVR]],MATCH(Table5[[#This Row],[PID]],DraftResults[[#All],[Player ID]],0)),"")</f>
        <v>103</v>
      </c>
      <c r="Z1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7" s="50">
        <f>IFERROR(INDEX(DraftResults[[#All],[Pick in Round]],MATCH(Table5[[#This Row],[PID]],DraftResults[[#All],[Player ID]],0)),"")</f>
        <v>3</v>
      </c>
      <c r="AB107" s="50" t="str">
        <f>IFERROR(INDEX(DraftResults[[#All],[Team Name]],MATCH(Table5[[#This Row],[PID]],DraftResults[[#All],[Player ID]],0)),"")</f>
        <v>New Orleans Trendsetters</v>
      </c>
      <c r="AC107" s="50">
        <f>IF(Table5[[#This Row],[Ovr]]="","",IF(Table5[[#This Row],[cmbList]]="","",Table5[[#This Row],[cmbList]]-Table5[[#This Row],[Ovr]]))</f>
        <v>983</v>
      </c>
      <c r="AD107" s="54" t="str">
        <f>IF(ISERROR(VLOOKUP($AB107&amp;"-"&amp;$E107&amp;" "&amp;F107,Bonuses!$B$1:$G$1006,4,FALSE)),"",INT(VLOOKUP($AB107&amp;"-"&amp;$E107&amp;" "&amp;$F107,Bonuses!$B$1:$G$1006,4,FALSE)))</f>
        <v/>
      </c>
      <c r="AE1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4.3 (103) - SS Dave Talbot</v>
      </c>
    </row>
    <row r="108" spans="1:31" s="50" customFormat="1" x14ac:dyDescent="0.25">
      <c r="A108" s="68">
        <v>18187</v>
      </c>
      <c r="B108" s="69">
        <f>COUNTIF(Table5[PID],A108)</f>
        <v>1</v>
      </c>
      <c r="C108" s="69" t="str">
        <f>IF(COUNTIF(Table3[[#All],[PID]],A108)&gt;0,"P","B")</f>
        <v>P</v>
      </c>
      <c r="D108" s="59" t="str">
        <f>IF($C108="B",INDEX(Batters[[#All],[POS]],MATCH(Table5[[#This Row],[PID]],Batters[[#All],[PID]],0)),INDEX(Table3[[#All],[POS]],MATCH(Table5[[#This Row],[PID]],Table3[[#All],[PID]],0)))</f>
        <v>SP</v>
      </c>
      <c r="E108" s="52" t="str">
        <f>IF($C108="B",INDEX(Batters[[#All],[First]],MATCH(Table5[[#This Row],[PID]],Batters[[#All],[PID]],0)),INDEX(Table3[[#All],[First]],MATCH(Table5[[#This Row],[PID]],Table3[[#All],[PID]],0)))</f>
        <v>José</v>
      </c>
      <c r="F108" s="55" t="str">
        <f>IF($C108="B",INDEX(Batters[[#All],[Last]],MATCH(A108,Batters[[#All],[PID]],0)),INDEX(Table3[[#All],[Last]],MATCH(A108,Table3[[#All],[PID]],0)))</f>
        <v>Martínez</v>
      </c>
      <c r="G108" s="56">
        <f>IF($C108="B",INDEX(Batters[[#All],[Age]],MATCH(Table5[[#This Row],[PID]],Batters[[#All],[PID]],0)),INDEX(Table3[[#All],[Age]],MATCH(Table5[[#This Row],[PID]],Table3[[#All],[PID]],0)))</f>
        <v>18</v>
      </c>
      <c r="H108" s="52" t="str">
        <f>IF($C108="B",INDEX(Batters[[#All],[B]],MATCH(Table5[[#This Row],[PID]],Batters[[#All],[PID]],0)),INDEX(Table3[[#All],[B]],MATCH(Table5[[#This Row],[PID]],Table3[[#All],[PID]],0)))</f>
        <v>R</v>
      </c>
      <c r="I108" s="52" t="str">
        <f>IF($C108="B",INDEX(Batters[[#All],[T]],MATCH(Table5[[#This Row],[PID]],Batters[[#All],[PID]],0)),INDEX(Table3[[#All],[T]],MATCH(Table5[[#This Row],[PID]],Table3[[#All],[PID]],0)))</f>
        <v>R</v>
      </c>
      <c r="J108" s="71" t="str">
        <f>IF($C108="B",INDEX(Batters[[#All],[WE]],MATCH(Table5[[#This Row],[PID]],Batters[[#All],[PID]],0)),INDEX(Table3[[#All],[WE]],MATCH(Table5[[#This Row],[PID]],Table3[[#All],[PID]],0)))</f>
        <v>High</v>
      </c>
      <c r="K108" s="52" t="str">
        <f>IF($C108="B",INDEX(Batters[[#All],[INT]],MATCH(Table5[[#This Row],[PID]],Batters[[#All],[PID]],0)),INDEX(Table3[[#All],[INT]],MATCH(Table5[[#This Row],[PID]],Table3[[#All],[PID]],0)))</f>
        <v>High</v>
      </c>
      <c r="L108" s="60">
        <f>IF($C108="B",INDEX(Batters[[#All],[CON P]],MATCH(Table5[[#This Row],[PID]],Batters[[#All],[PID]],0)),INDEX(Table3[[#All],[STU P]],MATCH(Table5[[#This Row],[PID]],Table3[[#All],[PID]],0)))</f>
        <v>5</v>
      </c>
      <c r="M108" s="72">
        <f>IF($C108="B",INDEX(Batters[[#All],[GAP P]],MATCH(Table5[[#This Row],[PID]],Batters[[#All],[PID]],0)),INDEX(Table3[[#All],[MOV P]],MATCH(Table5[[#This Row],[PID]],Table3[[#All],[PID]],0)))</f>
        <v>5</v>
      </c>
      <c r="N108" s="72">
        <f>IF($C108="B",INDEX(Batters[[#All],[POW P]],MATCH(Table5[[#This Row],[PID]],Batters[[#All],[PID]],0)),INDEX(Table3[[#All],[CON P]],MATCH(Table5[[#This Row],[PID]],Table3[[#All],[PID]],0)))</f>
        <v>4</v>
      </c>
      <c r="O108" s="72" t="str">
        <f>IF($C108="B",INDEX(Batters[[#All],[EYE P]],MATCH(Table5[[#This Row],[PID]],Batters[[#All],[PID]],0)),INDEX(Table3[[#All],[VELO]],MATCH(Table5[[#This Row],[PID]],Table3[[#All],[PID]],0)))</f>
        <v>93-95 Mph</v>
      </c>
      <c r="P108" s="56">
        <f>IF($C108="B",INDEX(Batters[[#All],[K P]],MATCH(Table5[[#This Row],[PID]],Batters[[#All],[PID]],0)),INDEX(Table3[[#All],[STM]],MATCH(Table5[[#This Row],[PID]],Table3[[#All],[PID]],0)))</f>
        <v>6</v>
      </c>
      <c r="Q108" s="61">
        <f>IF($C108="B",INDEX(Batters[[#All],[Tot]],MATCH(Table5[[#This Row],[PID]],Batters[[#All],[PID]],0)),INDEX(Table3[[#All],[Tot]],MATCH(Table5[[#This Row],[PID]],Table3[[#All],[PID]],0)))</f>
        <v>56.764410869834748</v>
      </c>
      <c r="R108" s="52">
        <f>IF($C108="B",INDEX(Batters[[#All],[zScore]],MATCH(Table5[[#This Row],[PID]],Batters[[#All],[PID]],0)),INDEX(Table3[[#All],[zScore]],MATCH(Table5[[#This Row],[PID]],Table3[[#All],[PID]],0)))</f>
        <v>1.390038229399106</v>
      </c>
      <c r="S108" s="78" t="str">
        <f>IF($C108="B",INDEX(Batters[[#All],[DEM]],MATCH(Table5[[#This Row],[PID]],Batters[[#All],[PID]],0)),INDEX(Table3[[#All],[DEM]],MATCH(Table5[[#This Row],[PID]],Table3[[#All],[PID]],0)))</f>
        <v>$190k</v>
      </c>
      <c r="T108" s="75">
        <f>IF($C108="B",INDEX(Batters[[#All],[Rnk]],MATCH(Table5[[#This Row],[PID]],Batters[[#All],[PID]],0)),INDEX(Table3[[#All],[Rnk]],MATCH(Table5[[#This Row],[PID]],Table3[[#All],[PID]],0)))</f>
        <v>86</v>
      </c>
      <c r="U108" s="68">
        <f>IF($C108="B",VLOOKUP($A108,Bat!$A$4:$BA$1621,47,FALSE),VLOOKUP($A108,Pit!$A$4:$BF$1557,56,FALSE))</f>
        <v>0</v>
      </c>
      <c r="V108" s="50">
        <f>IF($C108="B",VLOOKUP($A108,Bat!$A$4:$BA$1621,48,FALSE),VLOOKUP($A108,Pit!$A$4:$BF$1557,57,FALSE))</f>
        <v>0</v>
      </c>
      <c r="W108" s="69">
        <f>Table5[[#This Row],[posRnk]]+Table5[[#This Row],[zRnk]]+IF($W$3&lt;&gt;Table5[[#This Row],[Type]],50,0)</f>
        <v>273</v>
      </c>
      <c r="X108" s="73">
        <f>RANK(Table5[[#This Row],[zScore]],Table5[[#All],[zScore]])</f>
        <v>137</v>
      </c>
      <c r="Y108" s="69">
        <f>IFERROR(INDEX(DraftResults[[#All],[OVR]],MATCH(Table5[[#This Row],[PID]],DraftResults[[#All],[Player ID]],0)),"")</f>
        <v>104</v>
      </c>
      <c r="Z10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8" s="69">
        <f>IFERROR(INDEX(DraftResults[[#All],[Pick in Round]],MATCH(Table5[[#This Row],[PID]],DraftResults[[#All],[Player ID]],0)),"")</f>
        <v>4</v>
      </c>
      <c r="AB108" s="69" t="str">
        <f>IFERROR(INDEX(DraftResults[[#All],[Team Name]],MATCH(Table5[[#This Row],[PID]],DraftResults[[#All],[Player ID]],0)),"")</f>
        <v>Manchester Maulers</v>
      </c>
      <c r="AC108" s="69">
        <f>IF(Table5[[#This Row],[Ovr]]="","",IF(Table5[[#This Row],[cmbList]]="","",Table5[[#This Row],[cmbList]]-Table5[[#This Row],[Ovr]]))</f>
        <v>169</v>
      </c>
      <c r="AD108" s="77" t="str">
        <f>IF(ISERROR(VLOOKUP($AB108&amp;"-"&amp;$E108&amp;" "&amp;F108,Bonuses!$B$1:$G$1006,4,FALSE)),"",INT(VLOOKUP($AB108&amp;"-"&amp;$E108&amp;" "&amp;$F108,Bonuses!$B$1:$G$1006,4,FALSE)))</f>
        <v/>
      </c>
      <c r="AE10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4.4 (104) - SP José Martínez</v>
      </c>
    </row>
    <row r="109" spans="1:31" s="50" customFormat="1" x14ac:dyDescent="0.25">
      <c r="A109" s="50">
        <v>20523</v>
      </c>
      <c r="B109" s="50">
        <f>COUNTIF(Table5[PID],A109)</f>
        <v>1</v>
      </c>
      <c r="C109" s="50" t="str">
        <f>IF(COUNTIF(Table3[[#All],[PID]],A109)&gt;0,"P","B")</f>
        <v>B</v>
      </c>
      <c r="D109" s="59" t="str">
        <f>IF($C109="B",INDEX(Batters[[#All],[POS]],MATCH(Table5[[#This Row],[PID]],Batters[[#All],[PID]],0)),INDEX(Table3[[#All],[POS]],MATCH(Table5[[#This Row],[PID]],Table3[[#All],[PID]],0)))</f>
        <v>LF</v>
      </c>
      <c r="E109" s="52" t="str">
        <f>IF($C109="B",INDEX(Batters[[#All],[First]],MATCH(Table5[[#This Row],[PID]],Batters[[#All],[PID]],0)),INDEX(Table3[[#All],[First]],MATCH(Table5[[#This Row],[PID]],Table3[[#All],[PID]],0)))</f>
        <v>Danilo</v>
      </c>
      <c r="F109" s="50" t="str">
        <f>IF($C109="B",INDEX(Batters[[#All],[Last]],MATCH(A109,Batters[[#All],[PID]],0)),INDEX(Table3[[#All],[Last]],MATCH(A109,Table3[[#All],[PID]],0)))</f>
        <v>Loreto</v>
      </c>
      <c r="G109" s="56">
        <f>IF($C109="B",INDEX(Batters[[#All],[Age]],MATCH(Table5[[#This Row],[PID]],Batters[[#All],[PID]],0)),INDEX(Table3[[#All],[Age]],MATCH(Table5[[#This Row],[PID]],Table3[[#All],[PID]],0)))</f>
        <v>18</v>
      </c>
      <c r="H109" s="52" t="str">
        <f>IF($C109="B",INDEX(Batters[[#All],[B]],MATCH(Table5[[#This Row],[PID]],Batters[[#All],[PID]],0)),INDEX(Table3[[#All],[B]],MATCH(Table5[[#This Row],[PID]],Table3[[#All],[PID]],0)))</f>
        <v>R</v>
      </c>
      <c r="I109" s="52" t="str">
        <f>IF($C109="B",INDEX(Batters[[#All],[T]],MATCH(Table5[[#This Row],[PID]],Batters[[#All],[PID]],0)),INDEX(Table3[[#All],[T]],MATCH(Table5[[#This Row],[PID]],Table3[[#All],[PID]],0)))</f>
        <v>R</v>
      </c>
      <c r="J109" s="52" t="str">
        <f>IF($C109="B",INDEX(Batters[[#All],[WE]],MATCH(Table5[[#This Row],[PID]],Batters[[#All],[PID]],0)),INDEX(Table3[[#All],[WE]],MATCH(Table5[[#This Row],[PID]],Table3[[#All],[PID]],0)))</f>
        <v>Normal</v>
      </c>
      <c r="K109" s="52" t="str">
        <f>IF($C109="B",INDEX(Batters[[#All],[INT]],MATCH(Table5[[#This Row],[PID]],Batters[[#All],[PID]],0)),INDEX(Table3[[#All],[INT]],MATCH(Table5[[#This Row],[PID]],Table3[[#All],[PID]],0)))</f>
        <v>Low</v>
      </c>
      <c r="L109" s="60">
        <f>IF($C109="B",INDEX(Batters[[#All],[CON P]],MATCH(Table5[[#This Row],[PID]],Batters[[#All],[PID]],0)),INDEX(Table3[[#All],[STU P]],MATCH(Table5[[#This Row],[PID]],Table3[[#All],[PID]],0)))</f>
        <v>4</v>
      </c>
      <c r="M109" s="56">
        <f>IF($C109="B",INDEX(Batters[[#All],[GAP P]],MATCH(Table5[[#This Row],[PID]],Batters[[#All],[PID]],0)),INDEX(Table3[[#All],[MOV P]],MATCH(Table5[[#This Row],[PID]],Table3[[#All],[PID]],0)))</f>
        <v>3</v>
      </c>
      <c r="N109" s="56">
        <f>IF($C109="B",INDEX(Batters[[#All],[POW P]],MATCH(Table5[[#This Row],[PID]],Batters[[#All],[PID]],0)),INDEX(Table3[[#All],[CON P]],MATCH(Table5[[#This Row],[PID]],Table3[[#All],[PID]],0)))</f>
        <v>8</v>
      </c>
      <c r="O109" s="56">
        <f>IF($C109="B",INDEX(Batters[[#All],[EYE P]],MATCH(Table5[[#This Row],[PID]],Batters[[#All],[PID]],0)),INDEX(Table3[[#All],[VELO]],MATCH(Table5[[#This Row],[PID]],Table3[[#All],[PID]],0)))</f>
        <v>7</v>
      </c>
      <c r="P109" s="56">
        <f>IF($C109="B",INDEX(Batters[[#All],[K P]],MATCH(Table5[[#This Row],[PID]],Batters[[#All],[PID]],0)),INDEX(Table3[[#All],[STM]],MATCH(Table5[[#This Row],[PID]],Table3[[#All],[PID]],0)))</f>
        <v>3</v>
      </c>
      <c r="Q109" s="61">
        <f>IF($C109="B",INDEX(Batters[[#All],[Tot]],MATCH(Table5[[#This Row],[PID]],Batters[[#All],[PID]],0)),INDEX(Table3[[#All],[Tot]],MATCH(Table5[[#This Row],[PID]],Table3[[#All],[PID]],0)))</f>
        <v>51.936477097779132</v>
      </c>
      <c r="R109" s="52">
        <f>IF($C109="B",INDEX(Batters[[#All],[zScore]],MATCH(Table5[[#This Row],[PID]],Batters[[#All],[PID]],0)),INDEX(Table3[[#All],[zScore]],MATCH(Table5[[#This Row],[PID]],Table3[[#All],[PID]],0)))</f>
        <v>1.7303186900681227</v>
      </c>
      <c r="S109" s="58" t="str">
        <f>IF($C109="B",INDEX(Batters[[#All],[DEM]],MATCH(Table5[[#This Row],[PID]],Batters[[#All],[PID]],0)),INDEX(Table3[[#All],[DEM]],MATCH(Table5[[#This Row],[PID]],Table3[[#All],[PID]],0)))</f>
        <v>$200k</v>
      </c>
      <c r="T109" s="62">
        <f>IF($C109="B",INDEX(Batters[[#All],[Rnk]],MATCH(Table5[[#This Row],[PID]],Batters[[#All],[PID]],0)),INDEX(Table3[[#All],[Rnk]],MATCH(Table5[[#This Row],[PID]],Table3[[#All],[PID]],0)))</f>
        <v>28</v>
      </c>
      <c r="U109" s="68">
        <f>IF($C109="B",VLOOKUP($A109,Bat!$A$4:$BA$1621,47,FALSE),VLOOKUP($A109,Pit!$A$4:$BF$1557,56,FALSE))</f>
        <v>0</v>
      </c>
      <c r="V109" s="50">
        <f>IF($C109="B",VLOOKUP($A109,Bat!$A$4:$BA$1621,48,FALSE),VLOOKUP($A109,Pit!$A$4:$BF$1557,57,FALSE))</f>
        <v>0</v>
      </c>
      <c r="W109" s="50">
        <f>Table5[[#This Row],[posRnk]]+Table5[[#This Row],[zRnk]]+IF($W$3&lt;&gt;Table5[[#This Row],[Type]],50,0)</f>
        <v>156</v>
      </c>
      <c r="X109" s="51">
        <f>RANK(Table5[[#This Row],[zScore]],Table5[[#All],[zScore]])</f>
        <v>78</v>
      </c>
      <c r="Y109" s="50">
        <f>IFERROR(INDEX(DraftResults[[#All],[OVR]],MATCH(Table5[[#This Row],[PID]],DraftResults[[#All],[Player ID]],0)),"")</f>
        <v>105</v>
      </c>
      <c r="Z1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09" s="50">
        <f>IFERROR(INDEX(DraftResults[[#All],[Pick in Round]],MATCH(Table5[[#This Row],[PID]],DraftResults[[#All],[Player ID]],0)),"")</f>
        <v>5</v>
      </c>
      <c r="AB109" s="50" t="str">
        <f>IFERROR(INDEX(DraftResults[[#All],[Team Name]],MATCH(Table5[[#This Row],[PID]],DraftResults[[#All],[Player ID]],0)),"")</f>
        <v>Tempe Knights</v>
      </c>
      <c r="AC109" s="50">
        <f>IF(Table5[[#This Row],[Ovr]]="","",IF(Table5[[#This Row],[cmbList]]="","",Table5[[#This Row],[cmbList]]-Table5[[#This Row],[Ovr]]))</f>
        <v>51</v>
      </c>
      <c r="AD109" s="54" t="str">
        <f>IF(ISERROR(VLOOKUP($AB109&amp;"-"&amp;$E109&amp;" "&amp;F109,Bonuses!$B$1:$G$1006,4,FALSE)),"",INT(VLOOKUP($AB109&amp;"-"&amp;$E109&amp;" "&amp;$F109,Bonuses!$B$1:$G$1006,4,FALSE)))</f>
        <v/>
      </c>
      <c r="AE1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4.5 (105) - LF Danilo Loreto</v>
      </c>
    </row>
    <row r="110" spans="1:31" s="50" customFormat="1" x14ac:dyDescent="0.25">
      <c r="A110" s="50">
        <v>18194</v>
      </c>
      <c r="B110" s="50">
        <f>COUNTIF(Table5[PID],A110)</f>
        <v>1</v>
      </c>
      <c r="C110" s="50" t="str">
        <f>IF(COUNTIF(Table3[[#All],[PID]],A110)&gt;0,"P","B")</f>
        <v>P</v>
      </c>
      <c r="D110" s="59" t="str">
        <f>IF($C110="B",INDEX(Batters[[#All],[POS]],MATCH(Table5[[#This Row],[PID]],Batters[[#All],[PID]],0)),INDEX(Table3[[#All],[POS]],MATCH(Table5[[#This Row],[PID]],Table3[[#All],[PID]],0)))</f>
        <v>CL</v>
      </c>
      <c r="E110" s="52" t="str">
        <f>IF($C110="B",INDEX(Batters[[#All],[First]],MATCH(Table5[[#This Row],[PID]],Batters[[#All],[PID]],0)),INDEX(Table3[[#All],[First]],MATCH(Table5[[#This Row],[PID]],Table3[[#All],[PID]],0)))</f>
        <v>Gerald</v>
      </c>
      <c r="F110" s="50" t="str">
        <f>IF($C110="B",INDEX(Batters[[#All],[Last]],MATCH(A110,Batters[[#All],[PID]],0)),INDEX(Table3[[#All],[Last]],MATCH(A110,Table3[[#All],[PID]],0)))</f>
        <v>Duke</v>
      </c>
      <c r="G110" s="56">
        <f>IF($C110="B",INDEX(Batters[[#All],[Age]],MATCH(Table5[[#This Row],[PID]],Batters[[#All],[PID]],0)),INDEX(Table3[[#All],[Age]],MATCH(Table5[[#This Row],[PID]],Table3[[#All],[PID]],0)))</f>
        <v>17</v>
      </c>
      <c r="H110" s="52" t="str">
        <f>IF($C110="B",INDEX(Batters[[#All],[B]],MATCH(Table5[[#This Row],[PID]],Batters[[#All],[PID]],0)),INDEX(Table3[[#All],[B]],MATCH(Table5[[#This Row],[PID]],Table3[[#All],[PID]],0)))</f>
        <v>R</v>
      </c>
      <c r="I110" s="52" t="str">
        <f>IF($C110="B",INDEX(Batters[[#All],[T]],MATCH(Table5[[#This Row],[PID]],Batters[[#All],[PID]],0)),INDEX(Table3[[#All],[T]],MATCH(Table5[[#This Row],[PID]],Table3[[#All],[PID]],0)))</f>
        <v>R</v>
      </c>
      <c r="J110" s="52" t="str">
        <f>IF($C110="B",INDEX(Batters[[#All],[WE]],MATCH(Table5[[#This Row],[PID]],Batters[[#All],[PID]],0)),INDEX(Table3[[#All],[WE]],MATCH(Table5[[#This Row],[PID]],Table3[[#All],[PID]],0)))</f>
        <v>Low</v>
      </c>
      <c r="K110" s="52" t="str">
        <f>IF($C110="B",INDEX(Batters[[#All],[INT]],MATCH(Table5[[#This Row],[PID]],Batters[[#All],[PID]],0)),INDEX(Table3[[#All],[INT]],MATCH(Table5[[#This Row],[PID]],Table3[[#All],[PID]],0)))</f>
        <v>Low</v>
      </c>
      <c r="L110" s="60">
        <f>IF($C110="B",INDEX(Batters[[#All],[CON P]],MATCH(Table5[[#This Row],[PID]],Batters[[#All],[PID]],0)),INDEX(Table3[[#All],[STU P]],MATCH(Table5[[#This Row],[PID]],Table3[[#All],[PID]],0)))</f>
        <v>6</v>
      </c>
      <c r="M110" s="56">
        <f>IF($C110="B",INDEX(Batters[[#All],[GAP P]],MATCH(Table5[[#This Row],[PID]],Batters[[#All],[PID]],0)),INDEX(Table3[[#All],[MOV P]],MATCH(Table5[[#This Row],[PID]],Table3[[#All],[PID]],0)))</f>
        <v>4</v>
      </c>
      <c r="N110" s="56">
        <f>IF($C110="B",INDEX(Batters[[#All],[POW P]],MATCH(Table5[[#This Row],[PID]],Batters[[#All],[PID]],0)),INDEX(Table3[[#All],[CON P]],MATCH(Table5[[#This Row],[PID]],Table3[[#All],[PID]],0)))</f>
        <v>7</v>
      </c>
      <c r="O110" s="56" t="str">
        <f>IF($C110="B",INDEX(Batters[[#All],[EYE P]],MATCH(Table5[[#This Row],[PID]],Batters[[#All],[PID]],0)),INDEX(Table3[[#All],[VELO]],MATCH(Table5[[#This Row],[PID]],Table3[[#All],[PID]],0)))</f>
        <v>90-92 Mph</v>
      </c>
      <c r="P110" s="56">
        <f>IF($C110="B",INDEX(Batters[[#All],[K P]],MATCH(Table5[[#This Row],[PID]],Batters[[#All],[PID]],0)),INDEX(Table3[[#All],[STM]],MATCH(Table5[[#This Row],[PID]],Table3[[#All],[PID]],0)))</f>
        <v>7</v>
      </c>
      <c r="Q110" s="61">
        <f>IF($C110="B",INDEX(Batters[[#All],[Tot]],MATCH(Table5[[#This Row],[PID]],Batters[[#All],[PID]],0)),INDEX(Table3[[#All],[Tot]],MATCH(Table5[[#This Row],[PID]],Table3[[#All],[PID]],0)))</f>
        <v>70.139905492408545</v>
      </c>
      <c r="R110" s="52">
        <f>IF($C110="B",INDEX(Batters[[#All],[zScore]],MATCH(Table5[[#This Row],[PID]],Batters[[#All],[PID]],0)),INDEX(Table3[[#All],[zScore]],MATCH(Table5[[#This Row],[PID]],Table3[[#All],[PID]],0)))</f>
        <v>2.2798894474273399</v>
      </c>
      <c r="S110" s="58" t="str">
        <f>IF($C110="B",INDEX(Batters[[#All],[DEM]],MATCH(Table5[[#This Row],[PID]],Batters[[#All],[PID]],0)),INDEX(Table3[[#All],[DEM]],MATCH(Table5[[#This Row],[PID]],Table3[[#All],[PID]],0)))</f>
        <v>$200k</v>
      </c>
      <c r="T110" s="62">
        <f>IF($C110="B",INDEX(Batters[[#All],[Rnk]],MATCH(Table5[[#This Row],[PID]],Batters[[#All],[PID]],0)),INDEX(Table3[[#All],[Rnk]],MATCH(Table5[[#This Row],[PID]],Table3[[#All],[PID]],0)))</f>
        <v>16</v>
      </c>
      <c r="U110" s="68">
        <f>IF($C110="B",VLOOKUP($A110,Bat!$A$4:$BA$1621,47,FALSE),VLOOKUP($A110,Pit!$A$4:$BF$1557,56,FALSE))</f>
        <v>0</v>
      </c>
      <c r="V110" s="50">
        <f>IF($C110="B",VLOOKUP($A110,Bat!$A$4:$BA$1621,48,FALSE),VLOOKUP($A110,Pit!$A$4:$BF$1557,57,FALSE))</f>
        <v>0</v>
      </c>
      <c r="W110" s="50">
        <f>Table5[[#This Row],[posRnk]]+Table5[[#This Row],[zRnk]]+IF($W$3&lt;&gt;Table5[[#This Row],[Type]],50,0)</f>
        <v>95</v>
      </c>
      <c r="X110" s="51">
        <f>RANK(Table5[[#This Row],[zScore]],Table5[[#All],[zScore]])</f>
        <v>29</v>
      </c>
      <c r="Y110" s="50">
        <f>IFERROR(INDEX(DraftResults[[#All],[OVR]],MATCH(Table5[[#This Row],[PID]],DraftResults[[#All],[Player ID]],0)),"")</f>
        <v>106</v>
      </c>
      <c r="Z1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0" s="50">
        <f>IFERROR(INDEX(DraftResults[[#All],[Pick in Round]],MATCH(Table5[[#This Row],[PID]],DraftResults[[#All],[Player ID]],0)),"")</f>
        <v>6</v>
      </c>
      <c r="AB110" s="50" t="str">
        <f>IFERROR(INDEX(DraftResults[[#All],[Team Name]],MATCH(Table5[[#This Row],[PID]],DraftResults[[#All],[Player ID]],0)),"")</f>
        <v>West Virginia Alleghenies</v>
      </c>
      <c r="AC110" s="50">
        <f>IF(Table5[[#This Row],[Ovr]]="","",IF(Table5[[#This Row],[cmbList]]="","",Table5[[#This Row],[cmbList]]-Table5[[#This Row],[Ovr]]))</f>
        <v>-11</v>
      </c>
      <c r="AD110" s="54" t="str">
        <f>IF(ISERROR(VLOOKUP($AB110&amp;"-"&amp;$E110&amp;" "&amp;F110,Bonuses!$B$1:$G$1006,4,FALSE)),"",INT(VLOOKUP($AB110&amp;"-"&amp;$E110&amp;" "&amp;$F110,Bonuses!$B$1:$G$1006,4,FALSE)))</f>
        <v/>
      </c>
      <c r="AE1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4.6 (106) - CL Gerald Duke</v>
      </c>
    </row>
    <row r="111" spans="1:31" s="50" customFormat="1" x14ac:dyDescent="0.25">
      <c r="A111" s="50">
        <v>20289</v>
      </c>
      <c r="B111" s="50">
        <f>COUNTIF(Table5[PID],A111)</f>
        <v>1</v>
      </c>
      <c r="C111" s="50" t="str">
        <f>IF(COUNTIF(Table3[[#All],[PID]],A111)&gt;0,"P","B")</f>
        <v>B</v>
      </c>
      <c r="D111" s="59" t="str">
        <f>IF($C111="B",INDEX(Batters[[#All],[POS]],MATCH(Table5[[#This Row],[PID]],Batters[[#All],[PID]],0)),INDEX(Table3[[#All],[POS]],MATCH(Table5[[#This Row],[PID]],Table3[[#All],[PID]],0)))</f>
        <v>RF</v>
      </c>
      <c r="E111" s="52" t="str">
        <f>IF($C111="B",INDEX(Batters[[#All],[First]],MATCH(Table5[[#This Row],[PID]],Batters[[#All],[PID]],0)),INDEX(Table3[[#All],[First]],MATCH(Table5[[#This Row],[PID]],Table3[[#All],[PID]],0)))</f>
        <v>Evan</v>
      </c>
      <c r="F111" s="50" t="str">
        <f>IF($C111="B",INDEX(Batters[[#All],[Last]],MATCH(A111,Batters[[#All],[PID]],0)),INDEX(Table3[[#All],[Last]],MATCH(A111,Table3[[#All],[PID]],0)))</f>
        <v>Hemminga</v>
      </c>
      <c r="G111" s="56">
        <f>IF($C111="B",INDEX(Batters[[#All],[Age]],MATCH(Table5[[#This Row],[PID]],Batters[[#All],[PID]],0)),INDEX(Table3[[#All],[Age]],MATCH(Table5[[#This Row],[PID]],Table3[[#All],[PID]],0)))</f>
        <v>21</v>
      </c>
      <c r="H111" s="52" t="str">
        <f>IF($C111="B",INDEX(Batters[[#All],[B]],MATCH(Table5[[#This Row],[PID]],Batters[[#All],[PID]],0)),INDEX(Table3[[#All],[B]],MATCH(Table5[[#This Row],[PID]],Table3[[#All],[PID]],0)))</f>
        <v>L</v>
      </c>
      <c r="I111" s="52" t="str">
        <f>IF($C111="B",INDEX(Batters[[#All],[T]],MATCH(Table5[[#This Row],[PID]],Batters[[#All],[PID]],0)),INDEX(Table3[[#All],[T]],MATCH(Table5[[#This Row],[PID]],Table3[[#All],[PID]],0)))</f>
        <v>L</v>
      </c>
      <c r="J111" s="52" t="str">
        <f>IF($C111="B",INDEX(Batters[[#All],[WE]],MATCH(Table5[[#This Row],[PID]],Batters[[#All],[PID]],0)),INDEX(Table3[[#All],[WE]],MATCH(Table5[[#This Row],[PID]],Table3[[#All],[PID]],0)))</f>
        <v>High</v>
      </c>
      <c r="K111" s="52" t="str">
        <f>IF($C111="B",INDEX(Batters[[#All],[INT]],MATCH(Table5[[#This Row],[PID]],Batters[[#All],[PID]],0)),INDEX(Table3[[#All],[INT]],MATCH(Table5[[#This Row],[PID]],Table3[[#All],[PID]],0)))</f>
        <v>High</v>
      </c>
      <c r="L111" s="60">
        <f>IF($C111="B",INDEX(Batters[[#All],[CON P]],MATCH(Table5[[#This Row],[PID]],Batters[[#All],[PID]],0)),INDEX(Table3[[#All],[STU P]],MATCH(Table5[[#This Row],[PID]],Table3[[#All],[PID]],0)))</f>
        <v>4</v>
      </c>
      <c r="M111" s="56">
        <f>IF($C111="B",INDEX(Batters[[#All],[GAP P]],MATCH(Table5[[#This Row],[PID]],Batters[[#All],[PID]],0)),INDEX(Table3[[#All],[MOV P]],MATCH(Table5[[#This Row],[PID]],Table3[[#All],[PID]],0)))</f>
        <v>5</v>
      </c>
      <c r="N111" s="56">
        <f>IF($C111="B",INDEX(Batters[[#All],[POW P]],MATCH(Table5[[#This Row],[PID]],Batters[[#All],[PID]],0)),INDEX(Table3[[#All],[CON P]],MATCH(Table5[[#This Row],[PID]],Table3[[#All],[PID]],0)))</f>
        <v>7</v>
      </c>
      <c r="O111" s="56">
        <f>IF($C111="B",INDEX(Batters[[#All],[EYE P]],MATCH(Table5[[#This Row],[PID]],Batters[[#All],[PID]],0)),INDEX(Table3[[#All],[VELO]],MATCH(Table5[[#This Row],[PID]],Table3[[#All],[PID]],0)))</f>
        <v>6</v>
      </c>
      <c r="P111" s="56">
        <f>IF($C111="B",INDEX(Batters[[#All],[K P]],MATCH(Table5[[#This Row],[PID]],Batters[[#All],[PID]],0)),INDEX(Table3[[#All],[STM]],MATCH(Table5[[#This Row],[PID]],Table3[[#All],[PID]],0)))</f>
        <v>4</v>
      </c>
      <c r="Q111" s="61">
        <f>IF($C111="B",INDEX(Batters[[#All],[Tot]],MATCH(Table5[[#This Row],[PID]],Batters[[#All],[PID]],0)),INDEX(Table3[[#All],[Tot]],MATCH(Table5[[#This Row],[PID]],Table3[[#All],[PID]],0)))</f>
        <v>47.39819297291389</v>
      </c>
      <c r="R111" s="52">
        <f>IF($C111="B",INDEX(Batters[[#All],[zScore]],MATCH(Table5[[#This Row],[PID]],Batters[[#All],[PID]],0)),INDEX(Table3[[#All],[zScore]],MATCH(Table5[[#This Row],[PID]],Table3[[#All],[PID]],0)))</f>
        <v>0.72415042363176663</v>
      </c>
      <c r="S111" s="58" t="str">
        <f>IF($C111="B",INDEX(Batters[[#All],[DEM]],MATCH(Table5[[#This Row],[PID]],Batters[[#All],[PID]],0)),INDEX(Table3[[#All],[DEM]],MATCH(Table5[[#This Row],[PID]],Table3[[#All],[PID]],0)))</f>
        <v>-</v>
      </c>
      <c r="T111" s="62">
        <f>IF($C111="B",INDEX(Batters[[#All],[Rnk]],MATCH(Table5[[#This Row],[PID]],Batters[[#All],[PID]],0)),INDEX(Table3[[#All],[Rnk]],MATCH(Table5[[#This Row],[PID]],Table3[[#All],[PID]],0)))</f>
        <v>118</v>
      </c>
      <c r="U111" s="68">
        <f>IF($C111="B",VLOOKUP($A111,Bat!$A$4:$BA$1621,47,FALSE),VLOOKUP($A111,Pit!$A$4:$BF$1557,56,FALSE))</f>
        <v>0</v>
      </c>
      <c r="V111" s="50">
        <f>IF($C111="B",VLOOKUP($A111,Bat!$A$4:$BA$1621,48,FALSE),VLOOKUP($A111,Pit!$A$4:$BF$1557,57,FALSE))</f>
        <v>0</v>
      </c>
      <c r="W111" s="50">
        <f>Table5[[#This Row],[posRnk]]+Table5[[#This Row],[zRnk]]+IF($W$3&lt;&gt;Table5[[#This Row],[Type]],50,0)</f>
        <v>470</v>
      </c>
      <c r="X111" s="51">
        <f>RANK(Table5[[#This Row],[zScore]],Table5[[#All],[zScore]])</f>
        <v>302</v>
      </c>
      <c r="Y111" s="50">
        <f>IFERROR(INDEX(DraftResults[[#All],[OVR]],MATCH(Table5[[#This Row],[PID]],DraftResults[[#All],[Player ID]],0)),"")</f>
        <v>107</v>
      </c>
      <c r="Z1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1" s="50">
        <f>IFERROR(INDEX(DraftResults[[#All],[Pick in Round]],MATCH(Table5[[#This Row],[PID]],DraftResults[[#All],[Player ID]],0)),"")</f>
        <v>7</v>
      </c>
      <c r="AB111" s="50" t="str">
        <f>IFERROR(INDEX(DraftResults[[#All],[Team Name]],MATCH(Table5[[#This Row],[PID]],DraftResults[[#All],[Player ID]],0)),"")</f>
        <v>Scottish Claymores</v>
      </c>
      <c r="AC111" s="50">
        <f>IF(Table5[[#This Row],[Ovr]]="","",IF(Table5[[#This Row],[cmbList]]="","",Table5[[#This Row],[cmbList]]-Table5[[#This Row],[Ovr]]))</f>
        <v>363</v>
      </c>
      <c r="AD111" s="54" t="str">
        <f>IF(ISERROR(VLOOKUP($AB111&amp;"-"&amp;$E111&amp;" "&amp;F111,Bonuses!$B$1:$G$1006,4,FALSE)),"",INT(VLOOKUP($AB111&amp;"-"&amp;$E111&amp;" "&amp;$F111,Bonuses!$B$1:$G$1006,4,FALSE)))</f>
        <v/>
      </c>
      <c r="AE1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4.7 (107) - RF Evan Hemminga</v>
      </c>
    </row>
    <row r="112" spans="1:31" s="50" customFormat="1" x14ac:dyDescent="0.25">
      <c r="A112" s="68">
        <v>18203</v>
      </c>
      <c r="B112" s="69">
        <f>COUNTIF(Table5[PID],A112)</f>
        <v>1</v>
      </c>
      <c r="C112" s="69" t="str">
        <f>IF(COUNTIF(Table3[[#All],[PID]],A112)&gt;0,"P","B")</f>
        <v>P</v>
      </c>
      <c r="D112" s="59" t="str">
        <f>IF($C112="B",INDEX(Batters[[#All],[POS]],MATCH(Table5[[#This Row],[PID]],Batters[[#All],[PID]],0)),INDEX(Table3[[#All],[POS]],MATCH(Table5[[#This Row],[PID]],Table3[[#All],[PID]],0)))</f>
        <v>SP</v>
      </c>
      <c r="E112" s="52" t="str">
        <f>IF($C112="B",INDEX(Batters[[#All],[First]],MATCH(Table5[[#This Row],[PID]],Batters[[#All],[PID]],0)),INDEX(Table3[[#All],[First]],MATCH(Table5[[#This Row],[PID]],Table3[[#All],[PID]],0)))</f>
        <v>Homer</v>
      </c>
      <c r="F112" s="55" t="str">
        <f>IF($C112="B",INDEX(Batters[[#All],[Last]],MATCH(A112,Batters[[#All],[PID]],0)),INDEX(Table3[[#All],[Last]],MATCH(A112,Table3[[#All],[PID]],0)))</f>
        <v>Alexander</v>
      </c>
      <c r="G112" s="56">
        <f>IF($C112="B",INDEX(Batters[[#All],[Age]],MATCH(Table5[[#This Row],[PID]],Batters[[#All],[PID]],0)),INDEX(Table3[[#All],[Age]],MATCH(Table5[[#This Row],[PID]],Table3[[#All],[PID]],0)))</f>
        <v>18</v>
      </c>
      <c r="H112" s="52" t="str">
        <f>IF($C112="B",INDEX(Batters[[#All],[B]],MATCH(Table5[[#This Row],[PID]],Batters[[#All],[PID]],0)),INDEX(Table3[[#All],[B]],MATCH(Table5[[#This Row],[PID]],Table3[[#All],[PID]],0)))</f>
        <v>R</v>
      </c>
      <c r="I112" s="52" t="str">
        <f>IF($C112="B",INDEX(Batters[[#All],[T]],MATCH(Table5[[#This Row],[PID]],Batters[[#All],[PID]],0)),INDEX(Table3[[#All],[T]],MATCH(Table5[[#This Row],[PID]],Table3[[#All],[PID]],0)))</f>
        <v>L</v>
      </c>
      <c r="J112" s="71" t="str">
        <f>IF($C112="B",INDEX(Batters[[#All],[WE]],MATCH(Table5[[#This Row],[PID]],Batters[[#All],[PID]],0)),INDEX(Table3[[#All],[WE]],MATCH(Table5[[#This Row],[PID]],Table3[[#All],[PID]],0)))</f>
        <v>Normal</v>
      </c>
      <c r="K112" s="52" t="str">
        <f>IF($C112="B",INDEX(Batters[[#All],[INT]],MATCH(Table5[[#This Row],[PID]],Batters[[#All],[PID]],0)),INDEX(Table3[[#All],[INT]],MATCH(Table5[[#This Row],[PID]],Table3[[#All],[PID]],0)))</f>
        <v>Normal</v>
      </c>
      <c r="L112" s="60">
        <f>IF($C112="B",INDEX(Batters[[#All],[CON P]],MATCH(Table5[[#This Row],[PID]],Batters[[#All],[PID]],0)),INDEX(Table3[[#All],[STU P]],MATCH(Table5[[#This Row],[PID]],Table3[[#All],[PID]],0)))</f>
        <v>6</v>
      </c>
      <c r="M112" s="72">
        <f>IF($C112="B",INDEX(Batters[[#All],[GAP P]],MATCH(Table5[[#This Row],[PID]],Batters[[#All],[PID]],0)),INDEX(Table3[[#All],[MOV P]],MATCH(Table5[[#This Row],[PID]],Table3[[#All],[PID]],0)))</f>
        <v>4</v>
      </c>
      <c r="N112" s="72">
        <f>IF($C112="B",INDEX(Batters[[#All],[POW P]],MATCH(Table5[[#This Row],[PID]],Batters[[#All],[PID]],0)),INDEX(Table3[[#All],[CON P]],MATCH(Table5[[#This Row],[PID]],Table3[[#All],[PID]],0)))</f>
        <v>6</v>
      </c>
      <c r="O112" s="72" t="str">
        <f>IF($C112="B",INDEX(Batters[[#All],[EYE P]],MATCH(Table5[[#This Row],[PID]],Batters[[#All],[PID]],0)),INDEX(Table3[[#All],[VELO]],MATCH(Table5[[#This Row],[PID]],Table3[[#All],[PID]],0)))</f>
        <v>93-95 Mph</v>
      </c>
      <c r="P112" s="56">
        <f>IF($C112="B",INDEX(Batters[[#All],[K P]],MATCH(Table5[[#This Row],[PID]],Batters[[#All],[PID]],0)),INDEX(Table3[[#All],[STM]],MATCH(Table5[[#This Row],[PID]],Table3[[#All],[PID]],0)))</f>
        <v>6</v>
      </c>
      <c r="Q112" s="61">
        <f>IF($C112="B",INDEX(Batters[[#All],[Tot]],MATCH(Table5[[#This Row],[PID]],Batters[[#All],[PID]],0)),INDEX(Table3[[#All],[Tot]],MATCH(Table5[[#This Row],[PID]],Table3[[#All],[PID]],0)))</f>
        <v>65.884810737469252</v>
      </c>
      <c r="R112" s="52">
        <f>IF($C112="B",INDEX(Batters[[#All],[zScore]],MATCH(Table5[[#This Row],[PID]],Batters[[#All],[PID]],0)),INDEX(Table3[[#All],[zScore]],MATCH(Table5[[#This Row],[PID]],Table3[[#All],[PID]],0)))</f>
        <v>1.996804495629148</v>
      </c>
      <c r="S112" s="78" t="str">
        <f>IF($C112="B",INDEX(Batters[[#All],[DEM]],MATCH(Table5[[#This Row],[PID]],Batters[[#All],[PID]],0)),INDEX(Table3[[#All],[DEM]],MATCH(Table5[[#This Row],[PID]],Table3[[#All],[PID]],0)))</f>
        <v>$250k</v>
      </c>
      <c r="T112" s="75">
        <f>IF($C112="B",INDEX(Batters[[#All],[Rnk]],MATCH(Table5[[#This Row],[PID]],Batters[[#All],[PID]],0)),INDEX(Table3[[#All],[Rnk]],MATCH(Table5[[#This Row],[PID]],Table3[[#All],[PID]],0)))</f>
        <v>26</v>
      </c>
      <c r="U112" s="68">
        <f>IF($C112="B",VLOOKUP($A112,Bat!$A$4:$BA$1621,47,FALSE),VLOOKUP($A112,Pit!$A$4:$BF$1557,56,FALSE))</f>
        <v>0</v>
      </c>
      <c r="V112" s="50">
        <f>IF($C112="B",VLOOKUP($A112,Bat!$A$4:$BA$1621,48,FALSE),VLOOKUP($A112,Pit!$A$4:$BF$1557,57,FALSE))</f>
        <v>0</v>
      </c>
      <c r="W112" s="69">
        <f>Table5[[#This Row],[posRnk]]+Table5[[#This Row],[zRnk]]+IF($W$3&lt;&gt;Table5[[#This Row],[Type]],50,0)</f>
        <v>119</v>
      </c>
      <c r="X112" s="73">
        <f>RANK(Table5[[#This Row],[zScore]],Table5[[#All],[zScore]])</f>
        <v>43</v>
      </c>
      <c r="Y112" s="69">
        <f>IFERROR(INDEX(DraftResults[[#All],[OVR]],MATCH(Table5[[#This Row],[PID]],DraftResults[[#All],[Player ID]],0)),"")</f>
        <v>108</v>
      </c>
      <c r="Z11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2" s="69">
        <f>IFERROR(INDEX(DraftResults[[#All],[Pick in Round]],MATCH(Table5[[#This Row],[PID]],DraftResults[[#All],[Player ID]],0)),"")</f>
        <v>8</v>
      </c>
      <c r="AB112" s="69" t="str">
        <f>IFERROR(INDEX(DraftResults[[#All],[Team Name]],MATCH(Table5[[#This Row],[PID]],DraftResults[[#All],[Player ID]],0)),"")</f>
        <v>Hartford Harpoon</v>
      </c>
      <c r="AC112" s="69">
        <f>IF(Table5[[#This Row],[Ovr]]="","",IF(Table5[[#This Row],[cmbList]]="","",Table5[[#This Row],[cmbList]]-Table5[[#This Row],[Ovr]]))</f>
        <v>11</v>
      </c>
      <c r="AD112" s="77" t="str">
        <f>IF(ISERROR(VLOOKUP($AB112&amp;"-"&amp;$E112&amp;" "&amp;F112,Bonuses!$B$1:$G$1006,4,FALSE)),"",INT(VLOOKUP($AB112&amp;"-"&amp;$E112&amp;" "&amp;$F112,Bonuses!$B$1:$G$1006,4,FALSE)))</f>
        <v/>
      </c>
      <c r="AE11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4.8 (108) - SP Homer Alexander</v>
      </c>
    </row>
    <row r="113" spans="1:31" s="50" customFormat="1" x14ac:dyDescent="0.25">
      <c r="A113" s="50">
        <v>18114</v>
      </c>
      <c r="B113" s="50">
        <f>COUNTIF(Table5[PID],A113)</f>
        <v>1</v>
      </c>
      <c r="C113" s="50" t="str">
        <f>IF(COUNTIF(Table3[[#All],[PID]],A113)&gt;0,"P","B")</f>
        <v>B</v>
      </c>
      <c r="D113" s="59" t="str">
        <f>IF($C113="B",INDEX(Batters[[#All],[POS]],MATCH(Table5[[#This Row],[PID]],Batters[[#All],[PID]],0)),INDEX(Table3[[#All],[POS]],MATCH(Table5[[#This Row],[PID]],Table3[[#All],[PID]],0)))</f>
        <v>C</v>
      </c>
      <c r="E113" s="52" t="str">
        <f>IF($C113="B",INDEX(Batters[[#All],[First]],MATCH(Table5[[#This Row],[PID]],Batters[[#All],[PID]],0)),INDEX(Table3[[#All],[First]],MATCH(Table5[[#This Row],[PID]],Table3[[#All],[PID]],0)))</f>
        <v>Ray</v>
      </c>
      <c r="F113" s="50" t="str">
        <f>IF($C113="B",INDEX(Batters[[#All],[Last]],MATCH(A113,Batters[[#All],[PID]],0)),INDEX(Table3[[#All],[Last]],MATCH(A113,Table3[[#All],[PID]],0)))</f>
        <v>Brown</v>
      </c>
      <c r="G113" s="56">
        <f>IF($C113="B",INDEX(Batters[[#All],[Age]],MATCH(Table5[[#This Row],[PID]],Batters[[#All],[PID]],0)),INDEX(Table3[[#All],[Age]],MATCH(Table5[[#This Row],[PID]],Table3[[#All],[PID]],0)))</f>
        <v>21</v>
      </c>
      <c r="H113" s="52" t="str">
        <f>IF($C113="B",INDEX(Batters[[#All],[B]],MATCH(Table5[[#This Row],[PID]],Batters[[#All],[PID]],0)),INDEX(Table3[[#All],[B]],MATCH(Table5[[#This Row],[PID]],Table3[[#All],[PID]],0)))</f>
        <v>S</v>
      </c>
      <c r="I113" s="52" t="str">
        <f>IF($C113="B",INDEX(Batters[[#All],[T]],MATCH(Table5[[#This Row],[PID]],Batters[[#All],[PID]],0)),INDEX(Table3[[#All],[T]],MATCH(Table5[[#This Row],[PID]],Table3[[#All],[PID]],0)))</f>
        <v>R</v>
      </c>
      <c r="J113" s="52" t="str">
        <f>IF($C113="B",INDEX(Batters[[#All],[WE]],MATCH(Table5[[#This Row],[PID]],Batters[[#All],[PID]],0)),INDEX(Table3[[#All],[WE]],MATCH(Table5[[#This Row],[PID]],Table3[[#All],[PID]],0)))</f>
        <v>Low</v>
      </c>
      <c r="K113" s="52" t="str">
        <f>IF($C113="B",INDEX(Batters[[#All],[INT]],MATCH(Table5[[#This Row],[PID]],Batters[[#All],[PID]],0)),INDEX(Table3[[#All],[INT]],MATCH(Table5[[#This Row],[PID]],Table3[[#All],[PID]],0)))</f>
        <v>Low</v>
      </c>
      <c r="L113" s="60">
        <f>IF($C113="B",INDEX(Batters[[#All],[CON P]],MATCH(Table5[[#This Row],[PID]],Batters[[#All],[PID]],0)),INDEX(Table3[[#All],[STU P]],MATCH(Table5[[#This Row],[PID]],Table3[[#All],[PID]],0)))</f>
        <v>5</v>
      </c>
      <c r="M113" s="56">
        <f>IF($C113="B",INDEX(Batters[[#All],[GAP P]],MATCH(Table5[[#This Row],[PID]],Batters[[#All],[PID]],0)),INDEX(Table3[[#All],[MOV P]],MATCH(Table5[[#This Row],[PID]],Table3[[#All],[PID]],0)))</f>
        <v>6</v>
      </c>
      <c r="N113" s="56">
        <f>IF($C113="B",INDEX(Batters[[#All],[POW P]],MATCH(Table5[[#This Row],[PID]],Batters[[#All],[PID]],0)),INDEX(Table3[[#All],[CON P]],MATCH(Table5[[#This Row],[PID]],Table3[[#All],[PID]],0)))</f>
        <v>3</v>
      </c>
      <c r="O113" s="56">
        <f>IF($C113="B",INDEX(Batters[[#All],[EYE P]],MATCH(Table5[[#This Row],[PID]],Batters[[#All],[PID]],0)),INDEX(Table3[[#All],[VELO]],MATCH(Table5[[#This Row],[PID]],Table3[[#All],[PID]],0)))</f>
        <v>3</v>
      </c>
      <c r="P113" s="56">
        <f>IF($C113="B",INDEX(Batters[[#All],[K P]],MATCH(Table5[[#This Row],[PID]],Batters[[#All],[PID]],0)),INDEX(Table3[[#All],[STM]],MATCH(Table5[[#This Row],[PID]],Table3[[#All],[PID]],0)))</f>
        <v>6</v>
      </c>
      <c r="Q113" s="61">
        <f>IF($C113="B",INDEX(Batters[[#All],[Tot]],MATCH(Table5[[#This Row],[PID]],Batters[[#All],[PID]],0)),INDEX(Table3[[#All],[Tot]],MATCH(Table5[[#This Row],[PID]],Table3[[#All],[PID]],0)))</f>
        <v>45.437086792637245</v>
      </c>
      <c r="R113" s="52">
        <f>IF($C113="B",INDEX(Batters[[#All],[zScore]],MATCH(Table5[[#This Row],[PID]],Batters[[#All],[PID]],0)),INDEX(Table3[[#All],[zScore]],MATCH(Table5[[#This Row],[PID]],Table3[[#All],[PID]],0)))</f>
        <v>0.28935992761689522</v>
      </c>
      <c r="S113" s="58" t="str">
        <f>IF($C113="B",INDEX(Batters[[#All],[DEM]],MATCH(Table5[[#This Row],[PID]],Batters[[#All],[PID]],0)),INDEX(Table3[[#All],[DEM]],MATCH(Table5[[#This Row],[PID]],Table3[[#All],[PID]],0)))</f>
        <v>$27k</v>
      </c>
      <c r="T113" s="62">
        <f>IF($C113="B",INDEX(Batters[[#All],[Rnk]],MATCH(Table5[[#This Row],[PID]],Batters[[#All],[PID]],0)),INDEX(Table3[[#All],[Rnk]],MATCH(Table5[[#This Row],[PID]],Table3[[#All],[PID]],0)))</f>
        <v>177</v>
      </c>
      <c r="U113" s="68">
        <f>IF($C113="B",VLOOKUP($A113,Bat!$A$4:$BA$1621,47,FALSE),VLOOKUP($A113,Pit!$A$4:$BF$1557,56,FALSE))</f>
        <v>0</v>
      </c>
      <c r="V113" s="50">
        <f>IF($C113="B",VLOOKUP($A113,Bat!$A$4:$BA$1621,48,FALSE),VLOOKUP($A113,Pit!$A$4:$BF$1557,57,FALSE))</f>
        <v>0</v>
      </c>
      <c r="W113" s="50">
        <f>Table5[[#This Row],[posRnk]]+Table5[[#This Row],[zRnk]]+IF($W$3&lt;&gt;Table5[[#This Row],[Type]],50,0)</f>
        <v>648</v>
      </c>
      <c r="X113" s="51">
        <f>RANK(Table5[[#This Row],[zScore]],Table5[[#All],[zScore]])</f>
        <v>421</v>
      </c>
      <c r="Y113" s="50">
        <f>IFERROR(INDEX(DraftResults[[#All],[OVR]],MATCH(Table5[[#This Row],[PID]],DraftResults[[#All],[Player ID]],0)),"")</f>
        <v>109</v>
      </c>
      <c r="Z1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3" s="50">
        <f>IFERROR(INDEX(DraftResults[[#All],[Pick in Round]],MATCH(Table5[[#This Row],[PID]],DraftResults[[#All],[Player ID]],0)),"")</f>
        <v>9</v>
      </c>
      <c r="AB113" s="50" t="str">
        <f>IFERROR(INDEX(DraftResults[[#All],[Team Name]],MATCH(Table5[[#This Row],[PID]],DraftResults[[#All],[Player ID]],0)),"")</f>
        <v>Duluth Warriors</v>
      </c>
      <c r="AC113" s="50">
        <f>IF(Table5[[#This Row],[Ovr]]="","",IF(Table5[[#This Row],[cmbList]]="","",Table5[[#This Row],[cmbList]]-Table5[[#This Row],[Ovr]]))</f>
        <v>539</v>
      </c>
      <c r="AD113" s="54" t="str">
        <f>IF(ISERROR(VLOOKUP($AB113&amp;"-"&amp;$E113&amp;" "&amp;F113,Bonuses!$B$1:$G$1006,4,FALSE)),"",INT(VLOOKUP($AB113&amp;"-"&amp;$E113&amp;" "&amp;$F113,Bonuses!$B$1:$G$1006,4,FALSE)))</f>
        <v/>
      </c>
      <c r="AE1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4.9 (109) - C Ray Brown</v>
      </c>
    </row>
    <row r="114" spans="1:31" s="50" customFormat="1" x14ac:dyDescent="0.25">
      <c r="A114" s="68">
        <v>18170</v>
      </c>
      <c r="B114" s="69">
        <f>COUNTIF(Table5[PID],A114)</f>
        <v>1</v>
      </c>
      <c r="C114" s="69" t="str">
        <f>IF(COUNTIF(Table3[[#All],[PID]],A114)&gt;0,"P","B")</f>
        <v>P</v>
      </c>
      <c r="D114" s="59" t="str">
        <f>IF($C114="B",INDEX(Batters[[#All],[POS]],MATCH(Table5[[#This Row],[PID]],Batters[[#All],[PID]],0)),INDEX(Table3[[#All],[POS]],MATCH(Table5[[#This Row],[PID]],Table3[[#All],[PID]],0)))</f>
        <v>SP</v>
      </c>
      <c r="E114" s="52" t="str">
        <f>IF($C114="B",INDEX(Batters[[#All],[First]],MATCH(Table5[[#This Row],[PID]],Batters[[#All],[PID]],0)),INDEX(Table3[[#All],[First]],MATCH(Table5[[#This Row],[PID]],Table3[[#All],[PID]],0)))</f>
        <v>Carlos</v>
      </c>
      <c r="F114" s="55" t="str">
        <f>IF($C114="B",INDEX(Batters[[#All],[Last]],MATCH(A114,Batters[[#All],[PID]],0)),INDEX(Table3[[#All],[Last]],MATCH(A114,Table3[[#All],[PID]],0)))</f>
        <v>Quiñones</v>
      </c>
      <c r="G114" s="56">
        <f>IF($C114="B",INDEX(Batters[[#All],[Age]],MATCH(Table5[[#This Row],[PID]],Batters[[#All],[PID]],0)),INDEX(Table3[[#All],[Age]],MATCH(Table5[[#This Row],[PID]],Table3[[#All],[PID]],0)))</f>
        <v>21</v>
      </c>
      <c r="H114" s="52" t="str">
        <f>IF($C114="B",INDEX(Batters[[#All],[B]],MATCH(Table5[[#This Row],[PID]],Batters[[#All],[PID]],0)),INDEX(Table3[[#All],[B]],MATCH(Table5[[#This Row],[PID]],Table3[[#All],[PID]],0)))</f>
        <v>L</v>
      </c>
      <c r="I114" s="52" t="str">
        <f>IF($C114="B",INDEX(Batters[[#All],[T]],MATCH(Table5[[#This Row],[PID]],Batters[[#All],[PID]],0)),INDEX(Table3[[#All],[T]],MATCH(Table5[[#This Row],[PID]],Table3[[#All],[PID]],0)))</f>
        <v>L</v>
      </c>
      <c r="J114" s="71" t="str">
        <f>IF($C114="B",INDEX(Batters[[#All],[WE]],MATCH(Table5[[#This Row],[PID]],Batters[[#All],[PID]],0)),INDEX(Table3[[#All],[WE]],MATCH(Table5[[#This Row],[PID]],Table3[[#All],[PID]],0)))</f>
        <v>Low</v>
      </c>
      <c r="K114" s="52" t="str">
        <f>IF($C114="B",INDEX(Batters[[#All],[INT]],MATCH(Table5[[#This Row],[PID]],Batters[[#All],[PID]],0)),INDEX(Table3[[#All],[INT]],MATCH(Table5[[#This Row],[PID]],Table3[[#All],[PID]],0)))</f>
        <v>Normal</v>
      </c>
      <c r="L114" s="60">
        <f>IF($C114="B",INDEX(Batters[[#All],[CON P]],MATCH(Table5[[#This Row],[PID]],Batters[[#All],[PID]],0)),INDEX(Table3[[#All],[STU P]],MATCH(Table5[[#This Row],[PID]],Table3[[#All],[PID]],0)))</f>
        <v>5</v>
      </c>
      <c r="M114" s="72">
        <f>IF($C114="B",INDEX(Batters[[#All],[GAP P]],MATCH(Table5[[#This Row],[PID]],Batters[[#All],[PID]],0)),INDEX(Table3[[#All],[MOV P]],MATCH(Table5[[#This Row],[PID]],Table3[[#All],[PID]],0)))</f>
        <v>5</v>
      </c>
      <c r="N114" s="72">
        <f>IF($C114="B",INDEX(Batters[[#All],[POW P]],MATCH(Table5[[#This Row],[PID]],Batters[[#All],[PID]],0)),INDEX(Table3[[#All],[CON P]],MATCH(Table5[[#This Row],[PID]],Table3[[#All],[PID]],0)))</f>
        <v>3</v>
      </c>
      <c r="O114" s="72" t="str">
        <f>IF($C114="B",INDEX(Batters[[#All],[EYE P]],MATCH(Table5[[#This Row],[PID]],Batters[[#All],[PID]],0)),INDEX(Table3[[#All],[VELO]],MATCH(Table5[[#This Row],[PID]],Table3[[#All],[PID]],0)))</f>
        <v>94-96 Mph</v>
      </c>
      <c r="P114" s="56">
        <f>IF($C114="B",INDEX(Batters[[#All],[K P]],MATCH(Table5[[#This Row],[PID]],Batters[[#All],[PID]],0)),INDEX(Table3[[#All],[STM]],MATCH(Table5[[#This Row],[PID]],Table3[[#All],[PID]],0)))</f>
        <v>7</v>
      </c>
      <c r="Q114" s="61">
        <f>IF($C114="B",INDEX(Batters[[#All],[Tot]],MATCH(Table5[[#This Row],[PID]],Batters[[#All],[PID]],0)),INDEX(Table3[[#All],[Tot]],MATCH(Table5[[#This Row],[PID]],Table3[[#All],[PID]],0)))</f>
        <v>47.324932533486852</v>
      </c>
      <c r="R114" s="52">
        <f>IF($C114="B",INDEX(Batters[[#All],[zScore]],MATCH(Table5[[#This Row],[PID]],Batters[[#All],[PID]],0)),INDEX(Table3[[#All],[zScore]],MATCH(Table5[[#This Row],[PID]],Table3[[#All],[PID]],0)))</f>
        <v>0.76204416023219135</v>
      </c>
      <c r="S114" s="78" t="str">
        <f>IF($C114="B",INDEX(Batters[[#All],[DEM]],MATCH(Table5[[#This Row],[PID]],Batters[[#All],[PID]],0)),INDEX(Table3[[#All],[DEM]],MATCH(Table5[[#This Row],[PID]],Table3[[#All],[PID]],0)))</f>
        <v>$310k</v>
      </c>
      <c r="T114" s="75">
        <f>IF($C114="B",INDEX(Batters[[#All],[Rnk]],MATCH(Table5[[#This Row],[PID]],Batters[[#All],[PID]],0)),INDEX(Table3[[#All],[Rnk]],MATCH(Table5[[#This Row],[PID]],Table3[[#All],[PID]],0)))</f>
        <v>179</v>
      </c>
      <c r="U114" s="68">
        <f>IF($C114="B",VLOOKUP($A114,Bat!$A$4:$BA$1621,47,FALSE),VLOOKUP($A114,Pit!$A$4:$BF$1557,56,FALSE))</f>
        <v>0</v>
      </c>
      <c r="V114" s="50">
        <f>IF($C114="B",VLOOKUP($A114,Bat!$A$4:$BA$1621,48,FALSE),VLOOKUP($A114,Pit!$A$4:$BF$1557,57,FALSE))</f>
        <v>0</v>
      </c>
      <c r="W114" s="69">
        <f>Table5[[#This Row],[posRnk]]+Table5[[#This Row],[zRnk]]+IF($W$3&lt;&gt;Table5[[#This Row],[Type]],50,0)</f>
        <v>523</v>
      </c>
      <c r="X114" s="73">
        <f>RANK(Table5[[#This Row],[zScore]],Table5[[#All],[zScore]])</f>
        <v>294</v>
      </c>
      <c r="Y114" s="69">
        <f>IFERROR(INDEX(DraftResults[[#All],[OVR]],MATCH(Table5[[#This Row],[PID]],DraftResults[[#All],[Player ID]],0)),"")</f>
        <v>110</v>
      </c>
      <c r="Z11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4" s="69">
        <f>IFERROR(INDEX(DraftResults[[#All],[Pick in Round]],MATCH(Table5[[#This Row],[PID]],DraftResults[[#All],[Player ID]],0)),"")</f>
        <v>10</v>
      </c>
      <c r="AB114" s="69" t="str">
        <f>IFERROR(INDEX(DraftResults[[#All],[Team Name]],MATCH(Table5[[#This Row],[PID]],DraftResults[[#All],[Player ID]],0)),"")</f>
        <v>Palm Springs Codgers</v>
      </c>
      <c r="AC114" s="69">
        <f>IF(Table5[[#This Row],[Ovr]]="","",IF(Table5[[#This Row],[cmbList]]="","",Table5[[#This Row],[cmbList]]-Table5[[#This Row],[Ovr]]))</f>
        <v>413</v>
      </c>
      <c r="AD114" s="77" t="str">
        <f>IF(ISERROR(VLOOKUP($AB114&amp;"-"&amp;$E114&amp;" "&amp;F114,Bonuses!$B$1:$G$1006,4,FALSE)),"",INT(VLOOKUP($AB114&amp;"-"&amp;$E114&amp;" "&amp;$F114,Bonuses!$B$1:$G$1006,4,FALSE)))</f>
        <v/>
      </c>
      <c r="AE11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4.10 (110) - SP Carlos Quiñones</v>
      </c>
    </row>
    <row r="115" spans="1:31" s="50" customFormat="1" x14ac:dyDescent="0.25">
      <c r="A115" s="50">
        <v>20438</v>
      </c>
      <c r="B115" s="50">
        <f>COUNTIF(Table5[PID],A115)</f>
        <v>1</v>
      </c>
      <c r="C115" s="50" t="str">
        <f>IF(COUNTIF(Table3[[#All],[PID]],A115)&gt;0,"P","B")</f>
        <v>B</v>
      </c>
      <c r="D115" s="59" t="str">
        <f>IF($C115="B",INDEX(Batters[[#All],[POS]],MATCH(Table5[[#This Row],[PID]],Batters[[#All],[PID]],0)),INDEX(Table3[[#All],[POS]],MATCH(Table5[[#This Row],[PID]],Table3[[#All],[PID]],0)))</f>
        <v>C</v>
      </c>
      <c r="E115" s="52" t="str">
        <f>IF($C115="B",INDEX(Batters[[#All],[First]],MATCH(Table5[[#This Row],[PID]],Batters[[#All],[PID]],0)),INDEX(Table3[[#All],[First]],MATCH(Table5[[#This Row],[PID]],Table3[[#All],[PID]],0)))</f>
        <v>Hsin</v>
      </c>
      <c r="F115" s="50" t="str">
        <f>IF($C115="B",INDEX(Batters[[#All],[Last]],MATCH(A115,Batters[[#All],[PID]],0)),INDEX(Table3[[#All],[Last]],MATCH(A115,Table3[[#All],[PID]],0)))</f>
        <v>Wang</v>
      </c>
      <c r="G115" s="56">
        <f>IF($C115="B",INDEX(Batters[[#All],[Age]],MATCH(Table5[[#This Row],[PID]],Batters[[#All],[PID]],0)),INDEX(Table3[[#All],[Age]],MATCH(Table5[[#This Row],[PID]],Table3[[#All],[PID]],0)))</f>
        <v>18</v>
      </c>
      <c r="H115" s="52" t="str">
        <f>IF($C115="B",INDEX(Batters[[#All],[B]],MATCH(Table5[[#This Row],[PID]],Batters[[#All],[PID]],0)),INDEX(Table3[[#All],[B]],MATCH(Table5[[#This Row],[PID]],Table3[[#All],[PID]],0)))</f>
        <v>R</v>
      </c>
      <c r="I115" s="52" t="str">
        <f>IF($C115="B",INDEX(Batters[[#All],[T]],MATCH(Table5[[#This Row],[PID]],Batters[[#All],[PID]],0)),INDEX(Table3[[#All],[T]],MATCH(Table5[[#This Row],[PID]],Table3[[#All],[PID]],0)))</f>
        <v>R</v>
      </c>
      <c r="J115" s="52" t="str">
        <f>IF($C115="B",INDEX(Batters[[#All],[WE]],MATCH(Table5[[#This Row],[PID]],Batters[[#All],[PID]],0)),INDEX(Table3[[#All],[WE]],MATCH(Table5[[#This Row],[PID]],Table3[[#All],[PID]],0)))</f>
        <v>Low</v>
      </c>
      <c r="K115" s="52" t="str">
        <f>IF($C115="B",INDEX(Batters[[#All],[INT]],MATCH(Table5[[#This Row],[PID]],Batters[[#All],[PID]],0)),INDEX(Table3[[#All],[INT]],MATCH(Table5[[#This Row],[PID]],Table3[[#All],[PID]],0)))</f>
        <v>Normal</v>
      </c>
      <c r="L115" s="60">
        <f>IF($C115="B",INDEX(Batters[[#All],[CON P]],MATCH(Table5[[#This Row],[PID]],Batters[[#All],[PID]],0)),INDEX(Table3[[#All],[STU P]],MATCH(Table5[[#This Row],[PID]],Table3[[#All],[PID]],0)))</f>
        <v>3</v>
      </c>
      <c r="M115" s="56">
        <f>IF($C115="B",INDEX(Batters[[#All],[GAP P]],MATCH(Table5[[#This Row],[PID]],Batters[[#All],[PID]],0)),INDEX(Table3[[#All],[MOV P]],MATCH(Table5[[#This Row],[PID]],Table3[[#All],[PID]],0)))</f>
        <v>7</v>
      </c>
      <c r="N115" s="56">
        <f>IF($C115="B",INDEX(Batters[[#All],[POW P]],MATCH(Table5[[#This Row],[PID]],Batters[[#All],[PID]],0)),INDEX(Table3[[#All],[CON P]],MATCH(Table5[[#This Row],[PID]],Table3[[#All],[PID]],0)))</f>
        <v>7</v>
      </c>
      <c r="O115" s="56">
        <f>IF($C115="B",INDEX(Batters[[#All],[EYE P]],MATCH(Table5[[#This Row],[PID]],Batters[[#All],[PID]],0)),INDEX(Table3[[#All],[VELO]],MATCH(Table5[[#This Row],[PID]],Table3[[#All],[PID]],0)))</f>
        <v>6</v>
      </c>
      <c r="P115" s="56">
        <f>IF($C115="B",INDEX(Batters[[#All],[K P]],MATCH(Table5[[#This Row],[PID]],Batters[[#All],[PID]],0)),INDEX(Table3[[#All],[STM]],MATCH(Table5[[#This Row],[PID]],Table3[[#All],[PID]],0)))</f>
        <v>3</v>
      </c>
      <c r="Q115" s="61">
        <f>IF($C115="B",INDEX(Batters[[#All],[Tot]],MATCH(Table5[[#This Row],[PID]],Batters[[#All],[PID]],0)),INDEX(Table3[[#All],[Tot]],MATCH(Table5[[#This Row],[PID]],Table3[[#All],[PID]],0)))</f>
        <v>48.278667916497696</v>
      </c>
      <c r="R115" s="52">
        <f>IF($C115="B",INDEX(Batters[[#All],[zScore]],MATCH(Table5[[#This Row],[PID]],Batters[[#All],[PID]],0)),INDEX(Table3[[#All],[zScore]],MATCH(Table5[[#This Row],[PID]],Table3[[#All],[PID]],0)))</f>
        <v>0.91935767008257629</v>
      </c>
      <c r="S115" s="58" t="str">
        <f>IF($C115="B",INDEX(Batters[[#All],[DEM]],MATCH(Table5[[#This Row],[PID]],Batters[[#All],[PID]],0)),INDEX(Table3[[#All],[DEM]],MATCH(Table5[[#This Row],[PID]],Table3[[#All],[PID]],0)))</f>
        <v>$400k</v>
      </c>
      <c r="T115" s="62">
        <f>IF($C115="B",INDEX(Batters[[#All],[Rnk]],MATCH(Table5[[#This Row],[PID]],Batters[[#All],[PID]],0)),INDEX(Table3[[#All],[Rnk]],MATCH(Table5[[#This Row],[PID]],Table3[[#All],[PID]],0)))</f>
        <v>99</v>
      </c>
      <c r="U115" s="68">
        <f>IF($C115="B",VLOOKUP($A115,Bat!$A$4:$BA$1621,47,FALSE),VLOOKUP($A115,Pit!$A$4:$BF$1557,56,FALSE))</f>
        <v>0</v>
      </c>
      <c r="V115" s="50">
        <f>IF($C115="B",VLOOKUP($A115,Bat!$A$4:$BA$1621,48,FALSE),VLOOKUP($A115,Pit!$A$4:$BF$1557,57,FALSE))</f>
        <v>0</v>
      </c>
      <c r="W115" s="50">
        <f>Table5[[#This Row],[posRnk]]+Table5[[#This Row],[zRnk]]+IF($W$3&lt;&gt;Table5[[#This Row],[Type]],50,0)</f>
        <v>397</v>
      </c>
      <c r="X115" s="51">
        <f>RANK(Table5[[#This Row],[zScore]],Table5[[#All],[zScore]])</f>
        <v>248</v>
      </c>
      <c r="Y115" s="50">
        <f>IFERROR(INDEX(DraftResults[[#All],[OVR]],MATCH(Table5[[#This Row],[PID]],DraftResults[[#All],[Player ID]],0)),"")</f>
        <v>111</v>
      </c>
      <c r="Z1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5" s="50">
        <f>IFERROR(INDEX(DraftResults[[#All],[Pick in Round]],MATCH(Table5[[#This Row],[PID]],DraftResults[[#All],[Player ID]],0)),"")</f>
        <v>11</v>
      </c>
      <c r="AB115" s="50" t="str">
        <f>IFERROR(INDEX(DraftResults[[#All],[Team Name]],MATCH(Table5[[#This Row],[PID]],DraftResults[[#All],[Player ID]],0)),"")</f>
        <v>Reno Zephyrs</v>
      </c>
      <c r="AC115" s="50">
        <f>IF(Table5[[#This Row],[Ovr]]="","",IF(Table5[[#This Row],[cmbList]]="","",Table5[[#This Row],[cmbList]]-Table5[[#This Row],[Ovr]]))</f>
        <v>286</v>
      </c>
      <c r="AD115" s="54" t="str">
        <f>IF(ISERROR(VLOOKUP($AB115&amp;"-"&amp;$E115&amp;" "&amp;F115,Bonuses!$B$1:$G$1006,4,FALSE)),"",INT(VLOOKUP($AB115&amp;"-"&amp;$E115&amp;" "&amp;$F115,Bonuses!$B$1:$G$1006,4,FALSE)))</f>
        <v/>
      </c>
      <c r="AE1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4.11 (111) - C Hsin Wang</v>
      </c>
    </row>
    <row r="116" spans="1:31" s="50" customFormat="1" x14ac:dyDescent="0.25">
      <c r="A116" s="50">
        <v>17893</v>
      </c>
      <c r="B116" s="50">
        <f>COUNTIF(Table5[PID],A116)</f>
        <v>1</v>
      </c>
      <c r="C116" s="50" t="str">
        <f>IF(COUNTIF(Table3[[#All],[PID]],A116)&gt;0,"P","B")</f>
        <v>B</v>
      </c>
      <c r="D116" s="59" t="str">
        <f>IF($C116="B",INDEX(Batters[[#All],[POS]],MATCH(Table5[[#This Row],[PID]],Batters[[#All],[PID]],0)),INDEX(Table3[[#All],[POS]],MATCH(Table5[[#This Row],[PID]],Table3[[#All],[PID]],0)))</f>
        <v>1B</v>
      </c>
      <c r="E116" s="52" t="str">
        <f>IF($C116="B",INDEX(Batters[[#All],[First]],MATCH(Table5[[#This Row],[PID]],Batters[[#All],[PID]],0)),INDEX(Table3[[#All],[First]],MATCH(Table5[[#This Row],[PID]],Table3[[#All],[PID]],0)))</f>
        <v>Luis</v>
      </c>
      <c r="F116" s="50" t="str">
        <f>IF($C116="B",INDEX(Batters[[#All],[Last]],MATCH(A116,Batters[[#All],[PID]],0)),INDEX(Table3[[#All],[Last]],MATCH(A116,Table3[[#All],[PID]],0)))</f>
        <v>Cruz</v>
      </c>
      <c r="G116" s="56">
        <f>IF($C116="B",INDEX(Batters[[#All],[Age]],MATCH(Table5[[#This Row],[PID]],Batters[[#All],[PID]],0)),INDEX(Table3[[#All],[Age]],MATCH(Table5[[#This Row],[PID]],Table3[[#All],[PID]],0)))</f>
        <v>18</v>
      </c>
      <c r="H116" s="52" t="str">
        <f>IF($C116="B",INDEX(Batters[[#All],[B]],MATCH(Table5[[#This Row],[PID]],Batters[[#All],[PID]],0)),INDEX(Table3[[#All],[B]],MATCH(Table5[[#This Row],[PID]],Table3[[#All],[PID]],0)))</f>
        <v>L</v>
      </c>
      <c r="I116" s="52" t="str">
        <f>IF($C116="B",INDEX(Batters[[#All],[T]],MATCH(Table5[[#This Row],[PID]],Batters[[#All],[PID]],0)),INDEX(Table3[[#All],[T]],MATCH(Table5[[#This Row],[PID]],Table3[[#All],[PID]],0)))</f>
        <v>R</v>
      </c>
      <c r="J116" s="52" t="str">
        <f>IF($C116="B",INDEX(Batters[[#All],[WE]],MATCH(Table5[[#This Row],[PID]],Batters[[#All],[PID]],0)),INDEX(Table3[[#All],[WE]],MATCH(Table5[[#This Row],[PID]],Table3[[#All],[PID]],0)))</f>
        <v>Normal</v>
      </c>
      <c r="K116" s="52" t="str">
        <f>IF($C116="B",INDEX(Batters[[#All],[INT]],MATCH(Table5[[#This Row],[PID]],Batters[[#All],[PID]],0)),INDEX(Table3[[#All],[INT]],MATCH(Table5[[#This Row],[PID]],Table3[[#All],[PID]],0)))</f>
        <v>Normal</v>
      </c>
      <c r="L116" s="60">
        <f>IF($C116="B",INDEX(Batters[[#All],[CON P]],MATCH(Table5[[#This Row],[PID]],Batters[[#All],[PID]],0)),INDEX(Table3[[#All],[STU P]],MATCH(Table5[[#This Row],[PID]],Table3[[#All],[PID]],0)))</f>
        <v>5</v>
      </c>
      <c r="M116" s="56">
        <f>IF($C116="B",INDEX(Batters[[#All],[GAP P]],MATCH(Table5[[#This Row],[PID]],Batters[[#All],[PID]],0)),INDEX(Table3[[#All],[MOV P]],MATCH(Table5[[#This Row],[PID]],Table3[[#All],[PID]],0)))</f>
        <v>4</v>
      </c>
      <c r="N116" s="56">
        <f>IF($C116="B",INDEX(Batters[[#All],[POW P]],MATCH(Table5[[#This Row],[PID]],Batters[[#All],[PID]],0)),INDEX(Table3[[#All],[CON P]],MATCH(Table5[[#This Row],[PID]],Table3[[#All],[PID]],0)))</f>
        <v>4</v>
      </c>
      <c r="O116" s="56">
        <f>IF($C116="B",INDEX(Batters[[#All],[EYE P]],MATCH(Table5[[#This Row],[PID]],Batters[[#All],[PID]],0)),INDEX(Table3[[#All],[VELO]],MATCH(Table5[[#This Row],[PID]],Table3[[#All],[PID]],0)))</f>
        <v>4</v>
      </c>
      <c r="P116" s="56">
        <f>IF($C116="B",INDEX(Batters[[#All],[K P]],MATCH(Table5[[#This Row],[PID]],Batters[[#All],[PID]],0)),INDEX(Table3[[#All],[STM]],MATCH(Table5[[#This Row],[PID]],Table3[[#All],[PID]],0)))</f>
        <v>6</v>
      </c>
      <c r="Q116" s="61">
        <f>IF($C116="B",INDEX(Batters[[#All],[Tot]],MATCH(Table5[[#This Row],[PID]],Batters[[#All],[PID]],0)),INDEX(Table3[[#All],[Tot]],MATCH(Table5[[#This Row],[PID]],Table3[[#All],[PID]],0)))</f>
        <v>51.016967338669758</v>
      </c>
      <c r="R116" s="52">
        <f>IF($C116="B",INDEX(Batters[[#All],[zScore]],MATCH(Table5[[#This Row],[PID]],Batters[[#All],[PID]],0)),INDEX(Table3[[#All],[zScore]],MATCH(Table5[[#This Row],[PID]],Table3[[#All],[PID]],0)))</f>
        <v>1.5264571611644289</v>
      </c>
      <c r="S116" s="58" t="str">
        <f>IF($C116="B",INDEX(Batters[[#All],[DEM]],MATCH(Table5[[#This Row],[PID]],Batters[[#All],[PID]],0)),INDEX(Table3[[#All],[DEM]],MATCH(Table5[[#This Row],[PID]],Table3[[#All],[PID]],0)))</f>
        <v>$70k</v>
      </c>
      <c r="T116" s="62">
        <f>IF($C116="B",INDEX(Batters[[#All],[Rnk]],MATCH(Table5[[#This Row],[PID]],Batters[[#All],[PID]],0)),INDEX(Table3[[#All],[Rnk]],MATCH(Table5[[#This Row],[PID]],Table3[[#All],[PID]],0)))</f>
        <v>43</v>
      </c>
      <c r="U116" s="68">
        <f>IF($C116="B",VLOOKUP($A116,Bat!$A$4:$BA$1621,47,FALSE),VLOOKUP($A116,Pit!$A$4:$BF$1557,56,FALSE))</f>
        <v>0</v>
      </c>
      <c r="V116" s="50">
        <f>IF($C116="B",VLOOKUP($A116,Bat!$A$4:$BA$1621,48,FALSE),VLOOKUP($A116,Pit!$A$4:$BF$1557,57,FALSE))</f>
        <v>0</v>
      </c>
      <c r="W116" s="50">
        <f>Table5[[#This Row],[posRnk]]+Table5[[#This Row],[zRnk]]+IF($W$3&lt;&gt;Table5[[#This Row],[Type]],50,0)</f>
        <v>208</v>
      </c>
      <c r="X116" s="51">
        <f>RANK(Table5[[#This Row],[zScore]],Table5[[#All],[zScore]])</f>
        <v>115</v>
      </c>
      <c r="Y116" s="50">
        <f>IFERROR(INDEX(DraftResults[[#All],[OVR]],MATCH(Table5[[#This Row],[PID]],DraftResults[[#All],[Player ID]],0)),"")</f>
        <v>112</v>
      </c>
      <c r="Z1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6" s="50">
        <f>IFERROR(INDEX(DraftResults[[#All],[Pick in Round]],MATCH(Table5[[#This Row],[PID]],DraftResults[[#All],[Player ID]],0)),"")</f>
        <v>12</v>
      </c>
      <c r="AB116" s="50" t="str">
        <f>IFERROR(INDEX(DraftResults[[#All],[Team Name]],MATCH(Table5[[#This Row],[PID]],DraftResults[[#All],[Player ID]],0)),"")</f>
        <v>Arlington Bureaucrats</v>
      </c>
      <c r="AC116" s="50">
        <f>IF(Table5[[#This Row],[Ovr]]="","",IF(Table5[[#This Row],[cmbList]]="","",Table5[[#This Row],[cmbList]]-Table5[[#This Row],[Ovr]]))</f>
        <v>96</v>
      </c>
      <c r="AD116" s="54" t="str">
        <f>IF(ISERROR(VLOOKUP($AB116&amp;"-"&amp;$E116&amp;" "&amp;F116,Bonuses!$B$1:$G$1006,4,FALSE)),"",INT(VLOOKUP($AB116&amp;"-"&amp;$E116&amp;" "&amp;$F116,Bonuses!$B$1:$G$1006,4,FALSE)))</f>
        <v/>
      </c>
      <c r="AE1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4.12 (112) - 1B Luis Cruz</v>
      </c>
    </row>
    <row r="117" spans="1:31" s="50" customFormat="1" x14ac:dyDescent="0.25">
      <c r="A117" s="68">
        <v>13039</v>
      </c>
      <c r="B117" s="69">
        <f>COUNTIF(Table5[PID],A117)</f>
        <v>1</v>
      </c>
      <c r="C117" s="69" t="str">
        <f>IF(COUNTIF(Table3[[#All],[PID]],A117)&gt;0,"P","B")</f>
        <v>P</v>
      </c>
      <c r="D117" s="59" t="str">
        <f>IF($C117="B",INDEX(Batters[[#All],[POS]],MATCH(Table5[[#This Row],[PID]],Batters[[#All],[PID]],0)),INDEX(Table3[[#All],[POS]],MATCH(Table5[[#This Row],[PID]],Table3[[#All],[PID]],0)))</f>
        <v>SP</v>
      </c>
      <c r="E117" s="52" t="str">
        <f>IF($C117="B",INDEX(Batters[[#All],[First]],MATCH(Table5[[#This Row],[PID]],Batters[[#All],[PID]],0)),INDEX(Table3[[#All],[First]],MATCH(Table5[[#This Row],[PID]],Table3[[#All],[PID]],0)))</f>
        <v>Bartolo</v>
      </c>
      <c r="F117" s="55" t="str">
        <f>IF($C117="B",INDEX(Batters[[#All],[Last]],MATCH(A117,Batters[[#All],[PID]],0)),INDEX(Table3[[#All],[Last]],MATCH(A117,Table3[[#All],[PID]],0)))</f>
        <v>Cervantes</v>
      </c>
      <c r="G117" s="56">
        <f>IF($C117="B",INDEX(Batters[[#All],[Age]],MATCH(Table5[[#This Row],[PID]],Batters[[#All],[PID]],0)),INDEX(Table3[[#All],[Age]],MATCH(Table5[[#This Row],[PID]],Table3[[#All],[PID]],0)))</f>
        <v>18</v>
      </c>
      <c r="H117" s="52" t="str">
        <f>IF($C117="B",INDEX(Batters[[#All],[B]],MATCH(Table5[[#This Row],[PID]],Batters[[#All],[PID]],0)),INDEX(Table3[[#All],[B]],MATCH(Table5[[#This Row],[PID]],Table3[[#All],[PID]],0)))</f>
        <v>L</v>
      </c>
      <c r="I117" s="52" t="str">
        <f>IF($C117="B",INDEX(Batters[[#All],[T]],MATCH(Table5[[#This Row],[PID]],Batters[[#All],[PID]],0)),INDEX(Table3[[#All],[T]],MATCH(Table5[[#This Row],[PID]],Table3[[#All],[PID]],0)))</f>
        <v>L</v>
      </c>
      <c r="J117" s="71" t="str">
        <f>IF($C117="B",INDEX(Batters[[#All],[WE]],MATCH(Table5[[#This Row],[PID]],Batters[[#All],[PID]],0)),INDEX(Table3[[#All],[WE]],MATCH(Table5[[#This Row],[PID]],Table3[[#All],[PID]],0)))</f>
        <v>Normal</v>
      </c>
      <c r="K117" s="52" t="str">
        <f>IF($C117="B",INDEX(Batters[[#All],[INT]],MATCH(Table5[[#This Row],[PID]],Batters[[#All],[PID]],0)),INDEX(Table3[[#All],[INT]],MATCH(Table5[[#This Row],[PID]],Table3[[#All],[PID]],0)))</f>
        <v>Normal</v>
      </c>
      <c r="L117" s="60">
        <f>IF($C117="B",INDEX(Batters[[#All],[CON P]],MATCH(Table5[[#This Row],[PID]],Batters[[#All],[PID]],0)),INDEX(Table3[[#All],[STU P]],MATCH(Table5[[#This Row],[PID]],Table3[[#All],[PID]],0)))</f>
        <v>6</v>
      </c>
      <c r="M117" s="72">
        <f>IF($C117="B",INDEX(Batters[[#All],[GAP P]],MATCH(Table5[[#This Row],[PID]],Batters[[#All],[PID]],0)),INDEX(Table3[[#All],[MOV P]],MATCH(Table5[[#This Row],[PID]],Table3[[#All],[PID]],0)))</f>
        <v>5</v>
      </c>
      <c r="N117" s="72">
        <f>IF($C117="B",INDEX(Batters[[#All],[POW P]],MATCH(Table5[[#This Row],[PID]],Batters[[#All],[PID]],0)),INDEX(Table3[[#All],[CON P]],MATCH(Table5[[#This Row],[PID]],Table3[[#All],[PID]],0)))</f>
        <v>3</v>
      </c>
      <c r="O117" s="72" t="str">
        <f>IF($C117="B",INDEX(Batters[[#All],[EYE P]],MATCH(Table5[[#This Row],[PID]],Batters[[#All],[PID]],0)),INDEX(Table3[[#All],[VELO]],MATCH(Table5[[#This Row],[PID]],Table3[[#All],[PID]],0)))</f>
        <v>91-93 Mph</v>
      </c>
      <c r="P117" s="56">
        <f>IF($C117="B",INDEX(Batters[[#All],[K P]],MATCH(Table5[[#This Row],[PID]],Batters[[#All],[PID]],0)),INDEX(Table3[[#All],[STM]],MATCH(Table5[[#This Row],[PID]],Table3[[#All],[PID]],0)))</f>
        <v>9</v>
      </c>
      <c r="Q117" s="61">
        <f>IF($C117="B",INDEX(Batters[[#All],[Tot]],MATCH(Table5[[#This Row],[PID]],Batters[[#All],[PID]],0)),INDEX(Table3[[#All],[Tot]],MATCH(Table5[[#This Row],[PID]],Table3[[#All],[PID]],0)))</f>
        <v>56.31443042347</v>
      </c>
      <c r="R117" s="52">
        <f>IF($C117="B",INDEX(Batters[[#All],[zScore]],MATCH(Table5[[#This Row],[PID]],Batters[[#All],[PID]],0)),INDEX(Table3[[#All],[zScore]],MATCH(Table5[[#This Row],[PID]],Table3[[#All],[PID]],0)))</f>
        <v>1.3601017179215582</v>
      </c>
      <c r="S117" s="78" t="str">
        <f>IF($C117="B",INDEX(Batters[[#All],[DEM]],MATCH(Table5[[#This Row],[PID]],Batters[[#All],[PID]],0)),INDEX(Table3[[#All],[DEM]],MATCH(Table5[[#This Row],[PID]],Table3[[#All],[PID]],0)))</f>
        <v>$850k</v>
      </c>
      <c r="T117" s="75">
        <f>IF($C117="B",INDEX(Batters[[#All],[Rnk]],MATCH(Table5[[#This Row],[PID]],Batters[[#All],[PID]],0)),INDEX(Table3[[#All],[Rnk]],MATCH(Table5[[#This Row],[PID]],Table3[[#All],[PID]],0)))</f>
        <v>92</v>
      </c>
      <c r="U117" s="68">
        <f>IF($C117="B",VLOOKUP($A117,Bat!$A$4:$BA$1621,47,FALSE),VLOOKUP($A117,Pit!$A$4:$BF$1557,56,FALSE))</f>
        <v>0</v>
      </c>
      <c r="V117" s="50">
        <f>IF($C117="B",VLOOKUP($A117,Bat!$A$4:$BA$1621,48,FALSE),VLOOKUP($A117,Pit!$A$4:$BF$1557,57,FALSE))</f>
        <v>0</v>
      </c>
      <c r="W117" s="69">
        <f>Table5[[#This Row],[posRnk]]+Table5[[#This Row],[zRnk]]+IF($W$3&lt;&gt;Table5[[#This Row],[Type]],50,0)</f>
        <v>287</v>
      </c>
      <c r="X117" s="73">
        <f>RANK(Table5[[#This Row],[zScore]],Table5[[#All],[zScore]])</f>
        <v>145</v>
      </c>
      <c r="Y117" s="69">
        <f>IFERROR(INDEX(DraftResults[[#All],[OVR]],MATCH(Table5[[#This Row],[PID]],DraftResults[[#All],[Player ID]],0)),"")</f>
        <v>113</v>
      </c>
      <c r="Z11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7" s="69">
        <f>IFERROR(INDEX(DraftResults[[#All],[Pick in Round]],MATCH(Table5[[#This Row],[PID]],DraftResults[[#All],[Player ID]],0)),"")</f>
        <v>13</v>
      </c>
      <c r="AB117" s="69" t="str">
        <f>IFERROR(INDEX(DraftResults[[#All],[Team Name]],MATCH(Table5[[#This Row],[PID]],DraftResults[[#All],[Player ID]],0)),"")</f>
        <v>Kentucky Thoroughbreds</v>
      </c>
      <c r="AC117" s="69">
        <f>IF(Table5[[#This Row],[Ovr]]="","",IF(Table5[[#This Row],[cmbList]]="","",Table5[[#This Row],[cmbList]]-Table5[[#This Row],[Ovr]]))</f>
        <v>174</v>
      </c>
      <c r="AD117" s="77" t="str">
        <f>IF(ISERROR(VLOOKUP($AB117&amp;"-"&amp;$E117&amp;" "&amp;F117,Bonuses!$B$1:$G$1006,4,FALSE)),"",INT(VLOOKUP($AB117&amp;"-"&amp;$E117&amp;" "&amp;$F117,Bonuses!$B$1:$G$1006,4,FALSE)))</f>
        <v/>
      </c>
      <c r="AE11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4.13 (113) - SP Bartolo Cervantes</v>
      </c>
    </row>
    <row r="118" spans="1:31" s="50" customFormat="1" x14ac:dyDescent="0.25">
      <c r="A118" s="68">
        <v>18081</v>
      </c>
      <c r="B118" s="69">
        <f>COUNTIF(Table5[PID],A118)</f>
        <v>1</v>
      </c>
      <c r="C118" s="69" t="str">
        <f>IF(COUNTIF(Table3[[#All],[PID]],A118)&gt;0,"P","B")</f>
        <v>P</v>
      </c>
      <c r="D118" s="59" t="str">
        <f>IF($C118="B",INDEX(Batters[[#All],[POS]],MATCH(Table5[[#This Row],[PID]],Batters[[#All],[PID]],0)),INDEX(Table3[[#All],[POS]],MATCH(Table5[[#This Row],[PID]],Table3[[#All],[PID]],0)))</f>
        <v>SP</v>
      </c>
      <c r="E118" s="52" t="str">
        <f>IF($C118="B",INDEX(Batters[[#All],[First]],MATCH(Table5[[#This Row],[PID]],Batters[[#All],[PID]],0)),INDEX(Table3[[#All],[First]],MATCH(Table5[[#This Row],[PID]],Table3[[#All],[PID]],0)))</f>
        <v>Rich</v>
      </c>
      <c r="F118" s="55" t="str">
        <f>IF($C118="B",INDEX(Batters[[#All],[Last]],MATCH(A118,Batters[[#All],[PID]],0)),INDEX(Table3[[#All],[Last]],MATCH(A118,Table3[[#All],[PID]],0)))</f>
        <v>Herrera</v>
      </c>
      <c r="G118" s="56">
        <f>IF($C118="B",INDEX(Batters[[#All],[Age]],MATCH(Table5[[#This Row],[PID]],Batters[[#All],[PID]],0)),INDEX(Table3[[#All],[Age]],MATCH(Table5[[#This Row],[PID]],Table3[[#All],[PID]],0)))</f>
        <v>21</v>
      </c>
      <c r="H118" s="52" t="str">
        <f>IF($C118="B",INDEX(Batters[[#All],[B]],MATCH(Table5[[#This Row],[PID]],Batters[[#All],[PID]],0)),INDEX(Table3[[#All],[B]],MATCH(Table5[[#This Row],[PID]],Table3[[#All],[PID]],0)))</f>
        <v>R</v>
      </c>
      <c r="I118" s="52" t="str">
        <f>IF($C118="B",INDEX(Batters[[#All],[T]],MATCH(Table5[[#This Row],[PID]],Batters[[#All],[PID]],0)),INDEX(Table3[[#All],[T]],MATCH(Table5[[#This Row],[PID]],Table3[[#All],[PID]],0)))</f>
        <v>R</v>
      </c>
      <c r="J118" s="71" t="str">
        <f>IF($C118="B",INDEX(Batters[[#All],[WE]],MATCH(Table5[[#This Row],[PID]],Batters[[#All],[PID]],0)),INDEX(Table3[[#All],[WE]],MATCH(Table5[[#This Row],[PID]],Table3[[#All],[PID]],0)))</f>
        <v>Low</v>
      </c>
      <c r="K118" s="52" t="str">
        <f>IF($C118="B",INDEX(Batters[[#All],[INT]],MATCH(Table5[[#This Row],[PID]],Batters[[#All],[PID]],0)),INDEX(Table3[[#All],[INT]],MATCH(Table5[[#This Row],[PID]],Table3[[#All],[PID]],0)))</f>
        <v>Normal</v>
      </c>
      <c r="L118" s="60">
        <f>IF($C118="B",INDEX(Batters[[#All],[CON P]],MATCH(Table5[[#This Row],[PID]],Batters[[#All],[PID]],0)),INDEX(Table3[[#All],[STU P]],MATCH(Table5[[#This Row],[PID]],Table3[[#All],[PID]],0)))</f>
        <v>7</v>
      </c>
      <c r="M118" s="72">
        <f>IF($C118="B",INDEX(Batters[[#All],[GAP P]],MATCH(Table5[[#This Row],[PID]],Batters[[#All],[PID]],0)),INDEX(Table3[[#All],[MOV P]],MATCH(Table5[[#This Row],[PID]],Table3[[#All],[PID]],0)))</f>
        <v>3</v>
      </c>
      <c r="N118" s="72">
        <f>IF($C118="B",INDEX(Batters[[#All],[POW P]],MATCH(Table5[[#This Row],[PID]],Batters[[#All],[PID]],0)),INDEX(Table3[[#All],[CON P]],MATCH(Table5[[#This Row],[PID]],Table3[[#All],[PID]],0)))</f>
        <v>2</v>
      </c>
      <c r="O118" s="72" t="str">
        <f>IF($C118="B",INDEX(Batters[[#All],[EYE P]],MATCH(Table5[[#This Row],[PID]],Batters[[#All],[PID]],0)),INDEX(Table3[[#All],[VELO]],MATCH(Table5[[#This Row],[PID]],Table3[[#All],[PID]],0)))</f>
        <v>98-100 Mph</v>
      </c>
      <c r="P118" s="56">
        <f>IF($C118="B",INDEX(Batters[[#All],[K P]],MATCH(Table5[[#This Row],[PID]],Batters[[#All],[PID]],0)),INDEX(Table3[[#All],[STM]],MATCH(Table5[[#This Row],[PID]],Table3[[#All],[PID]],0)))</f>
        <v>7</v>
      </c>
      <c r="Q118" s="61">
        <f>IF($C118="B",INDEX(Batters[[#All],[Tot]],MATCH(Table5[[#This Row],[PID]],Batters[[#All],[PID]],0)),INDEX(Table3[[#All],[Tot]],MATCH(Table5[[#This Row],[PID]],Table3[[#All],[PID]],0)))</f>
        <v>43.928496109830135</v>
      </c>
      <c r="R118" s="52">
        <f>IF($C118="B",INDEX(Batters[[#All],[zScore]],MATCH(Table5[[#This Row],[PID]],Batters[[#All],[PID]],0)),INDEX(Table3[[#All],[zScore]],MATCH(Table5[[#This Row],[PID]],Table3[[#All],[PID]],0)))</f>
        <v>0.53608443509084069</v>
      </c>
      <c r="S118" s="78" t="str">
        <f>IF($C118="B",INDEX(Batters[[#All],[DEM]],MATCH(Table5[[#This Row],[PID]],Batters[[#All],[PID]],0)),INDEX(Table3[[#All],[DEM]],MATCH(Table5[[#This Row],[PID]],Table3[[#All],[PID]],0)))</f>
        <v>$33k</v>
      </c>
      <c r="T118" s="75">
        <f>IF($C118="B",INDEX(Batters[[#All],[Rnk]],MATCH(Table5[[#This Row],[PID]],Batters[[#All],[PID]],0)),INDEX(Table3[[#All],[Rnk]],MATCH(Table5[[#This Row],[PID]],Table3[[#All],[PID]],0)))</f>
        <v>209</v>
      </c>
      <c r="U118" s="68">
        <f>IF($C118="B",VLOOKUP($A118,Bat!$A$4:$BA$1621,47,FALSE),VLOOKUP($A118,Pit!$A$4:$BF$1557,56,FALSE))</f>
        <v>0</v>
      </c>
      <c r="V118" s="50">
        <f>IF($C118="B",VLOOKUP($A118,Bat!$A$4:$BA$1621,48,FALSE),VLOOKUP($A118,Pit!$A$4:$BF$1557,57,FALSE))</f>
        <v>0</v>
      </c>
      <c r="W118" s="69">
        <f>Table5[[#This Row],[posRnk]]+Table5[[#This Row],[zRnk]]+IF($W$3&lt;&gt;Table5[[#This Row],[Type]],50,0)</f>
        <v>617</v>
      </c>
      <c r="X118" s="73">
        <f>RANK(Table5[[#This Row],[zScore]],Table5[[#All],[zScore]])</f>
        <v>358</v>
      </c>
      <c r="Y118" s="69">
        <f>IFERROR(INDEX(DraftResults[[#All],[OVR]],MATCH(Table5[[#This Row],[PID]],DraftResults[[#All],[Player ID]],0)),"")</f>
        <v>114</v>
      </c>
      <c r="Z11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8" s="69">
        <f>IFERROR(INDEX(DraftResults[[#All],[Pick in Round]],MATCH(Table5[[#This Row],[PID]],DraftResults[[#All],[Player ID]],0)),"")</f>
        <v>14</v>
      </c>
      <c r="AB118" s="69" t="str">
        <f>IFERROR(INDEX(DraftResults[[#All],[Team Name]],MATCH(Table5[[#This Row],[PID]],DraftResults[[#All],[Player ID]],0)),"")</f>
        <v>San Antonio Calzones of Laredo</v>
      </c>
      <c r="AC118" s="69">
        <f>IF(Table5[[#This Row],[Ovr]]="","",IF(Table5[[#This Row],[cmbList]]="","",Table5[[#This Row],[cmbList]]-Table5[[#This Row],[Ovr]]))</f>
        <v>503</v>
      </c>
      <c r="AD118" s="77" t="str">
        <f>IF(ISERROR(VLOOKUP($AB118&amp;"-"&amp;$E118&amp;" "&amp;F118,Bonuses!$B$1:$G$1006,4,FALSE)),"",INT(VLOOKUP($AB118&amp;"-"&amp;$E118&amp;" "&amp;$F118,Bonuses!$B$1:$G$1006,4,FALSE)))</f>
        <v/>
      </c>
      <c r="AE11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4.14 (114) - SP Rich Herrera</v>
      </c>
    </row>
    <row r="119" spans="1:31" s="50" customFormat="1" x14ac:dyDescent="0.25">
      <c r="A119" s="50">
        <v>18385</v>
      </c>
      <c r="B119" s="55">
        <f>COUNTIF(Table5[PID],A119)</f>
        <v>1</v>
      </c>
      <c r="C119" s="55" t="str">
        <f>IF(COUNTIF(Table3[[#All],[PID]],A119)&gt;0,"P","B")</f>
        <v>B</v>
      </c>
      <c r="D119" s="59" t="str">
        <f>IF($C119="B",INDEX(Batters[[#All],[POS]],MATCH(Table5[[#This Row],[PID]],Batters[[#All],[PID]],0)),INDEX(Table3[[#All],[POS]],MATCH(Table5[[#This Row],[PID]],Table3[[#All],[PID]],0)))</f>
        <v>2B</v>
      </c>
      <c r="E119" s="52" t="str">
        <f>IF($C119="B",INDEX(Batters[[#All],[First]],MATCH(Table5[[#This Row],[PID]],Batters[[#All],[PID]],0)),INDEX(Table3[[#All],[First]],MATCH(Table5[[#This Row],[PID]],Table3[[#All],[PID]],0)))</f>
        <v>Nori</v>
      </c>
      <c r="F119" s="50" t="str">
        <f>IF($C119="B",INDEX(Batters[[#All],[Last]],MATCH(A119,Batters[[#All],[PID]],0)),INDEX(Table3[[#All],[Last]],MATCH(A119,Table3[[#All],[PID]],0)))</f>
        <v>Yokoyama</v>
      </c>
      <c r="G119" s="56">
        <f>IF($C119="B",INDEX(Batters[[#All],[Age]],MATCH(Table5[[#This Row],[PID]],Batters[[#All],[PID]],0)),INDEX(Table3[[#All],[Age]],MATCH(Table5[[#This Row],[PID]],Table3[[#All],[PID]],0)))</f>
        <v>18</v>
      </c>
      <c r="H119" s="52" t="str">
        <f>IF($C119="B",INDEX(Batters[[#All],[B]],MATCH(Table5[[#This Row],[PID]],Batters[[#All],[PID]],0)),INDEX(Table3[[#All],[B]],MATCH(Table5[[#This Row],[PID]],Table3[[#All],[PID]],0)))</f>
        <v>R</v>
      </c>
      <c r="I119" s="52" t="str">
        <f>IF($C119="B",INDEX(Batters[[#All],[T]],MATCH(Table5[[#This Row],[PID]],Batters[[#All],[PID]],0)),INDEX(Table3[[#All],[T]],MATCH(Table5[[#This Row],[PID]],Table3[[#All],[PID]],0)))</f>
        <v>R</v>
      </c>
      <c r="J119" s="52" t="str">
        <f>IF($C119="B",INDEX(Batters[[#All],[WE]],MATCH(Table5[[#This Row],[PID]],Batters[[#All],[PID]],0)),INDEX(Table3[[#All],[WE]],MATCH(Table5[[#This Row],[PID]],Table3[[#All],[PID]],0)))</f>
        <v>High</v>
      </c>
      <c r="K119" s="52" t="str">
        <f>IF($C119="B",INDEX(Batters[[#All],[INT]],MATCH(Table5[[#This Row],[PID]],Batters[[#All],[PID]],0)),INDEX(Table3[[#All],[INT]],MATCH(Table5[[#This Row],[PID]],Table3[[#All],[PID]],0)))</f>
        <v>Normal</v>
      </c>
      <c r="L119" s="60">
        <f>IF($C119="B",INDEX(Batters[[#All],[CON P]],MATCH(Table5[[#This Row],[PID]],Batters[[#All],[PID]],0)),INDEX(Table3[[#All],[STU P]],MATCH(Table5[[#This Row],[PID]],Table3[[#All],[PID]],0)))</f>
        <v>5</v>
      </c>
      <c r="M119" s="56">
        <f>IF($C119="B",INDEX(Batters[[#All],[GAP P]],MATCH(Table5[[#This Row],[PID]],Batters[[#All],[PID]],0)),INDEX(Table3[[#All],[MOV P]],MATCH(Table5[[#This Row],[PID]],Table3[[#All],[PID]],0)))</f>
        <v>7</v>
      </c>
      <c r="N119" s="56">
        <f>IF($C119="B",INDEX(Batters[[#All],[POW P]],MATCH(Table5[[#This Row],[PID]],Batters[[#All],[PID]],0)),INDEX(Table3[[#All],[CON P]],MATCH(Table5[[#This Row],[PID]],Table3[[#All],[PID]],0)))</f>
        <v>4</v>
      </c>
      <c r="O119" s="56">
        <f>IF($C119="B",INDEX(Batters[[#All],[EYE P]],MATCH(Table5[[#This Row],[PID]],Batters[[#All],[PID]],0)),INDEX(Table3[[#All],[VELO]],MATCH(Table5[[#This Row],[PID]],Table3[[#All],[PID]],0)))</f>
        <v>5</v>
      </c>
      <c r="P119" s="56">
        <f>IF($C119="B",INDEX(Batters[[#All],[K P]],MATCH(Table5[[#This Row],[PID]],Batters[[#All],[PID]],0)),INDEX(Table3[[#All],[STM]],MATCH(Table5[[#This Row],[PID]],Table3[[#All],[PID]],0)))</f>
        <v>4</v>
      </c>
      <c r="Q119" s="61">
        <f>IF($C119="B",INDEX(Batters[[#All],[Tot]],MATCH(Table5[[#This Row],[PID]],Batters[[#All],[PID]],0)),INDEX(Table3[[#All],[Tot]],MATCH(Table5[[#This Row],[PID]],Table3[[#All],[PID]],0)))</f>
        <v>53.72022681203692</v>
      </c>
      <c r="R119" s="52">
        <f>IF($C119="B",INDEX(Batters[[#All],[zScore]],MATCH(Table5[[#This Row],[PID]],Batters[[#All],[PID]],0)),INDEX(Table3[[#All],[zScore]],MATCH(Table5[[#This Row],[PID]],Table3[[#All],[PID]],0)))</f>
        <v>2.1257880587481623</v>
      </c>
      <c r="S119" s="58" t="str">
        <f>IF($C119="B",INDEX(Batters[[#All],[DEM]],MATCH(Table5[[#This Row],[PID]],Batters[[#All],[PID]],0)),INDEX(Table3[[#All],[DEM]],MATCH(Table5[[#This Row],[PID]],Table3[[#All],[PID]],0)))</f>
        <v>$2.0m</v>
      </c>
      <c r="T119" s="62">
        <f>IF($C119="B",INDEX(Batters[[#All],[Rnk]],MATCH(Table5[[#This Row],[PID]],Batters[[#All],[PID]],0)),INDEX(Table3[[#All],[Rnk]],MATCH(Table5[[#This Row],[PID]],Table3[[#All],[PID]],0)))</f>
        <v>16</v>
      </c>
      <c r="U119" s="68">
        <f>IF($C119="B",VLOOKUP($A119,Bat!$A$4:$BA$1621,47,FALSE),VLOOKUP($A119,Pit!$A$4:$BF$1557,56,FALSE))</f>
        <v>0</v>
      </c>
      <c r="V119" s="50">
        <f>IF($C119="B",VLOOKUP($A119,Bat!$A$4:$BA$1621,48,FALSE),VLOOKUP($A119,Pit!$A$4:$BF$1557,57,FALSE))</f>
        <v>0</v>
      </c>
      <c r="W119" s="50">
        <f>Table5[[#This Row],[posRnk]]+Table5[[#This Row],[zRnk]]+IF($W$3&lt;&gt;Table5[[#This Row],[Type]],50,0)</f>
        <v>101</v>
      </c>
      <c r="X119" s="51">
        <f>RANK(Table5[[#This Row],[zScore]],Table5[[#All],[zScore]])</f>
        <v>35</v>
      </c>
      <c r="Y119" s="50">
        <f>IFERROR(INDEX(DraftResults[[#All],[OVR]],MATCH(Table5[[#This Row],[PID]],DraftResults[[#All],[Player ID]],0)),"")</f>
        <v>115</v>
      </c>
      <c r="Z1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19" s="50">
        <f>IFERROR(INDEX(DraftResults[[#All],[Pick in Round]],MATCH(Table5[[#This Row],[PID]],DraftResults[[#All],[Player ID]],0)),"")</f>
        <v>15</v>
      </c>
      <c r="AB119" s="50" t="str">
        <f>IFERROR(INDEX(DraftResults[[#All],[Team Name]],MATCH(Table5[[#This Row],[PID]],DraftResults[[#All],[Player ID]],0)),"")</f>
        <v>Madison Malts</v>
      </c>
      <c r="AC119" s="50">
        <f>IF(Table5[[#This Row],[Ovr]]="","",IF(Table5[[#This Row],[cmbList]]="","",Table5[[#This Row],[cmbList]]-Table5[[#This Row],[Ovr]]))</f>
        <v>-14</v>
      </c>
      <c r="AD119" s="54" t="str">
        <f>IF(ISERROR(VLOOKUP($AB119&amp;"-"&amp;$E119&amp;" "&amp;F119,Bonuses!$B$1:$G$1006,4,FALSE)),"",INT(VLOOKUP($AB119&amp;"-"&amp;$E119&amp;" "&amp;$F119,Bonuses!$B$1:$G$1006,4,FALSE)))</f>
        <v/>
      </c>
      <c r="AE1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4.15 (115) - 2B Nori Yokoyama</v>
      </c>
    </row>
    <row r="120" spans="1:31" s="50" customFormat="1" x14ac:dyDescent="0.25">
      <c r="A120" s="68">
        <v>18422</v>
      </c>
      <c r="B120" s="69">
        <f>COUNTIF(Table5[PID],A120)</f>
        <v>1</v>
      </c>
      <c r="C120" s="69" t="str">
        <f>IF(COUNTIF(Table3[[#All],[PID]],A120)&gt;0,"P","B")</f>
        <v>P</v>
      </c>
      <c r="D120" s="59" t="str">
        <f>IF($C120="B",INDEX(Batters[[#All],[POS]],MATCH(Table5[[#This Row],[PID]],Batters[[#All],[PID]],0)),INDEX(Table3[[#All],[POS]],MATCH(Table5[[#This Row],[PID]],Table3[[#All],[PID]],0)))</f>
        <v>SP</v>
      </c>
      <c r="E120" s="52" t="str">
        <f>IF($C120="B",INDEX(Batters[[#All],[First]],MATCH(Table5[[#This Row],[PID]],Batters[[#All],[PID]],0)),INDEX(Table3[[#All],[First]],MATCH(Table5[[#This Row],[PID]],Table3[[#All],[PID]],0)))</f>
        <v>Yoshiaga</v>
      </c>
      <c r="F120" s="55" t="str">
        <f>IF($C120="B",INDEX(Batters[[#All],[Last]],MATCH(A120,Batters[[#All],[PID]],0)),INDEX(Table3[[#All],[Last]],MATCH(A120,Table3[[#All],[PID]],0)))</f>
        <v>Watanabe</v>
      </c>
      <c r="G120" s="56">
        <f>IF($C120="B",INDEX(Batters[[#All],[Age]],MATCH(Table5[[#This Row],[PID]],Batters[[#All],[PID]],0)),INDEX(Table3[[#All],[Age]],MATCH(Table5[[#This Row],[PID]],Table3[[#All],[PID]],0)))</f>
        <v>18</v>
      </c>
      <c r="H120" s="52" t="str">
        <f>IF($C120="B",INDEX(Batters[[#All],[B]],MATCH(Table5[[#This Row],[PID]],Batters[[#All],[PID]],0)),INDEX(Table3[[#All],[B]],MATCH(Table5[[#This Row],[PID]],Table3[[#All],[PID]],0)))</f>
        <v>R</v>
      </c>
      <c r="I120" s="52" t="str">
        <f>IF($C120="B",INDEX(Batters[[#All],[T]],MATCH(Table5[[#This Row],[PID]],Batters[[#All],[PID]],0)),INDEX(Table3[[#All],[T]],MATCH(Table5[[#This Row],[PID]],Table3[[#All],[PID]],0)))</f>
        <v>L</v>
      </c>
      <c r="J120" s="71" t="str">
        <f>IF($C120="B",INDEX(Batters[[#All],[WE]],MATCH(Table5[[#This Row],[PID]],Batters[[#All],[PID]],0)),INDEX(Table3[[#All],[WE]],MATCH(Table5[[#This Row],[PID]],Table3[[#All],[PID]],0)))</f>
        <v>Low</v>
      </c>
      <c r="K120" s="52" t="str">
        <f>IF($C120="B",INDEX(Batters[[#All],[INT]],MATCH(Table5[[#This Row],[PID]],Batters[[#All],[PID]],0)),INDEX(Table3[[#All],[INT]],MATCH(Table5[[#This Row],[PID]],Table3[[#All],[PID]],0)))</f>
        <v>Normal</v>
      </c>
      <c r="L120" s="60">
        <f>IF($C120="B",INDEX(Batters[[#All],[CON P]],MATCH(Table5[[#This Row],[PID]],Batters[[#All],[PID]],0)),INDEX(Table3[[#All],[STU P]],MATCH(Table5[[#This Row],[PID]],Table3[[#All],[PID]],0)))</f>
        <v>6</v>
      </c>
      <c r="M120" s="72">
        <f>IF($C120="B",INDEX(Batters[[#All],[GAP P]],MATCH(Table5[[#This Row],[PID]],Batters[[#All],[PID]],0)),INDEX(Table3[[#All],[MOV P]],MATCH(Table5[[#This Row],[PID]],Table3[[#All],[PID]],0)))</f>
        <v>5</v>
      </c>
      <c r="N120" s="72">
        <f>IF($C120="B",INDEX(Batters[[#All],[POW P]],MATCH(Table5[[#This Row],[PID]],Batters[[#All],[PID]],0)),INDEX(Table3[[#All],[CON P]],MATCH(Table5[[#This Row],[PID]],Table3[[#All],[PID]],0)))</f>
        <v>2</v>
      </c>
      <c r="O120" s="72" t="str">
        <f>IF($C120="B",INDEX(Batters[[#All],[EYE P]],MATCH(Table5[[#This Row],[PID]],Batters[[#All],[PID]],0)),INDEX(Table3[[#All],[VELO]],MATCH(Table5[[#This Row],[PID]],Table3[[#All],[PID]],0)))</f>
        <v>88-90 Mph</v>
      </c>
      <c r="P120" s="56">
        <f>IF($C120="B",INDEX(Batters[[#All],[K P]],MATCH(Table5[[#This Row],[PID]],Batters[[#All],[PID]],0)),INDEX(Table3[[#All],[STM]],MATCH(Table5[[#This Row],[PID]],Table3[[#All],[PID]],0)))</f>
        <v>6</v>
      </c>
      <c r="Q120" s="61">
        <f>IF($C120="B",INDEX(Batters[[#All],[Tot]],MATCH(Table5[[#This Row],[PID]],Batters[[#All],[PID]],0)),INDEX(Table3[[#All],[Tot]],MATCH(Table5[[#This Row],[PID]],Table3[[#All],[PID]],0)))</f>
        <v>51.815213001252665</v>
      </c>
      <c r="R120" s="52">
        <f>IF($C120="B",INDEX(Batters[[#All],[zScore]],MATCH(Table5[[#This Row],[PID]],Batters[[#All],[PID]],0)),INDEX(Table3[[#All],[zScore]],MATCH(Table5[[#This Row],[PID]],Table3[[#All],[PID]],0)))</f>
        <v>1.0607756581153645</v>
      </c>
      <c r="S120" s="78" t="str">
        <f>IF($C120="B",INDEX(Batters[[#All],[DEM]],MATCH(Table5[[#This Row],[PID]],Batters[[#All],[PID]],0)),INDEX(Table3[[#All],[DEM]],MATCH(Table5[[#This Row],[PID]],Table3[[#All],[PID]],0)))</f>
        <v>$200k</v>
      </c>
      <c r="T120" s="75">
        <f>IF($C120="B",INDEX(Batters[[#All],[Rnk]],MATCH(Table5[[#This Row],[PID]],Batters[[#All],[PID]],0)),INDEX(Table3[[#All],[Rnk]],MATCH(Table5[[#This Row],[PID]],Table3[[#All],[PID]],0)))</f>
        <v>130</v>
      </c>
      <c r="U120" s="68">
        <f>IF($C120="B",VLOOKUP($A120,Bat!$A$4:$BA$1621,47,FALSE),VLOOKUP($A120,Pit!$A$4:$BF$1557,56,FALSE))</f>
        <v>0</v>
      </c>
      <c r="V120" s="50">
        <f>IF($C120="B",VLOOKUP($A120,Bat!$A$4:$BA$1621,48,FALSE),VLOOKUP($A120,Pit!$A$4:$BF$1557,57,FALSE))</f>
        <v>0</v>
      </c>
      <c r="W120" s="69">
        <f>Table5[[#This Row],[posRnk]]+Table5[[#This Row],[zRnk]]+IF($W$3&lt;&gt;Table5[[#This Row],[Type]],50,0)</f>
        <v>395</v>
      </c>
      <c r="X120" s="73">
        <f>RANK(Table5[[#This Row],[zScore]],Table5[[#All],[zScore]])</f>
        <v>215</v>
      </c>
      <c r="Y120" s="69">
        <f>IFERROR(INDEX(DraftResults[[#All],[OVR]],MATCH(Table5[[#This Row],[PID]],DraftResults[[#All],[Player ID]],0)),"")</f>
        <v>116</v>
      </c>
      <c r="Z1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0" s="69">
        <f>IFERROR(INDEX(DraftResults[[#All],[Pick in Round]],MATCH(Table5[[#This Row],[PID]],DraftResults[[#All],[Player ID]],0)),"")</f>
        <v>16</v>
      </c>
      <c r="AB120" s="69" t="str">
        <f>IFERROR(INDEX(DraftResults[[#All],[Team Name]],MATCH(Table5[[#This Row],[PID]],DraftResults[[#All],[Player ID]],0)),"")</f>
        <v>Bakersfield Bears</v>
      </c>
      <c r="AC120" s="69">
        <f>IF(Table5[[#This Row],[Ovr]]="","",IF(Table5[[#This Row],[cmbList]]="","",Table5[[#This Row],[cmbList]]-Table5[[#This Row],[Ovr]]))</f>
        <v>279</v>
      </c>
      <c r="AD120" s="77" t="str">
        <f>IF(ISERROR(VLOOKUP($AB120&amp;"-"&amp;$E120&amp;" "&amp;F120,Bonuses!$B$1:$G$1006,4,FALSE)),"",INT(VLOOKUP($AB120&amp;"-"&amp;$E120&amp;" "&amp;$F120,Bonuses!$B$1:$G$1006,4,FALSE)))</f>
        <v/>
      </c>
      <c r="AE1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4.16 (116) - SP Yoshiaga Watanabe</v>
      </c>
    </row>
    <row r="121" spans="1:31" s="50" customFormat="1" x14ac:dyDescent="0.25">
      <c r="A121" s="68">
        <v>18105</v>
      </c>
      <c r="B121" s="69">
        <f>COUNTIF(Table5[PID],A121)</f>
        <v>1</v>
      </c>
      <c r="C121" s="69" t="str">
        <f>IF(COUNTIF(Table3[[#All],[PID]],A121)&gt;0,"P","B")</f>
        <v>P</v>
      </c>
      <c r="D121" s="59" t="str">
        <f>IF($C121="B",INDEX(Batters[[#All],[POS]],MATCH(Table5[[#This Row],[PID]],Batters[[#All],[PID]],0)),INDEX(Table3[[#All],[POS]],MATCH(Table5[[#This Row],[PID]],Table3[[#All],[PID]],0)))</f>
        <v>SP</v>
      </c>
      <c r="E121" s="52" t="str">
        <f>IF($C121="B",INDEX(Batters[[#All],[First]],MATCH(Table5[[#This Row],[PID]],Batters[[#All],[PID]],0)),INDEX(Table3[[#All],[First]],MATCH(Table5[[#This Row],[PID]],Table3[[#All],[PID]],0)))</f>
        <v>Bob</v>
      </c>
      <c r="F121" s="55" t="str">
        <f>IF($C121="B",INDEX(Batters[[#All],[Last]],MATCH(A121,Batters[[#All],[PID]],0)),INDEX(Table3[[#All],[Last]],MATCH(A121,Table3[[#All],[PID]],0)))</f>
        <v>Cowan</v>
      </c>
      <c r="G121" s="56">
        <f>IF($C121="B",INDEX(Batters[[#All],[Age]],MATCH(Table5[[#This Row],[PID]],Batters[[#All],[PID]],0)),INDEX(Table3[[#All],[Age]],MATCH(Table5[[#This Row],[PID]],Table3[[#All],[PID]],0)))</f>
        <v>21</v>
      </c>
      <c r="H121" s="52" t="str">
        <f>IF($C121="B",INDEX(Batters[[#All],[B]],MATCH(Table5[[#This Row],[PID]],Batters[[#All],[PID]],0)),INDEX(Table3[[#All],[B]],MATCH(Table5[[#This Row],[PID]],Table3[[#All],[PID]],0)))</f>
        <v>S</v>
      </c>
      <c r="I121" s="52" t="str">
        <f>IF($C121="B",INDEX(Batters[[#All],[T]],MATCH(Table5[[#This Row],[PID]],Batters[[#All],[PID]],0)),INDEX(Table3[[#All],[T]],MATCH(Table5[[#This Row],[PID]],Table3[[#All],[PID]],0)))</f>
        <v>L</v>
      </c>
      <c r="J121" s="71" t="str">
        <f>IF($C121="B",INDEX(Batters[[#All],[WE]],MATCH(Table5[[#This Row],[PID]],Batters[[#All],[PID]],0)),INDEX(Table3[[#All],[WE]],MATCH(Table5[[#This Row],[PID]],Table3[[#All],[PID]],0)))</f>
        <v>Normal</v>
      </c>
      <c r="K121" s="52" t="str">
        <f>IF($C121="B",INDEX(Batters[[#All],[INT]],MATCH(Table5[[#This Row],[PID]],Batters[[#All],[PID]],0)),INDEX(Table3[[#All],[INT]],MATCH(Table5[[#This Row],[PID]],Table3[[#All],[PID]],0)))</f>
        <v>Normal</v>
      </c>
      <c r="L121" s="60">
        <f>IF($C121="B",INDEX(Batters[[#All],[CON P]],MATCH(Table5[[#This Row],[PID]],Batters[[#All],[PID]],0)),INDEX(Table3[[#All],[STU P]],MATCH(Table5[[#This Row],[PID]],Table3[[#All],[PID]],0)))</f>
        <v>6</v>
      </c>
      <c r="M121" s="72">
        <f>IF($C121="B",INDEX(Batters[[#All],[GAP P]],MATCH(Table5[[#This Row],[PID]],Batters[[#All],[PID]],0)),INDEX(Table3[[#All],[MOV P]],MATCH(Table5[[#This Row],[PID]],Table3[[#All],[PID]],0)))</f>
        <v>6</v>
      </c>
      <c r="N121" s="72">
        <f>IF($C121="B",INDEX(Batters[[#All],[POW P]],MATCH(Table5[[#This Row],[PID]],Batters[[#All],[PID]],0)),INDEX(Table3[[#All],[CON P]],MATCH(Table5[[#This Row],[PID]],Table3[[#All],[PID]],0)))</f>
        <v>3</v>
      </c>
      <c r="O121" s="72" t="str">
        <f>IF($C121="B",INDEX(Batters[[#All],[EYE P]],MATCH(Table5[[#This Row],[PID]],Batters[[#All],[PID]],0)),INDEX(Table3[[#All],[VELO]],MATCH(Table5[[#This Row],[PID]],Table3[[#All],[PID]],0)))</f>
        <v>94-96 Mph</v>
      </c>
      <c r="P121" s="56">
        <f>IF($C121="B",INDEX(Batters[[#All],[K P]],MATCH(Table5[[#This Row],[PID]],Batters[[#All],[PID]],0)),INDEX(Table3[[#All],[STM]],MATCH(Table5[[#This Row],[PID]],Table3[[#All],[PID]],0)))</f>
        <v>4</v>
      </c>
      <c r="Q121" s="61">
        <f>IF($C121="B",INDEX(Batters[[#All],[Tot]],MATCH(Table5[[#This Row],[PID]],Batters[[#All],[PID]],0)),INDEX(Table3[[#All],[Tot]],MATCH(Table5[[#This Row],[PID]],Table3[[#All],[PID]],0)))</f>
        <v>46.572377694791193</v>
      </c>
      <c r="R121" s="52">
        <f>IF($C121="B",INDEX(Batters[[#All],[zScore]],MATCH(Table5[[#This Row],[PID]],Batters[[#All],[PID]],0)),INDEX(Table3[[#All],[zScore]],MATCH(Table5[[#This Row],[PID]],Table3[[#All],[PID]],0)))</f>
        <v>0.71197783679947235</v>
      </c>
      <c r="S121" s="78" t="str">
        <f>IF($C121="B",INDEX(Batters[[#All],[DEM]],MATCH(Table5[[#This Row],[PID]],Batters[[#All],[PID]],0)),INDEX(Table3[[#All],[DEM]],MATCH(Table5[[#This Row],[PID]],Table3[[#All],[PID]],0)))</f>
        <v>$20k</v>
      </c>
      <c r="T121" s="75">
        <f>IF($C121="B",INDEX(Batters[[#All],[Rnk]],MATCH(Table5[[#This Row],[PID]],Batters[[#All],[PID]],0)),INDEX(Table3[[#All],[Rnk]],MATCH(Table5[[#This Row],[PID]],Table3[[#All],[PID]],0)))</f>
        <v>187</v>
      </c>
      <c r="U121" s="68">
        <f>IF($C121="B",VLOOKUP($A121,Bat!$A$4:$BA$1621,47,FALSE),VLOOKUP($A121,Pit!$A$4:$BF$1557,56,FALSE))</f>
        <v>0</v>
      </c>
      <c r="V121" s="50">
        <f>IF($C121="B",VLOOKUP($A121,Bat!$A$4:$BA$1621,48,FALSE),VLOOKUP($A121,Pit!$A$4:$BF$1557,57,FALSE))</f>
        <v>0</v>
      </c>
      <c r="W121" s="69">
        <f>Table5[[#This Row],[posRnk]]+Table5[[#This Row],[zRnk]]+IF($W$3&lt;&gt;Table5[[#This Row],[Type]],50,0)</f>
        <v>543</v>
      </c>
      <c r="X121" s="73">
        <f>RANK(Table5[[#This Row],[zScore]],Table5[[#All],[zScore]])</f>
        <v>306</v>
      </c>
      <c r="Y121" s="69">
        <f>IFERROR(INDEX(DraftResults[[#All],[OVR]],MATCH(Table5[[#This Row],[PID]],DraftResults[[#All],[Player ID]],0)),"")</f>
        <v>117</v>
      </c>
      <c r="Z12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1" s="69">
        <f>IFERROR(INDEX(DraftResults[[#All],[Pick in Round]],MATCH(Table5[[#This Row],[PID]],DraftResults[[#All],[Player ID]],0)),"")</f>
        <v>17</v>
      </c>
      <c r="AB121" s="69" t="str">
        <f>IFERROR(INDEX(DraftResults[[#All],[Team Name]],MATCH(Table5[[#This Row],[PID]],DraftResults[[#All],[Player ID]],0)),"")</f>
        <v>Florida Farstriders</v>
      </c>
      <c r="AC121" s="69">
        <f>IF(Table5[[#This Row],[Ovr]]="","",IF(Table5[[#This Row],[cmbList]]="","",Table5[[#This Row],[cmbList]]-Table5[[#This Row],[Ovr]]))</f>
        <v>426</v>
      </c>
      <c r="AD121" s="77" t="str">
        <f>IF(ISERROR(VLOOKUP($AB121&amp;"-"&amp;$E121&amp;" "&amp;F121,Bonuses!$B$1:$G$1006,4,FALSE)),"",INT(VLOOKUP($AB121&amp;"-"&amp;$E121&amp;" "&amp;$F121,Bonuses!$B$1:$G$1006,4,FALSE)))</f>
        <v/>
      </c>
      <c r="AE12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4.17 (117) - SP Bob Cowan</v>
      </c>
    </row>
    <row r="122" spans="1:31" s="50" customFormat="1" x14ac:dyDescent="0.25">
      <c r="A122" s="50">
        <v>21090</v>
      </c>
      <c r="B122" s="50">
        <f>COUNTIF(Table5[PID],A122)</f>
        <v>1</v>
      </c>
      <c r="C122" s="50" t="str">
        <f>IF(COUNTIF(Table3[[#All],[PID]],A122)&gt;0,"P","B")</f>
        <v>B</v>
      </c>
      <c r="D122" s="59" t="str">
        <f>IF($C122="B",INDEX(Batters[[#All],[POS]],MATCH(Table5[[#This Row],[PID]],Batters[[#All],[PID]],0)),INDEX(Table3[[#All],[POS]],MATCH(Table5[[#This Row],[PID]],Table3[[#All],[PID]],0)))</f>
        <v>1B</v>
      </c>
      <c r="E122" s="52" t="str">
        <f>IF($C122="B",INDEX(Batters[[#All],[First]],MATCH(Table5[[#This Row],[PID]],Batters[[#All],[PID]],0)),INDEX(Table3[[#All],[First]],MATCH(Table5[[#This Row],[PID]],Table3[[#All],[PID]],0)))</f>
        <v>Cory</v>
      </c>
      <c r="F122" s="50" t="str">
        <f>IF($C122="B",INDEX(Batters[[#All],[Last]],MATCH(A122,Batters[[#All],[PID]],0)),INDEX(Table3[[#All],[Last]],MATCH(A122,Table3[[#All],[PID]],0)))</f>
        <v>Alford</v>
      </c>
      <c r="G122" s="56">
        <f>IF($C122="B",INDEX(Batters[[#All],[Age]],MATCH(Table5[[#This Row],[PID]],Batters[[#All],[PID]],0)),INDEX(Table3[[#All],[Age]],MATCH(Table5[[#This Row],[PID]],Table3[[#All],[PID]],0)))</f>
        <v>18</v>
      </c>
      <c r="H122" s="52" t="str">
        <f>IF($C122="B",INDEX(Batters[[#All],[B]],MATCH(Table5[[#This Row],[PID]],Batters[[#All],[PID]],0)),INDEX(Table3[[#All],[B]],MATCH(Table5[[#This Row],[PID]],Table3[[#All],[PID]],0)))</f>
        <v>L</v>
      </c>
      <c r="I122" s="52" t="str">
        <f>IF($C122="B",INDEX(Batters[[#All],[T]],MATCH(Table5[[#This Row],[PID]],Batters[[#All],[PID]],0)),INDEX(Table3[[#All],[T]],MATCH(Table5[[#This Row],[PID]],Table3[[#All],[PID]],0)))</f>
        <v>R</v>
      </c>
      <c r="J122" s="52" t="str">
        <f>IF($C122="B",INDEX(Batters[[#All],[WE]],MATCH(Table5[[#This Row],[PID]],Batters[[#All],[PID]],0)),INDEX(Table3[[#All],[WE]],MATCH(Table5[[#This Row],[PID]],Table3[[#All],[PID]],0)))</f>
        <v>Normal</v>
      </c>
      <c r="K122" s="52" t="str">
        <f>IF($C122="B",INDEX(Batters[[#All],[INT]],MATCH(Table5[[#This Row],[PID]],Batters[[#All],[PID]],0)),INDEX(Table3[[#All],[INT]],MATCH(Table5[[#This Row],[PID]],Table3[[#All],[PID]],0)))</f>
        <v>Normal</v>
      </c>
      <c r="L122" s="60">
        <f>IF($C122="B",INDEX(Batters[[#All],[CON P]],MATCH(Table5[[#This Row],[PID]],Batters[[#All],[PID]],0)),INDEX(Table3[[#All],[STU P]],MATCH(Table5[[#This Row],[PID]],Table3[[#All],[PID]],0)))</f>
        <v>6</v>
      </c>
      <c r="M122" s="56">
        <f>IF($C122="B",INDEX(Batters[[#All],[GAP P]],MATCH(Table5[[#This Row],[PID]],Batters[[#All],[PID]],0)),INDEX(Table3[[#All],[MOV P]],MATCH(Table5[[#This Row],[PID]],Table3[[#All],[PID]],0)))</f>
        <v>5</v>
      </c>
      <c r="N122" s="56">
        <f>IF($C122="B",INDEX(Batters[[#All],[POW P]],MATCH(Table5[[#This Row],[PID]],Batters[[#All],[PID]],0)),INDEX(Table3[[#All],[CON P]],MATCH(Table5[[#This Row],[PID]],Table3[[#All],[PID]],0)))</f>
        <v>4</v>
      </c>
      <c r="O122" s="56">
        <f>IF($C122="B",INDEX(Batters[[#All],[EYE P]],MATCH(Table5[[#This Row],[PID]],Batters[[#All],[PID]],0)),INDEX(Table3[[#All],[VELO]],MATCH(Table5[[#This Row],[PID]],Table3[[#All],[PID]],0)))</f>
        <v>4</v>
      </c>
      <c r="P122" s="56">
        <f>IF($C122="B",INDEX(Batters[[#All],[K P]],MATCH(Table5[[#This Row],[PID]],Batters[[#All],[PID]],0)),INDEX(Table3[[#All],[STM]],MATCH(Table5[[#This Row],[PID]],Table3[[#All],[PID]],0)))</f>
        <v>6</v>
      </c>
      <c r="Q122" s="61">
        <f>IF($C122="B",INDEX(Batters[[#All],[Tot]],MATCH(Table5[[#This Row],[PID]],Batters[[#All],[PID]],0)),INDEX(Table3[[#All],[Tot]],MATCH(Table5[[#This Row],[PID]],Table3[[#All],[PID]],0)))</f>
        <v>55.234794195503639</v>
      </c>
      <c r="R122" s="52">
        <f>IF($C122="B",INDEX(Batters[[#All],[zScore]],MATCH(Table5[[#This Row],[PID]],Batters[[#All],[PID]],0)),INDEX(Table3[[#All],[zScore]],MATCH(Table5[[#This Row],[PID]],Table3[[#All],[PID]],0)))</f>
        <v>2.4615778851881291</v>
      </c>
      <c r="S122" s="58" t="str">
        <f>IF($C122="B",INDEX(Batters[[#All],[DEM]],MATCH(Table5[[#This Row],[PID]],Batters[[#All],[PID]],0)),INDEX(Table3[[#All],[DEM]],MATCH(Table5[[#This Row],[PID]],Table3[[#All],[PID]],0)))</f>
        <v>$75k</v>
      </c>
      <c r="T122" s="62">
        <f>IF($C122="B",INDEX(Batters[[#All],[Rnk]],MATCH(Table5[[#This Row],[PID]],Batters[[#All],[PID]],0)),INDEX(Table3[[#All],[Rnk]],MATCH(Table5[[#This Row],[PID]],Table3[[#All],[PID]],0)))</f>
        <v>11</v>
      </c>
      <c r="U122" s="68">
        <f>IF($C122="B",VLOOKUP($A122,Bat!$A$4:$BA$1621,47,FALSE),VLOOKUP($A122,Pit!$A$4:$BF$1557,56,FALSE))</f>
        <v>0</v>
      </c>
      <c r="V122" s="50">
        <f>IF($C122="B",VLOOKUP($A122,Bat!$A$4:$BA$1621,48,FALSE),VLOOKUP($A122,Pit!$A$4:$BF$1557,57,FALSE))</f>
        <v>0</v>
      </c>
      <c r="W122" s="50">
        <f>Table5[[#This Row],[posRnk]]+Table5[[#This Row],[zRnk]]+IF($W$3&lt;&gt;Table5[[#This Row],[Type]],50,0)</f>
        <v>79</v>
      </c>
      <c r="X122" s="51">
        <f>RANK(Table5[[#This Row],[zScore]],Table5[[#All],[zScore]])</f>
        <v>18</v>
      </c>
      <c r="Y122" s="50">
        <f>IFERROR(INDEX(DraftResults[[#All],[OVR]],MATCH(Table5[[#This Row],[PID]],DraftResults[[#All],[Player ID]],0)),"")</f>
        <v>118</v>
      </c>
      <c r="Z1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2" s="50">
        <f>IFERROR(INDEX(DraftResults[[#All],[Pick in Round]],MATCH(Table5[[#This Row],[PID]],DraftResults[[#All],[Player ID]],0)),"")</f>
        <v>18</v>
      </c>
      <c r="AB122" s="50" t="str">
        <f>IFERROR(INDEX(DraftResults[[#All],[Team Name]],MATCH(Table5[[#This Row],[PID]],DraftResults[[#All],[Player ID]],0)),"")</f>
        <v>Amsterdam Lions</v>
      </c>
      <c r="AC122" s="50">
        <f>IF(Table5[[#This Row],[Ovr]]="","",IF(Table5[[#This Row],[cmbList]]="","",Table5[[#This Row],[cmbList]]-Table5[[#This Row],[Ovr]]))</f>
        <v>-39</v>
      </c>
      <c r="AD122" s="54" t="str">
        <f>IF(ISERROR(VLOOKUP($AB122&amp;"-"&amp;$E122&amp;" "&amp;F122,Bonuses!$B$1:$G$1006,4,FALSE)),"",INT(VLOOKUP($AB122&amp;"-"&amp;$E122&amp;" "&amp;$F122,Bonuses!$B$1:$G$1006,4,FALSE)))</f>
        <v/>
      </c>
      <c r="AE1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4.18 (118) - 1B Cory Alford</v>
      </c>
    </row>
    <row r="123" spans="1:31" s="50" customFormat="1" x14ac:dyDescent="0.25">
      <c r="A123" s="50">
        <v>18244</v>
      </c>
      <c r="B123" s="50">
        <f>COUNTIF(Table5[PID],A123)</f>
        <v>1</v>
      </c>
      <c r="C123" s="50" t="str">
        <f>IF(COUNTIF(Table3[[#All],[PID]],A123)&gt;0,"P","B")</f>
        <v>B</v>
      </c>
      <c r="D123" s="59" t="str">
        <f>IF($C123="B",INDEX(Batters[[#All],[POS]],MATCH(Table5[[#This Row],[PID]],Batters[[#All],[PID]],0)),INDEX(Table3[[#All],[POS]],MATCH(Table5[[#This Row],[PID]],Table3[[#All],[PID]],0)))</f>
        <v>LF</v>
      </c>
      <c r="E123" s="52" t="str">
        <f>IF($C123="B",INDEX(Batters[[#All],[First]],MATCH(Table5[[#This Row],[PID]],Batters[[#All],[PID]],0)),INDEX(Table3[[#All],[First]],MATCH(Table5[[#This Row],[PID]],Table3[[#All],[PID]],0)))</f>
        <v>Jorge</v>
      </c>
      <c r="F123" s="50" t="str">
        <f>IF($C123="B",INDEX(Batters[[#All],[Last]],MATCH(A123,Batters[[#All],[PID]],0)),INDEX(Table3[[#All],[Last]],MATCH(A123,Table3[[#All],[PID]],0)))</f>
        <v>Cortés</v>
      </c>
      <c r="G123" s="56">
        <f>IF($C123="B",INDEX(Batters[[#All],[Age]],MATCH(Table5[[#This Row],[PID]],Batters[[#All],[PID]],0)),INDEX(Table3[[#All],[Age]],MATCH(Table5[[#This Row],[PID]],Table3[[#All],[PID]],0)))</f>
        <v>18</v>
      </c>
      <c r="H123" s="52" t="str">
        <f>IF($C123="B",INDEX(Batters[[#All],[B]],MATCH(Table5[[#This Row],[PID]],Batters[[#All],[PID]],0)),INDEX(Table3[[#All],[B]],MATCH(Table5[[#This Row],[PID]],Table3[[#All],[PID]],0)))</f>
        <v>R</v>
      </c>
      <c r="I123" s="52" t="str">
        <f>IF($C123="B",INDEX(Batters[[#All],[T]],MATCH(Table5[[#This Row],[PID]],Batters[[#All],[PID]],0)),INDEX(Table3[[#All],[T]],MATCH(Table5[[#This Row],[PID]],Table3[[#All],[PID]],0)))</f>
        <v>R</v>
      </c>
      <c r="J123" s="52" t="str">
        <f>IF($C123="B",INDEX(Batters[[#All],[WE]],MATCH(Table5[[#This Row],[PID]],Batters[[#All],[PID]],0)),INDEX(Table3[[#All],[WE]],MATCH(Table5[[#This Row],[PID]],Table3[[#All],[PID]],0)))</f>
        <v>Normal</v>
      </c>
      <c r="K123" s="52" t="str">
        <f>IF($C123="B",INDEX(Batters[[#All],[INT]],MATCH(Table5[[#This Row],[PID]],Batters[[#All],[PID]],0)),INDEX(Table3[[#All],[INT]],MATCH(Table5[[#This Row],[PID]],Table3[[#All],[PID]],0)))</f>
        <v>Normal</v>
      </c>
      <c r="L123" s="60">
        <f>IF($C123="B",INDEX(Batters[[#All],[CON P]],MATCH(Table5[[#This Row],[PID]],Batters[[#All],[PID]],0)),INDEX(Table3[[#All],[STU P]],MATCH(Table5[[#This Row],[PID]],Table3[[#All],[PID]],0)))</f>
        <v>4</v>
      </c>
      <c r="M123" s="56">
        <f>IF($C123="B",INDEX(Batters[[#All],[GAP P]],MATCH(Table5[[#This Row],[PID]],Batters[[#All],[PID]],0)),INDEX(Table3[[#All],[MOV P]],MATCH(Table5[[#This Row],[PID]],Table3[[#All],[PID]],0)))</f>
        <v>6</v>
      </c>
      <c r="N123" s="56">
        <f>IF($C123="B",INDEX(Batters[[#All],[POW P]],MATCH(Table5[[#This Row],[PID]],Batters[[#All],[PID]],0)),INDEX(Table3[[#All],[CON P]],MATCH(Table5[[#This Row],[PID]],Table3[[#All],[PID]],0)))</f>
        <v>7</v>
      </c>
      <c r="O123" s="56">
        <f>IF($C123="B",INDEX(Batters[[#All],[EYE P]],MATCH(Table5[[#This Row],[PID]],Batters[[#All],[PID]],0)),INDEX(Table3[[#All],[VELO]],MATCH(Table5[[#This Row],[PID]],Table3[[#All],[PID]],0)))</f>
        <v>6</v>
      </c>
      <c r="P123" s="56">
        <f>IF($C123="B",INDEX(Batters[[#All],[K P]],MATCH(Table5[[#This Row],[PID]],Batters[[#All],[PID]],0)),INDEX(Table3[[#All],[STM]],MATCH(Table5[[#This Row],[PID]],Table3[[#All],[PID]],0)))</f>
        <v>4</v>
      </c>
      <c r="Q123" s="61">
        <f>IF($C123="B",INDEX(Batters[[#All],[Tot]],MATCH(Table5[[#This Row],[PID]],Batters[[#All],[PID]],0)),INDEX(Table3[[#All],[Tot]],MATCH(Table5[[#This Row],[PID]],Table3[[#All],[PID]],0)))</f>
        <v>52.321581976603525</v>
      </c>
      <c r="R123" s="52">
        <f>IF($C123="B",INDEX(Batters[[#All],[zScore]],MATCH(Table5[[#This Row],[PID]],Batters[[#All],[PID]],0)),INDEX(Table3[[#All],[zScore]],MATCH(Table5[[#This Row],[PID]],Table3[[#All],[PID]],0)))</f>
        <v>1.8156990447708878</v>
      </c>
      <c r="S123" s="58" t="str">
        <f>IF($C123="B",INDEX(Batters[[#All],[DEM]],MATCH(Table5[[#This Row],[PID]],Batters[[#All],[PID]],0)),INDEX(Table3[[#All],[DEM]],MATCH(Table5[[#This Row],[PID]],Table3[[#All],[PID]],0)))</f>
        <v>$270k</v>
      </c>
      <c r="T123" s="62">
        <f>IF($C123="B",INDEX(Batters[[#All],[Rnk]],MATCH(Table5[[#This Row],[PID]],Batters[[#All],[PID]],0)),INDEX(Table3[[#All],[Rnk]],MATCH(Table5[[#This Row],[PID]],Table3[[#All],[PID]],0)))</f>
        <v>25</v>
      </c>
      <c r="U123" s="68">
        <f>IF($C123="B",VLOOKUP($A123,Bat!$A$4:$BA$1621,47,FALSE),VLOOKUP($A123,Pit!$A$4:$BF$1557,56,FALSE))</f>
        <v>0</v>
      </c>
      <c r="V123" s="50">
        <f>IF($C123="B",VLOOKUP($A123,Bat!$A$4:$BA$1621,48,FALSE),VLOOKUP($A123,Pit!$A$4:$BF$1557,57,FALSE))</f>
        <v>0</v>
      </c>
      <c r="W123" s="50">
        <f>Table5[[#This Row],[posRnk]]+Table5[[#This Row],[zRnk]]+IF($W$3&lt;&gt;Table5[[#This Row],[Type]],50,0)</f>
        <v>141</v>
      </c>
      <c r="X123" s="51">
        <f>RANK(Table5[[#This Row],[zScore]],Table5[[#All],[zScore]])</f>
        <v>66</v>
      </c>
      <c r="Y123" s="50">
        <f>IFERROR(INDEX(DraftResults[[#All],[OVR]],MATCH(Table5[[#This Row],[PID]],DraftResults[[#All],[Player ID]],0)),"")</f>
        <v>119</v>
      </c>
      <c r="Z1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3" s="50">
        <f>IFERROR(INDEX(DraftResults[[#All],[Pick in Round]],MATCH(Table5[[#This Row],[PID]],DraftResults[[#All],[Player ID]],0)),"")</f>
        <v>19</v>
      </c>
      <c r="AB123" s="50" t="str">
        <f>IFERROR(INDEX(DraftResults[[#All],[Team Name]],MATCH(Table5[[#This Row],[PID]],DraftResults[[#All],[Player ID]],0)),"")</f>
        <v>Tempe Knights</v>
      </c>
      <c r="AC123" s="50">
        <f>IF(Table5[[#This Row],[Ovr]]="","",IF(Table5[[#This Row],[cmbList]]="","",Table5[[#This Row],[cmbList]]-Table5[[#This Row],[Ovr]]))</f>
        <v>22</v>
      </c>
      <c r="AD123" s="54" t="str">
        <f>IF(ISERROR(VLOOKUP($AB123&amp;"-"&amp;$E123&amp;" "&amp;F123,Bonuses!$B$1:$G$1006,4,FALSE)),"",INT(VLOOKUP($AB123&amp;"-"&amp;$E123&amp;" "&amp;$F123,Bonuses!$B$1:$G$1006,4,FALSE)))</f>
        <v/>
      </c>
      <c r="AE1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4.19 (119) - LF Jorge Cortés</v>
      </c>
    </row>
    <row r="124" spans="1:31" s="50" customFormat="1" x14ac:dyDescent="0.25">
      <c r="A124" s="50">
        <v>20393</v>
      </c>
      <c r="B124" s="50">
        <f>COUNTIF(Table5[PID],A124)</f>
        <v>1</v>
      </c>
      <c r="C124" s="50" t="str">
        <f>IF(COUNTIF(Table3[[#All],[PID]],A124)&gt;0,"P","B")</f>
        <v>B</v>
      </c>
      <c r="D124" s="59" t="str">
        <f>IF($C124="B",INDEX(Batters[[#All],[POS]],MATCH(Table5[[#This Row],[PID]],Batters[[#All],[PID]],0)),INDEX(Table3[[#All],[POS]],MATCH(Table5[[#This Row],[PID]],Table3[[#All],[PID]],0)))</f>
        <v>SS</v>
      </c>
      <c r="E124" s="52" t="str">
        <f>IF($C124="B",INDEX(Batters[[#All],[First]],MATCH(Table5[[#This Row],[PID]],Batters[[#All],[PID]],0)),INDEX(Table3[[#All],[First]],MATCH(Table5[[#This Row],[PID]],Table3[[#All],[PID]],0)))</f>
        <v>Pol</v>
      </c>
      <c r="F124" s="50" t="str">
        <f>IF($C124="B",INDEX(Batters[[#All],[Last]],MATCH(A124,Batters[[#All],[PID]],0)),INDEX(Table3[[#All],[Last]],MATCH(A124,Table3[[#All],[PID]],0)))</f>
        <v>Knowles</v>
      </c>
      <c r="G124" s="56">
        <f>IF($C124="B",INDEX(Batters[[#All],[Age]],MATCH(Table5[[#This Row],[PID]],Batters[[#All],[PID]],0)),INDEX(Table3[[#All],[Age]],MATCH(Table5[[#This Row],[PID]],Table3[[#All],[PID]],0)))</f>
        <v>18</v>
      </c>
      <c r="H124" s="52" t="str">
        <f>IF($C124="B",INDEX(Batters[[#All],[B]],MATCH(Table5[[#This Row],[PID]],Batters[[#All],[PID]],0)),INDEX(Table3[[#All],[B]],MATCH(Table5[[#This Row],[PID]],Table3[[#All],[PID]],0)))</f>
        <v>R</v>
      </c>
      <c r="I124" s="52" t="str">
        <f>IF($C124="B",INDEX(Batters[[#All],[T]],MATCH(Table5[[#This Row],[PID]],Batters[[#All],[PID]],0)),INDEX(Table3[[#All],[T]],MATCH(Table5[[#This Row],[PID]],Table3[[#All],[PID]],0)))</f>
        <v>R</v>
      </c>
      <c r="J124" s="52" t="str">
        <f>IF($C124="B",INDEX(Batters[[#All],[WE]],MATCH(Table5[[#This Row],[PID]],Batters[[#All],[PID]],0)),INDEX(Table3[[#All],[WE]],MATCH(Table5[[#This Row],[PID]],Table3[[#All],[PID]],0)))</f>
        <v>Low</v>
      </c>
      <c r="K124" s="52" t="str">
        <f>IF($C124="B",INDEX(Batters[[#All],[INT]],MATCH(Table5[[#This Row],[PID]],Batters[[#All],[PID]],0)),INDEX(Table3[[#All],[INT]],MATCH(Table5[[#This Row],[PID]],Table3[[#All],[PID]],0)))</f>
        <v>Normal</v>
      </c>
      <c r="L124" s="60">
        <f>IF($C124="B",INDEX(Batters[[#All],[CON P]],MATCH(Table5[[#This Row],[PID]],Batters[[#All],[PID]],0)),INDEX(Table3[[#All],[STU P]],MATCH(Table5[[#This Row],[PID]],Table3[[#All],[PID]],0)))</f>
        <v>4</v>
      </c>
      <c r="M124" s="56">
        <f>IF($C124="B",INDEX(Batters[[#All],[GAP P]],MATCH(Table5[[#This Row],[PID]],Batters[[#All],[PID]],0)),INDEX(Table3[[#All],[MOV P]],MATCH(Table5[[#This Row],[PID]],Table3[[#All],[PID]],0)))</f>
        <v>5</v>
      </c>
      <c r="N124" s="56">
        <f>IF($C124="B",INDEX(Batters[[#All],[POW P]],MATCH(Table5[[#This Row],[PID]],Batters[[#All],[PID]],0)),INDEX(Table3[[#All],[CON P]],MATCH(Table5[[#This Row],[PID]],Table3[[#All],[PID]],0)))</f>
        <v>5</v>
      </c>
      <c r="O124" s="56">
        <f>IF($C124="B",INDEX(Batters[[#All],[EYE P]],MATCH(Table5[[#This Row],[PID]],Batters[[#All],[PID]],0)),INDEX(Table3[[#All],[VELO]],MATCH(Table5[[#This Row],[PID]],Table3[[#All],[PID]],0)))</f>
        <v>7</v>
      </c>
      <c r="P124" s="56">
        <f>IF($C124="B",INDEX(Batters[[#All],[K P]],MATCH(Table5[[#This Row],[PID]],Batters[[#All],[PID]],0)),INDEX(Table3[[#All],[STM]],MATCH(Table5[[#This Row],[PID]],Table3[[#All],[PID]],0)))</f>
        <v>4</v>
      </c>
      <c r="Q124" s="61">
        <f>IF($C124="B",INDEX(Batters[[#All],[Tot]],MATCH(Table5[[#This Row],[PID]],Batters[[#All],[PID]],0)),INDEX(Table3[[#All],[Tot]],MATCH(Table5[[#This Row],[PID]],Table3[[#All],[PID]],0)))</f>
        <v>50.494391824711357</v>
      </c>
      <c r="R124" s="52">
        <f>IF($C124="B",INDEX(Batters[[#All],[zScore]],MATCH(Table5[[#This Row],[PID]],Batters[[#All],[PID]],0)),INDEX(Table3[[#All],[zScore]],MATCH(Table5[[#This Row],[PID]],Table3[[#All],[PID]],0)))</f>
        <v>1.4105986374371986</v>
      </c>
      <c r="S124" s="58" t="str">
        <f>IF($C124="B",INDEX(Batters[[#All],[DEM]],MATCH(Table5[[#This Row],[PID]],Batters[[#All],[PID]],0)),INDEX(Table3[[#All],[DEM]],MATCH(Table5[[#This Row],[PID]],Table3[[#All],[PID]],0)))</f>
        <v>$800k</v>
      </c>
      <c r="T124" s="62">
        <f>IF($C124="B",INDEX(Batters[[#All],[Rnk]],MATCH(Table5[[#This Row],[PID]],Batters[[#All],[PID]],0)),INDEX(Table3[[#All],[Rnk]],MATCH(Table5[[#This Row],[PID]],Table3[[#All],[PID]],0)))</f>
        <v>50</v>
      </c>
      <c r="U124" s="68">
        <f>IF($C124="B",VLOOKUP($A124,Bat!$A$4:$BA$1621,47,FALSE),VLOOKUP($A124,Pit!$A$4:$BF$1557,56,FALSE))</f>
        <v>0</v>
      </c>
      <c r="V124" s="50">
        <f>IF($C124="B",VLOOKUP($A124,Bat!$A$4:$BA$1621,48,FALSE),VLOOKUP($A124,Pit!$A$4:$BF$1557,57,FALSE))</f>
        <v>0</v>
      </c>
      <c r="W124" s="50">
        <f>Table5[[#This Row],[posRnk]]+Table5[[#This Row],[zRnk]]+IF($W$3&lt;&gt;Table5[[#This Row],[Type]],50,0)</f>
        <v>231</v>
      </c>
      <c r="X124" s="51">
        <f>RANK(Table5[[#This Row],[zScore]],Table5[[#All],[zScore]])</f>
        <v>131</v>
      </c>
      <c r="Y124" s="50">
        <f>IFERROR(INDEX(DraftResults[[#All],[OVR]],MATCH(Table5[[#This Row],[PID]],DraftResults[[#All],[Player ID]],0)),"")</f>
        <v>120</v>
      </c>
      <c r="Z1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4" s="50">
        <f>IFERROR(INDEX(DraftResults[[#All],[Pick in Round]],MATCH(Table5[[#This Row],[PID]],DraftResults[[#All],[Player ID]],0)),"")</f>
        <v>20</v>
      </c>
      <c r="AB124" s="50" t="str">
        <f>IFERROR(INDEX(DraftResults[[#All],[Team Name]],MATCH(Table5[[#This Row],[PID]],DraftResults[[#All],[Player ID]],0)),"")</f>
        <v>Fargo Dinosaurs</v>
      </c>
      <c r="AC124" s="50">
        <f>IF(Table5[[#This Row],[Ovr]]="","",IF(Table5[[#This Row],[cmbList]]="","",Table5[[#This Row],[cmbList]]-Table5[[#This Row],[Ovr]]))</f>
        <v>111</v>
      </c>
      <c r="AD124" s="54" t="str">
        <f>IF(ISERROR(VLOOKUP($AB124&amp;"-"&amp;$E124&amp;" "&amp;F124,Bonuses!$B$1:$G$1006,4,FALSE)),"",INT(VLOOKUP($AB124&amp;"-"&amp;$E124&amp;" "&amp;$F124,Bonuses!$B$1:$G$1006,4,FALSE)))</f>
        <v/>
      </c>
      <c r="AE1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4.20 (120) - SS Pol Knowles</v>
      </c>
    </row>
    <row r="125" spans="1:31" s="50" customFormat="1" x14ac:dyDescent="0.25">
      <c r="A125" s="50">
        <v>18152</v>
      </c>
      <c r="B125" s="50">
        <f>COUNTIF(Table5[PID],A125)</f>
        <v>1</v>
      </c>
      <c r="C125" s="50" t="str">
        <f>IF(COUNTIF(Table3[[#All],[PID]],A125)&gt;0,"P","B")</f>
        <v>B</v>
      </c>
      <c r="D125" s="59" t="str">
        <f>IF($C125="B",INDEX(Batters[[#All],[POS]],MATCH(Table5[[#This Row],[PID]],Batters[[#All],[PID]],0)),INDEX(Table3[[#All],[POS]],MATCH(Table5[[#This Row],[PID]],Table3[[#All],[PID]],0)))</f>
        <v>CF</v>
      </c>
      <c r="E125" s="52" t="str">
        <f>IF($C125="B",INDEX(Batters[[#All],[First]],MATCH(Table5[[#This Row],[PID]],Batters[[#All],[PID]],0)),INDEX(Table3[[#All],[First]],MATCH(Table5[[#This Row],[PID]],Table3[[#All],[PID]],0)))</f>
        <v>Santiago</v>
      </c>
      <c r="F125" s="50" t="str">
        <f>IF($C125="B",INDEX(Batters[[#All],[Last]],MATCH(A125,Batters[[#All],[PID]],0)),INDEX(Table3[[#All],[Last]],MATCH(A125,Table3[[#All],[PID]],0)))</f>
        <v>Caballero</v>
      </c>
      <c r="G125" s="56">
        <f>IF($C125="B",INDEX(Batters[[#All],[Age]],MATCH(Table5[[#This Row],[PID]],Batters[[#All],[PID]],0)),INDEX(Table3[[#All],[Age]],MATCH(Table5[[#This Row],[PID]],Table3[[#All],[PID]],0)))</f>
        <v>21</v>
      </c>
      <c r="H125" s="52" t="str">
        <f>IF($C125="B",INDEX(Batters[[#All],[B]],MATCH(Table5[[#This Row],[PID]],Batters[[#All],[PID]],0)),INDEX(Table3[[#All],[B]],MATCH(Table5[[#This Row],[PID]],Table3[[#All],[PID]],0)))</f>
        <v>R</v>
      </c>
      <c r="I125" s="52" t="str">
        <f>IF($C125="B",INDEX(Batters[[#All],[T]],MATCH(Table5[[#This Row],[PID]],Batters[[#All],[PID]],0)),INDEX(Table3[[#All],[T]],MATCH(Table5[[#This Row],[PID]],Table3[[#All],[PID]],0)))</f>
        <v>R</v>
      </c>
      <c r="J125" s="52" t="str">
        <f>IF($C125="B",INDEX(Batters[[#All],[WE]],MATCH(Table5[[#This Row],[PID]],Batters[[#All],[PID]],0)),INDEX(Table3[[#All],[WE]],MATCH(Table5[[#This Row],[PID]],Table3[[#All],[PID]],0)))</f>
        <v>Normal</v>
      </c>
      <c r="K125" s="52" t="str">
        <f>IF($C125="B",INDEX(Batters[[#All],[INT]],MATCH(Table5[[#This Row],[PID]],Batters[[#All],[PID]],0)),INDEX(Table3[[#All],[INT]],MATCH(Table5[[#This Row],[PID]],Table3[[#All],[PID]],0)))</f>
        <v>Normal</v>
      </c>
      <c r="L125" s="60">
        <f>IF($C125="B",INDEX(Batters[[#All],[CON P]],MATCH(Table5[[#This Row],[PID]],Batters[[#All],[PID]],0)),INDEX(Table3[[#All],[STU P]],MATCH(Table5[[#This Row],[PID]],Table3[[#All],[PID]],0)))</f>
        <v>4</v>
      </c>
      <c r="M125" s="56">
        <f>IF($C125="B",INDEX(Batters[[#All],[GAP P]],MATCH(Table5[[#This Row],[PID]],Batters[[#All],[PID]],0)),INDEX(Table3[[#All],[MOV P]],MATCH(Table5[[#This Row],[PID]],Table3[[#All],[PID]],0)))</f>
        <v>3</v>
      </c>
      <c r="N125" s="56">
        <f>IF($C125="B",INDEX(Batters[[#All],[POW P]],MATCH(Table5[[#This Row],[PID]],Batters[[#All],[PID]],0)),INDEX(Table3[[#All],[CON P]],MATCH(Table5[[#This Row],[PID]],Table3[[#All],[PID]],0)))</f>
        <v>2</v>
      </c>
      <c r="O125" s="56">
        <f>IF($C125="B",INDEX(Batters[[#All],[EYE P]],MATCH(Table5[[#This Row],[PID]],Batters[[#All],[PID]],0)),INDEX(Table3[[#All],[VELO]],MATCH(Table5[[#This Row],[PID]],Table3[[#All],[PID]],0)))</f>
        <v>4</v>
      </c>
      <c r="P125" s="56">
        <f>IF($C125="B",INDEX(Batters[[#All],[K P]],MATCH(Table5[[#This Row],[PID]],Batters[[#All],[PID]],0)),INDEX(Table3[[#All],[STM]],MATCH(Table5[[#This Row],[PID]],Table3[[#All],[PID]],0)))</f>
        <v>5</v>
      </c>
      <c r="Q125" s="61">
        <f>IF($C125="B",INDEX(Batters[[#All],[Tot]],MATCH(Table5[[#This Row],[PID]],Batters[[#All],[PID]],0)),INDEX(Table3[[#All],[Tot]],MATCH(Table5[[#This Row],[PID]],Table3[[#All],[PID]],0)))</f>
        <v>40.580602299013904</v>
      </c>
      <c r="R125" s="52">
        <f>IF($C125="B",INDEX(Batters[[#All],[zScore]],MATCH(Table5[[#This Row],[PID]],Batters[[#All],[PID]],0)),INDEX(Table3[[#All],[zScore]],MATCH(Table5[[#This Row],[PID]],Table3[[#All],[PID]],0)))</f>
        <v>-0.78735551140801108</v>
      </c>
      <c r="S125" s="58" t="str">
        <f>IF($C125="B",INDEX(Batters[[#All],[DEM]],MATCH(Table5[[#This Row],[PID]],Batters[[#All],[PID]],0)),INDEX(Table3[[#All],[DEM]],MATCH(Table5[[#This Row],[PID]],Table3[[#All],[PID]],0)))</f>
        <v>-</v>
      </c>
      <c r="T125" s="62">
        <f>IF($C125="B",INDEX(Batters[[#All],[Rnk]],MATCH(Table5[[#This Row],[PID]],Batters[[#All],[PID]],0)),INDEX(Table3[[#All],[Rnk]],MATCH(Table5[[#This Row],[PID]],Table3[[#All],[PID]],0)))</f>
        <v>400</v>
      </c>
      <c r="U125" s="68">
        <f>IF($C125="B",VLOOKUP($A125,Bat!$A$4:$BA$1621,47,FALSE),VLOOKUP($A125,Pit!$A$4:$BF$1557,56,FALSE))</f>
        <v>0</v>
      </c>
      <c r="V125" s="50">
        <f>IF($C125="B",VLOOKUP($A125,Bat!$A$4:$BA$1621,48,FALSE),VLOOKUP($A125,Pit!$A$4:$BF$1557,57,FALSE))</f>
        <v>0</v>
      </c>
      <c r="W125" s="50">
        <f>Table5[[#This Row],[posRnk]]+Table5[[#This Row],[zRnk]]+IF($W$3&lt;&gt;Table5[[#This Row],[Type]],50,0)</f>
        <v>1486</v>
      </c>
      <c r="X125" s="51">
        <f>RANK(Table5[[#This Row],[zScore]],Table5[[#All],[zScore]])</f>
        <v>1036</v>
      </c>
      <c r="Y125" s="50">
        <f>IFERROR(INDEX(DraftResults[[#All],[OVR]],MATCH(Table5[[#This Row],[PID]],DraftResults[[#All],[Player ID]],0)),"")</f>
        <v>121</v>
      </c>
      <c r="Z1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5" s="50">
        <f>IFERROR(INDEX(DraftResults[[#All],[Pick in Round]],MATCH(Table5[[#This Row],[PID]],DraftResults[[#All],[Player ID]],0)),"")</f>
        <v>21</v>
      </c>
      <c r="AB125" s="50" t="str">
        <f>IFERROR(INDEX(DraftResults[[#All],[Team Name]],MATCH(Table5[[#This Row],[PID]],DraftResults[[#All],[Player ID]],0)),"")</f>
        <v>Havana Leones</v>
      </c>
      <c r="AC125" s="50">
        <f>IF(Table5[[#This Row],[Ovr]]="","",IF(Table5[[#This Row],[cmbList]]="","",Table5[[#This Row],[cmbList]]-Table5[[#This Row],[Ovr]]))</f>
        <v>1365</v>
      </c>
      <c r="AD125" s="54" t="str">
        <f>IF(ISERROR(VLOOKUP($AB125&amp;"-"&amp;$E125&amp;" "&amp;F125,Bonuses!$B$1:$G$1006,4,FALSE)),"",INT(VLOOKUP($AB125&amp;"-"&amp;$E125&amp;" "&amp;$F125,Bonuses!$B$1:$G$1006,4,FALSE)))</f>
        <v/>
      </c>
      <c r="AE1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4.21 (121) - CF Santiago Caballero</v>
      </c>
    </row>
    <row r="126" spans="1:31" s="50" customFormat="1" x14ac:dyDescent="0.25">
      <c r="A126" s="68">
        <v>18212</v>
      </c>
      <c r="B126" s="69">
        <f>COUNTIF(Table5[PID],A126)</f>
        <v>1</v>
      </c>
      <c r="C126" s="69" t="str">
        <f>IF(COUNTIF(Table3[[#All],[PID]],A126)&gt;0,"P","B")</f>
        <v>P</v>
      </c>
      <c r="D126" s="59" t="str">
        <f>IF($C126="B",INDEX(Batters[[#All],[POS]],MATCH(Table5[[#This Row],[PID]],Batters[[#All],[PID]],0)),INDEX(Table3[[#All],[POS]],MATCH(Table5[[#This Row],[PID]],Table3[[#All],[PID]],0)))</f>
        <v>SP</v>
      </c>
      <c r="E126" s="52" t="str">
        <f>IF($C126="B",INDEX(Batters[[#All],[First]],MATCH(Table5[[#This Row],[PID]],Batters[[#All],[PID]],0)),INDEX(Table3[[#All],[First]],MATCH(Table5[[#This Row],[PID]],Table3[[#All],[PID]],0)))</f>
        <v>António</v>
      </c>
      <c r="F126" s="55" t="str">
        <f>IF($C126="B",INDEX(Batters[[#All],[Last]],MATCH(A126,Batters[[#All],[PID]],0)),INDEX(Table3[[#All],[Last]],MATCH(A126,Table3[[#All],[PID]],0)))</f>
        <v>Trujillo</v>
      </c>
      <c r="G126" s="56">
        <f>IF($C126="B",INDEX(Batters[[#All],[Age]],MATCH(Table5[[#This Row],[PID]],Batters[[#All],[PID]],0)),INDEX(Table3[[#All],[Age]],MATCH(Table5[[#This Row],[PID]],Table3[[#All],[PID]],0)))</f>
        <v>18</v>
      </c>
      <c r="H126" s="52" t="str">
        <f>IF($C126="B",INDEX(Batters[[#All],[B]],MATCH(Table5[[#This Row],[PID]],Batters[[#All],[PID]],0)),INDEX(Table3[[#All],[B]],MATCH(Table5[[#This Row],[PID]],Table3[[#All],[PID]],0)))</f>
        <v>L</v>
      </c>
      <c r="I126" s="52" t="str">
        <f>IF($C126="B",INDEX(Batters[[#All],[T]],MATCH(Table5[[#This Row],[PID]],Batters[[#All],[PID]],0)),INDEX(Table3[[#All],[T]],MATCH(Table5[[#This Row],[PID]],Table3[[#All],[PID]],0)))</f>
        <v>L</v>
      </c>
      <c r="J126" s="71" t="str">
        <f>IF($C126="B",INDEX(Batters[[#All],[WE]],MATCH(Table5[[#This Row],[PID]],Batters[[#All],[PID]],0)),INDEX(Table3[[#All],[WE]],MATCH(Table5[[#This Row],[PID]],Table3[[#All],[PID]],0)))</f>
        <v>Normal</v>
      </c>
      <c r="K126" s="52" t="str">
        <f>IF($C126="B",INDEX(Batters[[#All],[INT]],MATCH(Table5[[#This Row],[PID]],Batters[[#All],[PID]],0)),INDEX(Table3[[#All],[INT]],MATCH(Table5[[#This Row],[PID]],Table3[[#All],[PID]],0)))</f>
        <v>High</v>
      </c>
      <c r="L126" s="60">
        <f>IF($C126="B",INDEX(Batters[[#All],[CON P]],MATCH(Table5[[#This Row],[PID]],Batters[[#All],[PID]],0)),INDEX(Table3[[#All],[STU P]],MATCH(Table5[[#This Row],[PID]],Table3[[#All],[PID]],0)))</f>
        <v>4</v>
      </c>
      <c r="M126" s="72">
        <f>IF($C126="B",INDEX(Batters[[#All],[GAP P]],MATCH(Table5[[#This Row],[PID]],Batters[[#All],[PID]],0)),INDEX(Table3[[#All],[MOV P]],MATCH(Table5[[#This Row],[PID]],Table3[[#All],[PID]],0)))</f>
        <v>4</v>
      </c>
      <c r="N126" s="72">
        <f>IF($C126="B",INDEX(Batters[[#All],[POW P]],MATCH(Table5[[#This Row],[PID]],Batters[[#All],[PID]],0)),INDEX(Table3[[#All],[CON P]],MATCH(Table5[[#This Row],[PID]],Table3[[#All],[PID]],0)))</f>
        <v>7</v>
      </c>
      <c r="O126" s="72" t="str">
        <f>IF($C126="B",INDEX(Batters[[#All],[EYE P]],MATCH(Table5[[#This Row],[PID]],Batters[[#All],[PID]],0)),INDEX(Table3[[#All],[VELO]],MATCH(Table5[[#This Row],[PID]],Table3[[#All],[PID]],0)))</f>
        <v>89-91 Mph</v>
      </c>
      <c r="P126" s="56">
        <f>IF($C126="B",INDEX(Batters[[#All],[K P]],MATCH(Table5[[#This Row],[PID]],Batters[[#All],[PID]],0)),INDEX(Table3[[#All],[STM]],MATCH(Table5[[#This Row],[PID]],Table3[[#All],[PID]],0)))</f>
        <v>5</v>
      </c>
      <c r="Q126" s="61">
        <f>IF($C126="B",INDEX(Batters[[#All],[Tot]],MATCH(Table5[[#This Row],[PID]],Batters[[#All],[PID]],0)),INDEX(Table3[[#All],[Tot]],MATCH(Table5[[#This Row],[PID]],Table3[[#All],[PID]],0)))</f>
        <v>62.940481390961267</v>
      </c>
      <c r="R126" s="52">
        <f>IF($C126="B",INDEX(Batters[[#All],[zScore]],MATCH(Table5[[#This Row],[PID]],Batters[[#All],[PID]],0)),INDEX(Table3[[#All],[zScore]],MATCH(Table5[[#This Row],[PID]],Table3[[#All],[PID]],0)))</f>
        <v>1.8009227634616802</v>
      </c>
      <c r="S126" s="78" t="str">
        <f>IF($C126="B",INDEX(Batters[[#All],[DEM]],MATCH(Table5[[#This Row],[PID]],Batters[[#All],[PID]],0)),INDEX(Table3[[#All],[DEM]],MATCH(Table5[[#This Row],[PID]],Table3[[#All],[PID]],0)))</f>
        <v>$340k</v>
      </c>
      <c r="T126" s="75">
        <f>IF($C126="B",INDEX(Batters[[#All],[Rnk]],MATCH(Table5[[#This Row],[PID]],Batters[[#All],[PID]],0)),INDEX(Table3[[#All],[Rnk]],MATCH(Table5[[#This Row],[PID]],Table3[[#All],[PID]],0)))</f>
        <v>44</v>
      </c>
      <c r="U126" s="68">
        <f>IF($C126="B",VLOOKUP($A126,Bat!$A$4:$BA$1621,47,FALSE),VLOOKUP($A126,Pit!$A$4:$BF$1557,56,FALSE))</f>
        <v>0</v>
      </c>
      <c r="V126" s="50">
        <f>IF($C126="B",VLOOKUP($A126,Bat!$A$4:$BA$1621,48,FALSE),VLOOKUP($A126,Pit!$A$4:$BF$1557,57,FALSE))</f>
        <v>0</v>
      </c>
      <c r="W126" s="69">
        <f>Table5[[#This Row],[posRnk]]+Table5[[#This Row],[zRnk]]+IF($W$3&lt;&gt;Table5[[#This Row],[Type]],50,0)</f>
        <v>163</v>
      </c>
      <c r="X126" s="73">
        <f>RANK(Table5[[#This Row],[zScore]],Table5[[#All],[zScore]])</f>
        <v>69</v>
      </c>
      <c r="Y126" s="69">
        <f>IFERROR(INDEX(DraftResults[[#All],[OVR]],MATCH(Table5[[#This Row],[PID]],DraftResults[[#All],[Player ID]],0)),"")</f>
        <v>122</v>
      </c>
      <c r="Z12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6" s="69">
        <f>IFERROR(INDEX(DraftResults[[#All],[Pick in Round]],MATCH(Table5[[#This Row],[PID]],DraftResults[[#All],[Player ID]],0)),"")</f>
        <v>22</v>
      </c>
      <c r="AB126" s="69" t="str">
        <f>IFERROR(INDEX(DraftResults[[#All],[Team Name]],MATCH(Table5[[#This Row],[PID]],DraftResults[[#All],[Player ID]],0)),"")</f>
        <v>London Underground</v>
      </c>
      <c r="AC126" s="69">
        <f>IF(Table5[[#This Row],[Ovr]]="","",IF(Table5[[#This Row],[cmbList]]="","",Table5[[#This Row],[cmbList]]-Table5[[#This Row],[Ovr]]))</f>
        <v>41</v>
      </c>
      <c r="AD126" s="77" t="str">
        <f>IF(ISERROR(VLOOKUP($AB126&amp;"-"&amp;$E126&amp;" "&amp;F126,Bonuses!$B$1:$G$1006,4,FALSE)),"",INT(VLOOKUP($AB126&amp;"-"&amp;$E126&amp;" "&amp;$F126,Bonuses!$B$1:$G$1006,4,FALSE)))</f>
        <v/>
      </c>
      <c r="AE12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4.22 (122) - SP António Trujillo</v>
      </c>
    </row>
    <row r="127" spans="1:31" s="50" customFormat="1" x14ac:dyDescent="0.25">
      <c r="A127" s="50">
        <v>20290</v>
      </c>
      <c r="B127" s="55">
        <f>COUNTIF(Table5[PID],A127)</f>
        <v>1</v>
      </c>
      <c r="C127" s="55" t="str">
        <f>IF(COUNTIF(Table3[[#All],[PID]],A127)&gt;0,"P","B")</f>
        <v>B</v>
      </c>
      <c r="D127" s="59" t="str">
        <f>IF($C127="B",INDEX(Batters[[#All],[POS]],MATCH(Table5[[#This Row],[PID]],Batters[[#All],[PID]],0)),INDEX(Table3[[#All],[POS]],MATCH(Table5[[#This Row],[PID]],Table3[[#All],[PID]],0)))</f>
        <v>LF</v>
      </c>
      <c r="E127" s="52" t="str">
        <f>IF($C127="B",INDEX(Batters[[#All],[First]],MATCH(Table5[[#This Row],[PID]],Batters[[#All],[PID]],0)),INDEX(Table3[[#All],[First]],MATCH(Table5[[#This Row],[PID]],Table3[[#All],[PID]],0)))</f>
        <v>Li-ben</v>
      </c>
      <c r="F127" s="50" t="str">
        <f>IF($C127="B",INDEX(Batters[[#All],[Last]],MATCH(A127,Batters[[#All],[PID]],0)),INDEX(Table3[[#All],[Last]],MATCH(A127,Table3[[#All],[PID]],0)))</f>
        <v>Wa</v>
      </c>
      <c r="G127" s="56">
        <f>IF($C127="B",INDEX(Batters[[#All],[Age]],MATCH(Table5[[#This Row],[PID]],Batters[[#All],[PID]],0)),INDEX(Table3[[#All],[Age]],MATCH(Table5[[#This Row],[PID]],Table3[[#All],[PID]],0)))</f>
        <v>22</v>
      </c>
      <c r="H127" s="52" t="str">
        <f>IF($C127="B",INDEX(Batters[[#All],[B]],MATCH(Table5[[#This Row],[PID]],Batters[[#All],[PID]],0)),INDEX(Table3[[#All],[B]],MATCH(Table5[[#This Row],[PID]],Table3[[#All],[PID]],0)))</f>
        <v>L</v>
      </c>
      <c r="I127" s="52" t="str">
        <f>IF($C127="B",INDEX(Batters[[#All],[T]],MATCH(Table5[[#This Row],[PID]],Batters[[#All],[PID]],0)),INDEX(Table3[[#All],[T]],MATCH(Table5[[#This Row],[PID]],Table3[[#All],[PID]],0)))</f>
        <v>L</v>
      </c>
      <c r="J127" s="52" t="str">
        <f>IF($C127="B",INDEX(Batters[[#All],[WE]],MATCH(Table5[[#This Row],[PID]],Batters[[#All],[PID]],0)),INDEX(Table3[[#All],[WE]],MATCH(Table5[[#This Row],[PID]],Table3[[#All],[PID]],0)))</f>
        <v>Normal</v>
      </c>
      <c r="K127" s="52" t="str">
        <f>IF($C127="B",INDEX(Batters[[#All],[INT]],MATCH(Table5[[#This Row],[PID]],Batters[[#All],[PID]],0)),INDEX(Table3[[#All],[INT]],MATCH(Table5[[#This Row],[PID]],Table3[[#All],[PID]],0)))</f>
        <v>Normal</v>
      </c>
      <c r="L127" s="60">
        <f>IF($C127="B",INDEX(Batters[[#All],[CON P]],MATCH(Table5[[#This Row],[PID]],Batters[[#All],[PID]],0)),INDEX(Table3[[#All],[STU P]],MATCH(Table5[[#This Row],[PID]],Table3[[#All],[PID]],0)))</f>
        <v>4</v>
      </c>
      <c r="M127" s="56">
        <f>IF($C127="B",INDEX(Batters[[#All],[GAP P]],MATCH(Table5[[#This Row],[PID]],Batters[[#All],[PID]],0)),INDEX(Table3[[#All],[MOV P]],MATCH(Table5[[#This Row],[PID]],Table3[[#All],[PID]],0)))</f>
        <v>4</v>
      </c>
      <c r="N127" s="56">
        <f>IF($C127="B",INDEX(Batters[[#All],[POW P]],MATCH(Table5[[#This Row],[PID]],Batters[[#All],[PID]],0)),INDEX(Table3[[#All],[CON P]],MATCH(Table5[[#This Row],[PID]],Table3[[#All],[PID]],0)))</f>
        <v>8</v>
      </c>
      <c r="O127" s="56">
        <f>IF($C127="B",INDEX(Batters[[#All],[EYE P]],MATCH(Table5[[#This Row],[PID]],Batters[[#All],[PID]],0)),INDEX(Table3[[#All],[VELO]],MATCH(Table5[[#This Row],[PID]],Table3[[#All],[PID]],0)))</f>
        <v>6</v>
      </c>
      <c r="P127" s="56">
        <f>IF($C127="B",INDEX(Batters[[#All],[K P]],MATCH(Table5[[#This Row],[PID]],Batters[[#All],[PID]],0)),INDEX(Table3[[#All],[STM]],MATCH(Table5[[#This Row],[PID]],Table3[[#All],[PID]],0)))</f>
        <v>3</v>
      </c>
      <c r="Q127" s="61">
        <f>IF($C127="B",INDEX(Batters[[#All],[Tot]],MATCH(Table5[[#This Row],[PID]],Batters[[#All],[PID]],0)),INDEX(Table3[[#All],[Tot]],MATCH(Table5[[#This Row],[PID]],Table3[[#All],[PID]],0)))</f>
        <v>47.165759050369289</v>
      </c>
      <c r="R127" s="52">
        <f>IF($C127="B",INDEX(Batters[[#All],[zScore]],MATCH(Table5[[#This Row],[PID]],Batters[[#All],[PID]],0)),INDEX(Table3[[#All],[zScore]],MATCH(Table5[[#This Row],[PID]],Table3[[#All],[PID]],0)))</f>
        <v>0.67261825189612234</v>
      </c>
      <c r="S127" s="58" t="str">
        <f>IF($C127="B",INDEX(Batters[[#All],[DEM]],MATCH(Table5[[#This Row],[PID]],Batters[[#All],[PID]],0)),INDEX(Table3[[#All],[DEM]],MATCH(Table5[[#This Row],[PID]],Table3[[#All],[PID]],0)))</f>
        <v>$21k</v>
      </c>
      <c r="T127" s="62">
        <f>IF($C127="B",INDEX(Batters[[#All],[Rnk]],MATCH(Table5[[#This Row],[PID]],Batters[[#All],[PID]],0)),INDEX(Table3[[#All],[Rnk]],MATCH(Table5[[#This Row],[PID]],Table3[[#All],[PID]],0)))</f>
        <v>125</v>
      </c>
      <c r="U127" s="68">
        <f>IF($C127="B",VLOOKUP($A127,Bat!$A$4:$BA$1621,47,FALSE),VLOOKUP($A127,Pit!$A$4:$BF$1557,56,FALSE))</f>
        <v>0</v>
      </c>
      <c r="V127" s="50">
        <f>IF($C127="B",VLOOKUP($A127,Bat!$A$4:$BA$1621,48,FALSE),VLOOKUP($A127,Pit!$A$4:$BF$1557,57,FALSE))</f>
        <v>0</v>
      </c>
      <c r="W127" s="50">
        <f>Table5[[#This Row],[posRnk]]+Table5[[#This Row],[zRnk]]+IF($W$3&lt;&gt;Table5[[#This Row],[Type]],50,0)</f>
        <v>491</v>
      </c>
      <c r="X127" s="51">
        <f>RANK(Table5[[#This Row],[zScore]],Table5[[#All],[zScore]])</f>
        <v>316</v>
      </c>
      <c r="Y127" s="50">
        <f>IFERROR(INDEX(DraftResults[[#All],[OVR]],MATCH(Table5[[#This Row],[PID]],DraftResults[[#All],[Player ID]],0)),"")</f>
        <v>123</v>
      </c>
      <c r="Z1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7" s="50">
        <f>IFERROR(INDEX(DraftResults[[#All],[Pick in Round]],MATCH(Table5[[#This Row],[PID]],DraftResults[[#All],[Player ID]],0)),"")</f>
        <v>23</v>
      </c>
      <c r="AB127" s="50" t="str">
        <f>IFERROR(INDEX(DraftResults[[#All],[Team Name]],MATCH(Table5[[#This Row],[PID]],DraftResults[[#All],[Player ID]],0)),"")</f>
        <v>Niihama-shi Ghosts</v>
      </c>
      <c r="AC127" s="50">
        <f>IF(Table5[[#This Row],[Ovr]]="","",IF(Table5[[#This Row],[cmbList]]="","",Table5[[#This Row],[cmbList]]-Table5[[#This Row],[Ovr]]))</f>
        <v>368</v>
      </c>
      <c r="AD127" s="54" t="str">
        <f>IF(ISERROR(VLOOKUP($AB127&amp;"-"&amp;$E127&amp;" "&amp;F127,Bonuses!$B$1:$G$1006,4,FALSE)),"",INT(VLOOKUP($AB127&amp;"-"&amp;$E127&amp;" "&amp;$F127,Bonuses!$B$1:$G$1006,4,FALSE)))</f>
        <v/>
      </c>
      <c r="AE1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4.23 (123) - LF Li-ben Wa</v>
      </c>
    </row>
    <row r="128" spans="1:31" s="50" customFormat="1" x14ac:dyDescent="0.25">
      <c r="A128" s="68">
        <v>18278</v>
      </c>
      <c r="B128" s="69">
        <f>COUNTIF(Table5[PID],A128)</f>
        <v>1</v>
      </c>
      <c r="C128" s="69" t="str">
        <f>IF(COUNTIF(Table3[[#All],[PID]],A128)&gt;0,"P","B")</f>
        <v>P</v>
      </c>
      <c r="D128" s="59" t="str">
        <f>IF($C128="B",INDEX(Batters[[#All],[POS]],MATCH(Table5[[#This Row],[PID]],Batters[[#All],[PID]],0)),INDEX(Table3[[#All],[POS]],MATCH(Table5[[#This Row],[PID]],Table3[[#All],[PID]],0)))</f>
        <v>SP</v>
      </c>
      <c r="E128" s="52" t="str">
        <f>IF($C128="B",INDEX(Batters[[#All],[First]],MATCH(Table5[[#This Row],[PID]],Batters[[#All],[PID]],0)),INDEX(Table3[[#All],[First]],MATCH(Table5[[#This Row],[PID]],Table3[[#All],[PID]],0)))</f>
        <v>Michael</v>
      </c>
      <c r="F128" s="55" t="str">
        <f>IF($C128="B",INDEX(Batters[[#All],[Last]],MATCH(A128,Batters[[#All],[PID]],0)),INDEX(Table3[[#All],[Last]],MATCH(A128,Table3[[#All],[PID]],0)))</f>
        <v>Martin</v>
      </c>
      <c r="G128" s="56">
        <f>IF($C128="B",INDEX(Batters[[#All],[Age]],MATCH(Table5[[#This Row],[PID]],Batters[[#All],[PID]],0)),INDEX(Table3[[#All],[Age]],MATCH(Table5[[#This Row],[PID]],Table3[[#All],[PID]],0)))</f>
        <v>18</v>
      </c>
      <c r="H128" s="52" t="str">
        <f>IF($C128="B",INDEX(Batters[[#All],[B]],MATCH(Table5[[#This Row],[PID]],Batters[[#All],[PID]],0)),INDEX(Table3[[#All],[B]],MATCH(Table5[[#This Row],[PID]],Table3[[#All],[PID]],0)))</f>
        <v>R</v>
      </c>
      <c r="I128" s="52" t="str">
        <f>IF($C128="B",INDEX(Batters[[#All],[T]],MATCH(Table5[[#This Row],[PID]],Batters[[#All],[PID]],0)),INDEX(Table3[[#All],[T]],MATCH(Table5[[#This Row],[PID]],Table3[[#All],[PID]],0)))</f>
        <v>R</v>
      </c>
      <c r="J128" s="71" t="str">
        <f>IF($C128="B",INDEX(Batters[[#All],[WE]],MATCH(Table5[[#This Row],[PID]],Batters[[#All],[PID]],0)),INDEX(Table3[[#All],[WE]],MATCH(Table5[[#This Row],[PID]],Table3[[#All],[PID]],0)))</f>
        <v>Normal</v>
      </c>
      <c r="K128" s="52" t="str">
        <f>IF($C128="B",INDEX(Batters[[#All],[INT]],MATCH(Table5[[#This Row],[PID]],Batters[[#All],[PID]],0)),INDEX(Table3[[#All],[INT]],MATCH(Table5[[#This Row],[PID]],Table3[[#All],[PID]],0)))</f>
        <v>Normal</v>
      </c>
      <c r="L128" s="60">
        <f>IF($C128="B",INDEX(Batters[[#All],[CON P]],MATCH(Table5[[#This Row],[PID]],Batters[[#All],[PID]],0)),INDEX(Table3[[#All],[STU P]],MATCH(Table5[[#This Row],[PID]],Table3[[#All],[PID]],0)))</f>
        <v>5</v>
      </c>
      <c r="M128" s="72">
        <f>IF($C128="B",INDEX(Batters[[#All],[GAP P]],MATCH(Table5[[#This Row],[PID]],Batters[[#All],[PID]],0)),INDEX(Table3[[#All],[MOV P]],MATCH(Table5[[#This Row],[PID]],Table3[[#All],[PID]],0)))</f>
        <v>6</v>
      </c>
      <c r="N128" s="72">
        <f>IF($C128="B",INDEX(Batters[[#All],[POW P]],MATCH(Table5[[#This Row],[PID]],Batters[[#All],[PID]],0)),INDEX(Table3[[#All],[CON P]],MATCH(Table5[[#This Row],[PID]],Table3[[#All],[PID]],0)))</f>
        <v>6</v>
      </c>
      <c r="O128" s="72" t="str">
        <f>IF($C128="B",INDEX(Batters[[#All],[EYE P]],MATCH(Table5[[#This Row],[PID]],Batters[[#All],[PID]],0)),INDEX(Table3[[#All],[VELO]],MATCH(Table5[[#This Row],[PID]],Table3[[#All],[PID]],0)))</f>
        <v>92-94 Mph</v>
      </c>
      <c r="P128" s="56">
        <f>IF($C128="B",INDEX(Batters[[#All],[K P]],MATCH(Table5[[#This Row],[PID]],Batters[[#All],[PID]],0)),INDEX(Table3[[#All],[STM]],MATCH(Table5[[#This Row],[PID]],Table3[[#All],[PID]],0)))</f>
        <v>6</v>
      </c>
      <c r="Q128" s="61">
        <f>IF($C128="B",INDEX(Batters[[#All],[Tot]],MATCH(Table5[[#This Row],[PID]],Batters[[#All],[PID]],0)),INDEX(Table3[[#All],[Tot]],MATCH(Table5[[#This Row],[PID]],Table3[[#All],[PID]],0)))</f>
        <v>70.478372114590314</v>
      </c>
      <c r="R128" s="52">
        <f>IF($C128="B",INDEX(Batters[[#All],[zScore]],MATCH(Table5[[#This Row],[PID]],Batters[[#All],[PID]],0)),INDEX(Table3[[#All],[zScore]],MATCH(Table5[[#This Row],[PID]],Table3[[#All],[PID]],0)))</f>
        <v>2.3024071145872549</v>
      </c>
      <c r="S128" s="78" t="str">
        <f>IF($C128="B",INDEX(Batters[[#All],[DEM]],MATCH(Table5[[#This Row],[PID]],Batters[[#All],[PID]],0)),INDEX(Table3[[#All],[DEM]],MATCH(Table5[[#This Row],[PID]],Table3[[#All],[PID]],0)))</f>
        <v>$2.6m</v>
      </c>
      <c r="T128" s="75">
        <f>IF($C128="B",INDEX(Batters[[#All],[Rnk]],MATCH(Table5[[#This Row],[PID]],Batters[[#All],[PID]],0)),INDEX(Table3[[#All],[Rnk]],MATCH(Table5[[#This Row],[PID]],Table3[[#All],[PID]],0)))</f>
        <v>15</v>
      </c>
      <c r="U128" s="68">
        <f>IF($C128="B",VLOOKUP($A128,Bat!$A$4:$BA$1621,47,FALSE),VLOOKUP($A128,Pit!$A$4:$BF$1557,56,FALSE))</f>
        <v>0</v>
      </c>
      <c r="V128" s="50">
        <f>IF($C128="B",VLOOKUP($A128,Bat!$A$4:$BA$1621,48,FALSE),VLOOKUP($A128,Pit!$A$4:$BF$1557,57,FALSE))</f>
        <v>0</v>
      </c>
      <c r="W128" s="69">
        <f>Table5[[#This Row],[posRnk]]+Table5[[#This Row],[zRnk]]+IF($W$3&lt;&gt;Table5[[#This Row],[Type]],50,0)</f>
        <v>93</v>
      </c>
      <c r="X128" s="73">
        <f>RANK(Table5[[#This Row],[zScore]],Table5[[#All],[zScore]])</f>
        <v>28</v>
      </c>
      <c r="Y128" s="69">
        <f>IFERROR(INDEX(DraftResults[[#All],[OVR]],MATCH(Table5[[#This Row],[PID]],DraftResults[[#All],[Player ID]],0)),"")</f>
        <v>124</v>
      </c>
      <c r="Z12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8" s="69">
        <f>IFERROR(INDEX(DraftResults[[#All],[Pick in Round]],MATCH(Table5[[#This Row],[PID]],DraftResults[[#All],[Player ID]],0)),"")</f>
        <v>24</v>
      </c>
      <c r="AB128" s="69" t="str">
        <f>IFERROR(INDEX(DraftResults[[#All],[Team Name]],MATCH(Table5[[#This Row],[PID]],DraftResults[[#All],[Player ID]],0)),"")</f>
        <v>Toyama Wind Dancers</v>
      </c>
      <c r="AC128" s="69">
        <f>IF(Table5[[#This Row],[Ovr]]="","",IF(Table5[[#This Row],[cmbList]]="","",Table5[[#This Row],[cmbList]]-Table5[[#This Row],[Ovr]]))</f>
        <v>-31</v>
      </c>
      <c r="AD128" s="77" t="str">
        <f>IF(ISERROR(VLOOKUP($AB128&amp;"-"&amp;$E128&amp;" "&amp;F128,Bonuses!$B$1:$G$1006,4,FALSE)),"",INT(VLOOKUP($AB128&amp;"-"&amp;$E128&amp;" "&amp;$F128,Bonuses!$B$1:$G$1006,4,FALSE)))</f>
        <v/>
      </c>
      <c r="AE12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4.24 (124) - SP Michael Martin</v>
      </c>
    </row>
    <row r="129" spans="1:31" s="50" customFormat="1" x14ac:dyDescent="0.25">
      <c r="A129" s="50">
        <v>18206</v>
      </c>
      <c r="B129" s="50">
        <f>COUNTIF(Table5[PID],A129)</f>
        <v>1</v>
      </c>
      <c r="C129" s="50" t="str">
        <f>IF(COUNTIF(Table3[[#All],[PID]],A129)&gt;0,"P","B")</f>
        <v>P</v>
      </c>
      <c r="D129" s="59" t="str">
        <f>IF($C129="B",INDEX(Batters[[#All],[POS]],MATCH(Table5[[#This Row],[PID]],Batters[[#All],[PID]],0)),INDEX(Table3[[#All],[POS]],MATCH(Table5[[#This Row],[PID]],Table3[[#All],[PID]],0)))</f>
        <v>RP</v>
      </c>
      <c r="E129" s="52" t="str">
        <f>IF($C129="B",INDEX(Batters[[#All],[First]],MATCH(Table5[[#This Row],[PID]],Batters[[#All],[PID]],0)),INDEX(Table3[[#All],[First]],MATCH(Table5[[#This Row],[PID]],Table3[[#All],[PID]],0)))</f>
        <v>Isaac</v>
      </c>
      <c r="F129" s="50" t="str">
        <f>IF($C129="B",INDEX(Batters[[#All],[Last]],MATCH(A129,Batters[[#All],[PID]],0)),INDEX(Table3[[#All],[Last]],MATCH(A129,Table3[[#All],[PID]],0)))</f>
        <v>Jordan</v>
      </c>
      <c r="G129" s="56">
        <f>IF($C129="B",INDEX(Batters[[#All],[Age]],MATCH(Table5[[#This Row],[PID]],Batters[[#All],[PID]],0)),INDEX(Table3[[#All],[Age]],MATCH(Table5[[#This Row],[PID]],Table3[[#All],[PID]],0)))</f>
        <v>18</v>
      </c>
      <c r="H129" s="52" t="str">
        <f>IF($C129="B",INDEX(Batters[[#All],[B]],MATCH(Table5[[#This Row],[PID]],Batters[[#All],[PID]],0)),INDEX(Table3[[#All],[B]],MATCH(Table5[[#This Row],[PID]],Table3[[#All],[PID]],0)))</f>
        <v>R</v>
      </c>
      <c r="I129" s="52" t="str">
        <f>IF($C129="B",INDEX(Batters[[#All],[T]],MATCH(Table5[[#This Row],[PID]],Batters[[#All],[PID]],0)),INDEX(Table3[[#All],[T]],MATCH(Table5[[#This Row],[PID]],Table3[[#All],[PID]],0)))</f>
        <v>R</v>
      </c>
      <c r="J129" s="52" t="str">
        <f>IF($C129="B",INDEX(Batters[[#All],[WE]],MATCH(Table5[[#This Row],[PID]],Batters[[#All],[PID]],0)),INDEX(Table3[[#All],[WE]],MATCH(Table5[[#This Row],[PID]],Table3[[#All],[PID]],0)))</f>
        <v>High</v>
      </c>
      <c r="K129" s="52" t="str">
        <f>IF($C129="B",INDEX(Batters[[#All],[INT]],MATCH(Table5[[#This Row],[PID]],Batters[[#All],[PID]],0)),INDEX(Table3[[#All],[INT]],MATCH(Table5[[#This Row],[PID]],Table3[[#All],[PID]],0)))</f>
        <v>High</v>
      </c>
      <c r="L129" s="60">
        <f>IF($C129="B",INDEX(Batters[[#All],[CON P]],MATCH(Table5[[#This Row],[PID]],Batters[[#All],[PID]],0)),INDEX(Table3[[#All],[STU P]],MATCH(Table5[[#This Row],[PID]],Table3[[#All],[PID]],0)))</f>
        <v>6</v>
      </c>
      <c r="M129" s="56">
        <f>IF($C129="B",INDEX(Batters[[#All],[GAP P]],MATCH(Table5[[#This Row],[PID]],Batters[[#All],[PID]],0)),INDEX(Table3[[#All],[MOV P]],MATCH(Table5[[#This Row],[PID]],Table3[[#All],[PID]],0)))</f>
        <v>5</v>
      </c>
      <c r="N129" s="56">
        <f>IF($C129="B",INDEX(Batters[[#All],[POW P]],MATCH(Table5[[#This Row],[PID]],Batters[[#All],[PID]],0)),INDEX(Table3[[#All],[CON P]],MATCH(Table5[[#This Row],[PID]],Table3[[#All],[PID]],0)))</f>
        <v>3</v>
      </c>
      <c r="O129" s="56" t="str">
        <f>IF($C129="B",INDEX(Batters[[#All],[EYE P]],MATCH(Table5[[#This Row],[PID]],Batters[[#All],[PID]],0)),INDEX(Table3[[#All],[VELO]],MATCH(Table5[[#This Row],[PID]],Table3[[#All],[PID]],0)))</f>
        <v>89-91 Mph</v>
      </c>
      <c r="P129" s="56">
        <f>IF($C129="B",INDEX(Batters[[#All],[K P]],MATCH(Table5[[#This Row],[PID]],Batters[[#All],[PID]],0)),INDEX(Table3[[#All],[STM]],MATCH(Table5[[#This Row],[PID]],Table3[[#All],[PID]],0)))</f>
        <v>9</v>
      </c>
      <c r="Q129" s="61">
        <f>IF($C129="B",INDEX(Batters[[#All],[Tot]],MATCH(Table5[[#This Row],[PID]],Batters[[#All],[PID]],0)),INDEX(Table3[[#All],[Tot]],MATCH(Table5[[#This Row],[PID]],Table3[[#All],[PID]],0)))</f>
        <v>55.853516766756002</v>
      </c>
      <c r="R129" s="52">
        <f>IF($C129="B",INDEX(Batters[[#All],[zScore]],MATCH(Table5[[#This Row],[PID]],Batters[[#All],[PID]],0)),INDEX(Table3[[#All],[zScore]],MATCH(Table5[[#This Row],[PID]],Table3[[#All],[PID]],0)))</f>
        <v>1.3294378366666102</v>
      </c>
      <c r="S129" s="58" t="str">
        <f>IF($C129="B",INDEX(Batters[[#All],[DEM]],MATCH(Table5[[#This Row],[PID]],Batters[[#All],[PID]],0)),INDEX(Table3[[#All],[DEM]],MATCH(Table5[[#This Row],[PID]],Table3[[#All],[PID]],0)))</f>
        <v>$65k</v>
      </c>
      <c r="T129" s="62">
        <f>IF($C129="B",INDEX(Batters[[#All],[Rnk]],MATCH(Table5[[#This Row],[PID]],Batters[[#All],[PID]],0)),INDEX(Table3[[#All],[Rnk]],MATCH(Table5[[#This Row],[PID]],Table3[[#All],[PID]],0)))</f>
        <v>98</v>
      </c>
      <c r="U129" s="68">
        <f>IF($C129="B",VLOOKUP($A129,Bat!$A$4:$BA$1621,47,FALSE),VLOOKUP($A129,Pit!$A$4:$BF$1557,56,FALSE))</f>
        <v>0</v>
      </c>
      <c r="V129" s="50">
        <f>IF($C129="B",VLOOKUP($A129,Bat!$A$4:$BA$1621,48,FALSE),VLOOKUP($A129,Pit!$A$4:$BF$1557,57,FALSE))</f>
        <v>0</v>
      </c>
      <c r="W129" s="50">
        <f>Table5[[#This Row],[posRnk]]+Table5[[#This Row],[zRnk]]+IF($W$3&lt;&gt;Table5[[#This Row],[Type]],50,0)</f>
        <v>301</v>
      </c>
      <c r="X129" s="51">
        <f>RANK(Table5[[#This Row],[zScore]],Table5[[#All],[zScore]])</f>
        <v>153</v>
      </c>
      <c r="Y129" s="50">
        <f>IFERROR(INDEX(DraftResults[[#All],[OVR]],MATCH(Table5[[#This Row],[PID]],DraftResults[[#All],[Player ID]],0)),"")</f>
        <v>125</v>
      </c>
      <c r="Z1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29" s="50">
        <f>IFERROR(INDEX(DraftResults[[#All],[Pick in Round]],MATCH(Table5[[#This Row],[PID]],DraftResults[[#All],[Player ID]],0)),"")</f>
        <v>25</v>
      </c>
      <c r="AB129" s="50" t="str">
        <f>IFERROR(INDEX(DraftResults[[#All],[Team Name]],MATCH(Table5[[#This Row],[PID]],DraftResults[[#All],[Player ID]],0)),"")</f>
        <v>Neo-Tokyo Akira</v>
      </c>
      <c r="AC129" s="50">
        <f>IF(Table5[[#This Row],[Ovr]]="","",IF(Table5[[#This Row],[cmbList]]="","",Table5[[#This Row],[cmbList]]-Table5[[#This Row],[Ovr]]))</f>
        <v>176</v>
      </c>
      <c r="AD129" s="54" t="str">
        <f>IF(ISERROR(VLOOKUP($AB129&amp;"-"&amp;$E129&amp;" "&amp;F129,Bonuses!$B$1:$G$1006,4,FALSE)),"",INT(VLOOKUP($AB129&amp;"-"&amp;$E129&amp;" "&amp;$F129,Bonuses!$B$1:$G$1006,4,FALSE)))</f>
        <v/>
      </c>
      <c r="AE1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4.25 (125) - RP Isaac Jordan</v>
      </c>
    </row>
    <row r="130" spans="1:31" s="50" customFormat="1" x14ac:dyDescent="0.25">
      <c r="A130" s="50">
        <v>20719</v>
      </c>
      <c r="B130" s="55">
        <f>COUNTIF(Table5[PID],A130)</f>
        <v>1</v>
      </c>
      <c r="C130" s="55" t="str">
        <f>IF(COUNTIF(Table3[[#All],[PID]],A130)&gt;0,"P","B")</f>
        <v>B</v>
      </c>
      <c r="D130" s="59" t="str">
        <f>IF($C130="B",INDEX(Batters[[#All],[POS]],MATCH(Table5[[#This Row],[PID]],Batters[[#All],[PID]],0)),INDEX(Table3[[#All],[POS]],MATCH(Table5[[#This Row],[PID]],Table3[[#All],[PID]],0)))</f>
        <v>LF</v>
      </c>
      <c r="E130" s="52" t="str">
        <f>IF($C130="B",INDEX(Batters[[#All],[First]],MATCH(Table5[[#This Row],[PID]],Batters[[#All],[PID]],0)),INDEX(Table3[[#All],[First]],MATCH(Table5[[#This Row],[PID]],Table3[[#All],[PID]],0)))</f>
        <v>Michael</v>
      </c>
      <c r="F130" s="50" t="str">
        <f>IF($C130="B",INDEX(Batters[[#All],[Last]],MATCH(A130,Batters[[#All],[PID]],0)),INDEX(Table3[[#All],[Last]],MATCH(A130,Table3[[#All],[PID]],0)))</f>
        <v>Bailey</v>
      </c>
      <c r="G130" s="56">
        <f>IF($C130="B",INDEX(Batters[[#All],[Age]],MATCH(Table5[[#This Row],[PID]],Batters[[#All],[PID]],0)),INDEX(Table3[[#All],[Age]],MATCH(Table5[[#This Row],[PID]],Table3[[#All],[PID]],0)))</f>
        <v>18</v>
      </c>
      <c r="H130" s="52" t="str">
        <f>IF($C130="B",INDEX(Batters[[#All],[B]],MATCH(Table5[[#This Row],[PID]],Batters[[#All],[PID]],0)),INDEX(Table3[[#All],[B]],MATCH(Table5[[#This Row],[PID]],Table3[[#All],[PID]],0)))</f>
        <v>R</v>
      </c>
      <c r="I130" s="52" t="str">
        <f>IF($C130="B",INDEX(Batters[[#All],[T]],MATCH(Table5[[#This Row],[PID]],Batters[[#All],[PID]],0)),INDEX(Table3[[#All],[T]],MATCH(Table5[[#This Row],[PID]],Table3[[#All],[PID]],0)))</f>
        <v>R</v>
      </c>
      <c r="J130" s="52" t="str">
        <f>IF($C130="B",INDEX(Batters[[#All],[WE]],MATCH(Table5[[#This Row],[PID]],Batters[[#All],[PID]],0)),INDEX(Table3[[#All],[WE]],MATCH(Table5[[#This Row],[PID]],Table3[[#All],[PID]],0)))</f>
        <v>Normal</v>
      </c>
      <c r="K130" s="52" t="str">
        <f>IF($C130="B",INDEX(Batters[[#All],[INT]],MATCH(Table5[[#This Row],[PID]],Batters[[#All],[PID]],0)),INDEX(Table3[[#All],[INT]],MATCH(Table5[[#This Row],[PID]],Table3[[#All],[PID]],0)))</f>
        <v>Normal</v>
      </c>
      <c r="L130" s="60">
        <f>IF($C130="B",INDEX(Batters[[#All],[CON P]],MATCH(Table5[[#This Row],[PID]],Batters[[#All],[PID]],0)),INDEX(Table3[[#All],[STU P]],MATCH(Table5[[#This Row],[PID]],Table3[[#All],[PID]],0)))</f>
        <v>3</v>
      </c>
      <c r="M130" s="56">
        <f>IF($C130="B",INDEX(Batters[[#All],[GAP P]],MATCH(Table5[[#This Row],[PID]],Batters[[#All],[PID]],0)),INDEX(Table3[[#All],[MOV P]],MATCH(Table5[[#This Row],[PID]],Table3[[#All],[PID]],0)))</f>
        <v>7</v>
      </c>
      <c r="N130" s="56">
        <f>IF($C130="B",INDEX(Batters[[#All],[POW P]],MATCH(Table5[[#This Row],[PID]],Batters[[#All],[PID]],0)),INDEX(Table3[[#All],[CON P]],MATCH(Table5[[#This Row],[PID]],Table3[[#All],[PID]],0)))</f>
        <v>7</v>
      </c>
      <c r="O130" s="56">
        <f>IF($C130="B",INDEX(Batters[[#All],[EYE P]],MATCH(Table5[[#This Row],[PID]],Batters[[#All],[PID]],0)),INDEX(Table3[[#All],[VELO]],MATCH(Table5[[#This Row],[PID]],Table3[[#All],[PID]],0)))</f>
        <v>7</v>
      </c>
      <c r="P130" s="56">
        <f>IF($C130="B",INDEX(Batters[[#All],[K P]],MATCH(Table5[[#This Row],[PID]],Batters[[#All],[PID]],0)),INDEX(Table3[[#All],[STM]],MATCH(Table5[[#This Row],[PID]],Table3[[#All],[PID]],0)))</f>
        <v>1</v>
      </c>
      <c r="Q130" s="61">
        <f>IF($C130="B",INDEX(Batters[[#All],[Tot]],MATCH(Table5[[#This Row],[PID]],Batters[[#All],[PID]],0)),INDEX(Table3[[#All],[Tot]],MATCH(Table5[[#This Row],[PID]],Table3[[#All],[PID]],0)))</f>
        <v>48.681378223638404</v>
      </c>
      <c r="R130" s="52">
        <f>IF($C130="B",INDEX(Batters[[#All],[zScore]],MATCH(Table5[[#This Row],[PID]],Batters[[#All],[PID]],0)),INDEX(Table3[[#All],[zScore]],MATCH(Table5[[#This Row],[PID]],Table3[[#All],[PID]],0)))</f>
        <v>1.0086412672447198</v>
      </c>
      <c r="S130" s="58" t="str">
        <f>IF($C130="B",INDEX(Batters[[#All],[DEM]],MATCH(Table5[[#This Row],[PID]],Batters[[#All],[PID]],0)),INDEX(Table3[[#All],[DEM]],MATCH(Table5[[#This Row],[PID]],Table3[[#All],[PID]],0)))</f>
        <v>$350k</v>
      </c>
      <c r="T130" s="62">
        <f>IF($C130="B",INDEX(Batters[[#All],[Rnk]],MATCH(Table5[[#This Row],[PID]],Batters[[#All],[PID]],0)),INDEX(Table3[[#All],[Rnk]],MATCH(Table5[[#This Row],[PID]],Table3[[#All],[PID]],0)))</f>
        <v>90</v>
      </c>
      <c r="U130" s="68">
        <f>IF($C130="B",VLOOKUP($A130,Bat!$A$4:$BA$1621,47,FALSE),VLOOKUP($A130,Pit!$A$4:$BF$1557,56,FALSE))</f>
        <v>0</v>
      </c>
      <c r="V130" s="50">
        <f>IF($C130="B",VLOOKUP($A130,Bat!$A$4:$BA$1621,48,FALSE),VLOOKUP($A130,Pit!$A$4:$BF$1557,57,FALSE))</f>
        <v>0</v>
      </c>
      <c r="W130" s="50">
        <f>Table5[[#This Row],[posRnk]]+Table5[[#This Row],[zRnk]]+IF($W$3&lt;&gt;Table5[[#This Row],[Type]],50,0)</f>
        <v>366</v>
      </c>
      <c r="X130" s="51">
        <f>RANK(Table5[[#This Row],[zScore]],Table5[[#All],[zScore]])</f>
        <v>226</v>
      </c>
      <c r="Y130" s="50">
        <f>IFERROR(INDEX(DraftResults[[#All],[OVR]],MATCH(Table5[[#This Row],[PID]],DraftResults[[#All],[Player ID]],0)),"")</f>
        <v>126</v>
      </c>
      <c r="Z1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0" s="50">
        <f>IFERROR(INDEX(DraftResults[[#All],[Pick in Round]],MATCH(Table5[[#This Row],[PID]],DraftResults[[#All],[Player ID]],0)),"")</f>
        <v>26</v>
      </c>
      <c r="AB130" s="50" t="str">
        <f>IFERROR(INDEX(DraftResults[[#All],[Team Name]],MATCH(Table5[[#This Row],[PID]],DraftResults[[#All],[Player ID]],0)),"")</f>
        <v>San Juan Coqui</v>
      </c>
      <c r="AC130" s="50">
        <f>IF(Table5[[#This Row],[Ovr]]="","",IF(Table5[[#This Row],[cmbList]]="","",Table5[[#This Row],[cmbList]]-Table5[[#This Row],[Ovr]]))</f>
        <v>240</v>
      </c>
      <c r="AD130" s="54" t="str">
        <f>IF(ISERROR(VLOOKUP($AB130&amp;"-"&amp;$E130&amp;" "&amp;F130,Bonuses!$B$1:$G$1006,4,FALSE)),"",INT(VLOOKUP($AB130&amp;"-"&amp;$E130&amp;" "&amp;$F130,Bonuses!$B$1:$G$1006,4,FALSE)))</f>
        <v/>
      </c>
      <c r="AE1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4.26 (126) - LF Michael Bailey</v>
      </c>
    </row>
    <row r="131" spans="1:31" s="50" customFormat="1" x14ac:dyDescent="0.25">
      <c r="A131" s="50">
        <v>18310</v>
      </c>
      <c r="B131" s="50">
        <f>COUNTIF(Table5[PID],A131)</f>
        <v>1</v>
      </c>
      <c r="C131" s="50" t="str">
        <f>IF(COUNTIF(Table3[[#All],[PID]],A131)&gt;0,"P","B")</f>
        <v>B</v>
      </c>
      <c r="D131" s="59" t="str">
        <f>IF($C131="B",INDEX(Batters[[#All],[POS]],MATCH(Table5[[#This Row],[PID]],Batters[[#All],[PID]],0)),INDEX(Table3[[#All],[POS]],MATCH(Table5[[#This Row],[PID]],Table3[[#All],[PID]],0)))</f>
        <v>RF</v>
      </c>
      <c r="E131" s="52" t="str">
        <f>IF($C131="B",INDEX(Batters[[#All],[First]],MATCH(Table5[[#This Row],[PID]],Batters[[#All],[PID]],0)),INDEX(Table3[[#All],[First]],MATCH(Table5[[#This Row],[PID]],Table3[[#All],[PID]],0)))</f>
        <v>Tokimune</v>
      </c>
      <c r="F131" s="50" t="str">
        <f>IF($C131="B",INDEX(Batters[[#All],[Last]],MATCH(A131,Batters[[#All],[PID]],0)),INDEX(Table3[[#All],[Last]],MATCH(A131,Table3[[#All],[PID]],0)))</f>
        <v>Nakada</v>
      </c>
      <c r="G131" s="56">
        <f>IF($C131="B",INDEX(Batters[[#All],[Age]],MATCH(Table5[[#This Row],[PID]],Batters[[#All],[PID]],0)),INDEX(Table3[[#All],[Age]],MATCH(Table5[[#This Row],[PID]],Table3[[#All],[PID]],0)))</f>
        <v>21</v>
      </c>
      <c r="H131" s="52" t="str">
        <f>IF($C131="B",INDEX(Batters[[#All],[B]],MATCH(Table5[[#This Row],[PID]],Batters[[#All],[PID]],0)),INDEX(Table3[[#All],[B]],MATCH(Table5[[#This Row],[PID]],Table3[[#All],[PID]],0)))</f>
        <v>L</v>
      </c>
      <c r="I131" s="52" t="str">
        <f>IF($C131="B",INDEX(Batters[[#All],[T]],MATCH(Table5[[#This Row],[PID]],Batters[[#All],[PID]],0)),INDEX(Table3[[#All],[T]],MATCH(Table5[[#This Row],[PID]],Table3[[#All],[PID]],0)))</f>
        <v>L</v>
      </c>
      <c r="J131" s="52" t="str">
        <f>IF($C131="B",INDEX(Batters[[#All],[WE]],MATCH(Table5[[#This Row],[PID]],Batters[[#All],[PID]],0)),INDEX(Table3[[#All],[WE]],MATCH(Table5[[#This Row],[PID]],Table3[[#All],[PID]],0)))</f>
        <v>Low</v>
      </c>
      <c r="K131" s="52" t="str">
        <f>IF($C131="B",INDEX(Batters[[#All],[INT]],MATCH(Table5[[#This Row],[PID]],Batters[[#All],[PID]],0)),INDEX(Table3[[#All],[INT]],MATCH(Table5[[#This Row],[PID]],Table3[[#All],[PID]],0)))</f>
        <v>Normal</v>
      </c>
      <c r="L131" s="60">
        <f>IF($C131="B",INDEX(Batters[[#All],[CON P]],MATCH(Table5[[#This Row],[PID]],Batters[[#All],[PID]],0)),INDEX(Table3[[#All],[STU P]],MATCH(Table5[[#This Row],[PID]],Table3[[#All],[PID]],0)))</f>
        <v>4</v>
      </c>
      <c r="M131" s="56">
        <f>IF($C131="B",INDEX(Batters[[#All],[GAP P]],MATCH(Table5[[#This Row],[PID]],Batters[[#All],[PID]],0)),INDEX(Table3[[#All],[MOV P]],MATCH(Table5[[#This Row],[PID]],Table3[[#All],[PID]],0)))</f>
        <v>7</v>
      </c>
      <c r="N131" s="56">
        <f>IF($C131="B",INDEX(Batters[[#All],[POW P]],MATCH(Table5[[#This Row],[PID]],Batters[[#All],[PID]],0)),INDEX(Table3[[#All],[CON P]],MATCH(Table5[[#This Row],[PID]],Table3[[#All],[PID]],0)))</f>
        <v>7</v>
      </c>
      <c r="O131" s="56">
        <f>IF($C131="B",INDEX(Batters[[#All],[EYE P]],MATCH(Table5[[#This Row],[PID]],Batters[[#All],[PID]],0)),INDEX(Table3[[#All],[VELO]],MATCH(Table5[[#This Row],[PID]],Table3[[#All],[PID]],0)))</f>
        <v>4</v>
      </c>
      <c r="P131" s="56">
        <f>IF($C131="B",INDEX(Batters[[#All],[K P]],MATCH(Table5[[#This Row],[PID]],Batters[[#All],[PID]],0)),INDEX(Table3[[#All],[STM]],MATCH(Table5[[#This Row],[PID]],Table3[[#All],[PID]],0)))</f>
        <v>3</v>
      </c>
      <c r="Q131" s="61">
        <f>IF($C131="B",INDEX(Batters[[#All],[Tot]],MATCH(Table5[[#This Row],[PID]],Batters[[#All],[PID]],0)),INDEX(Table3[[#All],[Tot]],MATCH(Table5[[#This Row],[PID]],Table3[[#All],[PID]],0)))</f>
        <v>45.07933804326651</v>
      </c>
      <c r="R131" s="52">
        <f>IF($C131="B",INDEX(Batters[[#All],[zScore]],MATCH(Table5[[#This Row],[PID]],Batters[[#All],[PID]],0)),INDEX(Table3[[#All],[zScore]],MATCH(Table5[[#This Row],[PID]],Table3[[#All],[PID]],0)))</f>
        <v>0.21004461172428007</v>
      </c>
      <c r="S131" s="58" t="str">
        <f>IF($C131="B",INDEX(Batters[[#All],[DEM]],MATCH(Table5[[#This Row],[PID]],Batters[[#All],[PID]],0)),INDEX(Table3[[#All],[DEM]],MATCH(Table5[[#This Row],[PID]],Table3[[#All],[PID]],0)))</f>
        <v>-</v>
      </c>
      <c r="T131" s="62">
        <f>IF($C131="B",INDEX(Batters[[#All],[Rnk]],MATCH(Table5[[#This Row],[PID]],Batters[[#All],[PID]],0)),INDEX(Table3[[#All],[Rnk]],MATCH(Table5[[#This Row],[PID]],Table3[[#All],[PID]],0)))</f>
        <v>200</v>
      </c>
      <c r="U131" s="68">
        <f>IF($C131="B",VLOOKUP($A131,Bat!$A$4:$BA$1621,47,FALSE),VLOOKUP($A131,Pit!$A$4:$BF$1557,56,FALSE))</f>
        <v>0</v>
      </c>
      <c r="V131" s="50">
        <f>IF($C131="B",VLOOKUP($A131,Bat!$A$4:$BA$1621,48,FALSE),VLOOKUP($A131,Pit!$A$4:$BF$1557,57,FALSE))</f>
        <v>0</v>
      </c>
      <c r="W131" s="50">
        <f>Table5[[#This Row],[posRnk]]+Table5[[#This Row],[zRnk]]+IF($W$3&lt;&gt;Table5[[#This Row],[Type]],50,0)</f>
        <v>711</v>
      </c>
      <c r="X131" s="51">
        <f>RANK(Table5[[#This Row],[zScore]],Table5[[#All],[zScore]])</f>
        <v>461</v>
      </c>
      <c r="Y131" s="50">
        <f>IFERROR(INDEX(DraftResults[[#All],[OVR]],MATCH(Table5[[#This Row],[PID]],DraftResults[[#All],[Player ID]],0)),"")</f>
        <v>127</v>
      </c>
      <c r="Z1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1" s="50">
        <f>IFERROR(INDEX(DraftResults[[#All],[Pick in Round]],MATCH(Table5[[#This Row],[PID]],DraftResults[[#All],[Player ID]],0)),"")</f>
        <v>27</v>
      </c>
      <c r="AB131" s="50" t="str">
        <f>IFERROR(INDEX(DraftResults[[#All],[Team Name]],MATCH(Table5[[#This Row],[PID]],DraftResults[[#All],[Player ID]],0)),"")</f>
        <v>Havana Leones</v>
      </c>
      <c r="AC131" s="50">
        <f>IF(Table5[[#This Row],[Ovr]]="","",IF(Table5[[#This Row],[cmbList]]="","",Table5[[#This Row],[cmbList]]-Table5[[#This Row],[Ovr]]))</f>
        <v>584</v>
      </c>
      <c r="AD131" s="54" t="str">
        <f>IF(ISERROR(VLOOKUP($AB131&amp;"-"&amp;$E131&amp;" "&amp;F131,Bonuses!$B$1:$G$1006,4,FALSE)),"",INT(VLOOKUP($AB131&amp;"-"&amp;$E131&amp;" "&amp;$F131,Bonuses!$B$1:$G$1006,4,FALSE)))</f>
        <v/>
      </c>
      <c r="AE1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4.27 (127) - RF Tokimune Nakada</v>
      </c>
    </row>
    <row r="132" spans="1:31" s="50" customFormat="1" x14ac:dyDescent="0.25">
      <c r="A132" s="50">
        <v>18326</v>
      </c>
      <c r="B132" s="50">
        <f>COUNTIF(Table5[PID],A132)</f>
        <v>1</v>
      </c>
      <c r="C132" s="50" t="str">
        <f>IF(COUNTIF(Table3[[#All],[PID]],A132)&gt;0,"P","B")</f>
        <v>B</v>
      </c>
      <c r="D132" s="59" t="str">
        <f>IF($C132="B",INDEX(Batters[[#All],[POS]],MATCH(Table5[[#This Row],[PID]],Batters[[#All],[PID]],0)),INDEX(Table3[[#All],[POS]],MATCH(Table5[[#This Row],[PID]],Table3[[#All],[PID]],0)))</f>
        <v>SS</v>
      </c>
      <c r="E132" s="52" t="str">
        <f>IF($C132="B",INDEX(Batters[[#All],[First]],MATCH(Table5[[#This Row],[PID]],Batters[[#All],[PID]],0)),INDEX(Table3[[#All],[First]],MATCH(Table5[[#This Row],[PID]],Table3[[#All],[PID]],0)))</f>
        <v>Kazuma</v>
      </c>
      <c r="F132" s="50" t="str">
        <f>IF($C132="B",INDEX(Batters[[#All],[Last]],MATCH(A132,Batters[[#All],[PID]],0)),INDEX(Table3[[#All],[Last]],MATCH(A132,Table3[[#All],[PID]],0)))</f>
        <v>Nii</v>
      </c>
      <c r="G132" s="56">
        <f>IF($C132="B",INDEX(Batters[[#All],[Age]],MATCH(Table5[[#This Row],[PID]],Batters[[#All],[PID]],0)),INDEX(Table3[[#All],[Age]],MATCH(Table5[[#This Row],[PID]],Table3[[#All],[PID]],0)))</f>
        <v>21</v>
      </c>
      <c r="H132" s="52" t="str">
        <f>IF($C132="B",INDEX(Batters[[#All],[B]],MATCH(Table5[[#This Row],[PID]],Batters[[#All],[PID]],0)),INDEX(Table3[[#All],[B]],MATCH(Table5[[#This Row],[PID]],Table3[[#All],[PID]],0)))</f>
        <v>R</v>
      </c>
      <c r="I132" s="52" t="str">
        <f>IF($C132="B",INDEX(Batters[[#All],[T]],MATCH(Table5[[#This Row],[PID]],Batters[[#All],[PID]],0)),INDEX(Table3[[#All],[T]],MATCH(Table5[[#This Row],[PID]],Table3[[#All],[PID]],0)))</f>
        <v>R</v>
      </c>
      <c r="J132" s="52" t="str">
        <f>IF($C132="B",INDEX(Batters[[#All],[WE]],MATCH(Table5[[#This Row],[PID]],Batters[[#All],[PID]],0)),INDEX(Table3[[#All],[WE]],MATCH(Table5[[#This Row],[PID]],Table3[[#All],[PID]],0)))</f>
        <v>Low</v>
      </c>
      <c r="K132" s="52" t="str">
        <f>IF($C132="B",INDEX(Batters[[#All],[INT]],MATCH(Table5[[#This Row],[PID]],Batters[[#All],[PID]],0)),INDEX(Table3[[#All],[INT]],MATCH(Table5[[#This Row],[PID]],Table3[[#All],[PID]],0)))</f>
        <v>Normal</v>
      </c>
      <c r="L132" s="60">
        <f>IF($C132="B",INDEX(Batters[[#All],[CON P]],MATCH(Table5[[#This Row],[PID]],Batters[[#All],[PID]],0)),INDEX(Table3[[#All],[STU P]],MATCH(Table5[[#This Row],[PID]],Table3[[#All],[PID]],0)))</f>
        <v>5</v>
      </c>
      <c r="M132" s="56">
        <f>IF($C132="B",INDEX(Batters[[#All],[GAP P]],MATCH(Table5[[#This Row],[PID]],Batters[[#All],[PID]],0)),INDEX(Table3[[#All],[MOV P]],MATCH(Table5[[#This Row],[PID]],Table3[[#All],[PID]],0)))</f>
        <v>6</v>
      </c>
      <c r="N132" s="56">
        <f>IF($C132="B",INDEX(Batters[[#All],[POW P]],MATCH(Table5[[#This Row],[PID]],Batters[[#All],[PID]],0)),INDEX(Table3[[#All],[CON P]],MATCH(Table5[[#This Row],[PID]],Table3[[#All],[PID]],0)))</f>
        <v>2</v>
      </c>
      <c r="O132" s="56">
        <f>IF($C132="B",INDEX(Batters[[#All],[EYE P]],MATCH(Table5[[#This Row],[PID]],Batters[[#All],[PID]],0)),INDEX(Table3[[#All],[VELO]],MATCH(Table5[[#This Row],[PID]],Table3[[#All],[PID]],0)))</f>
        <v>4</v>
      </c>
      <c r="P132" s="56">
        <f>IF($C132="B",INDEX(Batters[[#All],[K P]],MATCH(Table5[[#This Row],[PID]],Batters[[#All],[PID]],0)),INDEX(Table3[[#All],[STM]],MATCH(Table5[[#This Row],[PID]],Table3[[#All],[PID]],0)))</f>
        <v>7</v>
      </c>
      <c r="Q132" s="61">
        <f>IF($C132="B",INDEX(Batters[[#All],[Tot]],MATCH(Table5[[#This Row],[PID]],Batters[[#All],[PID]],0)),INDEX(Table3[[#All],[Tot]],MATCH(Table5[[#This Row],[PID]],Table3[[#All],[PID]],0)))</f>
        <v>46.110366291817869</v>
      </c>
      <c r="R132" s="52">
        <f>IF($C132="B",INDEX(Batters[[#All],[zScore]],MATCH(Table5[[#This Row],[PID]],Batters[[#All],[PID]],0)),INDEX(Table3[[#All],[zScore]],MATCH(Table5[[#This Row],[PID]],Table3[[#All],[PID]],0)))</f>
        <v>0.43863054353229269</v>
      </c>
      <c r="S132" s="58" t="str">
        <f>IF($C132="B",INDEX(Batters[[#All],[DEM]],MATCH(Table5[[#This Row],[PID]],Batters[[#All],[PID]],0)),INDEX(Table3[[#All],[DEM]],MATCH(Table5[[#This Row],[PID]],Table3[[#All],[PID]],0)))</f>
        <v>$20k</v>
      </c>
      <c r="T132" s="62">
        <f>IF($C132="B",INDEX(Batters[[#All],[Rnk]],MATCH(Table5[[#This Row],[PID]],Batters[[#All],[PID]],0)),INDEX(Table3[[#All],[Rnk]],MATCH(Table5[[#This Row],[PID]],Table3[[#All],[PID]],0)))</f>
        <v>160</v>
      </c>
      <c r="U132" s="68">
        <f>IF($C132="B",VLOOKUP($A132,Bat!$A$4:$BA$1621,47,FALSE),VLOOKUP($A132,Pit!$A$4:$BF$1557,56,FALSE))</f>
        <v>0</v>
      </c>
      <c r="V132" s="50">
        <f>IF($C132="B",VLOOKUP($A132,Bat!$A$4:$BA$1621,48,FALSE),VLOOKUP($A132,Pit!$A$4:$BF$1557,57,FALSE))</f>
        <v>0</v>
      </c>
      <c r="W132" s="50">
        <f>Table5[[#This Row],[posRnk]]+Table5[[#This Row],[zRnk]]+IF($W$3&lt;&gt;Table5[[#This Row],[Type]],50,0)</f>
        <v>595</v>
      </c>
      <c r="X132" s="51">
        <f>RANK(Table5[[#This Row],[zScore]],Table5[[#All],[zScore]])</f>
        <v>385</v>
      </c>
      <c r="Y132" s="50">
        <f>IFERROR(INDEX(DraftResults[[#All],[OVR]],MATCH(Table5[[#This Row],[PID]],DraftResults[[#All],[Player ID]],0)),"")</f>
        <v>128</v>
      </c>
      <c r="Z1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4</v>
      </c>
      <c r="AA132" s="50">
        <f>IFERROR(INDEX(DraftResults[[#All],[Pick in Round]],MATCH(Table5[[#This Row],[PID]],DraftResults[[#All],[Player ID]],0)),"")</f>
        <v>28</v>
      </c>
      <c r="AB132" s="50" t="str">
        <f>IFERROR(INDEX(DraftResults[[#All],[Team Name]],MATCH(Table5[[#This Row],[PID]],DraftResults[[#All],[Player ID]],0)),"")</f>
        <v>Florida Farstriders</v>
      </c>
      <c r="AC132" s="50">
        <f>IF(Table5[[#This Row],[Ovr]]="","",IF(Table5[[#This Row],[cmbList]]="","",Table5[[#This Row],[cmbList]]-Table5[[#This Row],[Ovr]]))</f>
        <v>467</v>
      </c>
      <c r="AD132" s="54" t="str">
        <f>IF(ISERROR(VLOOKUP($AB132&amp;"-"&amp;$E132&amp;" "&amp;F132,Bonuses!$B$1:$G$1006,4,FALSE)),"",INT(VLOOKUP($AB132&amp;"-"&amp;$E132&amp;" "&amp;$F132,Bonuses!$B$1:$G$1006,4,FALSE)))</f>
        <v/>
      </c>
      <c r="AE1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4.28 (128) - SS Kazuma Nii</v>
      </c>
    </row>
    <row r="133" spans="1:31" s="50" customFormat="1" x14ac:dyDescent="0.25">
      <c r="A133" s="50">
        <v>18321</v>
      </c>
      <c r="B133" s="50">
        <f>COUNTIF(Table5[PID],A133)</f>
        <v>1</v>
      </c>
      <c r="C133" s="50" t="str">
        <f>IF(COUNTIF(Table3[[#All],[PID]],A133)&gt;0,"P","B")</f>
        <v>B</v>
      </c>
      <c r="D133" s="59" t="str">
        <f>IF($C133="B",INDEX(Batters[[#All],[POS]],MATCH(Table5[[#This Row],[PID]],Batters[[#All],[PID]],0)),INDEX(Table3[[#All],[POS]],MATCH(Table5[[#This Row],[PID]],Table3[[#All],[PID]],0)))</f>
        <v>1B</v>
      </c>
      <c r="E133" s="52" t="str">
        <f>IF($C133="B",INDEX(Batters[[#All],[First]],MATCH(Table5[[#This Row],[PID]],Batters[[#All],[PID]],0)),INDEX(Table3[[#All],[First]],MATCH(Table5[[#This Row],[PID]],Table3[[#All],[PID]],0)))</f>
        <v>Lane</v>
      </c>
      <c r="F133" s="50" t="str">
        <f>IF($C133="B",INDEX(Batters[[#All],[Last]],MATCH(A133,Batters[[#All],[PID]],0)),INDEX(Table3[[#All],[Last]],MATCH(A133,Table3[[#All],[PID]],0)))</f>
        <v>Woodroffe</v>
      </c>
      <c r="G133" s="56">
        <f>IF($C133="B",INDEX(Batters[[#All],[Age]],MATCH(Table5[[#This Row],[PID]],Batters[[#All],[PID]],0)),INDEX(Table3[[#All],[Age]],MATCH(Table5[[#This Row],[PID]],Table3[[#All],[PID]],0)))</f>
        <v>21</v>
      </c>
      <c r="H133" s="52" t="str">
        <f>IF($C133="B",INDEX(Batters[[#All],[B]],MATCH(Table5[[#This Row],[PID]],Batters[[#All],[PID]],0)),INDEX(Table3[[#All],[B]],MATCH(Table5[[#This Row],[PID]],Table3[[#All],[PID]],0)))</f>
        <v>L</v>
      </c>
      <c r="I133" s="52" t="str">
        <f>IF($C133="B",INDEX(Batters[[#All],[T]],MATCH(Table5[[#This Row],[PID]],Batters[[#All],[PID]],0)),INDEX(Table3[[#All],[T]],MATCH(Table5[[#This Row],[PID]],Table3[[#All],[PID]],0)))</f>
        <v>L</v>
      </c>
      <c r="J133" s="52" t="str">
        <f>IF($C133="B",INDEX(Batters[[#All],[WE]],MATCH(Table5[[#This Row],[PID]],Batters[[#All],[PID]],0)),INDEX(Table3[[#All],[WE]],MATCH(Table5[[#This Row],[PID]],Table3[[#All],[PID]],0)))</f>
        <v>Low</v>
      </c>
      <c r="K133" s="52" t="str">
        <f>IF($C133="B",INDEX(Batters[[#All],[INT]],MATCH(Table5[[#This Row],[PID]],Batters[[#All],[PID]],0)),INDEX(Table3[[#All],[INT]],MATCH(Table5[[#This Row],[PID]],Table3[[#All],[PID]],0)))</f>
        <v>Normal</v>
      </c>
      <c r="L133" s="60">
        <f>IF($C133="B",INDEX(Batters[[#All],[CON P]],MATCH(Table5[[#This Row],[PID]],Batters[[#All],[PID]],0)),INDEX(Table3[[#All],[STU P]],MATCH(Table5[[#This Row],[PID]],Table3[[#All],[PID]],0)))</f>
        <v>5</v>
      </c>
      <c r="M133" s="56">
        <f>IF($C133="B",INDEX(Batters[[#All],[GAP P]],MATCH(Table5[[#This Row],[PID]],Batters[[#All],[PID]],0)),INDEX(Table3[[#All],[MOV P]],MATCH(Table5[[#This Row],[PID]],Table3[[#All],[PID]],0)))</f>
        <v>5</v>
      </c>
      <c r="N133" s="56">
        <f>IF($C133="B",INDEX(Batters[[#All],[POW P]],MATCH(Table5[[#This Row],[PID]],Batters[[#All],[PID]],0)),INDEX(Table3[[#All],[CON P]],MATCH(Table5[[#This Row],[PID]],Table3[[#All],[PID]],0)))</f>
        <v>6</v>
      </c>
      <c r="O133" s="56">
        <f>IF($C133="B",INDEX(Batters[[#All],[EYE P]],MATCH(Table5[[#This Row],[PID]],Batters[[#All],[PID]],0)),INDEX(Table3[[#All],[VELO]],MATCH(Table5[[#This Row],[PID]],Table3[[#All],[PID]],0)))</f>
        <v>6</v>
      </c>
      <c r="P133" s="56">
        <f>IF($C133="B",INDEX(Batters[[#All],[K P]],MATCH(Table5[[#This Row],[PID]],Batters[[#All],[PID]],0)),INDEX(Table3[[#All],[STM]],MATCH(Table5[[#This Row],[PID]],Table3[[#All],[PID]],0)))</f>
        <v>5</v>
      </c>
      <c r="Q133" s="61">
        <f>IF($C133="B",INDEX(Batters[[#All],[Tot]],MATCH(Table5[[#This Row],[PID]],Batters[[#All],[PID]],0)),INDEX(Table3[[#All],[Tot]],MATCH(Table5[[#This Row],[PID]],Table3[[#All],[PID]],0)))</f>
        <v>50.015348113708725</v>
      </c>
      <c r="R133" s="52">
        <f>IF($C133="B",INDEX(Batters[[#All],[zScore]],MATCH(Table5[[#This Row],[PID]],Batters[[#All],[PID]],0)),INDEX(Table3[[#All],[zScore]],MATCH(Table5[[#This Row],[PID]],Table3[[#All],[PID]],0)))</f>
        <v>1.304391408672942</v>
      </c>
      <c r="S133" s="58" t="str">
        <f>IF($C133="B",INDEX(Batters[[#All],[DEM]],MATCH(Table5[[#This Row],[PID]],Batters[[#All],[PID]],0)),INDEX(Table3[[#All],[DEM]],MATCH(Table5[[#This Row],[PID]],Table3[[#All],[PID]],0)))</f>
        <v>$29k</v>
      </c>
      <c r="T133" s="62">
        <f>IF($C133="B",INDEX(Batters[[#All],[Rnk]],MATCH(Table5[[#This Row],[PID]],Batters[[#All],[PID]],0)),INDEX(Table3[[#All],[Rnk]],MATCH(Table5[[#This Row],[PID]],Table3[[#All],[PID]],0)))</f>
        <v>58</v>
      </c>
      <c r="U133" s="68">
        <f>IF($C133="B",VLOOKUP($A133,Bat!$A$4:$BA$1621,47,FALSE),VLOOKUP($A133,Pit!$A$4:$BF$1557,56,FALSE))</f>
        <v>0</v>
      </c>
      <c r="V133" s="50">
        <f>IF($C133="B",VLOOKUP($A133,Bat!$A$4:$BA$1621,48,FALSE),VLOOKUP($A133,Pit!$A$4:$BF$1557,57,FALSE))</f>
        <v>0</v>
      </c>
      <c r="W133" s="50">
        <f>Table5[[#This Row],[posRnk]]+Table5[[#This Row],[zRnk]]+IF($W$3&lt;&gt;Table5[[#This Row],[Type]],50,0)</f>
        <v>268</v>
      </c>
      <c r="X133" s="51">
        <f>RANK(Table5[[#This Row],[zScore]],Table5[[#All],[zScore]])</f>
        <v>160</v>
      </c>
      <c r="Y133" s="50">
        <f>IFERROR(INDEX(DraftResults[[#All],[OVR]],MATCH(Table5[[#This Row],[PID]],DraftResults[[#All],[Player ID]],0)),"")</f>
        <v>129</v>
      </c>
      <c r="Z1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3" s="50">
        <f>IFERROR(INDEX(DraftResults[[#All],[Pick in Round]],MATCH(Table5[[#This Row],[PID]],DraftResults[[#All],[Player ID]],0)),"")</f>
        <v>1</v>
      </c>
      <c r="AB133" s="50" t="str">
        <f>IFERROR(INDEX(DraftResults[[#All],[Team Name]],MATCH(Table5[[#This Row],[PID]],DraftResults[[#All],[Player ID]],0)),"")</f>
        <v>Yuma Arroyos</v>
      </c>
      <c r="AC133" s="50">
        <f>IF(Table5[[#This Row],[Ovr]]="","",IF(Table5[[#This Row],[cmbList]]="","",Table5[[#This Row],[cmbList]]-Table5[[#This Row],[Ovr]]))</f>
        <v>139</v>
      </c>
      <c r="AD133" s="54" t="str">
        <f>IF(ISERROR(VLOOKUP($AB133&amp;"-"&amp;$E133&amp;" "&amp;F133,Bonuses!$B$1:$G$1006,4,FALSE)),"",INT(VLOOKUP($AB133&amp;"-"&amp;$E133&amp;" "&amp;$F133,Bonuses!$B$1:$G$1006,4,FALSE)))</f>
        <v/>
      </c>
      <c r="AE1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 (129) - 1B Lane Woodroffe</v>
      </c>
    </row>
    <row r="134" spans="1:31" s="50" customFormat="1" x14ac:dyDescent="0.25">
      <c r="A134" s="68">
        <v>20400</v>
      </c>
      <c r="B134" s="69">
        <f>COUNTIF(Table5[PID],A134)</f>
        <v>1</v>
      </c>
      <c r="C134" s="69" t="str">
        <f>IF(COUNTIF(Table3[[#All],[PID]],A134)&gt;0,"P","B")</f>
        <v>P</v>
      </c>
      <c r="D134" s="59" t="str">
        <f>IF($C134="B",INDEX(Batters[[#All],[POS]],MATCH(Table5[[#This Row],[PID]],Batters[[#All],[PID]],0)),INDEX(Table3[[#All],[POS]],MATCH(Table5[[#This Row],[PID]],Table3[[#All],[PID]],0)))</f>
        <v>SP</v>
      </c>
      <c r="E134" s="52" t="str">
        <f>IF($C134="B",INDEX(Batters[[#All],[First]],MATCH(Table5[[#This Row],[PID]],Batters[[#All],[PID]],0)),INDEX(Table3[[#All],[First]],MATCH(Table5[[#This Row],[PID]],Table3[[#All],[PID]],0)))</f>
        <v>Brock</v>
      </c>
      <c r="F134" s="55" t="str">
        <f>IF($C134="B",INDEX(Batters[[#All],[Last]],MATCH(A134,Batters[[#All],[PID]],0)),INDEX(Table3[[#All],[Last]],MATCH(A134,Table3[[#All],[PID]],0)))</f>
        <v>Southey</v>
      </c>
      <c r="G134" s="56">
        <f>IF($C134="B",INDEX(Batters[[#All],[Age]],MATCH(Table5[[#This Row],[PID]],Batters[[#All],[PID]],0)),INDEX(Table3[[#All],[Age]],MATCH(Table5[[#This Row],[PID]],Table3[[#All],[PID]],0)))</f>
        <v>17</v>
      </c>
      <c r="H134" s="52" t="str">
        <f>IF($C134="B",INDEX(Batters[[#All],[B]],MATCH(Table5[[#This Row],[PID]],Batters[[#All],[PID]],0)),INDEX(Table3[[#All],[B]],MATCH(Table5[[#This Row],[PID]],Table3[[#All],[PID]],0)))</f>
        <v>R</v>
      </c>
      <c r="I134" s="52" t="str">
        <f>IF($C134="B",INDEX(Batters[[#All],[T]],MATCH(Table5[[#This Row],[PID]],Batters[[#All],[PID]],0)),INDEX(Table3[[#All],[T]],MATCH(Table5[[#This Row],[PID]],Table3[[#All],[PID]],0)))</f>
        <v>R</v>
      </c>
      <c r="J134" s="71" t="str">
        <f>IF($C134="B",INDEX(Batters[[#All],[WE]],MATCH(Table5[[#This Row],[PID]],Batters[[#All],[PID]],0)),INDEX(Table3[[#All],[WE]],MATCH(Table5[[#This Row],[PID]],Table3[[#All],[PID]],0)))</f>
        <v>Normal</v>
      </c>
      <c r="K134" s="52" t="str">
        <f>IF($C134="B",INDEX(Batters[[#All],[INT]],MATCH(Table5[[#This Row],[PID]],Batters[[#All],[PID]],0)),INDEX(Table3[[#All],[INT]],MATCH(Table5[[#This Row],[PID]],Table3[[#All],[PID]],0)))</f>
        <v>Normal</v>
      </c>
      <c r="L134" s="60">
        <f>IF($C134="B",INDEX(Batters[[#All],[CON P]],MATCH(Table5[[#This Row],[PID]],Batters[[#All],[PID]],0)),INDEX(Table3[[#All],[STU P]],MATCH(Table5[[#This Row],[PID]],Table3[[#All],[PID]],0)))</f>
        <v>6</v>
      </c>
      <c r="M134" s="72">
        <f>IF($C134="B",INDEX(Batters[[#All],[GAP P]],MATCH(Table5[[#This Row],[PID]],Batters[[#All],[PID]],0)),INDEX(Table3[[#All],[MOV P]],MATCH(Table5[[#This Row],[PID]],Table3[[#All],[PID]],0)))</f>
        <v>6</v>
      </c>
      <c r="N134" s="72">
        <f>IF($C134="B",INDEX(Batters[[#All],[POW P]],MATCH(Table5[[#This Row],[PID]],Batters[[#All],[PID]],0)),INDEX(Table3[[#All],[CON P]],MATCH(Table5[[#This Row],[PID]],Table3[[#All],[PID]],0)))</f>
        <v>5</v>
      </c>
      <c r="O134" s="72" t="str">
        <f>IF($C134="B",INDEX(Batters[[#All],[EYE P]],MATCH(Table5[[#This Row],[PID]],Batters[[#All],[PID]],0)),INDEX(Table3[[#All],[VELO]],MATCH(Table5[[#This Row],[PID]],Table3[[#All],[PID]],0)))</f>
        <v>92-94 Mph</v>
      </c>
      <c r="P134" s="56">
        <f>IF($C134="B",INDEX(Batters[[#All],[K P]],MATCH(Table5[[#This Row],[PID]],Batters[[#All],[PID]],0)),INDEX(Table3[[#All],[STM]],MATCH(Table5[[#This Row],[PID]],Table3[[#All],[PID]],0)))</f>
        <v>5</v>
      </c>
      <c r="Q134" s="61">
        <f>IF($C134="B",INDEX(Batters[[#All],[Tot]],MATCH(Table5[[#This Row],[PID]],Batters[[#All],[PID]],0)),INDEX(Table3[[#All],[Tot]],MATCH(Table5[[#This Row],[PID]],Table3[[#All],[PID]],0)))</f>
        <v>71.452960038420031</v>
      </c>
      <c r="R134" s="52">
        <f>IF($C134="B",INDEX(Batters[[#All],[zScore]],MATCH(Table5[[#This Row],[PID]],Batters[[#All],[PID]],0)),INDEX(Table3[[#All],[zScore]],MATCH(Table5[[#This Row],[PID]],Table3[[#All],[PID]],0)))</f>
        <v>2.3672449598832221</v>
      </c>
      <c r="S134" s="78" t="str">
        <f>IF($C134="B",INDEX(Batters[[#All],[DEM]],MATCH(Table5[[#This Row],[PID]],Batters[[#All],[PID]],0)),INDEX(Table3[[#All],[DEM]],MATCH(Table5[[#This Row],[PID]],Table3[[#All],[PID]],0)))</f>
        <v>$1.7m</v>
      </c>
      <c r="T134" s="75">
        <f>IF($C134="B",INDEX(Batters[[#All],[Rnk]],MATCH(Table5[[#This Row],[PID]],Batters[[#All],[PID]],0)),INDEX(Table3[[#All],[Rnk]],MATCH(Table5[[#This Row],[PID]],Table3[[#All],[PID]],0)))</f>
        <v>9</v>
      </c>
      <c r="U134" s="68">
        <f>IF($C134="B",VLOOKUP($A134,Bat!$A$4:$BA$1621,47,FALSE),VLOOKUP($A134,Pit!$A$4:$BF$1557,56,FALSE))</f>
        <v>0</v>
      </c>
      <c r="V134" s="50">
        <f>IF($C134="B",VLOOKUP($A134,Bat!$A$4:$BA$1621,48,FALSE),VLOOKUP($A134,Pit!$A$4:$BF$1557,57,FALSE))</f>
        <v>0</v>
      </c>
      <c r="W134" s="69">
        <f>Table5[[#This Row],[posRnk]]+Table5[[#This Row],[zRnk]]+IF($W$3&lt;&gt;Table5[[#This Row],[Type]],50,0)</f>
        <v>79</v>
      </c>
      <c r="X134" s="73">
        <f>RANK(Table5[[#This Row],[zScore]],Table5[[#All],[zScore]])</f>
        <v>20</v>
      </c>
      <c r="Y134" s="69">
        <f>IFERROR(INDEX(DraftResults[[#All],[OVR]],MATCH(Table5[[#This Row],[PID]],DraftResults[[#All],[Player ID]],0)),"")</f>
        <v>130</v>
      </c>
      <c r="Z13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4" s="69">
        <f>IFERROR(INDEX(DraftResults[[#All],[Pick in Round]],MATCH(Table5[[#This Row],[PID]],DraftResults[[#All],[Player ID]],0)),"")</f>
        <v>2</v>
      </c>
      <c r="AB134" s="69" t="str">
        <f>IFERROR(INDEX(DraftResults[[#All],[Team Name]],MATCH(Table5[[#This Row],[PID]],DraftResults[[#All],[Player ID]],0)),"")</f>
        <v>Charleston Statesmen</v>
      </c>
      <c r="AC134" s="69">
        <f>IF(Table5[[#This Row],[Ovr]]="","",IF(Table5[[#This Row],[cmbList]]="","",Table5[[#This Row],[cmbList]]-Table5[[#This Row],[Ovr]]))</f>
        <v>-51</v>
      </c>
      <c r="AD134" s="77" t="str">
        <f>IF(ISERROR(VLOOKUP($AB134&amp;"-"&amp;$E134&amp;" "&amp;F134,Bonuses!$B$1:$G$1006,4,FALSE)),"",INT(VLOOKUP($AB134&amp;"-"&amp;$E134&amp;" "&amp;$F134,Bonuses!$B$1:$G$1006,4,FALSE)))</f>
        <v/>
      </c>
      <c r="AE13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 (130) - SP Brock Southey</v>
      </c>
    </row>
    <row r="135" spans="1:31" s="50" customFormat="1" x14ac:dyDescent="0.25">
      <c r="A135" s="50">
        <v>18358</v>
      </c>
      <c r="B135" s="50">
        <f>COUNTIF(Table5[PID],A135)</f>
        <v>1</v>
      </c>
      <c r="C135" s="50" t="str">
        <f>IF(COUNTIF(Table3[[#All],[PID]],A135)&gt;0,"P","B")</f>
        <v>P</v>
      </c>
      <c r="D135" s="59" t="str">
        <f>IF($C135="B",INDEX(Batters[[#All],[POS]],MATCH(Table5[[#This Row],[PID]],Batters[[#All],[PID]],0)),INDEX(Table3[[#All],[POS]],MATCH(Table5[[#This Row],[PID]],Table3[[#All],[PID]],0)))</f>
        <v>RP</v>
      </c>
      <c r="E135" s="52" t="str">
        <f>IF($C135="B",INDEX(Batters[[#All],[First]],MATCH(Table5[[#This Row],[PID]],Batters[[#All],[PID]],0)),INDEX(Table3[[#All],[First]],MATCH(Table5[[#This Row],[PID]],Table3[[#All],[PID]],0)))</f>
        <v>Bas</v>
      </c>
      <c r="F135" s="50" t="str">
        <f>IF($C135="B",INDEX(Batters[[#All],[Last]],MATCH(A135,Batters[[#All],[PID]],0)),INDEX(Table3[[#All],[Last]],MATCH(A135,Table3[[#All],[PID]],0)))</f>
        <v>Wagenmakers</v>
      </c>
      <c r="G135" s="56">
        <f>IF($C135="B",INDEX(Batters[[#All],[Age]],MATCH(Table5[[#This Row],[PID]],Batters[[#All],[PID]],0)),INDEX(Table3[[#All],[Age]],MATCH(Table5[[#This Row],[PID]],Table3[[#All],[PID]],0)))</f>
        <v>18</v>
      </c>
      <c r="H135" s="52" t="str">
        <f>IF($C135="B",INDEX(Batters[[#All],[B]],MATCH(Table5[[#This Row],[PID]],Batters[[#All],[PID]],0)),INDEX(Table3[[#All],[B]],MATCH(Table5[[#This Row],[PID]],Table3[[#All],[PID]],0)))</f>
        <v>R</v>
      </c>
      <c r="I135" s="52" t="str">
        <f>IF($C135="B",INDEX(Batters[[#All],[T]],MATCH(Table5[[#This Row],[PID]],Batters[[#All],[PID]],0)),INDEX(Table3[[#All],[T]],MATCH(Table5[[#This Row],[PID]],Table3[[#All],[PID]],0)))</f>
        <v>R</v>
      </c>
      <c r="J135" s="52" t="str">
        <f>IF($C135="B",INDEX(Batters[[#All],[WE]],MATCH(Table5[[#This Row],[PID]],Batters[[#All],[PID]],0)),INDEX(Table3[[#All],[WE]],MATCH(Table5[[#This Row],[PID]],Table3[[#All],[PID]],0)))</f>
        <v>Normal</v>
      </c>
      <c r="K135" s="52" t="str">
        <f>IF($C135="B",INDEX(Batters[[#All],[INT]],MATCH(Table5[[#This Row],[PID]],Batters[[#All],[PID]],0)),INDEX(Table3[[#All],[INT]],MATCH(Table5[[#This Row],[PID]],Table3[[#All],[PID]],0)))</f>
        <v>High</v>
      </c>
      <c r="L135" s="60">
        <f>IF($C135="B",INDEX(Batters[[#All],[CON P]],MATCH(Table5[[#This Row],[PID]],Batters[[#All],[PID]],0)),INDEX(Table3[[#All],[STU P]],MATCH(Table5[[#This Row],[PID]],Table3[[#All],[PID]],0)))</f>
        <v>5</v>
      </c>
      <c r="M135" s="56">
        <f>IF($C135="B",INDEX(Batters[[#All],[GAP P]],MATCH(Table5[[#This Row],[PID]],Batters[[#All],[PID]],0)),INDEX(Table3[[#All],[MOV P]],MATCH(Table5[[#This Row],[PID]],Table3[[#All],[PID]],0)))</f>
        <v>6</v>
      </c>
      <c r="N135" s="56">
        <f>IF($C135="B",INDEX(Batters[[#All],[POW P]],MATCH(Table5[[#This Row],[PID]],Batters[[#All],[PID]],0)),INDEX(Table3[[#All],[CON P]],MATCH(Table5[[#This Row],[PID]],Table3[[#All],[PID]],0)))</f>
        <v>4</v>
      </c>
      <c r="O135" s="56" t="str">
        <f>IF($C135="B",INDEX(Batters[[#All],[EYE P]],MATCH(Table5[[#This Row],[PID]],Batters[[#All],[PID]],0)),INDEX(Table3[[#All],[VELO]],MATCH(Table5[[#This Row],[PID]],Table3[[#All],[PID]],0)))</f>
        <v>88-90 Mph</v>
      </c>
      <c r="P135" s="56">
        <f>IF($C135="B",INDEX(Batters[[#All],[K P]],MATCH(Table5[[#This Row],[PID]],Batters[[#All],[PID]],0)),INDEX(Table3[[#All],[STM]],MATCH(Table5[[#This Row],[PID]],Table3[[#All],[PID]],0)))</f>
        <v>2</v>
      </c>
      <c r="Q135" s="61">
        <f>IF($C135="B",INDEX(Batters[[#All],[Tot]],MATCH(Table5[[#This Row],[PID]],Batters[[#All],[PID]],0)),INDEX(Table3[[#All],[Tot]],MATCH(Table5[[#This Row],[PID]],Table3[[#All],[PID]],0)))</f>
        <v>52.626080945043626</v>
      </c>
      <c r="R135" s="52">
        <f>IF($C135="B",INDEX(Batters[[#All],[zScore]],MATCH(Table5[[#This Row],[PID]],Batters[[#All],[PID]],0)),INDEX(Table3[[#All],[zScore]],MATCH(Table5[[#This Row],[PID]],Table3[[#All],[PID]],0)))</f>
        <v>1.1147214633213023</v>
      </c>
      <c r="S135" s="58" t="str">
        <f>IF($C135="B",INDEX(Batters[[#All],[DEM]],MATCH(Table5[[#This Row],[PID]],Batters[[#All],[PID]],0)),INDEX(Table3[[#All],[DEM]],MATCH(Table5[[#This Row],[PID]],Table3[[#All],[PID]],0)))</f>
        <v>$65k</v>
      </c>
      <c r="T135" s="62">
        <f>IF($C135="B",INDEX(Batters[[#All],[Rnk]],MATCH(Table5[[#This Row],[PID]],Batters[[#All],[PID]],0)),INDEX(Table3[[#All],[Rnk]],MATCH(Table5[[#This Row],[PID]],Table3[[#All],[PID]],0)))</f>
        <v>124</v>
      </c>
      <c r="U135" s="68">
        <f>IF($C135="B",VLOOKUP($A135,Bat!$A$4:$BA$1621,47,FALSE),VLOOKUP($A135,Pit!$A$4:$BF$1557,56,FALSE))</f>
        <v>0</v>
      </c>
      <c r="V135" s="50">
        <f>IF($C135="B",VLOOKUP($A135,Bat!$A$4:$BA$1621,48,FALSE),VLOOKUP($A135,Pit!$A$4:$BF$1557,57,FALSE))</f>
        <v>0</v>
      </c>
      <c r="W135" s="50">
        <f>Table5[[#This Row],[posRnk]]+Table5[[#This Row],[zRnk]]+IF($W$3&lt;&gt;Table5[[#This Row],[Type]],50,0)</f>
        <v>381</v>
      </c>
      <c r="X135" s="51">
        <f>RANK(Table5[[#This Row],[zScore]],Table5[[#All],[zScore]])</f>
        <v>207</v>
      </c>
      <c r="Y135" s="50">
        <f>IFERROR(INDEX(DraftResults[[#All],[OVR]],MATCH(Table5[[#This Row],[PID]],DraftResults[[#All],[Player ID]],0)),"")</f>
        <v>131</v>
      </c>
      <c r="Z1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5" s="50">
        <f>IFERROR(INDEX(DraftResults[[#All],[Pick in Round]],MATCH(Table5[[#This Row],[PID]],DraftResults[[#All],[Player ID]],0)),"")</f>
        <v>3</v>
      </c>
      <c r="AB135" s="50" t="str">
        <f>IFERROR(INDEX(DraftResults[[#All],[Team Name]],MATCH(Table5[[#This Row],[PID]],DraftResults[[#All],[Player ID]],0)),"")</f>
        <v>New Orleans Trendsetters</v>
      </c>
      <c r="AC135" s="50">
        <f>IF(Table5[[#This Row],[Ovr]]="","",IF(Table5[[#This Row],[cmbList]]="","",Table5[[#This Row],[cmbList]]-Table5[[#This Row],[Ovr]]))</f>
        <v>250</v>
      </c>
      <c r="AD135" s="54" t="str">
        <f>IF(ISERROR(VLOOKUP($AB135&amp;"-"&amp;$E135&amp;" "&amp;F135,Bonuses!$B$1:$G$1006,4,FALSE)),"",INT(VLOOKUP($AB135&amp;"-"&amp;$E135&amp;" "&amp;$F135,Bonuses!$B$1:$G$1006,4,FALSE)))</f>
        <v/>
      </c>
      <c r="AE1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5.3 (131) - RP Bas Wagenmakers</v>
      </c>
    </row>
    <row r="136" spans="1:31" s="50" customFormat="1" x14ac:dyDescent="0.25">
      <c r="A136" s="68">
        <v>18276</v>
      </c>
      <c r="B136" s="69">
        <f>COUNTIF(Table5[PID],A136)</f>
        <v>1</v>
      </c>
      <c r="C136" s="69" t="str">
        <f>IF(COUNTIF(Table3[[#All],[PID]],A136)&gt;0,"P","B")</f>
        <v>P</v>
      </c>
      <c r="D136" s="59" t="str">
        <f>IF($C136="B",INDEX(Batters[[#All],[POS]],MATCH(Table5[[#This Row],[PID]],Batters[[#All],[PID]],0)),INDEX(Table3[[#All],[POS]],MATCH(Table5[[#This Row],[PID]],Table3[[#All],[PID]],0)))</f>
        <v>SP</v>
      </c>
      <c r="E136" s="52" t="str">
        <f>IF($C136="B",INDEX(Batters[[#All],[First]],MATCH(Table5[[#This Row],[PID]],Batters[[#All],[PID]],0)),INDEX(Table3[[#All],[First]],MATCH(Table5[[#This Row],[PID]],Table3[[#All],[PID]],0)))</f>
        <v>Michael</v>
      </c>
      <c r="F136" s="55" t="str">
        <f>IF($C136="B",INDEX(Batters[[#All],[Last]],MATCH(A136,Batters[[#All],[PID]],0)),INDEX(Table3[[#All],[Last]],MATCH(A136,Table3[[#All],[PID]],0)))</f>
        <v>Mooney</v>
      </c>
      <c r="G136" s="56">
        <f>IF($C136="B",INDEX(Batters[[#All],[Age]],MATCH(Table5[[#This Row],[PID]],Batters[[#All],[PID]],0)),INDEX(Table3[[#All],[Age]],MATCH(Table5[[#This Row],[PID]],Table3[[#All],[PID]],0)))</f>
        <v>18</v>
      </c>
      <c r="H136" s="52" t="str">
        <f>IF($C136="B",INDEX(Batters[[#All],[B]],MATCH(Table5[[#This Row],[PID]],Batters[[#All],[PID]],0)),INDEX(Table3[[#All],[B]],MATCH(Table5[[#This Row],[PID]],Table3[[#All],[PID]],0)))</f>
        <v>R</v>
      </c>
      <c r="I136" s="52" t="str">
        <f>IF($C136="B",INDEX(Batters[[#All],[T]],MATCH(Table5[[#This Row],[PID]],Batters[[#All],[PID]],0)),INDEX(Table3[[#All],[T]],MATCH(Table5[[#This Row],[PID]],Table3[[#All],[PID]],0)))</f>
        <v>R</v>
      </c>
      <c r="J136" s="71" t="str">
        <f>IF($C136="B",INDEX(Batters[[#All],[WE]],MATCH(Table5[[#This Row],[PID]],Batters[[#All],[PID]],0)),INDEX(Table3[[#All],[WE]],MATCH(Table5[[#This Row],[PID]],Table3[[#All],[PID]],0)))</f>
        <v>Normal</v>
      </c>
      <c r="K136" s="52" t="str">
        <f>IF($C136="B",INDEX(Batters[[#All],[INT]],MATCH(Table5[[#This Row],[PID]],Batters[[#All],[PID]],0)),INDEX(Table3[[#All],[INT]],MATCH(Table5[[#This Row],[PID]],Table3[[#All],[PID]],0)))</f>
        <v>Normal</v>
      </c>
      <c r="L136" s="60">
        <f>IF($C136="B",INDEX(Batters[[#All],[CON P]],MATCH(Table5[[#This Row],[PID]],Batters[[#All],[PID]],0)),INDEX(Table3[[#All],[STU P]],MATCH(Table5[[#This Row],[PID]],Table3[[#All],[PID]],0)))</f>
        <v>5</v>
      </c>
      <c r="M136" s="72">
        <f>IF($C136="B",INDEX(Batters[[#All],[GAP P]],MATCH(Table5[[#This Row],[PID]],Batters[[#All],[PID]],0)),INDEX(Table3[[#All],[MOV P]],MATCH(Table5[[#This Row],[PID]],Table3[[#All],[PID]],0)))</f>
        <v>4</v>
      </c>
      <c r="N136" s="72">
        <f>IF($C136="B",INDEX(Batters[[#All],[POW P]],MATCH(Table5[[#This Row],[PID]],Batters[[#All],[PID]],0)),INDEX(Table3[[#All],[CON P]],MATCH(Table5[[#This Row],[PID]],Table3[[#All],[PID]],0)))</f>
        <v>4</v>
      </c>
      <c r="O136" s="72" t="str">
        <f>IF($C136="B",INDEX(Batters[[#All],[EYE P]],MATCH(Table5[[#This Row],[PID]],Batters[[#All],[PID]],0)),INDEX(Table3[[#All],[VELO]],MATCH(Table5[[#This Row],[PID]],Table3[[#All],[PID]],0)))</f>
        <v>91-93 Mph</v>
      </c>
      <c r="P136" s="56">
        <f>IF($C136="B",INDEX(Batters[[#All],[K P]],MATCH(Table5[[#This Row],[PID]],Batters[[#All],[PID]],0)),INDEX(Table3[[#All],[STM]],MATCH(Table5[[#This Row],[PID]],Table3[[#All],[PID]],0)))</f>
        <v>3</v>
      </c>
      <c r="Q136" s="61">
        <f>IF($C136="B",INDEX(Batters[[#All],[Tot]],MATCH(Table5[[#This Row],[PID]],Batters[[#All],[PID]],0)),INDEX(Table3[[#All],[Tot]],MATCH(Table5[[#This Row],[PID]],Table3[[#All],[PID]],0)))</f>
        <v>51.432961879479251</v>
      </c>
      <c r="R136" s="52">
        <f>IF($C136="B",INDEX(Batters[[#All],[zScore]],MATCH(Table5[[#This Row],[PID]],Batters[[#All],[PID]],0)),INDEX(Table3[[#All],[zScore]],MATCH(Table5[[#This Row],[PID]],Table3[[#All],[PID]],0)))</f>
        <v>1.0353450751050983</v>
      </c>
      <c r="S136" s="78" t="str">
        <f>IF($C136="B",INDEX(Batters[[#All],[DEM]],MATCH(Table5[[#This Row],[PID]],Batters[[#All],[PID]],0)),INDEX(Table3[[#All],[DEM]],MATCH(Table5[[#This Row],[PID]],Table3[[#All],[PID]],0)))</f>
        <v>$200k</v>
      </c>
      <c r="T136" s="75">
        <f>IF($C136="B",INDEX(Batters[[#All],[Rnk]],MATCH(Table5[[#This Row],[PID]],Batters[[#All],[PID]],0)),INDEX(Table3[[#All],[Rnk]],MATCH(Table5[[#This Row],[PID]],Table3[[#All],[PID]],0)))</f>
        <v>134</v>
      </c>
      <c r="U136" s="68">
        <f>IF($C136="B",VLOOKUP($A136,Bat!$A$4:$BA$1621,47,FALSE),VLOOKUP($A136,Pit!$A$4:$BF$1557,56,FALSE))</f>
        <v>0</v>
      </c>
      <c r="V136" s="50">
        <f>IF($C136="B",VLOOKUP($A136,Bat!$A$4:$BA$1621,48,FALSE),VLOOKUP($A136,Pit!$A$4:$BF$1557,57,FALSE))</f>
        <v>0</v>
      </c>
      <c r="W136" s="69">
        <f>Table5[[#This Row],[posRnk]]+Table5[[#This Row],[zRnk]]+IF($W$3&lt;&gt;Table5[[#This Row],[Type]],50,0)</f>
        <v>405</v>
      </c>
      <c r="X136" s="73">
        <f>RANK(Table5[[#This Row],[zScore]],Table5[[#All],[zScore]])</f>
        <v>221</v>
      </c>
      <c r="Y136" s="69">
        <f>IFERROR(INDEX(DraftResults[[#All],[OVR]],MATCH(Table5[[#This Row],[PID]],DraftResults[[#All],[Player ID]],0)),"")</f>
        <v>132</v>
      </c>
      <c r="Z13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6" s="69">
        <f>IFERROR(INDEX(DraftResults[[#All],[Pick in Round]],MATCH(Table5[[#This Row],[PID]],DraftResults[[#All],[Player ID]],0)),"")</f>
        <v>4</v>
      </c>
      <c r="AB136" s="69" t="str">
        <f>IFERROR(INDEX(DraftResults[[#All],[Team Name]],MATCH(Table5[[#This Row],[PID]],DraftResults[[#All],[Player ID]],0)),"")</f>
        <v>Florida Farstriders</v>
      </c>
      <c r="AC136" s="69">
        <f>IF(Table5[[#This Row],[Ovr]]="","",IF(Table5[[#This Row],[cmbList]]="","",Table5[[#This Row],[cmbList]]-Table5[[#This Row],[Ovr]]))</f>
        <v>273</v>
      </c>
      <c r="AD136" s="77" t="str">
        <f>IF(ISERROR(VLOOKUP($AB136&amp;"-"&amp;$E136&amp;" "&amp;F136,Bonuses!$B$1:$G$1006,4,FALSE)),"",INT(VLOOKUP($AB136&amp;"-"&amp;$E136&amp;" "&amp;$F136,Bonuses!$B$1:$G$1006,4,FALSE)))</f>
        <v/>
      </c>
      <c r="AE13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5.4 (132) - SP Michael Mooney</v>
      </c>
    </row>
    <row r="137" spans="1:31" s="50" customFormat="1" x14ac:dyDescent="0.25">
      <c r="A137" s="50">
        <v>13152</v>
      </c>
      <c r="B137" s="50">
        <f>COUNTIF(Table5[PID],A137)</f>
        <v>1</v>
      </c>
      <c r="C137" s="50" t="str">
        <f>IF(COUNTIF(Table3[[#All],[PID]],A137)&gt;0,"P","B")</f>
        <v>B</v>
      </c>
      <c r="D137" s="59" t="str">
        <f>IF($C137="B",INDEX(Batters[[#All],[POS]],MATCH(Table5[[#This Row],[PID]],Batters[[#All],[PID]],0)),INDEX(Table3[[#All],[POS]],MATCH(Table5[[#This Row],[PID]],Table3[[#All],[PID]],0)))</f>
        <v>CF</v>
      </c>
      <c r="E137" s="52" t="str">
        <f>IF($C137="B",INDEX(Batters[[#All],[First]],MATCH(Table5[[#This Row],[PID]],Batters[[#All],[PID]],0)),INDEX(Table3[[#All],[First]],MATCH(Table5[[#This Row],[PID]],Table3[[#All],[PID]],0)))</f>
        <v>Paul</v>
      </c>
      <c r="F137" s="50" t="str">
        <f>IF($C137="B",INDEX(Batters[[#All],[Last]],MATCH(A137,Batters[[#All],[PID]],0)),INDEX(Table3[[#All],[Last]],MATCH(A137,Table3[[#All],[PID]],0)))</f>
        <v>Holmes</v>
      </c>
      <c r="G137" s="56">
        <f>IF($C137="B",INDEX(Batters[[#All],[Age]],MATCH(Table5[[#This Row],[PID]],Batters[[#All],[PID]],0)),INDEX(Table3[[#All],[Age]],MATCH(Table5[[#This Row],[PID]],Table3[[#All],[PID]],0)))</f>
        <v>18</v>
      </c>
      <c r="H137" s="52" t="str">
        <f>IF($C137="B",INDEX(Batters[[#All],[B]],MATCH(Table5[[#This Row],[PID]],Batters[[#All],[PID]],0)),INDEX(Table3[[#All],[B]],MATCH(Table5[[#This Row],[PID]],Table3[[#All],[PID]],0)))</f>
        <v>L</v>
      </c>
      <c r="I137" s="52" t="str">
        <f>IF($C137="B",INDEX(Batters[[#All],[T]],MATCH(Table5[[#This Row],[PID]],Batters[[#All],[PID]],0)),INDEX(Table3[[#All],[T]],MATCH(Table5[[#This Row],[PID]],Table3[[#All],[PID]],0)))</f>
        <v>L</v>
      </c>
      <c r="J137" s="52" t="str">
        <f>IF($C137="B",INDEX(Batters[[#All],[WE]],MATCH(Table5[[#This Row],[PID]],Batters[[#All],[PID]],0)),INDEX(Table3[[#All],[WE]],MATCH(Table5[[#This Row],[PID]],Table3[[#All],[PID]],0)))</f>
        <v>High</v>
      </c>
      <c r="K137" s="52" t="str">
        <f>IF($C137="B",INDEX(Batters[[#All],[INT]],MATCH(Table5[[#This Row],[PID]],Batters[[#All],[PID]],0)),INDEX(Table3[[#All],[INT]],MATCH(Table5[[#This Row],[PID]],Table3[[#All],[PID]],0)))</f>
        <v>High</v>
      </c>
      <c r="L137" s="60">
        <f>IF($C137="B",INDEX(Batters[[#All],[CON P]],MATCH(Table5[[#This Row],[PID]],Batters[[#All],[PID]],0)),INDEX(Table3[[#All],[STU P]],MATCH(Table5[[#This Row],[PID]],Table3[[#All],[PID]],0)))</f>
        <v>4</v>
      </c>
      <c r="M137" s="56">
        <f>IF($C137="B",INDEX(Batters[[#All],[GAP P]],MATCH(Table5[[#This Row],[PID]],Batters[[#All],[PID]],0)),INDEX(Table3[[#All],[MOV P]],MATCH(Table5[[#This Row],[PID]],Table3[[#All],[PID]],0)))</f>
        <v>4</v>
      </c>
      <c r="N137" s="56">
        <f>IF($C137="B",INDEX(Batters[[#All],[POW P]],MATCH(Table5[[#This Row],[PID]],Batters[[#All],[PID]],0)),INDEX(Table3[[#All],[CON P]],MATCH(Table5[[#This Row],[PID]],Table3[[#All],[PID]],0)))</f>
        <v>5</v>
      </c>
      <c r="O137" s="56">
        <f>IF($C137="B",INDEX(Batters[[#All],[EYE P]],MATCH(Table5[[#This Row],[PID]],Batters[[#All],[PID]],0)),INDEX(Table3[[#All],[VELO]],MATCH(Table5[[#This Row],[PID]],Table3[[#All],[PID]],0)))</f>
        <v>5</v>
      </c>
      <c r="P137" s="56">
        <f>IF($C137="B",INDEX(Batters[[#All],[K P]],MATCH(Table5[[#This Row],[PID]],Batters[[#All],[PID]],0)),INDEX(Table3[[#All],[STM]],MATCH(Table5[[#This Row],[PID]],Table3[[#All],[PID]],0)))</f>
        <v>3</v>
      </c>
      <c r="Q137" s="61">
        <f>IF($C137="B",INDEX(Batters[[#All],[Tot]],MATCH(Table5[[#This Row],[PID]],Batters[[#All],[PID]],0)),INDEX(Table3[[#All],[Tot]],MATCH(Table5[[#This Row],[PID]],Table3[[#All],[PID]],0)))</f>
        <v>49.247063264905037</v>
      </c>
      <c r="R137" s="52">
        <f>IF($C137="B",INDEX(Batters[[#All],[zScore]],MATCH(Table5[[#This Row],[PID]],Batters[[#All],[PID]],0)),INDEX(Table3[[#All],[zScore]],MATCH(Table5[[#This Row],[PID]],Table3[[#All],[PID]],0)))</f>
        <v>1.1340574645695463</v>
      </c>
      <c r="S137" s="58" t="str">
        <f>IF($C137="B",INDEX(Batters[[#All],[DEM]],MATCH(Table5[[#This Row],[PID]],Batters[[#All],[PID]],0)),INDEX(Table3[[#All],[DEM]],MATCH(Table5[[#This Row],[PID]],Table3[[#All],[PID]],0)))</f>
        <v>$330k</v>
      </c>
      <c r="T137" s="62">
        <f>IF($C137="B",INDEX(Batters[[#All],[Rnk]],MATCH(Table5[[#This Row],[PID]],Batters[[#All],[PID]],0)),INDEX(Table3[[#All],[Rnk]],MATCH(Table5[[#This Row],[PID]],Table3[[#All],[PID]],0)))</f>
        <v>81</v>
      </c>
      <c r="U137" s="68">
        <f>IF($C137="B",VLOOKUP($A137,Bat!$A$4:$BA$1621,47,FALSE),VLOOKUP($A137,Pit!$A$4:$BF$1557,56,FALSE))</f>
        <v>0</v>
      </c>
      <c r="V137" s="50">
        <f>IF($C137="B",VLOOKUP($A137,Bat!$A$4:$BA$1621,48,FALSE),VLOOKUP($A137,Pit!$A$4:$BF$1557,57,FALSE))</f>
        <v>0</v>
      </c>
      <c r="W137" s="50">
        <f>Table5[[#This Row],[posRnk]]+Table5[[#This Row],[zRnk]]+IF($W$3&lt;&gt;Table5[[#This Row],[Type]],50,0)</f>
        <v>333</v>
      </c>
      <c r="X137" s="51">
        <f>RANK(Table5[[#This Row],[zScore]],Table5[[#All],[zScore]])</f>
        <v>202</v>
      </c>
      <c r="Y137" s="50">
        <f>IFERROR(INDEX(DraftResults[[#All],[OVR]],MATCH(Table5[[#This Row],[PID]],DraftResults[[#All],[Player ID]],0)),"")</f>
        <v>133</v>
      </c>
      <c r="Z1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7" s="50">
        <f>IFERROR(INDEX(DraftResults[[#All],[Pick in Round]],MATCH(Table5[[#This Row],[PID]],DraftResults[[#All],[Player ID]],0)),"")</f>
        <v>5</v>
      </c>
      <c r="AB137" s="50" t="str">
        <f>IFERROR(INDEX(DraftResults[[#All],[Team Name]],MATCH(Table5[[#This Row],[PID]],DraftResults[[#All],[Player ID]],0)),"")</f>
        <v>Manchester Maulers</v>
      </c>
      <c r="AC137" s="50">
        <f>IF(Table5[[#This Row],[Ovr]]="","",IF(Table5[[#This Row],[cmbList]]="","",Table5[[#This Row],[cmbList]]-Table5[[#This Row],[Ovr]]))</f>
        <v>200</v>
      </c>
      <c r="AD137" s="54" t="str">
        <f>IF(ISERROR(VLOOKUP($AB137&amp;"-"&amp;$E137&amp;" "&amp;F137,Bonuses!$B$1:$G$1006,4,FALSE)),"",INT(VLOOKUP($AB137&amp;"-"&amp;$E137&amp;" "&amp;$F137,Bonuses!$B$1:$G$1006,4,FALSE)))</f>
        <v/>
      </c>
      <c r="AE1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5.5 (133) - CF Paul Holmes</v>
      </c>
    </row>
    <row r="138" spans="1:31" s="50" customFormat="1" x14ac:dyDescent="0.25">
      <c r="A138" s="68">
        <v>17565</v>
      </c>
      <c r="B138" s="69">
        <f>COUNTIF(Table5[PID],A138)</f>
        <v>1</v>
      </c>
      <c r="C138" s="69" t="str">
        <f>IF(COUNTIF(Table3[[#All],[PID]],A138)&gt;0,"P","B")</f>
        <v>P</v>
      </c>
      <c r="D138" s="59" t="str">
        <f>IF($C138="B",INDEX(Batters[[#All],[POS]],MATCH(Table5[[#This Row],[PID]],Batters[[#All],[PID]],0)),INDEX(Table3[[#All],[POS]],MATCH(Table5[[#This Row],[PID]],Table3[[#All],[PID]],0)))</f>
        <v>SP</v>
      </c>
      <c r="E138" s="52" t="str">
        <f>IF($C138="B",INDEX(Batters[[#All],[First]],MATCH(Table5[[#This Row],[PID]],Batters[[#All],[PID]],0)),INDEX(Table3[[#All],[First]],MATCH(Table5[[#This Row],[PID]],Table3[[#All],[PID]],0)))</f>
        <v>David</v>
      </c>
      <c r="F138" s="55" t="str">
        <f>IF($C138="B",INDEX(Batters[[#All],[Last]],MATCH(A138,Batters[[#All],[PID]],0)),INDEX(Table3[[#All],[Last]],MATCH(A138,Table3[[#All],[PID]],0)))</f>
        <v>Walker</v>
      </c>
      <c r="G138" s="56">
        <f>IF($C138="B",INDEX(Batters[[#All],[Age]],MATCH(Table5[[#This Row],[PID]],Batters[[#All],[PID]],0)),INDEX(Table3[[#All],[Age]],MATCH(Table5[[#This Row],[PID]],Table3[[#All],[PID]],0)))</f>
        <v>18</v>
      </c>
      <c r="H138" s="52" t="str">
        <f>IF($C138="B",INDEX(Batters[[#All],[B]],MATCH(Table5[[#This Row],[PID]],Batters[[#All],[PID]],0)),INDEX(Table3[[#All],[B]],MATCH(Table5[[#This Row],[PID]],Table3[[#All],[PID]],0)))</f>
        <v>R</v>
      </c>
      <c r="I138" s="52" t="str">
        <f>IF($C138="B",INDEX(Batters[[#All],[T]],MATCH(Table5[[#This Row],[PID]],Batters[[#All],[PID]],0)),INDEX(Table3[[#All],[T]],MATCH(Table5[[#This Row],[PID]],Table3[[#All],[PID]],0)))</f>
        <v>R</v>
      </c>
      <c r="J138" s="71" t="str">
        <f>IF($C138="B",INDEX(Batters[[#All],[WE]],MATCH(Table5[[#This Row],[PID]],Batters[[#All],[PID]],0)),INDEX(Table3[[#All],[WE]],MATCH(Table5[[#This Row],[PID]],Table3[[#All],[PID]],0)))</f>
        <v>Normal</v>
      </c>
      <c r="K138" s="52" t="str">
        <f>IF($C138="B",INDEX(Batters[[#All],[INT]],MATCH(Table5[[#This Row],[PID]],Batters[[#All],[PID]],0)),INDEX(Table3[[#All],[INT]],MATCH(Table5[[#This Row],[PID]],Table3[[#All],[PID]],0)))</f>
        <v>Normal</v>
      </c>
      <c r="L138" s="60">
        <f>IF($C138="B",INDEX(Batters[[#All],[CON P]],MATCH(Table5[[#This Row],[PID]],Batters[[#All],[PID]],0)),INDEX(Table3[[#All],[STU P]],MATCH(Table5[[#This Row],[PID]],Table3[[#All],[PID]],0)))</f>
        <v>6</v>
      </c>
      <c r="M138" s="72">
        <f>IF($C138="B",INDEX(Batters[[#All],[GAP P]],MATCH(Table5[[#This Row],[PID]],Batters[[#All],[PID]],0)),INDEX(Table3[[#All],[MOV P]],MATCH(Table5[[#This Row],[PID]],Table3[[#All],[PID]],0)))</f>
        <v>5</v>
      </c>
      <c r="N138" s="72">
        <f>IF($C138="B",INDEX(Batters[[#All],[POW P]],MATCH(Table5[[#This Row],[PID]],Batters[[#All],[PID]],0)),INDEX(Table3[[#All],[CON P]],MATCH(Table5[[#This Row],[PID]],Table3[[#All],[PID]],0)))</f>
        <v>4</v>
      </c>
      <c r="O138" s="72" t="str">
        <f>IF($C138="B",INDEX(Batters[[#All],[EYE P]],MATCH(Table5[[#This Row],[PID]],Batters[[#All],[PID]],0)),INDEX(Table3[[#All],[VELO]],MATCH(Table5[[#This Row],[PID]],Table3[[#All],[PID]],0)))</f>
        <v>95-97 Mph</v>
      </c>
      <c r="P138" s="56">
        <f>IF($C138="B",INDEX(Batters[[#All],[K P]],MATCH(Table5[[#This Row],[PID]],Batters[[#All],[PID]],0)),INDEX(Table3[[#All],[STM]],MATCH(Table5[[#This Row],[PID]],Table3[[#All],[PID]],0)))</f>
        <v>6</v>
      </c>
      <c r="Q138" s="61">
        <f>IF($C138="B",INDEX(Batters[[#All],[Tot]],MATCH(Table5[[#This Row],[PID]],Batters[[#All],[PID]],0)),INDEX(Table3[[#All],[Tot]],MATCH(Table5[[#This Row],[PID]],Table3[[#All],[PID]],0)))</f>
        <v>62.635601928617632</v>
      </c>
      <c r="R138" s="52">
        <f>IF($C138="B",INDEX(Batters[[#All],[zScore]],MATCH(Table5[[#This Row],[PID]],Batters[[#All],[PID]],0)),INDEX(Table3[[#All],[zScore]],MATCH(Table5[[#This Row],[PID]],Table3[[#All],[PID]],0)))</f>
        <v>1.7806395987209604</v>
      </c>
      <c r="S138" s="78" t="str">
        <f>IF($C138="B",INDEX(Batters[[#All],[DEM]],MATCH(Table5[[#This Row],[PID]],Batters[[#All],[PID]],0)),INDEX(Table3[[#All],[DEM]],MATCH(Table5[[#This Row],[PID]],Table3[[#All],[PID]],0)))</f>
        <v>$500k</v>
      </c>
      <c r="T138" s="75">
        <f>IF($C138="B",INDEX(Batters[[#All],[Rnk]],MATCH(Table5[[#This Row],[PID]],Batters[[#All],[PID]],0)),INDEX(Table3[[#All],[Rnk]],MATCH(Table5[[#This Row],[PID]],Table3[[#All],[PID]],0)))</f>
        <v>47</v>
      </c>
      <c r="U138" s="68">
        <f>IF($C138="B",VLOOKUP($A138,Bat!$A$4:$BA$1621,47,FALSE),VLOOKUP($A138,Pit!$A$4:$BF$1557,56,FALSE))</f>
        <v>0</v>
      </c>
      <c r="V138" s="50">
        <f>IF($C138="B",VLOOKUP($A138,Bat!$A$4:$BA$1621,48,FALSE),VLOOKUP($A138,Pit!$A$4:$BF$1557,57,FALSE))</f>
        <v>0</v>
      </c>
      <c r="W138" s="69">
        <f>Table5[[#This Row],[posRnk]]+Table5[[#This Row],[zRnk]]+IF($W$3&lt;&gt;Table5[[#This Row],[Type]],50,0)</f>
        <v>169</v>
      </c>
      <c r="X138" s="73">
        <f>RANK(Table5[[#This Row],[zScore]],Table5[[#All],[zScore]])</f>
        <v>72</v>
      </c>
      <c r="Y138" s="69">
        <f>IFERROR(INDEX(DraftResults[[#All],[OVR]],MATCH(Table5[[#This Row],[PID]],DraftResults[[#All],[Player ID]],0)),"")</f>
        <v>134</v>
      </c>
      <c r="Z13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8" s="69">
        <f>IFERROR(INDEX(DraftResults[[#All],[Pick in Round]],MATCH(Table5[[#This Row],[PID]],DraftResults[[#All],[Player ID]],0)),"")</f>
        <v>6</v>
      </c>
      <c r="AB138" s="69" t="str">
        <f>IFERROR(INDEX(DraftResults[[#All],[Team Name]],MATCH(Table5[[#This Row],[PID]],DraftResults[[#All],[Player ID]],0)),"")</f>
        <v>Niihama-shi Ghosts</v>
      </c>
      <c r="AC138" s="69">
        <f>IF(Table5[[#This Row],[Ovr]]="","",IF(Table5[[#This Row],[cmbList]]="","",Table5[[#This Row],[cmbList]]-Table5[[#This Row],[Ovr]]))</f>
        <v>35</v>
      </c>
      <c r="AD138" s="77" t="str">
        <f>IF(ISERROR(VLOOKUP($AB138&amp;"-"&amp;$E138&amp;" "&amp;F138,Bonuses!$B$1:$G$1006,4,FALSE)),"",INT(VLOOKUP($AB138&amp;"-"&amp;$E138&amp;" "&amp;$F138,Bonuses!$B$1:$G$1006,4,FALSE)))</f>
        <v/>
      </c>
      <c r="AE13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5.6 (134) - SP David Walker</v>
      </c>
    </row>
    <row r="139" spans="1:31" s="50" customFormat="1" x14ac:dyDescent="0.25">
      <c r="A139" s="50">
        <v>18242</v>
      </c>
      <c r="B139" s="50">
        <f>COUNTIF(Table5[PID],A139)</f>
        <v>1</v>
      </c>
      <c r="C139" s="50" t="str">
        <f>IF(COUNTIF(Table3[[#All],[PID]],A139)&gt;0,"P","B")</f>
        <v>P</v>
      </c>
      <c r="D139" s="59" t="str">
        <f>IF($C139="B",INDEX(Batters[[#All],[POS]],MATCH(Table5[[#This Row],[PID]],Batters[[#All],[PID]],0)),INDEX(Table3[[#All],[POS]],MATCH(Table5[[#This Row],[PID]],Table3[[#All],[PID]],0)))</f>
        <v>RP</v>
      </c>
      <c r="E139" s="52" t="str">
        <f>IF($C139="B",INDEX(Batters[[#All],[First]],MATCH(Table5[[#This Row],[PID]],Batters[[#All],[PID]],0)),INDEX(Table3[[#All],[First]],MATCH(Table5[[#This Row],[PID]],Table3[[#All],[PID]],0)))</f>
        <v>Cecil</v>
      </c>
      <c r="F139" s="50" t="str">
        <f>IF($C139="B",INDEX(Batters[[#All],[Last]],MATCH(A139,Batters[[#All],[PID]],0)),INDEX(Table3[[#All],[Last]],MATCH(A139,Table3[[#All],[PID]],0)))</f>
        <v>Langley</v>
      </c>
      <c r="G139" s="56">
        <f>IF($C139="B",INDEX(Batters[[#All],[Age]],MATCH(Table5[[#This Row],[PID]],Batters[[#All],[PID]],0)),INDEX(Table3[[#All],[Age]],MATCH(Table5[[#This Row],[PID]],Table3[[#All],[PID]],0)))</f>
        <v>18</v>
      </c>
      <c r="H139" s="52" t="str">
        <f>IF($C139="B",INDEX(Batters[[#All],[B]],MATCH(Table5[[#This Row],[PID]],Batters[[#All],[PID]],0)),INDEX(Table3[[#All],[B]],MATCH(Table5[[#This Row],[PID]],Table3[[#All],[PID]],0)))</f>
        <v>L</v>
      </c>
      <c r="I139" s="52" t="str">
        <f>IF($C139="B",INDEX(Batters[[#All],[T]],MATCH(Table5[[#This Row],[PID]],Batters[[#All],[PID]],0)),INDEX(Table3[[#All],[T]],MATCH(Table5[[#This Row],[PID]],Table3[[#All],[PID]],0)))</f>
        <v>L</v>
      </c>
      <c r="J139" s="52" t="str">
        <f>IF($C139="B",INDEX(Batters[[#All],[WE]],MATCH(Table5[[#This Row],[PID]],Batters[[#All],[PID]],0)),INDEX(Table3[[#All],[WE]],MATCH(Table5[[#This Row],[PID]],Table3[[#All],[PID]],0)))</f>
        <v>Normal</v>
      </c>
      <c r="K139" s="52" t="str">
        <f>IF($C139="B",INDEX(Batters[[#All],[INT]],MATCH(Table5[[#This Row],[PID]],Batters[[#All],[PID]],0)),INDEX(Table3[[#All],[INT]],MATCH(Table5[[#This Row],[PID]],Table3[[#All],[PID]],0)))</f>
        <v>Normal</v>
      </c>
      <c r="L139" s="60">
        <f>IF($C139="B",INDEX(Batters[[#All],[CON P]],MATCH(Table5[[#This Row],[PID]],Batters[[#All],[PID]],0)),INDEX(Table3[[#All],[STU P]],MATCH(Table5[[#This Row],[PID]],Table3[[#All],[PID]],0)))</f>
        <v>7</v>
      </c>
      <c r="M139" s="56">
        <f>IF($C139="B",INDEX(Batters[[#All],[GAP P]],MATCH(Table5[[#This Row],[PID]],Batters[[#All],[PID]],0)),INDEX(Table3[[#All],[MOV P]],MATCH(Table5[[#This Row],[PID]],Table3[[#All],[PID]],0)))</f>
        <v>5</v>
      </c>
      <c r="N139" s="56">
        <f>IF($C139="B",INDEX(Batters[[#All],[POW P]],MATCH(Table5[[#This Row],[PID]],Batters[[#All],[PID]],0)),INDEX(Table3[[#All],[CON P]],MATCH(Table5[[#This Row],[PID]],Table3[[#All],[PID]],0)))</f>
        <v>3</v>
      </c>
      <c r="O139" s="56" t="str">
        <f>IF($C139="B",INDEX(Batters[[#All],[EYE P]],MATCH(Table5[[#This Row],[PID]],Batters[[#All],[PID]],0)),INDEX(Table3[[#All],[VELO]],MATCH(Table5[[#This Row],[PID]],Table3[[#All],[PID]],0)))</f>
        <v>92-94 Mph</v>
      </c>
      <c r="P139" s="56">
        <f>IF($C139="B",INDEX(Batters[[#All],[K P]],MATCH(Table5[[#This Row],[PID]],Batters[[#All],[PID]],0)),INDEX(Table3[[#All],[STM]],MATCH(Table5[[#This Row],[PID]],Table3[[#All],[PID]],0)))</f>
        <v>9</v>
      </c>
      <c r="Q139" s="61">
        <f>IF($C139="B",INDEX(Batters[[#All],[Tot]],MATCH(Table5[[#This Row],[PID]],Batters[[#All],[PID]],0)),INDEX(Table3[[#All],[Tot]],MATCH(Table5[[#This Row],[PID]],Table3[[#All],[PID]],0)))</f>
        <v>59.1471951785553</v>
      </c>
      <c r="R139" s="52">
        <f>IF($C139="B",INDEX(Batters[[#All],[zScore]],MATCH(Table5[[#This Row],[PID]],Batters[[#All],[PID]],0)),INDEX(Table3[[#All],[zScore]],MATCH(Table5[[#This Row],[PID]],Table3[[#All],[PID]],0)))</f>
        <v>1.5485612283045134</v>
      </c>
      <c r="S139" s="58" t="str">
        <f>IF($C139="B",INDEX(Batters[[#All],[DEM]],MATCH(Table5[[#This Row],[PID]],Batters[[#All],[PID]],0)),INDEX(Table3[[#All],[DEM]],MATCH(Table5[[#This Row],[PID]],Table3[[#All],[PID]],0)))</f>
        <v>$65k</v>
      </c>
      <c r="T139" s="62">
        <f>IF($C139="B",INDEX(Batters[[#All],[Rnk]],MATCH(Table5[[#This Row],[PID]],Batters[[#All],[PID]],0)),INDEX(Table3[[#All],[Rnk]],MATCH(Table5[[#This Row],[PID]],Table3[[#All],[PID]],0)))</f>
        <v>70</v>
      </c>
      <c r="U139" s="68">
        <f>IF($C139="B",VLOOKUP($A139,Bat!$A$4:$BA$1621,47,FALSE),VLOOKUP($A139,Pit!$A$4:$BF$1557,56,FALSE))</f>
        <v>0</v>
      </c>
      <c r="V139" s="50">
        <f>IF($C139="B",VLOOKUP($A139,Bat!$A$4:$BA$1621,48,FALSE),VLOOKUP($A139,Pit!$A$4:$BF$1557,57,FALSE))</f>
        <v>0</v>
      </c>
      <c r="W139" s="50">
        <f>Table5[[#This Row],[posRnk]]+Table5[[#This Row],[zRnk]]+IF($W$3&lt;&gt;Table5[[#This Row],[Type]],50,0)</f>
        <v>231</v>
      </c>
      <c r="X139" s="51">
        <f>RANK(Table5[[#This Row],[zScore]],Table5[[#All],[zScore]])</f>
        <v>111</v>
      </c>
      <c r="Y139" s="50">
        <f>IFERROR(INDEX(DraftResults[[#All],[OVR]],MATCH(Table5[[#This Row],[PID]],DraftResults[[#All],[Player ID]],0)),"")</f>
        <v>135</v>
      </c>
      <c r="Z1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39" s="50">
        <f>IFERROR(INDEX(DraftResults[[#All],[Pick in Round]],MATCH(Table5[[#This Row],[PID]],DraftResults[[#All],[Player ID]],0)),"")</f>
        <v>7</v>
      </c>
      <c r="AB139" s="50" t="str">
        <f>IFERROR(INDEX(DraftResults[[#All],[Team Name]],MATCH(Table5[[#This Row],[PID]],DraftResults[[#All],[Player ID]],0)),"")</f>
        <v>London Underground</v>
      </c>
      <c r="AC139" s="50">
        <f>IF(Table5[[#This Row],[Ovr]]="","",IF(Table5[[#This Row],[cmbList]]="","",Table5[[#This Row],[cmbList]]-Table5[[#This Row],[Ovr]]))</f>
        <v>96</v>
      </c>
      <c r="AD139" s="54" t="str">
        <f>IF(ISERROR(VLOOKUP($AB139&amp;"-"&amp;$E139&amp;" "&amp;F139,Bonuses!$B$1:$G$1006,4,FALSE)),"",INT(VLOOKUP($AB139&amp;"-"&amp;$E139&amp;" "&amp;$F139,Bonuses!$B$1:$G$1006,4,FALSE)))</f>
        <v/>
      </c>
      <c r="AE1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5.7 (135) - RP Cecil Langley</v>
      </c>
    </row>
    <row r="140" spans="1:31" s="50" customFormat="1" x14ac:dyDescent="0.25">
      <c r="A140" s="50">
        <v>18161</v>
      </c>
      <c r="B140" s="50">
        <f>COUNTIF(Table5[PID],A140)</f>
        <v>1</v>
      </c>
      <c r="C140" s="50" t="str">
        <f>IF(COUNTIF(Table3[[#All],[PID]],A140)&gt;0,"P","B")</f>
        <v>B</v>
      </c>
      <c r="D140" s="59" t="str">
        <f>IF($C140="B",INDEX(Batters[[#All],[POS]],MATCH(Table5[[#This Row],[PID]],Batters[[#All],[PID]],0)),INDEX(Table3[[#All],[POS]],MATCH(Table5[[#This Row],[PID]],Table3[[#All],[PID]],0)))</f>
        <v>RF</v>
      </c>
      <c r="E140" s="52" t="str">
        <f>IF($C140="B",INDEX(Batters[[#All],[First]],MATCH(Table5[[#This Row],[PID]],Batters[[#All],[PID]],0)),INDEX(Table3[[#All],[First]],MATCH(Table5[[#This Row],[PID]],Table3[[#All],[PID]],0)))</f>
        <v>Bradley</v>
      </c>
      <c r="F140" s="50" t="str">
        <f>IF($C140="B",INDEX(Batters[[#All],[Last]],MATCH(A140,Batters[[#All],[PID]],0)),INDEX(Table3[[#All],[Last]],MATCH(A140,Table3[[#All],[PID]],0)))</f>
        <v>Snyder</v>
      </c>
      <c r="G140" s="56">
        <f>IF($C140="B",INDEX(Batters[[#All],[Age]],MATCH(Table5[[#This Row],[PID]],Batters[[#All],[PID]],0)),INDEX(Table3[[#All],[Age]],MATCH(Table5[[#This Row],[PID]],Table3[[#All],[PID]],0)))</f>
        <v>21</v>
      </c>
      <c r="H140" s="52" t="str">
        <f>IF($C140="B",INDEX(Batters[[#All],[B]],MATCH(Table5[[#This Row],[PID]],Batters[[#All],[PID]],0)),INDEX(Table3[[#All],[B]],MATCH(Table5[[#This Row],[PID]],Table3[[#All],[PID]],0)))</f>
        <v>L</v>
      </c>
      <c r="I140" s="52" t="str">
        <f>IF($C140="B",INDEX(Batters[[#All],[T]],MATCH(Table5[[#This Row],[PID]],Batters[[#All],[PID]],0)),INDEX(Table3[[#All],[T]],MATCH(Table5[[#This Row],[PID]],Table3[[#All],[PID]],0)))</f>
        <v>L</v>
      </c>
      <c r="J140" s="52" t="str">
        <f>IF($C140="B",INDEX(Batters[[#All],[WE]],MATCH(Table5[[#This Row],[PID]],Batters[[#All],[PID]],0)),INDEX(Table3[[#All],[WE]],MATCH(Table5[[#This Row],[PID]],Table3[[#All],[PID]],0)))</f>
        <v>High</v>
      </c>
      <c r="K140" s="52" t="str">
        <f>IF($C140="B",INDEX(Batters[[#All],[INT]],MATCH(Table5[[#This Row],[PID]],Batters[[#All],[PID]],0)),INDEX(Table3[[#All],[INT]],MATCH(Table5[[#This Row],[PID]],Table3[[#All],[PID]],0)))</f>
        <v>Normal</v>
      </c>
      <c r="L140" s="60">
        <f>IF($C140="B",INDEX(Batters[[#All],[CON P]],MATCH(Table5[[#This Row],[PID]],Batters[[#All],[PID]],0)),INDEX(Table3[[#All],[STU P]],MATCH(Table5[[#This Row],[PID]],Table3[[#All],[PID]],0)))</f>
        <v>4</v>
      </c>
      <c r="M140" s="56">
        <f>IF($C140="B",INDEX(Batters[[#All],[GAP P]],MATCH(Table5[[#This Row],[PID]],Batters[[#All],[PID]],0)),INDEX(Table3[[#All],[MOV P]],MATCH(Table5[[#This Row],[PID]],Table3[[#All],[PID]],0)))</f>
        <v>6</v>
      </c>
      <c r="N140" s="56">
        <f>IF($C140="B",INDEX(Batters[[#All],[POW P]],MATCH(Table5[[#This Row],[PID]],Batters[[#All],[PID]],0)),INDEX(Table3[[#All],[CON P]],MATCH(Table5[[#This Row],[PID]],Table3[[#All],[PID]],0)))</f>
        <v>7</v>
      </c>
      <c r="O140" s="56">
        <f>IF($C140="B",INDEX(Batters[[#All],[EYE P]],MATCH(Table5[[#This Row],[PID]],Batters[[#All],[PID]],0)),INDEX(Table3[[#All],[VELO]],MATCH(Table5[[#This Row],[PID]],Table3[[#All],[PID]],0)))</f>
        <v>5</v>
      </c>
      <c r="P140" s="56">
        <f>IF($C140="B",INDEX(Batters[[#All],[K P]],MATCH(Table5[[#This Row],[PID]],Batters[[#All],[PID]],0)),INDEX(Table3[[#All],[STM]],MATCH(Table5[[#This Row],[PID]],Table3[[#All],[PID]],0)))</f>
        <v>3</v>
      </c>
      <c r="Q140" s="61">
        <f>IF($C140="B",INDEX(Batters[[#All],[Tot]],MATCH(Table5[[#This Row],[PID]],Batters[[#All],[PID]],0)),INDEX(Table3[[#All],[Tot]],MATCH(Table5[[#This Row],[PID]],Table3[[#All],[PID]],0)))</f>
        <v>46.430799700305847</v>
      </c>
      <c r="R140" s="52">
        <f>IF($C140="B",INDEX(Batters[[#All],[zScore]],MATCH(Table5[[#This Row],[PID]],Batters[[#All],[PID]],0)),INDEX(Table3[[#All],[zScore]],MATCH(Table5[[#This Row],[PID]],Table3[[#All],[PID]],0)))</f>
        <v>0.50967279612290506</v>
      </c>
      <c r="S140" s="58" t="str">
        <f>IF($C140="B",INDEX(Batters[[#All],[DEM]],MATCH(Table5[[#This Row],[PID]],Batters[[#All],[PID]],0)),INDEX(Table3[[#All],[DEM]],MATCH(Table5[[#This Row],[PID]],Table3[[#All],[PID]],0)))</f>
        <v>-</v>
      </c>
      <c r="T140" s="62">
        <f>IF($C140="B",INDEX(Batters[[#All],[Rnk]],MATCH(Table5[[#This Row],[PID]],Batters[[#All],[PID]],0)),INDEX(Table3[[#All],[Rnk]],MATCH(Table5[[#This Row],[PID]],Table3[[#All],[PID]],0)))</f>
        <v>150</v>
      </c>
      <c r="U140" s="68">
        <f>IF($C140="B",VLOOKUP($A140,Bat!$A$4:$BA$1621,47,FALSE),VLOOKUP($A140,Pit!$A$4:$BF$1557,56,FALSE))</f>
        <v>0</v>
      </c>
      <c r="V140" s="50">
        <f>IF($C140="B",VLOOKUP($A140,Bat!$A$4:$BA$1621,48,FALSE),VLOOKUP($A140,Pit!$A$4:$BF$1557,57,FALSE))</f>
        <v>0</v>
      </c>
      <c r="W140" s="50">
        <f>Table5[[#This Row],[posRnk]]+Table5[[#This Row],[zRnk]]+IF($W$3&lt;&gt;Table5[[#This Row],[Type]],50,0)</f>
        <v>565</v>
      </c>
      <c r="X140" s="51">
        <f>RANK(Table5[[#This Row],[zScore]],Table5[[#All],[zScore]])</f>
        <v>365</v>
      </c>
      <c r="Y140" s="50">
        <f>IFERROR(INDEX(DraftResults[[#All],[OVR]],MATCH(Table5[[#This Row],[PID]],DraftResults[[#All],[Player ID]],0)),"")</f>
        <v>136</v>
      </c>
      <c r="Z1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0" s="50">
        <f>IFERROR(INDEX(DraftResults[[#All],[Pick in Round]],MATCH(Table5[[#This Row],[PID]],DraftResults[[#All],[Player ID]],0)),"")</f>
        <v>8</v>
      </c>
      <c r="AB140" s="50" t="str">
        <f>IFERROR(INDEX(DraftResults[[#All],[Team Name]],MATCH(Table5[[#This Row],[PID]],DraftResults[[#All],[Player ID]],0)),"")</f>
        <v>Scottish Claymores</v>
      </c>
      <c r="AC140" s="50">
        <f>IF(Table5[[#This Row],[Ovr]]="","",IF(Table5[[#This Row],[cmbList]]="","",Table5[[#This Row],[cmbList]]-Table5[[#This Row],[Ovr]]))</f>
        <v>429</v>
      </c>
      <c r="AD140" s="54" t="str">
        <f>IF(ISERROR(VLOOKUP($AB140&amp;"-"&amp;$E140&amp;" "&amp;F140,Bonuses!$B$1:$G$1006,4,FALSE)),"",INT(VLOOKUP($AB140&amp;"-"&amp;$E140&amp;" "&amp;$F140,Bonuses!$B$1:$G$1006,4,FALSE)))</f>
        <v/>
      </c>
      <c r="AE1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5.8 (136) - RF Bradley Snyder</v>
      </c>
    </row>
    <row r="141" spans="1:31" s="50" customFormat="1" x14ac:dyDescent="0.25">
      <c r="A141" s="50">
        <v>18419</v>
      </c>
      <c r="B141" s="50">
        <f>COUNTIF(Table5[PID],A141)</f>
        <v>1</v>
      </c>
      <c r="C141" s="50" t="str">
        <f>IF(COUNTIF(Table3[[#All],[PID]],A141)&gt;0,"P","B")</f>
        <v>B</v>
      </c>
      <c r="D141" s="59" t="str">
        <f>IF($C141="B",INDEX(Batters[[#All],[POS]],MATCH(Table5[[#This Row],[PID]],Batters[[#All],[PID]],0)),INDEX(Table3[[#All],[POS]],MATCH(Table5[[#This Row],[PID]],Table3[[#All],[PID]],0)))</f>
        <v>SS</v>
      </c>
      <c r="E141" s="52" t="str">
        <f>IF($C141="B",INDEX(Batters[[#All],[First]],MATCH(Table5[[#This Row],[PID]],Batters[[#All],[PID]],0)),INDEX(Table3[[#All],[First]],MATCH(Table5[[#This Row],[PID]],Table3[[#All],[PID]],0)))</f>
        <v>Billy</v>
      </c>
      <c r="F141" s="50" t="str">
        <f>IF($C141="B",INDEX(Batters[[#All],[Last]],MATCH(A141,Batters[[#All],[PID]],0)),INDEX(Table3[[#All],[Last]],MATCH(A141,Table3[[#All],[PID]],0)))</f>
        <v>Norrish</v>
      </c>
      <c r="G141" s="56">
        <f>IF($C141="B",INDEX(Batters[[#All],[Age]],MATCH(Table5[[#This Row],[PID]],Batters[[#All],[PID]],0)),INDEX(Table3[[#All],[Age]],MATCH(Table5[[#This Row],[PID]],Table3[[#All],[PID]],0)))</f>
        <v>18</v>
      </c>
      <c r="H141" s="52" t="str">
        <f>IF($C141="B",INDEX(Batters[[#All],[B]],MATCH(Table5[[#This Row],[PID]],Batters[[#All],[PID]],0)),INDEX(Table3[[#All],[B]],MATCH(Table5[[#This Row],[PID]],Table3[[#All],[PID]],0)))</f>
        <v>L</v>
      </c>
      <c r="I141" s="52" t="str">
        <f>IF($C141="B",INDEX(Batters[[#All],[T]],MATCH(Table5[[#This Row],[PID]],Batters[[#All],[PID]],0)),INDEX(Table3[[#All],[T]],MATCH(Table5[[#This Row],[PID]],Table3[[#All],[PID]],0)))</f>
        <v>R</v>
      </c>
      <c r="J141" s="52" t="str">
        <f>IF($C141="B",INDEX(Batters[[#All],[WE]],MATCH(Table5[[#This Row],[PID]],Batters[[#All],[PID]],0)),INDEX(Table3[[#All],[WE]],MATCH(Table5[[#This Row],[PID]],Table3[[#All],[PID]],0)))</f>
        <v>High</v>
      </c>
      <c r="K141" s="52" t="str">
        <f>IF($C141="B",INDEX(Batters[[#All],[INT]],MATCH(Table5[[#This Row],[PID]],Batters[[#All],[PID]],0)),INDEX(Table3[[#All],[INT]],MATCH(Table5[[#This Row],[PID]],Table3[[#All],[PID]],0)))</f>
        <v>Normal</v>
      </c>
      <c r="L141" s="60">
        <f>IF($C141="B",INDEX(Batters[[#All],[CON P]],MATCH(Table5[[#This Row],[PID]],Batters[[#All],[PID]],0)),INDEX(Table3[[#All],[STU P]],MATCH(Table5[[#This Row],[PID]],Table3[[#All],[PID]],0)))</f>
        <v>4</v>
      </c>
      <c r="M141" s="56">
        <f>IF($C141="B",INDEX(Batters[[#All],[GAP P]],MATCH(Table5[[#This Row],[PID]],Batters[[#All],[PID]],0)),INDEX(Table3[[#All],[MOV P]],MATCH(Table5[[#This Row],[PID]],Table3[[#All],[PID]],0)))</f>
        <v>6</v>
      </c>
      <c r="N141" s="56">
        <f>IF($C141="B",INDEX(Batters[[#All],[POW P]],MATCH(Table5[[#This Row],[PID]],Batters[[#All],[PID]],0)),INDEX(Table3[[#All],[CON P]],MATCH(Table5[[#This Row],[PID]],Table3[[#All],[PID]],0)))</f>
        <v>5</v>
      </c>
      <c r="O141" s="56">
        <f>IF($C141="B",INDEX(Batters[[#All],[EYE P]],MATCH(Table5[[#This Row],[PID]],Batters[[#All],[PID]],0)),INDEX(Table3[[#All],[VELO]],MATCH(Table5[[#This Row],[PID]],Table3[[#All],[PID]],0)))</f>
        <v>6</v>
      </c>
      <c r="P141" s="56">
        <f>IF($C141="B",INDEX(Batters[[#All],[K P]],MATCH(Table5[[#This Row],[PID]],Batters[[#All],[PID]],0)),INDEX(Table3[[#All],[STM]],MATCH(Table5[[#This Row],[PID]],Table3[[#All],[PID]],0)))</f>
        <v>4</v>
      </c>
      <c r="Q141" s="61">
        <f>IF($C141="B",INDEX(Batters[[#All],[Tot]],MATCH(Table5[[#This Row],[PID]],Batters[[#All],[PID]],0)),INDEX(Table3[[#All],[Tot]],MATCH(Table5[[#This Row],[PID]],Table3[[#All],[PID]],0)))</f>
        <v>51.299878774658431</v>
      </c>
      <c r="R141" s="52">
        <f>IF($C141="B",INDEX(Batters[[#All],[zScore]],MATCH(Table5[[#This Row],[PID]],Batters[[#All],[PID]],0)),INDEX(Table3[[#All],[zScore]],MATCH(Table5[[#This Row],[PID]],Table3[[#All],[PID]],0)))</f>
        <v>1.5891805388269493</v>
      </c>
      <c r="S141" s="58" t="str">
        <f>IF($C141="B",INDEX(Batters[[#All],[DEM]],MATCH(Table5[[#This Row],[PID]],Batters[[#All],[PID]],0)),INDEX(Table3[[#All],[DEM]],MATCH(Table5[[#This Row],[PID]],Table3[[#All],[PID]],0)))</f>
        <v>$200k</v>
      </c>
      <c r="T141" s="62">
        <f>IF($C141="B",INDEX(Batters[[#All],[Rnk]],MATCH(Table5[[#This Row],[PID]],Batters[[#All],[PID]],0)),INDEX(Table3[[#All],[Rnk]],MATCH(Table5[[#This Row],[PID]],Table3[[#All],[PID]],0)))</f>
        <v>38</v>
      </c>
      <c r="U141" s="68">
        <f>IF($C141="B",VLOOKUP($A141,Bat!$A$4:$BA$1621,47,FALSE),VLOOKUP($A141,Pit!$A$4:$BF$1557,56,FALSE))</f>
        <v>0</v>
      </c>
      <c r="V141" s="50">
        <f>IF($C141="B",VLOOKUP($A141,Bat!$A$4:$BA$1621,48,FALSE),VLOOKUP($A141,Pit!$A$4:$BF$1557,57,FALSE))</f>
        <v>0</v>
      </c>
      <c r="W141" s="50">
        <f>Table5[[#This Row],[posRnk]]+Table5[[#This Row],[zRnk]]+IF($W$3&lt;&gt;Table5[[#This Row],[Type]],50,0)</f>
        <v>191</v>
      </c>
      <c r="X141" s="51">
        <f>RANK(Table5[[#This Row],[zScore]],Table5[[#All],[zScore]])</f>
        <v>103</v>
      </c>
      <c r="Y141" s="50">
        <f>IFERROR(INDEX(DraftResults[[#All],[OVR]],MATCH(Table5[[#This Row],[PID]],DraftResults[[#All],[Player ID]],0)),"")</f>
        <v>137</v>
      </c>
      <c r="Z1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1" s="50">
        <f>IFERROR(INDEX(DraftResults[[#All],[Pick in Round]],MATCH(Table5[[#This Row],[PID]],DraftResults[[#All],[Player ID]],0)),"")</f>
        <v>9</v>
      </c>
      <c r="AB141" s="50" t="str">
        <f>IFERROR(INDEX(DraftResults[[#All],[Team Name]],MATCH(Table5[[#This Row],[PID]],DraftResults[[#All],[Player ID]],0)),"")</f>
        <v>Hartford Harpoon</v>
      </c>
      <c r="AC141" s="50">
        <f>IF(Table5[[#This Row],[Ovr]]="","",IF(Table5[[#This Row],[cmbList]]="","",Table5[[#This Row],[cmbList]]-Table5[[#This Row],[Ovr]]))</f>
        <v>54</v>
      </c>
      <c r="AD141" s="54" t="str">
        <f>IF(ISERROR(VLOOKUP($AB141&amp;"-"&amp;$E141&amp;" "&amp;F141,Bonuses!$B$1:$G$1006,4,FALSE)),"",INT(VLOOKUP($AB141&amp;"-"&amp;$E141&amp;" "&amp;$F141,Bonuses!$B$1:$G$1006,4,FALSE)))</f>
        <v/>
      </c>
      <c r="AE1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5.9 (137) - SS Billy Norrish</v>
      </c>
    </row>
    <row r="142" spans="1:31" s="50" customFormat="1" x14ac:dyDescent="0.25">
      <c r="A142" s="50">
        <v>20739</v>
      </c>
      <c r="B142" s="50">
        <f>COUNTIF(Table5[PID],A142)</f>
        <v>1</v>
      </c>
      <c r="C142" s="50" t="str">
        <f>IF(COUNTIF(Table3[[#All],[PID]],A142)&gt;0,"P","B")</f>
        <v>B</v>
      </c>
      <c r="D142" s="59" t="str">
        <f>IF($C142="B",INDEX(Batters[[#All],[POS]],MATCH(Table5[[#This Row],[PID]],Batters[[#All],[PID]],0)),INDEX(Table3[[#All],[POS]],MATCH(Table5[[#This Row],[PID]],Table3[[#All],[PID]],0)))</f>
        <v>C</v>
      </c>
      <c r="E142" s="52" t="str">
        <f>IF($C142="B",INDEX(Batters[[#All],[First]],MATCH(Table5[[#This Row],[PID]],Batters[[#All],[PID]],0)),INDEX(Table3[[#All],[First]],MATCH(Table5[[#This Row],[PID]],Table3[[#All],[PID]],0)))</f>
        <v>Marshall</v>
      </c>
      <c r="F142" s="50" t="str">
        <f>IF($C142="B",INDEX(Batters[[#All],[Last]],MATCH(A142,Batters[[#All],[PID]],0)),INDEX(Table3[[#All],[Last]],MATCH(A142,Table3[[#All],[PID]],0)))</f>
        <v>Harper</v>
      </c>
      <c r="G142" s="56">
        <f>IF($C142="B",INDEX(Batters[[#All],[Age]],MATCH(Table5[[#This Row],[PID]],Batters[[#All],[PID]],0)),INDEX(Table3[[#All],[Age]],MATCH(Table5[[#This Row],[PID]],Table3[[#All],[PID]],0)))</f>
        <v>16</v>
      </c>
      <c r="H142" s="52" t="str">
        <f>IF($C142="B",INDEX(Batters[[#All],[B]],MATCH(Table5[[#This Row],[PID]],Batters[[#All],[PID]],0)),INDEX(Table3[[#All],[B]],MATCH(Table5[[#This Row],[PID]],Table3[[#All],[PID]],0)))</f>
        <v>R</v>
      </c>
      <c r="I142" s="52" t="str">
        <f>IF($C142="B",INDEX(Batters[[#All],[T]],MATCH(Table5[[#This Row],[PID]],Batters[[#All],[PID]],0)),INDEX(Table3[[#All],[T]],MATCH(Table5[[#This Row],[PID]],Table3[[#All],[PID]],0)))</f>
        <v>R</v>
      </c>
      <c r="J142" s="52" t="str">
        <f>IF($C142="B",INDEX(Batters[[#All],[WE]],MATCH(Table5[[#This Row],[PID]],Batters[[#All],[PID]],0)),INDEX(Table3[[#All],[WE]],MATCH(Table5[[#This Row],[PID]],Table3[[#All],[PID]],0)))</f>
        <v>Normal</v>
      </c>
      <c r="K142" s="52" t="str">
        <f>IF($C142="B",INDEX(Batters[[#All],[INT]],MATCH(Table5[[#This Row],[PID]],Batters[[#All],[PID]],0)),INDEX(Table3[[#All],[INT]],MATCH(Table5[[#This Row],[PID]],Table3[[#All],[PID]],0)))</f>
        <v>Normal</v>
      </c>
      <c r="L142" s="60">
        <f>IF($C142="B",INDEX(Batters[[#All],[CON P]],MATCH(Table5[[#This Row],[PID]],Batters[[#All],[PID]],0)),INDEX(Table3[[#All],[STU P]],MATCH(Table5[[#This Row],[PID]],Table3[[#All],[PID]],0)))</f>
        <v>4</v>
      </c>
      <c r="M142" s="56">
        <f>IF($C142="B",INDEX(Batters[[#All],[GAP P]],MATCH(Table5[[#This Row],[PID]],Batters[[#All],[PID]],0)),INDEX(Table3[[#All],[MOV P]],MATCH(Table5[[#This Row],[PID]],Table3[[#All],[PID]],0)))</f>
        <v>6</v>
      </c>
      <c r="N142" s="56">
        <f>IF($C142="B",INDEX(Batters[[#All],[POW P]],MATCH(Table5[[#This Row],[PID]],Batters[[#All],[PID]],0)),INDEX(Table3[[#All],[CON P]],MATCH(Table5[[#This Row],[PID]],Table3[[#All],[PID]],0)))</f>
        <v>3</v>
      </c>
      <c r="O142" s="56">
        <f>IF($C142="B",INDEX(Batters[[#All],[EYE P]],MATCH(Table5[[#This Row],[PID]],Batters[[#All],[PID]],0)),INDEX(Table3[[#All],[VELO]],MATCH(Table5[[#This Row],[PID]],Table3[[#All],[PID]],0)))</f>
        <v>4</v>
      </c>
      <c r="P142" s="56">
        <f>IF($C142="B",INDEX(Batters[[#All],[K P]],MATCH(Table5[[#This Row],[PID]],Batters[[#All],[PID]],0)),INDEX(Table3[[#All],[STM]],MATCH(Table5[[#This Row],[PID]],Table3[[#All],[PID]],0)))</f>
        <v>6</v>
      </c>
      <c r="Q142" s="61">
        <f>IF($C142="B",INDEX(Batters[[#All],[Tot]],MATCH(Table5[[#This Row],[PID]],Batters[[#All],[PID]],0)),INDEX(Table3[[#All],[Tot]],MATCH(Table5[[#This Row],[PID]],Table3[[#All],[PID]],0)))</f>
        <v>47.09646216479441</v>
      </c>
      <c r="R142" s="52">
        <f>IF($C142="B",INDEX(Batters[[#All],[zScore]],MATCH(Table5[[#This Row],[PID]],Batters[[#All],[PID]],0)),INDEX(Table3[[#All],[zScore]],MATCH(Table5[[#This Row],[PID]],Table3[[#All],[PID]],0)))</f>
        <v>0.65725466396069654</v>
      </c>
      <c r="S142" s="58" t="str">
        <f>IF($C142="B",INDEX(Batters[[#All],[DEM]],MATCH(Table5[[#This Row],[PID]],Batters[[#All],[PID]],0)),INDEX(Table3[[#All],[DEM]],MATCH(Table5[[#This Row],[PID]],Table3[[#All],[PID]],0)))</f>
        <v>$65k</v>
      </c>
      <c r="T142" s="62">
        <f>IF($C142="B",INDEX(Batters[[#All],[Rnk]],MATCH(Table5[[#This Row],[PID]],Batters[[#All],[PID]],0)),INDEX(Table3[[#All],[Rnk]],MATCH(Table5[[#This Row],[PID]],Table3[[#All],[PID]],0)))</f>
        <v>126</v>
      </c>
      <c r="U142" s="68">
        <f>IF($C142="B",VLOOKUP($A142,Bat!$A$4:$BA$1621,47,FALSE),VLOOKUP($A142,Pit!$A$4:$BF$1557,56,FALSE))</f>
        <v>0</v>
      </c>
      <c r="V142" s="50">
        <f>IF($C142="B",VLOOKUP($A142,Bat!$A$4:$BA$1621,48,FALSE),VLOOKUP($A142,Pit!$A$4:$BF$1557,57,FALSE))</f>
        <v>0</v>
      </c>
      <c r="W142" s="50">
        <f>Table5[[#This Row],[posRnk]]+Table5[[#This Row],[zRnk]]+IF($W$3&lt;&gt;Table5[[#This Row],[Type]],50,0)</f>
        <v>495</v>
      </c>
      <c r="X142" s="51">
        <f>RANK(Table5[[#This Row],[zScore]],Table5[[#All],[zScore]])</f>
        <v>319</v>
      </c>
      <c r="Y142" s="50">
        <f>IFERROR(INDEX(DraftResults[[#All],[OVR]],MATCH(Table5[[#This Row],[PID]],DraftResults[[#All],[Player ID]],0)),"")</f>
        <v>138</v>
      </c>
      <c r="Z1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2" s="50">
        <f>IFERROR(INDEX(DraftResults[[#All],[Pick in Round]],MATCH(Table5[[#This Row],[PID]],DraftResults[[#All],[Player ID]],0)),"")</f>
        <v>10</v>
      </c>
      <c r="AB142" s="50" t="str">
        <f>IFERROR(INDEX(DraftResults[[#All],[Team Name]],MATCH(Table5[[#This Row],[PID]],DraftResults[[#All],[Player ID]],0)),"")</f>
        <v>Duluth Warriors</v>
      </c>
      <c r="AC142" s="50">
        <f>IF(Table5[[#This Row],[Ovr]]="","",IF(Table5[[#This Row],[cmbList]]="","",Table5[[#This Row],[cmbList]]-Table5[[#This Row],[Ovr]]))</f>
        <v>357</v>
      </c>
      <c r="AD142" s="54" t="str">
        <f>IF(ISERROR(VLOOKUP($AB142&amp;"-"&amp;$E142&amp;" "&amp;F142,Bonuses!$B$1:$G$1006,4,FALSE)),"",INT(VLOOKUP($AB142&amp;"-"&amp;$E142&amp;" "&amp;$F142,Bonuses!$B$1:$G$1006,4,FALSE)))</f>
        <v/>
      </c>
      <c r="AE1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5.10 (138) - C Marshall Harper</v>
      </c>
    </row>
    <row r="143" spans="1:31" s="50" customFormat="1" x14ac:dyDescent="0.25">
      <c r="A143" s="68">
        <v>18335</v>
      </c>
      <c r="B143" s="69">
        <f>COUNTIF(Table5[PID],A143)</f>
        <v>1</v>
      </c>
      <c r="C143" s="69" t="str">
        <f>IF(COUNTIF(Table3[[#All],[PID]],A143)&gt;0,"P","B")</f>
        <v>P</v>
      </c>
      <c r="D143" s="59" t="str">
        <f>IF($C143="B",INDEX(Batters[[#All],[POS]],MATCH(Table5[[#This Row],[PID]],Batters[[#All],[PID]],0)),INDEX(Table3[[#All],[POS]],MATCH(Table5[[#This Row],[PID]],Table3[[#All],[PID]],0)))</f>
        <v>SP</v>
      </c>
      <c r="E143" s="52" t="str">
        <f>IF($C143="B",INDEX(Batters[[#All],[First]],MATCH(Table5[[#This Row],[PID]],Batters[[#All],[PID]],0)),INDEX(Table3[[#All],[First]],MATCH(Table5[[#This Row],[PID]],Table3[[#All],[PID]],0)))</f>
        <v>Shimei</v>
      </c>
      <c r="F143" s="55" t="str">
        <f>IF($C143="B",INDEX(Batters[[#All],[Last]],MATCH(A143,Batters[[#All],[PID]],0)),INDEX(Table3[[#All],[Last]],MATCH(A143,Table3[[#All],[PID]],0)))</f>
        <v>Oyama</v>
      </c>
      <c r="G143" s="56">
        <f>IF($C143="B",INDEX(Batters[[#All],[Age]],MATCH(Table5[[#This Row],[PID]],Batters[[#All],[PID]],0)),INDEX(Table3[[#All],[Age]],MATCH(Table5[[#This Row],[PID]],Table3[[#All],[PID]],0)))</f>
        <v>18</v>
      </c>
      <c r="H143" s="52" t="str">
        <f>IF($C143="B",INDEX(Batters[[#All],[B]],MATCH(Table5[[#This Row],[PID]],Batters[[#All],[PID]],0)),INDEX(Table3[[#All],[B]],MATCH(Table5[[#This Row],[PID]],Table3[[#All],[PID]],0)))</f>
        <v>R</v>
      </c>
      <c r="I143" s="52" t="str">
        <f>IF($C143="B",INDEX(Batters[[#All],[T]],MATCH(Table5[[#This Row],[PID]],Batters[[#All],[PID]],0)),INDEX(Table3[[#All],[T]],MATCH(Table5[[#This Row],[PID]],Table3[[#All],[PID]],0)))</f>
        <v>R</v>
      </c>
      <c r="J143" s="71" t="str">
        <f>IF($C143="B",INDEX(Batters[[#All],[WE]],MATCH(Table5[[#This Row],[PID]],Batters[[#All],[PID]],0)),INDEX(Table3[[#All],[WE]],MATCH(Table5[[#This Row],[PID]],Table3[[#All],[PID]],0)))</f>
        <v>Normal</v>
      </c>
      <c r="K143" s="52" t="str">
        <f>IF($C143="B",INDEX(Batters[[#All],[INT]],MATCH(Table5[[#This Row],[PID]],Batters[[#All],[PID]],0)),INDEX(Table3[[#All],[INT]],MATCH(Table5[[#This Row],[PID]],Table3[[#All],[PID]],0)))</f>
        <v>Normal</v>
      </c>
      <c r="L143" s="60">
        <f>IF($C143="B",INDEX(Batters[[#All],[CON P]],MATCH(Table5[[#This Row],[PID]],Batters[[#All],[PID]],0)),INDEX(Table3[[#All],[STU P]],MATCH(Table5[[#This Row],[PID]],Table3[[#All],[PID]],0)))</f>
        <v>5</v>
      </c>
      <c r="M143" s="72">
        <f>IF($C143="B",INDEX(Batters[[#All],[GAP P]],MATCH(Table5[[#This Row],[PID]],Batters[[#All],[PID]],0)),INDEX(Table3[[#All],[MOV P]],MATCH(Table5[[#This Row],[PID]],Table3[[#All],[PID]],0)))</f>
        <v>5</v>
      </c>
      <c r="N143" s="72">
        <f>IF($C143="B",INDEX(Batters[[#All],[POW P]],MATCH(Table5[[#This Row],[PID]],Batters[[#All],[PID]],0)),INDEX(Table3[[#All],[CON P]],MATCH(Table5[[#This Row],[PID]],Table3[[#All],[PID]],0)))</f>
        <v>5</v>
      </c>
      <c r="O143" s="72" t="str">
        <f>IF($C143="B",INDEX(Batters[[#All],[EYE P]],MATCH(Table5[[#This Row],[PID]],Batters[[#All],[PID]],0)),INDEX(Table3[[#All],[VELO]],MATCH(Table5[[#This Row],[PID]],Table3[[#All],[PID]],0)))</f>
        <v>95-97 Mph</v>
      </c>
      <c r="P143" s="56">
        <f>IF($C143="B",INDEX(Batters[[#All],[K P]],MATCH(Table5[[#This Row],[PID]],Batters[[#All],[PID]],0)),INDEX(Table3[[#All],[STM]],MATCH(Table5[[#This Row],[PID]],Table3[[#All],[PID]],0)))</f>
        <v>8</v>
      </c>
      <c r="Q143" s="61">
        <f>IF($C143="B",INDEX(Batters[[#All],[Tot]],MATCH(Table5[[#This Row],[PID]],Batters[[#All],[PID]],0)),INDEX(Table3[[#All],[Tot]],MATCH(Table5[[#This Row],[PID]],Table3[[#All],[PID]],0)))</f>
        <v>62.830870401241782</v>
      </c>
      <c r="R143" s="52">
        <f>IF($C143="B",INDEX(Batters[[#All],[zScore]],MATCH(Table5[[#This Row],[PID]],Batters[[#All],[PID]],0)),INDEX(Table3[[#All],[zScore]],MATCH(Table5[[#This Row],[PID]],Table3[[#All],[PID]],0)))</f>
        <v>1.7936305118131657</v>
      </c>
      <c r="S143" s="78" t="str">
        <f>IF($C143="B",INDEX(Batters[[#All],[DEM]],MATCH(Table5[[#This Row],[PID]],Batters[[#All],[PID]],0)),INDEX(Table3[[#All],[DEM]],MATCH(Table5[[#This Row],[PID]],Table3[[#All],[PID]],0)))</f>
        <v>$3.0m</v>
      </c>
      <c r="T143" s="75">
        <f>IF($C143="B",INDEX(Batters[[#All],[Rnk]],MATCH(Table5[[#This Row],[PID]],Batters[[#All],[PID]],0)),INDEX(Table3[[#All],[Rnk]],MATCH(Table5[[#This Row],[PID]],Table3[[#All],[PID]],0)))</f>
        <v>45</v>
      </c>
      <c r="U143" s="68">
        <f>IF($C143="B",VLOOKUP($A143,Bat!$A$4:$BA$1621,47,FALSE),VLOOKUP($A143,Pit!$A$4:$BF$1557,56,FALSE))</f>
        <v>0</v>
      </c>
      <c r="V143" s="50">
        <f>IF($C143="B",VLOOKUP($A143,Bat!$A$4:$BA$1621,48,FALSE),VLOOKUP($A143,Pit!$A$4:$BF$1557,57,FALSE))</f>
        <v>0</v>
      </c>
      <c r="W143" s="69">
        <f>Table5[[#This Row],[posRnk]]+Table5[[#This Row],[zRnk]]+IF($W$3&lt;&gt;Table5[[#This Row],[Type]],50,0)</f>
        <v>165</v>
      </c>
      <c r="X143" s="73">
        <f>RANK(Table5[[#This Row],[zScore]],Table5[[#All],[zScore]])</f>
        <v>70</v>
      </c>
      <c r="Y143" s="69">
        <f>IFERROR(INDEX(DraftResults[[#All],[OVR]],MATCH(Table5[[#This Row],[PID]],DraftResults[[#All],[Player ID]],0)),"")</f>
        <v>139</v>
      </c>
      <c r="Z14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3" s="69">
        <f>IFERROR(INDEX(DraftResults[[#All],[Pick in Round]],MATCH(Table5[[#This Row],[PID]],DraftResults[[#All],[Player ID]],0)),"")</f>
        <v>11</v>
      </c>
      <c r="AB143" s="69" t="str">
        <f>IFERROR(INDEX(DraftResults[[#All],[Team Name]],MATCH(Table5[[#This Row],[PID]],DraftResults[[#All],[Player ID]],0)),"")</f>
        <v>Palm Springs Codgers</v>
      </c>
      <c r="AC143" s="69">
        <f>IF(Table5[[#This Row],[Ovr]]="","",IF(Table5[[#This Row],[cmbList]]="","",Table5[[#This Row],[cmbList]]-Table5[[#This Row],[Ovr]]))</f>
        <v>26</v>
      </c>
      <c r="AD143" s="77" t="str">
        <f>IF(ISERROR(VLOOKUP($AB143&amp;"-"&amp;$E143&amp;" "&amp;F143,Bonuses!$B$1:$G$1006,4,FALSE)),"",INT(VLOOKUP($AB143&amp;"-"&amp;$E143&amp;" "&amp;$F143,Bonuses!$B$1:$G$1006,4,FALSE)))</f>
        <v/>
      </c>
      <c r="AE14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5.11 (139) - SP Shimei Oyama</v>
      </c>
    </row>
    <row r="144" spans="1:31" s="50" customFormat="1" x14ac:dyDescent="0.25">
      <c r="A144" s="50">
        <v>18264</v>
      </c>
      <c r="B144" s="50">
        <f>COUNTIF(Table5[PID],A144)</f>
        <v>1</v>
      </c>
      <c r="C144" s="50" t="str">
        <f>IF(COUNTIF(Table3[[#All],[PID]],A144)&gt;0,"P","B")</f>
        <v>B</v>
      </c>
      <c r="D144" s="59" t="str">
        <f>IF($C144="B",INDEX(Batters[[#All],[POS]],MATCH(Table5[[#This Row],[PID]],Batters[[#All],[PID]],0)),INDEX(Table3[[#All],[POS]],MATCH(Table5[[#This Row],[PID]],Table3[[#All],[PID]],0)))</f>
        <v>CF</v>
      </c>
      <c r="E144" s="52" t="str">
        <f>IF($C144="B",INDEX(Batters[[#All],[First]],MATCH(Table5[[#This Row],[PID]],Batters[[#All],[PID]],0)),INDEX(Table3[[#All],[First]],MATCH(Table5[[#This Row],[PID]],Table3[[#All],[PID]],0)))</f>
        <v>Bill</v>
      </c>
      <c r="F144" s="50" t="str">
        <f>IF($C144="B",INDEX(Batters[[#All],[Last]],MATCH(A144,Batters[[#All],[PID]],0)),INDEX(Table3[[#All],[Last]],MATCH(A144,Table3[[#All],[PID]],0)))</f>
        <v>Flynn</v>
      </c>
      <c r="G144" s="56">
        <f>IF($C144="B",INDEX(Batters[[#All],[Age]],MATCH(Table5[[#This Row],[PID]],Batters[[#All],[PID]],0)),INDEX(Table3[[#All],[Age]],MATCH(Table5[[#This Row],[PID]],Table3[[#All],[PID]],0)))</f>
        <v>18</v>
      </c>
      <c r="H144" s="52" t="str">
        <f>IF($C144="B",INDEX(Batters[[#All],[B]],MATCH(Table5[[#This Row],[PID]],Batters[[#All],[PID]],0)),INDEX(Table3[[#All],[B]],MATCH(Table5[[#This Row],[PID]],Table3[[#All],[PID]],0)))</f>
        <v>R</v>
      </c>
      <c r="I144" s="52" t="str">
        <f>IF($C144="B",INDEX(Batters[[#All],[T]],MATCH(Table5[[#This Row],[PID]],Batters[[#All],[PID]],0)),INDEX(Table3[[#All],[T]],MATCH(Table5[[#This Row],[PID]],Table3[[#All],[PID]],0)))</f>
        <v>R</v>
      </c>
      <c r="J144" s="52" t="str">
        <f>IF($C144="B",INDEX(Batters[[#All],[WE]],MATCH(Table5[[#This Row],[PID]],Batters[[#All],[PID]],0)),INDEX(Table3[[#All],[WE]],MATCH(Table5[[#This Row],[PID]],Table3[[#All],[PID]],0)))</f>
        <v>Normal</v>
      </c>
      <c r="K144" s="52" t="str">
        <f>IF($C144="B",INDEX(Batters[[#All],[INT]],MATCH(Table5[[#This Row],[PID]],Batters[[#All],[PID]],0)),INDEX(Table3[[#All],[INT]],MATCH(Table5[[#This Row],[PID]],Table3[[#All],[PID]],0)))</f>
        <v>Normal</v>
      </c>
      <c r="L144" s="60">
        <f>IF($C144="B",INDEX(Batters[[#All],[CON P]],MATCH(Table5[[#This Row],[PID]],Batters[[#All],[PID]],0)),INDEX(Table3[[#All],[STU P]],MATCH(Table5[[#This Row],[PID]],Table3[[#All],[PID]],0)))</f>
        <v>4</v>
      </c>
      <c r="M144" s="56">
        <f>IF($C144="B",INDEX(Batters[[#All],[GAP P]],MATCH(Table5[[#This Row],[PID]],Batters[[#All],[PID]],0)),INDEX(Table3[[#All],[MOV P]],MATCH(Table5[[#This Row],[PID]],Table3[[#All],[PID]],0)))</f>
        <v>5</v>
      </c>
      <c r="N144" s="56">
        <f>IF($C144="B",INDEX(Batters[[#All],[POW P]],MATCH(Table5[[#This Row],[PID]],Batters[[#All],[PID]],0)),INDEX(Table3[[#All],[CON P]],MATCH(Table5[[#This Row],[PID]],Table3[[#All],[PID]],0)))</f>
        <v>6</v>
      </c>
      <c r="O144" s="56">
        <f>IF($C144="B",INDEX(Batters[[#All],[EYE P]],MATCH(Table5[[#This Row],[PID]],Batters[[#All],[PID]],0)),INDEX(Table3[[#All],[VELO]],MATCH(Table5[[#This Row],[PID]],Table3[[#All],[PID]],0)))</f>
        <v>5</v>
      </c>
      <c r="P144" s="56">
        <f>IF($C144="B",INDEX(Batters[[#All],[K P]],MATCH(Table5[[#This Row],[PID]],Batters[[#All],[PID]],0)),INDEX(Table3[[#All],[STM]],MATCH(Table5[[#This Row],[PID]],Table3[[#All],[PID]],0)))</f>
        <v>3</v>
      </c>
      <c r="Q144" s="61">
        <f>IF($C144="B",INDEX(Batters[[#All],[Tot]],MATCH(Table5[[#This Row],[PID]],Batters[[#All],[PID]],0)),INDEX(Table3[[#All],[Tot]],MATCH(Table5[[#This Row],[PID]],Table3[[#All],[PID]],0)))</f>
        <v>50.530854943017737</v>
      </c>
      <c r="R144" s="52">
        <f>IF($C144="B",INDEX(Batters[[#All],[zScore]],MATCH(Table5[[#This Row],[PID]],Batters[[#All],[PID]],0)),INDEX(Table3[[#All],[zScore]],MATCH(Table5[[#This Row],[PID]],Table3[[#All],[PID]],0)))</f>
        <v>1.4186827572335288</v>
      </c>
      <c r="S144" s="58" t="str">
        <f>IF($C144="B",INDEX(Batters[[#All],[DEM]],MATCH(Table5[[#This Row],[PID]],Batters[[#All],[PID]],0)),INDEX(Table3[[#All],[DEM]],MATCH(Table5[[#This Row],[PID]],Table3[[#All],[PID]],0)))</f>
        <v>$440k</v>
      </c>
      <c r="T144" s="62">
        <f>IF($C144="B",INDEX(Batters[[#All],[Rnk]],MATCH(Table5[[#This Row],[PID]],Batters[[#All],[PID]],0)),INDEX(Table3[[#All],[Rnk]],MATCH(Table5[[#This Row],[PID]],Table3[[#All],[PID]],0)))</f>
        <v>49</v>
      </c>
      <c r="U144" s="68">
        <f>IF($C144="B",VLOOKUP($A144,Bat!$A$4:$BA$1621,47,FALSE),VLOOKUP($A144,Pit!$A$4:$BF$1557,56,FALSE))</f>
        <v>0</v>
      </c>
      <c r="V144" s="50">
        <f>IF($C144="B",VLOOKUP($A144,Bat!$A$4:$BA$1621,48,FALSE),VLOOKUP($A144,Pit!$A$4:$BF$1557,57,FALSE))</f>
        <v>0</v>
      </c>
      <c r="W144" s="50">
        <f>Table5[[#This Row],[posRnk]]+Table5[[#This Row],[zRnk]]+IF($W$3&lt;&gt;Table5[[#This Row],[Type]],50,0)</f>
        <v>229</v>
      </c>
      <c r="X144" s="51">
        <f>RANK(Table5[[#This Row],[zScore]],Table5[[#All],[zScore]])</f>
        <v>130</v>
      </c>
      <c r="Y144" s="50">
        <f>IFERROR(INDEX(DraftResults[[#All],[OVR]],MATCH(Table5[[#This Row],[PID]],DraftResults[[#All],[Player ID]],0)),"")</f>
        <v>140</v>
      </c>
      <c r="Z1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4" s="50">
        <f>IFERROR(INDEX(DraftResults[[#All],[Pick in Round]],MATCH(Table5[[#This Row],[PID]],DraftResults[[#All],[Player ID]],0)),"")</f>
        <v>12</v>
      </c>
      <c r="AB144" s="50" t="str">
        <f>IFERROR(INDEX(DraftResults[[#All],[Team Name]],MATCH(Table5[[#This Row],[PID]],DraftResults[[#All],[Player ID]],0)),"")</f>
        <v>Reno Zephyrs</v>
      </c>
      <c r="AC144" s="50">
        <f>IF(Table5[[#This Row],[Ovr]]="","",IF(Table5[[#This Row],[cmbList]]="","",Table5[[#This Row],[cmbList]]-Table5[[#This Row],[Ovr]]))</f>
        <v>89</v>
      </c>
      <c r="AD144" s="54" t="str">
        <f>IF(ISERROR(VLOOKUP($AB144&amp;"-"&amp;$E144&amp;" "&amp;F144,Bonuses!$B$1:$G$1006,4,FALSE)),"",INT(VLOOKUP($AB144&amp;"-"&amp;$E144&amp;" "&amp;$F144,Bonuses!$B$1:$G$1006,4,FALSE)))</f>
        <v/>
      </c>
      <c r="AE1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5.12 (140) - CF Bill Flynn</v>
      </c>
    </row>
    <row r="145" spans="1:31" s="50" customFormat="1" x14ac:dyDescent="0.25">
      <c r="A145" s="50">
        <v>15360</v>
      </c>
      <c r="B145" s="55">
        <f>COUNTIF(Table5[PID],A145)</f>
        <v>1</v>
      </c>
      <c r="C145" s="55" t="str">
        <f>IF(COUNTIF(Table3[[#All],[PID]],A145)&gt;0,"P","B")</f>
        <v>P</v>
      </c>
      <c r="D145" s="59" t="str">
        <f>IF($C145="B",INDEX(Batters[[#All],[POS]],MATCH(Table5[[#This Row],[PID]],Batters[[#All],[PID]],0)),INDEX(Table3[[#All],[POS]],MATCH(Table5[[#This Row],[PID]],Table3[[#All],[PID]],0)))</f>
        <v>RP</v>
      </c>
      <c r="E145" s="52" t="str">
        <f>IF($C145="B",INDEX(Batters[[#All],[First]],MATCH(Table5[[#This Row],[PID]],Batters[[#All],[PID]],0)),INDEX(Table3[[#All],[First]],MATCH(Table5[[#This Row],[PID]],Table3[[#All],[PID]],0)))</f>
        <v>Iwane</v>
      </c>
      <c r="F145" s="50" t="str">
        <f>IF($C145="B",INDEX(Batters[[#All],[Last]],MATCH(A145,Batters[[#All],[PID]],0)),INDEX(Table3[[#All],[Last]],MATCH(A145,Table3[[#All],[PID]],0)))</f>
        <v>Kaneko</v>
      </c>
      <c r="G145" s="56">
        <f>IF($C145="B",INDEX(Batters[[#All],[Age]],MATCH(Table5[[#This Row],[PID]],Batters[[#All],[PID]],0)),INDEX(Table3[[#All],[Age]],MATCH(Table5[[#This Row],[PID]],Table3[[#All],[PID]],0)))</f>
        <v>18</v>
      </c>
      <c r="H145" s="52" t="str">
        <f>IF($C145="B",INDEX(Batters[[#All],[B]],MATCH(Table5[[#This Row],[PID]],Batters[[#All],[PID]],0)),INDEX(Table3[[#All],[B]],MATCH(Table5[[#This Row],[PID]],Table3[[#All],[PID]],0)))</f>
        <v>R</v>
      </c>
      <c r="I145" s="52" t="str">
        <f>IF($C145="B",INDEX(Batters[[#All],[T]],MATCH(Table5[[#This Row],[PID]],Batters[[#All],[PID]],0)),INDEX(Table3[[#All],[T]],MATCH(Table5[[#This Row],[PID]],Table3[[#All],[PID]],0)))</f>
        <v>R</v>
      </c>
      <c r="J145" s="52" t="str">
        <f>IF($C145="B",INDEX(Batters[[#All],[WE]],MATCH(Table5[[#This Row],[PID]],Batters[[#All],[PID]],0)),INDEX(Table3[[#All],[WE]],MATCH(Table5[[#This Row],[PID]],Table3[[#All],[PID]],0)))</f>
        <v>High</v>
      </c>
      <c r="K145" s="52" t="str">
        <f>IF($C145="B",INDEX(Batters[[#All],[INT]],MATCH(Table5[[#This Row],[PID]],Batters[[#All],[PID]],0)),INDEX(Table3[[#All],[INT]],MATCH(Table5[[#This Row],[PID]],Table3[[#All],[PID]],0)))</f>
        <v>High</v>
      </c>
      <c r="L145" s="60">
        <f>IF($C145="B",INDEX(Batters[[#All],[CON P]],MATCH(Table5[[#This Row],[PID]],Batters[[#All],[PID]],0)),INDEX(Table3[[#All],[STU P]],MATCH(Table5[[#This Row],[PID]],Table3[[#All],[PID]],0)))</f>
        <v>7</v>
      </c>
      <c r="M145" s="56">
        <f>IF($C145="B",INDEX(Batters[[#All],[GAP P]],MATCH(Table5[[#This Row],[PID]],Batters[[#All],[PID]],0)),INDEX(Table3[[#All],[MOV P]],MATCH(Table5[[#This Row],[PID]],Table3[[#All],[PID]],0)))</f>
        <v>1</v>
      </c>
      <c r="N145" s="56">
        <f>IF($C145="B",INDEX(Batters[[#All],[POW P]],MATCH(Table5[[#This Row],[PID]],Batters[[#All],[PID]],0)),INDEX(Table3[[#All],[CON P]],MATCH(Table5[[#This Row],[PID]],Table3[[#All],[PID]],0)))</f>
        <v>4</v>
      </c>
      <c r="O145" s="56" t="str">
        <f>IF($C145="B",INDEX(Batters[[#All],[EYE P]],MATCH(Table5[[#This Row],[PID]],Batters[[#All],[PID]],0)),INDEX(Table3[[#All],[VELO]],MATCH(Table5[[#This Row],[PID]],Table3[[#All],[PID]],0)))</f>
        <v>95-97 Mph</v>
      </c>
      <c r="P145" s="56">
        <f>IF($C145="B",INDEX(Batters[[#All],[K P]],MATCH(Table5[[#This Row],[PID]],Batters[[#All],[PID]],0)),INDEX(Table3[[#All],[STM]],MATCH(Table5[[#This Row],[PID]],Table3[[#All],[PID]],0)))</f>
        <v>1</v>
      </c>
      <c r="Q145" s="61">
        <f>IF($C145="B",INDEX(Batters[[#All],[Tot]],MATCH(Table5[[#This Row],[PID]],Batters[[#All],[PID]],0)),INDEX(Table3[[#All],[Tot]],MATCH(Table5[[#This Row],[PID]],Table3[[#All],[PID]],0)))</f>
        <v>41.439934918530412</v>
      </c>
      <c r="R145" s="52">
        <f>IF($C145="B",INDEX(Batters[[#All],[zScore]],MATCH(Table5[[#This Row],[PID]],Batters[[#All],[PID]],0)),INDEX(Table3[[#All],[zScore]],MATCH(Table5[[#This Row],[PID]],Table3[[#All],[PID]],0)))</f>
        <v>0.37052426182603071</v>
      </c>
      <c r="S145" s="58" t="str">
        <f>IF($C145="B",INDEX(Batters[[#All],[DEM]],MATCH(Table5[[#This Row],[PID]],Batters[[#All],[PID]],0)),INDEX(Table3[[#All],[DEM]],MATCH(Table5[[#This Row],[PID]],Table3[[#All],[PID]],0)))</f>
        <v>$65k</v>
      </c>
      <c r="T145" s="62">
        <f>IF($C145="B",INDEX(Batters[[#All],[Rnk]],MATCH(Table5[[#This Row],[PID]],Batters[[#All],[PID]],0)),INDEX(Table3[[#All],[Rnk]],MATCH(Table5[[#This Row],[PID]],Table3[[#All],[PID]],0)))</f>
        <v>231</v>
      </c>
      <c r="U145" s="68">
        <f>IF($C145="B",VLOOKUP($A145,Bat!$A$4:$BA$1621,47,FALSE),VLOOKUP($A145,Pit!$A$4:$BF$1557,56,FALSE))</f>
        <v>0</v>
      </c>
      <c r="V145" s="50">
        <f>IF($C145="B",VLOOKUP($A145,Bat!$A$4:$BA$1621,48,FALSE),VLOOKUP($A145,Pit!$A$4:$BF$1557,57,FALSE))</f>
        <v>0</v>
      </c>
      <c r="W145" s="50">
        <f>Table5[[#This Row],[posRnk]]+Table5[[#This Row],[zRnk]]+IF($W$3&lt;&gt;Table5[[#This Row],[Type]],50,0)</f>
        <v>675</v>
      </c>
      <c r="X145" s="51">
        <f>RANK(Table5[[#This Row],[zScore]],Table5[[#All],[zScore]])</f>
        <v>394</v>
      </c>
      <c r="Y145" s="50">
        <f>IFERROR(INDEX(DraftResults[[#All],[OVR]],MATCH(Table5[[#This Row],[PID]],DraftResults[[#All],[Player ID]],0)),"")</f>
        <v>141</v>
      </c>
      <c r="Z1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5" s="50">
        <f>IFERROR(INDEX(DraftResults[[#All],[Pick in Round]],MATCH(Table5[[#This Row],[PID]],DraftResults[[#All],[Player ID]],0)),"")</f>
        <v>13</v>
      </c>
      <c r="AB145" s="50" t="str">
        <f>IFERROR(INDEX(DraftResults[[#All],[Team Name]],MATCH(Table5[[#This Row],[PID]],DraftResults[[#All],[Player ID]],0)),"")</f>
        <v>Arlington Bureaucrats</v>
      </c>
      <c r="AC145" s="50">
        <f>IF(Table5[[#This Row],[Ovr]]="","",IF(Table5[[#This Row],[cmbList]]="","",Table5[[#This Row],[cmbList]]-Table5[[#This Row],[Ovr]]))</f>
        <v>534</v>
      </c>
      <c r="AD145" s="54" t="str">
        <f>IF(ISERROR(VLOOKUP($AB145&amp;"-"&amp;$E145&amp;" "&amp;F145,Bonuses!$B$1:$G$1006,4,FALSE)),"",INT(VLOOKUP($AB145&amp;"-"&amp;$E145&amp;" "&amp;$F145,Bonuses!$B$1:$G$1006,4,FALSE)))</f>
        <v/>
      </c>
      <c r="AE1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5.13 (141) - RP Iwane Kaneko</v>
      </c>
    </row>
    <row r="146" spans="1:31" s="50" customFormat="1" x14ac:dyDescent="0.25">
      <c r="A146" s="50">
        <v>20258</v>
      </c>
      <c r="B146" s="50">
        <f>COUNTIF(Table5[PID],A146)</f>
        <v>1</v>
      </c>
      <c r="C146" s="50" t="str">
        <f>IF(COUNTIF(Table3[[#All],[PID]],A146)&gt;0,"P","B")</f>
        <v>B</v>
      </c>
      <c r="D146" s="59" t="str">
        <f>IF($C146="B",INDEX(Batters[[#All],[POS]],MATCH(Table5[[#This Row],[PID]],Batters[[#All],[PID]],0)),INDEX(Table3[[#All],[POS]],MATCH(Table5[[#This Row],[PID]],Table3[[#All],[PID]],0)))</f>
        <v>RF</v>
      </c>
      <c r="E146" s="52" t="str">
        <f>IF($C146="B",INDEX(Batters[[#All],[First]],MATCH(Table5[[#This Row],[PID]],Batters[[#All],[PID]],0)),INDEX(Table3[[#All],[First]],MATCH(Table5[[#This Row],[PID]],Table3[[#All],[PID]],0)))</f>
        <v>Alfred</v>
      </c>
      <c r="F146" s="50" t="str">
        <f>IF($C146="B",INDEX(Batters[[#All],[Last]],MATCH(A146,Batters[[#All],[PID]],0)),INDEX(Table3[[#All],[Last]],MATCH(A146,Table3[[#All],[PID]],0)))</f>
        <v>McCutcheon</v>
      </c>
      <c r="G146" s="56">
        <f>IF($C146="B",INDEX(Batters[[#All],[Age]],MATCH(Table5[[#This Row],[PID]],Batters[[#All],[PID]],0)),INDEX(Table3[[#All],[Age]],MATCH(Table5[[#This Row],[PID]],Table3[[#All],[PID]],0)))</f>
        <v>21</v>
      </c>
      <c r="H146" s="52" t="str">
        <f>IF($C146="B",INDEX(Batters[[#All],[B]],MATCH(Table5[[#This Row],[PID]],Batters[[#All],[PID]],0)),INDEX(Table3[[#All],[B]],MATCH(Table5[[#This Row],[PID]],Table3[[#All],[PID]],0)))</f>
        <v>L</v>
      </c>
      <c r="I146" s="52" t="str">
        <f>IF($C146="B",INDEX(Batters[[#All],[T]],MATCH(Table5[[#This Row],[PID]],Batters[[#All],[PID]],0)),INDEX(Table3[[#All],[T]],MATCH(Table5[[#This Row],[PID]],Table3[[#All],[PID]],0)))</f>
        <v>L</v>
      </c>
      <c r="J146" s="52" t="str">
        <f>IF($C146="B",INDEX(Batters[[#All],[WE]],MATCH(Table5[[#This Row],[PID]],Batters[[#All],[PID]],0)),INDEX(Table3[[#All],[WE]],MATCH(Table5[[#This Row],[PID]],Table3[[#All],[PID]],0)))</f>
        <v>Low</v>
      </c>
      <c r="K146" s="52" t="str">
        <f>IF($C146="B",INDEX(Batters[[#All],[INT]],MATCH(Table5[[#This Row],[PID]],Batters[[#All],[PID]],0)),INDEX(Table3[[#All],[INT]],MATCH(Table5[[#This Row],[PID]],Table3[[#All],[PID]],0)))</f>
        <v>Normal</v>
      </c>
      <c r="L146" s="60">
        <f>IF($C146="B",INDEX(Batters[[#All],[CON P]],MATCH(Table5[[#This Row],[PID]],Batters[[#All],[PID]],0)),INDEX(Table3[[#All],[STU P]],MATCH(Table5[[#This Row],[PID]],Table3[[#All],[PID]],0)))</f>
        <v>4</v>
      </c>
      <c r="M146" s="56">
        <f>IF($C146="B",INDEX(Batters[[#All],[GAP P]],MATCH(Table5[[#This Row],[PID]],Batters[[#All],[PID]],0)),INDEX(Table3[[#All],[MOV P]],MATCH(Table5[[#This Row],[PID]],Table3[[#All],[PID]],0)))</f>
        <v>7</v>
      </c>
      <c r="N146" s="56">
        <f>IF($C146="B",INDEX(Batters[[#All],[POW P]],MATCH(Table5[[#This Row],[PID]],Batters[[#All],[PID]],0)),INDEX(Table3[[#All],[CON P]],MATCH(Table5[[#This Row],[PID]],Table3[[#All],[PID]],0)))</f>
        <v>8</v>
      </c>
      <c r="O146" s="56">
        <f>IF($C146="B",INDEX(Batters[[#All],[EYE P]],MATCH(Table5[[#This Row],[PID]],Batters[[#All],[PID]],0)),INDEX(Table3[[#All],[VELO]],MATCH(Table5[[#This Row],[PID]],Table3[[#All],[PID]],0)))</f>
        <v>6</v>
      </c>
      <c r="P146" s="56">
        <f>IF($C146="B",INDEX(Batters[[#All],[K P]],MATCH(Table5[[#This Row],[PID]],Batters[[#All],[PID]],0)),INDEX(Table3[[#All],[STM]],MATCH(Table5[[#This Row],[PID]],Table3[[#All],[PID]],0)))</f>
        <v>2</v>
      </c>
      <c r="Q146" s="61">
        <f>IF($C146="B",INDEX(Batters[[#All],[Tot]],MATCH(Table5[[#This Row],[PID]],Batters[[#All],[PID]],0)),INDEX(Table3[[#All],[Tot]],MATCH(Table5[[#This Row],[PID]],Table3[[#All],[PID]],0)))</f>
        <v>47.733930614761348</v>
      </c>
      <c r="R146" s="52">
        <f>IF($C146="B",INDEX(Batters[[#All],[zScore]],MATCH(Table5[[#This Row],[PID]],Batters[[#All],[PID]],0)),INDEX(Table3[[#All],[zScore]],MATCH(Table5[[#This Row],[PID]],Table3[[#All],[PID]],0)))</f>
        <v>0.79858572820519247</v>
      </c>
      <c r="S146" s="58" t="str">
        <f>IF($C146="B",INDEX(Batters[[#All],[DEM]],MATCH(Table5[[#This Row],[PID]],Batters[[#All],[PID]],0)),INDEX(Table3[[#All],[DEM]],MATCH(Table5[[#This Row],[PID]],Table3[[#All],[PID]],0)))</f>
        <v>$130k</v>
      </c>
      <c r="T146" s="62">
        <f>IF($C146="B",INDEX(Batters[[#All],[Rnk]],MATCH(Table5[[#This Row],[PID]],Batters[[#All],[PID]],0)),INDEX(Table3[[#All],[Rnk]],MATCH(Table5[[#This Row],[PID]],Table3[[#All],[PID]],0)))</f>
        <v>113</v>
      </c>
      <c r="U146" s="68">
        <f>IF($C146="B",VLOOKUP($A146,Bat!$A$4:$BA$1621,47,FALSE),VLOOKUP($A146,Pit!$A$4:$BF$1557,56,FALSE))</f>
        <v>0</v>
      </c>
      <c r="V146" s="50">
        <f>IF($C146="B",VLOOKUP($A146,Bat!$A$4:$BA$1621,48,FALSE),VLOOKUP($A146,Pit!$A$4:$BF$1557,57,FALSE))</f>
        <v>0</v>
      </c>
      <c r="W146" s="50">
        <f>Table5[[#This Row],[posRnk]]+Table5[[#This Row],[zRnk]]+IF($W$3&lt;&gt;Table5[[#This Row],[Type]],50,0)</f>
        <v>446</v>
      </c>
      <c r="X146" s="51">
        <f>RANK(Table5[[#This Row],[zScore]],Table5[[#All],[zScore]])</f>
        <v>283</v>
      </c>
      <c r="Y146" s="50">
        <f>IFERROR(INDEX(DraftResults[[#All],[OVR]],MATCH(Table5[[#This Row],[PID]],DraftResults[[#All],[Player ID]],0)),"")</f>
        <v>142</v>
      </c>
      <c r="Z1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6" s="50">
        <f>IFERROR(INDEX(DraftResults[[#All],[Pick in Round]],MATCH(Table5[[#This Row],[PID]],DraftResults[[#All],[Player ID]],0)),"")</f>
        <v>14</v>
      </c>
      <c r="AB146" s="50" t="str">
        <f>IFERROR(INDEX(DraftResults[[#All],[Team Name]],MATCH(Table5[[#This Row],[PID]],DraftResults[[#All],[Player ID]],0)),"")</f>
        <v>Yuma Arroyos</v>
      </c>
      <c r="AC146" s="50">
        <f>IF(Table5[[#This Row],[Ovr]]="","",IF(Table5[[#This Row],[cmbList]]="","",Table5[[#This Row],[cmbList]]-Table5[[#This Row],[Ovr]]))</f>
        <v>304</v>
      </c>
      <c r="AD146" s="54" t="str">
        <f>IF(ISERROR(VLOOKUP($AB146&amp;"-"&amp;$E146&amp;" "&amp;F146,Bonuses!$B$1:$G$1006,4,FALSE)),"",INT(VLOOKUP($AB146&amp;"-"&amp;$E146&amp;" "&amp;$F146,Bonuses!$B$1:$G$1006,4,FALSE)))</f>
        <v/>
      </c>
      <c r="AE1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5.14 (142) - RF Alfred McCutcheon</v>
      </c>
    </row>
    <row r="147" spans="1:31" s="50" customFormat="1" x14ac:dyDescent="0.25">
      <c r="A147" s="50">
        <v>20692</v>
      </c>
      <c r="B147" s="50">
        <f>COUNTIF(Table5[PID],A147)</f>
        <v>1</v>
      </c>
      <c r="C147" s="50" t="str">
        <f>IF(COUNTIF(Table3[[#All],[PID]],A147)&gt;0,"P","B")</f>
        <v>B</v>
      </c>
      <c r="D147" s="59" t="str">
        <f>IF($C147="B",INDEX(Batters[[#All],[POS]],MATCH(Table5[[#This Row],[PID]],Batters[[#All],[PID]],0)),INDEX(Table3[[#All],[POS]],MATCH(Table5[[#This Row],[PID]],Table3[[#All],[PID]],0)))</f>
        <v>1B</v>
      </c>
      <c r="E147" s="52" t="str">
        <f>IF($C147="B",INDEX(Batters[[#All],[First]],MATCH(Table5[[#This Row],[PID]],Batters[[#All],[PID]],0)),INDEX(Table3[[#All],[First]],MATCH(Table5[[#This Row],[PID]],Table3[[#All],[PID]],0)))</f>
        <v>Yue-jiu</v>
      </c>
      <c r="F147" s="50" t="str">
        <f>IF($C147="B",INDEX(Batters[[#All],[Last]],MATCH(A147,Batters[[#All],[PID]],0)),INDEX(Table3[[#All],[Last]],MATCH(A147,Table3[[#All],[PID]],0)))</f>
        <v>Cheung</v>
      </c>
      <c r="G147" s="56">
        <f>IF($C147="B",INDEX(Batters[[#All],[Age]],MATCH(Table5[[#This Row],[PID]],Batters[[#All],[PID]],0)),INDEX(Table3[[#All],[Age]],MATCH(Table5[[#This Row],[PID]],Table3[[#All],[PID]],0)))</f>
        <v>18</v>
      </c>
      <c r="H147" s="52" t="str">
        <f>IF($C147="B",INDEX(Batters[[#All],[B]],MATCH(Table5[[#This Row],[PID]],Batters[[#All],[PID]],0)),INDEX(Table3[[#All],[B]],MATCH(Table5[[#This Row],[PID]],Table3[[#All],[PID]],0)))</f>
        <v>R</v>
      </c>
      <c r="I147" s="52" t="str">
        <f>IF($C147="B",INDEX(Batters[[#All],[T]],MATCH(Table5[[#This Row],[PID]],Batters[[#All],[PID]],0)),INDEX(Table3[[#All],[T]],MATCH(Table5[[#This Row],[PID]],Table3[[#All],[PID]],0)))</f>
        <v>R</v>
      </c>
      <c r="J147" s="52" t="str">
        <f>IF($C147="B",INDEX(Batters[[#All],[WE]],MATCH(Table5[[#This Row],[PID]],Batters[[#All],[PID]],0)),INDEX(Table3[[#All],[WE]],MATCH(Table5[[#This Row],[PID]],Table3[[#All],[PID]],0)))</f>
        <v>Normal</v>
      </c>
      <c r="K147" s="52" t="str">
        <f>IF($C147="B",INDEX(Batters[[#All],[INT]],MATCH(Table5[[#This Row],[PID]],Batters[[#All],[PID]],0)),INDEX(Table3[[#All],[INT]],MATCH(Table5[[#This Row],[PID]],Table3[[#All],[PID]],0)))</f>
        <v>Normal</v>
      </c>
      <c r="L147" s="60">
        <f>IF($C147="B",INDEX(Batters[[#All],[CON P]],MATCH(Table5[[#This Row],[PID]],Batters[[#All],[PID]],0)),INDEX(Table3[[#All],[STU P]],MATCH(Table5[[#This Row],[PID]],Table3[[#All],[PID]],0)))</f>
        <v>4</v>
      </c>
      <c r="M147" s="56">
        <f>IF($C147="B",INDEX(Batters[[#All],[GAP P]],MATCH(Table5[[#This Row],[PID]],Batters[[#All],[PID]],0)),INDEX(Table3[[#All],[MOV P]],MATCH(Table5[[#This Row],[PID]],Table3[[#All],[PID]],0)))</f>
        <v>6</v>
      </c>
      <c r="N147" s="56">
        <f>IF($C147="B",INDEX(Batters[[#All],[POW P]],MATCH(Table5[[#This Row],[PID]],Batters[[#All],[PID]],0)),INDEX(Table3[[#All],[CON P]],MATCH(Table5[[#This Row],[PID]],Table3[[#All],[PID]],0)))</f>
        <v>6</v>
      </c>
      <c r="O147" s="56">
        <f>IF($C147="B",INDEX(Batters[[#All],[EYE P]],MATCH(Table5[[#This Row],[PID]],Batters[[#All],[PID]],0)),INDEX(Table3[[#All],[VELO]],MATCH(Table5[[#This Row],[PID]],Table3[[#All],[PID]],0)))</f>
        <v>5</v>
      </c>
      <c r="P147" s="56">
        <f>IF($C147="B",INDEX(Batters[[#All],[K P]],MATCH(Table5[[#This Row],[PID]],Batters[[#All],[PID]],0)),INDEX(Table3[[#All],[STM]],MATCH(Table5[[#This Row],[PID]],Table3[[#All],[PID]],0)))</f>
        <v>4</v>
      </c>
      <c r="Q147" s="61">
        <f>IF($C147="B",INDEX(Batters[[#All],[Tot]],MATCH(Table5[[#This Row],[PID]],Batters[[#All],[PID]],0)),INDEX(Table3[[#All],[Tot]],MATCH(Table5[[#This Row],[PID]],Table3[[#All],[PID]],0)))</f>
        <v>50.234152441526007</v>
      </c>
      <c r="R147" s="52">
        <f>IF($C147="B",INDEX(Batters[[#All],[zScore]],MATCH(Table5[[#This Row],[PID]],Batters[[#All],[PID]],0)),INDEX(Table3[[#All],[zScore]],MATCH(Table5[[#This Row],[PID]],Table3[[#All],[PID]],0)))</f>
        <v>1.3529018071300292</v>
      </c>
      <c r="S147" s="58" t="str">
        <f>IF($C147="B",INDEX(Batters[[#All],[DEM]],MATCH(Table5[[#This Row],[PID]],Batters[[#All],[PID]],0)),INDEX(Table3[[#All],[DEM]],MATCH(Table5[[#This Row],[PID]],Table3[[#All],[PID]],0)))</f>
        <v>$200k</v>
      </c>
      <c r="T147" s="62">
        <f>IF($C147="B",INDEX(Batters[[#All],[Rnk]],MATCH(Table5[[#This Row],[PID]],Batters[[#All],[PID]],0)),INDEX(Table3[[#All],[Rnk]],MATCH(Table5[[#This Row],[PID]],Table3[[#All],[PID]],0)))</f>
        <v>54</v>
      </c>
      <c r="U147" s="68">
        <f>IF($C147="B",VLOOKUP($A147,Bat!$A$4:$BA$1621,47,FALSE),VLOOKUP($A147,Pit!$A$4:$BF$1557,56,FALSE))</f>
        <v>0</v>
      </c>
      <c r="V147" s="50">
        <f>IF($C147="B",VLOOKUP($A147,Bat!$A$4:$BA$1621,48,FALSE),VLOOKUP($A147,Pit!$A$4:$BF$1557,57,FALSE))</f>
        <v>0</v>
      </c>
      <c r="W147" s="50">
        <f>Table5[[#This Row],[posRnk]]+Table5[[#This Row],[zRnk]]+IF($W$3&lt;&gt;Table5[[#This Row],[Type]],50,0)</f>
        <v>250</v>
      </c>
      <c r="X147" s="51">
        <f>RANK(Table5[[#This Row],[zScore]],Table5[[#All],[zScore]])</f>
        <v>146</v>
      </c>
      <c r="Y147" s="50">
        <f>IFERROR(INDEX(DraftResults[[#All],[OVR]],MATCH(Table5[[#This Row],[PID]],DraftResults[[#All],[Player ID]],0)),"")</f>
        <v>143</v>
      </c>
      <c r="Z1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7" s="50">
        <f>IFERROR(INDEX(DraftResults[[#All],[Pick in Round]],MATCH(Table5[[#This Row],[PID]],DraftResults[[#All],[Player ID]],0)),"")</f>
        <v>15</v>
      </c>
      <c r="AB147" s="50" t="str">
        <f>IFERROR(INDEX(DraftResults[[#All],[Team Name]],MATCH(Table5[[#This Row],[PID]],DraftResults[[#All],[Player ID]],0)),"")</f>
        <v>Kentucky Thoroughbreds</v>
      </c>
      <c r="AC147" s="50">
        <f>IF(Table5[[#This Row],[Ovr]]="","",IF(Table5[[#This Row],[cmbList]]="","",Table5[[#This Row],[cmbList]]-Table5[[#This Row],[Ovr]]))</f>
        <v>107</v>
      </c>
      <c r="AD147" s="54" t="str">
        <f>IF(ISERROR(VLOOKUP($AB147&amp;"-"&amp;$E147&amp;" "&amp;F147,Bonuses!$B$1:$G$1006,4,FALSE)),"",INT(VLOOKUP($AB147&amp;"-"&amp;$E147&amp;" "&amp;$F147,Bonuses!$B$1:$G$1006,4,FALSE)))</f>
        <v/>
      </c>
      <c r="AE1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5.15 (143) - 1B Yue-jiu Cheung</v>
      </c>
    </row>
    <row r="148" spans="1:31" s="50" customFormat="1" x14ac:dyDescent="0.25">
      <c r="A148" s="68">
        <v>18315</v>
      </c>
      <c r="B148" s="69">
        <f>COUNTIF(Table5[PID],A148)</f>
        <v>1</v>
      </c>
      <c r="C148" s="69" t="str">
        <f>IF(COUNTIF(Table3[[#All],[PID]],A148)&gt;0,"P","B")</f>
        <v>P</v>
      </c>
      <c r="D148" s="59" t="str">
        <f>IF($C148="B",INDEX(Batters[[#All],[POS]],MATCH(Table5[[#This Row],[PID]],Batters[[#All],[PID]],0)),INDEX(Table3[[#All],[POS]],MATCH(Table5[[#This Row],[PID]],Table3[[#All],[PID]],0)))</f>
        <v>SP</v>
      </c>
      <c r="E148" s="52" t="str">
        <f>IF($C148="B",INDEX(Batters[[#All],[First]],MATCH(Table5[[#This Row],[PID]],Batters[[#All],[PID]],0)),INDEX(Table3[[#All],[First]],MATCH(Table5[[#This Row],[PID]],Table3[[#All],[PID]],0)))</f>
        <v>Nakamaro</v>
      </c>
      <c r="F148" s="55" t="str">
        <f>IF($C148="B",INDEX(Batters[[#All],[Last]],MATCH(A148,Batters[[#All],[PID]],0)),INDEX(Table3[[#All],[Last]],MATCH(A148,Table3[[#All],[PID]],0)))</f>
        <v>Nishino</v>
      </c>
      <c r="G148" s="56">
        <f>IF($C148="B",INDEX(Batters[[#All],[Age]],MATCH(Table5[[#This Row],[PID]],Batters[[#All],[PID]],0)),INDEX(Table3[[#All],[Age]],MATCH(Table5[[#This Row],[PID]],Table3[[#All],[PID]],0)))</f>
        <v>21</v>
      </c>
      <c r="H148" s="52" t="str">
        <f>IF($C148="B",INDEX(Batters[[#All],[B]],MATCH(Table5[[#This Row],[PID]],Batters[[#All],[PID]],0)),INDEX(Table3[[#All],[B]],MATCH(Table5[[#This Row],[PID]],Table3[[#All],[PID]],0)))</f>
        <v>R</v>
      </c>
      <c r="I148" s="52" t="str">
        <f>IF($C148="B",INDEX(Batters[[#All],[T]],MATCH(Table5[[#This Row],[PID]],Batters[[#All],[PID]],0)),INDEX(Table3[[#All],[T]],MATCH(Table5[[#This Row],[PID]],Table3[[#All],[PID]],0)))</f>
        <v>R</v>
      </c>
      <c r="J148" s="71" t="str">
        <f>IF($C148="B",INDEX(Batters[[#All],[WE]],MATCH(Table5[[#This Row],[PID]],Batters[[#All],[PID]],0)),INDEX(Table3[[#All],[WE]],MATCH(Table5[[#This Row],[PID]],Table3[[#All],[PID]],0)))</f>
        <v>Normal</v>
      </c>
      <c r="K148" s="52" t="str">
        <f>IF($C148="B",INDEX(Batters[[#All],[INT]],MATCH(Table5[[#This Row],[PID]],Batters[[#All],[PID]],0)),INDEX(Table3[[#All],[INT]],MATCH(Table5[[#This Row],[PID]],Table3[[#All],[PID]],0)))</f>
        <v>Normal</v>
      </c>
      <c r="L148" s="60">
        <f>IF($C148="B",INDEX(Batters[[#All],[CON P]],MATCH(Table5[[#This Row],[PID]],Batters[[#All],[PID]],0)),INDEX(Table3[[#All],[STU P]],MATCH(Table5[[#This Row],[PID]],Table3[[#All],[PID]],0)))</f>
        <v>7</v>
      </c>
      <c r="M148" s="72">
        <f>IF($C148="B",INDEX(Batters[[#All],[GAP P]],MATCH(Table5[[#This Row],[PID]],Batters[[#All],[PID]],0)),INDEX(Table3[[#All],[MOV P]],MATCH(Table5[[#This Row],[PID]],Table3[[#All],[PID]],0)))</f>
        <v>2</v>
      </c>
      <c r="N148" s="72">
        <f>IF($C148="B",INDEX(Batters[[#All],[POW P]],MATCH(Table5[[#This Row],[PID]],Batters[[#All],[PID]],0)),INDEX(Table3[[#All],[CON P]],MATCH(Table5[[#This Row],[PID]],Table3[[#All],[PID]],0)))</f>
        <v>4</v>
      </c>
      <c r="O148" s="72" t="str">
        <f>IF($C148="B",INDEX(Batters[[#All],[EYE P]],MATCH(Table5[[#This Row],[PID]],Batters[[#All],[PID]],0)),INDEX(Table3[[#All],[VELO]],MATCH(Table5[[#This Row],[PID]],Table3[[#All],[PID]],0)))</f>
        <v>99-101 Mph</v>
      </c>
      <c r="P148" s="56">
        <f>IF($C148="B",INDEX(Batters[[#All],[K P]],MATCH(Table5[[#This Row],[PID]],Batters[[#All],[PID]],0)),INDEX(Table3[[#All],[STM]],MATCH(Table5[[#This Row],[PID]],Table3[[#All],[PID]],0)))</f>
        <v>9</v>
      </c>
      <c r="Q148" s="61">
        <f>IF($C148="B",INDEX(Batters[[#All],[Tot]],MATCH(Table5[[#This Row],[PID]],Batters[[#All],[PID]],0)),INDEX(Table3[[#All],[Tot]],MATCH(Table5[[#This Row],[PID]],Table3[[#All],[PID]],0)))</f>
        <v>49.409045312015593</v>
      </c>
      <c r="R148" s="52">
        <f>IF($C148="B",INDEX(Batters[[#All],[zScore]],MATCH(Table5[[#This Row],[PID]],Batters[[#All],[PID]],0)),INDEX(Table3[[#All],[zScore]],MATCH(Table5[[#This Row],[PID]],Table3[[#All],[PID]],0)))</f>
        <v>0.90069699863654362</v>
      </c>
      <c r="S148" s="78" t="str">
        <f>IF($C148="B",INDEX(Batters[[#All],[DEM]],MATCH(Table5[[#This Row],[PID]],Batters[[#All],[PID]],0)),INDEX(Table3[[#All],[DEM]],MATCH(Table5[[#This Row],[PID]],Table3[[#All],[PID]],0)))</f>
        <v>$37k</v>
      </c>
      <c r="T148" s="75">
        <f>IF($C148="B",INDEX(Batters[[#All],[Rnk]],MATCH(Table5[[#This Row],[PID]],Batters[[#All],[PID]],0)),INDEX(Table3[[#All],[Rnk]],MATCH(Table5[[#This Row],[PID]],Table3[[#All],[PID]],0)))</f>
        <v>155</v>
      </c>
      <c r="U148" s="68">
        <f>IF($C148="B",VLOOKUP($A148,Bat!$A$4:$BA$1621,47,FALSE),VLOOKUP($A148,Pit!$A$4:$BF$1557,56,FALSE))</f>
        <v>0</v>
      </c>
      <c r="V148" s="50">
        <f>IF($C148="B",VLOOKUP($A148,Bat!$A$4:$BA$1621,48,FALSE),VLOOKUP($A148,Pit!$A$4:$BF$1557,57,FALSE))</f>
        <v>0</v>
      </c>
      <c r="W148" s="69">
        <f>Table5[[#This Row],[posRnk]]+Table5[[#This Row],[zRnk]]+IF($W$3&lt;&gt;Table5[[#This Row],[Type]],50,0)</f>
        <v>460</v>
      </c>
      <c r="X148" s="73">
        <f>RANK(Table5[[#This Row],[zScore]],Table5[[#All],[zScore]])</f>
        <v>255</v>
      </c>
      <c r="Y148" s="69">
        <f>IFERROR(INDEX(DraftResults[[#All],[OVR]],MATCH(Table5[[#This Row],[PID]],DraftResults[[#All],[Player ID]],0)),"")</f>
        <v>144</v>
      </c>
      <c r="Z14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8" s="69">
        <f>IFERROR(INDEX(DraftResults[[#All],[Pick in Round]],MATCH(Table5[[#This Row],[PID]],DraftResults[[#All],[Player ID]],0)),"")</f>
        <v>16</v>
      </c>
      <c r="AB148" s="69" t="str">
        <f>IFERROR(INDEX(DraftResults[[#All],[Team Name]],MATCH(Table5[[#This Row],[PID]],DraftResults[[#All],[Player ID]],0)),"")</f>
        <v>San Antonio Calzones of Laredo</v>
      </c>
      <c r="AC148" s="69">
        <f>IF(Table5[[#This Row],[Ovr]]="","",IF(Table5[[#This Row],[cmbList]]="","",Table5[[#This Row],[cmbList]]-Table5[[#This Row],[Ovr]]))</f>
        <v>316</v>
      </c>
      <c r="AD148" s="77" t="str">
        <f>IF(ISERROR(VLOOKUP($AB148&amp;"-"&amp;$E148&amp;" "&amp;F148,Bonuses!$B$1:$G$1006,4,FALSE)),"",INT(VLOOKUP($AB148&amp;"-"&amp;$E148&amp;" "&amp;$F148,Bonuses!$B$1:$G$1006,4,FALSE)))</f>
        <v/>
      </c>
      <c r="AE14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5.16 (144) - SP Nakamaro Nishino</v>
      </c>
    </row>
    <row r="149" spans="1:31" s="50" customFormat="1" x14ac:dyDescent="0.25">
      <c r="A149" s="50">
        <v>21015</v>
      </c>
      <c r="B149" s="50">
        <f>COUNTIF(Table5[PID],A149)</f>
        <v>1</v>
      </c>
      <c r="C149" s="50" t="str">
        <f>IF(COUNTIF(Table3[[#All],[PID]],A149)&gt;0,"P","B")</f>
        <v>B</v>
      </c>
      <c r="D149" s="59" t="str">
        <f>IF($C149="B",INDEX(Batters[[#All],[POS]],MATCH(Table5[[#This Row],[PID]],Batters[[#All],[PID]],0)),INDEX(Table3[[#All],[POS]],MATCH(Table5[[#This Row],[PID]],Table3[[#All],[PID]],0)))</f>
        <v>1B</v>
      </c>
      <c r="E149" s="52" t="str">
        <f>IF($C149="B",INDEX(Batters[[#All],[First]],MATCH(Table5[[#This Row],[PID]],Batters[[#All],[PID]],0)),INDEX(Table3[[#All],[First]],MATCH(Table5[[#This Row],[PID]],Table3[[#All],[PID]],0)))</f>
        <v>Wilson</v>
      </c>
      <c r="F149" s="50" t="str">
        <f>IF($C149="B",INDEX(Batters[[#All],[Last]],MATCH(A149,Batters[[#All],[PID]],0)),INDEX(Table3[[#All],[Last]],MATCH(A149,Table3[[#All],[PID]],0)))</f>
        <v>Seguillo</v>
      </c>
      <c r="G149" s="56">
        <f>IF($C149="B",INDEX(Batters[[#All],[Age]],MATCH(Table5[[#This Row],[PID]],Batters[[#All],[PID]],0)),INDEX(Table3[[#All],[Age]],MATCH(Table5[[#This Row],[PID]],Table3[[#All],[PID]],0)))</f>
        <v>17</v>
      </c>
      <c r="H149" s="52" t="str">
        <f>IF($C149="B",INDEX(Batters[[#All],[B]],MATCH(Table5[[#This Row],[PID]],Batters[[#All],[PID]],0)),INDEX(Table3[[#All],[B]],MATCH(Table5[[#This Row],[PID]],Table3[[#All],[PID]],0)))</f>
        <v>R</v>
      </c>
      <c r="I149" s="52" t="str">
        <f>IF($C149="B",INDEX(Batters[[#All],[T]],MATCH(Table5[[#This Row],[PID]],Batters[[#All],[PID]],0)),INDEX(Table3[[#All],[T]],MATCH(Table5[[#This Row],[PID]],Table3[[#All],[PID]],0)))</f>
        <v>R</v>
      </c>
      <c r="J149" s="52" t="str">
        <f>IF($C149="B",INDEX(Batters[[#All],[WE]],MATCH(Table5[[#This Row],[PID]],Batters[[#All],[PID]],0)),INDEX(Table3[[#All],[WE]],MATCH(Table5[[#This Row],[PID]],Table3[[#All],[PID]],0)))</f>
        <v>Normal</v>
      </c>
      <c r="K149" s="52" t="str">
        <f>IF($C149="B",INDEX(Batters[[#All],[INT]],MATCH(Table5[[#This Row],[PID]],Batters[[#All],[PID]],0)),INDEX(Table3[[#All],[INT]],MATCH(Table5[[#This Row],[PID]],Table3[[#All],[PID]],0)))</f>
        <v>Normal</v>
      </c>
      <c r="L149" s="60">
        <f>IF($C149="B",INDEX(Batters[[#All],[CON P]],MATCH(Table5[[#This Row],[PID]],Batters[[#All],[PID]],0)),INDEX(Table3[[#All],[STU P]],MATCH(Table5[[#This Row],[PID]],Table3[[#All],[PID]],0)))</f>
        <v>5</v>
      </c>
      <c r="M149" s="56">
        <f>IF($C149="B",INDEX(Batters[[#All],[GAP P]],MATCH(Table5[[#This Row],[PID]],Batters[[#All],[PID]],0)),INDEX(Table3[[#All],[MOV P]],MATCH(Table5[[#This Row],[PID]],Table3[[#All],[PID]],0)))</f>
        <v>6</v>
      </c>
      <c r="N149" s="56">
        <f>IF($C149="B",INDEX(Batters[[#All],[POW P]],MATCH(Table5[[#This Row],[PID]],Batters[[#All],[PID]],0)),INDEX(Table3[[#All],[CON P]],MATCH(Table5[[#This Row],[PID]],Table3[[#All],[PID]],0)))</f>
        <v>6</v>
      </c>
      <c r="O149" s="56">
        <f>IF($C149="B",INDEX(Batters[[#All],[EYE P]],MATCH(Table5[[#This Row],[PID]],Batters[[#All],[PID]],0)),INDEX(Table3[[#All],[VELO]],MATCH(Table5[[#This Row],[PID]],Table3[[#All],[PID]],0)))</f>
        <v>5</v>
      </c>
      <c r="P149" s="56">
        <f>IF($C149="B",INDEX(Batters[[#All],[K P]],MATCH(Table5[[#This Row],[PID]],Batters[[#All],[PID]],0)),INDEX(Table3[[#All],[STM]],MATCH(Table5[[#This Row],[PID]],Table3[[#All],[PID]],0)))</f>
        <v>5</v>
      </c>
      <c r="Q149" s="61">
        <f>IF($C149="B",INDEX(Batters[[#All],[Tot]],MATCH(Table5[[#This Row],[PID]],Batters[[#All],[PID]],0)),INDEX(Table3[[#All],[Tot]],MATCH(Table5[[#This Row],[PID]],Table3[[#All],[PID]],0)))</f>
        <v>54.570941610800276</v>
      </c>
      <c r="R149" s="52">
        <f>IF($C149="B",INDEX(Batters[[#All],[zScore]],MATCH(Table5[[#This Row],[PID]],Batters[[#All],[PID]],0)),INDEX(Table3[[#All],[zScore]],MATCH(Table5[[#This Row],[PID]],Table3[[#All],[PID]],0)))</f>
        <v>2.3143972799323684</v>
      </c>
      <c r="S149" s="58" t="str">
        <f>IF($C149="B",INDEX(Batters[[#All],[DEM]],MATCH(Table5[[#This Row],[PID]],Batters[[#All],[PID]],0)),INDEX(Table3[[#All],[DEM]],MATCH(Table5[[#This Row],[PID]],Table3[[#All],[PID]],0)))</f>
        <v>$250k</v>
      </c>
      <c r="T149" s="62">
        <f>IF($C149="B",INDEX(Batters[[#All],[Rnk]],MATCH(Table5[[#This Row],[PID]],Batters[[#All],[PID]],0)),INDEX(Table3[[#All],[Rnk]],MATCH(Table5[[#This Row],[PID]],Table3[[#All],[PID]],0)))</f>
        <v>13</v>
      </c>
      <c r="U149" s="68">
        <f>IF($C149="B",VLOOKUP($A149,Bat!$A$4:$BA$1621,47,FALSE),VLOOKUP($A149,Pit!$A$4:$BF$1557,56,FALSE))</f>
        <v>0</v>
      </c>
      <c r="V149" s="50">
        <f>IF($C149="B",VLOOKUP($A149,Bat!$A$4:$BA$1621,48,FALSE),VLOOKUP($A149,Pit!$A$4:$BF$1557,57,FALSE))</f>
        <v>0</v>
      </c>
      <c r="W149" s="50">
        <f>Table5[[#This Row],[posRnk]]+Table5[[#This Row],[zRnk]]+IF($W$3&lt;&gt;Table5[[#This Row],[Type]],50,0)</f>
        <v>90</v>
      </c>
      <c r="X149" s="51">
        <f>RANK(Table5[[#This Row],[zScore]],Table5[[#All],[zScore]])</f>
        <v>27</v>
      </c>
      <c r="Y149" s="50">
        <f>IFERROR(INDEX(DraftResults[[#All],[OVR]],MATCH(Table5[[#This Row],[PID]],DraftResults[[#All],[Player ID]],0)),"")</f>
        <v>145</v>
      </c>
      <c r="Z1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49" s="50">
        <f>IFERROR(INDEX(DraftResults[[#All],[Pick in Round]],MATCH(Table5[[#This Row],[PID]],DraftResults[[#All],[Player ID]],0)),"")</f>
        <v>17</v>
      </c>
      <c r="AB149" s="50" t="str">
        <f>IFERROR(INDEX(DraftResults[[#All],[Team Name]],MATCH(Table5[[#This Row],[PID]],DraftResults[[#All],[Player ID]],0)),"")</f>
        <v>Madison Malts</v>
      </c>
      <c r="AC149" s="50">
        <f>IF(Table5[[#This Row],[Ovr]]="","",IF(Table5[[#This Row],[cmbList]]="","",Table5[[#This Row],[cmbList]]-Table5[[#This Row],[Ovr]]))</f>
        <v>-55</v>
      </c>
      <c r="AD149" s="54" t="str">
        <f>IF(ISERROR(VLOOKUP($AB149&amp;"-"&amp;$E149&amp;" "&amp;F149,Bonuses!$B$1:$G$1006,4,FALSE)),"",INT(VLOOKUP($AB149&amp;"-"&amp;$E149&amp;" "&amp;$F149,Bonuses!$B$1:$G$1006,4,FALSE)))</f>
        <v/>
      </c>
      <c r="AE1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5.17 (145) - 1B Wilson Seguillo</v>
      </c>
    </row>
    <row r="150" spans="1:31" s="50" customFormat="1" x14ac:dyDescent="0.25">
      <c r="A150" s="50">
        <v>18397</v>
      </c>
      <c r="B150" s="50">
        <f>COUNTIF(Table5[PID],A150)</f>
        <v>1</v>
      </c>
      <c r="C150" s="50" t="str">
        <f>IF(COUNTIF(Table3[[#All],[PID]],A150)&gt;0,"P","B")</f>
        <v>B</v>
      </c>
      <c r="D150" s="59" t="str">
        <f>IF($C150="B",INDEX(Batters[[#All],[POS]],MATCH(Table5[[#This Row],[PID]],Batters[[#All],[PID]],0)),INDEX(Table3[[#All],[POS]],MATCH(Table5[[#This Row],[PID]],Table3[[#All],[PID]],0)))</f>
        <v>RF</v>
      </c>
      <c r="E150" s="52" t="str">
        <f>IF($C150="B",INDEX(Batters[[#All],[First]],MATCH(Table5[[#This Row],[PID]],Batters[[#All],[PID]],0)),INDEX(Table3[[#All],[First]],MATCH(Table5[[#This Row],[PID]],Table3[[#All],[PID]],0)))</f>
        <v>Sean</v>
      </c>
      <c r="F150" s="50" t="str">
        <f>IF($C150="B",INDEX(Batters[[#All],[Last]],MATCH(A150,Batters[[#All],[PID]],0)),INDEX(Table3[[#All],[Last]],MATCH(A150,Table3[[#All],[PID]],0)))</f>
        <v>MacFarlane</v>
      </c>
      <c r="G150" s="56">
        <f>IF($C150="B",INDEX(Batters[[#All],[Age]],MATCH(Table5[[#This Row],[PID]],Batters[[#All],[PID]],0)),INDEX(Table3[[#All],[Age]],MATCH(Table5[[#This Row],[PID]],Table3[[#All],[PID]],0)))</f>
        <v>18</v>
      </c>
      <c r="H150" s="52" t="str">
        <f>IF($C150="B",INDEX(Batters[[#All],[B]],MATCH(Table5[[#This Row],[PID]],Batters[[#All],[PID]],0)),INDEX(Table3[[#All],[B]],MATCH(Table5[[#This Row],[PID]],Table3[[#All],[PID]],0)))</f>
        <v>R</v>
      </c>
      <c r="I150" s="52" t="str">
        <f>IF($C150="B",INDEX(Batters[[#All],[T]],MATCH(Table5[[#This Row],[PID]],Batters[[#All],[PID]],0)),INDEX(Table3[[#All],[T]],MATCH(Table5[[#This Row],[PID]],Table3[[#All],[PID]],0)))</f>
        <v>L</v>
      </c>
      <c r="J150" s="52" t="str">
        <f>IF($C150="B",INDEX(Batters[[#All],[WE]],MATCH(Table5[[#This Row],[PID]],Batters[[#All],[PID]],0)),INDEX(Table3[[#All],[WE]],MATCH(Table5[[#This Row],[PID]],Table3[[#All],[PID]],0)))</f>
        <v>Normal</v>
      </c>
      <c r="K150" s="52" t="str">
        <f>IF($C150="B",INDEX(Batters[[#All],[INT]],MATCH(Table5[[#This Row],[PID]],Batters[[#All],[PID]],0)),INDEX(Table3[[#All],[INT]],MATCH(Table5[[#This Row],[PID]],Table3[[#All],[PID]],0)))</f>
        <v>Normal</v>
      </c>
      <c r="L150" s="60">
        <f>IF($C150="B",INDEX(Batters[[#All],[CON P]],MATCH(Table5[[#This Row],[PID]],Batters[[#All],[PID]],0)),INDEX(Table3[[#All],[STU P]],MATCH(Table5[[#This Row],[PID]],Table3[[#All],[PID]],0)))</f>
        <v>5</v>
      </c>
      <c r="M150" s="56">
        <f>IF($C150="B",INDEX(Batters[[#All],[GAP P]],MATCH(Table5[[#This Row],[PID]],Batters[[#All],[PID]],0)),INDEX(Table3[[#All],[MOV P]],MATCH(Table5[[#This Row],[PID]],Table3[[#All],[PID]],0)))</f>
        <v>5</v>
      </c>
      <c r="N150" s="56">
        <f>IF($C150="B",INDEX(Batters[[#All],[POW P]],MATCH(Table5[[#This Row],[PID]],Batters[[#All],[PID]],0)),INDEX(Table3[[#All],[CON P]],MATCH(Table5[[#This Row],[PID]],Table3[[#All],[PID]],0)))</f>
        <v>3</v>
      </c>
      <c r="O150" s="56">
        <f>IF($C150="B",INDEX(Batters[[#All],[EYE P]],MATCH(Table5[[#This Row],[PID]],Batters[[#All],[PID]],0)),INDEX(Table3[[#All],[VELO]],MATCH(Table5[[#This Row],[PID]],Table3[[#All],[PID]],0)))</f>
        <v>3</v>
      </c>
      <c r="P150" s="56">
        <f>IF($C150="B",INDEX(Batters[[#All],[K P]],MATCH(Table5[[#This Row],[PID]],Batters[[#All],[PID]],0)),INDEX(Table3[[#All],[STM]],MATCH(Table5[[#This Row],[PID]],Table3[[#All],[PID]],0)))</f>
        <v>7</v>
      </c>
      <c r="Q150" s="61">
        <f>IF($C150="B",INDEX(Batters[[#All],[Tot]],MATCH(Table5[[#This Row],[PID]],Batters[[#All],[PID]],0)),INDEX(Table3[[#All],[Tot]],MATCH(Table5[[#This Row],[PID]],Table3[[#All],[PID]],0)))</f>
        <v>49.762096755473799</v>
      </c>
      <c r="R150" s="52">
        <f>IF($C150="B",INDEX(Batters[[#All],[zScore]],MATCH(Table5[[#This Row],[PID]],Batters[[#All],[PID]],0)),INDEX(Table3[[#All],[zScore]],MATCH(Table5[[#This Row],[PID]],Table3[[#All],[PID]],0)))</f>
        <v>1.2482438707319465</v>
      </c>
      <c r="S150" s="58" t="str">
        <f>IF($C150="B",INDEX(Batters[[#All],[DEM]],MATCH(Table5[[#This Row],[PID]],Batters[[#All],[PID]],0)),INDEX(Table3[[#All],[DEM]],MATCH(Table5[[#This Row],[PID]],Table3[[#All],[PID]],0)))</f>
        <v>$65k</v>
      </c>
      <c r="T150" s="62">
        <f>IF($C150="B",INDEX(Batters[[#All],[Rnk]],MATCH(Table5[[#This Row],[PID]],Batters[[#All],[PID]],0)),INDEX(Table3[[#All],[Rnk]],MATCH(Table5[[#This Row],[PID]],Table3[[#All],[PID]],0)))</f>
        <v>65</v>
      </c>
      <c r="U150" s="68">
        <f>IF($C150="B",VLOOKUP($A150,Bat!$A$4:$BA$1621,47,FALSE),VLOOKUP($A150,Pit!$A$4:$BF$1557,56,FALSE))</f>
        <v>0</v>
      </c>
      <c r="V150" s="50">
        <f>IF($C150="B",VLOOKUP($A150,Bat!$A$4:$BA$1621,48,FALSE),VLOOKUP($A150,Pit!$A$4:$BF$1557,57,FALSE))</f>
        <v>0</v>
      </c>
      <c r="W150" s="50">
        <f>Table5[[#This Row],[posRnk]]+Table5[[#This Row],[zRnk]]+IF($W$3&lt;&gt;Table5[[#This Row],[Type]],50,0)</f>
        <v>288</v>
      </c>
      <c r="X150" s="51">
        <f>RANK(Table5[[#This Row],[zScore]],Table5[[#All],[zScore]])</f>
        <v>173</v>
      </c>
      <c r="Y150" s="50">
        <f>IFERROR(INDEX(DraftResults[[#All],[OVR]],MATCH(Table5[[#This Row],[PID]],DraftResults[[#All],[Player ID]],0)),"")</f>
        <v>146</v>
      </c>
      <c r="Z1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0" s="50">
        <f>IFERROR(INDEX(DraftResults[[#All],[Pick in Round]],MATCH(Table5[[#This Row],[PID]],DraftResults[[#All],[Player ID]],0)),"")</f>
        <v>18</v>
      </c>
      <c r="AB150" s="50" t="str">
        <f>IFERROR(INDEX(DraftResults[[#All],[Team Name]],MATCH(Table5[[#This Row],[PID]],DraftResults[[#All],[Player ID]],0)),"")</f>
        <v>Bakersfield Bears</v>
      </c>
      <c r="AC150" s="50">
        <f>IF(Table5[[#This Row],[Ovr]]="","",IF(Table5[[#This Row],[cmbList]]="","",Table5[[#This Row],[cmbList]]-Table5[[#This Row],[Ovr]]))</f>
        <v>142</v>
      </c>
      <c r="AD150" s="54" t="str">
        <f>IF(ISERROR(VLOOKUP($AB150&amp;"-"&amp;$E150&amp;" "&amp;F150,Bonuses!$B$1:$G$1006,4,FALSE)),"",INT(VLOOKUP($AB150&amp;"-"&amp;$E150&amp;" "&amp;$F150,Bonuses!$B$1:$G$1006,4,FALSE)))</f>
        <v/>
      </c>
      <c r="AE1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5.18 (146) - RF Sean MacFarlane</v>
      </c>
    </row>
    <row r="151" spans="1:31" s="50" customFormat="1" x14ac:dyDescent="0.25">
      <c r="A151" s="50">
        <v>18250</v>
      </c>
      <c r="B151" s="50">
        <f>COUNTIF(Table5[PID],A151)</f>
        <v>1</v>
      </c>
      <c r="C151" s="50" t="str">
        <f>IF(COUNTIF(Table3[[#All],[PID]],A151)&gt;0,"P","B")</f>
        <v>B</v>
      </c>
      <c r="D151" s="59" t="str">
        <f>IF($C151="B",INDEX(Batters[[#All],[POS]],MATCH(Table5[[#This Row],[PID]],Batters[[#All],[PID]],0)),INDEX(Table3[[#All],[POS]],MATCH(Table5[[#This Row],[PID]],Table3[[#All],[PID]],0)))</f>
        <v>LF</v>
      </c>
      <c r="E151" s="52" t="str">
        <f>IF($C151="B",INDEX(Batters[[#All],[First]],MATCH(Table5[[#This Row],[PID]],Batters[[#All],[PID]],0)),INDEX(Table3[[#All],[First]],MATCH(Table5[[#This Row],[PID]],Table3[[#All],[PID]],0)))</f>
        <v>Armando</v>
      </c>
      <c r="F151" s="50" t="str">
        <f>IF($C151="B",INDEX(Batters[[#All],[Last]],MATCH(A151,Batters[[#All],[PID]],0)),INDEX(Table3[[#All],[Last]],MATCH(A151,Table3[[#All],[PID]],0)))</f>
        <v>Aragón</v>
      </c>
      <c r="G151" s="56">
        <f>IF($C151="B",INDEX(Batters[[#All],[Age]],MATCH(Table5[[#This Row],[PID]],Batters[[#All],[PID]],0)),INDEX(Table3[[#All],[Age]],MATCH(Table5[[#This Row],[PID]],Table3[[#All],[PID]],0)))</f>
        <v>18</v>
      </c>
      <c r="H151" s="52" t="str">
        <f>IF($C151="B",INDEX(Batters[[#All],[B]],MATCH(Table5[[#This Row],[PID]],Batters[[#All],[PID]],0)),INDEX(Table3[[#All],[B]],MATCH(Table5[[#This Row],[PID]],Table3[[#All],[PID]],0)))</f>
        <v>R</v>
      </c>
      <c r="I151" s="52" t="str">
        <f>IF($C151="B",INDEX(Batters[[#All],[T]],MATCH(Table5[[#This Row],[PID]],Batters[[#All],[PID]],0)),INDEX(Table3[[#All],[T]],MATCH(Table5[[#This Row],[PID]],Table3[[#All],[PID]],0)))</f>
        <v>R</v>
      </c>
      <c r="J151" s="52" t="str">
        <f>IF($C151="B",INDEX(Batters[[#All],[WE]],MATCH(Table5[[#This Row],[PID]],Batters[[#All],[PID]],0)),INDEX(Table3[[#All],[WE]],MATCH(Table5[[#This Row],[PID]],Table3[[#All],[PID]],0)))</f>
        <v>Normal</v>
      </c>
      <c r="K151" s="52" t="str">
        <f>IF($C151="B",INDEX(Batters[[#All],[INT]],MATCH(Table5[[#This Row],[PID]],Batters[[#All],[PID]],0)),INDEX(Table3[[#All],[INT]],MATCH(Table5[[#This Row],[PID]],Table3[[#All],[PID]],0)))</f>
        <v>Normal</v>
      </c>
      <c r="L151" s="60">
        <f>IF($C151="B",INDEX(Batters[[#All],[CON P]],MATCH(Table5[[#This Row],[PID]],Batters[[#All],[PID]],0)),INDEX(Table3[[#All],[STU P]],MATCH(Table5[[#This Row],[PID]],Table3[[#All],[PID]],0)))</f>
        <v>3</v>
      </c>
      <c r="M151" s="56">
        <f>IF($C151="B",INDEX(Batters[[#All],[GAP P]],MATCH(Table5[[#This Row],[PID]],Batters[[#All],[PID]],0)),INDEX(Table3[[#All],[MOV P]],MATCH(Table5[[#This Row],[PID]],Table3[[#All],[PID]],0)))</f>
        <v>6</v>
      </c>
      <c r="N151" s="56">
        <f>IF($C151="B",INDEX(Batters[[#All],[POW P]],MATCH(Table5[[#This Row],[PID]],Batters[[#All],[PID]],0)),INDEX(Table3[[#All],[CON P]],MATCH(Table5[[#This Row],[PID]],Table3[[#All],[PID]],0)))</f>
        <v>7</v>
      </c>
      <c r="O151" s="56">
        <f>IF($C151="B",INDEX(Batters[[#All],[EYE P]],MATCH(Table5[[#This Row],[PID]],Batters[[#All],[PID]],0)),INDEX(Table3[[#All],[VELO]],MATCH(Table5[[#This Row],[PID]],Table3[[#All],[PID]],0)))</f>
        <v>4</v>
      </c>
      <c r="P151" s="56">
        <f>IF($C151="B",INDEX(Batters[[#All],[K P]],MATCH(Table5[[#This Row],[PID]],Batters[[#All],[PID]],0)),INDEX(Table3[[#All],[STM]],MATCH(Table5[[#This Row],[PID]],Table3[[#All],[PID]],0)))</f>
        <v>2</v>
      </c>
      <c r="Q151" s="61">
        <f>IF($C151="B",INDEX(Batters[[#All],[Tot]],MATCH(Table5[[#This Row],[PID]],Batters[[#All],[PID]],0)),INDEX(Table3[[#All],[Tot]],MATCH(Table5[[#This Row],[PID]],Table3[[#All],[PID]],0)))</f>
        <v>45.29626404771026</v>
      </c>
      <c r="R151" s="52">
        <f>IF($C151="B",INDEX(Batters[[#All],[zScore]],MATCH(Table5[[#This Row],[PID]],Batters[[#All],[PID]],0)),INDEX(Table3[[#All],[zScore]],MATCH(Table5[[#This Row],[PID]],Table3[[#All],[PID]],0)))</f>
        <v>0.25813857319316752</v>
      </c>
      <c r="S151" s="58" t="str">
        <f>IF($C151="B",INDEX(Batters[[#All],[DEM]],MATCH(Table5[[#This Row],[PID]],Batters[[#All],[PID]],0)),INDEX(Table3[[#All],[DEM]],MATCH(Table5[[#This Row],[PID]],Table3[[#All],[PID]],0)))</f>
        <v>$350k</v>
      </c>
      <c r="T151" s="62">
        <f>IF($C151="B",INDEX(Batters[[#All],[Rnk]],MATCH(Table5[[#This Row],[PID]],Batters[[#All],[PID]],0)),INDEX(Table3[[#All],[Rnk]],MATCH(Table5[[#This Row],[PID]],Table3[[#All],[PID]],0)))</f>
        <v>183</v>
      </c>
      <c r="U151" s="68">
        <f>IF($C151="B",VLOOKUP($A151,Bat!$A$4:$BA$1621,47,FALSE),VLOOKUP($A151,Pit!$A$4:$BF$1557,56,FALSE))</f>
        <v>0</v>
      </c>
      <c r="V151" s="50">
        <f>IF($C151="B",VLOOKUP($A151,Bat!$A$4:$BA$1621,48,FALSE),VLOOKUP($A151,Pit!$A$4:$BF$1557,57,FALSE))</f>
        <v>0</v>
      </c>
      <c r="W151" s="50">
        <f>Table5[[#This Row],[posRnk]]+Table5[[#This Row],[zRnk]]+IF($W$3&lt;&gt;Table5[[#This Row],[Type]],50,0)</f>
        <v>665</v>
      </c>
      <c r="X151" s="51">
        <f>RANK(Table5[[#This Row],[zScore]],Table5[[#All],[zScore]])</f>
        <v>432</v>
      </c>
      <c r="Y151" s="50">
        <f>IFERROR(INDEX(DraftResults[[#All],[OVR]],MATCH(Table5[[#This Row],[PID]],DraftResults[[#All],[Player ID]],0)),"")</f>
        <v>147</v>
      </c>
      <c r="Z1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1" s="50">
        <f>IFERROR(INDEX(DraftResults[[#All],[Pick in Round]],MATCH(Table5[[#This Row],[PID]],DraftResults[[#All],[Player ID]],0)),"")</f>
        <v>19</v>
      </c>
      <c r="AB151" s="50" t="str">
        <f>IFERROR(INDEX(DraftResults[[#All],[Team Name]],MATCH(Table5[[#This Row],[PID]],DraftResults[[#All],[Player ID]],0)),"")</f>
        <v>Kalamazoo Badgers</v>
      </c>
      <c r="AC151" s="50">
        <f>IF(Table5[[#This Row],[Ovr]]="","",IF(Table5[[#This Row],[cmbList]]="","",Table5[[#This Row],[cmbList]]-Table5[[#This Row],[Ovr]]))</f>
        <v>518</v>
      </c>
      <c r="AD151" s="54" t="str">
        <f>IF(ISERROR(VLOOKUP($AB151&amp;"-"&amp;$E151&amp;" "&amp;F151,Bonuses!$B$1:$G$1006,4,FALSE)),"",INT(VLOOKUP($AB151&amp;"-"&amp;$E151&amp;" "&amp;$F151,Bonuses!$B$1:$G$1006,4,FALSE)))</f>
        <v/>
      </c>
      <c r="AE1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5.19 (147) - LF Armando Aragón</v>
      </c>
    </row>
    <row r="152" spans="1:31" s="50" customFormat="1" x14ac:dyDescent="0.25">
      <c r="A152" s="50">
        <v>17882</v>
      </c>
      <c r="B152" s="50">
        <f>COUNTIF(Table5[PID],A152)</f>
        <v>1</v>
      </c>
      <c r="C152" s="50" t="str">
        <f>IF(COUNTIF(Table3[[#All],[PID]],A152)&gt;0,"P","B")</f>
        <v>P</v>
      </c>
      <c r="D152" s="59" t="str">
        <f>IF($C152="B",INDEX(Batters[[#All],[POS]],MATCH(Table5[[#This Row],[PID]],Batters[[#All],[PID]],0)),INDEX(Table3[[#All],[POS]],MATCH(Table5[[#This Row],[PID]],Table3[[#All],[PID]],0)))</f>
        <v>RP</v>
      </c>
      <c r="E152" s="52" t="str">
        <f>IF($C152="B",INDEX(Batters[[#All],[First]],MATCH(Table5[[#This Row],[PID]],Batters[[#All],[PID]],0)),INDEX(Table3[[#All],[First]],MATCH(Table5[[#This Row],[PID]],Table3[[#All],[PID]],0)))</f>
        <v>Jake</v>
      </c>
      <c r="F152" s="50" t="str">
        <f>IF($C152="B",INDEX(Batters[[#All],[Last]],MATCH(A152,Batters[[#All],[PID]],0)),INDEX(Table3[[#All],[Last]],MATCH(A152,Table3[[#All],[PID]],0)))</f>
        <v>Bain</v>
      </c>
      <c r="G152" s="56">
        <f>IF($C152="B",INDEX(Batters[[#All],[Age]],MATCH(Table5[[#This Row],[PID]],Batters[[#All],[PID]],0)),INDEX(Table3[[#All],[Age]],MATCH(Table5[[#This Row],[PID]],Table3[[#All],[PID]],0)))</f>
        <v>18</v>
      </c>
      <c r="H152" s="52" t="str">
        <f>IF($C152="B",INDEX(Batters[[#All],[B]],MATCH(Table5[[#This Row],[PID]],Batters[[#All],[PID]],0)),INDEX(Table3[[#All],[B]],MATCH(Table5[[#This Row],[PID]],Table3[[#All],[PID]],0)))</f>
        <v>R</v>
      </c>
      <c r="I152" s="52" t="str">
        <f>IF($C152="B",INDEX(Batters[[#All],[T]],MATCH(Table5[[#This Row],[PID]],Batters[[#All],[PID]],0)),INDEX(Table3[[#All],[T]],MATCH(Table5[[#This Row],[PID]],Table3[[#All],[PID]],0)))</f>
        <v>R</v>
      </c>
      <c r="J152" s="52" t="str">
        <f>IF($C152="B",INDEX(Batters[[#All],[WE]],MATCH(Table5[[#This Row],[PID]],Batters[[#All],[PID]],0)),INDEX(Table3[[#All],[WE]],MATCH(Table5[[#This Row],[PID]],Table3[[#All],[PID]],0)))</f>
        <v>Normal</v>
      </c>
      <c r="K152" s="52" t="str">
        <f>IF($C152="B",INDEX(Batters[[#All],[INT]],MATCH(Table5[[#This Row],[PID]],Batters[[#All],[PID]],0)),INDEX(Table3[[#All],[INT]],MATCH(Table5[[#This Row],[PID]],Table3[[#All],[PID]],0)))</f>
        <v>Normal</v>
      </c>
      <c r="L152" s="60">
        <f>IF($C152="B",INDEX(Batters[[#All],[CON P]],MATCH(Table5[[#This Row],[PID]],Batters[[#All],[PID]],0)),INDEX(Table3[[#All],[STU P]],MATCH(Table5[[#This Row],[PID]],Table3[[#All],[PID]],0)))</f>
        <v>5</v>
      </c>
      <c r="M152" s="56">
        <f>IF($C152="B",INDEX(Batters[[#All],[GAP P]],MATCH(Table5[[#This Row],[PID]],Batters[[#All],[PID]],0)),INDEX(Table3[[#All],[MOV P]],MATCH(Table5[[#This Row],[PID]],Table3[[#All],[PID]],0)))</f>
        <v>5</v>
      </c>
      <c r="N152" s="56">
        <f>IF($C152="B",INDEX(Batters[[#All],[POW P]],MATCH(Table5[[#This Row],[PID]],Batters[[#All],[PID]],0)),INDEX(Table3[[#All],[CON P]],MATCH(Table5[[#This Row],[PID]],Table3[[#All],[PID]],0)))</f>
        <v>7</v>
      </c>
      <c r="O152" s="56" t="str">
        <f>IF($C152="B",INDEX(Batters[[#All],[EYE P]],MATCH(Table5[[#This Row],[PID]],Batters[[#All],[PID]],0)),INDEX(Table3[[#All],[VELO]],MATCH(Table5[[#This Row],[PID]],Table3[[#All],[PID]],0)))</f>
        <v>87-89 Mph</v>
      </c>
      <c r="P152" s="56">
        <f>IF($C152="B",INDEX(Batters[[#All],[K P]],MATCH(Table5[[#This Row],[PID]],Batters[[#All],[PID]],0)),INDEX(Table3[[#All],[STM]],MATCH(Table5[[#This Row],[PID]],Table3[[#All],[PID]],0)))</f>
        <v>10</v>
      </c>
      <c r="Q152" s="61">
        <f>IF($C152="B",INDEX(Batters[[#All],[Tot]],MATCH(Table5[[#This Row],[PID]],Batters[[#All],[PID]],0)),INDEX(Table3[[#All],[Tot]],MATCH(Table5[[#This Row],[PID]],Table3[[#All],[PID]],0)))</f>
        <v>70.740727900533841</v>
      </c>
      <c r="R152" s="52">
        <f>IF($C152="B",INDEX(Batters[[#All],[zScore]],MATCH(Table5[[#This Row],[PID]],Batters[[#All],[PID]],0)),INDEX(Table3[[#All],[zScore]],MATCH(Table5[[#This Row],[PID]],Table3[[#All],[PID]],0)))</f>
        <v>2.3198612441178814</v>
      </c>
      <c r="S152" s="58" t="str">
        <f>IF($C152="B",INDEX(Batters[[#All],[DEM]],MATCH(Table5[[#This Row],[PID]],Batters[[#All],[PID]],0)),INDEX(Table3[[#All],[DEM]],MATCH(Table5[[#This Row],[PID]],Table3[[#All],[PID]],0)))</f>
        <v>$100k</v>
      </c>
      <c r="T152" s="62">
        <f>IF($C152="B",INDEX(Batters[[#All],[Rnk]],MATCH(Table5[[#This Row],[PID]],Batters[[#All],[PID]],0)),INDEX(Table3[[#All],[Rnk]],MATCH(Table5[[#This Row],[PID]],Table3[[#All],[PID]],0)))</f>
        <v>12</v>
      </c>
      <c r="U152" s="68">
        <f>IF($C152="B",VLOOKUP($A152,Bat!$A$4:$BA$1621,47,FALSE),VLOOKUP($A152,Pit!$A$4:$BF$1557,56,FALSE))</f>
        <v>0</v>
      </c>
      <c r="V152" s="50">
        <f>IF($C152="B",VLOOKUP($A152,Bat!$A$4:$BA$1621,48,FALSE),VLOOKUP($A152,Pit!$A$4:$BF$1557,57,FALSE))</f>
        <v>0</v>
      </c>
      <c r="W152" s="50">
        <f>Table5[[#This Row],[posRnk]]+Table5[[#This Row],[zRnk]]+IF($W$3&lt;&gt;Table5[[#This Row],[Type]],50,0)</f>
        <v>86</v>
      </c>
      <c r="X152" s="51">
        <f>RANK(Table5[[#This Row],[zScore]],Table5[[#All],[zScore]])</f>
        <v>24</v>
      </c>
      <c r="Y152" s="50">
        <f>IFERROR(INDEX(DraftResults[[#All],[OVR]],MATCH(Table5[[#This Row],[PID]],DraftResults[[#All],[Player ID]],0)),"")</f>
        <v>148</v>
      </c>
      <c r="Z1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2" s="50">
        <f>IFERROR(INDEX(DraftResults[[#All],[Pick in Round]],MATCH(Table5[[#This Row],[PID]],DraftResults[[#All],[Player ID]],0)),"")</f>
        <v>20</v>
      </c>
      <c r="AB152" s="50" t="str">
        <f>IFERROR(INDEX(DraftResults[[#All],[Team Name]],MATCH(Table5[[#This Row],[PID]],DraftResults[[#All],[Player ID]],0)),"")</f>
        <v>Amsterdam Lions</v>
      </c>
      <c r="AC152" s="50">
        <f>IF(Table5[[#This Row],[Ovr]]="","",IF(Table5[[#This Row],[cmbList]]="","",Table5[[#This Row],[cmbList]]-Table5[[#This Row],[Ovr]]))</f>
        <v>-62</v>
      </c>
      <c r="AD152" s="54" t="str">
        <f>IF(ISERROR(VLOOKUP($AB152&amp;"-"&amp;$E152&amp;" "&amp;F152,Bonuses!$B$1:$G$1006,4,FALSE)),"",INT(VLOOKUP($AB152&amp;"-"&amp;$E152&amp;" "&amp;$F152,Bonuses!$B$1:$G$1006,4,FALSE)))</f>
        <v/>
      </c>
      <c r="AE1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5.20 (148) - RP Jake Bain</v>
      </c>
    </row>
    <row r="153" spans="1:31" s="50" customFormat="1" x14ac:dyDescent="0.25">
      <c r="A153" s="50">
        <v>18104</v>
      </c>
      <c r="B153" s="50">
        <f>COUNTIF(Table5[PID],A153)</f>
        <v>1</v>
      </c>
      <c r="C153" s="50" t="str">
        <f>IF(COUNTIF(Table3[[#All],[PID]],A153)&gt;0,"P","B")</f>
        <v>P</v>
      </c>
      <c r="D153" s="59" t="str">
        <f>IF($C153="B",INDEX(Batters[[#All],[POS]],MATCH(Table5[[#This Row],[PID]],Batters[[#All],[PID]],0)),INDEX(Table3[[#All],[POS]],MATCH(Table5[[#This Row],[PID]],Table3[[#All],[PID]],0)))</f>
        <v>CL</v>
      </c>
      <c r="E153" s="52" t="str">
        <f>IF($C153="B",INDEX(Batters[[#All],[First]],MATCH(Table5[[#This Row],[PID]],Batters[[#All],[PID]],0)),INDEX(Table3[[#All],[First]],MATCH(Table5[[#This Row],[PID]],Table3[[#All],[PID]],0)))</f>
        <v>Powell</v>
      </c>
      <c r="F153" s="50" t="str">
        <f>IF($C153="B",INDEX(Batters[[#All],[Last]],MATCH(A153,Batters[[#All],[PID]],0)),INDEX(Table3[[#All],[Last]],MATCH(A153,Table3[[#All],[PID]],0)))</f>
        <v>Ruíz</v>
      </c>
      <c r="G153" s="56">
        <f>IF($C153="B",INDEX(Batters[[#All],[Age]],MATCH(Table5[[#This Row],[PID]],Batters[[#All],[PID]],0)),INDEX(Table3[[#All],[Age]],MATCH(Table5[[#This Row],[PID]],Table3[[#All],[PID]],0)))</f>
        <v>21</v>
      </c>
      <c r="H153" s="52" t="str">
        <f>IF($C153="B",INDEX(Batters[[#All],[B]],MATCH(Table5[[#This Row],[PID]],Batters[[#All],[PID]],0)),INDEX(Table3[[#All],[B]],MATCH(Table5[[#This Row],[PID]],Table3[[#All],[PID]],0)))</f>
        <v>S</v>
      </c>
      <c r="I153" s="52" t="str">
        <f>IF($C153="B",INDEX(Batters[[#All],[T]],MATCH(Table5[[#This Row],[PID]],Batters[[#All],[PID]],0)),INDEX(Table3[[#All],[T]],MATCH(Table5[[#This Row],[PID]],Table3[[#All],[PID]],0)))</f>
        <v>R</v>
      </c>
      <c r="J153" s="52" t="str">
        <f>IF($C153="B",INDEX(Batters[[#All],[WE]],MATCH(Table5[[#This Row],[PID]],Batters[[#All],[PID]],0)),INDEX(Table3[[#All],[WE]],MATCH(Table5[[#This Row],[PID]],Table3[[#All],[PID]],0)))</f>
        <v>Normal</v>
      </c>
      <c r="K153" s="52" t="str">
        <f>IF($C153="B",INDEX(Batters[[#All],[INT]],MATCH(Table5[[#This Row],[PID]],Batters[[#All],[PID]],0)),INDEX(Table3[[#All],[INT]],MATCH(Table5[[#This Row],[PID]],Table3[[#All],[PID]],0)))</f>
        <v>Normal</v>
      </c>
      <c r="L153" s="60">
        <f>IF($C153="B",INDEX(Batters[[#All],[CON P]],MATCH(Table5[[#This Row],[PID]],Batters[[#All],[PID]],0)),INDEX(Table3[[#All],[STU P]],MATCH(Table5[[#This Row],[PID]],Table3[[#All],[PID]],0)))</f>
        <v>8</v>
      </c>
      <c r="M153" s="56">
        <f>IF($C153="B",INDEX(Batters[[#All],[GAP P]],MATCH(Table5[[#This Row],[PID]],Batters[[#All],[PID]],0)),INDEX(Table3[[#All],[MOV P]],MATCH(Table5[[#This Row],[PID]],Table3[[#All],[PID]],0)))</f>
        <v>6</v>
      </c>
      <c r="N153" s="56">
        <f>IF($C153="B",INDEX(Batters[[#All],[POW P]],MATCH(Table5[[#This Row],[PID]],Batters[[#All],[PID]],0)),INDEX(Table3[[#All],[CON P]],MATCH(Table5[[#This Row],[PID]],Table3[[#All],[PID]],0)))</f>
        <v>3</v>
      </c>
      <c r="O153" s="56" t="str">
        <f>IF($C153="B",INDEX(Batters[[#All],[EYE P]],MATCH(Table5[[#This Row],[PID]],Batters[[#All],[PID]],0)),INDEX(Table3[[#All],[VELO]],MATCH(Table5[[#This Row],[PID]],Table3[[#All],[PID]],0)))</f>
        <v>94-96 Mph</v>
      </c>
      <c r="P153" s="56">
        <f>IF($C153="B",INDEX(Batters[[#All],[K P]],MATCH(Table5[[#This Row],[PID]],Batters[[#All],[PID]],0)),INDEX(Table3[[#All],[STM]],MATCH(Table5[[#This Row],[PID]],Table3[[#All],[PID]],0)))</f>
        <v>6</v>
      </c>
      <c r="Q153" s="61">
        <f>IF($C153="B",INDEX(Batters[[#All],[Tot]],MATCH(Table5[[#This Row],[PID]],Batters[[#All],[PID]],0)),INDEX(Table3[[#All],[Tot]],MATCH(Table5[[#This Row],[PID]],Table3[[#All],[PID]],0)))</f>
        <v>54.714058785481605</v>
      </c>
      <c r="R153" s="52">
        <f>IF($C153="B",INDEX(Batters[[#All],[zScore]],MATCH(Table5[[#This Row],[PID]],Batters[[#All],[PID]],0)),INDEX(Table3[[#All],[zScore]],MATCH(Table5[[#This Row],[PID]],Table3[[#All],[PID]],0)))</f>
        <v>1.253631438388241</v>
      </c>
      <c r="S153" s="58" t="str">
        <f>IF($C153="B",INDEX(Batters[[#All],[DEM]],MATCH(Table5[[#This Row],[PID]],Batters[[#All],[PID]],0)),INDEX(Table3[[#All],[DEM]],MATCH(Table5[[#This Row],[PID]],Table3[[#All],[PID]],0)))</f>
        <v>-</v>
      </c>
      <c r="T153" s="62">
        <f>IF($C153="B",INDEX(Batters[[#All],[Rnk]],MATCH(Table5[[#This Row],[PID]],Batters[[#All],[PID]],0)),INDEX(Table3[[#All],[Rnk]],MATCH(Table5[[#This Row],[PID]],Table3[[#All],[PID]],0)))</f>
        <v>106</v>
      </c>
      <c r="U153" s="68">
        <f>IF($C153="B",VLOOKUP($A153,Bat!$A$4:$BA$1621,47,FALSE),VLOOKUP($A153,Pit!$A$4:$BF$1557,56,FALSE))</f>
        <v>0</v>
      </c>
      <c r="V153" s="50">
        <f>IF($C153="B",VLOOKUP($A153,Bat!$A$4:$BA$1621,48,FALSE),VLOOKUP($A153,Pit!$A$4:$BF$1557,57,FALSE))</f>
        <v>0</v>
      </c>
      <c r="W153" s="50">
        <f>Table5[[#This Row],[posRnk]]+Table5[[#This Row],[zRnk]]+IF($W$3&lt;&gt;Table5[[#This Row],[Type]],50,0)</f>
        <v>326</v>
      </c>
      <c r="X153" s="51">
        <f>RANK(Table5[[#This Row],[zScore]],Table5[[#All],[zScore]])</f>
        <v>170</v>
      </c>
      <c r="Y153" s="50">
        <f>IFERROR(INDEX(DraftResults[[#All],[OVR]],MATCH(Table5[[#This Row],[PID]],DraftResults[[#All],[Player ID]],0)),"")</f>
        <v>149</v>
      </c>
      <c r="Z1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3" s="50">
        <f>IFERROR(INDEX(DraftResults[[#All],[Pick in Round]],MATCH(Table5[[#This Row],[PID]],DraftResults[[#All],[Player ID]],0)),"")</f>
        <v>21</v>
      </c>
      <c r="AB153" s="50" t="str">
        <f>IFERROR(INDEX(DraftResults[[#All],[Team Name]],MATCH(Table5[[#This Row],[PID]],DraftResults[[#All],[Player ID]],0)),"")</f>
        <v>Tempe Knights</v>
      </c>
      <c r="AC153" s="50">
        <f>IF(Table5[[#This Row],[Ovr]]="","",IF(Table5[[#This Row],[cmbList]]="","",Table5[[#This Row],[cmbList]]-Table5[[#This Row],[Ovr]]))</f>
        <v>177</v>
      </c>
      <c r="AD153" s="54" t="str">
        <f>IF(ISERROR(VLOOKUP($AB153&amp;"-"&amp;$E153&amp;" "&amp;F153,Bonuses!$B$1:$G$1006,4,FALSE)),"",INT(VLOOKUP($AB153&amp;"-"&amp;$E153&amp;" "&amp;$F153,Bonuses!$B$1:$G$1006,4,FALSE)))</f>
        <v/>
      </c>
      <c r="AE1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5.21 (149) - CL Powell Ruíz</v>
      </c>
    </row>
    <row r="154" spans="1:31" s="50" customFormat="1" x14ac:dyDescent="0.25">
      <c r="A154" s="50">
        <v>20648</v>
      </c>
      <c r="B154" s="50">
        <f>COUNTIF(Table5[PID],A154)</f>
        <v>1</v>
      </c>
      <c r="C154" s="50" t="str">
        <f>IF(COUNTIF(Table3[[#All],[PID]],A154)&gt;0,"P","B")</f>
        <v>B</v>
      </c>
      <c r="D154" s="59" t="str">
        <f>IF($C154="B",INDEX(Batters[[#All],[POS]],MATCH(Table5[[#This Row],[PID]],Batters[[#All],[PID]],0)),INDEX(Table3[[#All],[POS]],MATCH(Table5[[#This Row],[PID]],Table3[[#All],[PID]],0)))</f>
        <v>LF</v>
      </c>
      <c r="E154" s="52" t="str">
        <f>IF($C154="B",INDEX(Batters[[#All],[First]],MATCH(Table5[[#This Row],[PID]],Batters[[#All],[PID]],0)),INDEX(Table3[[#All],[First]],MATCH(Table5[[#This Row],[PID]],Table3[[#All],[PID]],0)))</f>
        <v>Min-chor</v>
      </c>
      <c r="F154" s="50" t="str">
        <f>IF($C154="B",INDEX(Batters[[#All],[Last]],MATCH(A154,Batters[[#All],[PID]],0)),INDEX(Table3[[#All],[Last]],MATCH(A154,Table3[[#All],[PID]],0)))</f>
        <v>Kim</v>
      </c>
      <c r="G154" s="56">
        <f>IF($C154="B",INDEX(Batters[[#All],[Age]],MATCH(Table5[[#This Row],[PID]],Batters[[#All],[PID]],0)),INDEX(Table3[[#All],[Age]],MATCH(Table5[[#This Row],[PID]],Table3[[#All],[PID]],0)))</f>
        <v>17</v>
      </c>
      <c r="H154" s="52" t="str">
        <f>IF($C154="B",INDEX(Batters[[#All],[B]],MATCH(Table5[[#This Row],[PID]],Batters[[#All],[PID]],0)),INDEX(Table3[[#All],[B]],MATCH(Table5[[#This Row],[PID]],Table3[[#All],[PID]],0)))</f>
        <v>L</v>
      </c>
      <c r="I154" s="52" t="str">
        <f>IF($C154="B",INDEX(Batters[[#All],[T]],MATCH(Table5[[#This Row],[PID]],Batters[[#All],[PID]],0)),INDEX(Table3[[#All],[T]],MATCH(Table5[[#This Row],[PID]],Table3[[#All],[PID]],0)))</f>
        <v>L</v>
      </c>
      <c r="J154" s="52" t="str">
        <f>IF($C154="B",INDEX(Batters[[#All],[WE]],MATCH(Table5[[#This Row],[PID]],Batters[[#All],[PID]],0)),INDEX(Table3[[#All],[WE]],MATCH(Table5[[#This Row],[PID]],Table3[[#All],[PID]],0)))</f>
        <v>Low</v>
      </c>
      <c r="K154" s="52" t="str">
        <f>IF($C154="B",INDEX(Batters[[#All],[INT]],MATCH(Table5[[#This Row],[PID]],Batters[[#All],[PID]],0)),INDEX(Table3[[#All],[INT]],MATCH(Table5[[#This Row],[PID]],Table3[[#All],[PID]],0)))</f>
        <v>Normal</v>
      </c>
      <c r="L154" s="60">
        <f>IF($C154="B",INDEX(Batters[[#All],[CON P]],MATCH(Table5[[#This Row],[PID]],Batters[[#All],[PID]],0)),INDEX(Table3[[#All],[STU P]],MATCH(Table5[[#This Row],[PID]],Table3[[#All],[PID]],0)))</f>
        <v>3</v>
      </c>
      <c r="M154" s="56">
        <f>IF($C154="B",INDEX(Batters[[#All],[GAP P]],MATCH(Table5[[#This Row],[PID]],Batters[[#All],[PID]],0)),INDEX(Table3[[#All],[MOV P]],MATCH(Table5[[#This Row],[PID]],Table3[[#All],[PID]],0)))</f>
        <v>6</v>
      </c>
      <c r="N154" s="56">
        <f>IF($C154="B",INDEX(Batters[[#All],[POW P]],MATCH(Table5[[#This Row],[PID]],Batters[[#All],[PID]],0)),INDEX(Table3[[#All],[CON P]],MATCH(Table5[[#This Row],[PID]],Table3[[#All],[PID]],0)))</f>
        <v>9</v>
      </c>
      <c r="O154" s="56">
        <f>IF($C154="B",INDEX(Batters[[#All],[EYE P]],MATCH(Table5[[#This Row],[PID]],Batters[[#All],[PID]],0)),INDEX(Table3[[#All],[VELO]],MATCH(Table5[[#This Row],[PID]],Table3[[#All],[PID]],0)))</f>
        <v>6</v>
      </c>
      <c r="P154" s="56">
        <f>IF($C154="B",INDEX(Batters[[#All],[K P]],MATCH(Table5[[#This Row],[PID]],Batters[[#All],[PID]],0)),INDEX(Table3[[#All],[STM]],MATCH(Table5[[#This Row],[PID]],Table3[[#All],[PID]],0)))</f>
        <v>2</v>
      </c>
      <c r="Q154" s="61">
        <f>IF($C154="B",INDEX(Batters[[#All],[Tot]],MATCH(Table5[[#This Row],[PID]],Batters[[#All],[PID]],0)),INDEX(Table3[[#All],[Tot]],MATCH(Table5[[#This Row],[PID]],Table3[[#All],[PID]],0)))</f>
        <v>49.349095967949076</v>
      </c>
      <c r="R154" s="52">
        <f>IF($C154="B",INDEX(Batters[[#All],[zScore]],MATCH(Table5[[#This Row],[PID]],Batters[[#All],[PID]],0)),INDEX(Table3[[#All],[zScore]],MATCH(Table5[[#This Row],[PID]],Table3[[#All],[PID]],0)))</f>
        <v>1.1566788045114751</v>
      </c>
      <c r="S154" s="58" t="str">
        <f>IF($C154="B",INDEX(Batters[[#All],[DEM]],MATCH(Table5[[#This Row],[PID]],Batters[[#All],[PID]],0)),INDEX(Table3[[#All],[DEM]],MATCH(Table5[[#This Row],[PID]],Table3[[#All],[PID]],0)))</f>
        <v>$200k</v>
      </c>
      <c r="T154" s="62">
        <f>IF($C154="B",INDEX(Batters[[#All],[Rnk]],MATCH(Table5[[#This Row],[PID]],Batters[[#All],[PID]],0)),INDEX(Table3[[#All],[Rnk]],MATCH(Table5[[#This Row],[PID]],Table3[[#All],[PID]],0)))</f>
        <v>76</v>
      </c>
      <c r="U154" s="68">
        <f>IF($C154="B",VLOOKUP($A154,Bat!$A$4:$BA$1621,47,FALSE),VLOOKUP($A154,Pit!$A$4:$BF$1557,56,FALSE))</f>
        <v>0</v>
      </c>
      <c r="V154" s="50">
        <f>IF($C154="B",VLOOKUP($A154,Bat!$A$4:$BA$1621,48,FALSE),VLOOKUP($A154,Pit!$A$4:$BF$1557,57,FALSE))</f>
        <v>0</v>
      </c>
      <c r="W154" s="50">
        <f>Table5[[#This Row],[posRnk]]+Table5[[#This Row],[zRnk]]+IF($W$3&lt;&gt;Table5[[#This Row],[Type]],50,0)</f>
        <v>321</v>
      </c>
      <c r="X154" s="51">
        <f>RANK(Table5[[#This Row],[zScore]],Table5[[#All],[zScore]])</f>
        <v>195</v>
      </c>
      <c r="Y154" s="50">
        <f>IFERROR(INDEX(DraftResults[[#All],[OVR]],MATCH(Table5[[#This Row],[PID]],DraftResults[[#All],[Player ID]],0)),"")</f>
        <v>150</v>
      </c>
      <c r="Z1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4" s="50">
        <f>IFERROR(INDEX(DraftResults[[#All],[Pick in Round]],MATCH(Table5[[#This Row],[PID]],DraftResults[[#All],[Player ID]],0)),"")</f>
        <v>22</v>
      </c>
      <c r="AB154" s="50" t="str">
        <f>IFERROR(INDEX(DraftResults[[#All],[Team Name]],MATCH(Table5[[#This Row],[PID]],DraftResults[[#All],[Player ID]],0)),"")</f>
        <v>Niihama-shi Ghosts</v>
      </c>
      <c r="AC154" s="50">
        <f>IF(Table5[[#This Row],[Ovr]]="","",IF(Table5[[#This Row],[cmbList]]="","",Table5[[#This Row],[cmbList]]-Table5[[#This Row],[Ovr]]))</f>
        <v>171</v>
      </c>
      <c r="AD154" s="54" t="str">
        <f>IF(ISERROR(VLOOKUP($AB154&amp;"-"&amp;$E154&amp;" "&amp;F154,Bonuses!$B$1:$G$1006,4,FALSE)),"",INT(VLOOKUP($AB154&amp;"-"&amp;$E154&amp;" "&amp;$F154,Bonuses!$B$1:$G$1006,4,FALSE)))</f>
        <v/>
      </c>
      <c r="AE1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5.22 (150) - LF Min-chor Kim</v>
      </c>
    </row>
    <row r="155" spans="1:31" s="50" customFormat="1" x14ac:dyDescent="0.25">
      <c r="A155" s="68">
        <v>18364</v>
      </c>
      <c r="B155" s="69">
        <f>COUNTIF(Table5[PID],A155)</f>
        <v>1</v>
      </c>
      <c r="C155" s="69" t="str">
        <f>IF(COUNTIF(Table3[[#All],[PID]],A155)&gt;0,"P","B")</f>
        <v>P</v>
      </c>
      <c r="D155" s="59" t="str">
        <f>IF($C155="B",INDEX(Batters[[#All],[POS]],MATCH(Table5[[#This Row],[PID]],Batters[[#All],[PID]],0)),INDEX(Table3[[#All],[POS]],MATCH(Table5[[#This Row],[PID]],Table3[[#All],[PID]],0)))</f>
        <v>SP</v>
      </c>
      <c r="E155" s="52" t="str">
        <f>IF($C155="B",INDEX(Batters[[#All],[First]],MATCH(Table5[[#This Row],[PID]],Batters[[#All],[PID]],0)),INDEX(Table3[[#All],[First]],MATCH(Table5[[#This Row],[PID]],Table3[[#All],[PID]],0)))</f>
        <v>Víctor</v>
      </c>
      <c r="F155" s="55" t="str">
        <f>IF($C155="B",INDEX(Batters[[#All],[Last]],MATCH(A155,Batters[[#All],[PID]],0)),INDEX(Table3[[#All],[Last]],MATCH(A155,Table3[[#All],[PID]],0)))</f>
        <v>Peña</v>
      </c>
      <c r="G155" s="56">
        <f>IF($C155="B",INDEX(Batters[[#All],[Age]],MATCH(Table5[[#This Row],[PID]],Batters[[#All],[PID]],0)),INDEX(Table3[[#All],[Age]],MATCH(Table5[[#This Row],[PID]],Table3[[#All],[PID]],0)))</f>
        <v>18</v>
      </c>
      <c r="H155" s="52" t="str">
        <f>IF($C155="B",INDEX(Batters[[#All],[B]],MATCH(Table5[[#This Row],[PID]],Batters[[#All],[PID]],0)),INDEX(Table3[[#All],[B]],MATCH(Table5[[#This Row],[PID]],Table3[[#All],[PID]],0)))</f>
        <v>R</v>
      </c>
      <c r="I155" s="52" t="str">
        <f>IF($C155="B",INDEX(Batters[[#All],[T]],MATCH(Table5[[#This Row],[PID]],Batters[[#All],[PID]],0)),INDEX(Table3[[#All],[T]],MATCH(Table5[[#This Row],[PID]],Table3[[#All],[PID]],0)))</f>
        <v>R</v>
      </c>
      <c r="J155" s="71" t="str">
        <f>IF($C155="B",INDEX(Batters[[#All],[WE]],MATCH(Table5[[#This Row],[PID]],Batters[[#All],[PID]],0)),INDEX(Table3[[#All],[WE]],MATCH(Table5[[#This Row],[PID]],Table3[[#All],[PID]],0)))</f>
        <v>High</v>
      </c>
      <c r="K155" s="52" t="str">
        <f>IF($C155="B",INDEX(Batters[[#All],[INT]],MATCH(Table5[[#This Row],[PID]],Batters[[#All],[PID]],0)),INDEX(Table3[[#All],[INT]],MATCH(Table5[[#This Row],[PID]],Table3[[#All],[PID]],0)))</f>
        <v>Normal</v>
      </c>
      <c r="L155" s="60">
        <f>IF($C155="B",INDEX(Batters[[#All],[CON P]],MATCH(Table5[[#This Row],[PID]],Batters[[#All],[PID]],0)),INDEX(Table3[[#All],[STU P]],MATCH(Table5[[#This Row],[PID]],Table3[[#All],[PID]],0)))</f>
        <v>6</v>
      </c>
      <c r="M155" s="72">
        <f>IF($C155="B",INDEX(Batters[[#All],[GAP P]],MATCH(Table5[[#This Row],[PID]],Batters[[#All],[PID]],0)),INDEX(Table3[[#All],[MOV P]],MATCH(Table5[[#This Row],[PID]],Table3[[#All],[PID]],0)))</f>
        <v>5</v>
      </c>
      <c r="N155" s="72">
        <f>IF($C155="B",INDEX(Batters[[#All],[POW P]],MATCH(Table5[[#This Row],[PID]],Batters[[#All],[PID]],0)),INDEX(Table3[[#All],[CON P]],MATCH(Table5[[#This Row],[PID]],Table3[[#All],[PID]],0)))</f>
        <v>5</v>
      </c>
      <c r="O155" s="72" t="str">
        <f>IF($C155="B",INDEX(Batters[[#All],[EYE P]],MATCH(Table5[[#This Row],[PID]],Batters[[#All],[PID]],0)),INDEX(Table3[[#All],[VELO]],MATCH(Table5[[#This Row],[PID]],Table3[[#All],[PID]],0)))</f>
        <v>95-97 Mph</v>
      </c>
      <c r="P155" s="56">
        <f>IF($C155="B",INDEX(Batters[[#All],[K P]],MATCH(Table5[[#This Row],[PID]],Batters[[#All],[PID]],0)),INDEX(Table3[[#All],[STM]],MATCH(Table5[[#This Row],[PID]],Table3[[#All],[PID]],0)))</f>
        <v>9</v>
      </c>
      <c r="Q155" s="61">
        <f>IF($C155="B",INDEX(Batters[[#All],[Tot]],MATCH(Table5[[#This Row],[PID]],Batters[[#All],[PID]],0)),INDEX(Table3[[#All],[Tot]],MATCH(Table5[[#This Row],[PID]],Table3[[#All],[PID]],0)))</f>
        <v>68.248816195256097</v>
      </c>
      <c r="R155" s="52">
        <f>IF($C155="B",INDEX(Batters[[#All],[zScore]],MATCH(Table5[[#This Row],[PID]],Batters[[#All],[PID]],0)),INDEX(Table3[[#All],[zScore]],MATCH(Table5[[#This Row],[PID]],Table3[[#All],[PID]],0)))</f>
        <v>2.1540781662780639</v>
      </c>
      <c r="S155" s="78" t="str">
        <f>IF($C155="B",INDEX(Batters[[#All],[DEM]],MATCH(Table5[[#This Row],[PID]],Batters[[#All],[PID]],0)),INDEX(Table3[[#All],[DEM]],MATCH(Table5[[#This Row],[PID]],Table3[[#All],[PID]],0)))</f>
        <v>$2.4m</v>
      </c>
      <c r="T155" s="75">
        <f>IF($C155="B",INDEX(Batters[[#All],[Rnk]],MATCH(Table5[[#This Row],[PID]],Batters[[#All],[PID]],0)),INDEX(Table3[[#All],[Rnk]],MATCH(Table5[[#This Row],[PID]],Table3[[#All],[PID]],0)))</f>
        <v>18</v>
      </c>
      <c r="U155" s="68">
        <f>IF($C155="B",VLOOKUP($A155,Bat!$A$4:$BA$1621,47,FALSE),VLOOKUP($A155,Pit!$A$4:$BF$1557,56,FALSE))</f>
        <v>0</v>
      </c>
      <c r="V155" s="50">
        <f>IF($C155="B",VLOOKUP($A155,Bat!$A$4:$BA$1621,48,FALSE),VLOOKUP($A155,Pit!$A$4:$BF$1557,57,FALSE))</f>
        <v>0</v>
      </c>
      <c r="W155" s="69">
        <f>Table5[[#This Row],[posRnk]]+Table5[[#This Row],[zRnk]]+IF($W$3&lt;&gt;Table5[[#This Row],[Type]],50,0)</f>
        <v>101</v>
      </c>
      <c r="X155" s="73">
        <f>RANK(Table5[[#This Row],[zScore]],Table5[[#All],[zScore]])</f>
        <v>33</v>
      </c>
      <c r="Y155" s="69">
        <f>IFERROR(INDEX(DraftResults[[#All],[OVR]],MATCH(Table5[[#This Row],[PID]],DraftResults[[#All],[Player ID]],0)),"")</f>
        <v>151</v>
      </c>
      <c r="Z15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5" s="69">
        <f>IFERROR(INDEX(DraftResults[[#All],[Pick in Round]],MATCH(Table5[[#This Row],[PID]],DraftResults[[#All],[Player ID]],0)),"")</f>
        <v>23</v>
      </c>
      <c r="AB155" s="69" t="str">
        <f>IFERROR(INDEX(DraftResults[[#All],[Team Name]],MATCH(Table5[[#This Row],[PID]],DraftResults[[#All],[Player ID]],0)),"")</f>
        <v>Yuma Arroyos</v>
      </c>
      <c r="AC155" s="69">
        <f>IF(Table5[[#This Row],[Ovr]]="","",IF(Table5[[#This Row],[cmbList]]="","",Table5[[#This Row],[cmbList]]-Table5[[#This Row],[Ovr]]))</f>
        <v>-50</v>
      </c>
      <c r="AD155" s="77" t="str">
        <f>IF(ISERROR(VLOOKUP($AB155&amp;"-"&amp;$E155&amp;" "&amp;F155,Bonuses!$B$1:$G$1006,4,FALSE)),"",INT(VLOOKUP($AB155&amp;"-"&amp;$E155&amp;" "&amp;$F155,Bonuses!$B$1:$G$1006,4,FALSE)))</f>
        <v/>
      </c>
      <c r="AE15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5.23 (151) - SP Víctor Peña</v>
      </c>
    </row>
    <row r="156" spans="1:31" s="50" customFormat="1" x14ac:dyDescent="0.25">
      <c r="A156" s="68">
        <v>18405</v>
      </c>
      <c r="B156" s="69">
        <f>COUNTIF(Table5[PID],A156)</f>
        <v>1</v>
      </c>
      <c r="C156" s="69" t="str">
        <f>IF(COUNTIF(Table3[[#All],[PID]],A156)&gt;0,"P","B")</f>
        <v>P</v>
      </c>
      <c r="D156" s="59" t="str">
        <f>IF($C156="B",INDEX(Batters[[#All],[POS]],MATCH(Table5[[#This Row],[PID]],Batters[[#All],[PID]],0)),INDEX(Table3[[#All],[POS]],MATCH(Table5[[#This Row],[PID]],Table3[[#All],[PID]],0)))</f>
        <v>SP</v>
      </c>
      <c r="E156" s="52" t="str">
        <f>IF($C156="B",INDEX(Batters[[#All],[First]],MATCH(Table5[[#This Row],[PID]],Batters[[#All],[PID]],0)),INDEX(Table3[[#All],[First]],MATCH(Table5[[#This Row],[PID]],Table3[[#All],[PID]],0)))</f>
        <v>Huibert</v>
      </c>
      <c r="F156" s="55" t="str">
        <f>IF($C156="B",INDEX(Batters[[#All],[Last]],MATCH(A156,Batters[[#All],[PID]],0)),INDEX(Table3[[#All],[Last]],MATCH(A156,Table3[[#All],[PID]],0)))</f>
        <v>Kodde</v>
      </c>
      <c r="G156" s="56">
        <f>IF($C156="B",INDEX(Batters[[#All],[Age]],MATCH(Table5[[#This Row],[PID]],Batters[[#All],[PID]],0)),INDEX(Table3[[#All],[Age]],MATCH(Table5[[#This Row],[PID]],Table3[[#All],[PID]],0)))</f>
        <v>18</v>
      </c>
      <c r="H156" s="52" t="str">
        <f>IF($C156="B",INDEX(Batters[[#All],[B]],MATCH(Table5[[#This Row],[PID]],Batters[[#All],[PID]],0)),INDEX(Table3[[#All],[B]],MATCH(Table5[[#This Row],[PID]],Table3[[#All],[PID]],0)))</f>
        <v>R</v>
      </c>
      <c r="I156" s="52" t="str">
        <f>IF($C156="B",INDEX(Batters[[#All],[T]],MATCH(Table5[[#This Row],[PID]],Batters[[#All],[PID]],0)),INDEX(Table3[[#All],[T]],MATCH(Table5[[#This Row],[PID]],Table3[[#All],[PID]],0)))</f>
        <v>R</v>
      </c>
      <c r="J156" s="71" t="str">
        <f>IF($C156="B",INDEX(Batters[[#All],[WE]],MATCH(Table5[[#This Row],[PID]],Batters[[#All],[PID]],0)),INDEX(Table3[[#All],[WE]],MATCH(Table5[[#This Row],[PID]],Table3[[#All],[PID]],0)))</f>
        <v>Normal</v>
      </c>
      <c r="K156" s="52" t="str">
        <f>IF($C156="B",INDEX(Batters[[#All],[INT]],MATCH(Table5[[#This Row],[PID]],Batters[[#All],[PID]],0)),INDEX(Table3[[#All],[INT]],MATCH(Table5[[#This Row],[PID]],Table3[[#All],[PID]],0)))</f>
        <v>Normal</v>
      </c>
      <c r="L156" s="60">
        <f>IF($C156="B",INDEX(Batters[[#All],[CON P]],MATCH(Table5[[#This Row],[PID]],Batters[[#All],[PID]],0)),INDEX(Table3[[#All],[STU P]],MATCH(Table5[[#This Row],[PID]],Table3[[#All],[PID]],0)))</f>
        <v>6</v>
      </c>
      <c r="M156" s="72">
        <f>IF($C156="B",INDEX(Batters[[#All],[GAP P]],MATCH(Table5[[#This Row],[PID]],Batters[[#All],[PID]],0)),INDEX(Table3[[#All],[MOV P]],MATCH(Table5[[#This Row],[PID]],Table3[[#All],[PID]],0)))</f>
        <v>3</v>
      </c>
      <c r="N156" s="72">
        <f>IF($C156="B",INDEX(Batters[[#All],[POW P]],MATCH(Table5[[#This Row],[PID]],Batters[[#All],[PID]],0)),INDEX(Table3[[#All],[CON P]],MATCH(Table5[[#This Row],[PID]],Table3[[#All],[PID]],0)))</f>
        <v>6</v>
      </c>
      <c r="O156" s="72" t="str">
        <f>IF($C156="B",INDEX(Batters[[#All],[EYE P]],MATCH(Table5[[#This Row],[PID]],Batters[[#All],[PID]],0)),INDEX(Table3[[#All],[VELO]],MATCH(Table5[[#This Row],[PID]],Table3[[#All],[PID]],0)))</f>
        <v>95-97 Mph</v>
      </c>
      <c r="P156" s="56">
        <f>IF($C156="B",INDEX(Batters[[#All],[K P]],MATCH(Table5[[#This Row],[PID]],Batters[[#All],[PID]],0)),INDEX(Table3[[#All],[STM]],MATCH(Table5[[#This Row],[PID]],Table3[[#All],[PID]],0)))</f>
        <v>6</v>
      </c>
      <c r="Q156" s="61">
        <f>IF($C156="B",INDEX(Batters[[#All],[Tot]],MATCH(Table5[[#This Row],[PID]],Batters[[#All],[PID]],0)),INDEX(Table3[[#All],[Tot]],MATCH(Table5[[#This Row],[PID]],Table3[[#All],[PID]],0)))</f>
        <v>63.501687763989949</v>
      </c>
      <c r="R156" s="52">
        <f>IF($C156="B",INDEX(Batters[[#All],[zScore]],MATCH(Table5[[#This Row],[PID]],Batters[[#All],[PID]],0)),INDEX(Table3[[#All],[zScore]],MATCH(Table5[[#This Row],[PID]],Table3[[#All],[PID]],0)))</f>
        <v>1.8382589658748576</v>
      </c>
      <c r="S156" s="78" t="str">
        <f>IF($C156="B",INDEX(Batters[[#All],[DEM]],MATCH(Table5[[#This Row],[PID]],Batters[[#All],[PID]],0)),INDEX(Table3[[#All],[DEM]],MATCH(Table5[[#This Row],[PID]],Table3[[#All],[PID]],0)))</f>
        <v>$500k</v>
      </c>
      <c r="T156" s="75">
        <f>IF($C156="B",INDEX(Batters[[#All],[Rnk]],MATCH(Table5[[#This Row],[PID]],Batters[[#All],[PID]],0)),INDEX(Table3[[#All],[Rnk]],MATCH(Table5[[#This Row],[PID]],Table3[[#All],[PID]],0)))</f>
        <v>40</v>
      </c>
      <c r="U156" s="68">
        <f>IF($C156="B",VLOOKUP($A156,Bat!$A$4:$BA$1621,47,FALSE),VLOOKUP($A156,Pit!$A$4:$BF$1557,56,FALSE))</f>
        <v>0</v>
      </c>
      <c r="V156" s="50">
        <f>IF($C156="B",VLOOKUP($A156,Bat!$A$4:$BA$1621,48,FALSE),VLOOKUP($A156,Pit!$A$4:$BF$1557,57,FALSE))</f>
        <v>0</v>
      </c>
      <c r="W156" s="69">
        <f>Table5[[#This Row],[posRnk]]+Table5[[#This Row],[zRnk]]+IF($W$3&lt;&gt;Table5[[#This Row],[Type]],50,0)</f>
        <v>154</v>
      </c>
      <c r="X156" s="73">
        <f>RANK(Table5[[#This Row],[zScore]],Table5[[#All],[zScore]])</f>
        <v>64</v>
      </c>
      <c r="Y156" s="69">
        <f>IFERROR(INDEX(DraftResults[[#All],[OVR]],MATCH(Table5[[#This Row],[PID]],DraftResults[[#All],[Player ID]],0)),"")</f>
        <v>152</v>
      </c>
      <c r="Z1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6" s="69">
        <f>IFERROR(INDEX(DraftResults[[#All],[Pick in Round]],MATCH(Table5[[#This Row],[PID]],DraftResults[[#All],[Player ID]],0)),"")</f>
        <v>24</v>
      </c>
      <c r="AB156" s="69" t="str">
        <f>IFERROR(INDEX(DraftResults[[#All],[Team Name]],MATCH(Table5[[#This Row],[PID]],DraftResults[[#All],[Player ID]],0)),"")</f>
        <v>Aurora Borealis</v>
      </c>
      <c r="AC156" s="69">
        <f>IF(Table5[[#This Row],[Ovr]]="","",IF(Table5[[#This Row],[cmbList]]="","",Table5[[#This Row],[cmbList]]-Table5[[#This Row],[Ovr]]))</f>
        <v>2</v>
      </c>
      <c r="AD156" s="77" t="str">
        <f>IF(ISERROR(VLOOKUP($AB156&amp;"-"&amp;$E156&amp;" "&amp;F156,Bonuses!$B$1:$G$1006,4,FALSE)),"",INT(VLOOKUP($AB156&amp;"-"&amp;$E156&amp;" "&amp;$F156,Bonuses!$B$1:$G$1006,4,FALSE)))</f>
        <v/>
      </c>
      <c r="AE1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5.24 (152) - SP Huibert Kodde</v>
      </c>
    </row>
    <row r="157" spans="1:31" s="50" customFormat="1" x14ac:dyDescent="0.25">
      <c r="A157" s="50">
        <v>20464</v>
      </c>
      <c r="B157" s="50">
        <f>COUNTIF(Table5[PID],A157)</f>
        <v>1</v>
      </c>
      <c r="C157" s="50" t="str">
        <f>IF(COUNTIF(Table3[[#All],[PID]],A157)&gt;0,"P","B")</f>
        <v>B</v>
      </c>
      <c r="D157" s="59" t="str">
        <f>IF($C157="B",INDEX(Batters[[#All],[POS]],MATCH(Table5[[#This Row],[PID]],Batters[[#All],[PID]],0)),INDEX(Table3[[#All],[POS]],MATCH(Table5[[#This Row],[PID]],Table3[[#All],[PID]],0)))</f>
        <v>C</v>
      </c>
      <c r="E157" s="52" t="str">
        <f>IF($C157="B",INDEX(Batters[[#All],[First]],MATCH(Table5[[#This Row],[PID]],Batters[[#All],[PID]],0)),INDEX(Table3[[#All],[First]],MATCH(Table5[[#This Row],[PID]],Table3[[#All],[PID]],0)))</f>
        <v>Slamet</v>
      </c>
      <c r="F157" s="50" t="str">
        <f>IF($C157="B",INDEX(Batters[[#All],[Last]],MATCH(A157,Batters[[#All],[PID]],0)),INDEX(Table3[[#All],[Last]],MATCH(A157,Table3[[#All],[PID]],0)))</f>
        <v>Kawilarang</v>
      </c>
      <c r="G157" s="56">
        <f>IF($C157="B",INDEX(Batters[[#All],[Age]],MATCH(Table5[[#This Row],[PID]],Batters[[#All],[PID]],0)),INDEX(Table3[[#All],[Age]],MATCH(Table5[[#This Row],[PID]],Table3[[#All],[PID]],0)))</f>
        <v>18</v>
      </c>
      <c r="H157" s="52" t="str">
        <f>IF($C157="B",INDEX(Batters[[#All],[B]],MATCH(Table5[[#This Row],[PID]],Batters[[#All],[PID]],0)),INDEX(Table3[[#All],[B]],MATCH(Table5[[#This Row],[PID]],Table3[[#All],[PID]],0)))</f>
        <v>S</v>
      </c>
      <c r="I157" s="52" t="str">
        <f>IF($C157="B",INDEX(Batters[[#All],[T]],MATCH(Table5[[#This Row],[PID]],Batters[[#All],[PID]],0)),INDEX(Table3[[#All],[T]],MATCH(Table5[[#This Row],[PID]],Table3[[#All],[PID]],0)))</f>
        <v>R</v>
      </c>
      <c r="J157" s="52" t="str">
        <f>IF($C157="B",INDEX(Batters[[#All],[WE]],MATCH(Table5[[#This Row],[PID]],Batters[[#All],[PID]],0)),INDEX(Table3[[#All],[WE]],MATCH(Table5[[#This Row],[PID]],Table3[[#All],[PID]],0)))</f>
        <v>High</v>
      </c>
      <c r="K157" s="52" t="str">
        <f>IF($C157="B",INDEX(Batters[[#All],[INT]],MATCH(Table5[[#This Row],[PID]],Batters[[#All],[PID]],0)),INDEX(Table3[[#All],[INT]],MATCH(Table5[[#This Row],[PID]],Table3[[#All],[PID]],0)))</f>
        <v>Normal</v>
      </c>
      <c r="L157" s="60">
        <f>IF($C157="B",INDEX(Batters[[#All],[CON P]],MATCH(Table5[[#This Row],[PID]],Batters[[#All],[PID]],0)),INDEX(Table3[[#All],[STU P]],MATCH(Table5[[#This Row],[PID]],Table3[[#All],[PID]],0)))</f>
        <v>4</v>
      </c>
      <c r="M157" s="56">
        <f>IF($C157="B",INDEX(Batters[[#All],[GAP P]],MATCH(Table5[[#This Row],[PID]],Batters[[#All],[PID]],0)),INDEX(Table3[[#All],[MOV P]],MATCH(Table5[[#This Row],[PID]],Table3[[#All],[PID]],0)))</f>
        <v>5</v>
      </c>
      <c r="N157" s="56">
        <f>IF($C157="B",INDEX(Batters[[#All],[POW P]],MATCH(Table5[[#This Row],[PID]],Batters[[#All],[PID]],0)),INDEX(Table3[[#All],[CON P]],MATCH(Table5[[#This Row],[PID]],Table3[[#All],[PID]],0)))</f>
        <v>4</v>
      </c>
      <c r="O157" s="56">
        <f>IF($C157="B",INDEX(Batters[[#All],[EYE P]],MATCH(Table5[[#This Row],[PID]],Batters[[#All],[PID]],0)),INDEX(Table3[[#All],[VELO]],MATCH(Table5[[#This Row],[PID]],Table3[[#All],[PID]],0)))</f>
        <v>5</v>
      </c>
      <c r="P157" s="56">
        <f>IF($C157="B",INDEX(Batters[[#All],[K P]],MATCH(Table5[[#This Row],[PID]],Batters[[#All],[PID]],0)),INDEX(Table3[[#All],[STM]],MATCH(Table5[[#This Row],[PID]],Table3[[#All],[PID]],0)))</f>
        <v>4</v>
      </c>
      <c r="Q157" s="61">
        <f>IF($C157="B",INDEX(Batters[[#All],[Tot]],MATCH(Table5[[#This Row],[PID]],Batters[[#All],[PID]],0)),INDEX(Table3[[#All],[Tot]],MATCH(Table5[[#This Row],[PID]],Table3[[#All],[PID]],0)))</f>
        <v>49.160680925124581</v>
      </c>
      <c r="R157" s="52">
        <f>IF($C157="B",INDEX(Batters[[#All],[zScore]],MATCH(Table5[[#This Row],[PID]],Batters[[#All],[PID]],0)),INDEX(Table3[[#All],[zScore]],MATCH(Table5[[#This Row],[PID]],Table3[[#All],[PID]],0)))</f>
        <v>1.1149059159497914</v>
      </c>
      <c r="S157" s="58" t="str">
        <f>IF($C157="B",INDEX(Batters[[#All],[DEM]],MATCH(Table5[[#This Row],[PID]],Batters[[#All],[PID]],0)),INDEX(Table3[[#All],[DEM]],MATCH(Table5[[#This Row],[PID]],Table3[[#All],[PID]],0)))</f>
        <v>$65k</v>
      </c>
      <c r="T157" s="62">
        <f>IF($C157="B",INDEX(Batters[[#All],[Rnk]],MATCH(Table5[[#This Row],[PID]],Batters[[#All],[PID]],0)),INDEX(Table3[[#All],[Rnk]],MATCH(Table5[[#This Row],[PID]],Table3[[#All],[PID]],0)))</f>
        <v>83</v>
      </c>
      <c r="U157" s="68">
        <f>IF($C157="B",VLOOKUP($A157,Bat!$A$4:$BA$1621,47,FALSE),VLOOKUP($A157,Pit!$A$4:$BF$1557,56,FALSE))</f>
        <v>0</v>
      </c>
      <c r="V157" s="50">
        <f>IF($C157="B",VLOOKUP($A157,Bat!$A$4:$BA$1621,48,FALSE),VLOOKUP($A157,Pit!$A$4:$BF$1557,57,FALSE))</f>
        <v>0</v>
      </c>
      <c r="W157" s="50">
        <f>Table5[[#This Row],[posRnk]]+Table5[[#This Row],[zRnk]]+IF($W$3&lt;&gt;Table5[[#This Row],[Type]],50,0)</f>
        <v>339</v>
      </c>
      <c r="X157" s="51">
        <f>RANK(Table5[[#This Row],[zScore]],Table5[[#All],[zScore]])</f>
        <v>206</v>
      </c>
      <c r="Y157" s="50">
        <f>IFERROR(INDEX(DraftResults[[#All],[OVR]],MATCH(Table5[[#This Row],[PID]],DraftResults[[#All],[Player ID]],0)),"")</f>
        <v>153</v>
      </c>
      <c r="Z1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7" s="50">
        <f>IFERROR(INDEX(DraftResults[[#All],[Pick in Round]],MATCH(Table5[[#This Row],[PID]],DraftResults[[#All],[Player ID]],0)),"")</f>
        <v>25</v>
      </c>
      <c r="AB157" s="50" t="str">
        <f>IFERROR(INDEX(DraftResults[[#All],[Team Name]],MATCH(Table5[[#This Row],[PID]],DraftResults[[#All],[Player ID]],0)),"")</f>
        <v>Toyama Wind Dancers</v>
      </c>
      <c r="AC157" s="50">
        <f>IF(Table5[[#This Row],[Ovr]]="","",IF(Table5[[#This Row],[cmbList]]="","",Table5[[#This Row],[cmbList]]-Table5[[#This Row],[Ovr]]))</f>
        <v>186</v>
      </c>
      <c r="AD157" s="54" t="str">
        <f>IF(ISERROR(VLOOKUP($AB157&amp;"-"&amp;$E157&amp;" "&amp;F157,Bonuses!$B$1:$G$1006,4,FALSE)),"",INT(VLOOKUP($AB157&amp;"-"&amp;$E157&amp;" "&amp;$F157,Bonuses!$B$1:$G$1006,4,FALSE)))</f>
        <v/>
      </c>
      <c r="AE1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5.25 (153) - C Slamet Kawilarang</v>
      </c>
    </row>
    <row r="158" spans="1:31" s="50" customFormat="1" x14ac:dyDescent="0.25">
      <c r="A158" s="68">
        <v>18148</v>
      </c>
      <c r="B158" s="69">
        <f>COUNTIF(Table5[PID],A158)</f>
        <v>1</v>
      </c>
      <c r="C158" s="69" t="str">
        <f>IF(COUNTIF(Table3[[#All],[PID]],A158)&gt;0,"P","B")</f>
        <v>P</v>
      </c>
      <c r="D158" s="59" t="str">
        <f>IF($C158="B",INDEX(Batters[[#All],[POS]],MATCH(Table5[[#This Row],[PID]],Batters[[#All],[PID]],0)),INDEX(Table3[[#All],[POS]],MATCH(Table5[[#This Row],[PID]],Table3[[#All],[PID]],0)))</f>
        <v>SP</v>
      </c>
      <c r="E158" s="52" t="str">
        <f>IF($C158="B",INDEX(Batters[[#All],[First]],MATCH(Table5[[#This Row],[PID]],Batters[[#All],[PID]],0)),INDEX(Table3[[#All],[First]],MATCH(Table5[[#This Row],[PID]],Table3[[#All],[PID]],0)))</f>
        <v>David</v>
      </c>
      <c r="F158" s="55" t="str">
        <f>IF($C158="B",INDEX(Batters[[#All],[Last]],MATCH(A158,Batters[[#All],[PID]],0)),INDEX(Table3[[#All],[Last]],MATCH(A158,Table3[[#All],[PID]],0)))</f>
        <v>Gowdy</v>
      </c>
      <c r="G158" s="56">
        <f>IF($C158="B",INDEX(Batters[[#All],[Age]],MATCH(Table5[[#This Row],[PID]],Batters[[#All],[PID]],0)),INDEX(Table3[[#All],[Age]],MATCH(Table5[[#This Row],[PID]],Table3[[#All],[PID]],0)))</f>
        <v>21</v>
      </c>
      <c r="H158" s="52" t="str">
        <f>IF($C158="B",INDEX(Batters[[#All],[B]],MATCH(Table5[[#This Row],[PID]],Batters[[#All],[PID]],0)),INDEX(Table3[[#All],[B]],MATCH(Table5[[#This Row],[PID]],Table3[[#All],[PID]],0)))</f>
        <v>R</v>
      </c>
      <c r="I158" s="52" t="str">
        <f>IF($C158="B",INDEX(Batters[[#All],[T]],MATCH(Table5[[#This Row],[PID]],Batters[[#All],[PID]],0)),INDEX(Table3[[#All],[T]],MATCH(Table5[[#This Row],[PID]],Table3[[#All],[PID]],0)))</f>
        <v>R</v>
      </c>
      <c r="J158" s="71" t="str">
        <f>IF($C158="B",INDEX(Batters[[#All],[WE]],MATCH(Table5[[#This Row],[PID]],Batters[[#All],[PID]],0)),INDEX(Table3[[#All],[WE]],MATCH(Table5[[#This Row],[PID]],Table3[[#All],[PID]],0)))</f>
        <v>Normal</v>
      </c>
      <c r="K158" s="52" t="str">
        <f>IF($C158="B",INDEX(Batters[[#All],[INT]],MATCH(Table5[[#This Row],[PID]],Batters[[#All],[PID]],0)),INDEX(Table3[[#All],[INT]],MATCH(Table5[[#This Row],[PID]],Table3[[#All],[PID]],0)))</f>
        <v>Low</v>
      </c>
      <c r="L158" s="60">
        <f>IF($C158="B",INDEX(Batters[[#All],[CON P]],MATCH(Table5[[#This Row],[PID]],Batters[[#All],[PID]],0)),INDEX(Table3[[#All],[STU P]],MATCH(Table5[[#This Row],[PID]],Table3[[#All],[PID]],0)))</f>
        <v>5</v>
      </c>
      <c r="M158" s="72">
        <f>IF($C158="B",INDEX(Batters[[#All],[GAP P]],MATCH(Table5[[#This Row],[PID]],Batters[[#All],[PID]],0)),INDEX(Table3[[#All],[MOV P]],MATCH(Table5[[#This Row],[PID]],Table3[[#All],[PID]],0)))</f>
        <v>5</v>
      </c>
      <c r="N158" s="72">
        <f>IF($C158="B",INDEX(Batters[[#All],[POW P]],MATCH(Table5[[#This Row],[PID]],Batters[[#All],[PID]],0)),INDEX(Table3[[#All],[CON P]],MATCH(Table5[[#This Row],[PID]],Table3[[#All],[PID]],0)))</f>
        <v>4</v>
      </c>
      <c r="O158" s="72" t="str">
        <f>IF($C158="B",INDEX(Batters[[#All],[EYE P]],MATCH(Table5[[#This Row],[PID]],Batters[[#All],[PID]],0)),INDEX(Table3[[#All],[VELO]],MATCH(Table5[[#This Row],[PID]],Table3[[#All],[PID]],0)))</f>
        <v>92-94 Mph</v>
      </c>
      <c r="P158" s="56">
        <f>IF($C158="B",INDEX(Batters[[#All],[K P]],MATCH(Table5[[#This Row],[PID]],Batters[[#All],[PID]],0)),INDEX(Table3[[#All],[STM]],MATCH(Table5[[#This Row],[PID]],Table3[[#All],[PID]],0)))</f>
        <v>9</v>
      </c>
      <c r="Q158" s="61">
        <f>IF($C158="B",INDEX(Batters[[#All],[Tot]],MATCH(Table5[[#This Row],[PID]],Batters[[#All],[PID]],0)),INDEX(Table3[[#All],[Tot]],MATCH(Table5[[#This Row],[PID]],Table3[[#All],[PID]],0)))</f>
        <v>54.49350397576741</v>
      </c>
      <c r="R158" s="52">
        <f>IF($C158="B",INDEX(Batters[[#All],[zScore]],MATCH(Table5[[#This Row],[PID]],Batters[[#All],[PID]],0)),INDEX(Table3[[#All],[zScore]],MATCH(Table5[[#This Row],[PID]],Table3[[#All],[PID]],0)))</f>
        <v>1.2389582639297105</v>
      </c>
      <c r="S158" s="78" t="str">
        <f>IF($C158="B",INDEX(Batters[[#All],[DEM]],MATCH(Table5[[#This Row],[PID]],Batters[[#All],[PID]],0)),INDEX(Table3[[#All],[DEM]],MATCH(Table5[[#This Row],[PID]],Table3[[#All],[PID]],0)))</f>
        <v>$140k</v>
      </c>
      <c r="T158" s="75">
        <f>IF($C158="B",INDEX(Batters[[#All],[Rnk]],MATCH(Table5[[#This Row],[PID]],Batters[[#All],[PID]],0)),INDEX(Table3[[#All],[Rnk]],MATCH(Table5[[#This Row],[PID]],Table3[[#All],[PID]],0)))</f>
        <v>111</v>
      </c>
      <c r="U158" s="68">
        <f>IF($C158="B",VLOOKUP($A158,Bat!$A$4:$BA$1621,47,FALSE),VLOOKUP($A158,Pit!$A$4:$BF$1557,56,FALSE))</f>
        <v>0</v>
      </c>
      <c r="V158" s="50">
        <f>IF($C158="B",VLOOKUP($A158,Bat!$A$4:$BA$1621,48,FALSE),VLOOKUP($A158,Pit!$A$4:$BF$1557,57,FALSE))</f>
        <v>0</v>
      </c>
      <c r="W158" s="69">
        <f>Table5[[#This Row],[posRnk]]+Table5[[#This Row],[zRnk]]+IF($W$3&lt;&gt;Table5[[#This Row],[Type]],50,0)</f>
        <v>337</v>
      </c>
      <c r="X158" s="73">
        <f>RANK(Table5[[#This Row],[zScore]],Table5[[#All],[zScore]])</f>
        <v>176</v>
      </c>
      <c r="Y158" s="69">
        <f>IFERROR(INDEX(DraftResults[[#All],[OVR]],MATCH(Table5[[#This Row],[PID]],DraftResults[[#All],[Player ID]],0)),"")</f>
        <v>154</v>
      </c>
      <c r="Z15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8" s="69">
        <f>IFERROR(INDEX(DraftResults[[#All],[Pick in Round]],MATCH(Table5[[#This Row],[PID]],DraftResults[[#All],[Player ID]],0)),"")</f>
        <v>26</v>
      </c>
      <c r="AB158" s="69" t="str">
        <f>IFERROR(INDEX(DraftResults[[#All],[Team Name]],MATCH(Table5[[#This Row],[PID]],DraftResults[[#All],[Player ID]],0)),"")</f>
        <v>Kalamazoo Badgers</v>
      </c>
      <c r="AC158" s="69">
        <f>IF(Table5[[#This Row],[Ovr]]="","",IF(Table5[[#This Row],[cmbList]]="","",Table5[[#This Row],[cmbList]]-Table5[[#This Row],[Ovr]]))</f>
        <v>183</v>
      </c>
      <c r="AD158" s="77" t="str">
        <f>IF(ISERROR(VLOOKUP($AB158&amp;"-"&amp;$E158&amp;" "&amp;F158,Bonuses!$B$1:$G$1006,4,FALSE)),"",INT(VLOOKUP($AB158&amp;"-"&amp;$E158&amp;" "&amp;$F158,Bonuses!$B$1:$G$1006,4,FALSE)))</f>
        <v/>
      </c>
      <c r="AE15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5.26 (154) - SP David Gowdy</v>
      </c>
    </row>
    <row r="159" spans="1:31" s="50" customFormat="1" x14ac:dyDescent="0.25">
      <c r="A159" s="50">
        <v>18215</v>
      </c>
      <c r="B159" s="50">
        <f>COUNTIF(Table5[PID],A159)</f>
        <v>1</v>
      </c>
      <c r="C159" s="50" t="str">
        <f>IF(COUNTIF(Table3[[#All],[PID]],A159)&gt;0,"P","B")</f>
        <v>P</v>
      </c>
      <c r="D159" s="59" t="str">
        <f>IF($C159="B",INDEX(Batters[[#All],[POS]],MATCH(Table5[[#This Row],[PID]],Batters[[#All],[PID]],0)),INDEX(Table3[[#All],[POS]],MATCH(Table5[[#This Row],[PID]],Table3[[#All],[PID]],0)))</f>
        <v>CL</v>
      </c>
      <c r="E159" s="52" t="str">
        <f>IF($C159="B",INDEX(Batters[[#All],[First]],MATCH(Table5[[#This Row],[PID]],Batters[[#All],[PID]],0)),INDEX(Table3[[#All],[First]],MATCH(Table5[[#This Row],[PID]],Table3[[#All],[PID]],0)))</f>
        <v>Charlie</v>
      </c>
      <c r="F159" s="50" t="str">
        <f>IF($C159="B",INDEX(Batters[[#All],[Last]],MATCH(A159,Batters[[#All],[PID]],0)),INDEX(Table3[[#All],[Last]],MATCH(A159,Table3[[#All],[PID]],0)))</f>
        <v>Coxall</v>
      </c>
      <c r="G159" s="56">
        <f>IF($C159="B",INDEX(Batters[[#All],[Age]],MATCH(Table5[[#This Row],[PID]],Batters[[#All],[PID]],0)),INDEX(Table3[[#All],[Age]],MATCH(Table5[[#This Row],[PID]],Table3[[#All],[PID]],0)))</f>
        <v>18</v>
      </c>
      <c r="H159" s="52" t="str">
        <f>IF($C159="B",INDEX(Batters[[#All],[B]],MATCH(Table5[[#This Row],[PID]],Batters[[#All],[PID]],0)),INDEX(Table3[[#All],[B]],MATCH(Table5[[#This Row],[PID]],Table3[[#All],[PID]],0)))</f>
        <v>L</v>
      </c>
      <c r="I159" s="52" t="str">
        <f>IF($C159="B",INDEX(Batters[[#All],[T]],MATCH(Table5[[#This Row],[PID]],Batters[[#All],[PID]],0)),INDEX(Table3[[#All],[T]],MATCH(Table5[[#This Row],[PID]],Table3[[#All],[PID]],0)))</f>
        <v>R</v>
      </c>
      <c r="J159" s="52" t="str">
        <f>IF($C159="B",INDEX(Batters[[#All],[WE]],MATCH(Table5[[#This Row],[PID]],Batters[[#All],[PID]],0)),INDEX(Table3[[#All],[WE]],MATCH(Table5[[#This Row],[PID]],Table3[[#All],[PID]],0)))</f>
        <v>High</v>
      </c>
      <c r="K159" s="52" t="str">
        <f>IF($C159="B",INDEX(Batters[[#All],[INT]],MATCH(Table5[[#This Row],[PID]],Batters[[#All],[PID]],0)),INDEX(Table3[[#All],[INT]],MATCH(Table5[[#This Row],[PID]],Table3[[#All],[PID]],0)))</f>
        <v>Normal</v>
      </c>
      <c r="L159" s="60">
        <f>IF($C159="B",INDEX(Batters[[#All],[CON P]],MATCH(Table5[[#This Row],[PID]],Batters[[#All],[PID]],0)),INDEX(Table3[[#All],[STU P]],MATCH(Table5[[#This Row],[PID]],Table3[[#All],[PID]],0)))</f>
        <v>6</v>
      </c>
      <c r="M159" s="56">
        <f>IF($C159="B",INDEX(Batters[[#All],[GAP P]],MATCH(Table5[[#This Row],[PID]],Batters[[#All],[PID]],0)),INDEX(Table3[[#All],[MOV P]],MATCH(Table5[[#This Row],[PID]],Table3[[#All],[PID]],0)))</f>
        <v>4</v>
      </c>
      <c r="N159" s="56">
        <f>IF($C159="B",INDEX(Batters[[#All],[POW P]],MATCH(Table5[[#This Row],[PID]],Batters[[#All],[PID]],0)),INDEX(Table3[[#All],[CON P]],MATCH(Table5[[#This Row],[PID]],Table3[[#All],[PID]],0)))</f>
        <v>3</v>
      </c>
      <c r="O159" s="56" t="str">
        <f>IF($C159="B",INDEX(Batters[[#All],[EYE P]],MATCH(Table5[[#This Row],[PID]],Batters[[#All],[PID]],0)),INDEX(Table3[[#All],[VELO]],MATCH(Table5[[#This Row],[PID]],Table3[[#All],[PID]],0)))</f>
        <v>92-94 Mph</v>
      </c>
      <c r="P159" s="56">
        <f>IF($C159="B",INDEX(Batters[[#All],[K P]],MATCH(Table5[[#This Row],[PID]],Batters[[#All],[PID]],0)),INDEX(Table3[[#All],[STM]],MATCH(Table5[[#This Row],[PID]],Table3[[#All],[PID]],0)))</f>
        <v>9</v>
      </c>
      <c r="Q159" s="61">
        <f>IF($C159="B",INDEX(Batters[[#All],[Tot]],MATCH(Table5[[#This Row],[PID]],Batters[[#All],[PID]],0)),INDEX(Table3[[#All],[Tot]],MATCH(Table5[[#This Row],[PID]],Table3[[#All],[PID]],0)))</f>
        <v>51.830796094868887</v>
      </c>
      <c r="R159" s="52">
        <f>IF($C159="B",INDEX(Batters[[#All],[zScore]],MATCH(Table5[[#This Row],[PID]],Batters[[#All],[PID]],0)),INDEX(Table3[[#All],[zScore]],MATCH(Table5[[#This Row],[PID]],Table3[[#All],[PID]],0)))</f>
        <v>1.0618123775209887</v>
      </c>
      <c r="S159" s="58" t="str">
        <f>IF($C159="B",INDEX(Batters[[#All],[DEM]],MATCH(Table5[[#This Row],[PID]],Batters[[#All],[PID]],0)),INDEX(Table3[[#All],[DEM]],MATCH(Table5[[#This Row],[PID]],Table3[[#All],[PID]],0)))</f>
        <v>$190k</v>
      </c>
      <c r="T159" s="62">
        <f>IF($C159="B",INDEX(Batters[[#All],[Rnk]],MATCH(Table5[[#This Row],[PID]],Batters[[#All],[PID]],0)),INDEX(Table3[[#All],[Rnk]],MATCH(Table5[[#This Row],[PID]],Table3[[#All],[PID]],0)))</f>
        <v>129</v>
      </c>
      <c r="U159" s="68">
        <f>IF($C159="B",VLOOKUP($A159,Bat!$A$4:$BA$1621,47,FALSE),VLOOKUP($A159,Pit!$A$4:$BF$1557,56,FALSE))</f>
        <v>0</v>
      </c>
      <c r="V159" s="50">
        <f>IF($C159="B",VLOOKUP($A159,Bat!$A$4:$BA$1621,48,FALSE),VLOOKUP($A159,Pit!$A$4:$BF$1557,57,FALSE))</f>
        <v>0</v>
      </c>
      <c r="W159" s="50">
        <f>Table5[[#This Row],[posRnk]]+Table5[[#This Row],[zRnk]]+IF($W$3&lt;&gt;Table5[[#This Row],[Type]],50,0)</f>
        <v>393</v>
      </c>
      <c r="X159" s="51">
        <f>RANK(Table5[[#This Row],[zScore]],Table5[[#All],[zScore]])</f>
        <v>214</v>
      </c>
      <c r="Y159" s="50">
        <f>IFERROR(INDEX(DraftResults[[#All],[OVR]],MATCH(Table5[[#This Row],[PID]],DraftResults[[#All],[Player ID]],0)),"")</f>
        <v>155</v>
      </c>
      <c r="Z1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59" s="50">
        <f>IFERROR(INDEX(DraftResults[[#All],[Pick in Round]],MATCH(Table5[[#This Row],[PID]],DraftResults[[#All],[Player ID]],0)),"")</f>
        <v>27</v>
      </c>
      <c r="AB159" s="50" t="str">
        <f>IFERROR(INDEX(DraftResults[[#All],[Team Name]],MATCH(Table5[[#This Row],[PID]],DraftResults[[#All],[Player ID]],0)),"")</f>
        <v>Neo-Tokyo Akira</v>
      </c>
      <c r="AC159" s="50">
        <f>IF(Table5[[#This Row],[Ovr]]="","",IF(Table5[[#This Row],[cmbList]]="","",Table5[[#This Row],[cmbList]]-Table5[[#This Row],[Ovr]]))</f>
        <v>238</v>
      </c>
      <c r="AD159" s="54" t="str">
        <f>IF(ISERROR(VLOOKUP($AB159&amp;"-"&amp;$E159&amp;" "&amp;F159,Bonuses!$B$1:$G$1006,4,FALSE)),"",INT(VLOOKUP($AB159&amp;"-"&amp;$E159&amp;" "&amp;$F159,Bonuses!$B$1:$G$1006,4,FALSE)))</f>
        <v/>
      </c>
      <c r="AE1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5.27 (155) - CL Charlie Coxall</v>
      </c>
    </row>
    <row r="160" spans="1:31" s="50" customFormat="1" x14ac:dyDescent="0.25">
      <c r="A160" s="50">
        <v>18323</v>
      </c>
      <c r="B160" s="50">
        <f>COUNTIF(Table5[PID],A160)</f>
        <v>1</v>
      </c>
      <c r="C160" s="50" t="str">
        <f>IF(COUNTIF(Table3[[#All],[PID]],A160)&gt;0,"P","B")</f>
        <v>B</v>
      </c>
      <c r="D160" s="59" t="str">
        <f>IF($C160="B",INDEX(Batters[[#All],[POS]],MATCH(Table5[[#This Row],[PID]],Batters[[#All],[PID]],0)),INDEX(Table3[[#All],[POS]],MATCH(Table5[[#This Row],[PID]],Table3[[#All],[PID]],0)))</f>
        <v>LF</v>
      </c>
      <c r="E160" s="52" t="str">
        <f>IF($C160="B",INDEX(Batters[[#All],[First]],MATCH(Table5[[#This Row],[PID]],Batters[[#All],[PID]],0)),INDEX(Table3[[#All],[First]],MATCH(Table5[[#This Row],[PID]],Table3[[#All],[PID]],0)))</f>
        <v>Mark</v>
      </c>
      <c r="F160" s="50" t="str">
        <f>IF($C160="B",INDEX(Batters[[#All],[Last]],MATCH(A160,Batters[[#All],[PID]],0)),INDEX(Table3[[#All],[Last]],MATCH(A160,Table3[[#All],[PID]],0)))</f>
        <v>Bott</v>
      </c>
      <c r="G160" s="56">
        <f>IF($C160="B",INDEX(Batters[[#All],[Age]],MATCH(Table5[[#This Row],[PID]],Batters[[#All],[PID]],0)),INDEX(Table3[[#All],[Age]],MATCH(Table5[[#This Row],[PID]],Table3[[#All],[PID]],0)))</f>
        <v>21</v>
      </c>
      <c r="H160" s="52" t="str">
        <f>IF($C160="B",INDEX(Batters[[#All],[B]],MATCH(Table5[[#This Row],[PID]],Batters[[#All],[PID]],0)),INDEX(Table3[[#All],[B]],MATCH(Table5[[#This Row],[PID]],Table3[[#All],[PID]],0)))</f>
        <v>R</v>
      </c>
      <c r="I160" s="52" t="str">
        <f>IF($C160="B",INDEX(Batters[[#All],[T]],MATCH(Table5[[#This Row],[PID]],Batters[[#All],[PID]],0)),INDEX(Table3[[#All],[T]],MATCH(Table5[[#This Row],[PID]],Table3[[#All],[PID]],0)))</f>
        <v>R</v>
      </c>
      <c r="J160" s="52" t="str">
        <f>IF($C160="B",INDEX(Batters[[#All],[WE]],MATCH(Table5[[#This Row],[PID]],Batters[[#All],[PID]],0)),INDEX(Table3[[#All],[WE]],MATCH(Table5[[#This Row],[PID]],Table3[[#All],[PID]],0)))</f>
        <v>Low</v>
      </c>
      <c r="K160" s="52" t="str">
        <f>IF($C160="B",INDEX(Batters[[#All],[INT]],MATCH(Table5[[#This Row],[PID]],Batters[[#All],[PID]],0)),INDEX(Table3[[#All],[INT]],MATCH(Table5[[#This Row],[PID]],Table3[[#All],[PID]],0)))</f>
        <v>Normal</v>
      </c>
      <c r="L160" s="60">
        <f>IF($C160="B",INDEX(Batters[[#All],[CON P]],MATCH(Table5[[#This Row],[PID]],Batters[[#All],[PID]],0)),INDEX(Table3[[#All],[STU P]],MATCH(Table5[[#This Row],[PID]],Table3[[#All],[PID]],0)))</f>
        <v>4</v>
      </c>
      <c r="M160" s="56">
        <f>IF($C160="B",INDEX(Batters[[#All],[GAP P]],MATCH(Table5[[#This Row],[PID]],Batters[[#All],[PID]],0)),INDEX(Table3[[#All],[MOV P]],MATCH(Table5[[#This Row],[PID]],Table3[[#All],[PID]],0)))</f>
        <v>5</v>
      </c>
      <c r="N160" s="56">
        <f>IF($C160="B",INDEX(Batters[[#All],[POW P]],MATCH(Table5[[#This Row],[PID]],Batters[[#All],[PID]],0)),INDEX(Table3[[#All],[CON P]],MATCH(Table5[[#This Row],[PID]],Table3[[#All],[PID]],0)))</f>
        <v>7</v>
      </c>
      <c r="O160" s="56">
        <f>IF($C160="B",INDEX(Batters[[#All],[EYE P]],MATCH(Table5[[#This Row],[PID]],Batters[[#All],[PID]],0)),INDEX(Table3[[#All],[VELO]],MATCH(Table5[[#This Row],[PID]],Table3[[#All],[PID]],0)))</f>
        <v>5</v>
      </c>
      <c r="P160" s="56">
        <f>IF($C160="B",INDEX(Batters[[#All],[K P]],MATCH(Table5[[#This Row],[PID]],Batters[[#All],[PID]],0)),INDEX(Table3[[#All],[STM]],MATCH(Table5[[#This Row],[PID]],Table3[[#All],[PID]],0)))</f>
        <v>4</v>
      </c>
      <c r="Q160" s="61">
        <f>IF($C160="B",INDEX(Batters[[#All],[Tot]],MATCH(Table5[[#This Row],[PID]],Batters[[#All],[PID]],0)),INDEX(Table3[[#All],[Tot]],MATCH(Table5[[#This Row],[PID]],Table3[[#All],[PID]],0)))</f>
        <v>45.583732967747196</v>
      </c>
      <c r="R160" s="52">
        <f>IF($C160="B",INDEX(Batters[[#All],[zScore]],MATCH(Table5[[#This Row],[PID]],Batters[[#All],[PID]],0)),INDEX(Table3[[#All],[zScore]],MATCH(Table5[[#This Row],[PID]],Table3[[#All],[PID]],0)))</f>
        <v>0.32187237587492096</v>
      </c>
      <c r="S160" s="58" t="str">
        <f>IF($C160="B",INDEX(Batters[[#All],[DEM]],MATCH(Table5[[#This Row],[PID]],Batters[[#All],[PID]],0)),INDEX(Table3[[#All],[DEM]],MATCH(Table5[[#This Row],[PID]],Table3[[#All],[PID]],0)))</f>
        <v>-</v>
      </c>
      <c r="T160" s="62">
        <f>IF($C160="B",INDEX(Batters[[#All],[Rnk]],MATCH(Table5[[#This Row],[PID]],Batters[[#All],[PID]],0)),INDEX(Table3[[#All],[Rnk]],MATCH(Table5[[#This Row],[PID]],Table3[[#All],[PID]],0)))</f>
        <v>174</v>
      </c>
      <c r="U160" s="68">
        <f>IF($C160="B",VLOOKUP($A160,Bat!$A$4:$BA$1621,47,FALSE),VLOOKUP($A160,Pit!$A$4:$BF$1557,56,FALSE))</f>
        <v>0</v>
      </c>
      <c r="V160" s="50">
        <f>IF($C160="B",VLOOKUP($A160,Bat!$A$4:$BA$1621,48,FALSE),VLOOKUP($A160,Pit!$A$4:$BF$1557,57,FALSE))</f>
        <v>0</v>
      </c>
      <c r="W160" s="50">
        <f>Table5[[#This Row],[posRnk]]+Table5[[#This Row],[zRnk]]+IF($W$3&lt;&gt;Table5[[#This Row],[Type]],50,0)</f>
        <v>637</v>
      </c>
      <c r="X160" s="51">
        <f>RANK(Table5[[#This Row],[zScore]],Table5[[#All],[zScore]])</f>
        <v>413</v>
      </c>
      <c r="Y160" s="50">
        <f>IFERROR(INDEX(DraftResults[[#All],[OVR]],MATCH(Table5[[#This Row],[PID]],DraftResults[[#All],[Player ID]],0)),"")</f>
        <v>156</v>
      </c>
      <c r="Z1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60" s="50">
        <f>IFERROR(INDEX(DraftResults[[#All],[Pick in Round]],MATCH(Table5[[#This Row],[PID]],DraftResults[[#All],[Player ID]],0)),"")</f>
        <v>28</v>
      </c>
      <c r="AB160" s="50" t="str">
        <f>IFERROR(INDEX(DraftResults[[#All],[Team Name]],MATCH(Table5[[#This Row],[PID]],DraftResults[[#All],[Player ID]],0)),"")</f>
        <v>San Juan Coqui</v>
      </c>
      <c r="AC160" s="50">
        <f>IF(Table5[[#This Row],[Ovr]]="","",IF(Table5[[#This Row],[cmbList]]="","",Table5[[#This Row],[cmbList]]-Table5[[#This Row],[Ovr]]))</f>
        <v>481</v>
      </c>
      <c r="AD160" s="54" t="str">
        <f>IF(ISERROR(VLOOKUP($AB160&amp;"-"&amp;$E160&amp;" "&amp;F160,Bonuses!$B$1:$G$1006,4,FALSE)),"",INT(VLOOKUP($AB160&amp;"-"&amp;$E160&amp;" "&amp;$F160,Bonuses!$B$1:$G$1006,4,FALSE)))</f>
        <v/>
      </c>
      <c r="AE1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5.28 (156) - LF Mark Bott</v>
      </c>
    </row>
    <row r="161" spans="1:31" s="50" customFormat="1" x14ac:dyDescent="0.25">
      <c r="A161" s="50">
        <v>18119</v>
      </c>
      <c r="B161" s="50">
        <f>COUNTIF(Table5[PID],A161)</f>
        <v>1</v>
      </c>
      <c r="C161" s="50" t="str">
        <f>IF(COUNTIF(Table3[[#All],[PID]],A161)&gt;0,"P","B")</f>
        <v>B</v>
      </c>
      <c r="D161" s="59" t="str">
        <f>IF($C161="B",INDEX(Batters[[#All],[POS]],MATCH(Table5[[#This Row],[PID]],Batters[[#All],[PID]],0)),INDEX(Table3[[#All],[POS]],MATCH(Table5[[#This Row],[PID]],Table3[[#All],[PID]],0)))</f>
        <v>LF</v>
      </c>
      <c r="E161" s="52" t="str">
        <f>IF($C161="B",INDEX(Batters[[#All],[First]],MATCH(Table5[[#This Row],[PID]],Batters[[#All],[PID]],0)),INDEX(Table3[[#All],[First]],MATCH(Table5[[#This Row],[PID]],Table3[[#All],[PID]],0)))</f>
        <v>Leonardo</v>
      </c>
      <c r="F161" s="50" t="str">
        <f>IF($C161="B",INDEX(Batters[[#All],[Last]],MATCH(A161,Batters[[#All],[PID]],0)),INDEX(Table3[[#All],[Last]],MATCH(A161,Table3[[#All],[PID]],0)))</f>
        <v>Herrera</v>
      </c>
      <c r="G161" s="56">
        <f>IF($C161="B",INDEX(Batters[[#All],[Age]],MATCH(Table5[[#This Row],[PID]],Batters[[#All],[PID]],0)),INDEX(Table3[[#All],[Age]],MATCH(Table5[[#This Row],[PID]],Table3[[#All],[PID]],0)))</f>
        <v>21</v>
      </c>
      <c r="H161" s="52" t="str">
        <f>IF($C161="B",INDEX(Batters[[#All],[B]],MATCH(Table5[[#This Row],[PID]],Batters[[#All],[PID]],0)),INDEX(Table3[[#All],[B]],MATCH(Table5[[#This Row],[PID]],Table3[[#All],[PID]],0)))</f>
        <v>L</v>
      </c>
      <c r="I161" s="52" t="str">
        <f>IF($C161="B",INDEX(Batters[[#All],[T]],MATCH(Table5[[#This Row],[PID]],Batters[[#All],[PID]],0)),INDEX(Table3[[#All],[T]],MATCH(Table5[[#This Row],[PID]],Table3[[#All],[PID]],0)))</f>
        <v>L</v>
      </c>
      <c r="J161" s="52" t="str">
        <f>IF($C161="B",INDEX(Batters[[#All],[WE]],MATCH(Table5[[#This Row],[PID]],Batters[[#All],[PID]],0)),INDEX(Table3[[#All],[WE]],MATCH(Table5[[#This Row],[PID]],Table3[[#All],[PID]],0)))</f>
        <v>High</v>
      </c>
      <c r="K161" s="52" t="str">
        <f>IF($C161="B",INDEX(Batters[[#All],[INT]],MATCH(Table5[[#This Row],[PID]],Batters[[#All],[PID]],0)),INDEX(Table3[[#All],[INT]],MATCH(Table5[[#This Row],[PID]],Table3[[#All],[PID]],0)))</f>
        <v>High</v>
      </c>
      <c r="L161" s="60">
        <f>IF($C161="B",INDEX(Batters[[#All],[CON P]],MATCH(Table5[[#This Row],[PID]],Batters[[#All],[PID]],0)),INDEX(Table3[[#All],[STU P]],MATCH(Table5[[#This Row],[PID]],Table3[[#All],[PID]],0)))</f>
        <v>4</v>
      </c>
      <c r="M161" s="56">
        <f>IF($C161="B",INDEX(Batters[[#All],[GAP P]],MATCH(Table5[[#This Row],[PID]],Batters[[#All],[PID]],0)),INDEX(Table3[[#All],[MOV P]],MATCH(Table5[[#This Row],[PID]],Table3[[#All],[PID]],0)))</f>
        <v>5</v>
      </c>
      <c r="N161" s="56">
        <f>IF($C161="B",INDEX(Batters[[#All],[POW P]],MATCH(Table5[[#This Row],[PID]],Batters[[#All],[PID]],0)),INDEX(Table3[[#All],[CON P]],MATCH(Table5[[#This Row],[PID]],Table3[[#All],[PID]],0)))</f>
        <v>6</v>
      </c>
      <c r="O161" s="56">
        <f>IF($C161="B",INDEX(Batters[[#All],[EYE P]],MATCH(Table5[[#This Row],[PID]],Batters[[#All],[PID]],0)),INDEX(Table3[[#All],[VELO]],MATCH(Table5[[#This Row],[PID]],Table3[[#All],[PID]],0)))</f>
        <v>5</v>
      </c>
      <c r="P161" s="56">
        <f>IF($C161="B",INDEX(Batters[[#All],[K P]],MATCH(Table5[[#This Row],[PID]],Batters[[#All],[PID]],0)),INDEX(Table3[[#All],[STM]],MATCH(Table5[[#This Row],[PID]],Table3[[#All],[PID]],0)))</f>
        <v>5</v>
      </c>
      <c r="Q161" s="61">
        <f>IF($C161="B",INDEX(Batters[[#All],[Tot]],MATCH(Table5[[#This Row],[PID]],Batters[[#All],[PID]],0)),INDEX(Table3[[#All],[Tot]],MATCH(Table5[[#This Row],[PID]],Table3[[#All],[PID]],0)))</f>
        <v>46.619781420633061</v>
      </c>
      <c r="R161" s="52">
        <f>IF($C161="B",INDEX(Batters[[#All],[zScore]],MATCH(Table5[[#This Row],[PID]],Batters[[#All],[PID]],0)),INDEX(Table3[[#All],[zScore]],MATCH(Table5[[#This Row],[PID]],Table3[[#All],[PID]],0)))</f>
        <v>0.55157132091732575</v>
      </c>
      <c r="S161" s="58" t="str">
        <f>IF($C161="B",INDEX(Batters[[#All],[DEM]],MATCH(Table5[[#This Row],[PID]],Batters[[#All],[PID]],0)),INDEX(Table3[[#All],[DEM]],MATCH(Table5[[#This Row],[PID]],Table3[[#All],[PID]],0)))</f>
        <v>$20k</v>
      </c>
      <c r="T161" s="62">
        <f>IF($C161="B",INDEX(Batters[[#All],[Rnk]],MATCH(Table5[[#This Row],[PID]],Batters[[#All],[PID]],0)),INDEX(Table3[[#All],[Rnk]],MATCH(Table5[[#This Row],[PID]],Table3[[#All],[PID]],0)))</f>
        <v>146</v>
      </c>
      <c r="U161" s="68">
        <f>IF($C161="B",VLOOKUP($A161,Bat!$A$4:$BA$1621,47,FALSE),VLOOKUP($A161,Pit!$A$4:$BF$1557,56,FALSE))</f>
        <v>0</v>
      </c>
      <c r="V161" s="50">
        <f>IF($C161="B",VLOOKUP($A161,Bat!$A$4:$BA$1621,48,FALSE),VLOOKUP($A161,Pit!$A$4:$BF$1557,57,FALSE))</f>
        <v>0</v>
      </c>
      <c r="W161" s="50">
        <f>Table5[[#This Row],[posRnk]]+Table5[[#This Row],[zRnk]]+IF($W$3&lt;&gt;Table5[[#This Row],[Type]],50,0)</f>
        <v>548</v>
      </c>
      <c r="X161" s="51">
        <f>RANK(Table5[[#This Row],[zScore]],Table5[[#All],[zScore]])</f>
        <v>352</v>
      </c>
      <c r="Y161" s="50">
        <f>IFERROR(INDEX(DraftResults[[#All],[OVR]],MATCH(Table5[[#This Row],[PID]],DraftResults[[#All],[Player ID]],0)),"")</f>
        <v>157</v>
      </c>
      <c r="Z1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61" s="50">
        <f>IFERROR(INDEX(DraftResults[[#All],[Pick in Round]],MATCH(Table5[[#This Row],[PID]],DraftResults[[#All],[Player ID]],0)),"")</f>
        <v>29</v>
      </c>
      <c r="AB161" s="50" t="str">
        <f>IFERROR(INDEX(DraftResults[[#All],[Team Name]],MATCH(Table5[[#This Row],[PID]],DraftResults[[#All],[Player ID]],0)),"")</f>
        <v>Havana Leones</v>
      </c>
      <c r="AC161" s="50">
        <f>IF(Table5[[#This Row],[Ovr]]="","",IF(Table5[[#This Row],[cmbList]]="","",Table5[[#This Row],[cmbList]]-Table5[[#This Row],[Ovr]]))</f>
        <v>391</v>
      </c>
      <c r="AD161" s="54" t="str">
        <f>IF(ISERROR(VLOOKUP($AB161&amp;"-"&amp;$E161&amp;" "&amp;F161,Bonuses!$B$1:$G$1006,4,FALSE)),"",INT(VLOOKUP($AB161&amp;"-"&amp;$E161&amp;" "&amp;$F161,Bonuses!$B$1:$G$1006,4,FALSE)))</f>
        <v/>
      </c>
      <c r="AE1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5.29 (157) - LF Leonardo Herrera</v>
      </c>
    </row>
    <row r="162" spans="1:31" s="50" customFormat="1" x14ac:dyDescent="0.25">
      <c r="A162" s="50">
        <v>20260</v>
      </c>
      <c r="B162" s="50">
        <f>COUNTIF(Table5[PID],A162)</f>
        <v>1</v>
      </c>
      <c r="C162" s="50" t="str">
        <f>IF(COUNTIF(Table3[[#All],[PID]],A162)&gt;0,"P","B")</f>
        <v>B</v>
      </c>
      <c r="D162" s="59" t="str">
        <f>IF($C162="B",INDEX(Batters[[#All],[POS]],MATCH(Table5[[#This Row],[PID]],Batters[[#All],[PID]],0)),INDEX(Table3[[#All],[POS]],MATCH(Table5[[#This Row],[PID]],Table3[[#All],[PID]],0)))</f>
        <v>CF</v>
      </c>
      <c r="E162" s="52" t="str">
        <f>IF($C162="B",INDEX(Batters[[#All],[First]],MATCH(Table5[[#This Row],[PID]],Batters[[#All],[PID]],0)),INDEX(Table3[[#All],[First]],MATCH(Table5[[#This Row],[PID]],Table3[[#All],[PID]],0)))</f>
        <v>Tommy</v>
      </c>
      <c r="F162" s="50" t="str">
        <f>IF($C162="B",INDEX(Batters[[#All],[Last]],MATCH(A162,Batters[[#All],[PID]],0)),INDEX(Table3[[#All],[Last]],MATCH(A162,Table3[[#All],[PID]],0)))</f>
        <v>Millar</v>
      </c>
      <c r="G162" s="56">
        <f>IF($C162="B",INDEX(Batters[[#All],[Age]],MATCH(Table5[[#This Row],[PID]],Batters[[#All],[PID]],0)),INDEX(Table3[[#All],[Age]],MATCH(Table5[[#This Row],[PID]],Table3[[#All],[PID]],0)))</f>
        <v>21</v>
      </c>
      <c r="H162" s="52" t="str">
        <f>IF($C162="B",INDEX(Batters[[#All],[B]],MATCH(Table5[[#This Row],[PID]],Batters[[#All],[PID]],0)),INDEX(Table3[[#All],[B]],MATCH(Table5[[#This Row],[PID]],Table3[[#All],[PID]],0)))</f>
        <v>R</v>
      </c>
      <c r="I162" s="52" t="str">
        <f>IF($C162="B",INDEX(Batters[[#All],[T]],MATCH(Table5[[#This Row],[PID]],Batters[[#All],[PID]],0)),INDEX(Table3[[#All],[T]],MATCH(Table5[[#This Row],[PID]],Table3[[#All],[PID]],0)))</f>
        <v>R</v>
      </c>
      <c r="J162" s="52" t="str">
        <f>IF($C162="B",INDEX(Batters[[#All],[WE]],MATCH(Table5[[#This Row],[PID]],Batters[[#All],[PID]],0)),INDEX(Table3[[#All],[WE]],MATCH(Table5[[#This Row],[PID]],Table3[[#All],[PID]],0)))</f>
        <v>Normal</v>
      </c>
      <c r="K162" s="52" t="str">
        <f>IF($C162="B",INDEX(Batters[[#All],[INT]],MATCH(Table5[[#This Row],[PID]],Batters[[#All],[PID]],0)),INDEX(Table3[[#All],[INT]],MATCH(Table5[[#This Row],[PID]],Table3[[#All],[PID]],0)))</f>
        <v>Normal</v>
      </c>
      <c r="L162" s="60">
        <f>IF($C162="B",INDEX(Batters[[#All],[CON P]],MATCH(Table5[[#This Row],[PID]],Batters[[#All],[PID]],0)),INDEX(Table3[[#All],[STU P]],MATCH(Table5[[#This Row],[PID]],Table3[[#All],[PID]],0)))</f>
        <v>4</v>
      </c>
      <c r="M162" s="56">
        <f>IF($C162="B",INDEX(Batters[[#All],[GAP P]],MATCH(Table5[[#This Row],[PID]],Batters[[#All],[PID]],0)),INDEX(Table3[[#All],[MOV P]],MATCH(Table5[[#This Row],[PID]],Table3[[#All],[PID]],0)))</f>
        <v>6</v>
      </c>
      <c r="N162" s="56">
        <f>IF($C162="B",INDEX(Batters[[#All],[POW P]],MATCH(Table5[[#This Row],[PID]],Batters[[#All],[PID]],0)),INDEX(Table3[[#All],[CON P]],MATCH(Table5[[#This Row],[PID]],Table3[[#All],[PID]],0)))</f>
        <v>5</v>
      </c>
      <c r="O162" s="56">
        <f>IF($C162="B",INDEX(Batters[[#All],[EYE P]],MATCH(Table5[[#This Row],[PID]],Batters[[#All],[PID]],0)),INDEX(Table3[[#All],[VELO]],MATCH(Table5[[#This Row],[PID]],Table3[[#All],[PID]],0)))</f>
        <v>5</v>
      </c>
      <c r="P162" s="56">
        <f>IF($C162="B",INDEX(Batters[[#All],[K P]],MATCH(Table5[[#This Row],[PID]],Batters[[#All],[PID]],0)),INDEX(Table3[[#All],[STM]],MATCH(Table5[[#This Row],[PID]],Table3[[#All],[PID]],0)))</f>
        <v>4</v>
      </c>
      <c r="Q162" s="61">
        <f>IF($C162="B",INDEX(Batters[[#All],[Tot]],MATCH(Table5[[#This Row],[PID]],Batters[[#All],[PID]],0)),INDEX(Table3[[#All],[Tot]],MATCH(Table5[[#This Row],[PID]],Table3[[#All],[PID]],0)))</f>
        <v>45.363215406116531</v>
      </c>
      <c r="R162" s="52">
        <f>IF($C162="B",INDEX(Batters[[#All],[zScore]],MATCH(Table5[[#This Row],[PID]],Batters[[#All],[PID]],0)),INDEX(Table3[[#All],[zScore]],MATCH(Table5[[#This Row],[PID]],Table3[[#All],[PID]],0)))</f>
        <v>0.27298214190102082</v>
      </c>
      <c r="S162" s="58" t="str">
        <f>IF($C162="B",INDEX(Batters[[#All],[DEM]],MATCH(Table5[[#This Row],[PID]],Batters[[#All],[PID]],0)),INDEX(Table3[[#All],[DEM]],MATCH(Table5[[#This Row],[PID]],Table3[[#All],[PID]],0)))</f>
        <v>$220k</v>
      </c>
      <c r="T162" s="62">
        <f>IF($C162="B",INDEX(Batters[[#All],[Rnk]],MATCH(Table5[[#This Row],[PID]],Batters[[#All],[PID]],0)),INDEX(Table3[[#All],[Rnk]],MATCH(Table5[[#This Row],[PID]],Table3[[#All],[PID]],0)))</f>
        <v>181</v>
      </c>
      <c r="U162" s="68">
        <f>IF($C162="B",VLOOKUP($A162,Bat!$A$4:$BA$1621,47,FALSE),VLOOKUP($A162,Pit!$A$4:$BF$1557,56,FALSE))</f>
        <v>0</v>
      </c>
      <c r="V162" s="50">
        <f>IF($C162="B",VLOOKUP($A162,Bat!$A$4:$BA$1621,48,FALSE),VLOOKUP($A162,Pit!$A$4:$BF$1557,57,FALSE))</f>
        <v>0</v>
      </c>
      <c r="W162" s="50">
        <f>Table5[[#This Row],[posRnk]]+Table5[[#This Row],[zRnk]]+IF($W$3&lt;&gt;Table5[[#This Row],[Type]],50,0)</f>
        <v>657</v>
      </c>
      <c r="X162" s="51">
        <f>RANK(Table5[[#This Row],[zScore]],Table5[[#All],[zScore]])</f>
        <v>426</v>
      </c>
      <c r="Y162" s="50">
        <f>IFERROR(INDEX(DraftResults[[#All],[OVR]],MATCH(Table5[[#This Row],[PID]],DraftResults[[#All],[Player ID]],0)),"")</f>
        <v>158</v>
      </c>
      <c r="Z1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5</v>
      </c>
      <c r="AA162" s="50">
        <f>IFERROR(INDEX(DraftResults[[#All],[Pick in Round]],MATCH(Table5[[#This Row],[PID]],DraftResults[[#All],[Player ID]],0)),"")</f>
        <v>30</v>
      </c>
      <c r="AB162" s="50" t="str">
        <f>IFERROR(INDEX(DraftResults[[#All],[Team Name]],MATCH(Table5[[#This Row],[PID]],DraftResults[[#All],[Player ID]],0)),"")</f>
        <v>Niihama-shi Ghosts</v>
      </c>
      <c r="AC162" s="50">
        <f>IF(Table5[[#This Row],[Ovr]]="","",IF(Table5[[#This Row],[cmbList]]="","",Table5[[#This Row],[cmbList]]-Table5[[#This Row],[Ovr]]))</f>
        <v>499</v>
      </c>
      <c r="AD162" s="54" t="str">
        <f>IF(ISERROR(VLOOKUP($AB162&amp;"-"&amp;$E162&amp;" "&amp;F162,Bonuses!$B$1:$G$1006,4,FALSE)),"",INT(VLOOKUP($AB162&amp;"-"&amp;$E162&amp;" "&amp;$F162,Bonuses!$B$1:$G$1006,4,FALSE)))</f>
        <v/>
      </c>
      <c r="AE1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5.30 (158) - CF Tommy Millar</v>
      </c>
    </row>
    <row r="163" spans="1:31" s="50" customFormat="1" x14ac:dyDescent="0.25">
      <c r="A163" s="50">
        <v>18286</v>
      </c>
      <c r="B163" s="50">
        <f>COUNTIF(Table5[PID],A163)</f>
        <v>1</v>
      </c>
      <c r="C163" s="50" t="str">
        <f>IF(COUNTIF(Table3[[#All],[PID]],A163)&gt;0,"P","B")</f>
        <v>B</v>
      </c>
      <c r="D163" s="59" t="str">
        <f>IF($C163="B",INDEX(Batters[[#All],[POS]],MATCH(Table5[[#This Row],[PID]],Batters[[#All],[PID]],0)),INDEX(Table3[[#All],[POS]],MATCH(Table5[[#This Row],[PID]],Table3[[#All],[PID]],0)))</f>
        <v>2B</v>
      </c>
      <c r="E163" s="52" t="str">
        <f>IF($C163="B",INDEX(Batters[[#All],[First]],MATCH(Table5[[#This Row],[PID]],Batters[[#All],[PID]],0)),INDEX(Table3[[#All],[First]],MATCH(Table5[[#This Row],[PID]],Table3[[#All],[PID]],0)))</f>
        <v>Alberto</v>
      </c>
      <c r="F163" s="50" t="str">
        <f>IF($C163="B",INDEX(Batters[[#All],[Last]],MATCH(A163,Batters[[#All],[PID]],0)),INDEX(Table3[[#All],[Last]],MATCH(A163,Table3[[#All],[PID]],0)))</f>
        <v>Polanco</v>
      </c>
      <c r="G163" s="56">
        <f>IF($C163="B",INDEX(Batters[[#All],[Age]],MATCH(Table5[[#This Row],[PID]],Batters[[#All],[PID]],0)),INDEX(Table3[[#All],[Age]],MATCH(Table5[[#This Row],[PID]],Table3[[#All],[PID]],0)))</f>
        <v>21</v>
      </c>
      <c r="H163" s="52" t="str">
        <f>IF($C163="B",INDEX(Batters[[#All],[B]],MATCH(Table5[[#This Row],[PID]],Batters[[#All],[PID]],0)),INDEX(Table3[[#All],[B]],MATCH(Table5[[#This Row],[PID]],Table3[[#All],[PID]],0)))</f>
        <v>R</v>
      </c>
      <c r="I163" s="52" t="str">
        <f>IF($C163="B",INDEX(Batters[[#All],[T]],MATCH(Table5[[#This Row],[PID]],Batters[[#All],[PID]],0)),INDEX(Table3[[#All],[T]],MATCH(Table5[[#This Row],[PID]],Table3[[#All],[PID]],0)))</f>
        <v>R</v>
      </c>
      <c r="J163" s="52" t="str">
        <f>IF($C163="B",INDEX(Batters[[#All],[WE]],MATCH(Table5[[#This Row],[PID]],Batters[[#All],[PID]],0)),INDEX(Table3[[#All],[WE]],MATCH(Table5[[#This Row],[PID]],Table3[[#All],[PID]],0)))</f>
        <v>Normal</v>
      </c>
      <c r="K163" s="52" t="str">
        <f>IF($C163="B",INDEX(Batters[[#All],[INT]],MATCH(Table5[[#This Row],[PID]],Batters[[#All],[PID]],0)),INDEX(Table3[[#All],[INT]],MATCH(Table5[[#This Row],[PID]],Table3[[#All],[PID]],0)))</f>
        <v>High</v>
      </c>
      <c r="L163" s="60">
        <f>IF($C163="B",INDEX(Batters[[#All],[CON P]],MATCH(Table5[[#This Row],[PID]],Batters[[#All],[PID]],0)),INDEX(Table3[[#All],[STU P]],MATCH(Table5[[#This Row],[PID]],Table3[[#All],[PID]],0)))</f>
        <v>4</v>
      </c>
      <c r="M163" s="56">
        <f>IF($C163="B",INDEX(Batters[[#All],[GAP P]],MATCH(Table5[[#This Row],[PID]],Batters[[#All],[PID]],0)),INDEX(Table3[[#All],[MOV P]],MATCH(Table5[[#This Row],[PID]],Table3[[#All],[PID]],0)))</f>
        <v>7</v>
      </c>
      <c r="N163" s="56">
        <f>IF($C163="B",INDEX(Batters[[#All],[POW P]],MATCH(Table5[[#This Row],[PID]],Batters[[#All],[PID]],0)),INDEX(Table3[[#All],[CON P]],MATCH(Table5[[#This Row],[PID]],Table3[[#All],[PID]],0)))</f>
        <v>5</v>
      </c>
      <c r="O163" s="56">
        <f>IF($C163="B",INDEX(Batters[[#All],[EYE P]],MATCH(Table5[[#This Row],[PID]],Batters[[#All],[PID]],0)),INDEX(Table3[[#All],[VELO]],MATCH(Table5[[#This Row],[PID]],Table3[[#All],[PID]],0)))</f>
        <v>7</v>
      </c>
      <c r="P163" s="56">
        <f>IF($C163="B",INDEX(Batters[[#All],[K P]],MATCH(Table5[[#This Row],[PID]],Batters[[#All],[PID]],0)),INDEX(Table3[[#All],[STM]],MATCH(Table5[[#This Row],[PID]],Table3[[#All],[PID]],0)))</f>
        <v>3</v>
      </c>
      <c r="Q163" s="61">
        <f>IF($C163="B",INDEX(Batters[[#All],[Tot]],MATCH(Table5[[#This Row],[PID]],Batters[[#All],[PID]],0)),INDEX(Table3[[#All],[Tot]],MATCH(Table5[[#This Row],[PID]],Table3[[#All],[PID]],0)))</f>
        <v>47.529043381619033</v>
      </c>
      <c r="R163" s="52">
        <f>IF($C163="B",INDEX(Batters[[#All],[zScore]],MATCH(Table5[[#This Row],[PID]],Batters[[#All],[PID]],0)),INDEX(Table3[[#All],[zScore]],MATCH(Table5[[#This Row],[PID]],Table3[[#All],[PID]],0)))</f>
        <v>0.75316084370837477</v>
      </c>
      <c r="S163" s="58" t="str">
        <f>IF($C163="B",INDEX(Batters[[#All],[DEM]],MATCH(Table5[[#This Row],[PID]],Batters[[#All],[PID]],0)),INDEX(Table3[[#All],[DEM]],MATCH(Table5[[#This Row],[PID]],Table3[[#All],[PID]],0)))</f>
        <v>$23k</v>
      </c>
      <c r="T163" s="62">
        <f>IF($C163="B",INDEX(Batters[[#All],[Rnk]],MATCH(Table5[[#This Row],[PID]],Batters[[#All],[PID]],0)),INDEX(Table3[[#All],[Rnk]],MATCH(Table5[[#This Row],[PID]],Table3[[#All],[PID]],0)))</f>
        <v>117</v>
      </c>
      <c r="U163" s="68">
        <f>IF($C163="B",VLOOKUP($A163,Bat!$A$4:$BA$1621,47,FALSE),VLOOKUP($A163,Pit!$A$4:$BF$1557,56,FALSE))</f>
        <v>0</v>
      </c>
      <c r="V163" s="50">
        <f>IF($C163="B",VLOOKUP($A163,Bat!$A$4:$BA$1621,48,FALSE),VLOOKUP($A163,Pit!$A$4:$BF$1557,57,FALSE))</f>
        <v>0</v>
      </c>
      <c r="W163" s="50">
        <f>Table5[[#This Row],[posRnk]]+Table5[[#This Row],[zRnk]]+IF($W$3&lt;&gt;Table5[[#This Row],[Type]],50,0)</f>
        <v>465</v>
      </c>
      <c r="X163" s="51">
        <f>RANK(Table5[[#This Row],[zScore]],Table5[[#All],[zScore]])</f>
        <v>298</v>
      </c>
      <c r="Y163" s="50">
        <f>IFERROR(INDEX(DraftResults[[#All],[OVR]],MATCH(Table5[[#This Row],[PID]],DraftResults[[#All],[Player ID]],0)),"")</f>
        <v>159</v>
      </c>
      <c r="Z1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3" s="50">
        <f>IFERROR(INDEX(DraftResults[[#All],[Pick in Round]],MATCH(Table5[[#This Row],[PID]],DraftResults[[#All],[Player ID]],0)),"")</f>
        <v>1</v>
      </c>
      <c r="AB163" s="50" t="str">
        <f>IFERROR(INDEX(DraftResults[[#All],[Team Name]],MATCH(Table5[[#This Row],[PID]],DraftResults[[#All],[Player ID]],0)),"")</f>
        <v>Yuma Arroyos</v>
      </c>
      <c r="AC163" s="50">
        <f>IF(Table5[[#This Row],[Ovr]]="","",IF(Table5[[#This Row],[cmbList]]="","",Table5[[#This Row],[cmbList]]-Table5[[#This Row],[Ovr]]))</f>
        <v>306</v>
      </c>
      <c r="AD163" s="54" t="str">
        <f>IF(ISERROR(VLOOKUP($AB163&amp;"-"&amp;$E163&amp;" "&amp;F163,Bonuses!$B$1:$G$1006,4,FALSE)),"",INT(VLOOKUP($AB163&amp;"-"&amp;$E163&amp;" "&amp;$F163,Bonuses!$B$1:$G$1006,4,FALSE)))</f>
        <v/>
      </c>
      <c r="AE1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 (159) - 2B Alberto Polanco</v>
      </c>
    </row>
    <row r="164" spans="1:31" s="50" customFormat="1" x14ac:dyDescent="0.25">
      <c r="A164" s="50">
        <v>17988</v>
      </c>
      <c r="B164" s="50">
        <f>COUNTIF(Table5[PID],A164)</f>
        <v>1</v>
      </c>
      <c r="C164" s="50" t="str">
        <f>IF(COUNTIF(Table3[[#All],[PID]],A164)&gt;0,"P","B")</f>
        <v>B</v>
      </c>
      <c r="D164" s="59" t="str">
        <f>IF($C164="B",INDEX(Batters[[#All],[POS]],MATCH(Table5[[#This Row],[PID]],Batters[[#All],[PID]],0)),INDEX(Table3[[#All],[POS]],MATCH(Table5[[#This Row],[PID]],Table3[[#All],[PID]],0)))</f>
        <v>CF</v>
      </c>
      <c r="E164" s="52" t="str">
        <f>IF($C164="B",INDEX(Batters[[#All],[First]],MATCH(Table5[[#This Row],[PID]],Batters[[#All],[PID]],0)),INDEX(Table3[[#All],[First]],MATCH(Table5[[#This Row],[PID]],Table3[[#All],[PID]],0)))</f>
        <v>Don</v>
      </c>
      <c r="F164" s="50" t="str">
        <f>IF($C164="B",INDEX(Batters[[#All],[Last]],MATCH(A164,Batters[[#All],[PID]],0)),INDEX(Table3[[#All],[Last]],MATCH(A164,Table3[[#All],[PID]],0)))</f>
        <v>Reed</v>
      </c>
      <c r="G164" s="56">
        <f>IF($C164="B",INDEX(Batters[[#All],[Age]],MATCH(Table5[[#This Row],[PID]],Batters[[#All],[PID]],0)),INDEX(Table3[[#All],[Age]],MATCH(Table5[[#This Row],[PID]],Table3[[#All],[PID]],0)))</f>
        <v>21</v>
      </c>
      <c r="H164" s="52" t="str">
        <f>IF($C164="B",INDEX(Batters[[#All],[B]],MATCH(Table5[[#This Row],[PID]],Batters[[#All],[PID]],0)),INDEX(Table3[[#All],[B]],MATCH(Table5[[#This Row],[PID]],Table3[[#All],[PID]],0)))</f>
        <v>S</v>
      </c>
      <c r="I164" s="52" t="str">
        <f>IF($C164="B",INDEX(Batters[[#All],[T]],MATCH(Table5[[#This Row],[PID]],Batters[[#All],[PID]],0)),INDEX(Table3[[#All],[T]],MATCH(Table5[[#This Row],[PID]],Table3[[#All],[PID]],0)))</f>
        <v>R</v>
      </c>
      <c r="J164" s="52" t="str">
        <f>IF($C164="B",INDEX(Batters[[#All],[WE]],MATCH(Table5[[#This Row],[PID]],Batters[[#All],[PID]],0)),INDEX(Table3[[#All],[WE]],MATCH(Table5[[#This Row],[PID]],Table3[[#All],[PID]],0)))</f>
        <v>Normal</v>
      </c>
      <c r="K164" s="52" t="str">
        <f>IF($C164="B",INDEX(Batters[[#All],[INT]],MATCH(Table5[[#This Row],[PID]],Batters[[#All],[PID]],0)),INDEX(Table3[[#All],[INT]],MATCH(Table5[[#This Row],[PID]],Table3[[#All],[PID]],0)))</f>
        <v>High</v>
      </c>
      <c r="L164" s="60">
        <f>IF($C164="B",INDEX(Batters[[#All],[CON P]],MATCH(Table5[[#This Row],[PID]],Batters[[#All],[PID]],0)),INDEX(Table3[[#All],[STU P]],MATCH(Table5[[#This Row],[PID]],Table3[[#All],[PID]],0)))</f>
        <v>4</v>
      </c>
      <c r="M164" s="56">
        <f>IF($C164="B",INDEX(Batters[[#All],[GAP P]],MATCH(Table5[[#This Row],[PID]],Batters[[#All],[PID]],0)),INDEX(Table3[[#All],[MOV P]],MATCH(Table5[[#This Row],[PID]],Table3[[#All],[PID]],0)))</f>
        <v>4</v>
      </c>
      <c r="N164" s="56">
        <f>IF($C164="B",INDEX(Batters[[#All],[POW P]],MATCH(Table5[[#This Row],[PID]],Batters[[#All],[PID]],0)),INDEX(Table3[[#All],[CON P]],MATCH(Table5[[#This Row],[PID]],Table3[[#All],[PID]],0)))</f>
        <v>4</v>
      </c>
      <c r="O164" s="56">
        <f>IF($C164="B",INDEX(Batters[[#All],[EYE P]],MATCH(Table5[[#This Row],[PID]],Batters[[#All],[PID]],0)),INDEX(Table3[[#All],[VELO]],MATCH(Table5[[#This Row],[PID]],Table3[[#All],[PID]],0)))</f>
        <v>5</v>
      </c>
      <c r="P164" s="56">
        <f>IF($C164="B",INDEX(Batters[[#All],[K P]],MATCH(Table5[[#This Row],[PID]],Batters[[#All],[PID]],0)),INDEX(Table3[[#All],[STM]],MATCH(Table5[[#This Row],[PID]],Table3[[#All],[PID]],0)))</f>
        <v>3</v>
      </c>
      <c r="Q164" s="61">
        <f>IF($C164="B",INDEX(Batters[[#All],[Tot]],MATCH(Table5[[#This Row],[PID]],Batters[[#All],[PID]],0)),INDEX(Table3[[#All],[Tot]],MATCH(Table5[[#This Row],[PID]],Table3[[#All],[PID]],0)))</f>
        <v>43.789836503858766</v>
      </c>
      <c r="R164" s="52">
        <f>IF($C164="B",INDEX(Batters[[#All],[zScore]],MATCH(Table5[[#This Row],[PID]],Batters[[#All],[PID]],0)),INDEX(Table3[[#All],[zScore]],MATCH(Table5[[#This Row],[PID]],Table3[[#All],[PID]],0)))</f>
        <v>-7.5846595783894383E-2</v>
      </c>
      <c r="S164" s="58" t="str">
        <f>IF($C164="B",INDEX(Batters[[#All],[DEM]],MATCH(Table5[[#This Row],[PID]],Batters[[#All],[PID]],0)),INDEX(Table3[[#All],[DEM]],MATCH(Table5[[#This Row],[PID]],Table3[[#All],[PID]],0)))</f>
        <v>$20k</v>
      </c>
      <c r="T164" s="62">
        <f>IF($C164="B",INDEX(Batters[[#All],[Rnk]],MATCH(Table5[[#This Row],[PID]],Batters[[#All],[PID]],0)),INDEX(Table3[[#All],[Rnk]],MATCH(Table5[[#This Row],[PID]],Table3[[#All],[PID]],0)))</f>
        <v>258</v>
      </c>
      <c r="U164" s="68">
        <f>IF($C164="B",VLOOKUP($A164,Bat!$A$4:$BA$1621,47,FALSE),VLOOKUP($A164,Pit!$A$4:$BF$1557,56,FALSE))</f>
        <v>0</v>
      </c>
      <c r="V164" s="50">
        <f>IF($C164="B",VLOOKUP($A164,Bat!$A$4:$BA$1621,48,FALSE),VLOOKUP($A164,Pit!$A$4:$BF$1557,57,FALSE))</f>
        <v>0</v>
      </c>
      <c r="W164" s="50">
        <f>Table5[[#This Row],[posRnk]]+Table5[[#This Row],[zRnk]]+IF($W$3&lt;&gt;Table5[[#This Row],[Type]],50,0)</f>
        <v>897</v>
      </c>
      <c r="X164" s="51">
        <f>RANK(Table5[[#This Row],[zScore]],Table5[[#All],[zScore]])</f>
        <v>589</v>
      </c>
      <c r="Y164" s="50">
        <f>IFERROR(INDEX(DraftResults[[#All],[OVR]],MATCH(Table5[[#This Row],[PID]],DraftResults[[#All],[Player ID]],0)),"")</f>
        <v>160</v>
      </c>
      <c r="Z1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4" s="50">
        <f>IFERROR(INDEX(DraftResults[[#All],[Pick in Round]],MATCH(Table5[[#This Row],[PID]],DraftResults[[#All],[Player ID]],0)),"")</f>
        <v>2</v>
      </c>
      <c r="AB164" s="50" t="str">
        <f>IFERROR(INDEX(DraftResults[[#All],[Team Name]],MATCH(Table5[[#This Row],[PID]],DraftResults[[#All],[Player ID]],0)),"")</f>
        <v>Charleston Statesmen</v>
      </c>
      <c r="AC164" s="50">
        <f>IF(Table5[[#This Row],[Ovr]]="","",IF(Table5[[#This Row],[cmbList]]="","",Table5[[#This Row],[cmbList]]-Table5[[#This Row],[Ovr]]))</f>
        <v>737</v>
      </c>
      <c r="AD164" s="54" t="str">
        <f>IF(ISERROR(VLOOKUP($AB164&amp;"-"&amp;$E164&amp;" "&amp;F164,Bonuses!$B$1:$G$1006,4,FALSE)),"",INT(VLOOKUP($AB164&amp;"-"&amp;$E164&amp;" "&amp;$F164,Bonuses!$B$1:$G$1006,4,FALSE)))</f>
        <v/>
      </c>
      <c r="AE1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 (160) - CF Don Reed</v>
      </c>
    </row>
    <row r="165" spans="1:31" s="50" customFormat="1" x14ac:dyDescent="0.25">
      <c r="A165" s="50">
        <v>18424</v>
      </c>
      <c r="B165" s="50">
        <f>COUNTIF(Table5[PID],A165)</f>
        <v>1</v>
      </c>
      <c r="C165" s="50" t="str">
        <f>IF(COUNTIF(Table3[[#All],[PID]],A165)&gt;0,"P","B")</f>
        <v>P</v>
      </c>
      <c r="D165" s="59" t="str">
        <f>IF($C165="B",INDEX(Batters[[#All],[POS]],MATCH(Table5[[#This Row],[PID]],Batters[[#All],[PID]],0)),INDEX(Table3[[#All],[POS]],MATCH(Table5[[#This Row],[PID]],Table3[[#All],[PID]],0)))</f>
        <v>CL</v>
      </c>
      <c r="E165" s="52" t="str">
        <f>IF($C165="B",INDEX(Batters[[#All],[First]],MATCH(Table5[[#This Row],[PID]],Batters[[#All],[PID]],0)),INDEX(Table3[[#All],[First]],MATCH(Table5[[#This Row],[PID]],Table3[[#All],[PID]],0)))</f>
        <v>Juan</v>
      </c>
      <c r="F165" s="50" t="str">
        <f>IF($C165="B",INDEX(Batters[[#All],[Last]],MATCH(A165,Batters[[#All],[PID]],0)),INDEX(Table3[[#All],[Last]],MATCH(A165,Table3[[#All],[PID]],0)))</f>
        <v>Román</v>
      </c>
      <c r="G165" s="56">
        <f>IF($C165="B",INDEX(Batters[[#All],[Age]],MATCH(Table5[[#This Row],[PID]],Batters[[#All],[PID]],0)),INDEX(Table3[[#All],[Age]],MATCH(Table5[[#This Row],[PID]],Table3[[#All],[PID]],0)))</f>
        <v>18</v>
      </c>
      <c r="H165" s="52" t="str">
        <f>IF($C165="B",INDEX(Batters[[#All],[B]],MATCH(Table5[[#This Row],[PID]],Batters[[#All],[PID]],0)),INDEX(Table3[[#All],[B]],MATCH(Table5[[#This Row],[PID]],Table3[[#All],[PID]],0)))</f>
        <v>R</v>
      </c>
      <c r="I165" s="52" t="str">
        <f>IF($C165="B",INDEX(Batters[[#All],[T]],MATCH(Table5[[#This Row],[PID]],Batters[[#All],[PID]],0)),INDEX(Table3[[#All],[T]],MATCH(Table5[[#This Row],[PID]],Table3[[#All],[PID]],0)))</f>
        <v>R</v>
      </c>
      <c r="J165" s="52" t="str">
        <f>IF($C165="B",INDEX(Batters[[#All],[WE]],MATCH(Table5[[#This Row],[PID]],Batters[[#All],[PID]],0)),INDEX(Table3[[#All],[WE]],MATCH(Table5[[#This Row],[PID]],Table3[[#All],[PID]],0)))</f>
        <v>Normal</v>
      </c>
      <c r="K165" s="52" t="str">
        <f>IF($C165="B",INDEX(Batters[[#All],[INT]],MATCH(Table5[[#This Row],[PID]],Batters[[#All],[PID]],0)),INDEX(Table3[[#All],[INT]],MATCH(Table5[[#This Row],[PID]],Table3[[#All],[PID]],0)))</f>
        <v>Normal</v>
      </c>
      <c r="L165" s="60">
        <f>IF($C165="B",INDEX(Batters[[#All],[CON P]],MATCH(Table5[[#This Row],[PID]],Batters[[#All],[PID]],0)),INDEX(Table3[[#All],[STU P]],MATCH(Table5[[#This Row],[PID]],Table3[[#All],[PID]],0)))</f>
        <v>5</v>
      </c>
      <c r="M165" s="56">
        <f>IF($C165="B",INDEX(Batters[[#All],[GAP P]],MATCH(Table5[[#This Row],[PID]],Batters[[#All],[PID]],0)),INDEX(Table3[[#All],[MOV P]],MATCH(Table5[[#This Row],[PID]],Table3[[#All],[PID]],0)))</f>
        <v>5</v>
      </c>
      <c r="N165" s="56">
        <f>IF($C165="B",INDEX(Batters[[#All],[POW P]],MATCH(Table5[[#This Row],[PID]],Batters[[#All],[PID]],0)),INDEX(Table3[[#All],[CON P]],MATCH(Table5[[#This Row],[PID]],Table3[[#All],[PID]],0)))</f>
        <v>5</v>
      </c>
      <c r="O165" s="56" t="str">
        <f>IF($C165="B",INDEX(Batters[[#All],[EYE P]],MATCH(Table5[[#This Row],[PID]],Batters[[#All],[PID]],0)),INDEX(Table3[[#All],[VELO]],MATCH(Table5[[#This Row],[PID]],Table3[[#All],[PID]],0)))</f>
        <v>89-91 Mph</v>
      </c>
      <c r="P165" s="56">
        <f>IF($C165="B",INDEX(Batters[[#All],[K P]],MATCH(Table5[[#This Row],[PID]],Batters[[#All],[PID]],0)),INDEX(Table3[[#All],[STM]],MATCH(Table5[[#This Row],[PID]],Table3[[#All],[PID]],0)))</f>
        <v>9</v>
      </c>
      <c r="Q165" s="61">
        <f>IF($C165="B",INDEX(Batters[[#All],[Tot]],MATCH(Table5[[#This Row],[PID]],Batters[[#All],[PID]],0)),INDEX(Table3[[#All],[Tot]],MATCH(Table5[[#This Row],[PID]],Table3[[#All],[PID]],0)))</f>
        <v>61.100977031947778</v>
      </c>
      <c r="R165" s="52">
        <f>IF($C165="B",INDEX(Batters[[#All],[zScore]],MATCH(Table5[[#This Row],[PID]],Batters[[#All],[PID]],0)),INDEX(Table3[[#All],[zScore]],MATCH(Table5[[#This Row],[PID]],Table3[[#All],[PID]],0)))</f>
        <v>1.6785433494193891</v>
      </c>
      <c r="S165" s="58" t="str">
        <f>IF($C165="B",INDEX(Batters[[#All],[DEM]],MATCH(Table5[[#This Row],[PID]],Batters[[#All],[PID]],0)),INDEX(Table3[[#All],[DEM]],MATCH(Table5[[#This Row],[PID]],Table3[[#All],[PID]],0)))</f>
        <v>$75k</v>
      </c>
      <c r="T165" s="62">
        <f>IF($C165="B",INDEX(Batters[[#All],[Rnk]],MATCH(Table5[[#This Row],[PID]],Batters[[#All],[PID]],0)),INDEX(Table3[[#All],[Rnk]],MATCH(Table5[[#This Row],[PID]],Table3[[#All],[PID]],0)))</f>
        <v>58</v>
      </c>
      <c r="U165" s="68">
        <f>IF($C165="B",VLOOKUP($A165,Bat!$A$4:$BA$1621,47,FALSE),VLOOKUP($A165,Pit!$A$4:$BF$1557,56,FALSE))</f>
        <v>0</v>
      </c>
      <c r="V165" s="50">
        <f>IF($C165="B",VLOOKUP($A165,Bat!$A$4:$BA$1621,48,FALSE),VLOOKUP($A165,Pit!$A$4:$BF$1557,57,FALSE))</f>
        <v>0</v>
      </c>
      <c r="W165" s="50">
        <f>Table5[[#This Row],[posRnk]]+Table5[[#This Row],[zRnk]]+IF($W$3&lt;&gt;Table5[[#This Row],[Type]],50,0)</f>
        <v>198</v>
      </c>
      <c r="X165" s="51">
        <f>RANK(Table5[[#This Row],[zScore]],Table5[[#All],[zScore]])</f>
        <v>90</v>
      </c>
      <c r="Y165" s="50">
        <f>IFERROR(INDEX(DraftResults[[#All],[OVR]],MATCH(Table5[[#This Row],[PID]],DraftResults[[#All],[Player ID]],0)),"")</f>
        <v>161</v>
      </c>
      <c r="Z1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5" s="50">
        <f>IFERROR(INDEX(DraftResults[[#All],[Pick in Round]],MATCH(Table5[[#This Row],[PID]],DraftResults[[#All],[Player ID]],0)),"")</f>
        <v>3</v>
      </c>
      <c r="AB165" s="50" t="str">
        <f>IFERROR(INDEX(DraftResults[[#All],[Team Name]],MATCH(Table5[[#This Row],[PID]],DraftResults[[#All],[Player ID]],0)),"")</f>
        <v>New Orleans Trendsetters</v>
      </c>
      <c r="AC165" s="50">
        <f>IF(Table5[[#This Row],[Ovr]]="","",IF(Table5[[#This Row],[cmbList]]="","",Table5[[#This Row],[cmbList]]-Table5[[#This Row],[Ovr]]))</f>
        <v>37</v>
      </c>
      <c r="AD165" s="54" t="str">
        <f>IF(ISERROR(VLOOKUP($AB165&amp;"-"&amp;$E165&amp;" "&amp;F165,Bonuses!$B$1:$G$1006,4,FALSE)),"",INT(VLOOKUP($AB165&amp;"-"&amp;$E165&amp;" "&amp;$F165,Bonuses!$B$1:$G$1006,4,FALSE)))</f>
        <v/>
      </c>
      <c r="AE1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6.3 (161) - CL Juan Román</v>
      </c>
    </row>
    <row r="166" spans="1:31" s="50" customFormat="1" x14ac:dyDescent="0.25">
      <c r="A166" s="50">
        <v>20715</v>
      </c>
      <c r="B166" s="55">
        <f>COUNTIF(Table5[PID],A166)</f>
        <v>1</v>
      </c>
      <c r="C166" s="55" t="str">
        <f>IF(COUNTIF(Table3[[#All],[PID]],A166)&gt;0,"P","B")</f>
        <v>B</v>
      </c>
      <c r="D166" s="59" t="str">
        <f>IF($C166="B",INDEX(Batters[[#All],[POS]],MATCH(Table5[[#This Row],[PID]],Batters[[#All],[PID]],0)),INDEX(Table3[[#All],[POS]],MATCH(Table5[[#This Row],[PID]],Table3[[#All],[PID]],0)))</f>
        <v>1B</v>
      </c>
      <c r="E166" s="52" t="str">
        <f>IF($C166="B",INDEX(Batters[[#All],[First]],MATCH(Table5[[#This Row],[PID]],Batters[[#All],[PID]],0)),INDEX(Table3[[#All],[First]],MATCH(Table5[[#This Row],[PID]],Table3[[#All],[PID]],0)))</f>
        <v>Fletcher</v>
      </c>
      <c r="F166" s="50" t="str">
        <f>IF($C166="B",INDEX(Batters[[#All],[Last]],MATCH(A166,Batters[[#All],[PID]],0)),INDEX(Table3[[#All],[Last]],MATCH(A166,Table3[[#All],[PID]],0)))</f>
        <v>Henderson</v>
      </c>
      <c r="G166" s="56">
        <f>IF($C166="B",INDEX(Batters[[#All],[Age]],MATCH(Table5[[#This Row],[PID]],Batters[[#All],[PID]],0)),INDEX(Table3[[#All],[Age]],MATCH(Table5[[#This Row],[PID]],Table3[[#All],[PID]],0)))</f>
        <v>17</v>
      </c>
      <c r="H166" s="52" t="str">
        <f>IF($C166="B",INDEX(Batters[[#All],[B]],MATCH(Table5[[#This Row],[PID]],Batters[[#All],[PID]],0)),INDEX(Table3[[#All],[B]],MATCH(Table5[[#This Row],[PID]],Table3[[#All],[PID]],0)))</f>
        <v>R</v>
      </c>
      <c r="I166" s="52" t="str">
        <f>IF($C166="B",INDEX(Batters[[#All],[T]],MATCH(Table5[[#This Row],[PID]],Batters[[#All],[PID]],0)),INDEX(Table3[[#All],[T]],MATCH(Table5[[#This Row],[PID]],Table3[[#All],[PID]],0)))</f>
        <v>R</v>
      </c>
      <c r="J166" s="52" t="str">
        <f>IF($C166="B",INDEX(Batters[[#All],[WE]],MATCH(Table5[[#This Row],[PID]],Batters[[#All],[PID]],0)),INDEX(Table3[[#All],[WE]],MATCH(Table5[[#This Row],[PID]],Table3[[#All],[PID]],0)))</f>
        <v>Low</v>
      </c>
      <c r="K166" s="52" t="str">
        <f>IF($C166="B",INDEX(Batters[[#All],[INT]],MATCH(Table5[[#This Row],[PID]],Batters[[#All],[PID]],0)),INDEX(Table3[[#All],[INT]],MATCH(Table5[[#This Row],[PID]],Table3[[#All],[PID]],0)))</f>
        <v>Normal</v>
      </c>
      <c r="L166" s="60">
        <f>IF($C166="B",INDEX(Batters[[#All],[CON P]],MATCH(Table5[[#This Row],[PID]],Batters[[#All],[PID]],0)),INDEX(Table3[[#All],[STU P]],MATCH(Table5[[#This Row],[PID]],Table3[[#All],[PID]],0)))</f>
        <v>4</v>
      </c>
      <c r="M166" s="56">
        <f>IF($C166="B",INDEX(Batters[[#All],[GAP P]],MATCH(Table5[[#This Row],[PID]],Batters[[#All],[PID]],0)),INDEX(Table3[[#All],[MOV P]],MATCH(Table5[[#This Row],[PID]],Table3[[#All],[PID]],0)))</f>
        <v>7</v>
      </c>
      <c r="N166" s="56">
        <f>IF($C166="B",INDEX(Batters[[#All],[POW P]],MATCH(Table5[[#This Row],[PID]],Batters[[#All],[PID]],0)),INDEX(Table3[[#All],[CON P]],MATCH(Table5[[#This Row],[PID]],Table3[[#All],[PID]],0)))</f>
        <v>8</v>
      </c>
      <c r="O166" s="56">
        <f>IF($C166="B",INDEX(Batters[[#All],[EYE P]],MATCH(Table5[[#This Row],[PID]],Batters[[#All],[PID]],0)),INDEX(Table3[[#All],[VELO]],MATCH(Table5[[#This Row],[PID]],Table3[[#All],[PID]],0)))</f>
        <v>6</v>
      </c>
      <c r="P166" s="56">
        <f>IF($C166="B",INDEX(Batters[[#All],[K P]],MATCH(Table5[[#This Row],[PID]],Batters[[#All],[PID]],0)),INDEX(Table3[[#All],[STM]],MATCH(Table5[[#This Row],[PID]],Table3[[#All],[PID]],0)))</f>
        <v>2</v>
      </c>
      <c r="Q166" s="61">
        <f>IF($C166="B",INDEX(Batters[[#All],[Tot]],MATCH(Table5[[#This Row],[PID]],Batters[[#All],[PID]],0)),INDEX(Table3[[#All],[Tot]],MATCH(Table5[[#This Row],[PID]],Table3[[#All],[PID]],0)))</f>
        <v>52.638390721084519</v>
      </c>
      <c r="R166" s="52">
        <f>IF($C166="B",INDEX(Batters[[#All],[zScore]],MATCH(Table5[[#This Row],[PID]],Batters[[#All],[PID]],0)),INDEX(Table3[[#All],[zScore]],MATCH(Table5[[#This Row],[PID]],Table3[[#All],[PID]],0)))</f>
        <v>1.8859376848506968</v>
      </c>
      <c r="S166" s="58" t="str">
        <f>IF($C166="B",INDEX(Batters[[#All],[DEM]],MATCH(Table5[[#This Row],[PID]],Batters[[#All],[PID]],0)),INDEX(Table3[[#All],[DEM]],MATCH(Table5[[#This Row],[PID]],Table3[[#All],[PID]],0)))</f>
        <v>$240k</v>
      </c>
      <c r="T166" s="62">
        <f>IF($C166="B",INDEX(Batters[[#All],[Rnk]],MATCH(Table5[[#This Row],[PID]],Batters[[#All],[PID]],0)),INDEX(Table3[[#All],[Rnk]],MATCH(Table5[[#This Row],[PID]],Table3[[#All],[PID]],0)))</f>
        <v>23</v>
      </c>
      <c r="U166" s="68">
        <f>IF($C166="B",VLOOKUP($A166,Bat!$A$4:$BA$1621,47,FALSE),VLOOKUP($A166,Pit!$A$4:$BF$1557,56,FALSE))</f>
        <v>0</v>
      </c>
      <c r="V166" s="50">
        <f>IF($C166="B",VLOOKUP($A166,Bat!$A$4:$BA$1621,48,FALSE),VLOOKUP($A166,Pit!$A$4:$BF$1557,57,FALSE))</f>
        <v>0</v>
      </c>
      <c r="W166" s="50">
        <f>Table5[[#This Row],[posRnk]]+Table5[[#This Row],[zRnk]]+IF($W$3&lt;&gt;Table5[[#This Row],[Type]],50,0)</f>
        <v>133</v>
      </c>
      <c r="X166" s="51">
        <f>RANK(Table5[[#This Row],[zScore]],Table5[[#All],[zScore]])</f>
        <v>60</v>
      </c>
      <c r="Y166" s="50">
        <f>IFERROR(INDEX(DraftResults[[#All],[OVR]],MATCH(Table5[[#This Row],[PID]],DraftResults[[#All],[Player ID]],0)),"")</f>
        <v>162</v>
      </c>
      <c r="Z1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6" s="50">
        <f>IFERROR(INDEX(DraftResults[[#All],[Pick in Round]],MATCH(Table5[[#This Row],[PID]],DraftResults[[#All],[Player ID]],0)),"")</f>
        <v>4</v>
      </c>
      <c r="AB166" s="50" t="str">
        <f>IFERROR(INDEX(DraftResults[[#All],[Team Name]],MATCH(Table5[[#This Row],[PID]],DraftResults[[#All],[Player ID]],0)),"")</f>
        <v>Tempe Knights</v>
      </c>
      <c r="AC166" s="50">
        <f>IF(Table5[[#This Row],[Ovr]]="","",IF(Table5[[#This Row],[cmbList]]="","",Table5[[#This Row],[cmbList]]-Table5[[#This Row],[Ovr]]))</f>
        <v>-29</v>
      </c>
      <c r="AD166" s="54" t="str">
        <f>IF(ISERROR(VLOOKUP($AB166&amp;"-"&amp;$E166&amp;" "&amp;F166,Bonuses!$B$1:$G$1006,4,FALSE)),"",INT(VLOOKUP($AB166&amp;"-"&amp;$E166&amp;" "&amp;$F166,Bonuses!$B$1:$G$1006,4,FALSE)))</f>
        <v/>
      </c>
      <c r="AE1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6.4 (162) - 1B Fletcher Henderson</v>
      </c>
    </row>
    <row r="167" spans="1:31" s="50" customFormat="1" x14ac:dyDescent="0.25">
      <c r="A167" s="50">
        <v>18372</v>
      </c>
      <c r="B167" s="50">
        <f>COUNTIF(Table5[PID],A167)</f>
        <v>1</v>
      </c>
      <c r="C167" s="50" t="str">
        <f>IF(COUNTIF(Table3[[#All],[PID]],A167)&gt;0,"P","B")</f>
        <v>B</v>
      </c>
      <c r="D167" s="59" t="str">
        <f>IF($C167="B",INDEX(Batters[[#All],[POS]],MATCH(Table5[[#This Row],[PID]],Batters[[#All],[PID]],0)),INDEX(Table3[[#All],[POS]],MATCH(Table5[[#This Row],[PID]],Table3[[#All],[PID]],0)))</f>
        <v>LF</v>
      </c>
      <c r="E167" s="52" t="str">
        <f>IF($C167="B",INDEX(Batters[[#All],[First]],MATCH(Table5[[#This Row],[PID]],Batters[[#All],[PID]],0)),INDEX(Table3[[#All],[First]],MATCH(Table5[[#This Row],[PID]],Table3[[#All],[PID]],0)))</f>
        <v>Anzai</v>
      </c>
      <c r="F167" s="50" t="str">
        <f>IF($C167="B",INDEX(Batters[[#All],[Last]],MATCH(A167,Batters[[#All],[PID]],0)),INDEX(Table3[[#All],[Last]],MATCH(A167,Table3[[#All],[PID]],0)))</f>
        <v>Ogawa</v>
      </c>
      <c r="G167" s="56">
        <f>IF($C167="B",INDEX(Batters[[#All],[Age]],MATCH(Table5[[#This Row],[PID]],Batters[[#All],[PID]],0)),INDEX(Table3[[#All],[Age]],MATCH(Table5[[#This Row],[PID]],Table3[[#All],[PID]],0)))</f>
        <v>18</v>
      </c>
      <c r="H167" s="52" t="str">
        <f>IF($C167="B",INDEX(Batters[[#All],[B]],MATCH(Table5[[#This Row],[PID]],Batters[[#All],[PID]],0)),INDEX(Table3[[#All],[B]],MATCH(Table5[[#This Row],[PID]],Table3[[#All],[PID]],0)))</f>
        <v>L</v>
      </c>
      <c r="I167" s="52" t="str">
        <f>IF($C167="B",INDEX(Batters[[#All],[T]],MATCH(Table5[[#This Row],[PID]],Batters[[#All],[PID]],0)),INDEX(Table3[[#All],[T]],MATCH(Table5[[#This Row],[PID]],Table3[[#All],[PID]],0)))</f>
        <v>L</v>
      </c>
      <c r="J167" s="52" t="str">
        <f>IF($C167="B",INDEX(Batters[[#All],[WE]],MATCH(Table5[[#This Row],[PID]],Batters[[#All],[PID]],0)),INDEX(Table3[[#All],[WE]],MATCH(Table5[[#This Row],[PID]],Table3[[#All],[PID]],0)))</f>
        <v>Normal</v>
      </c>
      <c r="K167" s="52" t="str">
        <f>IF($C167="B",INDEX(Batters[[#All],[INT]],MATCH(Table5[[#This Row],[PID]],Batters[[#All],[PID]],0)),INDEX(Table3[[#All],[INT]],MATCH(Table5[[#This Row],[PID]],Table3[[#All],[PID]],0)))</f>
        <v>Normal</v>
      </c>
      <c r="L167" s="60">
        <f>IF($C167="B",INDEX(Batters[[#All],[CON P]],MATCH(Table5[[#This Row],[PID]],Batters[[#All],[PID]],0)),INDEX(Table3[[#All],[STU P]],MATCH(Table5[[#This Row],[PID]],Table3[[#All],[PID]],0)))</f>
        <v>5</v>
      </c>
      <c r="M167" s="56">
        <f>IF($C167="B",INDEX(Batters[[#All],[GAP P]],MATCH(Table5[[#This Row],[PID]],Batters[[#All],[PID]],0)),INDEX(Table3[[#All],[MOV P]],MATCH(Table5[[#This Row],[PID]],Table3[[#All],[PID]],0)))</f>
        <v>6</v>
      </c>
      <c r="N167" s="56">
        <f>IF($C167="B",INDEX(Batters[[#All],[POW P]],MATCH(Table5[[#This Row],[PID]],Batters[[#All],[PID]],0)),INDEX(Table3[[#All],[CON P]],MATCH(Table5[[#This Row],[PID]],Table3[[#All],[PID]],0)))</f>
        <v>6</v>
      </c>
      <c r="O167" s="56">
        <f>IF($C167="B",INDEX(Batters[[#All],[EYE P]],MATCH(Table5[[#This Row],[PID]],Batters[[#All],[PID]],0)),INDEX(Table3[[#All],[VELO]],MATCH(Table5[[#This Row],[PID]],Table3[[#All],[PID]],0)))</f>
        <v>5</v>
      </c>
      <c r="P167" s="56">
        <f>IF($C167="B",INDEX(Batters[[#All],[K P]],MATCH(Table5[[#This Row],[PID]],Batters[[#All],[PID]],0)),INDEX(Table3[[#All],[STM]],MATCH(Table5[[#This Row],[PID]],Table3[[#All],[PID]],0)))</f>
        <v>4</v>
      </c>
      <c r="Q167" s="61">
        <f>IF($C167="B",INDEX(Batters[[#All],[Tot]],MATCH(Table5[[#This Row],[PID]],Batters[[#All],[PID]],0)),INDEX(Table3[[#All],[Tot]],MATCH(Table5[[#This Row],[PID]],Table3[[#All],[PID]],0)))</f>
        <v>54.12810710457741</v>
      </c>
      <c r="R167" s="52">
        <f>IF($C167="B",INDEX(Batters[[#All],[zScore]],MATCH(Table5[[#This Row],[PID]],Batters[[#All],[PID]],0)),INDEX(Table3[[#All],[zScore]],MATCH(Table5[[#This Row],[PID]],Table3[[#All],[PID]],0)))</f>
        <v>2.2162178766192953</v>
      </c>
      <c r="S167" s="58" t="str">
        <f>IF($C167="B",INDEX(Batters[[#All],[DEM]],MATCH(Table5[[#This Row],[PID]],Batters[[#All],[PID]],0)),INDEX(Table3[[#All],[DEM]],MATCH(Table5[[#This Row],[PID]],Table3[[#All],[PID]],0)))</f>
        <v>$200k</v>
      </c>
      <c r="T167" s="62">
        <f>IF($C167="B",INDEX(Batters[[#All],[Rnk]],MATCH(Table5[[#This Row],[PID]],Batters[[#All],[PID]],0)),INDEX(Table3[[#All],[Rnk]],MATCH(Table5[[#This Row],[PID]],Table3[[#All],[PID]],0)))</f>
        <v>14</v>
      </c>
      <c r="U167" s="68">
        <f>IF($C167="B",VLOOKUP($A167,Bat!$A$4:$BA$1621,47,FALSE),VLOOKUP($A167,Pit!$A$4:$BF$1557,56,FALSE))</f>
        <v>0</v>
      </c>
      <c r="V167" s="50">
        <f>IF($C167="B",VLOOKUP($A167,Bat!$A$4:$BA$1621,48,FALSE),VLOOKUP($A167,Pit!$A$4:$BF$1557,57,FALSE))</f>
        <v>0</v>
      </c>
      <c r="W167" s="50">
        <f>Table5[[#This Row],[posRnk]]+Table5[[#This Row],[zRnk]]+IF($W$3&lt;&gt;Table5[[#This Row],[Type]],50,0)</f>
        <v>95</v>
      </c>
      <c r="X167" s="51">
        <f>RANK(Table5[[#This Row],[zScore]],Table5[[#All],[zScore]])</f>
        <v>31</v>
      </c>
      <c r="Y167" s="50">
        <f>IFERROR(INDEX(DraftResults[[#All],[OVR]],MATCH(Table5[[#This Row],[PID]],DraftResults[[#All],[Player ID]],0)),"")</f>
        <v>163</v>
      </c>
      <c r="Z1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7" s="50">
        <f>IFERROR(INDEX(DraftResults[[#All],[Pick in Round]],MATCH(Table5[[#This Row],[PID]],DraftResults[[#All],[Player ID]],0)),"")</f>
        <v>5</v>
      </c>
      <c r="AB167" s="50" t="str">
        <f>IFERROR(INDEX(DraftResults[[#All],[Team Name]],MATCH(Table5[[#This Row],[PID]],DraftResults[[#All],[Player ID]],0)),"")</f>
        <v>Okinawa Shisa</v>
      </c>
      <c r="AC167" s="50">
        <f>IF(Table5[[#This Row],[Ovr]]="","",IF(Table5[[#This Row],[cmbList]]="","",Table5[[#This Row],[cmbList]]-Table5[[#This Row],[Ovr]]))</f>
        <v>-68</v>
      </c>
      <c r="AD167" s="54" t="str">
        <f>IF(ISERROR(VLOOKUP($AB167&amp;"-"&amp;$E167&amp;" "&amp;F167,Bonuses!$B$1:$G$1006,4,FALSE)),"",INT(VLOOKUP($AB167&amp;"-"&amp;$E167&amp;" "&amp;$F167,Bonuses!$B$1:$G$1006,4,FALSE)))</f>
        <v/>
      </c>
      <c r="AE1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6.5 (163) - LF Anzai Ogawa</v>
      </c>
    </row>
    <row r="168" spans="1:31" s="50" customFormat="1" x14ac:dyDescent="0.25">
      <c r="A168" s="50">
        <v>18260</v>
      </c>
      <c r="B168" s="50">
        <f>COUNTIF(Table5[PID],A168)</f>
        <v>1</v>
      </c>
      <c r="C168" s="50" t="str">
        <f>IF(COUNTIF(Table3[[#All],[PID]],A168)&gt;0,"P","B")</f>
        <v>B</v>
      </c>
      <c r="D168" s="59" t="str">
        <f>IF($C168="B",INDEX(Batters[[#All],[POS]],MATCH(Table5[[#This Row],[PID]],Batters[[#All],[PID]],0)),INDEX(Table3[[#All],[POS]],MATCH(Table5[[#This Row],[PID]],Table3[[#All],[PID]],0)))</f>
        <v>RF</v>
      </c>
      <c r="E168" s="52" t="str">
        <f>IF($C168="B",INDEX(Batters[[#All],[First]],MATCH(Table5[[#This Row],[PID]],Batters[[#All],[PID]],0)),INDEX(Table3[[#All],[First]],MATCH(Table5[[#This Row],[PID]],Table3[[#All],[PID]],0)))</f>
        <v>Harvey</v>
      </c>
      <c r="F168" s="50" t="str">
        <f>IF($C168="B",INDEX(Batters[[#All],[Last]],MATCH(A168,Batters[[#All],[PID]],0)),INDEX(Table3[[#All],[Last]],MATCH(A168,Table3[[#All],[PID]],0)))</f>
        <v>James</v>
      </c>
      <c r="G168" s="56">
        <f>IF($C168="B",INDEX(Batters[[#All],[Age]],MATCH(Table5[[#This Row],[PID]],Batters[[#All],[PID]],0)),INDEX(Table3[[#All],[Age]],MATCH(Table5[[#This Row],[PID]],Table3[[#All],[PID]],0)))</f>
        <v>18</v>
      </c>
      <c r="H168" s="52" t="str">
        <f>IF($C168="B",INDEX(Batters[[#All],[B]],MATCH(Table5[[#This Row],[PID]],Batters[[#All],[PID]],0)),INDEX(Table3[[#All],[B]],MATCH(Table5[[#This Row],[PID]],Table3[[#All],[PID]],0)))</f>
        <v>S</v>
      </c>
      <c r="I168" s="52" t="str">
        <f>IF($C168="B",INDEX(Batters[[#All],[T]],MATCH(Table5[[#This Row],[PID]],Batters[[#All],[PID]],0)),INDEX(Table3[[#All],[T]],MATCH(Table5[[#This Row],[PID]],Table3[[#All],[PID]],0)))</f>
        <v>L</v>
      </c>
      <c r="J168" s="52" t="str">
        <f>IF($C168="B",INDEX(Batters[[#All],[WE]],MATCH(Table5[[#This Row],[PID]],Batters[[#All],[PID]],0)),INDEX(Table3[[#All],[WE]],MATCH(Table5[[#This Row],[PID]],Table3[[#All],[PID]],0)))</f>
        <v>Normal</v>
      </c>
      <c r="K168" s="52" t="str">
        <f>IF($C168="B",INDEX(Batters[[#All],[INT]],MATCH(Table5[[#This Row],[PID]],Batters[[#All],[PID]],0)),INDEX(Table3[[#All],[INT]],MATCH(Table5[[#This Row],[PID]],Table3[[#All],[PID]],0)))</f>
        <v>High</v>
      </c>
      <c r="L168" s="60">
        <f>IF($C168="B",INDEX(Batters[[#All],[CON P]],MATCH(Table5[[#This Row],[PID]],Batters[[#All],[PID]],0)),INDEX(Table3[[#All],[STU P]],MATCH(Table5[[#This Row],[PID]],Table3[[#All],[PID]],0)))</f>
        <v>4</v>
      </c>
      <c r="M168" s="56">
        <f>IF($C168="B",INDEX(Batters[[#All],[GAP P]],MATCH(Table5[[#This Row],[PID]],Batters[[#All],[PID]],0)),INDEX(Table3[[#All],[MOV P]],MATCH(Table5[[#This Row],[PID]],Table3[[#All],[PID]],0)))</f>
        <v>6</v>
      </c>
      <c r="N168" s="56">
        <f>IF($C168="B",INDEX(Batters[[#All],[POW P]],MATCH(Table5[[#This Row],[PID]],Batters[[#All],[PID]],0)),INDEX(Table3[[#All],[CON P]],MATCH(Table5[[#This Row],[PID]],Table3[[#All],[PID]],0)))</f>
        <v>7</v>
      </c>
      <c r="O168" s="56">
        <f>IF($C168="B",INDEX(Batters[[#All],[EYE P]],MATCH(Table5[[#This Row],[PID]],Batters[[#All],[PID]],0)),INDEX(Table3[[#All],[VELO]],MATCH(Table5[[#This Row],[PID]],Table3[[#All],[PID]],0)))</f>
        <v>5</v>
      </c>
      <c r="P168" s="56">
        <f>IF($C168="B",INDEX(Batters[[#All],[K P]],MATCH(Table5[[#This Row],[PID]],Batters[[#All],[PID]],0)),INDEX(Table3[[#All],[STM]],MATCH(Table5[[#This Row],[PID]],Table3[[#All],[PID]],0)))</f>
        <v>3</v>
      </c>
      <c r="Q168" s="61">
        <f>IF($C168="B",INDEX(Batters[[#All],[Tot]],MATCH(Table5[[#This Row],[PID]],Batters[[#All],[PID]],0)),INDEX(Table3[[#All],[Tot]],MATCH(Table5[[#This Row],[PID]],Table3[[#All],[PID]],0)))</f>
        <v>51.0243095656609</v>
      </c>
      <c r="R168" s="52">
        <f>IF($C168="B",INDEX(Batters[[#All],[zScore]],MATCH(Table5[[#This Row],[PID]],Batters[[#All],[PID]],0)),INDEX(Table3[[#All],[zScore]],MATCH(Table5[[#This Row],[PID]],Table3[[#All],[PID]],0)))</f>
        <v>1.5280849825172136</v>
      </c>
      <c r="S168" s="58" t="str">
        <f>IF($C168="B",INDEX(Batters[[#All],[DEM]],MATCH(Table5[[#This Row],[PID]],Batters[[#All],[PID]],0)),INDEX(Table3[[#All],[DEM]],MATCH(Table5[[#This Row],[PID]],Table3[[#All],[PID]],0)))</f>
        <v>$190k</v>
      </c>
      <c r="T168" s="62">
        <f>IF($C168="B",INDEX(Batters[[#All],[Rnk]],MATCH(Table5[[#This Row],[PID]],Batters[[#All],[PID]],0)),INDEX(Table3[[#All],[Rnk]],MATCH(Table5[[#This Row],[PID]],Table3[[#All],[PID]],0)))</f>
        <v>42</v>
      </c>
      <c r="U168" s="68">
        <f>IF($C168="B",VLOOKUP($A168,Bat!$A$4:$BA$1621,47,FALSE),VLOOKUP($A168,Pit!$A$4:$BF$1557,56,FALSE))</f>
        <v>0</v>
      </c>
      <c r="V168" s="50">
        <f>IF($C168="B",VLOOKUP($A168,Bat!$A$4:$BA$1621,48,FALSE),VLOOKUP($A168,Pit!$A$4:$BF$1557,57,FALSE))</f>
        <v>0</v>
      </c>
      <c r="W168" s="50">
        <f>Table5[[#This Row],[posRnk]]+Table5[[#This Row],[zRnk]]+IF($W$3&lt;&gt;Table5[[#This Row],[Type]],50,0)</f>
        <v>205</v>
      </c>
      <c r="X168" s="51">
        <f>RANK(Table5[[#This Row],[zScore]],Table5[[#All],[zScore]])</f>
        <v>113</v>
      </c>
      <c r="Y168" s="50">
        <f>IFERROR(INDEX(DraftResults[[#All],[OVR]],MATCH(Table5[[#This Row],[PID]],DraftResults[[#All],[Player ID]],0)),"")</f>
        <v>164</v>
      </c>
      <c r="Z1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8" s="50">
        <f>IFERROR(INDEX(DraftResults[[#All],[Pick in Round]],MATCH(Table5[[#This Row],[PID]],DraftResults[[#All],[Player ID]],0)),"")</f>
        <v>6</v>
      </c>
      <c r="AB168" s="50" t="str">
        <f>IFERROR(INDEX(DraftResults[[#All],[Team Name]],MATCH(Table5[[#This Row],[PID]],DraftResults[[#All],[Player ID]],0)),"")</f>
        <v>Manchester Maulers</v>
      </c>
      <c r="AC168" s="50">
        <f>IF(Table5[[#This Row],[Ovr]]="","",IF(Table5[[#This Row],[cmbList]]="","",Table5[[#This Row],[cmbList]]-Table5[[#This Row],[Ovr]]))</f>
        <v>41</v>
      </c>
      <c r="AD168" s="54" t="str">
        <f>IF(ISERROR(VLOOKUP($AB168&amp;"-"&amp;$E168&amp;" "&amp;F168,Bonuses!$B$1:$G$1006,4,FALSE)),"",INT(VLOOKUP($AB168&amp;"-"&amp;$E168&amp;" "&amp;$F168,Bonuses!$B$1:$G$1006,4,FALSE)))</f>
        <v/>
      </c>
      <c r="AE1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6.6 (164) - RF Harvey James</v>
      </c>
    </row>
    <row r="169" spans="1:31" s="50" customFormat="1" x14ac:dyDescent="0.25">
      <c r="A169" s="50">
        <v>20770</v>
      </c>
      <c r="B169" s="50">
        <f>COUNTIF(Table5[PID],A169)</f>
        <v>1</v>
      </c>
      <c r="C169" s="50" t="str">
        <f>IF(COUNTIF(Table3[[#All],[PID]],A169)&gt;0,"P","B")</f>
        <v>B</v>
      </c>
      <c r="D169" s="59" t="str">
        <f>IF($C169="B",INDEX(Batters[[#All],[POS]],MATCH(Table5[[#This Row],[PID]],Batters[[#All],[PID]],0)),INDEX(Table3[[#All],[POS]],MATCH(Table5[[#This Row],[PID]],Table3[[#All],[PID]],0)))</f>
        <v>CF</v>
      </c>
      <c r="E169" s="52" t="str">
        <f>IF($C169="B",INDEX(Batters[[#All],[First]],MATCH(Table5[[#This Row],[PID]],Batters[[#All],[PID]],0)),INDEX(Table3[[#All],[First]],MATCH(Table5[[#This Row],[PID]],Table3[[#All],[PID]],0)))</f>
        <v>George</v>
      </c>
      <c r="F169" s="50" t="str">
        <f>IF($C169="B",INDEX(Batters[[#All],[Last]],MATCH(A169,Batters[[#All],[PID]],0)),INDEX(Table3[[#All],[Last]],MATCH(A169,Table3[[#All],[PID]],0)))</f>
        <v>Young</v>
      </c>
      <c r="G169" s="56">
        <f>IF($C169="B",INDEX(Batters[[#All],[Age]],MATCH(Table5[[#This Row],[PID]],Batters[[#All],[PID]],0)),INDEX(Table3[[#All],[Age]],MATCH(Table5[[#This Row],[PID]],Table3[[#All],[PID]],0)))</f>
        <v>17</v>
      </c>
      <c r="H169" s="52" t="str">
        <f>IF($C169="B",INDEX(Batters[[#All],[B]],MATCH(Table5[[#This Row],[PID]],Batters[[#All],[PID]],0)),INDEX(Table3[[#All],[B]],MATCH(Table5[[#This Row],[PID]],Table3[[#All],[PID]],0)))</f>
        <v>S</v>
      </c>
      <c r="I169" s="52" t="str">
        <f>IF($C169="B",INDEX(Batters[[#All],[T]],MATCH(Table5[[#This Row],[PID]],Batters[[#All],[PID]],0)),INDEX(Table3[[#All],[T]],MATCH(Table5[[#This Row],[PID]],Table3[[#All],[PID]],0)))</f>
        <v>R</v>
      </c>
      <c r="J169" s="52" t="str">
        <f>IF($C169="B",INDEX(Batters[[#All],[WE]],MATCH(Table5[[#This Row],[PID]],Batters[[#All],[PID]],0)),INDEX(Table3[[#All],[WE]],MATCH(Table5[[#This Row],[PID]],Table3[[#All],[PID]],0)))</f>
        <v>Low</v>
      </c>
      <c r="K169" s="52" t="str">
        <f>IF($C169="B",INDEX(Batters[[#All],[INT]],MATCH(Table5[[#This Row],[PID]],Batters[[#All],[PID]],0)),INDEX(Table3[[#All],[INT]],MATCH(Table5[[#This Row],[PID]],Table3[[#All],[PID]],0)))</f>
        <v>Normal</v>
      </c>
      <c r="L169" s="60">
        <f>IF($C169="B",INDEX(Batters[[#All],[CON P]],MATCH(Table5[[#This Row],[PID]],Batters[[#All],[PID]],0)),INDEX(Table3[[#All],[STU P]],MATCH(Table5[[#This Row],[PID]],Table3[[#All],[PID]],0)))</f>
        <v>4</v>
      </c>
      <c r="M169" s="56">
        <f>IF($C169="B",INDEX(Batters[[#All],[GAP P]],MATCH(Table5[[#This Row],[PID]],Batters[[#All],[PID]],0)),INDEX(Table3[[#All],[MOV P]],MATCH(Table5[[#This Row],[PID]],Table3[[#All],[PID]],0)))</f>
        <v>5</v>
      </c>
      <c r="N169" s="56">
        <f>IF($C169="B",INDEX(Batters[[#All],[POW P]],MATCH(Table5[[#This Row],[PID]],Batters[[#All],[PID]],0)),INDEX(Table3[[#All],[CON P]],MATCH(Table5[[#This Row],[PID]],Table3[[#All],[PID]],0)))</f>
        <v>6</v>
      </c>
      <c r="O169" s="56">
        <f>IF($C169="B",INDEX(Batters[[#All],[EYE P]],MATCH(Table5[[#This Row],[PID]],Batters[[#All],[PID]],0)),INDEX(Table3[[#All],[VELO]],MATCH(Table5[[#This Row],[PID]],Table3[[#All],[PID]],0)))</f>
        <v>5</v>
      </c>
      <c r="P169" s="56">
        <f>IF($C169="B",INDEX(Batters[[#All],[K P]],MATCH(Table5[[#This Row],[PID]],Batters[[#All],[PID]],0)),INDEX(Table3[[#All],[STM]],MATCH(Table5[[#This Row],[PID]],Table3[[#All],[PID]],0)))</f>
        <v>4</v>
      </c>
      <c r="Q169" s="61">
        <f>IF($C169="B",INDEX(Batters[[#All],[Tot]],MATCH(Table5[[#This Row],[PID]],Batters[[#All],[PID]],0)),INDEX(Table3[[#All],[Tot]],MATCH(Table5[[#This Row],[PID]],Table3[[#All],[PID]],0)))</f>
        <v>49.464915987861829</v>
      </c>
      <c r="R169" s="52">
        <f>IF($C169="B",INDEX(Batters[[#All],[zScore]],MATCH(Table5[[#This Row],[PID]],Batters[[#All],[PID]],0)),INDEX(Table3[[#All],[zScore]],MATCH(Table5[[#This Row],[PID]],Table3[[#All],[PID]],0)))</f>
        <v>1.182356885796811</v>
      </c>
      <c r="S169" s="58" t="str">
        <f>IF($C169="B",INDEX(Batters[[#All],[DEM]],MATCH(Table5[[#This Row],[PID]],Batters[[#All],[PID]],0)),INDEX(Table3[[#All],[DEM]],MATCH(Table5[[#This Row],[PID]],Table3[[#All],[PID]],0)))</f>
        <v>$65k</v>
      </c>
      <c r="T169" s="62">
        <f>IF($C169="B",INDEX(Batters[[#All],[Rnk]],MATCH(Table5[[#This Row],[PID]],Batters[[#All],[PID]],0)),INDEX(Table3[[#All],[Rnk]],MATCH(Table5[[#This Row],[PID]],Table3[[#All],[PID]],0)))</f>
        <v>74</v>
      </c>
      <c r="U169" s="68">
        <f>IF($C169="B",VLOOKUP($A169,Bat!$A$4:$BA$1621,47,FALSE),VLOOKUP($A169,Pit!$A$4:$BF$1557,56,FALSE))</f>
        <v>0</v>
      </c>
      <c r="V169" s="50">
        <f>IF($C169="B",VLOOKUP($A169,Bat!$A$4:$BA$1621,48,FALSE),VLOOKUP($A169,Pit!$A$4:$BF$1557,57,FALSE))</f>
        <v>0</v>
      </c>
      <c r="W169" s="50">
        <f>Table5[[#This Row],[posRnk]]+Table5[[#This Row],[zRnk]]+IF($W$3&lt;&gt;Table5[[#This Row],[Type]],50,0)</f>
        <v>313</v>
      </c>
      <c r="X169" s="51">
        <f>RANK(Table5[[#This Row],[zScore]],Table5[[#All],[zScore]])</f>
        <v>189</v>
      </c>
      <c r="Y169" s="50">
        <f>IFERROR(INDEX(DraftResults[[#All],[OVR]],MATCH(Table5[[#This Row],[PID]],DraftResults[[#All],[Player ID]],0)),"")</f>
        <v>165</v>
      </c>
      <c r="Z1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69" s="50">
        <f>IFERROR(INDEX(DraftResults[[#All],[Pick in Round]],MATCH(Table5[[#This Row],[PID]],DraftResults[[#All],[Player ID]],0)),"")</f>
        <v>7</v>
      </c>
      <c r="AB169" s="50" t="str">
        <f>IFERROR(INDEX(DraftResults[[#All],[Team Name]],MATCH(Table5[[#This Row],[PID]],DraftResults[[#All],[Player ID]],0)),"")</f>
        <v>Niihama-shi Ghosts</v>
      </c>
      <c r="AC169" s="50">
        <f>IF(Table5[[#This Row],[Ovr]]="","",IF(Table5[[#This Row],[cmbList]]="","",Table5[[#This Row],[cmbList]]-Table5[[#This Row],[Ovr]]))</f>
        <v>148</v>
      </c>
      <c r="AD169" s="54" t="str">
        <f>IF(ISERROR(VLOOKUP($AB169&amp;"-"&amp;$E169&amp;" "&amp;F169,Bonuses!$B$1:$G$1006,4,FALSE)),"",INT(VLOOKUP($AB169&amp;"-"&amp;$E169&amp;" "&amp;$F169,Bonuses!$B$1:$G$1006,4,FALSE)))</f>
        <v/>
      </c>
      <c r="AE1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6.7 (165) - CF George Young</v>
      </c>
    </row>
    <row r="170" spans="1:31" s="50" customFormat="1" x14ac:dyDescent="0.25">
      <c r="A170" s="68">
        <v>18099</v>
      </c>
      <c r="B170" s="69">
        <f>COUNTIF(Table5[PID],A170)</f>
        <v>1</v>
      </c>
      <c r="C170" s="69" t="str">
        <f>IF(COUNTIF(Table3[[#All],[PID]],A170)&gt;0,"P","B")</f>
        <v>P</v>
      </c>
      <c r="D170" s="59" t="str">
        <f>IF($C170="B",INDEX(Batters[[#All],[POS]],MATCH(Table5[[#This Row],[PID]],Batters[[#All],[PID]],0)),INDEX(Table3[[#All],[POS]],MATCH(Table5[[#This Row],[PID]],Table3[[#All],[PID]],0)))</f>
        <v>SP</v>
      </c>
      <c r="E170" s="52" t="str">
        <f>IF($C170="B",INDEX(Batters[[#All],[First]],MATCH(Table5[[#This Row],[PID]],Batters[[#All],[PID]],0)),INDEX(Table3[[#All],[First]],MATCH(Table5[[#This Row],[PID]],Table3[[#All],[PID]],0)))</f>
        <v>John</v>
      </c>
      <c r="F170" s="55" t="str">
        <f>IF($C170="B",INDEX(Batters[[#All],[Last]],MATCH(A170,Batters[[#All],[PID]],0)),INDEX(Table3[[#All],[Last]],MATCH(A170,Table3[[#All],[PID]],0)))</f>
        <v>Hansen</v>
      </c>
      <c r="G170" s="56">
        <f>IF($C170="B",INDEX(Batters[[#All],[Age]],MATCH(Table5[[#This Row],[PID]],Batters[[#All],[PID]],0)),INDEX(Table3[[#All],[Age]],MATCH(Table5[[#This Row],[PID]],Table3[[#All],[PID]],0)))</f>
        <v>21</v>
      </c>
      <c r="H170" s="52" t="str">
        <f>IF($C170="B",INDEX(Batters[[#All],[B]],MATCH(Table5[[#This Row],[PID]],Batters[[#All],[PID]],0)),INDEX(Table3[[#All],[B]],MATCH(Table5[[#This Row],[PID]],Table3[[#All],[PID]],0)))</f>
        <v>R</v>
      </c>
      <c r="I170" s="52" t="str">
        <f>IF($C170="B",INDEX(Batters[[#All],[T]],MATCH(Table5[[#This Row],[PID]],Batters[[#All],[PID]],0)),INDEX(Table3[[#All],[T]],MATCH(Table5[[#This Row],[PID]],Table3[[#All],[PID]],0)))</f>
        <v>R</v>
      </c>
      <c r="J170" s="71" t="str">
        <f>IF($C170="B",INDEX(Batters[[#All],[WE]],MATCH(Table5[[#This Row],[PID]],Batters[[#All],[PID]],0)),INDEX(Table3[[#All],[WE]],MATCH(Table5[[#This Row],[PID]],Table3[[#All],[PID]],0)))</f>
        <v>Low</v>
      </c>
      <c r="K170" s="52" t="str">
        <f>IF($C170="B",INDEX(Batters[[#All],[INT]],MATCH(Table5[[#This Row],[PID]],Batters[[#All],[PID]],0)),INDEX(Table3[[#All],[INT]],MATCH(Table5[[#This Row],[PID]],Table3[[#All],[PID]],0)))</f>
        <v>Normal</v>
      </c>
      <c r="L170" s="60">
        <f>IF($C170="B",INDEX(Batters[[#All],[CON P]],MATCH(Table5[[#This Row],[PID]],Batters[[#All],[PID]],0)),INDEX(Table3[[#All],[STU P]],MATCH(Table5[[#This Row],[PID]],Table3[[#All],[PID]],0)))</f>
        <v>5</v>
      </c>
      <c r="M170" s="72">
        <f>IF($C170="B",INDEX(Batters[[#All],[GAP P]],MATCH(Table5[[#This Row],[PID]],Batters[[#All],[PID]],0)),INDEX(Table3[[#All],[MOV P]],MATCH(Table5[[#This Row],[PID]],Table3[[#All],[PID]],0)))</f>
        <v>4</v>
      </c>
      <c r="N170" s="72">
        <f>IF($C170="B",INDEX(Batters[[#All],[POW P]],MATCH(Table5[[#This Row],[PID]],Batters[[#All],[PID]],0)),INDEX(Table3[[#All],[CON P]],MATCH(Table5[[#This Row],[PID]],Table3[[#All],[PID]],0)))</f>
        <v>7</v>
      </c>
      <c r="O170" s="72" t="str">
        <f>IF($C170="B",INDEX(Batters[[#All],[EYE P]],MATCH(Table5[[#This Row],[PID]],Batters[[#All],[PID]],0)),INDEX(Table3[[#All],[VELO]],MATCH(Table5[[#This Row],[PID]],Table3[[#All],[PID]],0)))</f>
        <v>93-95 Mph</v>
      </c>
      <c r="P170" s="56">
        <f>IF($C170="B",INDEX(Batters[[#All],[K P]],MATCH(Table5[[#This Row],[PID]],Batters[[#All],[PID]],0)),INDEX(Table3[[#All],[STM]],MATCH(Table5[[#This Row],[PID]],Table3[[#All],[PID]],0)))</f>
        <v>7</v>
      </c>
      <c r="Q170" s="61">
        <f>IF($C170="B",INDEX(Batters[[#All],[Tot]],MATCH(Table5[[#This Row],[PID]],Batters[[#All],[PID]],0)),INDEX(Table3[[#All],[Tot]],MATCH(Table5[[#This Row],[PID]],Table3[[#All],[PID]],0)))</f>
        <v>63.37780763275542</v>
      </c>
      <c r="R170" s="52">
        <f>IF($C170="B",INDEX(Batters[[#All],[zScore]],MATCH(Table5[[#This Row],[PID]],Batters[[#All],[PID]],0)),INDEX(Table3[[#All],[zScore]],MATCH(Table5[[#This Row],[PID]],Table3[[#All],[PID]],0)))</f>
        <v>1.8300174100461484</v>
      </c>
      <c r="S170" s="78" t="str">
        <f>IF($C170="B",INDEX(Batters[[#All],[DEM]],MATCH(Table5[[#This Row],[PID]],Batters[[#All],[PID]],0)),INDEX(Table3[[#All],[DEM]],MATCH(Table5[[#This Row],[PID]],Table3[[#All],[PID]],0)))</f>
        <v>$70k</v>
      </c>
      <c r="T170" s="75">
        <f>IF($C170="B",INDEX(Batters[[#All],[Rnk]],MATCH(Table5[[#This Row],[PID]],Batters[[#All],[PID]],0)),INDEX(Table3[[#All],[Rnk]],MATCH(Table5[[#This Row],[PID]],Table3[[#All],[PID]],0)))</f>
        <v>41</v>
      </c>
      <c r="U170" s="68">
        <f>IF($C170="B",VLOOKUP($A170,Bat!$A$4:$BA$1621,47,FALSE),VLOOKUP($A170,Pit!$A$4:$BF$1557,56,FALSE))</f>
        <v>0</v>
      </c>
      <c r="V170" s="50">
        <f>IF($C170="B",VLOOKUP($A170,Bat!$A$4:$BA$1621,48,FALSE),VLOOKUP($A170,Pit!$A$4:$BF$1557,57,FALSE))</f>
        <v>0</v>
      </c>
      <c r="W170" s="69">
        <f>Table5[[#This Row],[posRnk]]+Table5[[#This Row],[zRnk]]+IF($W$3&lt;&gt;Table5[[#This Row],[Type]],50,0)</f>
        <v>156</v>
      </c>
      <c r="X170" s="73">
        <f>RANK(Table5[[#This Row],[zScore]],Table5[[#All],[zScore]])</f>
        <v>65</v>
      </c>
      <c r="Y170" s="69">
        <f>IFERROR(INDEX(DraftResults[[#All],[OVR]],MATCH(Table5[[#This Row],[PID]],DraftResults[[#All],[Player ID]],0)),"")</f>
        <v>166</v>
      </c>
      <c r="Z17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0" s="69">
        <f>IFERROR(INDEX(DraftResults[[#All],[Pick in Round]],MATCH(Table5[[#This Row],[PID]],DraftResults[[#All],[Player ID]],0)),"")</f>
        <v>8</v>
      </c>
      <c r="AB170" s="69" t="str">
        <f>IFERROR(INDEX(DraftResults[[#All],[Team Name]],MATCH(Table5[[#This Row],[PID]],DraftResults[[#All],[Player ID]],0)),"")</f>
        <v>London Underground</v>
      </c>
      <c r="AC170" s="69">
        <f>IF(Table5[[#This Row],[Ovr]]="","",IF(Table5[[#This Row],[cmbList]]="","",Table5[[#This Row],[cmbList]]-Table5[[#This Row],[Ovr]]))</f>
        <v>-10</v>
      </c>
      <c r="AD170" s="77" t="str">
        <f>IF(ISERROR(VLOOKUP($AB170&amp;"-"&amp;$E170&amp;" "&amp;F170,Bonuses!$B$1:$G$1006,4,FALSE)),"",INT(VLOOKUP($AB170&amp;"-"&amp;$E170&amp;" "&amp;$F170,Bonuses!$B$1:$G$1006,4,FALSE)))</f>
        <v/>
      </c>
      <c r="AE17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6.8 (166) - SP John Hansen</v>
      </c>
    </row>
    <row r="171" spans="1:31" s="50" customFormat="1" x14ac:dyDescent="0.25">
      <c r="A171" s="50">
        <v>20346</v>
      </c>
      <c r="B171" s="50">
        <f>COUNTIF(Table5[PID],A171)</f>
        <v>1</v>
      </c>
      <c r="C171" s="50" t="str">
        <f>IF(COUNTIF(Table3[[#All],[PID]],A171)&gt;0,"P","B")</f>
        <v>B</v>
      </c>
      <c r="D171" s="59" t="str">
        <f>IF($C171="B",INDEX(Batters[[#All],[POS]],MATCH(Table5[[#This Row],[PID]],Batters[[#All],[PID]],0)),INDEX(Table3[[#All],[POS]],MATCH(Table5[[#This Row],[PID]],Table3[[#All],[PID]],0)))</f>
        <v>CF</v>
      </c>
      <c r="E171" s="52" t="str">
        <f>IF($C171="B",INDEX(Batters[[#All],[First]],MATCH(Table5[[#This Row],[PID]],Batters[[#All],[PID]],0)),INDEX(Table3[[#All],[First]],MATCH(Table5[[#This Row],[PID]],Table3[[#All],[PID]],0)))</f>
        <v>Quentin</v>
      </c>
      <c r="F171" s="50" t="str">
        <f>IF($C171="B",INDEX(Batters[[#All],[Last]],MATCH(A171,Batters[[#All],[PID]],0)),INDEX(Table3[[#All],[Last]],MATCH(A171,Table3[[#All],[PID]],0)))</f>
        <v>Yaag</v>
      </c>
      <c r="G171" s="56">
        <f>IF($C171="B",INDEX(Batters[[#All],[Age]],MATCH(Table5[[#This Row],[PID]],Batters[[#All],[PID]],0)),INDEX(Table3[[#All],[Age]],MATCH(Table5[[#This Row],[PID]],Table3[[#All],[PID]],0)))</f>
        <v>18</v>
      </c>
      <c r="H171" s="52" t="str">
        <f>IF($C171="B",INDEX(Batters[[#All],[B]],MATCH(Table5[[#This Row],[PID]],Batters[[#All],[PID]],0)),INDEX(Table3[[#All],[B]],MATCH(Table5[[#This Row],[PID]],Table3[[#All],[PID]],0)))</f>
        <v>L</v>
      </c>
      <c r="I171" s="52" t="str">
        <f>IF($C171="B",INDEX(Batters[[#All],[T]],MATCH(Table5[[#This Row],[PID]],Batters[[#All],[PID]],0)),INDEX(Table3[[#All],[T]],MATCH(Table5[[#This Row],[PID]],Table3[[#All],[PID]],0)))</f>
        <v>L</v>
      </c>
      <c r="J171" s="52" t="str">
        <f>IF($C171="B",INDEX(Batters[[#All],[WE]],MATCH(Table5[[#This Row],[PID]],Batters[[#All],[PID]],0)),INDEX(Table3[[#All],[WE]],MATCH(Table5[[#This Row],[PID]],Table3[[#All],[PID]],0)))</f>
        <v>High</v>
      </c>
      <c r="K171" s="52" t="str">
        <f>IF($C171="B",INDEX(Batters[[#All],[INT]],MATCH(Table5[[#This Row],[PID]],Batters[[#All],[PID]],0)),INDEX(Table3[[#All],[INT]],MATCH(Table5[[#This Row],[PID]],Table3[[#All],[PID]],0)))</f>
        <v>Normal</v>
      </c>
      <c r="L171" s="60">
        <f>IF($C171="B",INDEX(Batters[[#All],[CON P]],MATCH(Table5[[#This Row],[PID]],Batters[[#All],[PID]],0)),INDEX(Table3[[#All],[STU P]],MATCH(Table5[[#This Row],[PID]],Table3[[#All],[PID]],0)))</f>
        <v>4</v>
      </c>
      <c r="M171" s="56">
        <f>IF($C171="B",INDEX(Batters[[#All],[GAP P]],MATCH(Table5[[#This Row],[PID]],Batters[[#All],[PID]],0)),INDEX(Table3[[#All],[MOV P]],MATCH(Table5[[#This Row],[PID]],Table3[[#All],[PID]],0)))</f>
        <v>4</v>
      </c>
      <c r="N171" s="56">
        <f>IF($C171="B",INDEX(Batters[[#All],[POW P]],MATCH(Table5[[#This Row],[PID]],Batters[[#All],[PID]],0)),INDEX(Table3[[#All],[CON P]],MATCH(Table5[[#This Row],[PID]],Table3[[#All],[PID]],0)))</f>
        <v>7</v>
      </c>
      <c r="O171" s="56">
        <f>IF($C171="B",INDEX(Batters[[#All],[EYE P]],MATCH(Table5[[#This Row],[PID]],Batters[[#All],[PID]],0)),INDEX(Table3[[#All],[VELO]],MATCH(Table5[[#This Row],[PID]],Table3[[#All],[PID]],0)))</f>
        <v>6</v>
      </c>
      <c r="P171" s="56">
        <f>IF($C171="B",INDEX(Batters[[#All],[K P]],MATCH(Table5[[#This Row],[PID]],Batters[[#All],[PID]],0)),INDEX(Table3[[#All],[STM]],MATCH(Table5[[#This Row],[PID]],Table3[[#All],[PID]],0)))</f>
        <v>3</v>
      </c>
      <c r="Q171" s="61">
        <f>IF($C171="B",INDEX(Batters[[#All],[Tot]],MATCH(Table5[[#This Row],[PID]],Batters[[#All],[PID]],0)),INDEX(Table3[[#All],[Tot]],MATCH(Table5[[#This Row],[PID]],Table3[[#All],[PID]],0)))</f>
        <v>50.91763697539939</v>
      </c>
      <c r="R171" s="52">
        <f>IF($C171="B",INDEX(Batters[[#All],[zScore]],MATCH(Table5[[#This Row],[PID]],Batters[[#All],[PID]],0)),INDEX(Table3[[#All],[zScore]],MATCH(Table5[[#This Row],[PID]],Table3[[#All],[PID]],0)))</f>
        <v>1.5044349482164443</v>
      </c>
      <c r="S171" s="58" t="str">
        <f>IF($C171="B",INDEX(Batters[[#All],[DEM]],MATCH(Table5[[#This Row],[PID]],Batters[[#All],[PID]],0)),INDEX(Table3[[#All],[DEM]],MATCH(Table5[[#This Row],[PID]],Table3[[#All],[PID]],0)))</f>
        <v>$1.3m</v>
      </c>
      <c r="T171" s="62">
        <f>IF($C171="B",INDEX(Batters[[#All],[Rnk]],MATCH(Table5[[#This Row],[PID]],Batters[[#All],[PID]],0)),INDEX(Table3[[#All],[Rnk]],MATCH(Table5[[#This Row],[PID]],Table3[[#All],[PID]],0)))</f>
        <v>46</v>
      </c>
      <c r="U171" s="68">
        <f>IF($C171="B",VLOOKUP($A171,Bat!$A$4:$BA$1621,47,FALSE),VLOOKUP($A171,Pit!$A$4:$BF$1557,56,FALSE))</f>
        <v>0</v>
      </c>
      <c r="V171" s="50">
        <f>IF($C171="B",VLOOKUP($A171,Bat!$A$4:$BA$1621,48,FALSE),VLOOKUP($A171,Pit!$A$4:$BF$1557,57,FALSE))</f>
        <v>0</v>
      </c>
      <c r="W171" s="50">
        <f>Table5[[#This Row],[posRnk]]+Table5[[#This Row],[zRnk]]+IF($W$3&lt;&gt;Table5[[#This Row],[Type]],50,0)</f>
        <v>215</v>
      </c>
      <c r="X171" s="51">
        <f>RANK(Table5[[#This Row],[zScore]],Table5[[#All],[zScore]])</f>
        <v>119</v>
      </c>
      <c r="Y171" s="50">
        <f>IFERROR(INDEX(DraftResults[[#All],[OVR]],MATCH(Table5[[#This Row],[PID]],DraftResults[[#All],[Player ID]],0)),"")</f>
        <v>167</v>
      </c>
      <c r="Z1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1" s="50">
        <f>IFERROR(INDEX(DraftResults[[#All],[Pick in Round]],MATCH(Table5[[#This Row],[PID]],DraftResults[[#All],[Player ID]],0)),"")</f>
        <v>9</v>
      </c>
      <c r="AB171" s="50" t="str">
        <f>IFERROR(INDEX(DraftResults[[#All],[Team Name]],MATCH(Table5[[#This Row],[PID]],DraftResults[[#All],[Player ID]],0)),"")</f>
        <v>Scottish Claymores</v>
      </c>
      <c r="AC171" s="50">
        <f>IF(Table5[[#This Row],[Ovr]]="","",IF(Table5[[#This Row],[cmbList]]="","",Table5[[#This Row],[cmbList]]-Table5[[#This Row],[Ovr]]))</f>
        <v>48</v>
      </c>
      <c r="AD171" s="54" t="str">
        <f>IF(ISERROR(VLOOKUP($AB171&amp;"-"&amp;$E171&amp;" "&amp;F171,Bonuses!$B$1:$G$1006,4,FALSE)),"",INT(VLOOKUP($AB171&amp;"-"&amp;$E171&amp;" "&amp;$F171,Bonuses!$B$1:$G$1006,4,FALSE)))</f>
        <v/>
      </c>
      <c r="AE1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6.9 (167) - CF Quentin Yaag</v>
      </c>
    </row>
    <row r="172" spans="1:31" s="50" customFormat="1" x14ac:dyDescent="0.25">
      <c r="A172" s="50">
        <v>20889</v>
      </c>
      <c r="B172" s="50">
        <f>COUNTIF(Table5[PID],A172)</f>
        <v>1</v>
      </c>
      <c r="C172" s="50" t="str">
        <f>IF(COUNTIF(Table3[[#All],[PID]],A172)&gt;0,"P","B")</f>
        <v>B</v>
      </c>
      <c r="D172" s="59" t="str">
        <f>IF($C172="B",INDEX(Batters[[#All],[POS]],MATCH(Table5[[#This Row],[PID]],Batters[[#All],[PID]],0)),INDEX(Table3[[#All],[POS]],MATCH(Table5[[#This Row],[PID]],Table3[[#All],[PID]],0)))</f>
        <v>C</v>
      </c>
      <c r="E172" s="52" t="str">
        <f>IF($C172="B",INDEX(Batters[[#All],[First]],MATCH(Table5[[#This Row],[PID]],Batters[[#All],[PID]],0)),INDEX(Table3[[#All],[First]],MATCH(Table5[[#This Row],[PID]],Table3[[#All],[PID]],0)))</f>
        <v>Phil</v>
      </c>
      <c r="F172" s="50" t="str">
        <f>IF($C172="B",INDEX(Batters[[#All],[Last]],MATCH(A172,Batters[[#All],[PID]],0)),INDEX(Table3[[#All],[Last]],MATCH(A172,Table3[[#All],[PID]],0)))</f>
        <v>Collins</v>
      </c>
      <c r="G172" s="56">
        <f>IF($C172="B",INDEX(Batters[[#All],[Age]],MATCH(Table5[[#This Row],[PID]],Batters[[#All],[PID]],0)),INDEX(Table3[[#All],[Age]],MATCH(Table5[[#This Row],[PID]],Table3[[#All],[PID]],0)))</f>
        <v>18</v>
      </c>
      <c r="H172" s="52" t="str">
        <f>IF($C172="B",INDEX(Batters[[#All],[B]],MATCH(Table5[[#This Row],[PID]],Batters[[#All],[PID]],0)),INDEX(Table3[[#All],[B]],MATCH(Table5[[#This Row],[PID]],Table3[[#All],[PID]],0)))</f>
        <v>R</v>
      </c>
      <c r="I172" s="52" t="str">
        <f>IF($C172="B",INDEX(Batters[[#All],[T]],MATCH(Table5[[#This Row],[PID]],Batters[[#All],[PID]],0)),INDEX(Table3[[#All],[T]],MATCH(Table5[[#This Row],[PID]],Table3[[#All],[PID]],0)))</f>
        <v>R</v>
      </c>
      <c r="J172" s="52" t="str">
        <f>IF($C172="B",INDEX(Batters[[#All],[WE]],MATCH(Table5[[#This Row],[PID]],Batters[[#All],[PID]],0)),INDEX(Table3[[#All],[WE]],MATCH(Table5[[#This Row],[PID]],Table3[[#All],[PID]],0)))</f>
        <v>High</v>
      </c>
      <c r="K172" s="52" t="str">
        <f>IF($C172="B",INDEX(Batters[[#All],[INT]],MATCH(Table5[[#This Row],[PID]],Batters[[#All],[PID]],0)),INDEX(Table3[[#All],[INT]],MATCH(Table5[[#This Row],[PID]],Table3[[#All],[PID]],0)))</f>
        <v>Normal</v>
      </c>
      <c r="L172" s="60">
        <f>IF($C172="B",INDEX(Batters[[#All],[CON P]],MATCH(Table5[[#This Row],[PID]],Batters[[#All],[PID]],0)),INDEX(Table3[[#All],[STU P]],MATCH(Table5[[#This Row],[PID]],Table3[[#All],[PID]],0)))</f>
        <v>2</v>
      </c>
      <c r="M172" s="56">
        <f>IF($C172="B",INDEX(Batters[[#All],[GAP P]],MATCH(Table5[[#This Row],[PID]],Batters[[#All],[PID]],0)),INDEX(Table3[[#All],[MOV P]],MATCH(Table5[[#This Row],[PID]],Table3[[#All],[PID]],0)))</f>
        <v>4</v>
      </c>
      <c r="N172" s="56">
        <f>IF($C172="B",INDEX(Batters[[#All],[POW P]],MATCH(Table5[[#This Row],[PID]],Batters[[#All],[PID]],0)),INDEX(Table3[[#All],[CON P]],MATCH(Table5[[#This Row],[PID]],Table3[[#All],[PID]],0)))</f>
        <v>7</v>
      </c>
      <c r="O172" s="56">
        <f>IF($C172="B",INDEX(Batters[[#All],[EYE P]],MATCH(Table5[[#This Row],[PID]],Batters[[#All],[PID]],0)),INDEX(Table3[[#All],[VELO]],MATCH(Table5[[#This Row],[PID]],Table3[[#All],[PID]],0)))</f>
        <v>8</v>
      </c>
      <c r="P172" s="56">
        <f>IF($C172="B",INDEX(Batters[[#All],[K P]],MATCH(Table5[[#This Row],[PID]],Batters[[#All],[PID]],0)),INDEX(Table3[[#All],[STM]],MATCH(Table5[[#This Row],[PID]],Table3[[#All],[PID]],0)))</f>
        <v>1</v>
      </c>
      <c r="Q172" s="61">
        <f>IF($C172="B",INDEX(Batters[[#All],[Tot]],MATCH(Table5[[#This Row],[PID]],Batters[[#All],[PID]],0)),INDEX(Table3[[#All],[Tot]],MATCH(Table5[[#This Row],[PID]],Table3[[#All],[PID]],0)))</f>
        <v>44.563855147124215</v>
      </c>
      <c r="R172" s="52">
        <f>IF($C172="B",INDEX(Batters[[#All],[zScore]],MATCH(Table5[[#This Row],[PID]],Batters[[#All],[PID]],0)),INDEX(Table3[[#All],[zScore]],MATCH(Table5[[#This Row],[PID]],Table3[[#All],[PID]],0)))</f>
        <v>9.5758569308527608E-2</v>
      </c>
      <c r="S172" s="58" t="str">
        <f>IF($C172="B",INDEX(Batters[[#All],[DEM]],MATCH(Table5[[#This Row],[PID]],Batters[[#All],[PID]],0)),INDEX(Table3[[#All],[DEM]],MATCH(Table5[[#This Row],[PID]],Table3[[#All],[PID]],0)))</f>
        <v>$200k</v>
      </c>
      <c r="T172" s="62">
        <f>IF($C172="B",INDEX(Batters[[#All],[Rnk]],MATCH(Table5[[#This Row],[PID]],Batters[[#All],[PID]],0)),INDEX(Table3[[#All],[Rnk]],MATCH(Table5[[#This Row],[PID]],Table3[[#All],[PID]],0)))</f>
        <v>223</v>
      </c>
      <c r="U172" s="68">
        <f>IF($C172="B",VLOOKUP($A172,Bat!$A$4:$BA$1621,47,FALSE),VLOOKUP($A172,Pit!$A$4:$BF$1557,56,FALSE))</f>
        <v>0</v>
      </c>
      <c r="V172" s="50">
        <f>IF($C172="B",VLOOKUP($A172,Bat!$A$4:$BA$1621,48,FALSE),VLOOKUP($A172,Pit!$A$4:$BF$1557,57,FALSE))</f>
        <v>0</v>
      </c>
      <c r="W172" s="50">
        <f>Table5[[#This Row],[posRnk]]+Table5[[#This Row],[zRnk]]+IF($W$3&lt;&gt;Table5[[#This Row],[Type]],50,0)</f>
        <v>787</v>
      </c>
      <c r="X172" s="51">
        <f>RANK(Table5[[#This Row],[zScore]],Table5[[#All],[zScore]])</f>
        <v>514</v>
      </c>
      <c r="Y172" s="50">
        <f>IFERROR(INDEX(DraftResults[[#All],[OVR]],MATCH(Table5[[#This Row],[PID]],DraftResults[[#All],[Player ID]],0)),"")</f>
        <v>168</v>
      </c>
      <c r="Z1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2" s="50">
        <f>IFERROR(INDEX(DraftResults[[#All],[Pick in Round]],MATCH(Table5[[#This Row],[PID]],DraftResults[[#All],[Player ID]],0)),"")</f>
        <v>10</v>
      </c>
      <c r="AB172" s="50" t="str">
        <f>IFERROR(INDEX(DraftResults[[#All],[Team Name]],MATCH(Table5[[#This Row],[PID]],DraftResults[[#All],[Player ID]],0)),"")</f>
        <v>Hartford Harpoon</v>
      </c>
      <c r="AC172" s="50">
        <f>IF(Table5[[#This Row],[Ovr]]="","",IF(Table5[[#This Row],[cmbList]]="","",Table5[[#This Row],[cmbList]]-Table5[[#This Row],[Ovr]]))</f>
        <v>619</v>
      </c>
      <c r="AD172" s="54" t="str">
        <f>IF(ISERROR(VLOOKUP($AB172&amp;"-"&amp;$E172&amp;" "&amp;F172,Bonuses!$B$1:$G$1006,4,FALSE)),"",INT(VLOOKUP($AB172&amp;"-"&amp;$E172&amp;" "&amp;$F172,Bonuses!$B$1:$G$1006,4,FALSE)))</f>
        <v/>
      </c>
      <c r="AE1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6.10 (168) - C Phil Collins</v>
      </c>
    </row>
    <row r="173" spans="1:31" s="50" customFormat="1" x14ac:dyDescent="0.25">
      <c r="A173" s="50">
        <v>18433</v>
      </c>
      <c r="B173" s="50">
        <f>COUNTIF(Table5[PID],A173)</f>
        <v>1</v>
      </c>
      <c r="C173" s="50" t="str">
        <f>IF(COUNTIF(Table3[[#All],[PID]],A173)&gt;0,"P","B")</f>
        <v>B</v>
      </c>
      <c r="D173" s="59" t="str">
        <f>IF($C173="B",INDEX(Batters[[#All],[POS]],MATCH(Table5[[#This Row],[PID]],Batters[[#All],[PID]],0)),INDEX(Table3[[#All],[POS]],MATCH(Table5[[#This Row],[PID]],Table3[[#All],[PID]],0)))</f>
        <v>LF</v>
      </c>
      <c r="E173" s="52" t="str">
        <f>IF($C173="B",INDEX(Batters[[#All],[First]],MATCH(Table5[[#This Row],[PID]],Batters[[#All],[PID]],0)),INDEX(Table3[[#All],[First]],MATCH(Table5[[#This Row],[PID]],Table3[[#All],[PID]],0)))</f>
        <v>Keishi</v>
      </c>
      <c r="F173" s="50" t="str">
        <f>IF($C173="B",INDEX(Batters[[#All],[Last]],MATCH(A173,Batters[[#All],[PID]],0)),INDEX(Table3[[#All],[Last]],MATCH(A173,Table3[[#All],[PID]],0)))</f>
        <v>Yamashita</v>
      </c>
      <c r="G173" s="56">
        <f>IF($C173="B",INDEX(Batters[[#All],[Age]],MATCH(Table5[[#This Row],[PID]],Batters[[#All],[PID]],0)),INDEX(Table3[[#All],[Age]],MATCH(Table5[[#This Row],[PID]],Table3[[#All],[PID]],0)))</f>
        <v>18</v>
      </c>
      <c r="H173" s="52" t="str">
        <f>IF($C173="B",INDEX(Batters[[#All],[B]],MATCH(Table5[[#This Row],[PID]],Batters[[#All],[PID]],0)),INDEX(Table3[[#All],[B]],MATCH(Table5[[#This Row],[PID]],Table3[[#All],[PID]],0)))</f>
        <v>R</v>
      </c>
      <c r="I173" s="52" t="str">
        <f>IF($C173="B",INDEX(Batters[[#All],[T]],MATCH(Table5[[#This Row],[PID]],Batters[[#All],[PID]],0)),INDEX(Table3[[#All],[T]],MATCH(Table5[[#This Row],[PID]],Table3[[#All],[PID]],0)))</f>
        <v>R</v>
      </c>
      <c r="J173" s="52" t="str">
        <f>IF($C173="B",INDEX(Batters[[#All],[WE]],MATCH(Table5[[#This Row],[PID]],Batters[[#All],[PID]],0)),INDEX(Table3[[#All],[WE]],MATCH(Table5[[#This Row],[PID]],Table3[[#All],[PID]],0)))</f>
        <v>Normal</v>
      </c>
      <c r="K173" s="52" t="str">
        <f>IF($C173="B",INDEX(Batters[[#All],[INT]],MATCH(Table5[[#This Row],[PID]],Batters[[#All],[PID]],0)),INDEX(Table3[[#All],[INT]],MATCH(Table5[[#This Row],[PID]],Table3[[#All],[PID]],0)))</f>
        <v>Normal</v>
      </c>
      <c r="L173" s="60">
        <f>IF($C173="B",INDEX(Batters[[#All],[CON P]],MATCH(Table5[[#This Row],[PID]],Batters[[#All],[PID]],0)),INDEX(Table3[[#All],[STU P]],MATCH(Table5[[#This Row],[PID]],Table3[[#All],[PID]],0)))</f>
        <v>4</v>
      </c>
      <c r="M173" s="56">
        <f>IF($C173="B",INDEX(Batters[[#All],[GAP P]],MATCH(Table5[[#This Row],[PID]],Batters[[#All],[PID]],0)),INDEX(Table3[[#All],[MOV P]],MATCH(Table5[[#This Row],[PID]],Table3[[#All],[PID]],0)))</f>
        <v>5</v>
      </c>
      <c r="N173" s="56">
        <f>IF($C173="B",INDEX(Batters[[#All],[POW P]],MATCH(Table5[[#This Row],[PID]],Batters[[#All],[PID]],0)),INDEX(Table3[[#All],[CON P]],MATCH(Table5[[#This Row],[PID]],Table3[[#All],[PID]],0)))</f>
        <v>4</v>
      </c>
      <c r="O173" s="56">
        <f>IF($C173="B",INDEX(Batters[[#All],[EYE P]],MATCH(Table5[[#This Row],[PID]],Batters[[#All],[PID]],0)),INDEX(Table3[[#All],[VELO]],MATCH(Table5[[#This Row],[PID]],Table3[[#All],[PID]],0)))</f>
        <v>5</v>
      </c>
      <c r="P173" s="56">
        <f>IF($C173="B",INDEX(Batters[[#All],[K P]],MATCH(Table5[[#This Row],[PID]],Batters[[#All],[PID]],0)),INDEX(Table3[[#All],[STM]],MATCH(Table5[[#This Row],[PID]],Table3[[#All],[PID]],0)))</f>
        <v>6</v>
      </c>
      <c r="Q173" s="61">
        <f>IF($C173="B",INDEX(Batters[[#All],[Tot]],MATCH(Table5[[#This Row],[PID]],Batters[[#All],[PID]],0)),INDEX(Table3[[#All],[Tot]],MATCH(Table5[[#This Row],[PID]],Table3[[#All],[PID]],0)))</f>
        <v>48.835530459777075</v>
      </c>
      <c r="R173" s="52">
        <f>IF($C173="B",INDEX(Batters[[#All],[zScore]],MATCH(Table5[[#This Row],[PID]],Batters[[#All],[PID]],0)),INDEX(Table3[[#All],[zScore]],MATCH(Table5[[#This Row],[PID]],Table3[[#All],[PID]],0)))</f>
        <v>1.0428178599690767</v>
      </c>
      <c r="S173" s="58" t="str">
        <f>IF($C173="B",INDEX(Batters[[#All],[DEM]],MATCH(Table5[[#This Row],[PID]],Batters[[#All],[PID]],0)),INDEX(Table3[[#All],[DEM]],MATCH(Table5[[#This Row],[PID]],Table3[[#All],[PID]],0)))</f>
        <v>$70k</v>
      </c>
      <c r="T173" s="62">
        <f>IF($C173="B",INDEX(Batters[[#All],[Rnk]],MATCH(Table5[[#This Row],[PID]],Batters[[#All],[PID]],0)),INDEX(Table3[[#All],[Rnk]],MATCH(Table5[[#This Row],[PID]],Table3[[#All],[PID]],0)))</f>
        <v>87</v>
      </c>
      <c r="U173" s="68">
        <f>IF($C173="B",VLOOKUP($A173,Bat!$A$4:$BA$1621,47,FALSE),VLOOKUP($A173,Pit!$A$4:$BF$1557,56,FALSE))</f>
        <v>0</v>
      </c>
      <c r="V173" s="50">
        <f>IF($C173="B",VLOOKUP($A173,Bat!$A$4:$BA$1621,48,FALSE),VLOOKUP($A173,Pit!$A$4:$BF$1557,57,FALSE))</f>
        <v>0</v>
      </c>
      <c r="W173" s="50">
        <f>Table5[[#This Row],[posRnk]]+Table5[[#This Row],[zRnk]]+IF($W$3&lt;&gt;Table5[[#This Row],[Type]],50,0)</f>
        <v>357</v>
      </c>
      <c r="X173" s="51">
        <f>RANK(Table5[[#This Row],[zScore]],Table5[[#All],[zScore]])</f>
        <v>220</v>
      </c>
      <c r="Y173" s="50">
        <f>IFERROR(INDEX(DraftResults[[#All],[OVR]],MATCH(Table5[[#This Row],[PID]],DraftResults[[#All],[Player ID]],0)),"")</f>
        <v>169</v>
      </c>
      <c r="Z1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3" s="50">
        <f>IFERROR(INDEX(DraftResults[[#All],[Pick in Round]],MATCH(Table5[[#This Row],[PID]],DraftResults[[#All],[Player ID]],0)),"")</f>
        <v>11</v>
      </c>
      <c r="AB173" s="50" t="str">
        <f>IFERROR(INDEX(DraftResults[[#All],[Team Name]],MATCH(Table5[[#This Row],[PID]],DraftResults[[#All],[Player ID]],0)),"")</f>
        <v>Duluth Warriors</v>
      </c>
      <c r="AC173" s="50">
        <f>IF(Table5[[#This Row],[Ovr]]="","",IF(Table5[[#This Row],[cmbList]]="","",Table5[[#This Row],[cmbList]]-Table5[[#This Row],[Ovr]]))</f>
        <v>188</v>
      </c>
      <c r="AD173" s="54" t="str">
        <f>IF(ISERROR(VLOOKUP($AB173&amp;"-"&amp;$E173&amp;" "&amp;F173,Bonuses!$B$1:$G$1006,4,FALSE)),"",INT(VLOOKUP($AB173&amp;"-"&amp;$E173&amp;" "&amp;$F173,Bonuses!$B$1:$G$1006,4,FALSE)))</f>
        <v/>
      </c>
      <c r="AE1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6.11 (169) - LF Keishi Yamashita</v>
      </c>
    </row>
    <row r="174" spans="1:31" s="50" customFormat="1" x14ac:dyDescent="0.25">
      <c r="A174" s="50">
        <v>18438</v>
      </c>
      <c r="B174" s="50">
        <f>COUNTIF(Table5[PID],A174)</f>
        <v>1</v>
      </c>
      <c r="C174" s="50" t="str">
        <f>IF(COUNTIF(Table3[[#All],[PID]],A174)&gt;0,"P","B")</f>
        <v>B</v>
      </c>
      <c r="D174" s="59" t="str">
        <f>IF($C174="B",INDEX(Batters[[#All],[POS]],MATCH(Table5[[#This Row],[PID]],Batters[[#All],[PID]],0)),INDEX(Table3[[#All],[POS]],MATCH(Table5[[#This Row],[PID]],Table3[[#All],[PID]],0)))</f>
        <v>RF</v>
      </c>
      <c r="E174" s="52" t="str">
        <f>IF($C174="B",INDEX(Batters[[#All],[First]],MATCH(Table5[[#This Row],[PID]],Batters[[#All],[PID]],0)),INDEX(Table3[[#All],[First]],MATCH(Table5[[#This Row],[PID]],Table3[[#All],[PID]],0)))</f>
        <v>Shinsui</v>
      </c>
      <c r="F174" s="50" t="str">
        <f>IF($C174="B",INDEX(Batters[[#All],[Last]],MATCH(A174,Batters[[#All],[PID]],0)),INDEX(Table3[[#All],[Last]],MATCH(A174,Table3[[#All],[PID]],0)))</f>
        <v>Sato</v>
      </c>
      <c r="G174" s="56">
        <f>IF($C174="B",INDEX(Batters[[#All],[Age]],MATCH(Table5[[#This Row],[PID]],Batters[[#All],[PID]],0)),INDEX(Table3[[#All],[Age]],MATCH(Table5[[#This Row],[PID]],Table3[[#All],[PID]],0)))</f>
        <v>18</v>
      </c>
      <c r="H174" s="52" t="str">
        <f>IF($C174="B",INDEX(Batters[[#All],[B]],MATCH(Table5[[#This Row],[PID]],Batters[[#All],[PID]],0)),INDEX(Table3[[#All],[B]],MATCH(Table5[[#This Row],[PID]],Table3[[#All],[PID]],0)))</f>
        <v>R</v>
      </c>
      <c r="I174" s="52" t="str">
        <f>IF($C174="B",INDEX(Batters[[#All],[T]],MATCH(Table5[[#This Row],[PID]],Batters[[#All],[PID]],0)),INDEX(Table3[[#All],[T]],MATCH(Table5[[#This Row],[PID]],Table3[[#All],[PID]],0)))</f>
        <v>R</v>
      </c>
      <c r="J174" s="52" t="str">
        <f>IF($C174="B",INDEX(Batters[[#All],[WE]],MATCH(Table5[[#This Row],[PID]],Batters[[#All],[PID]],0)),INDEX(Table3[[#All],[WE]],MATCH(Table5[[#This Row],[PID]],Table3[[#All],[PID]],0)))</f>
        <v>Low</v>
      </c>
      <c r="K174" s="52" t="str">
        <f>IF($C174="B",INDEX(Batters[[#All],[INT]],MATCH(Table5[[#This Row],[PID]],Batters[[#All],[PID]],0)),INDEX(Table3[[#All],[INT]],MATCH(Table5[[#This Row],[PID]],Table3[[#All],[PID]],0)))</f>
        <v>Normal</v>
      </c>
      <c r="L174" s="60">
        <f>IF($C174="B",INDEX(Batters[[#All],[CON P]],MATCH(Table5[[#This Row],[PID]],Batters[[#All],[PID]],0)),INDEX(Table3[[#All],[STU P]],MATCH(Table5[[#This Row],[PID]],Table3[[#All],[PID]],0)))</f>
        <v>4</v>
      </c>
      <c r="M174" s="56">
        <f>IF($C174="B",INDEX(Batters[[#All],[GAP P]],MATCH(Table5[[#This Row],[PID]],Batters[[#All],[PID]],0)),INDEX(Table3[[#All],[MOV P]],MATCH(Table5[[#This Row],[PID]],Table3[[#All],[PID]],0)))</f>
        <v>6</v>
      </c>
      <c r="N174" s="56">
        <f>IF($C174="B",INDEX(Batters[[#All],[POW P]],MATCH(Table5[[#This Row],[PID]],Batters[[#All],[PID]],0)),INDEX(Table3[[#All],[CON P]],MATCH(Table5[[#This Row],[PID]],Table3[[#All],[PID]],0)))</f>
        <v>7</v>
      </c>
      <c r="O174" s="56">
        <f>IF($C174="B",INDEX(Batters[[#All],[EYE P]],MATCH(Table5[[#This Row],[PID]],Batters[[#All],[PID]],0)),INDEX(Table3[[#All],[VELO]],MATCH(Table5[[#This Row],[PID]],Table3[[#All],[PID]],0)))</f>
        <v>4</v>
      </c>
      <c r="P174" s="56">
        <f>IF($C174="B",INDEX(Batters[[#All],[K P]],MATCH(Table5[[#This Row],[PID]],Batters[[#All],[PID]],0)),INDEX(Table3[[#All],[STM]],MATCH(Table5[[#This Row],[PID]],Table3[[#All],[PID]],0)))</f>
        <v>2</v>
      </c>
      <c r="Q174" s="61">
        <f>IF($C174="B",INDEX(Batters[[#All],[Tot]],MATCH(Table5[[#This Row],[PID]],Batters[[#All],[PID]],0)),INDEX(Table3[[#All],[Tot]],MATCH(Table5[[#This Row],[PID]],Table3[[#All],[PID]],0)))</f>
        <v>49.709238370476648</v>
      </c>
      <c r="R174" s="52">
        <f>IF($C174="B",INDEX(Batters[[#All],[zScore]],MATCH(Table5[[#This Row],[PID]],Batters[[#All],[PID]],0)),INDEX(Table3[[#All],[zScore]],MATCH(Table5[[#This Row],[PID]],Table3[[#All],[PID]],0)))</f>
        <v>1.2365248094885546</v>
      </c>
      <c r="S174" s="58" t="str">
        <f>IF($C174="B",INDEX(Batters[[#All],[DEM]],MATCH(Table5[[#This Row],[PID]],Batters[[#All],[PID]],0)),INDEX(Table3[[#All],[DEM]],MATCH(Table5[[#This Row],[PID]],Table3[[#All],[PID]],0)))</f>
        <v>$290k</v>
      </c>
      <c r="T174" s="62">
        <f>IF($C174="B",INDEX(Batters[[#All],[Rnk]],MATCH(Table5[[#This Row],[PID]],Batters[[#All],[PID]],0)),INDEX(Table3[[#All],[Rnk]],MATCH(Table5[[#This Row],[PID]],Table3[[#All],[PID]],0)))</f>
        <v>66</v>
      </c>
      <c r="U174" s="68">
        <f>IF($C174="B",VLOOKUP($A174,Bat!$A$4:$BA$1621,47,FALSE),VLOOKUP($A174,Pit!$A$4:$BF$1557,56,FALSE))</f>
        <v>0</v>
      </c>
      <c r="V174" s="50">
        <f>IF($C174="B",VLOOKUP($A174,Bat!$A$4:$BA$1621,48,FALSE),VLOOKUP($A174,Pit!$A$4:$BF$1557,57,FALSE))</f>
        <v>0</v>
      </c>
      <c r="W174" s="50">
        <f>Table5[[#This Row],[posRnk]]+Table5[[#This Row],[zRnk]]+IF($W$3&lt;&gt;Table5[[#This Row],[Type]],50,0)</f>
        <v>293</v>
      </c>
      <c r="X174" s="51">
        <f>RANK(Table5[[#This Row],[zScore]],Table5[[#All],[zScore]])</f>
        <v>177</v>
      </c>
      <c r="Y174" s="50">
        <f>IFERROR(INDEX(DraftResults[[#All],[OVR]],MATCH(Table5[[#This Row],[PID]],DraftResults[[#All],[Player ID]],0)),"")</f>
        <v>170</v>
      </c>
      <c r="Z1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4" s="50">
        <f>IFERROR(INDEX(DraftResults[[#All],[Pick in Round]],MATCH(Table5[[#This Row],[PID]],DraftResults[[#All],[Player ID]],0)),"")</f>
        <v>12</v>
      </c>
      <c r="AB174" s="50" t="str">
        <f>IFERROR(INDEX(DraftResults[[#All],[Team Name]],MATCH(Table5[[#This Row],[PID]],DraftResults[[#All],[Player ID]],0)),"")</f>
        <v>Palm Springs Codgers</v>
      </c>
      <c r="AC174" s="50">
        <f>IF(Table5[[#This Row],[Ovr]]="","",IF(Table5[[#This Row],[cmbList]]="","",Table5[[#This Row],[cmbList]]-Table5[[#This Row],[Ovr]]))</f>
        <v>123</v>
      </c>
      <c r="AD174" s="54" t="str">
        <f>IF(ISERROR(VLOOKUP($AB174&amp;"-"&amp;$E174&amp;" "&amp;F174,Bonuses!$B$1:$G$1006,4,FALSE)),"",INT(VLOOKUP($AB174&amp;"-"&amp;$E174&amp;" "&amp;$F174,Bonuses!$B$1:$G$1006,4,FALSE)))</f>
        <v/>
      </c>
      <c r="AE1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6.12 (170) - RF Shinsui Sato</v>
      </c>
    </row>
    <row r="175" spans="1:31" s="50" customFormat="1" x14ac:dyDescent="0.25">
      <c r="A175" s="68">
        <v>18314</v>
      </c>
      <c r="B175" s="69">
        <f>COUNTIF(Table5[PID],A175)</f>
        <v>1</v>
      </c>
      <c r="C175" s="69" t="str">
        <f>IF(COUNTIF(Table3[[#All],[PID]],A175)&gt;0,"P","B")</f>
        <v>P</v>
      </c>
      <c r="D175" s="59" t="str">
        <f>IF($C175="B",INDEX(Batters[[#All],[POS]],MATCH(Table5[[#This Row],[PID]],Batters[[#All],[PID]],0)),INDEX(Table3[[#All],[POS]],MATCH(Table5[[#This Row],[PID]],Table3[[#All],[PID]],0)))</f>
        <v>SP</v>
      </c>
      <c r="E175" s="52" t="str">
        <f>IF($C175="B",INDEX(Batters[[#All],[First]],MATCH(Table5[[#This Row],[PID]],Batters[[#All],[PID]],0)),INDEX(Table3[[#All],[First]],MATCH(Table5[[#This Row],[PID]],Table3[[#All],[PID]],0)))</f>
        <v>Ben</v>
      </c>
      <c r="F175" s="55" t="str">
        <f>IF($C175="B",INDEX(Batters[[#All],[Last]],MATCH(A175,Batters[[#All],[PID]],0)),INDEX(Table3[[#All],[Last]],MATCH(A175,Table3[[#All],[PID]],0)))</f>
        <v>Paisley</v>
      </c>
      <c r="G175" s="56">
        <f>IF($C175="B",INDEX(Batters[[#All],[Age]],MATCH(Table5[[#This Row],[PID]],Batters[[#All],[PID]],0)),INDEX(Table3[[#All],[Age]],MATCH(Table5[[#This Row],[PID]],Table3[[#All],[PID]],0)))</f>
        <v>21</v>
      </c>
      <c r="H175" s="52" t="str">
        <f>IF($C175="B",INDEX(Batters[[#All],[B]],MATCH(Table5[[#This Row],[PID]],Batters[[#All],[PID]],0)),INDEX(Table3[[#All],[B]],MATCH(Table5[[#This Row],[PID]],Table3[[#All],[PID]],0)))</f>
        <v>R</v>
      </c>
      <c r="I175" s="52" t="str">
        <f>IF($C175="B",INDEX(Batters[[#All],[T]],MATCH(Table5[[#This Row],[PID]],Batters[[#All],[PID]],0)),INDEX(Table3[[#All],[T]],MATCH(Table5[[#This Row],[PID]],Table3[[#All],[PID]],0)))</f>
        <v>R</v>
      </c>
      <c r="J175" s="71" t="str">
        <f>IF($C175="B",INDEX(Batters[[#All],[WE]],MATCH(Table5[[#This Row],[PID]],Batters[[#All],[PID]],0)),INDEX(Table3[[#All],[WE]],MATCH(Table5[[#This Row],[PID]],Table3[[#All],[PID]],0)))</f>
        <v>High</v>
      </c>
      <c r="K175" s="52" t="str">
        <f>IF($C175="B",INDEX(Batters[[#All],[INT]],MATCH(Table5[[#This Row],[PID]],Batters[[#All],[PID]],0)),INDEX(Table3[[#All],[INT]],MATCH(Table5[[#This Row],[PID]],Table3[[#All],[PID]],0)))</f>
        <v>High</v>
      </c>
      <c r="L175" s="60">
        <f>IF($C175="B",INDEX(Batters[[#All],[CON P]],MATCH(Table5[[#This Row],[PID]],Batters[[#All],[PID]],0)),INDEX(Table3[[#All],[STU P]],MATCH(Table5[[#This Row],[PID]],Table3[[#All],[PID]],0)))</f>
        <v>4</v>
      </c>
      <c r="M175" s="72">
        <f>IF($C175="B",INDEX(Batters[[#All],[GAP P]],MATCH(Table5[[#This Row],[PID]],Batters[[#All],[PID]],0)),INDEX(Table3[[#All],[MOV P]],MATCH(Table5[[#This Row],[PID]],Table3[[#All],[PID]],0)))</f>
        <v>4</v>
      </c>
      <c r="N175" s="72">
        <f>IF($C175="B",INDEX(Batters[[#All],[POW P]],MATCH(Table5[[#This Row],[PID]],Batters[[#All],[PID]],0)),INDEX(Table3[[#All],[CON P]],MATCH(Table5[[#This Row],[PID]],Table3[[#All],[PID]],0)))</f>
        <v>7</v>
      </c>
      <c r="O175" s="72" t="str">
        <f>IF($C175="B",INDEX(Batters[[#All],[EYE P]],MATCH(Table5[[#This Row],[PID]],Batters[[#All],[PID]],0)),INDEX(Table3[[#All],[VELO]],MATCH(Table5[[#This Row],[PID]],Table3[[#All],[PID]],0)))</f>
        <v>92-94 Mph</v>
      </c>
      <c r="P175" s="56">
        <f>IF($C175="B",INDEX(Batters[[#All],[K P]],MATCH(Table5[[#This Row],[PID]],Batters[[#All],[PID]],0)),INDEX(Table3[[#All],[STM]],MATCH(Table5[[#This Row],[PID]],Table3[[#All],[PID]],0)))</f>
        <v>7</v>
      </c>
      <c r="Q175" s="61">
        <f>IF($C175="B",INDEX(Batters[[#All],[Tot]],MATCH(Table5[[#This Row],[PID]],Batters[[#All],[PID]],0)),INDEX(Table3[[#All],[Tot]],MATCH(Table5[[#This Row],[PID]],Table3[[#All],[PID]],0)))</f>
        <v>57.875669459861911</v>
      </c>
      <c r="R175" s="52">
        <f>IF($C175="B",INDEX(Batters[[#All],[zScore]],MATCH(Table5[[#This Row],[PID]],Batters[[#All],[PID]],0)),INDEX(Table3[[#All],[zScore]],MATCH(Table5[[#This Row],[PID]],Table3[[#All],[PID]],0)))</f>
        <v>1.4639685652695358</v>
      </c>
      <c r="S175" s="78" t="str">
        <f>IF($C175="B",INDEX(Batters[[#All],[DEM]],MATCH(Table5[[#This Row],[PID]],Batters[[#All],[PID]],0)),INDEX(Table3[[#All],[DEM]],MATCH(Table5[[#This Row],[PID]],Table3[[#All],[PID]],0)))</f>
        <v>$90k</v>
      </c>
      <c r="T175" s="75">
        <f>IF($C175="B",INDEX(Batters[[#All],[Rnk]],MATCH(Table5[[#This Row],[PID]],Batters[[#All],[PID]],0)),INDEX(Table3[[#All],[Rnk]],MATCH(Table5[[#This Row],[PID]],Table3[[#All],[PID]],0)))</f>
        <v>78</v>
      </c>
      <c r="U175" s="68">
        <f>IF($C175="B",VLOOKUP($A175,Bat!$A$4:$BA$1621,47,FALSE),VLOOKUP($A175,Pit!$A$4:$BF$1557,56,FALSE))</f>
        <v>0</v>
      </c>
      <c r="V175" s="50">
        <f>IF($C175="B",VLOOKUP($A175,Bat!$A$4:$BA$1621,48,FALSE),VLOOKUP($A175,Pit!$A$4:$BF$1557,57,FALSE))</f>
        <v>0</v>
      </c>
      <c r="W175" s="69">
        <f>Table5[[#This Row],[posRnk]]+Table5[[#This Row],[zRnk]]+IF($W$3&lt;&gt;Table5[[#This Row],[Type]],50,0)</f>
        <v>254</v>
      </c>
      <c r="X175" s="73">
        <f>RANK(Table5[[#This Row],[zScore]],Table5[[#All],[zScore]])</f>
        <v>126</v>
      </c>
      <c r="Y175" s="69">
        <f>IFERROR(INDEX(DraftResults[[#All],[OVR]],MATCH(Table5[[#This Row],[PID]],DraftResults[[#All],[Player ID]],0)),"")</f>
        <v>171</v>
      </c>
      <c r="Z17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5" s="69">
        <f>IFERROR(INDEX(DraftResults[[#All],[Pick in Round]],MATCH(Table5[[#This Row],[PID]],DraftResults[[#All],[Player ID]],0)),"")</f>
        <v>13</v>
      </c>
      <c r="AB175" s="69" t="str">
        <f>IFERROR(INDEX(DraftResults[[#All],[Team Name]],MATCH(Table5[[#This Row],[PID]],DraftResults[[#All],[Player ID]],0)),"")</f>
        <v>Reno Zephyrs</v>
      </c>
      <c r="AC175" s="69">
        <f>IF(Table5[[#This Row],[Ovr]]="","",IF(Table5[[#This Row],[cmbList]]="","",Table5[[#This Row],[cmbList]]-Table5[[#This Row],[Ovr]]))</f>
        <v>83</v>
      </c>
      <c r="AD175" s="77" t="str">
        <f>IF(ISERROR(VLOOKUP($AB175&amp;"-"&amp;$E175&amp;" "&amp;F175,Bonuses!$B$1:$G$1006,4,FALSE)),"",INT(VLOOKUP($AB175&amp;"-"&amp;$E175&amp;" "&amp;$F175,Bonuses!$B$1:$G$1006,4,FALSE)))</f>
        <v/>
      </c>
      <c r="AE17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6.13 (171) - SP Ben Paisley</v>
      </c>
    </row>
    <row r="176" spans="1:31" s="50" customFormat="1" x14ac:dyDescent="0.25">
      <c r="A176" s="68">
        <v>17839</v>
      </c>
      <c r="B176" s="69">
        <f>COUNTIF(Table5[PID],A176)</f>
        <v>1</v>
      </c>
      <c r="C176" s="69" t="str">
        <f>IF(COUNTIF(Table3[[#All],[PID]],A176)&gt;0,"P","B")</f>
        <v>P</v>
      </c>
      <c r="D176" s="59" t="str">
        <f>IF($C176="B",INDEX(Batters[[#All],[POS]],MATCH(Table5[[#This Row],[PID]],Batters[[#All],[PID]],0)),INDEX(Table3[[#All],[POS]],MATCH(Table5[[#This Row],[PID]],Table3[[#All],[PID]],0)))</f>
        <v>SP</v>
      </c>
      <c r="E176" s="52" t="str">
        <f>IF($C176="B",INDEX(Batters[[#All],[First]],MATCH(Table5[[#This Row],[PID]],Batters[[#All],[PID]],0)),INDEX(Table3[[#All],[First]],MATCH(Table5[[#This Row],[PID]],Table3[[#All],[PID]],0)))</f>
        <v>Gabriel</v>
      </c>
      <c r="F176" s="55" t="str">
        <f>IF($C176="B",INDEX(Batters[[#All],[Last]],MATCH(A176,Batters[[#All],[PID]],0)),INDEX(Table3[[#All],[Last]],MATCH(A176,Table3[[#All],[PID]],0)))</f>
        <v>Fernández</v>
      </c>
      <c r="G176" s="56">
        <f>IF($C176="B",INDEX(Batters[[#All],[Age]],MATCH(Table5[[#This Row],[PID]],Batters[[#All],[PID]],0)),INDEX(Table3[[#All],[Age]],MATCH(Table5[[#This Row],[PID]],Table3[[#All],[PID]],0)))</f>
        <v>18</v>
      </c>
      <c r="H176" s="52" t="str">
        <f>IF($C176="B",INDEX(Batters[[#All],[B]],MATCH(Table5[[#This Row],[PID]],Batters[[#All],[PID]],0)),INDEX(Table3[[#All],[B]],MATCH(Table5[[#This Row],[PID]],Table3[[#All],[PID]],0)))</f>
        <v>L</v>
      </c>
      <c r="I176" s="52" t="str">
        <f>IF($C176="B",INDEX(Batters[[#All],[T]],MATCH(Table5[[#This Row],[PID]],Batters[[#All],[PID]],0)),INDEX(Table3[[#All],[T]],MATCH(Table5[[#This Row],[PID]],Table3[[#All],[PID]],0)))</f>
        <v>L</v>
      </c>
      <c r="J176" s="71" t="str">
        <f>IF($C176="B",INDEX(Batters[[#All],[WE]],MATCH(Table5[[#This Row],[PID]],Batters[[#All],[PID]],0)),INDEX(Table3[[#All],[WE]],MATCH(Table5[[#This Row],[PID]],Table3[[#All],[PID]],0)))</f>
        <v>Normal</v>
      </c>
      <c r="K176" s="52" t="str">
        <f>IF($C176="B",INDEX(Batters[[#All],[INT]],MATCH(Table5[[#This Row],[PID]],Batters[[#All],[PID]],0)),INDEX(Table3[[#All],[INT]],MATCH(Table5[[#This Row],[PID]],Table3[[#All],[PID]],0)))</f>
        <v>Normal</v>
      </c>
      <c r="L176" s="60">
        <f>IF($C176="B",INDEX(Batters[[#All],[CON P]],MATCH(Table5[[#This Row],[PID]],Batters[[#All],[PID]],0)),INDEX(Table3[[#All],[STU P]],MATCH(Table5[[#This Row],[PID]],Table3[[#All],[PID]],0)))</f>
        <v>6</v>
      </c>
      <c r="M176" s="72">
        <f>IF($C176="B",INDEX(Batters[[#All],[GAP P]],MATCH(Table5[[#This Row],[PID]],Batters[[#All],[PID]],0)),INDEX(Table3[[#All],[MOV P]],MATCH(Table5[[#This Row],[PID]],Table3[[#All],[PID]],0)))</f>
        <v>3</v>
      </c>
      <c r="N176" s="72">
        <f>IF($C176="B",INDEX(Batters[[#All],[POW P]],MATCH(Table5[[#This Row],[PID]],Batters[[#All],[PID]],0)),INDEX(Table3[[#All],[CON P]],MATCH(Table5[[#This Row],[PID]],Table3[[#All],[PID]],0)))</f>
        <v>2</v>
      </c>
      <c r="O176" s="72" t="str">
        <f>IF($C176="B",INDEX(Batters[[#All],[EYE P]],MATCH(Table5[[#This Row],[PID]],Batters[[#All],[PID]],0)),INDEX(Table3[[#All],[VELO]],MATCH(Table5[[#This Row],[PID]],Table3[[#All],[PID]],0)))</f>
        <v>93-95 Mph</v>
      </c>
      <c r="P176" s="56">
        <f>IF($C176="B",INDEX(Batters[[#All],[K P]],MATCH(Table5[[#This Row],[PID]],Batters[[#All],[PID]],0)),INDEX(Table3[[#All],[STM]],MATCH(Table5[[#This Row],[PID]],Table3[[#All],[PID]],0)))</f>
        <v>7</v>
      </c>
      <c r="Q176" s="61">
        <f>IF($C176="B",INDEX(Batters[[#All],[Tot]],MATCH(Table5[[#This Row],[PID]],Batters[[#All],[PID]],0)),INDEX(Table3[[#All],[Tot]],MATCH(Table5[[#This Row],[PID]],Table3[[#All],[PID]],0)))</f>
        <v>43.595769206315218</v>
      </c>
      <c r="R176" s="52">
        <f>IF($C176="B",INDEX(Batters[[#All],[zScore]],MATCH(Table5[[#This Row],[PID]],Batters[[#All],[PID]],0)),INDEX(Table3[[#All],[zScore]],MATCH(Table5[[#This Row],[PID]],Table3[[#All],[PID]],0)))</f>
        <v>0.51394862264291652</v>
      </c>
      <c r="S176" s="78" t="str">
        <f>IF($C176="B",INDEX(Batters[[#All],[DEM]],MATCH(Table5[[#This Row],[PID]],Batters[[#All],[PID]],0)),INDEX(Table3[[#All],[DEM]],MATCH(Table5[[#This Row],[PID]],Table3[[#All],[PID]],0)))</f>
        <v>$65k</v>
      </c>
      <c r="T176" s="75">
        <f>IF($C176="B",INDEX(Batters[[#All],[Rnk]],MATCH(Table5[[#This Row],[PID]],Batters[[#All],[PID]],0)),INDEX(Table3[[#All],[Rnk]],MATCH(Table5[[#This Row],[PID]],Table3[[#All],[PID]],0)))</f>
        <v>213</v>
      </c>
      <c r="U176" s="68">
        <f>IF($C176="B",VLOOKUP($A176,Bat!$A$4:$BA$1621,47,FALSE),VLOOKUP($A176,Pit!$A$4:$BF$1557,56,FALSE))</f>
        <v>0</v>
      </c>
      <c r="V176" s="50">
        <f>IF($C176="B",VLOOKUP($A176,Bat!$A$4:$BA$1621,48,FALSE),VLOOKUP($A176,Pit!$A$4:$BF$1557,57,FALSE))</f>
        <v>0</v>
      </c>
      <c r="W176" s="69">
        <f>Table5[[#This Row],[posRnk]]+Table5[[#This Row],[zRnk]]+IF($W$3&lt;&gt;Table5[[#This Row],[Type]],50,0)</f>
        <v>625</v>
      </c>
      <c r="X176" s="73">
        <f>RANK(Table5[[#This Row],[zScore]],Table5[[#All],[zScore]])</f>
        <v>362</v>
      </c>
      <c r="Y176" s="69">
        <f>IFERROR(INDEX(DraftResults[[#All],[OVR]],MATCH(Table5[[#This Row],[PID]],DraftResults[[#All],[Player ID]],0)),"")</f>
        <v>172</v>
      </c>
      <c r="Z17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6" s="69">
        <f>IFERROR(INDEX(DraftResults[[#All],[Pick in Round]],MATCH(Table5[[#This Row],[PID]],DraftResults[[#All],[Player ID]],0)),"")</f>
        <v>14</v>
      </c>
      <c r="AB176" s="69" t="str">
        <f>IFERROR(INDEX(DraftResults[[#All],[Team Name]],MATCH(Table5[[#This Row],[PID]],DraftResults[[#All],[Player ID]],0)),"")</f>
        <v>Arlington Bureaucrats</v>
      </c>
      <c r="AC176" s="69">
        <f>IF(Table5[[#This Row],[Ovr]]="","",IF(Table5[[#This Row],[cmbList]]="","",Table5[[#This Row],[cmbList]]-Table5[[#This Row],[Ovr]]))</f>
        <v>453</v>
      </c>
      <c r="AD176" s="77" t="str">
        <f>IF(ISERROR(VLOOKUP($AB176&amp;"-"&amp;$E176&amp;" "&amp;F176,Bonuses!$B$1:$G$1006,4,FALSE)),"",INT(VLOOKUP($AB176&amp;"-"&amp;$E176&amp;" "&amp;$F176,Bonuses!$B$1:$G$1006,4,FALSE)))</f>
        <v/>
      </c>
      <c r="AE17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6.14 (172) - SP Gabriel Fernández</v>
      </c>
    </row>
    <row r="177" spans="1:31" s="50" customFormat="1" x14ac:dyDescent="0.25">
      <c r="A177" s="68">
        <v>18142</v>
      </c>
      <c r="B177" s="69">
        <f>COUNTIF(Table5[PID],A177)</f>
        <v>1</v>
      </c>
      <c r="C177" s="69" t="str">
        <f>IF(COUNTIF(Table3[[#All],[PID]],A177)&gt;0,"P","B")</f>
        <v>P</v>
      </c>
      <c r="D177" s="59" t="str">
        <f>IF($C177="B",INDEX(Batters[[#All],[POS]],MATCH(Table5[[#This Row],[PID]],Batters[[#All],[PID]],0)),INDEX(Table3[[#All],[POS]],MATCH(Table5[[#This Row],[PID]],Table3[[#All],[PID]],0)))</f>
        <v>SP</v>
      </c>
      <c r="E177" s="52" t="str">
        <f>IF($C177="B",INDEX(Batters[[#All],[First]],MATCH(Table5[[#This Row],[PID]],Batters[[#All],[PID]],0)),INDEX(Table3[[#All],[First]],MATCH(Table5[[#This Row],[PID]],Table3[[#All],[PID]],0)))</f>
        <v>George</v>
      </c>
      <c r="F177" s="55" t="str">
        <f>IF($C177="B",INDEX(Batters[[#All],[Last]],MATCH(A177,Batters[[#All],[PID]],0)),INDEX(Table3[[#All],[Last]],MATCH(A177,Table3[[#All],[PID]],0)))</f>
        <v>Brown</v>
      </c>
      <c r="G177" s="56">
        <f>IF($C177="B",INDEX(Batters[[#All],[Age]],MATCH(Table5[[#This Row],[PID]],Batters[[#All],[PID]],0)),INDEX(Table3[[#All],[Age]],MATCH(Table5[[#This Row],[PID]],Table3[[#All],[PID]],0)))</f>
        <v>21</v>
      </c>
      <c r="H177" s="52" t="str">
        <f>IF($C177="B",INDEX(Batters[[#All],[B]],MATCH(Table5[[#This Row],[PID]],Batters[[#All],[PID]],0)),INDEX(Table3[[#All],[B]],MATCH(Table5[[#This Row],[PID]],Table3[[#All],[PID]],0)))</f>
        <v>L</v>
      </c>
      <c r="I177" s="52" t="str">
        <f>IF($C177="B",INDEX(Batters[[#All],[T]],MATCH(Table5[[#This Row],[PID]],Batters[[#All],[PID]],0)),INDEX(Table3[[#All],[T]],MATCH(Table5[[#This Row],[PID]],Table3[[#All],[PID]],0)))</f>
        <v>L</v>
      </c>
      <c r="J177" s="71" t="str">
        <f>IF($C177="B",INDEX(Batters[[#All],[WE]],MATCH(Table5[[#This Row],[PID]],Batters[[#All],[PID]],0)),INDEX(Table3[[#All],[WE]],MATCH(Table5[[#This Row],[PID]],Table3[[#All],[PID]],0)))</f>
        <v>Normal</v>
      </c>
      <c r="K177" s="52" t="str">
        <f>IF($C177="B",INDEX(Batters[[#All],[INT]],MATCH(Table5[[#This Row],[PID]],Batters[[#All],[PID]],0)),INDEX(Table3[[#All],[INT]],MATCH(Table5[[#This Row],[PID]],Table3[[#All],[PID]],0)))</f>
        <v>Normal</v>
      </c>
      <c r="L177" s="60">
        <f>IF($C177="B",INDEX(Batters[[#All],[CON P]],MATCH(Table5[[#This Row],[PID]],Batters[[#All],[PID]],0)),INDEX(Table3[[#All],[STU P]],MATCH(Table5[[#This Row],[PID]],Table3[[#All],[PID]],0)))</f>
        <v>6</v>
      </c>
      <c r="M177" s="72">
        <f>IF($C177="B",INDEX(Batters[[#All],[GAP P]],MATCH(Table5[[#This Row],[PID]],Batters[[#All],[PID]],0)),INDEX(Table3[[#All],[MOV P]],MATCH(Table5[[#This Row],[PID]],Table3[[#All],[PID]],0)))</f>
        <v>3</v>
      </c>
      <c r="N177" s="72">
        <f>IF($C177="B",INDEX(Batters[[#All],[POW P]],MATCH(Table5[[#This Row],[PID]],Batters[[#All],[PID]],0)),INDEX(Table3[[#All],[CON P]],MATCH(Table5[[#This Row],[PID]],Table3[[#All],[PID]],0)))</f>
        <v>3</v>
      </c>
      <c r="O177" s="72" t="str">
        <f>IF($C177="B",INDEX(Batters[[#All],[EYE P]],MATCH(Table5[[#This Row],[PID]],Batters[[#All],[PID]],0)),INDEX(Table3[[#All],[VELO]],MATCH(Table5[[#This Row],[PID]],Table3[[#All],[PID]],0)))</f>
        <v>97-99 Mph</v>
      </c>
      <c r="P177" s="56">
        <f>IF($C177="B",INDEX(Batters[[#All],[K P]],MATCH(Table5[[#This Row],[PID]],Batters[[#All],[PID]],0)),INDEX(Table3[[#All],[STM]],MATCH(Table5[[#This Row],[PID]],Table3[[#All],[PID]],0)))</f>
        <v>10</v>
      </c>
      <c r="Q177" s="61">
        <f>IF($C177="B",INDEX(Batters[[#All],[Tot]],MATCH(Table5[[#This Row],[PID]],Batters[[#All],[PID]],0)),INDEX(Table3[[#All],[Tot]],MATCH(Table5[[#This Row],[PID]],Table3[[#All],[PID]],0)))</f>
        <v>43.57129235159946</v>
      </c>
      <c r="R177" s="52">
        <f>IF($C177="B",INDEX(Batters[[#All],[zScore]],MATCH(Table5[[#This Row],[PID]],Batters[[#All],[PID]],0)),INDEX(Table3[[#All],[zScore]],MATCH(Table5[[#This Row],[PID]],Table3[[#All],[PID]],0)))</f>
        <v>0.51232021490197532</v>
      </c>
      <c r="S177" s="78" t="str">
        <f>IF($C177="B",INDEX(Batters[[#All],[DEM]],MATCH(Table5[[#This Row],[PID]],Batters[[#All],[PID]],0)),INDEX(Table3[[#All],[DEM]],MATCH(Table5[[#This Row],[PID]],Table3[[#All],[PID]],0)))</f>
        <v>$40k</v>
      </c>
      <c r="T177" s="75">
        <f>IF($C177="B",INDEX(Batters[[#All],[Rnk]],MATCH(Table5[[#This Row],[PID]],Batters[[#All],[PID]],0)),INDEX(Table3[[#All],[Rnk]],MATCH(Table5[[#This Row],[PID]],Table3[[#All],[PID]],0)))</f>
        <v>214</v>
      </c>
      <c r="U177" s="68">
        <f>IF($C177="B",VLOOKUP($A177,Bat!$A$4:$BA$1621,47,FALSE),VLOOKUP($A177,Pit!$A$4:$BF$1557,56,FALSE))</f>
        <v>0</v>
      </c>
      <c r="V177" s="50">
        <f>IF($C177="B",VLOOKUP($A177,Bat!$A$4:$BA$1621,48,FALSE),VLOOKUP($A177,Pit!$A$4:$BF$1557,57,FALSE))</f>
        <v>0</v>
      </c>
      <c r="W177" s="69">
        <f>Table5[[#This Row],[posRnk]]+Table5[[#This Row],[zRnk]]+IF($W$3&lt;&gt;Table5[[#This Row],[Type]],50,0)</f>
        <v>627</v>
      </c>
      <c r="X177" s="73">
        <f>RANK(Table5[[#This Row],[zScore]],Table5[[#All],[zScore]])</f>
        <v>363</v>
      </c>
      <c r="Y177" s="69">
        <f>IFERROR(INDEX(DraftResults[[#All],[OVR]],MATCH(Table5[[#This Row],[PID]],DraftResults[[#All],[Player ID]],0)),"")</f>
        <v>173</v>
      </c>
      <c r="Z17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7" s="69">
        <f>IFERROR(INDEX(DraftResults[[#All],[Pick in Round]],MATCH(Table5[[#This Row],[PID]],DraftResults[[#All],[Player ID]],0)),"")</f>
        <v>15</v>
      </c>
      <c r="AB177" s="69" t="str">
        <f>IFERROR(INDEX(DraftResults[[#All],[Team Name]],MATCH(Table5[[#This Row],[PID]],DraftResults[[#All],[Player ID]],0)),"")</f>
        <v>Kentucky Thoroughbreds</v>
      </c>
      <c r="AC177" s="69">
        <f>IF(Table5[[#This Row],[Ovr]]="","",IF(Table5[[#This Row],[cmbList]]="","",Table5[[#This Row],[cmbList]]-Table5[[#This Row],[Ovr]]))</f>
        <v>454</v>
      </c>
      <c r="AD177" s="77" t="str">
        <f>IF(ISERROR(VLOOKUP($AB177&amp;"-"&amp;$E177&amp;" "&amp;F177,Bonuses!$B$1:$G$1006,4,FALSE)),"",INT(VLOOKUP($AB177&amp;"-"&amp;$E177&amp;" "&amp;$F177,Bonuses!$B$1:$G$1006,4,FALSE)))</f>
        <v/>
      </c>
      <c r="AE17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6.15 (173) - SP George Brown</v>
      </c>
    </row>
    <row r="178" spans="1:31" s="50" customFormat="1" x14ac:dyDescent="0.25">
      <c r="A178" s="68">
        <v>18122</v>
      </c>
      <c r="B178" s="69">
        <f>COUNTIF(Table5[PID],A178)</f>
        <v>1</v>
      </c>
      <c r="C178" s="69" t="str">
        <f>IF(COUNTIF(Table3[[#All],[PID]],A178)&gt;0,"P","B")</f>
        <v>P</v>
      </c>
      <c r="D178" s="59" t="str">
        <f>IF($C178="B",INDEX(Batters[[#All],[POS]],MATCH(Table5[[#This Row],[PID]],Batters[[#All],[PID]],0)),INDEX(Table3[[#All],[POS]],MATCH(Table5[[#This Row],[PID]],Table3[[#All],[PID]],0)))</f>
        <v>SP</v>
      </c>
      <c r="E178" s="52" t="str">
        <f>IF($C178="B",INDEX(Batters[[#All],[First]],MATCH(Table5[[#This Row],[PID]],Batters[[#All],[PID]],0)),INDEX(Table3[[#All],[First]],MATCH(Table5[[#This Row],[PID]],Table3[[#All],[PID]],0)))</f>
        <v>Ron</v>
      </c>
      <c r="F178" s="55" t="str">
        <f>IF($C178="B",INDEX(Batters[[#All],[Last]],MATCH(A178,Batters[[#All],[PID]],0)),INDEX(Table3[[#All],[Last]],MATCH(A178,Table3[[#All],[PID]],0)))</f>
        <v>Green</v>
      </c>
      <c r="G178" s="56">
        <f>IF($C178="B",INDEX(Batters[[#All],[Age]],MATCH(Table5[[#This Row],[PID]],Batters[[#All],[PID]],0)),INDEX(Table3[[#All],[Age]],MATCH(Table5[[#This Row],[PID]],Table3[[#All],[PID]],0)))</f>
        <v>21</v>
      </c>
      <c r="H178" s="52" t="str">
        <f>IF($C178="B",INDEX(Batters[[#All],[B]],MATCH(Table5[[#This Row],[PID]],Batters[[#All],[PID]],0)),INDEX(Table3[[#All],[B]],MATCH(Table5[[#This Row],[PID]],Table3[[#All],[PID]],0)))</f>
        <v>R</v>
      </c>
      <c r="I178" s="52" t="str">
        <f>IF($C178="B",INDEX(Batters[[#All],[T]],MATCH(Table5[[#This Row],[PID]],Batters[[#All],[PID]],0)),INDEX(Table3[[#All],[T]],MATCH(Table5[[#This Row],[PID]],Table3[[#All],[PID]],0)))</f>
        <v>R</v>
      </c>
      <c r="J178" s="71" t="str">
        <f>IF($C178="B",INDEX(Batters[[#All],[WE]],MATCH(Table5[[#This Row],[PID]],Batters[[#All],[PID]],0)),INDEX(Table3[[#All],[WE]],MATCH(Table5[[#This Row],[PID]],Table3[[#All],[PID]],0)))</f>
        <v>Normal</v>
      </c>
      <c r="K178" s="52" t="str">
        <f>IF($C178="B",INDEX(Batters[[#All],[INT]],MATCH(Table5[[#This Row],[PID]],Batters[[#All],[PID]],0)),INDEX(Table3[[#All],[INT]],MATCH(Table5[[#This Row],[PID]],Table3[[#All],[PID]],0)))</f>
        <v>Normal</v>
      </c>
      <c r="L178" s="60">
        <f>IF($C178="B",INDEX(Batters[[#All],[CON P]],MATCH(Table5[[#This Row],[PID]],Batters[[#All],[PID]],0)),INDEX(Table3[[#All],[STU P]],MATCH(Table5[[#This Row],[PID]],Table3[[#All],[PID]],0)))</f>
        <v>6</v>
      </c>
      <c r="M178" s="72">
        <f>IF($C178="B",INDEX(Batters[[#All],[GAP P]],MATCH(Table5[[#This Row],[PID]],Batters[[#All],[PID]],0)),INDEX(Table3[[#All],[MOV P]],MATCH(Table5[[#This Row],[PID]],Table3[[#All],[PID]],0)))</f>
        <v>4</v>
      </c>
      <c r="N178" s="72">
        <f>IF($C178="B",INDEX(Batters[[#All],[POW P]],MATCH(Table5[[#This Row],[PID]],Batters[[#All],[PID]],0)),INDEX(Table3[[#All],[CON P]],MATCH(Table5[[#This Row],[PID]],Table3[[#All],[PID]],0)))</f>
        <v>3</v>
      </c>
      <c r="O178" s="72" t="str">
        <f>IF($C178="B",INDEX(Batters[[#All],[EYE P]],MATCH(Table5[[#This Row],[PID]],Batters[[#All],[PID]],0)),INDEX(Table3[[#All],[VELO]],MATCH(Table5[[#This Row],[PID]],Table3[[#All],[PID]],0)))</f>
        <v>95-97 Mph</v>
      </c>
      <c r="P178" s="56">
        <f>IF($C178="B",INDEX(Batters[[#All],[K P]],MATCH(Table5[[#This Row],[PID]],Batters[[#All],[PID]],0)),INDEX(Table3[[#All],[STM]],MATCH(Table5[[#This Row],[PID]],Table3[[#All],[PID]],0)))</f>
        <v>10</v>
      </c>
      <c r="Q178" s="61">
        <f>IF($C178="B",INDEX(Batters[[#All],[Tot]],MATCH(Table5[[#This Row],[PID]],Batters[[#All],[PID]],0)),INDEX(Table3[[#All],[Tot]],MATCH(Table5[[#This Row],[PID]],Table3[[#All],[PID]],0)))</f>
        <v>48.149471077759259</v>
      </c>
      <c r="R178" s="52">
        <f>IF($C178="B",INDEX(Batters[[#All],[zScore]],MATCH(Table5[[#This Row],[PID]],Batters[[#All],[PID]],0)),INDEX(Table3[[#All],[zScore]],MATCH(Table5[[#This Row],[PID]],Table3[[#All],[PID]],0)))</f>
        <v>0.81689944959799443</v>
      </c>
      <c r="S178" s="78" t="str">
        <f>IF($C178="B",INDEX(Batters[[#All],[DEM]],MATCH(Table5[[#This Row],[PID]],Batters[[#All],[PID]],0)),INDEX(Table3[[#All],[DEM]],MATCH(Table5[[#This Row],[PID]],Table3[[#All],[PID]],0)))</f>
        <v>$650k</v>
      </c>
      <c r="T178" s="75">
        <f>IF($C178="B",INDEX(Batters[[#All],[Rnk]],MATCH(Table5[[#This Row],[PID]],Batters[[#All],[PID]],0)),INDEX(Table3[[#All],[Rnk]],MATCH(Table5[[#This Row],[PID]],Table3[[#All],[PID]],0)))</f>
        <v>167</v>
      </c>
      <c r="U178" s="68">
        <f>IF($C178="B",VLOOKUP($A178,Bat!$A$4:$BA$1621,47,FALSE),VLOOKUP($A178,Pit!$A$4:$BF$1557,56,FALSE))</f>
        <v>0</v>
      </c>
      <c r="V178" s="50">
        <f>IF($C178="B",VLOOKUP($A178,Bat!$A$4:$BA$1621,48,FALSE),VLOOKUP($A178,Pit!$A$4:$BF$1557,57,FALSE))</f>
        <v>0</v>
      </c>
      <c r="W178" s="69">
        <f>Table5[[#This Row],[posRnk]]+Table5[[#This Row],[zRnk]]+IF($W$3&lt;&gt;Table5[[#This Row],[Type]],50,0)</f>
        <v>496</v>
      </c>
      <c r="X178" s="73">
        <f>RANK(Table5[[#This Row],[zScore]],Table5[[#All],[zScore]])</f>
        <v>279</v>
      </c>
      <c r="Y178" s="69">
        <f>IFERROR(INDEX(DraftResults[[#All],[OVR]],MATCH(Table5[[#This Row],[PID]],DraftResults[[#All],[Player ID]],0)),"")</f>
        <v>174</v>
      </c>
      <c r="Z17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8" s="69">
        <f>IFERROR(INDEX(DraftResults[[#All],[Pick in Round]],MATCH(Table5[[#This Row],[PID]],DraftResults[[#All],[Player ID]],0)),"")</f>
        <v>16</v>
      </c>
      <c r="AB178" s="69" t="str">
        <f>IFERROR(INDEX(DraftResults[[#All],[Team Name]],MATCH(Table5[[#This Row],[PID]],DraftResults[[#All],[Player ID]],0)),"")</f>
        <v>San Antonio Calzones of Laredo</v>
      </c>
      <c r="AC178" s="69">
        <f>IF(Table5[[#This Row],[Ovr]]="","",IF(Table5[[#This Row],[cmbList]]="","",Table5[[#This Row],[cmbList]]-Table5[[#This Row],[Ovr]]))</f>
        <v>322</v>
      </c>
      <c r="AD178" s="77" t="str">
        <f>IF(ISERROR(VLOOKUP($AB178&amp;"-"&amp;$E178&amp;" "&amp;F178,Bonuses!$B$1:$G$1006,4,FALSE)),"",INT(VLOOKUP($AB178&amp;"-"&amp;$E178&amp;" "&amp;$F178,Bonuses!$B$1:$G$1006,4,FALSE)))</f>
        <v/>
      </c>
      <c r="AE17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6.16 (174) - SP Ron Green</v>
      </c>
    </row>
    <row r="179" spans="1:31" s="50" customFormat="1" x14ac:dyDescent="0.25">
      <c r="A179" s="50">
        <v>15280</v>
      </c>
      <c r="B179" s="50">
        <f>COUNTIF(Table5[PID],A179)</f>
        <v>1</v>
      </c>
      <c r="C179" s="50" t="str">
        <f>IF(COUNTIF(Table3[[#All],[PID]],A179)&gt;0,"P","B")</f>
        <v>B</v>
      </c>
      <c r="D179" s="59" t="str">
        <f>IF($C179="B",INDEX(Batters[[#All],[POS]],MATCH(Table5[[#This Row],[PID]],Batters[[#All],[PID]],0)),INDEX(Table3[[#All],[POS]],MATCH(Table5[[#This Row],[PID]],Table3[[#All],[PID]],0)))</f>
        <v>RF</v>
      </c>
      <c r="E179" s="52" t="str">
        <f>IF($C179="B",INDEX(Batters[[#All],[First]],MATCH(Table5[[#This Row],[PID]],Batters[[#All],[PID]],0)),INDEX(Table3[[#All],[First]],MATCH(Table5[[#This Row],[PID]],Table3[[#All],[PID]],0)))</f>
        <v>Jimmy</v>
      </c>
      <c r="F179" s="50" t="str">
        <f>IF($C179="B",INDEX(Batters[[#All],[Last]],MATCH(A179,Batters[[#All],[PID]],0)),INDEX(Table3[[#All],[Last]],MATCH(A179,Table3[[#All],[PID]],0)))</f>
        <v>Ernst</v>
      </c>
      <c r="G179" s="56">
        <f>IF($C179="B",INDEX(Batters[[#All],[Age]],MATCH(Table5[[#This Row],[PID]],Batters[[#All],[PID]],0)),INDEX(Table3[[#All],[Age]],MATCH(Table5[[#This Row],[PID]],Table3[[#All],[PID]],0)))</f>
        <v>18</v>
      </c>
      <c r="H179" s="52" t="str">
        <f>IF($C179="B",INDEX(Batters[[#All],[B]],MATCH(Table5[[#This Row],[PID]],Batters[[#All],[PID]],0)),INDEX(Table3[[#All],[B]],MATCH(Table5[[#This Row],[PID]],Table3[[#All],[PID]],0)))</f>
        <v>R</v>
      </c>
      <c r="I179" s="52" t="str">
        <f>IF($C179="B",INDEX(Batters[[#All],[T]],MATCH(Table5[[#This Row],[PID]],Batters[[#All],[PID]],0)),INDEX(Table3[[#All],[T]],MATCH(Table5[[#This Row],[PID]],Table3[[#All],[PID]],0)))</f>
        <v>R</v>
      </c>
      <c r="J179" s="52" t="str">
        <f>IF($C179="B",INDEX(Batters[[#All],[WE]],MATCH(Table5[[#This Row],[PID]],Batters[[#All],[PID]],0)),INDEX(Table3[[#All],[WE]],MATCH(Table5[[#This Row],[PID]],Table3[[#All],[PID]],0)))</f>
        <v>Normal</v>
      </c>
      <c r="K179" s="52" t="str">
        <f>IF($C179="B",INDEX(Batters[[#All],[INT]],MATCH(Table5[[#This Row],[PID]],Batters[[#All],[PID]],0)),INDEX(Table3[[#All],[INT]],MATCH(Table5[[#This Row],[PID]],Table3[[#All],[PID]],0)))</f>
        <v>Normal</v>
      </c>
      <c r="L179" s="60">
        <f>IF($C179="B",INDEX(Batters[[#All],[CON P]],MATCH(Table5[[#This Row],[PID]],Batters[[#All],[PID]],0)),INDEX(Table3[[#All],[STU P]],MATCH(Table5[[#This Row],[PID]],Table3[[#All],[PID]],0)))</f>
        <v>4</v>
      </c>
      <c r="M179" s="56">
        <f>IF($C179="B",INDEX(Batters[[#All],[GAP P]],MATCH(Table5[[#This Row],[PID]],Batters[[#All],[PID]],0)),INDEX(Table3[[#All],[MOV P]],MATCH(Table5[[#This Row],[PID]],Table3[[#All],[PID]],0)))</f>
        <v>7</v>
      </c>
      <c r="N179" s="56">
        <f>IF($C179="B",INDEX(Batters[[#All],[POW P]],MATCH(Table5[[#This Row],[PID]],Batters[[#All],[PID]],0)),INDEX(Table3[[#All],[CON P]],MATCH(Table5[[#This Row],[PID]],Table3[[#All],[PID]],0)))</f>
        <v>7</v>
      </c>
      <c r="O179" s="56">
        <f>IF($C179="B",INDEX(Batters[[#All],[EYE P]],MATCH(Table5[[#This Row],[PID]],Batters[[#All],[PID]],0)),INDEX(Table3[[#All],[VELO]],MATCH(Table5[[#This Row],[PID]],Table3[[#All],[PID]],0)))</f>
        <v>4</v>
      </c>
      <c r="P179" s="56">
        <f>IF($C179="B",INDEX(Batters[[#All],[K P]],MATCH(Table5[[#This Row],[PID]],Batters[[#All],[PID]],0)),INDEX(Table3[[#All],[STM]],MATCH(Table5[[#This Row],[PID]],Table3[[#All],[PID]],0)))</f>
        <v>3</v>
      </c>
      <c r="Q179" s="61">
        <f>IF($C179="B",INDEX(Batters[[#All],[Tot]],MATCH(Table5[[#This Row],[PID]],Batters[[#All],[PID]],0)),INDEX(Table3[[#All],[Tot]],MATCH(Table5[[#This Row],[PID]],Table3[[#All],[PID]],0)))</f>
        <v>50.277927292316335</v>
      </c>
      <c r="R179" s="52">
        <f>IF($C179="B",INDEX(Batters[[#All],[zScore]],MATCH(Table5[[#This Row],[PID]],Batters[[#All],[PID]],0)),INDEX(Table3[[#All],[zScore]],MATCH(Table5[[#This Row],[PID]],Table3[[#All],[PID]],0)))</f>
        <v>1.3626069874407756</v>
      </c>
      <c r="S179" s="58" t="str">
        <f>IF($C179="B",INDEX(Batters[[#All],[DEM]],MATCH(Table5[[#This Row],[PID]],Batters[[#All],[PID]],0)),INDEX(Table3[[#All],[DEM]],MATCH(Table5[[#This Row],[PID]],Table3[[#All],[PID]],0)))</f>
        <v>$220k</v>
      </c>
      <c r="T179" s="62">
        <f>IF($C179="B",INDEX(Batters[[#All],[Rnk]],MATCH(Table5[[#This Row],[PID]],Batters[[#All],[PID]],0)),INDEX(Table3[[#All],[Rnk]],MATCH(Table5[[#This Row],[PID]],Table3[[#All],[PID]],0)))</f>
        <v>53</v>
      </c>
      <c r="U179" s="68">
        <f>IF($C179="B",VLOOKUP($A179,Bat!$A$4:$BA$1621,47,FALSE),VLOOKUP($A179,Pit!$A$4:$BF$1557,56,FALSE))</f>
        <v>0</v>
      </c>
      <c r="V179" s="50">
        <f>IF($C179="B",VLOOKUP($A179,Bat!$A$4:$BA$1621,48,FALSE),VLOOKUP($A179,Pit!$A$4:$BF$1557,57,FALSE))</f>
        <v>0</v>
      </c>
      <c r="W179" s="50">
        <f>Table5[[#This Row],[posRnk]]+Table5[[#This Row],[zRnk]]+IF($W$3&lt;&gt;Table5[[#This Row],[Type]],50,0)</f>
        <v>246</v>
      </c>
      <c r="X179" s="51">
        <f>RANK(Table5[[#This Row],[zScore]],Table5[[#All],[zScore]])</f>
        <v>143</v>
      </c>
      <c r="Y179" s="50">
        <f>IFERROR(INDEX(DraftResults[[#All],[OVR]],MATCH(Table5[[#This Row],[PID]],DraftResults[[#All],[Player ID]],0)),"")</f>
        <v>175</v>
      </c>
      <c r="Z1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79" s="50">
        <f>IFERROR(INDEX(DraftResults[[#All],[Pick in Round]],MATCH(Table5[[#This Row],[PID]],DraftResults[[#All],[Player ID]],0)),"")</f>
        <v>17</v>
      </c>
      <c r="AB179" s="50" t="str">
        <f>IFERROR(INDEX(DraftResults[[#All],[Team Name]],MATCH(Table5[[#This Row],[PID]],DraftResults[[#All],[Player ID]],0)),"")</f>
        <v>Madison Malts</v>
      </c>
      <c r="AC179" s="50">
        <f>IF(Table5[[#This Row],[Ovr]]="","",IF(Table5[[#This Row],[cmbList]]="","",Table5[[#This Row],[cmbList]]-Table5[[#This Row],[Ovr]]))</f>
        <v>71</v>
      </c>
      <c r="AD179" s="54" t="str">
        <f>IF(ISERROR(VLOOKUP($AB179&amp;"-"&amp;$E179&amp;" "&amp;F179,Bonuses!$B$1:$G$1006,4,FALSE)),"",INT(VLOOKUP($AB179&amp;"-"&amp;$E179&amp;" "&amp;$F179,Bonuses!$B$1:$G$1006,4,FALSE)))</f>
        <v/>
      </c>
      <c r="AE1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6.17 (175) - RF Jimmy Ernst</v>
      </c>
    </row>
    <row r="180" spans="1:31" s="50" customFormat="1" x14ac:dyDescent="0.25">
      <c r="A180" s="50">
        <v>20311</v>
      </c>
      <c r="B180" s="50">
        <f>COUNTIF(Table5[PID],A180)</f>
        <v>1</v>
      </c>
      <c r="C180" s="50" t="str">
        <f>IF(COUNTIF(Table3[[#All],[PID]],A180)&gt;0,"P","B")</f>
        <v>B</v>
      </c>
      <c r="D180" s="59" t="str">
        <f>IF($C180="B",INDEX(Batters[[#All],[POS]],MATCH(Table5[[#This Row],[PID]],Batters[[#All],[PID]],0)),INDEX(Table3[[#All],[POS]],MATCH(Table5[[#This Row],[PID]],Table3[[#All],[PID]],0)))</f>
        <v>1B</v>
      </c>
      <c r="E180" s="52" t="str">
        <f>IF($C180="B",INDEX(Batters[[#All],[First]],MATCH(Table5[[#This Row],[PID]],Batters[[#All],[PID]],0)),INDEX(Table3[[#All],[First]],MATCH(Table5[[#This Row],[PID]],Table3[[#All],[PID]],0)))</f>
        <v>Dan</v>
      </c>
      <c r="F180" s="50" t="str">
        <f>IF($C180="B",INDEX(Batters[[#All],[Last]],MATCH(A180,Batters[[#All],[PID]],0)),INDEX(Table3[[#All],[Last]],MATCH(A180,Table3[[#All],[PID]],0)))</f>
        <v>Carter</v>
      </c>
      <c r="G180" s="56">
        <f>IF($C180="B",INDEX(Batters[[#All],[Age]],MATCH(Table5[[#This Row],[PID]],Batters[[#All],[PID]],0)),INDEX(Table3[[#All],[Age]],MATCH(Table5[[#This Row],[PID]],Table3[[#All],[PID]],0)))</f>
        <v>18</v>
      </c>
      <c r="H180" s="52" t="str">
        <f>IF($C180="B",INDEX(Batters[[#All],[B]],MATCH(Table5[[#This Row],[PID]],Batters[[#All],[PID]],0)),INDEX(Table3[[#All],[B]],MATCH(Table5[[#This Row],[PID]],Table3[[#All],[PID]],0)))</f>
        <v>L</v>
      </c>
      <c r="I180" s="52" t="str">
        <f>IF($C180="B",INDEX(Batters[[#All],[T]],MATCH(Table5[[#This Row],[PID]],Batters[[#All],[PID]],0)),INDEX(Table3[[#All],[T]],MATCH(Table5[[#This Row],[PID]],Table3[[#All],[PID]],0)))</f>
        <v>L</v>
      </c>
      <c r="J180" s="52" t="str">
        <f>IF($C180="B",INDEX(Batters[[#All],[WE]],MATCH(Table5[[#This Row],[PID]],Batters[[#All],[PID]],0)),INDEX(Table3[[#All],[WE]],MATCH(Table5[[#This Row],[PID]],Table3[[#All],[PID]],0)))</f>
        <v>Normal</v>
      </c>
      <c r="K180" s="52" t="str">
        <f>IF($C180="B",INDEX(Batters[[#All],[INT]],MATCH(Table5[[#This Row],[PID]],Batters[[#All],[PID]],0)),INDEX(Table3[[#All],[INT]],MATCH(Table5[[#This Row],[PID]],Table3[[#All],[PID]],0)))</f>
        <v>Normal</v>
      </c>
      <c r="L180" s="60">
        <f>IF($C180="B",INDEX(Batters[[#All],[CON P]],MATCH(Table5[[#This Row],[PID]],Batters[[#All],[PID]],0)),INDEX(Table3[[#All],[STU P]],MATCH(Table5[[#This Row],[PID]],Table3[[#All],[PID]],0)))</f>
        <v>4</v>
      </c>
      <c r="M180" s="56">
        <f>IF($C180="B",INDEX(Batters[[#All],[GAP P]],MATCH(Table5[[#This Row],[PID]],Batters[[#All],[PID]],0)),INDEX(Table3[[#All],[MOV P]],MATCH(Table5[[#This Row],[PID]],Table3[[#All],[PID]],0)))</f>
        <v>4</v>
      </c>
      <c r="N180" s="56">
        <f>IF($C180="B",INDEX(Batters[[#All],[POW P]],MATCH(Table5[[#This Row],[PID]],Batters[[#All],[PID]],0)),INDEX(Table3[[#All],[CON P]],MATCH(Table5[[#This Row],[PID]],Table3[[#All],[PID]],0)))</f>
        <v>6</v>
      </c>
      <c r="O180" s="56">
        <f>IF($C180="B",INDEX(Batters[[#All],[EYE P]],MATCH(Table5[[#This Row],[PID]],Batters[[#All],[PID]],0)),INDEX(Table3[[#All],[VELO]],MATCH(Table5[[#This Row],[PID]],Table3[[#All],[PID]],0)))</f>
        <v>6</v>
      </c>
      <c r="P180" s="56">
        <f>IF($C180="B",INDEX(Batters[[#All],[K P]],MATCH(Table5[[#This Row],[PID]],Batters[[#All],[PID]],0)),INDEX(Table3[[#All],[STM]],MATCH(Table5[[#This Row],[PID]],Table3[[#All],[PID]],0)))</f>
        <v>4</v>
      </c>
      <c r="Q180" s="61">
        <f>IF($C180="B",INDEX(Batters[[#All],[Tot]],MATCH(Table5[[#This Row],[PID]],Batters[[#All],[PID]],0)),INDEX(Table3[[#All],[Tot]],MATCH(Table5[[#This Row],[PID]],Table3[[#All],[PID]],0)))</f>
        <v>50.084428458250912</v>
      </c>
      <c r="R180" s="52">
        <f>IF($C180="B",INDEX(Batters[[#All],[zScore]],MATCH(Table5[[#This Row],[PID]],Batters[[#All],[PID]],0)),INDEX(Table3[[#All],[zScore]],MATCH(Table5[[#This Row],[PID]],Table3[[#All],[PID]],0)))</f>
        <v>1.3197069879977386</v>
      </c>
      <c r="S180" s="58" t="str">
        <f>IF($C180="B",INDEX(Batters[[#All],[DEM]],MATCH(Table5[[#This Row],[PID]],Batters[[#All],[PID]],0)),INDEX(Table3[[#All],[DEM]],MATCH(Table5[[#This Row],[PID]],Table3[[#All],[PID]],0)))</f>
        <v>$65k</v>
      </c>
      <c r="T180" s="62">
        <f>IF($C180="B",INDEX(Batters[[#All],[Rnk]],MATCH(Table5[[#This Row],[PID]],Batters[[#All],[PID]],0)),INDEX(Table3[[#All],[Rnk]],MATCH(Table5[[#This Row],[PID]],Table3[[#All],[PID]],0)))</f>
        <v>56</v>
      </c>
      <c r="U180" s="68">
        <f>IF($C180="B",VLOOKUP($A180,Bat!$A$4:$BA$1621,47,FALSE),VLOOKUP($A180,Pit!$A$4:$BF$1557,56,FALSE))</f>
        <v>0</v>
      </c>
      <c r="V180" s="50">
        <f>IF($C180="B",VLOOKUP($A180,Bat!$A$4:$BA$1621,48,FALSE),VLOOKUP($A180,Pit!$A$4:$BF$1557,57,FALSE))</f>
        <v>0</v>
      </c>
      <c r="W180" s="50">
        <f>Table5[[#This Row],[posRnk]]+Table5[[#This Row],[zRnk]]+IF($W$3&lt;&gt;Table5[[#This Row],[Type]],50,0)</f>
        <v>263</v>
      </c>
      <c r="X180" s="51">
        <f>RANK(Table5[[#This Row],[zScore]],Table5[[#All],[zScore]])</f>
        <v>157</v>
      </c>
      <c r="Y180" s="50">
        <f>IFERROR(INDEX(DraftResults[[#All],[OVR]],MATCH(Table5[[#This Row],[PID]],DraftResults[[#All],[Player ID]],0)),"")</f>
        <v>176</v>
      </c>
      <c r="Z1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0" s="50">
        <f>IFERROR(INDEX(DraftResults[[#All],[Pick in Round]],MATCH(Table5[[#This Row],[PID]],DraftResults[[#All],[Player ID]],0)),"")</f>
        <v>18</v>
      </c>
      <c r="AB180" s="50" t="str">
        <f>IFERROR(INDEX(DraftResults[[#All],[Team Name]],MATCH(Table5[[#This Row],[PID]],DraftResults[[#All],[Player ID]],0)),"")</f>
        <v>Bakersfield Bears</v>
      </c>
      <c r="AC180" s="50">
        <f>IF(Table5[[#This Row],[Ovr]]="","",IF(Table5[[#This Row],[cmbList]]="","",Table5[[#This Row],[cmbList]]-Table5[[#This Row],[Ovr]]))</f>
        <v>87</v>
      </c>
      <c r="AD180" s="54" t="str">
        <f>IF(ISERROR(VLOOKUP($AB180&amp;"-"&amp;$E180&amp;" "&amp;F180,Bonuses!$B$1:$G$1006,4,FALSE)),"",INT(VLOOKUP($AB180&amp;"-"&amp;$E180&amp;" "&amp;$F180,Bonuses!$B$1:$G$1006,4,FALSE)))</f>
        <v/>
      </c>
      <c r="AE1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6.18 (176) - 1B Dan Carter</v>
      </c>
    </row>
    <row r="181" spans="1:31" s="50" customFormat="1" x14ac:dyDescent="0.25">
      <c r="A181" s="50">
        <v>20571</v>
      </c>
      <c r="B181" s="50">
        <f>COUNTIF(Table5[PID],A181)</f>
        <v>1</v>
      </c>
      <c r="C181" s="50" t="str">
        <f>IF(COUNTIF(Table3[[#All],[PID]],A181)&gt;0,"P","B")</f>
        <v>B</v>
      </c>
      <c r="D181" s="59" t="str">
        <f>IF($C181="B",INDEX(Batters[[#All],[POS]],MATCH(Table5[[#This Row],[PID]],Batters[[#All],[PID]],0)),INDEX(Table3[[#All],[POS]],MATCH(Table5[[#This Row],[PID]],Table3[[#All],[PID]],0)))</f>
        <v>RF</v>
      </c>
      <c r="E181" s="52" t="str">
        <f>IF($C181="B",INDEX(Batters[[#All],[First]],MATCH(Table5[[#This Row],[PID]],Batters[[#All],[PID]],0)),INDEX(Table3[[#All],[First]],MATCH(Table5[[#This Row],[PID]],Table3[[#All],[PID]],0)))</f>
        <v>Al</v>
      </c>
      <c r="F181" s="50" t="str">
        <f>IF($C181="B",INDEX(Batters[[#All],[Last]],MATCH(A181,Batters[[#All],[PID]],0)),INDEX(Table3[[#All],[Last]],MATCH(A181,Table3[[#All],[PID]],0)))</f>
        <v>Howell</v>
      </c>
      <c r="G181" s="56">
        <f>IF($C181="B",INDEX(Batters[[#All],[Age]],MATCH(Table5[[#This Row],[PID]],Batters[[#All],[PID]],0)),INDEX(Table3[[#All],[Age]],MATCH(Table5[[#This Row],[PID]],Table3[[#All],[PID]],0)))</f>
        <v>18</v>
      </c>
      <c r="H181" s="52" t="str">
        <f>IF($C181="B",INDEX(Batters[[#All],[B]],MATCH(Table5[[#This Row],[PID]],Batters[[#All],[PID]],0)),INDEX(Table3[[#All],[B]],MATCH(Table5[[#This Row],[PID]],Table3[[#All],[PID]],0)))</f>
        <v>L</v>
      </c>
      <c r="I181" s="52" t="str">
        <f>IF($C181="B",INDEX(Batters[[#All],[T]],MATCH(Table5[[#This Row],[PID]],Batters[[#All],[PID]],0)),INDEX(Table3[[#All],[T]],MATCH(Table5[[#This Row],[PID]],Table3[[#All],[PID]],0)))</f>
        <v>L</v>
      </c>
      <c r="J181" s="52" t="str">
        <f>IF($C181="B",INDEX(Batters[[#All],[WE]],MATCH(Table5[[#This Row],[PID]],Batters[[#All],[PID]],0)),INDEX(Table3[[#All],[WE]],MATCH(Table5[[#This Row],[PID]],Table3[[#All],[PID]],0)))</f>
        <v>Normal</v>
      </c>
      <c r="K181" s="52" t="str">
        <f>IF($C181="B",INDEX(Batters[[#All],[INT]],MATCH(Table5[[#This Row],[PID]],Batters[[#All],[PID]],0)),INDEX(Table3[[#All],[INT]],MATCH(Table5[[#This Row],[PID]],Table3[[#All],[PID]],0)))</f>
        <v>Low</v>
      </c>
      <c r="L181" s="60">
        <f>IF($C181="B",INDEX(Batters[[#All],[CON P]],MATCH(Table5[[#This Row],[PID]],Batters[[#All],[PID]],0)),INDEX(Table3[[#All],[STU P]],MATCH(Table5[[#This Row],[PID]],Table3[[#All],[PID]],0)))</f>
        <v>3</v>
      </c>
      <c r="M181" s="56">
        <f>IF($C181="B",INDEX(Batters[[#All],[GAP P]],MATCH(Table5[[#This Row],[PID]],Batters[[#All],[PID]],0)),INDEX(Table3[[#All],[MOV P]],MATCH(Table5[[#This Row],[PID]],Table3[[#All],[PID]],0)))</f>
        <v>4</v>
      </c>
      <c r="N181" s="56">
        <f>IF($C181="B",INDEX(Batters[[#All],[POW P]],MATCH(Table5[[#This Row],[PID]],Batters[[#All],[PID]],0)),INDEX(Table3[[#All],[CON P]],MATCH(Table5[[#This Row],[PID]],Table3[[#All],[PID]],0)))</f>
        <v>9</v>
      </c>
      <c r="O181" s="56">
        <f>IF($C181="B",INDEX(Batters[[#All],[EYE P]],MATCH(Table5[[#This Row],[PID]],Batters[[#All],[PID]],0)),INDEX(Table3[[#All],[VELO]],MATCH(Table5[[#This Row],[PID]],Table3[[#All],[PID]],0)))</f>
        <v>6</v>
      </c>
      <c r="P181" s="56">
        <f>IF($C181="B",INDEX(Batters[[#All],[K P]],MATCH(Table5[[#This Row],[PID]],Batters[[#All],[PID]],0)),INDEX(Table3[[#All],[STM]],MATCH(Table5[[#This Row],[PID]],Table3[[#All],[PID]],0)))</f>
        <v>2</v>
      </c>
      <c r="Q181" s="61">
        <f>IF($C181="B",INDEX(Batters[[#All],[Tot]],MATCH(Table5[[#This Row],[PID]],Batters[[#All],[PID]],0)),INDEX(Table3[[#All],[Tot]],MATCH(Table5[[#This Row],[PID]],Table3[[#All],[PID]],0)))</f>
        <v>47.951886202471655</v>
      </c>
      <c r="R181" s="52">
        <f>IF($C181="B",INDEX(Batters[[#All],[zScore]],MATCH(Table5[[#This Row],[PID]],Batters[[#All],[PID]],0)),INDEX(Table3[[#All],[zScore]],MATCH(Table5[[#This Row],[PID]],Table3[[#All],[PID]],0)))</f>
        <v>0.84690795524361273</v>
      </c>
      <c r="S181" s="58" t="str">
        <f>IF($C181="B",INDEX(Batters[[#All],[DEM]],MATCH(Table5[[#This Row],[PID]],Batters[[#All],[PID]],0)),INDEX(Table3[[#All],[DEM]],MATCH(Table5[[#This Row],[PID]],Table3[[#All],[PID]],0)))</f>
        <v>$200k</v>
      </c>
      <c r="T181" s="62">
        <f>IF($C181="B",INDEX(Batters[[#All],[Rnk]],MATCH(Table5[[#This Row],[PID]],Batters[[#All],[PID]],0)),INDEX(Table3[[#All],[Rnk]],MATCH(Table5[[#This Row],[PID]],Table3[[#All],[PID]],0)))</f>
        <v>111</v>
      </c>
      <c r="U181" s="68">
        <f>IF($C181="B",VLOOKUP($A181,Bat!$A$4:$BA$1621,47,FALSE),VLOOKUP($A181,Pit!$A$4:$BF$1557,56,FALSE))</f>
        <v>0</v>
      </c>
      <c r="V181" s="50">
        <f>IF($C181="B",VLOOKUP($A181,Bat!$A$4:$BA$1621,48,FALSE),VLOOKUP($A181,Pit!$A$4:$BF$1557,57,FALSE))</f>
        <v>0</v>
      </c>
      <c r="W181" s="50">
        <f>Table5[[#This Row],[posRnk]]+Table5[[#This Row],[zRnk]]+IF($W$3&lt;&gt;Table5[[#This Row],[Type]],50,0)</f>
        <v>435</v>
      </c>
      <c r="X181" s="51">
        <f>RANK(Table5[[#This Row],[zScore]],Table5[[#All],[zScore]])</f>
        <v>274</v>
      </c>
      <c r="Y181" s="50">
        <f>IFERROR(INDEX(DraftResults[[#All],[OVR]],MATCH(Table5[[#This Row],[PID]],DraftResults[[#All],[Player ID]],0)),"")</f>
        <v>177</v>
      </c>
      <c r="Z1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1" s="50">
        <f>IFERROR(INDEX(DraftResults[[#All],[Pick in Round]],MATCH(Table5[[#This Row],[PID]],DraftResults[[#All],[Player ID]],0)),"")</f>
        <v>19</v>
      </c>
      <c r="AB181" s="50" t="str">
        <f>IFERROR(INDEX(DraftResults[[#All],[Team Name]],MATCH(Table5[[#This Row],[PID]],DraftResults[[#All],[Player ID]],0)),"")</f>
        <v>Kalamazoo Badgers</v>
      </c>
      <c r="AC181" s="50">
        <f>IF(Table5[[#This Row],[Ovr]]="","",IF(Table5[[#This Row],[cmbList]]="","",Table5[[#This Row],[cmbList]]-Table5[[#This Row],[Ovr]]))</f>
        <v>258</v>
      </c>
      <c r="AD181" s="54" t="str">
        <f>IF(ISERROR(VLOOKUP($AB181&amp;"-"&amp;$E181&amp;" "&amp;F181,Bonuses!$B$1:$G$1006,4,FALSE)),"",INT(VLOOKUP($AB181&amp;"-"&amp;$E181&amp;" "&amp;$F181,Bonuses!$B$1:$G$1006,4,FALSE)))</f>
        <v/>
      </c>
      <c r="AE1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6.19 (177) - RF Al Howell</v>
      </c>
    </row>
    <row r="182" spans="1:31" s="50" customFormat="1" x14ac:dyDescent="0.25">
      <c r="A182" s="50">
        <v>12261</v>
      </c>
      <c r="B182" s="50">
        <f>COUNTIF(Table5[PID],A182)</f>
        <v>1</v>
      </c>
      <c r="C182" s="50" t="str">
        <f>IF(COUNTIF(Table3[[#All],[PID]],A182)&gt;0,"P","B")</f>
        <v>P</v>
      </c>
      <c r="D182" s="59" t="str">
        <f>IF($C182="B",INDEX(Batters[[#All],[POS]],MATCH(Table5[[#This Row],[PID]],Batters[[#All],[PID]],0)),INDEX(Table3[[#All],[POS]],MATCH(Table5[[#This Row],[PID]],Table3[[#All],[PID]],0)))</f>
        <v>RP</v>
      </c>
      <c r="E182" s="52" t="str">
        <f>IF($C182="B",INDEX(Batters[[#All],[First]],MATCH(Table5[[#This Row],[PID]],Batters[[#All],[PID]],0)),INDEX(Table3[[#All],[First]],MATCH(Table5[[#This Row],[PID]],Table3[[#All],[PID]],0)))</f>
        <v>John</v>
      </c>
      <c r="F182" s="50" t="str">
        <f>IF($C182="B",INDEX(Batters[[#All],[Last]],MATCH(A182,Batters[[#All],[PID]],0)),INDEX(Table3[[#All],[Last]],MATCH(A182,Table3[[#All],[PID]],0)))</f>
        <v>Lee</v>
      </c>
      <c r="G182" s="56">
        <f>IF($C182="B",INDEX(Batters[[#All],[Age]],MATCH(Table5[[#This Row],[PID]],Batters[[#All],[PID]],0)),INDEX(Table3[[#All],[Age]],MATCH(Table5[[#This Row],[PID]],Table3[[#All],[PID]],0)))</f>
        <v>18</v>
      </c>
      <c r="H182" s="52" t="str">
        <f>IF($C182="B",INDEX(Batters[[#All],[B]],MATCH(Table5[[#This Row],[PID]],Batters[[#All],[PID]],0)),INDEX(Table3[[#All],[B]],MATCH(Table5[[#This Row],[PID]],Table3[[#All],[PID]],0)))</f>
        <v>R</v>
      </c>
      <c r="I182" s="52" t="str">
        <f>IF($C182="B",INDEX(Batters[[#All],[T]],MATCH(Table5[[#This Row],[PID]],Batters[[#All],[PID]],0)),INDEX(Table3[[#All],[T]],MATCH(Table5[[#This Row],[PID]],Table3[[#All],[PID]],0)))</f>
        <v>R</v>
      </c>
      <c r="J182" s="52" t="str">
        <f>IF($C182="B",INDEX(Batters[[#All],[WE]],MATCH(Table5[[#This Row],[PID]],Batters[[#All],[PID]],0)),INDEX(Table3[[#All],[WE]],MATCH(Table5[[#This Row],[PID]],Table3[[#All],[PID]],0)))</f>
        <v>Low</v>
      </c>
      <c r="K182" s="52" t="str">
        <f>IF($C182="B",INDEX(Batters[[#All],[INT]],MATCH(Table5[[#This Row],[PID]],Batters[[#All],[PID]],0)),INDEX(Table3[[#All],[INT]],MATCH(Table5[[#This Row],[PID]],Table3[[#All],[PID]],0)))</f>
        <v>Normal</v>
      </c>
      <c r="L182" s="60">
        <f>IF($C182="B",INDEX(Batters[[#All],[CON P]],MATCH(Table5[[#This Row],[PID]],Batters[[#All],[PID]],0)),INDEX(Table3[[#All],[STU P]],MATCH(Table5[[#This Row],[PID]],Table3[[#All],[PID]],0)))</f>
        <v>6</v>
      </c>
      <c r="M182" s="56">
        <f>IF($C182="B",INDEX(Batters[[#All],[GAP P]],MATCH(Table5[[#This Row],[PID]],Batters[[#All],[PID]],0)),INDEX(Table3[[#All],[MOV P]],MATCH(Table5[[#This Row],[PID]],Table3[[#All],[PID]],0)))</f>
        <v>5</v>
      </c>
      <c r="N182" s="56">
        <f>IF($C182="B",INDEX(Batters[[#All],[POW P]],MATCH(Table5[[#This Row],[PID]],Batters[[#All],[PID]],0)),INDEX(Table3[[#All],[CON P]],MATCH(Table5[[#This Row],[PID]],Table3[[#All],[PID]],0)))</f>
        <v>5</v>
      </c>
      <c r="O182" s="56" t="str">
        <f>IF($C182="B",INDEX(Batters[[#All],[EYE P]],MATCH(Table5[[#This Row],[PID]],Batters[[#All],[PID]],0)),INDEX(Table3[[#All],[VELO]],MATCH(Table5[[#This Row],[PID]],Table3[[#All],[PID]],0)))</f>
        <v>91-93 Mph</v>
      </c>
      <c r="P182" s="56">
        <f>IF($C182="B",INDEX(Batters[[#All],[K P]],MATCH(Table5[[#This Row],[PID]],Batters[[#All],[PID]],0)),INDEX(Table3[[#All],[STM]],MATCH(Table5[[#This Row],[PID]],Table3[[#All],[PID]],0)))</f>
        <v>7</v>
      </c>
      <c r="Q182" s="61">
        <f>IF($C182="B",INDEX(Batters[[#All],[Tot]],MATCH(Table5[[#This Row],[PID]],Batters[[#All],[PID]],0)),INDEX(Table3[[#All],[Tot]],MATCH(Table5[[#This Row],[PID]],Table3[[#All],[PID]],0)))</f>
        <v>64.457253065634404</v>
      </c>
      <c r="R182" s="52">
        <f>IF($C182="B",INDEX(Batters[[#All],[zScore]],MATCH(Table5[[#This Row],[PID]],Batters[[#All],[PID]],0)),INDEX(Table3[[#All],[zScore]],MATCH(Table5[[#This Row],[PID]],Table3[[#All],[PID]],0)))</f>
        <v>1.9018312651854765</v>
      </c>
      <c r="S182" s="58" t="str">
        <f>IF($C182="B",INDEX(Batters[[#All],[DEM]],MATCH(Table5[[#This Row],[PID]],Batters[[#All],[PID]],0)),INDEX(Table3[[#All],[DEM]],MATCH(Table5[[#This Row],[PID]],Table3[[#All],[PID]],0)))</f>
        <v>$200k</v>
      </c>
      <c r="T182" s="62">
        <f>IF($C182="B",INDEX(Batters[[#All],[Rnk]],MATCH(Table5[[#This Row],[PID]],Batters[[#All],[PID]],0)),INDEX(Table3[[#All],[Rnk]],MATCH(Table5[[#This Row],[PID]],Table3[[#All],[PID]],0)))</f>
        <v>37</v>
      </c>
      <c r="U182" s="68">
        <f>IF($C182="B",VLOOKUP($A182,Bat!$A$4:$BA$1621,47,FALSE),VLOOKUP($A182,Pit!$A$4:$BF$1557,56,FALSE))</f>
        <v>0</v>
      </c>
      <c r="V182" s="50">
        <f>IF($C182="B",VLOOKUP($A182,Bat!$A$4:$BA$1621,48,FALSE),VLOOKUP($A182,Pit!$A$4:$BF$1557,57,FALSE))</f>
        <v>0</v>
      </c>
      <c r="W182" s="50">
        <f>Table5[[#This Row],[posRnk]]+Table5[[#This Row],[zRnk]]+IF($W$3&lt;&gt;Table5[[#This Row],[Type]],50,0)</f>
        <v>145</v>
      </c>
      <c r="X182" s="51">
        <f>RANK(Table5[[#This Row],[zScore]],Table5[[#All],[zScore]])</f>
        <v>58</v>
      </c>
      <c r="Y182" s="50">
        <f>IFERROR(INDEX(DraftResults[[#All],[OVR]],MATCH(Table5[[#This Row],[PID]],DraftResults[[#All],[Player ID]],0)),"")</f>
        <v>178</v>
      </c>
      <c r="Z1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2" s="50">
        <f>IFERROR(INDEX(DraftResults[[#All],[Pick in Round]],MATCH(Table5[[#This Row],[PID]],DraftResults[[#All],[Player ID]],0)),"")</f>
        <v>20</v>
      </c>
      <c r="AB182" s="50" t="str">
        <f>IFERROR(INDEX(DraftResults[[#All],[Team Name]],MATCH(Table5[[#This Row],[PID]],DraftResults[[#All],[Player ID]],0)),"")</f>
        <v>Amsterdam Lions</v>
      </c>
      <c r="AC182" s="50">
        <f>IF(Table5[[#This Row],[Ovr]]="","",IF(Table5[[#This Row],[cmbList]]="","",Table5[[#This Row],[cmbList]]-Table5[[#This Row],[Ovr]]))</f>
        <v>-33</v>
      </c>
      <c r="AD182" s="54" t="str">
        <f>IF(ISERROR(VLOOKUP($AB182&amp;"-"&amp;$E182&amp;" "&amp;F182,Bonuses!$B$1:$G$1006,4,FALSE)),"",INT(VLOOKUP($AB182&amp;"-"&amp;$E182&amp;" "&amp;$F182,Bonuses!$B$1:$G$1006,4,FALSE)))</f>
        <v/>
      </c>
      <c r="AE1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6.20 (178) - RP John Lee</v>
      </c>
    </row>
    <row r="183" spans="1:31" s="50" customFormat="1" x14ac:dyDescent="0.25">
      <c r="A183" s="50">
        <v>21098</v>
      </c>
      <c r="B183" s="50">
        <f>COUNTIF(Table5[PID],A183)</f>
        <v>1</v>
      </c>
      <c r="C183" s="50" t="str">
        <f>IF(COUNTIF(Table3[[#All],[PID]],A183)&gt;0,"P","B")</f>
        <v>B</v>
      </c>
      <c r="D183" s="59" t="str">
        <f>IF($C183="B",INDEX(Batters[[#All],[POS]],MATCH(Table5[[#This Row],[PID]],Batters[[#All],[PID]],0)),INDEX(Table3[[#All],[POS]],MATCH(Table5[[#This Row],[PID]],Table3[[#All],[PID]],0)))</f>
        <v>2B</v>
      </c>
      <c r="E183" s="52" t="str">
        <f>IF($C183="B",INDEX(Batters[[#All],[First]],MATCH(Table5[[#This Row],[PID]],Batters[[#All],[PID]],0)),INDEX(Table3[[#All],[First]],MATCH(Table5[[#This Row],[PID]],Table3[[#All],[PID]],0)))</f>
        <v>Jim</v>
      </c>
      <c r="F183" s="50" t="str">
        <f>IF($C183="B",INDEX(Batters[[#All],[Last]],MATCH(A183,Batters[[#All],[PID]],0)),INDEX(Table3[[#All],[Last]],MATCH(A183,Table3[[#All],[PID]],0)))</f>
        <v>Hall</v>
      </c>
      <c r="G183" s="56">
        <f>IF($C183="B",INDEX(Batters[[#All],[Age]],MATCH(Table5[[#This Row],[PID]],Batters[[#All],[PID]],0)),INDEX(Table3[[#All],[Age]],MATCH(Table5[[#This Row],[PID]],Table3[[#All],[PID]],0)))</f>
        <v>18</v>
      </c>
      <c r="H183" s="52" t="str">
        <f>IF($C183="B",INDEX(Batters[[#All],[B]],MATCH(Table5[[#This Row],[PID]],Batters[[#All],[PID]],0)),INDEX(Table3[[#All],[B]],MATCH(Table5[[#This Row],[PID]],Table3[[#All],[PID]],0)))</f>
        <v>R</v>
      </c>
      <c r="I183" s="52" t="str">
        <f>IF($C183="B",INDEX(Batters[[#All],[T]],MATCH(Table5[[#This Row],[PID]],Batters[[#All],[PID]],0)),INDEX(Table3[[#All],[T]],MATCH(Table5[[#This Row],[PID]],Table3[[#All],[PID]],0)))</f>
        <v>R</v>
      </c>
      <c r="J183" s="52" t="str">
        <f>IF($C183="B",INDEX(Batters[[#All],[WE]],MATCH(Table5[[#This Row],[PID]],Batters[[#All],[PID]],0)),INDEX(Table3[[#All],[WE]],MATCH(Table5[[#This Row],[PID]],Table3[[#All],[PID]],0)))</f>
        <v>Normal</v>
      </c>
      <c r="K183" s="52" t="str">
        <f>IF($C183="B",INDEX(Batters[[#All],[INT]],MATCH(Table5[[#This Row],[PID]],Batters[[#All],[PID]],0)),INDEX(Table3[[#All],[INT]],MATCH(Table5[[#This Row],[PID]],Table3[[#All],[PID]],0)))</f>
        <v>Normal</v>
      </c>
      <c r="L183" s="60">
        <f>IF($C183="B",INDEX(Batters[[#All],[CON P]],MATCH(Table5[[#This Row],[PID]],Batters[[#All],[PID]],0)),INDEX(Table3[[#All],[STU P]],MATCH(Table5[[#This Row],[PID]],Table3[[#All],[PID]],0)))</f>
        <v>4</v>
      </c>
      <c r="M183" s="56">
        <f>IF($C183="B",INDEX(Batters[[#All],[GAP P]],MATCH(Table5[[#This Row],[PID]],Batters[[#All],[PID]],0)),INDEX(Table3[[#All],[MOV P]],MATCH(Table5[[#This Row],[PID]],Table3[[#All],[PID]],0)))</f>
        <v>5</v>
      </c>
      <c r="N183" s="56">
        <f>IF($C183="B",INDEX(Batters[[#All],[POW P]],MATCH(Table5[[#This Row],[PID]],Batters[[#All],[PID]],0)),INDEX(Table3[[#All],[CON P]],MATCH(Table5[[#This Row],[PID]],Table3[[#All],[PID]],0)))</f>
        <v>5</v>
      </c>
      <c r="O183" s="56">
        <f>IF($C183="B",INDEX(Batters[[#All],[EYE P]],MATCH(Table5[[#This Row],[PID]],Batters[[#All],[PID]],0)),INDEX(Table3[[#All],[VELO]],MATCH(Table5[[#This Row],[PID]],Table3[[#All],[PID]],0)))</f>
        <v>5</v>
      </c>
      <c r="P183" s="56">
        <f>IF($C183="B",INDEX(Batters[[#All],[K P]],MATCH(Table5[[#This Row],[PID]],Batters[[#All],[PID]],0)),INDEX(Table3[[#All],[STM]],MATCH(Table5[[#This Row],[PID]],Table3[[#All],[PID]],0)))</f>
        <v>6</v>
      </c>
      <c r="Q183" s="61">
        <f>IF($C183="B",INDEX(Batters[[#All],[Tot]],MATCH(Table5[[#This Row],[PID]],Batters[[#All],[PID]],0)),INDEX(Table3[[#All],[Tot]],MATCH(Table5[[#This Row],[PID]],Table3[[#All],[PID]],0)))</f>
        <v>49.549732432076866</v>
      </c>
      <c r="R183" s="52">
        <f>IF($C183="B",INDEX(Batters[[#All],[zScore]],MATCH(Table5[[#This Row],[PID]],Batters[[#All],[PID]],0)),INDEX(Table3[[#All],[zScore]],MATCH(Table5[[#This Row],[PID]],Table3[[#All],[PID]],0)))</f>
        <v>1.2011612647852405</v>
      </c>
      <c r="S183" s="58" t="str">
        <f>IF($C183="B",INDEX(Batters[[#All],[DEM]],MATCH(Table5[[#This Row],[PID]],Batters[[#All],[PID]],0)),INDEX(Table3[[#All],[DEM]],MATCH(Table5[[#This Row],[PID]],Table3[[#All],[PID]],0)))</f>
        <v>$200k</v>
      </c>
      <c r="T183" s="62">
        <f>IF($C183="B",INDEX(Batters[[#All],[Rnk]],MATCH(Table5[[#This Row],[PID]],Batters[[#All],[PID]],0)),INDEX(Table3[[#All],[Rnk]],MATCH(Table5[[#This Row],[PID]],Table3[[#All],[PID]],0)))</f>
        <v>69</v>
      </c>
      <c r="U183" s="68">
        <f>IF($C183="B",VLOOKUP($A183,Bat!$A$4:$BA$1621,47,FALSE),VLOOKUP($A183,Pit!$A$4:$BF$1557,56,FALSE))</f>
        <v>0</v>
      </c>
      <c r="V183" s="50">
        <f>IF($C183="B",VLOOKUP($A183,Bat!$A$4:$BA$1621,48,FALSE),VLOOKUP($A183,Pit!$A$4:$BF$1557,57,FALSE))</f>
        <v>0</v>
      </c>
      <c r="W183" s="50">
        <f>Table5[[#This Row],[posRnk]]+Table5[[#This Row],[zRnk]]+IF($W$3&lt;&gt;Table5[[#This Row],[Type]],50,0)</f>
        <v>301</v>
      </c>
      <c r="X183" s="51">
        <f>RANK(Table5[[#This Row],[zScore]],Table5[[#All],[zScore]])</f>
        <v>182</v>
      </c>
      <c r="Y183" s="50">
        <f>IFERROR(INDEX(DraftResults[[#All],[OVR]],MATCH(Table5[[#This Row],[PID]],DraftResults[[#All],[Player ID]],0)),"")</f>
        <v>179</v>
      </c>
      <c r="Z1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3" s="50">
        <f>IFERROR(INDEX(DraftResults[[#All],[Pick in Round]],MATCH(Table5[[#This Row],[PID]],DraftResults[[#All],[Player ID]],0)),"")</f>
        <v>21</v>
      </c>
      <c r="AB183" s="50" t="str">
        <f>IFERROR(INDEX(DraftResults[[#All],[Team Name]],MATCH(Table5[[#This Row],[PID]],DraftResults[[#All],[Player ID]],0)),"")</f>
        <v>Crystal Lake Sandgnats</v>
      </c>
      <c r="AC183" s="50">
        <f>IF(Table5[[#This Row],[Ovr]]="","",IF(Table5[[#This Row],[cmbList]]="","",Table5[[#This Row],[cmbList]]-Table5[[#This Row],[Ovr]]))</f>
        <v>122</v>
      </c>
      <c r="AD183" s="54" t="str">
        <f>IF(ISERROR(VLOOKUP($AB183&amp;"-"&amp;$E183&amp;" "&amp;F183,Bonuses!$B$1:$G$1006,4,FALSE)),"",INT(VLOOKUP($AB183&amp;"-"&amp;$E183&amp;" "&amp;$F183,Bonuses!$B$1:$G$1006,4,FALSE)))</f>
        <v/>
      </c>
      <c r="AE1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6.21 (179) - 2B Jim Hall</v>
      </c>
    </row>
    <row r="184" spans="1:31" s="50" customFormat="1" x14ac:dyDescent="0.25">
      <c r="A184" s="50">
        <v>20640</v>
      </c>
      <c r="B184" s="50">
        <f>COUNTIF(Table5[PID],A184)</f>
        <v>1</v>
      </c>
      <c r="C184" s="50" t="str">
        <f>IF(COUNTIF(Table3[[#All],[PID]],A184)&gt;0,"P","B")</f>
        <v>B</v>
      </c>
      <c r="D184" s="59" t="str">
        <f>IF($C184="B",INDEX(Batters[[#All],[POS]],MATCH(Table5[[#This Row],[PID]],Batters[[#All],[PID]],0)),INDEX(Table3[[#All],[POS]],MATCH(Table5[[#This Row],[PID]],Table3[[#All],[PID]],0)))</f>
        <v>1B</v>
      </c>
      <c r="E184" s="52" t="str">
        <f>IF($C184="B",INDEX(Batters[[#All],[First]],MATCH(Table5[[#This Row],[PID]],Batters[[#All],[PID]],0)),INDEX(Table3[[#All],[First]],MATCH(Table5[[#This Row],[PID]],Table3[[#All],[PID]],0)))</f>
        <v>Ji-chor</v>
      </c>
      <c r="F184" s="50" t="str">
        <f>IF($C184="B",INDEX(Batters[[#All],[Last]],MATCH(A184,Batters[[#All],[PID]],0)),INDEX(Table3[[#All],[Last]],MATCH(A184,Table3[[#All],[PID]],0)))</f>
        <v>Hwang</v>
      </c>
      <c r="G184" s="56">
        <f>IF($C184="B",INDEX(Batters[[#All],[Age]],MATCH(Table5[[#This Row],[PID]],Batters[[#All],[PID]],0)),INDEX(Table3[[#All],[Age]],MATCH(Table5[[#This Row],[PID]],Table3[[#All],[PID]],0)))</f>
        <v>18</v>
      </c>
      <c r="H184" s="52" t="str">
        <f>IF($C184="B",INDEX(Batters[[#All],[B]],MATCH(Table5[[#This Row],[PID]],Batters[[#All],[PID]],0)),INDEX(Table3[[#All],[B]],MATCH(Table5[[#This Row],[PID]],Table3[[#All],[PID]],0)))</f>
        <v>R</v>
      </c>
      <c r="I184" s="52" t="str">
        <f>IF($C184="B",INDEX(Batters[[#All],[T]],MATCH(Table5[[#This Row],[PID]],Batters[[#All],[PID]],0)),INDEX(Table3[[#All],[T]],MATCH(Table5[[#This Row],[PID]],Table3[[#All],[PID]],0)))</f>
        <v>R</v>
      </c>
      <c r="J184" s="52" t="str">
        <f>IF($C184="B",INDEX(Batters[[#All],[WE]],MATCH(Table5[[#This Row],[PID]],Batters[[#All],[PID]],0)),INDEX(Table3[[#All],[WE]],MATCH(Table5[[#This Row],[PID]],Table3[[#All],[PID]],0)))</f>
        <v>Low</v>
      </c>
      <c r="K184" s="52" t="str">
        <f>IF($C184="B",INDEX(Batters[[#All],[INT]],MATCH(Table5[[#This Row],[PID]],Batters[[#All],[PID]],0)),INDEX(Table3[[#All],[INT]],MATCH(Table5[[#This Row],[PID]],Table3[[#All],[PID]],0)))</f>
        <v>Normal</v>
      </c>
      <c r="L184" s="60">
        <f>IF($C184="B",INDEX(Batters[[#All],[CON P]],MATCH(Table5[[#This Row],[PID]],Batters[[#All],[PID]],0)),INDEX(Table3[[#All],[STU P]],MATCH(Table5[[#This Row],[PID]],Table3[[#All],[PID]],0)))</f>
        <v>4</v>
      </c>
      <c r="M184" s="56">
        <f>IF($C184="B",INDEX(Batters[[#All],[GAP P]],MATCH(Table5[[#This Row],[PID]],Batters[[#All],[PID]],0)),INDEX(Table3[[#All],[MOV P]],MATCH(Table5[[#This Row],[PID]],Table3[[#All],[PID]],0)))</f>
        <v>6</v>
      </c>
      <c r="N184" s="56">
        <f>IF($C184="B",INDEX(Batters[[#All],[POW P]],MATCH(Table5[[#This Row],[PID]],Batters[[#All],[PID]],0)),INDEX(Table3[[#All],[CON P]],MATCH(Table5[[#This Row],[PID]],Table3[[#All],[PID]],0)))</f>
        <v>8</v>
      </c>
      <c r="O184" s="56">
        <f>IF($C184="B",INDEX(Batters[[#All],[EYE P]],MATCH(Table5[[#This Row],[PID]],Batters[[#All],[PID]],0)),INDEX(Table3[[#All],[VELO]],MATCH(Table5[[#This Row],[PID]],Table3[[#All],[PID]],0)))</f>
        <v>6</v>
      </c>
      <c r="P184" s="56">
        <f>IF($C184="B",INDEX(Batters[[#All],[K P]],MATCH(Table5[[#This Row],[PID]],Batters[[#All],[PID]],0)),INDEX(Table3[[#All],[STM]],MATCH(Table5[[#This Row],[PID]],Table3[[#All],[PID]],0)))</f>
        <v>3</v>
      </c>
      <c r="Q184" s="61">
        <f>IF($C184="B",INDEX(Batters[[#All],[Tot]],MATCH(Table5[[#This Row],[PID]],Batters[[#All],[PID]],0)),INDEX(Table3[[#All],[Tot]],MATCH(Table5[[#This Row],[PID]],Table3[[#All],[PID]],0)))</f>
        <v>52.541663473194561</v>
      </c>
      <c r="R184" s="52">
        <f>IF($C184="B",INDEX(Batters[[#All],[zScore]],MATCH(Table5[[#This Row],[PID]],Batters[[#All],[PID]],0)),INDEX(Table3[[#All],[zScore]],MATCH(Table5[[#This Row],[PID]],Table3[[#All],[PID]],0)))</f>
        <v>1.864492600177976</v>
      </c>
      <c r="S184" s="58" t="str">
        <f>IF($C184="B",INDEX(Batters[[#All],[DEM]],MATCH(Table5[[#This Row],[PID]],Batters[[#All],[PID]],0)),INDEX(Table3[[#All],[DEM]],MATCH(Table5[[#This Row],[PID]],Table3[[#All],[PID]],0)))</f>
        <v>$200k</v>
      </c>
      <c r="T184" s="62">
        <f>IF($C184="B",INDEX(Batters[[#All],[Rnk]],MATCH(Table5[[#This Row],[PID]],Batters[[#All],[PID]],0)),INDEX(Table3[[#All],[Rnk]],MATCH(Table5[[#This Row],[PID]],Table3[[#All],[PID]],0)))</f>
        <v>24</v>
      </c>
      <c r="U184" s="68">
        <f>IF($C184="B",VLOOKUP($A184,Bat!$A$4:$BA$1621,47,FALSE),VLOOKUP($A184,Pit!$A$4:$BF$1557,56,FALSE))</f>
        <v>0</v>
      </c>
      <c r="V184" s="50">
        <f>IF($C184="B",VLOOKUP($A184,Bat!$A$4:$BA$1621,48,FALSE),VLOOKUP($A184,Pit!$A$4:$BF$1557,57,FALSE))</f>
        <v>0</v>
      </c>
      <c r="W184" s="50">
        <f>Table5[[#This Row],[posRnk]]+Table5[[#This Row],[zRnk]]+IF($W$3&lt;&gt;Table5[[#This Row],[Type]],50,0)</f>
        <v>136</v>
      </c>
      <c r="X184" s="51">
        <f>RANK(Table5[[#This Row],[zScore]],Table5[[#All],[zScore]])</f>
        <v>62</v>
      </c>
      <c r="Y184" s="50">
        <f>IFERROR(INDEX(DraftResults[[#All],[OVR]],MATCH(Table5[[#This Row],[PID]],DraftResults[[#All],[Player ID]],0)),"")</f>
        <v>180</v>
      </c>
      <c r="Z1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4" s="50">
        <f>IFERROR(INDEX(DraftResults[[#All],[Pick in Round]],MATCH(Table5[[#This Row],[PID]],DraftResults[[#All],[Player ID]],0)),"")</f>
        <v>22</v>
      </c>
      <c r="AB184" s="50" t="str">
        <f>IFERROR(INDEX(DraftResults[[#All],[Team Name]],MATCH(Table5[[#This Row],[PID]],DraftResults[[#All],[Player ID]],0)),"")</f>
        <v>Fargo Dinosaurs</v>
      </c>
      <c r="AC184" s="50">
        <f>IF(Table5[[#This Row],[Ovr]]="","",IF(Table5[[#This Row],[cmbList]]="","",Table5[[#This Row],[cmbList]]-Table5[[#This Row],[Ovr]]))</f>
        <v>-44</v>
      </c>
      <c r="AD184" s="54" t="str">
        <f>IF(ISERROR(VLOOKUP($AB184&amp;"-"&amp;$E184&amp;" "&amp;F184,Bonuses!$B$1:$G$1006,4,FALSE)),"",INT(VLOOKUP($AB184&amp;"-"&amp;$E184&amp;" "&amp;$F184,Bonuses!$B$1:$G$1006,4,FALSE)))</f>
        <v/>
      </c>
      <c r="AE1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6.22 (180) - 1B Ji-chor Hwang</v>
      </c>
    </row>
    <row r="185" spans="1:31" s="50" customFormat="1" x14ac:dyDescent="0.25">
      <c r="A185" s="68">
        <v>18214</v>
      </c>
      <c r="B185" s="69">
        <f>COUNTIF(Table5[PID],A185)</f>
        <v>1</v>
      </c>
      <c r="C185" s="69" t="str">
        <f>IF(COUNTIF(Table3[[#All],[PID]],A185)&gt;0,"P","B")</f>
        <v>P</v>
      </c>
      <c r="D185" s="59" t="str">
        <f>IF($C185="B",INDEX(Batters[[#All],[POS]],MATCH(Table5[[#This Row],[PID]],Batters[[#All],[PID]],0)),INDEX(Table3[[#All],[POS]],MATCH(Table5[[#This Row],[PID]],Table3[[#All],[PID]],0)))</f>
        <v>SP</v>
      </c>
      <c r="E185" s="52" t="str">
        <f>IF($C185="B",INDEX(Batters[[#All],[First]],MATCH(Table5[[#This Row],[PID]],Batters[[#All],[PID]],0)),INDEX(Table3[[#All],[First]],MATCH(Table5[[#This Row],[PID]],Table3[[#All],[PID]],0)))</f>
        <v>Mike</v>
      </c>
      <c r="F185" s="55" t="str">
        <f>IF($C185="B",INDEX(Batters[[#All],[Last]],MATCH(A185,Batters[[#All],[PID]],0)),INDEX(Table3[[#All],[Last]],MATCH(A185,Table3[[#All],[PID]],0)))</f>
        <v>O'Halloran</v>
      </c>
      <c r="G185" s="56">
        <f>IF($C185="B",INDEX(Batters[[#All],[Age]],MATCH(Table5[[#This Row],[PID]],Batters[[#All],[PID]],0)),INDEX(Table3[[#All],[Age]],MATCH(Table5[[#This Row],[PID]],Table3[[#All],[PID]],0)))</f>
        <v>18</v>
      </c>
      <c r="H185" s="52" t="str">
        <f>IF($C185="B",INDEX(Batters[[#All],[B]],MATCH(Table5[[#This Row],[PID]],Batters[[#All],[PID]],0)),INDEX(Table3[[#All],[B]],MATCH(Table5[[#This Row],[PID]],Table3[[#All],[PID]],0)))</f>
        <v>R</v>
      </c>
      <c r="I185" s="52" t="str">
        <f>IF($C185="B",INDEX(Batters[[#All],[T]],MATCH(Table5[[#This Row],[PID]],Batters[[#All],[PID]],0)),INDEX(Table3[[#All],[T]],MATCH(Table5[[#This Row],[PID]],Table3[[#All],[PID]],0)))</f>
        <v>R</v>
      </c>
      <c r="J185" s="71" t="str">
        <f>IF($C185="B",INDEX(Batters[[#All],[WE]],MATCH(Table5[[#This Row],[PID]],Batters[[#All],[PID]],0)),INDEX(Table3[[#All],[WE]],MATCH(Table5[[#This Row],[PID]],Table3[[#All],[PID]],0)))</f>
        <v>Normal</v>
      </c>
      <c r="K185" s="52" t="str">
        <f>IF($C185="B",INDEX(Batters[[#All],[INT]],MATCH(Table5[[#This Row],[PID]],Batters[[#All],[PID]],0)),INDEX(Table3[[#All],[INT]],MATCH(Table5[[#This Row],[PID]],Table3[[#All],[PID]],0)))</f>
        <v>Normal</v>
      </c>
      <c r="L185" s="60">
        <f>IF($C185="B",INDEX(Batters[[#All],[CON P]],MATCH(Table5[[#This Row],[PID]],Batters[[#All],[PID]],0)),INDEX(Table3[[#All],[STU P]],MATCH(Table5[[#This Row],[PID]],Table3[[#All],[PID]],0)))</f>
        <v>5</v>
      </c>
      <c r="M185" s="72">
        <f>IF($C185="B",INDEX(Batters[[#All],[GAP P]],MATCH(Table5[[#This Row],[PID]],Batters[[#All],[PID]],0)),INDEX(Table3[[#All],[MOV P]],MATCH(Table5[[#This Row],[PID]],Table3[[#All],[PID]],0)))</f>
        <v>5</v>
      </c>
      <c r="N185" s="72">
        <f>IF($C185="B",INDEX(Batters[[#All],[POW P]],MATCH(Table5[[#This Row],[PID]],Batters[[#All],[PID]],0)),INDEX(Table3[[#All],[CON P]],MATCH(Table5[[#This Row],[PID]],Table3[[#All],[PID]],0)))</f>
        <v>5</v>
      </c>
      <c r="O185" s="72" t="str">
        <f>IF($C185="B",INDEX(Batters[[#All],[EYE P]],MATCH(Table5[[#This Row],[PID]],Batters[[#All],[PID]],0)),INDEX(Table3[[#All],[VELO]],MATCH(Table5[[#This Row],[PID]],Table3[[#All],[PID]],0)))</f>
        <v>90-92 Mph</v>
      </c>
      <c r="P185" s="56">
        <f>IF($C185="B",INDEX(Batters[[#All],[K P]],MATCH(Table5[[#This Row],[PID]],Batters[[#All],[PID]],0)),INDEX(Table3[[#All],[STM]],MATCH(Table5[[#This Row],[PID]],Table3[[#All],[PID]],0)))</f>
        <v>5</v>
      </c>
      <c r="Q185" s="61">
        <f>IF($C185="B",INDEX(Batters[[#All],[Tot]],MATCH(Table5[[#This Row],[PID]],Batters[[#All],[PID]],0)),INDEX(Table3[[#All],[Tot]],MATCH(Table5[[#This Row],[PID]],Table3[[#All],[PID]],0)))</f>
        <v>60.676200095768529</v>
      </c>
      <c r="R185" s="52">
        <f>IF($C185="B",INDEX(Batters[[#All],[zScore]],MATCH(Table5[[#This Row],[PID]],Batters[[#All],[PID]],0)),INDEX(Table3[[#All],[zScore]],MATCH(Table5[[#This Row],[PID]],Table3[[#All],[PID]],0)))</f>
        <v>1.6502835889607756</v>
      </c>
      <c r="S185" s="78" t="str">
        <f>IF($C185="B",INDEX(Batters[[#All],[DEM]],MATCH(Table5[[#This Row],[PID]],Batters[[#All],[PID]],0)),INDEX(Table3[[#All],[DEM]],MATCH(Table5[[#This Row],[PID]],Table3[[#All],[PID]],0)))</f>
        <v>$370k</v>
      </c>
      <c r="T185" s="75">
        <f>IF($C185="B",INDEX(Batters[[#All],[Rnk]],MATCH(Table5[[#This Row],[PID]],Batters[[#All],[PID]],0)),INDEX(Table3[[#All],[Rnk]],MATCH(Table5[[#This Row],[PID]],Table3[[#All],[PID]],0)))</f>
        <v>61</v>
      </c>
      <c r="U185" s="68">
        <f>IF($C185="B",VLOOKUP($A185,Bat!$A$4:$BA$1621,47,FALSE),VLOOKUP($A185,Pit!$A$4:$BF$1557,56,FALSE))</f>
        <v>0</v>
      </c>
      <c r="V185" s="50">
        <f>IF($C185="B",VLOOKUP($A185,Bat!$A$4:$BA$1621,48,FALSE),VLOOKUP($A185,Pit!$A$4:$BF$1557,57,FALSE))</f>
        <v>0</v>
      </c>
      <c r="W185" s="69">
        <f>Table5[[#This Row],[posRnk]]+Table5[[#This Row],[zRnk]]+IF($W$3&lt;&gt;Table5[[#This Row],[Type]],50,0)</f>
        <v>207</v>
      </c>
      <c r="X185" s="73">
        <f>RANK(Table5[[#This Row],[zScore]],Table5[[#All],[zScore]])</f>
        <v>96</v>
      </c>
      <c r="Y185" s="69">
        <f>IFERROR(INDEX(DraftResults[[#All],[OVR]],MATCH(Table5[[#This Row],[PID]],DraftResults[[#All],[Player ID]],0)),"")</f>
        <v>181</v>
      </c>
      <c r="Z18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5" s="69">
        <f>IFERROR(INDEX(DraftResults[[#All],[Pick in Round]],MATCH(Table5[[#This Row],[PID]],DraftResults[[#All],[Player ID]],0)),"")</f>
        <v>23</v>
      </c>
      <c r="AB185" s="69" t="str">
        <f>IFERROR(INDEX(DraftResults[[#All],[Team Name]],MATCH(Table5[[#This Row],[PID]],DraftResults[[#All],[Player ID]],0)),"")</f>
        <v>Yuma Arroyos</v>
      </c>
      <c r="AC185" s="69">
        <f>IF(Table5[[#This Row],[Ovr]]="","",IF(Table5[[#This Row],[cmbList]]="","",Table5[[#This Row],[cmbList]]-Table5[[#This Row],[Ovr]]))</f>
        <v>26</v>
      </c>
      <c r="AD185" s="77" t="str">
        <f>IF(ISERROR(VLOOKUP($AB185&amp;"-"&amp;$E185&amp;" "&amp;F185,Bonuses!$B$1:$G$1006,4,FALSE)),"",INT(VLOOKUP($AB185&amp;"-"&amp;$E185&amp;" "&amp;$F185,Bonuses!$B$1:$G$1006,4,FALSE)))</f>
        <v/>
      </c>
      <c r="AE18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6.23 (181) - SP Mike O'Halloran</v>
      </c>
    </row>
    <row r="186" spans="1:31" s="50" customFormat="1" x14ac:dyDescent="0.25">
      <c r="A186" s="50">
        <v>20202</v>
      </c>
      <c r="B186" s="50">
        <f>COUNTIF(Table5[PID],A186)</f>
        <v>1</v>
      </c>
      <c r="C186" s="50" t="str">
        <f>IF(COUNTIF(Table3[[#All],[PID]],A186)&gt;0,"P","B")</f>
        <v>B</v>
      </c>
      <c r="D186" s="59" t="str">
        <f>IF($C186="B",INDEX(Batters[[#All],[POS]],MATCH(Table5[[#This Row],[PID]],Batters[[#All],[PID]],0)),INDEX(Table3[[#All],[POS]],MATCH(Table5[[#This Row],[PID]],Table3[[#All],[PID]],0)))</f>
        <v>CF</v>
      </c>
      <c r="E186" s="52" t="str">
        <f>IF($C186="B",INDEX(Batters[[#All],[First]],MATCH(Table5[[#This Row],[PID]],Batters[[#All],[PID]],0)),INDEX(Table3[[#All],[First]],MATCH(Table5[[#This Row],[PID]],Table3[[#All],[PID]],0)))</f>
        <v>Oda</v>
      </c>
      <c r="F186" s="50" t="str">
        <f>IF($C186="B",INDEX(Batters[[#All],[Last]],MATCH(A186,Batters[[#All],[PID]],0)),INDEX(Table3[[#All],[Last]],MATCH(A186,Table3[[#All],[PID]],0)))</f>
        <v>Kataoka</v>
      </c>
      <c r="G186" s="56">
        <f>IF($C186="B",INDEX(Batters[[#All],[Age]],MATCH(Table5[[#This Row],[PID]],Batters[[#All],[PID]],0)),INDEX(Table3[[#All],[Age]],MATCH(Table5[[#This Row],[PID]],Table3[[#All],[PID]],0)))</f>
        <v>22</v>
      </c>
      <c r="H186" s="52" t="str">
        <f>IF($C186="B",INDEX(Batters[[#All],[B]],MATCH(Table5[[#This Row],[PID]],Batters[[#All],[PID]],0)),INDEX(Table3[[#All],[B]],MATCH(Table5[[#This Row],[PID]],Table3[[#All],[PID]],0)))</f>
        <v>S</v>
      </c>
      <c r="I186" s="52" t="str">
        <f>IF($C186="B",INDEX(Batters[[#All],[T]],MATCH(Table5[[#This Row],[PID]],Batters[[#All],[PID]],0)),INDEX(Table3[[#All],[T]],MATCH(Table5[[#This Row],[PID]],Table3[[#All],[PID]],0)))</f>
        <v>L</v>
      </c>
      <c r="J186" s="52" t="str">
        <f>IF($C186="B",INDEX(Batters[[#All],[WE]],MATCH(Table5[[#This Row],[PID]],Batters[[#All],[PID]],0)),INDEX(Table3[[#All],[WE]],MATCH(Table5[[#This Row],[PID]],Table3[[#All],[PID]],0)))</f>
        <v>Normal</v>
      </c>
      <c r="K186" s="52" t="str">
        <f>IF($C186="B",INDEX(Batters[[#All],[INT]],MATCH(Table5[[#This Row],[PID]],Batters[[#All],[PID]],0)),INDEX(Table3[[#All],[INT]],MATCH(Table5[[#This Row],[PID]],Table3[[#All],[PID]],0)))</f>
        <v>Normal</v>
      </c>
      <c r="L186" s="60">
        <f>IF($C186="B",INDEX(Batters[[#All],[CON P]],MATCH(Table5[[#This Row],[PID]],Batters[[#All],[PID]],0)),INDEX(Table3[[#All],[STU P]],MATCH(Table5[[#This Row],[PID]],Table3[[#All],[PID]],0)))</f>
        <v>4</v>
      </c>
      <c r="M186" s="56">
        <f>IF($C186="B",INDEX(Batters[[#All],[GAP P]],MATCH(Table5[[#This Row],[PID]],Batters[[#All],[PID]],0)),INDEX(Table3[[#All],[MOV P]],MATCH(Table5[[#This Row],[PID]],Table3[[#All],[PID]],0)))</f>
        <v>4</v>
      </c>
      <c r="N186" s="56">
        <f>IF($C186="B",INDEX(Batters[[#All],[POW P]],MATCH(Table5[[#This Row],[PID]],Batters[[#All],[PID]],0)),INDEX(Table3[[#All],[CON P]],MATCH(Table5[[#This Row],[PID]],Table3[[#All],[PID]],0)))</f>
        <v>3</v>
      </c>
      <c r="O186" s="56">
        <f>IF($C186="B",INDEX(Batters[[#All],[EYE P]],MATCH(Table5[[#This Row],[PID]],Batters[[#All],[PID]],0)),INDEX(Table3[[#All],[VELO]],MATCH(Table5[[#This Row],[PID]],Table3[[#All],[PID]],0)))</f>
        <v>5</v>
      </c>
      <c r="P186" s="56">
        <f>IF($C186="B",INDEX(Batters[[#All],[K P]],MATCH(Table5[[#This Row],[PID]],Batters[[#All],[PID]],0)),INDEX(Table3[[#All],[STM]],MATCH(Table5[[#This Row],[PID]],Table3[[#All],[PID]],0)))</f>
        <v>6</v>
      </c>
      <c r="Q186" s="61">
        <f>IF($C186="B",INDEX(Batters[[#All],[Tot]],MATCH(Table5[[#This Row],[PID]],Batters[[#All],[PID]],0)),INDEX(Table3[[#All],[Tot]],MATCH(Table5[[#This Row],[PID]],Table3[[#All],[PID]],0)))</f>
        <v>43.95789943060327</v>
      </c>
      <c r="R186" s="52">
        <f>IF($C186="B",INDEX(Batters[[#All],[zScore]],MATCH(Table5[[#This Row],[PID]],Batters[[#All],[PID]],0)),INDEX(Table3[[#All],[zScore]],MATCH(Table5[[#This Row],[PID]],Table3[[#All],[PID]],0)))</f>
        <v>-3.8585908924682104E-2</v>
      </c>
      <c r="S186" s="58" t="str">
        <f>IF($C186="B",INDEX(Batters[[#All],[DEM]],MATCH(Table5[[#This Row],[PID]],Batters[[#All],[PID]],0)),INDEX(Table3[[#All],[DEM]],MATCH(Table5[[#This Row],[PID]],Table3[[#All],[PID]],0)))</f>
        <v>-</v>
      </c>
      <c r="T186" s="62">
        <f>IF($C186="B",INDEX(Batters[[#All],[Rnk]],MATCH(Table5[[#This Row],[PID]],Batters[[#All],[PID]],0)),INDEX(Table3[[#All],[Rnk]],MATCH(Table5[[#This Row],[PID]],Table3[[#All],[PID]],0)))</f>
        <v>251</v>
      </c>
      <c r="U186" s="68">
        <f>IF($C186="B",VLOOKUP($A186,Bat!$A$4:$BA$1621,47,FALSE),VLOOKUP($A186,Pit!$A$4:$BF$1557,56,FALSE))</f>
        <v>0</v>
      </c>
      <c r="V186" s="50">
        <f>IF($C186="B",VLOOKUP($A186,Bat!$A$4:$BA$1621,48,FALSE),VLOOKUP($A186,Pit!$A$4:$BF$1557,57,FALSE))</f>
        <v>0</v>
      </c>
      <c r="W186" s="50">
        <f>Table5[[#This Row],[posRnk]]+Table5[[#This Row],[zRnk]]+IF($W$3&lt;&gt;Table5[[#This Row],[Type]],50,0)</f>
        <v>872</v>
      </c>
      <c r="X186" s="51">
        <f>RANK(Table5[[#This Row],[zScore]],Table5[[#All],[zScore]])</f>
        <v>571</v>
      </c>
      <c r="Y186" s="50">
        <f>IFERROR(INDEX(DraftResults[[#All],[OVR]],MATCH(Table5[[#This Row],[PID]],DraftResults[[#All],[Player ID]],0)),"")</f>
        <v>182</v>
      </c>
      <c r="Z1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6" s="50">
        <f>IFERROR(INDEX(DraftResults[[#All],[Pick in Round]],MATCH(Table5[[#This Row],[PID]],DraftResults[[#All],[Player ID]],0)),"")</f>
        <v>24</v>
      </c>
      <c r="AB186" s="50" t="str">
        <f>IFERROR(INDEX(DraftResults[[#All],[Team Name]],MATCH(Table5[[#This Row],[PID]],DraftResults[[#All],[Player ID]],0)),"")</f>
        <v>Aurora Borealis</v>
      </c>
      <c r="AC186" s="50">
        <f>IF(Table5[[#This Row],[Ovr]]="","",IF(Table5[[#This Row],[cmbList]]="","",Table5[[#This Row],[cmbList]]-Table5[[#This Row],[Ovr]]))</f>
        <v>690</v>
      </c>
      <c r="AD186" s="54" t="str">
        <f>IF(ISERROR(VLOOKUP($AB186&amp;"-"&amp;$E186&amp;" "&amp;F186,Bonuses!$B$1:$G$1006,4,FALSE)),"",INT(VLOOKUP($AB186&amp;"-"&amp;$E186&amp;" "&amp;$F186,Bonuses!$B$1:$G$1006,4,FALSE)))</f>
        <v/>
      </c>
      <c r="AE1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6.24 (182) - CF Oda Kataoka</v>
      </c>
    </row>
    <row r="187" spans="1:31" s="50" customFormat="1" x14ac:dyDescent="0.25">
      <c r="A187" s="68">
        <v>18254</v>
      </c>
      <c r="B187" s="69">
        <f>COUNTIF(Table5[PID],A187)</f>
        <v>1</v>
      </c>
      <c r="C187" s="69" t="str">
        <f>IF(COUNTIF(Table3[[#All],[PID]],A187)&gt;0,"P","B")</f>
        <v>P</v>
      </c>
      <c r="D187" s="59" t="str">
        <f>IF($C187="B",INDEX(Batters[[#All],[POS]],MATCH(Table5[[#This Row],[PID]],Batters[[#All],[PID]],0)),INDEX(Table3[[#All],[POS]],MATCH(Table5[[#This Row],[PID]],Table3[[#All],[PID]],0)))</f>
        <v>SP</v>
      </c>
      <c r="E187" s="52" t="str">
        <f>IF($C187="B",INDEX(Batters[[#All],[First]],MATCH(Table5[[#This Row],[PID]],Batters[[#All],[PID]],0)),INDEX(Table3[[#All],[First]],MATCH(Table5[[#This Row],[PID]],Table3[[#All],[PID]],0)))</f>
        <v>Mark</v>
      </c>
      <c r="F187" s="55" t="str">
        <f>IF($C187="B",INDEX(Batters[[#All],[Last]],MATCH(A187,Batters[[#All],[PID]],0)),INDEX(Table3[[#All],[Last]],MATCH(A187,Table3[[#All],[PID]],0)))</f>
        <v>Myers</v>
      </c>
      <c r="G187" s="56">
        <f>IF($C187="B",INDEX(Batters[[#All],[Age]],MATCH(Table5[[#This Row],[PID]],Batters[[#All],[PID]],0)),INDEX(Table3[[#All],[Age]],MATCH(Table5[[#This Row],[PID]],Table3[[#All],[PID]],0)))</f>
        <v>18</v>
      </c>
      <c r="H187" s="52" t="str">
        <f>IF($C187="B",INDEX(Batters[[#All],[B]],MATCH(Table5[[#This Row],[PID]],Batters[[#All],[PID]],0)),INDEX(Table3[[#All],[B]],MATCH(Table5[[#This Row],[PID]],Table3[[#All],[PID]],0)))</f>
        <v>R</v>
      </c>
      <c r="I187" s="52" t="str">
        <f>IF($C187="B",INDEX(Batters[[#All],[T]],MATCH(Table5[[#This Row],[PID]],Batters[[#All],[PID]],0)),INDEX(Table3[[#All],[T]],MATCH(Table5[[#This Row],[PID]],Table3[[#All],[PID]],0)))</f>
        <v>R</v>
      </c>
      <c r="J187" s="71" t="str">
        <f>IF($C187="B",INDEX(Batters[[#All],[WE]],MATCH(Table5[[#This Row],[PID]],Batters[[#All],[PID]],0)),INDEX(Table3[[#All],[WE]],MATCH(Table5[[#This Row],[PID]],Table3[[#All],[PID]],0)))</f>
        <v>High</v>
      </c>
      <c r="K187" s="52" t="str">
        <f>IF($C187="B",INDEX(Batters[[#All],[INT]],MATCH(Table5[[#This Row],[PID]],Batters[[#All],[PID]],0)),INDEX(Table3[[#All],[INT]],MATCH(Table5[[#This Row],[PID]],Table3[[#All],[PID]],0)))</f>
        <v>Normal</v>
      </c>
      <c r="L187" s="60">
        <f>IF($C187="B",INDEX(Batters[[#All],[CON P]],MATCH(Table5[[#This Row],[PID]],Batters[[#All],[PID]],0)),INDEX(Table3[[#All],[STU P]],MATCH(Table5[[#This Row],[PID]],Table3[[#All],[PID]],0)))</f>
        <v>5</v>
      </c>
      <c r="M187" s="72">
        <f>IF($C187="B",INDEX(Batters[[#All],[GAP P]],MATCH(Table5[[#This Row],[PID]],Batters[[#All],[PID]],0)),INDEX(Table3[[#All],[MOV P]],MATCH(Table5[[#This Row],[PID]],Table3[[#All],[PID]],0)))</f>
        <v>4</v>
      </c>
      <c r="N187" s="72">
        <f>IF($C187="B",INDEX(Batters[[#All],[POW P]],MATCH(Table5[[#This Row],[PID]],Batters[[#All],[PID]],0)),INDEX(Table3[[#All],[CON P]],MATCH(Table5[[#This Row],[PID]],Table3[[#All],[PID]],0)))</f>
        <v>5</v>
      </c>
      <c r="O187" s="72" t="str">
        <f>IF($C187="B",INDEX(Batters[[#All],[EYE P]],MATCH(Table5[[#This Row],[PID]],Batters[[#All],[PID]],0)),INDEX(Table3[[#All],[VELO]],MATCH(Table5[[#This Row],[PID]],Table3[[#All],[PID]],0)))</f>
        <v>93-95 Mph</v>
      </c>
      <c r="P187" s="56">
        <f>IF($C187="B",INDEX(Batters[[#All],[K P]],MATCH(Table5[[#This Row],[PID]],Batters[[#All],[PID]],0)),INDEX(Table3[[#All],[STM]],MATCH(Table5[[#This Row],[PID]],Table3[[#All],[PID]],0)))</f>
        <v>9</v>
      </c>
      <c r="Q187" s="61">
        <f>IF($C187="B",INDEX(Batters[[#All],[Tot]],MATCH(Table5[[#This Row],[PID]],Batters[[#All],[PID]],0)),INDEX(Table3[[#All],[Tot]],MATCH(Table5[[#This Row],[PID]],Table3[[#All],[PID]],0)))</f>
        <v>59.326162053021079</v>
      </c>
      <c r="R187" s="52">
        <f>IF($C187="B",INDEX(Batters[[#All],[zScore]],MATCH(Table5[[#This Row],[PID]],Batters[[#All],[PID]],0)),INDEX(Table3[[#All],[zScore]],MATCH(Table5[[#This Row],[PID]],Table3[[#All],[PID]],0)))</f>
        <v>1.5604676209818582</v>
      </c>
      <c r="S187" s="78" t="str">
        <f>IF($C187="B",INDEX(Batters[[#All],[DEM]],MATCH(Table5[[#This Row],[PID]],Batters[[#All],[PID]],0)),INDEX(Table3[[#All],[DEM]],MATCH(Table5[[#This Row],[PID]],Table3[[#All],[PID]],0)))</f>
        <v>$800k</v>
      </c>
      <c r="T187" s="75">
        <f>IF($C187="B",INDEX(Batters[[#All],[Rnk]],MATCH(Table5[[#This Row],[PID]],Batters[[#All],[PID]],0)),INDEX(Table3[[#All],[Rnk]],MATCH(Table5[[#This Row],[PID]],Table3[[#All],[PID]],0)))</f>
        <v>69</v>
      </c>
      <c r="U187" s="68">
        <f>IF($C187="B",VLOOKUP($A187,Bat!$A$4:$BA$1621,47,FALSE),VLOOKUP($A187,Pit!$A$4:$BF$1557,56,FALSE))</f>
        <v>0</v>
      </c>
      <c r="V187" s="50">
        <f>IF($C187="B",VLOOKUP($A187,Bat!$A$4:$BA$1621,48,FALSE),VLOOKUP($A187,Pit!$A$4:$BF$1557,57,FALSE))</f>
        <v>0</v>
      </c>
      <c r="W187" s="69">
        <f>Table5[[#This Row],[posRnk]]+Table5[[#This Row],[zRnk]]+IF($W$3&lt;&gt;Table5[[#This Row],[Type]],50,0)</f>
        <v>229</v>
      </c>
      <c r="X187" s="73">
        <f>RANK(Table5[[#This Row],[zScore]],Table5[[#All],[zScore]])</f>
        <v>110</v>
      </c>
      <c r="Y187" s="69">
        <f>IFERROR(INDEX(DraftResults[[#All],[OVR]],MATCH(Table5[[#This Row],[PID]],DraftResults[[#All],[Player ID]],0)),"")</f>
        <v>183</v>
      </c>
      <c r="Z18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7" s="69">
        <f>IFERROR(INDEX(DraftResults[[#All],[Pick in Round]],MATCH(Table5[[#This Row],[PID]],DraftResults[[#All],[Player ID]],0)),"")</f>
        <v>25</v>
      </c>
      <c r="AB187" s="69" t="str">
        <f>IFERROR(INDEX(DraftResults[[#All],[Team Name]],MATCH(Table5[[#This Row],[PID]],DraftResults[[#All],[Player ID]],0)),"")</f>
        <v>Toyama Wind Dancers</v>
      </c>
      <c r="AC187" s="69">
        <f>IF(Table5[[#This Row],[Ovr]]="","",IF(Table5[[#This Row],[cmbList]]="","",Table5[[#This Row],[cmbList]]-Table5[[#This Row],[Ovr]]))</f>
        <v>46</v>
      </c>
      <c r="AD187" s="77" t="str">
        <f>IF(ISERROR(VLOOKUP($AB187&amp;"-"&amp;$E187&amp;" "&amp;F187,Bonuses!$B$1:$G$1006,4,FALSE)),"",INT(VLOOKUP($AB187&amp;"-"&amp;$E187&amp;" "&amp;$F187,Bonuses!$B$1:$G$1006,4,FALSE)))</f>
        <v/>
      </c>
      <c r="AE18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6.25 (183) - SP Mark Myers</v>
      </c>
    </row>
    <row r="188" spans="1:31" s="50" customFormat="1" x14ac:dyDescent="0.25">
      <c r="A188" s="50">
        <v>18150</v>
      </c>
      <c r="B188" s="50">
        <f>COUNTIF(Table5[PID],A188)</f>
        <v>1</v>
      </c>
      <c r="C188" s="50" t="str">
        <f>IF(COUNTIF(Table3[[#All],[PID]],A188)&gt;0,"P","B")</f>
        <v>B</v>
      </c>
      <c r="D188" s="59" t="str">
        <f>IF($C188="B",INDEX(Batters[[#All],[POS]],MATCH(Table5[[#This Row],[PID]],Batters[[#All],[PID]],0)),INDEX(Table3[[#All],[POS]],MATCH(Table5[[#This Row],[PID]],Table3[[#All],[PID]],0)))</f>
        <v>C</v>
      </c>
      <c r="E188" s="52" t="str">
        <f>IF($C188="B",INDEX(Batters[[#All],[First]],MATCH(Table5[[#This Row],[PID]],Batters[[#All],[PID]],0)),INDEX(Table3[[#All],[First]],MATCH(Table5[[#This Row],[PID]],Table3[[#All],[PID]],0)))</f>
        <v>José</v>
      </c>
      <c r="F188" s="50" t="str">
        <f>IF($C188="B",INDEX(Batters[[#All],[Last]],MATCH(A188,Batters[[#All],[PID]],0)),INDEX(Table3[[#All],[Last]],MATCH(A188,Table3[[#All],[PID]],0)))</f>
        <v>Enríquez</v>
      </c>
      <c r="G188" s="56">
        <f>IF($C188="B",INDEX(Batters[[#All],[Age]],MATCH(Table5[[#This Row],[PID]],Batters[[#All],[PID]],0)),INDEX(Table3[[#All],[Age]],MATCH(Table5[[#This Row],[PID]],Table3[[#All],[PID]],0)))</f>
        <v>21</v>
      </c>
      <c r="H188" s="52" t="str">
        <f>IF($C188="B",INDEX(Batters[[#All],[B]],MATCH(Table5[[#This Row],[PID]],Batters[[#All],[PID]],0)),INDEX(Table3[[#All],[B]],MATCH(Table5[[#This Row],[PID]],Table3[[#All],[PID]],0)))</f>
        <v>R</v>
      </c>
      <c r="I188" s="52" t="str">
        <f>IF($C188="B",INDEX(Batters[[#All],[T]],MATCH(Table5[[#This Row],[PID]],Batters[[#All],[PID]],0)),INDEX(Table3[[#All],[T]],MATCH(Table5[[#This Row],[PID]],Table3[[#All],[PID]],0)))</f>
        <v>R</v>
      </c>
      <c r="J188" s="52" t="str">
        <f>IF($C188="B",INDEX(Batters[[#All],[WE]],MATCH(Table5[[#This Row],[PID]],Batters[[#All],[PID]],0)),INDEX(Table3[[#All],[WE]],MATCH(Table5[[#This Row],[PID]],Table3[[#All],[PID]],0)))</f>
        <v>Normal</v>
      </c>
      <c r="K188" s="52" t="str">
        <f>IF($C188="B",INDEX(Batters[[#All],[INT]],MATCH(Table5[[#This Row],[PID]],Batters[[#All],[PID]],0)),INDEX(Table3[[#All],[INT]],MATCH(Table5[[#This Row],[PID]],Table3[[#All],[PID]],0)))</f>
        <v>Normal</v>
      </c>
      <c r="L188" s="60">
        <f>IF($C188="B",INDEX(Batters[[#All],[CON P]],MATCH(Table5[[#This Row],[PID]],Batters[[#All],[PID]],0)),INDEX(Table3[[#All],[STU P]],MATCH(Table5[[#This Row],[PID]],Table3[[#All],[PID]],0)))</f>
        <v>4</v>
      </c>
      <c r="M188" s="56">
        <f>IF($C188="B",INDEX(Batters[[#All],[GAP P]],MATCH(Table5[[#This Row],[PID]],Batters[[#All],[PID]],0)),INDEX(Table3[[#All],[MOV P]],MATCH(Table5[[#This Row],[PID]],Table3[[#All],[PID]],0)))</f>
        <v>5</v>
      </c>
      <c r="N188" s="56">
        <f>IF($C188="B",INDEX(Batters[[#All],[POW P]],MATCH(Table5[[#This Row],[PID]],Batters[[#All],[PID]],0)),INDEX(Table3[[#All],[CON P]],MATCH(Table5[[#This Row],[PID]],Table3[[#All],[PID]],0)))</f>
        <v>4</v>
      </c>
      <c r="O188" s="56">
        <f>IF($C188="B",INDEX(Batters[[#All],[EYE P]],MATCH(Table5[[#This Row],[PID]],Batters[[#All],[PID]],0)),INDEX(Table3[[#All],[VELO]],MATCH(Table5[[#This Row],[PID]],Table3[[#All],[PID]],0)))</f>
        <v>4</v>
      </c>
      <c r="P188" s="56">
        <f>IF($C188="B",INDEX(Batters[[#All],[K P]],MATCH(Table5[[#This Row],[PID]],Batters[[#All],[PID]],0)),INDEX(Table3[[#All],[STM]],MATCH(Table5[[#This Row],[PID]],Table3[[#All],[PID]],0)))</f>
        <v>6</v>
      </c>
      <c r="Q188" s="61">
        <f>IF($C188="B",INDEX(Batters[[#All],[Tot]],MATCH(Table5[[#This Row],[PID]],Batters[[#All],[PID]],0)),INDEX(Table3[[#All],[Tot]],MATCH(Table5[[#This Row],[PID]],Table3[[#All],[PID]],0)))</f>
        <v>43.648092802624937</v>
      </c>
      <c r="R188" s="52">
        <f>IF($C188="B",INDEX(Batters[[#All],[zScore]],MATCH(Table5[[#This Row],[PID]],Batters[[#All],[PID]],0)),INDEX(Table3[[#All],[zScore]],MATCH(Table5[[#This Row],[PID]],Table3[[#All],[PID]],0)))</f>
        <v>-0.10727213244593593</v>
      </c>
      <c r="S188" s="58" t="str">
        <f>IF($C188="B",INDEX(Batters[[#All],[DEM]],MATCH(Table5[[#This Row],[PID]],Batters[[#All],[PID]],0)),INDEX(Table3[[#All],[DEM]],MATCH(Table5[[#This Row],[PID]],Table3[[#All],[PID]],0)))</f>
        <v>$20k</v>
      </c>
      <c r="T188" s="62">
        <f>IF($C188="B",INDEX(Batters[[#All],[Rnk]],MATCH(Table5[[#This Row],[PID]],Batters[[#All],[PID]],0)),INDEX(Table3[[#All],[Rnk]],MATCH(Table5[[#This Row],[PID]],Table3[[#All],[PID]],0)))</f>
        <v>260</v>
      </c>
      <c r="U188" s="68">
        <f>IF($C188="B",VLOOKUP($A188,Bat!$A$4:$BA$1621,47,FALSE),VLOOKUP($A188,Pit!$A$4:$BF$1557,56,FALSE))</f>
        <v>0</v>
      </c>
      <c r="V188" s="50">
        <f>IF($C188="B",VLOOKUP($A188,Bat!$A$4:$BA$1621,48,FALSE),VLOOKUP($A188,Pit!$A$4:$BF$1557,57,FALSE))</f>
        <v>0</v>
      </c>
      <c r="W188" s="50">
        <f>Table5[[#This Row],[posRnk]]+Table5[[#This Row],[zRnk]]+IF($W$3&lt;&gt;Table5[[#This Row],[Type]],50,0)</f>
        <v>913</v>
      </c>
      <c r="X188" s="51">
        <f>RANK(Table5[[#This Row],[zScore]],Table5[[#All],[zScore]])</f>
        <v>603</v>
      </c>
      <c r="Y188" s="50">
        <f>IFERROR(INDEX(DraftResults[[#All],[OVR]],MATCH(Table5[[#This Row],[PID]],DraftResults[[#All],[Player ID]],0)),"")</f>
        <v>184</v>
      </c>
      <c r="Z1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8" s="50">
        <f>IFERROR(INDEX(DraftResults[[#All],[Pick in Round]],MATCH(Table5[[#This Row],[PID]],DraftResults[[#All],[Player ID]],0)),"")</f>
        <v>26</v>
      </c>
      <c r="AB188" s="50" t="str">
        <f>IFERROR(INDEX(DraftResults[[#All],[Team Name]],MATCH(Table5[[#This Row],[PID]],DraftResults[[#All],[Player ID]],0)),"")</f>
        <v>Arlington Bureaucrats</v>
      </c>
      <c r="AC188" s="50">
        <f>IF(Table5[[#This Row],[Ovr]]="","",IF(Table5[[#This Row],[cmbList]]="","",Table5[[#This Row],[cmbList]]-Table5[[#This Row],[Ovr]]))</f>
        <v>729</v>
      </c>
      <c r="AD188" s="54" t="str">
        <f>IF(ISERROR(VLOOKUP($AB188&amp;"-"&amp;$E188&amp;" "&amp;F188,Bonuses!$B$1:$G$1006,4,FALSE)),"",INT(VLOOKUP($AB188&amp;"-"&amp;$E188&amp;" "&amp;$F188,Bonuses!$B$1:$G$1006,4,FALSE)))</f>
        <v/>
      </c>
      <c r="AE1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6.26 (184) - C José Enríquez</v>
      </c>
    </row>
    <row r="189" spans="1:31" s="50" customFormat="1" x14ac:dyDescent="0.25">
      <c r="A189" s="50">
        <v>18446</v>
      </c>
      <c r="B189" s="55">
        <f>COUNTIF(Table5[PID],A189)</f>
        <v>1</v>
      </c>
      <c r="C189" s="55" t="str">
        <f>IF(COUNTIF(Table3[[#All],[PID]],A189)&gt;0,"P","B")</f>
        <v>B</v>
      </c>
      <c r="D189" s="59" t="str">
        <f>IF($C189="B",INDEX(Batters[[#All],[POS]],MATCH(Table5[[#This Row],[PID]],Batters[[#All],[PID]],0)),INDEX(Table3[[#All],[POS]],MATCH(Table5[[#This Row],[PID]],Table3[[#All],[PID]],0)))</f>
        <v>LF</v>
      </c>
      <c r="E189" s="52" t="str">
        <f>IF($C189="B",INDEX(Batters[[#All],[First]],MATCH(Table5[[#This Row],[PID]],Batters[[#All],[PID]],0)),INDEX(Table3[[#All],[First]],MATCH(Table5[[#This Row],[PID]],Table3[[#All],[PID]],0)))</f>
        <v>Finn</v>
      </c>
      <c r="F189" s="50" t="str">
        <f>IF($C189="B",INDEX(Batters[[#All],[Last]],MATCH(A189,Batters[[#All],[PID]],0)),INDEX(Table3[[#All],[Last]],MATCH(A189,Table3[[#All],[PID]],0)))</f>
        <v>Lochore</v>
      </c>
      <c r="G189" s="56">
        <f>IF($C189="B",INDEX(Batters[[#All],[Age]],MATCH(Table5[[#This Row],[PID]],Batters[[#All],[PID]],0)),INDEX(Table3[[#All],[Age]],MATCH(Table5[[#This Row],[PID]],Table3[[#All],[PID]],0)))</f>
        <v>18</v>
      </c>
      <c r="H189" s="52" t="str">
        <f>IF($C189="B",INDEX(Batters[[#All],[B]],MATCH(Table5[[#This Row],[PID]],Batters[[#All],[PID]],0)),INDEX(Table3[[#All],[B]],MATCH(Table5[[#This Row],[PID]],Table3[[#All],[PID]],0)))</f>
        <v>R</v>
      </c>
      <c r="I189" s="52" t="str">
        <f>IF($C189="B",INDEX(Batters[[#All],[T]],MATCH(Table5[[#This Row],[PID]],Batters[[#All],[PID]],0)),INDEX(Table3[[#All],[T]],MATCH(Table5[[#This Row],[PID]],Table3[[#All],[PID]],0)))</f>
        <v>L</v>
      </c>
      <c r="J189" s="52" t="str">
        <f>IF($C189="B",INDEX(Batters[[#All],[WE]],MATCH(Table5[[#This Row],[PID]],Batters[[#All],[PID]],0)),INDEX(Table3[[#All],[WE]],MATCH(Table5[[#This Row],[PID]],Table3[[#All],[PID]],0)))</f>
        <v>Normal</v>
      </c>
      <c r="K189" s="52" t="str">
        <f>IF($C189="B",INDEX(Batters[[#All],[INT]],MATCH(Table5[[#This Row],[PID]],Batters[[#All],[PID]],0)),INDEX(Table3[[#All],[INT]],MATCH(Table5[[#This Row],[PID]],Table3[[#All],[PID]],0)))</f>
        <v>Normal</v>
      </c>
      <c r="L189" s="60">
        <f>IF($C189="B",INDEX(Batters[[#All],[CON P]],MATCH(Table5[[#This Row],[PID]],Batters[[#All],[PID]],0)),INDEX(Table3[[#All],[STU P]],MATCH(Table5[[#This Row],[PID]],Table3[[#All],[PID]],0)))</f>
        <v>4</v>
      </c>
      <c r="M189" s="56">
        <f>IF($C189="B",INDEX(Batters[[#All],[GAP P]],MATCH(Table5[[#This Row],[PID]],Batters[[#All],[PID]],0)),INDEX(Table3[[#All],[MOV P]],MATCH(Table5[[#This Row],[PID]],Table3[[#All],[PID]],0)))</f>
        <v>4</v>
      </c>
      <c r="N189" s="56">
        <f>IF($C189="B",INDEX(Batters[[#All],[POW P]],MATCH(Table5[[#This Row],[PID]],Batters[[#All],[PID]],0)),INDEX(Table3[[#All],[CON P]],MATCH(Table5[[#This Row],[PID]],Table3[[#All],[PID]],0)))</f>
        <v>8</v>
      </c>
      <c r="O189" s="56">
        <f>IF($C189="B",INDEX(Batters[[#All],[EYE P]],MATCH(Table5[[#This Row],[PID]],Batters[[#All],[PID]],0)),INDEX(Table3[[#All],[VELO]],MATCH(Table5[[#This Row],[PID]],Table3[[#All],[PID]],0)))</f>
        <v>4</v>
      </c>
      <c r="P189" s="56">
        <f>IF($C189="B",INDEX(Batters[[#All],[K P]],MATCH(Table5[[#This Row],[PID]],Batters[[#All],[PID]],0)),INDEX(Table3[[#All],[STM]],MATCH(Table5[[#This Row],[PID]],Table3[[#All],[PID]],0)))</f>
        <v>3</v>
      </c>
      <c r="Q189" s="61">
        <f>IF($C189="B",INDEX(Batters[[#All],[Tot]],MATCH(Table5[[#This Row],[PID]],Batters[[#All],[PID]],0)),INDEX(Table3[[#All],[Tot]],MATCH(Table5[[#This Row],[PID]],Table3[[#All],[PID]],0)))</f>
        <v>49.602374748455304</v>
      </c>
      <c r="R189" s="52">
        <f>IF($C189="B",INDEX(Batters[[#All],[zScore]],MATCH(Table5[[#This Row],[PID]],Batters[[#All],[PID]],0)),INDEX(Table3[[#All],[zScore]],MATCH(Table5[[#This Row],[PID]],Table3[[#All],[PID]],0)))</f>
        <v>1.2128324221553755</v>
      </c>
      <c r="S189" s="58" t="str">
        <f>IF($C189="B",INDEX(Batters[[#All],[DEM]],MATCH(Table5[[#This Row],[PID]],Batters[[#All],[PID]],0)),INDEX(Table3[[#All],[DEM]],MATCH(Table5[[#This Row],[PID]],Table3[[#All],[PID]],0)))</f>
        <v>$240k</v>
      </c>
      <c r="T189" s="62">
        <f>IF($C189="B",INDEX(Batters[[#All],[Rnk]],MATCH(Table5[[#This Row],[PID]],Batters[[#All],[PID]],0)),INDEX(Table3[[#All],[Rnk]],MATCH(Table5[[#This Row],[PID]],Table3[[#All],[PID]],0)))</f>
        <v>68</v>
      </c>
      <c r="U189" s="68">
        <f>IF($C189="B",VLOOKUP($A189,Bat!$A$4:$BA$1621,47,FALSE),VLOOKUP($A189,Pit!$A$4:$BF$1557,56,FALSE))</f>
        <v>0</v>
      </c>
      <c r="V189" s="50">
        <f>IF($C189="B",VLOOKUP($A189,Bat!$A$4:$BA$1621,48,FALSE),VLOOKUP($A189,Pit!$A$4:$BF$1557,57,FALSE))</f>
        <v>0</v>
      </c>
      <c r="W189" s="50">
        <f>Table5[[#This Row],[posRnk]]+Table5[[#This Row],[zRnk]]+IF($W$3&lt;&gt;Table5[[#This Row],[Type]],50,0)</f>
        <v>298</v>
      </c>
      <c r="X189" s="51">
        <f>RANK(Table5[[#This Row],[zScore]],Table5[[#All],[zScore]])</f>
        <v>180</v>
      </c>
      <c r="Y189" s="50">
        <f>IFERROR(INDEX(DraftResults[[#All],[OVR]],MATCH(Table5[[#This Row],[PID]],DraftResults[[#All],[Player ID]],0)),"")</f>
        <v>185</v>
      </c>
      <c r="Z1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89" s="50">
        <f>IFERROR(INDEX(DraftResults[[#All],[Pick in Round]],MATCH(Table5[[#This Row],[PID]],DraftResults[[#All],[Player ID]],0)),"")</f>
        <v>27</v>
      </c>
      <c r="AB189" s="50" t="str">
        <f>IFERROR(INDEX(DraftResults[[#All],[Team Name]],MATCH(Table5[[#This Row],[PID]],DraftResults[[#All],[Player ID]],0)),"")</f>
        <v>Neo-Tokyo Akira</v>
      </c>
      <c r="AC189" s="50">
        <f>IF(Table5[[#This Row],[Ovr]]="","",IF(Table5[[#This Row],[cmbList]]="","",Table5[[#This Row],[cmbList]]-Table5[[#This Row],[Ovr]]))</f>
        <v>113</v>
      </c>
      <c r="AD189" s="54" t="str">
        <f>IF(ISERROR(VLOOKUP($AB189&amp;"-"&amp;$E189&amp;" "&amp;F189,Bonuses!$B$1:$G$1006,4,FALSE)),"",INT(VLOOKUP($AB189&amp;"-"&amp;$E189&amp;" "&amp;$F189,Bonuses!$B$1:$G$1006,4,FALSE)))</f>
        <v/>
      </c>
      <c r="AE1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6.27 (185) - LF Finn Lochore</v>
      </c>
    </row>
    <row r="190" spans="1:31" s="50" customFormat="1" x14ac:dyDescent="0.25">
      <c r="A190" s="50">
        <v>20546</v>
      </c>
      <c r="B190" s="50">
        <f>COUNTIF(Table5[PID],A190)</f>
        <v>1</v>
      </c>
      <c r="C190" s="50" t="str">
        <f>IF(COUNTIF(Table3[[#All],[PID]],A190)&gt;0,"P","B")</f>
        <v>B</v>
      </c>
      <c r="D190" s="59" t="str">
        <f>IF($C190="B",INDEX(Batters[[#All],[POS]],MATCH(Table5[[#This Row],[PID]],Batters[[#All],[PID]],0)),INDEX(Table3[[#All],[POS]],MATCH(Table5[[#This Row],[PID]],Table3[[#All],[PID]],0)))</f>
        <v>CF</v>
      </c>
      <c r="E190" s="52" t="str">
        <f>IF($C190="B",INDEX(Batters[[#All],[First]],MATCH(Table5[[#This Row],[PID]],Batters[[#All],[PID]],0)),INDEX(Table3[[#All],[First]],MATCH(Table5[[#This Row],[PID]],Table3[[#All],[PID]],0)))</f>
        <v>Hayden</v>
      </c>
      <c r="F190" s="50" t="str">
        <f>IF($C190="B",INDEX(Batters[[#All],[Last]],MATCH(A190,Batters[[#All],[PID]],0)),INDEX(Table3[[#All],[Last]],MATCH(A190,Table3[[#All],[PID]],0)))</f>
        <v>Brigatti</v>
      </c>
      <c r="G190" s="56">
        <f>IF($C190="B",INDEX(Batters[[#All],[Age]],MATCH(Table5[[#This Row],[PID]],Batters[[#All],[PID]],0)),INDEX(Table3[[#All],[Age]],MATCH(Table5[[#This Row],[PID]],Table3[[#All],[PID]],0)))</f>
        <v>18</v>
      </c>
      <c r="H190" s="52" t="str">
        <f>IF($C190="B",INDEX(Batters[[#All],[B]],MATCH(Table5[[#This Row],[PID]],Batters[[#All],[PID]],0)),INDEX(Table3[[#All],[B]],MATCH(Table5[[#This Row],[PID]],Table3[[#All],[PID]],0)))</f>
        <v>R</v>
      </c>
      <c r="I190" s="52" t="str">
        <f>IF($C190="B",INDEX(Batters[[#All],[T]],MATCH(Table5[[#This Row],[PID]],Batters[[#All],[PID]],0)),INDEX(Table3[[#All],[T]],MATCH(Table5[[#This Row],[PID]],Table3[[#All],[PID]],0)))</f>
        <v>R</v>
      </c>
      <c r="J190" s="52" t="str">
        <f>IF($C190="B",INDEX(Batters[[#All],[WE]],MATCH(Table5[[#This Row],[PID]],Batters[[#All],[PID]],0)),INDEX(Table3[[#All],[WE]],MATCH(Table5[[#This Row],[PID]],Table3[[#All],[PID]],0)))</f>
        <v>Normal</v>
      </c>
      <c r="K190" s="52" t="str">
        <f>IF($C190="B",INDEX(Batters[[#All],[INT]],MATCH(Table5[[#This Row],[PID]],Batters[[#All],[PID]],0)),INDEX(Table3[[#All],[INT]],MATCH(Table5[[#This Row],[PID]],Table3[[#All],[PID]],0)))</f>
        <v>Normal</v>
      </c>
      <c r="L190" s="60">
        <f>IF($C190="B",INDEX(Batters[[#All],[CON P]],MATCH(Table5[[#This Row],[PID]],Batters[[#All],[PID]],0)),INDEX(Table3[[#All],[STU P]],MATCH(Table5[[#This Row],[PID]],Table3[[#All],[PID]],0)))</f>
        <v>3</v>
      </c>
      <c r="M190" s="56">
        <f>IF($C190="B",INDEX(Batters[[#All],[GAP P]],MATCH(Table5[[#This Row],[PID]],Batters[[#All],[PID]],0)),INDEX(Table3[[#All],[MOV P]],MATCH(Table5[[#This Row],[PID]],Table3[[#All],[PID]],0)))</f>
        <v>6</v>
      </c>
      <c r="N190" s="56">
        <f>IF($C190="B",INDEX(Batters[[#All],[POW P]],MATCH(Table5[[#This Row],[PID]],Batters[[#All],[PID]],0)),INDEX(Table3[[#All],[CON P]],MATCH(Table5[[#This Row],[PID]],Table3[[#All],[PID]],0)))</f>
        <v>7</v>
      </c>
      <c r="O190" s="56">
        <f>IF($C190="B",INDEX(Batters[[#All],[EYE P]],MATCH(Table5[[#This Row],[PID]],Batters[[#All],[PID]],0)),INDEX(Table3[[#All],[VELO]],MATCH(Table5[[#This Row],[PID]],Table3[[#All],[PID]],0)))</f>
        <v>6</v>
      </c>
      <c r="P190" s="56">
        <f>IF($C190="B",INDEX(Batters[[#All],[K P]],MATCH(Table5[[#This Row],[PID]],Batters[[#All],[PID]],0)),INDEX(Table3[[#All],[STM]],MATCH(Table5[[#This Row],[PID]],Table3[[#All],[PID]],0)))</f>
        <v>3</v>
      </c>
      <c r="Q190" s="61">
        <f>IF($C190="B",INDEX(Batters[[#All],[Tot]],MATCH(Table5[[#This Row],[PID]],Batters[[#All],[PID]],0)),INDEX(Table3[[#All],[Tot]],MATCH(Table5[[#This Row],[PID]],Table3[[#All],[PID]],0)))</f>
        <v>48.132616027739921</v>
      </c>
      <c r="R190" s="52">
        <f>IF($C190="B",INDEX(Batters[[#All],[zScore]],MATCH(Table5[[#This Row],[PID]],Batters[[#All],[PID]],0)),INDEX(Table3[[#All],[zScore]],MATCH(Table5[[#This Row],[PID]],Table3[[#All],[PID]],0)))</f>
        <v>0.88697697912583073</v>
      </c>
      <c r="S190" s="58" t="str">
        <f>IF($C190="B",INDEX(Batters[[#All],[DEM]],MATCH(Table5[[#This Row],[PID]],Batters[[#All],[PID]],0)),INDEX(Table3[[#All],[DEM]],MATCH(Table5[[#This Row],[PID]],Table3[[#All],[PID]],0)))</f>
        <v>$65k</v>
      </c>
      <c r="T190" s="62">
        <f>IF($C190="B",INDEX(Batters[[#All],[Rnk]],MATCH(Table5[[#This Row],[PID]],Batters[[#All],[PID]],0)),INDEX(Table3[[#All],[Rnk]],MATCH(Table5[[#This Row],[PID]],Table3[[#All],[PID]],0)))</f>
        <v>101</v>
      </c>
      <c r="U190" s="68">
        <f>IF($C190="B",VLOOKUP($A190,Bat!$A$4:$BA$1621,47,FALSE),VLOOKUP($A190,Pit!$A$4:$BF$1557,56,FALSE))</f>
        <v>0</v>
      </c>
      <c r="V190" s="50">
        <f>IF($C190="B",VLOOKUP($A190,Bat!$A$4:$BA$1621,48,FALSE),VLOOKUP($A190,Pit!$A$4:$BF$1557,57,FALSE))</f>
        <v>0</v>
      </c>
      <c r="W190" s="50">
        <f>Table5[[#This Row],[posRnk]]+Table5[[#This Row],[zRnk]]+IF($W$3&lt;&gt;Table5[[#This Row],[Type]],50,0)</f>
        <v>407</v>
      </c>
      <c r="X190" s="51">
        <f>RANK(Table5[[#This Row],[zScore]],Table5[[#All],[zScore]])</f>
        <v>256</v>
      </c>
      <c r="Y190" s="50">
        <f>IFERROR(INDEX(DraftResults[[#All],[OVR]],MATCH(Table5[[#This Row],[PID]],DraftResults[[#All],[Player ID]],0)),"")</f>
        <v>186</v>
      </c>
      <c r="Z1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90" s="50">
        <f>IFERROR(INDEX(DraftResults[[#All],[Pick in Round]],MATCH(Table5[[#This Row],[PID]],DraftResults[[#All],[Player ID]],0)),"")</f>
        <v>28</v>
      </c>
      <c r="AB190" s="50" t="str">
        <f>IFERROR(INDEX(DraftResults[[#All],[Team Name]],MATCH(Table5[[#This Row],[PID]],DraftResults[[#All],[Player ID]],0)),"")</f>
        <v>San Juan Coqui</v>
      </c>
      <c r="AC190" s="50">
        <f>IF(Table5[[#This Row],[Ovr]]="","",IF(Table5[[#This Row],[cmbList]]="","",Table5[[#This Row],[cmbList]]-Table5[[#This Row],[Ovr]]))</f>
        <v>221</v>
      </c>
      <c r="AD190" s="54" t="str">
        <f>IF(ISERROR(VLOOKUP($AB190&amp;"-"&amp;$E190&amp;" "&amp;F190,Bonuses!$B$1:$G$1006,4,FALSE)),"",INT(VLOOKUP($AB190&amp;"-"&amp;$E190&amp;" "&amp;$F190,Bonuses!$B$1:$G$1006,4,FALSE)))</f>
        <v/>
      </c>
      <c r="AE1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6.28 (186) - CF Hayden Brigatti</v>
      </c>
    </row>
    <row r="191" spans="1:31" s="50" customFormat="1" x14ac:dyDescent="0.25">
      <c r="A191" s="68">
        <v>18411</v>
      </c>
      <c r="B191" s="69">
        <f>COUNTIF(Table5[PID],A191)</f>
        <v>1</v>
      </c>
      <c r="C191" s="69" t="str">
        <f>IF(COUNTIF(Table3[[#All],[PID]],A191)&gt;0,"P","B")</f>
        <v>P</v>
      </c>
      <c r="D191" s="59" t="str">
        <f>IF($C191="B",INDEX(Batters[[#All],[POS]],MATCH(Table5[[#This Row],[PID]],Batters[[#All],[PID]],0)),INDEX(Table3[[#All],[POS]],MATCH(Table5[[#This Row],[PID]],Table3[[#All],[PID]],0)))</f>
        <v>SP</v>
      </c>
      <c r="E191" s="52" t="str">
        <f>IF($C191="B",INDEX(Batters[[#All],[First]],MATCH(Table5[[#This Row],[PID]],Batters[[#All],[PID]],0)),INDEX(Table3[[#All],[First]],MATCH(Table5[[#This Row],[PID]],Table3[[#All],[PID]],0)))</f>
        <v>Alfred</v>
      </c>
      <c r="F191" s="55" t="str">
        <f>IF($C191="B",INDEX(Batters[[#All],[Last]],MATCH(A191,Batters[[#All],[PID]],0)),INDEX(Table3[[#All],[Last]],MATCH(A191,Table3[[#All],[PID]],0)))</f>
        <v>Hall</v>
      </c>
      <c r="G191" s="56">
        <f>IF($C191="B",INDEX(Batters[[#All],[Age]],MATCH(Table5[[#This Row],[PID]],Batters[[#All],[PID]],0)),INDEX(Table3[[#All],[Age]],MATCH(Table5[[#This Row],[PID]],Table3[[#All],[PID]],0)))</f>
        <v>18</v>
      </c>
      <c r="H191" s="52" t="str">
        <f>IF($C191="B",INDEX(Batters[[#All],[B]],MATCH(Table5[[#This Row],[PID]],Batters[[#All],[PID]],0)),INDEX(Table3[[#All],[B]],MATCH(Table5[[#This Row],[PID]],Table3[[#All],[PID]],0)))</f>
        <v>R</v>
      </c>
      <c r="I191" s="52" t="str">
        <f>IF($C191="B",INDEX(Batters[[#All],[T]],MATCH(Table5[[#This Row],[PID]],Batters[[#All],[PID]],0)),INDEX(Table3[[#All],[T]],MATCH(Table5[[#This Row],[PID]],Table3[[#All],[PID]],0)))</f>
        <v>R</v>
      </c>
      <c r="J191" s="71" t="str">
        <f>IF($C191="B",INDEX(Batters[[#All],[WE]],MATCH(Table5[[#This Row],[PID]],Batters[[#All],[PID]],0)),INDEX(Table3[[#All],[WE]],MATCH(Table5[[#This Row],[PID]],Table3[[#All],[PID]],0)))</f>
        <v>Normal</v>
      </c>
      <c r="K191" s="52" t="str">
        <f>IF($C191="B",INDEX(Batters[[#All],[INT]],MATCH(Table5[[#This Row],[PID]],Batters[[#All],[PID]],0)),INDEX(Table3[[#All],[INT]],MATCH(Table5[[#This Row],[PID]],Table3[[#All],[PID]],0)))</f>
        <v>Normal</v>
      </c>
      <c r="L191" s="60">
        <f>IF($C191="B",INDEX(Batters[[#All],[CON P]],MATCH(Table5[[#This Row],[PID]],Batters[[#All],[PID]],0)),INDEX(Table3[[#All],[STU P]],MATCH(Table5[[#This Row],[PID]],Table3[[#All],[PID]],0)))</f>
        <v>6</v>
      </c>
      <c r="M191" s="72">
        <f>IF($C191="B",INDEX(Batters[[#All],[GAP P]],MATCH(Table5[[#This Row],[PID]],Batters[[#All],[PID]],0)),INDEX(Table3[[#All],[MOV P]],MATCH(Table5[[#This Row],[PID]],Table3[[#All],[PID]],0)))</f>
        <v>5</v>
      </c>
      <c r="N191" s="72">
        <f>IF($C191="B",INDEX(Batters[[#All],[POW P]],MATCH(Table5[[#This Row],[PID]],Batters[[#All],[PID]],0)),INDEX(Table3[[#All],[CON P]],MATCH(Table5[[#This Row],[PID]],Table3[[#All],[PID]],0)))</f>
        <v>4</v>
      </c>
      <c r="O191" s="72" t="str">
        <f>IF($C191="B",INDEX(Batters[[#All],[EYE P]],MATCH(Table5[[#This Row],[PID]],Batters[[#All],[PID]],0)),INDEX(Table3[[#All],[VELO]],MATCH(Table5[[#This Row],[PID]],Table3[[#All],[PID]],0)))</f>
        <v>90-92 Mph</v>
      </c>
      <c r="P191" s="56">
        <f>IF($C191="B",INDEX(Batters[[#All],[K P]],MATCH(Table5[[#This Row],[PID]],Batters[[#All],[PID]],0)),INDEX(Table3[[#All],[STM]],MATCH(Table5[[#This Row],[PID]],Table3[[#All],[PID]],0)))</f>
        <v>5</v>
      </c>
      <c r="Q191" s="61">
        <f>IF($C191="B",INDEX(Batters[[#All],[Tot]],MATCH(Table5[[#This Row],[PID]],Batters[[#All],[PID]],0)),INDEX(Table3[[#All],[Tot]],MATCH(Table5[[#This Row],[PID]],Table3[[#All],[PID]],0)))</f>
        <v>60.937358403039667</v>
      </c>
      <c r="R191" s="52">
        <f>IF($C191="B",INDEX(Batters[[#All],[zScore]],MATCH(Table5[[#This Row],[PID]],Batters[[#All],[PID]],0)),INDEX(Table3[[#All],[zScore]],MATCH(Table5[[#This Row],[PID]],Table3[[#All],[PID]],0)))</f>
        <v>1.667658052065206</v>
      </c>
      <c r="S191" s="78" t="str">
        <f>IF($C191="B",INDEX(Batters[[#All],[DEM]],MATCH(Table5[[#This Row],[PID]],Batters[[#All],[PID]],0)),INDEX(Table3[[#All],[DEM]],MATCH(Table5[[#This Row],[PID]],Table3[[#All],[PID]],0)))</f>
        <v>$700k</v>
      </c>
      <c r="T191" s="75">
        <f>IF($C191="B",INDEX(Batters[[#All],[Rnk]],MATCH(Table5[[#This Row],[PID]],Batters[[#All],[PID]],0)),INDEX(Table3[[#All],[Rnk]],MATCH(Table5[[#This Row],[PID]],Table3[[#All],[PID]],0)))</f>
        <v>59</v>
      </c>
      <c r="U191" s="68">
        <f>IF($C191="B",VLOOKUP($A191,Bat!$A$4:$BA$1621,47,FALSE),VLOOKUP($A191,Pit!$A$4:$BF$1557,56,FALSE))</f>
        <v>0</v>
      </c>
      <c r="V191" s="50">
        <f>IF($C191="B",VLOOKUP($A191,Bat!$A$4:$BA$1621,48,FALSE),VLOOKUP($A191,Pit!$A$4:$BF$1557,57,FALSE))</f>
        <v>0</v>
      </c>
      <c r="W191" s="69">
        <f>Table5[[#This Row],[posRnk]]+Table5[[#This Row],[zRnk]]+IF($W$3&lt;&gt;Table5[[#This Row],[Type]],50,0)</f>
        <v>202</v>
      </c>
      <c r="X191" s="73">
        <f>RANK(Table5[[#This Row],[zScore]],Table5[[#All],[zScore]])</f>
        <v>93</v>
      </c>
      <c r="Y191" s="69">
        <f>IFERROR(INDEX(DraftResults[[#All],[OVR]],MATCH(Table5[[#This Row],[PID]],DraftResults[[#All],[Player ID]],0)),"")</f>
        <v>187</v>
      </c>
      <c r="Z19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91" s="69">
        <f>IFERROR(INDEX(DraftResults[[#All],[Pick in Round]],MATCH(Table5[[#This Row],[PID]],DraftResults[[#All],[Player ID]],0)),"")</f>
        <v>29</v>
      </c>
      <c r="AB191" s="69" t="str">
        <f>IFERROR(INDEX(DraftResults[[#All],[Team Name]],MATCH(Table5[[#This Row],[PID]],DraftResults[[#All],[Player ID]],0)),"")</f>
        <v>Havana Leones</v>
      </c>
      <c r="AC191" s="69">
        <f>IF(Table5[[#This Row],[Ovr]]="","",IF(Table5[[#This Row],[cmbList]]="","",Table5[[#This Row],[cmbList]]-Table5[[#This Row],[Ovr]]))</f>
        <v>15</v>
      </c>
      <c r="AD191" s="77" t="str">
        <f>IF(ISERROR(VLOOKUP($AB191&amp;"-"&amp;$E191&amp;" "&amp;F191,Bonuses!$B$1:$G$1006,4,FALSE)),"",INT(VLOOKUP($AB191&amp;"-"&amp;$E191&amp;" "&amp;$F191,Bonuses!$B$1:$G$1006,4,FALSE)))</f>
        <v/>
      </c>
      <c r="AE19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6.29 (187) - SP Alfred Hall</v>
      </c>
    </row>
    <row r="192" spans="1:31" s="50" customFormat="1" x14ac:dyDescent="0.25">
      <c r="A192" s="68">
        <v>20706</v>
      </c>
      <c r="B192" s="69">
        <f>COUNTIF(Table5[PID],A192)</f>
        <v>1</v>
      </c>
      <c r="C192" s="69" t="str">
        <f>IF(COUNTIF(Table3[[#All],[PID]],A192)&gt;0,"P","B")</f>
        <v>P</v>
      </c>
      <c r="D192" s="59" t="str">
        <f>IF($C192="B",INDEX(Batters[[#All],[POS]],MATCH(Table5[[#This Row],[PID]],Batters[[#All],[PID]],0)),INDEX(Table3[[#All],[POS]],MATCH(Table5[[#This Row],[PID]],Table3[[#All],[PID]],0)))</f>
        <v>SP</v>
      </c>
      <c r="E192" s="52" t="str">
        <f>IF($C192="B",INDEX(Batters[[#All],[First]],MATCH(Table5[[#This Row],[PID]],Batters[[#All],[PID]],0)),INDEX(Table3[[#All],[First]],MATCH(Table5[[#This Row],[PID]],Table3[[#All],[PID]],0)))</f>
        <v>Katsuyuki</v>
      </c>
      <c r="F192" s="55" t="str">
        <f>IF($C192="B",INDEX(Batters[[#All],[Last]],MATCH(A192,Batters[[#All],[PID]],0)),INDEX(Table3[[#All],[Last]],MATCH(A192,Table3[[#All],[PID]],0)))</f>
        <v>Sugano</v>
      </c>
      <c r="G192" s="56">
        <f>IF($C192="B",INDEX(Batters[[#All],[Age]],MATCH(Table5[[#This Row],[PID]],Batters[[#All],[PID]],0)),INDEX(Table3[[#All],[Age]],MATCH(Table5[[#This Row],[PID]],Table3[[#All],[PID]],0)))</f>
        <v>18</v>
      </c>
      <c r="H192" s="52" t="str">
        <f>IF($C192="B",INDEX(Batters[[#All],[B]],MATCH(Table5[[#This Row],[PID]],Batters[[#All],[PID]],0)),INDEX(Table3[[#All],[B]],MATCH(Table5[[#This Row],[PID]],Table3[[#All],[PID]],0)))</f>
        <v>S</v>
      </c>
      <c r="I192" s="52" t="str">
        <f>IF($C192="B",INDEX(Batters[[#All],[T]],MATCH(Table5[[#This Row],[PID]],Batters[[#All],[PID]],0)),INDEX(Table3[[#All],[T]],MATCH(Table5[[#This Row],[PID]],Table3[[#All],[PID]],0)))</f>
        <v>R</v>
      </c>
      <c r="J192" s="71" t="str">
        <f>IF($C192="B",INDEX(Batters[[#All],[WE]],MATCH(Table5[[#This Row],[PID]],Batters[[#All],[PID]],0)),INDEX(Table3[[#All],[WE]],MATCH(Table5[[#This Row],[PID]],Table3[[#All],[PID]],0)))</f>
        <v>Normal</v>
      </c>
      <c r="K192" s="52" t="str">
        <f>IF($C192="B",INDEX(Batters[[#All],[INT]],MATCH(Table5[[#This Row],[PID]],Batters[[#All],[PID]],0)),INDEX(Table3[[#All],[INT]],MATCH(Table5[[#This Row],[PID]],Table3[[#All],[PID]],0)))</f>
        <v>Normal</v>
      </c>
      <c r="L192" s="60">
        <f>IF($C192="B",INDEX(Batters[[#All],[CON P]],MATCH(Table5[[#This Row],[PID]],Batters[[#All],[PID]],0)),INDEX(Table3[[#All],[STU P]],MATCH(Table5[[#This Row],[PID]],Table3[[#All],[PID]],0)))</f>
        <v>5</v>
      </c>
      <c r="M192" s="72">
        <f>IF($C192="B",INDEX(Batters[[#All],[GAP P]],MATCH(Table5[[#This Row],[PID]],Batters[[#All],[PID]],0)),INDEX(Table3[[#All],[MOV P]],MATCH(Table5[[#This Row],[PID]],Table3[[#All],[PID]],0)))</f>
        <v>4</v>
      </c>
      <c r="N192" s="72">
        <f>IF($C192="B",INDEX(Batters[[#All],[POW P]],MATCH(Table5[[#This Row],[PID]],Batters[[#All],[PID]],0)),INDEX(Table3[[#All],[CON P]],MATCH(Table5[[#This Row],[PID]],Table3[[#All],[PID]],0)))</f>
        <v>5</v>
      </c>
      <c r="O192" s="72" t="str">
        <f>IF($C192="B",INDEX(Batters[[#All],[EYE P]],MATCH(Table5[[#This Row],[PID]],Batters[[#All],[PID]],0)),INDEX(Table3[[#All],[VELO]],MATCH(Table5[[#This Row],[PID]],Table3[[#All],[PID]],0)))</f>
        <v>94-96 Mph</v>
      </c>
      <c r="P192" s="56">
        <f>IF($C192="B",INDEX(Batters[[#All],[K P]],MATCH(Table5[[#This Row],[PID]],Batters[[#All],[PID]],0)),INDEX(Table3[[#All],[STM]],MATCH(Table5[[#This Row],[PID]],Table3[[#All],[PID]],0)))</f>
        <v>9</v>
      </c>
      <c r="Q192" s="61">
        <f>IF($C192="B",INDEX(Batters[[#All],[Tot]],MATCH(Table5[[#This Row],[PID]],Batters[[#All],[PID]],0)),INDEX(Table3[[#All],[Tot]],MATCH(Table5[[#This Row],[PID]],Table3[[#All],[PID]],0)))</f>
        <v>51.944912053021078</v>
      </c>
      <c r="R192" s="52">
        <f>IF($C192="B",INDEX(Batters[[#All],[zScore]],MATCH(Table5[[#This Row],[PID]],Batters[[#All],[PID]],0)),INDEX(Table3[[#All],[zScore]],MATCH(Table5[[#This Row],[PID]],Table3[[#All],[PID]],0)))</f>
        <v>1.0694043378352491</v>
      </c>
      <c r="S192" s="78" t="str">
        <f>IF($C192="B",INDEX(Batters[[#All],[DEM]],MATCH(Table5[[#This Row],[PID]],Batters[[#All],[PID]],0)),INDEX(Table3[[#All],[DEM]],MATCH(Table5[[#This Row],[PID]],Table3[[#All],[PID]],0)))</f>
        <v>$65k</v>
      </c>
      <c r="T192" s="75">
        <f>IF($C192="B",INDEX(Batters[[#All],[Rnk]],MATCH(Table5[[#This Row],[PID]],Batters[[#All],[PID]],0)),INDEX(Table3[[#All],[Rnk]],MATCH(Table5[[#This Row],[PID]],Table3[[#All],[PID]],0)))</f>
        <v>128</v>
      </c>
      <c r="U192" s="68">
        <f>IF($C192="B",VLOOKUP($A192,Bat!$A$4:$BA$1621,47,FALSE),VLOOKUP($A192,Pit!$A$4:$BF$1557,56,FALSE))</f>
        <v>0</v>
      </c>
      <c r="V192" s="50">
        <f>IF($C192="B",VLOOKUP($A192,Bat!$A$4:$BA$1621,48,FALSE),VLOOKUP($A192,Pit!$A$4:$BF$1557,57,FALSE))</f>
        <v>0</v>
      </c>
      <c r="W192" s="69">
        <f>Table5[[#This Row],[posRnk]]+Table5[[#This Row],[zRnk]]+IF($W$3&lt;&gt;Table5[[#This Row],[Type]],50,0)</f>
        <v>391</v>
      </c>
      <c r="X192" s="73">
        <f>RANK(Table5[[#This Row],[zScore]],Table5[[#All],[zScore]])</f>
        <v>213</v>
      </c>
      <c r="Y192" s="69">
        <f>IFERROR(INDEX(DraftResults[[#All],[OVR]],MATCH(Table5[[#This Row],[PID]],DraftResults[[#All],[Player ID]],0)),"")</f>
        <v>188</v>
      </c>
      <c r="Z19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6</v>
      </c>
      <c r="AA192" s="69">
        <f>IFERROR(INDEX(DraftResults[[#All],[Pick in Round]],MATCH(Table5[[#This Row],[PID]],DraftResults[[#All],[Player ID]],0)),"")</f>
        <v>30</v>
      </c>
      <c r="AB192" s="69" t="str">
        <f>IFERROR(INDEX(DraftResults[[#All],[Team Name]],MATCH(Table5[[#This Row],[PID]],DraftResults[[#All],[Player ID]],0)),"")</f>
        <v>Florida Farstriders</v>
      </c>
      <c r="AC192" s="69">
        <f>IF(Table5[[#This Row],[Ovr]]="","",IF(Table5[[#This Row],[cmbList]]="","",Table5[[#This Row],[cmbList]]-Table5[[#This Row],[Ovr]]))</f>
        <v>203</v>
      </c>
      <c r="AD192" s="77" t="str">
        <f>IF(ISERROR(VLOOKUP($AB192&amp;"-"&amp;$E192&amp;" "&amp;F192,Bonuses!$B$1:$G$1006,4,FALSE)),"",INT(VLOOKUP($AB192&amp;"-"&amp;$E192&amp;" "&amp;$F192,Bonuses!$B$1:$G$1006,4,FALSE)))</f>
        <v/>
      </c>
      <c r="AE19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6.30 (188) - SP Katsuyuki Sugano</v>
      </c>
    </row>
    <row r="193" spans="1:31" s="50" customFormat="1" x14ac:dyDescent="0.25">
      <c r="A193" s="50">
        <v>15234</v>
      </c>
      <c r="B193" s="50">
        <f>COUNTIF(Table5[PID],A193)</f>
        <v>1</v>
      </c>
      <c r="C193" s="50" t="str">
        <f>IF(COUNTIF(Table3[[#All],[PID]],A193)&gt;0,"P","B")</f>
        <v>P</v>
      </c>
      <c r="D193" s="59" t="str">
        <f>IF($C193="B",INDEX(Batters[[#All],[POS]],MATCH(Table5[[#This Row],[PID]],Batters[[#All],[PID]],0)),INDEX(Table3[[#All],[POS]],MATCH(Table5[[#This Row],[PID]],Table3[[#All],[PID]],0)))</f>
        <v>CL</v>
      </c>
      <c r="E193" s="52" t="str">
        <f>IF($C193="B",INDEX(Batters[[#All],[First]],MATCH(Table5[[#This Row],[PID]],Batters[[#All],[PID]],0)),INDEX(Table3[[#All],[First]],MATCH(Table5[[#This Row],[PID]],Table3[[#All],[PID]],0)))</f>
        <v>Gustavo</v>
      </c>
      <c r="F193" s="50" t="str">
        <f>IF($C193="B",INDEX(Batters[[#All],[Last]],MATCH(A193,Batters[[#All],[PID]],0)),INDEX(Table3[[#All],[Last]],MATCH(A193,Table3[[#All],[PID]],0)))</f>
        <v>Ramos</v>
      </c>
      <c r="G193" s="56">
        <f>IF($C193="B",INDEX(Batters[[#All],[Age]],MATCH(Table5[[#This Row],[PID]],Batters[[#All],[PID]],0)),INDEX(Table3[[#All],[Age]],MATCH(Table5[[#This Row],[PID]],Table3[[#All],[PID]],0)))</f>
        <v>18</v>
      </c>
      <c r="H193" s="52" t="str">
        <f>IF($C193="B",INDEX(Batters[[#All],[B]],MATCH(Table5[[#This Row],[PID]],Batters[[#All],[PID]],0)),INDEX(Table3[[#All],[B]],MATCH(Table5[[#This Row],[PID]],Table3[[#All],[PID]],0)))</f>
        <v>R</v>
      </c>
      <c r="I193" s="52" t="str">
        <f>IF($C193="B",INDEX(Batters[[#All],[T]],MATCH(Table5[[#This Row],[PID]],Batters[[#All],[PID]],0)),INDEX(Table3[[#All],[T]],MATCH(Table5[[#This Row],[PID]],Table3[[#All],[PID]],0)))</f>
        <v>R</v>
      </c>
      <c r="J193" s="52" t="str">
        <f>IF($C193="B",INDEX(Batters[[#All],[WE]],MATCH(Table5[[#This Row],[PID]],Batters[[#All],[PID]],0)),INDEX(Table3[[#All],[WE]],MATCH(Table5[[#This Row],[PID]],Table3[[#All],[PID]],0)))</f>
        <v>Normal</v>
      </c>
      <c r="K193" s="52" t="str">
        <f>IF($C193="B",INDEX(Batters[[#All],[INT]],MATCH(Table5[[#This Row],[PID]],Batters[[#All],[PID]],0)),INDEX(Table3[[#All],[INT]],MATCH(Table5[[#This Row],[PID]],Table3[[#All],[PID]],0)))</f>
        <v>Normal</v>
      </c>
      <c r="L193" s="60">
        <f>IF($C193="B",INDEX(Batters[[#All],[CON P]],MATCH(Table5[[#This Row],[PID]],Batters[[#All],[PID]],0)),INDEX(Table3[[#All],[STU P]],MATCH(Table5[[#This Row],[PID]],Table3[[#All],[PID]],0)))</f>
        <v>6</v>
      </c>
      <c r="M193" s="56">
        <f>IF($C193="B",INDEX(Batters[[#All],[GAP P]],MATCH(Table5[[#This Row],[PID]],Batters[[#All],[PID]],0)),INDEX(Table3[[#All],[MOV P]],MATCH(Table5[[#This Row],[PID]],Table3[[#All],[PID]],0)))</f>
        <v>4</v>
      </c>
      <c r="N193" s="56">
        <f>IF($C193="B",INDEX(Batters[[#All],[POW P]],MATCH(Table5[[#This Row],[PID]],Batters[[#All],[PID]],0)),INDEX(Table3[[#All],[CON P]],MATCH(Table5[[#This Row],[PID]],Table3[[#All],[PID]],0)))</f>
        <v>5</v>
      </c>
      <c r="O193" s="56" t="str">
        <f>IF($C193="B",INDEX(Batters[[#All],[EYE P]],MATCH(Table5[[#This Row],[PID]],Batters[[#All],[PID]],0)),INDEX(Table3[[#All],[VELO]],MATCH(Table5[[#This Row],[PID]],Table3[[#All],[PID]],0)))</f>
        <v>88-90 Mph</v>
      </c>
      <c r="P193" s="56">
        <f>IF($C193="B",INDEX(Batters[[#All],[K P]],MATCH(Table5[[#This Row],[PID]],Batters[[#All],[PID]],0)),INDEX(Table3[[#All],[STM]],MATCH(Table5[[#This Row],[PID]],Table3[[#All],[PID]],0)))</f>
        <v>9</v>
      </c>
      <c r="Q193" s="61">
        <f>IF($C193="B",INDEX(Batters[[#All],[Tot]],MATCH(Table5[[#This Row],[PID]],Batters[[#All],[PID]],0)),INDEX(Table3[[#All],[Tot]],MATCH(Table5[[#This Row],[PID]],Table3[[#All],[PID]],0)))</f>
        <v>61.233144585342288</v>
      </c>
      <c r="R193" s="52">
        <f>IF($C193="B",INDEX(Batters[[#All],[zScore]],MATCH(Table5[[#This Row],[PID]],Batters[[#All],[PID]],0)),INDEX(Table3[[#All],[zScore]],MATCH(Table5[[#This Row],[PID]],Table3[[#All],[PID]],0)))</f>
        <v>1.6873362547803188</v>
      </c>
      <c r="S193" s="58" t="str">
        <f>IF($C193="B",INDEX(Batters[[#All],[DEM]],MATCH(Table5[[#This Row],[PID]],Batters[[#All],[PID]],0)),INDEX(Table3[[#All],[DEM]],MATCH(Table5[[#This Row],[PID]],Table3[[#All],[PID]],0)))</f>
        <v>$75k</v>
      </c>
      <c r="T193" s="62">
        <f>IF($C193="B",INDEX(Batters[[#All],[Rnk]],MATCH(Table5[[#This Row],[PID]],Batters[[#All],[PID]],0)),INDEX(Table3[[#All],[Rnk]],MATCH(Table5[[#This Row],[PID]],Table3[[#All],[PID]],0)))</f>
        <v>56</v>
      </c>
      <c r="U193" s="68">
        <f>IF($C193="B",VLOOKUP($A193,Bat!$A$4:$BA$1621,47,FALSE),VLOOKUP($A193,Pit!$A$4:$BF$1557,56,FALSE))</f>
        <v>0</v>
      </c>
      <c r="V193" s="50">
        <f>IF($C193="B",VLOOKUP($A193,Bat!$A$4:$BA$1621,48,FALSE),VLOOKUP($A193,Pit!$A$4:$BF$1557,57,FALSE))</f>
        <v>0</v>
      </c>
      <c r="W193" s="50">
        <f>Table5[[#This Row],[posRnk]]+Table5[[#This Row],[zRnk]]+IF($W$3&lt;&gt;Table5[[#This Row],[Type]],50,0)</f>
        <v>194</v>
      </c>
      <c r="X193" s="51">
        <f>RANK(Table5[[#This Row],[zScore]],Table5[[#All],[zScore]])</f>
        <v>88</v>
      </c>
      <c r="Y193" s="50">
        <f>IFERROR(INDEX(DraftResults[[#All],[OVR]],MATCH(Table5[[#This Row],[PID]],DraftResults[[#All],[Player ID]],0)),"")</f>
        <v>189</v>
      </c>
      <c r="Z1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3" s="50">
        <f>IFERROR(INDEX(DraftResults[[#All],[Pick in Round]],MATCH(Table5[[#This Row],[PID]],DraftResults[[#All],[Player ID]],0)),"")</f>
        <v>1</v>
      </c>
      <c r="AB193" s="50" t="str">
        <f>IFERROR(INDEX(DraftResults[[#All],[Team Name]],MATCH(Table5[[#This Row],[PID]],DraftResults[[#All],[Player ID]],0)),"")</f>
        <v>Yuma Arroyos</v>
      </c>
      <c r="AC193" s="50">
        <f>IF(Table5[[#This Row],[Ovr]]="","",IF(Table5[[#This Row],[cmbList]]="","",Table5[[#This Row],[cmbList]]-Table5[[#This Row],[Ovr]]))</f>
        <v>5</v>
      </c>
      <c r="AD193" s="54" t="str">
        <f>IF(ISERROR(VLOOKUP($AB193&amp;"-"&amp;$E193&amp;" "&amp;F193,Bonuses!$B$1:$G$1006,4,FALSE)),"",INT(VLOOKUP($AB193&amp;"-"&amp;$E193&amp;" "&amp;$F193,Bonuses!$B$1:$G$1006,4,FALSE)))</f>
        <v/>
      </c>
      <c r="AE1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 (189) - CL Gustavo Ramos</v>
      </c>
    </row>
    <row r="194" spans="1:31" s="50" customFormat="1" x14ac:dyDescent="0.25">
      <c r="A194" s="68">
        <v>18208</v>
      </c>
      <c r="B194" s="69">
        <f>COUNTIF(Table5[PID],A194)</f>
        <v>1</v>
      </c>
      <c r="C194" s="69" t="str">
        <f>IF(COUNTIF(Table3[[#All],[PID]],A194)&gt;0,"P","B")</f>
        <v>P</v>
      </c>
      <c r="D194" s="59" t="str">
        <f>IF($C194="B",INDEX(Batters[[#All],[POS]],MATCH(Table5[[#This Row],[PID]],Batters[[#All],[PID]],0)),INDEX(Table3[[#All],[POS]],MATCH(Table5[[#This Row],[PID]],Table3[[#All],[PID]],0)))</f>
        <v>SP</v>
      </c>
      <c r="E194" s="52" t="str">
        <f>IF($C194="B",INDEX(Batters[[#All],[First]],MATCH(Table5[[#This Row],[PID]],Batters[[#All],[PID]],0)),INDEX(Table3[[#All],[First]],MATCH(Table5[[#This Row],[PID]],Table3[[#All],[PID]],0)))</f>
        <v>Brandon</v>
      </c>
      <c r="F194" s="55" t="str">
        <f>IF($C194="B",INDEX(Batters[[#All],[Last]],MATCH(A194,Batters[[#All],[PID]],0)),INDEX(Table3[[#All],[Last]],MATCH(A194,Table3[[#All],[PID]],0)))</f>
        <v>Nichols</v>
      </c>
      <c r="G194" s="56">
        <f>IF($C194="B",INDEX(Batters[[#All],[Age]],MATCH(Table5[[#This Row],[PID]],Batters[[#All],[PID]],0)),INDEX(Table3[[#All],[Age]],MATCH(Table5[[#This Row],[PID]],Table3[[#All],[PID]],0)))</f>
        <v>18</v>
      </c>
      <c r="H194" s="52" t="str">
        <f>IF($C194="B",INDEX(Batters[[#All],[B]],MATCH(Table5[[#This Row],[PID]],Batters[[#All],[PID]],0)),INDEX(Table3[[#All],[B]],MATCH(Table5[[#This Row],[PID]],Table3[[#All],[PID]],0)))</f>
        <v>R</v>
      </c>
      <c r="I194" s="52" t="str">
        <f>IF($C194="B",INDEX(Batters[[#All],[T]],MATCH(Table5[[#This Row],[PID]],Batters[[#All],[PID]],0)),INDEX(Table3[[#All],[T]],MATCH(Table5[[#This Row],[PID]],Table3[[#All],[PID]],0)))</f>
        <v>R</v>
      </c>
      <c r="J194" s="71" t="str">
        <f>IF($C194="B",INDEX(Batters[[#All],[WE]],MATCH(Table5[[#This Row],[PID]],Batters[[#All],[PID]],0)),INDEX(Table3[[#All],[WE]],MATCH(Table5[[#This Row],[PID]],Table3[[#All],[PID]],0)))</f>
        <v>Normal</v>
      </c>
      <c r="K194" s="52" t="str">
        <f>IF($C194="B",INDEX(Batters[[#All],[INT]],MATCH(Table5[[#This Row],[PID]],Batters[[#All],[PID]],0)),INDEX(Table3[[#All],[INT]],MATCH(Table5[[#This Row],[PID]],Table3[[#All],[PID]],0)))</f>
        <v>Normal</v>
      </c>
      <c r="L194" s="60">
        <f>IF($C194="B",INDEX(Batters[[#All],[CON P]],MATCH(Table5[[#This Row],[PID]],Batters[[#All],[PID]],0)),INDEX(Table3[[#All],[STU P]],MATCH(Table5[[#This Row],[PID]],Table3[[#All],[PID]],0)))</f>
        <v>6</v>
      </c>
      <c r="M194" s="72">
        <f>IF($C194="B",INDEX(Batters[[#All],[GAP P]],MATCH(Table5[[#This Row],[PID]],Batters[[#All],[PID]],0)),INDEX(Table3[[#All],[MOV P]],MATCH(Table5[[#This Row],[PID]],Table3[[#All],[PID]],0)))</f>
        <v>4</v>
      </c>
      <c r="N194" s="72">
        <f>IF($C194="B",INDEX(Batters[[#All],[POW P]],MATCH(Table5[[#This Row],[PID]],Batters[[#All],[PID]],0)),INDEX(Table3[[#All],[CON P]],MATCH(Table5[[#This Row],[PID]],Table3[[#All],[PID]],0)))</f>
        <v>5</v>
      </c>
      <c r="O194" s="72" t="str">
        <f>IF($C194="B",INDEX(Batters[[#All],[EYE P]],MATCH(Table5[[#This Row],[PID]],Batters[[#All],[PID]],0)),INDEX(Table3[[#All],[VELO]],MATCH(Table5[[#This Row],[PID]],Table3[[#All],[PID]],0)))</f>
        <v>90-92 Mph</v>
      </c>
      <c r="P194" s="56">
        <f>IF($C194="B",INDEX(Batters[[#All],[K P]],MATCH(Table5[[#This Row],[PID]],Batters[[#All],[PID]],0)),INDEX(Table3[[#All],[STM]],MATCH(Table5[[#This Row],[PID]],Table3[[#All],[PID]],0)))</f>
        <v>7</v>
      </c>
      <c r="Q194" s="61">
        <f>IF($C194="B",INDEX(Batters[[#All],[Tot]],MATCH(Table5[[#This Row],[PID]],Batters[[#All],[PID]],0)),INDEX(Table3[[#All],[Tot]],MATCH(Table5[[#This Row],[PID]],Table3[[#All],[PID]],0)))</f>
        <v>61.547082850244131</v>
      </c>
      <c r="R194" s="52">
        <f>IF($C194="B",INDEX(Batters[[#All],[zScore]],MATCH(Table5[[#This Row],[PID]],Batters[[#All],[PID]],0)),INDEX(Table3[[#All],[zScore]],MATCH(Table5[[#This Row],[PID]],Table3[[#All],[PID]],0)))</f>
        <v>1.6264095138029828</v>
      </c>
      <c r="S194" s="78" t="str">
        <f>IF($C194="B",INDEX(Batters[[#All],[DEM]],MATCH(Table5[[#This Row],[PID]],Batters[[#All],[PID]],0)),INDEX(Table3[[#All],[DEM]],MATCH(Table5[[#This Row],[PID]],Table3[[#All],[PID]],0)))</f>
        <v>$420k</v>
      </c>
      <c r="T194" s="75">
        <f>IF($C194="B",INDEX(Batters[[#All],[Rnk]],MATCH(Table5[[#This Row],[PID]],Batters[[#All],[PID]],0)),INDEX(Table3[[#All],[Rnk]],MATCH(Table5[[#This Row],[PID]],Table3[[#All],[PID]],0)))</f>
        <v>63</v>
      </c>
      <c r="U194" s="68">
        <f>IF($C194="B",VLOOKUP($A194,Bat!$A$4:$BA$1621,47,FALSE),VLOOKUP($A194,Pit!$A$4:$BF$1557,56,FALSE))</f>
        <v>0</v>
      </c>
      <c r="V194" s="50">
        <f>IF($C194="B",VLOOKUP($A194,Bat!$A$4:$BA$1621,48,FALSE),VLOOKUP($A194,Pit!$A$4:$BF$1557,57,FALSE))</f>
        <v>0</v>
      </c>
      <c r="W194" s="69">
        <f>Table5[[#This Row],[posRnk]]+Table5[[#This Row],[zRnk]]+IF($W$3&lt;&gt;Table5[[#This Row],[Type]],50,0)</f>
        <v>212</v>
      </c>
      <c r="X194" s="73">
        <f>RANK(Table5[[#This Row],[zScore]],Table5[[#All],[zScore]])</f>
        <v>99</v>
      </c>
      <c r="Y194" s="69">
        <f>IFERROR(INDEX(DraftResults[[#All],[OVR]],MATCH(Table5[[#This Row],[PID]],DraftResults[[#All],[Player ID]],0)),"")</f>
        <v>190</v>
      </c>
      <c r="Z19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4" s="69">
        <f>IFERROR(INDEX(DraftResults[[#All],[Pick in Round]],MATCH(Table5[[#This Row],[PID]],DraftResults[[#All],[Player ID]],0)),"")</f>
        <v>2</v>
      </c>
      <c r="AB194" s="69" t="str">
        <f>IFERROR(INDEX(DraftResults[[#All],[Team Name]],MATCH(Table5[[#This Row],[PID]],DraftResults[[#All],[Player ID]],0)),"")</f>
        <v>Charleston Statesmen</v>
      </c>
      <c r="AC194" s="69">
        <f>IF(Table5[[#This Row],[Ovr]]="","",IF(Table5[[#This Row],[cmbList]]="","",Table5[[#This Row],[cmbList]]-Table5[[#This Row],[Ovr]]))</f>
        <v>22</v>
      </c>
      <c r="AD194" s="77" t="str">
        <f>IF(ISERROR(VLOOKUP($AB194&amp;"-"&amp;$E194&amp;" "&amp;F194,Bonuses!$B$1:$G$1006,4,FALSE)),"",INT(VLOOKUP($AB194&amp;"-"&amp;$E194&amp;" "&amp;$F194,Bonuses!$B$1:$G$1006,4,FALSE)))</f>
        <v/>
      </c>
      <c r="AE19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 (190) - SP Brandon Nichols</v>
      </c>
    </row>
    <row r="195" spans="1:31" s="50" customFormat="1" x14ac:dyDescent="0.25">
      <c r="A195" s="50">
        <v>18117</v>
      </c>
      <c r="B195" s="50">
        <f>COUNTIF(Table5[PID],A195)</f>
        <v>1</v>
      </c>
      <c r="C195" s="50" t="str">
        <f>IF(COUNTIF(Table3[[#All],[PID]],A195)&gt;0,"P","B")</f>
        <v>P</v>
      </c>
      <c r="D195" s="59" t="str">
        <f>IF($C195="B",INDEX(Batters[[#All],[POS]],MATCH(Table5[[#This Row],[PID]],Batters[[#All],[PID]],0)),INDEX(Table3[[#All],[POS]],MATCH(Table5[[#This Row],[PID]],Table3[[#All],[PID]],0)))</f>
        <v>CL</v>
      </c>
      <c r="E195" s="52" t="str">
        <f>IF($C195="B",INDEX(Batters[[#All],[First]],MATCH(Table5[[#This Row],[PID]],Batters[[#All],[PID]],0)),INDEX(Table3[[#All],[First]],MATCH(Table5[[#This Row],[PID]],Table3[[#All],[PID]],0)))</f>
        <v>Enrique</v>
      </c>
      <c r="F195" s="50" t="str">
        <f>IF($C195="B",INDEX(Batters[[#All],[Last]],MATCH(A195,Batters[[#All],[PID]],0)),INDEX(Table3[[#All],[Last]],MATCH(A195,Table3[[#All],[PID]],0)))</f>
        <v>Gonzáles</v>
      </c>
      <c r="G195" s="56">
        <f>IF($C195="B",INDEX(Batters[[#All],[Age]],MATCH(Table5[[#This Row],[PID]],Batters[[#All],[PID]],0)),INDEX(Table3[[#All],[Age]],MATCH(Table5[[#This Row],[PID]],Table3[[#All],[PID]],0)))</f>
        <v>21</v>
      </c>
      <c r="H195" s="52" t="str">
        <f>IF($C195="B",INDEX(Batters[[#All],[B]],MATCH(Table5[[#This Row],[PID]],Batters[[#All],[PID]],0)),INDEX(Table3[[#All],[B]],MATCH(Table5[[#This Row],[PID]],Table3[[#All],[PID]],0)))</f>
        <v>R</v>
      </c>
      <c r="I195" s="52" t="str">
        <f>IF($C195="B",INDEX(Batters[[#All],[T]],MATCH(Table5[[#This Row],[PID]],Batters[[#All],[PID]],0)),INDEX(Table3[[#All],[T]],MATCH(Table5[[#This Row],[PID]],Table3[[#All],[PID]],0)))</f>
        <v>R</v>
      </c>
      <c r="J195" s="52" t="str">
        <f>IF($C195="B",INDEX(Batters[[#All],[WE]],MATCH(Table5[[#This Row],[PID]],Batters[[#All],[PID]],0)),INDEX(Table3[[#All],[WE]],MATCH(Table5[[#This Row],[PID]],Table3[[#All],[PID]],0)))</f>
        <v>Normal</v>
      </c>
      <c r="K195" s="52" t="str">
        <f>IF($C195="B",INDEX(Batters[[#All],[INT]],MATCH(Table5[[#This Row],[PID]],Batters[[#All],[PID]],0)),INDEX(Table3[[#All],[INT]],MATCH(Table5[[#This Row],[PID]],Table3[[#All],[PID]],0)))</f>
        <v>Normal</v>
      </c>
      <c r="L195" s="60">
        <f>IF($C195="B",INDEX(Batters[[#All],[CON P]],MATCH(Table5[[#This Row],[PID]],Batters[[#All],[PID]],0)),INDEX(Table3[[#All],[STU P]],MATCH(Table5[[#This Row],[PID]],Table3[[#All],[PID]],0)))</f>
        <v>6</v>
      </c>
      <c r="M195" s="56">
        <f>IF($C195="B",INDEX(Batters[[#All],[GAP P]],MATCH(Table5[[#This Row],[PID]],Batters[[#All],[PID]],0)),INDEX(Table3[[#All],[MOV P]],MATCH(Table5[[#This Row],[PID]],Table3[[#All],[PID]],0)))</f>
        <v>5</v>
      </c>
      <c r="N195" s="56">
        <f>IF($C195="B",INDEX(Batters[[#All],[POW P]],MATCH(Table5[[#This Row],[PID]],Batters[[#All],[PID]],0)),INDEX(Table3[[#All],[CON P]],MATCH(Table5[[#This Row],[PID]],Table3[[#All],[PID]],0)))</f>
        <v>3</v>
      </c>
      <c r="O195" s="56" t="str">
        <f>IF($C195="B",INDEX(Batters[[#All],[EYE P]],MATCH(Table5[[#This Row],[PID]],Batters[[#All],[PID]],0)),INDEX(Table3[[#All],[VELO]],MATCH(Table5[[#This Row],[PID]],Table3[[#All],[PID]],0)))</f>
        <v>94-96 Mph</v>
      </c>
      <c r="P195" s="56">
        <f>IF($C195="B",INDEX(Batters[[#All],[K P]],MATCH(Table5[[#This Row],[PID]],Batters[[#All],[PID]],0)),INDEX(Table3[[#All],[STM]],MATCH(Table5[[#This Row],[PID]],Table3[[#All],[PID]],0)))</f>
        <v>7</v>
      </c>
      <c r="Q195" s="61">
        <f>IF($C195="B",INDEX(Batters[[#All],[Tot]],MATCH(Table5[[#This Row],[PID]],Batters[[#All],[PID]],0)),INDEX(Table3[[#All],[Tot]],MATCH(Table5[[#This Row],[PID]],Table3[[#All],[PID]],0)))</f>
        <v>50.689353845014764</v>
      </c>
      <c r="R195" s="52">
        <f>IF($C195="B",INDEX(Batters[[#All],[zScore]],MATCH(Table5[[#This Row],[PID]],Batters[[#All],[PID]],0)),INDEX(Table3[[#All],[zScore]],MATCH(Table5[[#This Row],[PID]],Table3[[#All],[PID]],0)))</f>
        <v>0.98587396888618861</v>
      </c>
      <c r="S195" s="58" t="str">
        <f>IF($C195="B",INDEX(Batters[[#All],[DEM]],MATCH(Table5[[#This Row],[PID]],Batters[[#All],[PID]],0)),INDEX(Table3[[#All],[DEM]],MATCH(Table5[[#This Row],[PID]],Table3[[#All],[PID]],0)))</f>
        <v>-</v>
      </c>
      <c r="T195" s="62">
        <f>IF($C195="B",INDEX(Batters[[#All],[Rnk]],MATCH(Table5[[#This Row],[PID]],Batters[[#All],[PID]],0)),INDEX(Table3[[#All],[Rnk]],MATCH(Table5[[#This Row],[PID]],Table3[[#All],[PID]],0)))</f>
        <v>140</v>
      </c>
      <c r="U195" s="68">
        <f>IF($C195="B",VLOOKUP($A195,Bat!$A$4:$BA$1621,47,FALSE),VLOOKUP($A195,Pit!$A$4:$BF$1557,56,FALSE))</f>
        <v>0</v>
      </c>
      <c r="V195" s="50">
        <f>IF($C195="B",VLOOKUP($A195,Bat!$A$4:$BA$1621,48,FALSE),VLOOKUP($A195,Pit!$A$4:$BF$1557,57,FALSE))</f>
        <v>0</v>
      </c>
      <c r="W195" s="50">
        <f>Table5[[#This Row],[posRnk]]+Table5[[#This Row],[zRnk]]+IF($W$3&lt;&gt;Table5[[#This Row],[Type]],50,0)</f>
        <v>421</v>
      </c>
      <c r="X195" s="51">
        <f>RANK(Table5[[#This Row],[zScore]],Table5[[#All],[zScore]])</f>
        <v>231</v>
      </c>
      <c r="Y195" s="50">
        <f>IFERROR(INDEX(DraftResults[[#All],[OVR]],MATCH(Table5[[#This Row],[PID]],DraftResults[[#All],[Player ID]],0)),"")</f>
        <v>191</v>
      </c>
      <c r="Z1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5" s="50">
        <f>IFERROR(INDEX(DraftResults[[#All],[Pick in Round]],MATCH(Table5[[#This Row],[PID]],DraftResults[[#All],[Player ID]],0)),"")</f>
        <v>3</v>
      </c>
      <c r="AB195" s="50" t="str">
        <f>IFERROR(INDEX(DraftResults[[#All],[Team Name]],MATCH(Table5[[#This Row],[PID]],DraftResults[[#All],[Player ID]],0)),"")</f>
        <v>New Orleans Trendsetters</v>
      </c>
      <c r="AC195" s="50">
        <f>IF(Table5[[#This Row],[Ovr]]="","",IF(Table5[[#This Row],[cmbList]]="","",Table5[[#This Row],[cmbList]]-Table5[[#This Row],[Ovr]]))</f>
        <v>230</v>
      </c>
      <c r="AD195" s="54" t="str">
        <f>IF(ISERROR(VLOOKUP($AB195&amp;"-"&amp;$E195&amp;" "&amp;F195,Bonuses!$B$1:$G$1006,4,FALSE)),"",INT(VLOOKUP($AB195&amp;"-"&amp;$E195&amp;" "&amp;$F195,Bonuses!$B$1:$G$1006,4,FALSE)))</f>
        <v/>
      </c>
      <c r="AE1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7.3 (191) - CL Enrique Gonzáles</v>
      </c>
    </row>
    <row r="196" spans="1:31" s="50" customFormat="1" x14ac:dyDescent="0.25">
      <c r="A196" s="68">
        <v>18336</v>
      </c>
      <c r="B196" s="69">
        <f>COUNTIF(Table5[PID],A196)</f>
        <v>1</v>
      </c>
      <c r="C196" s="69" t="str">
        <f>IF(COUNTIF(Table3[[#All],[PID]],A196)&gt;0,"P","B")</f>
        <v>P</v>
      </c>
      <c r="D196" s="59" t="str">
        <f>IF($C196="B",INDEX(Batters[[#All],[POS]],MATCH(Table5[[#This Row],[PID]],Batters[[#All],[PID]],0)),INDEX(Table3[[#All],[POS]],MATCH(Table5[[#This Row],[PID]],Table3[[#All],[PID]],0)))</f>
        <v>SP</v>
      </c>
      <c r="E196" s="52" t="str">
        <f>IF($C196="B",INDEX(Batters[[#All],[First]],MATCH(Table5[[#This Row],[PID]],Batters[[#All],[PID]],0)),INDEX(Table3[[#All],[First]],MATCH(Table5[[#This Row],[PID]],Table3[[#All],[PID]],0)))</f>
        <v>David</v>
      </c>
      <c r="F196" s="55" t="str">
        <f>IF($C196="B",INDEX(Batters[[#All],[Last]],MATCH(A196,Batters[[#All],[PID]],0)),INDEX(Table3[[#All],[Last]],MATCH(A196,Table3[[#All],[PID]],0)))</f>
        <v>García</v>
      </c>
      <c r="G196" s="56">
        <f>IF($C196="B",INDEX(Batters[[#All],[Age]],MATCH(Table5[[#This Row],[PID]],Batters[[#All],[PID]],0)),INDEX(Table3[[#All],[Age]],MATCH(Table5[[#This Row],[PID]],Table3[[#All],[PID]],0)))</f>
        <v>18</v>
      </c>
      <c r="H196" s="52" t="str">
        <f>IF($C196="B",INDEX(Batters[[#All],[B]],MATCH(Table5[[#This Row],[PID]],Batters[[#All],[PID]],0)),INDEX(Table3[[#All],[B]],MATCH(Table5[[#This Row],[PID]],Table3[[#All],[PID]],0)))</f>
        <v>L</v>
      </c>
      <c r="I196" s="52" t="str">
        <f>IF($C196="B",INDEX(Batters[[#All],[T]],MATCH(Table5[[#This Row],[PID]],Batters[[#All],[PID]],0)),INDEX(Table3[[#All],[T]],MATCH(Table5[[#This Row],[PID]],Table3[[#All],[PID]],0)))</f>
        <v>L</v>
      </c>
      <c r="J196" s="71" t="str">
        <f>IF($C196="B",INDEX(Batters[[#All],[WE]],MATCH(Table5[[#This Row],[PID]],Batters[[#All],[PID]],0)),INDEX(Table3[[#All],[WE]],MATCH(Table5[[#This Row],[PID]],Table3[[#All],[PID]],0)))</f>
        <v>Normal</v>
      </c>
      <c r="K196" s="52" t="str">
        <f>IF($C196="B",INDEX(Batters[[#All],[INT]],MATCH(Table5[[#This Row],[PID]],Batters[[#All],[PID]],0)),INDEX(Table3[[#All],[INT]],MATCH(Table5[[#This Row],[PID]],Table3[[#All],[PID]],0)))</f>
        <v>High</v>
      </c>
      <c r="L196" s="60">
        <f>IF($C196="B",INDEX(Batters[[#All],[CON P]],MATCH(Table5[[#This Row],[PID]],Batters[[#All],[PID]],0)),INDEX(Table3[[#All],[STU P]],MATCH(Table5[[#This Row],[PID]],Table3[[#All],[PID]],0)))</f>
        <v>6</v>
      </c>
      <c r="M196" s="72">
        <f>IF($C196="B",INDEX(Batters[[#All],[GAP P]],MATCH(Table5[[#This Row],[PID]],Batters[[#All],[PID]],0)),INDEX(Table3[[#All],[MOV P]],MATCH(Table5[[#This Row],[PID]],Table3[[#All],[PID]],0)))</f>
        <v>5</v>
      </c>
      <c r="N196" s="72">
        <f>IF($C196="B",INDEX(Batters[[#All],[POW P]],MATCH(Table5[[#This Row],[PID]],Batters[[#All],[PID]],0)),INDEX(Table3[[#All],[CON P]],MATCH(Table5[[#This Row],[PID]],Table3[[#All],[PID]],0)))</f>
        <v>3</v>
      </c>
      <c r="O196" s="72" t="str">
        <f>IF($C196="B",INDEX(Batters[[#All],[EYE P]],MATCH(Table5[[#This Row],[PID]],Batters[[#All],[PID]],0)),INDEX(Table3[[#All],[VELO]],MATCH(Table5[[#This Row],[PID]],Table3[[#All],[PID]],0)))</f>
        <v>96-98 Mph</v>
      </c>
      <c r="P196" s="56">
        <f>IF($C196="B",INDEX(Batters[[#All],[K P]],MATCH(Table5[[#This Row],[PID]],Batters[[#All],[PID]],0)),INDEX(Table3[[#All],[STM]],MATCH(Table5[[#This Row],[PID]],Table3[[#All],[PID]],0)))</f>
        <v>6</v>
      </c>
      <c r="Q196" s="61">
        <f>IF($C196="B",INDEX(Batters[[#All],[Tot]],MATCH(Table5[[#This Row],[PID]],Batters[[#All],[PID]],0)),INDEX(Table3[[#All],[Tot]],MATCH(Table5[[#This Row],[PID]],Table3[[#All],[PID]],0)))</f>
        <v>56.91032369472066</v>
      </c>
      <c r="R196" s="52">
        <f>IF($C196="B",INDEX(Batters[[#All],[zScore]],MATCH(Table5[[#This Row],[PID]],Batters[[#All],[PID]],0)),INDEX(Table3[[#All],[zScore]],MATCH(Table5[[#This Row],[PID]],Table3[[#All],[PID]],0)))</f>
        <v>1.3997455866680879</v>
      </c>
      <c r="S196" s="78" t="str">
        <f>IF($C196="B",INDEX(Batters[[#All],[DEM]],MATCH(Table5[[#This Row],[PID]],Batters[[#All],[PID]],0)),INDEX(Table3[[#All],[DEM]],MATCH(Table5[[#This Row],[PID]],Table3[[#All],[PID]],0)))</f>
        <v>$390k</v>
      </c>
      <c r="T196" s="75">
        <f>IF($C196="B",INDEX(Batters[[#All],[Rnk]],MATCH(Table5[[#This Row],[PID]],Batters[[#All],[PID]],0)),INDEX(Table3[[#All],[Rnk]],MATCH(Table5[[#This Row],[PID]],Table3[[#All],[PID]],0)))</f>
        <v>83</v>
      </c>
      <c r="U196" s="68">
        <f>IF($C196="B",VLOOKUP($A196,Bat!$A$4:$BA$1621,47,FALSE),VLOOKUP($A196,Pit!$A$4:$BF$1557,56,FALSE))</f>
        <v>0</v>
      </c>
      <c r="V196" s="50">
        <f>IF($C196="B",VLOOKUP($A196,Bat!$A$4:$BA$1621,48,FALSE),VLOOKUP($A196,Pit!$A$4:$BF$1557,57,FALSE))</f>
        <v>0</v>
      </c>
      <c r="W196" s="69">
        <f>Table5[[#This Row],[posRnk]]+Table5[[#This Row],[zRnk]]+IF($W$3&lt;&gt;Table5[[#This Row],[Type]],50,0)</f>
        <v>267</v>
      </c>
      <c r="X196" s="73">
        <f>RANK(Table5[[#This Row],[zScore]],Table5[[#All],[zScore]])</f>
        <v>134</v>
      </c>
      <c r="Y196" s="69">
        <f>IFERROR(INDEX(DraftResults[[#All],[OVR]],MATCH(Table5[[#This Row],[PID]],DraftResults[[#All],[Player ID]],0)),"")</f>
        <v>192</v>
      </c>
      <c r="Z1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6" s="69">
        <f>IFERROR(INDEX(DraftResults[[#All],[Pick in Round]],MATCH(Table5[[#This Row],[PID]],DraftResults[[#All],[Player ID]],0)),"")</f>
        <v>4</v>
      </c>
      <c r="AB196" s="69" t="str">
        <f>IFERROR(INDEX(DraftResults[[#All],[Team Name]],MATCH(Table5[[#This Row],[PID]],DraftResults[[#All],[Player ID]],0)),"")</f>
        <v>Tempe Knights</v>
      </c>
      <c r="AC196" s="69">
        <f>IF(Table5[[#This Row],[Ovr]]="","",IF(Table5[[#This Row],[cmbList]]="","",Table5[[#This Row],[cmbList]]-Table5[[#This Row],[Ovr]]))</f>
        <v>75</v>
      </c>
      <c r="AD196" s="77" t="str">
        <f>IF(ISERROR(VLOOKUP($AB196&amp;"-"&amp;$E196&amp;" "&amp;F196,Bonuses!$B$1:$G$1006,4,FALSE)),"",INT(VLOOKUP($AB196&amp;"-"&amp;$E196&amp;" "&amp;$F196,Bonuses!$B$1:$G$1006,4,FALSE)))</f>
        <v/>
      </c>
      <c r="AE1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7.4 (192) - SP David García</v>
      </c>
    </row>
    <row r="197" spans="1:31" s="50" customFormat="1" x14ac:dyDescent="0.25">
      <c r="A197" s="68">
        <v>18302</v>
      </c>
      <c r="B197" s="69">
        <f>COUNTIF(Table5[PID],A197)</f>
        <v>1</v>
      </c>
      <c r="C197" s="69" t="str">
        <f>IF(COUNTIF(Table3[[#All],[PID]],A197)&gt;0,"P","B")</f>
        <v>P</v>
      </c>
      <c r="D197" s="59" t="str">
        <f>IF($C197="B",INDEX(Batters[[#All],[POS]],MATCH(Table5[[#This Row],[PID]],Batters[[#All],[PID]],0)),INDEX(Table3[[#All],[POS]],MATCH(Table5[[#This Row],[PID]],Table3[[#All],[PID]],0)))</f>
        <v>SP</v>
      </c>
      <c r="E197" s="52" t="str">
        <f>IF($C197="B",INDEX(Batters[[#All],[First]],MATCH(Table5[[#This Row],[PID]],Batters[[#All],[PID]],0)),INDEX(Table3[[#All],[First]],MATCH(Table5[[#This Row],[PID]],Table3[[#All],[PID]],0)))</f>
        <v>Shojiro</v>
      </c>
      <c r="F197" s="55" t="str">
        <f>IF($C197="B",INDEX(Batters[[#All],[Last]],MATCH(A197,Batters[[#All],[PID]],0)),INDEX(Table3[[#All],[Last]],MATCH(A197,Table3[[#All],[PID]],0)))</f>
        <v>Ohayashi</v>
      </c>
      <c r="G197" s="56">
        <f>IF($C197="B",INDEX(Batters[[#All],[Age]],MATCH(Table5[[#This Row],[PID]],Batters[[#All],[PID]],0)),INDEX(Table3[[#All],[Age]],MATCH(Table5[[#This Row],[PID]],Table3[[#All],[PID]],0)))</f>
        <v>21</v>
      </c>
      <c r="H197" s="52" t="str">
        <f>IF($C197="B",INDEX(Batters[[#All],[B]],MATCH(Table5[[#This Row],[PID]],Batters[[#All],[PID]],0)),INDEX(Table3[[#All],[B]],MATCH(Table5[[#This Row],[PID]],Table3[[#All],[PID]],0)))</f>
        <v>L</v>
      </c>
      <c r="I197" s="52" t="str">
        <f>IF($C197="B",INDEX(Batters[[#All],[T]],MATCH(Table5[[#This Row],[PID]],Batters[[#All],[PID]],0)),INDEX(Table3[[#All],[T]],MATCH(Table5[[#This Row],[PID]],Table3[[#All],[PID]],0)))</f>
        <v>L</v>
      </c>
      <c r="J197" s="71" t="str">
        <f>IF($C197="B",INDEX(Batters[[#All],[WE]],MATCH(Table5[[#This Row],[PID]],Batters[[#All],[PID]],0)),INDEX(Table3[[#All],[WE]],MATCH(Table5[[#This Row],[PID]],Table3[[#All],[PID]],0)))</f>
        <v>Normal</v>
      </c>
      <c r="K197" s="52" t="str">
        <f>IF($C197="B",INDEX(Batters[[#All],[INT]],MATCH(Table5[[#This Row],[PID]],Batters[[#All],[PID]],0)),INDEX(Table3[[#All],[INT]],MATCH(Table5[[#This Row],[PID]],Table3[[#All],[PID]],0)))</f>
        <v>Low</v>
      </c>
      <c r="L197" s="60">
        <f>IF($C197="B",INDEX(Batters[[#All],[CON P]],MATCH(Table5[[#This Row],[PID]],Batters[[#All],[PID]],0)),INDEX(Table3[[#All],[STU P]],MATCH(Table5[[#This Row],[PID]],Table3[[#All],[PID]],0)))</f>
        <v>6</v>
      </c>
      <c r="M197" s="72">
        <f>IF($C197="B",INDEX(Batters[[#All],[GAP P]],MATCH(Table5[[#This Row],[PID]],Batters[[#All],[PID]],0)),INDEX(Table3[[#All],[MOV P]],MATCH(Table5[[#This Row],[PID]],Table3[[#All],[PID]],0)))</f>
        <v>3</v>
      </c>
      <c r="N197" s="72">
        <f>IF($C197="B",INDEX(Batters[[#All],[POW P]],MATCH(Table5[[#This Row],[PID]],Batters[[#All],[PID]],0)),INDEX(Table3[[#All],[CON P]],MATCH(Table5[[#This Row],[PID]],Table3[[#All],[PID]],0)))</f>
        <v>4</v>
      </c>
      <c r="O197" s="72" t="str">
        <f>IF($C197="B",INDEX(Batters[[#All],[EYE P]],MATCH(Table5[[#This Row],[PID]],Batters[[#All],[PID]],0)),INDEX(Table3[[#All],[VELO]],MATCH(Table5[[#This Row],[PID]],Table3[[#All],[PID]],0)))</f>
        <v>95-97 Mph</v>
      </c>
      <c r="P197" s="56">
        <f>IF($C197="B",INDEX(Batters[[#All],[K P]],MATCH(Table5[[#This Row],[PID]],Batters[[#All],[PID]],0)),INDEX(Table3[[#All],[STM]],MATCH(Table5[[#This Row],[PID]],Table3[[#All],[PID]],0)))</f>
        <v>8</v>
      </c>
      <c r="Q197" s="61">
        <f>IF($C197="B",INDEX(Batters[[#All],[Tot]],MATCH(Table5[[#This Row],[PID]],Batters[[#All],[PID]],0)),INDEX(Table3[[#All],[Tot]],MATCH(Table5[[#This Row],[PID]],Table3[[#All],[PID]],0)))</f>
        <v>50.299298876478503</v>
      </c>
      <c r="R197" s="52">
        <f>IF($C197="B",INDEX(Batters[[#All],[zScore]],MATCH(Table5[[#This Row],[PID]],Batters[[#All],[PID]],0)),INDEX(Table3[[#All],[zScore]],MATCH(Table5[[#This Row],[PID]],Table3[[#All],[PID]],0)))</f>
        <v>0.95992420787591737</v>
      </c>
      <c r="S197" s="78" t="str">
        <f>IF($C197="B",INDEX(Batters[[#All],[DEM]],MATCH(Table5[[#This Row],[PID]],Batters[[#All],[PID]],0)),INDEX(Table3[[#All],[DEM]],MATCH(Table5[[#This Row],[PID]],Table3[[#All],[PID]],0)))</f>
        <v>$65k</v>
      </c>
      <c r="T197" s="75">
        <f>IF($C197="B",INDEX(Batters[[#All],[Rnk]],MATCH(Table5[[#This Row],[PID]],Batters[[#All],[PID]],0)),INDEX(Table3[[#All],[Rnk]],MATCH(Table5[[#This Row],[PID]],Table3[[#All],[PID]],0)))</f>
        <v>144</v>
      </c>
      <c r="U197" s="68">
        <f>IF($C197="B",VLOOKUP($A197,Bat!$A$4:$BA$1621,47,FALSE),VLOOKUP($A197,Pit!$A$4:$BF$1557,56,FALSE))</f>
        <v>0</v>
      </c>
      <c r="V197" s="50">
        <f>IF($C197="B",VLOOKUP($A197,Bat!$A$4:$BA$1621,48,FALSE),VLOOKUP($A197,Pit!$A$4:$BF$1557,57,FALSE))</f>
        <v>0</v>
      </c>
      <c r="W197" s="69">
        <f>Table5[[#This Row],[posRnk]]+Table5[[#This Row],[zRnk]]+IF($W$3&lt;&gt;Table5[[#This Row],[Type]],50,0)</f>
        <v>431</v>
      </c>
      <c r="X197" s="73">
        <f>RANK(Table5[[#This Row],[zScore]],Table5[[#All],[zScore]])</f>
        <v>237</v>
      </c>
      <c r="Y197" s="69">
        <f>IFERROR(INDEX(DraftResults[[#All],[OVR]],MATCH(Table5[[#This Row],[PID]],DraftResults[[#All],[Player ID]],0)),"")</f>
        <v>193</v>
      </c>
      <c r="Z19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7" s="69">
        <f>IFERROR(INDEX(DraftResults[[#All],[Pick in Round]],MATCH(Table5[[#This Row],[PID]],DraftResults[[#All],[Player ID]],0)),"")</f>
        <v>5</v>
      </c>
      <c r="AB197" s="69" t="str">
        <f>IFERROR(INDEX(DraftResults[[#All],[Team Name]],MATCH(Table5[[#This Row],[PID]],DraftResults[[#All],[Player ID]],0)),"")</f>
        <v>Okinawa Shisa</v>
      </c>
      <c r="AC197" s="69">
        <f>IF(Table5[[#This Row],[Ovr]]="","",IF(Table5[[#This Row],[cmbList]]="","",Table5[[#This Row],[cmbList]]-Table5[[#This Row],[Ovr]]))</f>
        <v>238</v>
      </c>
      <c r="AD197" s="77" t="str">
        <f>IF(ISERROR(VLOOKUP($AB197&amp;"-"&amp;$E197&amp;" "&amp;F197,Bonuses!$B$1:$G$1006,4,FALSE)),"",INT(VLOOKUP($AB197&amp;"-"&amp;$E197&amp;" "&amp;$F197,Bonuses!$B$1:$G$1006,4,FALSE)))</f>
        <v/>
      </c>
      <c r="AE19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7.5 (193) - SP Shojiro Ohayashi</v>
      </c>
    </row>
    <row r="198" spans="1:31" s="50" customFormat="1" x14ac:dyDescent="0.25">
      <c r="A198" s="50">
        <v>12441</v>
      </c>
      <c r="B198" s="50">
        <f>COUNTIF(Table5[PID],A198)</f>
        <v>1</v>
      </c>
      <c r="C198" s="50" t="str">
        <f>IF(COUNTIF(Table3[[#All],[PID]],A198)&gt;0,"P","B")</f>
        <v>B</v>
      </c>
      <c r="D198" s="59" t="str">
        <f>IF($C198="B",INDEX(Batters[[#All],[POS]],MATCH(Table5[[#This Row],[PID]],Batters[[#All],[PID]],0)),INDEX(Table3[[#All],[POS]],MATCH(Table5[[#This Row],[PID]],Table3[[#All],[PID]],0)))</f>
        <v>1B</v>
      </c>
      <c r="E198" s="52" t="str">
        <f>IF($C198="B",INDEX(Batters[[#All],[First]],MATCH(Table5[[#This Row],[PID]],Batters[[#All],[PID]],0)),INDEX(Table3[[#All],[First]],MATCH(Table5[[#This Row],[PID]],Table3[[#All],[PID]],0)))</f>
        <v>Virgil</v>
      </c>
      <c r="F198" s="50" t="str">
        <f>IF($C198="B",INDEX(Batters[[#All],[Last]],MATCH(A198,Batters[[#All],[PID]],0)),INDEX(Table3[[#All],[Last]],MATCH(A198,Table3[[#All],[PID]],0)))</f>
        <v>McCray</v>
      </c>
      <c r="G198" s="56">
        <f>IF($C198="B",INDEX(Batters[[#All],[Age]],MATCH(Table5[[#This Row],[PID]],Batters[[#All],[PID]],0)),INDEX(Table3[[#All],[Age]],MATCH(Table5[[#This Row],[PID]],Table3[[#All],[PID]],0)))</f>
        <v>18</v>
      </c>
      <c r="H198" s="52" t="str">
        <f>IF($C198="B",INDEX(Batters[[#All],[B]],MATCH(Table5[[#This Row],[PID]],Batters[[#All],[PID]],0)),INDEX(Table3[[#All],[B]],MATCH(Table5[[#This Row],[PID]],Table3[[#All],[PID]],0)))</f>
        <v>R</v>
      </c>
      <c r="I198" s="52" t="str">
        <f>IF($C198="B",INDEX(Batters[[#All],[T]],MATCH(Table5[[#This Row],[PID]],Batters[[#All],[PID]],0)),INDEX(Table3[[#All],[T]],MATCH(Table5[[#This Row],[PID]],Table3[[#All],[PID]],0)))</f>
        <v>R</v>
      </c>
      <c r="J198" s="52" t="str">
        <f>IF($C198="B",INDEX(Batters[[#All],[WE]],MATCH(Table5[[#This Row],[PID]],Batters[[#All],[PID]],0)),INDEX(Table3[[#All],[WE]],MATCH(Table5[[#This Row],[PID]],Table3[[#All],[PID]],0)))</f>
        <v>Low</v>
      </c>
      <c r="K198" s="52" t="str">
        <f>IF($C198="B",INDEX(Batters[[#All],[INT]],MATCH(Table5[[#This Row],[PID]],Batters[[#All],[PID]],0)),INDEX(Table3[[#All],[INT]],MATCH(Table5[[#This Row],[PID]],Table3[[#All],[PID]],0)))</f>
        <v>Normal</v>
      </c>
      <c r="L198" s="60">
        <f>IF($C198="B",INDEX(Batters[[#All],[CON P]],MATCH(Table5[[#This Row],[PID]],Batters[[#All],[PID]],0)),INDEX(Table3[[#All],[STU P]],MATCH(Table5[[#This Row],[PID]],Table3[[#All],[PID]],0)))</f>
        <v>3</v>
      </c>
      <c r="M198" s="56">
        <f>IF($C198="B",INDEX(Batters[[#All],[GAP P]],MATCH(Table5[[#This Row],[PID]],Batters[[#All],[PID]],0)),INDEX(Table3[[#All],[MOV P]],MATCH(Table5[[#This Row],[PID]],Table3[[#All],[PID]],0)))</f>
        <v>6</v>
      </c>
      <c r="N198" s="56">
        <f>IF($C198="B",INDEX(Batters[[#All],[POW P]],MATCH(Table5[[#This Row],[PID]],Batters[[#All],[PID]],0)),INDEX(Table3[[#All],[CON P]],MATCH(Table5[[#This Row],[PID]],Table3[[#All],[PID]],0)))</f>
        <v>7</v>
      </c>
      <c r="O198" s="56">
        <f>IF($C198="B",INDEX(Batters[[#All],[EYE P]],MATCH(Table5[[#This Row],[PID]],Batters[[#All],[PID]],0)),INDEX(Table3[[#All],[VELO]],MATCH(Table5[[#This Row],[PID]],Table3[[#All],[PID]],0)))</f>
        <v>5</v>
      </c>
      <c r="P198" s="56">
        <f>IF($C198="B",INDEX(Batters[[#All],[K P]],MATCH(Table5[[#This Row],[PID]],Batters[[#All],[PID]],0)),INDEX(Table3[[#All],[STM]],MATCH(Table5[[#This Row],[PID]],Table3[[#All],[PID]],0)))</f>
        <v>1</v>
      </c>
      <c r="Q198" s="61">
        <f>IF($C198="B",INDEX(Batters[[#All],[Tot]],MATCH(Table5[[#This Row],[PID]],Batters[[#All],[PID]],0)),INDEX(Table3[[#All],[Tot]],MATCH(Table5[[#This Row],[PID]],Table3[[#All],[PID]],0)))</f>
        <v>45.593247375618802</v>
      </c>
      <c r="R198" s="52">
        <f>IF($C198="B",INDEX(Batters[[#All],[zScore]],MATCH(Table5[[#This Row],[PID]],Batters[[#All],[PID]],0)),INDEX(Table3[[#All],[zScore]],MATCH(Table5[[#This Row],[PID]],Table3[[#All],[PID]],0)))</f>
        <v>0.32398178441148467</v>
      </c>
      <c r="S198" s="58" t="str">
        <f>IF($C198="B",INDEX(Batters[[#All],[DEM]],MATCH(Table5[[#This Row],[PID]],Batters[[#All],[PID]],0)),INDEX(Table3[[#All],[DEM]],MATCH(Table5[[#This Row],[PID]],Table3[[#All],[PID]],0)))</f>
        <v>$190k</v>
      </c>
      <c r="T198" s="62">
        <f>IF($C198="B",INDEX(Batters[[#All],[Rnk]],MATCH(Table5[[#This Row],[PID]],Batters[[#All],[PID]],0)),INDEX(Table3[[#All],[Rnk]],MATCH(Table5[[#This Row],[PID]],Table3[[#All],[PID]],0)))</f>
        <v>173</v>
      </c>
      <c r="U198" s="68">
        <f>IF($C198="B",VLOOKUP($A198,Bat!$A$4:$BA$1621,47,FALSE),VLOOKUP($A198,Pit!$A$4:$BF$1557,56,FALSE))</f>
        <v>0</v>
      </c>
      <c r="V198" s="50">
        <f>IF($C198="B",VLOOKUP($A198,Bat!$A$4:$BA$1621,48,FALSE),VLOOKUP($A198,Pit!$A$4:$BF$1557,57,FALSE))</f>
        <v>0</v>
      </c>
      <c r="W198" s="50">
        <f>Table5[[#This Row],[posRnk]]+Table5[[#This Row],[zRnk]]+IF($W$3&lt;&gt;Table5[[#This Row],[Type]],50,0)</f>
        <v>635</v>
      </c>
      <c r="X198" s="51">
        <f>RANK(Table5[[#This Row],[zScore]],Table5[[#All],[zScore]])</f>
        <v>412</v>
      </c>
      <c r="Y198" s="50">
        <f>IFERROR(INDEX(DraftResults[[#All],[OVR]],MATCH(Table5[[#This Row],[PID]],DraftResults[[#All],[Player ID]],0)),"")</f>
        <v>194</v>
      </c>
      <c r="Z1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8" s="50">
        <f>IFERROR(INDEX(DraftResults[[#All],[Pick in Round]],MATCH(Table5[[#This Row],[PID]],DraftResults[[#All],[Player ID]],0)),"")</f>
        <v>6</v>
      </c>
      <c r="AB198" s="50" t="str">
        <f>IFERROR(INDEX(DraftResults[[#All],[Team Name]],MATCH(Table5[[#This Row],[PID]],DraftResults[[#All],[Player ID]],0)),"")</f>
        <v>Manchester Maulers</v>
      </c>
      <c r="AC198" s="50">
        <f>IF(Table5[[#This Row],[Ovr]]="","",IF(Table5[[#This Row],[cmbList]]="","",Table5[[#This Row],[cmbList]]-Table5[[#This Row],[Ovr]]))</f>
        <v>441</v>
      </c>
      <c r="AD198" s="54" t="str">
        <f>IF(ISERROR(VLOOKUP($AB198&amp;"-"&amp;$E198&amp;" "&amp;F198,Bonuses!$B$1:$G$1006,4,FALSE)),"",INT(VLOOKUP($AB198&amp;"-"&amp;$E198&amp;" "&amp;$F198,Bonuses!$B$1:$G$1006,4,FALSE)))</f>
        <v/>
      </c>
      <c r="AE1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7.6 (194) - 1B Virgil McCray</v>
      </c>
    </row>
    <row r="199" spans="1:31" s="50" customFormat="1" x14ac:dyDescent="0.25">
      <c r="A199" s="68">
        <v>18103</v>
      </c>
      <c r="B199" s="69">
        <f>COUNTIF(Table5[PID],A199)</f>
        <v>1</v>
      </c>
      <c r="C199" s="69" t="str">
        <f>IF(COUNTIF(Table3[[#All],[PID]],A199)&gt;0,"P","B")</f>
        <v>P</v>
      </c>
      <c r="D199" s="59" t="str">
        <f>IF($C199="B",INDEX(Batters[[#All],[POS]],MATCH(Table5[[#This Row],[PID]],Batters[[#All],[PID]],0)),INDEX(Table3[[#All],[POS]],MATCH(Table5[[#This Row],[PID]],Table3[[#All],[PID]],0)))</f>
        <v>SP</v>
      </c>
      <c r="E199" s="52" t="str">
        <f>IF($C199="B",INDEX(Batters[[#All],[First]],MATCH(Table5[[#This Row],[PID]],Batters[[#All],[PID]],0)),INDEX(Table3[[#All],[First]],MATCH(Table5[[#This Row],[PID]],Table3[[#All],[PID]],0)))</f>
        <v>Júlio</v>
      </c>
      <c r="F199" s="55" t="str">
        <f>IF($C199="B",INDEX(Batters[[#All],[Last]],MATCH(A199,Batters[[#All],[PID]],0)),INDEX(Table3[[#All],[Last]],MATCH(A199,Table3[[#All],[PID]],0)))</f>
        <v>Vargas</v>
      </c>
      <c r="G199" s="56">
        <f>IF($C199="B",INDEX(Batters[[#All],[Age]],MATCH(Table5[[#This Row],[PID]],Batters[[#All],[PID]],0)),INDEX(Table3[[#All],[Age]],MATCH(Table5[[#This Row],[PID]],Table3[[#All],[PID]],0)))</f>
        <v>21</v>
      </c>
      <c r="H199" s="52" t="str">
        <f>IF($C199="B",INDEX(Batters[[#All],[B]],MATCH(Table5[[#This Row],[PID]],Batters[[#All],[PID]],0)),INDEX(Table3[[#All],[B]],MATCH(Table5[[#This Row],[PID]],Table3[[#All],[PID]],0)))</f>
        <v>R</v>
      </c>
      <c r="I199" s="52" t="str">
        <f>IF($C199="B",INDEX(Batters[[#All],[T]],MATCH(Table5[[#This Row],[PID]],Batters[[#All],[PID]],0)),INDEX(Table3[[#All],[T]],MATCH(Table5[[#This Row],[PID]],Table3[[#All],[PID]],0)))</f>
        <v>R</v>
      </c>
      <c r="J199" s="71" t="str">
        <f>IF($C199="B",INDEX(Batters[[#All],[WE]],MATCH(Table5[[#This Row],[PID]],Batters[[#All],[PID]],0)),INDEX(Table3[[#All],[WE]],MATCH(Table5[[#This Row],[PID]],Table3[[#All],[PID]],0)))</f>
        <v>Normal</v>
      </c>
      <c r="K199" s="52" t="str">
        <f>IF($C199="B",INDEX(Batters[[#All],[INT]],MATCH(Table5[[#This Row],[PID]],Batters[[#All],[PID]],0)),INDEX(Table3[[#All],[INT]],MATCH(Table5[[#This Row],[PID]],Table3[[#All],[PID]],0)))</f>
        <v>High</v>
      </c>
      <c r="L199" s="60">
        <f>IF($C199="B",INDEX(Batters[[#All],[CON P]],MATCH(Table5[[#This Row],[PID]],Batters[[#All],[PID]],0)),INDEX(Table3[[#All],[STU P]],MATCH(Table5[[#This Row],[PID]],Table3[[#All],[PID]],0)))</f>
        <v>5</v>
      </c>
      <c r="M199" s="72">
        <f>IF($C199="B",INDEX(Batters[[#All],[GAP P]],MATCH(Table5[[#This Row],[PID]],Batters[[#All],[PID]],0)),INDEX(Table3[[#All],[MOV P]],MATCH(Table5[[#This Row],[PID]],Table3[[#All],[PID]],0)))</f>
        <v>5</v>
      </c>
      <c r="N199" s="72">
        <f>IF($C199="B",INDEX(Batters[[#All],[POW P]],MATCH(Table5[[#This Row],[PID]],Batters[[#All],[PID]],0)),INDEX(Table3[[#All],[CON P]],MATCH(Table5[[#This Row],[PID]],Table3[[#All],[PID]],0)))</f>
        <v>4</v>
      </c>
      <c r="O199" s="72" t="str">
        <f>IF($C199="B",INDEX(Batters[[#All],[EYE P]],MATCH(Table5[[#This Row],[PID]],Batters[[#All],[PID]],0)),INDEX(Table3[[#All],[VELO]],MATCH(Table5[[#This Row],[PID]],Table3[[#All],[PID]],0)))</f>
        <v>95-97 Mph</v>
      </c>
      <c r="P199" s="56">
        <f>IF($C199="B",INDEX(Batters[[#All],[K P]],MATCH(Table5[[#This Row],[PID]],Batters[[#All],[PID]],0)),INDEX(Table3[[#All],[STM]],MATCH(Table5[[#This Row],[PID]],Table3[[#All],[PID]],0)))</f>
        <v>7</v>
      </c>
      <c r="Q199" s="61">
        <f>IF($C199="B",INDEX(Batters[[#All],[Tot]],MATCH(Table5[[#This Row],[PID]],Batters[[#All],[PID]],0)),INDEX(Table3[[#All],[Tot]],MATCH(Table5[[#This Row],[PID]],Table3[[#All],[PID]],0)))</f>
        <v>53.594791855684406</v>
      </c>
      <c r="R199" s="52">
        <f>IF($C199="B",INDEX(Batters[[#All],[zScore]],MATCH(Table5[[#This Row],[PID]],Batters[[#All],[PID]],0)),INDEX(Table3[[#All],[zScore]],MATCH(Table5[[#This Row],[PID]],Table3[[#All],[PID]],0)))</f>
        <v>1.1791683199105254</v>
      </c>
      <c r="S199" s="78" t="str">
        <f>IF($C199="B",INDEX(Batters[[#All],[DEM]],MATCH(Table5[[#This Row],[PID]],Batters[[#All],[PID]],0)),INDEX(Table3[[#All],[DEM]],MATCH(Table5[[#This Row],[PID]],Table3[[#All],[PID]],0)))</f>
        <v>$120k</v>
      </c>
      <c r="T199" s="75">
        <f>IF($C199="B",INDEX(Batters[[#All],[Rnk]],MATCH(Table5[[#This Row],[PID]],Batters[[#All],[PID]],0)),INDEX(Table3[[#All],[Rnk]],MATCH(Table5[[#This Row],[PID]],Table3[[#All],[PID]],0)))</f>
        <v>117</v>
      </c>
      <c r="U199" s="68">
        <f>IF($C199="B",VLOOKUP($A199,Bat!$A$4:$BA$1621,47,FALSE),VLOOKUP($A199,Pit!$A$4:$BF$1557,56,FALSE))</f>
        <v>0</v>
      </c>
      <c r="V199" s="50">
        <f>IF($C199="B",VLOOKUP($A199,Bat!$A$4:$BA$1621,48,FALSE),VLOOKUP($A199,Pit!$A$4:$BF$1557,57,FALSE))</f>
        <v>0</v>
      </c>
      <c r="W199" s="69">
        <f>Table5[[#This Row],[posRnk]]+Table5[[#This Row],[zRnk]]+IF($W$3&lt;&gt;Table5[[#This Row],[Type]],50,0)</f>
        <v>358</v>
      </c>
      <c r="X199" s="73">
        <f>RANK(Table5[[#This Row],[zScore]],Table5[[#All],[zScore]])</f>
        <v>191</v>
      </c>
      <c r="Y199" s="69">
        <f>IFERROR(INDEX(DraftResults[[#All],[OVR]],MATCH(Table5[[#This Row],[PID]],DraftResults[[#All],[Player ID]],0)),"")</f>
        <v>195</v>
      </c>
      <c r="Z1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199" s="69">
        <f>IFERROR(INDEX(DraftResults[[#All],[Pick in Round]],MATCH(Table5[[#This Row],[PID]],DraftResults[[#All],[Player ID]],0)),"")</f>
        <v>7</v>
      </c>
      <c r="AB199" s="69" t="str">
        <f>IFERROR(INDEX(DraftResults[[#All],[Team Name]],MATCH(Table5[[#This Row],[PID]],DraftResults[[#All],[Player ID]],0)),"")</f>
        <v>Niihama-shi Ghosts</v>
      </c>
      <c r="AC199" s="69">
        <f>IF(Table5[[#This Row],[Ovr]]="","",IF(Table5[[#This Row],[cmbList]]="","",Table5[[#This Row],[cmbList]]-Table5[[#This Row],[Ovr]]))</f>
        <v>163</v>
      </c>
      <c r="AD199" s="77" t="str">
        <f>IF(ISERROR(VLOOKUP($AB199&amp;"-"&amp;$E199&amp;" "&amp;F199,Bonuses!$B$1:$G$1006,4,FALSE)),"",INT(VLOOKUP($AB199&amp;"-"&amp;$E199&amp;" "&amp;$F199,Bonuses!$B$1:$G$1006,4,FALSE)))</f>
        <v/>
      </c>
      <c r="AE1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7.7 (195) - SP Júlio Vargas</v>
      </c>
    </row>
    <row r="200" spans="1:31" s="50" customFormat="1" x14ac:dyDescent="0.25">
      <c r="A200" s="68">
        <v>15621</v>
      </c>
      <c r="B200" s="69">
        <f>COUNTIF(Table5[PID],A200)</f>
        <v>1</v>
      </c>
      <c r="C200" s="69" t="str">
        <f>IF(COUNTIF(Table3[[#All],[PID]],A200)&gt;0,"P","B")</f>
        <v>P</v>
      </c>
      <c r="D200" s="59" t="str">
        <f>IF($C200="B",INDEX(Batters[[#All],[POS]],MATCH(Table5[[#This Row],[PID]],Batters[[#All],[PID]],0)),INDEX(Table3[[#All],[POS]],MATCH(Table5[[#This Row],[PID]],Table3[[#All],[PID]],0)))</f>
        <v>SP</v>
      </c>
      <c r="E200" s="52" t="str">
        <f>IF($C200="B",INDEX(Batters[[#All],[First]],MATCH(Table5[[#This Row],[PID]],Batters[[#All],[PID]],0)),INDEX(Table3[[#All],[First]],MATCH(Table5[[#This Row],[PID]],Table3[[#All],[PID]],0)))</f>
        <v>Carlton</v>
      </c>
      <c r="F200" s="55" t="str">
        <f>IF($C200="B",INDEX(Batters[[#All],[Last]],MATCH(A200,Batters[[#All],[PID]],0)),INDEX(Table3[[#All],[Last]],MATCH(A200,Table3[[#All],[PID]],0)))</f>
        <v>Crago</v>
      </c>
      <c r="G200" s="56">
        <f>IF($C200="B",INDEX(Batters[[#All],[Age]],MATCH(Table5[[#This Row],[PID]],Batters[[#All],[PID]],0)),INDEX(Table3[[#All],[Age]],MATCH(Table5[[#This Row],[PID]],Table3[[#All],[PID]],0)))</f>
        <v>18</v>
      </c>
      <c r="H200" s="52" t="str">
        <f>IF($C200="B",INDEX(Batters[[#All],[B]],MATCH(Table5[[#This Row],[PID]],Batters[[#All],[PID]],0)),INDEX(Table3[[#All],[B]],MATCH(Table5[[#This Row],[PID]],Table3[[#All],[PID]],0)))</f>
        <v>R</v>
      </c>
      <c r="I200" s="52" t="str">
        <f>IF($C200="B",INDEX(Batters[[#All],[T]],MATCH(Table5[[#This Row],[PID]],Batters[[#All],[PID]],0)),INDEX(Table3[[#All],[T]],MATCH(Table5[[#This Row],[PID]],Table3[[#All],[PID]],0)))</f>
        <v>R</v>
      </c>
      <c r="J200" s="71" t="str">
        <f>IF($C200="B",INDEX(Batters[[#All],[WE]],MATCH(Table5[[#This Row],[PID]],Batters[[#All],[PID]],0)),INDEX(Table3[[#All],[WE]],MATCH(Table5[[#This Row],[PID]],Table3[[#All],[PID]],0)))</f>
        <v>High</v>
      </c>
      <c r="K200" s="52" t="str">
        <f>IF($C200="B",INDEX(Batters[[#All],[INT]],MATCH(Table5[[#This Row],[PID]],Batters[[#All],[PID]],0)),INDEX(Table3[[#All],[INT]],MATCH(Table5[[#This Row],[PID]],Table3[[#All],[PID]],0)))</f>
        <v>Normal</v>
      </c>
      <c r="L200" s="60">
        <f>IF($C200="B",INDEX(Batters[[#All],[CON P]],MATCH(Table5[[#This Row],[PID]],Batters[[#All],[PID]],0)),INDEX(Table3[[#All],[STU P]],MATCH(Table5[[#This Row],[PID]],Table3[[#All],[PID]],0)))</f>
        <v>4</v>
      </c>
      <c r="M200" s="72">
        <f>IF($C200="B",INDEX(Batters[[#All],[GAP P]],MATCH(Table5[[#This Row],[PID]],Batters[[#All],[PID]],0)),INDEX(Table3[[#All],[MOV P]],MATCH(Table5[[#This Row],[PID]],Table3[[#All],[PID]],0)))</f>
        <v>6</v>
      </c>
      <c r="N200" s="72">
        <f>IF($C200="B",INDEX(Batters[[#All],[POW P]],MATCH(Table5[[#This Row],[PID]],Batters[[#All],[PID]],0)),INDEX(Table3[[#All],[CON P]],MATCH(Table5[[#This Row],[PID]],Table3[[#All],[PID]],0)))</f>
        <v>4</v>
      </c>
      <c r="O200" s="72" t="str">
        <f>IF($C200="B",INDEX(Batters[[#All],[EYE P]],MATCH(Table5[[#This Row],[PID]],Batters[[#All],[PID]],0)),INDEX(Table3[[#All],[VELO]],MATCH(Table5[[#This Row],[PID]],Table3[[#All],[PID]],0)))</f>
        <v>91-93 Mph</v>
      </c>
      <c r="P200" s="56">
        <f>IF($C200="B",INDEX(Batters[[#All],[K P]],MATCH(Table5[[#This Row],[PID]],Batters[[#All],[PID]],0)),INDEX(Table3[[#All],[STM]],MATCH(Table5[[#This Row],[PID]],Table3[[#All],[PID]],0)))</f>
        <v>8</v>
      </c>
      <c r="Q200" s="61">
        <f>IF($C200="B",INDEX(Batters[[#All],[Tot]],MATCH(Table5[[#This Row],[PID]],Batters[[#All],[PID]],0)),INDEX(Table3[[#All],[Tot]],MATCH(Table5[[#This Row],[PID]],Table3[[#All],[PID]],0)))</f>
        <v>57.780287205997197</v>
      </c>
      <c r="R200" s="52">
        <f>IF($C200="B",INDEX(Batters[[#All],[zScore]],MATCH(Table5[[#This Row],[PID]],Batters[[#All],[PID]],0)),INDEX(Table3[[#All],[zScore]],MATCH(Table5[[#This Row],[PID]],Table3[[#All],[PID]],0)))</f>
        <v>1.4576229296743819</v>
      </c>
      <c r="S200" s="78" t="str">
        <f>IF($C200="B",INDEX(Batters[[#All],[DEM]],MATCH(Table5[[#This Row],[PID]],Batters[[#All],[PID]],0)),INDEX(Table3[[#All],[DEM]],MATCH(Table5[[#This Row],[PID]],Table3[[#All],[PID]],0)))</f>
        <v>$750k</v>
      </c>
      <c r="T200" s="75">
        <f>IF($C200="B",INDEX(Batters[[#All],[Rnk]],MATCH(Table5[[#This Row],[PID]],Batters[[#All],[PID]],0)),INDEX(Table3[[#All],[Rnk]],MATCH(Table5[[#This Row],[PID]],Table3[[#All],[PID]],0)))</f>
        <v>80</v>
      </c>
      <c r="U200" s="68">
        <f>IF($C200="B",VLOOKUP($A200,Bat!$A$4:$BA$1621,47,FALSE),VLOOKUP($A200,Pit!$A$4:$BF$1557,56,FALSE))</f>
        <v>0</v>
      </c>
      <c r="V200" s="50">
        <f>IF($C200="B",VLOOKUP($A200,Bat!$A$4:$BA$1621,48,FALSE),VLOOKUP($A200,Pit!$A$4:$BF$1557,57,FALSE))</f>
        <v>0</v>
      </c>
      <c r="W200" s="69">
        <f>Table5[[#This Row],[posRnk]]+Table5[[#This Row],[zRnk]]+IF($W$3&lt;&gt;Table5[[#This Row],[Type]],50,0)</f>
        <v>258</v>
      </c>
      <c r="X200" s="73">
        <f>RANK(Table5[[#This Row],[zScore]],Table5[[#All],[zScore]])</f>
        <v>128</v>
      </c>
      <c r="Y200" s="69">
        <f>IFERROR(INDEX(DraftResults[[#All],[OVR]],MATCH(Table5[[#This Row],[PID]],DraftResults[[#All],[Player ID]],0)),"")</f>
        <v>196</v>
      </c>
      <c r="Z20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0" s="69">
        <f>IFERROR(INDEX(DraftResults[[#All],[Pick in Round]],MATCH(Table5[[#This Row],[PID]],DraftResults[[#All],[Player ID]],0)),"")</f>
        <v>8</v>
      </c>
      <c r="AB200" s="69" t="str">
        <f>IFERROR(INDEX(DraftResults[[#All],[Team Name]],MATCH(Table5[[#This Row],[PID]],DraftResults[[#All],[Player ID]],0)),"")</f>
        <v>London Underground</v>
      </c>
      <c r="AC200" s="69">
        <f>IF(Table5[[#This Row],[Ovr]]="","",IF(Table5[[#This Row],[cmbList]]="","",Table5[[#This Row],[cmbList]]-Table5[[#This Row],[Ovr]]))</f>
        <v>62</v>
      </c>
      <c r="AD200" s="77" t="str">
        <f>IF(ISERROR(VLOOKUP($AB200&amp;"-"&amp;$E200&amp;" "&amp;F200,Bonuses!$B$1:$G$1006,4,FALSE)),"",INT(VLOOKUP($AB200&amp;"-"&amp;$E200&amp;" "&amp;$F200,Bonuses!$B$1:$G$1006,4,FALSE)))</f>
        <v/>
      </c>
      <c r="AE20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7.8 (196) - SP Carlton Crago</v>
      </c>
    </row>
    <row r="201" spans="1:31" s="50" customFormat="1" x14ac:dyDescent="0.25">
      <c r="A201" s="50">
        <v>20223</v>
      </c>
      <c r="B201" s="50">
        <f>COUNTIF(Table5[PID],A201)</f>
        <v>1</v>
      </c>
      <c r="C201" s="50" t="str">
        <f>IF(COUNTIF(Table3[[#All],[PID]],A201)&gt;0,"P","B")</f>
        <v>B</v>
      </c>
      <c r="D201" s="59" t="str">
        <f>IF($C201="B",INDEX(Batters[[#All],[POS]],MATCH(Table5[[#This Row],[PID]],Batters[[#All],[PID]],0)),INDEX(Table3[[#All],[POS]],MATCH(Table5[[#This Row],[PID]],Table3[[#All],[PID]],0)))</f>
        <v>C</v>
      </c>
      <c r="E201" s="52" t="str">
        <f>IF($C201="B",INDEX(Batters[[#All],[First]],MATCH(Table5[[#This Row],[PID]],Batters[[#All],[PID]],0)),INDEX(Table3[[#All],[First]],MATCH(Table5[[#This Row],[PID]],Table3[[#All],[PID]],0)))</f>
        <v>Vincent</v>
      </c>
      <c r="F201" s="50" t="str">
        <f>IF($C201="B",INDEX(Batters[[#All],[Last]],MATCH(A201,Batters[[#All],[PID]],0)),INDEX(Table3[[#All],[Last]],MATCH(A201,Table3[[#All],[PID]],0)))</f>
        <v>Thomas</v>
      </c>
      <c r="G201" s="56">
        <f>IF($C201="B",INDEX(Batters[[#All],[Age]],MATCH(Table5[[#This Row],[PID]],Batters[[#All],[PID]],0)),INDEX(Table3[[#All],[Age]],MATCH(Table5[[#This Row],[PID]],Table3[[#All],[PID]],0)))</f>
        <v>22</v>
      </c>
      <c r="H201" s="52" t="str">
        <f>IF($C201="B",INDEX(Batters[[#All],[B]],MATCH(Table5[[#This Row],[PID]],Batters[[#All],[PID]],0)),INDEX(Table3[[#All],[B]],MATCH(Table5[[#This Row],[PID]],Table3[[#All],[PID]],0)))</f>
        <v>R</v>
      </c>
      <c r="I201" s="52" t="str">
        <f>IF($C201="B",INDEX(Batters[[#All],[T]],MATCH(Table5[[#This Row],[PID]],Batters[[#All],[PID]],0)),INDEX(Table3[[#All],[T]],MATCH(Table5[[#This Row],[PID]],Table3[[#All],[PID]],0)))</f>
        <v>R</v>
      </c>
      <c r="J201" s="52" t="str">
        <f>IF($C201="B",INDEX(Batters[[#All],[WE]],MATCH(Table5[[#This Row],[PID]],Batters[[#All],[PID]],0)),INDEX(Table3[[#All],[WE]],MATCH(Table5[[#This Row],[PID]],Table3[[#All],[PID]],0)))</f>
        <v>High</v>
      </c>
      <c r="K201" s="52" t="str">
        <f>IF($C201="B",INDEX(Batters[[#All],[INT]],MATCH(Table5[[#This Row],[PID]],Batters[[#All],[PID]],0)),INDEX(Table3[[#All],[INT]],MATCH(Table5[[#This Row],[PID]],Table3[[#All],[PID]],0)))</f>
        <v>Normal</v>
      </c>
      <c r="L201" s="60">
        <f>IF($C201="B",INDEX(Batters[[#All],[CON P]],MATCH(Table5[[#This Row],[PID]],Batters[[#All],[PID]],0)),INDEX(Table3[[#All],[STU P]],MATCH(Table5[[#This Row],[PID]],Table3[[#All],[PID]],0)))</f>
        <v>2</v>
      </c>
      <c r="M201" s="56">
        <f>IF($C201="B",INDEX(Batters[[#All],[GAP P]],MATCH(Table5[[#This Row],[PID]],Batters[[#All],[PID]],0)),INDEX(Table3[[#All],[MOV P]],MATCH(Table5[[#This Row],[PID]],Table3[[#All],[PID]],0)))</f>
        <v>8</v>
      </c>
      <c r="N201" s="56">
        <f>IF($C201="B",INDEX(Batters[[#All],[POW P]],MATCH(Table5[[#This Row],[PID]],Batters[[#All],[PID]],0)),INDEX(Table3[[#All],[CON P]],MATCH(Table5[[#This Row],[PID]],Table3[[#All],[PID]],0)))</f>
        <v>7</v>
      </c>
      <c r="O201" s="56">
        <f>IF($C201="B",INDEX(Batters[[#All],[EYE P]],MATCH(Table5[[#This Row],[PID]],Batters[[#All],[PID]],0)),INDEX(Table3[[#All],[VELO]],MATCH(Table5[[#This Row],[PID]],Table3[[#All],[PID]],0)))</f>
        <v>6</v>
      </c>
      <c r="P201" s="56">
        <f>IF($C201="B",INDEX(Batters[[#All],[K P]],MATCH(Table5[[#This Row],[PID]],Batters[[#All],[PID]],0)),INDEX(Table3[[#All],[STM]],MATCH(Table5[[#This Row],[PID]],Table3[[#All],[PID]],0)))</f>
        <v>2</v>
      </c>
      <c r="Q201" s="61">
        <f>IF($C201="B",INDEX(Batters[[#All],[Tot]],MATCH(Table5[[#This Row],[PID]],Batters[[#All],[PID]],0)),INDEX(Table3[[#All],[Tot]],MATCH(Table5[[#This Row],[PID]],Table3[[#All],[PID]],0)))</f>
        <v>40.190392532377345</v>
      </c>
      <c r="R201" s="52">
        <f>IF($C201="B",INDEX(Batters[[#All],[zScore]],MATCH(Table5[[#This Row],[PID]],Batters[[#All],[PID]],0)),INDEX(Table3[[#All],[zScore]],MATCH(Table5[[#This Row],[PID]],Table3[[#All],[PID]],0)))</f>
        <v>-0.87386765424457269</v>
      </c>
      <c r="S201" s="58" t="str">
        <f>IF($C201="B",INDEX(Batters[[#All],[DEM]],MATCH(Table5[[#This Row],[PID]],Batters[[#All],[PID]],0)),INDEX(Table3[[#All],[DEM]],MATCH(Table5[[#This Row],[PID]],Table3[[#All],[PID]],0)))</f>
        <v>$20k</v>
      </c>
      <c r="T201" s="62">
        <f>IF($C201="B",INDEX(Batters[[#All],[Rnk]],MATCH(Table5[[#This Row],[PID]],Batters[[#All],[PID]],0)),INDEX(Table3[[#All],[Rnk]],MATCH(Table5[[#This Row],[PID]],Table3[[#All],[PID]],0)))</f>
        <v>420</v>
      </c>
      <c r="U201" s="68">
        <f>IF($C201="B",VLOOKUP($A201,Bat!$A$4:$BA$1621,47,FALSE),VLOOKUP($A201,Pit!$A$4:$BF$1557,56,FALSE))</f>
        <v>0</v>
      </c>
      <c r="V201" s="50">
        <f>IF($C201="B",VLOOKUP($A201,Bat!$A$4:$BA$1621,48,FALSE),VLOOKUP($A201,Pit!$A$4:$BF$1557,57,FALSE))</f>
        <v>0</v>
      </c>
      <c r="W201" s="50">
        <f>Table5[[#This Row],[posRnk]]+Table5[[#This Row],[zRnk]]+IF($W$3&lt;&gt;Table5[[#This Row],[Type]],50,0)</f>
        <v>1553</v>
      </c>
      <c r="X201" s="51">
        <f>RANK(Table5[[#This Row],[zScore]],Table5[[#All],[zScore]])</f>
        <v>1083</v>
      </c>
      <c r="Y201" s="50">
        <f>IFERROR(INDEX(DraftResults[[#All],[OVR]],MATCH(Table5[[#This Row],[PID]],DraftResults[[#All],[Player ID]],0)),"")</f>
        <v>197</v>
      </c>
      <c r="Z2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1" s="50">
        <f>IFERROR(INDEX(DraftResults[[#All],[Pick in Round]],MATCH(Table5[[#This Row],[PID]],DraftResults[[#All],[Player ID]],0)),"")</f>
        <v>9</v>
      </c>
      <c r="AB201" s="50" t="str">
        <f>IFERROR(INDEX(DraftResults[[#All],[Team Name]],MATCH(Table5[[#This Row],[PID]],DraftResults[[#All],[Player ID]],0)),"")</f>
        <v>Scottish Claymores</v>
      </c>
      <c r="AC201" s="50">
        <f>IF(Table5[[#This Row],[Ovr]]="","",IF(Table5[[#This Row],[cmbList]]="","",Table5[[#This Row],[cmbList]]-Table5[[#This Row],[Ovr]]))</f>
        <v>1356</v>
      </c>
      <c r="AD201" s="54" t="str">
        <f>IF(ISERROR(VLOOKUP($AB201&amp;"-"&amp;$E201&amp;" "&amp;F201,Bonuses!$B$1:$G$1006,4,FALSE)),"",INT(VLOOKUP($AB201&amp;"-"&amp;$E201&amp;" "&amp;$F201,Bonuses!$B$1:$G$1006,4,FALSE)))</f>
        <v/>
      </c>
      <c r="AE2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7.9 (197) - C Vincent Thomas</v>
      </c>
    </row>
    <row r="202" spans="1:31" s="50" customFormat="1" x14ac:dyDescent="0.25">
      <c r="A202" s="68">
        <v>18076</v>
      </c>
      <c r="B202" s="69">
        <f>COUNTIF(Table5[PID],A202)</f>
        <v>1</v>
      </c>
      <c r="C202" s="69" t="str">
        <f>IF(COUNTIF(Table3[[#All],[PID]],A202)&gt;0,"P","B")</f>
        <v>P</v>
      </c>
      <c r="D202" s="59" t="str">
        <f>IF($C202="B",INDEX(Batters[[#All],[POS]],MATCH(Table5[[#This Row],[PID]],Batters[[#All],[PID]],0)),INDEX(Table3[[#All],[POS]],MATCH(Table5[[#This Row],[PID]],Table3[[#All],[PID]],0)))</f>
        <v>SP</v>
      </c>
      <c r="E202" s="52" t="str">
        <f>IF($C202="B",INDEX(Batters[[#All],[First]],MATCH(Table5[[#This Row],[PID]],Batters[[#All],[PID]],0)),INDEX(Table3[[#All],[First]],MATCH(Table5[[#This Row],[PID]],Table3[[#All],[PID]],0)))</f>
        <v>Mauro</v>
      </c>
      <c r="F202" s="55" t="str">
        <f>IF($C202="B",INDEX(Batters[[#All],[Last]],MATCH(A202,Batters[[#All],[PID]],0)),INDEX(Table3[[#All],[Last]],MATCH(A202,Table3[[#All],[PID]],0)))</f>
        <v>Gonzáles</v>
      </c>
      <c r="G202" s="56">
        <f>IF($C202="B",INDEX(Batters[[#All],[Age]],MATCH(Table5[[#This Row],[PID]],Batters[[#All],[PID]],0)),INDEX(Table3[[#All],[Age]],MATCH(Table5[[#This Row],[PID]],Table3[[#All],[PID]],0)))</f>
        <v>21</v>
      </c>
      <c r="H202" s="52" t="str">
        <f>IF($C202="B",INDEX(Batters[[#All],[B]],MATCH(Table5[[#This Row],[PID]],Batters[[#All],[PID]],0)),INDEX(Table3[[#All],[B]],MATCH(Table5[[#This Row],[PID]],Table3[[#All],[PID]],0)))</f>
        <v>S</v>
      </c>
      <c r="I202" s="52" t="str">
        <f>IF($C202="B",INDEX(Batters[[#All],[T]],MATCH(Table5[[#This Row],[PID]],Batters[[#All],[PID]],0)),INDEX(Table3[[#All],[T]],MATCH(Table5[[#This Row],[PID]],Table3[[#All],[PID]],0)))</f>
        <v>R</v>
      </c>
      <c r="J202" s="71" t="str">
        <f>IF($C202="B",INDEX(Batters[[#All],[WE]],MATCH(Table5[[#This Row],[PID]],Batters[[#All],[PID]],0)),INDEX(Table3[[#All],[WE]],MATCH(Table5[[#This Row],[PID]],Table3[[#All],[PID]],0)))</f>
        <v>Normal</v>
      </c>
      <c r="K202" s="52" t="str">
        <f>IF($C202="B",INDEX(Batters[[#All],[INT]],MATCH(Table5[[#This Row],[PID]],Batters[[#All],[PID]],0)),INDEX(Table3[[#All],[INT]],MATCH(Table5[[#This Row],[PID]],Table3[[#All],[PID]],0)))</f>
        <v>Low</v>
      </c>
      <c r="L202" s="60">
        <f>IF($C202="B",INDEX(Batters[[#All],[CON P]],MATCH(Table5[[#This Row],[PID]],Batters[[#All],[PID]],0)),INDEX(Table3[[#All],[STU P]],MATCH(Table5[[#This Row],[PID]],Table3[[#All],[PID]],0)))</f>
        <v>5</v>
      </c>
      <c r="M202" s="72">
        <f>IF($C202="B",INDEX(Batters[[#All],[GAP P]],MATCH(Table5[[#This Row],[PID]],Batters[[#All],[PID]],0)),INDEX(Table3[[#All],[MOV P]],MATCH(Table5[[#This Row],[PID]],Table3[[#All],[PID]],0)))</f>
        <v>5</v>
      </c>
      <c r="N202" s="72">
        <f>IF($C202="B",INDEX(Batters[[#All],[POW P]],MATCH(Table5[[#This Row],[PID]],Batters[[#All],[PID]],0)),INDEX(Table3[[#All],[CON P]],MATCH(Table5[[#This Row],[PID]],Table3[[#All],[PID]],0)))</f>
        <v>4</v>
      </c>
      <c r="O202" s="72" t="str">
        <f>IF($C202="B",INDEX(Batters[[#All],[EYE P]],MATCH(Table5[[#This Row],[PID]],Batters[[#All],[PID]],0)),INDEX(Table3[[#All],[VELO]],MATCH(Table5[[#This Row],[PID]],Table3[[#All],[PID]],0)))</f>
        <v>92-94 Mph</v>
      </c>
      <c r="P202" s="56">
        <f>IF($C202="B",INDEX(Batters[[#All],[K P]],MATCH(Table5[[#This Row],[PID]],Batters[[#All],[PID]],0)),INDEX(Table3[[#All],[STM]],MATCH(Table5[[#This Row],[PID]],Table3[[#All],[PID]],0)))</f>
        <v>5</v>
      </c>
      <c r="Q202" s="61">
        <f>IF($C202="B",INDEX(Batters[[#All],[Tot]],MATCH(Table5[[#This Row],[PID]],Batters[[#All],[PID]],0)),INDEX(Table3[[#All],[Tot]],MATCH(Table5[[#This Row],[PID]],Table3[[#All],[PID]],0)))</f>
        <v>52.545163865992663</v>
      </c>
      <c r="R202" s="52">
        <f>IF($C202="B",INDEX(Batters[[#All],[zScore]],MATCH(Table5[[#This Row],[PID]],Batters[[#All],[PID]],0)),INDEX(Table3[[#All],[zScore]],MATCH(Table5[[#This Row],[PID]],Table3[[#All],[PID]],0)))</f>
        <v>1.1093381737021457</v>
      </c>
      <c r="S202" s="78" t="str">
        <f>IF($C202="B",INDEX(Batters[[#All],[DEM]],MATCH(Table5[[#This Row],[PID]],Batters[[#All],[PID]],0)),INDEX(Table3[[#All],[DEM]],MATCH(Table5[[#This Row],[PID]],Table3[[#All],[PID]],0)))</f>
        <v>$100k</v>
      </c>
      <c r="T202" s="75">
        <f>IF($C202="B",INDEX(Batters[[#All],[Rnk]],MATCH(Table5[[#This Row],[PID]],Batters[[#All],[PID]],0)),INDEX(Table3[[#All],[Rnk]],MATCH(Table5[[#This Row],[PID]],Table3[[#All],[PID]],0)))</f>
        <v>126</v>
      </c>
      <c r="U202" s="68">
        <f>IF($C202="B",VLOOKUP($A202,Bat!$A$4:$BA$1621,47,FALSE),VLOOKUP($A202,Pit!$A$4:$BF$1557,56,FALSE))</f>
        <v>0</v>
      </c>
      <c r="V202" s="50">
        <f>IF($C202="B",VLOOKUP($A202,Bat!$A$4:$BA$1621,48,FALSE),VLOOKUP($A202,Pit!$A$4:$BF$1557,57,FALSE))</f>
        <v>0</v>
      </c>
      <c r="W202" s="69">
        <f>Table5[[#This Row],[posRnk]]+Table5[[#This Row],[zRnk]]+IF($W$3&lt;&gt;Table5[[#This Row],[Type]],50,0)</f>
        <v>385</v>
      </c>
      <c r="X202" s="73">
        <f>RANK(Table5[[#This Row],[zScore]],Table5[[#All],[zScore]])</f>
        <v>209</v>
      </c>
      <c r="Y202" s="69">
        <f>IFERROR(INDEX(DraftResults[[#All],[OVR]],MATCH(Table5[[#This Row],[PID]],DraftResults[[#All],[Player ID]],0)),"")</f>
        <v>198</v>
      </c>
      <c r="Z20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2" s="69">
        <f>IFERROR(INDEX(DraftResults[[#All],[Pick in Round]],MATCH(Table5[[#This Row],[PID]],DraftResults[[#All],[Player ID]],0)),"")</f>
        <v>10</v>
      </c>
      <c r="AB202" s="69" t="str">
        <f>IFERROR(INDEX(DraftResults[[#All],[Team Name]],MATCH(Table5[[#This Row],[PID]],DraftResults[[#All],[Player ID]],0)),"")</f>
        <v>Hartford Harpoon</v>
      </c>
      <c r="AC202" s="69">
        <f>IF(Table5[[#This Row],[Ovr]]="","",IF(Table5[[#This Row],[cmbList]]="","",Table5[[#This Row],[cmbList]]-Table5[[#This Row],[Ovr]]))</f>
        <v>187</v>
      </c>
      <c r="AD202" s="77" t="str">
        <f>IF(ISERROR(VLOOKUP($AB202&amp;"-"&amp;$E202&amp;" "&amp;F202,Bonuses!$B$1:$G$1006,4,FALSE)),"",INT(VLOOKUP($AB202&amp;"-"&amp;$E202&amp;" "&amp;$F202,Bonuses!$B$1:$G$1006,4,FALSE)))</f>
        <v/>
      </c>
      <c r="AE20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7.10 (198) - SP Mauro Gonzáles</v>
      </c>
    </row>
    <row r="203" spans="1:31" s="50" customFormat="1" x14ac:dyDescent="0.25">
      <c r="A203" s="68">
        <v>18113</v>
      </c>
      <c r="B203" s="69">
        <f>COUNTIF(Table5[PID],A203)</f>
        <v>1</v>
      </c>
      <c r="C203" s="69" t="str">
        <f>IF(COUNTIF(Table3[[#All],[PID]],A203)&gt;0,"P","B")</f>
        <v>P</v>
      </c>
      <c r="D203" s="59" t="str">
        <f>IF($C203="B",INDEX(Batters[[#All],[POS]],MATCH(Table5[[#This Row],[PID]],Batters[[#All],[PID]],0)),INDEX(Table3[[#All],[POS]],MATCH(Table5[[#This Row],[PID]],Table3[[#All],[PID]],0)))</f>
        <v>SP</v>
      </c>
      <c r="E203" s="52" t="str">
        <f>IF($C203="B",INDEX(Batters[[#All],[First]],MATCH(Table5[[#This Row],[PID]],Batters[[#All],[PID]],0)),INDEX(Table3[[#All],[First]],MATCH(Table5[[#This Row],[PID]],Table3[[#All],[PID]],0)))</f>
        <v>Kenny</v>
      </c>
      <c r="F203" s="55" t="str">
        <f>IF($C203="B",INDEX(Batters[[#All],[Last]],MATCH(A203,Batters[[#All],[PID]],0)),INDEX(Table3[[#All],[Last]],MATCH(A203,Table3[[#All],[PID]],0)))</f>
        <v>Duncan</v>
      </c>
      <c r="G203" s="56">
        <f>IF($C203="B",INDEX(Batters[[#All],[Age]],MATCH(Table5[[#This Row],[PID]],Batters[[#All],[PID]],0)),INDEX(Table3[[#All],[Age]],MATCH(Table5[[#This Row],[PID]],Table3[[#All],[PID]],0)))</f>
        <v>21</v>
      </c>
      <c r="H203" s="52" t="str">
        <f>IF($C203="B",INDEX(Batters[[#All],[B]],MATCH(Table5[[#This Row],[PID]],Batters[[#All],[PID]],0)),INDEX(Table3[[#All],[B]],MATCH(Table5[[#This Row],[PID]],Table3[[#All],[PID]],0)))</f>
        <v>R</v>
      </c>
      <c r="I203" s="52" t="str">
        <f>IF($C203="B",INDEX(Batters[[#All],[T]],MATCH(Table5[[#This Row],[PID]],Batters[[#All],[PID]],0)),INDEX(Table3[[#All],[T]],MATCH(Table5[[#This Row],[PID]],Table3[[#All],[PID]],0)))</f>
        <v>R</v>
      </c>
      <c r="J203" s="71" t="str">
        <f>IF($C203="B",INDEX(Batters[[#All],[WE]],MATCH(Table5[[#This Row],[PID]],Batters[[#All],[PID]],0)),INDEX(Table3[[#All],[WE]],MATCH(Table5[[#This Row],[PID]],Table3[[#All],[PID]],0)))</f>
        <v>High</v>
      </c>
      <c r="K203" s="52" t="str">
        <f>IF($C203="B",INDEX(Batters[[#All],[INT]],MATCH(Table5[[#This Row],[PID]],Batters[[#All],[PID]],0)),INDEX(Table3[[#All],[INT]],MATCH(Table5[[#This Row],[PID]],Table3[[#All],[PID]],0)))</f>
        <v>Low</v>
      </c>
      <c r="L203" s="60">
        <f>IF($C203="B",INDEX(Batters[[#All],[CON P]],MATCH(Table5[[#This Row],[PID]],Batters[[#All],[PID]],0)),INDEX(Table3[[#All],[STU P]],MATCH(Table5[[#This Row],[PID]],Table3[[#All],[PID]],0)))</f>
        <v>6</v>
      </c>
      <c r="M203" s="72">
        <f>IF($C203="B",INDEX(Batters[[#All],[GAP P]],MATCH(Table5[[#This Row],[PID]],Batters[[#All],[PID]],0)),INDEX(Table3[[#All],[MOV P]],MATCH(Table5[[#This Row],[PID]],Table3[[#All],[PID]],0)))</f>
        <v>3</v>
      </c>
      <c r="N203" s="72">
        <f>IF($C203="B",INDEX(Batters[[#All],[POW P]],MATCH(Table5[[#This Row],[PID]],Batters[[#All],[PID]],0)),INDEX(Table3[[#All],[CON P]],MATCH(Table5[[#This Row],[PID]],Table3[[#All],[PID]],0)))</f>
        <v>5</v>
      </c>
      <c r="O203" s="72" t="str">
        <f>IF($C203="B",INDEX(Batters[[#All],[EYE P]],MATCH(Table5[[#This Row],[PID]],Batters[[#All],[PID]],0)),INDEX(Table3[[#All],[VELO]],MATCH(Table5[[#This Row],[PID]],Table3[[#All],[PID]],0)))</f>
        <v>96-98 Mph</v>
      </c>
      <c r="P203" s="56">
        <f>IF($C203="B",INDEX(Batters[[#All],[K P]],MATCH(Table5[[#This Row],[PID]],Batters[[#All],[PID]],0)),INDEX(Table3[[#All],[STM]],MATCH(Table5[[#This Row],[PID]],Table3[[#All],[PID]],0)))</f>
        <v>6</v>
      </c>
      <c r="Q203" s="61">
        <f>IF($C203="B",INDEX(Batters[[#All],[Tot]],MATCH(Table5[[#This Row],[PID]],Batters[[#All],[PID]],0)),INDEX(Table3[[#All],[Tot]],MATCH(Table5[[#This Row],[PID]],Table3[[#All],[PID]],0)))</f>
        <v>55.932938263379071</v>
      </c>
      <c r="R203" s="52">
        <f>IF($C203="B",INDEX(Batters[[#All],[zScore]],MATCH(Table5[[#This Row],[PID]],Batters[[#All],[PID]],0)),INDEX(Table3[[#All],[zScore]],MATCH(Table5[[#This Row],[PID]],Table3[[#All],[PID]],0)))</f>
        <v>1.3347216274722518</v>
      </c>
      <c r="S203" s="78" t="str">
        <f>IF($C203="B",INDEX(Batters[[#All],[DEM]],MATCH(Table5[[#This Row],[PID]],Batters[[#All],[PID]],0)),INDEX(Table3[[#All],[DEM]],MATCH(Table5[[#This Row],[PID]],Table3[[#All],[PID]],0)))</f>
        <v>$65k</v>
      </c>
      <c r="T203" s="75">
        <f>IF($C203="B",INDEX(Batters[[#All],[Rnk]],MATCH(Table5[[#This Row],[PID]],Batters[[#All],[PID]],0)),INDEX(Table3[[#All],[Rnk]],MATCH(Table5[[#This Row],[PID]],Table3[[#All],[PID]],0)))</f>
        <v>96</v>
      </c>
      <c r="U203" s="68">
        <f>IF($C203="B",VLOOKUP($A203,Bat!$A$4:$BA$1621,47,FALSE),VLOOKUP($A203,Pit!$A$4:$BF$1557,56,FALSE))</f>
        <v>0</v>
      </c>
      <c r="V203" s="50">
        <f>IF($C203="B",VLOOKUP($A203,Bat!$A$4:$BA$1621,48,FALSE),VLOOKUP($A203,Pit!$A$4:$BF$1557,57,FALSE))</f>
        <v>0</v>
      </c>
      <c r="W203" s="69">
        <f>Table5[[#This Row],[posRnk]]+Table5[[#This Row],[zRnk]]+IF($W$3&lt;&gt;Table5[[#This Row],[Type]],50,0)</f>
        <v>297</v>
      </c>
      <c r="X203" s="73">
        <f>RANK(Table5[[#This Row],[zScore]],Table5[[#All],[zScore]])</f>
        <v>151</v>
      </c>
      <c r="Y203" s="69">
        <f>IFERROR(INDEX(DraftResults[[#All],[OVR]],MATCH(Table5[[#This Row],[PID]],DraftResults[[#All],[Player ID]],0)),"")</f>
        <v>199</v>
      </c>
      <c r="Z20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3" s="69">
        <f>IFERROR(INDEX(DraftResults[[#All],[Pick in Round]],MATCH(Table5[[#This Row],[PID]],DraftResults[[#All],[Player ID]],0)),"")</f>
        <v>11</v>
      </c>
      <c r="AB203" s="69" t="str">
        <f>IFERROR(INDEX(DraftResults[[#All],[Team Name]],MATCH(Table5[[#This Row],[PID]],DraftResults[[#All],[Player ID]],0)),"")</f>
        <v>Duluth Warriors</v>
      </c>
      <c r="AC203" s="69">
        <f>IF(Table5[[#This Row],[Ovr]]="","",IF(Table5[[#This Row],[cmbList]]="","",Table5[[#This Row],[cmbList]]-Table5[[#This Row],[Ovr]]))</f>
        <v>98</v>
      </c>
      <c r="AD203" s="77" t="str">
        <f>IF(ISERROR(VLOOKUP($AB203&amp;"-"&amp;$E203&amp;" "&amp;F203,Bonuses!$B$1:$G$1006,4,FALSE)),"",INT(VLOOKUP($AB203&amp;"-"&amp;$E203&amp;" "&amp;$F203,Bonuses!$B$1:$G$1006,4,FALSE)))</f>
        <v/>
      </c>
      <c r="AE20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7.11 (199) - SP Kenny Duncan</v>
      </c>
    </row>
    <row r="204" spans="1:31" s="50" customFormat="1" x14ac:dyDescent="0.25">
      <c r="A204" s="50">
        <v>18183</v>
      </c>
      <c r="B204" s="50">
        <f>COUNTIF(Table5[PID],A204)</f>
        <v>1</v>
      </c>
      <c r="C204" s="50" t="str">
        <f>IF(COUNTIF(Table3[[#All],[PID]],A204)&gt;0,"P","B")</f>
        <v>P</v>
      </c>
      <c r="D204" s="59" t="str">
        <f>IF($C204="B",INDEX(Batters[[#All],[POS]],MATCH(Table5[[#This Row],[PID]],Batters[[#All],[PID]],0)),INDEX(Table3[[#All],[POS]],MATCH(Table5[[#This Row],[PID]],Table3[[#All],[PID]],0)))</f>
        <v>CL</v>
      </c>
      <c r="E204" s="52" t="str">
        <f>IF($C204="B",INDEX(Batters[[#All],[First]],MATCH(Table5[[#This Row],[PID]],Batters[[#All],[PID]],0)),INDEX(Table3[[#All],[First]],MATCH(Table5[[#This Row],[PID]],Table3[[#All],[PID]],0)))</f>
        <v>Timothy</v>
      </c>
      <c r="F204" s="50" t="str">
        <f>IF($C204="B",INDEX(Batters[[#All],[Last]],MATCH(A204,Batters[[#All],[PID]],0)),INDEX(Table3[[#All],[Last]],MATCH(A204,Table3[[#All],[PID]],0)))</f>
        <v>O'Slattery</v>
      </c>
      <c r="G204" s="56">
        <f>IF($C204="B",INDEX(Batters[[#All],[Age]],MATCH(Table5[[#This Row],[PID]],Batters[[#All],[PID]],0)),INDEX(Table3[[#All],[Age]],MATCH(Table5[[#This Row],[PID]],Table3[[#All],[PID]],0)))</f>
        <v>18</v>
      </c>
      <c r="H204" s="52" t="str">
        <f>IF($C204="B",INDEX(Batters[[#All],[B]],MATCH(Table5[[#This Row],[PID]],Batters[[#All],[PID]],0)),INDEX(Table3[[#All],[B]],MATCH(Table5[[#This Row],[PID]],Table3[[#All],[PID]],0)))</f>
        <v>R</v>
      </c>
      <c r="I204" s="52" t="str">
        <f>IF($C204="B",INDEX(Batters[[#All],[T]],MATCH(Table5[[#This Row],[PID]],Batters[[#All],[PID]],0)),INDEX(Table3[[#All],[T]],MATCH(Table5[[#This Row],[PID]],Table3[[#All],[PID]],0)))</f>
        <v>R</v>
      </c>
      <c r="J204" s="52" t="str">
        <f>IF($C204="B",INDEX(Batters[[#All],[WE]],MATCH(Table5[[#This Row],[PID]],Batters[[#All],[PID]],0)),INDEX(Table3[[#All],[WE]],MATCH(Table5[[#This Row],[PID]],Table3[[#All],[PID]],0)))</f>
        <v>High</v>
      </c>
      <c r="K204" s="52" t="str">
        <f>IF($C204="B",INDEX(Batters[[#All],[INT]],MATCH(Table5[[#This Row],[PID]],Batters[[#All],[PID]],0)),INDEX(Table3[[#All],[INT]],MATCH(Table5[[#This Row],[PID]],Table3[[#All],[PID]],0)))</f>
        <v>Normal</v>
      </c>
      <c r="L204" s="60">
        <f>IF($C204="B",INDEX(Batters[[#All],[CON P]],MATCH(Table5[[#This Row],[PID]],Batters[[#All],[PID]],0)),INDEX(Table3[[#All],[STU P]],MATCH(Table5[[#This Row],[PID]],Table3[[#All],[PID]],0)))</f>
        <v>7</v>
      </c>
      <c r="M204" s="56">
        <f>IF($C204="B",INDEX(Batters[[#All],[GAP P]],MATCH(Table5[[#This Row],[PID]],Batters[[#All],[PID]],0)),INDEX(Table3[[#All],[MOV P]],MATCH(Table5[[#This Row],[PID]],Table3[[#All],[PID]],0)))</f>
        <v>4</v>
      </c>
      <c r="N204" s="56">
        <f>IF($C204="B",INDEX(Batters[[#All],[POW P]],MATCH(Table5[[#This Row],[PID]],Batters[[#All],[PID]],0)),INDEX(Table3[[#All],[CON P]],MATCH(Table5[[#This Row],[PID]],Table3[[#All],[PID]],0)))</f>
        <v>3</v>
      </c>
      <c r="O204" s="56" t="str">
        <f>IF($C204="B",INDEX(Batters[[#All],[EYE P]],MATCH(Table5[[#This Row],[PID]],Batters[[#All],[PID]],0)),INDEX(Table3[[#All],[VELO]],MATCH(Table5[[#This Row],[PID]],Table3[[#All],[PID]],0)))</f>
        <v>95-97 Mph</v>
      </c>
      <c r="P204" s="56">
        <f>IF($C204="B",INDEX(Batters[[#All],[K P]],MATCH(Table5[[#This Row],[PID]],Batters[[#All],[PID]],0)),INDEX(Table3[[#All],[STM]],MATCH(Table5[[#This Row],[PID]],Table3[[#All],[PID]],0)))</f>
        <v>7</v>
      </c>
      <c r="Q204" s="61">
        <f>IF($C204="B",INDEX(Batters[[#All],[Tot]],MATCH(Table5[[#This Row],[PID]],Batters[[#All],[PID]],0)),INDEX(Table3[[#All],[Tot]],MATCH(Table5[[#This Row],[PID]],Table3[[#All],[PID]],0)))</f>
        <v>55.966374070598832</v>
      </c>
      <c r="R204" s="52">
        <f>IF($C204="B",INDEX(Batters[[#All],[zScore]],MATCH(Table5[[#This Row],[PID]],Batters[[#All],[PID]],0)),INDEX(Table3[[#All],[zScore]],MATCH(Table5[[#This Row],[PID]],Table3[[#All],[PID]],0)))</f>
        <v>1.3369460606330297</v>
      </c>
      <c r="S204" s="58" t="str">
        <f>IF($C204="B",INDEX(Batters[[#All],[DEM]],MATCH(Table5[[#This Row],[PID]],Batters[[#All],[PID]],0)),INDEX(Table3[[#All],[DEM]],MATCH(Table5[[#This Row],[PID]],Table3[[#All],[PID]],0)))</f>
        <v>$65k</v>
      </c>
      <c r="T204" s="62">
        <f>IF($C204="B",INDEX(Batters[[#All],[Rnk]],MATCH(Table5[[#This Row],[PID]],Batters[[#All],[PID]],0)),INDEX(Table3[[#All],[Rnk]],MATCH(Table5[[#This Row],[PID]],Table3[[#All],[PID]],0)))</f>
        <v>95</v>
      </c>
      <c r="U204" s="68">
        <f>IF($C204="B",VLOOKUP($A204,Bat!$A$4:$BA$1621,47,FALSE),VLOOKUP($A204,Pit!$A$4:$BF$1557,56,FALSE))</f>
        <v>0</v>
      </c>
      <c r="V204" s="50">
        <f>IF($C204="B",VLOOKUP($A204,Bat!$A$4:$BA$1621,48,FALSE),VLOOKUP($A204,Pit!$A$4:$BF$1557,57,FALSE))</f>
        <v>0</v>
      </c>
      <c r="W204" s="50">
        <f>Table5[[#This Row],[posRnk]]+Table5[[#This Row],[zRnk]]+IF($W$3&lt;&gt;Table5[[#This Row],[Type]],50,0)</f>
        <v>295</v>
      </c>
      <c r="X204" s="51">
        <f>RANK(Table5[[#This Row],[zScore]],Table5[[#All],[zScore]])</f>
        <v>150</v>
      </c>
      <c r="Y204" s="50">
        <f>IFERROR(INDEX(DraftResults[[#All],[OVR]],MATCH(Table5[[#This Row],[PID]],DraftResults[[#All],[Player ID]],0)),"")</f>
        <v>200</v>
      </c>
      <c r="Z2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4" s="50">
        <f>IFERROR(INDEX(DraftResults[[#All],[Pick in Round]],MATCH(Table5[[#This Row],[PID]],DraftResults[[#All],[Player ID]],0)),"")</f>
        <v>12</v>
      </c>
      <c r="AB204" s="50" t="str">
        <f>IFERROR(INDEX(DraftResults[[#All],[Team Name]],MATCH(Table5[[#This Row],[PID]],DraftResults[[#All],[Player ID]],0)),"")</f>
        <v>Palm Springs Codgers</v>
      </c>
      <c r="AC204" s="50">
        <f>IF(Table5[[#This Row],[Ovr]]="","",IF(Table5[[#This Row],[cmbList]]="","",Table5[[#This Row],[cmbList]]-Table5[[#This Row],[Ovr]]))</f>
        <v>95</v>
      </c>
      <c r="AD204" s="54" t="str">
        <f>IF(ISERROR(VLOOKUP($AB204&amp;"-"&amp;$E204&amp;" "&amp;F204,Bonuses!$B$1:$G$1006,4,FALSE)),"",INT(VLOOKUP($AB204&amp;"-"&amp;$E204&amp;" "&amp;$F204,Bonuses!$B$1:$G$1006,4,FALSE)))</f>
        <v/>
      </c>
      <c r="AE2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7.12 (200) - CL Timothy O'Slattery</v>
      </c>
    </row>
    <row r="205" spans="1:31" s="50" customFormat="1" x14ac:dyDescent="0.25">
      <c r="A205" s="50">
        <v>18409</v>
      </c>
      <c r="B205" s="50">
        <f>COUNTIF(Table5[PID],A205)</f>
        <v>1</v>
      </c>
      <c r="C205" s="50" t="str">
        <f>IF(COUNTIF(Table3[[#All],[PID]],A205)&gt;0,"P","B")</f>
        <v>B</v>
      </c>
      <c r="D205" s="59" t="str">
        <f>IF($C205="B",INDEX(Batters[[#All],[POS]],MATCH(Table5[[#This Row],[PID]],Batters[[#All],[PID]],0)),INDEX(Table3[[#All],[POS]],MATCH(Table5[[#This Row],[PID]],Table3[[#All],[PID]],0)))</f>
        <v>SS</v>
      </c>
      <c r="E205" s="52" t="str">
        <f>IF($C205="B",INDEX(Batters[[#All],[First]],MATCH(Table5[[#This Row],[PID]],Batters[[#All],[PID]],0)),INDEX(Table3[[#All],[First]],MATCH(Table5[[#This Row],[PID]],Table3[[#All],[PID]],0)))</f>
        <v>Takejiro</v>
      </c>
      <c r="F205" s="50" t="str">
        <f>IF($C205="B",INDEX(Batters[[#All],[Last]],MATCH(A205,Batters[[#All],[PID]],0)),INDEX(Table3[[#All],[Last]],MATCH(A205,Table3[[#All],[PID]],0)))</f>
        <v>Takahashi</v>
      </c>
      <c r="G205" s="56">
        <f>IF($C205="B",INDEX(Batters[[#All],[Age]],MATCH(Table5[[#This Row],[PID]],Batters[[#All],[PID]],0)),INDEX(Table3[[#All],[Age]],MATCH(Table5[[#This Row],[PID]],Table3[[#All],[PID]],0)))</f>
        <v>18</v>
      </c>
      <c r="H205" s="52" t="str">
        <f>IF($C205="B",INDEX(Batters[[#All],[B]],MATCH(Table5[[#This Row],[PID]],Batters[[#All],[PID]],0)),INDEX(Table3[[#All],[B]],MATCH(Table5[[#This Row],[PID]],Table3[[#All],[PID]],0)))</f>
        <v>R</v>
      </c>
      <c r="I205" s="52" t="str">
        <f>IF($C205="B",INDEX(Batters[[#All],[T]],MATCH(Table5[[#This Row],[PID]],Batters[[#All],[PID]],0)),INDEX(Table3[[#All],[T]],MATCH(Table5[[#This Row],[PID]],Table3[[#All],[PID]],0)))</f>
        <v>R</v>
      </c>
      <c r="J205" s="52" t="str">
        <f>IF($C205="B",INDEX(Batters[[#All],[WE]],MATCH(Table5[[#This Row],[PID]],Batters[[#All],[PID]],0)),INDEX(Table3[[#All],[WE]],MATCH(Table5[[#This Row],[PID]],Table3[[#All],[PID]],0)))</f>
        <v>Normal</v>
      </c>
      <c r="K205" s="52" t="str">
        <f>IF($C205="B",INDEX(Batters[[#All],[INT]],MATCH(Table5[[#This Row],[PID]],Batters[[#All],[PID]],0)),INDEX(Table3[[#All],[INT]],MATCH(Table5[[#This Row],[PID]],Table3[[#All],[PID]],0)))</f>
        <v>Normal</v>
      </c>
      <c r="L205" s="60">
        <f>IF($C205="B",INDEX(Batters[[#All],[CON P]],MATCH(Table5[[#This Row],[PID]],Batters[[#All],[PID]],0)),INDEX(Table3[[#All],[STU P]],MATCH(Table5[[#This Row],[PID]],Table3[[#All],[PID]],0)))</f>
        <v>4</v>
      </c>
      <c r="M205" s="56">
        <f>IF($C205="B",INDEX(Batters[[#All],[GAP P]],MATCH(Table5[[#This Row],[PID]],Batters[[#All],[PID]],0)),INDEX(Table3[[#All],[MOV P]],MATCH(Table5[[#This Row],[PID]],Table3[[#All],[PID]],0)))</f>
        <v>5</v>
      </c>
      <c r="N205" s="56">
        <f>IF($C205="B",INDEX(Batters[[#All],[POW P]],MATCH(Table5[[#This Row],[PID]],Batters[[#All],[PID]],0)),INDEX(Table3[[#All],[CON P]],MATCH(Table5[[#This Row],[PID]],Table3[[#All],[PID]],0)))</f>
        <v>2</v>
      </c>
      <c r="O205" s="56">
        <f>IF($C205="B",INDEX(Batters[[#All],[EYE P]],MATCH(Table5[[#This Row],[PID]],Batters[[#All],[PID]],0)),INDEX(Table3[[#All],[VELO]],MATCH(Table5[[#This Row],[PID]],Table3[[#All],[PID]],0)))</f>
        <v>4</v>
      </c>
      <c r="P205" s="56">
        <f>IF($C205="B",INDEX(Batters[[#All],[K P]],MATCH(Table5[[#This Row],[PID]],Batters[[#All],[PID]],0)),INDEX(Table3[[#All],[STM]],MATCH(Table5[[#This Row],[PID]],Table3[[#All],[PID]],0)))</f>
        <v>5</v>
      </c>
      <c r="Q205" s="61">
        <f>IF($C205="B",INDEX(Batters[[#All],[Tot]],MATCH(Table5[[#This Row],[PID]],Batters[[#All],[PID]],0)),INDEX(Table3[[#All],[Tot]],MATCH(Table5[[#This Row],[PID]],Table3[[#All],[PID]],0)))</f>
        <v>46.186448858927477</v>
      </c>
      <c r="R205" s="52">
        <f>IF($C205="B",INDEX(Batters[[#All],[zScore]],MATCH(Table5[[#This Row],[PID]],Batters[[#All],[PID]],0)),INDEX(Table3[[#All],[zScore]],MATCH(Table5[[#This Row],[PID]],Table3[[#All],[PID]],0)))</f>
        <v>0.45549856293091856</v>
      </c>
      <c r="S205" s="58" t="str">
        <f>IF($C205="B",INDEX(Batters[[#All],[DEM]],MATCH(Table5[[#This Row],[PID]],Batters[[#All],[PID]],0)),INDEX(Table3[[#All],[DEM]],MATCH(Table5[[#This Row],[PID]],Table3[[#All],[PID]],0)))</f>
        <v>$200k</v>
      </c>
      <c r="T205" s="62">
        <f>IF($C205="B",INDEX(Batters[[#All],[Rnk]],MATCH(Table5[[#This Row],[PID]],Batters[[#All],[PID]],0)),INDEX(Table3[[#All],[Rnk]],MATCH(Table5[[#This Row],[PID]],Table3[[#All],[PID]],0)))</f>
        <v>157</v>
      </c>
      <c r="U205" s="68">
        <f>IF($C205="B",VLOOKUP($A205,Bat!$A$4:$BA$1621,47,FALSE),VLOOKUP($A205,Pit!$A$4:$BF$1557,56,FALSE))</f>
        <v>0</v>
      </c>
      <c r="V205" s="50">
        <f>IF($C205="B",VLOOKUP($A205,Bat!$A$4:$BA$1621,48,FALSE),VLOOKUP($A205,Pit!$A$4:$BF$1557,57,FALSE))</f>
        <v>0</v>
      </c>
      <c r="W205" s="50">
        <f>Table5[[#This Row],[posRnk]]+Table5[[#This Row],[zRnk]]+IF($W$3&lt;&gt;Table5[[#This Row],[Type]],50,0)</f>
        <v>585</v>
      </c>
      <c r="X205" s="51">
        <f>RANK(Table5[[#This Row],[zScore]],Table5[[#All],[zScore]])</f>
        <v>378</v>
      </c>
      <c r="Y205" s="50">
        <f>IFERROR(INDEX(DraftResults[[#All],[OVR]],MATCH(Table5[[#This Row],[PID]],DraftResults[[#All],[Player ID]],0)),"")</f>
        <v>201</v>
      </c>
      <c r="Z2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5" s="50">
        <f>IFERROR(INDEX(DraftResults[[#All],[Pick in Round]],MATCH(Table5[[#This Row],[PID]],DraftResults[[#All],[Player ID]],0)),"")</f>
        <v>13</v>
      </c>
      <c r="AB205" s="50" t="str">
        <f>IFERROR(INDEX(DraftResults[[#All],[Team Name]],MATCH(Table5[[#This Row],[PID]],DraftResults[[#All],[Player ID]],0)),"")</f>
        <v>Reno Zephyrs</v>
      </c>
      <c r="AC205" s="50">
        <f>IF(Table5[[#This Row],[Ovr]]="","",IF(Table5[[#This Row],[cmbList]]="","",Table5[[#This Row],[cmbList]]-Table5[[#This Row],[Ovr]]))</f>
        <v>384</v>
      </c>
      <c r="AD205" s="54" t="str">
        <f>IF(ISERROR(VLOOKUP($AB205&amp;"-"&amp;$E205&amp;" "&amp;F205,Bonuses!$B$1:$G$1006,4,FALSE)),"",INT(VLOOKUP($AB205&amp;"-"&amp;$E205&amp;" "&amp;$F205,Bonuses!$B$1:$G$1006,4,FALSE)))</f>
        <v/>
      </c>
      <c r="AE2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7.13 (201) - SS Takejiro Takahashi</v>
      </c>
    </row>
    <row r="206" spans="1:31" s="50" customFormat="1" x14ac:dyDescent="0.25">
      <c r="A206" s="50">
        <v>20335</v>
      </c>
      <c r="B206" s="50">
        <f>COUNTIF(Table5[PID],A206)</f>
        <v>1</v>
      </c>
      <c r="C206" s="50" t="str">
        <f>IF(COUNTIF(Table3[[#All],[PID]],A206)&gt;0,"P","B")</f>
        <v>P</v>
      </c>
      <c r="D206" s="59" t="str">
        <f>IF($C206="B",INDEX(Batters[[#All],[POS]],MATCH(Table5[[#This Row],[PID]],Batters[[#All],[PID]],0)),INDEX(Table3[[#All],[POS]],MATCH(Table5[[#This Row],[PID]],Table3[[#All],[PID]],0)))</f>
        <v>CL</v>
      </c>
      <c r="E206" s="52" t="str">
        <f>IF($C206="B",INDEX(Batters[[#All],[First]],MATCH(Table5[[#This Row],[PID]],Batters[[#All],[PID]],0)),INDEX(Table3[[#All],[First]],MATCH(Table5[[#This Row],[PID]],Table3[[#All],[PID]],0)))</f>
        <v>Jake</v>
      </c>
      <c r="F206" s="50" t="str">
        <f>IF($C206="B",INDEX(Batters[[#All],[Last]],MATCH(A206,Batters[[#All],[PID]],0)),INDEX(Table3[[#All],[Last]],MATCH(A206,Table3[[#All],[PID]],0)))</f>
        <v>Horton</v>
      </c>
      <c r="G206" s="56">
        <f>IF($C206="B",INDEX(Batters[[#All],[Age]],MATCH(Table5[[#This Row],[PID]],Batters[[#All],[PID]],0)),INDEX(Table3[[#All],[Age]],MATCH(Table5[[#This Row],[PID]],Table3[[#All],[PID]],0)))</f>
        <v>17</v>
      </c>
      <c r="H206" s="52" t="str">
        <f>IF($C206="B",INDEX(Batters[[#All],[B]],MATCH(Table5[[#This Row],[PID]],Batters[[#All],[PID]],0)),INDEX(Table3[[#All],[B]],MATCH(Table5[[#This Row],[PID]],Table3[[#All],[PID]],0)))</f>
        <v>R</v>
      </c>
      <c r="I206" s="52" t="str">
        <f>IF($C206="B",INDEX(Batters[[#All],[T]],MATCH(Table5[[#This Row],[PID]],Batters[[#All],[PID]],0)),INDEX(Table3[[#All],[T]],MATCH(Table5[[#This Row],[PID]],Table3[[#All],[PID]],0)))</f>
        <v>R</v>
      </c>
      <c r="J206" s="52" t="str">
        <f>IF($C206="B",INDEX(Batters[[#All],[WE]],MATCH(Table5[[#This Row],[PID]],Batters[[#All],[PID]],0)),INDEX(Table3[[#All],[WE]],MATCH(Table5[[#This Row],[PID]],Table3[[#All],[PID]],0)))</f>
        <v>Normal</v>
      </c>
      <c r="K206" s="52" t="str">
        <f>IF($C206="B",INDEX(Batters[[#All],[INT]],MATCH(Table5[[#This Row],[PID]],Batters[[#All],[PID]],0)),INDEX(Table3[[#All],[INT]],MATCH(Table5[[#This Row],[PID]],Table3[[#All],[PID]],0)))</f>
        <v>Normal</v>
      </c>
      <c r="L206" s="60">
        <f>IF($C206="B",INDEX(Batters[[#All],[CON P]],MATCH(Table5[[#This Row],[PID]],Batters[[#All],[PID]],0)),INDEX(Table3[[#All],[STU P]],MATCH(Table5[[#This Row],[PID]],Table3[[#All],[PID]],0)))</f>
        <v>8</v>
      </c>
      <c r="M206" s="56">
        <f>IF($C206="B",INDEX(Batters[[#All],[GAP P]],MATCH(Table5[[#This Row],[PID]],Batters[[#All],[PID]],0)),INDEX(Table3[[#All],[MOV P]],MATCH(Table5[[#This Row],[PID]],Table3[[#All],[PID]],0)))</f>
        <v>2</v>
      </c>
      <c r="N206" s="56">
        <f>IF($C206="B",INDEX(Batters[[#All],[POW P]],MATCH(Table5[[#This Row],[PID]],Batters[[#All],[PID]],0)),INDEX(Table3[[#All],[CON P]],MATCH(Table5[[#This Row],[PID]],Table3[[#All],[PID]],0)))</f>
        <v>4</v>
      </c>
      <c r="O206" s="56" t="str">
        <f>IF($C206="B",INDEX(Batters[[#All],[EYE P]],MATCH(Table5[[#This Row],[PID]],Batters[[#All],[PID]],0)),INDEX(Table3[[#All],[VELO]],MATCH(Table5[[#This Row],[PID]],Table3[[#All],[PID]],0)))</f>
        <v>93-95 Mph</v>
      </c>
      <c r="P206" s="56">
        <f>IF($C206="B",INDEX(Batters[[#All],[K P]],MATCH(Table5[[#This Row],[PID]],Batters[[#All],[PID]],0)),INDEX(Table3[[#All],[STM]],MATCH(Table5[[#This Row],[PID]],Table3[[#All],[PID]],0)))</f>
        <v>2</v>
      </c>
      <c r="Q206" s="61">
        <f>IF($C206="B",INDEX(Batters[[#All],[Tot]],MATCH(Table5[[#This Row],[PID]],Batters[[#All],[PID]],0)),INDEX(Table3[[#All],[Tot]],MATCH(Table5[[#This Row],[PID]],Table3[[#All],[PID]],0)))</f>
        <v>48.688439042547557</v>
      </c>
      <c r="R206" s="52">
        <f>IF($C206="B",INDEX(Batters[[#All],[zScore]],MATCH(Table5[[#This Row],[PID]],Batters[[#All],[PID]],0)),INDEX(Table3[[#All],[zScore]],MATCH(Table5[[#This Row],[PID]],Table3[[#All],[PID]],0)))</f>
        <v>0.85275616469364723</v>
      </c>
      <c r="S206" s="58" t="str">
        <f>IF($C206="B",INDEX(Batters[[#All],[DEM]],MATCH(Table5[[#This Row],[PID]],Batters[[#All],[PID]],0)),INDEX(Table3[[#All],[DEM]],MATCH(Table5[[#This Row],[PID]],Table3[[#All],[PID]],0)))</f>
        <v>$38k</v>
      </c>
      <c r="T206" s="62">
        <f>IF($C206="B",INDEX(Batters[[#All],[Rnk]],MATCH(Table5[[#This Row],[PID]],Batters[[#All],[PID]],0)),INDEX(Table3[[#All],[Rnk]],MATCH(Table5[[#This Row],[PID]],Table3[[#All],[PID]],0)))</f>
        <v>163</v>
      </c>
      <c r="U206" s="68">
        <f>IF($C206="B",VLOOKUP($A206,Bat!$A$4:$BA$1621,47,FALSE),VLOOKUP($A206,Pit!$A$4:$BF$1557,56,FALSE))</f>
        <v>0</v>
      </c>
      <c r="V206" s="50">
        <f>IF($C206="B",VLOOKUP($A206,Bat!$A$4:$BA$1621,48,FALSE),VLOOKUP($A206,Pit!$A$4:$BF$1557,57,FALSE))</f>
        <v>0</v>
      </c>
      <c r="W206" s="50">
        <f>Table5[[#This Row],[posRnk]]+Table5[[#This Row],[zRnk]]+IF($W$3&lt;&gt;Table5[[#This Row],[Type]],50,0)</f>
        <v>484</v>
      </c>
      <c r="X206" s="51">
        <f>RANK(Table5[[#This Row],[zScore]],Table5[[#All],[zScore]])</f>
        <v>271</v>
      </c>
      <c r="Y206" s="50">
        <f>IFERROR(INDEX(DraftResults[[#All],[OVR]],MATCH(Table5[[#This Row],[PID]],DraftResults[[#All],[Player ID]],0)),"")</f>
        <v>202</v>
      </c>
      <c r="Z2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6" s="50">
        <f>IFERROR(INDEX(DraftResults[[#All],[Pick in Round]],MATCH(Table5[[#This Row],[PID]],DraftResults[[#All],[Player ID]],0)),"")</f>
        <v>14</v>
      </c>
      <c r="AB206" s="50" t="str">
        <f>IFERROR(INDEX(DraftResults[[#All],[Team Name]],MATCH(Table5[[#This Row],[PID]],DraftResults[[#All],[Player ID]],0)),"")</f>
        <v>Neo-Tokyo Akira</v>
      </c>
      <c r="AC206" s="50">
        <f>IF(Table5[[#This Row],[Ovr]]="","",IF(Table5[[#This Row],[cmbList]]="","",Table5[[#This Row],[cmbList]]-Table5[[#This Row],[Ovr]]))</f>
        <v>282</v>
      </c>
      <c r="AD206" s="54" t="str">
        <f>IF(ISERROR(VLOOKUP($AB206&amp;"-"&amp;$E206&amp;" "&amp;F206,Bonuses!$B$1:$G$1006,4,FALSE)),"",INT(VLOOKUP($AB206&amp;"-"&amp;$E206&amp;" "&amp;$F206,Bonuses!$B$1:$G$1006,4,FALSE)))</f>
        <v/>
      </c>
      <c r="AE2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7.14 (202) - CL Jake Horton</v>
      </c>
    </row>
    <row r="207" spans="1:31" s="50" customFormat="1" x14ac:dyDescent="0.25">
      <c r="A207" s="50">
        <v>21069</v>
      </c>
      <c r="B207" s="50">
        <f>COUNTIF(Table5[PID],A207)</f>
        <v>1</v>
      </c>
      <c r="C207" s="50" t="str">
        <f>IF(COUNTIF(Table3[[#All],[PID]],A207)&gt;0,"P","B")</f>
        <v>B</v>
      </c>
      <c r="D207" s="59" t="str">
        <f>IF($C207="B",INDEX(Batters[[#All],[POS]],MATCH(Table5[[#This Row],[PID]],Batters[[#All],[PID]],0)),INDEX(Table3[[#All],[POS]],MATCH(Table5[[#This Row],[PID]],Table3[[#All],[PID]],0)))</f>
        <v>LF</v>
      </c>
      <c r="E207" s="52" t="str">
        <f>IF($C207="B",INDEX(Batters[[#All],[First]],MATCH(Table5[[#This Row],[PID]],Batters[[#All],[PID]],0)),INDEX(Table3[[#All],[First]],MATCH(Table5[[#This Row],[PID]],Table3[[#All],[PID]],0)))</f>
        <v>Kenneth</v>
      </c>
      <c r="F207" s="50" t="str">
        <f>IF($C207="B",INDEX(Batters[[#All],[Last]],MATCH(A207,Batters[[#All],[PID]],0)),INDEX(Table3[[#All],[Last]],MATCH(A207,Table3[[#All],[PID]],0)))</f>
        <v>Ray</v>
      </c>
      <c r="G207" s="56">
        <f>IF($C207="B",INDEX(Batters[[#All],[Age]],MATCH(Table5[[#This Row],[PID]],Batters[[#All],[PID]],0)),INDEX(Table3[[#All],[Age]],MATCH(Table5[[#This Row],[PID]],Table3[[#All],[PID]],0)))</f>
        <v>18</v>
      </c>
      <c r="H207" s="52" t="str">
        <f>IF($C207="B",INDEX(Batters[[#All],[B]],MATCH(Table5[[#This Row],[PID]],Batters[[#All],[PID]],0)),INDEX(Table3[[#All],[B]],MATCH(Table5[[#This Row],[PID]],Table3[[#All],[PID]],0)))</f>
        <v>L</v>
      </c>
      <c r="I207" s="52" t="str">
        <f>IF($C207="B",INDEX(Batters[[#All],[T]],MATCH(Table5[[#This Row],[PID]],Batters[[#All],[PID]],0)),INDEX(Table3[[#All],[T]],MATCH(Table5[[#This Row],[PID]],Table3[[#All],[PID]],0)))</f>
        <v>L</v>
      </c>
      <c r="J207" s="52" t="str">
        <f>IF($C207="B",INDEX(Batters[[#All],[WE]],MATCH(Table5[[#This Row],[PID]],Batters[[#All],[PID]],0)),INDEX(Table3[[#All],[WE]],MATCH(Table5[[#This Row],[PID]],Table3[[#All],[PID]],0)))</f>
        <v>Normal</v>
      </c>
      <c r="K207" s="52" t="str">
        <f>IF($C207="B",INDEX(Batters[[#All],[INT]],MATCH(Table5[[#This Row],[PID]],Batters[[#All],[PID]],0)),INDEX(Table3[[#All],[INT]],MATCH(Table5[[#This Row],[PID]],Table3[[#All],[PID]],0)))</f>
        <v>Normal</v>
      </c>
      <c r="L207" s="60">
        <f>IF($C207="B",INDEX(Batters[[#All],[CON P]],MATCH(Table5[[#This Row],[PID]],Batters[[#All],[PID]],0)),INDEX(Table3[[#All],[STU P]],MATCH(Table5[[#This Row],[PID]],Table3[[#All],[PID]],0)))</f>
        <v>4</v>
      </c>
      <c r="M207" s="56">
        <f>IF($C207="B",INDEX(Batters[[#All],[GAP P]],MATCH(Table5[[#This Row],[PID]],Batters[[#All],[PID]],0)),INDEX(Table3[[#All],[MOV P]],MATCH(Table5[[#This Row],[PID]],Table3[[#All],[PID]],0)))</f>
        <v>7</v>
      </c>
      <c r="N207" s="56">
        <f>IF($C207="B",INDEX(Batters[[#All],[POW P]],MATCH(Table5[[#This Row],[PID]],Batters[[#All],[PID]],0)),INDEX(Table3[[#All],[CON P]],MATCH(Table5[[#This Row],[PID]],Table3[[#All],[PID]],0)))</f>
        <v>6</v>
      </c>
      <c r="O207" s="56">
        <f>IF($C207="B",INDEX(Batters[[#All],[EYE P]],MATCH(Table5[[#This Row],[PID]],Batters[[#All],[PID]],0)),INDEX(Table3[[#All],[VELO]],MATCH(Table5[[#This Row],[PID]],Table3[[#All],[PID]],0)))</f>
        <v>5</v>
      </c>
      <c r="P207" s="56">
        <f>IF($C207="B",INDEX(Batters[[#All],[K P]],MATCH(Table5[[#This Row],[PID]],Batters[[#All],[PID]],0)),INDEX(Table3[[#All],[STM]],MATCH(Table5[[#This Row],[PID]],Table3[[#All],[PID]],0)))</f>
        <v>4</v>
      </c>
      <c r="Q207" s="61">
        <f>IF($C207="B",INDEX(Batters[[#All],[Tot]],MATCH(Table5[[#This Row],[PID]],Batters[[#All],[PID]],0)),INDEX(Table3[[#All],[Tot]],MATCH(Table5[[#This Row],[PID]],Table3[[#All],[PID]],0)))</f>
        <v>51.183898407967781</v>
      </c>
      <c r="R207" s="52">
        <f>IF($C207="B",INDEX(Batters[[#All],[zScore]],MATCH(Table5[[#This Row],[PID]],Batters[[#All],[PID]],0)),INDEX(Table3[[#All],[zScore]],MATCH(Table5[[#This Row],[PID]],Table3[[#All],[PID]],0)))</f>
        <v>1.5634669075771102</v>
      </c>
      <c r="S207" s="58" t="str">
        <f>IF($C207="B",INDEX(Batters[[#All],[DEM]],MATCH(Table5[[#This Row],[PID]],Batters[[#All],[PID]],0)),INDEX(Table3[[#All],[DEM]],MATCH(Table5[[#This Row],[PID]],Table3[[#All],[PID]],0)))</f>
        <v>$270k</v>
      </c>
      <c r="T207" s="62">
        <f>IF($C207="B",INDEX(Batters[[#All],[Rnk]],MATCH(Table5[[#This Row],[PID]],Batters[[#All],[PID]],0)),INDEX(Table3[[#All],[Rnk]],MATCH(Table5[[#This Row],[PID]],Table3[[#All],[PID]],0)))</f>
        <v>40</v>
      </c>
      <c r="U207" s="68">
        <f>IF($C207="B",VLOOKUP($A207,Bat!$A$4:$BA$1621,47,FALSE),VLOOKUP($A207,Pit!$A$4:$BF$1557,56,FALSE))</f>
        <v>0</v>
      </c>
      <c r="V207" s="50">
        <f>IF($C207="B",VLOOKUP($A207,Bat!$A$4:$BA$1621,48,FALSE),VLOOKUP($A207,Pit!$A$4:$BF$1557,57,FALSE))</f>
        <v>0</v>
      </c>
      <c r="W207" s="50">
        <f>Table5[[#This Row],[posRnk]]+Table5[[#This Row],[zRnk]]+IF($W$3&lt;&gt;Table5[[#This Row],[Type]],50,0)</f>
        <v>198</v>
      </c>
      <c r="X207" s="51">
        <f>RANK(Table5[[#This Row],[zScore]],Table5[[#All],[zScore]])</f>
        <v>108</v>
      </c>
      <c r="Y207" s="50">
        <f>IFERROR(INDEX(DraftResults[[#All],[OVR]],MATCH(Table5[[#This Row],[PID]],DraftResults[[#All],[Player ID]],0)),"")</f>
        <v>203</v>
      </c>
      <c r="Z2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7" s="50">
        <f>IFERROR(INDEX(DraftResults[[#All],[Pick in Round]],MATCH(Table5[[#This Row],[PID]],DraftResults[[#All],[Player ID]],0)),"")</f>
        <v>15</v>
      </c>
      <c r="AB207" s="50" t="str">
        <f>IFERROR(INDEX(DraftResults[[#All],[Team Name]],MATCH(Table5[[#This Row],[PID]],DraftResults[[#All],[Player ID]],0)),"")</f>
        <v>Kentucky Thoroughbreds</v>
      </c>
      <c r="AC207" s="50">
        <f>IF(Table5[[#This Row],[Ovr]]="","",IF(Table5[[#This Row],[cmbList]]="","",Table5[[#This Row],[cmbList]]-Table5[[#This Row],[Ovr]]))</f>
        <v>-5</v>
      </c>
      <c r="AD207" s="54" t="str">
        <f>IF(ISERROR(VLOOKUP($AB207&amp;"-"&amp;$E207&amp;" "&amp;F207,Bonuses!$B$1:$G$1006,4,FALSE)),"",INT(VLOOKUP($AB207&amp;"-"&amp;$E207&amp;" "&amp;$F207,Bonuses!$B$1:$G$1006,4,FALSE)))</f>
        <v/>
      </c>
      <c r="AE2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7.15 (203) - LF Kenneth Ray</v>
      </c>
    </row>
    <row r="208" spans="1:31" s="50" customFormat="1" x14ac:dyDescent="0.25">
      <c r="A208" s="50">
        <v>20740</v>
      </c>
      <c r="B208" s="50">
        <f>COUNTIF(Table5[PID],A208)</f>
        <v>1</v>
      </c>
      <c r="C208" s="50" t="str">
        <f>IF(COUNTIF(Table3[[#All],[PID]],A208)&gt;0,"P","B")</f>
        <v>B</v>
      </c>
      <c r="D208" s="59" t="str">
        <f>IF($C208="B",INDEX(Batters[[#All],[POS]],MATCH(Table5[[#This Row],[PID]],Batters[[#All],[PID]],0)),INDEX(Table3[[#All],[POS]],MATCH(Table5[[#This Row],[PID]],Table3[[#All],[PID]],0)))</f>
        <v>1B</v>
      </c>
      <c r="E208" s="52" t="str">
        <f>IF($C208="B",INDEX(Batters[[#All],[First]],MATCH(Table5[[#This Row],[PID]],Batters[[#All],[PID]],0)),INDEX(Table3[[#All],[First]],MATCH(Table5[[#This Row],[PID]],Table3[[#All],[PID]],0)))</f>
        <v>Dave</v>
      </c>
      <c r="F208" s="50" t="str">
        <f>IF($C208="B",INDEX(Batters[[#All],[Last]],MATCH(A208,Batters[[#All],[PID]],0)),INDEX(Table3[[#All],[Last]],MATCH(A208,Table3[[#All],[PID]],0)))</f>
        <v>Reid</v>
      </c>
      <c r="G208" s="56">
        <f>IF($C208="B",INDEX(Batters[[#All],[Age]],MATCH(Table5[[#This Row],[PID]],Batters[[#All],[PID]],0)),INDEX(Table3[[#All],[Age]],MATCH(Table5[[#This Row],[PID]],Table3[[#All],[PID]],0)))</f>
        <v>18</v>
      </c>
      <c r="H208" s="52" t="str">
        <f>IF($C208="B",INDEX(Batters[[#All],[B]],MATCH(Table5[[#This Row],[PID]],Batters[[#All],[PID]],0)),INDEX(Table3[[#All],[B]],MATCH(Table5[[#This Row],[PID]],Table3[[#All],[PID]],0)))</f>
        <v>R</v>
      </c>
      <c r="I208" s="52" t="str">
        <f>IF($C208="B",INDEX(Batters[[#All],[T]],MATCH(Table5[[#This Row],[PID]],Batters[[#All],[PID]],0)),INDEX(Table3[[#All],[T]],MATCH(Table5[[#This Row],[PID]],Table3[[#All],[PID]],0)))</f>
        <v>R</v>
      </c>
      <c r="J208" s="52" t="str">
        <f>IF($C208="B",INDEX(Batters[[#All],[WE]],MATCH(Table5[[#This Row],[PID]],Batters[[#All],[PID]],0)),INDEX(Table3[[#All],[WE]],MATCH(Table5[[#This Row],[PID]],Table3[[#All],[PID]],0)))</f>
        <v>High</v>
      </c>
      <c r="K208" s="52" t="str">
        <f>IF($C208="B",INDEX(Batters[[#All],[INT]],MATCH(Table5[[#This Row],[PID]],Batters[[#All],[PID]],0)),INDEX(Table3[[#All],[INT]],MATCH(Table5[[#This Row],[PID]],Table3[[#All],[PID]],0)))</f>
        <v>Normal</v>
      </c>
      <c r="L208" s="60">
        <f>IF($C208="B",INDEX(Batters[[#All],[CON P]],MATCH(Table5[[#This Row],[PID]],Batters[[#All],[PID]],0)),INDEX(Table3[[#All],[STU P]],MATCH(Table5[[#This Row],[PID]],Table3[[#All],[PID]],0)))</f>
        <v>4</v>
      </c>
      <c r="M208" s="56">
        <f>IF($C208="B",INDEX(Batters[[#All],[GAP P]],MATCH(Table5[[#This Row],[PID]],Batters[[#All],[PID]],0)),INDEX(Table3[[#All],[MOV P]],MATCH(Table5[[#This Row],[PID]],Table3[[#All],[PID]],0)))</f>
        <v>5</v>
      </c>
      <c r="N208" s="56">
        <f>IF($C208="B",INDEX(Batters[[#All],[POW P]],MATCH(Table5[[#This Row],[PID]],Batters[[#All],[PID]],0)),INDEX(Table3[[#All],[CON P]],MATCH(Table5[[#This Row],[PID]],Table3[[#All],[PID]],0)))</f>
        <v>6</v>
      </c>
      <c r="O208" s="56">
        <f>IF($C208="B",INDEX(Batters[[#All],[EYE P]],MATCH(Table5[[#This Row],[PID]],Batters[[#All],[PID]],0)),INDEX(Table3[[#All],[VELO]],MATCH(Table5[[#This Row],[PID]],Table3[[#All],[PID]],0)))</f>
        <v>6</v>
      </c>
      <c r="P208" s="56">
        <f>IF($C208="B",INDEX(Batters[[#All],[K P]],MATCH(Table5[[#This Row],[PID]],Batters[[#All],[PID]],0)),INDEX(Table3[[#All],[STM]],MATCH(Table5[[#This Row],[PID]],Table3[[#All],[PID]],0)))</f>
        <v>4</v>
      </c>
      <c r="Q208" s="61">
        <f>IF($C208="B",INDEX(Batters[[#All],[Tot]],MATCH(Table5[[#This Row],[PID]],Batters[[#All],[PID]],0)),INDEX(Table3[[#All],[Tot]],MATCH(Table5[[#This Row],[PID]],Table3[[#All],[PID]],0)))</f>
        <v>50.979869909272004</v>
      </c>
      <c r="R208" s="52">
        <f>IF($C208="B",INDEX(Batters[[#All],[zScore]],MATCH(Table5[[#This Row],[PID]],Batters[[#All],[PID]],0)),INDEX(Table3[[#All],[zScore]],MATCH(Table5[[#This Row],[PID]],Table3[[#All],[PID]],0)))</f>
        <v>1.5182324103115961</v>
      </c>
      <c r="S208" s="58" t="str">
        <f>IF($C208="B",INDEX(Batters[[#All],[DEM]],MATCH(Table5[[#This Row],[PID]],Batters[[#All],[PID]],0)),INDEX(Table3[[#All],[DEM]],MATCH(Table5[[#This Row],[PID]],Table3[[#All],[PID]],0)))</f>
        <v>$65k</v>
      </c>
      <c r="T208" s="62">
        <f>IF($C208="B",INDEX(Batters[[#All],[Rnk]],MATCH(Table5[[#This Row],[PID]],Batters[[#All],[PID]],0)),INDEX(Table3[[#All],[Rnk]],MATCH(Table5[[#This Row],[PID]],Table3[[#All],[PID]],0)))</f>
        <v>45</v>
      </c>
      <c r="U208" s="68">
        <f>IF($C208="B",VLOOKUP($A208,Bat!$A$4:$BA$1621,47,FALSE),VLOOKUP($A208,Pit!$A$4:$BF$1557,56,FALSE))</f>
        <v>0</v>
      </c>
      <c r="V208" s="50">
        <f>IF($C208="B",VLOOKUP($A208,Bat!$A$4:$BA$1621,48,FALSE),VLOOKUP($A208,Pit!$A$4:$BF$1557,57,FALSE))</f>
        <v>0</v>
      </c>
      <c r="W208" s="50">
        <f>Table5[[#This Row],[posRnk]]+Table5[[#This Row],[zRnk]]+IF($W$3&lt;&gt;Table5[[#This Row],[Type]],50,0)</f>
        <v>212</v>
      </c>
      <c r="X208" s="51">
        <f>RANK(Table5[[#This Row],[zScore]],Table5[[#All],[zScore]])</f>
        <v>117</v>
      </c>
      <c r="Y208" s="50">
        <f>IFERROR(INDEX(DraftResults[[#All],[OVR]],MATCH(Table5[[#This Row],[PID]],DraftResults[[#All],[Player ID]],0)),"")</f>
        <v>204</v>
      </c>
      <c r="Z2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8" s="50">
        <f>IFERROR(INDEX(DraftResults[[#All],[Pick in Round]],MATCH(Table5[[#This Row],[PID]],DraftResults[[#All],[Player ID]],0)),"")</f>
        <v>16</v>
      </c>
      <c r="AB208" s="50" t="str">
        <f>IFERROR(INDEX(DraftResults[[#All],[Team Name]],MATCH(Table5[[#This Row],[PID]],DraftResults[[#All],[Player ID]],0)),"")</f>
        <v>San Antonio Calzones of Laredo</v>
      </c>
      <c r="AC208" s="50">
        <f>IF(Table5[[#This Row],[Ovr]]="","",IF(Table5[[#This Row],[cmbList]]="","",Table5[[#This Row],[cmbList]]-Table5[[#This Row],[Ovr]]))</f>
        <v>8</v>
      </c>
      <c r="AD208" s="54" t="str">
        <f>IF(ISERROR(VLOOKUP($AB208&amp;"-"&amp;$E208&amp;" "&amp;F208,Bonuses!$B$1:$G$1006,4,FALSE)),"",INT(VLOOKUP($AB208&amp;"-"&amp;$E208&amp;" "&amp;$F208,Bonuses!$B$1:$G$1006,4,FALSE)))</f>
        <v/>
      </c>
      <c r="AE2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7.16 (204) - 1B Dave Reid</v>
      </c>
    </row>
    <row r="209" spans="1:31" s="50" customFormat="1" x14ac:dyDescent="0.25">
      <c r="A209" s="50">
        <v>20716</v>
      </c>
      <c r="B209" s="50">
        <f>COUNTIF(Table5[PID],A209)</f>
        <v>1</v>
      </c>
      <c r="C209" s="50" t="str">
        <f>IF(COUNTIF(Table3[[#All],[PID]],A209)&gt;0,"P","B")</f>
        <v>B</v>
      </c>
      <c r="D209" s="59" t="str">
        <f>IF($C209="B",INDEX(Batters[[#All],[POS]],MATCH(Table5[[#This Row],[PID]],Batters[[#All],[PID]],0)),INDEX(Table3[[#All],[POS]],MATCH(Table5[[#This Row],[PID]],Table3[[#All],[PID]],0)))</f>
        <v>2B</v>
      </c>
      <c r="E209" s="52" t="str">
        <f>IF($C209="B",INDEX(Batters[[#All],[First]],MATCH(Table5[[#This Row],[PID]],Batters[[#All],[PID]],0)),INDEX(Table3[[#All],[First]],MATCH(Table5[[#This Row],[PID]],Table3[[#All],[PID]],0)))</f>
        <v>Thom</v>
      </c>
      <c r="F209" s="50" t="str">
        <f>IF($C209="B",INDEX(Batters[[#All],[Last]],MATCH(A209,Batters[[#All],[PID]],0)),INDEX(Table3[[#All],[Last]],MATCH(A209,Table3[[#All],[PID]],0)))</f>
        <v>Brown</v>
      </c>
      <c r="G209" s="56">
        <f>IF($C209="B",INDEX(Batters[[#All],[Age]],MATCH(Table5[[#This Row],[PID]],Batters[[#All],[PID]],0)),INDEX(Table3[[#All],[Age]],MATCH(Table5[[#This Row],[PID]],Table3[[#All],[PID]],0)))</f>
        <v>16</v>
      </c>
      <c r="H209" s="52" t="str">
        <f>IF($C209="B",INDEX(Batters[[#All],[B]],MATCH(Table5[[#This Row],[PID]],Batters[[#All],[PID]],0)),INDEX(Table3[[#All],[B]],MATCH(Table5[[#This Row],[PID]],Table3[[#All],[PID]],0)))</f>
        <v>R</v>
      </c>
      <c r="I209" s="52" t="str">
        <f>IF($C209="B",INDEX(Batters[[#All],[T]],MATCH(Table5[[#This Row],[PID]],Batters[[#All],[PID]],0)),INDEX(Table3[[#All],[T]],MATCH(Table5[[#This Row],[PID]],Table3[[#All],[PID]],0)))</f>
        <v>R</v>
      </c>
      <c r="J209" s="52" t="str">
        <f>IF($C209="B",INDEX(Batters[[#All],[WE]],MATCH(Table5[[#This Row],[PID]],Batters[[#All],[PID]],0)),INDEX(Table3[[#All],[WE]],MATCH(Table5[[#This Row],[PID]],Table3[[#All],[PID]],0)))</f>
        <v>Normal</v>
      </c>
      <c r="K209" s="52" t="str">
        <f>IF($C209="B",INDEX(Batters[[#All],[INT]],MATCH(Table5[[#This Row],[PID]],Batters[[#All],[PID]],0)),INDEX(Table3[[#All],[INT]],MATCH(Table5[[#This Row],[PID]],Table3[[#All],[PID]],0)))</f>
        <v>Normal</v>
      </c>
      <c r="L209" s="60">
        <f>IF($C209="B",INDEX(Batters[[#All],[CON P]],MATCH(Table5[[#This Row],[PID]],Batters[[#All],[PID]],0)),INDEX(Table3[[#All],[STU P]],MATCH(Table5[[#This Row],[PID]],Table3[[#All],[PID]],0)))</f>
        <v>4</v>
      </c>
      <c r="M209" s="56">
        <f>IF($C209="B",INDEX(Batters[[#All],[GAP P]],MATCH(Table5[[#This Row],[PID]],Batters[[#All],[PID]],0)),INDEX(Table3[[#All],[MOV P]],MATCH(Table5[[#This Row],[PID]],Table3[[#All],[PID]],0)))</f>
        <v>4</v>
      </c>
      <c r="N209" s="56">
        <f>IF($C209="B",INDEX(Batters[[#All],[POW P]],MATCH(Table5[[#This Row],[PID]],Batters[[#All],[PID]],0)),INDEX(Table3[[#All],[CON P]],MATCH(Table5[[#This Row],[PID]],Table3[[#All],[PID]],0)))</f>
        <v>5</v>
      </c>
      <c r="O209" s="56">
        <f>IF($C209="B",INDEX(Batters[[#All],[EYE P]],MATCH(Table5[[#This Row],[PID]],Batters[[#All],[PID]],0)),INDEX(Table3[[#All],[VELO]],MATCH(Table5[[#This Row],[PID]],Table3[[#All],[PID]],0)))</f>
        <v>5</v>
      </c>
      <c r="P209" s="56">
        <f>IF($C209="B",INDEX(Batters[[#All],[K P]],MATCH(Table5[[#This Row],[PID]],Batters[[#All],[PID]],0)),INDEX(Table3[[#All],[STM]],MATCH(Table5[[#This Row],[PID]],Table3[[#All],[PID]],0)))</f>
        <v>4</v>
      </c>
      <c r="Q209" s="61">
        <f>IF($C209="B",INDEX(Batters[[#All],[Tot]],MATCH(Table5[[#This Row],[PID]],Batters[[#All],[PID]],0)),INDEX(Table3[[#All],[Tot]],MATCH(Table5[[#This Row],[PID]],Table3[[#All],[PID]],0)))</f>
        <v>48.30484906641388</v>
      </c>
      <c r="R209" s="52">
        <f>IF($C209="B",INDEX(Batters[[#All],[zScore]],MATCH(Table5[[#This Row],[PID]],Batters[[#All],[PID]],0)),INDEX(Table3[[#All],[zScore]],MATCH(Table5[[#This Row],[PID]],Table3[[#All],[PID]],0)))</f>
        <v>0.92516220798714377</v>
      </c>
      <c r="S209" s="58" t="str">
        <f>IF($C209="B",INDEX(Batters[[#All],[DEM]],MATCH(Table5[[#This Row],[PID]],Batters[[#All],[PID]],0)),INDEX(Table3[[#All],[DEM]],MATCH(Table5[[#This Row],[PID]],Table3[[#All],[PID]],0)))</f>
        <v>$38k</v>
      </c>
      <c r="T209" s="62">
        <f>IF($C209="B",INDEX(Batters[[#All],[Rnk]],MATCH(Table5[[#This Row],[PID]],Batters[[#All],[PID]],0)),INDEX(Table3[[#All],[Rnk]],MATCH(Table5[[#This Row],[PID]],Table3[[#All],[PID]],0)))</f>
        <v>98</v>
      </c>
      <c r="U209" s="68">
        <f>IF($C209="B",VLOOKUP($A209,Bat!$A$4:$BA$1621,47,FALSE),VLOOKUP($A209,Pit!$A$4:$BF$1557,56,FALSE))</f>
        <v>0</v>
      </c>
      <c r="V209" s="50">
        <f>IF($C209="B",VLOOKUP($A209,Bat!$A$4:$BA$1621,48,FALSE),VLOOKUP($A209,Pit!$A$4:$BF$1557,57,FALSE))</f>
        <v>0</v>
      </c>
      <c r="W209" s="50">
        <f>Table5[[#This Row],[posRnk]]+Table5[[#This Row],[zRnk]]+IF($W$3&lt;&gt;Table5[[#This Row],[Type]],50,0)</f>
        <v>394</v>
      </c>
      <c r="X209" s="51">
        <f>RANK(Table5[[#This Row],[zScore]],Table5[[#All],[zScore]])</f>
        <v>246</v>
      </c>
      <c r="Y209" s="50">
        <f>IFERROR(INDEX(DraftResults[[#All],[OVR]],MATCH(Table5[[#This Row],[PID]],DraftResults[[#All],[Player ID]],0)),"")</f>
        <v>205</v>
      </c>
      <c r="Z2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09" s="50">
        <f>IFERROR(INDEX(DraftResults[[#All],[Pick in Round]],MATCH(Table5[[#This Row],[PID]],DraftResults[[#All],[Player ID]],0)),"")</f>
        <v>17</v>
      </c>
      <c r="AB209" s="50" t="str">
        <f>IFERROR(INDEX(DraftResults[[#All],[Team Name]],MATCH(Table5[[#This Row],[PID]],DraftResults[[#All],[Player ID]],0)),"")</f>
        <v>Madison Malts</v>
      </c>
      <c r="AC209" s="50">
        <f>IF(Table5[[#This Row],[Ovr]]="","",IF(Table5[[#This Row],[cmbList]]="","",Table5[[#This Row],[cmbList]]-Table5[[#This Row],[Ovr]]))</f>
        <v>189</v>
      </c>
      <c r="AD209" s="54" t="str">
        <f>IF(ISERROR(VLOOKUP($AB209&amp;"-"&amp;$E209&amp;" "&amp;F209,Bonuses!$B$1:$G$1006,4,FALSE)),"",INT(VLOOKUP($AB209&amp;"-"&amp;$E209&amp;" "&amp;$F209,Bonuses!$B$1:$G$1006,4,FALSE)))</f>
        <v/>
      </c>
      <c r="AE2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7.17 (205) - 2B Thom Brown</v>
      </c>
    </row>
    <row r="210" spans="1:31" s="50" customFormat="1" x14ac:dyDescent="0.25">
      <c r="A210" s="50">
        <v>18110</v>
      </c>
      <c r="B210" s="50">
        <f>COUNTIF(Table5[PID],A210)</f>
        <v>1</v>
      </c>
      <c r="C210" s="50" t="str">
        <f>IF(COUNTIF(Table3[[#All],[PID]],A210)&gt;0,"P","B")</f>
        <v>P</v>
      </c>
      <c r="D210" s="59" t="str">
        <f>IF($C210="B",INDEX(Batters[[#All],[POS]],MATCH(Table5[[#This Row],[PID]],Batters[[#All],[PID]],0)),INDEX(Table3[[#All],[POS]],MATCH(Table5[[#This Row],[PID]],Table3[[#All],[PID]],0)))</f>
        <v>RP</v>
      </c>
      <c r="E210" s="52" t="str">
        <f>IF($C210="B",INDEX(Batters[[#All],[First]],MATCH(Table5[[#This Row],[PID]],Batters[[#All],[PID]],0)),INDEX(Table3[[#All],[First]],MATCH(Table5[[#This Row],[PID]],Table3[[#All],[PID]],0)))</f>
        <v>Curt</v>
      </c>
      <c r="F210" s="50" t="str">
        <f>IF($C210="B",INDEX(Batters[[#All],[Last]],MATCH(A210,Batters[[#All],[PID]],0)),INDEX(Table3[[#All],[Last]],MATCH(A210,Table3[[#All],[PID]],0)))</f>
        <v>McKinley</v>
      </c>
      <c r="G210" s="56">
        <f>IF($C210="B",INDEX(Batters[[#All],[Age]],MATCH(Table5[[#This Row],[PID]],Batters[[#All],[PID]],0)),INDEX(Table3[[#All],[Age]],MATCH(Table5[[#This Row],[PID]],Table3[[#All],[PID]],0)))</f>
        <v>21</v>
      </c>
      <c r="H210" s="52" t="str">
        <f>IF($C210="B",INDEX(Batters[[#All],[B]],MATCH(Table5[[#This Row],[PID]],Batters[[#All],[PID]],0)),INDEX(Table3[[#All],[B]],MATCH(Table5[[#This Row],[PID]],Table3[[#All],[PID]],0)))</f>
        <v>R</v>
      </c>
      <c r="I210" s="52" t="str">
        <f>IF($C210="B",INDEX(Batters[[#All],[T]],MATCH(Table5[[#This Row],[PID]],Batters[[#All],[PID]],0)),INDEX(Table3[[#All],[T]],MATCH(Table5[[#This Row],[PID]],Table3[[#All],[PID]],0)))</f>
        <v>R</v>
      </c>
      <c r="J210" s="52" t="str">
        <f>IF($C210="B",INDEX(Batters[[#All],[WE]],MATCH(Table5[[#This Row],[PID]],Batters[[#All],[PID]],0)),INDEX(Table3[[#All],[WE]],MATCH(Table5[[#This Row],[PID]],Table3[[#All],[PID]],0)))</f>
        <v>Normal</v>
      </c>
      <c r="K210" s="52" t="str">
        <f>IF($C210="B",INDEX(Batters[[#All],[INT]],MATCH(Table5[[#This Row],[PID]],Batters[[#All],[PID]],0)),INDEX(Table3[[#All],[INT]],MATCH(Table5[[#This Row],[PID]],Table3[[#All],[PID]],0)))</f>
        <v>Normal</v>
      </c>
      <c r="L210" s="60">
        <f>IF($C210="B",INDEX(Batters[[#All],[CON P]],MATCH(Table5[[#This Row],[PID]],Batters[[#All],[PID]],0)),INDEX(Table3[[#All],[STU P]],MATCH(Table5[[#This Row],[PID]],Table3[[#All],[PID]],0)))</f>
        <v>8</v>
      </c>
      <c r="M210" s="56">
        <f>IF($C210="B",INDEX(Batters[[#All],[GAP P]],MATCH(Table5[[#This Row],[PID]],Batters[[#All],[PID]],0)),INDEX(Table3[[#All],[MOV P]],MATCH(Table5[[#This Row],[PID]],Table3[[#All],[PID]],0)))</f>
        <v>3</v>
      </c>
      <c r="N210" s="56">
        <f>IF($C210="B",INDEX(Batters[[#All],[POW P]],MATCH(Table5[[#This Row],[PID]],Batters[[#All],[PID]],0)),INDEX(Table3[[#All],[CON P]],MATCH(Table5[[#This Row],[PID]],Table3[[#All],[PID]],0)))</f>
        <v>4</v>
      </c>
      <c r="O210" s="56" t="str">
        <f>IF($C210="B",INDEX(Batters[[#All],[EYE P]],MATCH(Table5[[#This Row],[PID]],Batters[[#All],[PID]],0)),INDEX(Table3[[#All],[VELO]],MATCH(Table5[[#This Row],[PID]],Table3[[#All],[PID]],0)))</f>
        <v>95-97 Mph</v>
      </c>
      <c r="P210" s="56">
        <f>IF($C210="B",INDEX(Batters[[#All],[K P]],MATCH(Table5[[#This Row],[PID]],Batters[[#All],[PID]],0)),INDEX(Table3[[#All],[STM]],MATCH(Table5[[#This Row],[PID]],Table3[[#All],[PID]],0)))</f>
        <v>5</v>
      </c>
      <c r="Q210" s="61">
        <f>IF($C210="B",INDEX(Batters[[#All],[Tot]],MATCH(Table5[[#This Row],[PID]],Batters[[#All],[PID]],0)),INDEX(Table3[[#All],[Tot]],MATCH(Table5[[#This Row],[PID]],Table3[[#All],[PID]],0)))</f>
        <v>47.789818784211718</v>
      </c>
      <c r="R210" s="52">
        <f>IF($C210="B",INDEX(Batters[[#All],[zScore]],MATCH(Table5[[#This Row],[PID]],Batters[[#All],[PID]],0)),INDEX(Table3[[#All],[zScore]],MATCH(Table5[[#This Row],[PID]],Table3[[#All],[PID]],0)))</f>
        <v>0.79297233209612639</v>
      </c>
      <c r="S210" s="58" t="str">
        <f>IF($C210="B",INDEX(Batters[[#All],[DEM]],MATCH(Table5[[#This Row],[PID]],Batters[[#All],[PID]],0)),INDEX(Table3[[#All],[DEM]],MATCH(Table5[[#This Row],[PID]],Table3[[#All],[PID]],0)))</f>
        <v>-</v>
      </c>
      <c r="T210" s="62">
        <f>IF($C210="B",INDEX(Batters[[#All],[Rnk]],MATCH(Table5[[#This Row],[PID]],Batters[[#All],[PID]],0)),INDEX(Table3[[#All],[Rnk]],MATCH(Table5[[#This Row],[PID]],Table3[[#All],[PID]],0)))</f>
        <v>172</v>
      </c>
      <c r="U210" s="68">
        <f>IF($C210="B",VLOOKUP($A210,Bat!$A$4:$BA$1621,47,FALSE),VLOOKUP($A210,Pit!$A$4:$BF$1557,56,FALSE))</f>
        <v>0</v>
      </c>
      <c r="V210" s="50">
        <f>IF($C210="B",VLOOKUP($A210,Bat!$A$4:$BA$1621,48,FALSE),VLOOKUP($A210,Pit!$A$4:$BF$1557,57,FALSE))</f>
        <v>0</v>
      </c>
      <c r="W210" s="50">
        <f>Table5[[#This Row],[posRnk]]+Table5[[#This Row],[zRnk]]+IF($W$3&lt;&gt;Table5[[#This Row],[Type]],50,0)</f>
        <v>509</v>
      </c>
      <c r="X210" s="51">
        <f>RANK(Table5[[#This Row],[zScore]],Table5[[#All],[zScore]])</f>
        <v>287</v>
      </c>
      <c r="Y210" s="50">
        <f>IFERROR(INDEX(DraftResults[[#All],[OVR]],MATCH(Table5[[#This Row],[PID]],DraftResults[[#All],[Player ID]],0)),"")</f>
        <v>206</v>
      </c>
      <c r="Z2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0" s="50">
        <f>IFERROR(INDEX(DraftResults[[#All],[Pick in Round]],MATCH(Table5[[#This Row],[PID]],DraftResults[[#All],[Player ID]],0)),"")</f>
        <v>18</v>
      </c>
      <c r="AB210" s="50" t="str">
        <f>IFERROR(INDEX(DraftResults[[#All],[Team Name]],MATCH(Table5[[#This Row],[PID]],DraftResults[[#All],[Player ID]],0)),"")</f>
        <v>Bakersfield Bears</v>
      </c>
      <c r="AC210" s="50">
        <f>IF(Table5[[#This Row],[Ovr]]="","",IF(Table5[[#This Row],[cmbList]]="","",Table5[[#This Row],[cmbList]]-Table5[[#This Row],[Ovr]]))</f>
        <v>303</v>
      </c>
      <c r="AD210" s="54" t="str">
        <f>IF(ISERROR(VLOOKUP($AB210&amp;"-"&amp;$E210&amp;" "&amp;F210,Bonuses!$B$1:$G$1006,4,FALSE)),"",INT(VLOOKUP($AB210&amp;"-"&amp;$E210&amp;" "&amp;$F210,Bonuses!$B$1:$G$1006,4,FALSE)))</f>
        <v/>
      </c>
      <c r="AE2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7.18 (206) - RP Curt McKinley</v>
      </c>
    </row>
    <row r="211" spans="1:31" s="50" customFormat="1" x14ac:dyDescent="0.25">
      <c r="A211" s="50">
        <v>21082</v>
      </c>
      <c r="B211" s="50">
        <f>COUNTIF(Table5[PID],A211)</f>
        <v>1</v>
      </c>
      <c r="C211" s="50" t="str">
        <f>IF(COUNTIF(Table3[[#All],[PID]],A211)&gt;0,"P","B")</f>
        <v>P</v>
      </c>
      <c r="D211" s="59" t="str">
        <f>IF($C211="B",INDEX(Batters[[#All],[POS]],MATCH(Table5[[#This Row],[PID]],Batters[[#All],[PID]],0)),INDEX(Table3[[#All],[POS]],MATCH(Table5[[#This Row],[PID]],Table3[[#All],[PID]],0)))</f>
        <v>CL</v>
      </c>
      <c r="E211" s="52" t="str">
        <f>IF($C211="B",INDEX(Batters[[#All],[First]],MATCH(Table5[[#This Row],[PID]],Batters[[#All],[PID]],0)),INDEX(Table3[[#All],[First]],MATCH(Table5[[#This Row],[PID]],Table3[[#All],[PID]],0)))</f>
        <v>Alex</v>
      </c>
      <c r="F211" s="50" t="str">
        <f>IF($C211="B",INDEX(Batters[[#All],[Last]],MATCH(A211,Batters[[#All],[PID]],0)),INDEX(Table3[[#All],[Last]],MATCH(A211,Table3[[#All],[PID]],0)))</f>
        <v>Tuttle</v>
      </c>
      <c r="G211" s="56">
        <f>IF($C211="B",INDEX(Batters[[#All],[Age]],MATCH(Table5[[#This Row],[PID]],Batters[[#All],[PID]],0)),INDEX(Table3[[#All],[Age]],MATCH(Table5[[#This Row],[PID]],Table3[[#All],[PID]],0)))</f>
        <v>16</v>
      </c>
      <c r="H211" s="52" t="str">
        <f>IF($C211="B",INDEX(Batters[[#All],[B]],MATCH(Table5[[#This Row],[PID]],Batters[[#All],[PID]],0)),INDEX(Table3[[#All],[B]],MATCH(Table5[[#This Row],[PID]],Table3[[#All],[PID]],0)))</f>
        <v>R</v>
      </c>
      <c r="I211" s="52" t="str">
        <f>IF($C211="B",INDEX(Batters[[#All],[T]],MATCH(Table5[[#This Row],[PID]],Batters[[#All],[PID]],0)),INDEX(Table3[[#All],[T]],MATCH(Table5[[#This Row],[PID]],Table3[[#All],[PID]],0)))</f>
        <v>R</v>
      </c>
      <c r="J211" s="52" t="str">
        <f>IF($C211="B",INDEX(Batters[[#All],[WE]],MATCH(Table5[[#This Row],[PID]],Batters[[#All],[PID]],0)),INDEX(Table3[[#All],[WE]],MATCH(Table5[[#This Row],[PID]],Table3[[#All],[PID]],0)))</f>
        <v>Normal</v>
      </c>
      <c r="K211" s="52" t="str">
        <f>IF($C211="B",INDEX(Batters[[#All],[INT]],MATCH(Table5[[#This Row],[PID]],Batters[[#All],[PID]],0)),INDEX(Table3[[#All],[INT]],MATCH(Table5[[#This Row],[PID]],Table3[[#All],[PID]],0)))</f>
        <v>Normal</v>
      </c>
      <c r="L211" s="60">
        <f>IF($C211="B",INDEX(Batters[[#All],[CON P]],MATCH(Table5[[#This Row],[PID]],Batters[[#All],[PID]],0)),INDEX(Table3[[#All],[STU P]],MATCH(Table5[[#This Row],[PID]],Table3[[#All],[PID]],0)))</f>
        <v>5</v>
      </c>
      <c r="M211" s="56">
        <f>IF($C211="B",INDEX(Batters[[#All],[GAP P]],MATCH(Table5[[#This Row],[PID]],Batters[[#All],[PID]],0)),INDEX(Table3[[#All],[MOV P]],MATCH(Table5[[#This Row],[PID]],Table3[[#All],[PID]],0)))</f>
        <v>4</v>
      </c>
      <c r="N211" s="56">
        <f>IF($C211="B",INDEX(Batters[[#All],[POW P]],MATCH(Table5[[#This Row],[PID]],Batters[[#All],[PID]],0)),INDEX(Table3[[#All],[CON P]],MATCH(Table5[[#This Row],[PID]],Table3[[#All],[PID]],0)))</f>
        <v>6</v>
      </c>
      <c r="O211" s="56" t="str">
        <f>IF($C211="B",INDEX(Batters[[#All],[EYE P]],MATCH(Table5[[#This Row],[PID]],Batters[[#All],[PID]],0)),INDEX(Table3[[#All],[VELO]],MATCH(Table5[[#This Row],[PID]],Table3[[#All],[PID]],0)))</f>
        <v>86-88 Mph</v>
      </c>
      <c r="P211" s="56">
        <f>IF($C211="B",INDEX(Batters[[#All],[K P]],MATCH(Table5[[#This Row],[PID]],Batters[[#All],[PID]],0)),INDEX(Table3[[#All],[STM]],MATCH(Table5[[#This Row],[PID]],Table3[[#All],[PID]],0)))</f>
        <v>6</v>
      </c>
      <c r="Q211" s="61">
        <f>IF($C211="B",INDEX(Batters[[#All],[Tot]],MATCH(Table5[[#This Row],[PID]],Batters[[#All],[PID]],0)),INDEX(Table3[[#All],[Tot]],MATCH(Table5[[#This Row],[PID]],Table3[[#All],[PID]],0)))</f>
        <v>61.148395915127246</v>
      </c>
      <c r="R211" s="52">
        <f>IF($C211="B",INDEX(Batters[[#All],[zScore]],MATCH(Table5[[#This Row],[PID]],Batters[[#All],[PID]],0)),INDEX(Table3[[#All],[zScore]],MATCH(Table5[[#This Row],[PID]],Table3[[#All],[PID]],0)))</f>
        <v>1.6816980552561043</v>
      </c>
      <c r="S211" s="58" t="str">
        <f>IF($C211="B",INDEX(Batters[[#All],[DEM]],MATCH(Table5[[#This Row],[PID]],Batters[[#All],[PID]],0)),INDEX(Table3[[#All],[DEM]],MATCH(Table5[[#This Row],[PID]],Table3[[#All],[PID]],0)))</f>
        <v>$65k</v>
      </c>
      <c r="T211" s="62">
        <f>IF($C211="B",INDEX(Batters[[#All],[Rnk]],MATCH(Table5[[#This Row],[PID]],Batters[[#All],[PID]],0)),INDEX(Table3[[#All],[Rnk]],MATCH(Table5[[#This Row],[PID]],Table3[[#All],[PID]],0)))</f>
        <v>57</v>
      </c>
      <c r="U211" s="68">
        <f>IF($C211="B",VLOOKUP($A211,Bat!$A$4:$BA$1621,47,FALSE),VLOOKUP($A211,Pit!$A$4:$BF$1557,56,FALSE))</f>
        <v>0</v>
      </c>
      <c r="V211" s="50">
        <f>IF($C211="B",VLOOKUP($A211,Bat!$A$4:$BA$1621,48,FALSE),VLOOKUP($A211,Pit!$A$4:$BF$1557,57,FALSE))</f>
        <v>0</v>
      </c>
      <c r="W211" s="50">
        <f>Table5[[#This Row],[posRnk]]+Table5[[#This Row],[zRnk]]+IF($W$3&lt;&gt;Table5[[#This Row],[Type]],50,0)</f>
        <v>196</v>
      </c>
      <c r="X211" s="51">
        <f>RANK(Table5[[#This Row],[zScore]],Table5[[#All],[zScore]])</f>
        <v>89</v>
      </c>
      <c r="Y211" s="50">
        <f>IFERROR(INDEX(DraftResults[[#All],[OVR]],MATCH(Table5[[#This Row],[PID]],DraftResults[[#All],[Player ID]],0)),"")</f>
        <v>207</v>
      </c>
      <c r="Z2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1" s="50">
        <f>IFERROR(INDEX(DraftResults[[#All],[Pick in Round]],MATCH(Table5[[#This Row],[PID]],DraftResults[[#All],[Player ID]],0)),"")</f>
        <v>19</v>
      </c>
      <c r="AB211" s="50" t="str">
        <f>IFERROR(INDEX(DraftResults[[#All],[Team Name]],MATCH(Table5[[#This Row],[PID]],DraftResults[[#All],[Player ID]],0)),"")</f>
        <v>Kalamazoo Badgers</v>
      </c>
      <c r="AC211" s="50">
        <f>IF(Table5[[#This Row],[Ovr]]="","",IF(Table5[[#This Row],[cmbList]]="","",Table5[[#This Row],[cmbList]]-Table5[[#This Row],[Ovr]]))</f>
        <v>-11</v>
      </c>
      <c r="AD211" s="54" t="str">
        <f>IF(ISERROR(VLOOKUP($AB211&amp;"-"&amp;$E211&amp;" "&amp;F211,Bonuses!$B$1:$G$1006,4,FALSE)),"",INT(VLOOKUP($AB211&amp;"-"&amp;$E211&amp;" "&amp;$F211,Bonuses!$B$1:$G$1006,4,FALSE)))</f>
        <v/>
      </c>
      <c r="AE2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7.19 (207) - CL Alex Tuttle</v>
      </c>
    </row>
    <row r="212" spans="1:31" s="50" customFormat="1" x14ac:dyDescent="0.25">
      <c r="A212" s="68">
        <v>18430</v>
      </c>
      <c r="B212" s="69">
        <f>COUNTIF(Table5[PID],A212)</f>
        <v>1</v>
      </c>
      <c r="C212" s="69" t="str">
        <f>IF(COUNTIF(Table3[[#All],[PID]],A212)&gt;0,"P","B")</f>
        <v>P</v>
      </c>
      <c r="D212" s="59" t="str">
        <f>IF($C212="B",INDEX(Batters[[#All],[POS]],MATCH(Table5[[#This Row],[PID]],Batters[[#All],[PID]],0)),INDEX(Table3[[#All],[POS]],MATCH(Table5[[#This Row],[PID]],Table3[[#All],[PID]],0)))</f>
        <v>SP</v>
      </c>
      <c r="E212" s="52" t="str">
        <f>IF($C212="B",INDEX(Batters[[#All],[First]],MATCH(Table5[[#This Row],[PID]],Batters[[#All],[PID]],0)),INDEX(Table3[[#All],[First]],MATCH(Table5[[#This Row],[PID]],Table3[[#All],[PID]],0)))</f>
        <v>Masujiro</v>
      </c>
      <c r="F212" s="55" t="str">
        <f>IF($C212="B",INDEX(Batters[[#All],[Last]],MATCH(A212,Batters[[#All],[PID]],0)),INDEX(Table3[[#All],[Last]],MATCH(A212,Table3[[#All],[PID]],0)))</f>
        <v>Ohayashi</v>
      </c>
      <c r="G212" s="56">
        <f>IF($C212="B",INDEX(Batters[[#All],[Age]],MATCH(Table5[[#This Row],[PID]],Batters[[#All],[PID]],0)),INDEX(Table3[[#All],[Age]],MATCH(Table5[[#This Row],[PID]],Table3[[#All],[PID]],0)))</f>
        <v>18</v>
      </c>
      <c r="H212" s="52" t="str">
        <f>IF($C212="B",INDEX(Batters[[#All],[B]],MATCH(Table5[[#This Row],[PID]],Batters[[#All],[PID]],0)),INDEX(Table3[[#All],[B]],MATCH(Table5[[#This Row],[PID]],Table3[[#All],[PID]],0)))</f>
        <v>R</v>
      </c>
      <c r="I212" s="52" t="str">
        <f>IF($C212="B",INDEX(Batters[[#All],[T]],MATCH(Table5[[#This Row],[PID]],Batters[[#All],[PID]],0)),INDEX(Table3[[#All],[T]],MATCH(Table5[[#This Row],[PID]],Table3[[#All],[PID]],0)))</f>
        <v>R</v>
      </c>
      <c r="J212" s="71" t="str">
        <f>IF($C212="B",INDEX(Batters[[#All],[WE]],MATCH(Table5[[#This Row],[PID]],Batters[[#All],[PID]],0)),INDEX(Table3[[#All],[WE]],MATCH(Table5[[#This Row],[PID]],Table3[[#All],[PID]],0)))</f>
        <v>Low</v>
      </c>
      <c r="K212" s="52" t="str">
        <f>IF($C212="B",INDEX(Batters[[#All],[INT]],MATCH(Table5[[#This Row],[PID]],Batters[[#All],[PID]],0)),INDEX(Table3[[#All],[INT]],MATCH(Table5[[#This Row],[PID]],Table3[[#All],[PID]],0)))</f>
        <v>Normal</v>
      </c>
      <c r="L212" s="60">
        <f>IF($C212="B",INDEX(Batters[[#All],[CON P]],MATCH(Table5[[#This Row],[PID]],Batters[[#All],[PID]],0)),INDEX(Table3[[#All],[STU P]],MATCH(Table5[[#This Row],[PID]],Table3[[#All],[PID]],0)))</f>
        <v>5</v>
      </c>
      <c r="M212" s="72">
        <f>IF($C212="B",INDEX(Batters[[#All],[GAP P]],MATCH(Table5[[#This Row],[PID]],Batters[[#All],[PID]],0)),INDEX(Table3[[#All],[MOV P]],MATCH(Table5[[#This Row],[PID]],Table3[[#All],[PID]],0)))</f>
        <v>4</v>
      </c>
      <c r="N212" s="72">
        <f>IF($C212="B",INDEX(Batters[[#All],[POW P]],MATCH(Table5[[#This Row],[PID]],Batters[[#All],[PID]],0)),INDEX(Table3[[#All],[CON P]],MATCH(Table5[[#This Row],[PID]],Table3[[#All],[PID]],0)))</f>
        <v>5</v>
      </c>
      <c r="O212" s="72" t="str">
        <f>IF($C212="B",INDEX(Batters[[#All],[EYE P]],MATCH(Table5[[#This Row],[PID]],Batters[[#All],[PID]],0)),INDEX(Table3[[#All],[VELO]],MATCH(Table5[[#This Row],[PID]],Table3[[#All],[PID]],0)))</f>
        <v>95-97 Mph</v>
      </c>
      <c r="P212" s="56">
        <f>IF($C212="B",INDEX(Batters[[#All],[K P]],MATCH(Table5[[#This Row],[PID]],Batters[[#All],[PID]],0)),INDEX(Table3[[#All],[STM]],MATCH(Table5[[#This Row],[PID]],Table3[[#All],[PID]],0)))</f>
        <v>4</v>
      </c>
      <c r="Q212" s="61">
        <f>IF($C212="B",INDEX(Batters[[#All],[Tot]],MATCH(Table5[[#This Row],[PID]],Batters[[#All],[PID]],0)),INDEX(Table3[[#All],[Tot]],MATCH(Table5[[#This Row],[PID]],Table3[[#All],[PID]],0)))</f>
        <v>56.0872482191605</v>
      </c>
      <c r="R212" s="52">
        <f>IF($C212="B",INDEX(Batters[[#All],[zScore]],MATCH(Table5[[#This Row],[PID]],Batters[[#All],[PID]],0)),INDEX(Table3[[#All],[zScore]],MATCH(Table5[[#This Row],[PID]],Table3[[#All],[PID]],0)))</f>
        <v>1.3449876330279824</v>
      </c>
      <c r="S212" s="78" t="str">
        <f>IF($C212="B",INDEX(Batters[[#All],[DEM]],MATCH(Table5[[#This Row],[PID]],Batters[[#All],[PID]],0)),INDEX(Table3[[#All],[DEM]],MATCH(Table5[[#This Row],[PID]],Table3[[#All],[PID]],0)))</f>
        <v>$200k</v>
      </c>
      <c r="T212" s="75">
        <f>IF($C212="B",INDEX(Batters[[#All],[Rnk]],MATCH(Table5[[#This Row],[PID]],Batters[[#All],[PID]],0)),INDEX(Table3[[#All],[Rnk]],MATCH(Table5[[#This Row],[PID]],Table3[[#All],[PID]],0)))</f>
        <v>93</v>
      </c>
      <c r="U212" s="68">
        <f>IF($C212="B",VLOOKUP($A212,Bat!$A$4:$BA$1621,47,FALSE),VLOOKUP($A212,Pit!$A$4:$BF$1557,56,FALSE))</f>
        <v>0</v>
      </c>
      <c r="V212" s="50">
        <f>IF($C212="B",VLOOKUP($A212,Bat!$A$4:$BA$1621,48,FALSE),VLOOKUP($A212,Pit!$A$4:$BF$1557,57,FALSE))</f>
        <v>0</v>
      </c>
      <c r="W212" s="69">
        <f>Table5[[#This Row],[posRnk]]+Table5[[#This Row],[zRnk]]+IF($W$3&lt;&gt;Table5[[#This Row],[Type]],50,0)</f>
        <v>291</v>
      </c>
      <c r="X212" s="73">
        <f>RANK(Table5[[#This Row],[zScore]],Table5[[#All],[zScore]])</f>
        <v>148</v>
      </c>
      <c r="Y212" s="69">
        <f>IFERROR(INDEX(DraftResults[[#All],[OVR]],MATCH(Table5[[#This Row],[PID]],DraftResults[[#All],[Player ID]],0)),"")</f>
        <v>208</v>
      </c>
      <c r="Z21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2" s="69">
        <f>IFERROR(INDEX(DraftResults[[#All],[Pick in Round]],MATCH(Table5[[#This Row],[PID]],DraftResults[[#All],[Player ID]],0)),"")</f>
        <v>20</v>
      </c>
      <c r="AB212" s="69" t="str">
        <f>IFERROR(INDEX(DraftResults[[#All],[Team Name]],MATCH(Table5[[#This Row],[PID]],DraftResults[[#All],[Player ID]],0)),"")</f>
        <v>Amsterdam Lions</v>
      </c>
      <c r="AC212" s="69">
        <f>IF(Table5[[#This Row],[Ovr]]="","",IF(Table5[[#This Row],[cmbList]]="","",Table5[[#This Row],[cmbList]]-Table5[[#This Row],[Ovr]]))</f>
        <v>83</v>
      </c>
      <c r="AD212" s="77" t="str">
        <f>IF(ISERROR(VLOOKUP($AB212&amp;"-"&amp;$E212&amp;" "&amp;F212,Bonuses!$B$1:$G$1006,4,FALSE)),"",INT(VLOOKUP($AB212&amp;"-"&amp;$E212&amp;" "&amp;$F212,Bonuses!$B$1:$G$1006,4,FALSE)))</f>
        <v/>
      </c>
      <c r="AE21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7.20 (208) - SP Masujiro Ohayashi</v>
      </c>
    </row>
    <row r="213" spans="1:31" s="50" customFormat="1" x14ac:dyDescent="0.25">
      <c r="A213" s="50">
        <v>18211</v>
      </c>
      <c r="B213" s="50">
        <f>COUNTIF(Table5[PID],A213)</f>
        <v>1</v>
      </c>
      <c r="C213" s="50" t="str">
        <f>IF(COUNTIF(Table3[[#All],[PID]],A213)&gt;0,"P","B")</f>
        <v>P</v>
      </c>
      <c r="D213" s="59" t="str">
        <f>IF($C213="B",INDEX(Batters[[#All],[POS]],MATCH(Table5[[#This Row],[PID]],Batters[[#All],[PID]],0)),INDEX(Table3[[#All],[POS]],MATCH(Table5[[#This Row],[PID]],Table3[[#All],[PID]],0)))</f>
        <v>RP</v>
      </c>
      <c r="E213" s="52" t="str">
        <f>IF($C213="B",INDEX(Batters[[#All],[First]],MATCH(Table5[[#This Row],[PID]],Batters[[#All],[PID]],0)),INDEX(Table3[[#All],[First]],MATCH(Table5[[#This Row],[PID]],Table3[[#All],[PID]],0)))</f>
        <v>Rick</v>
      </c>
      <c r="F213" s="50" t="str">
        <f>IF($C213="B",INDEX(Batters[[#All],[Last]],MATCH(A213,Batters[[#All],[PID]],0)),INDEX(Table3[[#All],[Last]],MATCH(A213,Table3[[#All],[PID]],0)))</f>
        <v>Lewis</v>
      </c>
      <c r="G213" s="56">
        <f>IF($C213="B",INDEX(Batters[[#All],[Age]],MATCH(Table5[[#This Row],[PID]],Batters[[#All],[PID]],0)),INDEX(Table3[[#All],[Age]],MATCH(Table5[[#This Row],[PID]],Table3[[#All],[PID]],0)))</f>
        <v>18</v>
      </c>
      <c r="H213" s="52" t="str">
        <f>IF($C213="B",INDEX(Batters[[#All],[B]],MATCH(Table5[[#This Row],[PID]],Batters[[#All],[PID]],0)),INDEX(Table3[[#All],[B]],MATCH(Table5[[#This Row],[PID]],Table3[[#All],[PID]],0)))</f>
        <v>L</v>
      </c>
      <c r="I213" s="52" t="str">
        <f>IF($C213="B",INDEX(Batters[[#All],[T]],MATCH(Table5[[#This Row],[PID]],Batters[[#All],[PID]],0)),INDEX(Table3[[#All],[T]],MATCH(Table5[[#This Row],[PID]],Table3[[#All],[PID]],0)))</f>
        <v>L</v>
      </c>
      <c r="J213" s="52" t="str">
        <f>IF($C213="B",INDEX(Batters[[#All],[WE]],MATCH(Table5[[#This Row],[PID]],Batters[[#All],[PID]],0)),INDEX(Table3[[#All],[WE]],MATCH(Table5[[#This Row],[PID]],Table3[[#All],[PID]],0)))</f>
        <v>High</v>
      </c>
      <c r="K213" s="52" t="str">
        <f>IF($C213="B",INDEX(Batters[[#All],[INT]],MATCH(Table5[[#This Row],[PID]],Batters[[#All],[PID]],0)),INDEX(Table3[[#All],[INT]],MATCH(Table5[[#This Row],[PID]],Table3[[#All],[PID]],0)))</f>
        <v>Normal</v>
      </c>
      <c r="L213" s="60">
        <f>IF($C213="B",INDEX(Batters[[#All],[CON P]],MATCH(Table5[[#This Row],[PID]],Batters[[#All],[PID]],0)),INDEX(Table3[[#All],[STU P]],MATCH(Table5[[#This Row],[PID]],Table3[[#All],[PID]],0)))</f>
        <v>6</v>
      </c>
      <c r="M213" s="56">
        <f>IF($C213="B",INDEX(Batters[[#All],[GAP P]],MATCH(Table5[[#This Row],[PID]],Batters[[#All],[PID]],0)),INDEX(Table3[[#All],[MOV P]],MATCH(Table5[[#This Row],[PID]],Table3[[#All],[PID]],0)))</f>
        <v>3</v>
      </c>
      <c r="N213" s="56">
        <f>IF($C213="B",INDEX(Batters[[#All],[POW P]],MATCH(Table5[[#This Row],[PID]],Batters[[#All],[PID]],0)),INDEX(Table3[[#All],[CON P]],MATCH(Table5[[#This Row],[PID]],Table3[[#All],[PID]],0)))</f>
        <v>6</v>
      </c>
      <c r="O213" s="56" t="str">
        <f>IF($C213="B",INDEX(Batters[[#All],[EYE P]],MATCH(Table5[[#This Row],[PID]],Batters[[#All],[PID]],0)),INDEX(Table3[[#All],[VELO]],MATCH(Table5[[#This Row],[PID]],Table3[[#All],[PID]],0)))</f>
        <v>92-94 Mph</v>
      </c>
      <c r="P213" s="56">
        <f>IF($C213="B",INDEX(Batters[[#All],[K P]],MATCH(Table5[[#This Row],[PID]],Batters[[#All],[PID]],0)),INDEX(Table3[[#All],[STM]],MATCH(Table5[[#This Row],[PID]],Table3[[#All],[PID]],0)))</f>
        <v>6</v>
      </c>
      <c r="Q213" s="61">
        <f>IF($C213="B",INDEX(Batters[[#All],[Tot]],MATCH(Table5[[#This Row],[PID]],Batters[[#All],[PID]],0)),INDEX(Table3[[#All],[Tot]],MATCH(Table5[[#This Row],[PID]],Table3[[#All],[PID]],0)))</f>
        <v>62.035238346657096</v>
      </c>
      <c r="R213" s="52">
        <f>IF($C213="B",INDEX(Batters[[#All],[zScore]],MATCH(Table5[[#This Row],[PID]],Batters[[#All],[PID]],0)),INDEX(Table3[[#All],[zScore]],MATCH(Table5[[#This Row],[PID]],Table3[[#All],[PID]],0)))</f>
        <v>1.7406983270340242</v>
      </c>
      <c r="S213" s="58" t="str">
        <f>IF($C213="B",INDEX(Batters[[#All],[DEM]],MATCH(Table5[[#This Row],[PID]],Batters[[#All],[PID]],0)),INDEX(Table3[[#All],[DEM]],MATCH(Table5[[#This Row],[PID]],Table3[[#All],[PID]],0)))</f>
        <v>$65k</v>
      </c>
      <c r="T213" s="62">
        <f>IF($C213="B",INDEX(Batters[[#All],[Rnk]],MATCH(Table5[[#This Row],[PID]],Batters[[#All],[PID]],0)),INDEX(Table3[[#All],[Rnk]],MATCH(Table5[[#This Row],[PID]],Table3[[#All],[PID]],0)))</f>
        <v>49</v>
      </c>
      <c r="U213" s="68">
        <f>IF($C213="B",VLOOKUP($A213,Bat!$A$4:$BA$1621,47,FALSE),VLOOKUP($A213,Pit!$A$4:$BF$1557,56,FALSE))</f>
        <v>0</v>
      </c>
      <c r="V213" s="50">
        <f>IF($C213="B",VLOOKUP($A213,Bat!$A$4:$BA$1621,48,FALSE),VLOOKUP($A213,Pit!$A$4:$BF$1557,57,FALSE))</f>
        <v>0</v>
      </c>
      <c r="W213" s="50">
        <f>Table5[[#This Row],[posRnk]]+Table5[[#This Row],[zRnk]]+IF($W$3&lt;&gt;Table5[[#This Row],[Type]],50,0)</f>
        <v>175</v>
      </c>
      <c r="X213" s="51">
        <f>RANK(Table5[[#This Row],[zScore]],Table5[[#All],[zScore]])</f>
        <v>76</v>
      </c>
      <c r="Y213" s="50">
        <f>IFERROR(INDEX(DraftResults[[#All],[OVR]],MATCH(Table5[[#This Row],[PID]],DraftResults[[#All],[Player ID]],0)),"")</f>
        <v>209</v>
      </c>
      <c r="Z2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3" s="50">
        <f>IFERROR(INDEX(DraftResults[[#All],[Pick in Round]],MATCH(Table5[[#This Row],[PID]],DraftResults[[#All],[Player ID]],0)),"")</f>
        <v>21</v>
      </c>
      <c r="AB213" s="50" t="str">
        <f>IFERROR(INDEX(DraftResults[[#All],[Team Name]],MATCH(Table5[[#This Row],[PID]],DraftResults[[#All],[Player ID]],0)),"")</f>
        <v>Crystal Lake Sandgnats</v>
      </c>
      <c r="AC213" s="50">
        <f>IF(Table5[[#This Row],[Ovr]]="","",IF(Table5[[#This Row],[cmbList]]="","",Table5[[#This Row],[cmbList]]-Table5[[#This Row],[Ovr]]))</f>
        <v>-34</v>
      </c>
      <c r="AD213" s="54" t="str">
        <f>IF(ISERROR(VLOOKUP($AB213&amp;"-"&amp;$E213&amp;" "&amp;F213,Bonuses!$B$1:$G$1006,4,FALSE)),"",INT(VLOOKUP($AB213&amp;"-"&amp;$E213&amp;" "&amp;$F213,Bonuses!$B$1:$G$1006,4,FALSE)))</f>
        <v/>
      </c>
      <c r="AE2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7.21 (209) - RP Rick Lewis</v>
      </c>
    </row>
    <row r="214" spans="1:31" s="50" customFormat="1" x14ac:dyDescent="0.25">
      <c r="A214" s="50">
        <v>20253</v>
      </c>
      <c r="B214" s="50">
        <f>COUNTIF(Table5[PID],A214)</f>
        <v>1</v>
      </c>
      <c r="C214" s="50" t="str">
        <f>IF(COUNTIF(Table3[[#All],[PID]],A214)&gt;0,"P","B")</f>
        <v>B</v>
      </c>
      <c r="D214" s="59" t="str">
        <f>IF($C214="B",INDEX(Batters[[#All],[POS]],MATCH(Table5[[#This Row],[PID]],Batters[[#All],[PID]],0)),INDEX(Table3[[#All],[POS]],MATCH(Table5[[#This Row],[PID]],Table3[[#All],[PID]],0)))</f>
        <v>2B</v>
      </c>
      <c r="E214" s="52" t="str">
        <f>IF($C214="B",INDEX(Batters[[#All],[First]],MATCH(Table5[[#This Row],[PID]],Batters[[#All],[PID]],0)),INDEX(Table3[[#All],[First]],MATCH(Table5[[#This Row],[PID]],Table3[[#All],[PID]],0)))</f>
        <v>Dirk</v>
      </c>
      <c r="F214" s="50" t="str">
        <f>IF($C214="B",INDEX(Batters[[#All],[Last]],MATCH(A214,Batters[[#All],[PID]],0)),INDEX(Table3[[#All],[Last]],MATCH(A214,Table3[[#All],[PID]],0)))</f>
        <v>Madore</v>
      </c>
      <c r="G214" s="56">
        <f>IF($C214="B",INDEX(Batters[[#All],[Age]],MATCH(Table5[[#This Row],[PID]],Batters[[#All],[PID]],0)),INDEX(Table3[[#All],[Age]],MATCH(Table5[[#This Row],[PID]],Table3[[#All],[PID]],0)))</f>
        <v>21</v>
      </c>
      <c r="H214" s="52" t="str">
        <f>IF($C214="B",INDEX(Batters[[#All],[B]],MATCH(Table5[[#This Row],[PID]],Batters[[#All],[PID]],0)),INDEX(Table3[[#All],[B]],MATCH(Table5[[#This Row],[PID]],Table3[[#All],[PID]],0)))</f>
        <v>R</v>
      </c>
      <c r="I214" s="52" t="str">
        <f>IF($C214="B",INDEX(Batters[[#All],[T]],MATCH(Table5[[#This Row],[PID]],Batters[[#All],[PID]],0)),INDEX(Table3[[#All],[T]],MATCH(Table5[[#This Row],[PID]],Table3[[#All],[PID]],0)))</f>
        <v>R</v>
      </c>
      <c r="J214" s="52" t="str">
        <f>IF($C214="B",INDEX(Batters[[#All],[WE]],MATCH(Table5[[#This Row],[PID]],Batters[[#All],[PID]],0)),INDEX(Table3[[#All],[WE]],MATCH(Table5[[#This Row],[PID]],Table3[[#All],[PID]],0)))</f>
        <v>Low</v>
      </c>
      <c r="K214" s="52" t="str">
        <f>IF($C214="B",INDEX(Batters[[#All],[INT]],MATCH(Table5[[#This Row],[PID]],Batters[[#All],[PID]],0)),INDEX(Table3[[#All],[INT]],MATCH(Table5[[#This Row],[PID]],Table3[[#All],[PID]],0)))</f>
        <v>Normal</v>
      </c>
      <c r="L214" s="60">
        <f>IF($C214="B",INDEX(Batters[[#All],[CON P]],MATCH(Table5[[#This Row],[PID]],Batters[[#All],[PID]],0)),INDEX(Table3[[#All],[STU P]],MATCH(Table5[[#This Row],[PID]],Table3[[#All],[PID]],0)))</f>
        <v>4</v>
      </c>
      <c r="M214" s="56">
        <f>IF($C214="B",INDEX(Batters[[#All],[GAP P]],MATCH(Table5[[#This Row],[PID]],Batters[[#All],[PID]],0)),INDEX(Table3[[#All],[MOV P]],MATCH(Table5[[#This Row],[PID]],Table3[[#All],[PID]],0)))</f>
        <v>7</v>
      </c>
      <c r="N214" s="56">
        <f>IF($C214="B",INDEX(Batters[[#All],[POW P]],MATCH(Table5[[#This Row],[PID]],Batters[[#All],[PID]],0)),INDEX(Table3[[#All],[CON P]],MATCH(Table5[[#This Row],[PID]],Table3[[#All],[PID]],0)))</f>
        <v>5</v>
      </c>
      <c r="O214" s="56">
        <f>IF($C214="B",INDEX(Batters[[#All],[EYE P]],MATCH(Table5[[#This Row],[PID]],Batters[[#All],[PID]],0)),INDEX(Table3[[#All],[VELO]],MATCH(Table5[[#This Row],[PID]],Table3[[#All],[PID]],0)))</f>
        <v>5</v>
      </c>
      <c r="P214" s="56">
        <f>IF($C214="B",INDEX(Batters[[#All],[K P]],MATCH(Table5[[#This Row],[PID]],Batters[[#All],[PID]],0)),INDEX(Table3[[#All],[STM]],MATCH(Table5[[#This Row],[PID]],Table3[[#All],[PID]],0)))</f>
        <v>4</v>
      </c>
      <c r="Q214" s="61">
        <f>IF($C214="B",INDEX(Batters[[#All],[Tot]],MATCH(Table5[[#This Row],[PID]],Batters[[#All],[PID]],0)),INDEX(Table3[[#All],[Tot]],MATCH(Table5[[#This Row],[PID]],Table3[[#All],[PID]],0)))</f>
        <v>45.367573444276694</v>
      </c>
      <c r="R214" s="52">
        <f>IF($C214="B",INDEX(Batters[[#All],[zScore]],MATCH(Table5[[#This Row],[PID]],Batters[[#All],[PID]],0)),INDEX(Table3[[#All],[zScore]],MATCH(Table5[[#This Row],[PID]],Table3[[#All],[PID]],0)))</f>
        <v>0.27394834841873306</v>
      </c>
      <c r="S214" s="58" t="str">
        <f>IF($C214="B",INDEX(Batters[[#All],[DEM]],MATCH(Table5[[#This Row],[PID]],Batters[[#All],[PID]],0)),INDEX(Table3[[#All],[DEM]],MATCH(Table5[[#This Row],[PID]],Table3[[#All],[PID]],0)))</f>
        <v>$140k</v>
      </c>
      <c r="T214" s="62">
        <f>IF($C214="B",INDEX(Batters[[#All],[Rnk]],MATCH(Table5[[#This Row],[PID]],Batters[[#All],[PID]],0)),INDEX(Table3[[#All],[Rnk]],MATCH(Table5[[#This Row],[PID]],Table3[[#All],[PID]],0)))</f>
        <v>180</v>
      </c>
      <c r="U214" s="68">
        <f>IF($C214="B",VLOOKUP($A214,Bat!$A$4:$BA$1621,47,FALSE),VLOOKUP($A214,Pit!$A$4:$BF$1557,56,FALSE))</f>
        <v>0</v>
      </c>
      <c r="V214" s="50">
        <f>IF($C214="B",VLOOKUP($A214,Bat!$A$4:$BA$1621,48,FALSE),VLOOKUP($A214,Pit!$A$4:$BF$1557,57,FALSE))</f>
        <v>0</v>
      </c>
      <c r="W214" s="50">
        <f>Table5[[#This Row],[posRnk]]+Table5[[#This Row],[zRnk]]+IF($W$3&lt;&gt;Table5[[#This Row],[Type]],50,0)</f>
        <v>655</v>
      </c>
      <c r="X214" s="51">
        <f>RANK(Table5[[#This Row],[zScore]],Table5[[#All],[zScore]])</f>
        <v>425</v>
      </c>
      <c r="Y214" s="50">
        <f>IFERROR(INDEX(DraftResults[[#All],[OVR]],MATCH(Table5[[#This Row],[PID]],DraftResults[[#All],[Player ID]],0)),"")</f>
        <v>210</v>
      </c>
      <c r="Z2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4" s="50">
        <f>IFERROR(INDEX(DraftResults[[#All],[Pick in Round]],MATCH(Table5[[#This Row],[PID]],DraftResults[[#All],[Player ID]],0)),"")</f>
        <v>22</v>
      </c>
      <c r="AB214" s="50" t="str">
        <f>IFERROR(INDEX(DraftResults[[#All],[Team Name]],MATCH(Table5[[#This Row],[PID]],DraftResults[[#All],[Player ID]],0)),"")</f>
        <v>Fargo Dinosaurs</v>
      </c>
      <c r="AC214" s="50">
        <f>IF(Table5[[#This Row],[Ovr]]="","",IF(Table5[[#This Row],[cmbList]]="","",Table5[[#This Row],[cmbList]]-Table5[[#This Row],[Ovr]]))</f>
        <v>445</v>
      </c>
      <c r="AD214" s="54" t="str">
        <f>IF(ISERROR(VLOOKUP($AB214&amp;"-"&amp;$E214&amp;" "&amp;F214,Bonuses!$B$1:$G$1006,4,FALSE)),"",INT(VLOOKUP($AB214&amp;"-"&amp;$E214&amp;" "&amp;$F214,Bonuses!$B$1:$G$1006,4,FALSE)))</f>
        <v/>
      </c>
      <c r="AE2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7.22 (210) - 2B Dirk Madore</v>
      </c>
    </row>
    <row r="215" spans="1:31" s="50" customFormat="1" x14ac:dyDescent="0.25">
      <c r="A215" s="50">
        <v>20217</v>
      </c>
      <c r="B215" s="50">
        <f>COUNTIF(Table5[PID],A215)</f>
        <v>1</v>
      </c>
      <c r="C215" s="50" t="str">
        <f>IF(COUNTIF(Table3[[#All],[PID]],A215)&gt;0,"P","B")</f>
        <v>P</v>
      </c>
      <c r="D215" s="59" t="str">
        <f>IF($C215="B",INDEX(Batters[[#All],[POS]],MATCH(Table5[[#This Row],[PID]],Batters[[#All],[PID]],0)),INDEX(Table3[[#All],[POS]],MATCH(Table5[[#This Row],[PID]],Table3[[#All],[PID]],0)))</f>
        <v>RP</v>
      </c>
      <c r="E215" s="52" t="str">
        <f>IF($C215="B",INDEX(Batters[[#All],[First]],MATCH(Table5[[#This Row],[PID]],Batters[[#All],[PID]],0)),INDEX(Table3[[#All],[First]],MATCH(Table5[[#This Row],[PID]],Table3[[#All],[PID]],0)))</f>
        <v>Steve</v>
      </c>
      <c r="F215" s="50" t="str">
        <f>IF($C215="B",INDEX(Batters[[#All],[Last]],MATCH(A215,Batters[[#All],[PID]],0)),INDEX(Table3[[#All],[Last]],MATCH(A215,Table3[[#All],[PID]],0)))</f>
        <v>Fitzgerald</v>
      </c>
      <c r="G215" s="56">
        <f>IF($C215="B",INDEX(Batters[[#All],[Age]],MATCH(Table5[[#This Row],[PID]],Batters[[#All],[PID]],0)),INDEX(Table3[[#All],[Age]],MATCH(Table5[[#This Row],[PID]],Table3[[#All],[PID]],0)))</f>
        <v>22</v>
      </c>
      <c r="H215" s="52" t="str">
        <f>IF($C215="B",INDEX(Batters[[#All],[B]],MATCH(Table5[[#This Row],[PID]],Batters[[#All],[PID]],0)),INDEX(Table3[[#All],[B]],MATCH(Table5[[#This Row],[PID]],Table3[[#All],[PID]],0)))</f>
        <v>L</v>
      </c>
      <c r="I215" s="52" t="str">
        <f>IF($C215="B",INDEX(Batters[[#All],[T]],MATCH(Table5[[#This Row],[PID]],Batters[[#All],[PID]],0)),INDEX(Table3[[#All],[T]],MATCH(Table5[[#This Row],[PID]],Table3[[#All],[PID]],0)))</f>
        <v>L</v>
      </c>
      <c r="J215" s="52" t="str">
        <f>IF($C215="B",INDEX(Batters[[#All],[WE]],MATCH(Table5[[#This Row],[PID]],Batters[[#All],[PID]],0)),INDEX(Table3[[#All],[WE]],MATCH(Table5[[#This Row],[PID]],Table3[[#All],[PID]],0)))</f>
        <v>Normal</v>
      </c>
      <c r="K215" s="52" t="str">
        <f>IF($C215="B",INDEX(Batters[[#All],[INT]],MATCH(Table5[[#This Row],[PID]],Batters[[#All],[PID]],0)),INDEX(Table3[[#All],[INT]],MATCH(Table5[[#This Row],[PID]],Table3[[#All],[PID]],0)))</f>
        <v>High</v>
      </c>
      <c r="L215" s="60">
        <f>IF($C215="B",INDEX(Batters[[#All],[CON P]],MATCH(Table5[[#This Row],[PID]],Batters[[#All],[PID]],0)),INDEX(Table3[[#All],[STU P]],MATCH(Table5[[#This Row],[PID]],Table3[[#All],[PID]],0)))</f>
        <v>6</v>
      </c>
      <c r="M215" s="56">
        <f>IF($C215="B",INDEX(Batters[[#All],[GAP P]],MATCH(Table5[[#This Row],[PID]],Batters[[#All],[PID]],0)),INDEX(Table3[[#All],[MOV P]],MATCH(Table5[[#This Row],[PID]],Table3[[#All],[PID]],0)))</f>
        <v>4</v>
      </c>
      <c r="N215" s="56">
        <f>IF($C215="B",INDEX(Batters[[#All],[POW P]],MATCH(Table5[[#This Row],[PID]],Batters[[#All],[PID]],0)),INDEX(Table3[[#All],[CON P]],MATCH(Table5[[#This Row],[PID]],Table3[[#All],[PID]],0)))</f>
        <v>5</v>
      </c>
      <c r="O215" s="56" t="str">
        <f>IF($C215="B",INDEX(Batters[[#All],[EYE P]],MATCH(Table5[[#This Row],[PID]],Batters[[#All],[PID]],0)),INDEX(Table3[[#All],[VELO]],MATCH(Table5[[#This Row],[PID]],Table3[[#All],[PID]],0)))</f>
        <v>90-92 Mph</v>
      </c>
      <c r="P215" s="56">
        <f>IF($C215="B",INDEX(Batters[[#All],[K P]],MATCH(Table5[[#This Row],[PID]],Batters[[#All],[PID]],0)),INDEX(Table3[[#All],[STM]],MATCH(Table5[[#This Row],[PID]],Table3[[#All],[PID]],0)))</f>
        <v>7</v>
      </c>
      <c r="Q215" s="61">
        <f>IF($C215="B",INDEX(Batters[[#All],[Tot]],MATCH(Table5[[#This Row],[PID]],Batters[[#All],[PID]],0)),INDEX(Table3[[#All],[Tot]],MATCH(Table5[[#This Row],[PID]],Table3[[#All],[PID]],0)))</f>
        <v>49.021887606469448</v>
      </c>
      <c r="R215" s="52">
        <f>IF($C215="B",INDEX(Batters[[#All],[zScore]],MATCH(Table5[[#This Row],[PID]],Batters[[#All],[PID]],0)),INDEX(Table3[[#All],[zScore]],MATCH(Table5[[#This Row],[PID]],Table3[[#All],[PID]],0)))</f>
        <v>0.87493998810567175</v>
      </c>
      <c r="S215" s="58" t="str">
        <f>IF($C215="B",INDEX(Batters[[#All],[DEM]],MATCH(Table5[[#This Row],[PID]],Batters[[#All],[PID]],0)),INDEX(Table3[[#All],[DEM]],MATCH(Table5[[#This Row],[PID]],Table3[[#All],[PID]],0)))</f>
        <v>-</v>
      </c>
      <c r="T215" s="62">
        <f>IF($C215="B",INDEX(Batters[[#All],[Rnk]],MATCH(Table5[[#This Row],[PID]],Batters[[#All],[PID]],0)),INDEX(Table3[[#All],[Rnk]],MATCH(Table5[[#This Row],[PID]],Table3[[#All],[PID]],0)))</f>
        <v>158</v>
      </c>
      <c r="U215" s="68">
        <f>IF($C215="B",VLOOKUP($A215,Bat!$A$4:$BA$1621,47,FALSE),VLOOKUP($A215,Pit!$A$4:$BF$1557,56,FALSE))</f>
        <v>0</v>
      </c>
      <c r="V215" s="50">
        <f>IF($C215="B",VLOOKUP($A215,Bat!$A$4:$BA$1621,48,FALSE),VLOOKUP($A215,Pit!$A$4:$BF$1557,57,FALSE))</f>
        <v>0</v>
      </c>
      <c r="W215" s="50">
        <f>Table5[[#This Row],[posRnk]]+Table5[[#This Row],[zRnk]]+IF($W$3&lt;&gt;Table5[[#This Row],[Type]],50,0)</f>
        <v>469</v>
      </c>
      <c r="X215" s="51">
        <f>RANK(Table5[[#This Row],[zScore]],Table5[[#All],[zScore]])</f>
        <v>261</v>
      </c>
      <c r="Y215" s="50">
        <f>IFERROR(INDEX(DraftResults[[#All],[OVR]],MATCH(Table5[[#This Row],[PID]],DraftResults[[#All],[Player ID]],0)),"")</f>
        <v>211</v>
      </c>
      <c r="Z2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5" s="50">
        <f>IFERROR(INDEX(DraftResults[[#All],[Pick in Round]],MATCH(Table5[[#This Row],[PID]],DraftResults[[#All],[Player ID]],0)),"")</f>
        <v>23</v>
      </c>
      <c r="AB215" s="50" t="str">
        <f>IFERROR(INDEX(DraftResults[[#All],[Team Name]],MATCH(Table5[[#This Row],[PID]],DraftResults[[#All],[Player ID]],0)),"")</f>
        <v>Yuma Arroyos</v>
      </c>
      <c r="AC215" s="50">
        <f>IF(Table5[[#This Row],[Ovr]]="","",IF(Table5[[#This Row],[cmbList]]="","",Table5[[#This Row],[cmbList]]-Table5[[#This Row],[Ovr]]))</f>
        <v>258</v>
      </c>
      <c r="AD215" s="54" t="str">
        <f>IF(ISERROR(VLOOKUP($AB215&amp;"-"&amp;$E215&amp;" "&amp;F215,Bonuses!$B$1:$G$1006,4,FALSE)),"",INT(VLOOKUP($AB215&amp;"-"&amp;$E215&amp;" "&amp;$F215,Bonuses!$B$1:$G$1006,4,FALSE)))</f>
        <v/>
      </c>
      <c r="AE2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7.23 (211) - RP Steve Fitzgerald</v>
      </c>
    </row>
    <row r="216" spans="1:31" s="50" customFormat="1" x14ac:dyDescent="0.25">
      <c r="A216" s="68">
        <v>18171</v>
      </c>
      <c r="B216" s="69">
        <f>COUNTIF(Table5[PID],A216)</f>
        <v>1</v>
      </c>
      <c r="C216" s="69" t="str">
        <f>IF(COUNTIF(Table3[[#All],[PID]],A216)&gt;0,"P","B")</f>
        <v>P</v>
      </c>
      <c r="D216" s="59" t="str">
        <f>IF($C216="B",INDEX(Batters[[#All],[POS]],MATCH(Table5[[#This Row],[PID]],Batters[[#All],[PID]],0)),INDEX(Table3[[#All],[POS]],MATCH(Table5[[#This Row],[PID]],Table3[[#All],[PID]],0)))</f>
        <v>SP</v>
      </c>
      <c r="E216" s="52" t="str">
        <f>IF($C216="B",INDEX(Batters[[#All],[First]],MATCH(Table5[[#This Row],[PID]],Batters[[#All],[PID]],0)),INDEX(Table3[[#All],[First]],MATCH(Table5[[#This Row],[PID]],Table3[[#All],[PID]],0)))</f>
        <v>Spencer</v>
      </c>
      <c r="F216" s="55" t="str">
        <f>IF($C216="B",INDEX(Batters[[#All],[Last]],MATCH(A216,Batters[[#All],[PID]],0)),INDEX(Table3[[#All],[Last]],MATCH(A216,Table3[[#All],[PID]],0)))</f>
        <v>Williams</v>
      </c>
      <c r="G216" s="56">
        <f>IF($C216="B",INDEX(Batters[[#All],[Age]],MATCH(Table5[[#This Row],[PID]],Batters[[#All],[PID]],0)),INDEX(Table3[[#All],[Age]],MATCH(Table5[[#This Row],[PID]],Table3[[#All],[PID]],0)))</f>
        <v>18</v>
      </c>
      <c r="H216" s="52" t="str">
        <f>IF($C216="B",INDEX(Batters[[#All],[B]],MATCH(Table5[[#This Row],[PID]],Batters[[#All],[PID]],0)),INDEX(Table3[[#All],[B]],MATCH(Table5[[#This Row],[PID]],Table3[[#All],[PID]],0)))</f>
        <v>R</v>
      </c>
      <c r="I216" s="52" t="str">
        <f>IF($C216="B",INDEX(Batters[[#All],[T]],MATCH(Table5[[#This Row],[PID]],Batters[[#All],[PID]],0)),INDEX(Table3[[#All],[T]],MATCH(Table5[[#This Row],[PID]],Table3[[#All],[PID]],0)))</f>
        <v>R</v>
      </c>
      <c r="J216" s="71" t="str">
        <f>IF($C216="B",INDEX(Batters[[#All],[WE]],MATCH(Table5[[#This Row],[PID]],Batters[[#All],[PID]],0)),INDEX(Table3[[#All],[WE]],MATCH(Table5[[#This Row],[PID]],Table3[[#All],[PID]],0)))</f>
        <v>Low</v>
      </c>
      <c r="K216" s="52" t="str">
        <f>IF($C216="B",INDEX(Batters[[#All],[INT]],MATCH(Table5[[#This Row],[PID]],Batters[[#All],[PID]],0)),INDEX(Table3[[#All],[INT]],MATCH(Table5[[#This Row],[PID]],Table3[[#All],[PID]],0)))</f>
        <v>Normal</v>
      </c>
      <c r="L216" s="60">
        <f>IF($C216="B",INDEX(Batters[[#All],[CON P]],MATCH(Table5[[#This Row],[PID]],Batters[[#All],[PID]],0)),INDEX(Table3[[#All],[STU P]],MATCH(Table5[[#This Row],[PID]],Table3[[#All],[PID]],0)))</f>
        <v>5</v>
      </c>
      <c r="M216" s="72">
        <f>IF($C216="B",INDEX(Batters[[#All],[GAP P]],MATCH(Table5[[#This Row],[PID]],Batters[[#All],[PID]],0)),INDEX(Table3[[#All],[MOV P]],MATCH(Table5[[#This Row],[PID]],Table3[[#All],[PID]],0)))</f>
        <v>3</v>
      </c>
      <c r="N216" s="72">
        <f>IF($C216="B",INDEX(Batters[[#All],[POW P]],MATCH(Table5[[#This Row],[PID]],Batters[[#All],[PID]],0)),INDEX(Table3[[#All],[CON P]],MATCH(Table5[[#This Row],[PID]],Table3[[#All],[PID]],0)))</f>
        <v>6</v>
      </c>
      <c r="O216" s="72" t="str">
        <f>IF($C216="B",INDEX(Batters[[#All],[EYE P]],MATCH(Table5[[#This Row],[PID]],Batters[[#All],[PID]],0)),INDEX(Table3[[#All],[VELO]],MATCH(Table5[[#This Row],[PID]],Table3[[#All],[PID]],0)))</f>
        <v>95-97 Mph</v>
      </c>
      <c r="P216" s="56">
        <f>IF($C216="B",INDEX(Batters[[#All],[K P]],MATCH(Table5[[#This Row],[PID]],Batters[[#All],[PID]],0)),INDEX(Table3[[#All],[STM]],MATCH(Table5[[#This Row],[PID]],Table3[[#All],[PID]],0)))</f>
        <v>8</v>
      </c>
      <c r="Q216" s="61">
        <f>IF($C216="B",INDEX(Batters[[#All],[Tot]],MATCH(Table5[[#This Row],[PID]],Batters[[#All],[PID]],0)),INDEX(Table3[[#All],[Tot]],MATCH(Table5[[#This Row],[PID]],Table3[[#All],[PID]],0)))</f>
        <v>59.499857517187138</v>
      </c>
      <c r="R216" s="52">
        <f>IF($C216="B",INDEX(Batters[[#All],[zScore]],MATCH(Table5[[#This Row],[PID]],Batters[[#All],[PID]],0)),INDEX(Table3[[#All],[zScore]],MATCH(Table5[[#This Row],[PID]],Table3[[#All],[PID]],0)))</f>
        <v>1.5720233147872515</v>
      </c>
      <c r="S216" s="78" t="str">
        <f>IF($C216="B",INDEX(Batters[[#All],[DEM]],MATCH(Table5[[#This Row],[PID]],Batters[[#All],[PID]],0)),INDEX(Table3[[#All],[DEM]],MATCH(Table5[[#This Row],[PID]],Table3[[#All],[PID]],0)))</f>
        <v>$420k</v>
      </c>
      <c r="T216" s="75">
        <f>IF($C216="B",INDEX(Batters[[#All],[Rnk]],MATCH(Table5[[#This Row],[PID]],Batters[[#All],[PID]],0)),INDEX(Table3[[#All],[Rnk]],MATCH(Table5[[#This Row],[PID]],Table3[[#All],[PID]],0)))</f>
        <v>67</v>
      </c>
      <c r="U216" s="68">
        <f>IF($C216="B",VLOOKUP($A216,Bat!$A$4:$BA$1621,47,FALSE),VLOOKUP($A216,Pit!$A$4:$BF$1557,56,FALSE))</f>
        <v>0</v>
      </c>
      <c r="V216" s="50">
        <f>IF($C216="B",VLOOKUP($A216,Bat!$A$4:$BA$1621,48,FALSE),VLOOKUP($A216,Pit!$A$4:$BF$1557,57,FALSE))</f>
        <v>0</v>
      </c>
      <c r="W216" s="69">
        <f>Table5[[#This Row],[posRnk]]+Table5[[#This Row],[zRnk]]+IF($W$3&lt;&gt;Table5[[#This Row],[Type]],50,0)</f>
        <v>223</v>
      </c>
      <c r="X216" s="73">
        <f>RANK(Table5[[#This Row],[zScore]],Table5[[#All],[zScore]])</f>
        <v>106</v>
      </c>
      <c r="Y216" s="69">
        <f>IFERROR(INDEX(DraftResults[[#All],[OVR]],MATCH(Table5[[#This Row],[PID]],DraftResults[[#All],[Player ID]],0)),"")</f>
        <v>212</v>
      </c>
      <c r="Z21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6" s="69">
        <f>IFERROR(INDEX(DraftResults[[#All],[Pick in Round]],MATCH(Table5[[#This Row],[PID]],DraftResults[[#All],[Player ID]],0)),"")</f>
        <v>24</v>
      </c>
      <c r="AB216" s="69" t="str">
        <f>IFERROR(INDEX(DraftResults[[#All],[Team Name]],MATCH(Table5[[#This Row],[PID]],DraftResults[[#All],[Player ID]],0)),"")</f>
        <v>Aurora Borealis</v>
      </c>
      <c r="AC216" s="69">
        <f>IF(Table5[[#This Row],[Ovr]]="","",IF(Table5[[#This Row],[cmbList]]="","",Table5[[#This Row],[cmbList]]-Table5[[#This Row],[Ovr]]))</f>
        <v>11</v>
      </c>
      <c r="AD216" s="77" t="str">
        <f>IF(ISERROR(VLOOKUP($AB216&amp;"-"&amp;$E216&amp;" "&amp;F216,Bonuses!$B$1:$G$1006,4,FALSE)),"",INT(VLOOKUP($AB216&amp;"-"&amp;$E216&amp;" "&amp;$F216,Bonuses!$B$1:$G$1006,4,FALSE)))</f>
        <v/>
      </c>
      <c r="AE21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7.24 (212) - SP Spencer Williams</v>
      </c>
    </row>
    <row r="217" spans="1:31" s="50" customFormat="1" x14ac:dyDescent="0.25">
      <c r="A217" s="50">
        <v>18294</v>
      </c>
      <c r="B217" s="55">
        <f>COUNTIF(Table5[PID],A217)</f>
        <v>1</v>
      </c>
      <c r="C217" s="55" t="str">
        <f>IF(COUNTIF(Table3[[#All],[PID]],A217)&gt;0,"P","B")</f>
        <v>B</v>
      </c>
      <c r="D217" s="59" t="str">
        <f>IF($C217="B",INDEX(Batters[[#All],[POS]],MATCH(Table5[[#This Row],[PID]],Batters[[#All],[PID]],0)),INDEX(Table3[[#All],[POS]],MATCH(Table5[[#This Row],[PID]],Table3[[#All],[PID]],0)))</f>
        <v>SS</v>
      </c>
      <c r="E217" s="52" t="str">
        <f>IF($C217="B",INDEX(Batters[[#All],[First]],MATCH(Table5[[#This Row],[PID]],Batters[[#All],[PID]],0)),INDEX(Table3[[#All],[First]],MATCH(Table5[[#This Row],[PID]],Table3[[#All],[PID]],0)))</f>
        <v>Ryozo</v>
      </c>
      <c r="F217" s="50" t="str">
        <f>IF($C217="B",INDEX(Batters[[#All],[Last]],MATCH(A217,Batters[[#All],[PID]],0)),INDEX(Table3[[#All],[Last]],MATCH(A217,Table3[[#All],[PID]],0)))</f>
        <v>Kouyama</v>
      </c>
      <c r="G217" s="56">
        <f>IF($C217="B",INDEX(Batters[[#All],[Age]],MATCH(Table5[[#This Row],[PID]],Batters[[#All],[PID]],0)),INDEX(Table3[[#All],[Age]],MATCH(Table5[[#This Row],[PID]],Table3[[#All],[PID]],0)))</f>
        <v>21</v>
      </c>
      <c r="H217" s="52" t="str">
        <f>IF($C217="B",INDEX(Batters[[#All],[B]],MATCH(Table5[[#This Row],[PID]],Batters[[#All],[PID]],0)),INDEX(Table3[[#All],[B]],MATCH(Table5[[#This Row],[PID]],Table3[[#All],[PID]],0)))</f>
        <v>R</v>
      </c>
      <c r="I217" s="52" t="str">
        <f>IF($C217="B",INDEX(Batters[[#All],[T]],MATCH(Table5[[#This Row],[PID]],Batters[[#All],[PID]],0)),INDEX(Table3[[#All],[T]],MATCH(Table5[[#This Row],[PID]],Table3[[#All],[PID]],0)))</f>
        <v>R</v>
      </c>
      <c r="J217" s="52" t="str">
        <f>IF($C217="B",INDEX(Batters[[#All],[WE]],MATCH(Table5[[#This Row],[PID]],Batters[[#All],[PID]],0)),INDEX(Table3[[#All],[WE]],MATCH(Table5[[#This Row],[PID]],Table3[[#All],[PID]],0)))</f>
        <v>Normal</v>
      </c>
      <c r="K217" s="52" t="str">
        <f>IF($C217="B",INDEX(Batters[[#All],[INT]],MATCH(Table5[[#This Row],[PID]],Batters[[#All],[PID]],0)),INDEX(Table3[[#All],[INT]],MATCH(Table5[[#This Row],[PID]],Table3[[#All],[PID]],0)))</f>
        <v>Normal</v>
      </c>
      <c r="L217" s="60">
        <f>IF($C217="B",INDEX(Batters[[#All],[CON P]],MATCH(Table5[[#This Row],[PID]],Batters[[#All],[PID]],0)),INDEX(Table3[[#All],[STU P]],MATCH(Table5[[#This Row],[PID]],Table3[[#All],[PID]],0)))</f>
        <v>3</v>
      </c>
      <c r="M217" s="56">
        <f>IF($C217="B",INDEX(Batters[[#All],[GAP P]],MATCH(Table5[[#This Row],[PID]],Batters[[#All],[PID]],0)),INDEX(Table3[[#All],[MOV P]],MATCH(Table5[[#This Row],[PID]],Table3[[#All],[PID]],0)))</f>
        <v>4</v>
      </c>
      <c r="N217" s="56">
        <f>IF($C217="B",INDEX(Batters[[#All],[POW P]],MATCH(Table5[[#This Row],[PID]],Batters[[#All],[PID]],0)),INDEX(Table3[[#All],[CON P]],MATCH(Table5[[#This Row],[PID]],Table3[[#All],[PID]],0)))</f>
        <v>6</v>
      </c>
      <c r="O217" s="56">
        <f>IF($C217="B",INDEX(Batters[[#All],[EYE P]],MATCH(Table5[[#This Row],[PID]],Batters[[#All],[PID]],0)),INDEX(Table3[[#All],[VELO]],MATCH(Table5[[#This Row],[PID]],Table3[[#All],[PID]],0)))</f>
        <v>5</v>
      </c>
      <c r="P217" s="56">
        <f>IF($C217="B",INDEX(Batters[[#All],[K P]],MATCH(Table5[[#This Row],[PID]],Batters[[#All],[PID]],0)),INDEX(Table3[[#All],[STM]],MATCH(Table5[[#This Row],[PID]],Table3[[#All],[PID]],0)))</f>
        <v>3</v>
      </c>
      <c r="Q217" s="61">
        <f>IF($C217="B",INDEX(Batters[[#All],[Tot]],MATCH(Table5[[#This Row],[PID]],Batters[[#All],[PID]],0)),INDEX(Table3[[#All],[Tot]],MATCH(Table5[[#This Row],[PID]],Table3[[#All],[PID]],0)))</f>
        <v>40.866181972109516</v>
      </c>
      <c r="R217" s="52">
        <f>IF($C217="B",INDEX(Batters[[#All],[zScore]],MATCH(Table5[[#This Row],[PID]],Batters[[#All],[PID]],0)),INDEX(Table3[[#All],[zScore]],MATCH(Table5[[#This Row],[PID]],Table3[[#All],[PID]],0)))</f>
        <v>-0.72404056754327351</v>
      </c>
      <c r="S217" s="58" t="str">
        <f>IF($C217="B",INDEX(Batters[[#All],[DEM]],MATCH(Table5[[#This Row],[PID]],Batters[[#All],[PID]],0)),INDEX(Table3[[#All],[DEM]],MATCH(Table5[[#This Row],[PID]],Table3[[#All],[PID]],0)))</f>
        <v>$20k</v>
      </c>
      <c r="T217" s="62">
        <f>IF($C217="B",INDEX(Batters[[#All],[Rnk]],MATCH(Table5[[#This Row],[PID]],Batters[[#All],[PID]],0)),INDEX(Table3[[#All],[Rnk]],MATCH(Table5[[#This Row],[PID]],Table3[[#All],[PID]],0)))</f>
        <v>386</v>
      </c>
      <c r="U217" s="68">
        <f>IF($C217="B",VLOOKUP($A217,Bat!$A$4:$BA$1621,47,FALSE),VLOOKUP($A217,Pit!$A$4:$BF$1557,56,FALSE))</f>
        <v>0</v>
      </c>
      <c r="V217" s="50">
        <f>IF($C217="B",VLOOKUP($A217,Bat!$A$4:$BA$1621,48,FALSE),VLOOKUP($A217,Pit!$A$4:$BF$1557,57,FALSE))</f>
        <v>0</v>
      </c>
      <c r="W217" s="50">
        <f>Table5[[#This Row],[posRnk]]+Table5[[#This Row],[zRnk]]+IF($W$3&lt;&gt;Table5[[#This Row],[Type]],50,0)</f>
        <v>1433</v>
      </c>
      <c r="X217" s="51">
        <f>RANK(Table5[[#This Row],[zScore]],Table5[[#All],[zScore]])</f>
        <v>997</v>
      </c>
      <c r="Y217" s="50">
        <f>IFERROR(INDEX(DraftResults[[#All],[OVR]],MATCH(Table5[[#This Row],[PID]],DraftResults[[#All],[Player ID]],0)),"")</f>
        <v>213</v>
      </c>
      <c r="Z2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7" s="50">
        <f>IFERROR(INDEX(DraftResults[[#All],[Pick in Round]],MATCH(Table5[[#This Row],[PID]],DraftResults[[#All],[Player ID]],0)),"")</f>
        <v>25</v>
      </c>
      <c r="AB217" s="50" t="str">
        <f>IFERROR(INDEX(DraftResults[[#All],[Team Name]],MATCH(Table5[[#This Row],[PID]],DraftResults[[#All],[Player ID]],0)),"")</f>
        <v>Toyama Wind Dancers</v>
      </c>
      <c r="AC217" s="50">
        <f>IF(Table5[[#This Row],[Ovr]]="","",IF(Table5[[#This Row],[cmbList]]="","",Table5[[#This Row],[cmbList]]-Table5[[#This Row],[Ovr]]))</f>
        <v>1220</v>
      </c>
      <c r="AD217" s="54" t="str">
        <f>IF(ISERROR(VLOOKUP($AB217&amp;"-"&amp;$E217&amp;" "&amp;F217,Bonuses!$B$1:$G$1006,4,FALSE)),"",INT(VLOOKUP($AB217&amp;"-"&amp;$E217&amp;" "&amp;$F217,Bonuses!$B$1:$G$1006,4,FALSE)))</f>
        <v/>
      </c>
      <c r="AE2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7.25 (213) - SS Ryozo Kouyama</v>
      </c>
    </row>
    <row r="218" spans="1:31" s="50" customFormat="1" x14ac:dyDescent="0.25">
      <c r="A218" s="50">
        <v>18374</v>
      </c>
      <c r="B218" s="50">
        <f>COUNTIF(Table5[PID],A218)</f>
        <v>1</v>
      </c>
      <c r="C218" s="50" t="str">
        <f>IF(COUNTIF(Table3[[#All],[PID]],A218)&gt;0,"P","B")</f>
        <v>P</v>
      </c>
      <c r="D218" s="59" t="str">
        <f>IF($C218="B",INDEX(Batters[[#All],[POS]],MATCH(Table5[[#This Row],[PID]],Batters[[#All],[PID]],0)),INDEX(Table3[[#All],[POS]],MATCH(Table5[[#This Row],[PID]],Table3[[#All],[PID]],0)))</f>
        <v>RP</v>
      </c>
      <c r="E218" s="52" t="str">
        <f>IF($C218="B",INDEX(Batters[[#All],[First]],MATCH(Table5[[#This Row],[PID]],Batters[[#All],[PID]],0)),INDEX(Table3[[#All],[First]],MATCH(Table5[[#This Row],[PID]],Table3[[#All],[PID]],0)))</f>
        <v>Yosai</v>
      </c>
      <c r="F218" s="50" t="str">
        <f>IF($C218="B",INDEX(Batters[[#All],[Last]],MATCH(A218,Batters[[#All],[PID]],0)),INDEX(Table3[[#All],[Last]],MATCH(A218,Table3[[#All],[PID]],0)))</f>
        <v>Yamauchi</v>
      </c>
      <c r="G218" s="56">
        <f>IF($C218="B",INDEX(Batters[[#All],[Age]],MATCH(Table5[[#This Row],[PID]],Batters[[#All],[PID]],0)),INDEX(Table3[[#All],[Age]],MATCH(Table5[[#This Row],[PID]],Table3[[#All],[PID]],0)))</f>
        <v>18</v>
      </c>
      <c r="H218" s="52" t="str">
        <f>IF($C218="B",INDEX(Batters[[#All],[B]],MATCH(Table5[[#This Row],[PID]],Batters[[#All],[PID]],0)),INDEX(Table3[[#All],[B]],MATCH(Table5[[#This Row],[PID]],Table3[[#All],[PID]],0)))</f>
        <v>R</v>
      </c>
      <c r="I218" s="52" t="str">
        <f>IF($C218="B",INDEX(Batters[[#All],[T]],MATCH(Table5[[#This Row],[PID]],Batters[[#All],[PID]],0)),INDEX(Table3[[#All],[T]],MATCH(Table5[[#This Row],[PID]],Table3[[#All],[PID]],0)))</f>
        <v>R</v>
      </c>
      <c r="J218" s="52" t="str">
        <f>IF($C218="B",INDEX(Batters[[#All],[WE]],MATCH(Table5[[#This Row],[PID]],Batters[[#All],[PID]],0)),INDEX(Table3[[#All],[WE]],MATCH(Table5[[#This Row],[PID]],Table3[[#All],[PID]],0)))</f>
        <v>Low</v>
      </c>
      <c r="K218" s="52" t="str">
        <f>IF($C218="B",INDEX(Batters[[#All],[INT]],MATCH(Table5[[#This Row],[PID]],Batters[[#All],[PID]],0)),INDEX(Table3[[#All],[INT]],MATCH(Table5[[#This Row],[PID]],Table3[[#All],[PID]],0)))</f>
        <v>Normal</v>
      </c>
      <c r="L218" s="60">
        <f>IF($C218="B",INDEX(Batters[[#All],[CON P]],MATCH(Table5[[#This Row],[PID]],Batters[[#All],[PID]],0)),INDEX(Table3[[#All],[STU P]],MATCH(Table5[[#This Row],[PID]],Table3[[#All],[PID]],0)))</f>
        <v>6</v>
      </c>
      <c r="M218" s="56">
        <f>IF($C218="B",INDEX(Batters[[#All],[GAP P]],MATCH(Table5[[#This Row],[PID]],Batters[[#All],[PID]],0)),INDEX(Table3[[#All],[MOV P]],MATCH(Table5[[#This Row],[PID]],Table3[[#All],[PID]],0)))</f>
        <v>6</v>
      </c>
      <c r="N218" s="56">
        <f>IF($C218="B",INDEX(Batters[[#All],[POW P]],MATCH(Table5[[#This Row],[PID]],Batters[[#All],[PID]],0)),INDEX(Table3[[#All],[CON P]],MATCH(Table5[[#This Row],[PID]],Table3[[#All],[PID]],0)))</f>
        <v>3</v>
      </c>
      <c r="O218" s="56" t="str">
        <f>IF($C218="B",INDEX(Batters[[#All],[EYE P]],MATCH(Table5[[#This Row],[PID]],Batters[[#All],[PID]],0)),INDEX(Table3[[#All],[VELO]],MATCH(Table5[[#This Row],[PID]],Table3[[#All],[PID]],0)))</f>
        <v>92-94 Mph</v>
      </c>
      <c r="P218" s="56">
        <f>IF($C218="B",INDEX(Batters[[#All],[K P]],MATCH(Table5[[#This Row],[PID]],Batters[[#All],[PID]],0)),INDEX(Table3[[#All],[STM]],MATCH(Table5[[#This Row],[PID]],Table3[[#All],[PID]],0)))</f>
        <v>7</v>
      </c>
      <c r="Q218" s="61">
        <f>IF($C218="B",INDEX(Batters[[#All],[Tot]],MATCH(Table5[[#This Row],[PID]],Batters[[#All],[PID]],0)),INDEX(Table3[[#All],[Tot]],MATCH(Table5[[#This Row],[PID]],Table3[[#All],[PID]],0)))</f>
        <v>58.823064752071105</v>
      </c>
      <c r="R218" s="52">
        <f>IF($C218="B",INDEX(Batters[[#All],[zScore]],MATCH(Table5[[#This Row],[PID]],Batters[[#All],[PID]],0)),INDEX(Table3[[#All],[zScore]],MATCH(Table5[[#This Row],[PID]],Table3[[#All],[PID]],0)))</f>
        <v>1.5269973263370904</v>
      </c>
      <c r="S218" s="58" t="str">
        <f>IF($C218="B",INDEX(Batters[[#All],[DEM]],MATCH(Table5[[#This Row],[PID]],Batters[[#All],[PID]],0)),INDEX(Table3[[#All],[DEM]],MATCH(Table5[[#This Row],[PID]],Table3[[#All],[PID]],0)))</f>
        <v>$75k</v>
      </c>
      <c r="T218" s="62">
        <f>IF($C218="B",INDEX(Batters[[#All],[Rnk]],MATCH(Table5[[#This Row],[PID]],Batters[[#All],[PID]],0)),INDEX(Table3[[#All],[Rnk]],MATCH(Table5[[#This Row],[PID]],Table3[[#All],[PID]],0)))</f>
        <v>72</v>
      </c>
      <c r="U218" s="68">
        <f>IF($C218="B",VLOOKUP($A218,Bat!$A$4:$BA$1621,47,FALSE),VLOOKUP($A218,Pit!$A$4:$BF$1557,56,FALSE))</f>
        <v>0</v>
      </c>
      <c r="V218" s="50">
        <f>IF($C218="B",VLOOKUP($A218,Bat!$A$4:$BA$1621,48,FALSE),VLOOKUP($A218,Pit!$A$4:$BF$1557,57,FALSE))</f>
        <v>0</v>
      </c>
      <c r="W218" s="50">
        <f>Table5[[#This Row],[posRnk]]+Table5[[#This Row],[zRnk]]+IF($W$3&lt;&gt;Table5[[#This Row],[Type]],50,0)</f>
        <v>236</v>
      </c>
      <c r="X218" s="51">
        <f>RANK(Table5[[#This Row],[zScore]],Table5[[#All],[zScore]])</f>
        <v>114</v>
      </c>
      <c r="Y218" s="50">
        <f>IFERROR(INDEX(DraftResults[[#All],[OVR]],MATCH(Table5[[#This Row],[PID]],DraftResults[[#All],[Player ID]],0)),"")</f>
        <v>214</v>
      </c>
      <c r="Z2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8" s="50">
        <f>IFERROR(INDEX(DraftResults[[#All],[Pick in Round]],MATCH(Table5[[#This Row],[PID]],DraftResults[[#All],[Player ID]],0)),"")</f>
        <v>26</v>
      </c>
      <c r="AB218" s="50" t="str">
        <f>IFERROR(INDEX(DraftResults[[#All],[Team Name]],MATCH(Table5[[#This Row],[PID]],DraftResults[[#All],[Player ID]],0)),"")</f>
        <v>West Virginia Alleghenies</v>
      </c>
      <c r="AC218" s="50">
        <f>IF(Table5[[#This Row],[Ovr]]="","",IF(Table5[[#This Row],[cmbList]]="","",Table5[[#This Row],[cmbList]]-Table5[[#This Row],[Ovr]]))</f>
        <v>22</v>
      </c>
      <c r="AD218" s="54" t="str">
        <f>IF(ISERROR(VLOOKUP($AB218&amp;"-"&amp;$E218&amp;" "&amp;F218,Bonuses!$B$1:$G$1006,4,FALSE)),"",INT(VLOOKUP($AB218&amp;"-"&amp;$E218&amp;" "&amp;$F218,Bonuses!$B$1:$G$1006,4,FALSE)))</f>
        <v/>
      </c>
      <c r="AE2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7.26 (214) - RP Yosai Yamauchi</v>
      </c>
    </row>
    <row r="219" spans="1:31" s="50" customFormat="1" x14ac:dyDescent="0.25">
      <c r="A219" s="50">
        <v>20923</v>
      </c>
      <c r="B219" s="50">
        <f>COUNTIF(Table5[PID],A219)</f>
        <v>1</v>
      </c>
      <c r="C219" s="50" t="str">
        <f>IF(COUNTIF(Table3[[#All],[PID]],A219)&gt;0,"P","B")</f>
        <v>B</v>
      </c>
      <c r="D219" s="59" t="str">
        <f>IF($C219="B",INDEX(Batters[[#All],[POS]],MATCH(Table5[[#This Row],[PID]],Batters[[#All],[PID]],0)),INDEX(Table3[[#All],[POS]],MATCH(Table5[[#This Row],[PID]],Table3[[#All],[PID]],0)))</f>
        <v>1B</v>
      </c>
      <c r="E219" s="52" t="str">
        <f>IF($C219="B",INDEX(Batters[[#All],[First]],MATCH(Table5[[#This Row],[PID]],Batters[[#All],[PID]],0)),INDEX(Table3[[#All],[First]],MATCH(Table5[[#This Row],[PID]],Table3[[#All],[PID]],0)))</f>
        <v>Kirk</v>
      </c>
      <c r="F219" s="50" t="str">
        <f>IF($C219="B",INDEX(Batters[[#All],[Last]],MATCH(A219,Batters[[#All],[PID]],0)),INDEX(Table3[[#All],[Last]],MATCH(A219,Table3[[#All],[PID]],0)))</f>
        <v>Phillips</v>
      </c>
      <c r="G219" s="56">
        <f>IF($C219="B",INDEX(Batters[[#All],[Age]],MATCH(Table5[[#This Row],[PID]],Batters[[#All],[PID]],0)),INDEX(Table3[[#All],[Age]],MATCH(Table5[[#This Row],[PID]],Table3[[#All],[PID]],0)))</f>
        <v>17</v>
      </c>
      <c r="H219" s="52" t="str">
        <f>IF($C219="B",INDEX(Batters[[#All],[B]],MATCH(Table5[[#This Row],[PID]],Batters[[#All],[PID]],0)),INDEX(Table3[[#All],[B]],MATCH(Table5[[#This Row],[PID]],Table3[[#All],[PID]],0)))</f>
        <v>S</v>
      </c>
      <c r="I219" s="52" t="str">
        <f>IF($C219="B",INDEX(Batters[[#All],[T]],MATCH(Table5[[#This Row],[PID]],Batters[[#All],[PID]],0)),INDEX(Table3[[#All],[T]],MATCH(Table5[[#This Row],[PID]],Table3[[#All],[PID]],0)))</f>
        <v>R</v>
      </c>
      <c r="J219" s="52" t="str">
        <f>IF($C219="B",INDEX(Batters[[#All],[WE]],MATCH(Table5[[#This Row],[PID]],Batters[[#All],[PID]],0)),INDEX(Table3[[#All],[WE]],MATCH(Table5[[#This Row],[PID]],Table3[[#All],[PID]],0)))</f>
        <v>Normal</v>
      </c>
      <c r="K219" s="52" t="str">
        <f>IF($C219="B",INDEX(Batters[[#All],[INT]],MATCH(Table5[[#This Row],[PID]],Batters[[#All],[PID]],0)),INDEX(Table3[[#All],[INT]],MATCH(Table5[[#This Row],[PID]],Table3[[#All],[PID]],0)))</f>
        <v>Normal</v>
      </c>
      <c r="L219" s="60">
        <f>IF($C219="B",INDEX(Batters[[#All],[CON P]],MATCH(Table5[[#This Row],[PID]],Batters[[#All],[PID]],0)),INDEX(Table3[[#All],[STU P]],MATCH(Table5[[#This Row],[PID]],Table3[[#All],[PID]],0)))</f>
        <v>3</v>
      </c>
      <c r="M219" s="56">
        <f>IF($C219="B",INDEX(Batters[[#All],[GAP P]],MATCH(Table5[[#This Row],[PID]],Batters[[#All],[PID]],0)),INDEX(Table3[[#All],[MOV P]],MATCH(Table5[[#This Row],[PID]],Table3[[#All],[PID]],0)))</f>
        <v>6</v>
      </c>
      <c r="N219" s="56">
        <f>IF($C219="B",INDEX(Batters[[#All],[POW P]],MATCH(Table5[[#This Row],[PID]],Batters[[#All],[PID]],0)),INDEX(Table3[[#All],[CON P]],MATCH(Table5[[#This Row],[PID]],Table3[[#All],[PID]],0)))</f>
        <v>8</v>
      </c>
      <c r="O219" s="56">
        <f>IF($C219="B",INDEX(Batters[[#All],[EYE P]],MATCH(Table5[[#This Row],[PID]],Batters[[#All],[PID]],0)),INDEX(Table3[[#All],[VELO]],MATCH(Table5[[#This Row],[PID]],Table3[[#All],[PID]],0)))</f>
        <v>6</v>
      </c>
      <c r="P219" s="56">
        <f>IF($C219="B",INDEX(Batters[[#All],[K P]],MATCH(Table5[[#This Row],[PID]],Batters[[#All],[PID]],0)),INDEX(Table3[[#All],[STM]],MATCH(Table5[[#This Row],[PID]],Table3[[#All],[PID]],0)))</f>
        <v>2</v>
      </c>
      <c r="Q219" s="61">
        <f>IF($C219="B",INDEX(Batters[[#All],[Tot]],MATCH(Table5[[#This Row],[PID]],Batters[[#All],[PID]],0)),INDEX(Table3[[#All],[Tot]],MATCH(Table5[[#This Row],[PID]],Table3[[#All],[PID]],0)))</f>
        <v>48.460108119189854</v>
      </c>
      <c r="R219" s="52">
        <f>IF($C219="B",INDEX(Batters[[#All],[zScore]],MATCH(Table5[[#This Row],[PID]],Batters[[#All],[PID]],0)),INDEX(Table3[[#All],[zScore]],MATCH(Table5[[#This Row],[PID]],Table3[[#All],[PID]],0)))</f>
        <v>0.95958418944137713</v>
      </c>
      <c r="S219" s="58" t="str">
        <f>IF($C219="B",INDEX(Batters[[#All],[DEM]],MATCH(Table5[[#This Row],[PID]],Batters[[#All],[PID]],0)),INDEX(Table3[[#All],[DEM]],MATCH(Table5[[#This Row],[PID]],Table3[[#All],[PID]],0)))</f>
        <v>$200k</v>
      </c>
      <c r="T219" s="62">
        <f>IF($C219="B",INDEX(Batters[[#All],[Rnk]],MATCH(Table5[[#This Row],[PID]],Batters[[#All],[PID]],0)),INDEX(Table3[[#All],[Rnk]],MATCH(Table5[[#This Row],[PID]],Table3[[#All],[PID]],0)))</f>
        <v>95</v>
      </c>
      <c r="U219" s="68">
        <f>IF($C219="B",VLOOKUP($A219,Bat!$A$4:$BA$1621,47,FALSE),VLOOKUP($A219,Pit!$A$4:$BF$1557,56,FALSE))</f>
        <v>0</v>
      </c>
      <c r="V219" s="50">
        <f>IF($C219="B",VLOOKUP($A219,Bat!$A$4:$BA$1621,48,FALSE),VLOOKUP($A219,Pit!$A$4:$BF$1557,57,FALSE))</f>
        <v>0</v>
      </c>
      <c r="W219" s="50">
        <f>Table5[[#This Row],[posRnk]]+Table5[[#This Row],[zRnk]]+IF($W$3&lt;&gt;Table5[[#This Row],[Type]],50,0)</f>
        <v>384</v>
      </c>
      <c r="X219" s="51">
        <f>RANK(Table5[[#This Row],[zScore]],Table5[[#All],[zScore]])</f>
        <v>239</v>
      </c>
      <c r="Y219" s="50">
        <f>IFERROR(INDEX(DraftResults[[#All],[OVR]],MATCH(Table5[[#This Row],[PID]],DraftResults[[#All],[Player ID]],0)),"")</f>
        <v>215</v>
      </c>
      <c r="Z2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19" s="50">
        <f>IFERROR(INDEX(DraftResults[[#All],[Pick in Round]],MATCH(Table5[[#This Row],[PID]],DraftResults[[#All],[Player ID]],0)),"")</f>
        <v>27</v>
      </c>
      <c r="AB219" s="50" t="str">
        <f>IFERROR(INDEX(DraftResults[[#All],[Team Name]],MATCH(Table5[[#This Row],[PID]],DraftResults[[#All],[Player ID]],0)),"")</f>
        <v>Neo-Tokyo Akira</v>
      </c>
      <c r="AC219" s="50">
        <f>IF(Table5[[#This Row],[Ovr]]="","",IF(Table5[[#This Row],[cmbList]]="","",Table5[[#This Row],[cmbList]]-Table5[[#This Row],[Ovr]]))</f>
        <v>169</v>
      </c>
      <c r="AD219" s="54" t="str">
        <f>IF(ISERROR(VLOOKUP($AB219&amp;"-"&amp;$E219&amp;" "&amp;F219,Bonuses!$B$1:$G$1006,4,FALSE)),"",INT(VLOOKUP($AB219&amp;"-"&amp;$E219&amp;" "&amp;$F219,Bonuses!$B$1:$G$1006,4,FALSE)))</f>
        <v/>
      </c>
      <c r="AE2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7.27 (215) - 1B Kirk Phillips</v>
      </c>
    </row>
    <row r="220" spans="1:31" s="50" customFormat="1" x14ac:dyDescent="0.25">
      <c r="A220" s="50">
        <v>18280</v>
      </c>
      <c r="B220" s="50">
        <f>COUNTIF(Table5[PID],A220)</f>
        <v>1</v>
      </c>
      <c r="C220" s="50" t="str">
        <f>IF(COUNTIF(Table3[[#All],[PID]],A220)&gt;0,"P","B")</f>
        <v>B</v>
      </c>
      <c r="D220" s="59" t="str">
        <f>IF($C220="B",INDEX(Batters[[#All],[POS]],MATCH(Table5[[#This Row],[PID]],Batters[[#All],[PID]],0)),INDEX(Table3[[#All],[POS]],MATCH(Table5[[#This Row],[PID]],Table3[[#All],[PID]],0)))</f>
        <v>SS</v>
      </c>
      <c r="E220" s="52" t="str">
        <f>IF($C220="B",INDEX(Batters[[#All],[First]],MATCH(Table5[[#This Row],[PID]],Batters[[#All],[PID]],0)),INDEX(Table3[[#All],[First]],MATCH(Table5[[#This Row],[PID]],Table3[[#All],[PID]],0)))</f>
        <v>Hikaru</v>
      </c>
      <c r="F220" s="50" t="str">
        <f>IF($C220="B",INDEX(Batters[[#All],[Last]],MATCH(A220,Batters[[#All],[PID]],0)),INDEX(Table3[[#All],[Last]],MATCH(A220,Table3[[#All],[PID]],0)))</f>
        <v>Goto</v>
      </c>
      <c r="G220" s="56">
        <f>IF($C220="B",INDEX(Batters[[#All],[Age]],MATCH(Table5[[#This Row],[PID]],Batters[[#All],[PID]],0)),INDEX(Table3[[#All],[Age]],MATCH(Table5[[#This Row],[PID]],Table3[[#All],[PID]],0)))</f>
        <v>21</v>
      </c>
      <c r="H220" s="52" t="str">
        <f>IF($C220="B",INDEX(Batters[[#All],[B]],MATCH(Table5[[#This Row],[PID]],Batters[[#All],[PID]],0)),INDEX(Table3[[#All],[B]],MATCH(Table5[[#This Row],[PID]],Table3[[#All],[PID]],0)))</f>
        <v>L</v>
      </c>
      <c r="I220" s="52" t="str">
        <f>IF($C220="B",INDEX(Batters[[#All],[T]],MATCH(Table5[[#This Row],[PID]],Batters[[#All],[PID]],0)),INDEX(Table3[[#All],[T]],MATCH(Table5[[#This Row],[PID]],Table3[[#All],[PID]],0)))</f>
        <v>R</v>
      </c>
      <c r="J220" s="52" t="str">
        <f>IF($C220="B",INDEX(Batters[[#All],[WE]],MATCH(Table5[[#This Row],[PID]],Batters[[#All],[PID]],0)),INDEX(Table3[[#All],[WE]],MATCH(Table5[[#This Row],[PID]],Table3[[#All],[PID]],0)))</f>
        <v>Low</v>
      </c>
      <c r="K220" s="52" t="str">
        <f>IF($C220="B",INDEX(Batters[[#All],[INT]],MATCH(Table5[[#This Row],[PID]],Batters[[#All],[PID]],0)),INDEX(Table3[[#All],[INT]],MATCH(Table5[[#This Row],[PID]],Table3[[#All],[PID]],0)))</f>
        <v>Low</v>
      </c>
      <c r="L220" s="60">
        <f>IF($C220="B",INDEX(Batters[[#All],[CON P]],MATCH(Table5[[#This Row],[PID]],Batters[[#All],[PID]],0)),INDEX(Table3[[#All],[STU P]],MATCH(Table5[[#This Row],[PID]],Table3[[#All],[PID]],0)))</f>
        <v>3</v>
      </c>
      <c r="M220" s="56">
        <f>IF($C220="B",INDEX(Batters[[#All],[GAP P]],MATCH(Table5[[#This Row],[PID]],Batters[[#All],[PID]],0)),INDEX(Table3[[#All],[MOV P]],MATCH(Table5[[#This Row],[PID]],Table3[[#All],[PID]],0)))</f>
        <v>4</v>
      </c>
      <c r="N220" s="56">
        <f>IF($C220="B",INDEX(Batters[[#All],[POW P]],MATCH(Table5[[#This Row],[PID]],Batters[[#All],[PID]],0)),INDEX(Table3[[#All],[CON P]],MATCH(Table5[[#This Row],[PID]],Table3[[#All],[PID]],0)))</f>
        <v>5</v>
      </c>
      <c r="O220" s="56">
        <f>IF($C220="B",INDEX(Batters[[#All],[EYE P]],MATCH(Table5[[#This Row],[PID]],Batters[[#All],[PID]],0)),INDEX(Table3[[#All],[VELO]],MATCH(Table5[[#This Row],[PID]],Table3[[#All],[PID]],0)))</f>
        <v>6</v>
      </c>
      <c r="P220" s="56">
        <f>IF($C220="B",INDEX(Batters[[#All],[K P]],MATCH(Table5[[#This Row],[PID]],Batters[[#All],[PID]],0)),INDEX(Table3[[#All],[STM]],MATCH(Table5[[#This Row],[PID]],Table3[[#All],[PID]],0)))</f>
        <v>4</v>
      </c>
      <c r="Q220" s="61">
        <f>IF($C220="B",INDEX(Batters[[#All],[Tot]],MATCH(Table5[[#This Row],[PID]],Batters[[#All],[PID]],0)),INDEX(Table3[[#All],[Tot]],MATCH(Table5[[#This Row],[PID]],Table3[[#All],[PID]],0)))</f>
        <v>40.684686128362031</v>
      </c>
      <c r="R220" s="52">
        <f>IF($C220="B",INDEX(Batters[[#All],[zScore]],MATCH(Table5[[#This Row],[PID]],Batters[[#All],[PID]],0)),INDEX(Table3[[#All],[zScore]],MATCH(Table5[[#This Row],[PID]],Table3[[#All],[PID]],0)))</f>
        <v>-0.76427942290013862</v>
      </c>
      <c r="S220" s="58" t="str">
        <f>IF($C220="B",INDEX(Batters[[#All],[DEM]],MATCH(Table5[[#This Row],[PID]],Batters[[#All],[PID]],0)),INDEX(Table3[[#All],[DEM]],MATCH(Table5[[#This Row],[PID]],Table3[[#All],[PID]],0)))</f>
        <v>$20k</v>
      </c>
      <c r="T220" s="62">
        <f>IF($C220="B",INDEX(Batters[[#All],[Rnk]],MATCH(Table5[[#This Row],[PID]],Batters[[#All],[PID]],0)),INDEX(Table3[[#All],[Rnk]],MATCH(Table5[[#This Row],[PID]],Table3[[#All],[PID]],0)))</f>
        <v>395</v>
      </c>
      <c r="U220" s="68">
        <f>IF($C220="B",VLOOKUP($A220,Bat!$A$4:$BA$1621,47,FALSE),VLOOKUP($A220,Pit!$A$4:$BF$1557,56,FALSE))</f>
        <v>0</v>
      </c>
      <c r="V220" s="50">
        <f>IF($C220="B",VLOOKUP($A220,Bat!$A$4:$BA$1621,48,FALSE),VLOOKUP($A220,Pit!$A$4:$BF$1557,57,FALSE))</f>
        <v>0</v>
      </c>
      <c r="W220" s="50">
        <f>Table5[[#This Row],[posRnk]]+Table5[[#This Row],[zRnk]]+IF($W$3&lt;&gt;Table5[[#This Row],[Type]],50,0)</f>
        <v>1466</v>
      </c>
      <c r="X220" s="51">
        <f>RANK(Table5[[#This Row],[zScore]],Table5[[#All],[zScore]])</f>
        <v>1021</v>
      </c>
      <c r="Y220" s="50">
        <f>IFERROR(INDEX(DraftResults[[#All],[OVR]],MATCH(Table5[[#This Row],[PID]],DraftResults[[#All],[Player ID]],0)),"")</f>
        <v>216</v>
      </c>
      <c r="Z2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20" s="50">
        <f>IFERROR(INDEX(DraftResults[[#All],[Pick in Round]],MATCH(Table5[[#This Row],[PID]],DraftResults[[#All],[Player ID]],0)),"")</f>
        <v>28</v>
      </c>
      <c r="AB220" s="50" t="str">
        <f>IFERROR(INDEX(DraftResults[[#All],[Team Name]],MATCH(Table5[[#This Row],[PID]],DraftResults[[#All],[Player ID]],0)),"")</f>
        <v>San Juan Coqui</v>
      </c>
      <c r="AC220" s="50">
        <f>IF(Table5[[#This Row],[Ovr]]="","",IF(Table5[[#This Row],[cmbList]]="","",Table5[[#This Row],[cmbList]]-Table5[[#This Row],[Ovr]]))</f>
        <v>1250</v>
      </c>
      <c r="AD220" s="54" t="str">
        <f>IF(ISERROR(VLOOKUP($AB220&amp;"-"&amp;$E220&amp;" "&amp;F220,Bonuses!$B$1:$G$1006,4,FALSE)),"",INT(VLOOKUP($AB220&amp;"-"&amp;$E220&amp;" "&amp;$F220,Bonuses!$B$1:$G$1006,4,FALSE)))</f>
        <v/>
      </c>
      <c r="AE2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7.28 (216) - SS Hikaru Goto</v>
      </c>
    </row>
    <row r="221" spans="1:31" s="50" customFormat="1" x14ac:dyDescent="0.25">
      <c r="A221" s="68">
        <v>17793</v>
      </c>
      <c r="B221" s="69">
        <f>COUNTIF(Table5[PID],A221)</f>
        <v>1</v>
      </c>
      <c r="C221" s="69" t="str">
        <f>IF(COUNTIF(Table3[[#All],[PID]],A221)&gt;0,"P","B")</f>
        <v>P</v>
      </c>
      <c r="D221" s="59" t="str">
        <f>IF($C221="B",INDEX(Batters[[#All],[POS]],MATCH(Table5[[#This Row],[PID]],Batters[[#All],[PID]],0)),INDEX(Table3[[#All],[POS]],MATCH(Table5[[#This Row],[PID]],Table3[[#All],[PID]],0)))</f>
        <v>SP</v>
      </c>
      <c r="E221" s="52" t="str">
        <f>IF($C221="B",INDEX(Batters[[#All],[First]],MATCH(Table5[[#This Row],[PID]],Batters[[#All],[PID]],0)),INDEX(Table3[[#All],[First]],MATCH(Table5[[#This Row],[PID]],Table3[[#All],[PID]],0)))</f>
        <v>Seinosuke</v>
      </c>
      <c r="F221" s="55" t="str">
        <f>IF($C221="B",INDEX(Batters[[#All],[Last]],MATCH(A221,Batters[[#All],[PID]],0)),INDEX(Table3[[#All],[Last]],MATCH(A221,Table3[[#All],[PID]],0)))</f>
        <v>Ichikawa</v>
      </c>
      <c r="G221" s="56">
        <f>IF($C221="B",INDEX(Batters[[#All],[Age]],MATCH(Table5[[#This Row],[PID]],Batters[[#All],[PID]],0)),INDEX(Table3[[#All],[Age]],MATCH(Table5[[#This Row],[PID]],Table3[[#All],[PID]],0)))</f>
        <v>21</v>
      </c>
      <c r="H221" s="52" t="str">
        <f>IF($C221="B",INDEX(Batters[[#All],[B]],MATCH(Table5[[#This Row],[PID]],Batters[[#All],[PID]],0)),INDEX(Table3[[#All],[B]],MATCH(Table5[[#This Row],[PID]],Table3[[#All],[PID]],0)))</f>
        <v>R</v>
      </c>
      <c r="I221" s="52" t="str">
        <f>IF($C221="B",INDEX(Batters[[#All],[T]],MATCH(Table5[[#This Row],[PID]],Batters[[#All],[PID]],0)),INDEX(Table3[[#All],[T]],MATCH(Table5[[#This Row],[PID]],Table3[[#All],[PID]],0)))</f>
        <v>R</v>
      </c>
      <c r="J221" s="71" t="str">
        <f>IF($C221="B",INDEX(Batters[[#All],[WE]],MATCH(Table5[[#This Row],[PID]],Batters[[#All],[PID]],0)),INDEX(Table3[[#All],[WE]],MATCH(Table5[[#This Row],[PID]],Table3[[#All],[PID]],0)))</f>
        <v>Normal</v>
      </c>
      <c r="K221" s="52" t="str">
        <f>IF($C221="B",INDEX(Batters[[#All],[INT]],MATCH(Table5[[#This Row],[PID]],Batters[[#All],[PID]],0)),INDEX(Table3[[#All],[INT]],MATCH(Table5[[#This Row],[PID]],Table3[[#All],[PID]],0)))</f>
        <v>Low</v>
      </c>
      <c r="L221" s="60">
        <f>IF($C221="B",INDEX(Batters[[#All],[CON P]],MATCH(Table5[[#This Row],[PID]],Batters[[#All],[PID]],0)),INDEX(Table3[[#All],[STU P]],MATCH(Table5[[#This Row],[PID]],Table3[[#All],[PID]],0)))</f>
        <v>6</v>
      </c>
      <c r="M221" s="72">
        <f>IF($C221="B",INDEX(Batters[[#All],[GAP P]],MATCH(Table5[[#This Row],[PID]],Batters[[#All],[PID]],0)),INDEX(Table3[[#All],[MOV P]],MATCH(Table5[[#This Row],[PID]],Table3[[#All],[PID]],0)))</f>
        <v>5</v>
      </c>
      <c r="N221" s="72">
        <f>IF($C221="B",INDEX(Batters[[#All],[POW P]],MATCH(Table5[[#This Row],[PID]],Batters[[#All],[PID]],0)),INDEX(Table3[[#All],[CON P]],MATCH(Table5[[#This Row],[PID]],Table3[[#All],[PID]],0)))</f>
        <v>4</v>
      </c>
      <c r="O221" s="72" t="str">
        <f>IF($C221="B",INDEX(Batters[[#All],[EYE P]],MATCH(Table5[[#This Row],[PID]],Batters[[#All],[PID]],0)),INDEX(Table3[[#All],[VELO]],MATCH(Table5[[#This Row],[PID]],Table3[[#All],[PID]],0)))</f>
        <v>94-96 Mph</v>
      </c>
      <c r="P221" s="56">
        <f>IF($C221="B",INDEX(Batters[[#All],[K P]],MATCH(Table5[[#This Row],[PID]],Batters[[#All],[PID]],0)),INDEX(Table3[[#All],[STM]],MATCH(Table5[[#This Row],[PID]],Table3[[#All],[PID]],0)))</f>
        <v>4</v>
      </c>
      <c r="Q221" s="61">
        <f>IF($C221="B",INDEX(Batters[[#All],[Tot]],MATCH(Table5[[#This Row],[PID]],Batters[[#All],[PID]],0)),INDEX(Table3[[#All],[Tot]],MATCH(Table5[[#This Row],[PID]],Table3[[#All],[PID]],0)))</f>
        <v>54.563415214444902</v>
      </c>
      <c r="R221" s="52">
        <f>IF($C221="B",INDEX(Batters[[#All],[zScore]],MATCH(Table5[[#This Row],[PID]],Batters[[#All],[PID]],0)),INDEX(Table3[[#All],[zScore]],MATCH(Table5[[#This Row],[PID]],Table3[[#All],[PID]],0)))</f>
        <v>1.243609351806942</v>
      </c>
      <c r="S221" s="78" t="str">
        <f>IF($C221="B",INDEX(Batters[[#All],[DEM]],MATCH(Table5[[#This Row],[PID]],Batters[[#All],[PID]],0)),INDEX(Table3[[#All],[DEM]],MATCH(Table5[[#This Row],[PID]],Table3[[#All],[PID]],0)))</f>
        <v>$140k</v>
      </c>
      <c r="T221" s="75">
        <f>IF($C221="B",INDEX(Batters[[#All],[Rnk]],MATCH(Table5[[#This Row],[PID]],Batters[[#All],[PID]],0)),INDEX(Table3[[#All],[Rnk]],MATCH(Table5[[#This Row],[PID]],Table3[[#All],[PID]],0)))</f>
        <v>109</v>
      </c>
      <c r="U221" s="68">
        <f>IF($C221="B",VLOOKUP($A221,Bat!$A$4:$BA$1621,47,FALSE),VLOOKUP($A221,Pit!$A$4:$BF$1557,56,FALSE))</f>
        <v>0</v>
      </c>
      <c r="V221" s="50">
        <f>IF($C221="B",VLOOKUP($A221,Bat!$A$4:$BA$1621,48,FALSE),VLOOKUP($A221,Pit!$A$4:$BF$1557,57,FALSE))</f>
        <v>0</v>
      </c>
      <c r="W221" s="69">
        <f>Table5[[#This Row],[posRnk]]+Table5[[#This Row],[zRnk]]+IF($W$3&lt;&gt;Table5[[#This Row],[Type]],50,0)</f>
        <v>333</v>
      </c>
      <c r="X221" s="73">
        <f>RANK(Table5[[#This Row],[zScore]],Table5[[#All],[zScore]])</f>
        <v>174</v>
      </c>
      <c r="Y221" s="69">
        <f>IFERROR(INDEX(DraftResults[[#All],[OVR]],MATCH(Table5[[#This Row],[PID]],DraftResults[[#All],[Player ID]],0)),"")</f>
        <v>217</v>
      </c>
      <c r="Z22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21" s="69">
        <f>IFERROR(INDEX(DraftResults[[#All],[Pick in Round]],MATCH(Table5[[#This Row],[PID]],DraftResults[[#All],[Player ID]],0)),"")</f>
        <v>29</v>
      </c>
      <c r="AB221" s="69" t="str">
        <f>IFERROR(INDEX(DraftResults[[#All],[Team Name]],MATCH(Table5[[#This Row],[PID]],DraftResults[[#All],[Player ID]],0)),"")</f>
        <v>Havana Leones</v>
      </c>
      <c r="AC221" s="69">
        <f>IF(Table5[[#This Row],[Ovr]]="","",IF(Table5[[#This Row],[cmbList]]="","",Table5[[#This Row],[cmbList]]-Table5[[#This Row],[Ovr]]))</f>
        <v>116</v>
      </c>
      <c r="AD221" s="77" t="str">
        <f>IF(ISERROR(VLOOKUP($AB221&amp;"-"&amp;$E221&amp;" "&amp;F221,Bonuses!$B$1:$G$1006,4,FALSE)),"",INT(VLOOKUP($AB221&amp;"-"&amp;$E221&amp;" "&amp;$F221,Bonuses!$B$1:$G$1006,4,FALSE)))</f>
        <v/>
      </c>
      <c r="AE22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7.29 (217) - SP Seinosuke Ichikawa</v>
      </c>
    </row>
    <row r="222" spans="1:31" s="50" customFormat="1" x14ac:dyDescent="0.25">
      <c r="A222" s="68">
        <v>18370</v>
      </c>
      <c r="B222" s="69">
        <f>COUNTIF(Table5[PID],A222)</f>
        <v>1</v>
      </c>
      <c r="C222" s="69" t="str">
        <f>IF(COUNTIF(Table3[[#All],[PID]],A222)&gt;0,"P","B")</f>
        <v>P</v>
      </c>
      <c r="D222" s="59" t="str">
        <f>IF($C222="B",INDEX(Batters[[#All],[POS]],MATCH(Table5[[#This Row],[PID]],Batters[[#All],[PID]],0)),INDEX(Table3[[#All],[POS]],MATCH(Table5[[#This Row],[PID]],Table3[[#All],[PID]],0)))</f>
        <v>SP</v>
      </c>
      <c r="E222" s="52" t="str">
        <f>IF($C222="B",INDEX(Batters[[#All],[First]],MATCH(Table5[[#This Row],[PID]],Batters[[#All],[PID]],0)),INDEX(Table3[[#All],[First]],MATCH(Table5[[#This Row],[PID]],Table3[[#All],[PID]],0)))</f>
        <v>Ángel</v>
      </c>
      <c r="F222" s="55" t="str">
        <f>IF($C222="B",INDEX(Batters[[#All],[Last]],MATCH(A222,Batters[[#All],[PID]],0)),INDEX(Table3[[#All],[Last]],MATCH(A222,Table3[[#All],[PID]],0)))</f>
        <v>Borges</v>
      </c>
      <c r="G222" s="56">
        <f>IF($C222="B",INDEX(Batters[[#All],[Age]],MATCH(Table5[[#This Row],[PID]],Batters[[#All],[PID]],0)),INDEX(Table3[[#All],[Age]],MATCH(Table5[[#This Row],[PID]],Table3[[#All],[PID]],0)))</f>
        <v>18</v>
      </c>
      <c r="H222" s="52" t="str">
        <f>IF($C222="B",INDEX(Batters[[#All],[B]],MATCH(Table5[[#This Row],[PID]],Batters[[#All],[PID]],0)),INDEX(Table3[[#All],[B]],MATCH(Table5[[#This Row],[PID]],Table3[[#All],[PID]],0)))</f>
        <v>R</v>
      </c>
      <c r="I222" s="52" t="str">
        <f>IF($C222="B",INDEX(Batters[[#All],[T]],MATCH(Table5[[#This Row],[PID]],Batters[[#All],[PID]],0)),INDEX(Table3[[#All],[T]],MATCH(Table5[[#This Row],[PID]],Table3[[#All],[PID]],0)))</f>
        <v>R</v>
      </c>
      <c r="J222" s="71" t="str">
        <f>IF($C222="B",INDEX(Batters[[#All],[WE]],MATCH(Table5[[#This Row],[PID]],Batters[[#All],[PID]],0)),INDEX(Table3[[#All],[WE]],MATCH(Table5[[#This Row],[PID]],Table3[[#All],[PID]],0)))</f>
        <v>Low</v>
      </c>
      <c r="K222" s="52" t="str">
        <f>IF($C222="B",INDEX(Batters[[#All],[INT]],MATCH(Table5[[#This Row],[PID]],Batters[[#All],[PID]],0)),INDEX(Table3[[#All],[INT]],MATCH(Table5[[#This Row],[PID]],Table3[[#All],[PID]],0)))</f>
        <v>Normal</v>
      </c>
      <c r="L222" s="60">
        <f>IF($C222="B",INDEX(Batters[[#All],[CON P]],MATCH(Table5[[#This Row],[PID]],Batters[[#All],[PID]],0)),INDEX(Table3[[#All],[STU P]],MATCH(Table5[[#This Row],[PID]],Table3[[#All],[PID]],0)))</f>
        <v>5</v>
      </c>
      <c r="M222" s="72">
        <f>IF($C222="B",INDEX(Batters[[#All],[GAP P]],MATCH(Table5[[#This Row],[PID]],Batters[[#All],[PID]],0)),INDEX(Table3[[#All],[MOV P]],MATCH(Table5[[#This Row],[PID]],Table3[[#All],[PID]],0)))</f>
        <v>3</v>
      </c>
      <c r="N222" s="72">
        <f>IF($C222="B",INDEX(Batters[[#All],[POW P]],MATCH(Table5[[#This Row],[PID]],Batters[[#All],[PID]],0)),INDEX(Table3[[#All],[CON P]],MATCH(Table5[[#This Row],[PID]],Table3[[#All],[PID]],0)))</f>
        <v>5</v>
      </c>
      <c r="O222" s="72" t="str">
        <f>IF($C222="B",INDEX(Batters[[#All],[EYE P]],MATCH(Table5[[#This Row],[PID]],Batters[[#All],[PID]],0)),INDEX(Table3[[#All],[VELO]],MATCH(Table5[[#This Row],[PID]],Table3[[#All],[PID]],0)))</f>
        <v>89-91 Mph</v>
      </c>
      <c r="P222" s="56">
        <f>IF($C222="B",INDEX(Batters[[#All],[K P]],MATCH(Table5[[#This Row],[PID]],Batters[[#All],[PID]],0)),INDEX(Table3[[#All],[STM]],MATCH(Table5[[#This Row],[PID]],Table3[[#All],[PID]],0)))</f>
        <v>7</v>
      </c>
      <c r="Q222" s="61">
        <f>IF($C222="B",INDEX(Batters[[#All],[Tot]],MATCH(Table5[[#This Row],[PID]],Batters[[#All],[PID]],0)),INDEX(Table3[[#All],[Tot]],MATCH(Table5[[#This Row],[PID]],Table3[[#All],[PID]],0)))</f>
        <v>55.794622031459554</v>
      </c>
      <c r="R222" s="52">
        <f>IF($C222="B",INDEX(Batters[[#All],[zScore]],MATCH(Table5[[#This Row],[PID]],Batters[[#All],[PID]],0)),INDEX(Table3[[#All],[zScore]],MATCH(Table5[[#This Row],[PID]],Table3[[#All],[PID]],0)))</f>
        <v>1.3255196599249033</v>
      </c>
      <c r="S222" s="78" t="str">
        <f>IF($C222="B",INDEX(Batters[[#All],[DEM]],MATCH(Table5[[#This Row],[PID]],Batters[[#All],[PID]],0)),INDEX(Table3[[#All],[DEM]],MATCH(Table5[[#This Row],[PID]],Table3[[#All],[PID]],0)))</f>
        <v>$420k</v>
      </c>
      <c r="T222" s="75">
        <f>IF($C222="B",INDEX(Batters[[#All],[Rnk]],MATCH(Table5[[#This Row],[PID]],Batters[[#All],[PID]],0)),INDEX(Table3[[#All],[Rnk]],MATCH(Table5[[#This Row],[PID]],Table3[[#All],[PID]],0)))</f>
        <v>99</v>
      </c>
      <c r="U222" s="68">
        <f>IF($C222="B",VLOOKUP($A222,Bat!$A$4:$BA$1621,47,FALSE),VLOOKUP($A222,Pit!$A$4:$BF$1557,56,FALSE))</f>
        <v>0</v>
      </c>
      <c r="V222" s="50">
        <f>IF($C222="B",VLOOKUP($A222,Bat!$A$4:$BA$1621,48,FALSE),VLOOKUP($A222,Pit!$A$4:$BF$1557,57,FALSE))</f>
        <v>0</v>
      </c>
      <c r="W222" s="69">
        <f>Table5[[#This Row],[posRnk]]+Table5[[#This Row],[zRnk]]+IF($W$3&lt;&gt;Table5[[#This Row],[Type]],50,0)</f>
        <v>303</v>
      </c>
      <c r="X222" s="73">
        <f>RANK(Table5[[#This Row],[zScore]],Table5[[#All],[zScore]])</f>
        <v>154</v>
      </c>
      <c r="Y222" s="69">
        <f>IFERROR(INDEX(DraftResults[[#All],[OVR]],MATCH(Table5[[#This Row],[PID]],DraftResults[[#All],[Player ID]],0)),"")</f>
        <v>218</v>
      </c>
      <c r="Z22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7</v>
      </c>
      <c r="AA222" s="69">
        <f>IFERROR(INDEX(DraftResults[[#All],[Pick in Round]],MATCH(Table5[[#This Row],[PID]],DraftResults[[#All],[Player ID]],0)),"")</f>
        <v>30</v>
      </c>
      <c r="AB222" s="69" t="str">
        <f>IFERROR(INDEX(DraftResults[[#All],[Team Name]],MATCH(Table5[[#This Row],[PID]],DraftResults[[#All],[Player ID]],0)),"")</f>
        <v>Kalamazoo Badgers</v>
      </c>
      <c r="AC222" s="69">
        <f>IF(Table5[[#This Row],[Ovr]]="","",IF(Table5[[#This Row],[cmbList]]="","",Table5[[#This Row],[cmbList]]-Table5[[#This Row],[Ovr]]))</f>
        <v>85</v>
      </c>
      <c r="AD222" s="77" t="str">
        <f>IF(ISERROR(VLOOKUP($AB222&amp;"-"&amp;$E222&amp;" "&amp;F222,Bonuses!$B$1:$G$1006,4,FALSE)),"",INT(VLOOKUP($AB222&amp;"-"&amp;$E222&amp;" "&amp;$F222,Bonuses!$B$1:$G$1006,4,FALSE)))</f>
        <v/>
      </c>
      <c r="AE22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7.30 (218) - SP Ángel Borges</v>
      </c>
    </row>
    <row r="223" spans="1:31" s="50" customFormat="1" x14ac:dyDescent="0.25">
      <c r="A223" s="50">
        <v>18253</v>
      </c>
      <c r="B223" s="50">
        <f>COUNTIF(Table5[PID],A223)</f>
        <v>1</v>
      </c>
      <c r="C223" s="50" t="str">
        <f>IF(COUNTIF(Table3[[#All],[PID]],A223)&gt;0,"P","B")</f>
        <v>P</v>
      </c>
      <c r="D223" s="59" t="str">
        <f>IF($C223="B",INDEX(Batters[[#All],[POS]],MATCH(Table5[[#This Row],[PID]],Batters[[#All],[PID]],0)),INDEX(Table3[[#All],[POS]],MATCH(Table5[[#This Row],[PID]],Table3[[#All],[PID]],0)))</f>
        <v>CL</v>
      </c>
      <c r="E223" s="52" t="str">
        <f>IF($C223="B",INDEX(Batters[[#All],[First]],MATCH(Table5[[#This Row],[PID]],Batters[[#All],[PID]],0)),INDEX(Table3[[#All],[First]],MATCH(Table5[[#This Row],[PID]],Table3[[#All],[PID]],0)))</f>
        <v>Wallace</v>
      </c>
      <c r="F223" s="50" t="str">
        <f>IF($C223="B",INDEX(Batters[[#All],[Last]],MATCH(A223,Batters[[#All],[PID]],0)),INDEX(Table3[[#All],[Last]],MATCH(A223,Table3[[#All],[PID]],0)))</f>
        <v>Hart</v>
      </c>
      <c r="G223" s="56">
        <f>IF($C223="B",INDEX(Batters[[#All],[Age]],MATCH(Table5[[#This Row],[PID]],Batters[[#All],[PID]],0)),INDEX(Table3[[#All],[Age]],MATCH(Table5[[#This Row],[PID]],Table3[[#All],[PID]],0)))</f>
        <v>18</v>
      </c>
      <c r="H223" s="52" t="str">
        <f>IF($C223="B",INDEX(Batters[[#All],[B]],MATCH(Table5[[#This Row],[PID]],Batters[[#All],[PID]],0)),INDEX(Table3[[#All],[B]],MATCH(Table5[[#This Row],[PID]],Table3[[#All],[PID]],0)))</f>
        <v>R</v>
      </c>
      <c r="I223" s="52" t="str">
        <f>IF($C223="B",INDEX(Batters[[#All],[T]],MATCH(Table5[[#This Row],[PID]],Batters[[#All],[PID]],0)),INDEX(Table3[[#All],[T]],MATCH(Table5[[#This Row],[PID]],Table3[[#All],[PID]],0)))</f>
        <v>R</v>
      </c>
      <c r="J223" s="52" t="str">
        <f>IF($C223="B",INDEX(Batters[[#All],[WE]],MATCH(Table5[[#This Row],[PID]],Batters[[#All],[PID]],0)),INDEX(Table3[[#All],[WE]],MATCH(Table5[[#This Row],[PID]],Table3[[#All],[PID]],0)))</f>
        <v>High</v>
      </c>
      <c r="K223" s="52" t="str">
        <f>IF($C223="B",INDEX(Batters[[#All],[INT]],MATCH(Table5[[#This Row],[PID]],Batters[[#All],[PID]],0)),INDEX(Table3[[#All],[INT]],MATCH(Table5[[#This Row],[PID]],Table3[[#All],[PID]],0)))</f>
        <v>Normal</v>
      </c>
      <c r="L223" s="60">
        <f>IF($C223="B",INDEX(Batters[[#All],[CON P]],MATCH(Table5[[#This Row],[PID]],Batters[[#All],[PID]],0)),INDEX(Table3[[#All],[STU P]],MATCH(Table5[[#This Row],[PID]],Table3[[#All],[PID]],0)))</f>
        <v>4</v>
      </c>
      <c r="M223" s="56">
        <f>IF($C223="B",INDEX(Batters[[#All],[GAP P]],MATCH(Table5[[#This Row],[PID]],Batters[[#All],[PID]],0)),INDEX(Table3[[#All],[MOV P]],MATCH(Table5[[#This Row],[PID]],Table3[[#All],[PID]],0)))</f>
        <v>5</v>
      </c>
      <c r="N223" s="56">
        <f>IF($C223="B",INDEX(Batters[[#All],[POW P]],MATCH(Table5[[#This Row],[PID]],Batters[[#All],[PID]],0)),INDEX(Table3[[#All],[CON P]],MATCH(Table5[[#This Row],[PID]],Table3[[#All],[PID]],0)))</f>
        <v>6</v>
      </c>
      <c r="O223" s="56" t="str">
        <f>IF($C223="B",INDEX(Batters[[#All],[EYE P]],MATCH(Table5[[#This Row],[PID]],Batters[[#All],[PID]],0)),INDEX(Table3[[#All],[VELO]],MATCH(Table5[[#This Row],[PID]],Table3[[#All],[PID]],0)))</f>
        <v>84-86 Mph</v>
      </c>
      <c r="P223" s="56">
        <f>IF($C223="B",INDEX(Batters[[#All],[K P]],MATCH(Table5[[#This Row],[PID]],Batters[[#All],[PID]],0)),INDEX(Table3[[#All],[STM]],MATCH(Table5[[#This Row],[PID]],Table3[[#All],[PID]],0)))</f>
        <v>6</v>
      </c>
      <c r="Q223" s="61">
        <f>IF($C223="B",INDEX(Batters[[#All],[Tot]],MATCH(Table5[[#This Row],[PID]],Batters[[#All],[PID]],0)),INDEX(Table3[[#All],[Tot]],MATCH(Table5[[#This Row],[PID]],Table3[[#All],[PID]],0)))</f>
        <v>60.215957207196453</v>
      </c>
      <c r="R223" s="52">
        <f>IF($C223="B",INDEX(Batters[[#All],[zScore]],MATCH(Table5[[#This Row],[PID]],Batters[[#All],[PID]],0)),INDEX(Table3[[#All],[zScore]],MATCH(Table5[[#This Row],[PID]],Table3[[#All],[PID]],0)))</f>
        <v>1.6196643328853031</v>
      </c>
      <c r="S223" s="58" t="str">
        <f>IF($C223="B",INDEX(Batters[[#All],[DEM]],MATCH(Table5[[#This Row],[PID]],Batters[[#All],[PID]],0)),INDEX(Table3[[#All],[DEM]],MATCH(Table5[[#This Row],[PID]],Table3[[#All],[PID]],0)))</f>
        <v>$38k</v>
      </c>
      <c r="T223" s="62">
        <f>IF($C223="B",INDEX(Batters[[#All],[Rnk]],MATCH(Table5[[#This Row],[PID]],Batters[[#All],[PID]],0)),INDEX(Table3[[#All],[Rnk]],MATCH(Table5[[#This Row],[PID]],Table3[[#All],[PID]],0)))</f>
        <v>64</v>
      </c>
      <c r="U223" s="68">
        <f>IF($C223="B",VLOOKUP($A223,Bat!$A$4:$BA$1621,47,FALSE),VLOOKUP($A223,Pit!$A$4:$BF$1557,56,FALSE))</f>
        <v>0</v>
      </c>
      <c r="V223" s="50">
        <f>IF($C223="B",VLOOKUP($A223,Bat!$A$4:$BA$1621,48,FALSE),VLOOKUP($A223,Pit!$A$4:$BF$1557,57,FALSE))</f>
        <v>0</v>
      </c>
      <c r="W223" s="50">
        <f>Table5[[#This Row],[posRnk]]+Table5[[#This Row],[zRnk]]+IF($W$3&lt;&gt;Table5[[#This Row],[Type]],50,0)</f>
        <v>214</v>
      </c>
      <c r="X223" s="51">
        <f>RANK(Table5[[#This Row],[zScore]],Table5[[#All],[zScore]])</f>
        <v>100</v>
      </c>
      <c r="Y223" s="50">
        <f>IFERROR(INDEX(DraftResults[[#All],[OVR]],MATCH(Table5[[#This Row],[PID]],DraftResults[[#All],[Player ID]],0)),"")</f>
        <v>219</v>
      </c>
      <c r="Z2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3" s="50">
        <f>IFERROR(INDEX(DraftResults[[#All],[Pick in Round]],MATCH(Table5[[#This Row],[PID]],DraftResults[[#All],[Player ID]],0)),"")</f>
        <v>1</v>
      </c>
      <c r="AB223" s="50" t="str">
        <f>IFERROR(INDEX(DraftResults[[#All],[Team Name]],MATCH(Table5[[#This Row],[PID]],DraftResults[[#All],[Player ID]],0)),"")</f>
        <v>Yuma Arroyos</v>
      </c>
      <c r="AC223" s="50">
        <f>IF(Table5[[#This Row],[Ovr]]="","",IF(Table5[[#This Row],[cmbList]]="","",Table5[[#This Row],[cmbList]]-Table5[[#This Row],[Ovr]]))</f>
        <v>-5</v>
      </c>
      <c r="AD223" s="54" t="str">
        <f>IF(ISERROR(VLOOKUP($AB223&amp;"-"&amp;$E223&amp;" "&amp;F223,Bonuses!$B$1:$G$1006,4,FALSE)),"",INT(VLOOKUP($AB223&amp;"-"&amp;$E223&amp;" "&amp;$F223,Bonuses!$B$1:$G$1006,4,FALSE)))</f>
        <v/>
      </c>
      <c r="AE2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 (219) - CL Wallace Hart</v>
      </c>
    </row>
    <row r="224" spans="1:31" s="50" customFormat="1" x14ac:dyDescent="0.25">
      <c r="A224" s="68">
        <v>18289</v>
      </c>
      <c r="B224" s="69">
        <f>COUNTIF(Table5[PID],A224)</f>
        <v>1</v>
      </c>
      <c r="C224" s="69" t="str">
        <f>IF(COUNTIF(Table3[[#All],[PID]],A224)&gt;0,"P","B")</f>
        <v>P</v>
      </c>
      <c r="D224" s="59" t="str">
        <f>IF($C224="B",INDEX(Batters[[#All],[POS]],MATCH(Table5[[#This Row],[PID]],Batters[[#All],[PID]],0)),INDEX(Table3[[#All],[POS]],MATCH(Table5[[#This Row],[PID]],Table3[[#All],[PID]],0)))</f>
        <v>SP</v>
      </c>
      <c r="E224" s="52" t="str">
        <f>IF($C224="B",INDEX(Batters[[#All],[First]],MATCH(Table5[[#This Row],[PID]],Batters[[#All],[PID]],0)),INDEX(Table3[[#All],[First]],MATCH(Table5[[#This Row],[PID]],Table3[[#All],[PID]],0)))</f>
        <v>Mitsuo</v>
      </c>
      <c r="F224" s="55" t="str">
        <f>IF($C224="B",INDEX(Batters[[#All],[Last]],MATCH(A224,Batters[[#All],[PID]],0)),INDEX(Table3[[#All],[Last]],MATCH(A224,Table3[[#All],[PID]],0)))</f>
        <v>Kikuchi</v>
      </c>
      <c r="G224" s="56">
        <f>IF($C224="B",INDEX(Batters[[#All],[Age]],MATCH(Table5[[#This Row],[PID]],Batters[[#All],[PID]],0)),INDEX(Table3[[#All],[Age]],MATCH(Table5[[#This Row],[PID]],Table3[[#All],[PID]],0)))</f>
        <v>21</v>
      </c>
      <c r="H224" s="52" t="str">
        <f>IF($C224="B",INDEX(Batters[[#All],[B]],MATCH(Table5[[#This Row],[PID]],Batters[[#All],[PID]],0)),INDEX(Table3[[#All],[B]],MATCH(Table5[[#This Row],[PID]],Table3[[#All],[PID]],0)))</f>
        <v>L</v>
      </c>
      <c r="I224" s="52" t="str">
        <f>IF($C224="B",INDEX(Batters[[#All],[T]],MATCH(Table5[[#This Row],[PID]],Batters[[#All],[PID]],0)),INDEX(Table3[[#All],[T]],MATCH(Table5[[#This Row],[PID]],Table3[[#All],[PID]],0)))</f>
        <v>R</v>
      </c>
      <c r="J224" s="71" t="str">
        <f>IF($C224="B",INDEX(Batters[[#All],[WE]],MATCH(Table5[[#This Row],[PID]],Batters[[#All],[PID]],0)),INDEX(Table3[[#All],[WE]],MATCH(Table5[[#This Row],[PID]],Table3[[#All],[PID]],0)))</f>
        <v>Normal</v>
      </c>
      <c r="K224" s="52" t="str">
        <f>IF($C224="B",INDEX(Batters[[#All],[INT]],MATCH(Table5[[#This Row],[PID]],Batters[[#All],[PID]],0)),INDEX(Table3[[#All],[INT]],MATCH(Table5[[#This Row],[PID]],Table3[[#All],[PID]],0)))</f>
        <v>Normal</v>
      </c>
      <c r="L224" s="60">
        <f>IF($C224="B",INDEX(Batters[[#All],[CON P]],MATCH(Table5[[#This Row],[PID]],Batters[[#All],[PID]],0)),INDEX(Table3[[#All],[STU P]],MATCH(Table5[[#This Row],[PID]],Table3[[#All],[PID]],0)))</f>
        <v>5</v>
      </c>
      <c r="M224" s="72">
        <f>IF($C224="B",INDEX(Batters[[#All],[GAP P]],MATCH(Table5[[#This Row],[PID]],Batters[[#All],[PID]],0)),INDEX(Table3[[#All],[MOV P]],MATCH(Table5[[#This Row],[PID]],Table3[[#All],[PID]],0)))</f>
        <v>7</v>
      </c>
      <c r="N224" s="72">
        <f>IF($C224="B",INDEX(Batters[[#All],[POW P]],MATCH(Table5[[#This Row],[PID]],Batters[[#All],[PID]],0)),INDEX(Table3[[#All],[CON P]],MATCH(Table5[[#This Row],[PID]],Table3[[#All],[PID]],0)))</f>
        <v>3</v>
      </c>
      <c r="O224" s="72" t="str">
        <f>IF($C224="B",INDEX(Batters[[#All],[EYE P]],MATCH(Table5[[#This Row],[PID]],Batters[[#All],[PID]],0)),INDEX(Table3[[#All],[VELO]],MATCH(Table5[[#This Row],[PID]],Table3[[#All],[PID]],0)))</f>
        <v>93-95 Mph</v>
      </c>
      <c r="P224" s="56">
        <f>IF($C224="B",INDEX(Batters[[#All],[K P]],MATCH(Table5[[#This Row],[PID]],Batters[[#All],[PID]],0)),INDEX(Table3[[#All],[STM]],MATCH(Table5[[#This Row],[PID]],Table3[[#All],[PID]],0)))</f>
        <v>4</v>
      </c>
      <c r="Q224" s="61">
        <f>IF($C224="B",INDEX(Batters[[#All],[Tot]],MATCH(Table5[[#This Row],[PID]],Batters[[#All],[PID]],0)),INDEX(Table3[[#All],[Tot]],MATCH(Table5[[#This Row],[PID]],Table3[[#All],[PID]],0)))</f>
        <v>52.72177554668707</v>
      </c>
      <c r="R224" s="52">
        <f>IF($C224="B",INDEX(Batters[[#All],[zScore]],MATCH(Table5[[#This Row],[PID]],Batters[[#All],[PID]],0)),INDEX(Table3[[#All],[zScore]],MATCH(Table5[[#This Row],[PID]],Table3[[#All],[PID]],0)))</f>
        <v>1.1210878789368737</v>
      </c>
      <c r="S224" s="78" t="str">
        <f>IF($C224="B",INDEX(Batters[[#All],[DEM]],MATCH(Table5[[#This Row],[PID]],Batters[[#All],[PID]],0)),INDEX(Table3[[#All],[DEM]],MATCH(Table5[[#This Row],[PID]],Table3[[#All],[PID]],0)))</f>
        <v>$20k</v>
      </c>
      <c r="T224" s="75">
        <f>IF($C224="B",INDEX(Batters[[#All],[Rnk]],MATCH(Table5[[#This Row],[PID]],Batters[[#All],[PID]],0)),INDEX(Table3[[#All],[Rnk]],MATCH(Table5[[#This Row],[PID]],Table3[[#All],[PID]],0)))</f>
        <v>123</v>
      </c>
      <c r="U224" s="68">
        <f>IF($C224="B",VLOOKUP($A224,Bat!$A$4:$BA$1621,47,FALSE),VLOOKUP($A224,Pit!$A$4:$BF$1557,56,FALSE))</f>
        <v>0</v>
      </c>
      <c r="V224" s="50">
        <f>IF($C224="B",VLOOKUP($A224,Bat!$A$4:$BA$1621,48,FALSE),VLOOKUP($A224,Pit!$A$4:$BF$1557,57,FALSE))</f>
        <v>0</v>
      </c>
      <c r="W224" s="69">
        <f>Table5[[#This Row],[posRnk]]+Table5[[#This Row],[zRnk]]+IF($W$3&lt;&gt;Table5[[#This Row],[Type]],50,0)</f>
        <v>378</v>
      </c>
      <c r="X224" s="73">
        <f>RANK(Table5[[#This Row],[zScore]],Table5[[#All],[zScore]])</f>
        <v>205</v>
      </c>
      <c r="Y224" s="69">
        <f>IFERROR(INDEX(DraftResults[[#All],[OVR]],MATCH(Table5[[#This Row],[PID]],DraftResults[[#All],[Player ID]],0)),"")</f>
        <v>220</v>
      </c>
      <c r="Z22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4" s="69">
        <f>IFERROR(INDEX(DraftResults[[#All],[Pick in Round]],MATCH(Table5[[#This Row],[PID]],DraftResults[[#All],[Player ID]],0)),"")</f>
        <v>2</v>
      </c>
      <c r="AB224" s="69" t="str">
        <f>IFERROR(INDEX(DraftResults[[#All],[Team Name]],MATCH(Table5[[#This Row],[PID]],DraftResults[[#All],[Player ID]],0)),"")</f>
        <v>Charleston Statesmen</v>
      </c>
      <c r="AC224" s="69">
        <f>IF(Table5[[#This Row],[Ovr]]="","",IF(Table5[[#This Row],[cmbList]]="","",Table5[[#This Row],[cmbList]]-Table5[[#This Row],[Ovr]]))</f>
        <v>158</v>
      </c>
      <c r="AD224" s="77" t="str">
        <f>IF(ISERROR(VLOOKUP($AB224&amp;"-"&amp;$E224&amp;" "&amp;F224,Bonuses!$B$1:$G$1006,4,FALSE)),"",INT(VLOOKUP($AB224&amp;"-"&amp;$E224&amp;" "&amp;$F224,Bonuses!$B$1:$G$1006,4,FALSE)))</f>
        <v/>
      </c>
      <c r="AE22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 (220) - SP Mitsuo Kikuchi</v>
      </c>
    </row>
    <row r="225" spans="1:31" s="50" customFormat="1" x14ac:dyDescent="0.25">
      <c r="A225" s="50">
        <v>20540</v>
      </c>
      <c r="B225" s="50">
        <f>COUNTIF(Table5[PID],A225)</f>
        <v>1</v>
      </c>
      <c r="C225" s="50" t="str">
        <f>IF(COUNTIF(Table3[[#All],[PID]],A225)&gt;0,"P","B")</f>
        <v>B</v>
      </c>
      <c r="D225" s="59" t="str">
        <f>IF($C225="B",INDEX(Batters[[#All],[POS]],MATCH(Table5[[#This Row],[PID]],Batters[[#All],[PID]],0)),INDEX(Table3[[#All],[POS]],MATCH(Table5[[#This Row],[PID]],Table3[[#All],[PID]],0)))</f>
        <v>1B</v>
      </c>
      <c r="E225" s="52" t="str">
        <f>IF($C225="B",INDEX(Batters[[#All],[First]],MATCH(Table5[[#This Row],[PID]],Batters[[#All],[PID]],0)),INDEX(Table3[[#All],[First]],MATCH(Table5[[#This Row],[PID]],Table3[[#All],[PID]],0)))</f>
        <v>Alan</v>
      </c>
      <c r="F225" s="50" t="str">
        <f>IF($C225="B",INDEX(Batters[[#All],[Last]],MATCH(A225,Batters[[#All],[PID]],0)),INDEX(Table3[[#All],[Last]],MATCH(A225,Table3[[#All],[PID]],0)))</f>
        <v>Sproule</v>
      </c>
      <c r="G225" s="56">
        <f>IF($C225="B",INDEX(Batters[[#All],[Age]],MATCH(Table5[[#This Row],[PID]],Batters[[#All],[PID]],0)),INDEX(Table3[[#All],[Age]],MATCH(Table5[[#This Row],[PID]],Table3[[#All],[PID]],0)))</f>
        <v>17</v>
      </c>
      <c r="H225" s="52" t="str">
        <f>IF($C225="B",INDEX(Batters[[#All],[B]],MATCH(Table5[[#This Row],[PID]],Batters[[#All],[PID]],0)),INDEX(Table3[[#All],[B]],MATCH(Table5[[#This Row],[PID]],Table3[[#All],[PID]],0)))</f>
        <v>L</v>
      </c>
      <c r="I225" s="52" t="str">
        <f>IF($C225="B",INDEX(Batters[[#All],[T]],MATCH(Table5[[#This Row],[PID]],Batters[[#All],[PID]],0)),INDEX(Table3[[#All],[T]],MATCH(Table5[[#This Row],[PID]],Table3[[#All],[PID]],0)))</f>
        <v>R</v>
      </c>
      <c r="J225" s="52" t="str">
        <f>IF($C225="B",INDEX(Batters[[#All],[WE]],MATCH(Table5[[#This Row],[PID]],Batters[[#All],[PID]],0)),INDEX(Table3[[#All],[WE]],MATCH(Table5[[#This Row],[PID]],Table3[[#All],[PID]],0)))</f>
        <v>Normal</v>
      </c>
      <c r="K225" s="52" t="str">
        <f>IF($C225="B",INDEX(Batters[[#All],[INT]],MATCH(Table5[[#This Row],[PID]],Batters[[#All],[PID]],0)),INDEX(Table3[[#All],[INT]],MATCH(Table5[[#This Row],[PID]],Table3[[#All],[PID]],0)))</f>
        <v>Normal</v>
      </c>
      <c r="L225" s="60">
        <f>IF($C225="B",INDEX(Batters[[#All],[CON P]],MATCH(Table5[[#This Row],[PID]],Batters[[#All],[PID]],0)),INDEX(Table3[[#All],[STU P]],MATCH(Table5[[#This Row],[PID]],Table3[[#All],[PID]],0)))</f>
        <v>4</v>
      </c>
      <c r="M225" s="56">
        <f>IF($C225="B",INDEX(Batters[[#All],[GAP P]],MATCH(Table5[[#This Row],[PID]],Batters[[#All],[PID]],0)),INDEX(Table3[[#All],[MOV P]],MATCH(Table5[[#This Row],[PID]],Table3[[#All],[PID]],0)))</f>
        <v>7</v>
      </c>
      <c r="N225" s="56">
        <f>IF($C225="B",INDEX(Batters[[#All],[POW P]],MATCH(Table5[[#This Row],[PID]],Batters[[#All],[PID]],0)),INDEX(Table3[[#All],[CON P]],MATCH(Table5[[#This Row],[PID]],Table3[[#All],[PID]],0)))</f>
        <v>7</v>
      </c>
      <c r="O225" s="56">
        <f>IF($C225="B",INDEX(Batters[[#All],[EYE P]],MATCH(Table5[[#This Row],[PID]],Batters[[#All],[PID]],0)),INDEX(Table3[[#All],[VELO]],MATCH(Table5[[#This Row],[PID]],Table3[[#All],[PID]],0)))</f>
        <v>6</v>
      </c>
      <c r="P225" s="56">
        <f>IF($C225="B",INDEX(Batters[[#All],[K P]],MATCH(Table5[[#This Row],[PID]],Batters[[#All],[PID]],0)),INDEX(Table3[[#All],[STM]],MATCH(Table5[[#This Row],[PID]],Table3[[#All],[PID]],0)))</f>
        <v>4</v>
      </c>
      <c r="Q225" s="61">
        <f>IF($C225="B",INDEX(Batters[[#All],[Tot]],MATCH(Table5[[#This Row],[PID]],Batters[[#All],[PID]],0)),INDEX(Table3[[#All],[Tot]],MATCH(Table5[[#This Row],[PID]],Table3[[#All],[PID]],0)))</f>
        <v>52.929534028734793</v>
      </c>
      <c r="R225" s="52">
        <f>IF($C225="B",INDEX(Batters[[#All],[zScore]],MATCH(Table5[[#This Row],[PID]],Batters[[#All],[PID]],0)),INDEX(Table3[[#All],[zScore]],MATCH(Table5[[#This Row],[PID]],Table3[[#All],[PID]],0)))</f>
        <v>1.9504861241028824</v>
      </c>
      <c r="S225" s="58" t="str">
        <f>IF($C225="B",INDEX(Batters[[#All],[DEM]],MATCH(Table5[[#This Row],[PID]],Batters[[#All],[PID]],0)),INDEX(Table3[[#All],[DEM]],MATCH(Table5[[#This Row],[PID]],Table3[[#All],[PID]],0)))</f>
        <v>$65k</v>
      </c>
      <c r="T225" s="62">
        <f>IF($C225="B",INDEX(Batters[[#All],[Rnk]],MATCH(Table5[[#This Row],[PID]],Batters[[#All],[PID]],0)),INDEX(Table3[[#All],[Rnk]],MATCH(Table5[[#This Row],[PID]],Table3[[#All],[PID]],0)))</f>
        <v>19</v>
      </c>
      <c r="U225" s="68">
        <f>IF($C225="B",VLOOKUP($A225,Bat!$A$4:$BA$1621,47,FALSE),VLOOKUP($A225,Pit!$A$4:$BF$1557,56,FALSE))</f>
        <v>0</v>
      </c>
      <c r="V225" s="50">
        <f>IF($C225="B",VLOOKUP($A225,Bat!$A$4:$BA$1621,48,FALSE),VLOOKUP($A225,Pit!$A$4:$BF$1557,57,FALSE))</f>
        <v>0</v>
      </c>
      <c r="W225" s="50">
        <f>Table5[[#This Row],[posRnk]]+Table5[[#This Row],[zRnk]]+IF($W$3&lt;&gt;Table5[[#This Row],[Type]],50,0)</f>
        <v>122</v>
      </c>
      <c r="X225" s="51">
        <f>RANK(Table5[[#This Row],[zScore]],Table5[[#All],[zScore]])</f>
        <v>53</v>
      </c>
      <c r="Y225" s="50">
        <f>IFERROR(INDEX(DraftResults[[#All],[OVR]],MATCH(Table5[[#This Row],[PID]],DraftResults[[#All],[Player ID]],0)),"")</f>
        <v>221</v>
      </c>
      <c r="Z2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5" s="50">
        <f>IFERROR(INDEX(DraftResults[[#All],[Pick in Round]],MATCH(Table5[[#This Row],[PID]],DraftResults[[#All],[Player ID]],0)),"")</f>
        <v>3</v>
      </c>
      <c r="AB225" s="50" t="str">
        <f>IFERROR(INDEX(DraftResults[[#All],[Team Name]],MATCH(Table5[[#This Row],[PID]],DraftResults[[#All],[Player ID]],0)),"")</f>
        <v>New Orleans Trendsetters</v>
      </c>
      <c r="AC225" s="50">
        <f>IF(Table5[[#This Row],[Ovr]]="","",IF(Table5[[#This Row],[cmbList]]="","",Table5[[#This Row],[cmbList]]-Table5[[#This Row],[Ovr]]))</f>
        <v>-99</v>
      </c>
      <c r="AD225" s="54" t="str">
        <f>IF(ISERROR(VLOOKUP($AB225&amp;"-"&amp;$E225&amp;" "&amp;F225,Bonuses!$B$1:$G$1006,4,FALSE)),"",INT(VLOOKUP($AB225&amp;"-"&amp;$E225&amp;" "&amp;$F225,Bonuses!$B$1:$G$1006,4,FALSE)))</f>
        <v/>
      </c>
      <c r="AE2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8.3 (221) - 1B Alan Sproule</v>
      </c>
    </row>
    <row r="226" spans="1:31" s="50" customFormat="1" x14ac:dyDescent="0.25">
      <c r="A226" s="50">
        <v>21046</v>
      </c>
      <c r="B226" s="50">
        <f>COUNTIF(Table5[PID],A226)</f>
        <v>1</v>
      </c>
      <c r="C226" s="50" t="str">
        <f>IF(COUNTIF(Table3[[#All],[PID]],A226)&gt;0,"P","B")</f>
        <v>B</v>
      </c>
      <c r="D226" s="59" t="str">
        <f>IF($C226="B",INDEX(Batters[[#All],[POS]],MATCH(Table5[[#This Row],[PID]],Batters[[#All],[PID]],0)),INDEX(Table3[[#All],[POS]],MATCH(Table5[[#This Row],[PID]],Table3[[#All],[PID]],0)))</f>
        <v>RF</v>
      </c>
      <c r="E226" s="52" t="str">
        <f>IF($C226="B",INDEX(Batters[[#All],[First]],MATCH(Table5[[#This Row],[PID]],Batters[[#All],[PID]],0)),INDEX(Table3[[#All],[First]],MATCH(Table5[[#This Row],[PID]],Table3[[#All],[PID]],0)))</f>
        <v>Pedro</v>
      </c>
      <c r="F226" s="50" t="str">
        <f>IF($C226="B",INDEX(Batters[[#All],[Last]],MATCH(A226,Batters[[#All],[PID]],0)),INDEX(Table3[[#All],[Last]],MATCH(A226,Table3[[#All],[PID]],0)))</f>
        <v>González</v>
      </c>
      <c r="G226" s="56">
        <f>IF($C226="B",INDEX(Batters[[#All],[Age]],MATCH(Table5[[#This Row],[PID]],Batters[[#All],[PID]],0)),INDEX(Table3[[#All],[Age]],MATCH(Table5[[#This Row],[PID]],Table3[[#All],[PID]],0)))</f>
        <v>17</v>
      </c>
      <c r="H226" s="52" t="str">
        <f>IF($C226="B",INDEX(Batters[[#All],[B]],MATCH(Table5[[#This Row],[PID]],Batters[[#All],[PID]],0)),INDEX(Table3[[#All],[B]],MATCH(Table5[[#This Row],[PID]],Table3[[#All],[PID]],0)))</f>
        <v>R</v>
      </c>
      <c r="I226" s="52" t="str">
        <f>IF($C226="B",INDEX(Batters[[#All],[T]],MATCH(Table5[[#This Row],[PID]],Batters[[#All],[PID]],0)),INDEX(Table3[[#All],[T]],MATCH(Table5[[#This Row],[PID]],Table3[[#All],[PID]],0)))</f>
        <v>L</v>
      </c>
      <c r="J226" s="52" t="str">
        <f>IF($C226="B",INDEX(Batters[[#All],[WE]],MATCH(Table5[[#This Row],[PID]],Batters[[#All],[PID]],0)),INDEX(Table3[[#All],[WE]],MATCH(Table5[[#This Row],[PID]],Table3[[#All],[PID]],0)))</f>
        <v>High</v>
      </c>
      <c r="K226" s="52" t="str">
        <f>IF($C226="B",INDEX(Batters[[#All],[INT]],MATCH(Table5[[#This Row],[PID]],Batters[[#All],[PID]],0)),INDEX(Table3[[#All],[INT]],MATCH(Table5[[#This Row],[PID]],Table3[[#All],[PID]],0)))</f>
        <v>Normal</v>
      </c>
      <c r="L226" s="60">
        <f>IF($C226="B",INDEX(Batters[[#All],[CON P]],MATCH(Table5[[#This Row],[PID]],Batters[[#All],[PID]],0)),INDEX(Table3[[#All],[STU P]],MATCH(Table5[[#This Row],[PID]],Table3[[#All],[PID]],0)))</f>
        <v>3</v>
      </c>
      <c r="M226" s="56">
        <f>IF($C226="B",INDEX(Batters[[#All],[GAP P]],MATCH(Table5[[#This Row],[PID]],Batters[[#All],[PID]],0)),INDEX(Table3[[#All],[MOV P]],MATCH(Table5[[#This Row],[PID]],Table3[[#All],[PID]],0)))</f>
        <v>7</v>
      </c>
      <c r="N226" s="56">
        <f>IF($C226="B",INDEX(Batters[[#All],[POW P]],MATCH(Table5[[#This Row],[PID]],Batters[[#All],[PID]],0)),INDEX(Table3[[#All],[CON P]],MATCH(Table5[[#This Row],[PID]],Table3[[#All],[PID]],0)))</f>
        <v>7</v>
      </c>
      <c r="O226" s="56">
        <f>IF($C226="B",INDEX(Batters[[#All],[EYE P]],MATCH(Table5[[#This Row],[PID]],Batters[[#All],[PID]],0)),INDEX(Table3[[#All],[VELO]],MATCH(Table5[[#This Row],[PID]],Table3[[#All],[PID]],0)))</f>
        <v>5</v>
      </c>
      <c r="P226" s="56">
        <f>IF($C226="B",INDEX(Batters[[#All],[K P]],MATCH(Table5[[#This Row],[PID]],Batters[[#All],[PID]],0)),INDEX(Table3[[#All],[STM]],MATCH(Table5[[#This Row],[PID]],Table3[[#All],[PID]],0)))</f>
        <v>3</v>
      </c>
      <c r="Q226" s="61">
        <f>IF($C226="B",INDEX(Batters[[#All],[Tot]],MATCH(Table5[[#This Row],[PID]],Batters[[#All],[PID]],0)),INDEX(Table3[[#All],[Tot]],MATCH(Table5[[#This Row],[PID]],Table3[[#All],[PID]],0)))</f>
        <v>48.004770224017506</v>
      </c>
      <c r="R226" s="52">
        <f>IF($C226="B",INDEX(Batters[[#All],[zScore]],MATCH(Table5[[#This Row],[PID]],Batters[[#All],[PID]],0)),INDEX(Table3[[#All],[zScore]],MATCH(Table5[[#This Row],[PID]],Table3[[#All],[PID]],0)))</f>
        <v>0.85863270028313821</v>
      </c>
      <c r="S226" s="58" t="str">
        <f>IF($C226="B",INDEX(Batters[[#All],[DEM]],MATCH(Table5[[#This Row],[PID]],Batters[[#All],[PID]],0)),INDEX(Table3[[#All],[DEM]],MATCH(Table5[[#This Row],[PID]],Table3[[#All],[PID]],0)))</f>
        <v>$240k</v>
      </c>
      <c r="T226" s="62">
        <f>IF($C226="B",INDEX(Batters[[#All],[Rnk]],MATCH(Table5[[#This Row],[PID]],Batters[[#All],[PID]],0)),INDEX(Table3[[#All],[Rnk]],MATCH(Table5[[#This Row],[PID]],Table3[[#All],[PID]],0)))</f>
        <v>106</v>
      </c>
      <c r="U226" s="68">
        <f>IF($C226="B",VLOOKUP($A226,Bat!$A$4:$BA$1621,47,FALSE),VLOOKUP($A226,Pit!$A$4:$BF$1557,56,FALSE))</f>
        <v>0</v>
      </c>
      <c r="V226" s="50">
        <f>IF($C226="B",VLOOKUP($A226,Bat!$A$4:$BA$1621,48,FALSE),VLOOKUP($A226,Pit!$A$4:$BF$1557,57,FALSE))</f>
        <v>0</v>
      </c>
      <c r="W226" s="50">
        <f>Table5[[#This Row],[posRnk]]+Table5[[#This Row],[zRnk]]+IF($W$3&lt;&gt;Table5[[#This Row],[Type]],50,0)</f>
        <v>424</v>
      </c>
      <c r="X226" s="51">
        <f>RANK(Table5[[#This Row],[zScore]],Table5[[#All],[zScore]])</f>
        <v>268</v>
      </c>
      <c r="Y226" s="50">
        <f>IFERROR(INDEX(DraftResults[[#All],[OVR]],MATCH(Table5[[#This Row],[PID]],DraftResults[[#All],[Player ID]],0)),"")</f>
        <v>222</v>
      </c>
      <c r="Z2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6" s="50">
        <f>IFERROR(INDEX(DraftResults[[#All],[Pick in Round]],MATCH(Table5[[#This Row],[PID]],DraftResults[[#All],[Player ID]],0)),"")</f>
        <v>4</v>
      </c>
      <c r="AB226" s="50" t="str">
        <f>IFERROR(INDEX(DraftResults[[#All],[Team Name]],MATCH(Table5[[#This Row],[PID]],DraftResults[[#All],[Player ID]],0)),"")</f>
        <v>Tempe Knights</v>
      </c>
      <c r="AC226" s="50">
        <f>IF(Table5[[#This Row],[Ovr]]="","",IF(Table5[[#This Row],[cmbList]]="","",Table5[[#This Row],[cmbList]]-Table5[[#This Row],[Ovr]]))</f>
        <v>202</v>
      </c>
      <c r="AD226" s="54" t="str">
        <f>IF(ISERROR(VLOOKUP($AB226&amp;"-"&amp;$E226&amp;" "&amp;F226,Bonuses!$B$1:$G$1006,4,FALSE)),"",INT(VLOOKUP($AB226&amp;"-"&amp;$E226&amp;" "&amp;$F226,Bonuses!$B$1:$G$1006,4,FALSE)))</f>
        <v/>
      </c>
      <c r="AE2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8.4 (222) - RF Pedro González</v>
      </c>
    </row>
    <row r="227" spans="1:31" s="50" customFormat="1" x14ac:dyDescent="0.25">
      <c r="A227" s="50">
        <v>20233</v>
      </c>
      <c r="B227" s="50">
        <f>COUNTIF(Table5[PID],A227)</f>
        <v>1</v>
      </c>
      <c r="C227" s="50" t="str">
        <f>IF(COUNTIF(Table3[[#All],[PID]],A227)&gt;0,"P","B")</f>
        <v>B</v>
      </c>
      <c r="D227" s="59" t="str">
        <f>IF($C227="B",INDEX(Batters[[#All],[POS]],MATCH(Table5[[#This Row],[PID]],Batters[[#All],[PID]],0)),INDEX(Table3[[#All],[POS]],MATCH(Table5[[#This Row],[PID]],Table3[[#All],[PID]],0)))</f>
        <v>1B</v>
      </c>
      <c r="E227" s="52" t="str">
        <f>IF($C227="B",INDEX(Batters[[#All],[First]],MATCH(Table5[[#This Row],[PID]],Batters[[#All],[PID]],0)),INDEX(Table3[[#All],[First]],MATCH(Table5[[#This Row],[PID]],Table3[[#All],[PID]],0)))</f>
        <v>Paul</v>
      </c>
      <c r="F227" s="50" t="str">
        <f>IF($C227="B",INDEX(Batters[[#All],[Last]],MATCH(A227,Batters[[#All],[PID]],0)),INDEX(Table3[[#All],[Last]],MATCH(A227,Table3[[#All],[PID]],0)))</f>
        <v>McNutt</v>
      </c>
      <c r="G227" s="56">
        <f>IF($C227="B",INDEX(Batters[[#All],[Age]],MATCH(Table5[[#This Row],[PID]],Batters[[#All],[PID]],0)),INDEX(Table3[[#All],[Age]],MATCH(Table5[[#This Row],[PID]],Table3[[#All],[PID]],0)))</f>
        <v>22</v>
      </c>
      <c r="H227" s="52" t="str">
        <f>IF($C227="B",INDEX(Batters[[#All],[B]],MATCH(Table5[[#This Row],[PID]],Batters[[#All],[PID]],0)),INDEX(Table3[[#All],[B]],MATCH(Table5[[#This Row],[PID]],Table3[[#All],[PID]],0)))</f>
        <v>L</v>
      </c>
      <c r="I227" s="52" t="str">
        <f>IF($C227="B",INDEX(Batters[[#All],[T]],MATCH(Table5[[#This Row],[PID]],Batters[[#All],[PID]],0)),INDEX(Table3[[#All],[T]],MATCH(Table5[[#This Row],[PID]],Table3[[#All],[PID]],0)))</f>
        <v>L</v>
      </c>
      <c r="J227" s="52" t="str">
        <f>IF($C227="B",INDEX(Batters[[#All],[WE]],MATCH(Table5[[#This Row],[PID]],Batters[[#All],[PID]],0)),INDEX(Table3[[#All],[WE]],MATCH(Table5[[#This Row],[PID]],Table3[[#All],[PID]],0)))</f>
        <v>High</v>
      </c>
      <c r="K227" s="52" t="str">
        <f>IF($C227="B",INDEX(Batters[[#All],[INT]],MATCH(Table5[[#This Row],[PID]],Batters[[#All],[PID]],0)),INDEX(Table3[[#All],[INT]],MATCH(Table5[[#This Row],[PID]],Table3[[#All],[PID]],0)))</f>
        <v>Low</v>
      </c>
      <c r="L227" s="60">
        <f>IF($C227="B",INDEX(Batters[[#All],[CON P]],MATCH(Table5[[#This Row],[PID]],Batters[[#All],[PID]],0)),INDEX(Table3[[#All],[STU P]],MATCH(Table5[[#This Row],[PID]],Table3[[#All],[PID]],0)))</f>
        <v>3</v>
      </c>
      <c r="M227" s="56">
        <f>IF($C227="B",INDEX(Batters[[#All],[GAP P]],MATCH(Table5[[#This Row],[PID]],Batters[[#All],[PID]],0)),INDEX(Table3[[#All],[MOV P]],MATCH(Table5[[#This Row],[PID]],Table3[[#All],[PID]],0)))</f>
        <v>6</v>
      </c>
      <c r="N227" s="56">
        <f>IF($C227="B",INDEX(Batters[[#All],[POW P]],MATCH(Table5[[#This Row],[PID]],Batters[[#All],[PID]],0)),INDEX(Table3[[#All],[CON P]],MATCH(Table5[[#This Row],[PID]],Table3[[#All],[PID]],0)))</f>
        <v>6</v>
      </c>
      <c r="O227" s="56">
        <f>IF($C227="B",INDEX(Batters[[#All],[EYE P]],MATCH(Table5[[#This Row],[PID]],Batters[[#All],[PID]],0)),INDEX(Table3[[#All],[VELO]],MATCH(Table5[[#This Row],[PID]],Table3[[#All],[PID]],0)))</f>
        <v>5</v>
      </c>
      <c r="P227" s="56">
        <f>IF($C227="B",INDEX(Batters[[#All],[K P]],MATCH(Table5[[#This Row],[PID]],Batters[[#All],[PID]],0)),INDEX(Table3[[#All],[STM]],MATCH(Table5[[#This Row],[PID]],Table3[[#All],[PID]],0)))</f>
        <v>4</v>
      </c>
      <c r="Q227" s="61">
        <f>IF($C227="B",INDEX(Batters[[#All],[Tot]],MATCH(Table5[[#This Row],[PID]],Batters[[#All],[PID]],0)),INDEX(Table3[[#All],[Tot]],MATCH(Table5[[#This Row],[PID]],Table3[[#All],[PID]],0)))</f>
        <v>41.747589449373642</v>
      </c>
      <c r="R227" s="52">
        <f>IF($C227="B",INDEX(Batters[[#All],[zScore]],MATCH(Table5[[#This Row],[PID]],Batters[[#All],[PID]],0)),INDEX(Table3[[#All],[zScore]],MATCH(Table5[[#This Row],[PID]],Table3[[#All],[PID]],0)))</f>
        <v>-0.5286265720721941</v>
      </c>
      <c r="S227" s="58" t="str">
        <f>IF($C227="B",INDEX(Batters[[#All],[DEM]],MATCH(Table5[[#This Row],[PID]],Batters[[#All],[PID]],0)),INDEX(Table3[[#All],[DEM]],MATCH(Table5[[#This Row],[PID]],Table3[[#All],[PID]],0)))</f>
        <v>-</v>
      </c>
      <c r="T227" s="62">
        <f>IF($C227="B",INDEX(Batters[[#All],[Rnk]],MATCH(Table5[[#This Row],[PID]],Batters[[#All],[PID]],0)),INDEX(Table3[[#All],[Rnk]],MATCH(Table5[[#This Row],[PID]],Table3[[#All],[PID]],0)))</f>
        <v>342</v>
      </c>
      <c r="U227" s="68">
        <f>IF($C227="B",VLOOKUP($A227,Bat!$A$4:$BA$1621,47,FALSE),VLOOKUP($A227,Pit!$A$4:$BF$1557,56,FALSE))</f>
        <v>0</v>
      </c>
      <c r="V227" s="50">
        <f>IF($C227="B",VLOOKUP($A227,Bat!$A$4:$BA$1621,48,FALSE),VLOOKUP($A227,Pit!$A$4:$BF$1557,57,FALSE))</f>
        <v>0</v>
      </c>
      <c r="W227" s="50">
        <f>Table5[[#This Row],[posRnk]]+Table5[[#This Row],[zRnk]]+IF($W$3&lt;&gt;Table5[[#This Row],[Type]],50,0)</f>
        <v>1266</v>
      </c>
      <c r="X227" s="51">
        <f>RANK(Table5[[#This Row],[zScore]],Table5[[#All],[zScore]])</f>
        <v>874</v>
      </c>
      <c r="Y227" s="50">
        <f>IFERROR(INDEX(DraftResults[[#All],[OVR]],MATCH(Table5[[#This Row],[PID]],DraftResults[[#All],[Player ID]],0)),"")</f>
        <v>223</v>
      </c>
      <c r="Z2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7" s="50">
        <f>IFERROR(INDEX(DraftResults[[#All],[Pick in Round]],MATCH(Table5[[#This Row],[PID]],DraftResults[[#All],[Player ID]],0)),"")</f>
        <v>5</v>
      </c>
      <c r="AB227" s="50" t="str">
        <f>IFERROR(INDEX(DraftResults[[#All],[Team Name]],MATCH(Table5[[#This Row],[PID]],DraftResults[[#All],[Player ID]],0)),"")</f>
        <v>Okinawa Shisa</v>
      </c>
      <c r="AC227" s="50">
        <f>IF(Table5[[#This Row],[Ovr]]="","",IF(Table5[[#This Row],[cmbList]]="","",Table5[[#This Row],[cmbList]]-Table5[[#This Row],[Ovr]]))</f>
        <v>1043</v>
      </c>
      <c r="AD227" s="54" t="str">
        <f>IF(ISERROR(VLOOKUP($AB227&amp;"-"&amp;$E227&amp;" "&amp;F227,Bonuses!$B$1:$G$1006,4,FALSE)),"",INT(VLOOKUP($AB227&amp;"-"&amp;$E227&amp;" "&amp;$F227,Bonuses!$B$1:$G$1006,4,FALSE)))</f>
        <v/>
      </c>
      <c r="AE2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8.5 (223) - 1B Paul McNutt</v>
      </c>
    </row>
    <row r="228" spans="1:31" s="50" customFormat="1" x14ac:dyDescent="0.25">
      <c r="A228" s="68">
        <v>1232</v>
      </c>
      <c r="B228" s="69">
        <f>COUNTIF(Table5[PID],A228)</f>
        <v>1</v>
      </c>
      <c r="C228" s="69" t="str">
        <f>IF(COUNTIF(Table3[[#All],[PID]],A228)&gt;0,"P","B")</f>
        <v>P</v>
      </c>
      <c r="D228" s="59" t="str">
        <f>IF($C228="B",INDEX(Batters[[#All],[POS]],MATCH(Table5[[#This Row],[PID]],Batters[[#All],[PID]],0)),INDEX(Table3[[#All],[POS]],MATCH(Table5[[#This Row],[PID]],Table3[[#All],[PID]],0)))</f>
        <v>SP</v>
      </c>
      <c r="E228" s="52" t="str">
        <f>IF($C228="B",INDEX(Batters[[#All],[First]],MATCH(Table5[[#This Row],[PID]],Batters[[#All],[PID]],0)),INDEX(Table3[[#All],[First]],MATCH(Table5[[#This Row],[PID]],Table3[[#All],[PID]],0)))</f>
        <v>Vicente</v>
      </c>
      <c r="F228" s="55" t="str">
        <f>IF($C228="B",INDEX(Batters[[#All],[Last]],MATCH(A228,Batters[[#All],[PID]],0)),INDEX(Table3[[#All],[Last]],MATCH(A228,Table3[[#All],[PID]],0)))</f>
        <v>Juárez</v>
      </c>
      <c r="G228" s="56">
        <f>IF($C228="B",INDEX(Batters[[#All],[Age]],MATCH(Table5[[#This Row],[PID]],Batters[[#All],[PID]],0)),INDEX(Table3[[#All],[Age]],MATCH(Table5[[#This Row],[PID]],Table3[[#All],[PID]],0)))</f>
        <v>18</v>
      </c>
      <c r="H228" s="52" t="str">
        <f>IF($C228="B",INDEX(Batters[[#All],[B]],MATCH(Table5[[#This Row],[PID]],Batters[[#All],[PID]],0)),INDEX(Table3[[#All],[B]],MATCH(Table5[[#This Row],[PID]],Table3[[#All],[PID]],0)))</f>
        <v>L</v>
      </c>
      <c r="I228" s="52" t="str">
        <f>IF($C228="B",INDEX(Batters[[#All],[T]],MATCH(Table5[[#This Row],[PID]],Batters[[#All],[PID]],0)),INDEX(Table3[[#All],[T]],MATCH(Table5[[#This Row],[PID]],Table3[[#All],[PID]],0)))</f>
        <v>L</v>
      </c>
      <c r="J228" s="71" t="str">
        <f>IF($C228="B",INDEX(Batters[[#All],[WE]],MATCH(Table5[[#This Row],[PID]],Batters[[#All],[PID]],0)),INDEX(Table3[[#All],[WE]],MATCH(Table5[[#This Row],[PID]],Table3[[#All],[PID]],0)))</f>
        <v>Normal</v>
      </c>
      <c r="K228" s="52" t="str">
        <f>IF($C228="B",INDEX(Batters[[#All],[INT]],MATCH(Table5[[#This Row],[PID]],Batters[[#All],[PID]],0)),INDEX(Table3[[#All],[INT]],MATCH(Table5[[#This Row],[PID]],Table3[[#All],[PID]],0)))</f>
        <v>Low</v>
      </c>
      <c r="L228" s="60">
        <f>IF($C228="B",INDEX(Batters[[#All],[CON P]],MATCH(Table5[[#This Row],[PID]],Batters[[#All],[PID]],0)),INDEX(Table3[[#All],[STU P]],MATCH(Table5[[#This Row],[PID]],Table3[[#All],[PID]],0)))</f>
        <v>6</v>
      </c>
      <c r="M228" s="72">
        <f>IF($C228="B",INDEX(Batters[[#All],[GAP P]],MATCH(Table5[[#This Row],[PID]],Batters[[#All],[PID]],0)),INDEX(Table3[[#All],[MOV P]],MATCH(Table5[[#This Row],[PID]],Table3[[#All],[PID]],0)))</f>
        <v>5</v>
      </c>
      <c r="N228" s="72">
        <f>IF($C228="B",INDEX(Batters[[#All],[POW P]],MATCH(Table5[[#This Row],[PID]],Batters[[#All],[PID]],0)),INDEX(Table3[[#All],[CON P]],MATCH(Table5[[#This Row],[PID]],Table3[[#All],[PID]],0)))</f>
        <v>3</v>
      </c>
      <c r="O228" s="72" t="str">
        <f>IF($C228="B",INDEX(Batters[[#All],[EYE P]],MATCH(Table5[[#This Row],[PID]],Batters[[#All],[PID]],0)),INDEX(Table3[[#All],[VELO]],MATCH(Table5[[#This Row],[PID]],Table3[[#All],[PID]],0)))</f>
        <v>88-90 Mph</v>
      </c>
      <c r="P228" s="56">
        <f>IF($C228="B",INDEX(Batters[[#All],[K P]],MATCH(Table5[[#This Row],[PID]],Batters[[#All],[PID]],0)),INDEX(Table3[[#All],[STM]],MATCH(Table5[[#This Row],[PID]],Table3[[#All],[PID]],0)))</f>
        <v>6</v>
      </c>
      <c r="Q228" s="61">
        <f>IF($C228="B",INDEX(Batters[[#All],[Tot]],MATCH(Table5[[#This Row],[PID]],Batters[[#All],[PID]],0)),INDEX(Table3[[#All],[Tot]],MATCH(Table5[[#This Row],[PID]],Table3[[#All],[PID]],0)))</f>
        <v>47.196714039307821</v>
      </c>
      <c r="R228" s="52">
        <f>IF($C228="B",INDEX(Batters[[#All],[zScore]],MATCH(Table5[[#This Row],[PID]],Batters[[#All],[PID]],0)),INDEX(Table3[[#All],[zScore]],MATCH(Table5[[#This Row],[PID]],Table3[[#All],[PID]],0)))</f>
        <v>0.7535139797462751</v>
      </c>
      <c r="S228" s="78" t="str">
        <f>IF($C228="B",INDEX(Batters[[#All],[DEM]],MATCH(Table5[[#This Row],[PID]],Batters[[#All],[PID]],0)),INDEX(Table3[[#All],[DEM]],MATCH(Table5[[#This Row],[PID]],Table3[[#All],[PID]],0)))</f>
        <v>$80k</v>
      </c>
      <c r="T228" s="75">
        <f>IF($C228="B",INDEX(Batters[[#All],[Rnk]],MATCH(Table5[[#This Row],[PID]],Batters[[#All],[PID]],0)),INDEX(Table3[[#All],[Rnk]],MATCH(Table5[[#This Row],[PID]],Table3[[#All],[PID]],0)))</f>
        <v>181</v>
      </c>
      <c r="U228" s="68">
        <f>IF($C228="B",VLOOKUP($A228,Bat!$A$4:$BA$1621,47,FALSE),VLOOKUP($A228,Pit!$A$4:$BF$1557,56,FALSE))</f>
        <v>0</v>
      </c>
      <c r="V228" s="50">
        <f>IF($C228="B",VLOOKUP($A228,Bat!$A$4:$BA$1621,48,FALSE),VLOOKUP($A228,Pit!$A$4:$BF$1557,57,FALSE))</f>
        <v>0</v>
      </c>
      <c r="W228" s="69">
        <f>Table5[[#This Row],[posRnk]]+Table5[[#This Row],[zRnk]]+IF($W$3&lt;&gt;Table5[[#This Row],[Type]],50,0)</f>
        <v>528</v>
      </c>
      <c r="X228" s="73">
        <f>RANK(Table5[[#This Row],[zScore]],Table5[[#All],[zScore]])</f>
        <v>297</v>
      </c>
      <c r="Y228" s="69">
        <f>IFERROR(INDEX(DraftResults[[#All],[OVR]],MATCH(Table5[[#This Row],[PID]],DraftResults[[#All],[Player ID]],0)),"")</f>
        <v>224</v>
      </c>
      <c r="Z22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8" s="69">
        <f>IFERROR(INDEX(DraftResults[[#All],[Pick in Round]],MATCH(Table5[[#This Row],[PID]],DraftResults[[#All],[Player ID]],0)),"")</f>
        <v>6</v>
      </c>
      <c r="AB228" s="69" t="str">
        <f>IFERROR(INDEX(DraftResults[[#All],[Team Name]],MATCH(Table5[[#This Row],[PID]],DraftResults[[#All],[Player ID]],0)),"")</f>
        <v>Manchester Maulers</v>
      </c>
      <c r="AC228" s="69">
        <f>IF(Table5[[#This Row],[Ovr]]="","",IF(Table5[[#This Row],[cmbList]]="","",Table5[[#This Row],[cmbList]]-Table5[[#This Row],[Ovr]]))</f>
        <v>304</v>
      </c>
      <c r="AD228" s="77" t="str">
        <f>IF(ISERROR(VLOOKUP($AB228&amp;"-"&amp;$E228&amp;" "&amp;F228,Bonuses!$B$1:$G$1006,4,FALSE)),"",INT(VLOOKUP($AB228&amp;"-"&amp;$E228&amp;" "&amp;$F228,Bonuses!$B$1:$G$1006,4,FALSE)))</f>
        <v/>
      </c>
      <c r="AE22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8.6 (224) - SP Vicente Juárez</v>
      </c>
    </row>
    <row r="229" spans="1:31" s="50" customFormat="1" x14ac:dyDescent="0.25">
      <c r="A229" s="68">
        <v>18288</v>
      </c>
      <c r="B229" s="69">
        <f>COUNTIF(Table5[PID],A229)</f>
        <v>1</v>
      </c>
      <c r="C229" s="69" t="str">
        <f>IF(COUNTIF(Table3[[#All],[PID]],A229)&gt;0,"P","B")</f>
        <v>P</v>
      </c>
      <c r="D229" s="59" t="str">
        <f>IF($C229="B",INDEX(Batters[[#All],[POS]],MATCH(Table5[[#This Row],[PID]],Batters[[#All],[PID]],0)),INDEX(Table3[[#All],[POS]],MATCH(Table5[[#This Row],[PID]],Table3[[#All],[PID]],0)))</f>
        <v>SP</v>
      </c>
      <c r="E229" s="52" t="str">
        <f>IF($C229="B",INDEX(Batters[[#All],[First]],MATCH(Table5[[#This Row],[PID]],Batters[[#All],[PID]],0)),INDEX(Table3[[#All],[First]],MATCH(Table5[[#This Row],[PID]],Table3[[#All],[PID]],0)))</f>
        <v>Reece</v>
      </c>
      <c r="F229" s="55" t="str">
        <f>IF($C229="B",INDEX(Batters[[#All],[Last]],MATCH(A229,Batters[[#All],[PID]],0)),INDEX(Table3[[#All],[Last]],MATCH(A229,Table3[[#All],[PID]],0)))</f>
        <v>Murray</v>
      </c>
      <c r="G229" s="56">
        <f>IF($C229="B",INDEX(Batters[[#All],[Age]],MATCH(Table5[[#This Row],[PID]],Batters[[#All],[PID]],0)),INDEX(Table3[[#All],[Age]],MATCH(Table5[[#This Row],[PID]],Table3[[#All],[PID]],0)))</f>
        <v>21</v>
      </c>
      <c r="H229" s="52" t="str">
        <f>IF($C229="B",INDEX(Batters[[#All],[B]],MATCH(Table5[[#This Row],[PID]],Batters[[#All],[PID]],0)),INDEX(Table3[[#All],[B]],MATCH(Table5[[#This Row],[PID]],Table3[[#All],[PID]],0)))</f>
        <v>R</v>
      </c>
      <c r="I229" s="52" t="str">
        <f>IF($C229="B",INDEX(Batters[[#All],[T]],MATCH(Table5[[#This Row],[PID]],Batters[[#All],[PID]],0)),INDEX(Table3[[#All],[T]],MATCH(Table5[[#This Row],[PID]],Table3[[#All],[PID]],0)))</f>
        <v>R</v>
      </c>
      <c r="J229" s="71" t="str">
        <f>IF($C229="B",INDEX(Batters[[#All],[WE]],MATCH(Table5[[#This Row],[PID]],Batters[[#All],[PID]],0)),INDEX(Table3[[#All],[WE]],MATCH(Table5[[#This Row],[PID]],Table3[[#All],[PID]],0)))</f>
        <v>Normal</v>
      </c>
      <c r="K229" s="52" t="str">
        <f>IF($C229="B",INDEX(Batters[[#All],[INT]],MATCH(Table5[[#This Row],[PID]],Batters[[#All],[PID]],0)),INDEX(Table3[[#All],[INT]],MATCH(Table5[[#This Row],[PID]],Table3[[#All],[PID]],0)))</f>
        <v>Normal</v>
      </c>
      <c r="L229" s="60">
        <f>IF($C229="B",INDEX(Batters[[#All],[CON P]],MATCH(Table5[[#This Row],[PID]],Batters[[#All],[PID]],0)),INDEX(Table3[[#All],[STU P]],MATCH(Table5[[#This Row],[PID]],Table3[[#All],[PID]],0)))</f>
        <v>5</v>
      </c>
      <c r="M229" s="72">
        <f>IF($C229="B",INDEX(Batters[[#All],[GAP P]],MATCH(Table5[[#This Row],[PID]],Batters[[#All],[PID]],0)),INDEX(Table3[[#All],[MOV P]],MATCH(Table5[[#This Row],[PID]],Table3[[#All],[PID]],0)))</f>
        <v>4</v>
      </c>
      <c r="N229" s="72">
        <f>IF($C229="B",INDEX(Batters[[#All],[POW P]],MATCH(Table5[[#This Row],[PID]],Batters[[#All],[PID]],0)),INDEX(Table3[[#All],[CON P]],MATCH(Table5[[#This Row],[PID]],Table3[[#All],[PID]],0)))</f>
        <v>5</v>
      </c>
      <c r="O229" s="72" t="str">
        <f>IF($C229="B",INDEX(Batters[[#All],[EYE P]],MATCH(Table5[[#This Row],[PID]],Batters[[#All],[PID]],0)),INDEX(Table3[[#All],[VELO]],MATCH(Table5[[#This Row],[PID]],Table3[[#All],[PID]],0)))</f>
        <v>93-95 Mph</v>
      </c>
      <c r="P229" s="56">
        <f>IF($C229="B",INDEX(Batters[[#All],[K P]],MATCH(Table5[[#This Row],[PID]],Batters[[#All],[PID]],0)),INDEX(Table3[[#All],[STM]],MATCH(Table5[[#This Row],[PID]],Table3[[#All],[PID]],0)))</f>
        <v>9</v>
      </c>
      <c r="Q229" s="61">
        <f>IF($C229="B",INDEX(Batters[[#All],[Tot]],MATCH(Table5[[#This Row],[PID]],Batters[[#All],[PID]],0)),INDEX(Table3[[#All],[Tot]],MATCH(Table5[[#This Row],[PID]],Table3[[#All],[PID]],0)))</f>
        <v>54.295076146061277</v>
      </c>
      <c r="R229" s="52">
        <f>IF($C229="B",INDEX(Batters[[#All],[zScore]],MATCH(Table5[[#This Row],[PID]],Batters[[#All],[PID]],0)),INDEX(Table3[[#All],[zScore]],MATCH(Table5[[#This Row],[PID]],Table3[[#All],[PID]],0)))</f>
        <v>1.2257571636386826</v>
      </c>
      <c r="S229" s="78" t="str">
        <f>IF($C229="B",INDEX(Batters[[#All],[DEM]],MATCH(Table5[[#This Row],[PID]],Batters[[#All],[PID]],0)),INDEX(Table3[[#All],[DEM]],MATCH(Table5[[#This Row],[PID]],Table3[[#All],[PID]],0)))</f>
        <v>$55k</v>
      </c>
      <c r="T229" s="75">
        <f>IF($C229="B",INDEX(Batters[[#All],[Rnk]],MATCH(Table5[[#This Row],[PID]],Batters[[#All],[PID]],0)),INDEX(Table3[[#All],[Rnk]],MATCH(Table5[[#This Row],[PID]],Table3[[#All],[PID]],0)))</f>
        <v>112</v>
      </c>
      <c r="U229" s="68">
        <f>IF($C229="B",VLOOKUP($A229,Bat!$A$4:$BA$1621,47,FALSE),VLOOKUP($A229,Pit!$A$4:$BF$1557,56,FALSE))</f>
        <v>0</v>
      </c>
      <c r="V229" s="50">
        <f>IF($C229="B",VLOOKUP($A229,Bat!$A$4:$BA$1621,48,FALSE),VLOOKUP($A229,Pit!$A$4:$BF$1557,57,FALSE))</f>
        <v>0</v>
      </c>
      <c r="W229" s="69">
        <f>Table5[[#This Row],[posRnk]]+Table5[[#This Row],[zRnk]]+IF($W$3&lt;&gt;Table5[[#This Row],[Type]],50,0)</f>
        <v>341</v>
      </c>
      <c r="X229" s="73">
        <f>RANK(Table5[[#This Row],[zScore]],Table5[[#All],[zScore]])</f>
        <v>179</v>
      </c>
      <c r="Y229" s="69">
        <f>IFERROR(INDEX(DraftResults[[#All],[OVR]],MATCH(Table5[[#This Row],[PID]],DraftResults[[#All],[Player ID]],0)),"")</f>
        <v>225</v>
      </c>
      <c r="Z22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29" s="69">
        <f>IFERROR(INDEX(DraftResults[[#All],[Pick in Round]],MATCH(Table5[[#This Row],[PID]],DraftResults[[#All],[Player ID]],0)),"")</f>
        <v>7</v>
      </c>
      <c r="AB229" s="69" t="str">
        <f>IFERROR(INDEX(DraftResults[[#All],[Team Name]],MATCH(Table5[[#This Row],[PID]],DraftResults[[#All],[Player ID]],0)),"")</f>
        <v>Niihama-shi Ghosts</v>
      </c>
      <c r="AC229" s="69">
        <f>IF(Table5[[#This Row],[Ovr]]="","",IF(Table5[[#This Row],[cmbList]]="","",Table5[[#This Row],[cmbList]]-Table5[[#This Row],[Ovr]]))</f>
        <v>116</v>
      </c>
      <c r="AD229" s="77" t="str">
        <f>IF(ISERROR(VLOOKUP($AB229&amp;"-"&amp;$E229&amp;" "&amp;F229,Bonuses!$B$1:$G$1006,4,FALSE)),"",INT(VLOOKUP($AB229&amp;"-"&amp;$E229&amp;" "&amp;$F229,Bonuses!$B$1:$G$1006,4,FALSE)))</f>
        <v/>
      </c>
      <c r="AE22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8.7 (225) - SP Reece Murray</v>
      </c>
    </row>
    <row r="230" spans="1:31" s="50" customFormat="1" x14ac:dyDescent="0.25">
      <c r="A230" s="50">
        <v>20283</v>
      </c>
      <c r="B230" s="50">
        <f>COUNTIF(Table5[PID],A230)</f>
        <v>1</v>
      </c>
      <c r="C230" s="50" t="str">
        <f>IF(COUNTIF(Table3[[#All],[PID]],A230)&gt;0,"P","B")</f>
        <v>B</v>
      </c>
      <c r="D230" s="59" t="str">
        <f>IF($C230="B",INDEX(Batters[[#All],[POS]],MATCH(Table5[[#This Row],[PID]],Batters[[#All],[PID]],0)),INDEX(Table3[[#All],[POS]],MATCH(Table5[[#This Row],[PID]],Table3[[#All],[PID]],0)))</f>
        <v>3B</v>
      </c>
      <c r="E230" s="52" t="str">
        <f>IF($C230="B",INDEX(Batters[[#All],[First]],MATCH(Table5[[#This Row],[PID]],Batters[[#All],[PID]],0)),INDEX(Table3[[#All],[First]],MATCH(Table5[[#This Row],[PID]],Table3[[#All],[PID]],0)))</f>
        <v>Sven</v>
      </c>
      <c r="F230" s="50" t="str">
        <f>IF($C230="B",INDEX(Batters[[#All],[Last]],MATCH(A230,Batters[[#All],[PID]],0)),INDEX(Table3[[#All],[Last]],MATCH(A230,Table3[[#All],[PID]],0)))</f>
        <v>Fraters</v>
      </c>
      <c r="G230" s="56">
        <f>IF($C230="B",INDEX(Batters[[#All],[Age]],MATCH(Table5[[#This Row],[PID]],Batters[[#All],[PID]],0)),INDEX(Table3[[#All],[Age]],MATCH(Table5[[#This Row],[PID]],Table3[[#All],[PID]],0)))</f>
        <v>21</v>
      </c>
      <c r="H230" s="52" t="str">
        <f>IF($C230="B",INDEX(Batters[[#All],[B]],MATCH(Table5[[#This Row],[PID]],Batters[[#All],[PID]],0)),INDEX(Table3[[#All],[B]],MATCH(Table5[[#This Row],[PID]],Table3[[#All],[PID]],0)))</f>
        <v>R</v>
      </c>
      <c r="I230" s="52" t="str">
        <f>IF($C230="B",INDEX(Batters[[#All],[T]],MATCH(Table5[[#This Row],[PID]],Batters[[#All],[PID]],0)),INDEX(Table3[[#All],[T]],MATCH(Table5[[#This Row],[PID]],Table3[[#All],[PID]],0)))</f>
        <v>R</v>
      </c>
      <c r="J230" s="52" t="str">
        <f>IF($C230="B",INDEX(Batters[[#All],[WE]],MATCH(Table5[[#This Row],[PID]],Batters[[#All],[PID]],0)),INDEX(Table3[[#All],[WE]],MATCH(Table5[[#This Row],[PID]],Table3[[#All],[PID]],0)))</f>
        <v>High</v>
      </c>
      <c r="K230" s="52" t="str">
        <f>IF($C230="B",INDEX(Batters[[#All],[INT]],MATCH(Table5[[#This Row],[PID]],Batters[[#All],[PID]],0)),INDEX(Table3[[#All],[INT]],MATCH(Table5[[#This Row],[PID]],Table3[[#All],[PID]],0)))</f>
        <v>Normal</v>
      </c>
      <c r="L230" s="60">
        <f>IF($C230="B",INDEX(Batters[[#All],[CON P]],MATCH(Table5[[#This Row],[PID]],Batters[[#All],[PID]],0)),INDEX(Table3[[#All],[STU P]],MATCH(Table5[[#This Row],[PID]],Table3[[#All],[PID]],0)))</f>
        <v>4</v>
      </c>
      <c r="M230" s="56">
        <f>IF($C230="B",INDEX(Batters[[#All],[GAP P]],MATCH(Table5[[#This Row],[PID]],Batters[[#All],[PID]],0)),INDEX(Table3[[#All],[MOV P]],MATCH(Table5[[#This Row],[PID]],Table3[[#All],[PID]],0)))</f>
        <v>6</v>
      </c>
      <c r="N230" s="56">
        <f>IF($C230="B",INDEX(Batters[[#All],[POW P]],MATCH(Table5[[#This Row],[PID]],Batters[[#All],[PID]],0)),INDEX(Table3[[#All],[CON P]],MATCH(Table5[[#This Row],[PID]],Table3[[#All],[PID]],0)))</f>
        <v>6</v>
      </c>
      <c r="O230" s="56">
        <f>IF($C230="B",INDEX(Batters[[#All],[EYE P]],MATCH(Table5[[#This Row],[PID]],Batters[[#All],[PID]],0)),INDEX(Table3[[#All],[VELO]],MATCH(Table5[[#This Row],[PID]],Table3[[#All],[PID]],0)))</f>
        <v>7</v>
      </c>
      <c r="P230" s="56">
        <f>IF($C230="B",INDEX(Batters[[#All],[K P]],MATCH(Table5[[#This Row],[PID]],Batters[[#All],[PID]],0)),INDEX(Table3[[#All],[STM]],MATCH(Table5[[#This Row],[PID]],Table3[[#All],[PID]],0)))</f>
        <v>4</v>
      </c>
      <c r="Q230" s="61">
        <f>IF($C230="B",INDEX(Batters[[#All],[Tot]],MATCH(Table5[[#This Row],[PID]],Batters[[#All],[PID]],0)),INDEX(Table3[[#All],[Tot]],MATCH(Table5[[#This Row],[PID]],Table3[[#All],[PID]],0)))</f>
        <v>48.250791272742397</v>
      </c>
      <c r="R230" s="52">
        <f>IF($C230="B",INDEX(Batters[[#All],[zScore]],MATCH(Table5[[#This Row],[PID]],Batters[[#All],[PID]],0)),INDEX(Table3[[#All],[zScore]],MATCH(Table5[[#This Row],[PID]],Table3[[#All],[PID]],0)))</f>
        <v>0.91317722973340232</v>
      </c>
      <c r="S230" s="58" t="str">
        <f>IF($C230="B",INDEX(Batters[[#All],[DEM]],MATCH(Table5[[#This Row],[PID]],Batters[[#All],[PID]],0)),INDEX(Table3[[#All],[DEM]],MATCH(Table5[[#This Row],[PID]],Table3[[#All],[PID]],0)))</f>
        <v>$20k</v>
      </c>
      <c r="T230" s="62">
        <f>IF($C230="B",INDEX(Batters[[#All],[Rnk]],MATCH(Table5[[#This Row],[PID]],Batters[[#All],[PID]],0)),INDEX(Table3[[#All],[Rnk]],MATCH(Table5[[#This Row],[PID]],Table3[[#All],[PID]],0)))</f>
        <v>100</v>
      </c>
      <c r="U230" s="68">
        <f>IF($C230="B",VLOOKUP($A230,Bat!$A$4:$BA$1621,47,FALSE),VLOOKUP($A230,Pit!$A$4:$BF$1557,56,FALSE))</f>
        <v>0</v>
      </c>
      <c r="V230" s="50">
        <f>IF($C230="B",VLOOKUP($A230,Bat!$A$4:$BA$1621,48,FALSE),VLOOKUP($A230,Pit!$A$4:$BF$1557,57,FALSE))</f>
        <v>0</v>
      </c>
      <c r="W230" s="50">
        <f>Table5[[#This Row],[posRnk]]+Table5[[#This Row],[zRnk]]+IF($W$3&lt;&gt;Table5[[#This Row],[Type]],50,0)</f>
        <v>401</v>
      </c>
      <c r="X230" s="51">
        <f>RANK(Table5[[#This Row],[zScore]],Table5[[#All],[zScore]])</f>
        <v>251</v>
      </c>
      <c r="Y230" s="50">
        <f>IFERROR(INDEX(DraftResults[[#All],[OVR]],MATCH(Table5[[#This Row],[PID]],DraftResults[[#All],[Player ID]],0)),"")</f>
        <v>226</v>
      </c>
      <c r="Z2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0" s="50">
        <f>IFERROR(INDEX(DraftResults[[#All],[Pick in Round]],MATCH(Table5[[#This Row],[PID]],DraftResults[[#All],[Player ID]],0)),"")</f>
        <v>8</v>
      </c>
      <c r="AB230" s="50" t="str">
        <f>IFERROR(INDEX(DraftResults[[#All],[Team Name]],MATCH(Table5[[#This Row],[PID]],DraftResults[[#All],[Player ID]],0)),"")</f>
        <v>London Underground</v>
      </c>
      <c r="AC230" s="50">
        <f>IF(Table5[[#This Row],[Ovr]]="","",IF(Table5[[#This Row],[cmbList]]="","",Table5[[#This Row],[cmbList]]-Table5[[#This Row],[Ovr]]))</f>
        <v>175</v>
      </c>
      <c r="AD230" s="54" t="str">
        <f>IF(ISERROR(VLOOKUP($AB230&amp;"-"&amp;$E230&amp;" "&amp;F230,Bonuses!$B$1:$G$1006,4,FALSE)),"",INT(VLOOKUP($AB230&amp;"-"&amp;$E230&amp;" "&amp;$F230,Bonuses!$B$1:$G$1006,4,FALSE)))</f>
        <v/>
      </c>
      <c r="AE2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8.8 (226) - 3B Sven Fraters</v>
      </c>
    </row>
    <row r="231" spans="1:31" s="50" customFormat="1" x14ac:dyDescent="0.25">
      <c r="A231" s="50">
        <v>20841</v>
      </c>
      <c r="B231" s="50">
        <f>COUNTIF(Table5[PID],A231)</f>
        <v>1</v>
      </c>
      <c r="C231" s="50" t="str">
        <f>IF(COUNTIF(Table3[[#All],[PID]],A231)&gt;0,"P","B")</f>
        <v>B</v>
      </c>
      <c r="D231" s="59" t="str">
        <f>IF($C231="B",INDEX(Batters[[#All],[POS]],MATCH(Table5[[#This Row],[PID]],Batters[[#All],[PID]],0)),INDEX(Table3[[#All],[POS]],MATCH(Table5[[#This Row],[PID]],Table3[[#All],[PID]],0)))</f>
        <v>2B</v>
      </c>
      <c r="E231" s="52" t="str">
        <f>IF($C231="B",INDEX(Batters[[#All],[First]],MATCH(Table5[[#This Row],[PID]],Batters[[#All],[PID]],0)),INDEX(Table3[[#All],[First]],MATCH(Table5[[#This Row],[PID]],Table3[[#All],[PID]],0)))</f>
        <v>Darrell</v>
      </c>
      <c r="F231" s="50" t="str">
        <f>IF($C231="B",INDEX(Batters[[#All],[Last]],MATCH(A231,Batters[[#All],[PID]],0)),INDEX(Table3[[#All],[Last]],MATCH(A231,Table3[[#All],[PID]],0)))</f>
        <v>MacKnight</v>
      </c>
      <c r="G231" s="56">
        <f>IF($C231="B",INDEX(Batters[[#All],[Age]],MATCH(Table5[[#This Row],[PID]],Batters[[#All],[PID]],0)),INDEX(Table3[[#All],[Age]],MATCH(Table5[[#This Row],[PID]],Table3[[#All],[PID]],0)))</f>
        <v>17</v>
      </c>
      <c r="H231" s="52" t="str">
        <f>IF($C231="B",INDEX(Batters[[#All],[B]],MATCH(Table5[[#This Row],[PID]],Batters[[#All],[PID]],0)),INDEX(Table3[[#All],[B]],MATCH(Table5[[#This Row],[PID]],Table3[[#All],[PID]],0)))</f>
        <v>R</v>
      </c>
      <c r="I231" s="52" t="str">
        <f>IF($C231="B",INDEX(Batters[[#All],[T]],MATCH(Table5[[#This Row],[PID]],Batters[[#All],[PID]],0)),INDEX(Table3[[#All],[T]],MATCH(Table5[[#This Row],[PID]],Table3[[#All],[PID]],0)))</f>
        <v>R</v>
      </c>
      <c r="J231" s="52" t="str">
        <f>IF($C231="B",INDEX(Batters[[#All],[WE]],MATCH(Table5[[#This Row],[PID]],Batters[[#All],[PID]],0)),INDEX(Table3[[#All],[WE]],MATCH(Table5[[#This Row],[PID]],Table3[[#All],[PID]],0)))</f>
        <v>High</v>
      </c>
      <c r="K231" s="52" t="str">
        <f>IF($C231="B",INDEX(Batters[[#All],[INT]],MATCH(Table5[[#This Row],[PID]],Batters[[#All],[PID]],0)),INDEX(Table3[[#All],[INT]],MATCH(Table5[[#This Row],[PID]],Table3[[#All],[PID]],0)))</f>
        <v>Normal</v>
      </c>
      <c r="L231" s="60">
        <f>IF($C231="B",INDEX(Batters[[#All],[CON P]],MATCH(Table5[[#This Row],[PID]],Batters[[#All],[PID]],0)),INDEX(Table3[[#All],[STU P]],MATCH(Table5[[#This Row],[PID]],Table3[[#All],[PID]],0)))</f>
        <v>3</v>
      </c>
      <c r="M231" s="56">
        <f>IF($C231="B",INDEX(Batters[[#All],[GAP P]],MATCH(Table5[[#This Row],[PID]],Batters[[#All],[PID]],0)),INDEX(Table3[[#All],[MOV P]],MATCH(Table5[[#This Row],[PID]],Table3[[#All],[PID]],0)))</f>
        <v>7</v>
      </c>
      <c r="N231" s="56">
        <f>IF($C231="B",INDEX(Batters[[#All],[POW P]],MATCH(Table5[[#This Row],[PID]],Batters[[#All],[PID]],0)),INDEX(Table3[[#All],[CON P]],MATCH(Table5[[#This Row],[PID]],Table3[[#All],[PID]],0)))</f>
        <v>6</v>
      </c>
      <c r="O231" s="56">
        <f>IF($C231="B",INDEX(Batters[[#All],[EYE P]],MATCH(Table5[[#This Row],[PID]],Batters[[#All],[PID]],0)),INDEX(Table3[[#All],[VELO]],MATCH(Table5[[#This Row],[PID]],Table3[[#All],[PID]],0)))</f>
        <v>6</v>
      </c>
      <c r="P231" s="56">
        <f>IF($C231="B",INDEX(Batters[[#All],[K P]],MATCH(Table5[[#This Row],[PID]],Batters[[#All],[PID]],0)),INDEX(Table3[[#All],[STM]],MATCH(Table5[[#This Row],[PID]],Table3[[#All],[PID]],0)))</f>
        <v>3</v>
      </c>
      <c r="Q231" s="61">
        <f>IF($C231="B",INDEX(Batters[[#All],[Tot]],MATCH(Table5[[#This Row],[PID]],Batters[[#All],[PID]],0)),INDEX(Table3[[#All],[Tot]],MATCH(Table5[[#This Row],[PID]],Table3[[#All],[PID]],0)))</f>
        <v>48.093517850846617</v>
      </c>
      <c r="R231" s="52">
        <f>IF($C231="B",INDEX(Batters[[#All],[zScore]],MATCH(Table5[[#This Row],[PID]],Batters[[#All],[PID]],0)),INDEX(Table3[[#All],[zScore]],MATCH(Table5[[#This Row],[PID]],Table3[[#All],[PID]],0)))</f>
        <v>0.87830864902943639</v>
      </c>
      <c r="S231" s="58" t="str">
        <f>IF($C231="B",INDEX(Batters[[#All],[DEM]],MATCH(Table5[[#This Row],[PID]],Batters[[#All],[PID]],0)),INDEX(Table3[[#All],[DEM]],MATCH(Table5[[#This Row],[PID]],Table3[[#All],[PID]],0)))</f>
        <v>$65k</v>
      </c>
      <c r="T231" s="62">
        <f>IF($C231="B",INDEX(Batters[[#All],[Rnk]],MATCH(Table5[[#This Row],[PID]],Batters[[#All],[PID]],0)),INDEX(Table3[[#All],[Rnk]],MATCH(Table5[[#This Row],[PID]],Table3[[#All],[PID]],0)))</f>
        <v>103</v>
      </c>
      <c r="U231" s="68">
        <f>IF($C231="B",VLOOKUP($A231,Bat!$A$4:$BA$1621,47,FALSE),VLOOKUP($A231,Pit!$A$4:$BF$1557,56,FALSE))</f>
        <v>0</v>
      </c>
      <c r="V231" s="50">
        <f>IF($C231="B",VLOOKUP($A231,Bat!$A$4:$BA$1621,48,FALSE),VLOOKUP($A231,Pit!$A$4:$BF$1557,57,FALSE))</f>
        <v>0</v>
      </c>
      <c r="W231" s="50">
        <f>Table5[[#This Row],[posRnk]]+Table5[[#This Row],[zRnk]]+IF($W$3&lt;&gt;Table5[[#This Row],[Type]],50,0)</f>
        <v>413</v>
      </c>
      <c r="X231" s="51">
        <f>RANK(Table5[[#This Row],[zScore]],Table5[[#All],[zScore]])</f>
        <v>260</v>
      </c>
      <c r="Y231" s="50">
        <f>IFERROR(INDEX(DraftResults[[#All],[OVR]],MATCH(Table5[[#This Row],[PID]],DraftResults[[#All],[Player ID]],0)),"")</f>
        <v>227</v>
      </c>
      <c r="Z2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1" s="50">
        <f>IFERROR(INDEX(DraftResults[[#All],[Pick in Round]],MATCH(Table5[[#This Row],[PID]],DraftResults[[#All],[Player ID]],0)),"")</f>
        <v>9</v>
      </c>
      <c r="AB231" s="50" t="str">
        <f>IFERROR(INDEX(DraftResults[[#All],[Team Name]],MATCH(Table5[[#This Row],[PID]],DraftResults[[#All],[Player ID]],0)),"")</f>
        <v>Scottish Claymores</v>
      </c>
      <c r="AC231" s="50">
        <f>IF(Table5[[#This Row],[Ovr]]="","",IF(Table5[[#This Row],[cmbList]]="","",Table5[[#This Row],[cmbList]]-Table5[[#This Row],[Ovr]]))</f>
        <v>186</v>
      </c>
      <c r="AD231" s="54" t="str">
        <f>IF(ISERROR(VLOOKUP($AB231&amp;"-"&amp;$E231&amp;" "&amp;F231,Bonuses!$B$1:$G$1006,4,FALSE)),"",INT(VLOOKUP($AB231&amp;"-"&amp;$E231&amp;" "&amp;$F231,Bonuses!$B$1:$G$1006,4,FALSE)))</f>
        <v/>
      </c>
      <c r="AE2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8.9 (227) - 2B Darrell MacKnight</v>
      </c>
    </row>
    <row r="232" spans="1:31" s="50" customFormat="1" x14ac:dyDescent="0.25">
      <c r="A232" s="50">
        <v>20769</v>
      </c>
      <c r="B232" s="50">
        <f>COUNTIF(Table5[PID],A232)</f>
        <v>1</v>
      </c>
      <c r="C232" s="50" t="str">
        <f>IF(COUNTIF(Table3[[#All],[PID]],A232)&gt;0,"P","B")</f>
        <v>B</v>
      </c>
      <c r="D232" s="59" t="str">
        <f>IF($C232="B",INDEX(Batters[[#All],[POS]],MATCH(Table5[[#This Row],[PID]],Batters[[#All],[PID]],0)),INDEX(Table3[[#All],[POS]],MATCH(Table5[[#This Row],[PID]],Table3[[#All],[PID]],0)))</f>
        <v>LF</v>
      </c>
      <c r="E232" s="52" t="str">
        <f>IF($C232="B",INDEX(Batters[[#All],[First]],MATCH(Table5[[#This Row],[PID]],Batters[[#All],[PID]],0)),INDEX(Table3[[#All],[First]],MATCH(Table5[[#This Row],[PID]],Table3[[#All],[PID]],0)))</f>
        <v>Ken</v>
      </c>
      <c r="F232" s="50" t="str">
        <f>IF($C232="B",INDEX(Batters[[#All],[Last]],MATCH(A232,Batters[[#All],[PID]],0)),INDEX(Table3[[#All],[Last]],MATCH(A232,Table3[[#All],[PID]],0)))</f>
        <v>Hamilton</v>
      </c>
      <c r="G232" s="56">
        <f>IF($C232="B",INDEX(Batters[[#All],[Age]],MATCH(Table5[[#This Row],[PID]],Batters[[#All],[PID]],0)),INDEX(Table3[[#All],[Age]],MATCH(Table5[[#This Row],[PID]],Table3[[#All],[PID]],0)))</f>
        <v>17</v>
      </c>
      <c r="H232" s="52" t="str">
        <f>IF($C232="B",INDEX(Batters[[#All],[B]],MATCH(Table5[[#This Row],[PID]],Batters[[#All],[PID]],0)),INDEX(Table3[[#All],[B]],MATCH(Table5[[#This Row],[PID]],Table3[[#All],[PID]],0)))</f>
        <v>R</v>
      </c>
      <c r="I232" s="52" t="str">
        <f>IF($C232="B",INDEX(Batters[[#All],[T]],MATCH(Table5[[#This Row],[PID]],Batters[[#All],[PID]],0)),INDEX(Table3[[#All],[T]],MATCH(Table5[[#This Row],[PID]],Table3[[#All],[PID]],0)))</f>
        <v>R</v>
      </c>
      <c r="J232" s="52" t="str">
        <f>IF($C232="B",INDEX(Batters[[#All],[WE]],MATCH(Table5[[#This Row],[PID]],Batters[[#All],[PID]],0)),INDEX(Table3[[#All],[WE]],MATCH(Table5[[#This Row],[PID]],Table3[[#All],[PID]],0)))</f>
        <v>Low</v>
      </c>
      <c r="K232" s="52" t="str">
        <f>IF($C232="B",INDEX(Batters[[#All],[INT]],MATCH(Table5[[#This Row],[PID]],Batters[[#All],[PID]],0)),INDEX(Table3[[#All],[INT]],MATCH(Table5[[#This Row],[PID]],Table3[[#All],[PID]],0)))</f>
        <v>Normal</v>
      </c>
      <c r="L232" s="60">
        <f>IF($C232="B",INDEX(Batters[[#All],[CON P]],MATCH(Table5[[#This Row],[PID]],Batters[[#All],[PID]],0)),INDEX(Table3[[#All],[STU P]],MATCH(Table5[[#This Row],[PID]],Table3[[#All],[PID]],0)))</f>
        <v>3</v>
      </c>
      <c r="M232" s="56">
        <f>IF($C232="B",INDEX(Batters[[#All],[GAP P]],MATCH(Table5[[#This Row],[PID]],Batters[[#All],[PID]],0)),INDEX(Table3[[#All],[MOV P]],MATCH(Table5[[#This Row],[PID]],Table3[[#All],[PID]],0)))</f>
        <v>7</v>
      </c>
      <c r="N232" s="56">
        <f>IF($C232="B",INDEX(Batters[[#All],[POW P]],MATCH(Table5[[#This Row],[PID]],Batters[[#All],[PID]],0)),INDEX(Table3[[#All],[CON P]],MATCH(Table5[[#This Row],[PID]],Table3[[#All],[PID]],0)))</f>
        <v>6</v>
      </c>
      <c r="O232" s="56">
        <f>IF($C232="B",INDEX(Batters[[#All],[EYE P]],MATCH(Table5[[#This Row],[PID]],Batters[[#All],[PID]],0)),INDEX(Table3[[#All],[VELO]],MATCH(Table5[[#This Row],[PID]],Table3[[#All],[PID]],0)))</f>
        <v>6</v>
      </c>
      <c r="P232" s="56">
        <f>IF($C232="B",INDEX(Batters[[#All],[K P]],MATCH(Table5[[#This Row],[PID]],Batters[[#All],[PID]],0)),INDEX(Table3[[#All],[STM]],MATCH(Table5[[#This Row],[PID]],Table3[[#All],[PID]],0)))</f>
        <v>4</v>
      </c>
      <c r="Q232" s="61">
        <f>IF($C232="B",INDEX(Batters[[#All],[Tot]],MATCH(Table5[[#This Row],[PID]],Batters[[#All],[PID]],0)),INDEX(Table3[[#All],[Tot]],MATCH(Table5[[#This Row],[PID]],Table3[[#All],[PID]],0)))</f>
        <v>48.409664169619731</v>
      </c>
      <c r="R232" s="52">
        <f>IF($C232="B",INDEX(Batters[[#All],[zScore]],MATCH(Table5[[#This Row],[PID]],Batters[[#All],[PID]],0)),INDEX(Table3[[#All],[zScore]],MATCH(Table5[[#This Row],[PID]],Table3[[#All],[PID]],0)))</f>
        <v>0.94840042485222609</v>
      </c>
      <c r="S232" s="58" t="str">
        <f>IF($C232="B",INDEX(Batters[[#All],[DEM]],MATCH(Table5[[#This Row],[PID]],Batters[[#All],[PID]],0)),INDEX(Table3[[#All],[DEM]],MATCH(Table5[[#This Row],[PID]],Table3[[#All],[PID]],0)))</f>
        <v>$75k</v>
      </c>
      <c r="T232" s="62">
        <f>IF($C232="B",INDEX(Batters[[#All],[Rnk]],MATCH(Table5[[#This Row],[PID]],Batters[[#All],[PID]],0)),INDEX(Table3[[#All],[Rnk]],MATCH(Table5[[#This Row],[PID]],Table3[[#All],[PID]],0)))</f>
        <v>96</v>
      </c>
      <c r="U232" s="68">
        <f>IF($C232="B",VLOOKUP($A232,Bat!$A$4:$BA$1621,47,FALSE),VLOOKUP($A232,Pit!$A$4:$BF$1557,56,FALSE))</f>
        <v>0</v>
      </c>
      <c r="V232" s="50">
        <f>IF($C232="B",VLOOKUP($A232,Bat!$A$4:$BA$1621,48,FALSE),VLOOKUP($A232,Pit!$A$4:$BF$1557,57,FALSE))</f>
        <v>0</v>
      </c>
      <c r="W232" s="50">
        <f>Table5[[#This Row],[posRnk]]+Table5[[#This Row],[zRnk]]+IF($W$3&lt;&gt;Table5[[#This Row],[Type]],50,0)</f>
        <v>387</v>
      </c>
      <c r="X232" s="51">
        <f>RANK(Table5[[#This Row],[zScore]],Table5[[#All],[zScore]])</f>
        <v>241</v>
      </c>
      <c r="Y232" s="50">
        <f>IFERROR(INDEX(DraftResults[[#All],[OVR]],MATCH(Table5[[#This Row],[PID]],DraftResults[[#All],[Player ID]],0)),"")</f>
        <v>228</v>
      </c>
      <c r="Z2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2" s="50">
        <f>IFERROR(INDEX(DraftResults[[#All],[Pick in Round]],MATCH(Table5[[#This Row],[PID]],DraftResults[[#All],[Player ID]],0)),"")</f>
        <v>10</v>
      </c>
      <c r="AB232" s="50" t="str">
        <f>IFERROR(INDEX(DraftResults[[#All],[Team Name]],MATCH(Table5[[#This Row],[PID]],DraftResults[[#All],[Player ID]],0)),"")</f>
        <v>Hartford Harpoon</v>
      </c>
      <c r="AC232" s="50">
        <f>IF(Table5[[#This Row],[Ovr]]="","",IF(Table5[[#This Row],[cmbList]]="","",Table5[[#This Row],[cmbList]]-Table5[[#This Row],[Ovr]]))</f>
        <v>159</v>
      </c>
      <c r="AD232" s="54" t="str">
        <f>IF(ISERROR(VLOOKUP($AB232&amp;"-"&amp;$E232&amp;" "&amp;F232,Bonuses!$B$1:$G$1006,4,FALSE)),"",INT(VLOOKUP($AB232&amp;"-"&amp;$E232&amp;" "&amp;$F232,Bonuses!$B$1:$G$1006,4,FALSE)))</f>
        <v/>
      </c>
      <c r="AE2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8.10 (228) - LF Ken Hamilton</v>
      </c>
    </row>
    <row r="233" spans="1:31" s="50" customFormat="1" x14ac:dyDescent="0.25">
      <c r="A233" s="50">
        <v>18129</v>
      </c>
      <c r="B233" s="50">
        <f>COUNTIF(Table5[PID],A233)</f>
        <v>1</v>
      </c>
      <c r="C233" s="50" t="str">
        <f>IF(COUNTIF(Table3[[#All],[PID]],A233)&gt;0,"P","B")</f>
        <v>P</v>
      </c>
      <c r="D233" s="59" t="str">
        <f>IF($C233="B",INDEX(Batters[[#All],[POS]],MATCH(Table5[[#This Row],[PID]],Batters[[#All],[PID]],0)),INDEX(Table3[[#All],[POS]],MATCH(Table5[[#This Row],[PID]],Table3[[#All],[PID]],0)))</f>
        <v>RP</v>
      </c>
      <c r="E233" s="52" t="str">
        <f>IF($C233="B",INDEX(Batters[[#All],[First]],MATCH(Table5[[#This Row],[PID]],Batters[[#All],[PID]],0)),INDEX(Table3[[#All],[First]],MATCH(Table5[[#This Row],[PID]],Table3[[#All],[PID]],0)))</f>
        <v>Dan</v>
      </c>
      <c r="F233" s="50" t="str">
        <f>IF($C233="B",INDEX(Batters[[#All],[Last]],MATCH(A233,Batters[[#All],[PID]],0)),INDEX(Table3[[#All],[Last]],MATCH(A233,Table3[[#All],[PID]],0)))</f>
        <v>Davidson</v>
      </c>
      <c r="G233" s="56">
        <f>IF($C233="B",INDEX(Batters[[#All],[Age]],MATCH(Table5[[#This Row],[PID]],Batters[[#All],[PID]],0)),INDEX(Table3[[#All],[Age]],MATCH(Table5[[#This Row],[PID]],Table3[[#All],[PID]],0)))</f>
        <v>21</v>
      </c>
      <c r="H233" s="52" t="str">
        <f>IF($C233="B",INDEX(Batters[[#All],[B]],MATCH(Table5[[#This Row],[PID]],Batters[[#All],[PID]],0)),INDEX(Table3[[#All],[B]],MATCH(Table5[[#This Row],[PID]],Table3[[#All],[PID]],0)))</f>
        <v>R</v>
      </c>
      <c r="I233" s="52" t="str">
        <f>IF($C233="B",INDEX(Batters[[#All],[T]],MATCH(Table5[[#This Row],[PID]],Batters[[#All],[PID]],0)),INDEX(Table3[[#All],[T]],MATCH(Table5[[#This Row],[PID]],Table3[[#All],[PID]],0)))</f>
        <v>R</v>
      </c>
      <c r="J233" s="52" t="str">
        <f>IF($C233="B",INDEX(Batters[[#All],[WE]],MATCH(Table5[[#This Row],[PID]],Batters[[#All],[PID]],0)),INDEX(Table3[[#All],[WE]],MATCH(Table5[[#This Row],[PID]],Table3[[#All],[PID]],0)))</f>
        <v>Normal</v>
      </c>
      <c r="K233" s="52" t="str">
        <f>IF($C233="B",INDEX(Batters[[#All],[INT]],MATCH(Table5[[#This Row],[PID]],Batters[[#All],[PID]],0)),INDEX(Table3[[#All],[INT]],MATCH(Table5[[#This Row],[PID]],Table3[[#All],[PID]],0)))</f>
        <v>Normal</v>
      </c>
      <c r="L233" s="60">
        <f>IF($C233="B",INDEX(Batters[[#All],[CON P]],MATCH(Table5[[#This Row],[PID]],Batters[[#All],[PID]],0)),INDEX(Table3[[#All],[STU P]],MATCH(Table5[[#This Row],[PID]],Table3[[#All],[PID]],0)))</f>
        <v>7</v>
      </c>
      <c r="M233" s="56">
        <f>IF($C233="B",INDEX(Batters[[#All],[GAP P]],MATCH(Table5[[#This Row],[PID]],Batters[[#All],[PID]],0)),INDEX(Table3[[#All],[MOV P]],MATCH(Table5[[#This Row],[PID]],Table3[[#All],[PID]],0)))</f>
        <v>3</v>
      </c>
      <c r="N233" s="56">
        <f>IF($C233="B",INDEX(Batters[[#All],[POW P]],MATCH(Table5[[#This Row],[PID]],Batters[[#All],[PID]],0)),INDEX(Table3[[#All],[CON P]],MATCH(Table5[[#This Row],[PID]],Table3[[#All],[PID]],0)))</f>
        <v>3</v>
      </c>
      <c r="O233" s="56" t="str">
        <f>IF($C233="B",INDEX(Batters[[#All],[EYE P]],MATCH(Table5[[#This Row],[PID]],Batters[[#All],[PID]],0)),INDEX(Table3[[#All],[VELO]],MATCH(Table5[[#This Row],[PID]],Table3[[#All],[PID]],0)))</f>
        <v>94-96 Mph</v>
      </c>
      <c r="P233" s="56">
        <f>IF($C233="B",INDEX(Batters[[#All],[K P]],MATCH(Table5[[#This Row],[PID]],Batters[[#All],[PID]],0)),INDEX(Table3[[#All],[STM]],MATCH(Table5[[#This Row],[PID]],Table3[[#All],[PID]],0)))</f>
        <v>6</v>
      </c>
      <c r="Q233" s="61">
        <f>IF($C233="B",INDEX(Batters[[#All],[Tot]],MATCH(Table5[[#This Row],[PID]],Batters[[#All],[PID]],0)),INDEX(Table3[[#All],[Tot]],MATCH(Table5[[#This Row],[PID]],Table3[[#All],[PID]],0)))</f>
        <v>46.378779140417308</v>
      </c>
      <c r="R233" s="52">
        <f>IF($C233="B",INDEX(Batters[[#All],[zScore]],MATCH(Table5[[#This Row],[PID]],Batters[[#All],[PID]],0)),INDEX(Table3[[#All],[zScore]],MATCH(Table5[[#This Row],[PID]],Table3[[#All],[PID]],0)))</f>
        <v>0.69909802081664052</v>
      </c>
      <c r="S233" s="58" t="str">
        <f>IF($C233="B",INDEX(Batters[[#All],[DEM]],MATCH(Table5[[#This Row],[PID]],Batters[[#All],[PID]],0)),INDEX(Table3[[#All],[DEM]],MATCH(Table5[[#This Row],[PID]],Table3[[#All],[PID]],0)))</f>
        <v>-</v>
      </c>
      <c r="T233" s="62">
        <f>IF($C233="B",INDEX(Batters[[#All],[Rnk]],MATCH(Table5[[#This Row],[PID]],Batters[[#All],[PID]],0)),INDEX(Table3[[#All],[Rnk]],MATCH(Table5[[#This Row],[PID]],Table3[[#All],[PID]],0)))</f>
        <v>188</v>
      </c>
      <c r="U233" s="68">
        <f>IF($C233="B",VLOOKUP($A233,Bat!$A$4:$BA$1621,47,FALSE),VLOOKUP($A233,Pit!$A$4:$BF$1557,56,FALSE))</f>
        <v>0</v>
      </c>
      <c r="V233" s="50">
        <f>IF($C233="B",VLOOKUP($A233,Bat!$A$4:$BA$1621,48,FALSE),VLOOKUP($A233,Pit!$A$4:$BF$1557,57,FALSE))</f>
        <v>0</v>
      </c>
      <c r="W233" s="50">
        <f>Table5[[#This Row],[posRnk]]+Table5[[#This Row],[zRnk]]+IF($W$3&lt;&gt;Table5[[#This Row],[Type]],50,0)</f>
        <v>545</v>
      </c>
      <c r="X233" s="51">
        <f>RANK(Table5[[#This Row],[zScore]],Table5[[#All],[zScore]])</f>
        <v>307</v>
      </c>
      <c r="Y233" s="50">
        <f>IFERROR(INDEX(DraftResults[[#All],[OVR]],MATCH(Table5[[#This Row],[PID]],DraftResults[[#All],[Player ID]],0)),"")</f>
        <v>229</v>
      </c>
      <c r="Z2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3" s="50">
        <f>IFERROR(INDEX(DraftResults[[#All],[Pick in Round]],MATCH(Table5[[#This Row],[PID]],DraftResults[[#All],[Player ID]],0)),"")</f>
        <v>11</v>
      </c>
      <c r="AB233" s="50" t="str">
        <f>IFERROR(INDEX(DraftResults[[#All],[Team Name]],MATCH(Table5[[#This Row],[PID]],DraftResults[[#All],[Player ID]],0)),"")</f>
        <v>Duluth Warriors</v>
      </c>
      <c r="AC233" s="50">
        <f>IF(Table5[[#This Row],[Ovr]]="","",IF(Table5[[#This Row],[cmbList]]="","",Table5[[#This Row],[cmbList]]-Table5[[#This Row],[Ovr]]))</f>
        <v>316</v>
      </c>
      <c r="AD233" s="54" t="str">
        <f>IF(ISERROR(VLOOKUP($AB233&amp;"-"&amp;$E233&amp;" "&amp;F233,Bonuses!$B$1:$G$1006,4,FALSE)),"",INT(VLOOKUP($AB233&amp;"-"&amp;$E233&amp;" "&amp;$F233,Bonuses!$B$1:$G$1006,4,FALSE)))</f>
        <v/>
      </c>
      <c r="AE2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8.11 (229) - RP Dan Davidson</v>
      </c>
    </row>
    <row r="234" spans="1:31" s="50" customFormat="1" x14ac:dyDescent="0.25">
      <c r="A234" s="50">
        <v>12778</v>
      </c>
      <c r="B234" s="50">
        <f>COUNTIF(Table5[PID],A234)</f>
        <v>1</v>
      </c>
      <c r="C234" s="50" t="str">
        <f>IF(COUNTIF(Table3[[#All],[PID]],A234)&gt;0,"P","B")</f>
        <v>P</v>
      </c>
      <c r="D234" s="59" t="str">
        <f>IF($C234="B",INDEX(Batters[[#All],[POS]],MATCH(Table5[[#This Row],[PID]],Batters[[#All],[PID]],0)),INDEX(Table3[[#All],[POS]],MATCH(Table5[[#This Row],[PID]],Table3[[#All],[PID]],0)))</f>
        <v>CL</v>
      </c>
      <c r="E234" s="52" t="str">
        <f>IF($C234="B",INDEX(Batters[[#All],[First]],MATCH(Table5[[#This Row],[PID]],Batters[[#All],[PID]],0)),INDEX(Table3[[#All],[First]],MATCH(Table5[[#This Row],[PID]],Table3[[#All],[PID]],0)))</f>
        <v>Pedro</v>
      </c>
      <c r="F234" s="50" t="str">
        <f>IF($C234="B",INDEX(Batters[[#All],[Last]],MATCH(A234,Batters[[#All],[PID]],0)),INDEX(Table3[[#All],[Last]],MATCH(A234,Table3[[#All],[PID]],0)))</f>
        <v>Gusmán</v>
      </c>
      <c r="G234" s="56">
        <f>IF($C234="B",INDEX(Batters[[#All],[Age]],MATCH(Table5[[#This Row],[PID]],Batters[[#All],[PID]],0)),INDEX(Table3[[#All],[Age]],MATCH(Table5[[#This Row],[PID]],Table3[[#All],[PID]],0)))</f>
        <v>18</v>
      </c>
      <c r="H234" s="52" t="str">
        <f>IF($C234="B",INDEX(Batters[[#All],[B]],MATCH(Table5[[#This Row],[PID]],Batters[[#All],[PID]],0)),INDEX(Table3[[#All],[B]],MATCH(Table5[[#This Row],[PID]],Table3[[#All],[PID]],0)))</f>
        <v>L</v>
      </c>
      <c r="I234" s="52" t="str">
        <f>IF($C234="B",INDEX(Batters[[#All],[T]],MATCH(Table5[[#This Row],[PID]],Batters[[#All],[PID]],0)),INDEX(Table3[[#All],[T]],MATCH(Table5[[#This Row],[PID]],Table3[[#All],[PID]],0)))</f>
        <v>L</v>
      </c>
      <c r="J234" s="52" t="str">
        <f>IF($C234="B",INDEX(Batters[[#All],[WE]],MATCH(Table5[[#This Row],[PID]],Batters[[#All],[PID]],0)),INDEX(Table3[[#All],[WE]],MATCH(Table5[[#This Row],[PID]],Table3[[#All],[PID]],0)))</f>
        <v>High</v>
      </c>
      <c r="K234" s="52" t="str">
        <f>IF($C234="B",INDEX(Batters[[#All],[INT]],MATCH(Table5[[#This Row],[PID]],Batters[[#All],[PID]],0)),INDEX(Table3[[#All],[INT]],MATCH(Table5[[#This Row],[PID]],Table3[[#All],[PID]],0)))</f>
        <v>Normal</v>
      </c>
      <c r="L234" s="60">
        <f>IF($C234="B",INDEX(Batters[[#All],[CON P]],MATCH(Table5[[#This Row],[PID]],Batters[[#All],[PID]],0)),INDEX(Table3[[#All],[STU P]],MATCH(Table5[[#This Row],[PID]],Table3[[#All],[PID]],0)))</f>
        <v>6</v>
      </c>
      <c r="M234" s="56">
        <f>IF($C234="B",INDEX(Batters[[#All],[GAP P]],MATCH(Table5[[#This Row],[PID]],Batters[[#All],[PID]],0)),INDEX(Table3[[#All],[MOV P]],MATCH(Table5[[#This Row],[PID]],Table3[[#All],[PID]],0)))</f>
        <v>5</v>
      </c>
      <c r="N234" s="56">
        <f>IF($C234="B",INDEX(Batters[[#All],[POW P]],MATCH(Table5[[#This Row],[PID]],Batters[[#All],[PID]],0)),INDEX(Table3[[#All],[CON P]],MATCH(Table5[[#This Row],[PID]],Table3[[#All],[PID]],0)))</f>
        <v>4</v>
      </c>
      <c r="O234" s="56" t="str">
        <f>IF($C234="B",INDEX(Batters[[#All],[EYE P]],MATCH(Table5[[#This Row],[PID]],Batters[[#All],[PID]],0)),INDEX(Table3[[#All],[VELO]],MATCH(Table5[[#This Row],[PID]],Table3[[#All],[PID]],0)))</f>
        <v>88-90 Mph</v>
      </c>
      <c r="P234" s="56">
        <f>IF($C234="B",INDEX(Batters[[#All],[K P]],MATCH(Table5[[#This Row],[PID]],Batters[[#All],[PID]],0)),INDEX(Table3[[#All],[STM]],MATCH(Table5[[#This Row],[PID]],Table3[[#All],[PID]],0)))</f>
        <v>9</v>
      </c>
      <c r="Q234" s="61">
        <f>IF($C234="B",INDEX(Batters[[#All],[Tot]],MATCH(Table5[[#This Row],[PID]],Batters[[#All],[PID]],0)),INDEX(Table3[[#All],[Tot]],MATCH(Table5[[#This Row],[PID]],Table3[[#All],[PID]],0)))</f>
        <v>60.40930585776303</v>
      </c>
      <c r="R234" s="52">
        <f>IF($C234="B",INDEX(Batters[[#All],[zScore]],MATCH(Table5[[#This Row],[PID]],Batters[[#All],[PID]],0)),INDEX(Table3[[#All],[zScore]],MATCH(Table5[[#This Row],[PID]],Table3[[#All],[PID]],0)))</f>
        <v>1.6325275231497149</v>
      </c>
      <c r="S234" s="58" t="str">
        <f>IF($C234="B",INDEX(Batters[[#All],[DEM]],MATCH(Table5[[#This Row],[PID]],Batters[[#All],[PID]],0)),INDEX(Table3[[#All],[DEM]],MATCH(Table5[[#This Row],[PID]],Table3[[#All],[PID]],0)))</f>
        <v>$75k</v>
      </c>
      <c r="T234" s="62">
        <f>IF($C234="B",INDEX(Batters[[#All],[Rnk]],MATCH(Table5[[#This Row],[PID]],Batters[[#All],[PID]],0)),INDEX(Table3[[#All],[Rnk]],MATCH(Table5[[#This Row],[PID]],Table3[[#All],[PID]],0)))</f>
        <v>62</v>
      </c>
      <c r="U234" s="68">
        <f>IF($C234="B",VLOOKUP($A234,Bat!$A$4:$BA$1621,47,FALSE),VLOOKUP($A234,Pit!$A$4:$BF$1557,56,FALSE))</f>
        <v>0</v>
      </c>
      <c r="V234" s="50">
        <f>IF($C234="B",VLOOKUP($A234,Bat!$A$4:$BA$1621,48,FALSE),VLOOKUP($A234,Pit!$A$4:$BF$1557,57,FALSE))</f>
        <v>0</v>
      </c>
      <c r="W234" s="50">
        <f>Table5[[#This Row],[posRnk]]+Table5[[#This Row],[zRnk]]+IF($W$3&lt;&gt;Table5[[#This Row],[Type]],50,0)</f>
        <v>210</v>
      </c>
      <c r="X234" s="51">
        <f>RANK(Table5[[#This Row],[zScore]],Table5[[#All],[zScore]])</f>
        <v>98</v>
      </c>
      <c r="Y234" s="50">
        <f>IFERROR(INDEX(DraftResults[[#All],[OVR]],MATCH(Table5[[#This Row],[PID]],DraftResults[[#All],[Player ID]],0)),"")</f>
        <v>230</v>
      </c>
      <c r="Z2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4" s="50">
        <f>IFERROR(INDEX(DraftResults[[#All],[Pick in Round]],MATCH(Table5[[#This Row],[PID]],DraftResults[[#All],[Player ID]],0)),"")</f>
        <v>12</v>
      </c>
      <c r="AB234" s="50" t="str">
        <f>IFERROR(INDEX(DraftResults[[#All],[Team Name]],MATCH(Table5[[#This Row],[PID]],DraftResults[[#All],[Player ID]],0)),"")</f>
        <v>Palm Springs Codgers</v>
      </c>
      <c r="AC234" s="50">
        <f>IF(Table5[[#This Row],[Ovr]]="","",IF(Table5[[#This Row],[cmbList]]="","",Table5[[#This Row],[cmbList]]-Table5[[#This Row],[Ovr]]))</f>
        <v>-20</v>
      </c>
      <c r="AD234" s="54" t="str">
        <f>IF(ISERROR(VLOOKUP($AB234&amp;"-"&amp;$E234&amp;" "&amp;F234,Bonuses!$B$1:$G$1006,4,FALSE)),"",INT(VLOOKUP($AB234&amp;"-"&amp;$E234&amp;" "&amp;$F234,Bonuses!$B$1:$G$1006,4,FALSE)))</f>
        <v/>
      </c>
      <c r="AE2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8.12 (230) - CL Pedro Gusmán</v>
      </c>
    </row>
    <row r="235" spans="1:31" s="50" customFormat="1" x14ac:dyDescent="0.25">
      <c r="A235" s="50">
        <v>20413</v>
      </c>
      <c r="B235" s="50">
        <f>COUNTIF(Table5[PID],A235)</f>
        <v>1</v>
      </c>
      <c r="C235" s="50" t="str">
        <f>IF(COUNTIF(Table3[[#All],[PID]],A235)&gt;0,"P","B")</f>
        <v>B</v>
      </c>
      <c r="D235" s="59" t="str">
        <f>IF($C235="B",INDEX(Batters[[#All],[POS]],MATCH(Table5[[#This Row],[PID]],Batters[[#All],[PID]],0)),INDEX(Table3[[#All],[POS]],MATCH(Table5[[#This Row],[PID]],Table3[[#All],[PID]],0)))</f>
        <v>C</v>
      </c>
      <c r="E235" s="52" t="str">
        <f>IF($C235="B",INDEX(Batters[[#All],[First]],MATCH(Table5[[#This Row],[PID]],Batters[[#All],[PID]],0)),INDEX(Table3[[#All],[First]],MATCH(Table5[[#This Row],[PID]],Table3[[#All],[PID]],0)))</f>
        <v>Arthur</v>
      </c>
      <c r="F235" s="50" t="str">
        <f>IF($C235="B",INDEX(Batters[[#All],[Last]],MATCH(A235,Batters[[#All],[PID]],0)),INDEX(Table3[[#All],[Last]],MATCH(A235,Table3[[#All],[PID]],0)))</f>
        <v>Cottam</v>
      </c>
      <c r="G235" s="56">
        <f>IF($C235="B",INDEX(Batters[[#All],[Age]],MATCH(Table5[[#This Row],[PID]],Batters[[#All],[PID]],0)),INDEX(Table3[[#All],[Age]],MATCH(Table5[[#This Row],[PID]],Table3[[#All],[PID]],0)))</f>
        <v>19</v>
      </c>
      <c r="H235" s="52" t="str">
        <f>IF($C235="B",INDEX(Batters[[#All],[B]],MATCH(Table5[[#This Row],[PID]],Batters[[#All],[PID]],0)),INDEX(Table3[[#All],[B]],MATCH(Table5[[#This Row],[PID]],Table3[[#All],[PID]],0)))</f>
        <v>R</v>
      </c>
      <c r="I235" s="52" t="str">
        <f>IF($C235="B",INDEX(Batters[[#All],[T]],MATCH(Table5[[#This Row],[PID]],Batters[[#All],[PID]],0)),INDEX(Table3[[#All],[T]],MATCH(Table5[[#This Row],[PID]],Table3[[#All],[PID]],0)))</f>
        <v>R</v>
      </c>
      <c r="J235" s="52" t="str">
        <f>IF($C235="B",INDEX(Batters[[#All],[WE]],MATCH(Table5[[#This Row],[PID]],Batters[[#All],[PID]],0)),INDEX(Table3[[#All],[WE]],MATCH(Table5[[#This Row],[PID]],Table3[[#All],[PID]],0)))</f>
        <v>Normal</v>
      </c>
      <c r="K235" s="52" t="str">
        <f>IF($C235="B",INDEX(Batters[[#All],[INT]],MATCH(Table5[[#This Row],[PID]],Batters[[#All],[PID]],0)),INDEX(Table3[[#All],[INT]],MATCH(Table5[[#This Row],[PID]],Table3[[#All],[PID]],0)))</f>
        <v>High</v>
      </c>
      <c r="L235" s="60">
        <f>IF($C235="B",INDEX(Batters[[#All],[CON P]],MATCH(Table5[[#This Row],[PID]],Batters[[#All],[PID]],0)),INDEX(Table3[[#All],[STU P]],MATCH(Table5[[#This Row],[PID]],Table3[[#All],[PID]],0)))</f>
        <v>3</v>
      </c>
      <c r="M235" s="56">
        <f>IF($C235="B",INDEX(Batters[[#All],[GAP P]],MATCH(Table5[[#This Row],[PID]],Batters[[#All],[PID]],0)),INDEX(Table3[[#All],[MOV P]],MATCH(Table5[[#This Row],[PID]],Table3[[#All],[PID]],0)))</f>
        <v>5</v>
      </c>
      <c r="N235" s="56">
        <f>IF($C235="B",INDEX(Batters[[#All],[POW P]],MATCH(Table5[[#This Row],[PID]],Batters[[#All],[PID]],0)),INDEX(Table3[[#All],[CON P]],MATCH(Table5[[#This Row],[PID]],Table3[[#All],[PID]],0)))</f>
        <v>5</v>
      </c>
      <c r="O235" s="56">
        <f>IF($C235="B",INDEX(Batters[[#All],[EYE P]],MATCH(Table5[[#This Row],[PID]],Batters[[#All],[PID]],0)),INDEX(Table3[[#All],[VELO]],MATCH(Table5[[#This Row],[PID]],Table3[[#All],[PID]],0)))</f>
        <v>6</v>
      </c>
      <c r="P235" s="56">
        <f>IF($C235="B",INDEX(Batters[[#All],[K P]],MATCH(Table5[[#This Row],[PID]],Batters[[#All],[PID]],0)),INDEX(Table3[[#All],[STM]],MATCH(Table5[[#This Row],[PID]],Table3[[#All],[PID]],0)))</f>
        <v>3</v>
      </c>
      <c r="Q235" s="61">
        <f>IF($C235="B",INDEX(Batters[[#All],[Tot]],MATCH(Table5[[#This Row],[PID]],Batters[[#All],[PID]],0)),INDEX(Table3[[#All],[Tot]],MATCH(Table5[[#This Row],[PID]],Table3[[#All],[PID]],0)))</f>
        <v>45.646342811710909</v>
      </c>
      <c r="R235" s="52">
        <f>IF($C235="B",INDEX(Batters[[#All],[zScore]],MATCH(Table5[[#This Row],[PID]],Batters[[#All],[PID]],0)),INDEX(Table3[[#All],[zScore]],MATCH(Table5[[#This Row],[PID]],Table3[[#All],[PID]],0)))</f>
        <v>0.33575340148494504</v>
      </c>
      <c r="S235" s="58" t="str">
        <f>IF($C235="B",INDEX(Batters[[#All],[DEM]],MATCH(Table5[[#This Row],[PID]],Batters[[#All],[PID]],0)),INDEX(Table3[[#All],[DEM]],MATCH(Table5[[#This Row],[PID]],Table3[[#All],[PID]],0)))</f>
        <v>$85k</v>
      </c>
      <c r="T235" s="62">
        <f>IF($C235="B",INDEX(Batters[[#All],[Rnk]],MATCH(Table5[[#This Row],[PID]],Batters[[#All],[PID]],0)),INDEX(Table3[[#All],[Rnk]],MATCH(Table5[[#This Row],[PID]],Table3[[#All],[PID]],0)))</f>
        <v>170</v>
      </c>
      <c r="U235" s="68">
        <f>IF($C235="B",VLOOKUP($A235,Bat!$A$4:$BA$1621,47,FALSE),VLOOKUP($A235,Pit!$A$4:$BF$1557,56,FALSE))</f>
        <v>0</v>
      </c>
      <c r="V235" s="50">
        <f>IF($C235="B",VLOOKUP($A235,Bat!$A$4:$BA$1621,48,FALSE),VLOOKUP($A235,Pit!$A$4:$BF$1557,57,FALSE))</f>
        <v>0</v>
      </c>
      <c r="W235" s="50">
        <f>Table5[[#This Row],[posRnk]]+Table5[[#This Row],[zRnk]]+IF($W$3&lt;&gt;Table5[[#This Row],[Type]],50,0)</f>
        <v>625</v>
      </c>
      <c r="X235" s="51">
        <f>RANK(Table5[[#This Row],[zScore]],Table5[[#All],[zScore]])</f>
        <v>405</v>
      </c>
      <c r="Y235" s="50">
        <f>IFERROR(INDEX(DraftResults[[#All],[OVR]],MATCH(Table5[[#This Row],[PID]],DraftResults[[#All],[Player ID]],0)),"")</f>
        <v>231</v>
      </c>
      <c r="Z2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5" s="50">
        <f>IFERROR(INDEX(DraftResults[[#All],[Pick in Round]],MATCH(Table5[[#This Row],[PID]],DraftResults[[#All],[Player ID]],0)),"")</f>
        <v>13</v>
      </c>
      <c r="AB235" s="50" t="str">
        <f>IFERROR(INDEX(DraftResults[[#All],[Team Name]],MATCH(Table5[[#This Row],[PID]],DraftResults[[#All],[Player ID]],0)),"")</f>
        <v>Reno Zephyrs</v>
      </c>
      <c r="AC235" s="50">
        <f>IF(Table5[[#This Row],[Ovr]]="","",IF(Table5[[#This Row],[cmbList]]="","",Table5[[#This Row],[cmbList]]-Table5[[#This Row],[Ovr]]))</f>
        <v>394</v>
      </c>
      <c r="AD235" s="54" t="str">
        <f>IF(ISERROR(VLOOKUP($AB235&amp;"-"&amp;$E235&amp;" "&amp;F235,Bonuses!$B$1:$G$1006,4,FALSE)),"",INT(VLOOKUP($AB235&amp;"-"&amp;$E235&amp;" "&amp;$F235,Bonuses!$B$1:$G$1006,4,FALSE)))</f>
        <v/>
      </c>
      <c r="AE2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8.13 (231) - C Arthur Cottam</v>
      </c>
    </row>
    <row r="236" spans="1:31" s="50" customFormat="1" x14ac:dyDescent="0.25">
      <c r="A236" s="50">
        <v>18008</v>
      </c>
      <c r="B236" s="50">
        <f>COUNTIF(Table5[PID],A236)</f>
        <v>1</v>
      </c>
      <c r="C236" s="50" t="str">
        <f>IF(COUNTIF(Table3[[#All],[PID]],A236)&gt;0,"P","B")</f>
        <v>P</v>
      </c>
      <c r="D236" s="59" t="str">
        <f>IF($C236="B",INDEX(Batters[[#All],[POS]],MATCH(Table5[[#This Row],[PID]],Batters[[#All],[PID]],0)),INDEX(Table3[[#All],[POS]],MATCH(Table5[[#This Row],[PID]],Table3[[#All],[PID]],0)))</f>
        <v>RP</v>
      </c>
      <c r="E236" s="52" t="str">
        <f>IF($C236="B",INDEX(Batters[[#All],[First]],MATCH(Table5[[#This Row],[PID]],Batters[[#All],[PID]],0)),INDEX(Table3[[#All],[First]],MATCH(Table5[[#This Row],[PID]],Table3[[#All],[PID]],0)))</f>
        <v>Cristo</v>
      </c>
      <c r="F236" s="50" t="str">
        <f>IF($C236="B",INDEX(Batters[[#All],[Last]],MATCH(A236,Batters[[#All],[PID]],0)),INDEX(Table3[[#All],[Last]],MATCH(A236,Table3[[#All],[PID]],0)))</f>
        <v>Lagunas</v>
      </c>
      <c r="G236" s="56">
        <f>IF($C236="B",INDEX(Batters[[#All],[Age]],MATCH(Table5[[#This Row],[PID]],Batters[[#All],[PID]],0)),INDEX(Table3[[#All],[Age]],MATCH(Table5[[#This Row],[PID]],Table3[[#All],[PID]],0)))</f>
        <v>21</v>
      </c>
      <c r="H236" s="52" t="str">
        <f>IF($C236="B",INDEX(Batters[[#All],[B]],MATCH(Table5[[#This Row],[PID]],Batters[[#All],[PID]],0)),INDEX(Table3[[#All],[B]],MATCH(Table5[[#This Row],[PID]],Table3[[#All],[PID]],0)))</f>
        <v>R</v>
      </c>
      <c r="I236" s="52" t="str">
        <f>IF($C236="B",INDEX(Batters[[#All],[T]],MATCH(Table5[[#This Row],[PID]],Batters[[#All],[PID]],0)),INDEX(Table3[[#All],[T]],MATCH(Table5[[#This Row],[PID]],Table3[[#All],[PID]],0)))</f>
        <v>R</v>
      </c>
      <c r="J236" s="52" t="str">
        <f>IF($C236="B",INDEX(Batters[[#All],[WE]],MATCH(Table5[[#This Row],[PID]],Batters[[#All],[PID]],0)),INDEX(Table3[[#All],[WE]],MATCH(Table5[[#This Row],[PID]],Table3[[#All],[PID]],0)))</f>
        <v>Normal</v>
      </c>
      <c r="K236" s="52" t="str">
        <f>IF($C236="B",INDEX(Batters[[#All],[INT]],MATCH(Table5[[#This Row],[PID]],Batters[[#All],[PID]],0)),INDEX(Table3[[#All],[INT]],MATCH(Table5[[#This Row],[PID]],Table3[[#All],[PID]],0)))</f>
        <v>High</v>
      </c>
      <c r="L236" s="60">
        <f>IF($C236="B",INDEX(Batters[[#All],[CON P]],MATCH(Table5[[#This Row],[PID]],Batters[[#All],[PID]],0)),INDEX(Table3[[#All],[STU P]],MATCH(Table5[[#This Row],[PID]],Table3[[#All],[PID]],0)))</f>
        <v>7</v>
      </c>
      <c r="M236" s="56">
        <f>IF($C236="B",INDEX(Batters[[#All],[GAP P]],MATCH(Table5[[#This Row],[PID]],Batters[[#All],[PID]],0)),INDEX(Table3[[#All],[MOV P]],MATCH(Table5[[#This Row],[PID]],Table3[[#All],[PID]],0)))</f>
        <v>3</v>
      </c>
      <c r="N236" s="56">
        <f>IF($C236="B",INDEX(Batters[[#All],[POW P]],MATCH(Table5[[#This Row],[PID]],Batters[[#All],[PID]],0)),INDEX(Table3[[#All],[CON P]],MATCH(Table5[[#This Row],[PID]],Table3[[#All],[PID]],0)))</f>
        <v>3</v>
      </c>
      <c r="O236" s="56" t="str">
        <f>IF($C236="B",INDEX(Batters[[#All],[EYE P]],MATCH(Table5[[#This Row],[PID]],Batters[[#All],[PID]],0)),INDEX(Table3[[#All],[VELO]],MATCH(Table5[[#This Row],[PID]],Table3[[#All],[PID]],0)))</f>
        <v>94-96 Mph</v>
      </c>
      <c r="P236" s="56">
        <f>IF($C236="B",INDEX(Batters[[#All],[K P]],MATCH(Table5[[#This Row],[PID]],Batters[[#All],[PID]],0)),INDEX(Table3[[#All],[STM]],MATCH(Table5[[#This Row],[PID]],Table3[[#All],[PID]],0)))</f>
        <v>4</v>
      </c>
      <c r="Q236" s="61">
        <f>IF($C236="B",INDEX(Batters[[#All],[Tot]],MATCH(Table5[[#This Row],[PID]],Batters[[#All],[PID]],0)),INDEX(Table3[[#All],[Tot]],MATCH(Table5[[#This Row],[PID]],Table3[[#All],[PID]],0)))</f>
        <v>39.207832880406606</v>
      </c>
      <c r="R236" s="52">
        <f>IF($C236="B",INDEX(Batters[[#All],[zScore]],MATCH(Table5[[#This Row],[PID]],Batters[[#All],[PID]],0)),INDEX(Table3[[#All],[zScore]],MATCH(Table5[[#This Row],[PID]],Table3[[#All],[PID]],0)))</f>
        <v>0.22202592412451491</v>
      </c>
      <c r="S236" s="58" t="str">
        <f>IF($C236="B",INDEX(Batters[[#All],[DEM]],MATCH(Table5[[#This Row],[PID]],Batters[[#All],[PID]],0)),INDEX(Table3[[#All],[DEM]],MATCH(Table5[[#This Row],[PID]],Table3[[#All],[PID]],0)))</f>
        <v>-</v>
      </c>
      <c r="T236" s="62">
        <f>IF($C236="B",INDEX(Batters[[#All],[Rnk]],MATCH(Table5[[#This Row],[PID]],Batters[[#All],[PID]],0)),INDEX(Table3[[#All],[Rnk]],MATCH(Table5[[#This Row],[PID]],Table3[[#All],[PID]],0)))</f>
        <v>259</v>
      </c>
      <c r="U236" s="68">
        <f>IF($C236="B",VLOOKUP($A236,Bat!$A$4:$BA$1621,47,FALSE),VLOOKUP($A236,Pit!$A$4:$BF$1557,56,FALSE))</f>
        <v>0</v>
      </c>
      <c r="V236" s="50">
        <f>IF($C236="B",VLOOKUP($A236,Bat!$A$4:$BA$1621,48,FALSE),VLOOKUP($A236,Pit!$A$4:$BF$1557,57,FALSE))</f>
        <v>0</v>
      </c>
      <c r="W236" s="50">
        <f>Table5[[#This Row],[posRnk]]+Table5[[#This Row],[zRnk]]+IF($W$3&lt;&gt;Table5[[#This Row],[Type]],50,0)</f>
        <v>763</v>
      </c>
      <c r="X236" s="51">
        <f>RANK(Table5[[#This Row],[zScore]],Table5[[#All],[zScore]])</f>
        <v>454</v>
      </c>
      <c r="Y236" s="50">
        <f>IFERROR(INDEX(DraftResults[[#All],[OVR]],MATCH(Table5[[#This Row],[PID]],DraftResults[[#All],[Player ID]],0)),"")</f>
        <v>232</v>
      </c>
      <c r="Z2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6" s="50">
        <f>IFERROR(INDEX(DraftResults[[#All],[Pick in Round]],MATCH(Table5[[#This Row],[PID]],DraftResults[[#All],[Player ID]],0)),"")</f>
        <v>14</v>
      </c>
      <c r="AB236" s="50" t="str">
        <f>IFERROR(INDEX(DraftResults[[#All],[Team Name]],MATCH(Table5[[#This Row],[PID]],DraftResults[[#All],[Player ID]],0)),"")</f>
        <v>Arlington Bureaucrats</v>
      </c>
      <c r="AC236" s="50">
        <f>IF(Table5[[#This Row],[Ovr]]="","",IF(Table5[[#This Row],[cmbList]]="","",Table5[[#This Row],[cmbList]]-Table5[[#This Row],[Ovr]]))</f>
        <v>531</v>
      </c>
      <c r="AD236" s="54" t="str">
        <f>IF(ISERROR(VLOOKUP($AB236&amp;"-"&amp;$E236&amp;" "&amp;F236,Bonuses!$B$1:$G$1006,4,FALSE)),"",INT(VLOOKUP($AB236&amp;"-"&amp;$E236&amp;" "&amp;$F236,Bonuses!$B$1:$G$1006,4,FALSE)))</f>
        <v/>
      </c>
      <c r="AE2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8.14 (232) - RP Cristo Lagunas</v>
      </c>
    </row>
    <row r="237" spans="1:31" s="50" customFormat="1" x14ac:dyDescent="0.25">
      <c r="A237" s="50">
        <v>20865</v>
      </c>
      <c r="B237" s="50">
        <f>COUNTIF(Table5[PID],A237)</f>
        <v>1</v>
      </c>
      <c r="C237" s="50" t="str">
        <f>IF(COUNTIF(Table3[[#All],[PID]],A237)&gt;0,"P","B")</f>
        <v>B</v>
      </c>
      <c r="D237" s="59" t="str">
        <f>IF($C237="B",INDEX(Batters[[#All],[POS]],MATCH(Table5[[#This Row],[PID]],Batters[[#All],[PID]],0)),INDEX(Table3[[#All],[POS]],MATCH(Table5[[#This Row],[PID]],Table3[[#All],[PID]],0)))</f>
        <v>1B</v>
      </c>
      <c r="E237" s="52" t="str">
        <f>IF($C237="B",INDEX(Batters[[#All],[First]],MATCH(Table5[[#This Row],[PID]],Batters[[#All],[PID]],0)),INDEX(Table3[[#All],[First]],MATCH(Table5[[#This Row],[PID]],Table3[[#All],[PID]],0)))</f>
        <v>Chris</v>
      </c>
      <c r="F237" s="50" t="str">
        <f>IF($C237="B",INDEX(Batters[[#All],[Last]],MATCH(A237,Batters[[#All],[PID]],0)),INDEX(Table3[[#All],[Last]],MATCH(A237,Table3[[#All],[PID]],0)))</f>
        <v>Crouch</v>
      </c>
      <c r="G237" s="56">
        <f>IF($C237="B",INDEX(Batters[[#All],[Age]],MATCH(Table5[[#This Row],[PID]],Batters[[#All],[PID]],0)),INDEX(Table3[[#All],[Age]],MATCH(Table5[[#This Row],[PID]],Table3[[#All],[PID]],0)))</f>
        <v>18</v>
      </c>
      <c r="H237" s="52" t="str">
        <f>IF($C237="B",INDEX(Batters[[#All],[B]],MATCH(Table5[[#This Row],[PID]],Batters[[#All],[PID]],0)),INDEX(Table3[[#All],[B]],MATCH(Table5[[#This Row],[PID]],Table3[[#All],[PID]],0)))</f>
        <v>R</v>
      </c>
      <c r="I237" s="52" t="str">
        <f>IF($C237="B",INDEX(Batters[[#All],[T]],MATCH(Table5[[#This Row],[PID]],Batters[[#All],[PID]],0)),INDEX(Table3[[#All],[T]],MATCH(Table5[[#This Row],[PID]],Table3[[#All],[PID]],0)))</f>
        <v>R</v>
      </c>
      <c r="J237" s="52" t="str">
        <f>IF($C237="B",INDEX(Batters[[#All],[WE]],MATCH(Table5[[#This Row],[PID]],Batters[[#All],[PID]],0)),INDEX(Table3[[#All],[WE]],MATCH(Table5[[#This Row],[PID]],Table3[[#All],[PID]],0)))</f>
        <v>Low</v>
      </c>
      <c r="K237" s="52" t="str">
        <f>IF($C237="B",INDEX(Batters[[#All],[INT]],MATCH(Table5[[#This Row],[PID]],Batters[[#All],[PID]],0)),INDEX(Table3[[#All],[INT]],MATCH(Table5[[#This Row],[PID]],Table3[[#All],[PID]],0)))</f>
        <v>High</v>
      </c>
      <c r="L237" s="60">
        <f>IF($C237="B",INDEX(Batters[[#All],[CON P]],MATCH(Table5[[#This Row],[PID]],Batters[[#All],[PID]],0)),INDEX(Table3[[#All],[STU P]],MATCH(Table5[[#This Row],[PID]],Table3[[#All],[PID]],0)))</f>
        <v>4</v>
      </c>
      <c r="M237" s="56">
        <f>IF($C237="B",INDEX(Batters[[#All],[GAP P]],MATCH(Table5[[#This Row],[PID]],Batters[[#All],[PID]],0)),INDEX(Table3[[#All],[MOV P]],MATCH(Table5[[#This Row],[PID]],Table3[[#All],[PID]],0)))</f>
        <v>6</v>
      </c>
      <c r="N237" s="56">
        <f>IF($C237="B",INDEX(Batters[[#All],[POW P]],MATCH(Table5[[#This Row],[PID]],Batters[[#All],[PID]],0)),INDEX(Table3[[#All],[CON P]],MATCH(Table5[[#This Row],[PID]],Table3[[#All],[PID]],0)))</f>
        <v>7</v>
      </c>
      <c r="O237" s="56">
        <f>IF($C237="B",INDEX(Batters[[#All],[EYE P]],MATCH(Table5[[#This Row],[PID]],Batters[[#All],[PID]],0)),INDEX(Table3[[#All],[VELO]],MATCH(Table5[[#This Row],[PID]],Table3[[#All],[PID]],0)))</f>
        <v>6</v>
      </c>
      <c r="P237" s="56">
        <f>IF($C237="B",INDEX(Batters[[#All],[K P]],MATCH(Table5[[#This Row],[PID]],Batters[[#All],[PID]],0)),INDEX(Table3[[#All],[STM]],MATCH(Table5[[#This Row],[PID]],Table3[[#All],[PID]],0)))</f>
        <v>2</v>
      </c>
      <c r="Q237" s="61">
        <f>IF($C237="B",INDEX(Batters[[#All],[Tot]],MATCH(Table5[[#This Row],[PID]],Batters[[#All],[PID]],0)),INDEX(Table3[[#All],[Tot]],MATCH(Table5[[#This Row],[PID]],Table3[[#All],[PID]],0)))</f>
        <v>51.178934237373255</v>
      </c>
      <c r="R237" s="52">
        <f>IF($C237="B",INDEX(Batters[[#All],[zScore]],MATCH(Table5[[#This Row],[PID]],Batters[[#All],[PID]],0)),INDEX(Table3[[#All],[zScore]],MATCH(Table5[[#This Row],[PID]],Table3[[#All],[PID]],0)))</f>
        <v>1.5623663174016245</v>
      </c>
      <c r="S237" s="58" t="str">
        <f>IF($C237="B",INDEX(Batters[[#All],[DEM]],MATCH(Table5[[#This Row],[PID]],Batters[[#All],[PID]],0)),INDEX(Table3[[#All],[DEM]],MATCH(Table5[[#This Row],[PID]],Table3[[#All],[PID]],0)))</f>
        <v>$200k</v>
      </c>
      <c r="T237" s="62">
        <f>IF($C237="B",INDEX(Batters[[#All],[Rnk]],MATCH(Table5[[#This Row],[PID]],Batters[[#All],[PID]],0)),INDEX(Table3[[#All],[Rnk]],MATCH(Table5[[#This Row],[PID]],Table3[[#All],[PID]],0)))</f>
        <v>41</v>
      </c>
      <c r="U237" s="68">
        <f>IF($C237="B",VLOOKUP($A237,Bat!$A$4:$BA$1621,47,FALSE),VLOOKUP($A237,Pit!$A$4:$BF$1557,56,FALSE))</f>
        <v>0</v>
      </c>
      <c r="V237" s="50">
        <f>IF($C237="B",VLOOKUP($A237,Bat!$A$4:$BA$1621,48,FALSE),VLOOKUP($A237,Pit!$A$4:$BF$1557,57,FALSE))</f>
        <v>0</v>
      </c>
      <c r="W237" s="50">
        <f>Table5[[#This Row],[posRnk]]+Table5[[#This Row],[zRnk]]+IF($W$3&lt;&gt;Table5[[#This Row],[Type]],50,0)</f>
        <v>200</v>
      </c>
      <c r="X237" s="51">
        <f>RANK(Table5[[#This Row],[zScore]],Table5[[#All],[zScore]])</f>
        <v>109</v>
      </c>
      <c r="Y237" s="50">
        <f>IFERROR(INDEX(DraftResults[[#All],[OVR]],MATCH(Table5[[#This Row],[PID]],DraftResults[[#All],[Player ID]],0)),"")</f>
        <v>233</v>
      </c>
      <c r="Z2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7" s="50">
        <f>IFERROR(INDEX(DraftResults[[#All],[Pick in Round]],MATCH(Table5[[#This Row],[PID]],DraftResults[[#All],[Player ID]],0)),"")</f>
        <v>15</v>
      </c>
      <c r="AB237" s="50" t="str">
        <f>IFERROR(INDEX(DraftResults[[#All],[Team Name]],MATCH(Table5[[#This Row],[PID]],DraftResults[[#All],[Player ID]],0)),"")</f>
        <v>Kentucky Thoroughbreds</v>
      </c>
      <c r="AC237" s="50">
        <f>IF(Table5[[#This Row],[Ovr]]="","",IF(Table5[[#This Row],[cmbList]]="","",Table5[[#This Row],[cmbList]]-Table5[[#This Row],[Ovr]]))</f>
        <v>-33</v>
      </c>
      <c r="AD237" s="54" t="str">
        <f>IF(ISERROR(VLOOKUP($AB237&amp;"-"&amp;$E237&amp;" "&amp;F237,Bonuses!$B$1:$G$1006,4,FALSE)),"",INT(VLOOKUP($AB237&amp;"-"&amp;$E237&amp;" "&amp;$F237,Bonuses!$B$1:$G$1006,4,FALSE)))</f>
        <v/>
      </c>
      <c r="AE2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8.15 (233) - 1B Chris Crouch</v>
      </c>
    </row>
    <row r="238" spans="1:31" s="50" customFormat="1" x14ac:dyDescent="0.25">
      <c r="A238" s="50">
        <v>21093</v>
      </c>
      <c r="B238" s="50">
        <f>COUNTIF(Table5[PID],A238)</f>
        <v>1</v>
      </c>
      <c r="C238" s="50" t="str">
        <f>IF(COUNTIF(Table3[[#All],[PID]],A238)&gt;0,"P","B")</f>
        <v>B</v>
      </c>
      <c r="D238" s="59" t="str">
        <f>IF($C238="B",INDEX(Batters[[#All],[POS]],MATCH(Table5[[#This Row],[PID]],Batters[[#All],[PID]],0)),INDEX(Table3[[#All],[POS]],MATCH(Table5[[#This Row],[PID]],Table3[[#All],[PID]],0)))</f>
        <v>SS</v>
      </c>
      <c r="E238" s="52" t="str">
        <f>IF($C238="B",INDEX(Batters[[#All],[First]],MATCH(Table5[[#This Row],[PID]],Batters[[#All],[PID]],0)),INDEX(Table3[[#All],[First]],MATCH(Table5[[#This Row],[PID]],Table3[[#All],[PID]],0)))</f>
        <v>Robin</v>
      </c>
      <c r="F238" s="50" t="str">
        <f>IF($C238="B",INDEX(Batters[[#All],[Last]],MATCH(A238,Batters[[#All],[PID]],0)),INDEX(Table3[[#All],[Last]],MATCH(A238,Table3[[#All],[PID]],0)))</f>
        <v>Robinson</v>
      </c>
      <c r="G238" s="56">
        <f>IF($C238="B",INDEX(Batters[[#All],[Age]],MATCH(Table5[[#This Row],[PID]],Batters[[#All],[PID]],0)),INDEX(Table3[[#All],[Age]],MATCH(Table5[[#This Row],[PID]],Table3[[#All],[PID]],0)))</f>
        <v>17</v>
      </c>
      <c r="H238" s="52" t="str">
        <f>IF($C238="B",INDEX(Batters[[#All],[B]],MATCH(Table5[[#This Row],[PID]],Batters[[#All],[PID]],0)),INDEX(Table3[[#All],[B]],MATCH(Table5[[#This Row],[PID]],Table3[[#All],[PID]],0)))</f>
        <v>R</v>
      </c>
      <c r="I238" s="52" t="str">
        <f>IF($C238="B",INDEX(Batters[[#All],[T]],MATCH(Table5[[#This Row],[PID]],Batters[[#All],[PID]],0)),INDEX(Table3[[#All],[T]],MATCH(Table5[[#This Row],[PID]],Table3[[#All],[PID]],0)))</f>
        <v>R</v>
      </c>
      <c r="J238" s="52" t="str">
        <f>IF($C238="B",INDEX(Batters[[#All],[WE]],MATCH(Table5[[#This Row],[PID]],Batters[[#All],[PID]],0)),INDEX(Table3[[#All],[WE]],MATCH(Table5[[#This Row],[PID]],Table3[[#All],[PID]],0)))</f>
        <v>Low</v>
      </c>
      <c r="K238" s="52" t="str">
        <f>IF($C238="B",INDEX(Batters[[#All],[INT]],MATCH(Table5[[#This Row],[PID]],Batters[[#All],[PID]],0)),INDEX(Table3[[#All],[INT]],MATCH(Table5[[#This Row],[PID]],Table3[[#All],[PID]],0)))</f>
        <v>Normal</v>
      </c>
      <c r="L238" s="60">
        <f>IF($C238="B",INDEX(Batters[[#All],[CON P]],MATCH(Table5[[#This Row],[PID]],Batters[[#All],[PID]],0)),INDEX(Table3[[#All],[STU P]],MATCH(Table5[[#This Row],[PID]],Table3[[#All],[PID]],0)))</f>
        <v>3</v>
      </c>
      <c r="M238" s="56">
        <f>IF($C238="B",INDEX(Batters[[#All],[GAP P]],MATCH(Table5[[#This Row],[PID]],Batters[[#All],[PID]],0)),INDEX(Table3[[#All],[MOV P]],MATCH(Table5[[#This Row],[PID]],Table3[[#All],[PID]],0)))</f>
        <v>6</v>
      </c>
      <c r="N238" s="56">
        <f>IF($C238="B",INDEX(Batters[[#All],[POW P]],MATCH(Table5[[#This Row],[PID]],Batters[[#All],[PID]],0)),INDEX(Table3[[#All],[CON P]],MATCH(Table5[[#This Row],[PID]],Table3[[#All],[PID]],0)))</f>
        <v>5</v>
      </c>
      <c r="O238" s="56">
        <f>IF($C238="B",INDEX(Batters[[#All],[EYE P]],MATCH(Table5[[#This Row],[PID]],Batters[[#All],[PID]],0)),INDEX(Table3[[#All],[VELO]],MATCH(Table5[[#This Row],[PID]],Table3[[#All],[PID]],0)))</f>
        <v>5</v>
      </c>
      <c r="P238" s="56">
        <f>IF($C238="B",INDEX(Batters[[#All],[K P]],MATCH(Table5[[#This Row],[PID]],Batters[[#All],[PID]],0)),INDEX(Table3[[#All],[STM]],MATCH(Table5[[#This Row],[PID]],Table3[[#All],[PID]],0)))</f>
        <v>4</v>
      </c>
      <c r="Q238" s="61">
        <f>IF($C238="B",INDEX(Batters[[#All],[Tot]],MATCH(Table5[[#This Row],[PID]],Batters[[#All],[PID]],0)),INDEX(Table3[[#All],[Tot]],MATCH(Table5[[#This Row],[PID]],Table3[[#All],[PID]],0)))</f>
        <v>45.048665901862556</v>
      </c>
      <c r="R238" s="52">
        <f>IF($C238="B",INDEX(Batters[[#All],[zScore]],MATCH(Table5[[#This Row],[PID]],Batters[[#All],[PID]],0)),INDEX(Table3[[#All],[zScore]],MATCH(Table5[[#This Row],[PID]],Table3[[#All],[PID]],0)))</f>
        <v>0.20324439065058875</v>
      </c>
      <c r="S238" s="58" t="str">
        <f>IF($C238="B",INDEX(Batters[[#All],[DEM]],MATCH(Table5[[#This Row],[PID]],Batters[[#All],[PID]],0)),INDEX(Table3[[#All],[DEM]],MATCH(Table5[[#This Row],[PID]],Table3[[#All],[PID]],0)))</f>
        <v>$65k</v>
      </c>
      <c r="T238" s="62">
        <f>IF($C238="B",INDEX(Batters[[#All],[Rnk]],MATCH(Table5[[#This Row],[PID]],Batters[[#All],[PID]],0)),INDEX(Table3[[#All],[Rnk]],MATCH(Table5[[#This Row],[PID]],Table3[[#All],[PID]],0)))</f>
        <v>201</v>
      </c>
      <c r="U238" s="68">
        <f>IF($C238="B",VLOOKUP($A238,Bat!$A$4:$BA$1621,47,FALSE),VLOOKUP($A238,Pit!$A$4:$BF$1557,56,FALSE))</f>
        <v>0</v>
      </c>
      <c r="V238" s="50">
        <f>IF($C238="B",VLOOKUP($A238,Bat!$A$4:$BA$1621,48,FALSE),VLOOKUP($A238,Pit!$A$4:$BF$1557,57,FALSE))</f>
        <v>0</v>
      </c>
      <c r="W238" s="50">
        <f>Table5[[#This Row],[posRnk]]+Table5[[#This Row],[zRnk]]+IF($W$3&lt;&gt;Table5[[#This Row],[Type]],50,0)</f>
        <v>716</v>
      </c>
      <c r="X238" s="51">
        <f>RANK(Table5[[#This Row],[zScore]],Table5[[#All],[zScore]])</f>
        <v>465</v>
      </c>
      <c r="Y238" s="50">
        <f>IFERROR(INDEX(DraftResults[[#All],[OVR]],MATCH(Table5[[#This Row],[PID]],DraftResults[[#All],[Player ID]],0)),"")</f>
        <v>234</v>
      </c>
      <c r="Z2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8" s="50">
        <f>IFERROR(INDEX(DraftResults[[#All],[Pick in Round]],MATCH(Table5[[#This Row],[PID]],DraftResults[[#All],[Player ID]],0)),"")</f>
        <v>16</v>
      </c>
      <c r="AB238" s="50" t="str">
        <f>IFERROR(INDEX(DraftResults[[#All],[Team Name]],MATCH(Table5[[#This Row],[PID]],DraftResults[[#All],[Player ID]],0)),"")</f>
        <v>San Antonio Calzones of Laredo</v>
      </c>
      <c r="AC238" s="50">
        <f>IF(Table5[[#This Row],[Ovr]]="","",IF(Table5[[#This Row],[cmbList]]="","",Table5[[#This Row],[cmbList]]-Table5[[#This Row],[Ovr]]))</f>
        <v>482</v>
      </c>
      <c r="AD238" s="54" t="str">
        <f>IF(ISERROR(VLOOKUP($AB238&amp;"-"&amp;$E238&amp;" "&amp;F238,Bonuses!$B$1:$G$1006,4,FALSE)),"",INT(VLOOKUP($AB238&amp;"-"&amp;$E238&amp;" "&amp;$F238,Bonuses!$B$1:$G$1006,4,FALSE)))</f>
        <v/>
      </c>
      <c r="AE2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8.16 (234) - SS Robin Robinson</v>
      </c>
    </row>
    <row r="239" spans="1:31" s="50" customFormat="1" x14ac:dyDescent="0.25">
      <c r="A239" s="50">
        <v>18333</v>
      </c>
      <c r="B239" s="50">
        <f>COUNTIF(Table5[PID],A239)</f>
        <v>1</v>
      </c>
      <c r="C239" s="50" t="str">
        <f>IF(COUNTIF(Table3[[#All],[PID]],A239)&gt;0,"P","B")</f>
        <v>B</v>
      </c>
      <c r="D239" s="59" t="str">
        <f>IF($C239="B",INDEX(Batters[[#All],[POS]],MATCH(Table5[[#This Row],[PID]],Batters[[#All],[PID]],0)),INDEX(Table3[[#All],[POS]],MATCH(Table5[[#This Row],[PID]],Table3[[#All],[PID]],0)))</f>
        <v>LF</v>
      </c>
      <c r="E239" s="52" t="str">
        <f>IF($C239="B",INDEX(Batters[[#All],[First]],MATCH(Table5[[#This Row],[PID]],Batters[[#All],[PID]],0)),INDEX(Table3[[#All],[First]],MATCH(Table5[[#This Row],[PID]],Table3[[#All],[PID]],0)))</f>
        <v>Kuniyoshi</v>
      </c>
      <c r="F239" s="50" t="str">
        <f>IF($C239="B",INDEX(Batters[[#All],[Last]],MATCH(A239,Batters[[#All],[PID]],0)),INDEX(Table3[[#All],[Last]],MATCH(A239,Table3[[#All],[PID]],0)))</f>
        <v>Gato</v>
      </c>
      <c r="G239" s="56">
        <f>IF($C239="B",INDEX(Batters[[#All],[Age]],MATCH(Table5[[#This Row],[PID]],Batters[[#All],[PID]],0)),INDEX(Table3[[#All],[Age]],MATCH(Table5[[#This Row],[PID]],Table3[[#All],[PID]],0)))</f>
        <v>18</v>
      </c>
      <c r="H239" s="52" t="str">
        <f>IF($C239="B",INDEX(Batters[[#All],[B]],MATCH(Table5[[#This Row],[PID]],Batters[[#All],[PID]],0)),INDEX(Table3[[#All],[B]],MATCH(Table5[[#This Row],[PID]],Table3[[#All],[PID]],0)))</f>
        <v>L</v>
      </c>
      <c r="I239" s="52" t="str">
        <f>IF($C239="B",INDEX(Batters[[#All],[T]],MATCH(Table5[[#This Row],[PID]],Batters[[#All],[PID]],0)),INDEX(Table3[[#All],[T]],MATCH(Table5[[#This Row],[PID]],Table3[[#All],[PID]],0)))</f>
        <v>L</v>
      </c>
      <c r="J239" s="52" t="str">
        <f>IF($C239="B",INDEX(Batters[[#All],[WE]],MATCH(Table5[[#This Row],[PID]],Batters[[#All],[PID]],0)),INDEX(Table3[[#All],[WE]],MATCH(Table5[[#This Row],[PID]],Table3[[#All],[PID]],0)))</f>
        <v>Normal</v>
      </c>
      <c r="K239" s="52" t="str">
        <f>IF($C239="B",INDEX(Batters[[#All],[INT]],MATCH(Table5[[#This Row],[PID]],Batters[[#All],[PID]],0)),INDEX(Table3[[#All],[INT]],MATCH(Table5[[#This Row],[PID]],Table3[[#All],[PID]],0)))</f>
        <v>High</v>
      </c>
      <c r="L239" s="60">
        <f>IF($C239="B",INDEX(Batters[[#All],[CON P]],MATCH(Table5[[#This Row],[PID]],Batters[[#All],[PID]],0)),INDEX(Table3[[#All],[STU P]],MATCH(Table5[[#This Row],[PID]],Table3[[#All],[PID]],0)))</f>
        <v>4</v>
      </c>
      <c r="M239" s="56">
        <f>IF($C239="B",INDEX(Batters[[#All],[GAP P]],MATCH(Table5[[#This Row],[PID]],Batters[[#All],[PID]],0)),INDEX(Table3[[#All],[MOV P]],MATCH(Table5[[#This Row],[PID]],Table3[[#All],[PID]],0)))</f>
        <v>6</v>
      </c>
      <c r="N239" s="56">
        <f>IF($C239="B",INDEX(Batters[[#All],[POW P]],MATCH(Table5[[#This Row],[PID]],Batters[[#All],[PID]],0)),INDEX(Table3[[#All],[CON P]],MATCH(Table5[[#This Row],[PID]],Table3[[#All],[PID]],0)))</f>
        <v>5</v>
      </c>
      <c r="O239" s="56">
        <f>IF($C239="B",INDEX(Batters[[#All],[EYE P]],MATCH(Table5[[#This Row],[PID]],Batters[[#All],[PID]],0)),INDEX(Table3[[#All],[VELO]],MATCH(Table5[[#This Row],[PID]],Table3[[#All],[PID]],0)))</f>
        <v>5</v>
      </c>
      <c r="P239" s="56">
        <f>IF($C239="B",INDEX(Batters[[#All],[K P]],MATCH(Table5[[#This Row],[PID]],Batters[[#All],[PID]],0)),INDEX(Table3[[#All],[STM]],MATCH(Table5[[#This Row],[PID]],Table3[[#All],[PID]],0)))</f>
        <v>4</v>
      </c>
      <c r="Q239" s="61">
        <f>IF($C239="B",INDEX(Batters[[#All],[Tot]],MATCH(Table5[[#This Row],[PID]],Batters[[#All],[PID]],0)),INDEX(Table3[[#All],[Tot]],MATCH(Table5[[#This Row],[PID]],Table3[[#All],[PID]],0)))</f>
        <v>50.023337570276368</v>
      </c>
      <c r="R239" s="52">
        <f>IF($C239="B",INDEX(Batters[[#All],[zScore]],MATCH(Table5[[#This Row],[PID]],Batters[[#All],[PID]],0)),INDEX(Table3[[#All],[zScore]],MATCH(Table5[[#This Row],[PID]],Table3[[#All],[PID]],0)))</f>
        <v>1.3061627251977028</v>
      </c>
      <c r="S239" s="58" t="str">
        <f>IF($C239="B",INDEX(Batters[[#All],[DEM]],MATCH(Table5[[#This Row],[PID]],Batters[[#All],[PID]],0)),INDEX(Table3[[#All],[DEM]],MATCH(Table5[[#This Row],[PID]],Table3[[#All],[PID]],0)))</f>
        <v>$200k</v>
      </c>
      <c r="T239" s="62">
        <f>IF($C239="B",INDEX(Batters[[#All],[Rnk]],MATCH(Table5[[#This Row],[PID]],Batters[[#All],[PID]],0)),INDEX(Table3[[#All],[Rnk]],MATCH(Table5[[#This Row],[PID]],Table3[[#All],[PID]],0)))</f>
        <v>57</v>
      </c>
      <c r="U239" s="68">
        <f>IF($C239="B",VLOOKUP($A239,Bat!$A$4:$BA$1621,47,FALSE),VLOOKUP($A239,Pit!$A$4:$BF$1557,56,FALSE))</f>
        <v>0</v>
      </c>
      <c r="V239" s="50">
        <f>IF($C239="B",VLOOKUP($A239,Bat!$A$4:$BA$1621,48,FALSE),VLOOKUP($A239,Pit!$A$4:$BF$1557,57,FALSE))</f>
        <v>0</v>
      </c>
      <c r="W239" s="50">
        <f>Table5[[#This Row],[posRnk]]+Table5[[#This Row],[zRnk]]+IF($W$3&lt;&gt;Table5[[#This Row],[Type]],50,0)</f>
        <v>266</v>
      </c>
      <c r="X239" s="51">
        <f>RANK(Table5[[#This Row],[zScore]],Table5[[#All],[zScore]])</f>
        <v>159</v>
      </c>
      <c r="Y239" s="50">
        <f>IFERROR(INDEX(DraftResults[[#All],[OVR]],MATCH(Table5[[#This Row],[PID]],DraftResults[[#All],[Player ID]],0)),"")</f>
        <v>235</v>
      </c>
      <c r="Z2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39" s="50">
        <f>IFERROR(INDEX(DraftResults[[#All],[Pick in Round]],MATCH(Table5[[#This Row],[PID]],DraftResults[[#All],[Player ID]],0)),"")</f>
        <v>17</v>
      </c>
      <c r="AB239" s="50" t="str">
        <f>IFERROR(INDEX(DraftResults[[#All],[Team Name]],MATCH(Table5[[#This Row],[PID]],DraftResults[[#All],[Player ID]],0)),"")</f>
        <v>Madison Malts</v>
      </c>
      <c r="AC239" s="50">
        <f>IF(Table5[[#This Row],[Ovr]]="","",IF(Table5[[#This Row],[cmbList]]="","",Table5[[#This Row],[cmbList]]-Table5[[#This Row],[Ovr]]))</f>
        <v>31</v>
      </c>
      <c r="AD239" s="54" t="str">
        <f>IF(ISERROR(VLOOKUP($AB239&amp;"-"&amp;$E239&amp;" "&amp;F239,Bonuses!$B$1:$G$1006,4,FALSE)),"",INT(VLOOKUP($AB239&amp;"-"&amp;$E239&amp;" "&amp;$F239,Bonuses!$B$1:$G$1006,4,FALSE)))</f>
        <v/>
      </c>
      <c r="AE2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8.17 (235) - LF Kuniyoshi Gato</v>
      </c>
    </row>
    <row r="240" spans="1:31" s="50" customFormat="1" x14ac:dyDescent="0.25">
      <c r="A240" s="68">
        <v>18221</v>
      </c>
      <c r="B240" s="69">
        <f>COUNTIF(Table5[PID],A240)</f>
        <v>1</v>
      </c>
      <c r="C240" s="69" t="str">
        <f>IF(COUNTIF(Table3[[#All],[PID]],A240)&gt;0,"P","B")</f>
        <v>P</v>
      </c>
      <c r="D240" s="59" t="str">
        <f>IF($C240="B",INDEX(Batters[[#All],[POS]],MATCH(Table5[[#This Row],[PID]],Batters[[#All],[PID]],0)),INDEX(Table3[[#All],[POS]],MATCH(Table5[[#This Row],[PID]],Table3[[#All],[PID]],0)))</f>
        <v>SP</v>
      </c>
      <c r="E240" s="52" t="str">
        <f>IF($C240="B",INDEX(Batters[[#All],[First]],MATCH(Table5[[#This Row],[PID]],Batters[[#All],[PID]],0)),INDEX(Table3[[#All],[First]],MATCH(Table5[[#This Row],[PID]],Table3[[#All],[PID]],0)))</f>
        <v>Emerson</v>
      </c>
      <c r="F240" s="55" t="str">
        <f>IF($C240="B",INDEX(Batters[[#All],[Last]],MATCH(A240,Batters[[#All],[PID]],0)),INDEX(Table3[[#All],[Last]],MATCH(A240,Table3[[#All],[PID]],0)))</f>
        <v>Hickman</v>
      </c>
      <c r="G240" s="56">
        <f>IF($C240="B",INDEX(Batters[[#All],[Age]],MATCH(Table5[[#This Row],[PID]],Batters[[#All],[PID]],0)),INDEX(Table3[[#All],[Age]],MATCH(Table5[[#This Row],[PID]],Table3[[#All],[PID]],0)))</f>
        <v>18</v>
      </c>
      <c r="H240" s="52" t="str">
        <f>IF($C240="B",INDEX(Batters[[#All],[B]],MATCH(Table5[[#This Row],[PID]],Batters[[#All],[PID]],0)),INDEX(Table3[[#All],[B]],MATCH(Table5[[#This Row],[PID]],Table3[[#All],[PID]],0)))</f>
        <v>R</v>
      </c>
      <c r="I240" s="52" t="str">
        <f>IF($C240="B",INDEX(Batters[[#All],[T]],MATCH(Table5[[#This Row],[PID]],Batters[[#All],[PID]],0)),INDEX(Table3[[#All],[T]],MATCH(Table5[[#This Row],[PID]],Table3[[#All],[PID]],0)))</f>
        <v>R</v>
      </c>
      <c r="J240" s="71" t="str">
        <f>IF($C240="B",INDEX(Batters[[#All],[WE]],MATCH(Table5[[#This Row],[PID]],Batters[[#All],[PID]],0)),INDEX(Table3[[#All],[WE]],MATCH(Table5[[#This Row],[PID]],Table3[[#All],[PID]],0)))</f>
        <v>Low</v>
      </c>
      <c r="K240" s="52" t="str">
        <f>IF($C240="B",INDEX(Batters[[#All],[INT]],MATCH(Table5[[#This Row],[PID]],Batters[[#All],[PID]],0)),INDEX(Table3[[#All],[INT]],MATCH(Table5[[#This Row],[PID]],Table3[[#All],[PID]],0)))</f>
        <v>Normal</v>
      </c>
      <c r="L240" s="60">
        <f>IF($C240="B",INDEX(Batters[[#All],[CON P]],MATCH(Table5[[#This Row],[PID]],Batters[[#All],[PID]],0)),INDEX(Table3[[#All],[STU P]],MATCH(Table5[[#This Row],[PID]],Table3[[#All],[PID]],0)))</f>
        <v>6</v>
      </c>
      <c r="M240" s="72">
        <f>IF($C240="B",INDEX(Batters[[#All],[GAP P]],MATCH(Table5[[#This Row],[PID]],Batters[[#All],[PID]],0)),INDEX(Table3[[#All],[MOV P]],MATCH(Table5[[#This Row],[PID]],Table3[[#All],[PID]],0)))</f>
        <v>1</v>
      </c>
      <c r="N240" s="72">
        <f>IF($C240="B",INDEX(Batters[[#All],[POW P]],MATCH(Table5[[#This Row],[PID]],Batters[[#All],[PID]],0)),INDEX(Table3[[#All],[CON P]],MATCH(Table5[[#This Row],[PID]],Table3[[#All],[PID]],0)))</f>
        <v>5</v>
      </c>
      <c r="O240" s="72" t="str">
        <f>IF($C240="B",INDEX(Batters[[#All],[EYE P]],MATCH(Table5[[#This Row],[PID]],Batters[[#All],[PID]],0)),INDEX(Table3[[#All],[VELO]],MATCH(Table5[[#This Row],[PID]],Table3[[#All],[PID]],0)))</f>
        <v>93-95 Mph</v>
      </c>
      <c r="P240" s="56">
        <f>IF($C240="B",INDEX(Batters[[#All],[K P]],MATCH(Table5[[#This Row],[PID]],Batters[[#All],[PID]],0)),INDEX(Table3[[#All],[STM]],MATCH(Table5[[#This Row],[PID]],Table3[[#All],[PID]],0)))</f>
        <v>7</v>
      </c>
      <c r="Q240" s="61">
        <f>IF($C240="B",INDEX(Batters[[#All],[Tot]],MATCH(Table5[[#This Row],[PID]],Batters[[#All],[PID]],0)),INDEX(Table3[[#All],[Tot]],MATCH(Table5[[#This Row],[PID]],Table3[[#All],[PID]],0)))</f>
        <v>50.145720143142569</v>
      </c>
      <c r="R240" s="52">
        <f>IF($C240="B",INDEX(Batters[[#All],[zScore]],MATCH(Table5[[#This Row],[PID]],Batters[[#All],[PID]],0)),INDEX(Table3[[#All],[zScore]],MATCH(Table5[[#This Row],[PID]],Table3[[#All],[PID]],0)))</f>
        <v>0.94970684943209804</v>
      </c>
      <c r="S240" s="78" t="str">
        <f>IF($C240="B",INDEX(Batters[[#All],[DEM]],MATCH(Table5[[#This Row],[PID]],Batters[[#All],[PID]],0)),INDEX(Table3[[#All],[DEM]],MATCH(Table5[[#This Row],[PID]],Table3[[#All],[PID]],0)))</f>
        <v>$2.2m</v>
      </c>
      <c r="T240" s="75">
        <f>IF($C240="B",INDEX(Batters[[#All],[Rnk]],MATCH(Table5[[#This Row],[PID]],Batters[[#All],[PID]],0)),INDEX(Table3[[#All],[Rnk]],MATCH(Table5[[#This Row],[PID]],Table3[[#All],[PID]],0)))</f>
        <v>145</v>
      </c>
      <c r="U240" s="68">
        <f>IF($C240="B",VLOOKUP($A240,Bat!$A$4:$BA$1621,47,FALSE),VLOOKUP($A240,Pit!$A$4:$BF$1557,56,FALSE))</f>
        <v>0</v>
      </c>
      <c r="V240" s="50">
        <f>IF($C240="B",VLOOKUP($A240,Bat!$A$4:$BA$1621,48,FALSE),VLOOKUP($A240,Pit!$A$4:$BF$1557,57,FALSE))</f>
        <v>0</v>
      </c>
      <c r="W240" s="69">
        <f>Table5[[#This Row],[posRnk]]+Table5[[#This Row],[zRnk]]+IF($W$3&lt;&gt;Table5[[#This Row],[Type]],50,0)</f>
        <v>435</v>
      </c>
      <c r="X240" s="73">
        <f>RANK(Table5[[#This Row],[zScore]],Table5[[#All],[zScore]])</f>
        <v>240</v>
      </c>
      <c r="Y240" s="69">
        <f>IFERROR(INDEX(DraftResults[[#All],[OVR]],MATCH(Table5[[#This Row],[PID]],DraftResults[[#All],[Player ID]],0)),"")</f>
        <v>236</v>
      </c>
      <c r="Z24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0" s="69">
        <f>IFERROR(INDEX(DraftResults[[#All],[Pick in Round]],MATCH(Table5[[#This Row],[PID]],DraftResults[[#All],[Player ID]],0)),"")</f>
        <v>18</v>
      </c>
      <c r="AB240" s="69" t="str">
        <f>IFERROR(INDEX(DraftResults[[#All],[Team Name]],MATCH(Table5[[#This Row],[PID]],DraftResults[[#All],[Player ID]],0)),"")</f>
        <v>Bakersfield Bears</v>
      </c>
      <c r="AC240" s="69">
        <f>IF(Table5[[#This Row],[Ovr]]="","",IF(Table5[[#This Row],[cmbList]]="","",Table5[[#This Row],[cmbList]]-Table5[[#This Row],[Ovr]]))</f>
        <v>199</v>
      </c>
      <c r="AD240" s="77" t="str">
        <f>IF(ISERROR(VLOOKUP($AB240&amp;"-"&amp;$E240&amp;" "&amp;F240,Bonuses!$B$1:$G$1006,4,FALSE)),"",INT(VLOOKUP($AB240&amp;"-"&amp;$E240&amp;" "&amp;$F240,Bonuses!$B$1:$G$1006,4,FALSE)))</f>
        <v/>
      </c>
      <c r="AE24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8.18 (236) - SP Emerson Hickman</v>
      </c>
    </row>
    <row r="241" spans="1:31" s="50" customFormat="1" x14ac:dyDescent="0.25">
      <c r="A241" s="50">
        <v>20646</v>
      </c>
      <c r="B241" s="50">
        <f>COUNTIF(Table5[PID],A241)</f>
        <v>1</v>
      </c>
      <c r="C241" s="50" t="str">
        <f>IF(COUNTIF(Table3[[#All],[PID]],A241)&gt;0,"P","B")</f>
        <v>B</v>
      </c>
      <c r="D241" s="59" t="str">
        <f>IF($C241="B",INDEX(Batters[[#All],[POS]],MATCH(Table5[[#This Row],[PID]],Batters[[#All],[PID]],0)),INDEX(Table3[[#All],[POS]],MATCH(Table5[[#This Row],[PID]],Table3[[#All],[PID]],0)))</f>
        <v>RF</v>
      </c>
      <c r="E241" s="52" t="str">
        <f>IF($C241="B",INDEX(Batters[[#All],[First]],MATCH(Table5[[#This Row],[PID]],Batters[[#All],[PID]],0)),INDEX(Table3[[#All],[First]],MATCH(Table5[[#This Row],[PID]],Table3[[#All],[PID]],0)))</f>
        <v>Paco</v>
      </c>
      <c r="F241" s="50" t="str">
        <f>IF($C241="B",INDEX(Batters[[#All],[Last]],MATCH(A241,Batters[[#All],[PID]],0)),INDEX(Table3[[#All],[Last]],MATCH(A241,Table3[[#All],[PID]],0)))</f>
        <v>Gonzáles</v>
      </c>
      <c r="G241" s="56">
        <f>IF($C241="B",INDEX(Batters[[#All],[Age]],MATCH(Table5[[#This Row],[PID]],Batters[[#All],[PID]],0)),INDEX(Table3[[#All],[Age]],MATCH(Table5[[#This Row],[PID]],Table3[[#All],[PID]],0)))</f>
        <v>17</v>
      </c>
      <c r="H241" s="52" t="str">
        <f>IF($C241="B",INDEX(Batters[[#All],[B]],MATCH(Table5[[#This Row],[PID]],Batters[[#All],[PID]],0)),INDEX(Table3[[#All],[B]],MATCH(Table5[[#This Row],[PID]],Table3[[#All],[PID]],0)))</f>
        <v>L</v>
      </c>
      <c r="I241" s="52" t="str">
        <f>IF($C241="B",INDEX(Batters[[#All],[T]],MATCH(Table5[[#This Row],[PID]],Batters[[#All],[PID]],0)),INDEX(Table3[[#All],[T]],MATCH(Table5[[#This Row],[PID]],Table3[[#All],[PID]],0)))</f>
        <v>L</v>
      </c>
      <c r="J241" s="52" t="str">
        <f>IF($C241="B",INDEX(Batters[[#All],[WE]],MATCH(Table5[[#This Row],[PID]],Batters[[#All],[PID]],0)),INDEX(Table3[[#All],[WE]],MATCH(Table5[[#This Row],[PID]],Table3[[#All],[PID]],0)))</f>
        <v>High</v>
      </c>
      <c r="K241" s="52" t="str">
        <f>IF($C241="B",INDEX(Batters[[#All],[INT]],MATCH(Table5[[#This Row],[PID]],Batters[[#All],[PID]],0)),INDEX(Table3[[#All],[INT]],MATCH(Table5[[#This Row],[PID]],Table3[[#All],[PID]],0)))</f>
        <v>Normal</v>
      </c>
      <c r="L241" s="60">
        <f>IF($C241="B",INDEX(Batters[[#All],[CON P]],MATCH(Table5[[#This Row],[PID]],Batters[[#All],[PID]],0)),INDEX(Table3[[#All],[STU P]],MATCH(Table5[[#This Row],[PID]],Table3[[#All],[PID]],0)))</f>
        <v>4</v>
      </c>
      <c r="M241" s="56">
        <f>IF($C241="B",INDEX(Batters[[#All],[GAP P]],MATCH(Table5[[#This Row],[PID]],Batters[[#All],[PID]],0)),INDEX(Table3[[#All],[MOV P]],MATCH(Table5[[#This Row],[PID]],Table3[[#All],[PID]],0)))</f>
        <v>8</v>
      </c>
      <c r="N241" s="56">
        <f>IF($C241="B",INDEX(Batters[[#All],[POW P]],MATCH(Table5[[#This Row],[PID]],Batters[[#All],[PID]],0)),INDEX(Table3[[#All],[CON P]],MATCH(Table5[[#This Row],[PID]],Table3[[#All],[PID]],0)))</f>
        <v>4</v>
      </c>
      <c r="O241" s="56">
        <f>IF($C241="B",INDEX(Batters[[#All],[EYE P]],MATCH(Table5[[#This Row],[PID]],Batters[[#All],[PID]],0)),INDEX(Table3[[#All],[VELO]],MATCH(Table5[[#This Row],[PID]],Table3[[#All],[PID]],0)))</f>
        <v>7</v>
      </c>
      <c r="P241" s="56">
        <f>IF($C241="B",INDEX(Batters[[#All],[K P]],MATCH(Table5[[#This Row],[PID]],Batters[[#All],[PID]],0)),INDEX(Table3[[#All],[STM]],MATCH(Table5[[#This Row],[PID]],Table3[[#All],[PID]],0)))</f>
        <v>4</v>
      </c>
      <c r="Q241" s="61">
        <f>IF($C241="B",INDEX(Batters[[#All],[Tot]],MATCH(Table5[[#This Row],[PID]],Batters[[#All],[PID]],0)),INDEX(Table3[[#All],[Tot]],MATCH(Table5[[#This Row],[PID]],Table3[[#All],[PID]],0)))</f>
        <v>51.91704708857084</v>
      </c>
      <c r="R241" s="52">
        <f>IF($C241="B",INDEX(Batters[[#All],[zScore]],MATCH(Table5[[#This Row],[PID]],Batters[[#All],[PID]],0)),INDEX(Table3[[#All],[zScore]],MATCH(Table5[[#This Row],[PID]],Table3[[#All],[PID]],0)))</f>
        <v>1.7260109256919709</v>
      </c>
      <c r="S241" s="58" t="str">
        <f>IF($C241="B",INDEX(Batters[[#All],[DEM]],MATCH(Table5[[#This Row],[PID]],Batters[[#All],[PID]],0)),INDEX(Table3[[#All],[DEM]],MATCH(Table5[[#This Row],[PID]],Table3[[#All],[PID]],0)))</f>
        <v>$38k</v>
      </c>
      <c r="T241" s="62">
        <f>IF($C241="B",INDEX(Batters[[#All],[Rnk]],MATCH(Table5[[#This Row],[PID]],Batters[[#All],[PID]],0)),INDEX(Table3[[#All],[Rnk]],MATCH(Table5[[#This Row],[PID]],Table3[[#All],[PID]],0)))</f>
        <v>29</v>
      </c>
      <c r="U241" s="68">
        <f>IF($C241="B",VLOOKUP($A241,Bat!$A$4:$BA$1621,47,FALSE),VLOOKUP($A241,Pit!$A$4:$BF$1557,56,FALSE))</f>
        <v>0</v>
      </c>
      <c r="V241" s="50">
        <f>IF($C241="B",VLOOKUP($A241,Bat!$A$4:$BA$1621,48,FALSE),VLOOKUP($A241,Pit!$A$4:$BF$1557,57,FALSE))</f>
        <v>0</v>
      </c>
      <c r="W241" s="50">
        <f>Table5[[#This Row],[posRnk]]+Table5[[#This Row],[zRnk]]+IF($W$3&lt;&gt;Table5[[#This Row],[Type]],50,0)</f>
        <v>159</v>
      </c>
      <c r="X241" s="51">
        <f>RANK(Table5[[#This Row],[zScore]],Table5[[#All],[zScore]])</f>
        <v>80</v>
      </c>
      <c r="Y241" s="50">
        <f>IFERROR(INDEX(DraftResults[[#All],[OVR]],MATCH(Table5[[#This Row],[PID]],DraftResults[[#All],[Player ID]],0)),"")</f>
        <v>237</v>
      </c>
      <c r="Z2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1" s="50">
        <f>IFERROR(INDEX(DraftResults[[#All],[Pick in Round]],MATCH(Table5[[#This Row],[PID]],DraftResults[[#All],[Player ID]],0)),"")</f>
        <v>19</v>
      </c>
      <c r="AB241" s="50" t="str">
        <f>IFERROR(INDEX(DraftResults[[#All],[Team Name]],MATCH(Table5[[#This Row],[PID]],DraftResults[[#All],[Player ID]],0)),"")</f>
        <v>Scottish Claymores</v>
      </c>
      <c r="AC241" s="50">
        <f>IF(Table5[[#This Row],[Ovr]]="","",IF(Table5[[#This Row],[cmbList]]="","",Table5[[#This Row],[cmbList]]-Table5[[#This Row],[Ovr]]))</f>
        <v>-78</v>
      </c>
      <c r="AD241" s="54" t="str">
        <f>IF(ISERROR(VLOOKUP($AB241&amp;"-"&amp;$E241&amp;" "&amp;F241,Bonuses!$B$1:$G$1006,4,FALSE)),"",INT(VLOOKUP($AB241&amp;"-"&amp;$E241&amp;" "&amp;$F241,Bonuses!$B$1:$G$1006,4,FALSE)))</f>
        <v/>
      </c>
      <c r="AE2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8.19 (237) - RF Paco Gonzáles</v>
      </c>
    </row>
    <row r="242" spans="1:31" s="50" customFormat="1" x14ac:dyDescent="0.25">
      <c r="A242" s="50">
        <v>20649</v>
      </c>
      <c r="B242" s="50">
        <f>COUNTIF(Table5[PID],A242)</f>
        <v>1</v>
      </c>
      <c r="C242" s="50" t="str">
        <f>IF(COUNTIF(Table3[[#All],[PID]],A242)&gt;0,"P","B")</f>
        <v>B</v>
      </c>
      <c r="D242" s="59" t="str">
        <f>IF($C242="B",INDEX(Batters[[#All],[POS]],MATCH(Table5[[#This Row],[PID]],Batters[[#All],[PID]],0)),INDEX(Table3[[#All],[POS]],MATCH(Table5[[#This Row],[PID]],Table3[[#All],[PID]],0)))</f>
        <v>1B</v>
      </c>
      <c r="E242" s="52" t="str">
        <f>IF($C242="B",INDEX(Batters[[#All],[First]],MATCH(Table5[[#This Row],[PID]],Batters[[#All],[PID]],0)),INDEX(Table3[[#All],[First]],MATCH(Table5[[#This Row],[PID]],Table3[[#All],[PID]],0)))</f>
        <v>Yong-u</v>
      </c>
      <c r="F242" s="50" t="str">
        <f>IF($C242="B",INDEX(Batters[[#All],[Last]],MATCH(A242,Batters[[#All],[PID]],0)),INDEX(Table3[[#All],[Last]],MATCH(A242,Table3[[#All],[PID]],0)))</f>
        <v>Ton</v>
      </c>
      <c r="G242" s="56">
        <f>IF($C242="B",INDEX(Batters[[#All],[Age]],MATCH(Table5[[#This Row],[PID]],Batters[[#All],[PID]],0)),INDEX(Table3[[#All],[Age]],MATCH(Table5[[#This Row],[PID]],Table3[[#All],[PID]],0)))</f>
        <v>17</v>
      </c>
      <c r="H242" s="52" t="str">
        <f>IF($C242="B",INDEX(Batters[[#All],[B]],MATCH(Table5[[#This Row],[PID]],Batters[[#All],[PID]],0)),INDEX(Table3[[#All],[B]],MATCH(Table5[[#This Row],[PID]],Table3[[#All],[PID]],0)))</f>
        <v>L</v>
      </c>
      <c r="I242" s="52" t="str">
        <f>IF($C242="B",INDEX(Batters[[#All],[T]],MATCH(Table5[[#This Row],[PID]],Batters[[#All],[PID]],0)),INDEX(Table3[[#All],[T]],MATCH(Table5[[#This Row],[PID]],Table3[[#All],[PID]],0)))</f>
        <v>L</v>
      </c>
      <c r="J242" s="52" t="str">
        <f>IF($C242="B",INDEX(Batters[[#All],[WE]],MATCH(Table5[[#This Row],[PID]],Batters[[#All],[PID]],0)),INDEX(Table3[[#All],[WE]],MATCH(Table5[[#This Row],[PID]],Table3[[#All],[PID]],0)))</f>
        <v>Normal</v>
      </c>
      <c r="K242" s="52" t="str">
        <f>IF($C242="B",INDEX(Batters[[#All],[INT]],MATCH(Table5[[#This Row],[PID]],Batters[[#All],[PID]],0)),INDEX(Table3[[#All],[INT]],MATCH(Table5[[#This Row],[PID]],Table3[[#All],[PID]],0)))</f>
        <v>Normal</v>
      </c>
      <c r="L242" s="60">
        <f>IF($C242="B",INDEX(Batters[[#All],[CON P]],MATCH(Table5[[#This Row],[PID]],Batters[[#All],[PID]],0)),INDEX(Table3[[#All],[STU P]],MATCH(Table5[[#This Row],[PID]],Table3[[#All],[PID]],0)))</f>
        <v>4</v>
      </c>
      <c r="M242" s="56">
        <f>IF($C242="B",INDEX(Batters[[#All],[GAP P]],MATCH(Table5[[#This Row],[PID]],Batters[[#All],[PID]],0)),INDEX(Table3[[#All],[MOV P]],MATCH(Table5[[#This Row],[PID]],Table3[[#All],[PID]],0)))</f>
        <v>6</v>
      </c>
      <c r="N242" s="56">
        <f>IF($C242="B",INDEX(Batters[[#All],[POW P]],MATCH(Table5[[#This Row],[PID]],Batters[[#All],[PID]],0)),INDEX(Table3[[#All],[CON P]],MATCH(Table5[[#This Row],[PID]],Table3[[#All],[PID]],0)))</f>
        <v>6</v>
      </c>
      <c r="O242" s="56">
        <f>IF($C242="B",INDEX(Batters[[#All],[EYE P]],MATCH(Table5[[#This Row],[PID]],Batters[[#All],[PID]],0)),INDEX(Table3[[#All],[VELO]],MATCH(Table5[[#This Row],[PID]],Table3[[#All],[PID]],0)))</f>
        <v>7</v>
      </c>
      <c r="P242" s="56">
        <f>IF($C242="B",INDEX(Batters[[#All],[K P]],MATCH(Table5[[#This Row],[PID]],Batters[[#All],[PID]],0)),INDEX(Table3[[#All],[STM]],MATCH(Table5[[#This Row],[PID]],Table3[[#All],[PID]],0)))</f>
        <v>3</v>
      </c>
      <c r="Q242" s="61">
        <f>IF($C242="B",INDEX(Batters[[#All],[Tot]],MATCH(Table5[[#This Row],[PID]],Batters[[#All],[PID]],0)),INDEX(Table3[[#All],[Tot]],MATCH(Table5[[#This Row],[PID]],Table3[[#All],[PID]],0)))</f>
        <v>51.915291713353341</v>
      </c>
      <c r="R242" s="52">
        <f>IF($C242="B",INDEX(Batters[[#All],[zScore]],MATCH(Table5[[#This Row],[PID]],Batters[[#All],[PID]],0)),INDEX(Table3[[#All],[zScore]],MATCH(Table5[[#This Row],[PID]],Table3[[#All],[PID]],0)))</f>
        <v>1.725621747141016</v>
      </c>
      <c r="S242" s="58" t="str">
        <f>IF($C242="B",INDEX(Batters[[#All],[DEM]],MATCH(Table5[[#This Row],[PID]],Batters[[#All],[PID]],0)),INDEX(Table3[[#All],[DEM]],MATCH(Table5[[#This Row],[PID]],Table3[[#All],[PID]],0)))</f>
        <v>$190k</v>
      </c>
      <c r="T242" s="62">
        <f>IF($C242="B",INDEX(Batters[[#All],[Rnk]],MATCH(Table5[[#This Row],[PID]],Batters[[#All],[PID]],0)),INDEX(Table3[[#All],[Rnk]],MATCH(Table5[[#This Row],[PID]],Table3[[#All],[PID]],0)))</f>
        <v>30</v>
      </c>
      <c r="U242" s="68">
        <f>IF($C242="B",VLOOKUP($A242,Bat!$A$4:$BA$1621,47,FALSE),VLOOKUP($A242,Pit!$A$4:$BF$1557,56,FALSE))</f>
        <v>0</v>
      </c>
      <c r="V242" s="50">
        <f>IF($C242="B",VLOOKUP($A242,Bat!$A$4:$BA$1621,48,FALSE),VLOOKUP($A242,Pit!$A$4:$BF$1557,57,FALSE))</f>
        <v>0</v>
      </c>
      <c r="W242" s="50">
        <f>Table5[[#This Row],[posRnk]]+Table5[[#This Row],[zRnk]]+IF($W$3&lt;&gt;Table5[[#This Row],[Type]],50,0)</f>
        <v>161</v>
      </c>
      <c r="X242" s="51">
        <f>RANK(Table5[[#This Row],[zScore]],Table5[[#All],[zScore]])</f>
        <v>81</v>
      </c>
      <c r="Y242" s="50">
        <f>IFERROR(INDEX(DraftResults[[#All],[OVR]],MATCH(Table5[[#This Row],[PID]],DraftResults[[#All],[Player ID]],0)),"")</f>
        <v>238</v>
      </c>
      <c r="Z2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2" s="50">
        <f>IFERROR(INDEX(DraftResults[[#All],[Pick in Round]],MATCH(Table5[[#This Row],[PID]],DraftResults[[#All],[Player ID]],0)),"")</f>
        <v>20</v>
      </c>
      <c r="AB242" s="50" t="str">
        <f>IFERROR(INDEX(DraftResults[[#All],[Team Name]],MATCH(Table5[[#This Row],[PID]],DraftResults[[#All],[Player ID]],0)),"")</f>
        <v>Amsterdam Lions</v>
      </c>
      <c r="AC242" s="50">
        <f>IF(Table5[[#This Row],[Ovr]]="","",IF(Table5[[#This Row],[cmbList]]="","",Table5[[#This Row],[cmbList]]-Table5[[#This Row],[Ovr]]))</f>
        <v>-77</v>
      </c>
      <c r="AD242" s="54" t="str">
        <f>IF(ISERROR(VLOOKUP($AB242&amp;"-"&amp;$E242&amp;" "&amp;F242,Bonuses!$B$1:$G$1006,4,FALSE)),"",INT(VLOOKUP($AB242&amp;"-"&amp;$E242&amp;" "&amp;$F242,Bonuses!$B$1:$G$1006,4,FALSE)))</f>
        <v/>
      </c>
      <c r="AE2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8.20 (238) - 1B Yong-u Ton</v>
      </c>
    </row>
    <row r="243" spans="1:31" s="50" customFormat="1" x14ac:dyDescent="0.25">
      <c r="A243" s="50">
        <v>18262</v>
      </c>
      <c r="B243" s="50">
        <f>COUNTIF(Table5[PID],A243)</f>
        <v>1</v>
      </c>
      <c r="C243" s="50" t="str">
        <f>IF(COUNTIF(Table3[[#All],[PID]],A243)&gt;0,"P","B")</f>
        <v>P</v>
      </c>
      <c r="D243" s="59" t="str">
        <f>IF($C243="B",INDEX(Batters[[#All],[POS]],MATCH(Table5[[#This Row],[PID]],Batters[[#All],[PID]],0)),INDEX(Table3[[#All],[POS]],MATCH(Table5[[#This Row],[PID]],Table3[[#All],[PID]],0)))</f>
        <v>CL</v>
      </c>
      <c r="E243" s="52" t="str">
        <f>IF($C243="B",INDEX(Batters[[#All],[First]],MATCH(Table5[[#This Row],[PID]],Batters[[#All],[PID]],0)),INDEX(Table3[[#All],[First]],MATCH(Table5[[#This Row],[PID]],Table3[[#All],[PID]],0)))</f>
        <v>Doug</v>
      </c>
      <c r="F243" s="50" t="str">
        <f>IF($C243="B",INDEX(Batters[[#All],[Last]],MATCH(A243,Batters[[#All],[PID]],0)),INDEX(Table3[[#All],[Last]],MATCH(A243,Table3[[#All],[PID]],0)))</f>
        <v>McKee</v>
      </c>
      <c r="G243" s="56">
        <f>IF($C243="B",INDEX(Batters[[#All],[Age]],MATCH(Table5[[#This Row],[PID]],Batters[[#All],[PID]],0)),INDEX(Table3[[#All],[Age]],MATCH(Table5[[#This Row],[PID]],Table3[[#All],[PID]],0)))</f>
        <v>18</v>
      </c>
      <c r="H243" s="52" t="str">
        <f>IF($C243="B",INDEX(Batters[[#All],[B]],MATCH(Table5[[#This Row],[PID]],Batters[[#All],[PID]],0)),INDEX(Table3[[#All],[B]],MATCH(Table5[[#This Row],[PID]],Table3[[#All],[PID]],0)))</f>
        <v>L</v>
      </c>
      <c r="I243" s="52" t="str">
        <f>IF($C243="B",INDEX(Batters[[#All],[T]],MATCH(Table5[[#This Row],[PID]],Batters[[#All],[PID]],0)),INDEX(Table3[[#All],[T]],MATCH(Table5[[#This Row],[PID]],Table3[[#All],[PID]],0)))</f>
        <v>L</v>
      </c>
      <c r="J243" s="52" t="str">
        <f>IF($C243="B",INDEX(Batters[[#All],[WE]],MATCH(Table5[[#This Row],[PID]],Batters[[#All],[PID]],0)),INDEX(Table3[[#All],[WE]],MATCH(Table5[[#This Row],[PID]],Table3[[#All],[PID]],0)))</f>
        <v>Low</v>
      </c>
      <c r="K243" s="52" t="str">
        <f>IF($C243="B",INDEX(Batters[[#All],[INT]],MATCH(Table5[[#This Row],[PID]],Batters[[#All],[PID]],0)),INDEX(Table3[[#All],[INT]],MATCH(Table5[[#This Row],[PID]],Table3[[#All],[PID]],0)))</f>
        <v>Low</v>
      </c>
      <c r="L243" s="60">
        <f>IF($C243="B",INDEX(Batters[[#All],[CON P]],MATCH(Table5[[#This Row],[PID]],Batters[[#All],[PID]],0)),INDEX(Table3[[#All],[STU P]],MATCH(Table5[[#This Row],[PID]],Table3[[#All],[PID]],0)))</f>
        <v>5</v>
      </c>
      <c r="M243" s="56">
        <f>IF($C243="B",INDEX(Batters[[#All],[GAP P]],MATCH(Table5[[#This Row],[PID]],Batters[[#All],[PID]],0)),INDEX(Table3[[#All],[MOV P]],MATCH(Table5[[#This Row],[PID]],Table3[[#All],[PID]],0)))</f>
        <v>4</v>
      </c>
      <c r="N243" s="56">
        <f>IF($C243="B",INDEX(Batters[[#All],[POW P]],MATCH(Table5[[#This Row],[PID]],Batters[[#All],[PID]],0)),INDEX(Table3[[#All],[CON P]],MATCH(Table5[[#This Row],[PID]],Table3[[#All],[PID]],0)))</f>
        <v>7</v>
      </c>
      <c r="O243" s="56" t="str">
        <f>IF($C243="B",INDEX(Batters[[#All],[EYE P]],MATCH(Table5[[#This Row],[PID]],Batters[[#All],[PID]],0)),INDEX(Table3[[#All],[VELO]],MATCH(Table5[[#This Row],[PID]],Table3[[#All],[PID]],0)))</f>
        <v>86-88 Mph</v>
      </c>
      <c r="P243" s="56">
        <f>IF($C243="B",INDEX(Batters[[#All],[K P]],MATCH(Table5[[#This Row],[PID]],Batters[[#All],[PID]],0)),INDEX(Table3[[#All],[STM]],MATCH(Table5[[#This Row],[PID]],Table3[[#All],[PID]],0)))</f>
        <v>6</v>
      </c>
      <c r="Q243" s="61">
        <f>IF($C243="B",INDEX(Batters[[#All],[Tot]],MATCH(Table5[[#This Row],[PID]],Batters[[#All],[PID]],0)),INDEX(Table3[[#All],[Tot]],MATCH(Table5[[#This Row],[PID]],Table3[[#All],[PID]],0)))</f>
        <v>63.912411723084119</v>
      </c>
      <c r="R243" s="52">
        <f>IF($C243="B",INDEX(Batters[[#All],[zScore]],MATCH(Table5[[#This Row],[PID]],Batters[[#All],[PID]],0)),INDEX(Table3[[#All],[zScore]],MATCH(Table5[[#This Row],[PID]],Table3[[#All],[PID]],0)))</f>
        <v>1.8655838032424792</v>
      </c>
      <c r="S243" s="58" t="str">
        <f>IF($C243="B",INDEX(Batters[[#All],[DEM]],MATCH(Table5[[#This Row],[PID]],Batters[[#All],[PID]],0)),INDEX(Table3[[#All],[DEM]],MATCH(Table5[[#This Row],[PID]],Table3[[#All],[PID]],0)))</f>
        <v>$38k</v>
      </c>
      <c r="T243" s="62">
        <f>IF($C243="B",INDEX(Batters[[#All],[Rnk]],MATCH(Table5[[#This Row],[PID]],Batters[[#All],[PID]],0)),INDEX(Table3[[#All],[Rnk]],MATCH(Table5[[#This Row],[PID]],Table3[[#All],[PID]],0)))</f>
        <v>38</v>
      </c>
      <c r="U243" s="68">
        <f>IF($C243="B",VLOOKUP($A243,Bat!$A$4:$BA$1621,47,FALSE),VLOOKUP($A243,Pit!$A$4:$BF$1557,56,FALSE))</f>
        <v>0</v>
      </c>
      <c r="V243" s="50">
        <f>IF($C243="B",VLOOKUP($A243,Bat!$A$4:$BA$1621,48,FALSE),VLOOKUP($A243,Pit!$A$4:$BF$1557,57,FALSE))</f>
        <v>0</v>
      </c>
      <c r="W243" s="50">
        <f>Table5[[#This Row],[posRnk]]+Table5[[#This Row],[zRnk]]+IF($W$3&lt;&gt;Table5[[#This Row],[Type]],50,0)</f>
        <v>149</v>
      </c>
      <c r="X243" s="51">
        <f>RANK(Table5[[#This Row],[zScore]],Table5[[#All],[zScore]])</f>
        <v>61</v>
      </c>
      <c r="Y243" s="50">
        <f>IFERROR(INDEX(DraftResults[[#All],[OVR]],MATCH(Table5[[#This Row],[PID]],DraftResults[[#All],[Player ID]],0)),"")</f>
        <v>239</v>
      </c>
      <c r="Z2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3" s="50">
        <f>IFERROR(INDEX(DraftResults[[#All],[Pick in Round]],MATCH(Table5[[#This Row],[PID]],DraftResults[[#All],[Player ID]],0)),"")</f>
        <v>21</v>
      </c>
      <c r="AB243" s="50" t="str">
        <f>IFERROR(INDEX(DraftResults[[#All],[Team Name]],MATCH(Table5[[#This Row],[PID]],DraftResults[[#All],[Player ID]],0)),"")</f>
        <v>Crystal Lake Sandgnats</v>
      </c>
      <c r="AC243" s="50">
        <f>IF(Table5[[#This Row],[Ovr]]="","",IF(Table5[[#This Row],[cmbList]]="","",Table5[[#This Row],[cmbList]]-Table5[[#This Row],[Ovr]]))</f>
        <v>-90</v>
      </c>
      <c r="AD243" s="54" t="str">
        <f>IF(ISERROR(VLOOKUP($AB243&amp;"-"&amp;$E243&amp;" "&amp;F243,Bonuses!$B$1:$G$1006,4,FALSE)),"",INT(VLOOKUP($AB243&amp;"-"&amp;$E243&amp;" "&amp;$F243,Bonuses!$B$1:$G$1006,4,FALSE)))</f>
        <v/>
      </c>
      <c r="AE2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8.21 (239) - CL Doug McKee</v>
      </c>
    </row>
    <row r="244" spans="1:31" s="50" customFormat="1" x14ac:dyDescent="0.25">
      <c r="A244" s="50">
        <v>20471</v>
      </c>
      <c r="B244" s="50">
        <f>COUNTIF(Table5[PID],A244)</f>
        <v>1</v>
      </c>
      <c r="C244" s="50" t="str">
        <f>IF(COUNTIF(Table3[[#All],[PID]],A244)&gt;0,"P","B")</f>
        <v>B</v>
      </c>
      <c r="D244" s="59" t="str">
        <f>IF($C244="B",INDEX(Batters[[#All],[POS]],MATCH(Table5[[#This Row],[PID]],Batters[[#All],[PID]],0)),INDEX(Table3[[#All],[POS]],MATCH(Table5[[#This Row],[PID]],Table3[[#All],[PID]],0)))</f>
        <v>LF</v>
      </c>
      <c r="E244" s="52" t="str">
        <f>IF($C244="B",INDEX(Batters[[#All],[First]],MATCH(Table5[[#This Row],[PID]],Batters[[#All],[PID]],0)),INDEX(Table3[[#All],[First]],MATCH(Table5[[#This Row],[PID]],Table3[[#All],[PID]],0)))</f>
        <v>Purwanto</v>
      </c>
      <c r="F244" s="50" t="str">
        <f>IF($C244="B",INDEX(Batters[[#All],[Last]],MATCH(A244,Batters[[#All],[PID]],0)),INDEX(Table3[[#All],[Last]],MATCH(A244,Table3[[#All],[PID]],0)))</f>
        <v>Ananas</v>
      </c>
      <c r="G244" s="56">
        <f>IF($C244="B",INDEX(Batters[[#All],[Age]],MATCH(Table5[[#This Row],[PID]],Batters[[#All],[PID]],0)),INDEX(Table3[[#All],[Age]],MATCH(Table5[[#This Row],[PID]],Table3[[#All],[PID]],0)))</f>
        <v>18</v>
      </c>
      <c r="H244" s="52" t="str">
        <f>IF($C244="B",INDEX(Batters[[#All],[B]],MATCH(Table5[[#This Row],[PID]],Batters[[#All],[PID]],0)),INDEX(Table3[[#All],[B]],MATCH(Table5[[#This Row],[PID]],Table3[[#All],[PID]],0)))</f>
        <v>L</v>
      </c>
      <c r="I244" s="52" t="str">
        <f>IF($C244="B",INDEX(Batters[[#All],[T]],MATCH(Table5[[#This Row],[PID]],Batters[[#All],[PID]],0)),INDEX(Table3[[#All],[T]],MATCH(Table5[[#This Row],[PID]],Table3[[#All],[PID]],0)))</f>
        <v>L</v>
      </c>
      <c r="J244" s="52" t="str">
        <f>IF($C244="B",INDEX(Batters[[#All],[WE]],MATCH(Table5[[#This Row],[PID]],Batters[[#All],[PID]],0)),INDEX(Table3[[#All],[WE]],MATCH(Table5[[#This Row],[PID]],Table3[[#All],[PID]],0)))</f>
        <v>Normal</v>
      </c>
      <c r="K244" s="52" t="str">
        <f>IF($C244="B",INDEX(Batters[[#All],[INT]],MATCH(Table5[[#This Row],[PID]],Batters[[#All],[PID]],0)),INDEX(Table3[[#All],[INT]],MATCH(Table5[[#This Row],[PID]],Table3[[#All],[PID]],0)))</f>
        <v>Low</v>
      </c>
      <c r="L244" s="60">
        <f>IF($C244="B",INDEX(Batters[[#All],[CON P]],MATCH(Table5[[#This Row],[PID]],Batters[[#All],[PID]],0)),INDEX(Table3[[#All],[STU P]],MATCH(Table5[[#This Row],[PID]],Table3[[#All],[PID]],0)))</f>
        <v>3</v>
      </c>
      <c r="M244" s="56">
        <f>IF($C244="B",INDEX(Batters[[#All],[GAP P]],MATCH(Table5[[#This Row],[PID]],Batters[[#All],[PID]],0)),INDEX(Table3[[#All],[MOV P]],MATCH(Table5[[#This Row],[PID]],Table3[[#All],[PID]],0)))</f>
        <v>6</v>
      </c>
      <c r="N244" s="56">
        <f>IF($C244="B",INDEX(Batters[[#All],[POW P]],MATCH(Table5[[#This Row],[PID]],Batters[[#All],[PID]],0)),INDEX(Table3[[#All],[CON P]],MATCH(Table5[[#This Row],[PID]],Table3[[#All],[PID]],0)))</f>
        <v>7</v>
      </c>
      <c r="O244" s="56">
        <f>IF($C244="B",INDEX(Batters[[#All],[EYE P]],MATCH(Table5[[#This Row],[PID]],Batters[[#All],[PID]],0)),INDEX(Table3[[#All],[VELO]],MATCH(Table5[[#This Row],[PID]],Table3[[#All],[PID]],0)))</f>
        <v>6</v>
      </c>
      <c r="P244" s="56">
        <f>IF($C244="B",INDEX(Batters[[#All],[K P]],MATCH(Table5[[#This Row],[PID]],Batters[[#All],[PID]],0)),INDEX(Table3[[#All],[STM]],MATCH(Table5[[#This Row],[PID]],Table3[[#All],[PID]],0)))</f>
        <v>2</v>
      </c>
      <c r="Q244" s="61">
        <f>IF($C244="B",INDEX(Batters[[#All],[Tot]],MATCH(Table5[[#This Row],[PID]],Batters[[#All],[PID]],0)),INDEX(Table3[[#All],[Tot]],MATCH(Table5[[#This Row],[PID]],Table3[[#All],[PID]],0)))</f>
        <v>47.180647295306386</v>
      </c>
      <c r="R244" s="52">
        <f>IF($C244="B",INDEX(Batters[[#All],[zScore]],MATCH(Table5[[#This Row],[PID]],Batters[[#All],[PID]],0)),INDEX(Table3[[#All],[zScore]],MATCH(Table5[[#This Row],[PID]],Table3[[#All],[PID]],0)))</f>
        <v>0.67591907643387295</v>
      </c>
      <c r="S244" s="58" t="str">
        <f>IF($C244="B",INDEX(Batters[[#All],[DEM]],MATCH(Table5[[#This Row],[PID]],Batters[[#All],[PID]],0)),INDEX(Table3[[#All],[DEM]],MATCH(Table5[[#This Row],[PID]],Table3[[#All],[PID]],0)))</f>
        <v>$200k</v>
      </c>
      <c r="T244" s="62">
        <f>IF($C244="B",INDEX(Batters[[#All],[Rnk]],MATCH(Table5[[#This Row],[PID]],Batters[[#All],[PID]],0)),INDEX(Table3[[#All],[Rnk]],MATCH(Table5[[#This Row],[PID]],Table3[[#All],[PID]],0)))</f>
        <v>124</v>
      </c>
      <c r="U244" s="68">
        <f>IF($C244="B",VLOOKUP($A244,Bat!$A$4:$BA$1621,47,FALSE),VLOOKUP($A244,Pit!$A$4:$BF$1557,56,FALSE))</f>
        <v>0</v>
      </c>
      <c r="V244" s="50">
        <f>IF($C244="B",VLOOKUP($A244,Bat!$A$4:$BA$1621,48,FALSE),VLOOKUP($A244,Pit!$A$4:$BF$1557,57,FALSE))</f>
        <v>0</v>
      </c>
      <c r="W244" s="50">
        <f>Table5[[#This Row],[posRnk]]+Table5[[#This Row],[zRnk]]+IF($W$3&lt;&gt;Table5[[#This Row],[Type]],50,0)</f>
        <v>489</v>
      </c>
      <c r="X244" s="51">
        <f>RANK(Table5[[#This Row],[zScore]],Table5[[#All],[zScore]])</f>
        <v>315</v>
      </c>
      <c r="Y244" s="50">
        <f>IFERROR(INDEX(DraftResults[[#All],[OVR]],MATCH(Table5[[#This Row],[PID]],DraftResults[[#All],[Player ID]],0)),"")</f>
        <v>240</v>
      </c>
      <c r="Z2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4" s="50">
        <f>IFERROR(INDEX(DraftResults[[#All],[Pick in Round]],MATCH(Table5[[#This Row],[PID]],DraftResults[[#All],[Player ID]],0)),"")</f>
        <v>22</v>
      </c>
      <c r="AB244" s="50" t="str">
        <f>IFERROR(INDEX(DraftResults[[#All],[Team Name]],MATCH(Table5[[#This Row],[PID]],DraftResults[[#All],[Player ID]],0)),"")</f>
        <v>Fargo Dinosaurs</v>
      </c>
      <c r="AC244" s="50">
        <f>IF(Table5[[#This Row],[Ovr]]="","",IF(Table5[[#This Row],[cmbList]]="","",Table5[[#This Row],[cmbList]]-Table5[[#This Row],[Ovr]]))</f>
        <v>249</v>
      </c>
      <c r="AD244" s="54" t="str">
        <f>IF(ISERROR(VLOOKUP($AB244&amp;"-"&amp;$E244&amp;" "&amp;F244,Bonuses!$B$1:$G$1006,4,FALSE)),"",INT(VLOOKUP($AB244&amp;"-"&amp;$E244&amp;" "&amp;$F244,Bonuses!$B$1:$G$1006,4,FALSE)))</f>
        <v/>
      </c>
      <c r="AE2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8.22 (240) - LF Purwanto Ananas</v>
      </c>
    </row>
    <row r="245" spans="1:31" s="50" customFormat="1" x14ac:dyDescent="0.25">
      <c r="A245" s="68">
        <v>18143</v>
      </c>
      <c r="B245" s="69">
        <f>COUNTIF(Table5[PID],A245)</f>
        <v>1</v>
      </c>
      <c r="C245" s="69" t="str">
        <f>IF(COUNTIF(Table3[[#All],[PID]],A245)&gt;0,"P","B")</f>
        <v>P</v>
      </c>
      <c r="D245" s="59" t="str">
        <f>IF($C245="B",INDEX(Batters[[#All],[POS]],MATCH(Table5[[#This Row],[PID]],Batters[[#All],[PID]],0)),INDEX(Table3[[#All],[POS]],MATCH(Table5[[#This Row],[PID]],Table3[[#All],[PID]],0)))</f>
        <v>SP</v>
      </c>
      <c r="E245" s="52" t="str">
        <f>IF($C245="B",INDEX(Batters[[#All],[First]],MATCH(Table5[[#This Row],[PID]],Batters[[#All],[PID]],0)),INDEX(Table3[[#All],[First]],MATCH(Table5[[#This Row],[PID]],Table3[[#All],[PID]],0)))</f>
        <v>Javier</v>
      </c>
      <c r="F245" s="55" t="str">
        <f>IF($C245="B",INDEX(Batters[[#All],[Last]],MATCH(A245,Batters[[#All],[PID]],0)),INDEX(Table3[[#All],[Last]],MATCH(A245,Table3[[#All],[PID]],0)))</f>
        <v>Vargas</v>
      </c>
      <c r="G245" s="56">
        <f>IF($C245="B",INDEX(Batters[[#All],[Age]],MATCH(Table5[[#This Row],[PID]],Batters[[#All],[PID]],0)),INDEX(Table3[[#All],[Age]],MATCH(Table5[[#This Row],[PID]],Table3[[#All],[PID]],0)))</f>
        <v>21</v>
      </c>
      <c r="H245" s="52" t="str">
        <f>IF($C245="B",INDEX(Batters[[#All],[B]],MATCH(Table5[[#This Row],[PID]],Batters[[#All],[PID]],0)),INDEX(Table3[[#All],[B]],MATCH(Table5[[#This Row],[PID]],Table3[[#All],[PID]],0)))</f>
        <v>R</v>
      </c>
      <c r="I245" s="52" t="str">
        <f>IF($C245="B",INDEX(Batters[[#All],[T]],MATCH(Table5[[#This Row],[PID]],Batters[[#All],[PID]],0)),INDEX(Table3[[#All],[T]],MATCH(Table5[[#This Row],[PID]],Table3[[#All],[PID]],0)))</f>
        <v>R</v>
      </c>
      <c r="J245" s="71" t="str">
        <f>IF($C245="B",INDEX(Batters[[#All],[WE]],MATCH(Table5[[#This Row],[PID]],Batters[[#All],[PID]],0)),INDEX(Table3[[#All],[WE]],MATCH(Table5[[#This Row],[PID]],Table3[[#All],[PID]],0)))</f>
        <v>Normal</v>
      </c>
      <c r="K245" s="52" t="str">
        <f>IF($C245="B",INDEX(Batters[[#All],[INT]],MATCH(Table5[[#This Row],[PID]],Batters[[#All],[PID]],0)),INDEX(Table3[[#All],[INT]],MATCH(Table5[[#This Row],[PID]],Table3[[#All],[PID]],0)))</f>
        <v>High</v>
      </c>
      <c r="L245" s="60">
        <f>IF($C245="B",INDEX(Batters[[#All],[CON P]],MATCH(Table5[[#This Row],[PID]],Batters[[#All],[PID]],0)),INDEX(Table3[[#All],[STU P]],MATCH(Table5[[#This Row],[PID]],Table3[[#All],[PID]],0)))</f>
        <v>5</v>
      </c>
      <c r="M245" s="72">
        <f>IF($C245="B",INDEX(Batters[[#All],[GAP P]],MATCH(Table5[[#This Row],[PID]],Batters[[#All],[PID]],0)),INDEX(Table3[[#All],[MOV P]],MATCH(Table5[[#This Row],[PID]],Table3[[#All],[PID]],0)))</f>
        <v>2</v>
      </c>
      <c r="N245" s="72">
        <f>IF($C245="B",INDEX(Batters[[#All],[POW P]],MATCH(Table5[[#This Row],[PID]],Batters[[#All],[PID]],0)),INDEX(Table3[[#All],[CON P]],MATCH(Table5[[#This Row],[PID]],Table3[[#All],[PID]],0)))</f>
        <v>5</v>
      </c>
      <c r="O245" s="72" t="str">
        <f>IF($C245="B",INDEX(Batters[[#All],[EYE P]],MATCH(Table5[[#This Row],[PID]],Batters[[#All],[PID]],0)),INDEX(Table3[[#All],[VELO]],MATCH(Table5[[#This Row],[PID]],Table3[[#All],[PID]],0)))</f>
        <v>93-95 Mph</v>
      </c>
      <c r="P245" s="56">
        <f>IF($C245="B",INDEX(Batters[[#All],[K P]],MATCH(Table5[[#This Row],[PID]],Batters[[#All],[PID]],0)),INDEX(Table3[[#All],[STM]],MATCH(Table5[[#This Row],[PID]],Table3[[#All],[PID]],0)))</f>
        <v>5</v>
      </c>
      <c r="Q245" s="61">
        <f>IF($C245="B",INDEX(Batters[[#All],[Tot]],MATCH(Table5[[#This Row],[PID]],Batters[[#All],[PID]],0)),INDEX(Table3[[#All],[Tot]],MATCH(Table5[[#This Row],[PID]],Table3[[#All],[PID]],0)))</f>
        <v>45.974219212170496</v>
      </c>
      <c r="R245" s="52">
        <f>IF($C245="B",INDEX(Batters[[#All],[zScore]],MATCH(Table5[[#This Row],[PID]],Batters[[#All],[PID]],0)),INDEX(Table3[[#All],[zScore]],MATCH(Table5[[#This Row],[PID]],Table3[[#All],[PID]],0)))</f>
        <v>0.67218326700198372</v>
      </c>
      <c r="S245" s="78" t="str">
        <f>IF($C245="B",INDEX(Batters[[#All],[DEM]],MATCH(Table5[[#This Row],[PID]],Batters[[#All],[PID]],0)),INDEX(Table3[[#All],[DEM]],MATCH(Table5[[#This Row],[PID]],Table3[[#All],[PID]],0)))</f>
        <v>$20k</v>
      </c>
      <c r="T245" s="75">
        <f>IF($C245="B",INDEX(Batters[[#All],[Rnk]],MATCH(Table5[[#This Row],[PID]],Batters[[#All],[PID]],0)),INDEX(Table3[[#All],[Rnk]],MATCH(Table5[[#This Row],[PID]],Table3[[#All],[PID]],0)))</f>
        <v>192</v>
      </c>
      <c r="U245" s="68">
        <f>IF($C245="B",VLOOKUP($A245,Bat!$A$4:$BA$1621,47,FALSE),VLOOKUP($A245,Pit!$A$4:$BF$1557,56,FALSE))</f>
        <v>0</v>
      </c>
      <c r="V245" s="50">
        <f>IF($C245="B",VLOOKUP($A245,Bat!$A$4:$BA$1621,48,FALSE),VLOOKUP($A245,Pit!$A$4:$BF$1557,57,FALSE))</f>
        <v>0</v>
      </c>
      <c r="W245" s="69">
        <f>Table5[[#This Row],[posRnk]]+Table5[[#This Row],[zRnk]]+IF($W$3&lt;&gt;Table5[[#This Row],[Type]],50,0)</f>
        <v>559</v>
      </c>
      <c r="X245" s="73">
        <f>RANK(Table5[[#This Row],[zScore]],Table5[[#All],[zScore]])</f>
        <v>317</v>
      </c>
      <c r="Y245" s="69">
        <f>IFERROR(INDEX(DraftResults[[#All],[OVR]],MATCH(Table5[[#This Row],[PID]],DraftResults[[#All],[Player ID]],0)),"")</f>
        <v>241</v>
      </c>
      <c r="Z2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5" s="69">
        <f>IFERROR(INDEX(DraftResults[[#All],[Pick in Round]],MATCH(Table5[[#This Row],[PID]],DraftResults[[#All],[Player ID]],0)),"")</f>
        <v>23</v>
      </c>
      <c r="AB245" s="69" t="str">
        <f>IFERROR(INDEX(DraftResults[[#All],[Team Name]],MATCH(Table5[[#This Row],[PID]],DraftResults[[#All],[Player ID]],0)),"")</f>
        <v>Charleston Statesmen</v>
      </c>
      <c r="AC245" s="69">
        <f>IF(Table5[[#This Row],[Ovr]]="","",IF(Table5[[#This Row],[cmbList]]="","",Table5[[#This Row],[cmbList]]-Table5[[#This Row],[Ovr]]))</f>
        <v>318</v>
      </c>
      <c r="AD245" s="77" t="str">
        <f>IF(ISERROR(VLOOKUP($AB245&amp;"-"&amp;$E245&amp;" "&amp;F245,Bonuses!$B$1:$G$1006,4,FALSE)),"",INT(VLOOKUP($AB245&amp;"-"&amp;$E245&amp;" "&amp;$F245,Bonuses!$B$1:$G$1006,4,FALSE)))</f>
        <v/>
      </c>
      <c r="AE2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8.23 (241) - SP Javier Vargas</v>
      </c>
    </row>
    <row r="246" spans="1:31" s="50" customFormat="1" x14ac:dyDescent="0.25">
      <c r="A246" s="50">
        <v>18404</v>
      </c>
      <c r="B246" s="50">
        <f>COUNTIF(Table5[PID],A246)</f>
        <v>1</v>
      </c>
      <c r="C246" s="50" t="str">
        <f>IF(COUNTIF(Table3[[#All],[PID]],A246)&gt;0,"P","B")</f>
        <v>B</v>
      </c>
      <c r="D246" s="59" t="str">
        <f>IF($C246="B",INDEX(Batters[[#All],[POS]],MATCH(Table5[[#This Row],[PID]],Batters[[#All],[PID]],0)),INDEX(Table3[[#All],[POS]],MATCH(Table5[[#This Row],[PID]],Table3[[#All],[PID]],0)))</f>
        <v>3B</v>
      </c>
      <c r="E246" s="52" t="str">
        <f>IF($C246="B",INDEX(Batters[[#All],[First]],MATCH(Table5[[#This Row],[PID]],Batters[[#All],[PID]],0)),INDEX(Table3[[#All],[First]],MATCH(Table5[[#This Row],[PID]],Table3[[#All],[PID]],0)))</f>
        <v>Gijsbert</v>
      </c>
      <c r="F246" s="50" t="str">
        <f>IF($C246="B",INDEX(Batters[[#All],[Last]],MATCH(A246,Batters[[#All],[PID]],0)),INDEX(Table3[[#All],[Last]],MATCH(A246,Table3[[#All],[PID]],0)))</f>
        <v>Verboven</v>
      </c>
      <c r="G246" s="56">
        <f>IF($C246="B",INDEX(Batters[[#All],[Age]],MATCH(Table5[[#This Row],[PID]],Batters[[#All],[PID]],0)),INDEX(Table3[[#All],[Age]],MATCH(Table5[[#This Row],[PID]],Table3[[#All],[PID]],0)))</f>
        <v>18</v>
      </c>
      <c r="H246" s="52" t="str">
        <f>IF($C246="B",INDEX(Batters[[#All],[B]],MATCH(Table5[[#This Row],[PID]],Batters[[#All],[PID]],0)),INDEX(Table3[[#All],[B]],MATCH(Table5[[#This Row],[PID]],Table3[[#All],[PID]],0)))</f>
        <v>L</v>
      </c>
      <c r="I246" s="52" t="str">
        <f>IF($C246="B",INDEX(Batters[[#All],[T]],MATCH(Table5[[#This Row],[PID]],Batters[[#All],[PID]],0)),INDEX(Table3[[#All],[T]],MATCH(Table5[[#This Row],[PID]],Table3[[#All],[PID]],0)))</f>
        <v>R</v>
      </c>
      <c r="J246" s="52" t="str">
        <f>IF($C246="B",INDEX(Batters[[#All],[WE]],MATCH(Table5[[#This Row],[PID]],Batters[[#All],[PID]],0)),INDEX(Table3[[#All],[WE]],MATCH(Table5[[#This Row],[PID]],Table3[[#All],[PID]],0)))</f>
        <v>High</v>
      </c>
      <c r="K246" s="52" t="str">
        <f>IF($C246="B",INDEX(Batters[[#All],[INT]],MATCH(Table5[[#This Row],[PID]],Batters[[#All],[PID]],0)),INDEX(Table3[[#All],[INT]],MATCH(Table5[[#This Row],[PID]],Table3[[#All],[PID]],0)))</f>
        <v>Normal</v>
      </c>
      <c r="L246" s="60">
        <f>IF($C246="B",INDEX(Batters[[#All],[CON P]],MATCH(Table5[[#This Row],[PID]],Batters[[#All],[PID]],0)),INDEX(Table3[[#All],[STU P]],MATCH(Table5[[#This Row],[PID]],Table3[[#All],[PID]],0)))</f>
        <v>4</v>
      </c>
      <c r="M246" s="56">
        <f>IF($C246="B",INDEX(Batters[[#All],[GAP P]],MATCH(Table5[[#This Row],[PID]],Batters[[#All],[PID]],0)),INDEX(Table3[[#All],[MOV P]],MATCH(Table5[[#This Row],[PID]],Table3[[#All],[PID]],0)))</f>
        <v>7</v>
      </c>
      <c r="N246" s="56">
        <f>IF($C246="B",INDEX(Batters[[#All],[POW P]],MATCH(Table5[[#This Row],[PID]],Batters[[#All],[PID]],0)),INDEX(Table3[[#All],[CON P]],MATCH(Table5[[#This Row],[PID]],Table3[[#All],[PID]],0)))</f>
        <v>4</v>
      </c>
      <c r="O246" s="56">
        <f>IF($C246="B",INDEX(Batters[[#All],[EYE P]],MATCH(Table5[[#This Row],[PID]],Batters[[#All],[PID]],0)),INDEX(Table3[[#All],[VELO]],MATCH(Table5[[#This Row],[PID]],Table3[[#All],[PID]],0)))</f>
        <v>5</v>
      </c>
      <c r="P246" s="56">
        <f>IF($C246="B",INDEX(Batters[[#All],[K P]],MATCH(Table5[[#This Row],[PID]],Batters[[#All],[PID]],0)),INDEX(Table3[[#All],[STM]],MATCH(Table5[[#This Row],[PID]],Table3[[#All],[PID]],0)))</f>
        <v>5</v>
      </c>
      <c r="Q246" s="61">
        <f>IF($C246="B",INDEX(Batters[[#All],[Tot]],MATCH(Table5[[#This Row],[PID]],Batters[[#All],[PID]],0)),INDEX(Table3[[#All],[Tot]],MATCH(Table5[[#This Row],[PID]],Table3[[#All],[PID]],0)))</f>
        <v>50.220315747760175</v>
      </c>
      <c r="R246" s="52">
        <f>IF($C246="B",INDEX(Batters[[#All],[zScore]],MATCH(Table5[[#This Row],[PID]],Batters[[#All],[PID]],0)),INDEX(Table3[[#All],[zScore]],MATCH(Table5[[#This Row],[PID]],Table3[[#All],[PID]],0)))</f>
        <v>1.3498341185947744</v>
      </c>
      <c r="S246" s="58" t="str">
        <f>IF($C246="B",INDEX(Batters[[#All],[DEM]],MATCH(Table5[[#This Row],[PID]],Batters[[#All],[PID]],0)),INDEX(Table3[[#All],[DEM]],MATCH(Table5[[#This Row],[PID]],Table3[[#All],[PID]],0)))</f>
        <v>$190k</v>
      </c>
      <c r="T246" s="62">
        <f>IF($C246="B",INDEX(Batters[[#All],[Rnk]],MATCH(Table5[[#This Row],[PID]],Batters[[#All],[PID]],0)),INDEX(Table3[[#All],[Rnk]],MATCH(Table5[[#This Row],[PID]],Table3[[#All],[PID]],0)))</f>
        <v>55</v>
      </c>
      <c r="U246" s="68">
        <f>IF($C246="B",VLOOKUP($A246,Bat!$A$4:$BA$1621,47,FALSE),VLOOKUP($A246,Pit!$A$4:$BF$1557,56,FALSE))</f>
        <v>0</v>
      </c>
      <c r="V246" s="50">
        <f>IF($C246="B",VLOOKUP($A246,Bat!$A$4:$BA$1621,48,FALSE),VLOOKUP($A246,Pit!$A$4:$BF$1557,57,FALSE))</f>
        <v>0</v>
      </c>
      <c r="W246" s="50">
        <f>Table5[[#This Row],[posRnk]]+Table5[[#This Row],[zRnk]]+IF($W$3&lt;&gt;Table5[[#This Row],[Type]],50,0)</f>
        <v>252</v>
      </c>
      <c r="X246" s="51">
        <f>RANK(Table5[[#This Row],[zScore]],Table5[[#All],[zScore]])</f>
        <v>147</v>
      </c>
      <c r="Y246" s="50">
        <f>IFERROR(INDEX(DraftResults[[#All],[OVR]],MATCH(Table5[[#This Row],[PID]],DraftResults[[#All],[Player ID]],0)),"")</f>
        <v>242</v>
      </c>
      <c r="Z2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6" s="50">
        <f>IFERROR(INDEX(DraftResults[[#All],[Pick in Round]],MATCH(Table5[[#This Row],[PID]],DraftResults[[#All],[Player ID]],0)),"")</f>
        <v>24</v>
      </c>
      <c r="AB246" s="50" t="str">
        <f>IFERROR(INDEX(DraftResults[[#All],[Team Name]],MATCH(Table5[[#This Row],[PID]],DraftResults[[#All],[Player ID]],0)),"")</f>
        <v>Aurora Borealis</v>
      </c>
      <c r="AC246" s="50">
        <f>IF(Table5[[#This Row],[Ovr]]="","",IF(Table5[[#This Row],[cmbList]]="","",Table5[[#This Row],[cmbList]]-Table5[[#This Row],[Ovr]]))</f>
        <v>10</v>
      </c>
      <c r="AD246" s="54" t="str">
        <f>IF(ISERROR(VLOOKUP($AB246&amp;"-"&amp;$E246&amp;" "&amp;F246,Bonuses!$B$1:$G$1006,4,FALSE)),"",INT(VLOOKUP($AB246&amp;"-"&amp;$E246&amp;" "&amp;$F246,Bonuses!$B$1:$G$1006,4,FALSE)))</f>
        <v/>
      </c>
      <c r="AE2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8.24 (242) - 3B Gijsbert Verboven</v>
      </c>
    </row>
    <row r="247" spans="1:31" s="50" customFormat="1" x14ac:dyDescent="0.25">
      <c r="A247" s="50">
        <v>18380</v>
      </c>
      <c r="B247" s="50">
        <f>COUNTIF(Table5[PID],A247)</f>
        <v>1</v>
      </c>
      <c r="C247" s="50" t="str">
        <f>IF(COUNTIF(Table3[[#All],[PID]],A247)&gt;0,"P","B")</f>
        <v>P</v>
      </c>
      <c r="D247" s="59" t="str">
        <f>IF($C247="B",INDEX(Batters[[#All],[POS]],MATCH(Table5[[#This Row],[PID]],Batters[[#All],[PID]],0)),INDEX(Table3[[#All],[POS]],MATCH(Table5[[#This Row],[PID]],Table3[[#All],[PID]],0)))</f>
        <v>RP</v>
      </c>
      <c r="E247" s="52" t="str">
        <f>IF($C247="B",INDEX(Batters[[#All],[First]],MATCH(Table5[[#This Row],[PID]],Batters[[#All],[PID]],0)),INDEX(Table3[[#All],[First]],MATCH(Table5[[#This Row],[PID]],Table3[[#All],[PID]],0)))</f>
        <v>Tsutomu</v>
      </c>
      <c r="F247" s="50" t="str">
        <f>IF($C247="B",INDEX(Batters[[#All],[Last]],MATCH(A247,Batters[[#All],[PID]],0)),INDEX(Table3[[#All],[Last]],MATCH(A247,Table3[[#All],[PID]],0)))</f>
        <v>Nagai</v>
      </c>
      <c r="G247" s="56">
        <f>IF($C247="B",INDEX(Batters[[#All],[Age]],MATCH(Table5[[#This Row],[PID]],Batters[[#All],[PID]],0)),INDEX(Table3[[#All],[Age]],MATCH(Table5[[#This Row],[PID]],Table3[[#All],[PID]],0)))</f>
        <v>18</v>
      </c>
      <c r="H247" s="52" t="str">
        <f>IF($C247="B",INDEX(Batters[[#All],[B]],MATCH(Table5[[#This Row],[PID]],Batters[[#All],[PID]],0)),INDEX(Table3[[#All],[B]],MATCH(Table5[[#This Row],[PID]],Table3[[#All],[PID]],0)))</f>
        <v>R</v>
      </c>
      <c r="I247" s="52" t="str">
        <f>IF($C247="B",INDEX(Batters[[#All],[T]],MATCH(Table5[[#This Row],[PID]],Batters[[#All],[PID]],0)),INDEX(Table3[[#All],[T]],MATCH(Table5[[#This Row],[PID]],Table3[[#All],[PID]],0)))</f>
        <v>R</v>
      </c>
      <c r="J247" s="52" t="str">
        <f>IF($C247="B",INDEX(Batters[[#All],[WE]],MATCH(Table5[[#This Row],[PID]],Batters[[#All],[PID]],0)),INDEX(Table3[[#All],[WE]],MATCH(Table5[[#This Row],[PID]],Table3[[#All],[PID]],0)))</f>
        <v>Low</v>
      </c>
      <c r="K247" s="52" t="str">
        <f>IF($C247="B",INDEX(Batters[[#All],[INT]],MATCH(Table5[[#This Row],[PID]],Batters[[#All],[PID]],0)),INDEX(Table3[[#All],[INT]],MATCH(Table5[[#This Row],[PID]],Table3[[#All],[PID]],0)))</f>
        <v>Low</v>
      </c>
      <c r="L247" s="60">
        <f>IF($C247="B",INDEX(Batters[[#All],[CON P]],MATCH(Table5[[#This Row],[PID]],Batters[[#All],[PID]],0)),INDEX(Table3[[#All],[STU P]],MATCH(Table5[[#This Row],[PID]],Table3[[#All],[PID]],0)))</f>
        <v>6</v>
      </c>
      <c r="M247" s="56">
        <f>IF($C247="B",INDEX(Batters[[#All],[GAP P]],MATCH(Table5[[#This Row],[PID]],Batters[[#All],[PID]],0)),INDEX(Table3[[#All],[MOV P]],MATCH(Table5[[#This Row],[PID]],Table3[[#All],[PID]],0)))</f>
        <v>4</v>
      </c>
      <c r="N247" s="56">
        <f>IF($C247="B",INDEX(Batters[[#All],[POW P]],MATCH(Table5[[#This Row],[PID]],Batters[[#All],[PID]],0)),INDEX(Table3[[#All],[CON P]],MATCH(Table5[[#This Row],[PID]],Table3[[#All],[PID]],0)))</f>
        <v>4</v>
      </c>
      <c r="O247" s="56" t="str">
        <f>IF($C247="B",INDEX(Batters[[#All],[EYE P]],MATCH(Table5[[#This Row],[PID]],Batters[[#All],[PID]],0)),INDEX(Table3[[#All],[VELO]],MATCH(Table5[[#This Row],[PID]],Table3[[#All],[PID]],0)))</f>
        <v>88-90 Mph</v>
      </c>
      <c r="P247" s="56">
        <f>IF($C247="B",INDEX(Batters[[#All],[K P]],MATCH(Table5[[#This Row],[PID]],Batters[[#All],[PID]],0)),INDEX(Table3[[#All],[STM]],MATCH(Table5[[#This Row],[PID]],Table3[[#All],[PID]],0)))</f>
        <v>7</v>
      </c>
      <c r="Q247" s="61">
        <f>IF($C247="B",INDEX(Batters[[#All],[Tot]],MATCH(Table5[[#This Row],[PID]],Batters[[#All],[PID]],0)),INDEX(Table3[[#All],[Tot]],MATCH(Table5[[#This Row],[PID]],Table3[[#All],[PID]],0)))</f>
        <v>55.600671529161914</v>
      </c>
      <c r="R247" s="52">
        <f>IF($C247="B",INDEX(Batters[[#All],[zScore]],MATCH(Table5[[#This Row],[PID]],Batters[[#All],[PID]],0)),INDEX(Table3[[#All],[zScore]],MATCH(Table5[[#This Row],[PID]],Table3[[#All],[PID]],0)))</f>
        <v>1.3126164293845188</v>
      </c>
      <c r="S247" s="58" t="str">
        <f>IF($C247="B",INDEX(Batters[[#All],[DEM]],MATCH(Table5[[#This Row],[PID]],Batters[[#All],[PID]],0)),INDEX(Table3[[#All],[DEM]],MATCH(Table5[[#This Row],[PID]],Table3[[#All],[PID]],0)))</f>
        <v>$65k</v>
      </c>
      <c r="T247" s="62">
        <f>IF($C247="B",INDEX(Batters[[#All],[Rnk]],MATCH(Table5[[#This Row],[PID]],Batters[[#All],[PID]],0)),INDEX(Table3[[#All],[Rnk]],MATCH(Table5[[#This Row],[PID]],Table3[[#All],[PID]],0)))</f>
        <v>102</v>
      </c>
      <c r="U247" s="68">
        <f>IF($C247="B",VLOOKUP($A247,Bat!$A$4:$BA$1621,47,FALSE),VLOOKUP($A247,Pit!$A$4:$BF$1557,56,FALSE))</f>
        <v>0</v>
      </c>
      <c r="V247" s="50">
        <f>IF($C247="B",VLOOKUP($A247,Bat!$A$4:$BA$1621,48,FALSE),VLOOKUP($A247,Pit!$A$4:$BF$1557,57,FALSE))</f>
        <v>0</v>
      </c>
      <c r="W247" s="50">
        <f>Table5[[#This Row],[posRnk]]+Table5[[#This Row],[zRnk]]+IF($W$3&lt;&gt;Table5[[#This Row],[Type]],50,0)</f>
        <v>310</v>
      </c>
      <c r="X247" s="51">
        <f>RANK(Table5[[#This Row],[zScore]],Table5[[#All],[zScore]])</f>
        <v>158</v>
      </c>
      <c r="Y247" s="50">
        <f>IFERROR(INDEX(DraftResults[[#All],[OVR]],MATCH(Table5[[#This Row],[PID]],DraftResults[[#All],[Player ID]],0)),"")</f>
        <v>243</v>
      </c>
      <c r="Z2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7" s="50">
        <f>IFERROR(INDEX(DraftResults[[#All],[Pick in Round]],MATCH(Table5[[#This Row],[PID]],DraftResults[[#All],[Player ID]],0)),"")</f>
        <v>25</v>
      </c>
      <c r="AB247" s="50" t="str">
        <f>IFERROR(INDEX(DraftResults[[#All],[Team Name]],MATCH(Table5[[#This Row],[PID]],DraftResults[[#All],[Player ID]],0)),"")</f>
        <v>Toyama Wind Dancers</v>
      </c>
      <c r="AC247" s="50">
        <f>IF(Table5[[#This Row],[Ovr]]="","",IF(Table5[[#This Row],[cmbList]]="","",Table5[[#This Row],[cmbList]]-Table5[[#This Row],[Ovr]]))</f>
        <v>67</v>
      </c>
      <c r="AD247" s="54" t="str">
        <f>IF(ISERROR(VLOOKUP($AB247&amp;"-"&amp;$E247&amp;" "&amp;F247,Bonuses!$B$1:$G$1006,4,FALSE)),"",INT(VLOOKUP($AB247&amp;"-"&amp;$E247&amp;" "&amp;$F247,Bonuses!$B$1:$G$1006,4,FALSE)))</f>
        <v/>
      </c>
      <c r="AE2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8.25 (243) - RP Tsutomu Nagai</v>
      </c>
    </row>
    <row r="248" spans="1:31" s="50" customFormat="1" x14ac:dyDescent="0.25">
      <c r="A248" s="68">
        <v>20730</v>
      </c>
      <c r="B248" s="69">
        <f>COUNTIF(Table5[PID],A248)</f>
        <v>1</v>
      </c>
      <c r="C248" s="69" t="str">
        <f>IF(COUNTIF(Table3[[#All],[PID]],A248)&gt;0,"P","B")</f>
        <v>P</v>
      </c>
      <c r="D248" s="59" t="str">
        <f>IF($C248="B",INDEX(Batters[[#All],[POS]],MATCH(Table5[[#This Row],[PID]],Batters[[#All],[PID]],0)),INDEX(Table3[[#All],[POS]],MATCH(Table5[[#This Row],[PID]],Table3[[#All],[PID]],0)))</f>
        <v>SP</v>
      </c>
      <c r="E248" s="52" t="str">
        <f>IF($C248="B",INDEX(Batters[[#All],[First]],MATCH(Table5[[#This Row],[PID]],Batters[[#All],[PID]],0)),INDEX(Table3[[#All],[First]],MATCH(Table5[[#This Row],[PID]],Table3[[#All],[PID]],0)))</f>
        <v>Dennis</v>
      </c>
      <c r="F248" s="55" t="str">
        <f>IF($C248="B",INDEX(Batters[[#All],[Last]],MATCH(A248,Batters[[#All],[PID]],0)),INDEX(Table3[[#All],[Last]],MATCH(A248,Table3[[#All],[PID]],0)))</f>
        <v>Smith</v>
      </c>
      <c r="G248" s="56">
        <f>IF($C248="B",INDEX(Batters[[#All],[Age]],MATCH(Table5[[#This Row],[PID]],Batters[[#All],[PID]],0)),INDEX(Table3[[#All],[Age]],MATCH(Table5[[#This Row],[PID]],Table3[[#All],[PID]],0)))</f>
        <v>16</v>
      </c>
      <c r="H248" s="52" t="str">
        <f>IF($C248="B",INDEX(Batters[[#All],[B]],MATCH(Table5[[#This Row],[PID]],Batters[[#All],[PID]],0)),INDEX(Table3[[#All],[B]],MATCH(Table5[[#This Row],[PID]],Table3[[#All],[PID]],0)))</f>
        <v>R</v>
      </c>
      <c r="I248" s="52" t="str">
        <f>IF($C248="B",INDEX(Batters[[#All],[T]],MATCH(Table5[[#This Row],[PID]],Batters[[#All],[PID]],0)),INDEX(Table3[[#All],[T]],MATCH(Table5[[#This Row],[PID]],Table3[[#All],[PID]],0)))</f>
        <v>R</v>
      </c>
      <c r="J248" s="71" t="str">
        <f>IF($C248="B",INDEX(Batters[[#All],[WE]],MATCH(Table5[[#This Row],[PID]],Batters[[#All],[PID]],0)),INDEX(Table3[[#All],[WE]],MATCH(Table5[[#This Row],[PID]],Table3[[#All],[PID]],0)))</f>
        <v>High</v>
      </c>
      <c r="K248" s="52" t="str">
        <f>IF($C248="B",INDEX(Batters[[#All],[INT]],MATCH(Table5[[#This Row],[PID]],Batters[[#All],[PID]],0)),INDEX(Table3[[#All],[INT]],MATCH(Table5[[#This Row],[PID]],Table3[[#All],[PID]],0)))</f>
        <v>Normal</v>
      </c>
      <c r="L248" s="60">
        <f>IF($C248="B",INDEX(Batters[[#All],[CON P]],MATCH(Table5[[#This Row],[PID]],Batters[[#All],[PID]],0)),INDEX(Table3[[#All],[STU P]],MATCH(Table5[[#This Row],[PID]],Table3[[#All],[PID]],0)))</f>
        <v>4</v>
      </c>
      <c r="M248" s="72">
        <f>IF($C248="B",INDEX(Batters[[#All],[GAP P]],MATCH(Table5[[#This Row],[PID]],Batters[[#All],[PID]],0)),INDEX(Table3[[#All],[MOV P]],MATCH(Table5[[#This Row],[PID]],Table3[[#All],[PID]],0)))</f>
        <v>7</v>
      </c>
      <c r="N248" s="72">
        <f>IF($C248="B",INDEX(Batters[[#All],[POW P]],MATCH(Table5[[#This Row],[PID]],Batters[[#All],[PID]],0)),INDEX(Table3[[#All],[CON P]],MATCH(Table5[[#This Row],[PID]],Table3[[#All],[PID]],0)))</f>
        <v>4</v>
      </c>
      <c r="O248" s="72" t="str">
        <f>IF($C248="B",INDEX(Batters[[#All],[EYE P]],MATCH(Table5[[#This Row],[PID]],Batters[[#All],[PID]],0)),INDEX(Table3[[#All],[VELO]],MATCH(Table5[[#This Row],[PID]],Table3[[#All],[PID]],0)))</f>
        <v>88-90 Mph</v>
      </c>
      <c r="P248" s="56">
        <f>IF($C248="B",INDEX(Batters[[#All],[K P]],MATCH(Table5[[#This Row],[PID]],Batters[[#All],[PID]],0)),INDEX(Table3[[#All],[STM]],MATCH(Table5[[#This Row],[PID]],Table3[[#All],[PID]],0)))</f>
        <v>7</v>
      </c>
      <c r="Q248" s="61">
        <f>IF($C248="B",INDEX(Batters[[#All],[Tot]],MATCH(Table5[[#This Row],[PID]],Batters[[#All],[PID]],0)),INDEX(Table3[[#All],[Tot]],MATCH(Table5[[#This Row],[PID]],Table3[[#All],[PID]],0)))</f>
        <v>52.890605499771659</v>
      </c>
      <c r="R248" s="52">
        <f>IF($C248="B",INDEX(Batters[[#All],[zScore]],MATCH(Table5[[#This Row],[PID]],Batters[[#All],[PID]],0)),INDEX(Table3[[#All],[zScore]],MATCH(Table5[[#This Row],[PID]],Table3[[#All],[PID]],0)))</f>
        <v>1.1323198777250474</v>
      </c>
      <c r="S248" s="78" t="str">
        <f>IF($C248="B",INDEX(Batters[[#All],[DEM]],MATCH(Table5[[#This Row],[PID]],Batters[[#All],[PID]],0)),INDEX(Table3[[#All],[DEM]],MATCH(Table5[[#This Row],[PID]],Table3[[#All],[PID]],0)))</f>
        <v>$65k</v>
      </c>
      <c r="T248" s="75">
        <f>IF($C248="B",INDEX(Batters[[#All],[Rnk]],MATCH(Table5[[#This Row],[PID]],Batters[[#All],[PID]],0)),INDEX(Table3[[#All],[Rnk]],MATCH(Table5[[#This Row],[PID]],Table3[[#All],[PID]],0)))</f>
        <v>122</v>
      </c>
      <c r="U248" s="68">
        <f>IF($C248="B",VLOOKUP($A248,Bat!$A$4:$BA$1621,47,FALSE),VLOOKUP($A248,Pit!$A$4:$BF$1557,56,FALSE))</f>
        <v>0</v>
      </c>
      <c r="V248" s="50">
        <f>IF($C248="B",VLOOKUP($A248,Bat!$A$4:$BA$1621,48,FALSE),VLOOKUP($A248,Pit!$A$4:$BF$1557,57,FALSE))</f>
        <v>0</v>
      </c>
      <c r="W248" s="69">
        <f>Table5[[#This Row],[posRnk]]+Table5[[#This Row],[zRnk]]+IF($W$3&lt;&gt;Table5[[#This Row],[Type]],50,0)</f>
        <v>375</v>
      </c>
      <c r="X248" s="73">
        <f>RANK(Table5[[#This Row],[zScore]],Table5[[#All],[zScore]])</f>
        <v>203</v>
      </c>
      <c r="Y248" s="69">
        <f>IFERROR(INDEX(DraftResults[[#All],[OVR]],MATCH(Table5[[#This Row],[PID]],DraftResults[[#All],[Player ID]],0)),"")</f>
        <v>244</v>
      </c>
      <c r="Z24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8" s="69">
        <f>IFERROR(INDEX(DraftResults[[#All],[Pick in Round]],MATCH(Table5[[#This Row],[PID]],DraftResults[[#All],[Player ID]],0)),"")</f>
        <v>26</v>
      </c>
      <c r="AB248" s="69" t="str">
        <f>IFERROR(INDEX(DraftResults[[#All],[Team Name]],MATCH(Table5[[#This Row],[PID]],DraftResults[[#All],[Player ID]],0)),"")</f>
        <v>Yuma Arroyos</v>
      </c>
      <c r="AC248" s="69">
        <f>IF(Table5[[#This Row],[Ovr]]="","",IF(Table5[[#This Row],[cmbList]]="","",Table5[[#This Row],[cmbList]]-Table5[[#This Row],[Ovr]]))</f>
        <v>131</v>
      </c>
      <c r="AD248" s="77" t="str">
        <f>IF(ISERROR(VLOOKUP($AB248&amp;"-"&amp;$E248&amp;" "&amp;F248,Bonuses!$B$1:$G$1006,4,FALSE)),"",INT(VLOOKUP($AB248&amp;"-"&amp;$E248&amp;" "&amp;$F248,Bonuses!$B$1:$G$1006,4,FALSE)))</f>
        <v/>
      </c>
      <c r="AE24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8.26 (244) - SP Dennis Smith</v>
      </c>
    </row>
    <row r="249" spans="1:31" s="50" customFormat="1" x14ac:dyDescent="0.25">
      <c r="A249" s="50">
        <v>17977</v>
      </c>
      <c r="B249" s="55">
        <f>COUNTIF(Table5[PID],A249)</f>
        <v>1</v>
      </c>
      <c r="C249" s="55" t="str">
        <f>IF(COUNTIF(Table3[[#All],[PID]],A249)&gt;0,"P","B")</f>
        <v>B</v>
      </c>
      <c r="D249" s="59" t="str">
        <f>IF($C249="B",INDEX(Batters[[#All],[POS]],MATCH(Table5[[#This Row],[PID]],Batters[[#All],[PID]],0)),INDEX(Table3[[#All],[POS]],MATCH(Table5[[#This Row],[PID]],Table3[[#All],[PID]],0)))</f>
        <v>1B</v>
      </c>
      <c r="E249" s="52" t="str">
        <f>IF($C249="B",INDEX(Batters[[#All],[First]],MATCH(Table5[[#This Row],[PID]],Batters[[#All],[PID]],0)),INDEX(Table3[[#All],[First]],MATCH(Table5[[#This Row],[PID]],Table3[[#All],[PID]],0)))</f>
        <v>Glenn</v>
      </c>
      <c r="F249" s="50" t="str">
        <f>IF($C249="B",INDEX(Batters[[#All],[Last]],MATCH(A249,Batters[[#All],[PID]],0)),INDEX(Table3[[#All],[Last]],MATCH(A249,Table3[[#All],[PID]],0)))</f>
        <v>Reynolds</v>
      </c>
      <c r="G249" s="56">
        <f>IF($C249="B",INDEX(Batters[[#All],[Age]],MATCH(Table5[[#This Row],[PID]],Batters[[#All],[PID]],0)),INDEX(Table3[[#All],[Age]],MATCH(Table5[[#This Row],[PID]],Table3[[#All],[PID]],0)))</f>
        <v>21</v>
      </c>
      <c r="H249" s="52" t="str">
        <f>IF($C249="B",INDEX(Batters[[#All],[B]],MATCH(Table5[[#This Row],[PID]],Batters[[#All],[PID]],0)),INDEX(Table3[[#All],[B]],MATCH(Table5[[#This Row],[PID]],Table3[[#All],[PID]],0)))</f>
        <v>L</v>
      </c>
      <c r="I249" s="52" t="str">
        <f>IF($C249="B",INDEX(Batters[[#All],[T]],MATCH(Table5[[#This Row],[PID]],Batters[[#All],[PID]],0)),INDEX(Table3[[#All],[T]],MATCH(Table5[[#This Row],[PID]],Table3[[#All],[PID]],0)))</f>
        <v>L</v>
      </c>
      <c r="J249" s="52" t="str">
        <f>IF($C249="B",INDEX(Batters[[#All],[WE]],MATCH(Table5[[#This Row],[PID]],Batters[[#All],[PID]],0)),INDEX(Table3[[#All],[WE]],MATCH(Table5[[#This Row],[PID]],Table3[[#All],[PID]],0)))</f>
        <v>High</v>
      </c>
      <c r="K249" s="52" t="str">
        <f>IF($C249="B",INDEX(Batters[[#All],[INT]],MATCH(Table5[[#This Row],[PID]],Batters[[#All],[PID]],0)),INDEX(Table3[[#All],[INT]],MATCH(Table5[[#This Row],[PID]],Table3[[#All],[PID]],0)))</f>
        <v>Normal</v>
      </c>
      <c r="L249" s="60">
        <f>IF($C249="B",INDEX(Batters[[#All],[CON P]],MATCH(Table5[[#This Row],[PID]],Batters[[#All],[PID]],0)),INDEX(Table3[[#All],[STU P]],MATCH(Table5[[#This Row],[PID]],Table3[[#All],[PID]],0)))</f>
        <v>4</v>
      </c>
      <c r="M249" s="56">
        <f>IF($C249="B",INDEX(Batters[[#All],[GAP P]],MATCH(Table5[[#This Row],[PID]],Batters[[#All],[PID]],0)),INDEX(Table3[[#All],[MOV P]],MATCH(Table5[[#This Row],[PID]],Table3[[#All],[PID]],0)))</f>
        <v>6</v>
      </c>
      <c r="N249" s="56">
        <f>IF($C249="B",INDEX(Batters[[#All],[POW P]],MATCH(Table5[[#This Row],[PID]],Batters[[#All],[PID]],0)),INDEX(Table3[[#All],[CON P]],MATCH(Table5[[#This Row],[PID]],Table3[[#All],[PID]],0)))</f>
        <v>6</v>
      </c>
      <c r="O249" s="56">
        <f>IF($C249="B",INDEX(Batters[[#All],[EYE P]],MATCH(Table5[[#This Row],[PID]],Batters[[#All],[PID]],0)),INDEX(Table3[[#All],[VELO]],MATCH(Table5[[#This Row],[PID]],Table3[[#All],[PID]],0)))</f>
        <v>4</v>
      </c>
      <c r="P249" s="56">
        <f>IF($C249="B",INDEX(Batters[[#All],[K P]],MATCH(Table5[[#This Row],[PID]],Batters[[#All],[PID]],0)),INDEX(Table3[[#All],[STM]],MATCH(Table5[[#This Row],[PID]],Table3[[#All],[PID]],0)))</f>
        <v>3</v>
      </c>
      <c r="Q249" s="61">
        <f>IF($C249="B",INDEX(Batters[[#All],[Tot]],MATCH(Table5[[#This Row],[PID]],Batters[[#All],[PID]],0)),INDEX(Table3[[#All],[Tot]],MATCH(Table5[[#This Row],[PID]],Table3[[#All],[PID]],0)))</f>
        <v>44.010801701206461</v>
      </c>
      <c r="R249" s="52">
        <f>IF($C249="B",INDEX(Batters[[#All],[zScore]],MATCH(Table5[[#This Row],[PID]],Batters[[#All],[PID]],0)),INDEX(Table3[[#All],[zScore]],MATCH(Table5[[#This Row],[PID]],Table3[[#All],[PID]],0)))</f>
        <v>-2.685711794579199E-2</v>
      </c>
      <c r="S249" s="58" t="str">
        <f>IF($C249="B",INDEX(Batters[[#All],[DEM]],MATCH(Table5[[#This Row],[PID]],Batters[[#All],[PID]],0)),INDEX(Table3[[#All],[DEM]],MATCH(Table5[[#This Row],[PID]],Table3[[#All],[PID]],0)))</f>
        <v>$55k</v>
      </c>
      <c r="T249" s="62">
        <f>IF($C249="B",INDEX(Batters[[#All],[Rnk]],MATCH(Table5[[#This Row],[PID]],Batters[[#All],[PID]],0)),INDEX(Table3[[#All],[Rnk]],MATCH(Table5[[#This Row],[PID]],Table3[[#All],[PID]],0)))</f>
        <v>249</v>
      </c>
      <c r="U249" s="68">
        <f>IF($C249="B",VLOOKUP($A249,Bat!$A$4:$BA$1621,47,FALSE),VLOOKUP($A249,Pit!$A$4:$BF$1557,56,FALSE))</f>
        <v>0</v>
      </c>
      <c r="V249" s="50">
        <f>IF($C249="B",VLOOKUP($A249,Bat!$A$4:$BA$1621,48,FALSE),VLOOKUP($A249,Pit!$A$4:$BF$1557,57,FALSE))</f>
        <v>0</v>
      </c>
      <c r="W249" s="50">
        <f>Table5[[#This Row],[posRnk]]+Table5[[#This Row],[zRnk]]+IF($W$3&lt;&gt;Table5[[#This Row],[Type]],50,0)</f>
        <v>864</v>
      </c>
      <c r="X249" s="51">
        <f>RANK(Table5[[#This Row],[zScore]],Table5[[#All],[zScore]])</f>
        <v>565</v>
      </c>
      <c r="Y249" s="50">
        <f>IFERROR(INDEX(DraftResults[[#All],[OVR]],MATCH(Table5[[#This Row],[PID]],DraftResults[[#All],[Player ID]],0)),"")</f>
        <v>245</v>
      </c>
      <c r="Z2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49" s="50">
        <f>IFERROR(INDEX(DraftResults[[#All],[Pick in Round]],MATCH(Table5[[#This Row],[PID]],DraftResults[[#All],[Player ID]],0)),"")</f>
        <v>27</v>
      </c>
      <c r="AB249" s="50" t="str">
        <f>IFERROR(INDEX(DraftResults[[#All],[Team Name]],MATCH(Table5[[#This Row],[PID]],DraftResults[[#All],[Player ID]],0)),"")</f>
        <v>Neo-Tokyo Akira</v>
      </c>
      <c r="AC249" s="50">
        <f>IF(Table5[[#This Row],[Ovr]]="","",IF(Table5[[#This Row],[cmbList]]="","",Table5[[#This Row],[cmbList]]-Table5[[#This Row],[Ovr]]))</f>
        <v>619</v>
      </c>
      <c r="AD249" s="54" t="str">
        <f>IF(ISERROR(VLOOKUP($AB249&amp;"-"&amp;$E249&amp;" "&amp;F249,Bonuses!$B$1:$G$1006,4,FALSE)),"",INT(VLOOKUP($AB249&amp;"-"&amp;$E249&amp;" "&amp;$F249,Bonuses!$B$1:$G$1006,4,FALSE)))</f>
        <v/>
      </c>
      <c r="AE2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8.27 (245) - 1B Glenn Reynolds</v>
      </c>
    </row>
    <row r="250" spans="1:31" s="50" customFormat="1" x14ac:dyDescent="0.25">
      <c r="A250" s="50">
        <v>18398</v>
      </c>
      <c r="B250" s="50">
        <f>COUNTIF(Table5[PID],A250)</f>
        <v>1</v>
      </c>
      <c r="C250" s="50" t="str">
        <f>IF(COUNTIF(Table3[[#All],[PID]],A250)&gt;0,"P","B")</f>
        <v>P</v>
      </c>
      <c r="D250" s="59" t="str">
        <f>IF($C250="B",INDEX(Batters[[#All],[POS]],MATCH(Table5[[#This Row],[PID]],Batters[[#All],[PID]],0)),INDEX(Table3[[#All],[POS]],MATCH(Table5[[#This Row],[PID]],Table3[[#All],[PID]],0)))</f>
        <v>CL</v>
      </c>
      <c r="E250" s="52" t="str">
        <f>IF($C250="B",INDEX(Batters[[#All],[First]],MATCH(Table5[[#This Row],[PID]],Batters[[#All],[PID]],0)),INDEX(Table3[[#All],[First]],MATCH(Table5[[#This Row],[PID]],Table3[[#All],[PID]],0)))</f>
        <v>Dylan</v>
      </c>
      <c r="F250" s="50" t="str">
        <f>IF($C250="B",INDEX(Batters[[#All],[Last]],MATCH(A250,Batters[[#All],[PID]],0)),INDEX(Table3[[#All],[Last]],MATCH(A250,Table3[[#All],[PID]],0)))</f>
        <v>Peden</v>
      </c>
      <c r="G250" s="56">
        <f>IF($C250="B",INDEX(Batters[[#All],[Age]],MATCH(Table5[[#This Row],[PID]],Batters[[#All],[PID]],0)),INDEX(Table3[[#All],[Age]],MATCH(Table5[[#This Row],[PID]],Table3[[#All],[PID]],0)))</f>
        <v>18</v>
      </c>
      <c r="H250" s="52" t="str">
        <f>IF($C250="B",INDEX(Batters[[#All],[B]],MATCH(Table5[[#This Row],[PID]],Batters[[#All],[PID]],0)),INDEX(Table3[[#All],[B]],MATCH(Table5[[#This Row],[PID]],Table3[[#All],[PID]],0)))</f>
        <v>R</v>
      </c>
      <c r="I250" s="52" t="str">
        <f>IF($C250="B",INDEX(Batters[[#All],[T]],MATCH(Table5[[#This Row],[PID]],Batters[[#All],[PID]],0)),INDEX(Table3[[#All],[T]],MATCH(Table5[[#This Row],[PID]],Table3[[#All],[PID]],0)))</f>
        <v>R</v>
      </c>
      <c r="J250" s="52" t="str">
        <f>IF($C250="B",INDEX(Batters[[#All],[WE]],MATCH(Table5[[#This Row],[PID]],Batters[[#All],[PID]],0)),INDEX(Table3[[#All],[WE]],MATCH(Table5[[#This Row],[PID]],Table3[[#All],[PID]],0)))</f>
        <v>Low</v>
      </c>
      <c r="K250" s="52" t="str">
        <f>IF($C250="B",INDEX(Batters[[#All],[INT]],MATCH(Table5[[#This Row],[PID]],Batters[[#All],[PID]],0)),INDEX(Table3[[#All],[INT]],MATCH(Table5[[#This Row],[PID]],Table3[[#All],[PID]],0)))</f>
        <v>Low</v>
      </c>
      <c r="L250" s="60">
        <f>IF($C250="B",INDEX(Batters[[#All],[CON P]],MATCH(Table5[[#This Row],[PID]],Batters[[#All],[PID]],0)),INDEX(Table3[[#All],[STU P]],MATCH(Table5[[#This Row],[PID]],Table3[[#All],[PID]],0)))</f>
        <v>3</v>
      </c>
      <c r="M250" s="56">
        <f>IF($C250="B",INDEX(Batters[[#All],[GAP P]],MATCH(Table5[[#This Row],[PID]],Batters[[#All],[PID]],0)),INDEX(Table3[[#All],[MOV P]],MATCH(Table5[[#This Row],[PID]],Table3[[#All],[PID]],0)))</f>
        <v>5</v>
      </c>
      <c r="N250" s="56">
        <f>IF($C250="B",INDEX(Batters[[#All],[POW P]],MATCH(Table5[[#This Row],[PID]],Batters[[#All],[PID]],0)),INDEX(Table3[[#All],[CON P]],MATCH(Table5[[#This Row],[PID]],Table3[[#All],[PID]],0)))</f>
        <v>6</v>
      </c>
      <c r="O250" s="56" t="str">
        <f>IF($C250="B",INDEX(Batters[[#All],[EYE P]],MATCH(Table5[[#This Row],[PID]],Batters[[#All],[PID]],0)),INDEX(Table3[[#All],[VELO]],MATCH(Table5[[#This Row],[PID]],Table3[[#All],[PID]],0)))</f>
        <v>86-88 Mph</v>
      </c>
      <c r="P250" s="56">
        <f>IF($C250="B",INDEX(Batters[[#All],[K P]],MATCH(Table5[[#This Row],[PID]],Batters[[#All],[PID]],0)),INDEX(Table3[[#All],[STM]],MATCH(Table5[[#This Row],[PID]],Table3[[#All],[PID]],0)))</f>
        <v>8</v>
      </c>
      <c r="Q250" s="61">
        <f>IF($C250="B",INDEX(Batters[[#All],[Tot]],MATCH(Table5[[#This Row],[PID]],Batters[[#All],[PID]],0)),INDEX(Table3[[#All],[Tot]],MATCH(Table5[[#This Row],[PID]],Table3[[#All],[PID]],0)))</f>
        <v>54.839757252373147</v>
      </c>
      <c r="R250" s="52">
        <f>IF($C250="B",INDEX(Batters[[#All],[zScore]],MATCH(Table5[[#This Row],[PID]],Batters[[#All],[PID]],0)),INDEX(Table3[[#All],[zScore]],MATCH(Table5[[#This Row],[PID]],Table3[[#All],[PID]],0)))</f>
        <v>1.2619939653095966</v>
      </c>
      <c r="S250" s="58" t="str">
        <f>IF($C250="B",INDEX(Batters[[#All],[DEM]],MATCH(Table5[[#This Row],[PID]],Batters[[#All],[PID]],0)),INDEX(Table3[[#All],[DEM]],MATCH(Table5[[#This Row],[PID]],Table3[[#All],[PID]],0)))</f>
        <v>$85k</v>
      </c>
      <c r="T250" s="62">
        <f>IF($C250="B",INDEX(Batters[[#All],[Rnk]],MATCH(Table5[[#This Row],[PID]],Batters[[#All],[PID]],0)),INDEX(Table3[[#All],[Rnk]],MATCH(Table5[[#This Row],[PID]],Table3[[#All],[PID]],0)))</f>
        <v>105</v>
      </c>
      <c r="U250" s="68">
        <f>IF($C250="B",VLOOKUP($A250,Bat!$A$4:$BA$1621,47,FALSE),VLOOKUP($A250,Pit!$A$4:$BF$1557,56,FALSE))</f>
        <v>0</v>
      </c>
      <c r="V250" s="50">
        <f>IF($C250="B",VLOOKUP($A250,Bat!$A$4:$BA$1621,48,FALSE),VLOOKUP($A250,Pit!$A$4:$BF$1557,57,FALSE))</f>
        <v>0</v>
      </c>
      <c r="W250" s="50">
        <f>Table5[[#This Row],[posRnk]]+Table5[[#This Row],[zRnk]]+IF($W$3&lt;&gt;Table5[[#This Row],[Type]],50,0)</f>
        <v>323</v>
      </c>
      <c r="X250" s="51">
        <f>RANK(Table5[[#This Row],[zScore]],Table5[[#All],[zScore]])</f>
        <v>168</v>
      </c>
      <c r="Y250" s="50">
        <f>IFERROR(INDEX(DraftResults[[#All],[OVR]],MATCH(Table5[[#This Row],[PID]],DraftResults[[#All],[Player ID]],0)),"")</f>
        <v>246</v>
      </c>
      <c r="Z2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50" s="50">
        <f>IFERROR(INDEX(DraftResults[[#All],[Pick in Round]],MATCH(Table5[[#This Row],[PID]],DraftResults[[#All],[Player ID]],0)),"")</f>
        <v>28</v>
      </c>
      <c r="AB250" s="50" t="str">
        <f>IFERROR(INDEX(DraftResults[[#All],[Team Name]],MATCH(Table5[[#This Row],[PID]],DraftResults[[#All],[Player ID]],0)),"")</f>
        <v>San Juan Coqui</v>
      </c>
      <c r="AC250" s="50">
        <f>IF(Table5[[#This Row],[Ovr]]="","",IF(Table5[[#This Row],[cmbList]]="","",Table5[[#This Row],[cmbList]]-Table5[[#This Row],[Ovr]]))</f>
        <v>77</v>
      </c>
      <c r="AD250" s="54" t="str">
        <f>IF(ISERROR(VLOOKUP($AB250&amp;"-"&amp;$E250&amp;" "&amp;F250,Bonuses!$B$1:$G$1006,4,FALSE)),"",INT(VLOOKUP($AB250&amp;"-"&amp;$E250&amp;" "&amp;$F250,Bonuses!$B$1:$G$1006,4,FALSE)))</f>
        <v/>
      </c>
      <c r="AE2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8.28 (246) - CL Dylan Peden</v>
      </c>
    </row>
    <row r="251" spans="1:31" s="50" customFormat="1" x14ac:dyDescent="0.25">
      <c r="A251" s="68">
        <v>18162</v>
      </c>
      <c r="B251" s="69">
        <f>COUNTIF(Table5[PID],A251)</f>
        <v>1</v>
      </c>
      <c r="C251" s="69" t="str">
        <f>IF(COUNTIF(Table3[[#All],[PID]],A251)&gt;0,"P","B")</f>
        <v>P</v>
      </c>
      <c r="D251" s="59" t="str">
        <f>IF($C251="B",INDEX(Batters[[#All],[POS]],MATCH(Table5[[#This Row],[PID]],Batters[[#All],[PID]],0)),INDEX(Table3[[#All],[POS]],MATCH(Table5[[#This Row],[PID]],Table3[[#All],[PID]],0)))</f>
        <v>SP</v>
      </c>
      <c r="E251" s="52" t="str">
        <f>IF($C251="B",INDEX(Batters[[#All],[First]],MATCH(Table5[[#This Row],[PID]],Batters[[#All],[PID]],0)),INDEX(Table3[[#All],[First]],MATCH(Table5[[#This Row],[PID]],Table3[[#All],[PID]],0)))</f>
        <v>Jeffrey</v>
      </c>
      <c r="F251" s="55" t="str">
        <f>IF($C251="B",INDEX(Batters[[#All],[Last]],MATCH(A251,Batters[[#All],[PID]],0)),INDEX(Table3[[#All],[Last]],MATCH(A251,Table3[[#All],[PID]],0)))</f>
        <v>Cochran</v>
      </c>
      <c r="G251" s="56">
        <f>IF($C251="B",INDEX(Batters[[#All],[Age]],MATCH(Table5[[#This Row],[PID]],Batters[[#All],[PID]],0)),INDEX(Table3[[#All],[Age]],MATCH(Table5[[#This Row],[PID]],Table3[[#All],[PID]],0)))</f>
        <v>21</v>
      </c>
      <c r="H251" s="52" t="str">
        <f>IF($C251="B",INDEX(Batters[[#All],[B]],MATCH(Table5[[#This Row],[PID]],Batters[[#All],[PID]],0)),INDEX(Table3[[#All],[B]],MATCH(Table5[[#This Row],[PID]],Table3[[#All],[PID]],0)))</f>
        <v>S</v>
      </c>
      <c r="I251" s="52" t="str">
        <f>IF($C251="B",INDEX(Batters[[#All],[T]],MATCH(Table5[[#This Row],[PID]],Batters[[#All],[PID]],0)),INDEX(Table3[[#All],[T]],MATCH(Table5[[#This Row],[PID]],Table3[[#All],[PID]],0)))</f>
        <v>R</v>
      </c>
      <c r="J251" s="71" t="str">
        <f>IF($C251="B",INDEX(Batters[[#All],[WE]],MATCH(Table5[[#This Row],[PID]],Batters[[#All],[PID]],0)),INDEX(Table3[[#All],[WE]],MATCH(Table5[[#This Row],[PID]],Table3[[#All],[PID]],0)))</f>
        <v>Low</v>
      </c>
      <c r="K251" s="52" t="str">
        <f>IF($C251="B",INDEX(Batters[[#All],[INT]],MATCH(Table5[[#This Row],[PID]],Batters[[#All],[PID]],0)),INDEX(Table3[[#All],[INT]],MATCH(Table5[[#This Row],[PID]],Table3[[#All],[PID]],0)))</f>
        <v>Normal</v>
      </c>
      <c r="L251" s="60">
        <f>IF($C251="B",INDEX(Batters[[#All],[CON P]],MATCH(Table5[[#This Row],[PID]],Batters[[#All],[PID]],0)),INDEX(Table3[[#All],[STU P]],MATCH(Table5[[#This Row],[PID]],Table3[[#All],[PID]],0)))</f>
        <v>5</v>
      </c>
      <c r="M251" s="72">
        <f>IF($C251="B",INDEX(Batters[[#All],[GAP P]],MATCH(Table5[[#This Row],[PID]],Batters[[#All],[PID]],0)),INDEX(Table3[[#All],[MOV P]],MATCH(Table5[[#This Row],[PID]],Table3[[#All],[PID]],0)))</f>
        <v>5</v>
      </c>
      <c r="N251" s="72">
        <f>IF($C251="B",INDEX(Batters[[#All],[POW P]],MATCH(Table5[[#This Row],[PID]],Batters[[#All],[PID]],0)),INDEX(Table3[[#All],[CON P]],MATCH(Table5[[#This Row],[PID]],Table3[[#All],[PID]],0)))</f>
        <v>3</v>
      </c>
      <c r="O251" s="72" t="str">
        <f>IF($C251="B",INDEX(Batters[[#All],[EYE P]],MATCH(Table5[[#This Row],[PID]],Batters[[#All],[PID]],0)),INDEX(Table3[[#All],[VELO]],MATCH(Table5[[#This Row],[PID]],Table3[[#All],[PID]],0)))</f>
        <v>94-96 Mph</v>
      </c>
      <c r="P251" s="56">
        <f>IF($C251="B",INDEX(Batters[[#All],[K P]],MATCH(Table5[[#This Row],[PID]],Batters[[#All],[PID]],0)),INDEX(Table3[[#All],[STM]],MATCH(Table5[[#This Row],[PID]],Table3[[#All],[PID]],0)))</f>
        <v>8</v>
      </c>
      <c r="Q251" s="61">
        <f>IF($C251="B",INDEX(Batters[[#All],[Tot]],MATCH(Table5[[#This Row],[PID]],Batters[[#All],[PID]],0)),INDEX(Table3[[#All],[Tot]],MATCH(Table5[[#This Row],[PID]],Table3[[#All],[PID]],0)))</f>
        <v>46.645769971052324</v>
      </c>
      <c r="R251" s="52">
        <f>IF($C251="B",INDEX(Batters[[#All],[zScore]],MATCH(Table5[[#This Row],[PID]],Batters[[#All],[PID]],0)),INDEX(Table3[[#All],[zScore]],MATCH(Table5[[#This Row],[PID]],Table3[[#All],[PID]],0)))</f>
        <v>0.7168605127877391</v>
      </c>
      <c r="S251" s="78" t="str">
        <f>IF($C251="B",INDEX(Batters[[#All],[DEM]],MATCH(Table5[[#This Row],[PID]],Batters[[#All],[PID]],0)),INDEX(Table3[[#All],[DEM]],MATCH(Table5[[#This Row],[PID]],Table3[[#All],[PID]],0)))</f>
        <v>$75k</v>
      </c>
      <c r="T251" s="75">
        <f>IF($C251="B",INDEX(Batters[[#All],[Rnk]],MATCH(Table5[[#This Row],[PID]],Batters[[#All],[PID]],0)),INDEX(Table3[[#All],[Rnk]],MATCH(Table5[[#This Row],[PID]],Table3[[#All],[PID]],0)))</f>
        <v>186</v>
      </c>
      <c r="U251" s="68">
        <f>IF($C251="B",VLOOKUP($A251,Bat!$A$4:$BA$1621,47,FALSE),VLOOKUP($A251,Pit!$A$4:$BF$1557,56,FALSE))</f>
        <v>0</v>
      </c>
      <c r="V251" s="50">
        <f>IF($C251="B",VLOOKUP($A251,Bat!$A$4:$BA$1621,48,FALSE),VLOOKUP($A251,Pit!$A$4:$BF$1557,57,FALSE))</f>
        <v>0</v>
      </c>
      <c r="W251" s="69">
        <f>Table5[[#This Row],[posRnk]]+Table5[[#This Row],[zRnk]]+IF($W$3&lt;&gt;Table5[[#This Row],[Type]],50,0)</f>
        <v>540</v>
      </c>
      <c r="X251" s="73">
        <f>RANK(Table5[[#This Row],[zScore]],Table5[[#All],[zScore]])</f>
        <v>304</v>
      </c>
      <c r="Y251" s="69">
        <f>IFERROR(INDEX(DraftResults[[#All],[OVR]],MATCH(Table5[[#This Row],[PID]],DraftResults[[#All],[Player ID]],0)),"")</f>
        <v>247</v>
      </c>
      <c r="Z25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51" s="69">
        <f>IFERROR(INDEX(DraftResults[[#All],[Pick in Round]],MATCH(Table5[[#This Row],[PID]],DraftResults[[#All],[Player ID]],0)),"")</f>
        <v>29</v>
      </c>
      <c r="AB251" s="69" t="str">
        <f>IFERROR(INDEX(DraftResults[[#All],[Team Name]],MATCH(Table5[[#This Row],[PID]],DraftResults[[#All],[Player ID]],0)),"")</f>
        <v>Havana Leones</v>
      </c>
      <c r="AC251" s="69">
        <f>IF(Table5[[#This Row],[Ovr]]="","",IF(Table5[[#This Row],[cmbList]]="","",Table5[[#This Row],[cmbList]]-Table5[[#This Row],[Ovr]]))</f>
        <v>293</v>
      </c>
      <c r="AD251" s="77" t="str">
        <f>IF(ISERROR(VLOOKUP($AB251&amp;"-"&amp;$E251&amp;" "&amp;F251,Bonuses!$B$1:$G$1006,4,FALSE)),"",INT(VLOOKUP($AB251&amp;"-"&amp;$E251&amp;" "&amp;$F251,Bonuses!$B$1:$G$1006,4,FALSE)))</f>
        <v/>
      </c>
      <c r="AE25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8.29 (247) - SP Jeffrey Cochran</v>
      </c>
    </row>
    <row r="252" spans="1:31" s="50" customFormat="1" x14ac:dyDescent="0.25">
      <c r="A252" s="50">
        <v>18402</v>
      </c>
      <c r="B252" s="50">
        <f>COUNTIF(Table5[PID],A252)</f>
        <v>1</v>
      </c>
      <c r="C252" s="50" t="str">
        <f>IF(COUNTIF(Table3[[#All],[PID]],A252)&gt;0,"P","B")</f>
        <v>B</v>
      </c>
      <c r="D252" s="59" t="str">
        <f>IF($C252="B",INDEX(Batters[[#All],[POS]],MATCH(Table5[[#This Row],[PID]],Batters[[#All],[PID]],0)),INDEX(Table3[[#All],[POS]],MATCH(Table5[[#This Row],[PID]],Table3[[#All],[PID]],0)))</f>
        <v>RF</v>
      </c>
      <c r="E252" s="52" t="str">
        <f>IF($C252="B",INDEX(Batters[[#All],[First]],MATCH(Table5[[#This Row],[PID]],Batters[[#All],[PID]],0)),INDEX(Table3[[#All],[First]],MATCH(Table5[[#This Row],[PID]],Table3[[#All],[PID]],0)))</f>
        <v>Yoshii</v>
      </c>
      <c r="F252" s="50" t="str">
        <f>IF($C252="B",INDEX(Batters[[#All],[Last]],MATCH(A252,Batters[[#All],[PID]],0)),INDEX(Table3[[#All],[Last]],MATCH(A252,Table3[[#All],[PID]],0)))</f>
        <v>Inoue</v>
      </c>
      <c r="G252" s="56">
        <f>IF($C252="B",INDEX(Batters[[#All],[Age]],MATCH(Table5[[#This Row],[PID]],Batters[[#All],[PID]],0)),INDEX(Table3[[#All],[Age]],MATCH(Table5[[#This Row],[PID]],Table3[[#All],[PID]],0)))</f>
        <v>18</v>
      </c>
      <c r="H252" s="52" t="str">
        <f>IF($C252="B",INDEX(Batters[[#All],[B]],MATCH(Table5[[#This Row],[PID]],Batters[[#All],[PID]],0)),INDEX(Table3[[#All],[B]],MATCH(Table5[[#This Row],[PID]],Table3[[#All],[PID]],0)))</f>
        <v>R</v>
      </c>
      <c r="I252" s="52" t="str">
        <f>IF($C252="B",INDEX(Batters[[#All],[T]],MATCH(Table5[[#This Row],[PID]],Batters[[#All],[PID]],0)),INDEX(Table3[[#All],[T]],MATCH(Table5[[#This Row],[PID]],Table3[[#All],[PID]],0)))</f>
        <v>R</v>
      </c>
      <c r="J252" s="52" t="str">
        <f>IF($C252="B",INDEX(Batters[[#All],[WE]],MATCH(Table5[[#This Row],[PID]],Batters[[#All],[PID]],0)),INDEX(Table3[[#All],[WE]],MATCH(Table5[[#This Row],[PID]],Table3[[#All],[PID]],0)))</f>
        <v>High</v>
      </c>
      <c r="K252" s="52" t="str">
        <f>IF($C252="B",INDEX(Batters[[#All],[INT]],MATCH(Table5[[#This Row],[PID]],Batters[[#All],[PID]],0)),INDEX(Table3[[#All],[INT]],MATCH(Table5[[#This Row],[PID]],Table3[[#All],[PID]],0)))</f>
        <v>Normal</v>
      </c>
      <c r="L252" s="60">
        <f>IF($C252="B",INDEX(Batters[[#All],[CON P]],MATCH(Table5[[#This Row],[PID]],Batters[[#All],[PID]],0)),INDEX(Table3[[#All],[STU P]],MATCH(Table5[[#This Row],[PID]],Table3[[#All],[PID]],0)))</f>
        <v>4</v>
      </c>
      <c r="M252" s="56">
        <f>IF($C252="B",INDEX(Batters[[#All],[GAP P]],MATCH(Table5[[#This Row],[PID]],Batters[[#All],[PID]],0)),INDEX(Table3[[#All],[MOV P]],MATCH(Table5[[#This Row],[PID]],Table3[[#All],[PID]],0)))</f>
        <v>4</v>
      </c>
      <c r="N252" s="56">
        <f>IF($C252="B",INDEX(Batters[[#All],[POW P]],MATCH(Table5[[#This Row],[PID]],Batters[[#All],[PID]],0)),INDEX(Table3[[#All],[CON P]],MATCH(Table5[[#This Row],[PID]],Table3[[#All],[PID]],0)))</f>
        <v>7</v>
      </c>
      <c r="O252" s="56">
        <f>IF($C252="B",INDEX(Batters[[#All],[EYE P]],MATCH(Table5[[#This Row],[PID]],Batters[[#All],[PID]],0)),INDEX(Table3[[#All],[VELO]],MATCH(Table5[[#This Row],[PID]],Table3[[#All],[PID]],0)))</f>
        <v>6</v>
      </c>
      <c r="P252" s="56">
        <f>IF($C252="B",INDEX(Batters[[#All],[K P]],MATCH(Table5[[#This Row],[PID]],Batters[[#All],[PID]],0)),INDEX(Table3[[#All],[STM]],MATCH(Table5[[#This Row],[PID]],Table3[[#All],[PID]],0)))</f>
        <v>3</v>
      </c>
      <c r="Q252" s="61">
        <f>IF($C252="B",INDEX(Batters[[#All],[Tot]],MATCH(Table5[[#This Row],[PID]],Batters[[#All],[PID]],0)),INDEX(Table3[[#All],[Tot]],MATCH(Table5[[#This Row],[PID]],Table3[[#All],[PID]],0)))</f>
        <v>51.58261545461631</v>
      </c>
      <c r="R252" s="52">
        <f>IF($C252="B",INDEX(Batters[[#All],[zScore]],MATCH(Table5[[#This Row],[PID]],Batters[[#All],[PID]],0)),INDEX(Table3[[#All],[zScore]],MATCH(Table5[[#This Row],[PID]],Table3[[#All],[PID]],0)))</f>
        <v>1.6518651718962014</v>
      </c>
      <c r="S252" s="58" t="str">
        <f>IF($C252="B",INDEX(Batters[[#All],[DEM]],MATCH(Table5[[#This Row],[PID]],Batters[[#All],[PID]],0)),INDEX(Table3[[#All],[DEM]],MATCH(Table5[[#This Row],[PID]],Table3[[#All],[PID]],0)))</f>
        <v>$190k</v>
      </c>
      <c r="T252" s="62">
        <f>IF($C252="B",INDEX(Batters[[#All],[Rnk]],MATCH(Table5[[#This Row],[PID]],Batters[[#All],[PID]],0)),INDEX(Table3[[#All],[Rnk]],MATCH(Table5[[#This Row],[PID]],Table3[[#All],[PID]],0)))</f>
        <v>35</v>
      </c>
      <c r="U252" s="68">
        <f>IF($C252="B",VLOOKUP($A252,Bat!$A$4:$BA$1621,47,FALSE),VLOOKUP($A252,Pit!$A$4:$BF$1557,56,FALSE))</f>
        <v>0</v>
      </c>
      <c r="V252" s="50">
        <f>IF($C252="B",VLOOKUP($A252,Bat!$A$4:$BA$1621,48,FALSE),VLOOKUP($A252,Pit!$A$4:$BF$1557,57,FALSE))</f>
        <v>0</v>
      </c>
      <c r="W252" s="50">
        <f>Table5[[#This Row],[posRnk]]+Table5[[#This Row],[zRnk]]+IF($W$3&lt;&gt;Table5[[#This Row],[Type]],50,0)</f>
        <v>180</v>
      </c>
      <c r="X252" s="51">
        <f>RANK(Table5[[#This Row],[zScore]],Table5[[#All],[zScore]])</f>
        <v>95</v>
      </c>
      <c r="Y252" s="50">
        <f>IFERROR(INDEX(DraftResults[[#All],[OVR]],MATCH(Table5[[#This Row],[PID]],DraftResults[[#All],[Player ID]],0)),"")</f>
        <v>248</v>
      </c>
      <c r="Z2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8</v>
      </c>
      <c r="AA252" s="50">
        <f>IFERROR(INDEX(DraftResults[[#All],[Pick in Round]],MATCH(Table5[[#This Row],[PID]],DraftResults[[#All],[Player ID]],0)),"")</f>
        <v>30</v>
      </c>
      <c r="AB252" s="50" t="str">
        <f>IFERROR(INDEX(DraftResults[[#All],[Team Name]],MATCH(Table5[[#This Row],[PID]],DraftResults[[#All],[Player ID]],0)),"")</f>
        <v>Florida Farstriders</v>
      </c>
      <c r="AC252" s="50">
        <f>IF(Table5[[#This Row],[Ovr]]="","",IF(Table5[[#This Row],[cmbList]]="","",Table5[[#This Row],[cmbList]]-Table5[[#This Row],[Ovr]]))</f>
        <v>-68</v>
      </c>
      <c r="AD252" s="54" t="str">
        <f>IF(ISERROR(VLOOKUP($AB252&amp;"-"&amp;$E252&amp;" "&amp;F252,Bonuses!$B$1:$G$1006,4,FALSE)),"",INT(VLOOKUP($AB252&amp;"-"&amp;$E252&amp;" "&amp;$F252,Bonuses!$B$1:$G$1006,4,FALSE)))</f>
        <v/>
      </c>
      <c r="AE2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8.30 (248) - RF Yoshii Inoue</v>
      </c>
    </row>
    <row r="253" spans="1:31" s="50" customFormat="1" x14ac:dyDescent="0.25">
      <c r="A253" s="50">
        <v>21014</v>
      </c>
      <c r="B253" s="50">
        <f>COUNTIF(Table5[PID],A253)</f>
        <v>1</v>
      </c>
      <c r="C253" s="50" t="str">
        <f>IF(COUNTIF(Table3[[#All],[PID]],A253)&gt;0,"P","B")</f>
        <v>B</v>
      </c>
      <c r="D253" s="59" t="str">
        <f>IF($C253="B",INDEX(Batters[[#All],[POS]],MATCH(Table5[[#This Row],[PID]],Batters[[#All],[PID]],0)),INDEX(Table3[[#All],[POS]],MATCH(Table5[[#This Row],[PID]],Table3[[#All],[PID]],0)))</f>
        <v>C</v>
      </c>
      <c r="E253" s="52" t="str">
        <f>IF($C253="B",INDEX(Batters[[#All],[First]],MATCH(Table5[[#This Row],[PID]],Batters[[#All],[PID]],0)),INDEX(Table3[[#All],[First]],MATCH(Table5[[#This Row],[PID]],Table3[[#All],[PID]],0)))</f>
        <v>Dave</v>
      </c>
      <c r="F253" s="50" t="str">
        <f>IF($C253="B",INDEX(Batters[[#All],[Last]],MATCH(A253,Batters[[#All],[PID]],0)),INDEX(Table3[[#All],[Last]],MATCH(A253,Table3[[#All],[PID]],0)))</f>
        <v>McCann</v>
      </c>
      <c r="G253" s="56">
        <f>IF($C253="B",INDEX(Batters[[#All],[Age]],MATCH(Table5[[#This Row],[PID]],Batters[[#All],[PID]],0)),INDEX(Table3[[#All],[Age]],MATCH(Table5[[#This Row],[PID]],Table3[[#All],[PID]],0)))</f>
        <v>19</v>
      </c>
      <c r="H253" s="52" t="str">
        <f>IF($C253="B",INDEX(Batters[[#All],[B]],MATCH(Table5[[#This Row],[PID]],Batters[[#All],[PID]],0)),INDEX(Table3[[#All],[B]],MATCH(Table5[[#This Row],[PID]],Table3[[#All],[PID]],0)))</f>
        <v>S</v>
      </c>
      <c r="I253" s="52" t="str">
        <f>IF($C253="B",INDEX(Batters[[#All],[T]],MATCH(Table5[[#This Row],[PID]],Batters[[#All],[PID]],0)),INDEX(Table3[[#All],[T]],MATCH(Table5[[#This Row],[PID]],Table3[[#All],[PID]],0)))</f>
        <v>R</v>
      </c>
      <c r="J253" s="52" t="str">
        <f>IF($C253="B",INDEX(Batters[[#All],[WE]],MATCH(Table5[[#This Row],[PID]],Batters[[#All],[PID]],0)),INDEX(Table3[[#All],[WE]],MATCH(Table5[[#This Row],[PID]],Table3[[#All],[PID]],0)))</f>
        <v>Low</v>
      </c>
      <c r="K253" s="52" t="str">
        <f>IF($C253="B",INDEX(Batters[[#All],[INT]],MATCH(Table5[[#This Row],[PID]],Batters[[#All],[PID]],0)),INDEX(Table3[[#All],[INT]],MATCH(Table5[[#This Row],[PID]],Table3[[#All],[PID]],0)))</f>
        <v>Normal</v>
      </c>
      <c r="L253" s="60">
        <f>IF($C253="B",INDEX(Batters[[#All],[CON P]],MATCH(Table5[[#This Row],[PID]],Batters[[#All],[PID]],0)),INDEX(Table3[[#All],[STU P]],MATCH(Table5[[#This Row],[PID]],Table3[[#All],[PID]],0)))</f>
        <v>3</v>
      </c>
      <c r="M253" s="56">
        <f>IF($C253="B",INDEX(Batters[[#All],[GAP P]],MATCH(Table5[[#This Row],[PID]],Batters[[#All],[PID]],0)),INDEX(Table3[[#All],[MOV P]],MATCH(Table5[[#This Row],[PID]],Table3[[#All],[PID]],0)))</f>
        <v>3</v>
      </c>
      <c r="N253" s="56">
        <f>IF($C253="B",INDEX(Batters[[#All],[POW P]],MATCH(Table5[[#This Row],[PID]],Batters[[#All],[PID]],0)),INDEX(Table3[[#All],[CON P]],MATCH(Table5[[#This Row],[PID]],Table3[[#All],[PID]],0)))</f>
        <v>3</v>
      </c>
      <c r="O253" s="56">
        <f>IF($C253="B",INDEX(Batters[[#All],[EYE P]],MATCH(Table5[[#This Row],[PID]],Batters[[#All],[PID]],0)),INDEX(Table3[[#All],[VELO]],MATCH(Table5[[#This Row],[PID]],Table3[[#All],[PID]],0)))</f>
        <v>4</v>
      </c>
      <c r="P253" s="56">
        <f>IF($C253="B",INDEX(Batters[[#All],[K P]],MATCH(Table5[[#This Row],[PID]],Batters[[#All],[PID]],0)),INDEX(Table3[[#All],[STM]],MATCH(Table5[[#This Row],[PID]],Table3[[#All],[PID]],0)))</f>
        <v>4</v>
      </c>
      <c r="Q253" s="61">
        <f>IF($C253="B",INDEX(Batters[[#All],[Tot]],MATCH(Table5[[#This Row],[PID]],Batters[[#All],[PID]],0)),INDEX(Table3[[#All],[Tot]],MATCH(Table5[[#This Row],[PID]],Table3[[#All],[PID]],0)))</f>
        <v>41.218136686535402</v>
      </c>
      <c r="R253" s="52">
        <f>IF($C253="B",INDEX(Batters[[#All],[zScore]],MATCH(Table5[[#This Row],[PID]],Batters[[#All],[PID]],0)),INDEX(Table3[[#All],[zScore]],MATCH(Table5[[#This Row],[PID]],Table3[[#All],[PID]],0)))</f>
        <v>-0.64600982836197274</v>
      </c>
      <c r="S253" s="58" t="str">
        <f>IF($C253="B",INDEX(Batters[[#All],[DEM]],MATCH(Table5[[#This Row],[PID]],Batters[[#All],[PID]],0)),INDEX(Table3[[#All],[DEM]],MATCH(Table5[[#This Row],[PID]],Table3[[#All],[PID]],0)))</f>
        <v>$75k</v>
      </c>
      <c r="T253" s="62">
        <f>IF($C253="B",INDEX(Batters[[#All],[Rnk]],MATCH(Table5[[#This Row],[PID]],Batters[[#All],[PID]],0)),INDEX(Table3[[#All],[Rnk]],MATCH(Table5[[#This Row],[PID]],Table3[[#All],[PID]],0)))</f>
        <v>365</v>
      </c>
      <c r="U253" s="68">
        <f>IF($C253="B",VLOOKUP($A253,Bat!$A$4:$BA$1621,47,FALSE),VLOOKUP($A253,Pit!$A$4:$BF$1557,56,FALSE))</f>
        <v>0</v>
      </c>
      <c r="V253" s="50">
        <f>IF($C253="B",VLOOKUP($A253,Bat!$A$4:$BA$1621,48,FALSE),VLOOKUP($A253,Pit!$A$4:$BF$1557,57,FALSE))</f>
        <v>0</v>
      </c>
      <c r="W253" s="50">
        <f>Table5[[#This Row],[posRnk]]+Table5[[#This Row],[zRnk]]+IF($W$3&lt;&gt;Table5[[#This Row],[Type]],50,0)</f>
        <v>1358</v>
      </c>
      <c r="X253" s="51">
        <f>RANK(Table5[[#This Row],[zScore]],Table5[[#All],[zScore]])</f>
        <v>943</v>
      </c>
      <c r="Y253" s="50">
        <f>IFERROR(INDEX(DraftResults[[#All],[OVR]],MATCH(Table5[[#This Row],[PID]],DraftResults[[#All],[Player ID]],0)),"")</f>
        <v>249</v>
      </c>
      <c r="Z2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3" s="50">
        <f>IFERROR(INDEX(DraftResults[[#All],[Pick in Round]],MATCH(Table5[[#This Row],[PID]],DraftResults[[#All],[Player ID]],0)),"")</f>
        <v>1</v>
      </c>
      <c r="AB253" s="50" t="str">
        <f>IFERROR(INDEX(DraftResults[[#All],[Team Name]],MATCH(Table5[[#This Row],[PID]],DraftResults[[#All],[Player ID]],0)),"")</f>
        <v>Arlington Bureaucrats</v>
      </c>
      <c r="AC253" s="50">
        <f>IF(Table5[[#This Row],[Ovr]]="","",IF(Table5[[#This Row],[cmbList]]="","",Table5[[#This Row],[cmbList]]-Table5[[#This Row],[Ovr]]))</f>
        <v>1109</v>
      </c>
      <c r="AD253" s="54" t="str">
        <f>IF(ISERROR(VLOOKUP($AB253&amp;"-"&amp;$E253&amp;" "&amp;F253,Bonuses!$B$1:$G$1006,4,FALSE)),"",INT(VLOOKUP($AB253&amp;"-"&amp;$E253&amp;" "&amp;$F253,Bonuses!$B$1:$G$1006,4,FALSE)))</f>
        <v/>
      </c>
      <c r="AE2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 (249) - C Dave McCann</v>
      </c>
    </row>
    <row r="254" spans="1:31" s="50" customFormat="1" x14ac:dyDescent="0.25">
      <c r="A254" s="68">
        <v>18258</v>
      </c>
      <c r="B254" s="69">
        <f>COUNTIF(Table5[PID],A254)</f>
        <v>1</v>
      </c>
      <c r="C254" s="69" t="str">
        <f>IF(COUNTIF(Table3[[#All],[PID]],A254)&gt;0,"P","B")</f>
        <v>P</v>
      </c>
      <c r="D254" s="59" t="str">
        <f>IF($C254="B",INDEX(Batters[[#All],[POS]],MATCH(Table5[[#This Row],[PID]],Batters[[#All],[PID]],0)),INDEX(Table3[[#All],[POS]],MATCH(Table5[[#This Row],[PID]],Table3[[#All],[PID]],0)))</f>
        <v>SP</v>
      </c>
      <c r="E254" s="52" t="str">
        <f>IF($C254="B",INDEX(Batters[[#All],[First]],MATCH(Table5[[#This Row],[PID]],Batters[[#All],[PID]],0)),INDEX(Table3[[#All],[First]],MATCH(Table5[[#This Row],[PID]],Table3[[#All],[PID]],0)))</f>
        <v>Lynn</v>
      </c>
      <c r="F254" s="55" t="str">
        <f>IF($C254="B",INDEX(Batters[[#All],[Last]],MATCH(A254,Batters[[#All],[PID]],0)),INDEX(Table3[[#All],[Last]],MATCH(A254,Table3[[#All],[PID]],0)))</f>
        <v>Gilbert</v>
      </c>
      <c r="G254" s="56">
        <f>IF($C254="B",INDEX(Batters[[#All],[Age]],MATCH(Table5[[#This Row],[PID]],Batters[[#All],[PID]],0)),INDEX(Table3[[#All],[Age]],MATCH(Table5[[#This Row],[PID]],Table3[[#All],[PID]],0)))</f>
        <v>18</v>
      </c>
      <c r="H254" s="52" t="str">
        <f>IF($C254="B",INDEX(Batters[[#All],[B]],MATCH(Table5[[#This Row],[PID]],Batters[[#All],[PID]],0)),INDEX(Table3[[#All],[B]],MATCH(Table5[[#This Row],[PID]],Table3[[#All],[PID]],0)))</f>
        <v>R</v>
      </c>
      <c r="I254" s="52" t="str">
        <f>IF($C254="B",INDEX(Batters[[#All],[T]],MATCH(Table5[[#This Row],[PID]],Batters[[#All],[PID]],0)),INDEX(Table3[[#All],[T]],MATCH(Table5[[#This Row],[PID]],Table3[[#All],[PID]],0)))</f>
        <v>R</v>
      </c>
      <c r="J254" s="71" t="str">
        <f>IF($C254="B",INDEX(Batters[[#All],[WE]],MATCH(Table5[[#This Row],[PID]],Batters[[#All],[PID]],0)),INDEX(Table3[[#All],[WE]],MATCH(Table5[[#This Row],[PID]],Table3[[#All],[PID]],0)))</f>
        <v>Normal</v>
      </c>
      <c r="K254" s="52" t="str">
        <f>IF($C254="B",INDEX(Batters[[#All],[INT]],MATCH(Table5[[#This Row],[PID]],Batters[[#All],[PID]],0)),INDEX(Table3[[#All],[INT]],MATCH(Table5[[#This Row],[PID]],Table3[[#All],[PID]],0)))</f>
        <v>Normal</v>
      </c>
      <c r="L254" s="60">
        <f>IF($C254="B",INDEX(Batters[[#All],[CON P]],MATCH(Table5[[#This Row],[PID]],Batters[[#All],[PID]],0)),INDEX(Table3[[#All],[STU P]],MATCH(Table5[[#This Row],[PID]],Table3[[#All],[PID]],0)))</f>
        <v>5</v>
      </c>
      <c r="M254" s="72">
        <f>IF($C254="B",INDEX(Batters[[#All],[GAP P]],MATCH(Table5[[#This Row],[PID]],Batters[[#All],[PID]],0)),INDEX(Table3[[#All],[MOV P]],MATCH(Table5[[#This Row],[PID]],Table3[[#All],[PID]],0)))</f>
        <v>5</v>
      </c>
      <c r="N254" s="72">
        <f>IF($C254="B",INDEX(Batters[[#All],[POW P]],MATCH(Table5[[#This Row],[PID]],Batters[[#All],[PID]],0)),INDEX(Table3[[#All],[CON P]],MATCH(Table5[[#This Row],[PID]],Table3[[#All],[PID]],0)))</f>
        <v>4</v>
      </c>
      <c r="O254" s="72" t="str">
        <f>IF($C254="B",INDEX(Batters[[#All],[EYE P]],MATCH(Table5[[#This Row],[PID]],Batters[[#All],[PID]],0)),INDEX(Table3[[#All],[VELO]],MATCH(Table5[[#This Row],[PID]],Table3[[#All],[PID]],0)))</f>
        <v>91-93 Mph</v>
      </c>
      <c r="P254" s="56">
        <f>IF($C254="B",INDEX(Batters[[#All],[K P]],MATCH(Table5[[#This Row],[PID]],Batters[[#All],[PID]],0)),INDEX(Table3[[#All],[STM]],MATCH(Table5[[#This Row],[PID]],Table3[[#All],[PID]],0)))</f>
        <v>4</v>
      </c>
      <c r="Q254" s="61">
        <f>IF($C254="B",INDEX(Batters[[#All],[Tot]],MATCH(Table5[[#This Row],[PID]],Batters[[#All],[PID]],0)),INDEX(Table3[[#All],[Tot]],MATCH(Table5[[#This Row],[PID]],Table3[[#All],[PID]],0)))</f>
        <v>55.892205399200577</v>
      </c>
      <c r="R254" s="52">
        <f>IF($C254="B",INDEX(Batters[[#All],[zScore]],MATCH(Table5[[#This Row],[PID]],Batters[[#All],[PID]],0)),INDEX(Table3[[#All],[zScore]],MATCH(Table5[[#This Row],[PID]],Table3[[#All],[PID]],0)))</f>
        <v>1.3320117322627065</v>
      </c>
      <c r="S254" s="78" t="str">
        <f>IF($C254="B",INDEX(Batters[[#All],[DEM]],MATCH(Table5[[#This Row],[PID]],Batters[[#All],[PID]],0)),INDEX(Table3[[#All],[DEM]],MATCH(Table5[[#This Row],[PID]],Table3[[#All],[PID]],0)))</f>
        <v>$200k</v>
      </c>
      <c r="T254" s="75">
        <f>IF($C254="B",INDEX(Batters[[#All],[Rnk]],MATCH(Table5[[#This Row],[PID]],Batters[[#All],[PID]],0)),INDEX(Table3[[#All],[Rnk]],MATCH(Table5[[#This Row],[PID]],Table3[[#All],[PID]],0)))</f>
        <v>97</v>
      </c>
      <c r="U254" s="68">
        <f>IF($C254="B",VLOOKUP($A254,Bat!$A$4:$BA$1621,47,FALSE),VLOOKUP($A254,Pit!$A$4:$BF$1557,56,FALSE))</f>
        <v>0</v>
      </c>
      <c r="V254" s="50">
        <f>IF($C254="B",VLOOKUP($A254,Bat!$A$4:$BA$1621,48,FALSE),VLOOKUP($A254,Pit!$A$4:$BF$1557,57,FALSE))</f>
        <v>0</v>
      </c>
      <c r="W254" s="69">
        <f>Table5[[#This Row],[posRnk]]+Table5[[#This Row],[zRnk]]+IF($W$3&lt;&gt;Table5[[#This Row],[Type]],50,0)</f>
        <v>299</v>
      </c>
      <c r="X254" s="73">
        <f>RANK(Table5[[#This Row],[zScore]],Table5[[#All],[zScore]])</f>
        <v>152</v>
      </c>
      <c r="Y254" s="69">
        <f>IFERROR(INDEX(DraftResults[[#All],[OVR]],MATCH(Table5[[#This Row],[PID]],DraftResults[[#All],[Player ID]],0)),"")</f>
        <v>250</v>
      </c>
      <c r="Z25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4" s="69">
        <f>IFERROR(INDEX(DraftResults[[#All],[Pick in Round]],MATCH(Table5[[#This Row],[PID]],DraftResults[[#All],[Player ID]],0)),"")</f>
        <v>2</v>
      </c>
      <c r="AB254" s="69" t="str">
        <f>IFERROR(INDEX(DraftResults[[#All],[Team Name]],MATCH(Table5[[#This Row],[PID]],DraftResults[[#All],[Player ID]],0)),"")</f>
        <v>Charleston Statesmen</v>
      </c>
      <c r="AC254" s="69">
        <f>IF(Table5[[#This Row],[Ovr]]="","",IF(Table5[[#This Row],[cmbList]]="","",Table5[[#This Row],[cmbList]]-Table5[[#This Row],[Ovr]]))</f>
        <v>49</v>
      </c>
      <c r="AD254" s="77" t="str">
        <f>IF(ISERROR(VLOOKUP($AB254&amp;"-"&amp;$E254&amp;" "&amp;F254,Bonuses!$B$1:$G$1006,4,FALSE)),"",INT(VLOOKUP($AB254&amp;"-"&amp;$E254&amp;" "&amp;$F254,Bonuses!$B$1:$G$1006,4,FALSE)))</f>
        <v/>
      </c>
      <c r="AE25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 (250) - SP Lynn Gilbert</v>
      </c>
    </row>
    <row r="255" spans="1:31" s="50" customFormat="1" x14ac:dyDescent="0.25">
      <c r="A255" s="50">
        <v>20472</v>
      </c>
      <c r="B255" s="50">
        <f>COUNTIF(Table5[PID],A255)</f>
        <v>1</v>
      </c>
      <c r="C255" s="50" t="str">
        <f>IF(COUNTIF(Table3[[#All],[PID]],A255)&gt;0,"P","B")</f>
        <v>B</v>
      </c>
      <c r="D255" s="59" t="str">
        <f>IF($C255="B",INDEX(Batters[[#All],[POS]],MATCH(Table5[[#This Row],[PID]],Batters[[#All],[PID]],0)),INDEX(Table3[[#All],[POS]],MATCH(Table5[[#This Row],[PID]],Table3[[#All],[PID]],0)))</f>
        <v>3B</v>
      </c>
      <c r="E255" s="52" t="str">
        <f>IF($C255="B",INDEX(Batters[[#All],[First]],MATCH(Table5[[#This Row],[PID]],Batters[[#All],[PID]],0)),INDEX(Table3[[#All],[First]],MATCH(Table5[[#This Row],[PID]],Table3[[#All],[PID]],0)))</f>
        <v>Bujana</v>
      </c>
      <c r="F255" s="50" t="str">
        <f>IF($C255="B",INDEX(Batters[[#All],[Last]],MATCH(A255,Batters[[#All],[PID]],0)),INDEX(Table3[[#All],[Last]],MATCH(A255,Table3[[#All],[PID]],0)))</f>
        <v>Sukarno</v>
      </c>
      <c r="G255" s="56">
        <f>IF($C255="B",INDEX(Batters[[#All],[Age]],MATCH(Table5[[#This Row],[PID]],Batters[[#All],[PID]],0)),INDEX(Table3[[#All],[Age]],MATCH(Table5[[#This Row],[PID]],Table3[[#All],[PID]],0)))</f>
        <v>18</v>
      </c>
      <c r="H255" s="52" t="str">
        <f>IF($C255="B",INDEX(Batters[[#All],[B]],MATCH(Table5[[#This Row],[PID]],Batters[[#All],[PID]],0)),INDEX(Table3[[#All],[B]],MATCH(Table5[[#This Row],[PID]],Table3[[#All],[PID]],0)))</f>
        <v>R</v>
      </c>
      <c r="I255" s="52" t="str">
        <f>IF($C255="B",INDEX(Batters[[#All],[T]],MATCH(Table5[[#This Row],[PID]],Batters[[#All],[PID]],0)),INDEX(Table3[[#All],[T]],MATCH(Table5[[#This Row],[PID]],Table3[[#All],[PID]],0)))</f>
        <v>R</v>
      </c>
      <c r="J255" s="52" t="str">
        <f>IF($C255="B",INDEX(Batters[[#All],[WE]],MATCH(Table5[[#This Row],[PID]],Batters[[#All],[PID]],0)),INDEX(Table3[[#All],[WE]],MATCH(Table5[[#This Row],[PID]],Table3[[#All],[PID]],0)))</f>
        <v>Normal</v>
      </c>
      <c r="K255" s="52" t="str">
        <f>IF($C255="B",INDEX(Batters[[#All],[INT]],MATCH(Table5[[#This Row],[PID]],Batters[[#All],[PID]],0)),INDEX(Table3[[#All],[INT]],MATCH(Table5[[#This Row],[PID]],Table3[[#All],[PID]],0)))</f>
        <v>Low</v>
      </c>
      <c r="L255" s="60">
        <f>IF($C255="B",INDEX(Batters[[#All],[CON P]],MATCH(Table5[[#This Row],[PID]],Batters[[#All],[PID]],0)),INDEX(Table3[[#All],[STU P]],MATCH(Table5[[#This Row],[PID]],Table3[[#All],[PID]],0)))</f>
        <v>4</v>
      </c>
      <c r="M255" s="56">
        <f>IF($C255="B",INDEX(Batters[[#All],[GAP P]],MATCH(Table5[[#This Row],[PID]],Batters[[#All],[PID]],0)),INDEX(Table3[[#All],[MOV P]],MATCH(Table5[[#This Row],[PID]],Table3[[#All],[PID]],0)))</f>
        <v>5</v>
      </c>
      <c r="N255" s="56">
        <f>IF($C255="B",INDEX(Batters[[#All],[POW P]],MATCH(Table5[[#This Row],[PID]],Batters[[#All],[PID]],0)),INDEX(Table3[[#All],[CON P]],MATCH(Table5[[#This Row],[PID]],Table3[[#All],[PID]],0)))</f>
        <v>5</v>
      </c>
      <c r="O255" s="56">
        <f>IF($C255="B",INDEX(Batters[[#All],[EYE P]],MATCH(Table5[[#This Row],[PID]],Batters[[#All],[PID]],0)),INDEX(Table3[[#All],[VELO]],MATCH(Table5[[#This Row],[PID]],Table3[[#All],[PID]],0)))</f>
        <v>6</v>
      </c>
      <c r="P255" s="56">
        <f>IF($C255="B",INDEX(Batters[[#All],[K P]],MATCH(Table5[[#This Row],[PID]],Batters[[#All],[PID]],0)),INDEX(Table3[[#All],[STM]],MATCH(Table5[[#This Row],[PID]],Table3[[#All],[PID]],0)))</f>
        <v>4</v>
      </c>
      <c r="Q255" s="61">
        <f>IF($C255="B",INDEX(Batters[[#All],[Tot]],MATCH(Table5[[#This Row],[PID]],Batters[[#All],[PID]],0)),INDEX(Table3[[#All],[Tot]],MATCH(Table5[[#This Row],[PID]],Table3[[#All],[PID]],0)))</f>
        <v>49.897208923948014</v>
      </c>
      <c r="R255" s="52">
        <f>IF($C255="B",INDEX(Batters[[#All],[zScore]],MATCH(Table5[[#This Row],[PID]],Batters[[#All],[PID]],0)),INDEX(Table3[[#All],[zScore]],MATCH(Table5[[#This Row],[PID]],Table3[[#All],[PID]],0)))</f>
        <v>1.2781991517561806</v>
      </c>
      <c r="S255" s="58" t="str">
        <f>IF($C255="B",INDEX(Batters[[#All],[DEM]],MATCH(Table5[[#This Row],[PID]],Batters[[#All],[PID]],0)),INDEX(Table3[[#All],[DEM]],MATCH(Table5[[#This Row],[PID]],Table3[[#All],[PID]],0)))</f>
        <v>$38k</v>
      </c>
      <c r="T255" s="62">
        <f>IF($C255="B",INDEX(Batters[[#All],[Rnk]],MATCH(Table5[[#This Row],[PID]],Batters[[#All],[PID]],0)),INDEX(Table3[[#All],[Rnk]],MATCH(Table5[[#This Row],[PID]],Table3[[#All],[PID]],0)))</f>
        <v>61</v>
      </c>
      <c r="U255" s="68">
        <f>IF($C255="B",VLOOKUP($A255,Bat!$A$4:$BA$1621,47,FALSE),VLOOKUP($A255,Pit!$A$4:$BF$1557,56,FALSE))</f>
        <v>0</v>
      </c>
      <c r="V255" s="50">
        <f>IF($C255="B",VLOOKUP($A255,Bat!$A$4:$BA$1621,48,FALSE),VLOOKUP($A255,Pit!$A$4:$BF$1557,57,FALSE))</f>
        <v>0</v>
      </c>
      <c r="W255" s="50">
        <f>Table5[[#This Row],[posRnk]]+Table5[[#This Row],[zRnk]]+IF($W$3&lt;&gt;Table5[[#This Row],[Type]],50,0)</f>
        <v>275</v>
      </c>
      <c r="X255" s="51">
        <f>RANK(Table5[[#This Row],[zScore]],Table5[[#All],[zScore]])</f>
        <v>164</v>
      </c>
      <c r="Y255" s="50">
        <f>IFERROR(INDEX(DraftResults[[#All],[OVR]],MATCH(Table5[[#This Row],[PID]],DraftResults[[#All],[Player ID]],0)),"")</f>
        <v>251</v>
      </c>
      <c r="Z2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5" s="50">
        <f>IFERROR(INDEX(DraftResults[[#All],[Pick in Round]],MATCH(Table5[[#This Row],[PID]],DraftResults[[#All],[Player ID]],0)),"")</f>
        <v>3</v>
      </c>
      <c r="AB255" s="50" t="str">
        <f>IFERROR(INDEX(DraftResults[[#All],[Team Name]],MATCH(Table5[[#This Row],[PID]],DraftResults[[#All],[Player ID]],0)),"")</f>
        <v>New Orleans Trendsetters</v>
      </c>
      <c r="AC255" s="50">
        <f>IF(Table5[[#This Row],[Ovr]]="","",IF(Table5[[#This Row],[cmbList]]="","",Table5[[#This Row],[cmbList]]-Table5[[#This Row],[Ovr]]))</f>
        <v>24</v>
      </c>
      <c r="AD255" s="54" t="str">
        <f>IF(ISERROR(VLOOKUP($AB255&amp;"-"&amp;$E255&amp;" "&amp;F255,Bonuses!$B$1:$G$1006,4,FALSE)),"",INT(VLOOKUP($AB255&amp;"-"&amp;$E255&amp;" "&amp;$F255,Bonuses!$B$1:$G$1006,4,FALSE)))</f>
        <v/>
      </c>
      <c r="AE2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9.3 (251) - 3B Bujana Sukarno</v>
      </c>
    </row>
    <row r="256" spans="1:31" s="50" customFormat="1" x14ac:dyDescent="0.25">
      <c r="A256" s="50">
        <v>18452</v>
      </c>
      <c r="B256" s="50">
        <f>COUNTIF(Table5[PID],A256)</f>
        <v>1</v>
      </c>
      <c r="C256" s="50" t="str">
        <f>IF(COUNTIF(Table3[[#All],[PID]],A256)&gt;0,"P","B")</f>
        <v>P</v>
      </c>
      <c r="D256" s="59" t="str">
        <f>IF($C256="B",INDEX(Batters[[#All],[POS]],MATCH(Table5[[#This Row],[PID]],Batters[[#All],[PID]],0)),INDEX(Table3[[#All],[POS]],MATCH(Table5[[#This Row],[PID]],Table3[[#All],[PID]],0)))</f>
        <v>CL</v>
      </c>
      <c r="E256" s="52" t="str">
        <f>IF($C256="B",INDEX(Batters[[#All],[First]],MATCH(Table5[[#This Row],[PID]],Batters[[#All],[PID]],0)),INDEX(Table3[[#All],[First]],MATCH(Table5[[#This Row],[PID]],Table3[[#All],[PID]],0)))</f>
        <v>Yukinaga</v>
      </c>
      <c r="F256" s="50" t="str">
        <f>IF($C256="B",INDEX(Batters[[#All],[Last]],MATCH(A256,Batters[[#All],[PID]],0)),INDEX(Table3[[#All],[Last]],MATCH(A256,Table3[[#All],[PID]],0)))</f>
        <v>Miyazaki</v>
      </c>
      <c r="G256" s="56">
        <f>IF($C256="B",INDEX(Batters[[#All],[Age]],MATCH(Table5[[#This Row],[PID]],Batters[[#All],[PID]],0)),INDEX(Table3[[#All],[Age]],MATCH(Table5[[#This Row],[PID]],Table3[[#All],[PID]],0)))</f>
        <v>18</v>
      </c>
      <c r="H256" s="52" t="str">
        <f>IF($C256="B",INDEX(Batters[[#All],[B]],MATCH(Table5[[#This Row],[PID]],Batters[[#All],[PID]],0)),INDEX(Table3[[#All],[B]],MATCH(Table5[[#This Row],[PID]],Table3[[#All],[PID]],0)))</f>
        <v>L</v>
      </c>
      <c r="I256" s="52" t="str">
        <f>IF($C256="B",INDEX(Batters[[#All],[T]],MATCH(Table5[[#This Row],[PID]],Batters[[#All],[PID]],0)),INDEX(Table3[[#All],[T]],MATCH(Table5[[#This Row],[PID]],Table3[[#All],[PID]],0)))</f>
        <v>R</v>
      </c>
      <c r="J256" s="52" t="str">
        <f>IF($C256="B",INDEX(Batters[[#All],[WE]],MATCH(Table5[[#This Row],[PID]],Batters[[#All],[PID]],0)),INDEX(Table3[[#All],[WE]],MATCH(Table5[[#This Row],[PID]],Table3[[#All],[PID]],0)))</f>
        <v>High</v>
      </c>
      <c r="K256" s="52" t="str">
        <f>IF($C256="B",INDEX(Batters[[#All],[INT]],MATCH(Table5[[#This Row],[PID]],Batters[[#All],[PID]],0)),INDEX(Table3[[#All],[INT]],MATCH(Table5[[#This Row],[PID]],Table3[[#All],[PID]],0)))</f>
        <v>Normal</v>
      </c>
      <c r="L256" s="60">
        <f>IF($C256="B",INDEX(Batters[[#All],[CON P]],MATCH(Table5[[#This Row],[PID]],Batters[[#All],[PID]],0)),INDEX(Table3[[#All],[STU P]],MATCH(Table5[[#This Row],[PID]],Table3[[#All],[PID]],0)))</f>
        <v>7</v>
      </c>
      <c r="M256" s="56">
        <f>IF($C256="B",INDEX(Batters[[#All],[GAP P]],MATCH(Table5[[#This Row],[PID]],Batters[[#All],[PID]],0)),INDEX(Table3[[#All],[MOV P]],MATCH(Table5[[#This Row],[PID]],Table3[[#All],[PID]],0)))</f>
        <v>4</v>
      </c>
      <c r="N256" s="56">
        <f>IF($C256="B",INDEX(Batters[[#All],[POW P]],MATCH(Table5[[#This Row],[PID]],Batters[[#All],[PID]],0)),INDEX(Table3[[#All],[CON P]],MATCH(Table5[[#This Row],[PID]],Table3[[#All],[PID]],0)))</f>
        <v>2</v>
      </c>
      <c r="O256" s="56" t="str">
        <f>IF($C256="B",INDEX(Batters[[#All],[EYE P]],MATCH(Table5[[#This Row],[PID]],Batters[[#All],[PID]],0)),INDEX(Table3[[#All],[VELO]],MATCH(Table5[[#This Row],[PID]],Table3[[#All],[PID]],0)))</f>
        <v>96-98 Mph</v>
      </c>
      <c r="P256" s="56">
        <f>IF($C256="B",INDEX(Batters[[#All],[K P]],MATCH(Table5[[#This Row],[PID]],Batters[[#All],[PID]],0)),INDEX(Table3[[#All],[STM]],MATCH(Table5[[#This Row],[PID]],Table3[[#All],[PID]],0)))</f>
        <v>7</v>
      </c>
      <c r="Q256" s="61">
        <f>IF($C256="B",INDEX(Batters[[#All],[Tot]],MATCH(Table5[[#This Row],[PID]],Batters[[#All],[PID]],0)),INDEX(Table3[[#All],[Tot]],MATCH(Table5[[#This Row],[PID]],Table3[[#All],[PID]],0)))</f>
        <v>50.652642183462511</v>
      </c>
      <c r="R256" s="52">
        <f>IF($C256="B",INDEX(Batters[[#All],[zScore]],MATCH(Table5[[#This Row],[PID]],Batters[[#All],[PID]],0)),INDEX(Table3[[#All],[zScore]],MATCH(Table5[[#This Row],[PID]],Table3[[#All],[PID]],0)))</f>
        <v>0.98343159814253178</v>
      </c>
      <c r="S256" s="58" t="str">
        <f>IF($C256="B",INDEX(Batters[[#All],[DEM]],MATCH(Table5[[#This Row],[PID]],Batters[[#All],[PID]],0)),INDEX(Table3[[#All],[DEM]],MATCH(Table5[[#This Row],[PID]],Table3[[#All],[PID]],0)))</f>
        <v>$95k</v>
      </c>
      <c r="T256" s="62">
        <f>IF($C256="B",INDEX(Batters[[#All],[Rnk]],MATCH(Table5[[#This Row],[PID]],Batters[[#All],[PID]],0)),INDEX(Table3[[#All],[Rnk]],MATCH(Table5[[#This Row],[PID]],Table3[[#All],[PID]],0)))</f>
        <v>141</v>
      </c>
      <c r="U256" s="68">
        <f>IF($C256="B",VLOOKUP($A256,Bat!$A$4:$BA$1621,47,FALSE),VLOOKUP($A256,Pit!$A$4:$BF$1557,56,FALSE))</f>
        <v>0</v>
      </c>
      <c r="V256" s="50">
        <f>IF($C256="B",VLOOKUP($A256,Bat!$A$4:$BA$1621,48,FALSE),VLOOKUP($A256,Pit!$A$4:$BF$1557,57,FALSE))</f>
        <v>0</v>
      </c>
      <c r="W256" s="50">
        <f>Table5[[#This Row],[posRnk]]+Table5[[#This Row],[zRnk]]+IF($W$3&lt;&gt;Table5[[#This Row],[Type]],50,0)</f>
        <v>423</v>
      </c>
      <c r="X256" s="51">
        <f>RANK(Table5[[#This Row],[zScore]],Table5[[#All],[zScore]])</f>
        <v>232</v>
      </c>
      <c r="Y256" s="50">
        <f>IFERROR(INDEX(DraftResults[[#All],[OVR]],MATCH(Table5[[#This Row],[PID]],DraftResults[[#All],[Player ID]],0)),"")</f>
        <v>252</v>
      </c>
      <c r="Z2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6" s="50">
        <f>IFERROR(INDEX(DraftResults[[#All],[Pick in Round]],MATCH(Table5[[#This Row],[PID]],DraftResults[[#All],[Player ID]],0)),"")</f>
        <v>4</v>
      </c>
      <c r="AB256" s="50" t="str">
        <f>IFERROR(INDEX(DraftResults[[#All],[Team Name]],MATCH(Table5[[#This Row],[PID]],DraftResults[[#All],[Player ID]],0)),"")</f>
        <v>Tempe Knights</v>
      </c>
      <c r="AC256" s="50">
        <f>IF(Table5[[#This Row],[Ovr]]="","",IF(Table5[[#This Row],[cmbList]]="","",Table5[[#This Row],[cmbList]]-Table5[[#This Row],[Ovr]]))</f>
        <v>171</v>
      </c>
      <c r="AD256" s="54" t="str">
        <f>IF(ISERROR(VLOOKUP($AB256&amp;"-"&amp;$E256&amp;" "&amp;F256,Bonuses!$B$1:$G$1006,4,FALSE)),"",INT(VLOOKUP($AB256&amp;"-"&amp;$E256&amp;" "&amp;$F256,Bonuses!$B$1:$G$1006,4,FALSE)))</f>
        <v/>
      </c>
      <c r="AE2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9.4 (252) - CL Yukinaga Miyazaki</v>
      </c>
    </row>
    <row r="257" spans="1:31" s="50" customFormat="1" x14ac:dyDescent="0.25">
      <c r="A257" s="50">
        <v>20965</v>
      </c>
      <c r="B257" s="55">
        <f>COUNTIF(Table5[PID],A257)</f>
        <v>1</v>
      </c>
      <c r="C257" s="55" t="str">
        <f>IF(COUNTIF(Table3[[#All],[PID]],A257)&gt;0,"P","B")</f>
        <v>B</v>
      </c>
      <c r="D257" s="59" t="str">
        <f>IF($C257="B",INDEX(Batters[[#All],[POS]],MATCH(Table5[[#This Row],[PID]],Batters[[#All],[PID]],0)),INDEX(Table3[[#All],[POS]],MATCH(Table5[[#This Row],[PID]],Table3[[#All],[PID]],0)))</f>
        <v>1B</v>
      </c>
      <c r="E257" s="52" t="str">
        <f>IF($C257="B",INDEX(Batters[[#All],[First]],MATCH(Table5[[#This Row],[PID]],Batters[[#All],[PID]],0)),INDEX(Table3[[#All],[First]],MATCH(Table5[[#This Row],[PID]],Table3[[#All],[PID]],0)))</f>
        <v>Juan</v>
      </c>
      <c r="F257" s="50" t="str">
        <f>IF($C257="B",INDEX(Batters[[#All],[Last]],MATCH(A257,Batters[[#All],[PID]],0)),INDEX(Table3[[#All],[Last]],MATCH(A257,Table3[[#All],[PID]],0)))</f>
        <v>Long</v>
      </c>
      <c r="G257" s="56">
        <f>IF($C257="B",INDEX(Batters[[#All],[Age]],MATCH(Table5[[#This Row],[PID]],Batters[[#All],[PID]],0)),INDEX(Table3[[#All],[Age]],MATCH(Table5[[#This Row],[PID]],Table3[[#All],[PID]],0)))</f>
        <v>18</v>
      </c>
      <c r="H257" s="52" t="str">
        <f>IF($C257="B",INDEX(Batters[[#All],[B]],MATCH(Table5[[#This Row],[PID]],Batters[[#All],[PID]],0)),INDEX(Table3[[#All],[B]],MATCH(Table5[[#This Row],[PID]],Table3[[#All],[PID]],0)))</f>
        <v>R</v>
      </c>
      <c r="I257" s="52" t="str">
        <f>IF($C257="B",INDEX(Batters[[#All],[T]],MATCH(Table5[[#This Row],[PID]],Batters[[#All],[PID]],0)),INDEX(Table3[[#All],[T]],MATCH(Table5[[#This Row],[PID]],Table3[[#All],[PID]],0)))</f>
        <v>R</v>
      </c>
      <c r="J257" s="52" t="str">
        <f>IF($C257="B",INDEX(Batters[[#All],[WE]],MATCH(Table5[[#This Row],[PID]],Batters[[#All],[PID]],0)),INDEX(Table3[[#All],[WE]],MATCH(Table5[[#This Row],[PID]],Table3[[#All],[PID]],0)))</f>
        <v>Normal</v>
      </c>
      <c r="K257" s="52" t="str">
        <f>IF($C257="B",INDEX(Batters[[#All],[INT]],MATCH(Table5[[#This Row],[PID]],Batters[[#All],[PID]],0)),INDEX(Table3[[#All],[INT]],MATCH(Table5[[#This Row],[PID]],Table3[[#All],[PID]],0)))</f>
        <v>Normal</v>
      </c>
      <c r="L257" s="60">
        <f>IF($C257="B",INDEX(Batters[[#All],[CON P]],MATCH(Table5[[#This Row],[PID]],Batters[[#All],[PID]],0)),INDEX(Table3[[#All],[STU P]],MATCH(Table5[[#This Row],[PID]],Table3[[#All],[PID]],0)))</f>
        <v>3</v>
      </c>
      <c r="M257" s="56">
        <f>IF($C257="B",INDEX(Batters[[#All],[GAP P]],MATCH(Table5[[#This Row],[PID]],Batters[[#All],[PID]],0)),INDEX(Table3[[#All],[MOV P]],MATCH(Table5[[#This Row],[PID]],Table3[[#All],[PID]],0)))</f>
        <v>6</v>
      </c>
      <c r="N257" s="56">
        <f>IF($C257="B",INDEX(Batters[[#All],[POW P]],MATCH(Table5[[#This Row],[PID]],Batters[[#All],[PID]],0)),INDEX(Table3[[#All],[CON P]],MATCH(Table5[[#This Row],[PID]],Table3[[#All],[PID]],0)))</f>
        <v>6</v>
      </c>
      <c r="O257" s="56">
        <f>IF($C257="B",INDEX(Batters[[#All],[EYE P]],MATCH(Table5[[#This Row],[PID]],Batters[[#All],[PID]],0)),INDEX(Table3[[#All],[VELO]],MATCH(Table5[[#This Row],[PID]],Table3[[#All],[PID]],0)))</f>
        <v>5</v>
      </c>
      <c r="P257" s="56">
        <f>IF($C257="B",INDEX(Batters[[#All],[K P]],MATCH(Table5[[#This Row],[PID]],Batters[[#All],[PID]],0)),INDEX(Table3[[#All],[STM]],MATCH(Table5[[#This Row],[PID]],Table3[[#All],[PID]],0)))</f>
        <v>3</v>
      </c>
      <c r="Q257" s="61">
        <f>IF($C257="B",INDEX(Batters[[#All],[Tot]],MATCH(Table5[[#This Row],[PID]],Batters[[#All],[PID]],0)),INDEX(Table3[[#All],[Tot]],MATCH(Table5[[#This Row],[PID]],Table3[[#All],[PID]],0)))</f>
        <v>45.715207752344369</v>
      </c>
      <c r="R257" s="52">
        <f>IF($C257="B",INDEX(Batters[[#All],[zScore]],MATCH(Table5[[#This Row],[PID]],Batters[[#All],[PID]],0)),INDEX(Table3[[#All],[zScore]],MATCH(Table5[[#This Row],[PID]],Table3[[#All],[PID]],0)))</f>
        <v>0.35102122430718163</v>
      </c>
      <c r="S257" s="58" t="str">
        <f>IF($C257="B",INDEX(Batters[[#All],[DEM]],MATCH(Table5[[#This Row],[PID]],Batters[[#All],[PID]],0)),INDEX(Table3[[#All],[DEM]],MATCH(Table5[[#This Row],[PID]],Table3[[#All],[PID]],0)))</f>
        <v>$95k</v>
      </c>
      <c r="T257" s="62">
        <f>IF($C257="B",INDEX(Batters[[#All],[Rnk]],MATCH(Table5[[#This Row],[PID]],Batters[[#All],[PID]],0)),INDEX(Table3[[#All],[Rnk]],MATCH(Table5[[#This Row],[PID]],Table3[[#All],[PID]],0)))</f>
        <v>167</v>
      </c>
      <c r="U257" s="68">
        <f>IF($C257="B",VLOOKUP($A257,Bat!$A$4:$BA$1621,47,FALSE),VLOOKUP($A257,Pit!$A$4:$BF$1557,56,FALSE))</f>
        <v>0</v>
      </c>
      <c r="V257" s="50">
        <f>IF($C257="B",VLOOKUP($A257,Bat!$A$4:$BA$1621,48,FALSE),VLOOKUP($A257,Pit!$A$4:$BF$1557,57,FALSE))</f>
        <v>0</v>
      </c>
      <c r="W257" s="50">
        <f>Table5[[#This Row],[posRnk]]+Table5[[#This Row],[zRnk]]+IF($W$3&lt;&gt;Table5[[#This Row],[Type]],50,0)</f>
        <v>616</v>
      </c>
      <c r="X257" s="51">
        <f>RANK(Table5[[#This Row],[zScore]],Table5[[#All],[zScore]])</f>
        <v>399</v>
      </c>
      <c r="Y257" s="50">
        <f>IFERROR(INDEX(DraftResults[[#All],[OVR]],MATCH(Table5[[#This Row],[PID]],DraftResults[[#All],[Player ID]],0)),"")</f>
        <v>253</v>
      </c>
      <c r="Z2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7" s="50">
        <f>IFERROR(INDEX(DraftResults[[#All],[Pick in Round]],MATCH(Table5[[#This Row],[PID]],DraftResults[[#All],[Player ID]],0)),"")</f>
        <v>5</v>
      </c>
      <c r="AB257" s="50" t="str">
        <f>IFERROR(INDEX(DraftResults[[#All],[Team Name]],MATCH(Table5[[#This Row],[PID]],DraftResults[[#All],[Player ID]],0)),"")</f>
        <v>Okinawa Shisa</v>
      </c>
      <c r="AC257" s="50">
        <f>IF(Table5[[#This Row],[Ovr]]="","",IF(Table5[[#This Row],[cmbList]]="","",Table5[[#This Row],[cmbList]]-Table5[[#This Row],[Ovr]]))</f>
        <v>363</v>
      </c>
      <c r="AD257" s="54" t="str">
        <f>IF(ISERROR(VLOOKUP($AB257&amp;"-"&amp;$E257&amp;" "&amp;F257,Bonuses!$B$1:$G$1006,4,FALSE)),"",INT(VLOOKUP($AB257&amp;"-"&amp;$E257&amp;" "&amp;$F257,Bonuses!$B$1:$G$1006,4,FALSE)))</f>
        <v/>
      </c>
      <c r="AE2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9.5 (253) - 1B Juan Long</v>
      </c>
    </row>
    <row r="258" spans="1:31" s="50" customFormat="1" x14ac:dyDescent="0.25">
      <c r="A258" s="50">
        <v>18202</v>
      </c>
      <c r="B258" s="50">
        <f>COUNTIF(Table5[PID],A258)</f>
        <v>1</v>
      </c>
      <c r="C258" s="50" t="str">
        <f>IF(COUNTIF(Table3[[#All],[PID]],A258)&gt;0,"P","B")</f>
        <v>B</v>
      </c>
      <c r="D258" s="59" t="str">
        <f>IF($C258="B",INDEX(Batters[[#All],[POS]],MATCH(Table5[[#This Row],[PID]],Batters[[#All],[PID]],0)),INDEX(Table3[[#All],[POS]],MATCH(Table5[[#This Row],[PID]],Table3[[#All],[PID]],0)))</f>
        <v>LF</v>
      </c>
      <c r="E258" s="52" t="str">
        <f>IF($C258="B",INDEX(Batters[[#All],[First]],MATCH(Table5[[#This Row],[PID]],Batters[[#All],[PID]],0)),INDEX(Table3[[#All],[First]],MATCH(Table5[[#This Row],[PID]],Table3[[#All],[PID]],0)))</f>
        <v>Devin</v>
      </c>
      <c r="F258" s="50" t="str">
        <f>IF($C258="B",INDEX(Batters[[#All],[Last]],MATCH(A258,Batters[[#All],[PID]],0)),INDEX(Table3[[#All],[Last]],MATCH(A258,Table3[[#All],[PID]],0)))</f>
        <v>Baldwin</v>
      </c>
      <c r="G258" s="56">
        <f>IF($C258="B",INDEX(Batters[[#All],[Age]],MATCH(Table5[[#This Row],[PID]],Batters[[#All],[PID]],0)),INDEX(Table3[[#All],[Age]],MATCH(Table5[[#This Row],[PID]],Table3[[#All],[PID]],0)))</f>
        <v>18</v>
      </c>
      <c r="H258" s="52" t="str">
        <f>IF($C258="B",INDEX(Batters[[#All],[B]],MATCH(Table5[[#This Row],[PID]],Batters[[#All],[PID]],0)),INDEX(Table3[[#All],[B]],MATCH(Table5[[#This Row],[PID]],Table3[[#All],[PID]],0)))</f>
        <v>R</v>
      </c>
      <c r="I258" s="52" t="str">
        <f>IF($C258="B",INDEX(Batters[[#All],[T]],MATCH(Table5[[#This Row],[PID]],Batters[[#All],[PID]],0)),INDEX(Table3[[#All],[T]],MATCH(Table5[[#This Row],[PID]],Table3[[#All],[PID]],0)))</f>
        <v>R</v>
      </c>
      <c r="J258" s="52" t="str">
        <f>IF($C258="B",INDEX(Batters[[#All],[WE]],MATCH(Table5[[#This Row],[PID]],Batters[[#All],[PID]],0)),INDEX(Table3[[#All],[WE]],MATCH(Table5[[#This Row],[PID]],Table3[[#All],[PID]],0)))</f>
        <v>Normal</v>
      </c>
      <c r="K258" s="52" t="str">
        <f>IF($C258="B",INDEX(Batters[[#All],[INT]],MATCH(Table5[[#This Row],[PID]],Batters[[#All],[PID]],0)),INDEX(Table3[[#All],[INT]],MATCH(Table5[[#This Row],[PID]],Table3[[#All],[PID]],0)))</f>
        <v>Normal</v>
      </c>
      <c r="L258" s="60">
        <f>IF($C258="B",INDEX(Batters[[#All],[CON P]],MATCH(Table5[[#This Row],[PID]],Batters[[#All],[PID]],0)),INDEX(Table3[[#All],[STU P]],MATCH(Table5[[#This Row],[PID]],Table3[[#All],[PID]],0)))</f>
        <v>5</v>
      </c>
      <c r="M258" s="56">
        <f>IF($C258="B",INDEX(Batters[[#All],[GAP P]],MATCH(Table5[[#This Row],[PID]],Batters[[#All],[PID]],0)),INDEX(Table3[[#All],[MOV P]],MATCH(Table5[[#This Row],[PID]],Table3[[#All],[PID]],0)))</f>
        <v>5</v>
      </c>
      <c r="N258" s="56">
        <f>IF($C258="B",INDEX(Batters[[#All],[POW P]],MATCH(Table5[[#This Row],[PID]],Batters[[#All],[PID]],0)),INDEX(Table3[[#All],[CON P]],MATCH(Table5[[#This Row],[PID]],Table3[[#All],[PID]],0)))</f>
        <v>5</v>
      </c>
      <c r="O258" s="56">
        <f>IF($C258="B",INDEX(Batters[[#All],[EYE P]],MATCH(Table5[[#This Row],[PID]],Batters[[#All],[PID]],0)),INDEX(Table3[[#All],[VELO]],MATCH(Table5[[#This Row],[PID]],Table3[[#All],[PID]],0)))</f>
        <v>4</v>
      </c>
      <c r="P258" s="56">
        <f>IF($C258="B",INDEX(Batters[[#All],[K P]],MATCH(Table5[[#This Row],[PID]],Batters[[#All],[PID]],0)),INDEX(Table3[[#All],[STM]],MATCH(Table5[[#This Row],[PID]],Table3[[#All],[PID]],0)))</f>
        <v>5</v>
      </c>
      <c r="Q258" s="61">
        <f>IF($C258="B",INDEX(Batters[[#All],[Tot]],MATCH(Table5[[#This Row],[PID]],Batters[[#All],[PID]],0)),INDEX(Table3[[#All],[Tot]],MATCH(Table5[[#This Row],[PID]],Table3[[#All],[PID]],0)))</f>
        <v>51.858585800627118</v>
      </c>
      <c r="R258" s="52">
        <f>IF($C258="B",INDEX(Batters[[#All],[zScore]],MATCH(Table5[[#This Row],[PID]],Batters[[#All],[PID]],0)),INDEX(Table3[[#All],[zScore]],MATCH(Table5[[#This Row],[PID]],Table3[[#All],[PID]],0)))</f>
        <v>1.713049662993215</v>
      </c>
      <c r="S258" s="58" t="str">
        <f>IF($C258="B",INDEX(Batters[[#All],[DEM]],MATCH(Table5[[#This Row],[PID]],Batters[[#All],[PID]],0)),INDEX(Table3[[#All],[DEM]],MATCH(Table5[[#This Row],[PID]],Table3[[#All],[PID]],0)))</f>
        <v>-</v>
      </c>
      <c r="T258" s="62">
        <f>IF($C258="B",INDEX(Batters[[#All],[Rnk]],MATCH(Table5[[#This Row],[PID]],Batters[[#All],[PID]],0)),INDEX(Table3[[#All],[Rnk]],MATCH(Table5[[#This Row],[PID]],Table3[[#All],[PID]],0)))</f>
        <v>31</v>
      </c>
      <c r="U258" s="68">
        <f>IF($C258="B",VLOOKUP($A258,Bat!$A$4:$BA$1621,47,FALSE),VLOOKUP($A258,Pit!$A$4:$BF$1557,56,FALSE))</f>
        <v>0</v>
      </c>
      <c r="V258" s="50">
        <f>IF($C258="B",VLOOKUP($A258,Bat!$A$4:$BA$1621,48,FALSE),VLOOKUP($A258,Pit!$A$4:$BF$1557,57,FALSE))</f>
        <v>0</v>
      </c>
      <c r="W258" s="50">
        <f>Table5[[#This Row],[posRnk]]+Table5[[#This Row],[zRnk]]+IF($W$3&lt;&gt;Table5[[#This Row],[Type]],50,0)</f>
        <v>164</v>
      </c>
      <c r="X258" s="51">
        <f>RANK(Table5[[#This Row],[zScore]],Table5[[#All],[zScore]])</f>
        <v>83</v>
      </c>
      <c r="Y258" s="50">
        <f>IFERROR(INDEX(DraftResults[[#All],[OVR]],MATCH(Table5[[#This Row],[PID]],DraftResults[[#All],[Player ID]],0)),"")</f>
        <v>254</v>
      </c>
      <c r="Z2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8" s="50">
        <f>IFERROR(INDEX(DraftResults[[#All],[Pick in Round]],MATCH(Table5[[#This Row],[PID]],DraftResults[[#All],[Player ID]],0)),"")</f>
        <v>6</v>
      </c>
      <c r="AB258" s="50" t="str">
        <f>IFERROR(INDEX(DraftResults[[#All],[Team Name]],MATCH(Table5[[#This Row],[PID]],DraftResults[[#All],[Player ID]],0)),"")</f>
        <v>Manchester Maulers</v>
      </c>
      <c r="AC258" s="50">
        <f>IF(Table5[[#This Row],[Ovr]]="","",IF(Table5[[#This Row],[cmbList]]="","",Table5[[#This Row],[cmbList]]-Table5[[#This Row],[Ovr]]))</f>
        <v>-90</v>
      </c>
      <c r="AD258" s="54" t="str">
        <f>IF(ISERROR(VLOOKUP($AB258&amp;"-"&amp;$E258&amp;" "&amp;F258,Bonuses!$B$1:$G$1006,4,FALSE)),"",INT(VLOOKUP($AB258&amp;"-"&amp;$E258&amp;" "&amp;$F258,Bonuses!$B$1:$G$1006,4,FALSE)))</f>
        <v/>
      </c>
      <c r="AE2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9.6 (254) - LF Devin Baldwin</v>
      </c>
    </row>
    <row r="259" spans="1:31" s="50" customFormat="1" x14ac:dyDescent="0.25">
      <c r="A259" s="68">
        <v>20295</v>
      </c>
      <c r="B259" s="69">
        <f>COUNTIF(Table5[PID],A259)</f>
        <v>1</v>
      </c>
      <c r="C259" s="69" t="str">
        <f>IF(COUNTIF(Table3[[#All],[PID]],A259)&gt;0,"P","B")</f>
        <v>P</v>
      </c>
      <c r="D259" s="59" t="str">
        <f>IF($C259="B",INDEX(Batters[[#All],[POS]],MATCH(Table5[[#This Row],[PID]],Batters[[#All],[PID]],0)),INDEX(Table3[[#All],[POS]],MATCH(Table5[[#This Row],[PID]],Table3[[#All],[PID]],0)))</f>
        <v>SP</v>
      </c>
      <c r="E259" s="52" t="str">
        <f>IF($C259="B",INDEX(Batters[[#All],[First]],MATCH(Table5[[#This Row],[PID]],Batters[[#All],[PID]],0)),INDEX(Table3[[#All],[First]],MATCH(Table5[[#This Row],[PID]],Table3[[#All],[PID]],0)))</f>
        <v>Armando</v>
      </c>
      <c r="F259" s="55" t="str">
        <f>IF($C259="B",INDEX(Batters[[#All],[Last]],MATCH(A259,Batters[[#All],[PID]],0)),INDEX(Table3[[#All],[Last]],MATCH(A259,Table3[[#All],[PID]],0)))</f>
        <v>Miranda</v>
      </c>
      <c r="G259" s="56">
        <f>IF($C259="B",INDEX(Batters[[#All],[Age]],MATCH(Table5[[#This Row],[PID]],Batters[[#All],[PID]],0)),INDEX(Table3[[#All],[Age]],MATCH(Table5[[#This Row],[PID]],Table3[[#All],[PID]],0)))</f>
        <v>22</v>
      </c>
      <c r="H259" s="52" t="str">
        <f>IF($C259="B",INDEX(Batters[[#All],[B]],MATCH(Table5[[#This Row],[PID]],Batters[[#All],[PID]],0)),INDEX(Table3[[#All],[B]],MATCH(Table5[[#This Row],[PID]],Table3[[#All],[PID]],0)))</f>
        <v>L</v>
      </c>
      <c r="I259" s="52" t="str">
        <f>IF($C259="B",INDEX(Batters[[#All],[T]],MATCH(Table5[[#This Row],[PID]],Batters[[#All],[PID]],0)),INDEX(Table3[[#All],[T]],MATCH(Table5[[#This Row],[PID]],Table3[[#All],[PID]],0)))</f>
        <v>L</v>
      </c>
      <c r="J259" s="71" t="str">
        <f>IF($C259="B",INDEX(Batters[[#All],[WE]],MATCH(Table5[[#This Row],[PID]],Batters[[#All],[PID]],0)),INDEX(Table3[[#All],[WE]],MATCH(Table5[[#This Row],[PID]],Table3[[#All],[PID]],0)))</f>
        <v>Normal</v>
      </c>
      <c r="K259" s="52" t="str">
        <f>IF($C259="B",INDEX(Batters[[#All],[INT]],MATCH(Table5[[#This Row],[PID]],Batters[[#All],[PID]],0)),INDEX(Table3[[#All],[INT]],MATCH(Table5[[#This Row],[PID]],Table3[[#All],[PID]],0)))</f>
        <v>High</v>
      </c>
      <c r="L259" s="60">
        <f>IF($C259="B",INDEX(Batters[[#All],[CON P]],MATCH(Table5[[#This Row],[PID]],Batters[[#All],[PID]],0)),INDEX(Table3[[#All],[STU P]],MATCH(Table5[[#This Row],[PID]],Table3[[#All],[PID]],0)))</f>
        <v>5</v>
      </c>
      <c r="M259" s="72">
        <f>IF($C259="B",INDEX(Batters[[#All],[GAP P]],MATCH(Table5[[#This Row],[PID]],Batters[[#All],[PID]],0)),INDEX(Table3[[#All],[MOV P]],MATCH(Table5[[#This Row],[PID]],Table3[[#All],[PID]],0)))</f>
        <v>3</v>
      </c>
      <c r="N259" s="72">
        <f>IF($C259="B",INDEX(Batters[[#All],[POW P]],MATCH(Table5[[#This Row],[PID]],Batters[[#All],[PID]],0)),INDEX(Table3[[#All],[CON P]],MATCH(Table5[[#This Row],[PID]],Table3[[#All],[PID]],0)))</f>
        <v>3</v>
      </c>
      <c r="O259" s="72" t="str">
        <f>IF($C259="B",INDEX(Batters[[#All],[EYE P]],MATCH(Table5[[#This Row],[PID]],Batters[[#All],[PID]],0)),INDEX(Table3[[#All],[VELO]],MATCH(Table5[[#This Row],[PID]],Table3[[#All],[PID]],0)))</f>
        <v>94-96 Mph</v>
      </c>
      <c r="P259" s="56">
        <f>IF($C259="B",INDEX(Batters[[#All],[K P]],MATCH(Table5[[#This Row],[PID]],Batters[[#All],[PID]],0)),INDEX(Table3[[#All],[STM]],MATCH(Table5[[#This Row],[PID]],Table3[[#All],[PID]],0)))</f>
        <v>6</v>
      </c>
      <c r="Q259" s="61">
        <f>IF($C259="B",INDEX(Batters[[#All],[Tot]],MATCH(Table5[[#This Row],[PID]],Batters[[#All],[PID]],0)),INDEX(Table3[[#All],[Tot]],MATCH(Table5[[#This Row],[PID]],Table3[[#All],[PID]],0)))</f>
        <v>40.232559944789429</v>
      </c>
      <c r="R259" s="52">
        <f>IF($C259="B",INDEX(Batters[[#All],[zScore]],MATCH(Table5[[#This Row],[PID]],Batters[[#All],[PID]],0)),INDEX(Table3[[#All],[zScore]],MATCH(Table5[[#This Row],[PID]],Table3[[#All],[PID]],0)))</f>
        <v>0.29019944982341628</v>
      </c>
      <c r="S259" s="78" t="str">
        <f>IF($C259="B",INDEX(Batters[[#All],[DEM]],MATCH(Table5[[#This Row],[PID]],Batters[[#All],[PID]],0)),INDEX(Table3[[#All],[DEM]],MATCH(Table5[[#This Row],[PID]],Table3[[#All],[PID]],0)))</f>
        <v>-</v>
      </c>
      <c r="T259" s="75">
        <f>IF($C259="B",INDEX(Batters[[#All],[Rnk]],MATCH(Table5[[#This Row],[PID]],Batters[[#All],[PID]],0)),INDEX(Table3[[#All],[Rnk]],MATCH(Table5[[#This Row],[PID]],Table3[[#All],[PID]],0)))</f>
        <v>244</v>
      </c>
      <c r="U259" s="68">
        <f>IF($C259="B",VLOOKUP($A259,Bat!$A$4:$BA$1621,47,FALSE),VLOOKUP($A259,Pit!$A$4:$BF$1557,56,FALSE))</f>
        <v>0</v>
      </c>
      <c r="V259" s="50">
        <f>IF($C259="B",VLOOKUP($A259,Bat!$A$4:$BA$1621,48,FALSE),VLOOKUP($A259,Pit!$A$4:$BF$1557,57,FALSE))</f>
        <v>0</v>
      </c>
      <c r="W259" s="69">
        <f>Table5[[#This Row],[posRnk]]+Table5[[#This Row],[zRnk]]+IF($W$3&lt;&gt;Table5[[#This Row],[Type]],50,0)</f>
        <v>714</v>
      </c>
      <c r="X259" s="73">
        <f>RANK(Table5[[#This Row],[zScore]],Table5[[#All],[zScore]])</f>
        <v>420</v>
      </c>
      <c r="Y259" s="69">
        <f>IFERROR(INDEX(DraftResults[[#All],[OVR]],MATCH(Table5[[#This Row],[PID]],DraftResults[[#All],[Player ID]],0)),"")</f>
        <v>255</v>
      </c>
      <c r="Z25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59" s="69">
        <f>IFERROR(INDEX(DraftResults[[#All],[Pick in Round]],MATCH(Table5[[#This Row],[PID]],DraftResults[[#All],[Player ID]],0)),"")</f>
        <v>7</v>
      </c>
      <c r="AB259" s="69" t="str">
        <f>IFERROR(INDEX(DraftResults[[#All],[Team Name]],MATCH(Table5[[#This Row],[PID]],DraftResults[[#All],[Player ID]],0)),"")</f>
        <v>Niihama-shi Ghosts</v>
      </c>
      <c r="AC259" s="69">
        <f>IF(Table5[[#This Row],[Ovr]]="","",IF(Table5[[#This Row],[cmbList]]="","",Table5[[#This Row],[cmbList]]-Table5[[#This Row],[Ovr]]))</f>
        <v>459</v>
      </c>
      <c r="AD259" s="77" t="str">
        <f>IF(ISERROR(VLOOKUP($AB259&amp;"-"&amp;$E259&amp;" "&amp;F259,Bonuses!$B$1:$G$1006,4,FALSE)),"",INT(VLOOKUP($AB259&amp;"-"&amp;$E259&amp;" "&amp;$F259,Bonuses!$B$1:$G$1006,4,FALSE)))</f>
        <v/>
      </c>
      <c r="AE25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9.7 (255) - SP Armando Miranda</v>
      </c>
    </row>
    <row r="260" spans="1:31" s="50" customFormat="1" x14ac:dyDescent="0.25">
      <c r="A260" s="50">
        <v>20368</v>
      </c>
      <c r="B260" s="50">
        <f>COUNTIF(Table5[PID],A260)</f>
        <v>1</v>
      </c>
      <c r="C260" s="50" t="str">
        <f>IF(COUNTIF(Table3[[#All],[PID]],A260)&gt;0,"P","B")</f>
        <v>B</v>
      </c>
      <c r="D260" s="59" t="str">
        <f>IF($C260="B",INDEX(Batters[[#All],[POS]],MATCH(Table5[[#This Row],[PID]],Batters[[#All],[PID]],0)),INDEX(Table3[[#All],[POS]],MATCH(Table5[[#This Row],[PID]],Table3[[#All],[PID]],0)))</f>
        <v>SS</v>
      </c>
      <c r="E260" s="52" t="str">
        <f>IF($C260="B",INDEX(Batters[[#All],[First]],MATCH(Table5[[#This Row],[PID]],Batters[[#All],[PID]],0)),INDEX(Table3[[#All],[First]],MATCH(Table5[[#This Row],[PID]],Table3[[#All],[PID]],0)))</f>
        <v>Lawrence</v>
      </c>
      <c r="F260" s="50" t="str">
        <f>IF($C260="B",INDEX(Batters[[#All],[Last]],MATCH(A260,Batters[[#All],[PID]],0)),INDEX(Table3[[#All],[Last]],MATCH(A260,Table3[[#All],[PID]],0)))</f>
        <v>Myers</v>
      </c>
      <c r="G260" s="56">
        <f>IF($C260="B",INDEX(Batters[[#All],[Age]],MATCH(Table5[[#This Row],[PID]],Batters[[#All],[PID]],0)),INDEX(Table3[[#All],[Age]],MATCH(Table5[[#This Row],[PID]],Table3[[#All],[PID]],0)))</f>
        <v>17</v>
      </c>
      <c r="H260" s="52" t="str">
        <f>IF($C260="B",INDEX(Batters[[#All],[B]],MATCH(Table5[[#This Row],[PID]],Batters[[#All],[PID]],0)),INDEX(Table3[[#All],[B]],MATCH(Table5[[#This Row],[PID]],Table3[[#All],[PID]],0)))</f>
        <v>R</v>
      </c>
      <c r="I260" s="52" t="str">
        <f>IF($C260="B",INDEX(Batters[[#All],[T]],MATCH(Table5[[#This Row],[PID]],Batters[[#All],[PID]],0)),INDEX(Table3[[#All],[T]],MATCH(Table5[[#This Row],[PID]],Table3[[#All],[PID]],0)))</f>
        <v>R</v>
      </c>
      <c r="J260" s="52" t="str">
        <f>IF($C260="B",INDEX(Batters[[#All],[WE]],MATCH(Table5[[#This Row],[PID]],Batters[[#All],[PID]],0)),INDEX(Table3[[#All],[WE]],MATCH(Table5[[#This Row],[PID]],Table3[[#All],[PID]],0)))</f>
        <v>Normal</v>
      </c>
      <c r="K260" s="52" t="str">
        <f>IF($C260="B",INDEX(Batters[[#All],[INT]],MATCH(Table5[[#This Row],[PID]],Batters[[#All],[PID]],0)),INDEX(Table3[[#All],[INT]],MATCH(Table5[[#This Row],[PID]],Table3[[#All],[PID]],0)))</f>
        <v>Normal</v>
      </c>
      <c r="L260" s="60">
        <f>IF($C260="B",INDEX(Batters[[#All],[CON P]],MATCH(Table5[[#This Row],[PID]],Batters[[#All],[PID]],0)),INDEX(Table3[[#All],[STU P]],MATCH(Table5[[#This Row],[PID]],Table3[[#All],[PID]],0)))</f>
        <v>3</v>
      </c>
      <c r="M260" s="56">
        <f>IF($C260="B",INDEX(Batters[[#All],[GAP P]],MATCH(Table5[[#This Row],[PID]],Batters[[#All],[PID]],0)),INDEX(Table3[[#All],[MOV P]],MATCH(Table5[[#This Row],[PID]],Table3[[#All],[PID]],0)))</f>
        <v>3</v>
      </c>
      <c r="N260" s="56">
        <f>IF($C260="B",INDEX(Batters[[#All],[POW P]],MATCH(Table5[[#This Row],[PID]],Batters[[#All],[PID]],0)),INDEX(Table3[[#All],[CON P]],MATCH(Table5[[#This Row],[PID]],Table3[[#All],[PID]],0)))</f>
        <v>7</v>
      </c>
      <c r="O260" s="56">
        <f>IF($C260="B",INDEX(Batters[[#All],[EYE P]],MATCH(Table5[[#This Row],[PID]],Batters[[#All],[PID]],0)),INDEX(Table3[[#All],[VELO]],MATCH(Table5[[#This Row],[PID]],Table3[[#All],[PID]],0)))</f>
        <v>7</v>
      </c>
      <c r="P260" s="56">
        <f>IF($C260="B",INDEX(Batters[[#All],[K P]],MATCH(Table5[[#This Row],[PID]],Batters[[#All],[PID]],0)),INDEX(Table3[[#All],[STM]],MATCH(Table5[[#This Row],[PID]],Table3[[#All],[PID]],0)))</f>
        <v>3</v>
      </c>
      <c r="Q260" s="61">
        <f>IF($C260="B",INDEX(Batters[[#All],[Tot]],MATCH(Table5[[#This Row],[PID]],Batters[[#All],[PID]],0)),INDEX(Table3[[#All],[Tot]],MATCH(Table5[[#This Row],[PID]],Table3[[#All],[PID]],0)))</f>
        <v>47.360762985657828</v>
      </c>
      <c r="R260" s="52">
        <f>IF($C260="B",INDEX(Batters[[#All],[zScore]],MATCH(Table5[[#This Row],[PID]],Batters[[#All],[PID]],0)),INDEX(Table3[[#All],[zScore]],MATCH(Table5[[#This Row],[PID]],Table3[[#All],[PID]],0)))</f>
        <v>0.71585194245386452</v>
      </c>
      <c r="S260" s="58" t="str">
        <f>IF($C260="B",INDEX(Batters[[#All],[DEM]],MATCH(Table5[[#This Row],[PID]],Batters[[#All],[PID]],0)),INDEX(Table3[[#All],[DEM]],MATCH(Table5[[#This Row],[PID]],Table3[[#All],[PID]],0)))</f>
        <v>$65k</v>
      </c>
      <c r="T260" s="62">
        <f>IF($C260="B",INDEX(Batters[[#All],[Rnk]],MATCH(Table5[[#This Row],[PID]],Batters[[#All],[PID]],0)),INDEX(Table3[[#All],[Rnk]],MATCH(Table5[[#This Row],[PID]],Table3[[#All],[PID]],0)))</f>
        <v>119</v>
      </c>
      <c r="U260" s="68">
        <f>IF($C260="B",VLOOKUP($A260,Bat!$A$4:$BA$1621,47,FALSE),VLOOKUP($A260,Pit!$A$4:$BF$1557,56,FALSE))</f>
        <v>0</v>
      </c>
      <c r="V260" s="50">
        <f>IF($C260="B",VLOOKUP($A260,Bat!$A$4:$BA$1621,48,FALSE),VLOOKUP($A260,Pit!$A$4:$BF$1557,57,FALSE))</f>
        <v>0</v>
      </c>
      <c r="W260" s="50">
        <f>Table5[[#This Row],[posRnk]]+Table5[[#This Row],[zRnk]]+IF($W$3&lt;&gt;Table5[[#This Row],[Type]],50,0)</f>
        <v>474</v>
      </c>
      <c r="X260" s="51">
        <f>RANK(Table5[[#This Row],[zScore]],Table5[[#All],[zScore]])</f>
        <v>305</v>
      </c>
      <c r="Y260" s="50">
        <f>IFERROR(INDEX(DraftResults[[#All],[OVR]],MATCH(Table5[[#This Row],[PID]],DraftResults[[#All],[Player ID]],0)),"")</f>
        <v>256</v>
      </c>
      <c r="Z2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0" s="50">
        <f>IFERROR(INDEX(DraftResults[[#All],[Pick in Round]],MATCH(Table5[[#This Row],[PID]],DraftResults[[#All],[Player ID]],0)),"")</f>
        <v>8</v>
      </c>
      <c r="AB260" s="50" t="str">
        <f>IFERROR(INDEX(DraftResults[[#All],[Team Name]],MATCH(Table5[[#This Row],[PID]],DraftResults[[#All],[Player ID]],0)),"")</f>
        <v>London Underground</v>
      </c>
      <c r="AC260" s="50">
        <f>IF(Table5[[#This Row],[Ovr]]="","",IF(Table5[[#This Row],[cmbList]]="","",Table5[[#This Row],[cmbList]]-Table5[[#This Row],[Ovr]]))</f>
        <v>218</v>
      </c>
      <c r="AD260" s="54" t="str">
        <f>IF(ISERROR(VLOOKUP($AB260&amp;"-"&amp;$E260&amp;" "&amp;F260,Bonuses!$B$1:$G$1006,4,FALSE)),"",INT(VLOOKUP($AB260&amp;"-"&amp;$E260&amp;" "&amp;$F260,Bonuses!$B$1:$G$1006,4,FALSE)))</f>
        <v/>
      </c>
      <c r="AE2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9.8 (256) - SS Lawrence Myers</v>
      </c>
    </row>
    <row r="261" spans="1:31" s="50" customFormat="1" x14ac:dyDescent="0.25">
      <c r="A261" s="50">
        <v>12615</v>
      </c>
      <c r="B261" s="50">
        <f>COUNTIF(Table5[PID],A261)</f>
        <v>1</v>
      </c>
      <c r="C261" s="50" t="str">
        <f>IF(COUNTIF(Table3[[#All],[PID]],A261)&gt;0,"P","B")</f>
        <v>P</v>
      </c>
      <c r="D261" s="59" t="str">
        <f>IF($C261="B",INDEX(Batters[[#All],[POS]],MATCH(Table5[[#This Row],[PID]],Batters[[#All],[PID]],0)),INDEX(Table3[[#All],[POS]],MATCH(Table5[[#This Row],[PID]],Table3[[#All],[PID]],0)))</f>
        <v>RP</v>
      </c>
      <c r="E261" s="52" t="str">
        <f>IF($C261="B",INDEX(Batters[[#All],[First]],MATCH(Table5[[#This Row],[PID]],Batters[[#All],[PID]],0)),INDEX(Table3[[#All],[First]],MATCH(Table5[[#This Row],[PID]],Table3[[#All],[PID]],0)))</f>
        <v>Jesús</v>
      </c>
      <c r="F261" s="50" t="str">
        <f>IF($C261="B",INDEX(Batters[[#All],[Last]],MATCH(A261,Batters[[#All],[PID]],0)),INDEX(Table3[[#All],[Last]],MATCH(A261,Table3[[#All],[PID]],0)))</f>
        <v>Ochoa</v>
      </c>
      <c r="G261" s="56">
        <f>IF($C261="B",INDEX(Batters[[#All],[Age]],MATCH(Table5[[#This Row],[PID]],Batters[[#All],[PID]],0)),INDEX(Table3[[#All],[Age]],MATCH(Table5[[#This Row],[PID]],Table3[[#All],[PID]],0)))</f>
        <v>18</v>
      </c>
      <c r="H261" s="52" t="str">
        <f>IF($C261="B",INDEX(Batters[[#All],[B]],MATCH(Table5[[#This Row],[PID]],Batters[[#All],[PID]],0)),INDEX(Table3[[#All],[B]],MATCH(Table5[[#This Row],[PID]],Table3[[#All],[PID]],0)))</f>
        <v>R</v>
      </c>
      <c r="I261" s="52" t="str">
        <f>IF($C261="B",INDEX(Batters[[#All],[T]],MATCH(Table5[[#This Row],[PID]],Batters[[#All],[PID]],0)),INDEX(Table3[[#All],[T]],MATCH(Table5[[#This Row],[PID]],Table3[[#All],[PID]],0)))</f>
        <v>R</v>
      </c>
      <c r="J261" s="52" t="str">
        <f>IF($C261="B",INDEX(Batters[[#All],[WE]],MATCH(Table5[[#This Row],[PID]],Batters[[#All],[PID]],0)),INDEX(Table3[[#All],[WE]],MATCH(Table5[[#This Row],[PID]],Table3[[#All],[PID]],0)))</f>
        <v>Normal</v>
      </c>
      <c r="K261" s="52" t="str">
        <f>IF($C261="B",INDEX(Batters[[#All],[INT]],MATCH(Table5[[#This Row],[PID]],Batters[[#All],[PID]],0)),INDEX(Table3[[#All],[INT]],MATCH(Table5[[#This Row],[PID]],Table3[[#All],[PID]],0)))</f>
        <v>Normal</v>
      </c>
      <c r="L261" s="60">
        <f>IF($C261="B",INDEX(Batters[[#All],[CON P]],MATCH(Table5[[#This Row],[PID]],Batters[[#All],[PID]],0)),INDEX(Table3[[#All],[STU P]],MATCH(Table5[[#This Row],[PID]],Table3[[#All],[PID]],0)))</f>
        <v>5</v>
      </c>
      <c r="M261" s="56">
        <f>IF($C261="B",INDEX(Batters[[#All],[GAP P]],MATCH(Table5[[#This Row],[PID]],Batters[[#All],[PID]],0)),INDEX(Table3[[#All],[MOV P]],MATCH(Table5[[#This Row],[PID]],Table3[[#All],[PID]],0)))</f>
        <v>5</v>
      </c>
      <c r="N261" s="56">
        <f>IF($C261="B",INDEX(Batters[[#All],[POW P]],MATCH(Table5[[#This Row],[PID]],Batters[[#All],[PID]],0)),INDEX(Table3[[#All],[CON P]],MATCH(Table5[[#This Row],[PID]],Table3[[#All],[PID]],0)))</f>
        <v>4</v>
      </c>
      <c r="O261" s="56" t="str">
        <f>IF($C261="B",INDEX(Batters[[#All],[EYE P]],MATCH(Table5[[#This Row],[PID]],Batters[[#All],[PID]],0)),INDEX(Table3[[#All],[VELO]],MATCH(Table5[[#This Row],[PID]],Table3[[#All],[PID]],0)))</f>
        <v>88-90 Mph</v>
      </c>
      <c r="P261" s="56">
        <f>IF($C261="B",INDEX(Batters[[#All],[K P]],MATCH(Table5[[#This Row],[PID]],Batters[[#All],[PID]],0)),INDEX(Table3[[#All],[STM]],MATCH(Table5[[#This Row],[PID]],Table3[[#All],[PID]],0)))</f>
        <v>4</v>
      </c>
      <c r="Q261" s="61">
        <f>IF($C261="B",INDEX(Batters[[#All],[Tot]],MATCH(Table5[[#This Row],[PID]],Batters[[#All],[PID]],0)),INDEX(Table3[[#All],[Tot]],MATCH(Table5[[#This Row],[PID]],Table3[[#All],[PID]],0)))</f>
        <v>48.483805166115268</v>
      </c>
      <c r="R261" s="52">
        <f>IF($C261="B",INDEX(Batters[[#All],[zScore]],MATCH(Table5[[#This Row],[PID]],Batters[[#All],[PID]],0)),INDEX(Table3[[#All],[zScore]],MATCH(Table5[[#This Row],[PID]],Table3[[#All],[PID]],0)))</f>
        <v>0.83914218559744302</v>
      </c>
      <c r="S261" s="58" t="str">
        <f>IF($C261="B",INDEX(Batters[[#All],[DEM]],MATCH(Table5[[#This Row],[PID]],Batters[[#All],[PID]],0)),INDEX(Table3[[#All],[DEM]],MATCH(Table5[[#This Row],[PID]],Table3[[#All],[PID]],0)))</f>
        <v>$38k</v>
      </c>
      <c r="T261" s="62">
        <f>IF($C261="B",INDEX(Batters[[#All],[Rnk]],MATCH(Table5[[#This Row],[PID]],Batters[[#All],[PID]],0)),INDEX(Table3[[#All],[Rnk]],MATCH(Table5[[#This Row],[PID]],Table3[[#All],[PID]],0)))</f>
        <v>164</v>
      </c>
      <c r="U261" s="68">
        <f>IF($C261="B",VLOOKUP($A261,Bat!$A$4:$BA$1621,47,FALSE),VLOOKUP($A261,Pit!$A$4:$BF$1557,56,FALSE))</f>
        <v>0</v>
      </c>
      <c r="V261" s="50">
        <f>IF($C261="B",VLOOKUP($A261,Bat!$A$4:$BA$1621,48,FALSE),VLOOKUP($A261,Pit!$A$4:$BF$1557,57,FALSE))</f>
        <v>0</v>
      </c>
      <c r="W261" s="50">
        <f>Table5[[#This Row],[posRnk]]+Table5[[#This Row],[zRnk]]+IF($W$3&lt;&gt;Table5[[#This Row],[Type]],50,0)</f>
        <v>489</v>
      </c>
      <c r="X261" s="51">
        <f>RANK(Table5[[#This Row],[zScore]],Table5[[#All],[zScore]])</f>
        <v>275</v>
      </c>
      <c r="Y261" s="50">
        <f>IFERROR(INDEX(DraftResults[[#All],[OVR]],MATCH(Table5[[#This Row],[PID]],DraftResults[[#All],[Player ID]],0)),"")</f>
        <v>257</v>
      </c>
      <c r="Z2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1" s="50">
        <f>IFERROR(INDEX(DraftResults[[#All],[Pick in Round]],MATCH(Table5[[#This Row],[PID]],DraftResults[[#All],[Player ID]],0)),"")</f>
        <v>9</v>
      </c>
      <c r="AB261" s="50" t="str">
        <f>IFERROR(INDEX(DraftResults[[#All],[Team Name]],MATCH(Table5[[#This Row],[PID]],DraftResults[[#All],[Player ID]],0)),"")</f>
        <v>Scottish Claymores</v>
      </c>
      <c r="AC261" s="50">
        <f>IF(Table5[[#This Row],[Ovr]]="","",IF(Table5[[#This Row],[cmbList]]="","",Table5[[#This Row],[cmbList]]-Table5[[#This Row],[Ovr]]))</f>
        <v>232</v>
      </c>
      <c r="AD261" s="54" t="str">
        <f>IF(ISERROR(VLOOKUP($AB261&amp;"-"&amp;$E261&amp;" "&amp;F261,Bonuses!$B$1:$G$1006,4,FALSE)),"",INT(VLOOKUP($AB261&amp;"-"&amp;$E261&amp;" "&amp;$F261,Bonuses!$B$1:$G$1006,4,FALSE)))</f>
        <v/>
      </c>
      <c r="AE2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9.9 (257) - RP Jesús Ochoa</v>
      </c>
    </row>
    <row r="262" spans="1:31" s="50" customFormat="1" x14ac:dyDescent="0.25">
      <c r="A262" s="50">
        <v>18396</v>
      </c>
      <c r="B262" s="50">
        <f>COUNTIF(Table5[PID],A262)</f>
        <v>1</v>
      </c>
      <c r="C262" s="50" t="str">
        <f>IF(COUNTIF(Table3[[#All],[PID]],A262)&gt;0,"P","B")</f>
        <v>B</v>
      </c>
      <c r="D262" s="59" t="str">
        <f>IF($C262="B",INDEX(Batters[[#All],[POS]],MATCH(Table5[[#This Row],[PID]],Batters[[#All],[PID]],0)),INDEX(Table3[[#All],[POS]],MATCH(Table5[[#This Row],[PID]],Table3[[#All],[PID]],0)))</f>
        <v>1B</v>
      </c>
      <c r="E262" s="52" t="str">
        <f>IF($C262="B",INDEX(Batters[[#All],[First]],MATCH(Table5[[#This Row],[PID]],Batters[[#All],[PID]],0)),INDEX(Table3[[#All],[First]],MATCH(Table5[[#This Row],[PID]],Table3[[#All],[PID]],0)))</f>
        <v>Roberto</v>
      </c>
      <c r="F262" s="50" t="str">
        <f>IF($C262="B",INDEX(Batters[[#All],[Last]],MATCH(A262,Batters[[#All],[PID]],0)),INDEX(Table3[[#All],[Last]],MATCH(A262,Table3[[#All],[PID]],0)))</f>
        <v>Nae</v>
      </c>
      <c r="G262" s="56">
        <f>IF($C262="B",INDEX(Batters[[#All],[Age]],MATCH(Table5[[#This Row],[PID]],Batters[[#All],[PID]],0)),INDEX(Table3[[#All],[Age]],MATCH(Table5[[#This Row],[PID]],Table3[[#All],[PID]],0)))</f>
        <v>18</v>
      </c>
      <c r="H262" s="52" t="str">
        <f>IF($C262="B",INDEX(Batters[[#All],[B]],MATCH(Table5[[#This Row],[PID]],Batters[[#All],[PID]],0)),INDEX(Table3[[#All],[B]],MATCH(Table5[[#This Row],[PID]],Table3[[#All],[PID]],0)))</f>
        <v>R</v>
      </c>
      <c r="I262" s="52" t="str">
        <f>IF($C262="B",INDEX(Batters[[#All],[T]],MATCH(Table5[[#This Row],[PID]],Batters[[#All],[PID]],0)),INDEX(Table3[[#All],[T]],MATCH(Table5[[#This Row],[PID]],Table3[[#All],[PID]],0)))</f>
        <v>R</v>
      </c>
      <c r="J262" s="52" t="str">
        <f>IF($C262="B",INDEX(Batters[[#All],[WE]],MATCH(Table5[[#This Row],[PID]],Batters[[#All],[PID]],0)),INDEX(Table3[[#All],[WE]],MATCH(Table5[[#This Row],[PID]],Table3[[#All],[PID]],0)))</f>
        <v>Normal</v>
      </c>
      <c r="K262" s="52" t="str">
        <f>IF($C262="B",INDEX(Batters[[#All],[INT]],MATCH(Table5[[#This Row],[PID]],Batters[[#All],[PID]],0)),INDEX(Table3[[#All],[INT]],MATCH(Table5[[#This Row],[PID]],Table3[[#All],[PID]],0)))</f>
        <v>Normal</v>
      </c>
      <c r="L262" s="60">
        <f>IF($C262="B",INDEX(Batters[[#All],[CON P]],MATCH(Table5[[#This Row],[PID]],Batters[[#All],[PID]],0)),INDEX(Table3[[#All],[STU P]],MATCH(Table5[[#This Row],[PID]],Table3[[#All],[PID]],0)))</f>
        <v>4</v>
      </c>
      <c r="M262" s="56">
        <f>IF($C262="B",INDEX(Batters[[#All],[GAP P]],MATCH(Table5[[#This Row],[PID]],Batters[[#All],[PID]],0)),INDEX(Table3[[#All],[MOV P]],MATCH(Table5[[#This Row],[PID]],Table3[[#All],[PID]],0)))</f>
        <v>6</v>
      </c>
      <c r="N262" s="56">
        <f>IF($C262="B",INDEX(Batters[[#All],[POW P]],MATCH(Table5[[#This Row],[PID]],Batters[[#All],[PID]],0)),INDEX(Table3[[#All],[CON P]],MATCH(Table5[[#This Row],[PID]],Table3[[#All],[PID]],0)))</f>
        <v>6</v>
      </c>
      <c r="O262" s="56">
        <f>IF($C262="B",INDEX(Batters[[#All],[EYE P]],MATCH(Table5[[#This Row],[PID]],Batters[[#All],[PID]],0)),INDEX(Table3[[#All],[VELO]],MATCH(Table5[[#This Row],[PID]],Table3[[#All],[PID]],0)))</f>
        <v>5</v>
      </c>
      <c r="P262" s="56">
        <f>IF($C262="B",INDEX(Batters[[#All],[K P]],MATCH(Table5[[#This Row],[PID]],Batters[[#All],[PID]],0)),INDEX(Table3[[#All],[STM]],MATCH(Table5[[#This Row],[PID]],Table3[[#All],[PID]],0)))</f>
        <v>4</v>
      </c>
      <c r="Q262" s="61">
        <f>IF($C262="B",INDEX(Batters[[#All],[Tot]],MATCH(Table5[[#This Row],[PID]],Batters[[#All],[PID]],0)),INDEX(Table3[[#All],[Tot]],MATCH(Table5[[#This Row],[PID]],Table3[[#All],[PID]],0)))</f>
        <v>50.485637231585834</v>
      </c>
      <c r="R262" s="52">
        <f>IF($C262="B",INDEX(Batters[[#All],[zScore]],MATCH(Table5[[#This Row],[PID]],Batters[[#All],[PID]],0)),INDEX(Table3[[#All],[zScore]],MATCH(Table5[[#This Row],[PID]],Table3[[#All],[PID]],0)))</f>
        <v>1.4086576849657124</v>
      </c>
      <c r="S262" s="58" t="str">
        <f>IF($C262="B",INDEX(Batters[[#All],[DEM]],MATCH(Table5[[#This Row],[PID]],Batters[[#All],[PID]],0)),INDEX(Table3[[#All],[DEM]],MATCH(Table5[[#This Row],[PID]],Table3[[#All],[PID]],0)))</f>
        <v>$200k</v>
      </c>
      <c r="T262" s="62">
        <f>IF($C262="B",INDEX(Batters[[#All],[Rnk]],MATCH(Table5[[#This Row],[PID]],Batters[[#All],[PID]],0)),INDEX(Table3[[#All],[Rnk]],MATCH(Table5[[#This Row],[PID]],Table3[[#All],[PID]],0)))</f>
        <v>51</v>
      </c>
      <c r="U262" s="68">
        <f>IF($C262="B",VLOOKUP($A262,Bat!$A$4:$BA$1621,47,FALSE),VLOOKUP($A262,Pit!$A$4:$BF$1557,56,FALSE))</f>
        <v>0</v>
      </c>
      <c r="V262" s="50">
        <f>IF($C262="B",VLOOKUP($A262,Bat!$A$4:$BA$1621,48,FALSE),VLOOKUP($A262,Pit!$A$4:$BF$1557,57,FALSE))</f>
        <v>0</v>
      </c>
      <c r="W262" s="50">
        <f>Table5[[#This Row],[posRnk]]+Table5[[#This Row],[zRnk]]+IF($W$3&lt;&gt;Table5[[#This Row],[Type]],50,0)</f>
        <v>234</v>
      </c>
      <c r="X262" s="51">
        <f>RANK(Table5[[#This Row],[zScore]],Table5[[#All],[zScore]])</f>
        <v>133</v>
      </c>
      <c r="Y262" s="50">
        <f>IFERROR(INDEX(DraftResults[[#All],[OVR]],MATCH(Table5[[#This Row],[PID]],DraftResults[[#All],[Player ID]],0)),"")</f>
        <v>258</v>
      </c>
      <c r="Z2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2" s="50">
        <f>IFERROR(INDEX(DraftResults[[#All],[Pick in Round]],MATCH(Table5[[#This Row],[PID]],DraftResults[[#All],[Player ID]],0)),"")</f>
        <v>10</v>
      </c>
      <c r="AB262" s="50" t="str">
        <f>IFERROR(INDEX(DraftResults[[#All],[Team Name]],MATCH(Table5[[#This Row],[PID]],DraftResults[[#All],[Player ID]],0)),"")</f>
        <v>Hartford Harpoon</v>
      </c>
      <c r="AC262" s="50">
        <f>IF(Table5[[#This Row],[Ovr]]="","",IF(Table5[[#This Row],[cmbList]]="","",Table5[[#This Row],[cmbList]]-Table5[[#This Row],[Ovr]]))</f>
        <v>-24</v>
      </c>
      <c r="AD262" s="54" t="str">
        <f>IF(ISERROR(VLOOKUP($AB262&amp;"-"&amp;$E262&amp;" "&amp;F262,Bonuses!$B$1:$G$1006,4,FALSE)),"",INT(VLOOKUP($AB262&amp;"-"&amp;$E262&amp;" "&amp;$F262,Bonuses!$B$1:$G$1006,4,FALSE)))</f>
        <v/>
      </c>
      <c r="AE2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9.10 (258) - 1B Roberto Nae</v>
      </c>
    </row>
    <row r="263" spans="1:31" s="50" customFormat="1" x14ac:dyDescent="0.25">
      <c r="A263" s="68">
        <v>17785</v>
      </c>
      <c r="B263" s="69">
        <f>COUNTIF(Table5[PID],A263)</f>
        <v>1</v>
      </c>
      <c r="C263" s="69" t="str">
        <f>IF(COUNTIF(Table3[[#All],[PID]],A263)&gt;0,"P","B")</f>
        <v>P</v>
      </c>
      <c r="D263" s="59" t="str">
        <f>IF($C263="B",INDEX(Batters[[#All],[POS]],MATCH(Table5[[#This Row],[PID]],Batters[[#All],[PID]],0)),INDEX(Table3[[#All],[POS]],MATCH(Table5[[#This Row],[PID]],Table3[[#All],[PID]],0)))</f>
        <v>SP</v>
      </c>
      <c r="E263" s="52" t="str">
        <f>IF($C263="B",INDEX(Batters[[#All],[First]],MATCH(Table5[[#This Row],[PID]],Batters[[#All],[PID]],0)),INDEX(Table3[[#All],[First]],MATCH(Table5[[#This Row],[PID]],Table3[[#All],[PID]],0)))</f>
        <v>Stephen</v>
      </c>
      <c r="F263" s="55" t="str">
        <f>IF($C263="B",INDEX(Batters[[#All],[Last]],MATCH(A263,Batters[[#All],[PID]],0)),INDEX(Table3[[#All],[Last]],MATCH(A263,Table3[[#All],[PID]],0)))</f>
        <v>Lowry</v>
      </c>
      <c r="G263" s="56">
        <f>IF($C263="B",INDEX(Batters[[#All],[Age]],MATCH(Table5[[#This Row],[PID]],Batters[[#All],[PID]],0)),INDEX(Table3[[#All],[Age]],MATCH(Table5[[#This Row],[PID]],Table3[[#All],[PID]],0)))</f>
        <v>21</v>
      </c>
      <c r="H263" s="52" t="str">
        <f>IF($C263="B",INDEX(Batters[[#All],[B]],MATCH(Table5[[#This Row],[PID]],Batters[[#All],[PID]],0)),INDEX(Table3[[#All],[B]],MATCH(Table5[[#This Row],[PID]],Table3[[#All],[PID]],0)))</f>
        <v>R</v>
      </c>
      <c r="I263" s="52" t="str">
        <f>IF($C263="B",INDEX(Batters[[#All],[T]],MATCH(Table5[[#This Row],[PID]],Batters[[#All],[PID]],0)),INDEX(Table3[[#All],[T]],MATCH(Table5[[#This Row],[PID]],Table3[[#All],[PID]],0)))</f>
        <v>R</v>
      </c>
      <c r="J263" s="71" t="str">
        <f>IF($C263="B",INDEX(Batters[[#All],[WE]],MATCH(Table5[[#This Row],[PID]],Batters[[#All],[PID]],0)),INDEX(Table3[[#All],[WE]],MATCH(Table5[[#This Row],[PID]],Table3[[#All],[PID]],0)))</f>
        <v>Low</v>
      </c>
      <c r="K263" s="52" t="str">
        <f>IF($C263="B",INDEX(Batters[[#All],[INT]],MATCH(Table5[[#This Row],[PID]],Batters[[#All],[PID]],0)),INDEX(Table3[[#All],[INT]],MATCH(Table5[[#This Row],[PID]],Table3[[#All],[PID]],0)))</f>
        <v>Normal</v>
      </c>
      <c r="L263" s="60">
        <f>IF($C263="B",INDEX(Batters[[#All],[CON P]],MATCH(Table5[[#This Row],[PID]],Batters[[#All],[PID]],0)),INDEX(Table3[[#All],[STU P]],MATCH(Table5[[#This Row],[PID]],Table3[[#All],[PID]],0)))</f>
        <v>5</v>
      </c>
      <c r="M263" s="72">
        <f>IF($C263="B",INDEX(Batters[[#All],[GAP P]],MATCH(Table5[[#This Row],[PID]],Batters[[#All],[PID]],0)),INDEX(Table3[[#All],[MOV P]],MATCH(Table5[[#This Row],[PID]],Table3[[#All],[PID]],0)))</f>
        <v>4</v>
      </c>
      <c r="N263" s="72">
        <f>IF($C263="B",INDEX(Batters[[#All],[POW P]],MATCH(Table5[[#This Row],[PID]],Batters[[#All],[PID]],0)),INDEX(Table3[[#All],[CON P]],MATCH(Table5[[#This Row],[PID]],Table3[[#All],[PID]],0)))</f>
        <v>4</v>
      </c>
      <c r="O263" s="72" t="str">
        <f>IF($C263="B",INDEX(Batters[[#All],[EYE P]],MATCH(Table5[[#This Row],[PID]],Batters[[#All],[PID]],0)),INDEX(Table3[[#All],[VELO]],MATCH(Table5[[#This Row],[PID]],Table3[[#All],[PID]],0)))</f>
        <v>93-95 Mph</v>
      </c>
      <c r="P263" s="56">
        <f>IF($C263="B",INDEX(Batters[[#All],[K P]],MATCH(Table5[[#This Row],[PID]],Batters[[#All],[PID]],0)),INDEX(Table3[[#All],[STM]],MATCH(Table5[[#This Row],[PID]],Table3[[#All],[PID]],0)))</f>
        <v>6</v>
      </c>
      <c r="Q263" s="61">
        <f>IF($C263="B",INDEX(Batters[[#All],[Tot]],MATCH(Table5[[#This Row],[PID]],Batters[[#All],[PID]],0)),INDEX(Table3[[#All],[Tot]],MATCH(Table5[[#This Row],[PID]],Table3[[#All],[PID]],0)))</f>
        <v>48.144785939315355</v>
      </c>
      <c r="R263" s="52">
        <f>IF($C263="B",INDEX(Batters[[#All],[zScore]],MATCH(Table5[[#This Row],[PID]],Batters[[#All],[PID]],0)),INDEX(Table3[[#All],[zScore]],MATCH(Table5[[#This Row],[PID]],Table3[[#All],[PID]],0)))</f>
        <v>0.81658775449672294</v>
      </c>
      <c r="S263" s="78" t="str">
        <f>IF($C263="B",INDEX(Batters[[#All],[DEM]],MATCH(Table5[[#This Row],[PID]],Batters[[#All],[PID]],0)),INDEX(Table3[[#All],[DEM]],MATCH(Table5[[#This Row],[PID]],Table3[[#All],[PID]],0)))</f>
        <v>$49k</v>
      </c>
      <c r="T263" s="75">
        <f>IF($C263="B",INDEX(Batters[[#All],[Rnk]],MATCH(Table5[[#This Row],[PID]],Batters[[#All],[PID]],0)),INDEX(Table3[[#All],[Rnk]],MATCH(Table5[[#This Row],[PID]],Table3[[#All],[PID]],0)))</f>
        <v>168</v>
      </c>
      <c r="U263" s="68">
        <f>IF($C263="B",VLOOKUP($A263,Bat!$A$4:$BA$1621,47,FALSE),VLOOKUP($A263,Pit!$A$4:$BF$1557,56,FALSE))</f>
        <v>0</v>
      </c>
      <c r="V263" s="50">
        <f>IF($C263="B",VLOOKUP($A263,Bat!$A$4:$BA$1621,48,FALSE),VLOOKUP($A263,Pit!$A$4:$BF$1557,57,FALSE))</f>
        <v>0</v>
      </c>
      <c r="W263" s="69">
        <f>Table5[[#This Row],[posRnk]]+Table5[[#This Row],[zRnk]]+IF($W$3&lt;&gt;Table5[[#This Row],[Type]],50,0)</f>
        <v>498</v>
      </c>
      <c r="X263" s="73">
        <f>RANK(Table5[[#This Row],[zScore]],Table5[[#All],[zScore]])</f>
        <v>280</v>
      </c>
      <c r="Y263" s="69">
        <f>IFERROR(INDEX(DraftResults[[#All],[OVR]],MATCH(Table5[[#This Row],[PID]],DraftResults[[#All],[Player ID]],0)),"")</f>
        <v>259</v>
      </c>
      <c r="Z26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3" s="69">
        <f>IFERROR(INDEX(DraftResults[[#All],[Pick in Round]],MATCH(Table5[[#This Row],[PID]],DraftResults[[#All],[Player ID]],0)),"")</f>
        <v>11</v>
      </c>
      <c r="AB263" s="69" t="str">
        <f>IFERROR(INDEX(DraftResults[[#All],[Team Name]],MATCH(Table5[[#This Row],[PID]],DraftResults[[#All],[Player ID]],0)),"")</f>
        <v>Duluth Warriors</v>
      </c>
      <c r="AC263" s="69">
        <f>IF(Table5[[#This Row],[Ovr]]="","",IF(Table5[[#This Row],[cmbList]]="","",Table5[[#This Row],[cmbList]]-Table5[[#This Row],[Ovr]]))</f>
        <v>239</v>
      </c>
      <c r="AD263" s="77" t="str">
        <f>IF(ISERROR(VLOOKUP($AB263&amp;"-"&amp;$E263&amp;" "&amp;F263,Bonuses!$B$1:$G$1006,4,FALSE)),"",INT(VLOOKUP($AB263&amp;"-"&amp;$E263&amp;" "&amp;$F263,Bonuses!$B$1:$G$1006,4,FALSE)))</f>
        <v/>
      </c>
      <c r="AE26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9.11 (259) - SP Stephen Lowry</v>
      </c>
    </row>
    <row r="264" spans="1:31" s="50" customFormat="1" x14ac:dyDescent="0.25">
      <c r="A264" s="50">
        <v>18340</v>
      </c>
      <c r="B264" s="50">
        <f>COUNTIF(Table5[PID],A264)</f>
        <v>1</v>
      </c>
      <c r="C264" s="50" t="str">
        <f>IF(COUNTIF(Table3[[#All],[PID]],A264)&gt;0,"P","B")</f>
        <v>P</v>
      </c>
      <c r="D264" s="59" t="str">
        <f>IF($C264="B",INDEX(Batters[[#All],[POS]],MATCH(Table5[[#This Row],[PID]],Batters[[#All],[PID]],0)),INDEX(Table3[[#All],[POS]],MATCH(Table5[[#This Row],[PID]],Table3[[#All],[PID]],0)))</f>
        <v>CL</v>
      </c>
      <c r="E264" s="52" t="str">
        <f>IF($C264="B",INDEX(Batters[[#All],[First]],MATCH(Table5[[#This Row],[PID]],Batters[[#All],[PID]],0)),INDEX(Table3[[#All],[First]],MATCH(Table5[[#This Row],[PID]],Table3[[#All],[PID]],0)))</f>
        <v>Gerrie</v>
      </c>
      <c r="F264" s="50" t="str">
        <f>IF($C264="B",INDEX(Batters[[#All],[Last]],MATCH(A264,Batters[[#All],[PID]],0)),INDEX(Table3[[#All],[Last]],MATCH(A264,Table3[[#All],[PID]],0)))</f>
        <v>de Jong</v>
      </c>
      <c r="G264" s="56">
        <f>IF($C264="B",INDEX(Batters[[#All],[Age]],MATCH(Table5[[#This Row],[PID]],Batters[[#All],[PID]],0)),INDEX(Table3[[#All],[Age]],MATCH(Table5[[#This Row],[PID]],Table3[[#All],[PID]],0)))</f>
        <v>18</v>
      </c>
      <c r="H264" s="52" t="str">
        <f>IF($C264="B",INDEX(Batters[[#All],[B]],MATCH(Table5[[#This Row],[PID]],Batters[[#All],[PID]],0)),INDEX(Table3[[#All],[B]],MATCH(Table5[[#This Row],[PID]],Table3[[#All],[PID]],0)))</f>
        <v>L</v>
      </c>
      <c r="I264" s="52" t="str">
        <f>IF($C264="B",INDEX(Batters[[#All],[T]],MATCH(Table5[[#This Row],[PID]],Batters[[#All],[PID]],0)),INDEX(Table3[[#All],[T]],MATCH(Table5[[#This Row],[PID]],Table3[[#All],[PID]],0)))</f>
        <v>R</v>
      </c>
      <c r="J264" s="52" t="str">
        <f>IF($C264="B",INDEX(Batters[[#All],[WE]],MATCH(Table5[[#This Row],[PID]],Batters[[#All],[PID]],0)),INDEX(Table3[[#All],[WE]],MATCH(Table5[[#This Row],[PID]],Table3[[#All],[PID]],0)))</f>
        <v>Normal</v>
      </c>
      <c r="K264" s="52" t="str">
        <f>IF($C264="B",INDEX(Batters[[#All],[INT]],MATCH(Table5[[#This Row],[PID]],Batters[[#All],[PID]],0)),INDEX(Table3[[#All],[INT]],MATCH(Table5[[#This Row],[PID]],Table3[[#All],[PID]],0)))</f>
        <v>Normal</v>
      </c>
      <c r="L264" s="60">
        <f>IF($C264="B",INDEX(Batters[[#All],[CON P]],MATCH(Table5[[#This Row],[PID]],Batters[[#All],[PID]],0)),INDEX(Table3[[#All],[STU P]],MATCH(Table5[[#This Row],[PID]],Table3[[#All],[PID]],0)))</f>
        <v>5</v>
      </c>
      <c r="M264" s="56">
        <f>IF($C264="B",INDEX(Batters[[#All],[GAP P]],MATCH(Table5[[#This Row],[PID]],Batters[[#All],[PID]],0)),INDEX(Table3[[#All],[MOV P]],MATCH(Table5[[#This Row],[PID]],Table3[[#All],[PID]],0)))</f>
        <v>4</v>
      </c>
      <c r="N264" s="56">
        <f>IF($C264="B",INDEX(Batters[[#All],[POW P]],MATCH(Table5[[#This Row],[PID]],Batters[[#All],[PID]],0)),INDEX(Table3[[#All],[CON P]],MATCH(Table5[[#This Row],[PID]],Table3[[#All],[PID]],0)))</f>
        <v>4</v>
      </c>
      <c r="O264" s="56" t="str">
        <f>IF($C264="B",INDEX(Batters[[#All],[EYE P]],MATCH(Table5[[#This Row],[PID]],Batters[[#All],[PID]],0)),INDEX(Table3[[#All],[VELO]],MATCH(Table5[[#This Row],[PID]],Table3[[#All],[PID]],0)))</f>
        <v>90-92 Mph</v>
      </c>
      <c r="P264" s="56">
        <f>IF($C264="B",INDEX(Batters[[#All],[K P]],MATCH(Table5[[#This Row],[PID]],Batters[[#All],[PID]],0)),INDEX(Table3[[#All],[STM]],MATCH(Table5[[#This Row],[PID]],Table3[[#All],[PID]],0)))</f>
        <v>10</v>
      </c>
      <c r="Q264" s="61">
        <f>IF($C264="B",INDEX(Batters[[#All],[Tot]],MATCH(Table5[[#This Row],[PID]],Batters[[#All],[PID]],0)),INDEX(Table3[[#All],[Tot]],MATCH(Table5[[#This Row],[PID]],Table3[[#All],[PID]],0)))</f>
        <v>52.306845038978452</v>
      </c>
      <c r="R264" s="52">
        <f>IF($C264="B",INDEX(Batters[[#All],[zScore]],MATCH(Table5[[#This Row],[PID]],Batters[[#All],[PID]],0)),INDEX(Table3[[#All],[zScore]],MATCH(Table5[[#This Row],[PID]],Table3[[#All],[PID]],0)))</f>
        <v>1.093483186317997</v>
      </c>
      <c r="S264" s="58" t="str">
        <f>IF($C264="B",INDEX(Batters[[#All],[DEM]],MATCH(Table5[[#This Row],[PID]],Batters[[#All],[PID]],0)),INDEX(Table3[[#All],[DEM]],MATCH(Table5[[#This Row],[PID]],Table3[[#All],[PID]],0)))</f>
        <v>$65k</v>
      </c>
      <c r="T264" s="62">
        <f>IF($C264="B",INDEX(Batters[[#All],[Rnk]],MATCH(Table5[[#This Row],[PID]],Batters[[#All],[PID]],0)),INDEX(Table3[[#All],[Rnk]],MATCH(Table5[[#This Row],[PID]],Table3[[#All],[PID]],0)))</f>
        <v>127</v>
      </c>
      <c r="U264" s="68">
        <f>IF($C264="B",VLOOKUP($A264,Bat!$A$4:$BA$1621,47,FALSE),VLOOKUP($A264,Pit!$A$4:$BF$1557,56,FALSE))</f>
        <v>0</v>
      </c>
      <c r="V264" s="50">
        <f>IF($C264="B",VLOOKUP($A264,Bat!$A$4:$BA$1621,48,FALSE),VLOOKUP($A264,Pit!$A$4:$BF$1557,57,FALSE))</f>
        <v>0</v>
      </c>
      <c r="W264" s="50">
        <f>Table5[[#This Row],[posRnk]]+Table5[[#This Row],[zRnk]]+IF($W$3&lt;&gt;Table5[[#This Row],[Type]],50,0)</f>
        <v>388</v>
      </c>
      <c r="X264" s="51">
        <f>RANK(Table5[[#This Row],[zScore]],Table5[[#All],[zScore]])</f>
        <v>211</v>
      </c>
      <c r="Y264" s="50">
        <f>IFERROR(INDEX(DraftResults[[#All],[OVR]],MATCH(Table5[[#This Row],[PID]],DraftResults[[#All],[Player ID]],0)),"")</f>
        <v>260</v>
      </c>
      <c r="Z2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4" s="50">
        <f>IFERROR(INDEX(DraftResults[[#All],[Pick in Round]],MATCH(Table5[[#This Row],[PID]],DraftResults[[#All],[Player ID]],0)),"")</f>
        <v>12</v>
      </c>
      <c r="AB264" s="50" t="str">
        <f>IFERROR(INDEX(DraftResults[[#All],[Team Name]],MATCH(Table5[[#This Row],[PID]],DraftResults[[#All],[Player ID]],0)),"")</f>
        <v>Palm Springs Codgers</v>
      </c>
      <c r="AC264" s="50">
        <f>IF(Table5[[#This Row],[Ovr]]="","",IF(Table5[[#This Row],[cmbList]]="","",Table5[[#This Row],[cmbList]]-Table5[[#This Row],[Ovr]]))</f>
        <v>128</v>
      </c>
      <c r="AD264" s="54" t="str">
        <f>IF(ISERROR(VLOOKUP($AB264&amp;"-"&amp;$E264&amp;" "&amp;F264,Bonuses!$B$1:$G$1006,4,FALSE)),"",INT(VLOOKUP($AB264&amp;"-"&amp;$E264&amp;" "&amp;$F264,Bonuses!$B$1:$G$1006,4,FALSE)))</f>
        <v/>
      </c>
      <c r="AE2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9.12 (260) - CL Gerrie de Jong</v>
      </c>
    </row>
    <row r="265" spans="1:31" s="50" customFormat="1" x14ac:dyDescent="0.25">
      <c r="A265" s="50">
        <v>18084</v>
      </c>
      <c r="B265" s="50">
        <f>COUNTIF(Table5[PID],A265)</f>
        <v>1</v>
      </c>
      <c r="C265" s="50" t="str">
        <f>IF(COUNTIF(Table3[[#All],[PID]],A265)&gt;0,"P","B")</f>
        <v>B</v>
      </c>
      <c r="D265" s="59" t="str">
        <f>IF($C265="B",INDEX(Batters[[#All],[POS]],MATCH(Table5[[#This Row],[PID]],Batters[[#All],[PID]],0)),INDEX(Table3[[#All],[POS]],MATCH(Table5[[#This Row],[PID]],Table3[[#All],[PID]],0)))</f>
        <v>CF</v>
      </c>
      <c r="E265" s="52" t="str">
        <f>IF($C265="B",INDEX(Batters[[#All],[First]],MATCH(Table5[[#This Row],[PID]],Batters[[#All],[PID]],0)),INDEX(Table3[[#All],[First]],MATCH(Table5[[#This Row],[PID]],Table3[[#All],[PID]],0)))</f>
        <v>Jeremy</v>
      </c>
      <c r="F265" s="50" t="str">
        <f>IF($C265="B",INDEX(Batters[[#All],[Last]],MATCH(A265,Batters[[#All],[PID]],0)),INDEX(Table3[[#All],[Last]],MATCH(A265,Table3[[#All],[PID]],0)))</f>
        <v>Higgins</v>
      </c>
      <c r="G265" s="56">
        <f>IF($C265="B",INDEX(Batters[[#All],[Age]],MATCH(Table5[[#This Row],[PID]],Batters[[#All],[PID]],0)),INDEX(Table3[[#All],[Age]],MATCH(Table5[[#This Row],[PID]],Table3[[#All],[PID]],0)))</f>
        <v>21</v>
      </c>
      <c r="H265" s="52" t="str">
        <f>IF($C265="B",INDEX(Batters[[#All],[B]],MATCH(Table5[[#This Row],[PID]],Batters[[#All],[PID]],0)),INDEX(Table3[[#All],[B]],MATCH(Table5[[#This Row],[PID]],Table3[[#All],[PID]],0)))</f>
        <v>R</v>
      </c>
      <c r="I265" s="52" t="str">
        <f>IF($C265="B",INDEX(Batters[[#All],[T]],MATCH(Table5[[#This Row],[PID]],Batters[[#All],[PID]],0)),INDEX(Table3[[#All],[T]],MATCH(Table5[[#This Row],[PID]],Table3[[#All],[PID]],0)))</f>
        <v>R</v>
      </c>
      <c r="J265" s="52" t="str">
        <f>IF($C265="B",INDEX(Batters[[#All],[WE]],MATCH(Table5[[#This Row],[PID]],Batters[[#All],[PID]],0)),INDEX(Table3[[#All],[WE]],MATCH(Table5[[#This Row],[PID]],Table3[[#All],[PID]],0)))</f>
        <v>Normal</v>
      </c>
      <c r="K265" s="52" t="str">
        <f>IF($C265="B",INDEX(Batters[[#All],[INT]],MATCH(Table5[[#This Row],[PID]],Batters[[#All],[PID]],0)),INDEX(Table3[[#All],[INT]],MATCH(Table5[[#This Row],[PID]],Table3[[#All],[PID]],0)))</f>
        <v>Normal</v>
      </c>
      <c r="L265" s="60">
        <f>IF($C265="B",INDEX(Batters[[#All],[CON P]],MATCH(Table5[[#This Row],[PID]],Batters[[#All],[PID]],0)),INDEX(Table3[[#All],[STU P]],MATCH(Table5[[#This Row],[PID]],Table3[[#All],[PID]],0)))</f>
        <v>4</v>
      </c>
      <c r="M265" s="56">
        <f>IF($C265="B",INDEX(Batters[[#All],[GAP P]],MATCH(Table5[[#This Row],[PID]],Batters[[#All],[PID]],0)),INDEX(Table3[[#All],[MOV P]],MATCH(Table5[[#This Row],[PID]],Table3[[#All],[PID]],0)))</f>
        <v>6</v>
      </c>
      <c r="N265" s="56">
        <f>IF($C265="B",INDEX(Batters[[#All],[POW P]],MATCH(Table5[[#This Row],[PID]],Batters[[#All],[PID]],0)),INDEX(Table3[[#All],[CON P]],MATCH(Table5[[#This Row],[PID]],Table3[[#All],[PID]],0)))</f>
        <v>4</v>
      </c>
      <c r="O265" s="56">
        <f>IF($C265="B",INDEX(Batters[[#All],[EYE P]],MATCH(Table5[[#This Row],[PID]],Batters[[#All],[PID]],0)),INDEX(Table3[[#All],[VELO]],MATCH(Table5[[#This Row],[PID]],Table3[[#All],[PID]],0)))</f>
        <v>4</v>
      </c>
      <c r="P265" s="56">
        <f>IF($C265="B",INDEX(Batters[[#All],[K P]],MATCH(Table5[[#This Row],[PID]],Batters[[#All],[PID]],0)),INDEX(Table3[[#All],[STM]],MATCH(Table5[[#This Row],[PID]],Table3[[#All],[PID]],0)))</f>
        <v>4</v>
      </c>
      <c r="Q265" s="61">
        <f>IF($C265="B",INDEX(Batters[[#All],[Tot]],MATCH(Table5[[#This Row],[PID]],Batters[[#All],[PID]],0)),INDEX(Table3[[#All],[Tot]],MATCH(Table5[[#This Row],[PID]],Table3[[#All],[PID]],0)))</f>
        <v>43.475609657580037</v>
      </c>
      <c r="R265" s="52">
        <f>IF($C265="B",INDEX(Batters[[#All],[zScore]],MATCH(Table5[[#This Row],[PID]],Batters[[#All],[PID]],0)),INDEX(Table3[[#All],[zScore]],MATCH(Table5[[#This Row],[PID]],Table3[[#All],[PID]],0)))</f>
        <v>-0.14551281158024887</v>
      </c>
      <c r="S265" s="58" t="str">
        <f>IF($C265="B",INDEX(Batters[[#All],[DEM]],MATCH(Table5[[#This Row],[PID]],Batters[[#All],[PID]],0)),INDEX(Table3[[#All],[DEM]],MATCH(Table5[[#This Row],[PID]],Table3[[#All],[PID]],0)))</f>
        <v>$22k</v>
      </c>
      <c r="T265" s="62">
        <f>IF($C265="B",INDEX(Batters[[#All],[Rnk]],MATCH(Table5[[#This Row],[PID]],Batters[[#All],[PID]],0)),INDEX(Table3[[#All],[Rnk]],MATCH(Table5[[#This Row],[PID]],Table3[[#All],[PID]],0)))</f>
        <v>268</v>
      </c>
      <c r="U265" s="68">
        <f>IF($C265="B",VLOOKUP($A265,Bat!$A$4:$BA$1621,47,FALSE),VLOOKUP($A265,Pit!$A$4:$BF$1557,56,FALSE))</f>
        <v>0</v>
      </c>
      <c r="V265" s="50">
        <f>IF($C265="B",VLOOKUP($A265,Bat!$A$4:$BA$1621,48,FALSE),VLOOKUP($A265,Pit!$A$4:$BF$1557,57,FALSE))</f>
        <v>0</v>
      </c>
      <c r="W265" s="50">
        <f>Table5[[#This Row],[posRnk]]+Table5[[#This Row],[zRnk]]+IF($W$3&lt;&gt;Table5[[#This Row],[Type]],50,0)</f>
        <v>944</v>
      </c>
      <c r="X265" s="51">
        <f>RANK(Table5[[#This Row],[zScore]],Table5[[#All],[zScore]])</f>
        <v>626</v>
      </c>
      <c r="Y265" s="50">
        <f>IFERROR(INDEX(DraftResults[[#All],[OVR]],MATCH(Table5[[#This Row],[PID]],DraftResults[[#All],[Player ID]],0)),"")</f>
        <v>261</v>
      </c>
      <c r="Z2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5" s="50">
        <f>IFERROR(INDEX(DraftResults[[#All],[Pick in Round]],MATCH(Table5[[#This Row],[PID]],DraftResults[[#All],[Player ID]],0)),"")</f>
        <v>13</v>
      </c>
      <c r="AB265" s="50" t="str">
        <f>IFERROR(INDEX(DraftResults[[#All],[Team Name]],MATCH(Table5[[#This Row],[PID]],DraftResults[[#All],[Player ID]],0)),"")</f>
        <v>Reno Zephyrs</v>
      </c>
      <c r="AC265" s="50">
        <f>IF(Table5[[#This Row],[Ovr]]="","",IF(Table5[[#This Row],[cmbList]]="","",Table5[[#This Row],[cmbList]]-Table5[[#This Row],[Ovr]]))</f>
        <v>683</v>
      </c>
      <c r="AD265" s="54" t="str">
        <f>IF(ISERROR(VLOOKUP($AB265&amp;"-"&amp;$E265&amp;" "&amp;F265,Bonuses!$B$1:$G$1006,4,FALSE)),"",INT(VLOOKUP($AB265&amp;"-"&amp;$E265&amp;" "&amp;$F265,Bonuses!$B$1:$G$1006,4,FALSE)))</f>
        <v/>
      </c>
      <c r="AE2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9.13 (261) - CF Jeremy Higgins</v>
      </c>
    </row>
    <row r="266" spans="1:31" s="50" customFormat="1" x14ac:dyDescent="0.25">
      <c r="A266" s="50">
        <v>18100</v>
      </c>
      <c r="B266" s="50">
        <f>COUNTIF(Table5[PID],A266)</f>
        <v>1</v>
      </c>
      <c r="C266" s="50" t="str">
        <f>IF(COUNTIF(Table3[[#All],[PID]],A266)&gt;0,"P","B")</f>
        <v>P</v>
      </c>
      <c r="D266" s="59" t="str">
        <f>IF($C266="B",INDEX(Batters[[#All],[POS]],MATCH(Table5[[#This Row],[PID]],Batters[[#All],[PID]],0)),INDEX(Table3[[#All],[POS]],MATCH(Table5[[#This Row],[PID]],Table3[[#All],[PID]],0)))</f>
        <v>CL</v>
      </c>
      <c r="E266" s="52" t="str">
        <f>IF($C266="B",INDEX(Batters[[#All],[First]],MATCH(Table5[[#This Row],[PID]],Batters[[#All],[PID]],0)),INDEX(Table3[[#All],[First]],MATCH(Table5[[#This Row],[PID]],Table3[[#All],[PID]],0)))</f>
        <v>Chester</v>
      </c>
      <c r="F266" s="50" t="str">
        <f>IF($C266="B",INDEX(Batters[[#All],[Last]],MATCH(A266,Batters[[#All],[PID]],0)),INDEX(Table3[[#All],[Last]],MATCH(A266,Table3[[#All],[PID]],0)))</f>
        <v>Jordan</v>
      </c>
      <c r="G266" s="56">
        <f>IF($C266="B",INDEX(Batters[[#All],[Age]],MATCH(Table5[[#This Row],[PID]],Batters[[#All],[PID]],0)),INDEX(Table3[[#All],[Age]],MATCH(Table5[[#This Row],[PID]],Table3[[#All],[PID]],0)))</f>
        <v>21</v>
      </c>
      <c r="H266" s="52" t="str">
        <f>IF($C266="B",INDEX(Batters[[#All],[B]],MATCH(Table5[[#This Row],[PID]],Batters[[#All],[PID]],0)),INDEX(Table3[[#All],[B]],MATCH(Table5[[#This Row],[PID]],Table3[[#All],[PID]],0)))</f>
        <v>L</v>
      </c>
      <c r="I266" s="52" t="str">
        <f>IF($C266="B",INDEX(Batters[[#All],[T]],MATCH(Table5[[#This Row],[PID]],Batters[[#All],[PID]],0)),INDEX(Table3[[#All],[T]],MATCH(Table5[[#This Row],[PID]],Table3[[#All],[PID]],0)))</f>
        <v>L</v>
      </c>
      <c r="J266" s="52" t="str">
        <f>IF($C266="B",INDEX(Batters[[#All],[WE]],MATCH(Table5[[#This Row],[PID]],Batters[[#All],[PID]],0)),INDEX(Table3[[#All],[WE]],MATCH(Table5[[#This Row],[PID]],Table3[[#All],[PID]],0)))</f>
        <v>Low</v>
      </c>
      <c r="K266" s="52" t="str">
        <f>IF($C266="B",INDEX(Batters[[#All],[INT]],MATCH(Table5[[#This Row],[PID]],Batters[[#All],[PID]],0)),INDEX(Table3[[#All],[INT]],MATCH(Table5[[#This Row],[PID]],Table3[[#All],[PID]],0)))</f>
        <v>Normal</v>
      </c>
      <c r="L266" s="60">
        <f>IF($C266="B",INDEX(Batters[[#All],[CON P]],MATCH(Table5[[#This Row],[PID]],Batters[[#All],[PID]],0)),INDEX(Table3[[#All],[STU P]],MATCH(Table5[[#This Row],[PID]],Table3[[#All],[PID]],0)))</f>
        <v>5</v>
      </c>
      <c r="M266" s="56">
        <f>IF($C266="B",INDEX(Batters[[#All],[GAP P]],MATCH(Table5[[#This Row],[PID]],Batters[[#All],[PID]],0)),INDEX(Table3[[#All],[MOV P]],MATCH(Table5[[#This Row],[PID]],Table3[[#All],[PID]],0)))</f>
        <v>3</v>
      </c>
      <c r="N266" s="56">
        <f>IF($C266="B",INDEX(Batters[[#All],[POW P]],MATCH(Table5[[#This Row],[PID]],Batters[[#All],[PID]],0)),INDEX(Table3[[#All],[CON P]],MATCH(Table5[[#This Row],[PID]],Table3[[#All],[PID]],0)))</f>
        <v>5</v>
      </c>
      <c r="O266" s="56" t="str">
        <f>IF($C266="B",INDEX(Batters[[#All],[EYE P]],MATCH(Table5[[#This Row],[PID]],Batters[[#All],[PID]],0)),INDEX(Table3[[#All],[VELO]],MATCH(Table5[[#This Row],[PID]],Table3[[#All],[PID]],0)))</f>
        <v>88-90 Mph</v>
      </c>
      <c r="P266" s="56">
        <f>IF($C266="B",INDEX(Batters[[#All],[K P]],MATCH(Table5[[#This Row],[PID]],Batters[[#All],[PID]],0)),INDEX(Table3[[#All],[STM]],MATCH(Table5[[#This Row],[PID]],Table3[[#All],[PID]],0)))</f>
        <v>6</v>
      </c>
      <c r="Q266" s="61">
        <f>IF($C266="B",INDEX(Batters[[#All],[Tot]],MATCH(Table5[[#This Row],[PID]],Batters[[#All],[PID]],0)),INDEX(Table3[[#All],[Tot]],MATCH(Table5[[#This Row],[PID]],Table3[[#All],[PID]],0)))</f>
        <v>47.9987237993329</v>
      </c>
      <c r="R266" s="52">
        <f>IF($C266="B",INDEX(Batters[[#All],[zScore]],MATCH(Table5[[#This Row],[PID]],Batters[[#All],[PID]],0)),INDEX(Table3[[#All],[zScore]],MATCH(Table5[[#This Row],[PID]],Table3[[#All],[PID]],0)))</f>
        <v>0.80687046352253788</v>
      </c>
      <c r="S266" s="58" t="str">
        <f>IF($C266="B",INDEX(Batters[[#All],[DEM]],MATCH(Table5[[#This Row],[PID]],Batters[[#All],[PID]],0)),INDEX(Table3[[#All],[DEM]],MATCH(Table5[[#This Row],[PID]],Table3[[#All],[PID]],0)))</f>
        <v>-</v>
      </c>
      <c r="T266" s="62">
        <f>IF($C266="B",INDEX(Batters[[#All],[Rnk]],MATCH(Table5[[#This Row],[PID]],Batters[[#All],[PID]],0)),INDEX(Table3[[#All],[Rnk]],MATCH(Table5[[#This Row],[PID]],Table3[[#All],[PID]],0)))</f>
        <v>169</v>
      </c>
      <c r="U266" s="68">
        <f>IF($C266="B",VLOOKUP($A266,Bat!$A$4:$BA$1621,47,FALSE),VLOOKUP($A266,Pit!$A$4:$BF$1557,56,FALSE))</f>
        <v>0</v>
      </c>
      <c r="V266" s="50">
        <f>IF($C266="B",VLOOKUP($A266,Bat!$A$4:$BA$1621,48,FALSE),VLOOKUP($A266,Pit!$A$4:$BF$1557,57,FALSE))</f>
        <v>0</v>
      </c>
      <c r="W266" s="50">
        <f>Table5[[#This Row],[posRnk]]+Table5[[#This Row],[zRnk]]+IF($W$3&lt;&gt;Table5[[#This Row],[Type]],50,0)</f>
        <v>500</v>
      </c>
      <c r="X266" s="51">
        <f>RANK(Table5[[#This Row],[zScore]],Table5[[#All],[zScore]])</f>
        <v>281</v>
      </c>
      <c r="Y266" s="50">
        <f>IFERROR(INDEX(DraftResults[[#All],[OVR]],MATCH(Table5[[#This Row],[PID]],DraftResults[[#All],[Player ID]],0)),"")</f>
        <v>262</v>
      </c>
      <c r="Z2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6" s="50">
        <f>IFERROR(INDEX(DraftResults[[#All],[Pick in Round]],MATCH(Table5[[#This Row],[PID]],DraftResults[[#All],[Player ID]],0)),"")</f>
        <v>14</v>
      </c>
      <c r="AB266" s="50" t="str">
        <f>IFERROR(INDEX(DraftResults[[#All],[Team Name]],MATCH(Table5[[#This Row],[PID]],DraftResults[[#All],[Player ID]],0)),"")</f>
        <v>Arlington Bureaucrats</v>
      </c>
      <c r="AC266" s="50">
        <f>IF(Table5[[#This Row],[Ovr]]="","",IF(Table5[[#This Row],[cmbList]]="","",Table5[[#This Row],[cmbList]]-Table5[[#This Row],[Ovr]]))</f>
        <v>238</v>
      </c>
      <c r="AD266" s="54" t="str">
        <f>IF(ISERROR(VLOOKUP($AB266&amp;"-"&amp;$E266&amp;" "&amp;F266,Bonuses!$B$1:$G$1006,4,FALSE)),"",INT(VLOOKUP($AB266&amp;"-"&amp;$E266&amp;" "&amp;$F266,Bonuses!$B$1:$G$1006,4,FALSE)))</f>
        <v/>
      </c>
      <c r="AE2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9.14 (262) - CL Chester Jordan</v>
      </c>
    </row>
    <row r="267" spans="1:31" s="50" customFormat="1" x14ac:dyDescent="0.25">
      <c r="A267" s="50">
        <v>17976</v>
      </c>
      <c r="B267" s="50">
        <f>COUNTIF(Table5[PID],A267)</f>
        <v>1</v>
      </c>
      <c r="C267" s="50" t="str">
        <f>IF(COUNTIF(Table3[[#All],[PID]],A267)&gt;0,"P","B")</f>
        <v>B</v>
      </c>
      <c r="D267" s="59" t="str">
        <f>IF($C267="B",INDEX(Batters[[#All],[POS]],MATCH(Table5[[#This Row],[PID]],Batters[[#All],[PID]],0)),INDEX(Table3[[#All],[POS]],MATCH(Table5[[#This Row],[PID]],Table3[[#All],[PID]],0)))</f>
        <v>LF</v>
      </c>
      <c r="E267" s="52" t="str">
        <f>IF($C267="B",INDEX(Batters[[#All],[First]],MATCH(Table5[[#This Row],[PID]],Batters[[#All],[PID]],0)),INDEX(Table3[[#All],[First]],MATCH(Table5[[#This Row],[PID]],Table3[[#All],[PID]],0)))</f>
        <v>Miguel</v>
      </c>
      <c r="F267" s="50" t="str">
        <f>IF($C267="B",INDEX(Batters[[#All],[Last]],MATCH(A267,Batters[[#All],[PID]],0)),INDEX(Table3[[#All],[Last]],MATCH(A267,Table3[[#All],[PID]],0)))</f>
        <v>Villages</v>
      </c>
      <c r="G267" s="56">
        <f>IF($C267="B",INDEX(Batters[[#All],[Age]],MATCH(Table5[[#This Row],[PID]],Batters[[#All],[PID]],0)),INDEX(Table3[[#All],[Age]],MATCH(Table5[[#This Row],[PID]],Table3[[#All],[PID]],0)))</f>
        <v>21</v>
      </c>
      <c r="H267" s="52" t="str">
        <f>IF($C267="B",INDEX(Batters[[#All],[B]],MATCH(Table5[[#This Row],[PID]],Batters[[#All],[PID]],0)),INDEX(Table3[[#All],[B]],MATCH(Table5[[#This Row],[PID]],Table3[[#All],[PID]],0)))</f>
        <v>R</v>
      </c>
      <c r="I267" s="52" t="str">
        <f>IF($C267="B",INDEX(Batters[[#All],[T]],MATCH(Table5[[#This Row],[PID]],Batters[[#All],[PID]],0)),INDEX(Table3[[#All],[T]],MATCH(Table5[[#This Row],[PID]],Table3[[#All],[PID]],0)))</f>
        <v>R</v>
      </c>
      <c r="J267" s="52" t="str">
        <f>IF($C267="B",INDEX(Batters[[#All],[WE]],MATCH(Table5[[#This Row],[PID]],Batters[[#All],[PID]],0)),INDEX(Table3[[#All],[WE]],MATCH(Table5[[#This Row],[PID]],Table3[[#All],[PID]],0)))</f>
        <v>Normal</v>
      </c>
      <c r="K267" s="52" t="str">
        <f>IF($C267="B",INDEX(Batters[[#All],[INT]],MATCH(Table5[[#This Row],[PID]],Batters[[#All],[PID]],0)),INDEX(Table3[[#All],[INT]],MATCH(Table5[[#This Row],[PID]],Table3[[#All],[PID]],0)))</f>
        <v>Normal</v>
      </c>
      <c r="L267" s="60">
        <f>IF($C267="B",INDEX(Batters[[#All],[CON P]],MATCH(Table5[[#This Row],[PID]],Batters[[#All],[PID]],0)),INDEX(Table3[[#All],[STU P]],MATCH(Table5[[#This Row],[PID]],Table3[[#All],[PID]],0)))</f>
        <v>4</v>
      </c>
      <c r="M267" s="56">
        <f>IF($C267="B",INDEX(Batters[[#All],[GAP P]],MATCH(Table5[[#This Row],[PID]],Batters[[#All],[PID]],0)),INDEX(Table3[[#All],[MOV P]],MATCH(Table5[[#This Row],[PID]],Table3[[#All],[PID]],0)))</f>
        <v>5</v>
      </c>
      <c r="N267" s="56">
        <f>IF($C267="B",INDEX(Batters[[#All],[POW P]],MATCH(Table5[[#This Row],[PID]],Batters[[#All],[PID]],0)),INDEX(Table3[[#All],[CON P]],MATCH(Table5[[#This Row],[PID]],Table3[[#All],[PID]],0)))</f>
        <v>4</v>
      </c>
      <c r="O267" s="56">
        <f>IF($C267="B",INDEX(Batters[[#All],[EYE P]],MATCH(Table5[[#This Row],[PID]],Batters[[#All],[PID]],0)),INDEX(Table3[[#All],[VELO]],MATCH(Table5[[#This Row],[PID]],Table3[[#All],[PID]],0)))</f>
        <v>5</v>
      </c>
      <c r="P267" s="56">
        <f>IF($C267="B",INDEX(Batters[[#All],[K P]],MATCH(Table5[[#This Row],[PID]],Batters[[#All],[PID]],0)),INDEX(Table3[[#All],[STM]],MATCH(Table5[[#This Row],[PID]],Table3[[#All],[PID]],0)))</f>
        <v>4</v>
      </c>
      <c r="Q267" s="61">
        <f>IF($C267="B",INDEX(Batters[[#All],[Tot]],MATCH(Table5[[#This Row],[PID]],Batters[[#All],[PID]],0)),INDEX(Table3[[#All],[Tot]],MATCH(Table5[[#This Row],[PID]],Table3[[#All],[PID]],0)))</f>
        <v>43.163468142450604</v>
      </c>
      <c r="R267" s="52">
        <f>IF($C267="B",INDEX(Batters[[#All],[zScore]],MATCH(Table5[[#This Row],[PID]],Batters[[#All],[PID]],0)),INDEX(Table3[[#All],[zScore]],MATCH(Table5[[#This Row],[PID]],Table3[[#All],[PID]],0)))</f>
        <v>-0.21471669536527407</v>
      </c>
      <c r="S267" s="58" t="str">
        <f>IF($C267="B",INDEX(Batters[[#All],[DEM]],MATCH(Table5[[#This Row],[PID]],Batters[[#All],[PID]],0)),INDEX(Table3[[#All],[DEM]],MATCH(Table5[[#This Row],[PID]],Table3[[#All],[PID]],0)))</f>
        <v>-</v>
      </c>
      <c r="T267" s="62">
        <f>IF($C267="B",INDEX(Batters[[#All],[Rnk]],MATCH(Table5[[#This Row],[PID]],Batters[[#All],[PID]],0)),INDEX(Table3[[#All],[Rnk]],MATCH(Table5[[#This Row],[PID]],Table3[[#All],[PID]],0)))</f>
        <v>287</v>
      </c>
      <c r="U267" s="68">
        <f>IF($C267="B",VLOOKUP($A267,Bat!$A$4:$BA$1621,47,FALSE),VLOOKUP($A267,Pit!$A$4:$BF$1557,56,FALSE))</f>
        <v>0</v>
      </c>
      <c r="V267" s="50">
        <f>IF($C267="B",VLOOKUP($A267,Bat!$A$4:$BA$1621,48,FALSE),VLOOKUP($A267,Pit!$A$4:$BF$1557,57,FALSE))</f>
        <v>0</v>
      </c>
      <c r="W267" s="50">
        <f>Table5[[#This Row],[posRnk]]+Table5[[#This Row],[zRnk]]+IF($W$3&lt;&gt;Table5[[#This Row],[Type]],50,0)</f>
        <v>1016</v>
      </c>
      <c r="X267" s="51">
        <f>RANK(Table5[[#This Row],[zScore]],Table5[[#All],[zScore]])</f>
        <v>679</v>
      </c>
      <c r="Y267" s="50">
        <f>IFERROR(INDEX(DraftResults[[#All],[OVR]],MATCH(Table5[[#This Row],[PID]],DraftResults[[#All],[Player ID]],0)),"")</f>
        <v>263</v>
      </c>
      <c r="Z2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7" s="50">
        <f>IFERROR(INDEX(DraftResults[[#All],[Pick in Round]],MATCH(Table5[[#This Row],[PID]],DraftResults[[#All],[Player ID]],0)),"")</f>
        <v>15</v>
      </c>
      <c r="AB267" s="50" t="str">
        <f>IFERROR(INDEX(DraftResults[[#All],[Team Name]],MATCH(Table5[[#This Row],[PID]],DraftResults[[#All],[Player ID]],0)),"")</f>
        <v>Kentucky Thoroughbreds</v>
      </c>
      <c r="AC267" s="50">
        <f>IF(Table5[[#This Row],[Ovr]]="","",IF(Table5[[#This Row],[cmbList]]="","",Table5[[#This Row],[cmbList]]-Table5[[#This Row],[Ovr]]))</f>
        <v>753</v>
      </c>
      <c r="AD267" s="54" t="str">
        <f>IF(ISERROR(VLOOKUP($AB267&amp;"-"&amp;$E267&amp;" "&amp;F267,Bonuses!$B$1:$G$1006,4,FALSE)),"",INT(VLOOKUP($AB267&amp;"-"&amp;$E267&amp;" "&amp;$F267,Bonuses!$B$1:$G$1006,4,FALSE)))</f>
        <v/>
      </c>
      <c r="AE2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9.15 (263) - LF Miguel Villages</v>
      </c>
    </row>
    <row r="268" spans="1:31" s="50" customFormat="1" x14ac:dyDescent="0.25">
      <c r="A268" s="68">
        <v>18080</v>
      </c>
      <c r="B268" s="69">
        <f>COUNTIF(Table5[PID],A268)</f>
        <v>1</v>
      </c>
      <c r="C268" s="69" t="str">
        <f>IF(COUNTIF(Table3[[#All],[PID]],A268)&gt;0,"P","B")</f>
        <v>P</v>
      </c>
      <c r="D268" s="59" t="str">
        <f>IF($C268="B",INDEX(Batters[[#All],[POS]],MATCH(Table5[[#This Row],[PID]],Batters[[#All],[PID]],0)),INDEX(Table3[[#All],[POS]],MATCH(Table5[[#This Row],[PID]],Table3[[#All],[PID]],0)))</f>
        <v>SP</v>
      </c>
      <c r="E268" s="52" t="str">
        <f>IF($C268="B",INDEX(Batters[[#All],[First]],MATCH(Table5[[#This Row],[PID]],Batters[[#All],[PID]],0)),INDEX(Table3[[#All],[First]],MATCH(Table5[[#This Row],[PID]],Table3[[#All],[PID]],0)))</f>
        <v>Don</v>
      </c>
      <c r="F268" s="55" t="str">
        <f>IF($C268="B",INDEX(Batters[[#All],[Last]],MATCH(A268,Batters[[#All],[PID]],0)),INDEX(Table3[[#All],[Last]],MATCH(A268,Table3[[#All],[PID]],0)))</f>
        <v>Brown</v>
      </c>
      <c r="G268" s="56">
        <f>IF($C268="B",INDEX(Batters[[#All],[Age]],MATCH(Table5[[#This Row],[PID]],Batters[[#All],[PID]],0)),INDEX(Table3[[#All],[Age]],MATCH(Table5[[#This Row],[PID]],Table3[[#All],[PID]],0)))</f>
        <v>21</v>
      </c>
      <c r="H268" s="52" t="str">
        <f>IF($C268="B",INDEX(Batters[[#All],[B]],MATCH(Table5[[#This Row],[PID]],Batters[[#All],[PID]],0)),INDEX(Table3[[#All],[B]],MATCH(Table5[[#This Row],[PID]],Table3[[#All],[PID]],0)))</f>
        <v>L</v>
      </c>
      <c r="I268" s="52" t="str">
        <f>IF($C268="B",INDEX(Batters[[#All],[T]],MATCH(Table5[[#This Row],[PID]],Batters[[#All],[PID]],0)),INDEX(Table3[[#All],[T]],MATCH(Table5[[#This Row],[PID]],Table3[[#All],[PID]],0)))</f>
        <v>L</v>
      </c>
      <c r="J268" s="71" t="str">
        <f>IF($C268="B",INDEX(Batters[[#All],[WE]],MATCH(Table5[[#This Row],[PID]],Batters[[#All],[PID]],0)),INDEX(Table3[[#All],[WE]],MATCH(Table5[[#This Row],[PID]],Table3[[#All],[PID]],0)))</f>
        <v>Normal</v>
      </c>
      <c r="K268" s="52" t="str">
        <f>IF($C268="B",INDEX(Batters[[#All],[INT]],MATCH(Table5[[#This Row],[PID]],Batters[[#All],[PID]],0)),INDEX(Table3[[#All],[INT]],MATCH(Table5[[#This Row],[PID]],Table3[[#All],[PID]],0)))</f>
        <v>Normal</v>
      </c>
      <c r="L268" s="60">
        <f>IF($C268="B",INDEX(Batters[[#All],[CON P]],MATCH(Table5[[#This Row],[PID]],Batters[[#All],[PID]],0)),INDEX(Table3[[#All],[STU P]],MATCH(Table5[[#This Row],[PID]],Table3[[#All],[PID]],0)))</f>
        <v>5</v>
      </c>
      <c r="M268" s="72">
        <f>IF($C268="B",INDEX(Batters[[#All],[GAP P]],MATCH(Table5[[#This Row],[PID]],Batters[[#All],[PID]],0)),INDEX(Table3[[#All],[MOV P]],MATCH(Table5[[#This Row],[PID]],Table3[[#All],[PID]],0)))</f>
        <v>5</v>
      </c>
      <c r="N268" s="72">
        <f>IF($C268="B",INDEX(Batters[[#All],[POW P]],MATCH(Table5[[#This Row],[PID]],Batters[[#All],[PID]],0)),INDEX(Table3[[#All],[CON P]],MATCH(Table5[[#This Row],[PID]],Table3[[#All],[PID]],0)))</f>
        <v>3</v>
      </c>
      <c r="O268" s="72" t="str">
        <f>IF($C268="B",INDEX(Batters[[#All],[EYE P]],MATCH(Table5[[#This Row],[PID]],Batters[[#All],[PID]],0)),INDEX(Table3[[#All],[VELO]],MATCH(Table5[[#This Row],[PID]],Table3[[#All],[PID]],0)))</f>
        <v>89-91 Mph</v>
      </c>
      <c r="P268" s="56">
        <f>IF($C268="B",INDEX(Batters[[#All],[K P]],MATCH(Table5[[#This Row],[PID]],Batters[[#All],[PID]],0)),INDEX(Table3[[#All],[STM]],MATCH(Table5[[#This Row],[PID]],Table3[[#All],[PID]],0)))</f>
        <v>8</v>
      </c>
      <c r="Q268" s="61">
        <f>IF($C268="B",INDEX(Batters[[#All],[Tot]],MATCH(Table5[[#This Row],[PID]],Batters[[#All],[PID]],0)),INDEX(Table3[[#All],[Tot]],MATCH(Table5[[#This Row],[PID]],Table3[[#All],[PID]],0)))</f>
        <v>47.570603933286527</v>
      </c>
      <c r="R268" s="52">
        <f>IF($C268="B",INDEX(Batters[[#All],[zScore]],MATCH(Table5[[#This Row],[PID]],Batters[[#All],[PID]],0)),INDEX(Table3[[#All],[zScore]],MATCH(Table5[[#This Row],[PID]],Table3[[#All],[PID]],0)))</f>
        <v>0.77838830304822548</v>
      </c>
      <c r="S268" s="78" t="str">
        <f>IF($C268="B",INDEX(Batters[[#All],[DEM]],MATCH(Table5[[#This Row],[PID]],Batters[[#All],[PID]],0)),INDEX(Table3[[#All],[DEM]],MATCH(Table5[[#This Row],[PID]],Table3[[#All],[PID]],0)))</f>
        <v>$110k</v>
      </c>
      <c r="T268" s="75">
        <f>IF($C268="B",INDEX(Batters[[#All],[Rnk]],MATCH(Table5[[#This Row],[PID]],Batters[[#All],[PID]],0)),INDEX(Table3[[#All],[Rnk]],MATCH(Table5[[#This Row],[PID]],Table3[[#All],[PID]],0)))</f>
        <v>176</v>
      </c>
      <c r="U268" s="68">
        <f>IF($C268="B",VLOOKUP($A268,Bat!$A$4:$BA$1621,47,FALSE),VLOOKUP($A268,Pit!$A$4:$BF$1557,56,FALSE))</f>
        <v>0</v>
      </c>
      <c r="V268" s="50">
        <f>IF($C268="B",VLOOKUP($A268,Bat!$A$4:$BA$1621,48,FALSE),VLOOKUP($A268,Pit!$A$4:$BF$1557,57,FALSE))</f>
        <v>0</v>
      </c>
      <c r="W268" s="69">
        <f>Table5[[#This Row],[posRnk]]+Table5[[#This Row],[zRnk]]+IF($W$3&lt;&gt;Table5[[#This Row],[Type]],50,0)</f>
        <v>517</v>
      </c>
      <c r="X268" s="73">
        <f>RANK(Table5[[#This Row],[zScore]],Table5[[#All],[zScore]])</f>
        <v>291</v>
      </c>
      <c r="Y268" s="69">
        <f>IFERROR(INDEX(DraftResults[[#All],[OVR]],MATCH(Table5[[#This Row],[PID]],DraftResults[[#All],[Player ID]],0)),"")</f>
        <v>264</v>
      </c>
      <c r="Z26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8" s="69">
        <f>IFERROR(INDEX(DraftResults[[#All],[Pick in Round]],MATCH(Table5[[#This Row],[PID]],DraftResults[[#All],[Player ID]],0)),"")</f>
        <v>16</v>
      </c>
      <c r="AB268" s="69" t="str">
        <f>IFERROR(INDEX(DraftResults[[#All],[Team Name]],MATCH(Table5[[#This Row],[PID]],DraftResults[[#All],[Player ID]],0)),"")</f>
        <v>San Antonio Calzones of Laredo</v>
      </c>
      <c r="AC268" s="69">
        <f>IF(Table5[[#This Row],[Ovr]]="","",IF(Table5[[#This Row],[cmbList]]="","",Table5[[#This Row],[cmbList]]-Table5[[#This Row],[Ovr]]))</f>
        <v>253</v>
      </c>
      <c r="AD268" s="77" t="str">
        <f>IF(ISERROR(VLOOKUP($AB268&amp;"-"&amp;$E268&amp;" "&amp;F268,Bonuses!$B$1:$G$1006,4,FALSE)),"",INT(VLOOKUP($AB268&amp;"-"&amp;$E268&amp;" "&amp;$F268,Bonuses!$B$1:$G$1006,4,FALSE)))</f>
        <v/>
      </c>
      <c r="AE26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9.16 (264) - SP Don Brown</v>
      </c>
    </row>
    <row r="269" spans="1:31" s="50" customFormat="1" x14ac:dyDescent="0.25">
      <c r="A269" s="50">
        <v>18135</v>
      </c>
      <c r="B269" s="50">
        <f>COUNTIF(Table5[PID],A269)</f>
        <v>1</v>
      </c>
      <c r="C269" s="50" t="str">
        <f>IF(COUNTIF(Table3[[#All],[PID]],A269)&gt;0,"P","B")</f>
        <v>B</v>
      </c>
      <c r="D269" s="59" t="str">
        <f>IF($C269="B",INDEX(Batters[[#All],[POS]],MATCH(Table5[[#This Row],[PID]],Batters[[#All],[PID]],0)),INDEX(Table3[[#All],[POS]],MATCH(Table5[[#This Row],[PID]],Table3[[#All],[PID]],0)))</f>
        <v>RF</v>
      </c>
      <c r="E269" s="52" t="str">
        <f>IF($C269="B",INDEX(Batters[[#All],[First]],MATCH(Table5[[#This Row],[PID]],Batters[[#All],[PID]],0)),INDEX(Table3[[#All],[First]],MATCH(Table5[[#This Row],[PID]],Table3[[#All],[PID]],0)))</f>
        <v>Dave</v>
      </c>
      <c r="F269" s="50" t="str">
        <f>IF($C269="B",INDEX(Batters[[#All],[Last]],MATCH(A269,Batters[[#All],[PID]],0)),INDEX(Table3[[#All],[Last]],MATCH(A269,Table3[[#All],[PID]],0)))</f>
        <v>Graham</v>
      </c>
      <c r="G269" s="56">
        <f>IF($C269="B",INDEX(Batters[[#All],[Age]],MATCH(Table5[[#This Row],[PID]],Batters[[#All],[PID]],0)),INDEX(Table3[[#All],[Age]],MATCH(Table5[[#This Row],[PID]],Table3[[#All],[PID]],0)))</f>
        <v>21</v>
      </c>
      <c r="H269" s="52" t="str">
        <f>IF($C269="B",INDEX(Batters[[#All],[B]],MATCH(Table5[[#This Row],[PID]],Batters[[#All],[PID]],0)),INDEX(Table3[[#All],[B]],MATCH(Table5[[#This Row],[PID]],Table3[[#All],[PID]],0)))</f>
        <v>L</v>
      </c>
      <c r="I269" s="52" t="str">
        <f>IF($C269="B",INDEX(Batters[[#All],[T]],MATCH(Table5[[#This Row],[PID]],Batters[[#All],[PID]],0)),INDEX(Table3[[#All],[T]],MATCH(Table5[[#This Row],[PID]],Table3[[#All],[PID]],0)))</f>
        <v>L</v>
      </c>
      <c r="J269" s="52" t="str">
        <f>IF($C269="B",INDEX(Batters[[#All],[WE]],MATCH(Table5[[#This Row],[PID]],Batters[[#All],[PID]],0)),INDEX(Table3[[#All],[WE]],MATCH(Table5[[#This Row],[PID]],Table3[[#All],[PID]],0)))</f>
        <v>Normal</v>
      </c>
      <c r="K269" s="52" t="str">
        <f>IF($C269="B",INDEX(Batters[[#All],[INT]],MATCH(Table5[[#This Row],[PID]],Batters[[#All],[PID]],0)),INDEX(Table3[[#All],[INT]],MATCH(Table5[[#This Row],[PID]],Table3[[#All],[PID]],0)))</f>
        <v>Normal</v>
      </c>
      <c r="L269" s="60">
        <f>IF($C269="B",INDEX(Batters[[#All],[CON P]],MATCH(Table5[[#This Row],[PID]],Batters[[#All],[PID]],0)),INDEX(Table3[[#All],[STU P]],MATCH(Table5[[#This Row],[PID]],Table3[[#All],[PID]],0)))</f>
        <v>4</v>
      </c>
      <c r="M269" s="56">
        <f>IF($C269="B",INDEX(Batters[[#All],[GAP P]],MATCH(Table5[[#This Row],[PID]],Batters[[#All],[PID]],0)),INDEX(Table3[[#All],[MOV P]],MATCH(Table5[[#This Row],[PID]],Table3[[#All],[PID]],0)))</f>
        <v>8</v>
      </c>
      <c r="N269" s="56">
        <f>IF($C269="B",INDEX(Batters[[#All],[POW P]],MATCH(Table5[[#This Row],[PID]],Batters[[#All],[PID]],0)),INDEX(Table3[[#All],[CON P]],MATCH(Table5[[#This Row],[PID]],Table3[[#All],[PID]],0)))</f>
        <v>4</v>
      </c>
      <c r="O269" s="56">
        <f>IF($C269="B",INDEX(Batters[[#All],[EYE P]],MATCH(Table5[[#This Row],[PID]],Batters[[#All],[PID]],0)),INDEX(Table3[[#All],[VELO]],MATCH(Table5[[#This Row],[PID]],Table3[[#All],[PID]],0)))</f>
        <v>4</v>
      </c>
      <c r="P269" s="56">
        <f>IF($C269="B",INDEX(Batters[[#All],[K P]],MATCH(Table5[[#This Row],[PID]],Batters[[#All],[PID]],0)),INDEX(Table3[[#All],[STM]],MATCH(Table5[[#This Row],[PID]],Table3[[#All],[PID]],0)))</f>
        <v>5</v>
      </c>
      <c r="Q269" s="61">
        <f>IF($C269="B",INDEX(Batters[[#All],[Tot]],MATCH(Table5[[#This Row],[PID]],Batters[[#All],[PID]],0)),INDEX(Table3[[#All],[Tot]],MATCH(Table5[[#This Row],[PID]],Table3[[#All],[PID]],0)))</f>
        <v>44.558397765996204</v>
      </c>
      <c r="R269" s="52">
        <f>IF($C269="B",INDEX(Batters[[#All],[zScore]],MATCH(Table5[[#This Row],[PID]],Batters[[#All],[PID]],0)),INDEX(Table3[[#All],[zScore]],MATCH(Table5[[#This Row],[PID]],Table3[[#All],[PID]],0)))</f>
        <v>9.4548631023974719E-2</v>
      </c>
      <c r="S269" s="58" t="str">
        <f>IF($C269="B",INDEX(Batters[[#All],[DEM]],MATCH(Table5[[#This Row],[PID]],Batters[[#All],[PID]],0)),INDEX(Table3[[#All],[DEM]],MATCH(Table5[[#This Row],[PID]],Table3[[#All],[PID]],0)))</f>
        <v>-</v>
      </c>
      <c r="T269" s="62">
        <f>IF($C269="B",INDEX(Batters[[#All],[Rnk]],MATCH(Table5[[#This Row],[PID]],Batters[[#All],[PID]],0)),INDEX(Table3[[#All],[Rnk]],MATCH(Table5[[#This Row],[PID]],Table3[[#All],[PID]],0)))</f>
        <v>224</v>
      </c>
      <c r="U269" s="68">
        <f>IF($C269="B",VLOOKUP($A269,Bat!$A$4:$BA$1621,47,FALSE),VLOOKUP($A269,Pit!$A$4:$BF$1557,56,FALSE))</f>
        <v>0</v>
      </c>
      <c r="V269" s="50">
        <f>IF($C269="B",VLOOKUP($A269,Bat!$A$4:$BA$1621,48,FALSE),VLOOKUP($A269,Pit!$A$4:$BF$1557,57,FALSE))</f>
        <v>0</v>
      </c>
      <c r="W269" s="50">
        <f>Table5[[#This Row],[posRnk]]+Table5[[#This Row],[zRnk]]+IF($W$3&lt;&gt;Table5[[#This Row],[Type]],50,0)</f>
        <v>789</v>
      </c>
      <c r="X269" s="51">
        <f>RANK(Table5[[#This Row],[zScore]],Table5[[#All],[zScore]])</f>
        <v>515</v>
      </c>
      <c r="Y269" s="50">
        <f>IFERROR(INDEX(DraftResults[[#All],[OVR]],MATCH(Table5[[#This Row],[PID]],DraftResults[[#All],[Player ID]],0)),"")</f>
        <v>265</v>
      </c>
      <c r="Z2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69" s="50">
        <f>IFERROR(INDEX(DraftResults[[#All],[Pick in Round]],MATCH(Table5[[#This Row],[PID]],DraftResults[[#All],[Player ID]],0)),"")</f>
        <v>17</v>
      </c>
      <c r="AB269" s="50" t="str">
        <f>IFERROR(INDEX(DraftResults[[#All],[Team Name]],MATCH(Table5[[#This Row],[PID]],DraftResults[[#All],[Player ID]],0)),"")</f>
        <v>Madison Malts</v>
      </c>
      <c r="AC269" s="50">
        <f>IF(Table5[[#This Row],[Ovr]]="","",IF(Table5[[#This Row],[cmbList]]="","",Table5[[#This Row],[cmbList]]-Table5[[#This Row],[Ovr]]))</f>
        <v>524</v>
      </c>
      <c r="AD269" s="54" t="str">
        <f>IF(ISERROR(VLOOKUP($AB269&amp;"-"&amp;$E269&amp;" "&amp;F269,Bonuses!$B$1:$G$1006,4,FALSE)),"",INT(VLOOKUP($AB269&amp;"-"&amp;$E269&amp;" "&amp;$F269,Bonuses!$B$1:$G$1006,4,FALSE)))</f>
        <v/>
      </c>
      <c r="AE2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9.17 (265) - RF Dave Graham</v>
      </c>
    </row>
    <row r="270" spans="1:31" s="50" customFormat="1" x14ac:dyDescent="0.25">
      <c r="A270" s="50">
        <v>18145</v>
      </c>
      <c r="B270" s="55">
        <f>COUNTIF(Table5[PID],A270)</f>
        <v>1</v>
      </c>
      <c r="C270" s="55" t="str">
        <f>IF(COUNTIF(Table3[[#All],[PID]],A270)&gt;0,"P","B")</f>
        <v>B</v>
      </c>
      <c r="D270" s="59" t="str">
        <f>IF($C270="B",INDEX(Batters[[#All],[POS]],MATCH(Table5[[#This Row],[PID]],Batters[[#All],[PID]],0)),INDEX(Table3[[#All],[POS]],MATCH(Table5[[#This Row],[PID]],Table3[[#All],[PID]],0)))</f>
        <v>1B</v>
      </c>
      <c r="E270" s="52" t="str">
        <f>IF($C270="B",INDEX(Batters[[#All],[First]],MATCH(Table5[[#This Row],[PID]],Batters[[#All],[PID]],0)),INDEX(Table3[[#All],[First]],MATCH(Table5[[#This Row],[PID]],Table3[[#All],[PID]],0)))</f>
        <v>Jason</v>
      </c>
      <c r="F270" s="50" t="str">
        <f>IF($C270="B",INDEX(Batters[[#All],[Last]],MATCH(A270,Batters[[#All],[PID]],0)),INDEX(Table3[[#All],[Last]],MATCH(A270,Table3[[#All],[PID]],0)))</f>
        <v>Barrett</v>
      </c>
      <c r="G270" s="56">
        <f>IF($C270="B",INDEX(Batters[[#All],[Age]],MATCH(Table5[[#This Row],[PID]],Batters[[#All],[PID]],0)),INDEX(Table3[[#All],[Age]],MATCH(Table5[[#This Row],[PID]],Table3[[#All],[PID]],0)))</f>
        <v>21</v>
      </c>
      <c r="H270" s="52" t="str">
        <f>IF($C270="B",INDEX(Batters[[#All],[B]],MATCH(Table5[[#This Row],[PID]],Batters[[#All],[PID]],0)),INDEX(Table3[[#All],[B]],MATCH(Table5[[#This Row],[PID]],Table3[[#All],[PID]],0)))</f>
        <v>S</v>
      </c>
      <c r="I270" s="52" t="str">
        <f>IF($C270="B",INDEX(Batters[[#All],[T]],MATCH(Table5[[#This Row],[PID]],Batters[[#All],[PID]],0)),INDEX(Table3[[#All],[T]],MATCH(Table5[[#This Row],[PID]],Table3[[#All],[PID]],0)))</f>
        <v>R</v>
      </c>
      <c r="J270" s="52" t="str">
        <f>IF($C270="B",INDEX(Batters[[#All],[WE]],MATCH(Table5[[#This Row],[PID]],Batters[[#All],[PID]],0)),INDEX(Table3[[#All],[WE]],MATCH(Table5[[#This Row],[PID]],Table3[[#All],[PID]],0)))</f>
        <v>Normal</v>
      </c>
      <c r="K270" s="52" t="str">
        <f>IF($C270="B",INDEX(Batters[[#All],[INT]],MATCH(Table5[[#This Row],[PID]],Batters[[#All],[PID]],0)),INDEX(Table3[[#All],[INT]],MATCH(Table5[[#This Row],[PID]],Table3[[#All],[PID]],0)))</f>
        <v>Normal</v>
      </c>
      <c r="L270" s="60">
        <f>IF($C270="B",INDEX(Batters[[#All],[CON P]],MATCH(Table5[[#This Row],[PID]],Batters[[#All],[PID]],0)),INDEX(Table3[[#All],[STU P]],MATCH(Table5[[#This Row],[PID]],Table3[[#All],[PID]],0)))</f>
        <v>4</v>
      </c>
      <c r="M270" s="56">
        <f>IF($C270="B",INDEX(Batters[[#All],[GAP P]],MATCH(Table5[[#This Row],[PID]],Batters[[#All],[PID]],0)),INDEX(Table3[[#All],[MOV P]],MATCH(Table5[[#This Row],[PID]],Table3[[#All],[PID]],0)))</f>
        <v>5</v>
      </c>
      <c r="N270" s="56">
        <f>IF($C270="B",INDEX(Batters[[#All],[POW P]],MATCH(Table5[[#This Row],[PID]],Batters[[#All],[PID]],0)),INDEX(Table3[[#All],[CON P]],MATCH(Table5[[#This Row],[PID]],Table3[[#All],[PID]],0)))</f>
        <v>5</v>
      </c>
      <c r="O270" s="56">
        <f>IF($C270="B",INDEX(Batters[[#All],[EYE P]],MATCH(Table5[[#This Row],[PID]],Batters[[#All],[PID]],0)),INDEX(Table3[[#All],[VELO]],MATCH(Table5[[#This Row],[PID]],Table3[[#All],[PID]],0)))</f>
        <v>5</v>
      </c>
      <c r="P270" s="56">
        <f>IF($C270="B",INDEX(Batters[[#All],[K P]],MATCH(Table5[[#This Row],[PID]],Batters[[#All],[PID]],0)),INDEX(Table3[[#All],[STM]],MATCH(Table5[[#This Row],[PID]],Table3[[#All],[PID]],0)))</f>
        <v>5</v>
      </c>
      <c r="Q270" s="61">
        <f>IF($C270="B",INDEX(Batters[[#All],[Tot]],MATCH(Table5[[#This Row],[PID]],Batters[[#All],[PID]],0)),INDEX(Table3[[#All],[Tot]],MATCH(Table5[[#This Row],[PID]],Table3[[#All],[PID]],0)))</f>
        <v>44.141588801603319</v>
      </c>
      <c r="R270" s="52">
        <f>IF($C270="B",INDEX(Batters[[#All],[zScore]],MATCH(Table5[[#This Row],[PID]],Batters[[#All],[PID]],0)),INDEX(Table3[[#All],[zScore]],MATCH(Table5[[#This Row],[PID]],Table3[[#All],[PID]],0)))</f>
        <v>2.1392662509449999E-3</v>
      </c>
      <c r="S270" s="58" t="str">
        <f>IF($C270="B",INDEX(Batters[[#All],[DEM]],MATCH(Table5[[#This Row],[PID]],Batters[[#All],[PID]],0)),INDEX(Table3[[#All],[DEM]],MATCH(Table5[[#This Row],[PID]],Table3[[#All],[PID]],0)))</f>
        <v>-</v>
      </c>
      <c r="T270" s="62">
        <f>IF($C270="B",INDEX(Batters[[#All],[Rnk]],MATCH(Table5[[#This Row],[PID]],Batters[[#All],[PID]],0)),INDEX(Table3[[#All],[Rnk]],MATCH(Table5[[#This Row],[PID]],Table3[[#All],[PID]],0)))</f>
        <v>245</v>
      </c>
      <c r="U270" s="68">
        <f>IF($C270="B",VLOOKUP($A270,Bat!$A$4:$BA$1621,47,FALSE),VLOOKUP($A270,Pit!$A$4:$BF$1557,56,FALSE))</f>
        <v>0</v>
      </c>
      <c r="V270" s="50">
        <f>IF($C270="B",VLOOKUP($A270,Bat!$A$4:$BA$1621,48,FALSE),VLOOKUP($A270,Pit!$A$4:$BF$1557,57,FALSE))</f>
        <v>0</v>
      </c>
      <c r="W270" s="50">
        <f>Table5[[#This Row],[posRnk]]+Table5[[#This Row],[zRnk]]+IF($W$3&lt;&gt;Table5[[#This Row],[Type]],50,0)</f>
        <v>847</v>
      </c>
      <c r="X270" s="51">
        <f>RANK(Table5[[#This Row],[zScore]],Table5[[#All],[zScore]])</f>
        <v>552</v>
      </c>
      <c r="Y270" s="50">
        <f>IFERROR(INDEX(DraftResults[[#All],[OVR]],MATCH(Table5[[#This Row],[PID]],DraftResults[[#All],[Player ID]],0)),"")</f>
        <v>266</v>
      </c>
      <c r="Z2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0" s="50">
        <f>IFERROR(INDEX(DraftResults[[#All],[Pick in Round]],MATCH(Table5[[#This Row],[PID]],DraftResults[[#All],[Player ID]],0)),"")</f>
        <v>18</v>
      </c>
      <c r="AB270" s="50" t="str">
        <f>IFERROR(INDEX(DraftResults[[#All],[Team Name]],MATCH(Table5[[#This Row],[PID]],DraftResults[[#All],[Player ID]],0)),"")</f>
        <v>Bakersfield Bears</v>
      </c>
      <c r="AC270" s="50">
        <f>IF(Table5[[#This Row],[Ovr]]="","",IF(Table5[[#This Row],[cmbList]]="","",Table5[[#This Row],[cmbList]]-Table5[[#This Row],[Ovr]]))</f>
        <v>581</v>
      </c>
      <c r="AD270" s="54" t="str">
        <f>IF(ISERROR(VLOOKUP($AB270&amp;"-"&amp;$E270&amp;" "&amp;F270,Bonuses!$B$1:$G$1006,4,FALSE)),"",INT(VLOOKUP($AB270&amp;"-"&amp;$E270&amp;" "&amp;$F270,Bonuses!$B$1:$G$1006,4,FALSE)))</f>
        <v/>
      </c>
      <c r="AE2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9.18 (266) - 1B Jason Barrett</v>
      </c>
    </row>
    <row r="271" spans="1:31" s="50" customFormat="1" x14ac:dyDescent="0.25">
      <c r="A271" s="50">
        <v>18082</v>
      </c>
      <c r="B271" s="50">
        <f>COUNTIF(Table5[PID],A271)</f>
        <v>1</v>
      </c>
      <c r="C271" s="50" t="str">
        <f>IF(COUNTIF(Table3[[#All],[PID]],A271)&gt;0,"P","B")</f>
        <v>B</v>
      </c>
      <c r="D271" s="59" t="str">
        <f>IF($C271="B",INDEX(Batters[[#All],[POS]],MATCH(Table5[[#This Row],[PID]],Batters[[#All],[PID]],0)),INDEX(Table3[[#All],[POS]],MATCH(Table5[[#This Row],[PID]],Table3[[#All],[PID]],0)))</f>
        <v>3B</v>
      </c>
      <c r="E271" s="52" t="str">
        <f>IF($C271="B",INDEX(Batters[[#All],[First]],MATCH(Table5[[#This Row],[PID]],Batters[[#All],[PID]],0)),INDEX(Table3[[#All],[First]],MATCH(Table5[[#This Row],[PID]],Table3[[#All],[PID]],0)))</f>
        <v>Chris</v>
      </c>
      <c r="F271" s="50" t="str">
        <f>IF($C271="B",INDEX(Batters[[#All],[Last]],MATCH(A271,Batters[[#All],[PID]],0)),INDEX(Table3[[#All],[Last]],MATCH(A271,Table3[[#All],[PID]],0)))</f>
        <v>Adkins</v>
      </c>
      <c r="G271" s="56">
        <f>IF($C271="B",INDEX(Batters[[#All],[Age]],MATCH(Table5[[#This Row],[PID]],Batters[[#All],[PID]],0)),INDEX(Table3[[#All],[Age]],MATCH(Table5[[#This Row],[PID]],Table3[[#All],[PID]],0)))</f>
        <v>21</v>
      </c>
      <c r="H271" s="52" t="str">
        <f>IF($C271="B",INDEX(Batters[[#All],[B]],MATCH(Table5[[#This Row],[PID]],Batters[[#All],[PID]],0)),INDEX(Table3[[#All],[B]],MATCH(Table5[[#This Row],[PID]],Table3[[#All],[PID]],0)))</f>
        <v>R</v>
      </c>
      <c r="I271" s="52" t="str">
        <f>IF($C271="B",INDEX(Batters[[#All],[T]],MATCH(Table5[[#This Row],[PID]],Batters[[#All],[PID]],0)),INDEX(Table3[[#All],[T]],MATCH(Table5[[#This Row],[PID]],Table3[[#All],[PID]],0)))</f>
        <v>R</v>
      </c>
      <c r="J271" s="52" t="str">
        <f>IF($C271="B",INDEX(Batters[[#All],[WE]],MATCH(Table5[[#This Row],[PID]],Batters[[#All],[PID]],0)),INDEX(Table3[[#All],[WE]],MATCH(Table5[[#This Row],[PID]],Table3[[#All],[PID]],0)))</f>
        <v>Normal</v>
      </c>
      <c r="K271" s="52" t="str">
        <f>IF($C271="B",INDEX(Batters[[#All],[INT]],MATCH(Table5[[#This Row],[PID]],Batters[[#All],[PID]],0)),INDEX(Table3[[#All],[INT]],MATCH(Table5[[#This Row],[PID]],Table3[[#All],[PID]],0)))</f>
        <v>Normal</v>
      </c>
      <c r="L271" s="60">
        <f>IF($C271="B",INDEX(Batters[[#All],[CON P]],MATCH(Table5[[#This Row],[PID]],Batters[[#All],[PID]],0)),INDEX(Table3[[#All],[STU P]],MATCH(Table5[[#This Row],[PID]],Table3[[#All],[PID]],0)))</f>
        <v>4</v>
      </c>
      <c r="M271" s="56">
        <f>IF($C271="B",INDEX(Batters[[#All],[GAP P]],MATCH(Table5[[#This Row],[PID]],Batters[[#All],[PID]],0)),INDEX(Table3[[#All],[MOV P]],MATCH(Table5[[#This Row],[PID]],Table3[[#All],[PID]],0)))</f>
        <v>6</v>
      </c>
      <c r="N271" s="56">
        <f>IF($C271="B",INDEX(Batters[[#All],[POW P]],MATCH(Table5[[#This Row],[PID]],Batters[[#All],[PID]],0)),INDEX(Table3[[#All],[CON P]],MATCH(Table5[[#This Row],[PID]],Table3[[#All],[PID]],0)))</f>
        <v>5</v>
      </c>
      <c r="O271" s="56">
        <f>IF($C271="B",INDEX(Batters[[#All],[EYE P]],MATCH(Table5[[#This Row],[PID]],Batters[[#All],[PID]],0)),INDEX(Table3[[#All],[VELO]],MATCH(Table5[[#This Row],[PID]],Table3[[#All],[PID]],0)))</f>
        <v>5</v>
      </c>
      <c r="P271" s="56">
        <f>IF($C271="B",INDEX(Batters[[#All],[K P]],MATCH(Table5[[#This Row],[PID]],Batters[[#All],[PID]],0)),INDEX(Table3[[#All],[STM]],MATCH(Table5[[#This Row],[PID]],Table3[[#All],[PID]],0)))</f>
        <v>4</v>
      </c>
      <c r="Q271" s="61">
        <f>IF($C271="B",INDEX(Batters[[#All],[Tot]],MATCH(Table5[[#This Row],[PID]],Batters[[#All],[PID]],0)),INDEX(Table3[[#All],[Tot]],MATCH(Table5[[#This Row],[PID]],Table3[[#All],[PID]],0)))</f>
        <v>45.01136394745707</v>
      </c>
      <c r="R271" s="52">
        <f>IF($C271="B",INDEX(Batters[[#All],[zScore]],MATCH(Table5[[#This Row],[PID]],Batters[[#All],[PID]],0)),INDEX(Table3[[#All],[zScore]],MATCH(Table5[[#This Row],[PID]],Table3[[#All],[PID]],0)))</f>
        <v>0.19497429522108103</v>
      </c>
      <c r="S271" s="58" t="str">
        <f>IF($C271="B",INDEX(Batters[[#All],[DEM]],MATCH(Table5[[#This Row],[PID]],Batters[[#All],[PID]],0)),INDEX(Table3[[#All],[DEM]],MATCH(Table5[[#This Row],[PID]],Table3[[#All],[PID]],0)))</f>
        <v>$90k</v>
      </c>
      <c r="T271" s="62">
        <f>IF($C271="B",INDEX(Batters[[#All],[Rnk]],MATCH(Table5[[#This Row],[PID]],Batters[[#All],[PID]],0)),INDEX(Table3[[#All],[Rnk]],MATCH(Table5[[#This Row],[PID]],Table3[[#All],[PID]],0)))</f>
        <v>206</v>
      </c>
      <c r="U271" s="68">
        <f>IF($C271="B",VLOOKUP($A271,Bat!$A$4:$BA$1621,47,FALSE),VLOOKUP($A271,Pit!$A$4:$BF$1557,56,FALSE))</f>
        <v>0</v>
      </c>
      <c r="V271" s="50">
        <f>IF($C271="B",VLOOKUP($A271,Bat!$A$4:$BA$1621,48,FALSE),VLOOKUP($A271,Pit!$A$4:$BF$1557,57,FALSE))</f>
        <v>0</v>
      </c>
      <c r="W271" s="50">
        <f>Table5[[#This Row],[posRnk]]+Table5[[#This Row],[zRnk]]+IF($W$3&lt;&gt;Table5[[#This Row],[Type]],50,0)</f>
        <v>727</v>
      </c>
      <c r="X271" s="51">
        <f>RANK(Table5[[#This Row],[zScore]],Table5[[#All],[zScore]])</f>
        <v>471</v>
      </c>
      <c r="Y271" s="50">
        <f>IFERROR(INDEX(DraftResults[[#All],[OVR]],MATCH(Table5[[#This Row],[PID]],DraftResults[[#All],[Player ID]],0)),"")</f>
        <v>267</v>
      </c>
      <c r="Z2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1" s="50">
        <f>IFERROR(INDEX(DraftResults[[#All],[Pick in Round]],MATCH(Table5[[#This Row],[PID]],DraftResults[[#All],[Player ID]],0)),"")</f>
        <v>19</v>
      </c>
      <c r="AB271" s="50" t="str">
        <f>IFERROR(INDEX(DraftResults[[#All],[Team Name]],MATCH(Table5[[#This Row],[PID]],DraftResults[[#All],[Player ID]],0)),"")</f>
        <v>Kalamazoo Badgers</v>
      </c>
      <c r="AC271" s="50">
        <f>IF(Table5[[#This Row],[Ovr]]="","",IF(Table5[[#This Row],[cmbList]]="","",Table5[[#This Row],[cmbList]]-Table5[[#This Row],[Ovr]]))</f>
        <v>460</v>
      </c>
      <c r="AD271" s="54" t="str">
        <f>IF(ISERROR(VLOOKUP($AB271&amp;"-"&amp;$E271&amp;" "&amp;F271,Bonuses!$B$1:$G$1006,4,FALSE)),"",INT(VLOOKUP($AB271&amp;"-"&amp;$E271&amp;" "&amp;$F271,Bonuses!$B$1:$G$1006,4,FALSE)))</f>
        <v/>
      </c>
      <c r="AE2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9.19 (267) - 3B Chris Adkins</v>
      </c>
    </row>
    <row r="272" spans="1:31" s="50" customFormat="1" x14ac:dyDescent="0.25">
      <c r="A272" s="50">
        <v>20920</v>
      </c>
      <c r="B272" s="50">
        <f>COUNTIF(Table5[PID],A272)</f>
        <v>1</v>
      </c>
      <c r="C272" s="50" t="str">
        <f>IF(COUNTIF(Table3[[#All],[PID]],A272)&gt;0,"P","B")</f>
        <v>B</v>
      </c>
      <c r="D272" s="59" t="str">
        <f>IF($C272="B",INDEX(Batters[[#All],[POS]],MATCH(Table5[[#This Row],[PID]],Batters[[#All],[PID]],0)),INDEX(Table3[[#All],[POS]],MATCH(Table5[[#This Row],[PID]],Table3[[#All],[PID]],0)))</f>
        <v>CF</v>
      </c>
      <c r="E272" s="52" t="str">
        <f>IF($C272="B",INDEX(Batters[[#All],[First]],MATCH(Table5[[#This Row],[PID]],Batters[[#All],[PID]],0)),INDEX(Table3[[#All],[First]],MATCH(Table5[[#This Row],[PID]],Table3[[#All],[PID]],0)))</f>
        <v>Juan</v>
      </c>
      <c r="F272" s="50" t="str">
        <f>IF($C272="B",INDEX(Batters[[#All],[Last]],MATCH(A272,Batters[[#All],[PID]],0)),INDEX(Table3[[#All],[Last]],MATCH(A272,Table3[[#All],[PID]],0)))</f>
        <v>Galindo</v>
      </c>
      <c r="G272" s="56">
        <f>IF($C272="B",INDEX(Batters[[#All],[Age]],MATCH(Table5[[#This Row],[PID]],Batters[[#All],[PID]],0)),INDEX(Table3[[#All],[Age]],MATCH(Table5[[#This Row],[PID]],Table3[[#All],[PID]],0)))</f>
        <v>17</v>
      </c>
      <c r="H272" s="52" t="str">
        <f>IF($C272="B",INDEX(Batters[[#All],[B]],MATCH(Table5[[#This Row],[PID]],Batters[[#All],[PID]],0)),INDEX(Table3[[#All],[B]],MATCH(Table5[[#This Row],[PID]],Table3[[#All],[PID]],0)))</f>
        <v>R</v>
      </c>
      <c r="I272" s="52" t="str">
        <f>IF($C272="B",INDEX(Batters[[#All],[T]],MATCH(Table5[[#This Row],[PID]],Batters[[#All],[PID]],0)),INDEX(Table3[[#All],[T]],MATCH(Table5[[#This Row],[PID]],Table3[[#All],[PID]],0)))</f>
        <v>R</v>
      </c>
      <c r="J272" s="52" t="str">
        <f>IF($C272="B",INDEX(Batters[[#All],[WE]],MATCH(Table5[[#This Row],[PID]],Batters[[#All],[PID]],0)),INDEX(Table3[[#All],[WE]],MATCH(Table5[[#This Row],[PID]],Table3[[#All],[PID]],0)))</f>
        <v>Normal</v>
      </c>
      <c r="K272" s="52" t="str">
        <f>IF($C272="B",INDEX(Batters[[#All],[INT]],MATCH(Table5[[#This Row],[PID]],Batters[[#All],[PID]],0)),INDEX(Table3[[#All],[INT]],MATCH(Table5[[#This Row],[PID]],Table3[[#All],[PID]],0)))</f>
        <v>Normal</v>
      </c>
      <c r="L272" s="60">
        <f>IF($C272="B",INDEX(Batters[[#All],[CON P]],MATCH(Table5[[#This Row],[PID]],Batters[[#All],[PID]],0)),INDEX(Table3[[#All],[STU P]],MATCH(Table5[[#This Row],[PID]],Table3[[#All],[PID]],0)))</f>
        <v>4</v>
      </c>
      <c r="M272" s="56">
        <f>IF($C272="B",INDEX(Batters[[#All],[GAP P]],MATCH(Table5[[#This Row],[PID]],Batters[[#All],[PID]],0)),INDEX(Table3[[#All],[MOV P]],MATCH(Table5[[#This Row],[PID]],Table3[[#All],[PID]],0)))</f>
        <v>7</v>
      </c>
      <c r="N272" s="56">
        <f>IF($C272="B",INDEX(Batters[[#All],[POW P]],MATCH(Table5[[#This Row],[PID]],Batters[[#All],[PID]],0)),INDEX(Table3[[#All],[CON P]],MATCH(Table5[[#This Row],[PID]],Table3[[#All],[PID]],0)))</f>
        <v>5</v>
      </c>
      <c r="O272" s="56">
        <f>IF($C272="B",INDEX(Batters[[#All],[EYE P]],MATCH(Table5[[#This Row],[PID]],Batters[[#All],[PID]],0)),INDEX(Table3[[#All],[VELO]],MATCH(Table5[[#This Row],[PID]],Table3[[#All],[PID]],0)))</f>
        <v>5</v>
      </c>
      <c r="P272" s="56">
        <f>IF($C272="B",INDEX(Batters[[#All],[K P]],MATCH(Table5[[#This Row],[PID]],Batters[[#All],[PID]],0)),INDEX(Table3[[#All],[STM]],MATCH(Table5[[#This Row],[PID]],Table3[[#All],[PID]],0)))</f>
        <v>4</v>
      </c>
      <c r="Q272" s="61">
        <f>IF($C272="B",INDEX(Batters[[#All],[Tot]],MATCH(Table5[[#This Row],[PID]],Batters[[#All],[PID]],0)),INDEX(Table3[[#All],[Tot]],MATCH(Table5[[#This Row],[PID]],Table3[[#All],[PID]],0)))</f>
        <v>50.390387825052429</v>
      </c>
      <c r="R272" s="52">
        <f>IF($C272="B",INDEX(Batters[[#All],[zScore]],MATCH(Table5[[#This Row],[PID]],Batters[[#All],[PID]],0)),INDEX(Table3[[#All],[zScore]],MATCH(Table5[[#This Row],[PID]],Table3[[#All],[PID]],0)))</f>
        <v>1.3875402477110201</v>
      </c>
      <c r="S272" s="58" t="str">
        <f>IF($C272="B",INDEX(Batters[[#All],[DEM]],MATCH(Table5[[#This Row],[PID]],Batters[[#All],[PID]],0)),INDEX(Table3[[#All],[DEM]],MATCH(Table5[[#This Row],[PID]],Table3[[#All],[PID]],0)))</f>
        <v>$190k</v>
      </c>
      <c r="T272" s="62">
        <f>IF($C272="B",INDEX(Batters[[#All],[Rnk]],MATCH(Table5[[#This Row],[PID]],Batters[[#All],[PID]],0)),INDEX(Table3[[#All],[Rnk]],MATCH(Table5[[#This Row],[PID]],Table3[[#All],[PID]],0)))</f>
        <v>52</v>
      </c>
      <c r="U272" s="68">
        <f>IF($C272="B",VLOOKUP($A272,Bat!$A$4:$BA$1621,47,FALSE),VLOOKUP($A272,Pit!$A$4:$BF$1557,56,FALSE))</f>
        <v>0</v>
      </c>
      <c r="V272" s="50">
        <f>IF($C272="B",VLOOKUP($A272,Bat!$A$4:$BA$1621,48,FALSE),VLOOKUP($A272,Pit!$A$4:$BF$1557,57,FALSE))</f>
        <v>0</v>
      </c>
      <c r="W272" s="50">
        <f>Table5[[#This Row],[posRnk]]+Table5[[#This Row],[zRnk]]+IF($W$3&lt;&gt;Table5[[#This Row],[Type]],50,0)</f>
        <v>240</v>
      </c>
      <c r="X272" s="51">
        <f>RANK(Table5[[#This Row],[zScore]],Table5[[#All],[zScore]])</f>
        <v>138</v>
      </c>
      <c r="Y272" s="50">
        <f>IFERROR(INDEX(DraftResults[[#All],[OVR]],MATCH(Table5[[#This Row],[PID]],DraftResults[[#All],[Player ID]],0)),"")</f>
        <v>268</v>
      </c>
      <c r="Z2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2" s="50">
        <f>IFERROR(INDEX(DraftResults[[#All],[Pick in Round]],MATCH(Table5[[#This Row],[PID]],DraftResults[[#All],[Player ID]],0)),"")</f>
        <v>20</v>
      </c>
      <c r="AB272" s="50" t="str">
        <f>IFERROR(INDEX(DraftResults[[#All],[Team Name]],MATCH(Table5[[#This Row],[PID]],DraftResults[[#All],[Player ID]],0)),"")</f>
        <v>Amsterdam Lions</v>
      </c>
      <c r="AC272" s="50">
        <f>IF(Table5[[#This Row],[Ovr]]="","",IF(Table5[[#This Row],[cmbList]]="","",Table5[[#This Row],[cmbList]]-Table5[[#This Row],[Ovr]]))</f>
        <v>-28</v>
      </c>
      <c r="AD272" s="54" t="str">
        <f>IF(ISERROR(VLOOKUP($AB272&amp;"-"&amp;$E272&amp;" "&amp;F272,Bonuses!$B$1:$G$1006,4,FALSE)),"",INT(VLOOKUP($AB272&amp;"-"&amp;$E272&amp;" "&amp;$F272,Bonuses!$B$1:$G$1006,4,FALSE)))</f>
        <v/>
      </c>
      <c r="AE2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9.20 (268) - CF Juan Galindo</v>
      </c>
    </row>
    <row r="273" spans="1:31" s="50" customFormat="1" x14ac:dyDescent="0.25">
      <c r="A273" s="68">
        <v>18237</v>
      </c>
      <c r="B273" s="69">
        <f>COUNTIF(Table5[PID],A273)</f>
        <v>1</v>
      </c>
      <c r="C273" s="69" t="str">
        <f>IF(COUNTIF(Table3[[#All],[PID]],A273)&gt;0,"P","B")</f>
        <v>P</v>
      </c>
      <c r="D273" s="59" t="str">
        <f>IF($C273="B",INDEX(Batters[[#All],[POS]],MATCH(Table5[[#This Row],[PID]],Batters[[#All],[PID]],0)),INDEX(Table3[[#All],[POS]],MATCH(Table5[[#This Row],[PID]],Table3[[#All],[PID]],0)))</f>
        <v>SP</v>
      </c>
      <c r="E273" s="52" t="str">
        <f>IF($C273="B",INDEX(Batters[[#All],[First]],MATCH(Table5[[#This Row],[PID]],Batters[[#All],[PID]],0)),INDEX(Table3[[#All],[First]],MATCH(Table5[[#This Row],[PID]],Table3[[#All],[PID]],0)))</f>
        <v>Cliff</v>
      </c>
      <c r="F273" s="55" t="str">
        <f>IF($C273="B",INDEX(Batters[[#All],[Last]],MATCH(A273,Batters[[#All],[PID]],0)),INDEX(Table3[[#All],[Last]],MATCH(A273,Table3[[#All],[PID]],0)))</f>
        <v>Morris</v>
      </c>
      <c r="G273" s="56">
        <f>IF($C273="B",INDEX(Batters[[#All],[Age]],MATCH(Table5[[#This Row],[PID]],Batters[[#All],[PID]],0)),INDEX(Table3[[#All],[Age]],MATCH(Table5[[#This Row],[PID]],Table3[[#All],[PID]],0)))</f>
        <v>18</v>
      </c>
      <c r="H273" s="52" t="str">
        <f>IF($C273="B",INDEX(Batters[[#All],[B]],MATCH(Table5[[#This Row],[PID]],Batters[[#All],[PID]],0)),INDEX(Table3[[#All],[B]],MATCH(Table5[[#This Row],[PID]],Table3[[#All],[PID]],0)))</f>
        <v>R</v>
      </c>
      <c r="I273" s="52" t="str">
        <f>IF($C273="B",INDEX(Batters[[#All],[T]],MATCH(Table5[[#This Row],[PID]],Batters[[#All],[PID]],0)),INDEX(Table3[[#All],[T]],MATCH(Table5[[#This Row],[PID]],Table3[[#All],[PID]],0)))</f>
        <v>R</v>
      </c>
      <c r="J273" s="71" t="str">
        <f>IF($C273="B",INDEX(Batters[[#All],[WE]],MATCH(Table5[[#This Row],[PID]],Batters[[#All],[PID]],0)),INDEX(Table3[[#All],[WE]],MATCH(Table5[[#This Row],[PID]],Table3[[#All],[PID]],0)))</f>
        <v>Low</v>
      </c>
      <c r="K273" s="52" t="str">
        <f>IF($C273="B",INDEX(Batters[[#All],[INT]],MATCH(Table5[[#This Row],[PID]],Batters[[#All],[PID]],0)),INDEX(Table3[[#All],[INT]],MATCH(Table5[[#This Row],[PID]],Table3[[#All],[PID]],0)))</f>
        <v>Normal</v>
      </c>
      <c r="L273" s="60">
        <f>IF($C273="B",INDEX(Batters[[#All],[CON P]],MATCH(Table5[[#This Row],[PID]],Batters[[#All],[PID]],0)),INDEX(Table3[[#All],[STU P]],MATCH(Table5[[#This Row],[PID]],Table3[[#All],[PID]],0)))</f>
        <v>4</v>
      </c>
      <c r="M273" s="72">
        <f>IF($C273="B",INDEX(Batters[[#All],[GAP P]],MATCH(Table5[[#This Row],[PID]],Batters[[#All],[PID]],0)),INDEX(Table3[[#All],[MOV P]],MATCH(Table5[[#This Row],[PID]],Table3[[#All],[PID]],0)))</f>
        <v>3</v>
      </c>
      <c r="N273" s="72">
        <f>IF($C273="B",INDEX(Batters[[#All],[POW P]],MATCH(Table5[[#This Row],[PID]],Batters[[#All],[PID]],0)),INDEX(Table3[[#All],[CON P]],MATCH(Table5[[#This Row],[PID]],Table3[[#All],[PID]],0)))</f>
        <v>6</v>
      </c>
      <c r="O273" s="72" t="str">
        <f>IF($C273="B",INDEX(Batters[[#All],[EYE P]],MATCH(Table5[[#This Row],[PID]],Batters[[#All],[PID]],0)),INDEX(Table3[[#All],[VELO]],MATCH(Table5[[#This Row],[PID]],Table3[[#All],[PID]],0)))</f>
        <v>88-90 Mph</v>
      </c>
      <c r="P273" s="56">
        <f>IF($C273="B",INDEX(Batters[[#All],[K P]],MATCH(Table5[[#This Row],[PID]],Batters[[#All],[PID]],0)),INDEX(Table3[[#All],[STM]],MATCH(Table5[[#This Row],[PID]],Table3[[#All],[PID]],0)))</f>
        <v>6</v>
      </c>
      <c r="Q273" s="61">
        <f>IF($C273="B",INDEX(Batters[[#All],[Tot]],MATCH(Table5[[#This Row],[PID]],Batters[[#All],[PID]],0)),INDEX(Table3[[#All],[Tot]],MATCH(Table5[[#This Row],[PID]],Table3[[#All],[PID]],0)))</f>
        <v>53.654311882520034</v>
      </c>
      <c r="R273" s="52">
        <f>IF($C273="B",INDEX(Batters[[#All],[zScore]],MATCH(Table5[[#This Row],[PID]],Batters[[#All],[PID]],0)),INDEX(Table3[[#All],[zScore]],MATCH(Table5[[#This Row],[PID]],Table3[[#All],[PID]],0)))</f>
        <v>1.1831280963428206</v>
      </c>
      <c r="S273" s="78" t="str">
        <f>IF($C273="B",INDEX(Batters[[#All],[DEM]],MATCH(Table5[[#This Row],[PID]],Batters[[#All],[PID]],0)),INDEX(Table3[[#All],[DEM]],MATCH(Table5[[#This Row],[PID]],Table3[[#All],[PID]],0)))</f>
        <v>$85k</v>
      </c>
      <c r="T273" s="75">
        <f>IF($C273="B",INDEX(Batters[[#All],[Rnk]],MATCH(Table5[[#This Row],[PID]],Batters[[#All],[PID]],0)),INDEX(Table3[[#All],[Rnk]],MATCH(Table5[[#This Row],[PID]],Table3[[#All],[PID]],0)))</f>
        <v>115</v>
      </c>
      <c r="U273" s="68">
        <f>IF($C273="B",VLOOKUP($A273,Bat!$A$4:$BA$1621,47,FALSE),VLOOKUP($A273,Pit!$A$4:$BF$1557,56,FALSE))</f>
        <v>0</v>
      </c>
      <c r="V273" s="50">
        <f>IF($C273="B",VLOOKUP($A273,Bat!$A$4:$BA$1621,48,FALSE),VLOOKUP($A273,Pit!$A$4:$BF$1557,57,FALSE))</f>
        <v>0</v>
      </c>
      <c r="W273" s="69">
        <f>Table5[[#This Row],[posRnk]]+Table5[[#This Row],[zRnk]]+IF($W$3&lt;&gt;Table5[[#This Row],[Type]],50,0)</f>
        <v>353</v>
      </c>
      <c r="X273" s="73">
        <f>RANK(Table5[[#This Row],[zScore]],Table5[[#All],[zScore]])</f>
        <v>188</v>
      </c>
      <c r="Y273" s="69">
        <f>IFERROR(INDEX(DraftResults[[#All],[OVR]],MATCH(Table5[[#This Row],[PID]],DraftResults[[#All],[Player ID]],0)),"")</f>
        <v>269</v>
      </c>
      <c r="Z27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3" s="69">
        <f>IFERROR(INDEX(DraftResults[[#All],[Pick in Round]],MATCH(Table5[[#This Row],[PID]],DraftResults[[#All],[Player ID]],0)),"")</f>
        <v>21</v>
      </c>
      <c r="AB273" s="69" t="str">
        <f>IFERROR(INDEX(DraftResults[[#All],[Team Name]],MATCH(Table5[[#This Row],[PID]],DraftResults[[#All],[Player ID]],0)),"")</f>
        <v>Crystal Lake Sandgnats</v>
      </c>
      <c r="AC273" s="69">
        <f>IF(Table5[[#This Row],[Ovr]]="","",IF(Table5[[#This Row],[cmbList]]="","",Table5[[#This Row],[cmbList]]-Table5[[#This Row],[Ovr]]))</f>
        <v>84</v>
      </c>
      <c r="AD273" s="77" t="str">
        <f>IF(ISERROR(VLOOKUP($AB273&amp;"-"&amp;$E273&amp;" "&amp;F273,Bonuses!$B$1:$G$1006,4,FALSE)),"",INT(VLOOKUP($AB273&amp;"-"&amp;$E273&amp;" "&amp;$F273,Bonuses!$B$1:$G$1006,4,FALSE)))</f>
        <v/>
      </c>
      <c r="AE27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9.21 (269) - SP Cliff Morris</v>
      </c>
    </row>
    <row r="274" spans="1:31" s="50" customFormat="1" x14ac:dyDescent="0.25">
      <c r="A274" s="50">
        <v>20674</v>
      </c>
      <c r="B274" s="50">
        <f>COUNTIF(Table5[PID],A274)</f>
        <v>1</v>
      </c>
      <c r="C274" s="50" t="str">
        <f>IF(COUNTIF(Table3[[#All],[PID]],A274)&gt;0,"P","B")</f>
        <v>B</v>
      </c>
      <c r="D274" s="59" t="str">
        <f>IF($C274="B",INDEX(Batters[[#All],[POS]],MATCH(Table5[[#This Row],[PID]],Batters[[#All],[PID]],0)),INDEX(Table3[[#All],[POS]],MATCH(Table5[[#This Row],[PID]],Table3[[#All],[PID]],0)))</f>
        <v>RF</v>
      </c>
      <c r="E274" s="52" t="str">
        <f>IF($C274="B",INDEX(Batters[[#All],[First]],MATCH(Table5[[#This Row],[PID]],Batters[[#All],[PID]],0)),INDEX(Table3[[#All],[First]],MATCH(Table5[[#This Row],[PID]],Table3[[#All],[PID]],0)))</f>
        <v>Seung-woo</v>
      </c>
      <c r="F274" s="50" t="str">
        <f>IF($C274="B",INDEX(Batters[[#All],[Last]],MATCH(A274,Batters[[#All],[PID]],0)),INDEX(Table3[[#All],[Last]],MATCH(A274,Table3[[#All],[PID]],0)))</f>
        <v>U</v>
      </c>
      <c r="G274" s="56">
        <f>IF($C274="B",INDEX(Batters[[#All],[Age]],MATCH(Table5[[#This Row],[PID]],Batters[[#All],[PID]],0)),INDEX(Table3[[#All],[Age]],MATCH(Table5[[#This Row],[PID]],Table3[[#All],[PID]],0)))</f>
        <v>18</v>
      </c>
      <c r="H274" s="52" t="str">
        <f>IF($C274="B",INDEX(Batters[[#All],[B]],MATCH(Table5[[#This Row],[PID]],Batters[[#All],[PID]],0)),INDEX(Table3[[#All],[B]],MATCH(Table5[[#This Row],[PID]],Table3[[#All],[PID]],0)))</f>
        <v>S</v>
      </c>
      <c r="I274" s="52" t="str">
        <f>IF($C274="B",INDEX(Batters[[#All],[T]],MATCH(Table5[[#This Row],[PID]],Batters[[#All],[PID]],0)),INDEX(Table3[[#All],[T]],MATCH(Table5[[#This Row],[PID]],Table3[[#All],[PID]],0)))</f>
        <v>R</v>
      </c>
      <c r="J274" s="52" t="str">
        <f>IF($C274="B",INDEX(Batters[[#All],[WE]],MATCH(Table5[[#This Row],[PID]],Batters[[#All],[PID]],0)),INDEX(Table3[[#All],[WE]],MATCH(Table5[[#This Row],[PID]],Table3[[#All],[PID]],0)))</f>
        <v>Low</v>
      </c>
      <c r="K274" s="52" t="str">
        <f>IF($C274="B",INDEX(Batters[[#All],[INT]],MATCH(Table5[[#This Row],[PID]],Batters[[#All],[PID]],0)),INDEX(Table3[[#All],[INT]],MATCH(Table5[[#This Row],[PID]],Table3[[#All],[PID]],0)))</f>
        <v>Low</v>
      </c>
      <c r="L274" s="60">
        <f>IF($C274="B",INDEX(Batters[[#All],[CON P]],MATCH(Table5[[#This Row],[PID]],Batters[[#All],[PID]],0)),INDEX(Table3[[#All],[STU P]],MATCH(Table5[[#This Row],[PID]],Table3[[#All],[PID]],0)))</f>
        <v>3</v>
      </c>
      <c r="M274" s="56">
        <f>IF($C274="B",INDEX(Batters[[#All],[GAP P]],MATCH(Table5[[#This Row],[PID]],Batters[[#All],[PID]],0)),INDEX(Table3[[#All],[MOV P]],MATCH(Table5[[#This Row],[PID]],Table3[[#All],[PID]],0)))</f>
        <v>7</v>
      </c>
      <c r="N274" s="56">
        <f>IF($C274="B",INDEX(Batters[[#All],[POW P]],MATCH(Table5[[#This Row],[PID]],Batters[[#All],[PID]],0)),INDEX(Table3[[#All],[CON P]],MATCH(Table5[[#This Row],[PID]],Table3[[#All],[PID]],0)))</f>
        <v>8</v>
      </c>
      <c r="O274" s="56">
        <f>IF($C274="B",INDEX(Batters[[#All],[EYE P]],MATCH(Table5[[#This Row],[PID]],Batters[[#All],[PID]],0)),INDEX(Table3[[#All],[VELO]],MATCH(Table5[[#This Row],[PID]],Table3[[#All],[PID]],0)))</f>
        <v>6</v>
      </c>
      <c r="P274" s="56">
        <f>IF($C274="B",INDEX(Batters[[#All],[K P]],MATCH(Table5[[#This Row],[PID]],Batters[[#All],[PID]],0)),INDEX(Table3[[#All],[STM]],MATCH(Table5[[#This Row],[PID]],Table3[[#All],[PID]],0)))</f>
        <v>2</v>
      </c>
      <c r="Q274" s="61">
        <f>IF($C274="B",INDEX(Batters[[#All],[Tot]],MATCH(Table5[[#This Row],[PID]],Batters[[#All],[PID]],0)),INDEX(Table3[[#All],[Tot]],MATCH(Table5[[#This Row],[PID]],Table3[[#All],[PID]],0)))</f>
        <v>48.512486871382862</v>
      </c>
      <c r="R274" s="52">
        <f>IF($C274="B",INDEX(Batters[[#All],[zScore]],MATCH(Table5[[#This Row],[PID]],Batters[[#All],[PID]],0)),INDEX(Table3[[#All],[zScore]],MATCH(Table5[[#This Row],[PID]],Table3[[#All],[PID]],0)))</f>
        <v>0.97119691285007348</v>
      </c>
      <c r="S274" s="58" t="str">
        <f>IF($C274="B",INDEX(Batters[[#All],[DEM]],MATCH(Table5[[#This Row],[PID]],Batters[[#All],[PID]],0)),INDEX(Table3[[#All],[DEM]],MATCH(Table5[[#This Row],[PID]],Table3[[#All],[PID]],0)))</f>
        <v>$200k</v>
      </c>
      <c r="T274" s="62">
        <f>IF($C274="B",INDEX(Batters[[#All],[Rnk]],MATCH(Table5[[#This Row],[PID]],Batters[[#All],[PID]],0)),INDEX(Table3[[#All],[Rnk]],MATCH(Table5[[#This Row],[PID]],Table3[[#All],[PID]],0)))</f>
        <v>93</v>
      </c>
      <c r="U274" s="68">
        <f>IF($C274="B",VLOOKUP($A274,Bat!$A$4:$BA$1621,47,FALSE),VLOOKUP($A274,Pit!$A$4:$BF$1557,56,FALSE))</f>
        <v>0</v>
      </c>
      <c r="V274" s="50">
        <f>IF($C274="B",VLOOKUP($A274,Bat!$A$4:$BA$1621,48,FALSE),VLOOKUP($A274,Pit!$A$4:$BF$1557,57,FALSE))</f>
        <v>0</v>
      </c>
      <c r="W274" s="50">
        <f>Table5[[#This Row],[posRnk]]+Table5[[#This Row],[zRnk]]+IF($W$3&lt;&gt;Table5[[#This Row],[Type]],50,0)</f>
        <v>379</v>
      </c>
      <c r="X274" s="51">
        <f>RANK(Table5[[#This Row],[zScore]],Table5[[#All],[zScore]])</f>
        <v>236</v>
      </c>
      <c r="Y274" s="50">
        <f>IFERROR(INDEX(DraftResults[[#All],[OVR]],MATCH(Table5[[#This Row],[PID]],DraftResults[[#All],[Player ID]],0)),"")</f>
        <v>270</v>
      </c>
      <c r="Z2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4" s="50">
        <f>IFERROR(INDEX(DraftResults[[#All],[Pick in Round]],MATCH(Table5[[#This Row],[PID]],DraftResults[[#All],[Player ID]],0)),"")</f>
        <v>22</v>
      </c>
      <c r="AB274" s="50" t="str">
        <f>IFERROR(INDEX(DraftResults[[#All],[Team Name]],MATCH(Table5[[#This Row],[PID]],DraftResults[[#All],[Player ID]],0)),"")</f>
        <v>Fargo Dinosaurs</v>
      </c>
      <c r="AC274" s="50">
        <f>IF(Table5[[#This Row],[Ovr]]="","",IF(Table5[[#This Row],[cmbList]]="","",Table5[[#This Row],[cmbList]]-Table5[[#This Row],[Ovr]]))</f>
        <v>109</v>
      </c>
      <c r="AD274" s="54" t="str">
        <f>IF(ISERROR(VLOOKUP($AB274&amp;"-"&amp;$E274&amp;" "&amp;F274,Bonuses!$B$1:$G$1006,4,FALSE)),"",INT(VLOOKUP($AB274&amp;"-"&amp;$E274&amp;" "&amp;$F274,Bonuses!$B$1:$G$1006,4,FALSE)))</f>
        <v/>
      </c>
      <c r="AE2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9.22 (270) - RF Seung-woo U</v>
      </c>
    </row>
    <row r="275" spans="1:31" s="50" customFormat="1" x14ac:dyDescent="0.25">
      <c r="A275" s="68">
        <v>20210</v>
      </c>
      <c r="B275" s="69">
        <f>COUNTIF(Table5[PID],A275)</f>
        <v>1</v>
      </c>
      <c r="C275" s="69" t="str">
        <f>IF(COUNTIF(Table3[[#All],[PID]],A275)&gt;0,"P","B")</f>
        <v>P</v>
      </c>
      <c r="D275" s="59" t="str">
        <f>IF($C275="B",INDEX(Batters[[#All],[POS]],MATCH(Table5[[#This Row],[PID]],Batters[[#All],[PID]],0)),INDEX(Table3[[#All],[POS]],MATCH(Table5[[#This Row],[PID]],Table3[[#All],[PID]],0)))</f>
        <v>SP</v>
      </c>
      <c r="E275" s="52" t="str">
        <f>IF($C275="B",INDEX(Batters[[#All],[First]],MATCH(Table5[[#This Row],[PID]],Batters[[#All],[PID]],0)),INDEX(Table3[[#All],[First]],MATCH(Table5[[#This Row],[PID]],Table3[[#All],[PID]],0)))</f>
        <v>Delwyn</v>
      </c>
      <c r="F275" s="55" t="str">
        <f>IF($C275="B",INDEX(Batters[[#All],[Last]],MATCH(A275,Batters[[#All],[PID]],0)),INDEX(Table3[[#All],[Last]],MATCH(A275,Table3[[#All],[PID]],0)))</f>
        <v>Crowe</v>
      </c>
      <c r="G275" s="56">
        <f>IF($C275="B",INDEX(Batters[[#All],[Age]],MATCH(Table5[[#This Row],[PID]],Batters[[#All],[PID]],0)),INDEX(Table3[[#All],[Age]],MATCH(Table5[[#This Row],[PID]],Table3[[#All],[PID]],0)))</f>
        <v>21</v>
      </c>
      <c r="H275" s="52" t="str">
        <f>IF($C275="B",INDEX(Batters[[#All],[B]],MATCH(Table5[[#This Row],[PID]],Batters[[#All],[PID]],0)),INDEX(Table3[[#All],[B]],MATCH(Table5[[#This Row],[PID]],Table3[[#All],[PID]],0)))</f>
        <v>R</v>
      </c>
      <c r="I275" s="52" t="str">
        <f>IF($C275="B",INDEX(Batters[[#All],[T]],MATCH(Table5[[#This Row],[PID]],Batters[[#All],[PID]],0)),INDEX(Table3[[#All],[T]],MATCH(Table5[[#This Row],[PID]],Table3[[#All],[PID]],0)))</f>
        <v>R</v>
      </c>
      <c r="J275" s="71" t="str">
        <f>IF($C275="B",INDEX(Batters[[#All],[WE]],MATCH(Table5[[#This Row],[PID]],Batters[[#All],[PID]],0)),INDEX(Table3[[#All],[WE]],MATCH(Table5[[#This Row],[PID]],Table3[[#All],[PID]],0)))</f>
        <v>Normal</v>
      </c>
      <c r="K275" s="52" t="str">
        <f>IF($C275="B",INDEX(Batters[[#All],[INT]],MATCH(Table5[[#This Row],[PID]],Batters[[#All],[PID]],0)),INDEX(Table3[[#All],[INT]],MATCH(Table5[[#This Row],[PID]],Table3[[#All],[PID]],0)))</f>
        <v>Normal</v>
      </c>
      <c r="L275" s="60">
        <f>IF($C275="B",INDEX(Batters[[#All],[CON P]],MATCH(Table5[[#This Row],[PID]],Batters[[#All],[PID]],0)),INDEX(Table3[[#All],[STU P]],MATCH(Table5[[#This Row],[PID]],Table3[[#All],[PID]],0)))</f>
        <v>6</v>
      </c>
      <c r="M275" s="72">
        <f>IF($C275="B",INDEX(Batters[[#All],[GAP P]],MATCH(Table5[[#This Row],[PID]],Batters[[#All],[PID]],0)),INDEX(Table3[[#All],[MOV P]],MATCH(Table5[[#This Row],[PID]],Table3[[#All],[PID]],0)))</f>
        <v>3</v>
      </c>
      <c r="N275" s="72">
        <f>IF($C275="B",INDEX(Batters[[#All],[POW P]],MATCH(Table5[[#This Row],[PID]],Batters[[#All],[PID]],0)),INDEX(Table3[[#All],[CON P]],MATCH(Table5[[#This Row],[PID]],Table3[[#All],[PID]],0)))</f>
        <v>4</v>
      </c>
      <c r="O275" s="72" t="str">
        <f>IF($C275="B",INDEX(Batters[[#All],[EYE P]],MATCH(Table5[[#This Row],[PID]],Batters[[#All],[PID]],0)),INDEX(Table3[[#All],[VELO]],MATCH(Table5[[#This Row],[PID]],Table3[[#All],[PID]],0)))</f>
        <v>95-97 Mph</v>
      </c>
      <c r="P275" s="56">
        <f>IF($C275="B",INDEX(Batters[[#All],[K P]],MATCH(Table5[[#This Row],[PID]],Batters[[#All],[PID]],0)),INDEX(Table3[[#All],[STM]],MATCH(Table5[[#This Row],[PID]],Table3[[#All],[PID]],0)))</f>
        <v>5</v>
      </c>
      <c r="Q275" s="61">
        <f>IF($C275="B",INDEX(Batters[[#All],[Tot]],MATCH(Table5[[#This Row],[PID]],Batters[[#All],[PID]],0)),INDEX(Table3[[#All],[Tot]],MATCH(Table5[[#This Row],[PID]],Table3[[#All],[PID]],0)))</f>
        <v>51.011439317360214</v>
      </c>
      <c r="R275" s="52">
        <f>IF($C275="B",INDEX(Batters[[#All],[zScore]],MATCH(Table5[[#This Row],[PID]],Batters[[#All],[PID]],0)),INDEX(Table3[[#All],[zScore]],MATCH(Table5[[#This Row],[PID]],Table3[[#All],[PID]],0)))</f>
        <v>1.0073018231796731</v>
      </c>
      <c r="S275" s="78" t="str">
        <f>IF($C275="B",INDEX(Batters[[#All],[DEM]],MATCH(Table5[[#This Row],[PID]],Batters[[#All],[PID]],0)),INDEX(Table3[[#All],[DEM]],MATCH(Table5[[#This Row],[PID]],Table3[[#All],[PID]],0)))</f>
        <v>$75k</v>
      </c>
      <c r="T275" s="75">
        <f>IF($C275="B",INDEX(Batters[[#All],[Rnk]],MATCH(Table5[[#This Row],[PID]],Batters[[#All],[PID]],0)),INDEX(Table3[[#All],[Rnk]],MATCH(Table5[[#This Row],[PID]],Table3[[#All],[PID]],0)))</f>
        <v>137</v>
      </c>
      <c r="U275" s="68">
        <f>IF($C275="B",VLOOKUP($A275,Bat!$A$4:$BA$1621,47,FALSE),VLOOKUP($A275,Pit!$A$4:$BF$1557,56,FALSE))</f>
        <v>0</v>
      </c>
      <c r="V275" s="50">
        <f>IF($C275="B",VLOOKUP($A275,Bat!$A$4:$BA$1621,48,FALSE),VLOOKUP($A275,Pit!$A$4:$BF$1557,57,FALSE))</f>
        <v>0</v>
      </c>
      <c r="W275" s="69">
        <f>Table5[[#This Row],[posRnk]]+Table5[[#This Row],[zRnk]]+IF($W$3&lt;&gt;Table5[[#This Row],[Type]],50,0)</f>
        <v>414</v>
      </c>
      <c r="X275" s="73">
        <f>RANK(Table5[[#This Row],[zScore]],Table5[[#All],[zScore]])</f>
        <v>227</v>
      </c>
      <c r="Y275" s="69">
        <f>IFERROR(INDEX(DraftResults[[#All],[OVR]],MATCH(Table5[[#This Row],[PID]],DraftResults[[#All],[Player ID]],0)),"")</f>
        <v>271</v>
      </c>
      <c r="Z27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5" s="69">
        <f>IFERROR(INDEX(DraftResults[[#All],[Pick in Round]],MATCH(Table5[[#This Row],[PID]],DraftResults[[#All],[Player ID]],0)),"")</f>
        <v>23</v>
      </c>
      <c r="AB275" s="69" t="str">
        <f>IFERROR(INDEX(DraftResults[[#All],[Team Name]],MATCH(Table5[[#This Row],[PID]],DraftResults[[#All],[Player ID]],0)),"")</f>
        <v>Charleston Statesmen</v>
      </c>
      <c r="AC275" s="69">
        <f>IF(Table5[[#This Row],[Ovr]]="","",IF(Table5[[#This Row],[cmbList]]="","",Table5[[#This Row],[cmbList]]-Table5[[#This Row],[Ovr]]))</f>
        <v>143</v>
      </c>
      <c r="AD275" s="77" t="str">
        <f>IF(ISERROR(VLOOKUP($AB275&amp;"-"&amp;$E275&amp;" "&amp;F275,Bonuses!$B$1:$G$1006,4,FALSE)),"",INT(VLOOKUP($AB275&amp;"-"&amp;$E275&amp;" "&amp;$F275,Bonuses!$B$1:$G$1006,4,FALSE)))</f>
        <v/>
      </c>
      <c r="AE27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9.23 (271) - SP Delwyn Crowe</v>
      </c>
    </row>
    <row r="276" spans="1:31" s="50" customFormat="1" x14ac:dyDescent="0.25">
      <c r="A276" s="68">
        <v>18435</v>
      </c>
      <c r="B276" s="69">
        <f>COUNTIF(Table5[PID],A276)</f>
        <v>1</v>
      </c>
      <c r="C276" s="69" t="str">
        <f>IF(COUNTIF(Table3[[#All],[PID]],A276)&gt;0,"P","B")</f>
        <v>P</v>
      </c>
      <c r="D276" s="59" t="str">
        <f>IF($C276="B",INDEX(Batters[[#All],[POS]],MATCH(Table5[[#This Row],[PID]],Batters[[#All],[PID]],0)),INDEX(Table3[[#All],[POS]],MATCH(Table5[[#This Row],[PID]],Table3[[#All],[PID]],0)))</f>
        <v>SP</v>
      </c>
      <c r="E276" s="52" t="str">
        <f>IF($C276="B",INDEX(Batters[[#All],[First]],MATCH(Table5[[#This Row],[PID]],Batters[[#All],[PID]],0)),INDEX(Table3[[#All],[First]],MATCH(Table5[[#This Row],[PID]],Table3[[#All],[PID]],0)))</f>
        <v>Yorikane</v>
      </c>
      <c r="F276" s="55" t="str">
        <f>IF($C276="B",INDEX(Batters[[#All],[Last]],MATCH(A276,Batters[[#All],[PID]],0)),INDEX(Table3[[#All],[Last]],MATCH(A276,Table3[[#All],[PID]],0)))</f>
        <v>Kato</v>
      </c>
      <c r="G276" s="56">
        <f>IF($C276="B",INDEX(Batters[[#All],[Age]],MATCH(Table5[[#This Row],[PID]],Batters[[#All],[PID]],0)),INDEX(Table3[[#All],[Age]],MATCH(Table5[[#This Row],[PID]],Table3[[#All],[PID]],0)))</f>
        <v>18</v>
      </c>
      <c r="H276" s="52" t="str">
        <f>IF($C276="B",INDEX(Batters[[#All],[B]],MATCH(Table5[[#This Row],[PID]],Batters[[#All],[PID]],0)),INDEX(Table3[[#All],[B]],MATCH(Table5[[#This Row],[PID]],Table3[[#All],[PID]],0)))</f>
        <v>L</v>
      </c>
      <c r="I276" s="52" t="str">
        <f>IF($C276="B",INDEX(Batters[[#All],[T]],MATCH(Table5[[#This Row],[PID]],Batters[[#All],[PID]],0)),INDEX(Table3[[#All],[T]],MATCH(Table5[[#This Row],[PID]],Table3[[#All],[PID]],0)))</f>
        <v>L</v>
      </c>
      <c r="J276" s="71" t="str">
        <f>IF($C276="B",INDEX(Batters[[#All],[WE]],MATCH(Table5[[#This Row],[PID]],Batters[[#All],[PID]],0)),INDEX(Table3[[#All],[WE]],MATCH(Table5[[#This Row],[PID]],Table3[[#All],[PID]],0)))</f>
        <v>Low</v>
      </c>
      <c r="K276" s="52" t="str">
        <f>IF($C276="B",INDEX(Batters[[#All],[INT]],MATCH(Table5[[#This Row],[PID]],Batters[[#All],[PID]],0)),INDEX(Table3[[#All],[INT]],MATCH(Table5[[#This Row],[PID]],Table3[[#All],[PID]],0)))</f>
        <v>Normal</v>
      </c>
      <c r="L276" s="60">
        <f>IF($C276="B",INDEX(Batters[[#All],[CON P]],MATCH(Table5[[#This Row],[PID]],Batters[[#All],[PID]],0)),INDEX(Table3[[#All],[STU P]],MATCH(Table5[[#This Row],[PID]],Table3[[#All],[PID]],0)))</f>
        <v>5</v>
      </c>
      <c r="M276" s="72">
        <f>IF($C276="B",INDEX(Batters[[#All],[GAP P]],MATCH(Table5[[#This Row],[PID]],Batters[[#All],[PID]],0)),INDEX(Table3[[#All],[MOV P]],MATCH(Table5[[#This Row],[PID]],Table3[[#All],[PID]],0)))</f>
        <v>3</v>
      </c>
      <c r="N276" s="72">
        <f>IF($C276="B",INDEX(Batters[[#All],[POW P]],MATCH(Table5[[#This Row],[PID]],Batters[[#All],[PID]],0)),INDEX(Table3[[#All],[CON P]],MATCH(Table5[[#This Row],[PID]],Table3[[#All],[PID]],0)))</f>
        <v>3</v>
      </c>
      <c r="O276" s="72" t="str">
        <f>IF($C276="B",INDEX(Batters[[#All],[EYE P]],MATCH(Table5[[#This Row],[PID]],Batters[[#All],[PID]],0)),INDEX(Table3[[#All],[VELO]],MATCH(Table5[[#This Row],[PID]],Table3[[#All],[PID]],0)))</f>
        <v>92-94 Mph</v>
      </c>
      <c r="P276" s="56">
        <f>IF($C276="B",INDEX(Batters[[#All],[K P]],MATCH(Table5[[#This Row],[PID]],Batters[[#All],[PID]],0)),INDEX(Table3[[#All],[STM]],MATCH(Table5[[#This Row],[PID]],Table3[[#All],[PID]],0)))</f>
        <v>5</v>
      </c>
      <c r="Q276" s="61">
        <f>IF($C276="B",INDEX(Batters[[#All],[Tot]],MATCH(Table5[[#This Row],[PID]],Batters[[#All],[PID]],0)),INDEX(Table3[[#All],[Tot]],MATCH(Table5[[#This Row],[PID]],Table3[[#All],[PID]],0)))</f>
        <v>44.6345018941822</v>
      </c>
      <c r="R276" s="52">
        <f>IF($C276="B",INDEX(Batters[[#All],[zScore]],MATCH(Table5[[#This Row],[PID]],Batters[[#All],[PID]],0)),INDEX(Table3[[#All],[zScore]],MATCH(Table5[[#This Row],[PID]],Table3[[#All],[PID]],0)))</f>
        <v>0.5830539210701019</v>
      </c>
      <c r="S276" s="78" t="str">
        <f>IF($C276="B",INDEX(Batters[[#All],[DEM]],MATCH(Table5[[#This Row],[PID]],Batters[[#All],[PID]],0)),INDEX(Table3[[#All],[DEM]],MATCH(Table5[[#This Row],[PID]],Table3[[#All],[PID]],0)))</f>
        <v>$200k</v>
      </c>
      <c r="T276" s="75">
        <f>IF($C276="B",INDEX(Batters[[#All],[Rnk]],MATCH(Table5[[#This Row],[PID]],Batters[[#All],[PID]],0)),INDEX(Table3[[#All],[Rnk]],MATCH(Table5[[#This Row],[PID]],Table3[[#All],[PID]],0)))</f>
        <v>201</v>
      </c>
      <c r="U276" s="68">
        <f>IF($C276="B",VLOOKUP($A276,Bat!$A$4:$BA$1621,47,FALSE),VLOOKUP($A276,Pit!$A$4:$BF$1557,56,FALSE))</f>
        <v>0</v>
      </c>
      <c r="V276" s="50">
        <f>IF($C276="B",VLOOKUP($A276,Bat!$A$4:$BA$1621,48,FALSE),VLOOKUP($A276,Pit!$A$4:$BF$1557,57,FALSE))</f>
        <v>0</v>
      </c>
      <c r="W276" s="69">
        <f>Table5[[#This Row],[posRnk]]+Table5[[#This Row],[zRnk]]+IF($W$3&lt;&gt;Table5[[#This Row],[Type]],50,0)</f>
        <v>591</v>
      </c>
      <c r="X276" s="73">
        <f>RANK(Table5[[#This Row],[zScore]],Table5[[#All],[zScore]])</f>
        <v>340</v>
      </c>
      <c r="Y276" s="69">
        <f>IFERROR(INDEX(DraftResults[[#All],[OVR]],MATCH(Table5[[#This Row],[PID]],DraftResults[[#All],[Player ID]],0)),"")</f>
        <v>272</v>
      </c>
      <c r="Z27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6" s="69">
        <f>IFERROR(INDEX(DraftResults[[#All],[Pick in Round]],MATCH(Table5[[#This Row],[PID]],DraftResults[[#All],[Player ID]],0)),"")</f>
        <v>24</v>
      </c>
      <c r="AB276" s="69" t="str">
        <f>IFERROR(INDEX(DraftResults[[#All],[Team Name]],MATCH(Table5[[#This Row],[PID]],DraftResults[[#All],[Player ID]],0)),"")</f>
        <v>Aurora Borealis</v>
      </c>
      <c r="AC276" s="69">
        <f>IF(Table5[[#This Row],[Ovr]]="","",IF(Table5[[#This Row],[cmbList]]="","",Table5[[#This Row],[cmbList]]-Table5[[#This Row],[Ovr]]))</f>
        <v>319</v>
      </c>
      <c r="AD276" s="77" t="str">
        <f>IF(ISERROR(VLOOKUP($AB276&amp;"-"&amp;$E276&amp;" "&amp;F276,Bonuses!$B$1:$G$1006,4,FALSE)),"",INT(VLOOKUP($AB276&amp;"-"&amp;$E276&amp;" "&amp;$F276,Bonuses!$B$1:$G$1006,4,FALSE)))</f>
        <v/>
      </c>
      <c r="AE27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9.24 (272) - SP Yorikane Kato</v>
      </c>
    </row>
    <row r="277" spans="1:31" s="50" customFormat="1" x14ac:dyDescent="0.25">
      <c r="A277" s="50">
        <v>20344</v>
      </c>
      <c r="B277" s="50">
        <f>COUNTIF(Table5[PID],A277)</f>
        <v>1</v>
      </c>
      <c r="C277" s="50" t="str">
        <f>IF(COUNTIF(Table3[[#All],[PID]],A277)&gt;0,"P","B")</f>
        <v>B</v>
      </c>
      <c r="D277" s="59" t="str">
        <f>IF($C277="B",INDEX(Batters[[#All],[POS]],MATCH(Table5[[#This Row],[PID]],Batters[[#All],[PID]],0)),INDEX(Table3[[#All],[POS]],MATCH(Table5[[#This Row],[PID]],Table3[[#All],[PID]],0)))</f>
        <v>RF</v>
      </c>
      <c r="E277" s="52" t="str">
        <f>IF($C277="B",INDEX(Batters[[#All],[First]],MATCH(Table5[[#This Row],[PID]],Batters[[#All],[PID]],0)),INDEX(Table3[[#All],[First]],MATCH(Table5[[#This Row],[PID]],Table3[[#All],[PID]],0)))</f>
        <v>Seiichi</v>
      </c>
      <c r="F277" s="50" t="str">
        <f>IF($C277="B",INDEX(Batters[[#All],[Last]],MATCH(A277,Batters[[#All],[PID]],0)),INDEX(Table3[[#All],[Last]],MATCH(A277,Table3[[#All],[PID]],0)))</f>
        <v>Onodera</v>
      </c>
      <c r="G277" s="56">
        <f>IF($C277="B",INDEX(Batters[[#All],[Age]],MATCH(Table5[[#This Row],[PID]],Batters[[#All],[PID]],0)),INDEX(Table3[[#All],[Age]],MATCH(Table5[[#This Row],[PID]],Table3[[#All],[PID]],0)))</f>
        <v>17</v>
      </c>
      <c r="H277" s="52" t="str">
        <f>IF($C277="B",INDEX(Batters[[#All],[B]],MATCH(Table5[[#This Row],[PID]],Batters[[#All],[PID]],0)),INDEX(Table3[[#All],[B]],MATCH(Table5[[#This Row],[PID]],Table3[[#All],[PID]],0)))</f>
        <v>R</v>
      </c>
      <c r="I277" s="52" t="str">
        <f>IF($C277="B",INDEX(Batters[[#All],[T]],MATCH(Table5[[#This Row],[PID]],Batters[[#All],[PID]],0)),INDEX(Table3[[#All],[T]],MATCH(Table5[[#This Row],[PID]],Table3[[#All],[PID]],0)))</f>
        <v>R</v>
      </c>
      <c r="J277" s="52" t="str">
        <f>IF($C277="B",INDEX(Batters[[#All],[WE]],MATCH(Table5[[#This Row],[PID]],Batters[[#All],[PID]],0)),INDEX(Table3[[#All],[WE]],MATCH(Table5[[#This Row],[PID]],Table3[[#All],[PID]],0)))</f>
        <v>Normal</v>
      </c>
      <c r="K277" s="52" t="str">
        <f>IF($C277="B",INDEX(Batters[[#All],[INT]],MATCH(Table5[[#This Row],[PID]],Batters[[#All],[PID]],0)),INDEX(Table3[[#All],[INT]],MATCH(Table5[[#This Row],[PID]],Table3[[#All],[PID]],0)))</f>
        <v>High</v>
      </c>
      <c r="L277" s="60">
        <f>IF($C277="B",INDEX(Batters[[#All],[CON P]],MATCH(Table5[[#This Row],[PID]],Batters[[#All],[PID]],0)),INDEX(Table3[[#All],[STU P]],MATCH(Table5[[#This Row],[PID]],Table3[[#All],[PID]],0)))</f>
        <v>4</v>
      </c>
      <c r="M277" s="56">
        <f>IF($C277="B",INDEX(Batters[[#All],[GAP P]],MATCH(Table5[[#This Row],[PID]],Batters[[#All],[PID]],0)),INDEX(Table3[[#All],[MOV P]],MATCH(Table5[[#This Row],[PID]],Table3[[#All],[PID]],0)))</f>
        <v>4</v>
      </c>
      <c r="N277" s="56">
        <f>IF($C277="B",INDEX(Batters[[#All],[POW P]],MATCH(Table5[[#This Row],[PID]],Batters[[#All],[PID]],0)),INDEX(Table3[[#All],[CON P]],MATCH(Table5[[#This Row],[PID]],Table3[[#All],[PID]],0)))</f>
        <v>5</v>
      </c>
      <c r="O277" s="56">
        <f>IF($C277="B",INDEX(Batters[[#All],[EYE P]],MATCH(Table5[[#This Row],[PID]],Batters[[#All],[PID]],0)),INDEX(Table3[[#All],[VELO]],MATCH(Table5[[#This Row],[PID]],Table3[[#All],[PID]],0)))</f>
        <v>5</v>
      </c>
      <c r="P277" s="56">
        <f>IF($C277="B",INDEX(Batters[[#All],[K P]],MATCH(Table5[[#This Row],[PID]],Batters[[#All],[PID]],0)),INDEX(Table3[[#All],[STM]],MATCH(Table5[[#This Row],[PID]],Table3[[#All],[PID]],0)))</f>
        <v>4</v>
      </c>
      <c r="Q277" s="61">
        <f>IF($C277="B",INDEX(Batters[[#All],[Tot]],MATCH(Table5[[#This Row],[PID]],Batters[[#All],[PID]],0)),INDEX(Table3[[#All],[Tot]],MATCH(Table5[[#This Row],[PID]],Table3[[#All],[PID]],0)))</f>
        <v>48.460565492112437</v>
      </c>
      <c r="R277" s="52">
        <f>IF($C277="B",INDEX(Batters[[#All],[zScore]],MATCH(Table5[[#This Row],[PID]],Batters[[#All],[PID]],0)),INDEX(Table3[[#All],[zScore]],MATCH(Table5[[#This Row],[PID]],Table3[[#All],[PID]],0)))</f>
        <v>0.9596855921098677</v>
      </c>
      <c r="S277" s="58" t="str">
        <f>IF($C277="B",INDEX(Batters[[#All],[DEM]],MATCH(Table5[[#This Row],[PID]],Batters[[#All],[PID]],0)),INDEX(Table3[[#All],[DEM]],MATCH(Table5[[#This Row],[PID]],Table3[[#All],[PID]],0)))</f>
        <v>$75k</v>
      </c>
      <c r="T277" s="62">
        <f>IF($C277="B",INDEX(Batters[[#All],[Rnk]],MATCH(Table5[[#This Row],[PID]],Batters[[#All],[PID]],0)),INDEX(Table3[[#All],[Rnk]],MATCH(Table5[[#This Row],[PID]],Table3[[#All],[PID]],0)))</f>
        <v>94</v>
      </c>
      <c r="U277" s="68">
        <f>IF($C277="B",VLOOKUP($A277,Bat!$A$4:$BA$1621,47,FALSE),VLOOKUP($A277,Pit!$A$4:$BF$1557,56,FALSE))</f>
        <v>0</v>
      </c>
      <c r="V277" s="50">
        <f>IF($C277="B",VLOOKUP($A277,Bat!$A$4:$BA$1621,48,FALSE),VLOOKUP($A277,Pit!$A$4:$BF$1557,57,FALSE))</f>
        <v>0</v>
      </c>
      <c r="W277" s="50">
        <f>Table5[[#This Row],[posRnk]]+Table5[[#This Row],[zRnk]]+IF($W$3&lt;&gt;Table5[[#This Row],[Type]],50,0)</f>
        <v>382</v>
      </c>
      <c r="X277" s="51">
        <f>RANK(Table5[[#This Row],[zScore]],Table5[[#All],[zScore]])</f>
        <v>238</v>
      </c>
      <c r="Y277" s="50">
        <f>IFERROR(INDEX(DraftResults[[#All],[OVR]],MATCH(Table5[[#This Row],[PID]],DraftResults[[#All],[Player ID]],0)),"")</f>
        <v>273</v>
      </c>
      <c r="Z2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7" s="50">
        <f>IFERROR(INDEX(DraftResults[[#All],[Pick in Round]],MATCH(Table5[[#This Row],[PID]],DraftResults[[#All],[Player ID]],0)),"")</f>
        <v>25</v>
      </c>
      <c r="AB277" s="50" t="str">
        <f>IFERROR(INDEX(DraftResults[[#All],[Team Name]],MATCH(Table5[[#This Row],[PID]],DraftResults[[#All],[Player ID]],0)),"")</f>
        <v>Toyama Wind Dancers</v>
      </c>
      <c r="AC277" s="50">
        <f>IF(Table5[[#This Row],[Ovr]]="","",IF(Table5[[#This Row],[cmbList]]="","",Table5[[#This Row],[cmbList]]-Table5[[#This Row],[Ovr]]))</f>
        <v>109</v>
      </c>
      <c r="AD277" s="54" t="str">
        <f>IF(ISERROR(VLOOKUP($AB277&amp;"-"&amp;$E277&amp;" "&amp;F277,Bonuses!$B$1:$G$1006,4,FALSE)),"",INT(VLOOKUP($AB277&amp;"-"&amp;$E277&amp;" "&amp;$F277,Bonuses!$B$1:$G$1006,4,FALSE)))</f>
        <v/>
      </c>
      <c r="AE2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9.25 (273) - RF Seiichi Onodera</v>
      </c>
    </row>
    <row r="278" spans="1:31" s="50" customFormat="1" x14ac:dyDescent="0.25">
      <c r="A278" s="50">
        <v>18222</v>
      </c>
      <c r="B278" s="50">
        <f>COUNTIF(Table5[PID],A278)</f>
        <v>1</v>
      </c>
      <c r="C278" s="50" t="str">
        <f>IF(COUNTIF(Table3[[#All],[PID]],A278)&gt;0,"P","B")</f>
        <v>B</v>
      </c>
      <c r="D278" s="59" t="str">
        <f>IF($C278="B",INDEX(Batters[[#All],[POS]],MATCH(Table5[[#This Row],[PID]],Batters[[#All],[PID]],0)),INDEX(Table3[[#All],[POS]],MATCH(Table5[[#This Row],[PID]],Table3[[#All],[PID]],0)))</f>
        <v>C</v>
      </c>
      <c r="E278" s="52" t="str">
        <f>IF($C278="B",INDEX(Batters[[#All],[First]],MATCH(Table5[[#This Row],[PID]],Batters[[#All],[PID]],0)),INDEX(Table3[[#All],[First]],MATCH(Table5[[#This Row],[PID]],Table3[[#All],[PID]],0)))</f>
        <v>Michael</v>
      </c>
      <c r="F278" s="50" t="str">
        <f>IF($C278="B",INDEX(Batters[[#All],[Last]],MATCH(A278,Batters[[#All],[PID]],0)),INDEX(Table3[[#All],[Last]],MATCH(A278,Table3[[#All],[PID]],0)))</f>
        <v>Thomas</v>
      </c>
      <c r="G278" s="56">
        <f>IF($C278="B",INDEX(Batters[[#All],[Age]],MATCH(Table5[[#This Row],[PID]],Batters[[#All],[PID]],0)),INDEX(Table3[[#All],[Age]],MATCH(Table5[[#This Row],[PID]],Table3[[#All],[PID]],0)))</f>
        <v>18</v>
      </c>
      <c r="H278" s="52" t="str">
        <f>IF($C278="B",INDEX(Batters[[#All],[B]],MATCH(Table5[[#This Row],[PID]],Batters[[#All],[PID]],0)),INDEX(Table3[[#All],[B]],MATCH(Table5[[#This Row],[PID]],Table3[[#All],[PID]],0)))</f>
        <v>R</v>
      </c>
      <c r="I278" s="52" t="str">
        <f>IF($C278="B",INDEX(Batters[[#All],[T]],MATCH(Table5[[#This Row],[PID]],Batters[[#All],[PID]],0)),INDEX(Table3[[#All],[T]],MATCH(Table5[[#This Row],[PID]],Table3[[#All],[PID]],0)))</f>
        <v>R</v>
      </c>
      <c r="J278" s="52" t="str">
        <f>IF($C278="B",INDEX(Batters[[#All],[WE]],MATCH(Table5[[#This Row],[PID]],Batters[[#All],[PID]],0)),INDEX(Table3[[#All],[WE]],MATCH(Table5[[#This Row],[PID]],Table3[[#All],[PID]],0)))</f>
        <v>Normal</v>
      </c>
      <c r="K278" s="52" t="str">
        <f>IF($C278="B",INDEX(Batters[[#All],[INT]],MATCH(Table5[[#This Row],[PID]],Batters[[#All],[PID]],0)),INDEX(Table3[[#All],[INT]],MATCH(Table5[[#This Row],[PID]],Table3[[#All],[PID]],0)))</f>
        <v>High</v>
      </c>
      <c r="L278" s="60">
        <f>IF($C278="B",INDEX(Batters[[#All],[CON P]],MATCH(Table5[[#This Row],[PID]],Batters[[#All],[PID]],0)),INDEX(Table3[[#All],[STU P]],MATCH(Table5[[#This Row],[PID]],Table3[[#All],[PID]],0)))</f>
        <v>3</v>
      </c>
      <c r="M278" s="56">
        <f>IF($C278="B",INDEX(Batters[[#All],[GAP P]],MATCH(Table5[[#This Row],[PID]],Batters[[#All],[PID]],0)),INDEX(Table3[[#All],[MOV P]],MATCH(Table5[[#This Row],[PID]],Table3[[#All],[PID]],0)))</f>
        <v>6</v>
      </c>
      <c r="N278" s="56">
        <f>IF($C278="B",INDEX(Batters[[#All],[POW P]],MATCH(Table5[[#This Row],[PID]],Batters[[#All],[PID]],0)),INDEX(Table3[[#All],[CON P]],MATCH(Table5[[#This Row],[PID]],Table3[[#All],[PID]],0)))</f>
        <v>5</v>
      </c>
      <c r="O278" s="56">
        <f>IF($C278="B",INDEX(Batters[[#All],[EYE P]],MATCH(Table5[[#This Row],[PID]],Batters[[#All],[PID]],0)),INDEX(Table3[[#All],[VELO]],MATCH(Table5[[#This Row],[PID]],Table3[[#All],[PID]],0)))</f>
        <v>6</v>
      </c>
      <c r="P278" s="56">
        <f>IF($C278="B",INDEX(Batters[[#All],[K P]],MATCH(Table5[[#This Row],[PID]],Batters[[#All],[PID]],0)),INDEX(Table3[[#All],[STM]],MATCH(Table5[[#This Row],[PID]],Table3[[#All],[PID]],0)))</f>
        <v>4</v>
      </c>
      <c r="Q278" s="61">
        <f>IF($C278="B",INDEX(Batters[[#All],[Tot]],MATCH(Table5[[#This Row],[PID]],Batters[[#All],[PID]],0)),INDEX(Table3[[#All],[Tot]],MATCH(Table5[[#This Row],[PID]],Table3[[#All],[PID]],0)))</f>
        <v>46.71176836461327</v>
      </c>
      <c r="R278" s="52">
        <f>IF($C278="B",INDEX(Batters[[#All],[zScore]],MATCH(Table5[[#This Row],[PID]],Batters[[#All],[PID]],0)),INDEX(Table3[[#All],[zScore]],MATCH(Table5[[#This Row],[PID]],Table3[[#All],[PID]],0)))</f>
        <v>0.57196544817177442</v>
      </c>
      <c r="S278" s="58" t="str">
        <f>IF($C278="B",INDEX(Batters[[#All],[DEM]],MATCH(Table5[[#This Row],[PID]],Batters[[#All],[PID]],0)),INDEX(Table3[[#All],[DEM]],MATCH(Table5[[#This Row],[PID]],Table3[[#All],[PID]],0)))</f>
        <v>$75k</v>
      </c>
      <c r="T278" s="62">
        <f>IF($C278="B",INDEX(Batters[[#All],[Rnk]],MATCH(Table5[[#This Row],[PID]],Batters[[#All],[PID]],0)),INDEX(Table3[[#All],[Rnk]],MATCH(Table5[[#This Row],[PID]],Table3[[#All],[PID]],0)))</f>
        <v>142</v>
      </c>
      <c r="U278" s="68">
        <f>IF($C278="B",VLOOKUP($A278,Bat!$A$4:$BA$1621,47,FALSE),VLOOKUP($A278,Pit!$A$4:$BF$1557,56,FALSE))</f>
        <v>0</v>
      </c>
      <c r="V278" s="50">
        <f>IF($C278="B",VLOOKUP($A278,Bat!$A$4:$BA$1621,48,FALSE),VLOOKUP($A278,Pit!$A$4:$BF$1557,57,FALSE))</f>
        <v>0</v>
      </c>
      <c r="W278" s="50">
        <f>Table5[[#This Row],[posRnk]]+Table5[[#This Row],[zRnk]]+IF($W$3&lt;&gt;Table5[[#This Row],[Type]],50,0)</f>
        <v>538</v>
      </c>
      <c r="X278" s="51">
        <f>RANK(Table5[[#This Row],[zScore]],Table5[[#All],[zScore]])</f>
        <v>346</v>
      </c>
      <c r="Y278" s="50">
        <f>IFERROR(INDEX(DraftResults[[#All],[OVR]],MATCH(Table5[[#This Row],[PID]],DraftResults[[#All],[Player ID]],0)),"")</f>
        <v>274</v>
      </c>
      <c r="Z2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8" s="50">
        <f>IFERROR(INDEX(DraftResults[[#All],[Pick in Round]],MATCH(Table5[[#This Row],[PID]],DraftResults[[#All],[Player ID]],0)),"")</f>
        <v>26</v>
      </c>
      <c r="AB278" s="50" t="str">
        <f>IFERROR(INDEX(DraftResults[[#All],[Team Name]],MATCH(Table5[[#This Row],[PID]],DraftResults[[#All],[Player ID]],0)),"")</f>
        <v>West Virginia Alleghenies</v>
      </c>
      <c r="AC278" s="50">
        <f>IF(Table5[[#This Row],[Ovr]]="","",IF(Table5[[#This Row],[cmbList]]="","",Table5[[#This Row],[cmbList]]-Table5[[#This Row],[Ovr]]))</f>
        <v>264</v>
      </c>
      <c r="AD278" s="54" t="str">
        <f>IF(ISERROR(VLOOKUP($AB278&amp;"-"&amp;$E278&amp;" "&amp;F278,Bonuses!$B$1:$G$1006,4,FALSE)),"",INT(VLOOKUP($AB278&amp;"-"&amp;$E278&amp;" "&amp;$F278,Bonuses!$B$1:$G$1006,4,FALSE)))</f>
        <v/>
      </c>
      <c r="AE2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9.26 (274) - C Michael Thomas</v>
      </c>
    </row>
    <row r="279" spans="1:31" s="50" customFormat="1" x14ac:dyDescent="0.25">
      <c r="A279" s="50">
        <v>18284</v>
      </c>
      <c r="B279" s="50">
        <f>COUNTIF(Table5[PID],A279)</f>
        <v>1</v>
      </c>
      <c r="C279" s="50" t="str">
        <f>IF(COUNTIF(Table3[[#All],[PID]],A279)&gt;0,"P","B")</f>
        <v>B</v>
      </c>
      <c r="D279" s="59" t="str">
        <f>IF($C279="B",INDEX(Batters[[#All],[POS]],MATCH(Table5[[#This Row],[PID]],Batters[[#All],[PID]],0)),INDEX(Table3[[#All],[POS]],MATCH(Table5[[#This Row],[PID]],Table3[[#All],[PID]],0)))</f>
        <v>1B</v>
      </c>
      <c r="E279" s="52" t="str">
        <f>IF($C279="B",INDEX(Batters[[#All],[First]],MATCH(Table5[[#This Row],[PID]],Batters[[#All],[PID]],0)),INDEX(Table3[[#All],[First]],MATCH(Table5[[#This Row],[PID]],Table3[[#All],[PID]],0)))</f>
        <v>Sen</v>
      </c>
      <c r="F279" s="50" t="str">
        <f>IF($C279="B",INDEX(Batters[[#All],[Last]],MATCH(A279,Batters[[#All],[PID]],0)),INDEX(Table3[[#All],[Last]],MATCH(A279,Table3[[#All],[PID]],0)))</f>
        <v>Fukuda</v>
      </c>
      <c r="G279" s="56">
        <f>IF($C279="B",INDEX(Batters[[#All],[Age]],MATCH(Table5[[#This Row],[PID]],Batters[[#All],[PID]],0)),INDEX(Table3[[#All],[Age]],MATCH(Table5[[#This Row],[PID]],Table3[[#All],[PID]],0)))</f>
        <v>21</v>
      </c>
      <c r="H279" s="52" t="str">
        <f>IF($C279="B",INDEX(Batters[[#All],[B]],MATCH(Table5[[#This Row],[PID]],Batters[[#All],[PID]],0)),INDEX(Table3[[#All],[B]],MATCH(Table5[[#This Row],[PID]],Table3[[#All],[PID]],0)))</f>
        <v>R</v>
      </c>
      <c r="I279" s="52" t="str">
        <f>IF($C279="B",INDEX(Batters[[#All],[T]],MATCH(Table5[[#This Row],[PID]],Batters[[#All],[PID]],0)),INDEX(Table3[[#All],[T]],MATCH(Table5[[#This Row],[PID]],Table3[[#All],[PID]],0)))</f>
        <v>L</v>
      </c>
      <c r="J279" s="52" t="str">
        <f>IF($C279="B",INDEX(Batters[[#All],[WE]],MATCH(Table5[[#This Row],[PID]],Batters[[#All],[PID]],0)),INDEX(Table3[[#All],[WE]],MATCH(Table5[[#This Row],[PID]],Table3[[#All],[PID]],0)))</f>
        <v>Normal</v>
      </c>
      <c r="K279" s="52" t="str">
        <f>IF($C279="B",INDEX(Batters[[#All],[INT]],MATCH(Table5[[#This Row],[PID]],Batters[[#All],[PID]],0)),INDEX(Table3[[#All],[INT]],MATCH(Table5[[#This Row],[PID]],Table3[[#All],[PID]],0)))</f>
        <v>Normal</v>
      </c>
      <c r="L279" s="60">
        <f>IF($C279="B",INDEX(Batters[[#All],[CON P]],MATCH(Table5[[#This Row],[PID]],Batters[[#All],[PID]],0)),INDEX(Table3[[#All],[STU P]],MATCH(Table5[[#This Row],[PID]],Table3[[#All],[PID]],0)))</f>
        <v>4</v>
      </c>
      <c r="M279" s="56">
        <f>IF($C279="B",INDEX(Batters[[#All],[GAP P]],MATCH(Table5[[#This Row],[PID]],Batters[[#All],[PID]],0)),INDEX(Table3[[#All],[MOV P]],MATCH(Table5[[#This Row],[PID]],Table3[[#All],[PID]],0)))</f>
        <v>6</v>
      </c>
      <c r="N279" s="56">
        <f>IF($C279="B",INDEX(Batters[[#All],[POW P]],MATCH(Table5[[#This Row],[PID]],Batters[[#All],[PID]],0)),INDEX(Table3[[#All],[CON P]],MATCH(Table5[[#This Row],[PID]],Table3[[#All],[PID]],0)))</f>
        <v>8</v>
      </c>
      <c r="O279" s="56">
        <f>IF($C279="B",INDEX(Batters[[#All],[EYE P]],MATCH(Table5[[#This Row],[PID]],Batters[[#All],[PID]],0)),INDEX(Table3[[#All],[VELO]],MATCH(Table5[[#This Row],[PID]],Table3[[#All],[PID]],0)))</f>
        <v>6</v>
      </c>
      <c r="P279" s="56">
        <f>IF($C279="B",INDEX(Batters[[#All],[K P]],MATCH(Table5[[#This Row],[PID]],Batters[[#All],[PID]],0)),INDEX(Table3[[#All],[STM]],MATCH(Table5[[#This Row],[PID]],Table3[[#All],[PID]],0)))</f>
        <v>3</v>
      </c>
      <c r="Q279" s="61">
        <f>IF($C279="B",INDEX(Batters[[#All],[Tot]],MATCH(Table5[[#This Row],[PID]],Batters[[#All],[PID]],0)),INDEX(Table3[[#All],[Tot]],MATCH(Table5[[#This Row],[PID]],Table3[[#All],[PID]],0)))</f>
        <v>47.715612907412435</v>
      </c>
      <c r="R279" s="52">
        <f>IF($C279="B",INDEX(Batters[[#All],[zScore]],MATCH(Table5[[#This Row],[PID]],Batters[[#All],[PID]],0)),INDEX(Table3[[#All],[zScore]],MATCH(Table5[[#This Row],[PID]],Table3[[#All],[PID]],0)))</f>
        <v>0.79452456866972776</v>
      </c>
      <c r="S279" s="58" t="str">
        <f>IF($C279="B",INDEX(Batters[[#All],[DEM]],MATCH(Table5[[#This Row],[PID]],Batters[[#All],[PID]],0)),INDEX(Table3[[#All],[DEM]],MATCH(Table5[[#This Row],[PID]],Table3[[#All],[PID]],0)))</f>
        <v>$20k</v>
      </c>
      <c r="T279" s="62">
        <f>IF($C279="B",INDEX(Batters[[#All],[Rnk]],MATCH(Table5[[#This Row],[PID]],Batters[[#All],[PID]],0)),INDEX(Table3[[#All],[Rnk]],MATCH(Table5[[#This Row],[PID]],Table3[[#All],[PID]],0)))</f>
        <v>115</v>
      </c>
      <c r="U279" s="68">
        <f>IF($C279="B",VLOOKUP($A279,Bat!$A$4:$BA$1621,47,FALSE),VLOOKUP($A279,Pit!$A$4:$BF$1557,56,FALSE))</f>
        <v>0</v>
      </c>
      <c r="V279" s="50">
        <f>IF($C279="B",VLOOKUP($A279,Bat!$A$4:$BA$1621,48,FALSE),VLOOKUP($A279,Pit!$A$4:$BF$1557,57,FALSE))</f>
        <v>0</v>
      </c>
      <c r="W279" s="50">
        <f>Table5[[#This Row],[posRnk]]+Table5[[#This Row],[zRnk]]+IF($W$3&lt;&gt;Table5[[#This Row],[Type]],50,0)</f>
        <v>451</v>
      </c>
      <c r="X279" s="51">
        <f>RANK(Table5[[#This Row],[zScore]],Table5[[#All],[zScore]])</f>
        <v>286</v>
      </c>
      <c r="Y279" s="50">
        <f>IFERROR(INDEX(DraftResults[[#All],[OVR]],MATCH(Table5[[#This Row],[PID]],DraftResults[[#All],[Player ID]],0)),"")</f>
        <v>275</v>
      </c>
      <c r="Z2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79" s="50">
        <f>IFERROR(INDEX(DraftResults[[#All],[Pick in Round]],MATCH(Table5[[#This Row],[PID]],DraftResults[[#All],[Player ID]],0)),"")</f>
        <v>27</v>
      </c>
      <c r="AB279" s="50" t="str">
        <f>IFERROR(INDEX(DraftResults[[#All],[Team Name]],MATCH(Table5[[#This Row],[PID]],DraftResults[[#All],[Player ID]],0)),"")</f>
        <v>Neo-Tokyo Akira</v>
      </c>
      <c r="AC279" s="50">
        <f>IF(Table5[[#This Row],[Ovr]]="","",IF(Table5[[#This Row],[cmbList]]="","",Table5[[#This Row],[cmbList]]-Table5[[#This Row],[Ovr]]))</f>
        <v>176</v>
      </c>
      <c r="AD279" s="54" t="str">
        <f>IF(ISERROR(VLOOKUP($AB279&amp;"-"&amp;$E279&amp;" "&amp;F279,Bonuses!$B$1:$G$1006,4,FALSE)),"",INT(VLOOKUP($AB279&amp;"-"&amp;$E279&amp;" "&amp;$F279,Bonuses!$B$1:$G$1006,4,FALSE)))</f>
        <v/>
      </c>
      <c r="AE2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9.27 (275) - 1B Sen Fukuda</v>
      </c>
    </row>
    <row r="280" spans="1:31" s="50" customFormat="1" x14ac:dyDescent="0.25">
      <c r="A280" s="68">
        <v>18329</v>
      </c>
      <c r="B280" s="69">
        <f>COUNTIF(Table5[PID],A280)</f>
        <v>1</v>
      </c>
      <c r="C280" s="69" t="str">
        <f>IF(COUNTIF(Table3[[#All],[PID]],A280)&gt;0,"P","B")</f>
        <v>P</v>
      </c>
      <c r="D280" s="59" t="str">
        <f>IF($C280="B",INDEX(Batters[[#All],[POS]],MATCH(Table5[[#This Row],[PID]],Batters[[#All],[PID]],0)),INDEX(Table3[[#All],[POS]],MATCH(Table5[[#This Row],[PID]],Table3[[#All],[PID]],0)))</f>
        <v>SP</v>
      </c>
      <c r="E280" s="52" t="str">
        <f>IF($C280="B",INDEX(Batters[[#All],[First]],MATCH(Table5[[#This Row],[PID]],Batters[[#All],[PID]],0)),INDEX(Table3[[#All],[First]],MATCH(Table5[[#This Row],[PID]],Table3[[#All],[PID]],0)))</f>
        <v>Jesús</v>
      </c>
      <c r="F280" s="55" t="str">
        <f>IF($C280="B",INDEX(Batters[[#All],[Last]],MATCH(A280,Batters[[#All],[PID]],0)),INDEX(Table3[[#All],[Last]],MATCH(A280,Table3[[#All],[PID]],0)))</f>
        <v>Rodríguez</v>
      </c>
      <c r="G280" s="56">
        <f>IF($C280="B",INDEX(Batters[[#All],[Age]],MATCH(Table5[[#This Row],[PID]],Batters[[#All],[PID]],0)),INDEX(Table3[[#All],[Age]],MATCH(Table5[[#This Row],[PID]],Table3[[#All],[PID]],0)))</f>
        <v>18</v>
      </c>
      <c r="H280" s="52" t="str">
        <f>IF($C280="B",INDEX(Batters[[#All],[B]],MATCH(Table5[[#This Row],[PID]],Batters[[#All],[PID]],0)),INDEX(Table3[[#All],[B]],MATCH(Table5[[#This Row],[PID]],Table3[[#All],[PID]],0)))</f>
        <v>L</v>
      </c>
      <c r="I280" s="52" t="str">
        <f>IF($C280="B",INDEX(Batters[[#All],[T]],MATCH(Table5[[#This Row],[PID]],Batters[[#All],[PID]],0)),INDEX(Table3[[#All],[T]],MATCH(Table5[[#This Row],[PID]],Table3[[#All],[PID]],0)))</f>
        <v>R</v>
      </c>
      <c r="J280" s="71" t="str">
        <f>IF($C280="B",INDEX(Batters[[#All],[WE]],MATCH(Table5[[#This Row],[PID]],Batters[[#All],[PID]],0)),INDEX(Table3[[#All],[WE]],MATCH(Table5[[#This Row],[PID]],Table3[[#All],[PID]],0)))</f>
        <v>Low</v>
      </c>
      <c r="K280" s="52" t="str">
        <f>IF($C280="B",INDEX(Batters[[#All],[INT]],MATCH(Table5[[#This Row],[PID]],Batters[[#All],[PID]],0)),INDEX(Table3[[#All],[INT]],MATCH(Table5[[#This Row],[PID]],Table3[[#All],[PID]],0)))</f>
        <v>Normal</v>
      </c>
      <c r="L280" s="60">
        <f>IF($C280="B",INDEX(Batters[[#All],[CON P]],MATCH(Table5[[#This Row],[PID]],Batters[[#All],[PID]],0)),INDEX(Table3[[#All],[STU P]],MATCH(Table5[[#This Row],[PID]],Table3[[#All],[PID]],0)))</f>
        <v>5</v>
      </c>
      <c r="M280" s="72">
        <f>IF($C280="B",INDEX(Batters[[#All],[GAP P]],MATCH(Table5[[#This Row],[PID]],Batters[[#All],[PID]],0)),INDEX(Table3[[#All],[MOV P]],MATCH(Table5[[#This Row],[PID]],Table3[[#All],[PID]],0)))</f>
        <v>4</v>
      </c>
      <c r="N280" s="72">
        <f>IF($C280="B",INDEX(Batters[[#All],[POW P]],MATCH(Table5[[#This Row],[PID]],Batters[[#All],[PID]],0)),INDEX(Table3[[#All],[CON P]],MATCH(Table5[[#This Row],[PID]],Table3[[#All],[PID]],0)))</f>
        <v>5</v>
      </c>
      <c r="O280" s="72" t="str">
        <f>IF($C280="B",INDEX(Batters[[#All],[EYE P]],MATCH(Table5[[#This Row],[PID]],Batters[[#All],[PID]],0)),INDEX(Table3[[#All],[VELO]],MATCH(Table5[[#This Row],[PID]],Table3[[#All],[PID]],0)))</f>
        <v>93-95 Mph</v>
      </c>
      <c r="P280" s="56">
        <f>IF($C280="B",INDEX(Batters[[#All],[K P]],MATCH(Table5[[#This Row],[PID]],Batters[[#All],[PID]],0)),INDEX(Table3[[#All],[STM]],MATCH(Table5[[#This Row],[PID]],Table3[[#All],[PID]],0)))</f>
        <v>7</v>
      </c>
      <c r="Q280" s="61">
        <f>IF($C280="B",INDEX(Batters[[#All],[Tot]],MATCH(Table5[[#This Row],[PID]],Batters[[#All],[PID]],0)),INDEX(Table3[[#All],[Tot]],MATCH(Table5[[#This Row],[PID]],Table3[[#All],[PID]],0)))</f>
        <v>58.313013485103269</v>
      </c>
      <c r="R280" s="52">
        <f>IF($C280="B",INDEX(Batters[[#All],[zScore]],MATCH(Table5[[#This Row],[PID]],Batters[[#All],[PID]],0)),INDEX(Table3[[#All],[zScore]],MATCH(Table5[[#This Row],[PID]],Table3[[#All],[PID]],0)))</f>
        <v>1.4930643949595714</v>
      </c>
      <c r="S280" s="78" t="str">
        <f>IF($C280="B",INDEX(Batters[[#All],[DEM]],MATCH(Table5[[#This Row],[PID]],Batters[[#All],[PID]],0)),INDEX(Table3[[#All],[DEM]],MATCH(Table5[[#This Row],[PID]],Table3[[#All],[PID]],0)))</f>
        <v>$800k</v>
      </c>
      <c r="T280" s="75">
        <f>IF($C280="B",INDEX(Batters[[#All],[Rnk]],MATCH(Table5[[#This Row],[PID]],Batters[[#All],[PID]],0)),INDEX(Table3[[#All],[Rnk]],MATCH(Table5[[#This Row],[PID]],Table3[[#All],[PID]],0)))</f>
        <v>75</v>
      </c>
      <c r="U280" s="68">
        <f>IF($C280="B",VLOOKUP($A280,Bat!$A$4:$BA$1621,47,FALSE),VLOOKUP($A280,Pit!$A$4:$BF$1557,56,FALSE))</f>
        <v>0</v>
      </c>
      <c r="V280" s="50">
        <f>IF($C280="B",VLOOKUP($A280,Bat!$A$4:$BA$1621,48,FALSE),VLOOKUP($A280,Pit!$A$4:$BF$1557,57,FALSE))</f>
        <v>0</v>
      </c>
      <c r="W280" s="69">
        <f>Table5[[#This Row],[posRnk]]+Table5[[#This Row],[zRnk]]+IF($W$3&lt;&gt;Table5[[#This Row],[Type]],50,0)</f>
        <v>247</v>
      </c>
      <c r="X280" s="73">
        <f>RANK(Table5[[#This Row],[zScore]],Table5[[#All],[zScore]])</f>
        <v>122</v>
      </c>
      <c r="Y280" s="69">
        <f>IFERROR(INDEX(DraftResults[[#All],[OVR]],MATCH(Table5[[#This Row],[PID]],DraftResults[[#All],[Player ID]],0)),"")</f>
        <v>276</v>
      </c>
      <c r="Z28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80" s="69">
        <f>IFERROR(INDEX(DraftResults[[#All],[Pick in Round]],MATCH(Table5[[#This Row],[PID]],DraftResults[[#All],[Player ID]],0)),"")</f>
        <v>28</v>
      </c>
      <c r="AB280" s="69" t="str">
        <f>IFERROR(INDEX(DraftResults[[#All],[Team Name]],MATCH(Table5[[#This Row],[PID]],DraftResults[[#All],[Player ID]],0)),"")</f>
        <v>San Juan Coqui</v>
      </c>
      <c r="AC280" s="69">
        <f>IF(Table5[[#This Row],[Ovr]]="","",IF(Table5[[#This Row],[cmbList]]="","",Table5[[#This Row],[cmbList]]-Table5[[#This Row],[Ovr]]))</f>
        <v>-29</v>
      </c>
      <c r="AD280" s="77" t="str">
        <f>IF(ISERROR(VLOOKUP($AB280&amp;"-"&amp;$E280&amp;" "&amp;F280,Bonuses!$B$1:$G$1006,4,FALSE)),"",INT(VLOOKUP($AB280&amp;"-"&amp;$E280&amp;" "&amp;$F280,Bonuses!$B$1:$G$1006,4,FALSE)))</f>
        <v/>
      </c>
      <c r="AE28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9.28 (276) - SP Jesús Rodríguez</v>
      </c>
    </row>
    <row r="281" spans="1:31" s="50" customFormat="1" x14ac:dyDescent="0.25">
      <c r="A281" s="68">
        <v>18240</v>
      </c>
      <c r="B281" s="69">
        <f>COUNTIF(Table5[PID],A281)</f>
        <v>1</v>
      </c>
      <c r="C281" s="69" t="str">
        <f>IF(COUNTIF(Table3[[#All],[PID]],A281)&gt;0,"P","B")</f>
        <v>P</v>
      </c>
      <c r="D281" s="59" t="str">
        <f>IF($C281="B",INDEX(Batters[[#All],[POS]],MATCH(Table5[[#This Row],[PID]],Batters[[#All],[PID]],0)),INDEX(Table3[[#All],[POS]],MATCH(Table5[[#This Row],[PID]],Table3[[#All],[PID]],0)))</f>
        <v>SP</v>
      </c>
      <c r="E281" s="52" t="str">
        <f>IF($C281="B",INDEX(Batters[[#All],[First]],MATCH(Table5[[#This Row],[PID]],Batters[[#All],[PID]],0)),INDEX(Table3[[#All],[First]],MATCH(Table5[[#This Row],[PID]],Table3[[#All],[PID]],0)))</f>
        <v>Juan</v>
      </c>
      <c r="F281" s="55" t="str">
        <f>IF($C281="B",INDEX(Batters[[#All],[Last]],MATCH(A281,Batters[[#All],[PID]],0)),INDEX(Table3[[#All],[Last]],MATCH(A281,Table3[[#All],[PID]],0)))</f>
        <v>Guerra</v>
      </c>
      <c r="G281" s="56">
        <f>IF($C281="B",INDEX(Batters[[#All],[Age]],MATCH(Table5[[#This Row],[PID]],Batters[[#All],[PID]],0)),INDEX(Table3[[#All],[Age]],MATCH(Table5[[#This Row],[PID]],Table3[[#All],[PID]],0)))</f>
        <v>18</v>
      </c>
      <c r="H281" s="52" t="str">
        <f>IF($C281="B",INDEX(Batters[[#All],[B]],MATCH(Table5[[#This Row],[PID]],Batters[[#All],[PID]],0)),INDEX(Table3[[#All],[B]],MATCH(Table5[[#This Row],[PID]],Table3[[#All],[PID]],0)))</f>
        <v>R</v>
      </c>
      <c r="I281" s="52" t="str">
        <f>IF($C281="B",INDEX(Batters[[#All],[T]],MATCH(Table5[[#This Row],[PID]],Batters[[#All],[PID]],0)),INDEX(Table3[[#All],[T]],MATCH(Table5[[#This Row],[PID]],Table3[[#All],[PID]],0)))</f>
        <v>R</v>
      </c>
      <c r="J281" s="71" t="str">
        <f>IF($C281="B",INDEX(Batters[[#All],[WE]],MATCH(Table5[[#This Row],[PID]],Batters[[#All],[PID]],0)),INDEX(Table3[[#All],[WE]],MATCH(Table5[[#This Row],[PID]],Table3[[#All],[PID]],0)))</f>
        <v>Low</v>
      </c>
      <c r="K281" s="52" t="str">
        <f>IF($C281="B",INDEX(Batters[[#All],[INT]],MATCH(Table5[[#This Row],[PID]],Batters[[#All],[PID]],0)),INDEX(Table3[[#All],[INT]],MATCH(Table5[[#This Row],[PID]],Table3[[#All],[PID]],0)))</f>
        <v>Normal</v>
      </c>
      <c r="L281" s="60">
        <f>IF($C281="B",INDEX(Batters[[#All],[CON P]],MATCH(Table5[[#This Row],[PID]],Batters[[#All],[PID]],0)),INDEX(Table3[[#All],[STU P]],MATCH(Table5[[#This Row],[PID]],Table3[[#All],[PID]],0)))</f>
        <v>5</v>
      </c>
      <c r="M281" s="72">
        <f>IF($C281="B",INDEX(Batters[[#All],[GAP P]],MATCH(Table5[[#This Row],[PID]],Batters[[#All],[PID]],0)),INDEX(Table3[[#All],[MOV P]],MATCH(Table5[[#This Row],[PID]],Table3[[#All],[PID]],0)))</f>
        <v>5</v>
      </c>
      <c r="N281" s="72">
        <f>IF($C281="B",INDEX(Batters[[#All],[POW P]],MATCH(Table5[[#This Row],[PID]],Batters[[#All],[PID]],0)),INDEX(Table3[[#All],[CON P]],MATCH(Table5[[#This Row],[PID]],Table3[[#All],[PID]],0)))</f>
        <v>4</v>
      </c>
      <c r="O281" s="72" t="str">
        <f>IF($C281="B",INDEX(Batters[[#All],[EYE P]],MATCH(Table5[[#This Row],[PID]],Batters[[#All],[PID]],0)),INDEX(Table3[[#All],[VELO]],MATCH(Table5[[#This Row],[PID]],Table3[[#All],[PID]],0)))</f>
        <v>93-95 Mph</v>
      </c>
      <c r="P281" s="56">
        <f>IF($C281="B",INDEX(Batters[[#All],[K P]],MATCH(Table5[[#This Row],[PID]],Batters[[#All],[PID]],0)),INDEX(Table3[[#All],[STM]],MATCH(Table5[[#This Row],[PID]],Table3[[#All],[PID]],0)))</f>
        <v>3</v>
      </c>
      <c r="Q281" s="61">
        <f>IF($C281="B",INDEX(Batters[[#All],[Tot]],MATCH(Table5[[#This Row],[PID]],Batters[[#All],[PID]],0)),INDEX(Table3[[#All],[Tot]],MATCH(Table5[[#This Row],[PID]],Table3[[#All],[PID]],0)))</f>
        <v>53.757631103941556</v>
      </c>
      <c r="R281" s="52">
        <f>IF($C281="B",INDEX(Batters[[#All],[zScore]],MATCH(Table5[[#This Row],[PID]],Batters[[#All],[PID]],0)),INDEX(Table3[[#All],[zScore]],MATCH(Table5[[#This Row],[PID]],Table3[[#All],[PID]],0)))</f>
        <v>1.1900017662609785</v>
      </c>
      <c r="S281" s="78" t="str">
        <f>IF($C281="B",INDEX(Batters[[#All],[DEM]],MATCH(Table5[[#This Row],[PID]],Batters[[#All],[PID]],0)),INDEX(Table3[[#All],[DEM]],MATCH(Table5[[#This Row],[PID]],Table3[[#All],[PID]],0)))</f>
        <v>$400k</v>
      </c>
      <c r="T281" s="75">
        <f>IF($C281="B",INDEX(Batters[[#All],[Rnk]],MATCH(Table5[[#This Row],[PID]],Batters[[#All],[PID]],0)),INDEX(Table3[[#All],[Rnk]],MATCH(Table5[[#This Row],[PID]],Table3[[#All],[PID]],0)))</f>
        <v>114</v>
      </c>
      <c r="U281" s="68">
        <f>IF($C281="B",VLOOKUP($A281,Bat!$A$4:$BA$1621,47,FALSE),VLOOKUP($A281,Pit!$A$4:$BF$1557,56,FALSE))</f>
        <v>0</v>
      </c>
      <c r="V281" s="50">
        <f>IF($C281="B",VLOOKUP($A281,Bat!$A$4:$BA$1621,48,FALSE),VLOOKUP($A281,Pit!$A$4:$BF$1557,57,FALSE))</f>
        <v>0</v>
      </c>
      <c r="W281" s="69">
        <f>Table5[[#This Row],[posRnk]]+Table5[[#This Row],[zRnk]]+IF($W$3&lt;&gt;Table5[[#This Row],[Type]],50,0)</f>
        <v>349</v>
      </c>
      <c r="X281" s="73">
        <f>RANK(Table5[[#This Row],[zScore]],Table5[[#All],[zScore]])</f>
        <v>185</v>
      </c>
      <c r="Y281" s="69">
        <f>IFERROR(INDEX(DraftResults[[#All],[OVR]],MATCH(Table5[[#This Row],[PID]],DraftResults[[#All],[Player ID]],0)),"")</f>
        <v>277</v>
      </c>
      <c r="Z28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81" s="69">
        <f>IFERROR(INDEX(DraftResults[[#All],[Pick in Round]],MATCH(Table5[[#This Row],[PID]],DraftResults[[#All],[Player ID]],0)),"")</f>
        <v>29</v>
      </c>
      <c r="AB281" s="69" t="str">
        <f>IFERROR(INDEX(DraftResults[[#All],[Team Name]],MATCH(Table5[[#This Row],[PID]],DraftResults[[#All],[Player ID]],0)),"")</f>
        <v>Havana Leones</v>
      </c>
      <c r="AC281" s="69">
        <f>IF(Table5[[#This Row],[Ovr]]="","",IF(Table5[[#This Row],[cmbList]]="","",Table5[[#This Row],[cmbList]]-Table5[[#This Row],[Ovr]]))</f>
        <v>72</v>
      </c>
      <c r="AD281" s="77" t="str">
        <f>IF(ISERROR(VLOOKUP($AB281&amp;"-"&amp;$E281&amp;" "&amp;F281,Bonuses!$B$1:$G$1006,4,FALSE)),"",INT(VLOOKUP($AB281&amp;"-"&amp;$E281&amp;" "&amp;$F281,Bonuses!$B$1:$G$1006,4,FALSE)))</f>
        <v/>
      </c>
      <c r="AE28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9.29 (277) - SP Juan Guerra</v>
      </c>
    </row>
    <row r="282" spans="1:31" s="50" customFormat="1" x14ac:dyDescent="0.25">
      <c r="A282" s="50">
        <v>18198</v>
      </c>
      <c r="B282" s="55">
        <f>COUNTIF(Table5[PID],A282)</f>
        <v>1</v>
      </c>
      <c r="C282" s="55" t="str">
        <f>IF(COUNTIF(Table3[[#All],[PID]],A282)&gt;0,"P","B")</f>
        <v>B</v>
      </c>
      <c r="D282" s="59" t="str">
        <f>IF($C282="B",INDEX(Batters[[#All],[POS]],MATCH(Table5[[#This Row],[PID]],Batters[[#All],[PID]],0)),INDEX(Table3[[#All],[POS]],MATCH(Table5[[#This Row],[PID]],Table3[[#All],[PID]],0)))</f>
        <v>CF</v>
      </c>
      <c r="E282" s="52" t="str">
        <f>IF($C282="B",INDEX(Batters[[#All],[First]],MATCH(Table5[[#This Row],[PID]],Batters[[#All],[PID]],0)),INDEX(Table3[[#All],[First]],MATCH(Table5[[#This Row],[PID]],Table3[[#All],[PID]],0)))</f>
        <v>Lou</v>
      </c>
      <c r="F282" s="50" t="str">
        <f>IF($C282="B",INDEX(Batters[[#All],[Last]],MATCH(A282,Batters[[#All],[PID]],0)),INDEX(Table3[[#All],[Last]],MATCH(A282,Table3[[#All],[PID]],0)))</f>
        <v>Rodríguez</v>
      </c>
      <c r="G282" s="56">
        <f>IF($C282="B",INDEX(Batters[[#All],[Age]],MATCH(Table5[[#This Row],[PID]],Batters[[#All],[PID]],0)),INDEX(Table3[[#All],[Age]],MATCH(Table5[[#This Row],[PID]],Table3[[#All],[PID]],0)))</f>
        <v>18</v>
      </c>
      <c r="H282" s="52" t="str">
        <f>IF($C282="B",INDEX(Batters[[#All],[B]],MATCH(Table5[[#This Row],[PID]],Batters[[#All],[PID]],0)),INDEX(Table3[[#All],[B]],MATCH(Table5[[#This Row],[PID]],Table3[[#All],[PID]],0)))</f>
        <v>R</v>
      </c>
      <c r="I282" s="52" t="str">
        <f>IF($C282="B",INDEX(Batters[[#All],[T]],MATCH(Table5[[#This Row],[PID]],Batters[[#All],[PID]],0)),INDEX(Table3[[#All],[T]],MATCH(Table5[[#This Row],[PID]],Table3[[#All],[PID]],0)))</f>
        <v>R</v>
      </c>
      <c r="J282" s="52" t="str">
        <f>IF($C282="B",INDEX(Batters[[#All],[WE]],MATCH(Table5[[#This Row],[PID]],Batters[[#All],[PID]],0)),INDEX(Table3[[#All],[WE]],MATCH(Table5[[#This Row],[PID]],Table3[[#All],[PID]],0)))</f>
        <v>High</v>
      </c>
      <c r="K282" s="52" t="str">
        <f>IF($C282="B",INDEX(Batters[[#All],[INT]],MATCH(Table5[[#This Row],[PID]],Batters[[#All],[PID]],0)),INDEX(Table3[[#All],[INT]],MATCH(Table5[[#This Row],[PID]],Table3[[#All],[PID]],0)))</f>
        <v>Normal</v>
      </c>
      <c r="L282" s="60">
        <f>IF($C282="B",INDEX(Batters[[#All],[CON P]],MATCH(Table5[[#This Row],[PID]],Batters[[#All],[PID]],0)),INDEX(Table3[[#All],[STU P]],MATCH(Table5[[#This Row],[PID]],Table3[[#All],[PID]],0)))</f>
        <v>3</v>
      </c>
      <c r="M282" s="56">
        <f>IF($C282="B",INDEX(Batters[[#All],[GAP P]],MATCH(Table5[[#This Row],[PID]],Batters[[#All],[PID]],0)),INDEX(Table3[[#All],[MOV P]],MATCH(Table5[[#This Row],[PID]],Table3[[#All],[PID]],0)))</f>
        <v>5</v>
      </c>
      <c r="N282" s="56">
        <f>IF($C282="B",INDEX(Batters[[#All],[POW P]],MATCH(Table5[[#This Row],[PID]],Batters[[#All],[PID]],0)),INDEX(Table3[[#All],[CON P]],MATCH(Table5[[#This Row],[PID]],Table3[[#All],[PID]],0)))</f>
        <v>7</v>
      </c>
      <c r="O282" s="56">
        <f>IF($C282="B",INDEX(Batters[[#All],[EYE P]],MATCH(Table5[[#This Row],[PID]],Batters[[#All],[PID]],0)),INDEX(Table3[[#All],[VELO]],MATCH(Table5[[#This Row],[PID]],Table3[[#All],[PID]],0)))</f>
        <v>6</v>
      </c>
      <c r="P282" s="56">
        <f>IF($C282="B",INDEX(Batters[[#All],[K P]],MATCH(Table5[[#This Row],[PID]],Batters[[#All],[PID]],0)),INDEX(Table3[[#All],[STM]],MATCH(Table5[[#This Row],[PID]],Table3[[#All],[PID]],0)))</f>
        <v>2</v>
      </c>
      <c r="Q282" s="61">
        <f>IF($C282="B",INDEX(Batters[[#All],[Tot]],MATCH(Table5[[#This Row],[PID]],Batters[[#All],[PID]],0)),INDEX(Table3[[#All],[Tot]],MATCH(Table5[[#This Row],[PID]],Table3[[#All],[PID]],0)))</f>
        <v>47.978878980850055</v>
      </c>
      <c r="R282" s="52">
        <f>IF($C282="B",INDEX(Batters[[#All],[zScore]],MATCH(Table5[[#This Row],[PID]],Batters[[#All],[PID]],0)),INDEX(Table3[[#All],[zScore]],MATCH(Table5[[#This Row],[PID]],Table3[[#All],[PID]],0)))</f>
        <v>0.85289243666435277</v>
      </c>
      <c r="S282" s="58" t="str">
        <f>IF($C282="B",INDEX(Batters[[#All],[DEM]],MATCH(Table5[[#This Row],[PID]],Batters[[#All],[PID]],0)),INDEX(Table3[[#All],[DEM]],MATCH(Table5[[#This Row],[PID]],Table3[[#All],[PID]],0)))</f>
        <v>$700k</v>
      </c>
      <c r="T282" s="62">
        <f>IF($C282="B",INDEX(Batters[[#All],[Rnk]],MATCH(Table5[[#This Row],[PID]],Batters[[#All],[PID]],0)),INDEX(Table3[[#All],[Rnk]],MATCH(Table5[[#This Row],[PID]],Table3[[#All],[PID]],0)))</f>
        <v>108</v>
      </c>
      <c r="U282" s="68">
        <f>IF($C282="B",VLOOKUP($A282,Bat!$A$4:$BA$1621,47,FALSE),VLOOKUP($A282,Pit!$A$4:$BF$1557,56,FALSE))</f>
        <v>0</v>
      </c>
      <c r="V282" s="50">
        <f>IF($C282="B",VLOOKUP($A282,Bat!$A$4:$BA$1621,48,FALSE),VLOOKUP($A282,Pit!$A$4:$BF$1557,57,FALSE))</f>
        <v>0</v>
      </c>
      <c r="W282" s="50">
        <f>Table5[[#This Row],[posRnk]]+Table5[[#This Row],[zRnk]]+IF($W$3&lt;&gt;Table5[[#This Row],[Type]],50,0)</f>
        <v>428</v>
      </c>
      <c r="X282" s="51">
        <f>RANK(Table5[[#This Row],[zScore]],Table5[[#All],[zScore]])</f>
        <v>270</v>
      </c>
      <c r="Y282" s="50">
        <f>IFERROR(INDEX(DraftResults[[#All],[OVR]],MATCH(Table5[[#This Row],[PID]],DraftResults[[#All],[Player ID]],0)),"")</f>
        <v>278</v>
      </c>
      <c r="Z2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9</v>
      </c>
      <c r="AA282" s="50">
        <f>IFERROR(INDEX(DraftResults[[#All],[Pick in Round]],MATCH(Table5[[#This Row],[PID]],DraftResults[[#All],[Player ID]],0)),"")</f>
        <v>30</v>
      </c>
      <c r="AB282" s="50" t="str">
        <f>IFERROR(INDEX(DraftResults[[#All],[Team Name]],MATCH(Table5[[#This Row],[PID]],DraftResults[[#All],[Player ID]],0)),"")</f>
        <v>Florida Farstriders</v>
      </c>
      <c r="AC282" s="50">
        <f>IF(Table5[[#This Row],[Ovr]]="","",IF(Table5[[#This Row],[cmbList]]="","",Table5[[#This Row],[cmbList]]-Table5[[#This Row],[Ovr]]))</f>
        <v>150</v>
      </c>
      <c r="AD282" s="54" t="str">
        <f>IF(ISERROR(VLOOKUP($AB282&amp;"-"&amp;$E282&amp;" "&amp;F282,Bonuses!$B$1:$G$1006,4,FALSE)),"",INT(VLOOKUP($AB282&amp;"-"&amp;$E282&amp;" "&amp;$F282,Bonuses!$B$1:$G$1006,4,FALSE)))</f>
        <v/>
      </c>
      <c r="AE2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9.30 (278) - CF Lou Rodríguez</v>
      </c>
    </row>
    <row r="283" spans="1:31" s="50" customFormat="1" x14ac:dyDescent="0.25">
      <c r="A283" s="50">
        <v>18176</v>
      </c>
      <c r="B283" s="50">
        <f>COUNTIF(Table5[PID],A283)</f>
        <v>1</v>
      </c>
      <c r="C283" s="50" t="str">
        <f>IF(COUNTIF(Table3[[#All],[PID]],A283)&gt;0,"P","B")</f>
        <v>B</v>
      </c>
      <c r="D283" s="59" t="str">
        <f>IF($C283="B",INDEX(Batters[[#All],[POS]],MATCH(Table5[[#This Row],[PID]],Batters[[#All],[PID]],0)),INDEX(Table3[[#All],[POS]],MATCH(Table5[[#This Row],[PID]],Table3[[#All],[PID]],0)))</f>
        <v>C</v>
      </c>
      <c r="E283" s="52" t="str">
        <f>IF($C283="B",INDEX(Batters[[#All],[First]],MATCH(Table5[[#This Row],[PID]],Batters[[#All],[PID]],0)),INDEX(Table3[[#All],[First]],MATCH(Table5[[#This Row],[PID]],Table3[[#All],[PID]],0)))</f>
        <v>Don</v>
      </c>
      <c r="F283" s="50" t="str">
        <f>IF($C283="B",INDEX(Batters[[#All],[Last]],MATCH(A283,Batters[[#All],[PID]],0)),INDEX(Table3[[#All],[Last]],MATCH(A283,Table3[[#All],[PID]],0)))</f>
        <v>Adams</v>
      </c>
      <c r="G283" s="56">
        <f>IF($C283="B",INDEX(Batters[[#All],[Age]],MATCH(Table5[[#This Row],[PID]],Batters[[#All],[PID]],0)),INDEX(Table3[[#All],[Age]],MATCH(Table5[[#This Row],[PID]],Table3[[#All],[PID]],0)))</f>
        <v>18</v>
      </c>
      <c r="H283" s="52" t="str">
        <f>IF($C283="B",INDEX(Batters[[#All],[B]],MATCH(Table5[[#This Row],[PID]],Batters[[#All],[PID]],0)),INDEX(Table3[[#All],[B]],MATCH(Table5[[#This Row],[PID]],Table3[[#All],[PID]],0)))</f>
        <v>L</v>
      </c>
      <c r="I283" s="52" t="str">
        <f>IF($C283="B",INDEX(Batters[[#All],[T]],MATCH(Table5[[#This Row],[PID]],Batters[[#All],[PID]],0)),INDEX(Table3[[#All],[T]],MATCH(Table5[[#This Row],[PID]],Table3[[#All],[PID]],0)))</f>
        <v>R</v>
      </c>
      <c r="J283" s="52" t="str">
        <f>IF($C283="B",INDEX(Batters[[#All],[WE]],MATCH(Table5[[#This Row],[PID]],Batters[[#All],[PID]],0)),INDEX(Table3[[#All],[WE]],MATCH(Table5[[#This Row],[PID]],Table3[[#All],[PID]],0)))</f>
        <v>High</v>
      </c>
      <c r="K283" s="52" t="str">
        <f>IF($C283="B",INDEX(Batters[[#All],[INT]],MATCH(Table5[[#This Row],[PID]],Batters[[#All],[PID]],0)),INDEX(Table3[[#All],[INT]],MATCH(Table5[[#This Row],[PID]],Table3[[#All],[PID]],0)))</f>
        <v>Normal</v>
      </c>
      <c r="L283" s="60">
        <f>IF($C283="B",INDEX(Batters[[#All],[CON P]],MATCH(Table5[[#This Row],[PID]],Batters[[#All],[PID]],0)),INDEX(Table3[[#All],[STU P]],MATCH(Table5[[#This Row],[PID]],Table3[[#All],[PID]],0)))</f>
        <v>3</v>
      </c>
      <c r="M283" s="56">
        <f>IF($C283="B",INDEX(Batters[[#All],[GAP P]],MATCH(Table5[[#This Row],[PID]],Batters[[#All],[PID]],0)),INDEX(Table3[[#All],[MOV P]],MATCH(Table5[[#This Row],[PID]],Table3[[#All],[PID]],0)))</f>
        <v>7</v>
      </c>
      <c r="N283" s="56">
        <f>IF($C283="B",INDEX(Batters[[#All],[POW P]],MATCH(Table5[[#This Row],[PID]],Batters[[#All],[PID]],0)),INDEX(Table3[[#All],[CON P]],MATCH(Table5[[#This Row],[PID]],Table3[[#All],[PID]],0)))</f>
        <v>5</v>
      </c>
      <c r="O283" s="56">
        <f>IF($C283="B",INDEX(Batters[[#All],[EYE P]],MATCH(Table5[[#This Row],[PID]],Batters[[#All],[PID]],0)),INDEX(Table3[[#All],[VELO]],MATCH(Table5[[#This Row],[PID]],Table3[[#All],[PID]],0)))</f>
        <v>4</v>
      </c>
      <c r="P283" s="56">
        <f>IF($C283="B",INDEX(Batters[[#All],[K P]],MATCH(Table5[[#This Row],[PID]],Batters[[#All],[PID]],0)),INDEX(Table3[[#All],[STM]],MATCH(Table5[[#This Row],[PID]],Table3[[#All],[PID]],0)))</f>
        <v>2</v>
      </c>
      <c r="Q283" s="61">
        <f>IF($C283="B",INDEX(Batters[[#All],[Tot]],MATCH(Table5[[#This Row],[PID]],Batters[[#All],[PID]],0)),INDEX(Table3[[#All],[Tot]],MATCH(Table5[[#This Row],[PID]],Table3[[#All],[PID]],0)))</f>
        <v>44.212306585120544</v>
      </c>
      <c r="R283" s="52">
        <f>IF($C283="B",INDEX(Batters[[#All],[zScore]],MATCH(Table5[[#This Row],[PID]],Batters[[#All],[PID]],0)),INDEX(Table3[[#All],[zScore]],MATCH(Table5[[#This Row],[PID]],Table3[[#All],[PID]],0)))</f>
        <v>1.781787686456765E-2</v>
      </c>
      <c r="S283" s="58" t="str">
        <f>IF($C283="B",INDEX(Batters[[#All],[DEM]],MATCH(Table5[[#This Row],[PID]],Batters[[#All],[PID]],0)),INDEX(Table3[[#All],[DEM]],MATCH(Table5[[#This Row],[PID]],Table3[[#All],[PID]],0)))</f>
        <v>$65k</v>
      </c>
      <c r="T283" s="62">
        <f>IF($C283="B",INDEX(Batters[[#All],[Rnk]],MATCH(Table5[[#This Row],[PID]],Batters[[#All],[PID]],0)),INDEX(Table3[[#All],[Rnk]],MATCH(Table5[[#This Row],[PID]],Table3[[#All],[PID]],0)))</f>
        <v>241</v>
      </c>
      <c r="U283" s="68">
        <f>IF($C283="B",VLOOKUP($A283,Bat!$A$4:$BA$1621,47,FALSE),VLOOKUP($A283,Pit!$A$4:$BF$1557,56,FALSE))</f>
        <v>0</v>
      </c>
      <c r="V283" s="50">
        <f>IF($C283="B",VLOOKUP($A283,Bat!$A$4:$BA$1621,48,FALSE),VLOOKUP($A283,Pit!$A$4:$BF$1557,57,FALSE))</f>
        <v>0</v>
      </c>
      <c r="W283" s="50">
        <f>Table5[[#This Row],[posRnk]]+Table5[[#This Row],[zRnk]]+IF($W$3&lt;&gt;Table5[[#This Row],[Type]],50,0)</f>
        <v>834</v>
      </c>
      <c r="X283" s="51">
        <f>RANK(Table5[[#This Row],[zScore]],Table5[[#All],[zScore]])</f>
        <v>543</v>
      </c>
      <c r="Y283" s="50">
        <f>IFERROR(INDEX(DraftResults[[#All],[OVR]],MATCH(Table5[[#This Row],[PID]],DraftResults[[#All],[Player ID]],0)),"")</f>
        <v>279</v>
      </c>
      <c r="Z2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3" s="50">
        <f>IFERROR(INDEX(DraftResults[[#All],[Pick in Round]],MATCH(Table5[[#This Row],[PID]],DraftResults[[#All],[Player ID]],0)),"")</f>
        <v>1</v>
      </c>
      <c r="AB283" s="50" t="str">
        <f>IFERROR(INDEX(DraftResults[[#All],[Team Name]],MATCH(Table5[[#This Row],[PID]],DraftResults[[#All],[Player ID]],0)),"")</f>
        <v>Yuma Arroyos</v>
      </c>
      <c r="AC283" s="50">
        <f>IF(Table5[[#This Row],[Ovr]]="","",IF(Table5[[#This Row],[cmbList]]="","",Table5[[#This Row],[cmbList]]-Table5[[#This Row],[Ovr]]))</f>
        <v>555</v>
      </c>
      <c r="AD283" s="54" t="str">
        <f>IF(ISERROR(VLOOKUP($AB283&amp;"-"&amp;$E283&amp;" "&amp;F283,Bonuses!$B$1:$G$1006,4,FALSE)),"",INT(VLOOKUP($AB283&amp;"-"&amp;$E283&amp;" "&amp;$F283,Bonuses!$B$1:$G$1006,4,FALSE)))</f>
        <v/>
      </c>
      <c r="AE2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 (279) - C Don Adams</v>
      </c>
    </row>
    <row r="284" spans="1:31" s="50" customFormat="1" x14ac:dyDescent="0.25">
      <c r="A284" s="68">
        <v>13862</v>
      </c>
      <c r="B284" s="69">
        <f>COUNTIF(Table5[PID],A284)</f>
        <v>1</v>
      </c>
      <c r="C284" s="69" t="str">
        <f>IF(COUNTIF(Table3[[#All],[PID]],A284)&gt;0,"P","B")</f>
        <v>P</v>
      </c>
      <c r="D284" s="59" t="str">
        <f>IF($C284="B",INDEX(Batters[[#All],[POS]],MATCH(Table5[[#This Row],[PID]],Batters[[#All],[PID]],0)),INDEX(Table3[[#All],[POS]],MATCH(Table5[[#This Row],[PID]],Table3[[#All],[PID]],0)))</f>
        <v>SP</v>
      </c>
      <c r="E284" s="52" t="str">
        <f>IF($C284="B",INDEX(Batters[[#All],[First]],MATCH(Table5[[#This Row],[PID]],Batters[[#All],[PID]],0)),INDEX(Table3[[#All],[First]],MATCH(Table5[[#This Row],[PID]],Table3[[#All],[PID]],0)))</f>
        <v>Kurt</v>
      </c>
      <c r="F284" s="55" t="str">
        <f>IF($C284="B",INDEX(Batters[[#All],[Last]],MATCH(A284,Batters[[#All],[PID]],0)),INDEX(Table3[[#All],[Last]],MATCH(A284,Table3[[#All],[PID]],0)))</f>
        <v>Cameron</v>
      </c>
      <c r="G284" s="56">
        <f>IF($C284="B",INDEX(Batters[[#All],[Age]],MATCH(Table5[[#This Row],[PID]],Batters[[#All],[PID]],0)),INDEX(Table3[[#All],[Age]],MATCH(Table5[[#This Row],[PID]],Table3[[#All],[PID]],0)))</f>
        <v>18</v>
      </c>
      <c r="H284" s="52" t="str">
        <f>IF($C284="B",INDEX(Batters[[#All],[B]],MATCH(Table5[[#This Row],[PID]],Batters[[#All],[PID]],0)),INDEX(Table3[[#All],[B]],MATCH(Table5[[#This Row],[PID]],Table3[[#All],[PID]],0)))</f>
        <v>R</v>
      </c>
      <c r="I284" s="52" t="str">
        <f>IF($C284="B",INDEX(Batters[[#All],[T]],MATCH(Table5[[#This Row],[PID]],Batters[[#All],[PID]],0)),INDEX(Table3[[#All],[T]],MATCH(Table5[[#This Row],[PID]],Table3[[#All],[PID]],0)))</f>
        <v>R</v>
      </c>
      <c r="J284" s="71" t="str">
        <f>IF($C284="B",INDEX(Batters[[#All],[WE]],MATCH(Table5[[#This Row],[PID]],Batters[[#All],[PID]],0)),INDEX(Table3[[#All],[WE]],MATCH(Table5[[#This Row],[PID]],Table3[[#All],[PID]],0)))</f>
        <v>Normal</v>
      </c>
      <c r="K284" s="52" t="str">
        <f>IF($C284="B",INDEX(Batters[[#All],[INT]],MATCH(Table5[[#This Row],[PID]],Batters[[#All],[PID]],0)),INDEX(Table3[[#All],[INT]],MATCH(Table5[[#This Row],[PID]],Table3[[#All],[PID]],0)))</f>
        <v>Normal</v>
      </c>
      <c r="L284" s="60">
        <f>IF($C284="B",INDEX(Batters[[#All],[CON P]],MATCH(Table5[[#This Row],[PID]],Batters[[#All],[PID]],0)),INDEX(Table3[[#All],[STU P]],MATCH(Table5[[#This Row],[PID]],Table3[[#All],[PID]],0)))</f>
        <v>4</v>
      </c>
      <c r="M284" s="72">
        <f>IF($C284="B",INDEX(Batters[[#All],[GAP P]],MATCH(Table5[[#This Row],[PID]],Batters[[#All],[PID]],0)),INDEX(Table3[[#All],[MOV P]],MATCH(Table5[[#This Row],[PID]],Table3[[#All],[PID]],0)))</f>
        <v>6</v>
      </c>
      <c r="N284" s="72">
        <f>IF($C284="B",INDEX(Batters[[#All],[POW P]],MATCH(Table5[[#This Row],[PID]],Batters[[#All],[PID]],0)),INDEX(Table3[[#All],[CON P]],MATCH(Table5[[#This Row],[PID]],Table3[[#All],[PID]],0)))</f>
        <v>3</v>
      </c>
      <c r="O284" s="72" t="str">
        <f>IF($C284="B",INDEX(Batters[[#All],[EYE P]],MATCH(Table5[[#This Row],[PID]],Batters[[#All],[PID]],0)),INDEX(Table3[[#All],[VELO]],MATCH(Table5[[#This Row],[PID]],Table3[[#All],[PID]],0)))</f>
        <v>90-92 Mph</v>
      </c>
      <c r="P284" s="56">
        <f>IF($C284="B",INDEX(Batters[[#All],[K P]],MATCH(Table5[[#This Row],[PID]],Batters[[#All],[PID]],0)),INDEX(Table3[[#All],[STM]],MATCH(Table5[[#This Row],[PID]],Table3[[#All],[PID]],0)))</f>
        <v>8</v>
      </c>
      <c r="Q284" s="61">
        <f>IF($C284="B",INDEX(Batters[[#All],[Tot]],MATCH(Table5[[#This Row],[PID]],Batters[[#All],[PID]],0)),INDEX(Table3[[#All],[Tot]],MATCH(Table5[[#This Row],[PID]],Table3[[#All],[PID]],0)))</f>
        <v>46.060559850088339</v>
      </c>
      <c r="R284" s="52">
        <f>IF($C284="B",INDEX(Batters[[#All],[zScore]],MATCH(Table5[[#This Row],[PID]],Batters[[#All],[PID]],0)),INDEX(Table3[[#All],[zScore]],MATCH(Table5[[#This Row],[PID]],Table3[[#All],[PID]],0)))</f>
        <v>0.67792737770476552</v>
      </c>
      <c r="S284" s="78" t="str">
        <f>IF($C284="B",INDEX(Batters[[#All],[DEM]],MATCH(Table5[[#This Row],[PID]],Batters[[#All],[PID]],0)),INDEX(Table3[[#All],[DEM]],MATCH(Table5[[#This Row],[PID]],Table3[[#All],[PID]],0)))</f>
        <v>$90k</v>
      </c>
      <c r="T284" s="75">
        <f>IF($C284="B",INDEX(Batters[[#All],[Rnk]],MATCH(Table5[[#This Row],[PID]],Batters[[#All],[PID]],0)),INDEX(Table3[[#All],[Rnk]],MATCH(Table5[[#This Row],[PID]],Table3[[#All],[PID]],0)))</f>
        <v>191</v>
      </c>
      <c r="U284" s="68">
        <f>IF($C284="B",VLOOKUP($A284,Bat!$A$4:$BA$1621,47,FALSE),VLOOKUP($A284,Pit!$A$4:$BF$1557,56,FALSE))</f>
        <v>0</v>
      </c>
      <c r="V284" s="50">
        <f>IF($C284="B",VLOOKUP($A284,Bat!$A$4:$BA$1621,48,FALSE),VLOOKUP($A284,Pit!$A$4:$BF$1557,57,FALSE))</f>
        <v>0</v>
      </c>
      <c r="W284" s="69">
        <f>Table5[[#This Row],[posRnk]]+Table5[[#This Row],[zRnk]]+IF($W$3&lt;&gt;Table5[[#This Row],[Type]],50,0)</f>
        <v>555</v>
      </c>
      <c r="X284" s="73">
        <f>RANK(Table5[[#This Row],[zScore]],Table5[[#All],[zScore]])</f>
        <v>314</v>
      </c>
      <c r="Y284" s="69">
        <f>IFERROR(INDEX(DraftResults[[#All],[OVR]],MATCH(Table5[[#This Row],[PID]],DraftResults[[#All],[Player ID]],0)),"")</f>
        <v>280</v>
      </c>
      <c r="Z28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4" s="69">
        <f>IFERROR(INDEX(DraftResults[[#All],[Pick in Round]],MATCH(Table5[[#This Row],[PID]],DraftResults[[#All],[Player ID]],0)),"")</f>
        <v>2</v>
      </c>
      <c r="AB284" s="69" t="str">
        <f>IFERROR(INDEX(DraftResults[[#All],[Team Name]],MATCH(Table5[[#This Row],[PID]],DraftResults[[#All],[Player ID]],0)),"")</f>
        <v>Charleston Statesmen</v>
      </c>
      <c r="AC284" s="69">
        <f>IF(Table5[[#This Row],[Ovr]]="","",IF(Table5[[#This Row],[cmbList]]="","",Table5[[#This Row],[cmbList]]-Table5[[#This Row],[Ovr]]))</f>
        <v>275</v>
      </c>
      <c r="AD284" s="77" t="str">
        <f>IF(ISERROR(VLOOKUP($AB284&amp;"-"&amp;$E284&amp;" "&amp;F284,Bonuses!$B$1:$G$1006,4,FALSE)),"",INT(VLOOKUP($AB284&amp;"-"&amp;$E284&amp;" "&amp;$F284,Bonuses!$B$1:$G$1006,4,FALSE)))</f>
        <v/>
      </c>
      <c r="AE28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 (280) - SP Kurt Cameron</v>
      </c>
    </row>
    <row r="285" spans="1:31" s="50" customFormat="1" x14ac:dyDescent="0.25">
      <c r="A285" s="68">
        <v>18116</v>
      </c>
      <c r="B285" s="69">
        <f>COUNTIF(Table5[PID],A285)</f>
        <v>1</v>
      </c>
      <c r="C285" s="69" t="str">
        <f>IF(COUNTIF(Table3[[#All],[PID]],A285)&gt;0,"P","B")</f>
        <v>P</v>
      </c>
      <c r="D285" s="59" t="str">
        <f>IF($C285="B",INDEX(Batters[[#All],[POS]],MATCH(Table5[[#This Row],[PID]],Batters[[#All],[PID]],0)),INDEX(Table3[[#All],[POS]],MATCH(Table5[[#This Row],[PID]],Table3[[#All],[PID]],0)))</f>
        <v>SP</v>
      </c>
      <c r="E285" s="52" t="str">
        <f>IF($C285="B",INDEX(Batters[[#All],[First]],MATCH(Table5[[#This Row],[PID]],Batters[[#All],[PID]],0)),INDEX(Table3[[#All],[First]],MATCH(Table5[[#This Row],[PID]],Table3[[#All],[PID]],0)))</f>
        <v>Dan</v>
      </c>
      <c r="F285" s="55" t="str">
        <f>IF($C285="B",INDEX(Batters[[#All],[Last]],MATCH(A285,Batters[[#All],[PID]],0)),INDEX(Table3[[#All],[Last]],MATCH(A285,Table3[[#All],[PID]],0)))</f>
        <v>Berry</v>
      </c>
      <c r="G285" s="56">
        <f>IF($C285="B",INDEX(Batters[[#All],[Age]],MATCH(Table5[[#This Row],[PID]],Batters[[#All],[PID]],0)),INDEX(Table3[[#All],[Age]],MATCH(Table5[[#This Row],[PID]],Table3[[#All],[PID]],0)))</f>
        <v>21</v>
      </c>
      <c r="H285" s="52" t="str">
        <f>IF($C285="B",INDEX(Batters[[#All],[B]],MATCH(Table5[[#This Row],[PID]],Batters[[#All],[PID]],0)),INDEX(Table3[[#All],[B]],MATCH(Table5[[#This Row],[PID]],Table3[[#All],[PID]],0)))</f>
        <v>R</v>
      </c>
      <c r="I285" s="52" t="str">
        <f>IF($C285="B",INDEX(Batters[[#All],[T]],MATCH(Table5[[#This Row],[PID]],Batters[[#All],[PID]],0)),INDEX(Table3[[#All],[T]],MATCH(Table5[[#This Row],[PID]],Table3[[#All],[PID]],0)))</f>
        <v>R</v>
      </c>
      <c r="J285" s="71" t="str">
        <f>IF($C285="B",INDEX(Batters[[#All],[WE]],MATCH(Table5[[#This Row],[PID]],Batters[[#All],[PID]],0)),INDEX(Table3[[#All],[WE]],MATCH(Table5[[#This Row],[PID]],Table3[[#All],[PID]],0)))</f>
        <v>High</v>
      </c>
      <c r="K285" s="52" t="str">
        <f>IF($C285="B",INDEX(Batters[[#All],[INT]],MATCH(Table5[[#This Row],[PID]],Batters[[#All],[PID]],0)),INDEX(Table3[[#All],[INT]],MATCH(Table5[[#This Row],[PID]],Table3[[#All],[PID]],0)))</f>
        <v>Normal</v>
      </c>
      <c r="L285" s="60">
        <f>IF($C285="B",INDEX(Batters[[#All],[CON P]],MATCH(Table5[[#This Row],[PID]],Batters[[#All],[PID]],0)),INDEX(Table3[[#All],[STU P]],MATCH(Table5[[#This Row],[PID]],Table3[[#All],[PID]],0)))</f>
        <v>5</v>
      </c>
      <c r="M285" s="72">
        <f>IF($C285="B",INDEX(Batters[[#All],[GAP P]],MATCH(Table5[[#This Row],[PID]],Batters[[#All],[PID]],0)),INDEX(Table3[[#All],[MOV P]],MATCH(Table5[[#This Row],[PID]],Table3[[#All],[PID]],0)))</f>
        <v>5</v>
      </c>
      <c r="N285" s="72">
        <f>IF($C285="B",INDEX(Batters[[#All],[POW P]],MATCH(Table5[[#This Row],[PID]],Batters[[#All],[PID]],0)),INDEX(Table3[[#All],[CON P]],MATCH(Table5[[#This Row],[PID]],Table3[[#All],[PID]],0)))</f>
        <v>3</v>
      </c>
      <c r="O285" s="72" t="str">
        <f>IF($C285="B",INDEX(Batters[[#All],[EYE P]],MATCH(Table5[[#This Row],[PID]],Batters[[#All],[PID]],0)),INDEX(Table3[[#All],[VELO]],MATCH(Table5[[#This Row],[PID]],Table3[[#All],[PID]],0)))</f>
        <v>95-97 Mph</v>
      </c>
      <c r="P285" s="56">
        <f>IF($C285="B",INDEX(Batters[[#All],[K P]],MATCH(Table5[[#This Row],[PID]],Batters[[#All],[PID]],0)),INDEX(Table3[[#All],[STM]],MATCH(Table5[[#This Row],[PID]],Table3[[#All],[PID]],0)))</f>
        <v>7</v>
      </c>
      <c r="Q285" s="61">
        <f>IF($C285="B",INDEX(Batters[[#All],[Tot]],MATCH(Table5[[#This Row],[PID]],Batters[[#All],[PID]],0)),INDEX(Table3[[#All],[Tot]],MATCH(Table5[[#This Row],[PID]],Table3[[#All],[PID]],0)))</f>
        <v>45.931947287419455</v>
      </c>
      <c r="R285" s="52">
        <f>IF($C285="B",INDEX(Batters[[#All],[zScore]],MATCH(Table5[[#This Row],[PID]],Batters[[#All],[PID]],0)),INDEX(Table3[[#All],[zScore]],MATCH(Table5[[#This Row],[PID]],Table3[[#All],[PID]],0)))</f>
        <v>0.66937098044439891</v>
      </c>
      <c r="S285" s="78" t="str">
        <f>IF($C285="B",INDEX(Batters[[#All],[DEM]],MATCH(Table5[[#This Row],[PID]],Batters[[#All],[PID]],0)),INDEX(Table3[[#All],[DEM]],MATCH(Table5[[#This Row],[PID]],Table3[[#All],[PID]],0)))</f>
        <v>$20k</v>
      </c>
      <c r="T285" s="75">
        <f>IF($C285="B",INDEX(Batters[[#All],[Rnk]],MATCH(Table5[[#This Row],[PID]],Batters[[#All],[PID]],0)),INDEX(Table3[[#All],[Rnk]],MATCH(Table5[[#This Row],[PID]],Table3[[#All],[PID]],0)))</f>
        <v>193</v>
      </c>
      <c r="U285" s="68">
        <f>IF($C285="B",VLOOKUP($A285,Bat!$A$4:$BA$1621,47,FALSE),VLOOKUP($A285,Pit!$A$4:$BF$1557,56,FALSE))</f>
        <v>0</v>
      </c>
      <c r="V285" s="50">
        <f>IF($C285="B",VLOOKUP($A285,Bat!$A$4:$BA$1621,48,FALSE),VLOOKUP($A285,Pit!$A$4:$BF$1557,57,FALSE))</f>
        <v>0</v>
      </c>
      <c r="W285" s="69">
        <f>Table5[[#This Row],[posRnk]]+Table5[[#This Row],[zRnk]]+IF($W$3&lt;&gt;Table5[[#This Row],[Type]],50,0)</f>
        <v>561</v>
      </c>
      <c r="X285" s="73">
        <f>RANK(Table5[[#This Row],[zScore]],Table5[[#All],[zScore]])</f>
        <v>318</v>
      </c>
      <c r="Y285" s="69">
        <f>IFERROR(INDEX(DraftResults[[#All],[OVR]],MATCH(Table5[[#This Row],[PID]],DraftResults[[#All],[Player ID]],0)),"")</f>
        <v>281</v>
      </c>
      <c r="Z28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5" s="69">
        <f>IFERROR(INDEX(DraftResults[[#All],[Pick in Round]],MATCH(Table5[[#This Row],[PID]],DraftResults[[#All],[Player ID]],0)),"")</f>
        <v>3</v>
      </c>
      <c r="AB285" s="69" t="str">
        <f>IFERROR(INDEX(DraftResults[[#All],[Team Name]],MATCH(Table5[[#This Row],[PID]],DraftResults[[#All],[Player ID]],0)),"")</f>
        <v>New Orleans Trendsetters</v>
      </c>
      <c r="AC285" s="69">
        <f>IF(Table5[[#This Row],[Ovr]]="","",IF(Table5[[#This Row],[cmbList]]="","",Table5[[#This Row],[cmbList]]-Table5[[#This Row],[Ovr]]))</f>
        <v>280</v>
      </c>
      <c r="AD285" s="77" t="str">
        <f>IF(ISERROR(VLOOKUP($AB285&amp;"-"&amp;$E285&amp;" "&amp;F285,Bonuses!$B$1:$G$1006,4,FALSE)),"",INT(VLOOKUP($AB285&amp;"-"&amp;$E285&amp;" "&amp;$F285,Bonuses!$B$1:$G$1006,4,FALSE)))</f>
        <v/>
      </c>
      <c r="AE28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10.3 (281) - SP Dan Berry</v>
      </c>
    </row>
    <row r="286" spans="1:31" s="50" customFormat="1" x14ac:dyDescent="0.25">
      <c r="A286" s="50">
        <v>18337</v>
      </c>
      <c r="B286" s="50">
        <f>COUNTIF(Table5[PID],A286)</f>
        <v>1</v>
      </c>
      <c r="C286" s="50" t="str">
        <f>IF(COUNTIF(Table3[[#All],[PID]],A286)&gt;0,"P","B")</f>
        <v>B</v>
      </c>
      <c r="D286" s="59" t="str">
        <f>IF($C286="B",INDEX(Batters[[#All],[POS]],MATCH(Table5[[#This Row],[PID]],Batters[[#All],[PID]],0)),INDEX(Table3[[#All],[POS]],MATCH(Table5[[#This Row],[PID]],Table3[[#All],[PID]],0)))</f>
        <v>RF</v>
      </c>
      <c r="E286" s="52" t="str">
        <f>IF($C286="B",INDEX(Batters[[#All],[First]],MATCH(Table5[[#This Row],[PID]],Batters[[#All],[PID]],0)),INDEX(Table3[[#All],[First]],MATCH(Table5[[#This Row],[PID]],Table3[[#All],[PID]],0)))</f>
        <v>Soetsu</v>
      </c>
      <c r="F286" s="50" t="str">
        <f>IF($C286="B",INDEX(Batters[[#All],[Last]],MATCH(A286,Batters[[#All],[PID]],0)),INDEX(Table3[[#All],[Last]],MATCH(A286,Table3[[#All],[PID]],0)))</f>
        <v>Yamamoto</v>
      </c>
      <c r="G286" s="56">
        <f>IF($C286="B",INDEX(Batters[[#All],[Age]],MATCH(Table5[[#This Row],[PID]],Batters[[#All],[PID]],0)),INDEX(Table3[[#All],[Age]],MATCH(Table5[[#This Row],[PID]],Table3[[#All],[PID]],0)))</f>
        <v>18</v>
      </c>
      <c r="H286" s="52" t="str">
        <f>IF($C286="B",INDEX(Batters[[#All],[B]],MATCH(Table5[[#This Row],[PID]],Batters[[#All],[PID]],0)),INDEX(Table3[[#All],[B]],MATCH(Table5[[#This Row],[PID]],Table3[[#All],[PID]],0)))</f>
        <v>L</v>
      </c>
      <c r="I286" s="52" t="str">
        <f>IF($C286="B",INDEX(Batters[[#All],[T]],MATCH(Table5[[#This Row],[PID]],Batters[[#All],[PID]],0)),INDEX(Table3[[#All],[T]],MATCH(Table5[[#This Row],[PID]],Table3[[#All],[PID]],0)))</f>
        <v>R</v>
      </c>
      <c r="J286" s="52" t="str">
        <f>IF($C286="B",INDEX(Batters[[#All],[WE]],MATCH(Table5[[#This Row],[PID]],Batters[[#All],[PID]],0)),INDEX(Table3[[#All],[WE]],MATCH(Table5[[#This Row],[PID]],Table3[[#All],[PID]],0)))</f>
        <v>Normal</v>
      </c>
      <c r="K286" s="52" t="str">
        <f>IF($C286="B",INDEX(Batters[[#All],[INT]],MATCH(Table5[[#This Row],[PID]],Batters[[#All],[PID]],0)),INDEX(Table3[[#All],[INT]],MATCH(Table5[[#This Row],[PID]],Table3[[#All],[PID]],0)))</f>
        <v>Normal</v>
      </c>
      <c r="L286" s="60">
        <f>IF($C286="B",INDEX(Batters[[#All],[CON P]],MATCH(Table5[[#This Row],[PID]],Batters[[#All],[PID]],0)),INDEX(Table3[[#All],[STU P]],MATCH(Table5[[#This Row],[PID]],Table3[[#All],[PID]],0)))</f>
        <v>4</v>
      </c>
      <c r="M286" s="56">
        <f>IF($C286="B",INDEX(Batters[[#All],[GAP P]],MATCH(Table5[[#This Row],[PID]],Batters[[#All],[PID]],0)),INDEX(Table3[[#All],[MOV P]],MATCH(Table5[[#This Row],[PID]],Table3[[#All],[PID]],0)))</f>
        <v>6</v>
      </c>
      <c r="N286" s="56">
        <f>IF($C286="B",INDEX(Batters[[#All],[POW P]],MATCH(Table5[[#This Row],[PID]],Batters[[#All],[PID]],0)),INDEX(Table3[[#All],[CON P]],MATCH(Table5[[#This Row],[PID]],Table3[[#All],[PID]],0)))</f>
        <v>7</v>
      </c>
      <c r="O286" s="56">
        <f>IF($C286="B",INDEX(Batters[[#All],[EYE P]],MATCH(Table5[[#This Row],[PID]],Batters[[#All],[PID]],0)),INDEX(Table3[[#All],[VELO]],MATCH(Table5[[#This Row],[PID]],Table3[[#All],[PID]],0)))</f>
        <v>6</v>
      </c>
      <c r="P286" s="56">
        <f>IF($C286="B",INDEX(Batters[[#All],[K P]],MATCH(Table5[[#This Row],[PID]],Batters[[#All],[PID]],0)),INDEX(Table3[[#All],[STM]],MATCH(Table5[[#This Row],[PID]],Table3[[#All],[PID]],0)))</f>
        <v>3</v>
      </c>
      <c r="Q286" s="61">
        <f>IF($C286="B",INDEX(Batters[[#All],[Tot]],MATCH(Table5[[#This Row],[PID]],Batters[[#All],[PID]],0)),INDEX(Table3[[#All],[Tot]],MATCH(Table5[[#This Row],[PID]],Table3[[#All],[PID]],0)))</f>
        <v>51.668101270179221</v>
      </c>
      <c r="R286" s="52">
        <f>IF($C286="B",INDEX(Batters[[#All],[zScore]],MATCH(Table5[[#This Row],[PID]],Batters[[#All],[PID]],0)),INDEX(Table3[[#All],[zScore]],MATCH(Table5[[#This Row],[PID]],Table3[[#All],[PID]],0)))</f>
        <v>1.670817955036985</v>
      </c>
      <c r="S286" s="58" t="str">
        <f>IF($C286="B",INDEX(Batters[[#All],[DEM]],MATCH(Table5[[#This Row],[PID]],Batters[[#All],[PID]],0)),INDEX(Table3[[#All],[DEM]],MATCH(Table5[[#This Row],[PID]],Table3[[#All],[PID]],0)))</f>
        <v>$200k</v>
      </c>
      <c r="T286" s="62">
        <f>IF($C286="B",INDEX(Batters[[#All],[Rnk]],MATCH(Table5[[#This Row],[PID]],Batters[[#All],[PID]],0)),INDEX(Table3[[#All],[Rnk]],MATCH(Table5[[#This Row],[PID]],Table3[[#All],[PID]],0)))</f>
        <v>34</v>
      </c>
      <c r="U286" s="68">
        <f>IF($C286="B",VLOOKUP($A286,Bat!$A$4:$BA$1621,47,FALSE),VLOOKUP($A286,Pit!$A$4:$BF$1557,56,FALSE))</f>
        <v>0</v>
      </c>
      <c r="V286" s="50">
        <f>IF($C286="B",VLOOKUP($A286,Bat!$A$4:$BA$1621,48,FALSE),VLOOKUP($A286,Pit!$A$4:$BF$1557,57,FALSE))</f>
        <v>0</v>
      </c>
      <c r="W286" s="50">
        <f>Table5[[#This Row],[posRnk]]+Table5[[#This Row],[zRnk]]+IF($W$3&lt;&gt;Table5[[#This Row],[Type]],50,0)</f>
        <v>176</v>
      </c>
      <c r="X286" s="51">
        <f>RANK(Table5[[#This Row],[zScore]],Table5[[#All],[zScore]])</f>
        <v>92</v>
      </c>
      <c r="Y286" s="50">
        <f>IFERROR(INDEX(DraftResults[[#All],[OVR]],MATCH(Table5[[#This Row],[PID]],DraftResults[[#All],[Player ID]],0)),"")</f>
        <v>282</v>
      </c>
      <c r="Z2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6" s="50">
        <f>IFERROR(INDEX(DraftResults[[#All],[Pick in Round]],MATCH(Table5[[#This Row],[PID]],DraftResults[[#All],[Player ID]],0)),"")</f>
        <v>4</v>
      </c>
      <c r="AB286" s="50" t="str">
        <f>IFERROR(INDEX(DraftResults[[#All],[Team Name]],MATCH(Table5[[#This Row],[PID]],DraftResults[[#All],[Player ID]],0)),"")</f>
        <v>Tempe Knights</v>
      </c>
      <c r="AC286" s="50">
        <f>IF(Table5[[#This Row],[Ovr]]="","",IF(Table5[[#This Row],[cmbList]]="","",Table5[[#This Row],[cmbList]]-Table5[[#This Row],[Ovr]]))</f>
        <v>-106</v>
      </c>
      <c r="AD286" s="54" t="str">
        <f>IF(ISERROR(VLOOKUP($AB286&amp;"-"&amp;$E286&amp;" "&amp;F286,Bonuses!$B$1:$G$1006,4,FALSE)),"",INT(VLOOKUP($AB286&amp;"-"&amp;$E286&amp;" "&amp;$F286,Bonuses!$B$1:$G$1006,4,FALSE)))</f>
        <v/>
      </c>
      <c r="AE2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10.4 (282) - RF Soetsu Yamamoto</v>
      </c>
    </row>
    <row r="287" spans="1:31" s="50" customFormat="1" x14ac:dyDescent="0.25">
      <c r="A287" s="50">
        <v>18287</v>
      </c>
      <c r="B287" s="50">
        <f>COUNTIF(Table5[PID],A287)</f>
        <v>1</v>
      </c>
      <c r="C287" s="50" t="str">
        <f>IF(COUNTIF(Table3[[#All],[PID]],A287)&gt;0,"P","B")</f>
        <v>B</v>
      </c>
      <c r="D287" s="59" t="str">
        <f>IF($C287="B",INDEX(Batters[[#All],[POS]],MATCH(Table5[[#This Row],[PID]],Batters[[#All],[PID]],0)),INDEX(Table3[[#All],[POS]],MATCH(Table5[[#This Row],[PID]],Table3[[#All],[PID]],0)))</f>
        <v>RF</v>
      </c>
      <c r="E287" s="52" t="str">
        <f>IF($C287="B",INDEX(Batters[[#All],[First]],MATCH(Table5[[#This Row],[PID]],Batters[[#All],[PID]],0)),INDEX(Table3[[#All],[First]],MATCH(Table5[[#This Row],[PID]],Table3[[#All],[PID]],0)))</f>
        <v>Juan</v>
      </c>
      <c r="F287" s="50" t="str">
        <f>IF($C287="B",INDEX(Batters[[#All],[Last]],MATCH(A287,Batters[[#All],[PID]],0)),INDEX(Table3[[#All],[Last]],MATCH(A287,Table3[[#All],[PID]],0)))</f>
        <v>Álvarez</v>
      </c>
      <c r="G287" s="56">
        <f>IF($C287="B",INDEX(Batters[[#All],[Age]],MATCH(Table5[[#This Row],[PID]],Batters[[#All],[PID]],0)),INDEX(Table3[[#All],[Age]],MATCH(Table5[[#This Row],[PID]],Table3[[#All],[PID]],0)))</f>
        <v>21</v>
      </c>
      <c r="H287" s="52" t="str">
        <f>IF($C287="B",INDEX(Batters[[#All],[B]],MATCH(Table5[[#This Row],[PID]],Batters[[#All],[PID]],0)),INDEX(Table3[[#All],[B]],MATCH(Table5[[#This Row],[PID]],Table3[[#All],[PID]],0)))</f>
        <v>L</v>
      </c>
      <c r="I287" s="52" t="str">
        <f>IF($C287="B",INDEX(Batters[[#All],[T]],MATCH(Table5[[#This Row],[PID]],Batters[[#All],[PID]],0)),INDEX(Table3[[#All],[T]],MATCH(Table5[[#This Row],[PID]],Table3[[#All],[PID]],0)))</f>
        <v>L</v>
      </c>
      <c r="J287" s="52" t="str">
        <f>IF($C287="B",INDEX(Batters[[#All],[WE]],MATCH(Table5[[#This Row],[PID]],Batters[[#All],[PID]],0)),INDEX(Table3[[#All],[WE]],MATCH(Table5[[#This Row],[PID]],Table3[[#All],[PID]],0)))</f>
        <v>Normal</v>
      </c>
      <c r="K287" s="52" t="str">
        <f>IF($C287="B",INDEX(Batters[[#All],[INT]],MATCH(Table5[[#This Row],[PID]],Batters[[#All],[PID]],0)),INDEX(Table3[[#All],[INT]],MATCH(Table5[[#This Row],[PID]],Table3[[#All],[PID]],0)))</f>
        <v>Normal</v>
      </c>
      <c r="L287" s="60">
        <f>IF($C287="B",INDEX(Batters[[#All],[CON P]],MATCH(Table5[[#This Row],[PID]],Batters[[#All],[PID]],0)),INDEX(Table3[[#All],[STU P]],MATCH(Table5[[#This Row],[PID]],Table3[[#All],[PID]],0)))</f>
        <v>4</v>
      </c>
      <c r="M287" s="56">
        <f>IF($C287="B",INDEX(Batters[[#All],[GAP P]],MATCH(Table5[[#This Row],[PID]],Batters[[#All],[PID]],0)),INDEX(Table3[[#All],[MOV P]],MATCH(Table5[[#This Row],[PID]],Table3[[#All],[PID]],0)))</f>
        <v>6</v>
      </c>
      <c r="N287" s="56">
        <f>IF($C287="B",INDEX(Batters[[#All],[POW P]],MATCH(Table5[[#This Row],[PID]],Batters[[#All],[PID]],0)),INDEX(Table3[[#All],[CON P]],MATCH(Table5[[#This Row],[PID]],Table3[[#All],[PID]],0)))</f>
        <v>5</v>
      </c>
      <c r="O287" s="56">
        <f>IF($C287="B",INDEX(Batters[[#All],[EYE P]],MATCH(Table5[[#This Row],[PID]],Batters[[#All],[PID]],0)),INDEX(Table3[[#All],[VELO]],MATCH(Table5[[#This Row],[PID]],Table3[[#All],[PID]],0)))</f>
        <v>6</v>
      </c>
      <c r="P287" s="56">
        <f>IF($C287="B",INDEX(Batters[[#All],[K P]],MATCH(Table5[[#This Row],[PID]],Batters[[#All],[PID]],0)),INDEX(Table3[[#All],[STM]],MATCH(Table5[[#This Row],[PID]],Table3[[#All],[PID]],0)))</f>
        <v>5</v>
      </c>
      <c r="Q287" s="61">
        <f>IF($C287="B",INDEX(Batters[[#All],[Tot]],MATCH(Table5[[#This Row],[PID]],Batters[[#All],[PID]],0)),INDEX(Table3[[#All],[Tot]],MATCH(Table5[[#This Row],[PID]],Table3[[#All],[PID]],0)))</f>
        <v>45.880716569325941</v>
      </c>
      <c r="R287" s="52">
        <f>IF($C287="B",INDEX(Batters[[#All],[zScore]],MATCH(Table5[[#This Row],[PID]],Batters[[#All],[PID]],0)),INDEX(Table3[[#All],[zScore]],MATCH(Table5[[#This Row],[PID]],Table3[[#All],[PID]],0)))</f>
        <v>0.3877156477677719</v>
      </c>
      <c r="S287" s="58" t="str">
        <f>IF($C287="B",INDEX(Batters[[#All],[DEM]],MATCH(Table5[[#This Row],[PID]],Batters[[#All],[PID]],0)),INDEX(Table3[[#All],[DEM]],MATCH(Table5[[#This Row],[PID]],Table3[[#All],[PID]],0)))</f>
        <v>-</v>
      </c>
      <c r="T287" s="62">
        <f>IF($C287="B",INDEX(Batters[[#All],[Rnk]],MATCH(Table5[[#This Row],[PID]],Batters[[#All],[PID]],0)),INDEX(Table3[[#All],[Rnk]],MATCH(Table5[[#This Row],[PID]],Table3[[#All],[PID]],0)))</f>
        <v>162</v>
      </c>
      <c r="U287" s="68">
        <f>IF($C287="B",VLOOKUP($A287,Bat!$A$4:$BA$1621,47,FALSE),VLOOKUP($A287,Pit!$A$4:$BF$1557,56,FALSE))</f>
        <v>0</v>
      </c>
      <c r="V287" s="50">
        <f>IF($C287="B",VLOOKUP($A287,Bat!$A$4:$BA$1621,48,FALSE),VLOOKUP($A287,Pit!$A$4:$BF$1557,57,FALSE))</f>
        <v>0</v>
      </c>
      <c r="W287" s="50">
        <f>Table5[[#This Row],[posRnk]]+Table5[[#This Row],[zRnk]]+IF($W$3&lt;&gt;Table5[[#This Row],[Type]],50,0)</f>
        <v>602</v>
      </c>
      <c r="X287" s="51">
        <f>RANK(Table5[[#This Row],[zScore]],Table5[[#All],[zScore]])</f>
        <v>390</v>
      </c>
      <c r="Y287" s="50">
        <f>IFERROR(INDEX(DraftResults[[#All],[OVR]],MATCH(Table5[[#This Row],[PID]],DraftResults[[#All],[Player ID]],0)),"")</f>
        <v>283</v>
      </c>
      <c r="Z2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7" s="50">
        <f>IFERROR(INDEX(DraftResults[[#All],[Pick in Round]],MATCH(Table5[[#This Row],[PID]],DraftResults[[#All],[Player ID]],0)),"")</f>
        <v>5</v>
      </c>
      <c r="AB287" s="50" t="str">
        <f>IFERROR(INDEX(DraftResults[[#All],[Team Name]],MATCH(Table5[[#This Row],[PID]],DraftResults[[#All],[Player ID]],0)),"")</f>
        <v>Okinawa Shisa</v>
      </c>
      <c r="AC287" s="50">
        <f>IF(Table5[[#This Row],[Ovr]]="","",IF(Table5[[#This Row],[cmbList]]="","",Table5[[#This Row],[cmbList]]-Table5[[#This Row],[Ovr]]))</f>
        <v>319</v>
      </c>
      <c r="AD287" s="54" t="str">
        <f>IF(ISERROR(VLOOKUP($AB287&amp;"-"&amp;$E287&amp;" "&amp;F287,Bonuses!$B$1:$G$1006,4,FALSE)),"",INT(VLOOKUP($AB287&amp;"-"&amp;$E287&amp;" "&amp;$F287,Bonuses!$B$1:$G$1006,4,FALSE)))</f>
        <v/>
      </c>
      <c r="AE2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10.5 (283) - RF Juan Álvarez</v>
      </c>
    </row>
    <row r="288" spans="1:31" s="50" customFormat="1" x14ac:dyDescent="0.25">
      <c r="A288" s="50">
        <v>18297</v>
      </c>
      <c r="B288" s="50">
        <f>COUNTIF(Table5[PID],A288)</f>
        <v>1</v>
      </c>
      <c r="C288" s="50" t="str">
        <f>IF(COUNTIF(Table3[[#All],[PID]],A288)&gt;0,"P","B")</f>
        <v>B</v>
      </c>
      <c r="D288" s="59" t="str">
        <f>IF($C288="B",INDEX(Batters[[#All],[POS]],MATCH(Table5[[#This Row],[PID]],Batters[[#All],[PID]],0)),INDEX(Table3[[#All],[POS]],MATCH(Table5[[#This Row],[PID]],Table3[[#All],[PID]],0)))</f>
        <v>LF</v>
      </c>
      <c r="E288" s="52" t="str">
        <f>IF($C288="B",INDEX(Batters[[#All],[First]],MATCH(Table5[[#This Row],[PID]],Batters[[#All],[PID]],0)),INDEX(Table3[[#All],[First]],MATCH(Table5[[#This Row],[PID]],Table3[[#All],[PID]],0)))</f>
        <v>Katsuhito</v>
      </c>
      <c r="F288" s="50" t="str">
        <f>IF($C288="B",INDEX(Batters[[#All],[Last]],MATCH(A288,Batters[[#All],[PID]],0)),INDEX(Table3[[#All],[Last]],MATCH(A288,Table3[[#All],[PID]],0)))</f>
        <v>Kouki</v>
      </c>
      <c r="G288" s="56">
        <f>IF($C288="B",INDEX(Batters[[#All],[Age]],MATCH(Table5[[#This Row],[PID]],Batters[[#All],[PID]],0)),INDEX(Table3[[#All],[Age]],MATCH(Table5[[#This Row],[PID]],Table3[[#All],[PID]],0)))</f>
        <v>21</v>
      </c>
      <c r="H288" s="52" t="str">
        <f>IF($C288="B",INDEX(Batters[[#All],[B]],MATCH(Table5[[#This Row],[PID]],Batters[[#All],[PID]],0)),INDEX(Table3[[#All],[B]],MATCH(Table5[[#This Row],[PID]],Table3[[#All],[PID]],0)))</f>
        <v>L</v>
      </c>
      <c r="I288" s="52" t="str">
        <f>IF($C288="B",INDEX(Batters[[#All],[T]],MATCH(Table5[[#This Row],[PID]],Batters[[#All],[PID]],0)),INDEX(Table3[[#All],[T]],MATCH(Table5[[#This Row],[PID]],Table3[[#All],[PID]],0)))</f>
        <v>L</v>
      </c>
      <c r="J288" s="52" t="str">
        <f>IF($C288="B",INDEX(Batters[[#All],[WE]],MATCH(Table5[[#This Row],[PID]],Batters[[#All],[PID]],0)),INDEX(Table3[[#All],[WE]],MATCH(Table5[[#This Row],[PID]],Table3[[#All],[PID]],0)))</f>
        <v>Low</v>
      </c>
      <c r="K288" s="52" t="str">
        <f>IF($C288="B",INDEX(Batters[[#All],[INT]],MATCH(Table5[[#This Row],[PID]],Batters[[#All],[PID]],0)),INDEX(Table3[[#All],[INT]],MATCH(Table5[[#This Row],[PID]],Table3[[#All],[PID]],0)))</f>
        <v>Normal</v>
      </c>
      <c r="L288" s="60">
        <f>IF($C288="B",INDEX(Batters[[#All],[CON P]],MATCH(Table5[[#This Row],[PID]],Batters[[#All],[PID]],0)),INDEX(Table3[[#All],[STU P]],MATCH(Table5[[#This Row],[PID]],Table3[[#All],[PID]],0)))</f>
        <v>4</v>
      </c>
      <c r="M288" s="56">
        <f>IF($C288="B",INDEX(Batters[[#All],[GAP P]],MATCH(Table5[[#This Row],[PID]],Batters[[#All],[PID]],0)),INDEX(Table3[[#All],[MOV P]],MATCH(Table5[[#This Row],[PID]],Table3[[#All],[PID]],0)))</f>
        <v>5</v>
      </c>
      <c r="N288" s="56">
        <f>IF($C288="B",INDEX(Batters[[#All],[POW P]],MATCH(Table5[[#This Row],[PID]],Batters[[#All],[PID]],0)),INDEX(Table3[[#All],[CON P]],MATCH(Table5[[#This Row],[PID]],Table3[[#All],[PID]],0)))</f>
        <v>6</v>
      </c>
      <c r="O288" s="56">
        <f>IF($C288="B",INDEX(Batters[[#All],[EYE P]],MATCH(Table5[[#This Row],[PID]],Batters[[#All],[PID]],0)),INDEX(Table3[[#All],[VELO]],MATCH(Table5[[#This Row],[PID]],Table3[[#All],[PID]],0)))</f>
        <v>6</v>
      </c>
      <c r="P288" s="56">
        <f>IF($C288="B",INDEX(Batters[[#All],[K P]],MATCH(Table5[[#This Row],[PID]],Batters[[#All],[PID]],0)),INDEX(Table3[[#All],[STM]],MATCH(Table5[[#This Row],[PID]],Table3[[#All],[PID]],0)))</f>
        <v>4</v>
      </c>
      <c r="Q288" s="61">
        <f>IF($C288="B",INDEX(Batters[[#All],[Tot]],MATCH(Table5[[#This Row],[PID]],Batters[[#All],[PID]],0)),INDEX(Table3[[#All],[Tot]],MATCH(Table5[[#This Row],[PID]],Table3[[#All],[PID]],0)))</f>
        <v>45.452587162202022</v>
      </c>
      <c r="R288" s="52">
        <f>IF($C288="B",INDEX(Batters[[#All],[zScore]],MATCH(Table5[[#This Row],[PID]],Batters[[#All],[PID]],0)),INDEX(Table3[[#All],[zScore]],MATCH(Table5[[#This Row],[PID]],Table3[[#All],[PID]],0)))</f>
        <v>0.29279646432218071</v>
      </c>
      <c r="S288" s="58" t="str">
        <f>IF($C288="B",INDEX(Batters[[#All],[DEM]],MATCH(Table5[[#This Row],[PID]],Batters[[#All],[PID]],0)),INDEX(Table3[[#All],[DEM]],MATCH(Table5[[#This Row],[PID]],Table3[[#All],[PID]],0)))</f>
        <v>-</v>
      </c>
      <c r="T288" s="62">
        <f>IF($C288="B",INDEX(Batters[[#All],[Rnk]],MATCH(Table5[[#This Row],[PID]],Batters[[#All],[PID]],0)),INDEX(Table3[[#All],[Rnk]],MATCH(Table5[[#This Row],[PID]],Table3[[#All],[PID]],0)))</f>
        <v>176</v>
      </c>
      <c r="U288" s="68">
        <f>IF($C288="B",VLOOKUP($A288,Bat!$A$4:$BA$1621,47,FALSE),VLOOKUP($A288,Pit!$A$4:$BF$1557,56,FALSE))</f>
        <v>0</v>
      </c>
      <c r="V288" s="50">
        <f>IF($C288="B",VLOOKUP($A288,Bat!$A$4:$BA$1621,48,FALSE),VLOOKUP($A288,Pit!$A$4:$BF$1557,57,FALSE))</f>
        <v>0</v>
      </c>
      <c r="W288" s="50">
        <f>Table5[[#This Row],[posRnk]]+Table5[[#This Row],[zRnk]]+IF($W$3&lt;&gt;Table5[[#This Row],[Type]],50,0)</f>
        <v>645</v>
      </c>
      <c r="X288" s="51">
        <f>RANK(Table5[[#This Row],[zScore]],Table5[[#All],[zScore]])</f>
        <v>419</v>
      </c>
      <c r="Y288" s="50">
        <f>IFERROR(INDEX(DraftResults[[#All],[OVR]],MATCH(Table5[[#This Row],[PID]],DraftResults[[#All],[Player ID]],0)),"")</f>
        <v>284</v>
      </c>
      <c r="Z2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8" s="50">
        <f>IFERROR(INDEX(DraftResults[[#All],[Pick in Round]],MATCH(Table5[[#This Row],[PID]],DraftResults[[#All],[Player ID]],0)),"")</f>
        <v>6</v>
      </c>
      <c r="AB288" s="50" t="str">
        <f>IFERROR(INDEX(DraftResults[[#All],[Team Name]],MATCH(Table5[[#This Row],[PID]],DraftResults[[#All],[Player ID]],0)),"")</f>
        <v>Manchester Maulers</v>
      </c>
      <c r="AC288" s="50">
        <f>IF(Table5[[#This Row],[Ovr]]="","",IF(Table5[[#This Row],[cmbList]]="","",Table5[[#This Row],[cmbList]]-Table5[[#This Row],[Ovr]]))</f>
        <v>361</v>
      </c>
      <c r="AD288" s="54" t="str">
        <f>IF(ISERROR(VLOOKUP($AB288&amp;"-"&amp;$E288&amp;" "&amp;F288,Bonuses!$B$1:$G$1006,4,FALSE)),"",INT(VLOOKUP($AB288&amp;"-"&amp;$E288&amp;" "&amp;$F288,Bonuses!$B$1:$G$1006,4,FALSE)))</f>
        <v/>
      </c>
      <c r="AE2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10.6 (284) - LF Katsuhito Kouki</v>
      </c>
    </row>
    <row r="289" spans="1:31" s="50" customFormat="1" x14ac:dyDescent="0.25">
      <c r="A289" s="50">
        <v>17068</v>
      </c>
      <c r="B289" s="55">
        <f>COUNTIF(Table5[PID],A289)</f>
        <v>1</v>
      </c>
      <c r="C289" s="55" t="str">
        <f>IF(COUNTIF(Table3[[#All],[PID]],A289)&gt;0,"P","B")</f>
        <v>B</v>
      </c>
      <c r="D289" s="59" t="str">
        <f>IF($C289="B",INDEX(Batters[[#All],[POS]],MATCH(Table5[[#This Row],[PID]],Batters[[#All],[PID]],0)),INDEX(Table3[[#All],[POS]],MATCH(Table5[[#This Row],[PID]],Table3[[#All],[PID]],0)))</f>
        <v>3B</v>
      </c>
      <c r="E289" s="52" t="str">
        <f>IF($C289="B",INDEX(Batters[[#All],[First]],MATCH(Table5[[#This Row],[PID]],Batters[[#All],[PID]],0)),INDEX(Table3[[#All],[First]],MATCH(Table5[[#This Row],[PID]],Table3[[#All],[PID]],0)))</f>
        <v>Moos</v>
      </c>
      <c r="F289" s="50" t="str">
        <f>IF($C289="B",INDEX(Batters[[#All],[Last]],MATCH(A289,Batters[[#All],[PID]],0)),INDEX(Table3[[#All],[Last]],MATCH(A289,Table3[[#All],[PID]],0)))</f>
        <v>Ippel</v>
      </c>
      <c r="G289" s="56">
        <f>IF($C289="B",INDEX(Batters[[#All],[Age]],MATCH(Table5[[#This Row],[PID]],Batters[[#All],[PID]],0)),INDEX(Table3[[#All],[Age]],MATCH(Table5[[#This Row],[PID]],Table3[[#All],[PID]],0)))</f>
        <v>21</v>
      </c>
      <c r="H289" s="52" t="str">
        <f>IF($C289="B",INDEX(Batters[[#All],[B]],MATCH(Table5[[#This Row],[PID]],Batters[[#All],[PID]],0)),INDEX(Table3[[#All],[B]],MATCH(Table5[[#This Row],[PID]],Table3[[#All],[PID]],0)))</f>
        <v>L</v>
      </c>
      <c r="I289" s="52" t="str">
        <f>IF($C289="B",INDEX(Batters[[#All],[T]],MATCH(Table5[[#This Row],[PID]],Batters[[#All],[PID]],0)),INDEX(Table3[[#All],[T]],MATCH(Table5[[#This Row],[PID]],Table3[[#All],[PID]],0)))</f>
        <v>R</v>
      </c>
      <c r="J289" s="52" t="str">
        <f>IF($C289="B",INDEX(Batters[[#All],[WE]],MATCH(Table5[[#This Row],[PID]],Batters[[#All],[PID]],0)),INDEX(Table3[[#All],[WE]],MATCH(Table5[[#This Row],[PID]],Table3[[#All],[PID]],0)))</f>
        <v>Normal</v>
      </c>
      <c r="K289" s="52" t="str">
        <f>IF($C289="B",INDEX(Batters[[#All],[INT]],MATCH(Table5[[#This Row],[PID]],Batters[[#All],[PID]],0)),INDEX(Table3[[#All],[INT]],MATCH(Table5[[#This Row],[PID]],Table3[[#All],[PID]],0)))</f>
        <v>High</v>
      </c>
      <c r="L289" s="60">
        <f>IF($C289="B",INDEX(Batters[[#All],[CON P]],MATCH(Table5[[#This Row],[PID]],Batters[[#All],[PID]],0)),INDEX(Table3[[#All],[STU P]],MATCH(Table5[[#This Row],[PID]],Table3[[#All],[PID]],0)))</f>
        <v>4</v>
      </c>
      <c r="M289" s="56">
        <f>IF($C289="B",INDEX(Batters[[#All],[GAP P]],MATCH(Table5[[#This Row],[PID]],Batters[[#All],[PID]],0)),INDEX(Table3[[#All],[MOV P]],MATCH(Table5[[#This Row],[PID]],Table3[[#All],[PID]],0)))</f>
        <v>5</v>
      </c>
      <c r="N289" s="56">
        <f>IF($C289="B",INDEX(Batters[[#All],[POW P]],MATCH(Table5[[#This Row],[PID]],Batters[[#All],[PID]],0)),INDEX(Table3[[#All],[CON P]],MATCH(Table5[[#This Row],[PID]],Table3[[#All],[PID]],0)))</f>
        <v>5</v>
      </c>
      <c r="O289" s="56">
        <f>IF($C289="B",INDEX(Batters[[#All],[EYE P]],MATCH(Table5[[#This Row],[PID]],Batters[[#All],[PID]],0)),INDEX(Table3[[#All],[VELO]],MATCH(Table5[[#This Row],[PID]],Table3[[#All],[PID]],0)))</f>
        <v>5</v>
      </c>
      <c r="P289" s="56">
        <f>IF($C289="B",INDEX(Batters[[#All],[K P]],MATCH(Table5[[#This Row],[PID]],Batters[[#All],[PID]],0)),INDEX(Table3[[#All],[STM]],MATCH(Table5[[#This Row],[PID]],Table3[[#All],[PID]],0)))</f>
        <v>4</v>
      </c>
      <c r="Q289" s="61">
        <f>IF($C289="B",INDEX(Batters[[#All],[Tot]],MATCH(Table5[[#This Row],[PID]],Batters[[#All],[PID]],0)),INDEX(Table3[[#All],[Tot]],MATCH(Table5[[#This Row],[PID]],Table3[[#All],[PID]],0)))</f>
        <v>45.040284874768346</v>
      </c>
      <c r="R289" s="52">
        <f>IF($C289="B",INDEX(Batters[[#All],[zScore]],MATCH(Table5[[#This Row],[PID]],Batters[[#All],[PID]],0)),INDEX(Table3[[#All],[zScore]],MATCH(Table5[[#This Row],[PID]],Table3[[#All],[PID]],0)))</f>
        <v>0.20138626029331691</v>
      </c>
      <c r="S289" s="58" t="str">
        <f>IF($C289="B",INDEX(Batters[[#All],[DEM]],MATCH(Table5[[#This Row],[PID]],Batters[[#All],[PID]],0)),INDEX(Table3[[#All],[DEM]],MATCH(Table5[[#This Row],[PID]],Table3[[#All],[PID]],0)))</f>
        <v>$75k</v>
      </c>
      <c r="T289" s="62">
        <f>IF($C289="B",INDEX(Batters[[#All],[Rnk]],MATCH(Table5[[#This Row],[PID]],Batters[[#All],[PID]],0)),INDEX(Table3[[#All],[Rnk]],MATCH(Table5[[#This Row],[PID]],Table3[[#All],[PID]],0)))</f>
        <v>202</v>
      </c>
      <c r="U289" s="68">
        <f>IF($C289="B",VLOOKUP($A289,Bat!$A$4:$BA$1621,47,FALSE),VLOOKUP($A289,Pit!$A$4:$BF$1557,56,FALSE))</f>
        <v>0</v>
      </c>
      <c r="V289" s="50">
        <f>IF($C289="B",VLOOKUP($A289,Bat!$A$4:$BA$1621,48,FALSE),VLOOKUP($A289,Pit!$A$4:$BF$1557,57,FALSE))</f>
        <v>0</v>
      </c>
      <c r="W289" s="50">
        <f>Table5[[#This Row],[posRnk]]+Table5[[#This Row],[zRnk]]+IF($W$3&lt;&gt;Table5[[#This Row],[Type]],50,0)</f>
        <v>718</v>
      </c>
      <c r="X289" s="51">
        <f>RANK(Table5[[#This Row],[zScore]],Table5[[#All],[zScore]])</f>
        <v>466</v>
      </c>
      <c r="Y289" s="50">
        <f>IFERROR(INDEX(DraftResults[[#All],[OVR]],MATCH(Table5[[#This Row],[PID]],DraftResults[[#All],[Player ID]],0)),"")</f>
        <v>285</v>
      </c>
      <c r="Z2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89" s="50">
        <f>IFERROR(INDEX(DraftResults[[#All],[Pick in Round]],MATCH(Table5[[#This Row],[PID]],DraftResults[[#All],[Player ID]],0)),"")</f>
        <v>7</v>
      </c>
      <c r="AB289" s="50" t="str">
        <f>IFERROR(INDEX(DraftResults[[#All],[Team Name]],MATCH(Table5[[#This Row],[PID]],DraftResults[[#All],[Player ID]],0)),"")</f>
        <v>Niihama-shi Ghosts</v>
      </c>
      <c r="AC289" s="50">
        <f>IF(Table5[[#This Row],[Ovr]]="","",IF(Table5[[#This Row],[cmbList]]="","",Table5[[#This Row],[cmbList]]-Table5[[#This Row],[Ovr]]))</f>
        <v>433</v>
      </c>
      <c r="AD289" s="54" t="str">
        <f>IF(ISERROR(VLOOKUP($AB289&amp;"-"&amp;$E289&amp;" "&amp;F289,Bonuses!$B$1:$G$1006,4,FALSE)),"",INT(VLOOKUP($AB289&amp;"-"&amp;$E289&amp;" "&amp;$F289,Bonuses!$B$1:$G$1006,4,FALSE)))</f>
        <v/>
      </c>
      <c r="AE2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10.7 (285) - 3B Moos Ippel</v>
      </c>
    </row>
    <row r="290" spans="1:31" s="50" customFormat="1" x14ac:dyDescent="0.25">
      <c r="A290" s="50">
        <v>18092</v>
      </c>
      <c r="B290" s="50">
        <f>COUNTIF(Table5[PID],A290)</f>
        <v>1</v>
      </c>
      <c r="C290" s="50" t="str">
        <f>IF(COUNTIF(Table3[[#All],[PID]],A290)&gt;0,"P","B")</f>
        <v>B</v>
      </c>
      <c r="D290" s="59" t="str">
        <f>IF($C290="B",INDEX(Batters[[#All],[POS]],MATCH(Table5[[#This Row],[PID]],Batters[[#All],[PID]],0)),INDEX(Table3[[#All],[POS]],MATCH(Table5[[#This Row],[PID]],Table3[[#All],[PID]],0)))</f>
        <v>3B</v>
      </c>
      <c r="E290" s="52" t="str">
        <f>IF($C290="B",INDEX(Batters[[#All],[First]],MATCH(Table5[[#This Row],[PID]],Batters[[#All],[PID]],0)),INDEX(Table3[[#All],[First]],MATCH(Table5[[#This Row],[PID]],Table3[[#All],[PID]],0)))</f>
        <v>Pedro</v>
      </c>
      <c r="F290" s="50" t="str">
        <f>IF($C290="B",INDEX(Batters[[#All],[Last]],MATCH(A290,Batters[[#All],[PID]],0)),INDEX(Table3[[#All],[Last]],MATCH(A290,Table3[[#All],[PID]],0)))</f>
        <v>Frías</v>
      </c>
      <c r="G290" s="56">
        <f>IF($C290="B",INDEX(Batters[[#All],[Age]],MATCH(Table5[[#This Row],[PID]],Batters[[#All],[PID]],0)),INDEX(Table3[[#All],[Age]],MATCH(Table5[[#This Row],[PID]],Table3[[#All],[PID]],0)))</f>
        <v>21</v>
      </c>
      <c r="H290" s="52" t="str">
        <f>IF($C290="B",INDEX(Batters[[#All],[B]],MATCH(Table5[[#This Row],[PID]],Batters[[#All],[PID]],0)),INDEX(Table3[[#All],[B]],MATCH(Table5[[#This Row],[PID]],Table3[[#All],[PID]],0)))</f>
        <v>R</v>
      </c>
      <c r="I290" s="52" t="str">
        <f>IF($C290="B",INDEX(Batters[[#All],[T]],MATCH(Table5[[#This Row],[PID]],Batters[[#All],[PID]],0)),INDEX(Table3[[#All],[T]],MATCH(Table5[[#This Row],[PID]],Table3[[#All],[PID]],0)))</f>
        <v>R</v>
      </c>
      <c r="J290" s="52" t="str">
        <f>IF($C290="B",INDEX(Batters[[#All],[WE]],MATCH(Table5[[#This Row],[PID]],Batters[[#All],[PID]],0)),INDEX(Table3[[#All],[WE]],MATCH(Table5[[#This Row],[PID]],Table3[[#All],[PID]],0)))</f>
        <v>Normal</v>
      </c>
      <c r="K290" s="52" t="str">
        <f>IF($C290="B",INDEX(Batters[[#All],[INT]],MATCH(Table5[[#This Row],[PID]],Batters[[#All],[PID]],0)),INDEX(Table3[[#All],[INT]],MATCH(Table5[[#This Row],[PID]],Table3[[#All],[PID]],0)))</f>
        <v>Normal</v>
      </c>
      <c r="L290" s="60">
        <f>IF($C290="B",INDEX(Batters[[#All],[CON P]],MATCH(Table5[[#This Row],[PID]],Batters[[#All],[PID]],0)),INDEX(Table3[[#All],[STU P]],MATCH(Table5[[#This Row],[PID]],Table3[[#All],[PID]],0)))</f>
        <v>3</v>
      </c>
      <c r="M290" s="56">
        <f>IF($C290="B",INDEX(Batters[[#All],[GAP P]],MATCH(Table5[[#This Row],[PID]],Batters[[#All],[PID]],0)),INDEX(Table3[[#All],[MOV P]],MATCH(Table5[[#This Row],[PID]],Table3[[#All],[PID]],0)))</f>
        <v>5</v>
      </c>
      <c r="N290" s="56">
        <f>IF($C290="B",INDEX(Batters[[#All],[POW P]],MATCH(Table5[[#This Row],[PID]],Batters[[#All],[PID]],0)),INDEX(Table3[[#All],[CON P]],MATCH(Table5[[#This Row],[PID]],Table3[[#All],[PID]],0)))</f>
        <v>5</v>
      </c>
      <c r="O290" s="56">
        <f>IF($C290="B",INDEX(Batters[[#All],[EYE P]],MATCH(Table5[[#This Row],[PID]],Batters[[#All],[PID]],0)),INDEX(Table3[[#All],[VELO]],MATCH(Table5[[#This Row],[PID]],Table3[[#All],[PID]],0)))</f>
        <v>6</v>
      </c>
      <c r="P290" s="56">
        <f>IF($C290="B",INDEX(Batters[[#All],[K P]],MATCH(Table5[[#This Row],[PID]],Batters[[#All],[PID]],0)),INDEX(Table3[[#All],[STM]],MATCH(Table5[[#This Row],[PID]],Table3[[#All],[PID]],0)))</f>
        <v>3</v>
      </c>
      <c r="Q290" s="61">
        <f>IF($C290="B",INDEX(Batters[[#All],[Tot]],MATCH(Table5[[#This Row],[PID]],Batters[[#All],[PID]],0)),INDEX(Table3[[#All],[Tot]],MATCH(Table5[[#This Row],[PID]],Table3[[#All],[PID]],0)))</f>
        <v>41.373492407369312</v>
      </c>
      <c r="R290" s="52">
        <f>IF($C290="B",INDEX(Batters[[#All],[zScore]],MATCH(Table5[[#This Row],[PID]],Batters[[#All],[PID]],0)),INDEX(Table3[[#All],[zScore]],MATCH(Table5[[#This Row],[PID]],Table3[[#All],[PID]],0)))</f>
        <v>-0.61156641494587971</v>
      </c>
      <c r="S290" s="58" t="str">
        <f>IF($C290="B",INDEX(Batters[[#All],[DEM]],MATCH(Table5[[#This Row],[PID]],Batters[[#All],[PID]],0)),INDEX(Table3[[#All],[DEM]],MATCH(Table5[[#This Row],[PID]],Table3[[#All],[PID]],0)))</f>
        <v>-</v>
      </c>
      <c r="T290" s="62">
        <f>IF($C290="B",INDEX(Batters[[#All],[Rnk]],MATCH(Table5[[#This Row],[PID]],Batters[[#All],[PID]],0)),INDEX(Table3[[#All],[Rnk]],MATCH(Table5[[#This Row],[PID]],Table3[[#All],[PID]],0)))</f>
        <v>362</v>
      </c>
      <c r="U290" s="68">
        <f>IF($C290="B",VLOOKUP($A290,Bat!$A$4:$BA$1621,47,FALSE),VLOOKUP($A290,Pit!$A$4:$BF$1557,56,FALSE))</f>
        <v>0</v>
      </c>
      <c r="V290" s="50">
        <f>IF($C290="B",VLOOKUP($A290,Bat!$A$4:$BA$1621,48,FALSE),VLOOKUP($A290,Pit!$A$4:$BF$1557,57,FALSE))</f>
        <v>0</v>
      </c>
      <c r="W290" s="50">
        <f>Table5[[#This Row],[posRnk]]+Table5[[#This Row],[zRnk]]+IF($W$3&lt;&gt;Table5[[#This Row],[Type]],50,0)</f>
        <v>1339</v>
      </c>
      <c r="X290" s="51">
        <f>RANK(Table5[[#This Row],[zScore]],Table5[[#All],[zScore]])</f>
        <v>927</v>
      </c>
      <c r="Y290" s="50">
        <f>IFERROR(INDEX(DraftResults[[#All],[OVR]],MATCH(Table5[[#This Row],[PID]],DraftResults[[#All],[Player ID]],0)),"")</f>
        <v>286</v>
      </c>
      <c r="Z2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0" s="50">
        <f>IFERROR(INDEX(DraftResults[[#All],[Pick in Round]],MATCH(Table5[[#This Row],[PID]],DraftResults[[#All],[Player ID]],0)),"")</f>
        <v>8</v>
      </c>
      <c r="AB290" s="50" t="str">
        <f>IFERROR(INDEX(DraftResults[[#All],[Team Name]],MATCH(Table5[[#This Row],[PID]],DraftResults[[#All],[Player ID]],0)),"")</f>
        <v>London Underground</v>
      </c>
      <c r="AC290" s="50">
        <f>IF(Table5[[#This Row],[Ovr]]="","",IF(Table5[[#This Row],[cmbList]]="","",Table5[[#This Row],[cmbList]]-Table5[[#This Row],[Ovr]]))</f>
        <v>1053</v>
      </c>
      <c r="AD290" s="54" t="str">
        <f>IF(ISERROR(VLOOKUP($AB290&amp;"-"&amp;$E290&amp;" "&amp;F290,Bonuses!$B$1:$G$1006,4,FALSE)),"",INT(VLOOKUP($AB290&amp;"-"&amp;$E290&amp;" "&amp;$F290,Bonuses!$B$1:$G$1006,4,FALSE)))</f>
        <v/>
      </c>
      <c r="AE2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10.8 (286) - 3B Pedro Frías</v>
      </c>
    </row>
    <row r="291" spans="1:31" s="50" customFormat="1" x14ac:dyDescent="0.25">
      <c r="A291" s="50">
        <v>20738</v>
      </c>
      <c r="B291" s="50">
        <f>COUNTIF(Table5[PID],A291)</f>
        <v>1</v>
      </c>
      <c r="C291" s="50" t="str">
        <f>IF(COUNTIF(Table3[[#All],[PID]],A291)&gt;0,"P","B")</f>
        <v>B</v>
      </c>
      <c r="D291" s="59" t="str">
        <f>IF($C291="B",INDEX(Batters[[#All],[POS]],MATCH(Table5[[#This Row],[PID]],Batters[[#All],[PID]],0)),INDEX(Table3[[#All],[POS]],MATCH(Table5[[#This Row],[PID]],Table3[[#All],[PID]],0)))</f>
        <v>C</v>
      </c>
      <c r="E291" s="52" t="str">
        <f>IF($C291="B",INDEX(Batters[[#All],[First]],MATCH(Table5[[#This Row],[PID]],Batters[[#All],[PID]],0)),INDEX(Table3[[#All],[First]],MATCH(Table5[[#This Row],[PID]],Table3[[#All],[PID]],0)))</f>
        <v>Eric</v>
      </c>
      <c r="F291" s="50" t="str">
        <f>IF($C291="B",INDEX(Batters[[#All],[Last]],MATCH(A291,Batters[[#All],[PID]],0)),INDEX(Table3[[#All],[Last]],MATCH(A291,Table3[[#All],[PID]],0)))</f>
        <v>Black</v>
      </c>
      <c r="G291" s="56">
        <f>IF($C291="B",INDEX(Batters[[#All],[Age]],MATCH(Table5[[#This Row],[PID]],Batters[[#All],[PID]],0)),INDEX(Table3[[#All],[Age]],MATCH(Table5[[#This Row],[PID]],Table3[[#All],[PID]],0)))</f>
        <v>18</v>
      </c>
      <c r="H291" s="52" t="str">
        <f>IF($C291="B",INDEX(Batters[[#All],[B]],MATCH(Table5[[#This Row],[PID]],Batters[[#All],[PID]],0)),INDEX(Table3[[#All],[B]],MATCH(Table5[[#This Row],[PID]],Table3[[#All],[PID]],0)))</f>
        <v>R</v>
      </c>
      <c r="I291" s="52" t="str">
        <f>IF($C291="B",INDEX(Batters[[#All],[T]],MATCH(Table5[[#This Row],[PID]],Batters[[#All],[PID]],0)),INDEX(Table3[[#All],[T]],MATCH(Table5[[#This Row],[PID]],Table3[[#All],[PID]],0)))</f>
        <v>R</v>
      </c>
      <c r="J291" s="52" t="str">
        <f>IF($C291="B",INDEX(Batters[[#All],[WE]],MATCH(Table5[[#This Row],[PID]],Batters[[#All],[PID]],0)),INDEX(Table3[[#All],[WE]],MATCH(Table5[[#This Row],[PID]],Table3[[#All],[PID]],0)))</f>
        <v>High</v>
      </c>
      <c r="K291" s="52" t="str">
        <f>IF($C291="B",INDEX(Batters[[#All],[INT]],MATCH(Table5[[#This Row],[PID]],Batters[[#All],[PID]],0)),INDEX(Table3[[#All],[INT]],MATCH(Table5[[#This Row],[PID]],Table3[[#All],[PID]],0)))</f>
        <v>Normal</v>
      </c>
      <c r="L291" s="60">
        <f>IF($C291="B",INDEX(Batters[[#All],[CON P]],MATCH(Table5[[#This Row],[PID]],Batters[[#All],[PID]],0)),INDEX(Table3[[#All],[STU P]],MATCH(Table5[[#This Row],[PID]],Table3[[#All],[PID]],0)))</f>
        <v>3</v>
      </c>
      <c r="M291" s="56">
        <f>IF($C291="B",INDEX(Batters[[#All],[GAP P]],MATCH(Table5[[#This Row],[PID]],Batters[[#All],[PID]],0)),INDEX(Table3[[#All],[MOV P]],MATCH(Table5[[#This Row],[PID]],Table3[[#All],[PID]],0)))</f>
        <v>7</v>
      </c>
      <c r="N291" s="56">
        <f>IF($C291="B",INDEX(Batters[[#All],[POW P]],MATCH(Table5[[#This Row],[PID]],Batters[[#All],[PID]],0)),INDEX(Table3[[#All],[CON P]],MATCH(Table5[[#This Row],[PID]],Table3[[#All],[PID]],0)))</f>
        <v>6</v>
      </c>
      <c r="O291" s="56">
        <f>IF($C291="B",INDEX(Batters[[#All],[EYE P]],MATCH(Table5[[#This Row],[PID]],Batters[[#All],[PID]],0)),INDEX(Table3[[#All],[VELO]],MATCH(Table5[[#This Row],[PID]],Table3[[#All],[PID]],0)))</f>
        <v>6</v>
      </c>
      <c r="P291" s="56">
        <f>IF($C291="B",INDEX(Batters[[#All],[K P]],MATCH(Table5[[#This Row],[PID]],Batters[[#All],[PID]],0)),INDEX(Table3[[#All],[STM]],MATCH(Table5[[#This Row],[PID]],Table3[[#All],[PID]],0)))</f>
        <v>2</v>
      </c>
      <c r="Q291" s="61">
        <f>IF($C291="B",INDEX(Batters[[#All],[Tot]],MATCH(Table5[[#This Row],[PID]],Batters[[#All],[PID]],0)),INDEX(Table3[[#All],[Tot]],MATCH(Table5[[#This Row],[PID]],Table3[[#All],[PID]],0)))</f>
        <v>47.54601748470732</v>
      </c>
      <c r="R291" s="52">
        <f>IF($C291="B",INDEX(Batters[[#All],[zScore]],MATCH(Table5[[#This Row],[PID]],Batters[[#All],[PID]],0)),INDEX(Table3[[#All],[zScore]],MATCH(Table5[[#This Row],[PID]],Table3[[#All],[PID]],0)))</f>
        <v>0.75692411709733676</v>
      </c>
      <c r="S291" s="58" t="str">
        <f>IF($C291="B",INDEX(Batters[[#All],[DEM]],MATCH(Table5[[#This Row],[PID]],Batters[[#All],[PID]],0)),INDEX(Table3[[#All],[DEM]],MATCH(Table5[[#This Row],[PID]],Table3[[#All],[PID]],0)))</f>
        <v>$190k</v>
      </c>
      <c r="T291" s="62">
        <f>IF($C291="B",INDEX(Batters[[#All],[Rnk]],MATCH(Table5[[#This Row],[PID]],Batters[[#All],[PID]],0)),INDEX(Table3[[#All],[Rnk]],MATCH(Table5[[#This Row],[PID]],Table3[[#All],[PID]],0)))</f>
        <v>116</v>
      </c>
      <c r="U291" s="68">
        <f>IF($C291="B",VLOOKUP($A291,Bat!$A$4:$BA$1621,47,FALSE),VLOOKUP($A291,Pit!$A$4:$BF$1557,56,FALSE))</f>
        <v>0</v>
      </c>
      <c r="V291" s="50">
        <f>IF($C291="B",VLOOKUP($A291,Bat!$A$4:$BA$1621,48,FALSE),VLOOKUP($A291,Pit!$A$4:$BF$1557,57,FALSE))</f>
        <v>0</v>
      </c>
      <c r="W291" s="50">
        <f>Table5[[#This Row],[posRnk]]+Table5[[#This Row],[zRnk]]+IF($W$3&lt;&gt;Table5[[#This Row],[Type]],50,0)</f>
        <v>461</v>
      </c>
      <c r="X291" s="51">
        <f>RANK(Table5[[#This Row],[zScore]],Table5[[#All],[zScore]])</f>
        <v>295</v>
      </c>
      <c r="Y291" s="50">
        <f>IFERROR(INDEX(DraftResults[[#All],[OVR]],MATCH(Table5[[#This Row],[PID]],DraftResults[[#All],[Player ID]],0)),"")</f>
        <v>287</v>
      </c>
      <c r="Z2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1" s="50">
        <f>IFERROR(INDEX(DraftResults[[#All],[Pick in Round]],MATCH(Table5[[#This Row],[PID]],DraftResults[[#All],[Player ID]],0)),"")</f>
        <v>9</v>
      </c>
      <c r="AB291" s="50" t="str">
        <f>IFERROR(INDEX(DraftResults[[#All],[Team Name]],MATCH(Table5[[#This Row],[PID]],DraftResults[[#All],[Player ID]],0)),"")</f>
        <v>Scottish Claymores</v>
      </c>
      <c r="AC291" s="50">
        <f>IF(Table5[[#This Row],[Ovr]]="","",IF(Table5[[#This Row],[cmbList]]="","",Table5[[#This Row],[cmbList]]-Table5[[#This Row],[Ovr]]))</f>
        <v>174</v>
      </c>
      <c r="AD291" s="54" t="str">
        <f>IF(ISERROR(VLOOKUP($AB291&amp;"-"&amp;$E291&amp;" "&amp;F291,Bonuses!$B$1:$G$1006,4,FALSE)),"",INT(VLOOKUP($AB291&amp;"-"&amp;$E291&amp;" "&amp;$F291,Bonuses!$B$1:$G$1006,4,FALSE)))</f>
        <v/>
      </c>
      <c r="AE2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10.9 (287) - C Eric Black</v>
      </c>
    </row>
    <row r="292" spans="1:31" s="50" customFormat="1" x14ac:dyDescent="0.25">
      <c r="A292" s="50">
        <v>18232</v>
      </c>
      <c r="B292" s="50">
        <f>COUNTIF(Table5[PID],A292)</f>
        <v>1</v>
      </c>
      <c r="C292" s="50" t="str">
        <f>IF(COUNTIF(Table3[[#All],[PID]],A292)&gt;0,"P","B")</f>
        <v>B</v>
      </c>
      <c r="D292" s="59" t="str">
        <f>IF($C292="B",INDEX(Batters[[#All],[POS]],MATCH(Table5[[#This Row],[PID]],Batters[[#All],[PID]],0)),INDEX(Table3[[#All],[POS]],MATCH(Table5[[#This Row],[PID]],Table3[[#All],[PID]],0)))</f>
        <v>RF</v>
      </c>
      <c r="E292" s="52" t="str">
        <f>IF($C292="B",INDEX(Batters[[#All],[First]],MATCH(Table5[[#This Row],[PID]],Batters[[#All],[PID]],0)),INDEX(Table3[[#All],[First]],MATCH(Table5[[#This Row],[PID]],Table3[[#All],[PID]],0)))</f>
        <v>Glen</v>
      </c>
      <c r="F292" s="50" t="str">
        <f>IF($C292="B",INDEX(Batters[[#All],[Last]],MATCH(A292,Batters[[#All],[PID]],0)),INDEX(Table3[[#All],[Last]],MATCH(A292,Table3[[#All],[PID]],0)))</f>
        <v>Reed</v>
      </c>
      <c r="G292" s="56">
        <f>IF($C292="B",INDEX(Batters[[#All],[Age]],MATCH(Table5[[#This Row],[PID]],Batters[[#All],[PID]],0)),INDEX(Table3[[#All],[Age]],MATCH(Table5[[#This Row],[PID]],Table3[[#All],[PID]],0)))</f>
        <v>18</v>
      </c>
      <c r="H292" s="52" t="str">
        <f>IF($C292="B",INDEX(Batters[[#All],[B]],MATCH(Table5[[#This Row],[PID]],Batters[[#All],[PID]],0)),INDEX(Table3[[#All],[B]],MATCH(Table5[[#This Row],[PID]],Table3[[#All],[PID]],0)))</f>
        <v>L</v>
      </c>
      <c r="I292" s="52" t="str">
        <f>IF($C292="B",INDEX(Batters[[#All],[T]],MATCH(Table5[[#This Row],[PID]],Batters[[#All],[PID]],0)),INDEX(Table3[[#All],[T]],MATCH(Table5[[#This Row],[PID]],Table3[[#All],[PID]],0)))</f>
        <v>L</v>
      </c>
      <c r="J292" s="52" t="str">
        <f>IF($C292="B",INDEX(Batters[[#All],[WE]],MATCH(Table5[[#This Row],[PID]],Batters[[#All],[PID]],0)),INDEX(Table3[[#All],[WE]],MATCH(Table5[[#This Row],[PID]],Table3[[#All],[PID]],0)))</f>
        <v>Low</v>
      </c>
      <c r="K292" s="52" t="str">
        <f>IF($C292="B",INDEX(Batters[[#All],[INT]],MATCH(Table5[[#This Row],[PID]],Batters[[#All],[PID]],0)),INDEX(Table3[[#All],[INT]],MATCH(Table5[[#This Row],[PID]],Table3[[#All],[PID]],0)))</f>
        <v>Normal</v>
      </c>
      <c r="L292" s="60">
        <f>IF($C292="B",INDEX(Batters[[#All],[CON P]],MATCH(Table5[[#This Row],[PID]],Batters[[#All],[PID]],0)),INDEX(Table3[[#All],[STU P]],MATCH(Table5[[#This Row],[PID]],Table3[[#All],[PID]],0)))</f>
        <v>3</v>
      </c>
      <c r="M292" s="56">
        <f>IF($C292="B",INDEX(Batters[[#All],[GAP P]],MATCH(Table5[[#This Row],[PID]],Batters[[#All],[PID]],0)),INDEX(Table3[[#All],[MOV P]],MATCH(Table5[[#This Row],[PID]],Table3[[#All],[PID]],0)))</f>
        <v>7</v>
      </c>
      <c r="N292" s="56">
        <f>IF($C292="B",INDEX(Batters[[#All],[POW P]],MATCH(Table5[[#This Row],[PID]],Batters[[#All],[PID]],0)),INDEX(Table3[[#All],[CON P]],MATCH(Table5[[#This Row],[PID]],Table3[[#All],[PID]],0)))</f>
        <v>6</v>
      </c>
      <c r="O292" s="56">
        <f>IF($C292="B",INDEX(Batters[[#All],[EYE P]],MATCH(Table5[[#This Row],[PID]],Batters[[#All],[PID]],0)),INDEX(Table3[[#All],[VELO]],MATCH(Table5[[#This Row],[PID]],Table3[[#All],[PID]],0)))</f>
        <v>6</v>
      </c>
      <c r="P292" s="56">
        <f>IF($C292="B",INDEX(Batters[[#All],[K P]],MATCH(Table5[[#This Row],[PID]],Batters[[#All],[PID]],0)),INDEX(Table3[[#All],[STM]],MATCH(Table5[[#This Row],[PID]],Table3[[#All],[PID]],0)))</f>
        <v>2</v>
      </c>
      <c r="Q292" s="61">
        <f>IF($C292="B",INDEX(Batters[[#All],[Tot]],MATCH(Table5[[#This Row],[PID]],Batters[[#All],[PID]],0)),INDEX(Table3[[#All],[Tot]],MATCH(Table5[[#This Row],[PID]],Table3[[#All],[PID]],0)))</f>
        <v>46.94091149674545</v>
      </c>
      <c r="R292" s="52">
        <f>IF($C292="B",INDEX(Batters[[#All],[zScore]],MATCH(Table5[[#This Row],[PID]],Batters[[#All],[PID]],0)),INDEX(Table3[[#All],[zScore]],MATCH(Table5[[#This Row],[PID]],Table3[[#All],[PID]],0)))</f>
        <v>0.62276802942930598</v>
      </c>
      <c r="S292" s="58" t="str">
        <f>IF($C292="B",INDEX(Batters[[#All],[DEM]],MATCH(Table5[[#This Row],[PID]],Batters[[#All],[PID]],0)),INDEX(Table3[[#All],[DEM]],MATCH(Table5[[#This Row],[PID]],Table3[[#All],[PID]],0)))</f>
        <v>$190k</v>
      </c>
      <c r="T292" s="62">
        <f>IF($C292="B",INDEX(Batters[[#All],[Rnk]],MATCH(Table5[[#This Row],[PID]],Batters[[#All],[PID]],0)),INDEX(Table3[[#All],[Rnk]],MATCH(Table5[[#This Row],[PID]],Table3[[#All],[PID]],0)))</f>
        <v>132</v>
      </c>
      <c r="U292" s="68">
        <f>IF($C292="B",VLOOKUP($A292,Bat!$A$4:$BA$1621,47,FALSE),VLOOKUP($A292,Pit!$A$4:$BF$1557,56,FALSE))</f>
        <v>0</v>
      </c>
      <c r="V292" s="50">
        <f>IF($C292="B",VLOOKUP($A292,Bat!$A$4:$BA$1621,48,FALSE),VLOOKUP($A292,Pit!$A$4:$BF$1557,57,FALSE))</f>
        <v>0</v>
      </c>
      <c r="W292" s="50">
        <f>Table5[[#This Row],[posRnk]]+Table5[[#This Row],[zRnk]]+IF($W$3&lt;&gt;Table5[[#This Row],[Type]],50,0)</f>
        <v>510</v>
      </c>
      <c r="X292" s="51">
        <f>RANK(Table5[[#This Row],[zScore]],Table5[[#All],[zScore]])</f>
        <v>328</v>
      </c>
      <c r="Y292" s="50">
        <f>IFERROR(INDEX(DraftResults[[#All],[OVR]],MATCH(Table5[[#This Row],[PID]],DraftResults[[#All],[Player ID]],0)),"")</f>
        <v>288</v>
      </c>
      <c r="Z2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2" s="50">
        <f>IFERROR(INDEX(DraftResults[[#All],[Pick in Round]],MATCH(Table5[[#This Row],[PID]],DraftResults[[#All],[Player ID]],0)),"")</f>
        <v>10</v>
      </c>
      <c r="AB292" s="50" t="str">
        <f>IFERROR(INDEX(DraftResults[[#All],[Team Name]],MATCH(Table5[[#This Row],[PID]],DraftResults[[#All],[Player ID]],0)),"")</f>
        <v>Hartford Harpoon</v>
      </c>
      <c r="AC292" s="50">
        <f>IF(Table5[[#This Row],[Ovr]]="","",IF(Table5[[#This Row],[cmbList]]="","",Table5[[#This Row],[cmbList]]-Table5[[#This Row],[Ovr]]))</f>
        <v>222</v>
      </c>
      <c r="AD292" s="54" t="str">
        <f>IF(ISERROR(VLOOKUP($AB292&amp;"-"&amp;$E292&amp;" "&amp;F292,Bonuses!$B$1:$G$1006,4,FALSE)),"",INT(VLOOKUP($AB292&amp;"-"&amp;$E292&amp;" "&amp;$F292,Bonuses!$B$1:$G$1006,4,FALSE)))</f>
        <v/>
      </c>
      <c r="AE2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10.10 (288) - RF Glen Reed</v>
      </c>
    </row>
    <row r="293" spans="1:31" s="50" customFormat="1" x14ac:dyDescent="0.25">
      <c r="A293" s="68">
        <v>18186</v>
      </c>
      <c r="B293" s="69">
        <f>COUNTIF(Table5[PID],A293)</f>
        <v>1</v>
      </c>
      <c r="C293" s="69" t="str">
        <f>IF(COUNTIF(Table3[[#All],[PID]],A293)&gt;0,"P","B")</f>
        <v>P</v>
      </c>
      <c r="D293" s="59" t="str">
        <f>IF($C293="B",INDEX(Batters[[#All],[POS]],MATCH(Table5[[#This Row],[PID]],Batters[[#All],[PID]],0)),INDEX(Table3[[#All],[POS]],MATCH(Table5[[#This Row],[PID]],Table3[[#All],[PID]],0)))</f>
        <v>SP</v>
      </c>
      <c r="E293" s="52" t="str">
        <f>IF($C293="B",INDEX(Batters[[#All],[First]],MATCH(Table5[[#This Row],[PID]],Batters[[#All],[PID]],0)),INDEX(Table3[[#All],[First]],MATCH(Table5[[#This Row],[PID]],Table3[[#All],[PID]],0)))</f>
        <v>Phil</v>
      </c>
      <c r="F293" s="55" t="str">
        <f>IF($C293="B",INDEX(Batters[[#All],[Last]],MATCH(A293,Batters[[#All],[PID]],0)),INDEX(Table3[[#All],[Last]],MATCH(A293,Table3[[#All],[PID]],0)))</f>
        <v>Eldridge</v>
      </c>
      <c r="G293" s="56">
        <f>IF($C293="B",INDEX(Batters[[#All],[Age]],MATCH(Table5[[#This Row],[PID]],Batters[[#All],[PID]],0)),INDEX(Table3[[#All],[Age]],MATCH(Table5[[#This Row],[PID]],Table3[[#All],[PID]],0)))</f>
        <v>18</v>
      </c>
      <c r="H293" s="52" t="str">
        <f>IF($C293="B",INDEX(Batters[[#All],[B]],MATCH(Table5[[#This Row],[PID]],Batters[[#All],[PID]],0)),INDEX(Table3[[#All],[B]],MATCH(Table5[[#This Row],[PID]],Table3[[#All],[PID]],0)))</f>
        <v>L</v>
      </c>
      <c r="I293" s="52" t="str">
        <f>IF($C293="B",INDEX(Batters[[#All],[T]],MATCH(Table5[[#This Row],[PID]],Batters[[#All],[PID]],0)),INDEX(Table3[[#All],[T]],MATCH(Table5[[#This Row],[PID]],Table3[[#All],[PID]],0)))</f>
        <v>L</v>
      </c>
      <c r="J293" s="71" t="str">
        <f>IF($C293="B",INDEX(Batters[[#All],[WE]],MATCH(Table5[[#This Row],[PID]],Batters[[#All],[PID]],0)),INDEX(Table3[[#All],[WE]],MATCH(Table5[[#This Row],[PID]],Table3[[#All],[PID]],0)))</f>
        <v>Normal</v>
      </c>
      <c r="K293" s="52" t="str">
        <f>IF($C293="B",INDEX(Batters[[#All],[INT]],MATCH(Table5[[#This Row],[PID]],Batters[[#All],[PID]],0)),INDEX(Table3[[#All],[INT]],MATCH(Table5[[#This Row],[PID]],Table3[[#All],[PID]],0)))</f>
        <v>Normal</v>
      </c>
      <c r="L293" s="60">
        <f>IF($C293="B",INDEX(Batters[[#All],[CON P]],MATCH(Table5[[#This Row],[PID]],Batters[[#All],[PID]],0)),INDEX(Table3[[#All],[STU P]],MATCH(Table5[[#This Row],[PID]],Table3[[#All],[PID]],0)))</f>
        <v>6</v>
      </c>
      <c r="M293" s="72">
        <f>IF($C293="B",INDEX(Batters[[#All],[GAP P]],MATCH(Table5[[#This Row],[PID]],Batters[[#All],[PID]],0)),INDEX(Table3[[#All],[MOV P]],MATCH(Table5[[#This Row],[PID]],Table3[[#All],[PID]],0)))</f>
        <v>4</v>
      </c>
      <c r="N293" s="72">
        <f>IF($C293="B",INDEX(Batters[[#All],[POW P]],MATCH(Table5[[#This Row],[PID]],Batters[[#All],[PID]],0)),INDEX(Table3[[#All],[CON P]],MATCH(Table5[[#This Row],[PID]],Table3[[#All],[PID]],0)))</f>
        <v>3</v>
      </c>
      <c r="O293" s="72" t="str">
        <f>IF($C293="B",INDEX(Batters[[#All],[EYE P]],MATCH(Table5[[#This Row],[PID]],Batters[[#All],[PID]],0)),INDEX(Table3[[#All],[VELO]],MATCH(Table5[[#This Row],[PID]],Table3[[#All],[PID]],0)))</f>
        <v>94-96 Mph</v>
      </c>
      <c r="P293" s="56">
        <f>IF($C293="B",INDEX(Batters[[#All],[K P]],MATCH(Table5[[#This Row],[PID]],Batters[[#All],[PID]],0)),INDEX(Table3[[#All],[STM]],MATCH(Table5[[#This Row],[PID]],Table3[[#All],[PID]],0)))</f>
        <v>7</v>
      </c>
      <c r="Q293" s="61">
        <f>IF($C293="B",INDEX(Batters[[#All],[Tot]],MATCH(Table5[[#This Row],[PID]],Batters[[#All],[PID]],0)),INDEX(Table3[[#All],[Tot]],MATCH(Table5[[#This Row],[PID]],Table3[[#All],[PID]],0)))</f>
        <v>52.569690997240613</v>
      </c>
      <c r="R293" s="52">
        <f>IF($C293="B",INDEX(Batters[[#All],[zScore]],MATCH(Table5[[#This Row],[PID]],Batters[[#All],[PID]],0)),INDEX(Table3[[#All],[zScore]],MATCH(Table5[[#This Row],[PID]],Table3[[#All],[PID]],0)))</f>
        <v>1.1109699262639459</v>
      </c>
      <c r="S293" s="78" t="str">
        <f>IF($C293="B",INDEX(Batters[[#All],[DEM]],MATCH(Table5[[#This Row],[PID]],Batters[[#All],[PID]],0)),INDEX(Table3[[#All],[DEM]],MATCH(Table5[[#This Row],[PID]],Table3[[#All],[PID]],0)))</f>
        <v>$280k</v>
      </c>
      <c r="T293" s="75">
        <f>IF($C293="B",INDEX(Batters[[#All],[Rnk]],MATCH(Table5[[#This Row],[PID]],Batters[[#All],[PID]],0)),INDEX(Table3[[#All],[Rnk]],MATCH(Table5[[#This Row],[PID]],Table3[[#All],[PID]],0)))</f>
        <v>125</v>
      </c>
      <c r="U293" s="68">
        <f>IF($C293="B",VLOOKUP($A293,Bat!$A$4:$BA$1621,47,FALSE),VLOOKUP($A293,Pit!$A$4:$BF$1557,56,FALSE))</f>
        <v>0</v>
      </c>
      <c r="V293" s="50">
        <f>IF($C293="B",VLOOKUP($A293,Bat!$A$4:$BA$1621,48,FALSE),VLOOKUP($A293,Pit!$A$4:$BF$1557,57,FALSE))</f>
        <v>0</v>
      </c>
      <c r="W293" s="69">
        <f>Table5[[#This Row],[posRnk]]+Table5[[#This Row],[zRnk]]+IF($W$3&lt;&gt;Table5[[#This Row],[Type]],50,0)</f>
        <v>383</v>
      </c>
      <c r="X293" s="73">
        <f>RANK(Table5[[#This Row],[zScore]],Table5[[#All],[zScore]])</f>
        <v>208</v>
      </c>
      <c r="Y293" s="69">
        <f>IFERROR(INDEX(DraftResults[[#All],[OVR]],MATCH(Table5[[#This Row],[PID]],DraftResults[[#All],[Player ID]],0)),"")</f>
        <v>289</v>
      </c>
      <c r="Z29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3" s="69">
        <f>IFERROR(INDEX(DraftResults[[#All],[Pick in Round]],MATCH(Table5[[#This Row],[PID]],DraftResults[[#All],[Player ID]],0)),"")</f>
        <v>11</v>
      </c>
      <c r="AB293" s="69" t="str">
        <f>IFERROR(INDEX(DraftResults[[#All],[Team Name]],MATCH(Table5[[#This Row],[PID]],DraftResults[[#All],[Player ID]],0)),"")</f>
        <v>Duluth Warriors</v>
      </c>
      <c r="AC293" s="69">
        <f>IF(Table5[[#This Row],[Ovr]]="","",IF(Table5[[#This Row],[cmbList]]="","",Table5[[#This Row],[cmbList]]-Table5[[#This Row],[Ovr]]))</f>
        <v>94</v>
      </c>
      <c r="AD293" s="77" t="str">
        <f>IF(ISERROR(VLOOKUP($AB293&amp;"-"&amp;$E293&amp;" "&amp;F293,Bonuses!$B$1:$G$1006,4,FALSE)),"",INT(VLOOKUP($AB293&amp;"-"&amp;$E293&amp;" "&amp;$F293,Bonuses!$B$1:$G$1006,4,FALSE)))</f>
        <v/>
      </c>
      <c r="AE29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10.11 (289) - SP Phil Eldridge</v>
      </c>
    </row>
    <row r="294" spans="1:31" s="50" customFormat="1" x14ac:dyDescent="0.25">
      <c r="A294" s="50">
        <v>18239</v>
      </c>
      <c r="B294" s="55">
        <f>COUNTIF(Table5[PID],A294)</f>
        <v>1</v>
      </c>
      <c r="C294" s="55" t="str">
        <f>IF(COUNTIF(Table3[[#All],[PID]],A294)&gt;0,"P","B")</f>
        <v>B</v>
      </c>
      <c r="D294" s="59" t="str">
        <f>IF($C294="B",INDEX(Batters[[#All],[POS]],MATCH(Table5[[#This Row],[PID]],Batters[[#All],[PID]],0)),INDEX(Table3[[#All],[POS]],MATCH(Table5[[#This Row],[PID]],Table3[[#All],[PID]],0)))</f>
        <v>1B</v>
      </c>
      <c r="E294" s="52" t="str">
        <f>IF($C294="B",INDEX(Batters[[#All],[First]],MATCH(Table5[[#This Row],[PID]],Batters[[#All],[PID]],0)),INDEX(Table3[[#All],[First]],MATCH(Table5[[#This Row],[PID]],Table3[[#All],[PID]],0)))</f>
        <v>António</v>
      </c>
      <c r="F294" s="50" t="str">
        <f>IF($C294="B",INDEX(Batters[[#All],[Last]],MATCH(A294,Batters[[#All],[PID]],0)),INDEX(Table3[[#All],[Last]],MATCH(A294,Table3[[#All],[PID]],0)))</f>
        <v>Padilla</v>
      </c>
      <c r="G294" s="56">
        <f>IF($C294="B",INDEX(Batters[[#All],[Age]],MATCH(Table5[[#This Row],[PID]],Batters[[#All],[PID]],0)),INDEX(Table3[[#All],[Age]],MATCH(Table5[[#This Row],[PID]],Table3[[#All],[PID]],0)))</f>
        <v>18</v>
      </c>
      <c r="H294" s="52" t="str">
        <f>IF($C294="B",INDEX(Batters[[#All],[B]],MATCH(Table5[[#This Row],[PID]],Batters[[#All],[PID]],0)),INDEX(Table3[[#All],[B]],MATCH(Table5[[#This Row],[PID]],Table3[[#All],[PID]],0)))</f>
        <v>L</v>
      </c>
      <c r="I294" s="52" t="str">
        <f>IF($C294="B",INDEX(Batters[[#All],[T]],MATCH(Table5[[#This Row],[PID]],Batters[[#All],[PID]],0)),INDEX(Table3[[#All],[T]],MATCH(Table5[[#This Row],[PID]],Table3[[#All],[PID]],0)))</f>
        <v>L</v>
      </c>
      <c r="J294" s="52" t="str">
        <f>IF($C294="B",INDEX(Batters[[#All],[WE]],MATCH(Table5[[#This Row],[PID]],Batters[[#All],[PID]],0)),INDEX(Table3[[#All],[WE]],MATCH(Table5[[#This Row],[PID]],Table3[[#All],[PID]],0)))</f>
        <v>Low</v>
      </c>
      <c r="K294" s="52" t="str">
        <f>IF($C294="B",INDEX(Batters[[#All],[INT]],MATCH(Table5[[#This Row],[PID]],Batters[[#All],[PID]],0)),INDEX(Table3[[#All],[INT]],MATCH(Table5[[#This Row],[PID]],Table3[[#All],[PID]],0)))</f>
        <v>Normal</v>
      </c>
      <c r="L294" s="60">
        <f>IF($C294="B",INDEX(Batters[[#All],[CON P]],MATCH(Table5[[#This Row],[PID]],Batters[[#All],[PID]],0)),INDEX(Table3[[#All],[STU P]],MATCH(Table5[[#This Row],[PID]],Table3[[#All],[PID]],0)))</f>
        <v>4</v>
      </c>
      <c r="M294" s="56">
        <f>IF($C294="B",INDEX(Batters[[#All],[GAP P]],MATCH(Table5[[#This Row],[PID]],Batters[[#All],[PID]],0)),INDEX(Table3[[#All],[MOV P]],MATCH(Table5[[#This Row],[PID]],Table3[[#All],[PID]],0)))</f>
        <v>5</v>
      </c>
      <c r="N294" s="56">
        <f>IF($C294="B",INDEX(Batters[[#All],[POW P]],MATCH(Table5[[#This Row],[PID]],Batters[[#All],[PID]],0)),INDEX(Table3[[#All],[CON P]],MATCH(Table5[[#This Row],[PID]],Table3[[#All],[PID]],0)))</f>
        <v>7</v>
      </c>
      <c r="O294" s="56">
        <f>IF($C294="B",INDEX(Batters[[#All],[EYE P]],MATCH(Table5[[#This Row],[PID]],Batters[[#All],[PID]],0)),INDEX(Table3[[#All],[VELO]],MATCH(Table5[[#This Row],[PID]],Table3[[#All],[PID]],0)))</f>
        <v>5</v>
      </c>
      <c r="P294" s="56">
        <f>IF($C294="B",INDEX(Batters[[#All],[K P]],MATCH(Table5[[#This Row],[PID]],Batters[[#All],[PID]],0)),INDEX(Table3[[#All],[STM]],MATCH(Table5[[#This Row],[PID]],Table3[[#All],[PID]],0)))</f>
        <v>3</v>
      </c>
      <c r="Q294" s="61">
        <f>IF($C294="B",INDEX(Batters[[#All],[Tot]],MATCH(Table5[[#This Row],[PID]],Batters[[#All],[PID]],0)),INDEX(Table3[[#All],[Tot]],MATCH(Table5[[#This Row],[PID]],Table3[[#All],[PID]],0)))</f>
        <v>49.828203309041236</v>
      </c>
      <c r="R294" s="52">
        <f>IF($C294="B",INDEX(Batters[[#All],[zScore]],MATCH(Table5[[#This Row],[PID]],Batters[[#All],[PID]],0)),INDEX(Table3[[#All],[zScore]],MATCH(Table5[[#This Row],[PID]],Table3[[#All],[PID]],0)))</f>
        <v>1.2629001404966795</v>
      </c>
      <c r="S294" s="58" t="str">
        <f>IF($C294="B",INDEX(Batters[[#All],[DEM]],MATCH(Table5[[#This Row],[PID]],Batters[[#All],[PID]],0)),INDEX(Table3[[#All],[DEM]],MATCH(Table5[[#This Row],[PID]],Table3[[#All],[PID]],0)))</f>
        <v>$380k</v>
      </c>
      <c r="T294" s="62">
        <f>IF($C294="B",INDEX(Batters[[#All],[Rnk]],MATCH(Table5[[#This Row],[PID]],Batters[[#All],[PID]],0)),INDEX(Table3[[#All],[Rnk]],MATCH(Table5[[#This Row],[PID]],Table3[[#All],[PID]],0)))</f>
        <v>63</v>
      </c>
      <c r="U294" s="68">
        <f>IF($C294="B",VLOOKUP($A294,Bat!$A$4:$BA$1621,47,FALSE),VLOOKUP($A294,Pit!$A$4:$BF$1557,56,FALSE))</f>
        <v>0</v>
      </c>
      <c r="V294" s="50">
        <f>IF($C294="B",VLOOKUP($A294,Bat!$A$4:$BA$1621,48,FALSE),VLOOKUP($A294,Pit!$A$4:$BF$1557,57,FALSE))</f>
        <v>0</v>
      </c>
      <c r="W294" s="50">
        <f>Table5[[#This Row],[posRnk]]+Table5[[#This Row],[zRnk]]+IF($W$3&lt;&gt;Table5[[#This Row],[Type]],50,0)</f>
        <v>280</v>
      </c>
      <c r="X294" s="51">
        <f>RANK(Table5[[#This Row],[zScore]],Table5[[#All],[zScore]])</f>
        <v>167</v>
      </c>
      <c r="Y294" s="50">
        <f>IFERROR(INDEX(DraftResults[[#All],[OVR]],MATCH(Table5[[#This Row],[PID]],DraftResults[[#All],[Player ID]],0)),"")</f>
        <v>290</v>
      </c>
      <c r="Z2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4" s="50">
        <f>IFERROR(INDEX(DraftResults[[#All],[Pick in Round]],MATCH(Table5[[#This Row],[PID]],DraftResults[[#All],[Player ID]],0)),"")</f>
        <v>12</v>
      </c>
      <c r="AB294" s="50" t="str">
        <f>IFERROR(INDEX(DraftResults[[#All],[Team Name]],MATCH(Table5[[#This Row],[PID]],DraftResults[[#All],[Player ID]],0)),"")</f>
        <v>Palm Springs Codgers</v>
      </c>
      <c r="AC294" s="50">
        <f>IF(Table5[[#This Row],[Ovr]]="","",IF(Table5[[#This Row],[cmbList]]="","",Table5[[#This Row],[cmbList]]-Table5[[#This Row],[Ovr]]))</f>
        <v>-10</v>
      </c>
      <c r="AD294" s="54" t="str">
        <f>IF(ISERROR(VLOOKUP($AB294&amp;"-"&amp;$E294&amp;" "&amp;F294,Bonuses!$B$1:$G$1006,4,FALSE)),"",INT(VLOOKUP($AB294&amp;"-"&amp;$E294&amp;" "&amp;$F294,Bonuses!$B$1:$G$1006,4,FALSE)))</f>
        <v/>
      </c>
      <c r="AE2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10.12 (290) - 1B António Padilla</v>
      </c>
    </row>
    <row r="295" spans="1:31" s="50" customFormat="1" x14ac:dyDescent="0.25">
      <c r="A295" s="50">
        <v>17572</v>
      </c>
      <c r="B295" s="50">
        <f>COUNTIF(Table5[PID],A295)</f>
        <v>1</v>
      </c>
      <c r="C295" s="50" t="str">
        <f>IF(COUNTIF(Table3[[#All],[PID]],A295)&gt;0,"P","B")</f>
        <v>B</v>
      </c>
      <c r="D295" s="59" t="str">
        <f>IF($C295="B",INDEX(Batters[[#All],[POS]],MATCH(Table5[[#This Row],[PID]],Batters[[#All],[PID]],0)),INDEX(Table3[[#All],[POS]],MATCH(Table5[[#This Row],[PID]],Table3[[#All],[PID]],0)))</f>
        <v>C</v>
      </c>
      <c r="E295" s="52" t="str">
        <f>IF($C295="B",INDEX(Batters[[#All],[First]],MATCH(Table5[[#This Row],[PID]],Batters[[#All],[PID]],0)),INDEX(Table3[[#All],[First]],MATCH(Table5[[#This Row],[PID]],Table3[[#All],[PID]],0)))</f>
        <v>Andrew</v>
      </c>
      <c r="F295" s="50" t="str">
        <f>IF($C295="B",INDEX(Batters[[#All],[Last]],MATCH(A295,Batters[[#All],[PID]],0)),INDEX(Table3[[#All],[Last]],MATCH(A295,Table3[[#All],[PID]],0)))</f>
        <v>Burch</v>
      </c>
      <c r="G295" s="56">
        <f>IF($C295="B",INDEX(Batters[[#All],[Age]],MATCH(Table5[[#This Row],[PID]],Batters[[#All],[PID]],0)),INDEX(Table3[[#All],[Age]],MATCH(Table5[[#This Row],[PID]],Table3[[#All],[PID]],0)))</f>
        <v>18</v>
      </c>
      <c r="H295" s="52" t="str">
        <f>IF($C295="B",INDEX(Batters[[#All],[B]],MATCH(Table5[[#This Row],[PID]],Batters[[#All],[PID]],0)),INDEX(Table3[[#All],[B]],MATCH(Table5[[#This Row],[PID]],Table3[[#All],[PID]],0)))</f>
        <v>R</v>
      </c>
      <c r="I295" s="52" t="str">
        <f>IF($C295="B",INDEX(Batters[[#All],[T]],MATCH(Table5[[#This Row],[PID]],Batters[[#All],[PID]],0)),INDEX(Table3[[#All],[T]],MATCH(Table5[[#This Row],[PID]],Table3[[#All],[PID]],0)))</f>
        <v>R</v>
      </c>
      <c r="J295" s="52" t="str">
        <f>IF($C295="B",INDEX(Batters[[#All],[WE]],MATCH(Table5[[#This Row],[PID]],Batters[[#All],[PID]],0)),INDEX(Table3[[#All],[WE]],MATCH(Table5[[#This Row],[PID]],Table3[[#All],[PID]],0)))</f>
        <v>Normal</v>
      </c>
      <c r="K295" s="52" t="str">
        <f>IF($C295="B",INDEX(Batters[[#All],[INT]],MATCH(Table5[[#This Row],[PID]],Batters[[#All],[PID]],0)),INDEX(Table3[[#All],[INT]],MATCH(Table5[[#This Row],[PID]],Table3[[#All],[PID]],0)))</f>
        <v>Normal</v>
      </c>
      <c r="L295" s="60">
        <f>IF($C295="B",INDEX(Batters[[#All],[CON P]],MATCH(Table5[[#This Row],[PID]],Batters[[#All],[PID]],0)),INDEX(Table3[[#All],[STU P]],MATCH(Table5[[#This Row],[PID]],Table3[[#All],[PID]],0)))</f>
        <v>3</v>
      </c>
      <c r="M295" s="56">
        <f>IF($C295="B",INDEX(Batters[[#All],[GAP P]],MATCH(Table5[[#This Row],[PID]],Batters[[#All],[PID]],0)),INDEX(Table3[[#All],[MOV P]],MATCH(Table5[[#This Row],[PID]],Table3[[#All],[PID]],0)))</f>
        <v>5</v>
      </c>
      <c r="N295" s="56">
        <f>IF($C295="B",INDEX(Batters[[#All],[POW P]],MATCH(Table5[[#This Row],[PID]],Batters[[#All],[PID]],0)),INDEX(Table3[[#All],[CON P]],MATCH(Table5[[#This Row],[PID]],Table3[[#All],[PID]],0)))</f>
        <v>3</v>
      </c>
      <c r="O295" s="56">
        <f>IF($C295="B",INDEX(Batters[[#All],[EYE P]],MATCH(Table5[[#This Row],[PID]],Batters[[#All],[PID]],0)),INDEX(Table3[[#All],[VELO]],MATCH(Table5[[#This Row],[PID]],Table3[[#All],[PID]],0)))</f>
        <v>3</v>
      </c>
      <c r="P295" s="56">
        <f>IF($C295="B",INDEX(Batters[[#All],[K P]],MATCH(Table5[[#This Row],[PID]],Batters[[#All],[PID]],0)),INDEX(Table3[[#All],[STM]],MATCH(Table5[[#This Row],[PID]],Table3[[#All],[PID]],0)))</f>
        <v>3</v>
      </c>
      <c r="Q295" s="61">
        <f>IF($C295="B",INDEX(Batters[[#All],[Tot]],MATCH(Table5[[#This Row],[PID]],Batters[[#All],[PID]],0)),INDEX(Table3[[#All],[Tot]],MATCH(Table5[[#This Row],[PID]],Table3[[#All],[PID]],0)))</f>
        <v>41.036863119464314</v>
      </c>
      <c r="R295" s="52">
        <f>IF($C295="B",INDEX(Batters[[#All],[zScore]],MATCH(Table5[[#This Row],[PID]],Batters[[#All],[PID]],0)),INDEX(Table3[[#All],[zScore]],MATCH(Table5[[#This Row],[PID]],Table3[[#All],[PID]],0)))</f>
        <v>-0.68619940347722996</v>
      </c>
      <c r="S295" s="58" t="str">
        <f>IF($C295="B",INDEX(Batters[[#All],[DEM]],MATCH(Table5[[#This Row],[PID]],Batters[[#All],[PID]],0)),INDEX(Table3[[#All],[DEM]],MATCH(Table5[[#This Row],[PID]],Table3[[#All],[PID]],0)))</f>
        <v>$38k</v>
      </c>
      <c r="T295" s="62">
        <f>IF($C295="B",INDEX(Batters[[#All],[Rnk]],MATCH(Table5[[#This Row],[PID]],Batters[[#All],[PID]],0)),INDEX(Table3[[#All],[Rnk]],MATCH(Table5[[#This Row],[PID]],Table3[[#All],[PID]],0)))</f>
        <v>379</v>
      </c>
      <c r="U295" s="68">
        <f>IF($C295="B",VLOOKUP($A295,Bat!$A$4:$BA$1621,47,FALSE),VLOOKUP($A295,Pit!$A$4:$BF$1557,56,FALSE))</f>
        <v>0</v>
      </c>
      <c r="V295" s="50">
        <f>IF($C295="B",VLOOKUP($A295,Bat!$A$4:$BA$1621,48,FALSE),VLOOKUP($A295,Pit!$A$4:$BF$1557,57,FALSE))</f>
        <v>0</v>
      </c>
      <c r="W295" s="50">
        <f>Table5[[#This Row],[posRnk]]+Table5[[#This Row],[zRnk]]+IF($W$3&lt;&gt;Table5[[#This Row],[Type]],50,0)</f>
        <v>1406</v>
      </c>
      <c r="X295" s="51">
        <f>RANK(Table5[[#This Row],[zScore]],Table5[[#All],[zScore]])</f>
        <v>977</v>
      </c>
      <c r="Y295" s="50">
        <f>IFERROR(INDEX(DraftResults[[#All],[OVR]],MATCH(Table5[[#This Row],[PID]],DraftResults[[#All],[Player ID]],0)),"")</f>
        <v>291</v>
      </c>
      <c r="Z2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5" s="50">
        <f>IFERROR(INDEX(DraftResults[[#All],[Pick in Round]],MATCH(Table5[[#This Row],[PID]],DraftResults[[#All],[Player ID]],0)),"")</f>
        <v>13</v>
      </c>
      <c r="AB295" s="50" t="str">
        <f>IFERROR(INDEX(DraftResults[[#All],[Team Name]],MATCH(Table5[[#This Row],[PID]],DraftResults[[#All],[Player ID]],0)),"")</f>
        <v>Reno Zephyrs</v>
      </c>
      <c r="AC295" s="50">
        <f>IF(Table5[[#This Row],[Ovr]]="","",IF(Table5[[#This Row],[cmbList]]="","",Table5[[#This Row],[cmbList]]-Table5[[#This Row],[Ovr]]))</f>
        <v>1115</v>
      </c>
      <c r="AD295" s="54" t="str">
        <f>IF(ISERROR(VLOOKUP($AB295&amp;"-"&amp;$E295&amp;" "&amp;F295,Bonuses!$B$1:$G$1006,4,FALSE)),"",INT(VLOOKUP($AB295&amp;"-"&amp;$E295&amp;" "&amp;$F295,Bonuses!$B$1:$G$1006,4,FALSE)))</f>
        <v/>
      </c>
      <c r="AE2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10.13 (291) - C Andrew Burch</v>
      </c>
    </row>
    <row r="296" spans="1:31" s="50" customFormat="1" x14ac:dyDescent="0.25">
      <c r="A296" s="50">
        <v>18345</v>
      </c>
      <c r="B296" s="50">
        <f>COUNTIF(Table5[PID],A296)</f>
        <v>1</v>
      </c>
      <c r="C296" s="50" t="str">
        <f>IF(COUNTIF(Table3[[#All],[PID]],A296)&gt;0,"P","B")</f>
        <v>P</v>
      </c>
      <c r="D296" s="59" t="str">
        <f>IF($C296="B",INDEX(Batters[[#All],[POS]],MATCH(Table5[[#This Row],[PID]],Batters[[#All],[PID]],0)),INDEX(Table3[[#All],[POS]],MATCH(Table5[[#This Row],[PID]],Table3[[#All],[PID]],0)))</f>
        <v>RP</v>
      </c>
      <c r="E296" s="52" t="str">
        <f>IF($C296="B",INDEX(Batters[[#All],[First]],MATCH(Table5[[#This Row],[PID]],Batters[[#All],[PID]],0)),INDEX(Table3[[#All],[First]],MATCH(Table5[[#This Row],[PID]],Table3[[#All],[PID]],0)))</f>
        <v>Yodo</v>
      </c>
      <c r="F296" s="50" t="str">
        <f>IF($C296="B",INDEX(Batters[[#All],[Last]],MATCH(A296,Batters[[#All],[PID]],0)),INDEX(Table3[[#All],[Last]],MATCH(A296,Table3[[#All],[PID]],0)))</f>
        <v>Hasegawa</v>
      </c>
      <c r="G296" s="56">
        <f>IF($C296="B",INDEX(Batters[[#All],[Age]],MATCH(Table5[[#This Row],[PID]],Batters[[#All],[PID]],0)),INDEX(Table3[[#All],[Age]],MATCH(Table5[[#This Row],[PID]],Table3[[#All],[PID]],0)))</f>
        <v>18</v>
      </c>
      <c r="H296" s="52" t="str">
        <f>IF($C296="B",INDEX(Batters[[#All],[B]],MATCH(Table5[[#This Row],[PID]],Batters[[#All],[PID]],0)),INDEX(Table3[[#All],[B]],MATCH(Table5[[#This Row],[PID]],Table3[[#All],[PID]],0)))</f>
        <v>L</v>
      </c>
      <c r="I296" s="52" t="str">
        <f>IF($C296="B",INDEX(Batters[[#All],[T]],MATCH(Table5[[#This Row],[PID]],Batters[[#All],[PID]],0)),INDEX(Table3[[#All],[T]],MATCH(Table5[[#This Row],[PID]],Table3[[#All],[PID]],0)))</f>
        <v>R</v>
      </c>
      <c r="J296" s="52" t="str">
        <f>IF($C296="B",INDEX(Batters[[#All],[WE]],MATCH(Table5[[#This Row],[PID]],Batters[[#All],[PID]],0)),INDEX(Table3[[#All],[WE]],MATCH(Table5[[#This Row],[PID]],Table3[[#All],[PID]],0)))</f>
        <v>Normal</v>
      </c>
      <c r="K296" s="52" t="str">
        <f>IF($C296="B",INDEX(Batters[[#All],[INT]],MATCH(Table5[[#This Row],[PID]],Batters[[#All],[PID]],0)),INDEX(Table3[[#All],[INT]],MATCH(Table5[[#This Row],[PID]],Table3[[#All],[PID]],0)))</f>
        <v>Normal</v>
      </c>
      <c r="L296" s="60">
        <f>IF($C296="B",INDEX(Batters[[#All],[CON P]],MATCH(Table5[[#This Row],[PID]],Batters[[#All],[PID]],0)),INDEX(Table3[[#All],[STU P]],MATCH(Table5[[#This Row],[PID]],Table3[[#All],[PID]],0)))</f>
        <v>6</v>
      </c>
      <c r="M296" s="56">
        <f>IF($C296="B",INDEX(Batters[[#All],[GAP P]],MATCH(Table5[[#This Row],[PID]],Batters[[#All],[PID]],0)),INDEX(Table3[[#All],[MOV P]],MATCH(Table5[[#This Row],[PID]],Table3[[#All],[PID]],0)))</f>
        <v>3</v>
      </c>
      <c r="N296" s="56">
        <f>IF($C296="B",INDEX(Batters[[#All],[POW P]],MATCH(Table5[[#This Row],[PID]],Batters[[#All],[PID]],0)),INDEX(Table3[[#All],[CON P]],MATCH(Table5[[#This Row],[PID]],Table3[[#All],[PID]],0)))</f>
        <v>4</v>
      </c>
      <c r="O296" s="56" t="str">
        <f>IF($C296="B",INDEX(Batters[[#All],[EYE P]],MATCH(Table5[[#This Row],[PID]],Batters[[#All],[PID]],0)),INDEX(Table3[[#All],[VELO]],MATCH(Table5[[#This Row],[PID]],Table3[[#All],[PID]],0)))</f>
        <v>90-92 Mph</v>
      </c>
      <c r="P296" s="56">
        <f>IF($C296="B",INDEX(Batters[[#All],[K P]],MATCH(Table5[[#This Row],[PID]],Batters[[#All],[PID]],0)),INDEX(Table3[[#All],[STM]],MATCH(Table5[[#This Row],[PID]],Table3[[#All],[PID]],0)))</f>
        <v>3</v>
      </c>
      <c r="Q296" s="61">
        <f>IF($C296="B",INDEX(Batters[[#All],[Tot]],MATCH(Table5[[#This Row],[PID]],Batters[[#All],[PID]],0)),INDEX(Table3[[#All],[Tot]],MATCH(Table5[[#This Row],[PID]],Table3[[#All],[PID]],0)))</f>
        <v>51.643894432982492</v>
      </c>
      <c r="R296" s="52">
        <f>IF($C296="B",INDEX(Batters[[#All],[zScore]],MATCH(Table5[[#This Row],[PID]],Batters[[#All],[PID]],0)),INDEX(Table3[[#All],[zScore]],MATCH(Table5[[#This Row],[PID]],Table3[[#All],[PID]],0)))</f>
        <v>0.94804402102121532</v>
      </c>
      <c r="S296" s="58" t="str">
        <f>IF($C296="B",INDEX(Batters[[#All],[DEM]],MATCH(Table5[[#This Row],[PID]],Batters[[#All],[PID]],0)),INDEX(Table3[[#All],[DEM]],MATCH(Table5[[#This Row],[PID]],Table3[[#All],[PID]],0)))</f>
        <v>$65k</v>
      </c>
      <c r="T296" s="62">
        <f>IF($C296="B",INDEX(Batters[[#All],[Rnk]],MATCH(Table5[[#This Row],[PID]],Batters[[#All],[PID]],0)),INDEX(Table3[[#All],[Rnk]],MATCH(Table5[[#This Row],[PID]],Table3[[#All],[PID]],0)))</f>
        <v>146</v>
      </c>
      <c r="U296" s="68">
        <f>IF($C296="B",VLOOKUP($A296,Bat!$A$4:$BA$1621,47,FALSE),VLOOKUP($A296,Pit!$A$4:$BF$1557,56,FALSE))</f>
        <v>0</v>
      </c>
      <c r="V296" s="50">
        <f>IF($C296="B",VLOOKUP($A296,Bat!$A$4:$BA$1621,48,FALSE),VLOOKUP($A296,Pit!$A$4:$BF$1557,57,FALSE))</f>
        <v>0</v>
      </c>
      <c r="W296" s="50">
        <f>Table5[[#This Row],[posRnk]]+Table5[[#This Row],[zRnk]]+IF($W$3&lt;&gt;Table5[[#This Row],[Type]],50,0)</f>
        <v>438</v>
      </c>
      <c r="X296" s="51">
        <f>RANK(Table5[[#This Row],[zScore]],Table5[[#All],[zScore]])</f>
        <v>242</v>
      </c>
      <c r="Y296" s="50">
        <f>IFERROR(INDEX(DraftResults[[#All],[OVR]],MATCH(Table5[[#This Row],[PID]],DraftResults[[#All],[Player ID]],0)),"")</f>
        <v>292</v>
      </c>
      <c r="Z2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6" s="50">
        <f>IFERROR(INDEX(DraftResults[[#All],[Pick in Round]],MATCH(Table5[[#This Row],[PID]],DraftResults[[#All],[Player ID]],0)),"")</f>
        <v>14</v>
      </c>
      <c r="AB296" s="50" t="str">
        <f>IFERROR(INDEX(DraftResults[[#All],[Team Name]],MATCH(Table5[[#This Row],[PID]],DraftResults[[#All],[Player ID]],0)),"")</f>
        <v>Arlington Bureaucrats</v>
      </c>
      <c r="AC296" s="50">
        <f>IF(Table5[[#This Row],[Ovr]]="","",IF(Table5[[#This Row],[cmbList]]="","",Table5[[#This Row],[cmbList]]-Table5[[#This Row],[Ovr]]))</f>
        <v>146</v>
      </c>
      <c r="AD296" s="54" t="str">
        <f>IF(ISERROR(VLOOKUP($AB296&amp;"-"&amp;$E296&amp;" "&amp;F296,Bonuses!$B$1:$G$1006,4,FALSE)),"",INT(VLOOKUP($AB296&amp;"-"&amp;$E296&amp;" "&amp;$F296,Bonuses!$B$1:$G$1006,4,FALSE)))</f>
        <v/>
      </c>
      <c r="AE2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10.14 (292) - RP Yodo Hasegawa</v>
      </c>
    </row>
    <row r="297" spans="1:31" s="50" customFormat="1" x14ac:dyDescent="0.25">
      <c r="A297" s="50">
        <v>20199</v>
      </c>
      <c r="B297" s="50">
        <f>COUNTIF(Table5[PID],A297)</f>
        <v>1</v>
      </c>
      <c r="C297" s="50" t="str">
        <f>IF(COUNTIF(Table3[[#All],[PID]],A297)&gt;0,"P","B")</f>
        <v>B</v>
      </c>
      <c r="D297" s="59" t="str">
        <f>IF($C297="B",INDEX(Batters[[#All],[POS]],MATCH(Table5[[#This Row],[PID]],Batters[[#All],[PID]],0)),INDEX(Table3[[#All],[POS]],MATCH(Table5[[#This Row],[PID]],Table3[[#All],[PID]],0)))</f>
        <v>LF</v>
      </c>
      <c r="E297" s="52" t="str">
        <f>IF($C297="B",INDEX(Batters[[#All],[First]],MATCH(Table5[[#This Row],[PID]],Batters[[#All],[PID]],0)),INDEX(Table3[[#All],[First]],MATCH(Table5[[#This Row],[PID]],Table3[[#All],[PID]],0)))</f>
        <v>Hwui-ning</v>
      </c>
      <c r="F297" s="50" t="str">
        <f>IF($C297="B",INDEX(Batters[[#All],[Last]],MATCH(A297,Batters[[#All],[PID]],0)),INDEX(Table3[[#All],[Last]],MATCH(A297,Table3[[#All],[PID]],0)))</f>
        <v>Yei</v>
      </c>
      <c r="G297" s="56">
        <f>IF($C297="B",INDEX(Batters[[#All],[Age]],MATCH(Table5[[#This Row],[PID]],Batters[[#All],[PID]],0)),INDEX(Table3[[#All],[Age]],MATCH(Table5[[#This Row],[PID]],Table3[[#All],[PID]],0)))</f>
        <v>21</v>
      </c>
      <c r="H297" s="52" t="str">
        <f>IF($C297="B",INDEX(Batters[[#All],[B]],MATCH(Table5[[#This Row],[PID]],Batters[[#All],[PID]],0)),INDEX(Table3[[#All],[B]],MATCH(Table5[[#This Row],[PID]],Table3[[#All],[PID]],0)))</f>
        <v>S</v>
      </c>
      <c r="I297" s="52" t="str">
        <f>IF($C297="B",INDEX(Batters[[#All],[T]],MATCH(Table5[[#This Row],[PID]],Batters[[#All],[PID]],0)),INDEX(Table3[[#All],[T]],MATCH(Table5[[#This Row],[PID]],Table3[[#All],[PID]],0)))</f>
        <v>R</v>
      </c>
      <c r="J297" s="52" t="str">
        <f>IF($C297="B",INDEX(Batters[[#All],[WE]],MATCH(Table5[[#This Row],[PID]],Batters[[#All],[PID]],0)),INDEX(Table3[[#All],[WE]],MATCH(Table5[[#This Row],[PID]],Table3[[#All],[PID]],0)))</f>
        <v>Normal</v>
      </c>
      <c r="K297" s="52" t="str">
        <f>IF($C297="B",INDEX(Batters[[#All],[INT]],MATCH(Table5[[#This Row],[PID]],Batters[[#All],[PID]],0)),INDEX(Table3[[#All],[INT]],MATCH(Table5[[#This Row],[PID]],Table3[[#All],[PID]],0)))</f>
        <v>Normal</v>
      </c>
      <c r="L297" s="60">
        <f>IF($C297="B",INDEX(Batters[[#All],[CON P]],MATCH(Table5[[#This Row],[PID]],Batters[[#All],[PID]],0)),INDEX(Table3[[#All],[STU P]],MATCH(Table5[[#This Row],[PID]],Table3[[#All],[PID]],0)))</f>
        <v>3</v>
      </c>
      <c r="M297" s="56">
        <f>IF($C297="B",INDEX(Batters[[#All],[GAP P]],MATCH(Table5[[#This Row],[PID]],Batters[[#All],[PID]],0)),INDEX(Table3[[#All],[MOV P]],MATCH(Table5[[#This Row],[PID]],Table3[[#All],[PID]],0)))</f>
        <v>7</v>
      </c>
      <c r="N297" s="56">
        <f>IF($C297="B",INDEX(Batters[[#All],[POW P]],MATCH(Table5[[#This Row],[PID]],Batters[[#All],[PID]],0)),INDEX(Table3[[#All],[CON P]],MATCH(Table5[[#This Row],[PID]],Table3[[#All],[PID]],0)))</f>
        <v>7</v>
      </c>
      <c r="O297" s="56">
        <f>IF($C297="B",INDEX(Batters[[#All],[EYE P]],MATCH(Table5[[#This Row],[PID]],Batters[[#All],[PID]],0)),INDEX(Table3[[#All],[VELO]],MATCH(Table5[[#This Row],[PID]],Table3[[#All],[PID]],0)))</f>
        <v>6</v>
      </c>
      <c r="P297" s="56">
        <f>IF($C297="B",INDEX(Batters[[#All],[K P]],MATCH(Table5[[#This Row],[PID]],Batters[[#All],[PID]],0)),INDEX(Table3[[#All],[STM]],MATCH(Table5[[#This Row],[PID]],Table3[[#All],[PID]],0)))</f>
        <v>2</v>
      </c>
      <c r="Q297" s="61">
        <f>IF($C297="B",INDEX(Batters[[#All],[Tot]],MATCH(Table5[[#This Row],[PID]],Batters[[#All],[PID]],0)),INDEX(Table3[[#All],[Tot]],MATCH(Table5[[#This Row],[PID]],Table3[[#All],[PID]],0)))</f>
        <v>43.158216502640052</v>
      </c>
      <c r="R297" s="52">
        <f>IF($C297="B",INDEX(Batters[[#All],[zScore]],MATCH(Table5[[#This Row],[PID]],Batters[[#All],[PID]],0)),INDEX(Table3[[#All],[zScore]],MATCH(Table5[[#This Row],[PID]],Table3[[#All],[PID]],0)))</f>
        <v>-0.21588101940906421</v>
      </c>
      <c r="S297" s="58" t="str">
        <f>IF($C297="B",INDEX(Batters[[#All],[DEM]],MATCH(Table5[[#This Row],[PID]],Batters[[#All],[PID]],0)),INDEX(Table3[[#All],[DEM]],MATCH(Table5[[#This Row],[PID]],Table3[[#All],[PID]],0)))</f>
        <v>$20k</v>
      </c>
      <c r="T297" s="62">
        <f>IF($C297="B",INDEX(Batters[[#All],[Rnk]],MATCH(Table5[[#This Row],[PID]],Batters[[#All],[PID]],0)),INDEX(Table3[[#All],[Rnk]],MATCH(Table5[[#This Row],[PID]],Table3[[#All],[PID]],0)))</f>
        <v>288</v>
      </c>
      <c r="U297" s="68">
        <f>IF($C297="B",VLOOKUP($A297,Bat!$A$4:$BA$1621,47,FALSE),VLOOKUP($A297,Pit!$A$4:$BF$1557,56,FALSE))</f>
        <v>0</v>
      </c>
      <c r="V297" s="50">
        <f>IF($C297="B",VLOOKUP($A297,Bat!$A$4:$BA$1621,48,FALSE),VLOOKUP($A297,Pit!$A$4:$BF$1557,57,FALSE))</f>
        <v>0</v>
      </c>
      <c r="W297" s="50">
        <f>Table5[[#This Row],[posRnk]]+Table5[[#This Row],[zRnk]]+IF($W$3&lt;&gt;Table5[[#This Row],[Type]],50,0)</f>
        <v>1018</v>
      </c>
      <c r="X297" s="51">
        <f>RANK(Table5[[#This Row],[zScore]],Table5[[#All],[zScore]])</f>
        <v>680</v>
      </c>
      <c r="Y297" s="50">
        <f>IFERROR(INDEX(DraftResults[[#All],[OVR]],MATCH(Table5[[#This Row],[PID]],DraftResults[[#All],[Player ID]],0)),"")</f>
        <v>293</v>
      </c>
      <c r="Z2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7" s="50">
        <f>IFERROR(INDEX(DraftResults[[#All],[Pick in Round]],MATCH(Table5[[#This Row],[PID]],DraftResults[[#All],[Player ID]],0)),"")</f>
        <v>15</v>
      </c>
      <c r="AB297" s="50" t="str">
        <f>IFERROR(INDEX(DraftResults[[#All],[Team Name]],MATCH(Table5[[#This Row],[PID]],DraftResults[[#All],[Player ID]],0)),"")</f>
        <v>Kentucky Thoroughbreds</v>
      </c>
      <c r="AC297" s="50">
        <f>IF(Table5[[#This Row],[Ovr]]="","",IF(Table5[[#This Row],[cmbList]]="","",Table5[[#This Row],[cmbList]]-Table5[[#This Row],[Ovr]]))</f>
        <v>725</v>
      </c>
      <c r="AD297" s="54" t="str">
        <f>IF(ISERROR(VLOOKUP($AB297&amp;"-"&amp;$E297&amp;" "&amp;F297,Bonuses!$B$1:$G$1006,4,FALSE)),"",INT(VLOOKUP($AB297&amp;"-"&amp;$E297&amp;" "&amp;$F297,Bonuses!$B$1:$G$1006,4,FALSE)))</f>
        <v/>
      </c>
      <c r="AE2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10.15 (293) - LF Hwui-ning Yei</v>
      </c>
    </row>
    <row r="298" spans="1:31" s="50" customFormat="1" x14ac:dyDescent="0.25">
      <c r="A298" s="68">
        <v>18123</v>
      </c>
      <c r="B298" s="69">
        <f>COUNTIF(Table5[PID],A298)</f>
        <v>1</v>
      </c>
      <c r="C298" s="69" t="str">
        <f>IF(COUNTIF(Table3[[#All],[PID]],A298)&gt;0,"P","B")</f>
        <v>P</v>
      </c>
      <c r="D298" s="59" t="str">
        <f>IF($C298="B",INDEX(Batters[[#All],[POS]],MATCH(Table5[[#This Row],[PID]],Batters[[#All],[PID]],0)),INDEX(Table3[[#All],[POS]],MATCH(Table5[[#This Row],[PID]],Table3[[#All],[PID]],0)))</f>
        <v>SP</v>
      </c>
      <c r="E298" s="52" t="str">
        <f>IF($C298="B",INDEX(Batters[[#All],[First]],MATCH(Table5[[#This Row],[PID]],Batters[[#All],[PID]],0)),INDEX(Table3[[#All],[First]],MATCH(Table5[[#This Row],[PID]],Table3[[#All],[PID]],0)))</f>
        <v>William</v>
      </c>
      <c r="F298" s="55" t="str">
        <f>IF($C298="B",INDEX(Batters[[#All],[Last]],MATCH(A298,Batters[[#All],[PID]],0)),INDEX(Table3[[#All],[Last]],MATCH(A298,Table3[[#All],[PID]],0)))</f>
        <v>Kerr</v>
      </c>
      <c r="G298" s="56">
        <f>IF($C298="B",INDEX(Batters[[#All],[Age]],MATCH(Table5[[#This Row],[PID]],Batters[[#All],[PID]],0)),INDEX(Table3[[#All],[Age]],MATCH(Table5[[#This Row],[PID]],Table3[[#All],[PID]],0)))</f>
        <v>21</v>
      </c>
      <c r="H298" s="52" t="str">
        <f>IF($C298="B",INDEX(Batters[[#All],[B]],MATCH(Table5[[#This Row],[PID]],Batters[[#All],[PID]],0)),INDEX(Table3[[#All],[B]],MATCH(Table5[[#This Row],[PID]],Table3[[#All],[PID]],0)))</f>
        <v>L</v>
      </c>
      <c r="I298" s="52" t="str">
        <f>IF($C298="B",INDEX(Batters[[#All],[T]],MATCH(Table5[[#This Row],[PID]],Batters[[#All],[PID]],0)),INDEX(Table3[[#All],[T]],MATCH(Table5[[#This Row],[PID]],Table3[[#All],[PID]],0)))</f>
        <v>R</v>
      </c>
      <c r="J298" s="71" t="str">
        <f>IF($C298="B",INDEX(Batters[[#All],[WE]],MATCH(Table5[[#This Row],[PID]],Batters[[#All],[PID]],0)),INDEX(Table3[[#All],[WE]],MATCH(Table5[[#This Row],[PID]],Table3[[#All],[PID]],0)))</f>
        <v>Low</v>
      </c>
      <c r="K298" s="52" t="str">
        <f>IF($C298="B",INDEX(Batters[[#All],[INT]],MATCH(Table5[[#This Row],[PID]],Batters[[#All],[PID]],0)),INDEX(Table3[[#All],[INT]],MATCH(Table5[[#This Row],[PID]],Table3[[#All],[PID]],0)))</f>
        <v>Normal</v>
      </c>
      <c r="L298" s="60">
        <f>IF($C298="B",INDEX(Batters[[#All],[CON P]],MATCH(Table5[[#This Row],[PID]],Batters[[#All],[PID]],0)),INDEX(Table3[[#All],[STU P]],MATCH(Table5[[#This Row],[PID]],Table3[[#All],[PID]],0)))</f>
        <v>6</v>
      </c>
      <c r="M298" s="72">
        <f>IF($C298="B",INDEX(Batters[[#All],[GAP P]],MATCH(Table5[[#This Row],[PID]],Batters[[#All],[PID]],0)),INDEX(Table3[[#All],[MOV P]],MATCH(Table5[[#This Row],[PID]],Table3[[#All],[PID]],0)))</f>
        <v>2</v>
      </c>
      <c r="N298" s="72">
        <f>IF($C298="B",INDEX(Batters[[#All],[POW P]],MATCH(Table5[[#This Row],[PID]],Batters[[#All],[PID]],0)),INDEX(Table3[[#All],[CON P]],MATCH(Table5[[#This Row],[PID]],Table3[[#All],[PID]],0)))</f>
        <v>5</v>
      </c>
      <c r="O298" s="72" t="str">
        <f>IF($C298="B",INDEX(Batters[[#All],[EYE P]],MATCH(Table5[[#This Row],[PID]],Batters[[#All],[PID]],0)),INDEX(Table3[[#All],[VELO]],MATCH(Table5[[#This Row],[PID]],Table3[[#All],[PID]],0)))</f>
        <v>93-95 Mph</v>
      </c>
      <c r="P298" s="56">
        <f>IF($C298="B",INDEX(Batters[[#All],[K P]],MATCH(Table5[[#This Row],[PID]],Batters[[#All],[PID]],0)),INDEX(Table3[[#All],[STM]],MATCH(Table5[[#This Row],[PID]],Table3[[#All],[PID]],0)))</f>
        <v>8</v>
      </c>
      <c r="Q298" s="61">
        <f>IF($C298="B",INDEX(Batters[[#All],[Tot]],MATCH(Table5[[#This Row],[PID]],Batters[[#All],[PID]],0)),INDEX(Table3[[#All],[Tot]],MATCH(Table5[[#This Row],[PID]],Table3[[#All],[PID]],0)))</f>
        <v>51.085083483565271</v>
      </c>
      <c r="R298" s="52">
        <f>IF($C298="B",INDEX(Batters[[#All],[zScore]],MATCH(Table5[[#This Row],[PID]],Batters[[#All],[PID]],0)),INDEX(Table3[[#All],[zScore]],MATCH(Table5[[#This Row],[PID]],Table3[[#All],[PID]],0)))</f>
        <v>1.0122012570209939</v>
      </c>
      <c r="S298" s="78" t="str">
        <f>IF($C298="B",INDEX(Batters[[#All],[DEM]],MATCH(Table5[[#This Row],[PID]],Batters[[#All],[PID]],0)),INDEX(Table3[[#All],[DEM]],MATCH(Table5[[#This Row],[PID]],Table3[[#All],[PID]],0)))</f>
        <v>$85k</v>
      </c>
      <c r="T298" s="75">
        <f>IF($C298="B",INDEX(Batters[[#All],[Rnk]],MATCH(Table5[[#This Row],[PID]],Batters[[#All],[PID]],0)),INDEX(Table3[[#All],[Rnk]],MATCH(Table5[[#This Row],[PID]],Table3[[#All],[PID]],0)))</f>
        <v>136</v>
      </c>
      <c r="U298" s="68">
        <f>IF($C298="B",VLOOKUP($A298,Bat!$A$4:$BA$1621,47,FALSE),VLOOKUP($A298,Pit!$A$4:$BF$1557,56,FALSE))</f>
        <v>0</v>
      </c>
      <c r="V298" s="50">
        <f>IF($C298="B",VLOOKUP($A298,Bat!$A$4:$BA$1621,48,FALSE),VLOOKUP($A298,Pit!$A$4:$BF$1557,57,FALSE))</f>
        <v>0</v>
      </c>
      <c r="W298" s="69">
        <f>Table5[[#This Row],[posRnk]]+Table5[[#This Row],[zRnk]]+IF($W$3&lt;&gt;Table5[[#This Row],[Type]],50,0)</f>
        <v>410</v>
      </c>
      <c r="X298" s="73">
        <f>RANK(Table5[[#This Row],[zScore]],Table5[[#All],[zScore]])</f>
        <v>224</v>
      </c>
      <c r="Y298" s="69">
        <f>IFERROR(INDEX(DraftResults[[#All],[OVR]],MATCH(Table5[[#This Row],[PID]],DraftResults[[#All],[Player ID]],0)),"")</f>
        <v>294</v>
      </c>
      <c r="Z29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8" s="69">
        <f>IFERROR(INDEX(DraftResults[[#All],[Pick in Round]],MATCH(Table5[[#This Row],[PID]],DraftResults[[#All],[Player ID]],0)),"")</f>
        <v>16</v>
      </c>
      <c r="AB298" s="69" t="str">
        <f>IFERROR(INDEX(DraftResults[[#All],[Team Name]],MATCH(Table5[[#This Row],[PID]],DraftResults[[#All],[Player ID]],0)),"")</f>
        <v>San Antonio Calzones of Laredo</v>
      </c>
      <c r="AC298" s="69">
        <f>IF(Table5[[#This Row],[Ovr]]="","",IF(Table5[[#This Row],[cmbList]]="","",Table5[[#This Row],[cmbList]]-Table5[[#This Row],[Ovr]]))</f>
        <v>116</v>
      </c>
      <c r="AD298" s="77" t="str">
        <f>IF(ISERROR(VLOOKUP($AB298&amp;"-"&amp;$E298&amp;" "&amp;F298,Bonuses!$B$1:$G$1006,4,FALSE)),"",INT(VLOOKUP($AB298&amp;"-"&amp;$E298&amp;" "&amp;$F298,Bonuses!$B$1:$G$1006,4,FALSE)))</f>
        <v/>
      </c>
      <c r="AE29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10.16 (294) - SP William Kerr</v>
      </c>
    </row>
    <row r="299" spans="1:31" s="50" customFormat="1" x14ac:dyDescent="0.25">
      <c r="A299" s="50">
        <v>20971</v>
      </c>
      <c r="B299" s="50">
        <f>COUNTIF(Table5[PID],A299)</f>
        <v>1</v>
      </c>
      <c r="C299" s="50" t="str">
        <f>IF(COUNTIF(Table3[[#All],[PID]],A299)&gt;0,"P","B")</f>
        <v>B</v>
      </c>
      <c r="D299" s="59" t="str">
        <f>IF($C299="B",INDEX(Batters[[#All],[POS]],MATCH(Table5[[#This Row],[PID]],Batters[[#All],[PID]],0)),INDEX(Table3[[#All],[POS]],MATCH(Table5[[#This Row],[PID]],Table3[[#All],[PID]],0)))</f>
        <v>CF</v>
      </c>
      <c r="E299" s="52" t="str">
        <f>IF($C299="B",INDEX(Batters[[#All],[First]],MATCH(Table5[[#This Row],[PID]],Batters[[#All],[PID]],0)),INDEX(Table3[[#All],[First]],MATCH(Table5[[#This Row],[PID]],Table3[[#All],[PID]],0)))</f>
        <v>Ed</v>
      </c>
      <c r="F299" s="50" t="str">
        <f>IF($C299="B",INDEX(Batters[[#All],[Last]],MATCH(A299,Batters[[#All],[PID]],0)),INDEX(Table3[[#All],[Last]],MATCH(A299,Table3[[#All],[PID]],0)))</f>
        <v>Hall</v>
      </c>
      <c r="G299" s="56">
        <f>IF($C299="B",INDEX(Batters[[#All],[Age]],MATCH(Table5[[#This Row],[PID]],Batters[[#All],[PID]],0)),INDEX(Table3[[#All],[Age]],MATCH(Table5[[#This Row],[PID]],Table3[[#All],[PID]],0)))</f>
        <v>17</v>
      </c>
      <c r="H299" s="52" t="str">
        <f>IF($C299="B",INDEX(Batters[[#All],[B]],MATCH(Table5[[#This Row],[PID]],Batters[[#All],[PID]],0)),INDEX(Table3[[#All],[B]],MATCH(Table5[[#This Row],[PID]],Table3[[#All],[PID]],0)))</f>
        <v>L</v>
      </c>
      <c r="I299" s="52" t="str">
        <f>IF($C299="B",INDEX(Batters[[#All],[T]],MATCH(Table5[[#This Row],[PID]],Batters[[#All],[PID]],0)),INDEX(Table3[[#All],[T]],MATCH(Table5[[#This Row],[PID]],Table3[[#All],[PID]],0)))</f>
        <v>L</v>
      </c>
      <c r="J299" s="52" t="str">
        <f>IF($C299="B",INDEX(Batters[[#All],[WE]],MATCH(Table5[[#This Row],[PID]],Batters[[#All],[PID]],0)),INDEX(Table3[[#All],[WE]],MATCH(Table5[[#This Row],[PID]],Table3[[#All],[PID]],0)))</f>
        <v>Normal</v>
      </c>
      <c r="K299" s="52" t="str">
        <f>IF($C299="B",INDEX(Batters[[#All],[INT]],MATCH(Table5[[#This Row],[PID]],Batters[[#All],[PID]],0)),INDEX(Table3[[#All],[INT]],MATCH(Table5[[#This Row],[PID]],Table3[[#All],[PID]],0)))</f>
        <v>High</v>
      </c>
      <c r="L299" s="60">
        <f>IF($C299="B",INDEX(Batters[[#All],[CON P]],MATCH(Table5[[#This Row],[PID]],Batters[[#All],[PID]],0)),INDEX(Table3[[#All],[STU P]],MATCH(Table5[[#This Row],[PID]],Table3[[#All],[PID]],0)))</f>
        <v>4</v>
      </c>
      <c r="M299" s="56">
        <f>IF($C299="B",INDEX(Batters[[#All],[GAP P]],MATCH(Table5[[#This Row],[PID]],Batters[[#All],[PID]],0)),INDEX(Table3[[#All],[MOV P]],MATCH(Table5[[#This Row],[PID]],Table3[[#All],[PID]],0)))</f>
        <v>4</v>
      </c>
      <c r="N299" s="56">
        <f>IF($C299="B",INDEX(Batters[[#All],[POW P]],MATCH(Table5[[#This Row],[PID]],Batters[[#All],[PID]],0)),INDEX(Table3[[#All],[CON P]],MATCH(Table5[[#This Row],[PID]],Table3[[#All],[PID]],0)))</f>
        <v>4</v>
      </c>
      <c r="O299" s="56">
        <f>IF($C299="B",INDEX(Batters[[#All],[EYE P]],MATCH(Table5[[#This Row],[PID]],Batters[[#All],[PID]],0)),INDEX(Table3[[#All],[VELO]],MATCH(Table5[[#This Row],[PID]],Table3[[#All],[PID]],0)))</f>
        <v>6</v>
      </c>
      <c r="P299" s="56">
        <f>IF($C299="B",INDEX(Batters[[#All],[K P]],MATCH(Table5[[#This Row],[PID]],Batters[[#All],[PID]],0)),INDEX(Table3[[#All],[STM]],MATCH(Table5[[#This Row],[PID]],Table3[[#All],[PID]],0)))</f>
        <v>4</v>
      </c>
      <c r="Q299" s="61">
        <f>IF($C299="B",INDEX(Batters[[#All],[Tot]],MATCH(Table5[[#This Row],[PID]],Batters[[#All],[PID]],0)),INDEX(Table3[[#All],[Tot]],MATCH(Table5[[#This Row],[PID]],Table3[[#All],[PID]],0)))</f>
        <v>48.693596693242995</v>
      </c>
      <c r="R299" s="52">
        <f>IF($C299="B",INDEX(Batters[[#All],[zScore]],MATCH(Table5[[#This Row],[PID]],Batters[[#All],[PID]],0)),INDEX(Table3[[#All],[zScore]],MATCH(Table5[[#This Row],[PID]],Table3[[#All],[PID]],0)))</f>
        <v>1.0113501845452471</v>
      </c>
      <c r="S299" s="58" t="str">
        <f>IF($C299="B",INDEX(Batters[[#All],[DEM]],MATCH(Table5[[#This Row],[PID]],Batters[[#All],[PID]],0)),INDEX(Table3[[#All],[DEM]],MATCH(Table5[[#This Row],[PID]],Table3[[#All],[PID]],0)))</f>
        <v>$100k</v>
      </c>
      <c r="T299" s="62">
        <f>IF($C299="B",INDEX(Batters[[#All],[Rnk]],MATCH(Table5[[#This Row],[PID]],Batters[[#All],[PID]],0)),INDEX(Table3[[#All],[Rnk]],MATCH(Table5[[#This Row],[PID]],Table3[[#All],[PID]],0)))</f>
        <v>89</v>
      </c>
      <c r="U299" s="68">
        <f>IF($C299="B",VLOOKUP($A299,Bat!$A$4:$BA$1621,47,FALSE),VLOOKUP($A299,Pit!$A$4:$BF$1557,56,FALSE))</f>
        <v>0</v>
      </c>
      <c r="V299" s="50">
        <f>IF($C299="B",VLOOKUP($A299,Bat!$A$4:$BA$1621,48,FALSE),VLOOKUP($A299,Pit!$A$4:$BF$1557,57,FALSE))</f>
        <v>0</v>
      </c>
      <c r="W299" s="50">
        <f>Table5[[#This Row],[posRnk]]+Table5[[#This Row],[zRnk]]+IF($W$3&lt;&gt;Table5[[#This Row],[Type]],50,0)</f>
        <v>364</v>
      </c>
      <c r="X299" s="51">
        <f>RANK(Table5[[#This Row],[zScore]],Table5[[#All],[zScore]])</f>
        <v>225</v>
      </c>
      <c r="Y299" s="50">
        <f>IFERROR(INDEX(DraftResults[[#All],[OVR]],MATCH(Table5[[#This Row],[PID]],DraftResults[[#All],[Player ID]],0)),"")</f>
        <v>295</v>
      </c>
      <c r="Z2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299" s="50">
        <f>IFERROR(INDEX(DraftResults[[#All],[Pick in Round]],MATCH(Table5[[#This Row],[PID]],DraftResults[[#All],[Player ID]],0)),"")</f>
        <v>17</v>
      </c>
      <c r="AB299" s="50" t="str">
        <f>IFERROR(INDEX(DraftResults[[#All],[Team Name]],MATCH(Table5[[#This Row],[PID]],DraftResults[[#All],[Player ID]],0)),"")</f>
        <v>Madison Malts</v>
      </c>
      <c r="AC299" s="50">
        <f>IF(Table5[[#This Row],[Ovr]]="","",IF(Table5[[#This Row],[cmbList]]="","",Table5[[#This Row],[cmbList]]-Table5[[#This Row],[Ovr]]))</f>
        <v>69</v>
      </c>
      <c r="AD299" s="54" t="str">
        <f>IF(ISERROR(VLOOKUP($AB299&amp;"-"&amp;$E299&amp;" "&amp;F299,Bonuses!$B$1:$G$1006,4,FALSE)),"",INT(VLOOKUP($AB299&amp;"-"&amp;$E299&amp;" "&amp;$F299,Bonuses!$B$1:$G$1006,4,FALSE)))</f>
        <v/>
      </c>
      <c r="AE2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10.17 (295) - CF Ed Hall</v>
      </c>
    </row>
    <row r="300" spans="1:31" s="50" customFormat="1" x14ac:dyDescent="0.25">
      <c r="A300" s="68">
        <v>18172</v>
      </c>
      <c r="B300" s="69">
        <f>COUNTIF(Table5[PID],A300)</f>
        <v>1</v>
      </c>
      <c r="C300" s="69" t="str">
        <f>IF(COUNTIF(Table3[[#All],[PID]],A300)&gt;0,"P","B")</f>
        <v>P</v>
      </c>
      <c r="D300" s="59" t="str">
        <f>IF($C300="B",INDEX(Batters[[#All],[POS]],MATCH(Table5[[#This Row],[PID]],Batters[[#All],[PID]],0)),INDEX(Table3[[#All],[POS]],MATCH(Table5[[#This Row],[PID]],Table3[[#All],[PID]],0)))</f>
        <v>SP</v>
      </c>
      <c r="E300" s="52" t="str">
        <f>IF($C300="B",INDEX(Batters[[#All],[First]],MATCH(Table5[[#This Row],[PID]],Batters[[#All],[PID]],0)),INDEX(Table3[[#All],[First]],MATCH(Table5[[#This Row],[PID]],Table3[[#All],[PID]],0)))</f>
        <v>Sandro</v>
      </c>
      <c r="F300" s="55" t="str">
        <f>IF($C300="B",INDEX(Batters[[#All],[Last]],MATCH(A300,Batters[[#All],[PID]],0)),INDEX(Table3[[#All],[Last]],MATCH(A300,Table3[[#All],[PID]],0)))</f>
        <v>Cuevas</v>
      </c>
      <c r="G300" s="56">
        <f>IF($C300="B",INDEX(Batters[[#All],[Age]],MATCH(Table5[[#This Row],[PID]],Batters[[#All],[PID]],0)),INDEX(Table3[[#All],[Age]],MATCH(Table5[[#This Row],[PID]],Table3[[#All],[PID]],0)))</f>
        <v>18</v>
      </c>
      <c r="H300" s="52" t="str">
        <f>IF($C300="B",INDEX(Batters[[#All],[B]],MATCH(Table5[[#This Row],[PID]],Batters[[#All],[PID]],0)),INDEX(Table3[[#All],[B]],MATCH(Table5[[#This Row],[PID]],Table3[[#All],[PID]],0)))</f>
        <v>R</v>
      </c>
      <c r="I300" s="52" t="str">
        <f>IF($C300="B",INDEX(Batters[[#All],[T]],MATCH(Table5[[#This Row],[PID]],Batters[[#All],[PID]],0)),INDEX(Table3[[#All],[T]],MATCH(Table5[[#This Row],[PID]],Table3[[#All],[PID]],0)))</f>
        <v>L</v>
      </c>
      <c r="J300" s="71" t="str">
        <f>IF($C300="B",INDEX(Batters[[#All],[WE]],MATCH(Table5[[#This Row],[PID]],Batters[[#All],[PID]],0)),INDEX(Table3[[#All],[WE]],MATCH(Table5[[#This Row],[PID]],Table3[[#All],[PID]],0)))</f>
        <v>Low</v>
      </c>
      <c r="K300" s="52" t="str">
        <f>IF($C300="B",INDEX(Batters[[#All],[INT]],MATCH(Table5[[#This Row],[PID]],Batters[[#All],[PID]],0)),INDEX(Table3[[#All],[INT]],MATCH(Table5[[#This Row],[PID]],Table3[[#All],[PID]],0)))</f>
        <v>Low</v>
      </c>
      <c r="L300" s="60">
        <f>IF($C300="B",INDEX(Batters[[#All],[CON P]],MATCH(Table5[[#This Row],[PID]],Batters[[#All],[PID]],0)),INDEX(Table3[[#All],[STU P]],MATCH(Table5[[#This Row],[PID]],Table3[[#All],[PID]],0)))</f>
        <v>5</v>
      </c>
      <c r="M300" s="72">
        <f>IF($C300="B",INDEX(Batters[[#All],[GAP P]],MATCH(Table5[[#This Row],[PID]],Batters[[#All],[PID]],0)),INDEX(Table3[[#All],[MOV P]],MATCH(Table5[[#This Row],[PID]],Table3[[#All],[PID]],0)))</f>
        <v>3</v>
      </c>
      <c r="N300" s="72">
        <f>IF($C300="B",INDEX(Batters[[#All],[POW P]],MATCH(Table5[[#This Row],[PID]],Batters[[#All],[PID]],0)),INDEX(Table3[[#All],[CON P]],MATCH(Table5[[#This Row],[PID]],Table3[[#All],[PID]],0)))</f>
        <v>3</v>
      </c>
      <c r="O300" s="72" t="str">
        <f>IF($C300="B",INDEX(Batters[[#All],[EYE P]],MATCH(Table5[[#This Row],[PID]],Batters[[#All],[PID]],0)),INDEX(Table3[[#All],[VELO]],MATCH(Table5[[#This Row],[PID]],Table3[[#All],[PID]],0)))</f>
        <v>89-91 Mph</v>
      </c>
      <c r="P300" s="56">
        <f>IF($C300="B",INDEX(Batters[[#All],[K P]],MATCH(Table5[[#This Row],[PID]],Batters[[#All],[PID]],0)),INDEX(Table3[[#All],[STM]],MATCH(Table5[[#This Row],[PID]],Table3[[#All],[PID]],0)))</f>
        <v>9</v>
      </c>
      <c r="Q300" s="61">
        <f>IF($C300="B",INDEX(Batters[[#All],[Tot]],MATCH(Table5[[#This Row],[PID]],Batters[[#All],[PID]],0)),INDEX(Table3[[#All],[Tot]],MATCH(Table5[[#This Row],[PID]],Table3[[#All],[PID]],0)))</f>
        <v>41.614397011182476</v>
      </c>
      <c r="R300" s="52">
        <f>IF($C300="B",INDEX(Batters[[#All],[zScore]],MATCH(Table5[[#This Row],[PID]],Batters[[#All],[PID]],0)),INDEX(Table3[[#All],[zScore]],MATCH(Table5[[#This Row],[PID]],Table3[[#All],[PID]],0)))</f>
        <v>0.38213095825310611</v>
      </c>
      <c r="S300" s="78" t="str">
        <f>IF($C300="B",INDEX(Batters[[#All],[DEM]],MATCH(Table5[[#This Row],[PID]],Batters[[#All],[PID]],0)),INDEX(Table3[[#All],[DEM]],MATCH(Table5[[#This Row],[PID]],Table3[[#All],[PID]],0)))</f>
        <v>$200k</v>
      </c>
      <c r="T300" s="75">
        <f>IF($C300="B",INDEX(Batters[[#All],[Rnk]],MATCH(Table5[[#This Row],[PID]],Batters[[#All],[PID]],0)),INDEX(Table3[[#All],[Rnk]],MATCH(Table5[[#This Row],[PID]],Table3[[#All],[PID]],0)))</f>
        <v>229</v>
      </c>
      <c r="U300" s="68">
        <f>IF($C300="B",VLOOKUP($A300,Bat!$A$4:$BA$1621,47,FALSE),VLOOKUP($A300,Pit!$A$4:$BF$1557,56,FALSE))</f>
        <v>0</v>
      </c>
      <c r="V300" s="50">
        <f>IF($C300="B",VLOOKUP($A300,Bat!$A$4:$BA$1621,48,FALSE),VLOOKUP($A300,Pit!$A$4:$BF$1557,57,FALSE))</f>
        <v>0</v>
      </c>
      <c r="W300" s="69">
        <f>Table5[[#This Row],[posRnk]]+Table5[[#This Row],[zRnk]]+IF($W$3&lt;&gt;Table5[[#This Row],[Type]],50,0)</f>
        <v>671</v>
      </c>
      <c r="X300" s="73">
        <f>RANK(Table5[[#This Row],[zScore]],Table5[[#All],[zScore]])</f>
        <v>392</v>
      </c>
      <c r="Y300" s="69">
        <f>IFERROR(INDEX(DraftResults[[#All],[OVR]],MATCH(Table5[[#This Row],[PID]],DraftResults[[#All],[Player ID]],0)),"")</f>
        <v>296</v>
      </c>
      <c r="Z30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0" s="69">
        <f>IFERROR(INDEX(DraftResults[[#All],[Pick in Round]],MATCH(Table5[[#This Row],[PID]],DraftResults[[#All],[Player ID]],0)),"")</f>
        <v>18</v>
      </c>
      <c r="AB300" s="69" t="str">
        <f>IFERROR(INDEX(DraftResults[[#All],[Team Name]],MATCH(Table5[[#This Row],[PID]],DraftResults[[#All],[Player ID]],0)),"")</f>
        <v>Bakersfield Bears</v>
      </c>
      <c r="AC300" s="69">
        <f>IF(Table5[[#This Row],[Ovr]]="","",IF(Table5[[#This Row],[cmbList]]="","",Table5[[#This Row],[cmbList]]-Table5[[#This Row],[Ovr]]))</f>
        <v>375</v>
      </c>
      <c r="AD300" s="77" t="str">
        <f>IF(ISERROR(VLOOKUP($AB300&amp;"-"&amp;$E300&amp;" "&amp;F300,Bonuses!$B$1:$G$1006,4,FALSE)),"",INT(VLOOKUP($AB300&amp;"-"&amp;$E300&amp;" "&amp;$F300,Bonuses!$B$1:$G$1006,4,FALSE)))</f>
        <v/>
      </c>
      <c r="AE30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10.18 (296) - SP Sandro Cuevas</v>
      </c>
    </row>
    <row r="301" spans="1:31" s="50" customFormat="1" x14ac:dyDescent="0.25">
      <c r="A301" s="50">
        <v>18169</v>
      </c>
      <c r="B301" s="50">
        <f>COUNTIF(Table5[PID],A301)</f>
        <v>1</v>
      </c>
      <c r="C301" s="50" t="str">
        <f>IF(COUNTIF(Table3[[#All],[PID]],A301)&gt;0,"P","B")</f>
        <v>B</v>
      </c>
      <c r="D301" s="59" t="str">
        <f>IF($C301="B",INDEX(Batters[[#All],[POS]],MATCH(Table5[[#This Row],[PID]],Batters[[#All],[PID]],0)),INDEX(Table3[[#All],[POS]],MATCH(Table5[[#This Row],[PID]],Table3[[#All],[PID]],0)))</f>
        <v>RF</v>
      </c>
      <c r="E301" s="52" t="str">
        <f>IF($C301="B",INDEX(Batters[[#All],[First]],MATCH(Table5[[#This Row],[PID]],Batters[[#All],[PID]],0)),INDEX(Table3[[#All],[First]],MATCH(Table5[[#This Row],[PID]],Table3[[#All],[PID]],0)))</f>
        <v>Travis</v>
      </c>
      <c r="F301" s="50" t="str">
        <f>IF($C301="B",INDEX(Batters[[#All],[Last]],MATCH(A301,Batters[[#All],[PID]],0)),INDEX(Table3[[#All],[Last]],MATCH(A301,Table3[[#All],[PID]],0)))</f>
        <v>Bolden</v>
      </c>
      <c r="G301" s="56">
        <f>IF($C301="B",INDEX(Batters[[#All],[Age]],MATCH(Table5[[#This Row],[PID]],Batters[[#All],[PID]],0)),INDEX(Table3[[#All],[Age]],MATCH(Table5[[#This Row],[PID]],Table3[[#All],[PID]],0)))</f>
        <v>21</v>
      </c>
      <c r="H301" s="52" t="str">
        <f>IF($C301="B",INDEX(Batters[[#All],[B]],MATCH(Table5[[#This Row],[PID]],Batters[[#All],[PID]],0)),INDEX(Table3[[#All],[B]],MATCH(Table5[[#This Row],[PID]],Table3[[#All],[PID]],0)))</f>
        <v>L</v>
      </c>
      <c r="I301" s="52" t="str">
        <f>IF($C301="B",INDEX(Batters[[#All],[T]],MATCH(Table5[[#This Row],[PID]],Batters[[#All],[PID]],0)),INDEX(Table3[[#All],[T]],MATCH(Table5[[#This Row],[PID]],Table3[[#All],[PID]],0)))</f>
        <v>R</v>
      </c>
      <c r="J301" s="52" t="str">
        <f>IF($C301="B",INDEX(Batters[[#All],[WE]],MATCH(Table5[[#This Row],[PID]],Batters[[#All],[PID]],0)),INDEX(Table3[[#All],[WE]],MATCH(Table5[[#This Row],[PID]],Table3[[#All],[PID]],0)))</f>
        <v>Normal</v>
      </c>
      <c r="K301" s="52" t="str">
        <f>IF($C301="B",INDEX(Batters[[#All],[INT]],MATCH(Table5[[#This Row],[PID]],Batters[[#All],[PID]],0)),INDEX(Table3[[#All],[INT]],MATCH(Table5[[#This Row],[PID]],Table3[[#All],[PID]],0)))</f>
        <v>Low</v>
      </c>
      <c r="L301" s="60">
        <f>IF($C301="B",INDEX(Batters[[#All],[CON P]],MATCH(Table5[[#This Row],[PID]],Batters[[#All],[PID]],0)),INDEX(Table3[[#All],[STU P]],MATCH(Table5[[#This Row],[PID]],Table3[[#All],[PID]],0)))</f>
        <v>3</v>
      </c>
      <c r="M301" s="56">
        <f>IF($C301="B",INDEX(Batters[[#All],[GAP P]],MATCH(Table5[[#This Row],[PID]],Batters[[#All],[PID]],0)),INDEX(Table3[[#All],[MOV P]],MATCH(Table5[[#This Row],[PID]],Table3[[#All],[PID]],0)))</f>
        <v>6</v>
      </c>
      <c r="N301" s="56">
        <f>IF($C301="B",INDEX(Batters[[#All],[POW P]],MATCH(Table5[[#This Row],[PID]],Batters[[#All],[PID]],0)),INDEX(Table3[[#All],[CON P]],MATCH(Table5[[#This Row],[PID]],Table3[[#All],[PID]],0)))</f>
        <v>5</v>
      </c>
      <c r="O301" s="56">
        <f>IF($C301="B",INDEX(Batters[[#All],[EYE P]],MATCH(Table5[[#This Row],[PID]],Batters[[#All],[PID]],0)),INDEX(Table3[[#All],[VELO]],MATCH(Table5[[#This Row],[PID]],Table3[[#All],[PID]],0)))</f>
        <v>6</v>
      </c>
      <c r="P301" s="56">
        <f>IF($C301="B",INDEX(Batters[[#All],[K P]],MATCH(Table5[[#This Row],[PID]],Batters[[#All],[PID]],0)),INDEX(Table3[[#All],[STM]],MATCH(Table5[[#This Row],[PID]],Table3[[#All],[PID]],0)))</f>
        <v>3</v>
      </c>
      <c r="Q301" s="61">
        <f>IF($C301="B",INDEX(Batters[[#All],[Tot]],MATCH(Table5[[#This Row],[PID]],Batters[[#All],[PID]],0)),INDEX(Table3[[#All],[Tot]],MATCH(Table5[[#This Row],[PID]],Table3[[#All],[PID]],0)))</f>
        <v>41.683621239089916</v>
      </c>
      <c r="R301" s="52">
        <f>IF($C301="B",INDEX(Batters[[#All],[zScore]],MATCH(Table5[[#This Row],[PID]],Batters[[#All],[PID]],0)),INDEX(Table3[[#All],[zScore]],MATCH(Table5[[#This Row],[PID]],Table3[[#All],[PID]],0)))</f>
        <v>-0.54280875667706907</v>
      </c>
      <c r="S301" s="58" t="str">
        <f>IF($C301="B",INDEX(Batters[[#All],[DEM]],MATCH(Table5[[#This Row],[PID]],Batters[[#All],[PID]],0)),INDEX(Table3[[#All],[DEM]],MATCH(Table5[[#This Row],[PID]],Table3[[#All],[PID]],0)))</f>
        <v>-</v>
      </c>
      <c r="T301" s="62">
        <f>IF($C301="B",INDEX(Batters[[#All],[Rnk]],MATCH(Table5[[#This Row],[PID]],Batters[[#All],[PID]],0)),INDEX(Table3[[#All],[Rnk]],MATCH(Table5[[#This Row],[PID]],Table3[[#All],[PID]],0)))</f>
        <v>345</v>
      </c>
      <c r="U301" s="68">
        <f>IF($C301="B",VLOOKUP($A301,Bat!$A$4:$BA$1621,47,FALSE),VLOOKUP($A301,Pit!$A$4:$BF$1557,56,FALSE))</f>
        <v>0</v>
      </c>
      <c r="V301" s="50">
        <f>IF($C301="B",VLOOKUP($A301,Bat!$A$4:$BA$1621,48,FALSE),VLOOKUP($A301,Pit!$A$4:$BF$1557,57,FALSE))</f>
        <v>0</v>
      </c>
      <c r="W301" s="50">
        <f>Table5[[#This Row],[posRnk]]+Table5[[#This Row],[zRnk]]+IF($W$3&lt;&gt;Table5[[#This Row],[Type]],50,0)</f>
        <v>1279</v>
      </c>
      <c r="X301" s="51">
        <f>RANK(Table5[[#This Row],[zScore]],Table5[[#All],[zScore]])</f>
        <v>884</v>
      </c>
      <c r="Y301" s="50">
        <f>IFERROR(INDEX(DraftResults[[#All],[OVR]],MATCH(Table5[[#This Row],[PID]],DraftResults[[#All],[Player ID]],0)),"")</f>
        <v>297</v>
      </c>
      <c r="Z3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1" s="50">
        <f>IFERROR(INDEX(DraftResults[[#All],[Pick in Round]],MATCH(Table5[[#This Row],[PID]],DraftResults[[#All],[Player ID]],0)),"")</f>
        <v>19</v>
      </c>
      <c r="AB301" s="50" t="str">
        <f>IFERROR(INDEX(DraftResults[[#All],[Team Name]],MATCH(Table5[[#This Row],[PID]],DraftResults[[#All],[Player ID]],0)),"")</f>
        <v>Kalamazoo Badgers</v>
      </c>
      <c r="AC301" s="50">
        <f>IF(Table5[[#This Row],[Ovr]]="","",IF(Table5[[#This Row],[cmbList]]="","",Table5[[#This Row],[cmbList]]-Table5[[#This Row],[Ovr]]))</f>
        <v>982</v>
      </c>
      <c r="AD301" s="54" t="str">
        <f>IF(ISERROR(VLOOKUP($AB301&amp;"-"&amp;$E301&amp;" "&amp;F301,Bonuses!$B$1:$G$1006,4,FALSE)),"",INT(VLOOKUP($AB301&amp;"-"&amp;$E301&amp;" "&amp;$F301,Bonuses!$B$1:$G$1006,4,FALSE)))</f>
        <v/>
      </c>
      <c r="AE3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10.19 (297) - RF Travis Bolden</v>
      </c>
    </row>
    <row r="302" spans="1:31" s="50" customFormat="1" x14ac:dyDescent="0.25">
      <c r="A302" s="68">
        <v>18219</v>
      </c>
      <c r="B302" s="69">
        <f>COUNTIF(Table5[PID],A302)</f>
        <v>1</v>
      </c>
      <c r="C302" s="69" t="str">
        <f>IF(COUNTIF(Table3[[#All],[PID]],A302)&gt;0,"P","B")</f>
        <v>P</v>
      </c>
      <c r="D302" s="59" t="str">
        <f>IF($C302="B",INDEX(Batters[[#All],[POS]],MATCH(Table5[[#This Row],[PID]],Batters[[#All],[PID]],0)),INDEX(Table3[[#All],[POS]],MATCH(Table5[[#This Row],[PID]],Table3[[#All],[PID]],0)))</f>
        <v>SP</v>
      </c>
      <c r="E302" s="52" t="str">
        <f>IF($C302="B",INDEX(Batters[[#All],[First]],MATCH(Table5[[#This Row],[PID]],Batters[[#All],[PID]],0)),INDEX(Table3[[#All],[First]],MATCH(Table5[[#This Row],[PID]],Table3[[#All],[PID]],0)))</f>
        <v>Leonardo</v>
      </c>
      <c r="F302" s="55" t="str">
        <f>IF($C302="B",INDEX(Batters[[#All],[Last]],MATCH(A302,Batters[[#All],[PID]],0)),INDEX(Table3[[#All],[Last]],MATCH(A302,Table3[[#All],[PID]],0)))</f>
        <v>Silva</v>
      </c>
      <c r="G302" s="56">
        <f>IF($C302="B",INDEX(Batters[[#All],[Age]],MATCH(Table5[[#This Row],[PID]],Batters[[#All],[PID]],0)),INDEX(Table3[[#All],[Age]],MATCH(Table5[[#This Row],[PID]],Table3[[#All],[PID]],0)))</f>
        <v>18</v>
      </c>
      <c r="H302" s="52" t="str">
        <f>IF($C302="B",INDEX(Batters[[#All],[B]],MATCH(Table5[[#This Row],[PID]],Batters[[#All],[PID]],0)),INDEX(Table3[[#All],[B]],MATCH(Table5[[#This Row],[PID]],Table3[[#All],[PID]],0)))</f>
        <v>L</v>
      </c>
      <c r="I302" s="52" t="str">
        <f>IF($C302="B",INDEX(Batters[[#All],[T]],MATCH(Table5[[#This Row],[PID]],Batters[[#All],[PID]],0)),INDEX(Table3[[#All],[T]],MATCH(Table5[[#This Row],[PID]],Table3[[#All],[PID]],0)))</f>
        <v>L</v>
      </c>
      <c r="J302" s="71" t="str">
        <f>IF($C302="B",INDEX(Batters[[#All],[WE]],MATCH(Table5[[#This Row],[PID]],Batters[[#All],[PID]],0)),INDEX(Table3[[#All],[WE]],MATCH(Table5[[#This Row],[PID]],Table3[[#All],[PID]],0)))</f>
        <v>Normal</v>
      </c>
      <c r="K302" s="52" t="str">
        <f>IF($C302="B",INDEX(Batters[[#All],[INT]],MATCH(Table5[[#This Row],[PID]],Batters[[#All],[PID]],0)),INDEX(Table3[[#All],[INT]],MATCH(Table5[[#This Row],[PID]],Table3[[#All],[PID]],0)))</f>
        <v>Normal</v>
      </c>
      <c r="L302" s="60">
        <f>IF($C302="B",INDEX(Batters[[#All],[CON P]],MATCH(Table5[[#This Row],[PID]],Batters[[#All],[PID]],0)),INDEX(Table3[[#All],[STU P]],MATCH(Table5[[#This Row],[PID]],Table3[[#All],[PID]],0)))</f>
        <v>4</v>
      </c>
      <c r="M302" s="72">
        <f>IF($C302="B",INDEX(Batters[[#All],[GAP P]],MATCH(Table5[[#This Row],[PID]],Batters[[#All],[PID]],0)),INDEX(Table3[[#All],[MOV P]],MATCH(Table5[[#This Row],[PID]],Table3[[#All],[PID]],0)))</f>
        <v>4</v>
      </c>
      <c r="N302" s="72">
        <f>IF($C302="B",INDEX(Batters[[#All],[POW P]],MATCH(Table5[[#This Row],[PID]],Batters[[#All],[PID]],0)),INDEX(Table3[[#All],[CON P]],MATCH(Table5[[#This Row],[PID]],Table3[[#All],[PID]],0)))</f>
        <v>7</v>
      </c>
      <c r="O302" s="72" t="str">
        <f>IF($C302="B",INDEX(Batters[[#All],[EYE P]],MATCH(Table5[[#This Row],[PID]],Batters[[#All],[PID]],0)),INDEX(Table3[[#All],[VELO]],MATCH(Table5[[#This Row],[PID]],Table3[[#All],[PID]],0)))</f>
        <v>88-90 Mph</v>
      </c>
      <c r="P302" s="56">
        <f>IF($C302="B",INDEX(Batters[[#All],[K P]],MATCH(Table5[[#This Row],[PID]],Batters[[#All],[PID]],0)),INDEX(Table3[[#All],[STM]],MATCH(Table5[[#This Row],[PID]],Table3[[#All],[PID]],0)))</f>
        <v>6</v>
      </c>
      <c r="Q302" s="61">
        <f>IF($C302="B",INDEX(Batters[[#All],[Tot]],MATCH(Table5[[#This Row],[PID]],Batters[[#All],[PID]],0)),INDEX(Table3[[#All],[Tot]],MATCH(Table5[[#This Row],[PID]],Table3[[#All],[PID]],0)))</f>
        <v>61.42173139096127</v>
      </c>
      <c r="R302" s="52">
        <f>IF($C302="B",INDEX(Batters[[#All],[zScore]],MATCH(Table5[[#This Row],[PID]],Batters[[#All],[PID]],0)),INDEX(Table3[[#All],[zScore]],MATCH(Table5[[#This Row],[PID]],Table3[[#All],[PID]],0)))</f>
        <v>1.6998826467769845</v>
      </c>
      <c r="S302" s="78" t="str">
        <f>IF($C302="B",INDEX(Batters[[#All],[DEM]],MATCH(Table5[[#This Row],[PID]],Batters[[#All],[PID]],0)),INDEX(Table3[[#All],[DEM]],MATCH(Table5[[#This Row],[PID]],Table3[[#All],[PID]],0)))</f>
        <v>$200k</v>
      </c>
      <c r="T302" s="75">
        <f>IF($C302="B",INDEX(Batters[[#All],[Rnk]],MATCH(Table5[[#This Row],[PID]],Batters[[#All],[PID]],0)),INDEX(Table3[[#All],[Rnk]],MATCH(Table5[[#This Row],[PID]],Table3[[#All],[PID]],0)))</f>
        <v>53</v>
      </c>
      <c r="U302" s="68">
        <f>IF($C302="B",VLOOKUP($A302,Bat!$A$4:$BA$1621,47,FALSE),VLOOKUP($A302,Pit!$A$4:$BF$1557,56,FALSE))</f>
        <v>0</v>
      </c>
      <c r="V302" s="50">
        <f>IF($C302="B",VLOOKUP($A302,Bat!$A$4:$BA$1621,48,FALSE),VLOOKUP($A302,Pit!$A$4:$BF$1557,57,FALSE))</f>
        <v>0</v>
      </c>
      <c r="W302" s="69">
        <f>Table5[[#This Row],[posRnk]]+Table5[[#This Row],[zRnk]]+IF($W$3&lt;&gt;Table5[[#This Row],[Type]],50,0)</f>
        <v>187</v>
      </c>
      <c r="X302" s="73">
        <f>RANK(Table5[[#This Row],[zScore]],Table5[[#All],[zScore]])</f>
        <v>84</v>
      </c>
      <c r="Y302" s="69">
        <f>IFERROR(INDEX(DraftResults[[#All],[OVR]],MATCH(Table5[[#This Row],[PID]],DraftResults[[#All],[Player ID]],0)),"")</f>
        <v>298</v>
      </c>
      <c r="Z30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2" s="69">
        <f>IFERROR(INDEX(DraftResults[[#All],[Pick in Round]],MATCH(Table5[[#This Row],[PID]],DraftResults[[#All],[Player ID]],0)),"")</f>
        <v>20</v>
      </c>
      <c r="AB302" s="69" t="str">
        <f>IFERROR(INDEX(DraftResults[[#All],[Team Name]],MATCH(Table5[[#This Row],[PID]],DraftResults[[#All],[Player ID]],0)),"")</f>
        <v>Amsterdam Lions</v>
      </c>
      <c r="AC302" s="69">
        <f>IF(Table5[[#This Row],[Ovr]]="","",IF(Table5[[#This Row],[cmbList]]="","",Table5[[#This Row],[cmbList]]-Table5[[#This Row],[Ovr]]))</f>
        <v>-111</v>
      </c>
      <c r="AD302" s="77" t="str">
        <f>IF(ISERROR(VLOOKUP($AB302&amp;"-"&amp;$E302&amp;" "&amp;F302,Bonuses!$B$1:$G$1006,4,FALSE)),"",INT(VLOOKUP($AB302&amp;"-"&amp;$E302&amp;" "&amp;$F302,Bonuses!$B$1:$G$1006,4,FALSE)))</f>
        <v/>
      </c>
      <c r="AE30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10.20 (298) - SP Leonardo Silva</v>
      </c>
    </row>
    <row r="303" spans="1:31" s="50" customFormat="1" x14ac:dyDescent="0.25">
      <c r="A303" s="50">
        <v>18322</v>
      </c>
      <c r="B303" s="50">
        <f>COUNTIF(Table5[PID],A303)</f>
        <v>1</v>
      </c>
      <c r="C303" s="50" t="str">
        <f>IF(COUNTIF(Table3[[#All],[PID]],A303)&gt;0,"P","B")</f>
        <v>B</v>
      </c>
      <c r="D303" s="59" t="str">
        <f>IF($C303="B",INDEX(Batters[[#All],[POS]],MATCH(Table5[[#This Row],[PID]],Batters[[#All],[PID]],0)),INDEX(Table3[[#All],[POS]],MATCH(Table5[[#This Row],[PID]],Table3[[#All],[PID]],0)))</f>
        <v>SS</v>
      </c>
      <c r="E303" s="52" t="str">
        <f>IF($C303="B",INDEX(Batters[[#All],[First]],MATCH(Table5[[#This Row],[PID]],Batters[[#All],[PID]],0)),INDEX(Table3[[#All],[First]],MATCH(Table5[[#This Row],[PID]],Table3[[#All],[PID]],0)))</f>
        <v>Jin</v>
      </c>
      <c r="F303" s="50" t="str">
        <f>IF($C303="B",INDEX(Batters[[#All],[Last]],MATCH(A303,Batters[[#All],[PID]],0)),INDEX(Table3[[#All],[Last]],MATCH(A303,Table3[[#All],[PID]],0)))</f>
        <v>Yoshida</v>
      </c>
      <c r="G303" s="56">
        <f>IF($C303="B",INDEX(Batters[[#All],[Age]],MATCH(Table5[[#This Row],[PID]],Batters[[#All],[PID]],0)),INDEX(Table3[[#All],[Age]],MATCH(Table5[[#This Row],[PID]],Table3[[#All],[PID]],0)))</f>
        <v>21</v>
      </c>
      <c r="H303" s="52" t="str">
        <f>IF($C303="B",INDEX(Batters[[#All],[B]],MATCH(Table5[[#This Row],[PID]],Batters[[#All],[PID]],0)),INDEX(Table3[[#All],[B]],MATCH(Table5[[#This Row],[PID]],Table3[[#All],[PID]],0)))</f>
        <v>R</v>
      </c>
      <c r="I303" s="52" t="str">
        <f>IF($C303="B",INDEX(Batters[[#All],[T]],MATCH(Table5[[#This Row],[PID]],Batters[[#All],[PID]],0)),INDEX(Table3[[#All],[T]],MATCH(Table5[[#This Row],[PID]],Table3[[#All],[PID]],0)))</f>
        <v>R</v>
      </c>
      <c r="J303" s="52" t="str">
        <f>IF($C303="B",INDEX(Batters[[#All],[WE]],MATCH(Table5[[#This Row],[PID]],Batters[[#All],[PID]],0)),INDEX(Table3[[#All],[WE]],MATCH(Table5[[#This Row],[PID]],Table3[[#All],[PID]],0)))</f>
        <v>Normal</v>
      </c>
      <c r="K303" s="52" t="str">
        <f>IF($C303="B",INDEX(Batters[[#All],[INT]],MATCH(Table5[[#This Row],[PID]],Batters[[#All],[PID]],0)),INDEX(Table3[[#All],[INT]],MATCH(Table5[[#This Row],[PID]],Table3[[#All],[PID]],0)))</f>
        <v>Low</v>
      </c>
      <c r="L303" s="60">
        <f>IF($C303="B",INDEX(Batters[[#All],[CON P]],MATCH(Table5[[#This Row],[PID]],Batters[[#All],[PID]],0)),INDEX(Table3[[#All],[STU P]],MATCH(Table5[[#This Row],[PID]],Table3[[#All],[PID]],0)))</f>
        <v>5</v>
      </c>
      <c r="M303" s="56">
        <f>IF($C303="B",INDEX(Batters[[#All],[GAP P]],MATCH(Table5[[#This Row],[PID]],Batters[[#All],[PID]],0)),INDEX(Table3[[#All],[MOV P]],MATCH(Table5[[#This Row],[PID]],Table3[[#All],[PID]],0)))</f>
        <v>6</v>
      </c>
      <c r="N303" s="56">
        <f>IF($C303="B",INDEX(Batters[[#All],[POW P]],MATCH(Table5[[#This Row],[PID]],Batters[[#All],[PID]],0)),INDEX(Table3[[#All],[CON P]],MATCH(Table5[[#This Row],[PID]],Table3[[#All],[PID]],0)))</f>
        <v>4</v>
      </c>
      <c r="O303" s="56">
        <f>IF($C303="B",INDEX(Batters[[#All],[EYE P]],MATCH(Table5[[#This Row],[PID]],Batters[[#All],[PID]],0)),INDEX(Table3[[#All],[VELO]],MATCH(Table5[[#This Row],[PID]],Table3[[#All],[PID]],0)))</f>
        <v>3</v>
      </c>
      <c r="P303" s="56">
        <f>IF($C303="B",INDEX(Batters[[#All],[K P]],MATCH(Table5[[#This Row],[PID]],Batters[[#All],[PID]],0)),INDEX(Table3[[#All],[STM]],MATCH(Table5[[#This Row],[PID]],Table3[[#All],[PID]],0)))</f>
        <v>8</v>
      </c>
      <c r="Q303" s="61">
        <f>IF($C303="B",INDEX(Batters[[#All],[Tot]],MATCH(Table5[[#This Row],[PID]],Batters[[#All],[PID]],0)),INDEX(Table3[[#All],[Tot]],MATCH(Table5[[#This Row],[PID]],Table3[[#All],[PID]],0)))</f>
        <v>46.651752832521098</v>
      </c>
      <c r="R303" s="52">
        <f>IF($C303="B",INDEX(Batters[[#All],[zScore]],MATCH(Table5[[#This Row],[PID]],Batters[[#All],[PID]],0)),INDEX(Table3[[#All],[zScore]],MATCH(Table5[[#This Row],[PID]],Table3[[#All],[PID]],0)))</f>
        <v>0.55865959903959161</v>
      </c>
      <c r="S303" s="58" t="str">
        <f>IF($C303="B",INDEX(Batters[[#All],[DEM]],MATCH(Table5[[#This Row],[PID]],Batters[[#All],[PID]],0)),INDEX(Table3[[#All],[DEM]],MATCH(Table5[[#This Row],[PID]],Table3[[#All],[PID]],0)))</f>
        <v>-</v>
      </c>
      <c r="T303" s="62">
        <f>IF($C303="B",INDEX(Batters[[#All],[Rnk]],MATCH(Table5[[#This Row],[PID]],Batters[[#All],[PID]],0)),INDEX(Table3[[#All],[Rnk]],MATCH(Table5[[#This Row],[PID]],Table3[[#All],[PID]],0)))</f>
        <v>145</v>
      </c>
      <c r="U303" s="68">
        <f>IF($C303="B",VLOOKUP($A303,Bat!$A$4:$BA$1621,47,FALSE),VLOOKUP($A303,Pit!$A$4:$BF$1557,56,FALSE))</f>
        <v>0</v>
      </c>
      <c r="V303" s="50">
        <f>IF($C303="B",VLOOKUP($A303,Bat!$A$4:$BA$1621,48,FALSE),VLOOKUP($A303,Pit!$A$4:$BF$1557,57,FALSE))</f>
        <v>0</v>
      </c>
      <c r="W303" s="50">
        <f>Table5[[#This Row],[posRnk]]+Table5[[#This Row],[zRnk]]+IF($W$3&lt;&gt;Table5[[#This Row],[Type]],50,0)</f>
        <v>546</v>
      </c>
      <c r="X303" s="51">
        <f>RANK(Table5[[#This Row],[zScore]],Table5[[#All],[zScore]])</f>
        <v>351</v>
      </c>
      <c r="Y303" s="50">
        <f>IFERROR(INDEX(DraftResults[[#All],[OVR]],MATCH(Table5[[#This Row],[PID]],DraftResults[[#All],[Player ID]],0)),"")</f>
        <v>299</v>
      </c>
      <c r="Z3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3" s="50">
        <f>IFERROR(INDEX(DraftResults[[#All],[Pick in Round]],MATCH(Table5[[#This Row],[PID]],DraftResults[[#All],[Player ID]],0)),"")</f>
        <v>21</v>
      </c>
      <c r="AB303" s="50" t="str">
        <f>IFERROR(INDEX(DraftResults[[#All],[Team Name]],MATCH(Table5[[#This Row],[PID]],DraftResults[[#All],[Player ID]],0)),"")</f>
        <v>Crystal Lake Sandgnats</v>
      </c>
      <c r="AC303" s="50">
        <f>IF(Table5[[#This Row],[Ovr]]="","",IF(Table5[[#This Row],[cmbList]]="","",Table5[[#This Row],[cmbList]]-Table5[[#This Row],[Ovr]]))</f>
        <v>247</v>
      </c>
      <c r="AD303" s="54" t="str">
        <f>IF(ISERROR(VLOOKUP($AB303&amp;"-"&amp;$E303&amp;" "&amp;F303,Bonuses!$B$1:$G$1006,4,FALSE)),"",INT(VLOOKUP($AB303&amp;"-"&amp;$E303&amp;" "&amp;$F303,Bonuses!$B$1:$G$1006,4,FALSE)))</f>
        <v/>
      </c>
      <c r="AE3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10.21 (299) - SS Jin Yoshida</v>
      </c>
    </row>
    <row r="304" spans="1:31" s="50" customFormat="1" x14ac:dyDescent="0.25">
      <c r="A304" s="50">
        <v>18085</v>
      </c>
      <c r="B304" s="50">
        <f>COUNTIF(Table5[PID],A304)</f>
        <v>1</v>
      </c>
      <c r="C304" s="50" t="str">
        <f>IF(COUNTIF(Table3[[#All],[PID]],A304)&gt;0,"P","B")</f>
        <v>B</v>
      </c>
      <c r="D304" s="59" t="str">
        <f>IF($C304="B",INDEX(Batters[[#All],[POS]],MATCH(Table5[[#This Row],[PID]],Batters[[#All],[PID]],0)),INDEX(Table3[[#All],[POS]],MATCH(Table5[[#This Row],[PID]],Table3[[#All],[PID]],0)))</f>
        <v>CF</v>
      </c>
      <c r="E304" s="52" t="str">
        <f>IF($C304="B",INDEX(Batters[[#All],[First]],MATCH(Table5[[#This Row],[PID]],Batters[[#All],[PID]],0)),INDEX(Table3[[#All],[First]],MATCH(Table5[[#This Row],[PID]],Table3[[#All],[PID]],0)))</f>
        <v>Dan</v>
      </c>
      <c r="F304" s="50" t="str">
        <f>IF($C304="B",INDEX(Batters[[#All],[Last]],MATCH(A304,Batters[[#All],[PID]],0)),INDEX(Table3[[#All],[Last]],MATCH(A304,Table3[[#All],[PID]],0)))</f>
        <v>Burton</v>
      </c>
      <c r="G304" s="56">
        <f>IF($C304="B",INDEX(Batters[[#All],[Age]],MATCH(Table5[[#This Row],[PID]],Batters[[#All],[PID]],0)),INDEX(Table3[[#All],[Age]],MATCH(Table5[[#This Row],[PID]],Table3[[#All],[PID]],0)))</f>
        <v>21</v>
      </c>
      <c r="H304" s="52" t="str">
        <f>IF($C304="B",INDEX(Batters[[#All],[B]],MATCH(Table5[[#This Row],[PID]],Batters[[#All],[PID]],0)),INDEX(Table3[[#All],[B]],MATCH(Table5[[#This Row],[PID]],Table3[[#All],[PID]],0)))</f>
        <v>S</v>
      </c>
      <c r="I304" s="52" t="str">
        <f>IF($C304="B",INDEX(Batters[[#All],[T]],MATCH(Table5[[#This Row],[PID]],Batters[[#All],[PID]],0)),INDEX(Table3[[#All],[T]],MATCH(Table5[[#This Row],[PID]],Table3[[#All],[PID]],0)))</f>
        <v>L</v>
      </c>
      <c r="J304" s="52" t="str">
        <f>IF($C304="B",INDEX(Batters[[#All],[WE]],MATCH(Table5[[#This Row],[PID]],Batters[[#All],[PID]],0)),INDEX(Table3[[#All],[WE]],MATCH(Table5[[#This Row],[PID]],Table3[[#All],[PID]],0)))</f>
        <v>Low</v>
      </c>
      <c r="K304" s="52" t="str">
        <f>IF($C304="B",INDEX(Batters[[#All],[INT]],MATCH(Table5[[#This Row],[PID]],Batters[[#All],[PID]],0)),INDEX(Table3[[#All],[INT]],MATCH(Table5[[#This Row],[PID]],Table3[[#All],[PID]],0)))</f>
        <v>Normal</v>
      </c>
      <c r="L304" s="60">
        <f>IF($C304="B",INDEX(Batters[[#All],[CON P]],MATCH(Table5[[#This Row],[PID]],Batters[[#All],[PID]],0)),INDEX(Table3[[#All],[STU P]],MATCH(Table5[[#This Row],[PID]],Table3[[#All],[PID]],0)))</f>
        <v>4</v>
      </c>
      <c r="M304" s="56">
        <f>IF($C304="B",INDEX(Batters[[#All],[GAP P]],MATCH(Table5[[#This Row],[PID]],Batters[[#All],[PID]],0)),INDEX(Table3[[#All],[MOV P]],MATCH(Table5[[#This Row],[PID]],Table3[[#All],[PID]],0)))</f>
        <v>8</v>
      </c>
      <c r="N304" s="56">
        <f>IF($C304="B",INDEX(Batters[[#All],[POW P]],MATCH(Table5[[#This Row],[PID]],Batters[[#All],[PID]],0)),INDEX(Table3[[#All],[CON P]],MATCH(Table5[[#This Row],[PID]],Table3[[#All],[PID]],0)))</f>
        <v>4</v>
      </c>
      <c r="O304" s="56">
        <f>IF($C304="B",INDEX(Batters[[#All],[EYE P]],MATCH(Table5[[#This Row],[PID]],Batters[[#All],[PID]],0)),INDEX(Table3[[#All],[VELO]],MATCH(Table5[[#This Row],[PID]],Table3[[#All],[PID]],0)))</f>
        <v>5</v>
      </c>
      <c r="P304" s="56">
        <f>IF($C304="B",INDEX(Batters[[#All],[K P]],MATCH(Table5[[#This Row],[PID]],Batters[[#All],[PID]],0)),INDEX(Table3[[#All],[STM]],MATCH(Table5[[#This Row],[PID]],Table3[[#All],[PID]],0)))</f>
        <v>3</v>
      </c>
      <c r="Q304" s="61">
        <f>IF($C304="B",INDEX(Batters[[#All],[Tot]],MATCH(Table5[[#This Row],[PID]],Batters[[#All],[PID]],0)),INDEX(Table3[[#All],[Tot]],MATCH(Table5[[#This Row],[PID]],Table3[[#All],[PID]],0)))</f>
        <v>44.650021165226178</v>
      </c>
      <c r="R304" s="52">
        <f>IF($C304="B",INDEX(Batters[[#All],[zScore]],MATCH(Table5[[#This Row],[PID]],Batters[[#All],[PID]],0)),INDEX(Table3[[#All],[zScore]],MATCH(Table5[[#This Row],[PID]],Table3[[#All],[PID]],0)))</f>
        <v>0.11486215794996159</v>
      </c>
      <c r="S304" s="58" t="str">
        <f>IF($C304="B",INDEX(Batters[[#All],[DEM]],MATCH(Table5[[#This Row],[PID]],Batters[[#All],[PID]],0)),INDEX(Table3[[#All],[DEM]],MATCH(Table5[[#This Row],[PID]],Table3[[#All],[PID]],0)))</f>
        <v>-</v>
      </c>
      <c r="T304" s="62">
        <f>IF($C304="B",INDEX(Batters[[#All],[Rnk]],MATCH(Table5[[#This Row],[PID]],Batters[[#All],[PID]],0)),INDEX(Table3[[#All],[Rnk]],MATCH(Table5[[#This Row],[PID]],Table3[[#All],[PID]],0)))</f>
        <v>220</v>
      </c>
      <c r="U304" s="68">
        <f>IF($C304="B",VLOOKUP($A304,Bat!$A$4:$BA$1621,47,FALSE),VLOOKUP($A304,Pit!$A$4:$BF$1557,56,FALSE))</f>
        <v>0</v>
      </c>
      <c r="V304" s="50">
        <f>IF($C304="B",VLOOKUP($A304,Bat!$A$4:$BA$1621,48,FALSE),VLOOKUP($A304,Pit!$A$4:$BF$1557,57,FALSE))</f>
        <v>0</v>
      </c>
      <c r="W304" s="50">
        <f>Table5[[#This Row],[posRnk]]+Table5[[#This Row],[zRnk]]+IF($W$3&lt;&gt;Table5[[#This Row],[Type]],50,0)</f>
        <v>773</v>
      </c>
      <c r="X304" s="51">
        <f>RANK(Table5[[#This Row],[zScore]],Table5[[#All],[zScore]])</f>
        <v>503</v>
      </c>
      <c r="Y304" s="50">
        <f>IFERROR(INDEX(DraftResults[[#All],[OVR]],MATCH(Table5[[#This Row],[PID]],DraftResults[[#All],[Player ID]],0)),"")</f>
        <v>300</v>
      </c>
      <c r="Z3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4" s="50">
        <f>IFERROR(INDEX(DraftResults[[#All],[Pick in Round]],MATCH(Table5[[#This Row],[PID]],DraftResults[[#All],[Player ID]],0)),"")</f>
        <v>22</v>
      </c>
      <c r="AB304" s="50" t="str">
        <f>IFERROR(INDEX(DraftResults[[#All],[Team Name]],MATCH(Table5[[#This Row],[PID]],DraftResults[[#All],[Player ID]],0)),"")</f>
        <v>Fargo Dinosaurs</v>
      </c>
      <c r="AC304" s="50">
        <f>IF(Table5[[#This Row],[Ovr]]="","",IF(Table5[[#This Row],[cmbList]]="","",Table5[[#This Row],[cmbList]]-Table5[[#This Row],[Ovr]]))</f>
        <v>473</v>
      </c>
      <c r="AD304" s="54" t="str">
        <f>IF(ISERROR(VLOOKUP($AB304&amp;"-"&amp;$E304&amp;" "&amp;F304,Bonuses!$B$1:$G$1006,4,FALSE)),"",INT(VLOOKUP($AB304&amp;"-"&amp;$E304&amp;" "&amp;$F304,Bonuses!$B$1:$G$1006,4,FALSE)))</f>
        <v/>
      </c>
      <c r="AE3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10.22 (300) - CF Dan Burton</v>
      </c>
    </row>
    <row r="305" spans="1:31" s="50" customFormat="1" x14ac:dyDescent="0.25">
      <c r="A305" s="68">
        <v>15982</v>
      </c>
      <c r="B305" s="69">
        <f>COUNTIF(Table5[PID],A305)</f>
        <v>1</v>
      </c>
      <c r="C305" s="69" t="str">
        <f>IF(COUNTIF(Table3[[#All],[PID]],A305)&gt;0,"P","B")</f>
        <v>P</v>
      </c>
      <c r="D305" s="59" t="str">
        <f>IF($C305="B",INDEX(Batters[[#All],[POS]],MATCH(Table5[[#This Row],[PID]],Batters[[#All],[PID]],0)),INDEX(Table3[[#All],[POS]],MATCH(Table5[[#This Row],[PID]],Table3[[#All],[PID]],0)))</f>
        <v>SP</v>
      </c>
      <c r="E305" s="52" t="str">
        <f>IF($C305="B",INDEX(Batters[[#All],[First]],MATCH(Table5[[#This Row],[PID]],Batters[[#All],[PID]],0)),INDEX(Table3[[#All],[First]],MATCH(Table5[[#This Row],[PID]],Table3[[#All],[PID]],0)))</f>
        <v>Joshua</v>
      </c>
      <c r="F305" s="55" t="str">
        <f>IF($C305="B",INDEX(Batters[[#All],[Last]],MATCH(A305,Batters[[#All],[PID]],0)),INDEX(Table3[[#All],[Last]],MATCH(A305,Table3[[#All],[PID]],0)))</f>
        <v>Waterhouse</v>
      </c>
      <c r="G305" s="56">
        <f>IF($C305="B",INDEX(Batters[[#All],[Age]],MATCH(Table5[[#This Row],[PID]],Batters[[#All],[PID]],0)),INDEX(Table3[[#All],[Age]],MATCH(Table5[[#This Row],[PID]],Table3[[#All],[PID]],0)))</f>
        <v>18</v>
      </c>
      <c r="H305" s="52" t="str">
        <f>IF($C305="B",INDEX(Batters[[#All],[B]],MATCH(Table5[[#This Row],[PID]],Batters[[#All],[PID]],0)),INDEX(Table3[[#All],[B]],MATCH(Table5[[#This Row],[PID]],Table3[[#All],[PID]],0)))</f>
        <v>R</v>
      </c>
      <c r="I305" s="52" t="str">
        <f>IF($C305="B",INDEX(Batters[[#All],[T]],MATCH(Table5[[#This Row],[PID]],Batters[[#All],[PID]],0)),INDEX(Table3[[#All],[T]],MATCH(Table5[[#This Row],[PID]],Table3[[#All],[PID]],0)))</f>
        <v>R</v>
      </c>
      <c r="J305" s="71" t="str">
        <f>IF($C305="B",INDEX(Batters[[#All],[WE]],MATCH(Table5[[#This Row],[PID]],Batters[[#All],[PID]],0)),INDEX(Table3[[#All],[WE]],MATCH(Table5[[#This Row],[PID]],Table3[[#All],[PID]],0)))</f>
        <v>Normal</v>
      </c>
      <c r="K305" s="52" t="str">
        <f>IF($C305="B",INDEX(Batters[[#All],[INT]],MATCH(Table5[[#This Row],[PID]],Batters[[#All],[PID]],0)),INDEX(Table3[[#All],[INT]],MATCH(Table5[[#This Row],[PID]],Table3[[#All],[PID]],0)))</f>
        <v>Normal</v>
      </c>
      <c r="L305" s="60">
        <f>IF($C305="B",INDEX(Batters[[#All],[CON P]],MATCH(Table5[[#This Row],[PID]],Batters[[#All],[PID]],0)),INDEX(Table3[[#All],[STU P]],MATCH(Table5[[#This Row],[PID]],Table3[[#All],[PID]],0)))</f>
        <v>4</v>
      </c>
      <c r="M305" s="72">
        <f>IF($C305="B",INDEX(Batters[[#All],[GAP P]],MATCH(Table5[[#This Row],[PID]],Batters[[#All],[PID]],0)),INDEX(Table3[[#All],[MOV P]],MATCH(Table5[[#This Row],[PID]],Table3[[#All],[PID]],0)))</f>
        <v>5</v>
      </c>
      <c r="N305" s="72">
        <f>IF($C305="B",INDEX(Batters[[#All],[POW P]],MATCH(Table5[[#This Row],[PID]],Batters[[#All],[PID]],0)),INDEX(Table3[[#All],[CON P]],MATCH(Table5[[#This Row],[PID]],Table3[[#All],[PID]],0)))</f>
        <v>5</v>
      </c>
      <c r="O305" s="72" t="str">
        <f>IF($C305="B",INDEX(Batters[[#All],[EYE P]],MATCH(Table5[[#This Row],[PID]],Batters[[#All],[PID]],0)),INDEX(Table3[[#All],[VELO]],MATCH(Table5[[#This Row],[PID]],Table3[[#All],[PID]],0)))</f>
        <v>91-93 Mph</v>
      </c>
      <c r="P305" s="56">
        <f>IF($C305="B",INDEX(Batters[[#All],[K P]],MATCH(Table5[[#This Row],[PID]],Batters[[#All],[PID]],0)),INDEX(Table3[[#All],[STM]],MATCH(Table5[[#This Row],[PID]],Table3[[#All],[PID]],0)))</f>
        <v>8</v>
      </c>
      <c r="Q305" s="61">
        <f>IF($C305="B",INDEX(Batters[[#All],[Tot]],MATCH(Table5[[#This Row],[PID]],Batters[[#All],[PID]],0)),INDEX(Table3[[#All],[Tot]],MATCH(Table5[[#This Row],[PID]],Table3[[#All],[PID]],0)))</f>
        <v>58.505614654975133</v>
      </c>
      <c r="R305" s="52">
        <f>IF($C305="B",INDEX(Batters[[#All],[zScore]],MATCH(Table5[[#This Row],[PID]],Batters[[#All],[PID]],0)),INDEX(Table3[[#All],[zScore]],MATCH(Table5[[#This Row],[PID]],Table3[[#All],[PID]],0)))</f>
        <v>1.5058778564755957</v>
      </c>
      <c r="S305" s="78" t="str">
        <f>IF($C305="B",INDEX(Batters[[#All],[DEM]],MATCH(Table5[[#This Row],[PID]],Batters[[#All],[PID]],0)),INDEX(Table3[[#All],[DEM]],MATCH(Table5[[#This Row],[PID]],Table3[[#All],[PID]],0)))</f>
        <v>$250k</v>
      </c>
      <c r="T305" s="75">
        <f>IF($C305="B",INDEX(Batters[[#All],[Rnk]],MATCH(Table5[[#This Row],[PID]],Batters[[#All],[PID]],0)),INDEX(Table3[[#All],[Rnk]],MATCH(Table5[[#This Row],[PID]],Table3[[#All],[PID]],0)))</f>
        <v>73</v>
      </c>
      <c r="U305" s="68">
        <f>IF($C305="B",VLOOKUP($A305,Bat!$A$4:$BA$1621,47,FALSE),VLOOKUP($A305,Pit!$A$4:$BF$1557,56,FALSE))</f>
        <v>0</v>
      </c>
      <c r="V305" s="50">
        <f>IF($C305="B",VLOOKUP($A305,Bat!$A$4:$BA$1621,48,FALSE),VLOOKUP($A305,Pit!$A$4:$BF$1557,57,FALSE))</f>
        <v>0</v>
      </c>
      <c r="W305" s="69">
        <f>Table5[[#This Row],[posRnk]]+Table5[[#This Row],[zRnk]]+IF($W$3&lt;&gt;Table5[[#This Row],[Type]],50,0)</f>
        <v>241</v>
      </c>
      <c r="X305" s="73">
        <f>RANK(Table5[[#This Row],[zScore]],Table5[[#All],[zScore]])</f>
        <v>118</v>
      </c>
      <c r="Y305" s="69">
        <f>IFERROR(INDEX(DraftResults[[#All],[OVR]],MATCH(Table5[[#This Row],[PID]],DraftResults[[#All],[Player ID]],0)),"")</f>
        <v>301</v>
      </c>
      <c r="Z30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5" s="69">
        <f>IFERROR(INDEX(DraftResults[[#All],[Pick in Round]],MATCH(Table5[[#This Row],[PID]],DraftResults[[#All],[Player ID]],0)),"")</f>
        <v>23</v>
      </c>
      <c r="AB305" s="69" t="str">
        <f>IFERROR(INDEX(DraftResults[[#All],[Team Name]],MATCH(Table5[[#This Row],[PID]],DraftResults[[#All],[Player ID]],0)),"")</f>
        <v>Charleston Statesmen</v>
      </c>
      <c r="AC305" s="69">
        <f>IF(Table5[[#This Row],[Ovr]]="","",IF(Table5[[#This Row],[cmbList]]="","",Table5[[#This Row],[cmbList]]-Table5[[#This Row],[Ovr]]))</f>
        <v>-60</v>
      </c>
      <c r="AD305" s="77" t="str">
        <f>IF(ISERROR(VLOOKUP($AB305&amp;"-"&amp;$E305&amp;" "&amp;F305,Bonuses!$B$1:$G$1006,4,FALSE)),"",INT(VLOOKUP($AB305&amp;"-"&amp;$E305&amp;" "&amp;$F305,Bonuses!$B$1:$G$1006,4,FALSE)))</f>
        <v/>
      </c>
      <c r="AE30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10.23 (301) - SP Joshua Waterhouse</v>
      </c>
    </row>
    <row r="306" spans="1:31" s="50" customFormat="1" x14ac:dyDescent="0.25">
      <c r="A306" s="68">
        <v>18175</v>
      </c>
      <c r="B306" s="69">
        <f>COUNTIF(Table5[PID],A306)</f>
        <v>1</v>
      </c>
      <c r="C306" s="69" t="str">
        <f>IF(COUNTIF(Table3[[#All],[PID]],A306)&gt;0,"P","B")</f>
        <v>P</v>
      </c>
      <c r="D306" s="59" t="str">
        <f>IF($C306="B",INDEX(Batters[[#All],[POS]],MATCH(Table5[[#This Row],[PID]],Batters[[#All],[PID]],0)),INDEX(Table3[[#All],[POS]],MATCH(Table5[[#This Row],[PID]],Table3[[#All],[PID]],0)))</f>
        <v>SP</v>
      </c>
      <c r="E306" s="52" t="str">
        <f>IF($C306="B",INDEX(Batters[[#All],[First]],MATCH(Table5[[#This Row],[PID]],Batters[[#All],[PID]],0)),INDEX(Table3[[#All],[First]],MATCH(Table5[[#This Row],[PID]],Table3[[#All],[PID]],0)))</f>
        <v>Martin</v>
      </c>
      <c r="F306" s="55" t="str">
        <f>IF($C306="B",INDEX(Batters[[#All],[Last]],MATCH(A306,Batters[[#All],[PID]],0)),INDEX(Table3[[#All],[Last]],MATCH(A306,Table3[[#All],[PID]],0)))</f>
        <v>Reynolds</v>
      </c>
      <c r="G306" s="56">
        <f>IF($C306="B",INDEX(Batters[[#All],[Age]],MATCH(Table5[[#This Row],[PID]],Batters[[#All],[PID]],0)),INDEX(Table3[[#All],[Age]],MATCH(Table5[[#This Row],[PID]],Table3[[#All],[PID]],0)))</f>
        <v>18</v>
      </c>
      <c r="H306" s="52" t="str">
        <f>IF($C306="B",INDEX(Batters[[#All],[B]],MATCH(Table5[[#This Row],[PID]],Batters[[#All],[PID]],0)),INDEX(Table3[[#All],[B]],MATCH(Table5[[#This Row],[PID]],Table3[[#All],[PID]],0)))</f>
        <v>R</v>
      </c>
      <c r="I306" s="52" t="str">
        <f>IF($C306="B",INDEX(Batters[[#All],[T]],MATCH(Table5[[#This Row],[PID]],Batters[[#All],[PID]],0)),INDEX(Table3[[#All],[T]],MATCH(Table5[[#This Row],[PID]],Table3[[#All],[PID]],0)))</f>
        <v>R</v>
      </c>
      <c r="J306" s="71" t="str">
        <f>IF($C306="B",INDEX(Batters[[#All],[WE]],MATCH(Table5[[#This Row],[PID]],Batters[[#All],[PID]],0)),INDEX(Table3[[#All],[WE]],MATCH(Table5[[#This Row],[PID]],Table3[[#All],[PID]],0)))</f>
        <v>High</v>
      </c>
      <c r="K306" s="52" t="str">
        <f>IF($C306="B",INDEX(Batters[[#All],[INT]],MATCH(Table5[[#This Row],[PID]],Batters[[#All],[PID]],0)),INDEX(Table3[[#All],[INT]],MATCH(Table5[[#This Row],[PID]],Table3[[#All],[PID]],0)))</f>
        <v>Low</v>
      </c>
      <c r="L306" s="60">
        <f>IF($C306="B",INDEX(Batters[[#All],[CON P]],MATCH(Table5[[#This Row],[PID]],Batters[[#All],[PID]],0)),INDEX(Table3[[#All],[STU P]],MATCH(Table5[[#This Row],[PID]],Table3[[#All],[PID]],0)))</f>
        <v>5</v>
      </c>
      <c r="M306" s="72">
        <f>IF($C306="B",INDEX(Batters[[#All],[GAP P]],MATCH(Table5[[#This Row],[PID]],Batters[[#All],[PID]],0)),INDEX(Table3[[#All],[MOV P]],MATCH(Table5[[#This Row],[PID]],Table3[[#All],[PID]],0)))</f>
        <v>2</v>
      </c>
      <c r="N306" s="72">
        <f>IF($C306="B",INDEX(Batters[[#All],[POW P]],MATCH(Table5[[#This Row],[PID]],Batters[[#All],[PID]],0)),INDEX(Table3[[#All],[CON P]],MATCH(Table5[[#This Row],[PID]],Table3[[#All],[PID]],0)))</f>
        <v>6</v>
      </c>
      <c r="O306" s="72" t="str">
        <f>IF($C306="B",INDEX(Batters[[#All],[EYE P]],MATCH(Table5[[#This Row],[PID]],Batters[[#All],[PID]],0)),INDEX(Table3[[#All],[VELO]],MATCH(Table5[[#This Row],[PID]],Table3[[#All],[PID]],0)))</f>
        <v>87-89 Mph</v>
      </c>
      <c r="P306" s="56">
        <f>IF($C306="B",INDEX(Batters[[#All],[K P]],MATCH(Table5[[#This Row],[PID]],Batters[[#All],[PID]],0)),INDEX(Table3[[#All],[STM]],MATCH(Table5[[#This Row],[PID]],Table3[[#All],[PID]],0)))</f>
        <v>9</v>
      </c>
      <c r="Q306" s="61">
        <f>IF($C306="B",INDEX(Batters[[#All],[Tot]],MATCH(Table5[[#This Row],[PID]],Batters[[#All],[PID]],0)),INDEX(Table3[[#All],[Tot]],MATCH(Table5[[#This Row],[PID]],Table3[[#All],[PID]],0)))</f>
        <v>53.393460759038817</v>
      </c>
      <c r="R306" s="52">
        <f>IF($C306="B",INDEX(Batters[[#All],[zScore]],MATCH(Table5[[#This Row],[PID]],Batters[[#All],[PID]],0)),INDEX(Table3[[#All],[zScore]],MATCH(Table5[[#This Row],[PID]],Table3[[#All],[PID]],0)))</f>
        <v>1.1657740697065233</v>
      </c>
      <c r="S306" s="78" t="str">
        <f>IF($C306="B",INDEX(Batters[[#All],[DEM]],MATCH(Table5[[#This Row],[PID]],Batters[[#All],[PID]],0)),INDEX(Table3[[#All],[DEM]],MATCH(Table5[[#This Row],[PID]],Table3[[#All],[PID]],0)))</f>
        <v>$330k</v>
      </c>
      <c r="T306" s="75">
        <f>IF($C306="B",INDEX(Batters[[#All],[Rnk]],MATCH(Table5[[#This Row],[PID]],Batters[[#All],[PID]],0)),INDEX(Table3[[#All],[Rnk]],MATCH(Table5[[#This Row],[PID]],Table3[[#All],[PID]],0)))</f>
        <v>119</v>
      </c>
      <c r="U306" s="68">
        <f>IF($C306="B",VLOOKUP($A306,Bat!$A$4:$BA$1621,47,FALSE),VLOOKUP($A306,Pit!$A$4:$BF$1557,56,FALSE))</f>
        <v>0</v>
      </c>
      <c r="V306" s="50">
        <f>IF($C306="B",VLOOKUP($A306,Bat!$A$4:$BA$1621,48,FALSE),VLOOKUP($A306,Pit!$A$4:$BF$1557,57,FALSE))</f>
        <v>0</v>
      </c>
      <c r="W306" s="69">
        <f>Table5[[#This Row],[posRnk]]+Table5[[#This Row],[zRnk]]+IF($W$3&lt;&gt;Table5[[#This Row],[Type]],50,0)</f>
        <v>363</v>
      </c>
      <c r="X306" s="73">
        <f>RANK(Table5[[#This Row],[zScore]],Table5[[#All],[zScore]])</f>
        <v>194</v>
      </c>
      <c r="Y306" s="69">
        <f>IFERROR(INDEX(DraftResults[[#All],[OVR]],MATCH(Table5[[#This Row],[PID]],DraftResults[[#All],[Player ID]],0)),"")</f>
        <v>302</v>
      </c>
      <c r="Z30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6" s="69">
        <f>IFERROR(INDEX(DraftResults[[#All],[Pick in Round]],MATCH(Table5[[#This Row],[PID]],DraftResults[[#All],[Player ID]],0)),"")</f>
        <v>24</v>
      </c>
      <c r="AB306" s="69" t="str">
        <f>IFERROR(INDEX(DraftResults[[#All],[Team Name]],MATCH(Table5[[#This Row],[PID]],DraftResults[[#All],[Player ID]],0)),"")</f>
        <v>Aurora Borealis</v>
      </c>
      <c r="AC306" s="69">
        <f>IF(Table5[[#This Row],[Ovr]]="","",IF(Table5[[#This Row],[cmbList]]="","",Table5[[#This Row],[cmbList]]-Table5[[#This Row],[Ovr]]))</f>
        <v>61</v>
      </c>
      <c r="AD306" s="77" t="str">
        <f>IF(ISERROR(VLOOKUP($AB306&amp;"-"&amp;$E306&amp;" "&amp;F306,Bonuses!$B$1:$G$1006,4,FALSE)),"",INT(VLOOKUP($AB306&amp;"-"&amp;$E306&amp;" "&amp;$F306,Bonuses!$B$1:$G$1006,4,FALSE)))</f>
        <v/>
      </c>
      <c r="AE30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10.24 (302) - SP Martin Reynolds</v>
      </c>
    </row>
    <row r="307" spans="1:31" s="50" customFormat="1" x14ac:dyDescent="0.25">
      <c r="A307" s="50">
        <v>18431</v>
      </c>
      <c r="B307" s="50">
        <f>COUNTIF(Table5[PID],A307)</f>
        <v>1</v>
      </c>
      <c r="C307" s="50" t="str">
        <f>IF(COUNTIF(Table3[[#All],[PID]],A307)&gt;0,"P","B")</f>
        <v>P</v>
      </c>
      <c r="D307" s="59" t="str">
        <f>IF($C307="B",INDEX(Batters[[#All],[POS]],MATCH(Table5[[#This Row],[PID]],Batters[[#All],[PID]],0)),INDEX(Table3[[#All],[POS]],MATCH(Table5[[#This Row],[PID]],Table3[[#All],[PID]],0)))</f>
        <v>CL</v>
      </c>
      <c r="E307" s="52" t="str">
        <f>IF($C307="B",INDEX(Batters[[#All],[First]],MATCH(Table5[[#This Row],[PID]],Batters[[#All],[PID]],0)),INDEX(Table3[[#All],[First]],MATCH(Table5[[#This Row],[PID]],Table3[[#All],[PID]],0)))</f>
        <v>Owen</v>
      </c>
      <c r="F307" s="50" t="str">
        <f>IF($C307="B",INDEX(Batters[[#All],[Last]],MATCH(A307,Batters[[#All],[PID]],0)),INDEX(Table3[[#All],[Last]],MATCH(A307,Table3[[#All],[PID]],0)))</f>
        <v>MacCosh</v>
      </c>
      <c r="G307" s="56">
        <f>IF($C307="B",INDEX(Batters[[#All],[Age]],MATCH(Table5[[#This Row],[PID]],Batters[[#All],[PID]],0)),INDEX(Table3[[#All],[Age]],MATCH(Table5[[#This Row],[PID]],Table3[[#All],[PID]],0)))</f>
        <v>18</v>
      </c>
      <c r="H307" s="52" t="str">
        <f>IF($C307="B",INDEX(Batters[[#All],[B]],MATCH(Table5[[#This Row],[PID]],Batters[[#All],[PID]],0)),INDEX(Table3[[#All],[B]],MATCH(Table5[[#This Row],[PID]],Table3[[#All],[PID]],0)))</f>
        <v>R</v>
      </c>
      <c r="I307" s="52" t="str">
        <f>IF($C307="B",INDEX(Batters[[#All],[T]],MATCH(Table5[[#This Row],[PID]],Batters[[#All],[PID]],0)),INDEX(Table3[[#All],[T]],MATCH(Table5[[#This Row],[PID]],Table3[[#All],[PID]],0)))</f>
        <v>R</v>
      </c>
      <c r="J307" s="52" t="str">
        <f>IF($C307="B",INDEX(Batters[[#All],[WE]],MATCH(Table5[[#This Row],[PID]],Batters[[#All],[PID]],0)),INDEX(Table3[[#All],[WE]],MATCH(Table5[[#This Row],[PID]],Table3[[#All],[PID]],0)))</f>
        <v>Normal</v>
      </c>
      <c r="K307" s="52" t="str">
        <f>IF($C307="B",INDEX(Batters[[#All],[INT]],MATCH(Table5[[#This Row],[PID]],Batters[[#All],[PID]],0)),INDEX(Table3[[#All],[INT]],MATCH(Table5[[#This Row],[PID]],Table3[[#All],[PID]],0)))</f>
        <v>Low</v>
      </c>
      <c r="L307" s="60">
        <f>IF($C307="B",INDEX(Batters[[#All],[CON P]],MATCH(Table5[[#This Row],[PID]],Batters[[#All],[PID]],0)),INDEX(Table3[[#All],[STU P]],MATCH(Table5[[#This Row],[PID]],Table3[[#All],[PID]],0)))</f>
        <v>5</v>
      </c>
      <c r="M307" s="56">
        <f>IF($C307="B",INDEX(Batters[[#All],[GAP P]],MATCH(Table5[[#This Row],[PID]],Batters[[#All],[PID]],0)),INDEX(Table3[[#All],[MOV P]],MATCH(Table5[[#This Row],[PID]],Table3[[#All],[PID]],0)))</f>
        <v>4</v>
      </c>
      <c r="N307" s="56">
        <f>IF($C307="B",INDEX(Batters[[#All],[POW P]],MATCH(Table5[[#This Row],[PID]],Batters[[#All],[PID]],0)),INDEX(Table3[[#All],[CON P]],MATCH(Table5[[#This Row],[PID]],Table3[[#All],[PID]],0)))</f>
        <v>3</v>
      </c>
      <c r="O307" s="56" t="str">
        <f>IF($C307="B",INDEX(Batters[[#All],[EYE P]],MATCH(Table5[[#This Row],[PID]],Batters[[#All],[PID]],0)),INDEX(Table3[[#All],[VELO]],MATCH(Table5[[#This Row],[PID]],Table3[[#All],[PID]],0)))</f>
        <v>88-90 Mph</v>
      </c>
      <c r="P307" s="56">
        <f>IF($C307="B",INDEX(Batters[[#All],[K P]],MATCH(Table5[[#This Row],[PID]],Batters[[#All],[PID]],0)),INDEX(Table3[[#All],[STM]],MATCH(Table5[[#This Row],[PID]],Table3[[#All],[PID]],0)))</f>
        <v>8</v>
      </c>
      <c r="Q307" s="61">
        <f>IF($C307="B",INDEX(Batters[[#All],[Tot]],MATCH(Table5[[#This Row],[PID]],Batters[[#All],[PID]],0)),INDEX(Table3[[#All],[Tot]],MATCH(Table5[[#This Row],[PID]],Table3[[#All],[PID]],0)))</f>
        <v>47.111969604685413</v>
      </c>
      <c r="R307" s="52">
        <f>IF($C307="B",INDEX(Batters[[#All],[zScore]],MATCH(Table5[[#This Row],[PID]],Batters[[#All],[PID]],0)),INDEX(Table3[[#All],[zScore]],MATCH(Table5[[#This Row],[PID]],Table3[[#All],[PID]],0)))</f>
        <v>0.74787606200956613</v>
      </c>
      <c r="S307" s="58" t="str">
        <f>IF($C307="B",INDEX(Batters[[#All],[DEM]],MATCH(Table5[[#This Row],[PID]],Batters[[#All],[PID]],0)),INDEX(Table3[[#All],[DEM]],MATCH(Table5[[#This Row],[PID]],Table3[[#All],[PID]],0)))</f>
        <v>$65k</v>
      </c>
      <c r="T307" s="62">
        <f>IF($C307="B",INDEX(Batters[[#All],[Rnk]],MATCH(Table5[[#This Row],[PID]],Batters[[#All],[PID]],0)),INDEX(Table3[[#All],[Rnk]],MATCH(Table5[[#This Row],[PID]],Table3[[#All],[PID]],0)))</f>
        <v>183</v>
      </c>
      <c r="U307" s="68">
        <f>IF($C307="B",VLOOKUP($A307,Bat!$A$4:$BA$1621,47,FALSE),VLOOKUP($A307,Pit!$A$4:$BF$1557,56,FALSE))</f>
        <v>0</v>
      </c>
      <c r="V307" s="50">
        <f>IF($C307="B",VLOOKUP($A307,Bat!$A$4:$BA$1621,48,FALSE),VLOOKUP($A307,Pit!$A$4:$BF$1557,57,FALSE))</f>
        <v>0</v>
      </c>
      <c r="W307" s="50">
        <f>Table5[[#This Row],[posRnk]]+Table5[[#This Row],[zRnk]]+IF($W$3&lt;&gt;Table5[[#This Row],[Type]],50,0)</f>
        <v>533</v>
      </c>
      <c r="X307" s="51">
        <f>RANK(Table5[[#This Row],[zScore]],Table5[[#All],[zScore]])</f>
        <v>300</v>
      </c>
      <c r="Y307" s="50">
        <f>IFERROR(INDEX(DraftResults[[#All],[OVR]],MATCH(Table5[[#This Row],[PID]],DraftResults[[#All],[Player ID]],0)),"")</f>
        <v>303</v>
      </c>
      <c r="Z3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7" s="50">
        <f>IFERROR(INDEX(DraftResults[[#All],[Pick in Round]],MATCH(Table5[[#This Row],[PID]],DraftResults[[#All],[Player ID]],0)),"")</f>
        <v>25</v>
      </c>
      <c r="AB307" s="50" t="str">
        <f>IFERROR(INDEX(DraftResults[[#All],[Team Name]],MATCH(Table5[[#This Row],[PID]],DraftResults[[#All],[Player ID]],0)),"")</f>
        <v>Toyama Wind Dancers</v>
      </c>
      <c r="AC307" s="50">
        <f>IF(Table5[[#This Row],[Ovr]]="","",IF(Table5[[#This Row],[cmbList]]="","",Table5[[#This Row],[cmbList]]-Table5[[#This Row],[Ovr]]))</f>
        <v>230</v>
      </c>
      <c r="AD307" s="54" t="str">
        <f>IF(ISERROR(VLOOKUP($AB307&amp;"-"&amp;$E307&amp;" "&amp;F307,Bonuses!$B$1:$G$1006,4,FALSE)),"",INT(VLOOKUP($AB307&amp;"-"&amp;$E307&amp;" "&amp;$F307,Bonuses!$B$1:$G$1006,4,FALSE)))</f>
        <v/>
      </c>
      <c r="AE3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10.25 (303) - CL Owen MacCosh</v>
      </c>
    </row>
    <row r="308" spans="1:31" s="50" customFormat="1" x14ac:dyDescent="0.25">
      <c r="A308" s="50">
        <v>17855</v>
      </c>
      <c r="B308" s="50">
        <f>COUNTIF(Table5[PID],A308)</f>
        <v>1</v>
      </c>
      <c r="C308" s="50" t="str">
        <f>IF(COUNTIF(Table3[[#All],[PID]],A308)&gt;0,"P","B")</f>
        <v>B</v>
      </c>
      <c r="D308" s="59" t="str">
        <f>IF($C308="B",INDEX(Batters[[#All],[POS]],MATCH(Table5[[#This Row],[PID]],Batters[[#All],[PID]],0)),INDEX(Table3[[#All],[POS]],MATCH(Table5[[#This Row],[PID]],Table3[[#All],[PID]],0)))</f>
        <v>RF</v>
      </c>
      <c r="E308" s="52" t="str">
        <f>IF($C308="B",INDEX(Batters[[#All],[First]],MATCH(Table5[[#This Row],[PID]],Batters[[#All],[PID]],0)),INDEX(Table3[[#All],[First]],MATCH(Table5[[#This Row],[PID]],Table3[[#All],[PID]],0)))</f>
        <v>Patrick</v>
      </c>
      <c r="F308" s="50" t="str">
        <f>IF($C308="B",INDEX(Batters[[#All],[Last]],MATCH(A308,Batters[[#All],[PID]],0)),INDEX(Table3[[#All],[Last]],MATCH(A308,Table3[[#All],[PID]],0)))</f>
        <v>MacLay</v>
      </c>
      <c r="G308" s="56">
        <f>IF($C308="B",INDEX(Batters[[#All],[Age]],MATCH(Table5[[#This Row],[PID]],Batters[[#All],[PID]],0)),INDEX(Table3[[#All],[Age]],MATCH(Table5[[#This Row],[PID]],Table3[[#All],[PID]],0)))</f>
        <v>18</v>
      </c>
      <c r="H308" s="52" t="str">
        <f>IF($C308="B",INDEX(Batters[[#All],[B]],MATCH(Table5[[#This Row],[PID]],Batters[[#All],[PID]],0)),INDEX(Table3[[#All],[B]],MATCH(Table5[[#This Row],[PID]],Table3[[#All],[PID]],0)))</f>
        <v>L</v>
      </c>
      <c r="I308" s="52" t="str">
        <f>IF($C308="B",INDEX(Batters[[#All],[T]],MATCH(Table5[[#This Row],[PID]],Batters[[#All],[PID]],0)),INDEX(Table3[[#All],[T]],MATCH(Table5[[#This Row],[PID]],Table3[[#All],[PID]],0)))</f>
        <v>R</v>
      </c>
      <c r="J308" s="52" t="str">
        <f>IF($C308="B",INDEX(Batters[[#All],[WE]],MATCH(Table5[[#This Row],[PID]],Batters[[#All],[PID]],0)),INDEX(Table3[[#All],[WE]],MATCH(Table5[[#This Row],[PID]],Table3[[#All],[PID]],0)))</f>
        <v>High</v>
      </c>
      <c r="K308" s="52" t="str">
        <f>IF($C308="B",INDEX(Batters[[#All],[INT]],MATCH(Table5[[#This Row],[PID]],Batters[[#All],[PID]],0)),INDEX(Table3[[#All],[INT]],MATCH(Table5[[#This Row],[PID]],Table3[[#All],[PID]],0)))</f>
        <v>Normal</v>
      </c>
      <c r="L308" s="60">
        <f>IF($C308="B",INDEX(Batters[[#All],[CON P]],MATCH(Table5[[#This Row],[PID]],Batters[[#All],[PID]],0)),INDEX(Table3[[#All],[STU P]],MATCH(Table5[[#This Row],[PID]],Table3[[#All],[PID]],0)))</f>
        <v>4</v>
      </c>
      <c r="M308" s="56">
        <f>IF($C308="B",INDEX(Batters[[#All],[GAP P]],MATCH(Table5[[#This Row],[PID]],Batters[[#All],[PID]],0)),INDEX(Table3[[#All],[MOV P]],MATCH(Table5[[#This Row],[PID]],Table3[[#All],[PID]],0)))</f>
        <v>4</v>
      </c>
      <c r="N308" s="56">
        <f>IF($C308="B",INDEX(Batters[[#All],[POW P]],MATCH(Table5[[#This Row],[PID]],Batters[[#All],[PID]],0)),INDEX(Table3[[#All],[CON P]],MATCH(Table5[[#This Row],[PID]],Table3[[#All],[PID]],0)))</f>
        <v>2</v>
      </c>
      <c r="O308" s="56">
        <f>IF($C308="B",INDEX(Batters[[#All],[EYE P]],MATCH(Table5[[#This Row],[PID]],Batters[[#All],[PID]],0)),INDEX(Table3[[#All],[VELO]],MATCH(Table5[[#This Row],[PID]],Table3[[#All],[PID]],0)))</f>
        <v>5</v>
      </c>
      <c r="P308" s="56">
        <f>IF($C308="B",INDEX(Batters[[#All],[K P]],MATCH(Table5[[#This Row],[PID]],Batters[[#All],[PID]],0)),INDEX(Table3[[#All],[STM]],MATCH(Table5[[#This Row],[PID]],Table3[[#All],[PID]],0)))</f>
        <v>4</v>
      </c>
      <c r="Q308" s="61">
        <f>IF($C308="B",INDEX(Batters[[#All],[Tot]],MATCH(Table5[[#This Row],[PID]],Batters[[#All],[PID]],0)),INDEX(Table3[[#All],[Tot]],MATCH(Table5[[#This Row],[PID]],Table3[[#All],[PID]],0)))</f>
        <v>45.797968614886763</v>
      </c>
      <c r="R308" s="52">
        <f>IF($C308="B",INDEX(Batters[[#All],[zScore]],MATCH(Table5[[#This Row],[PID]],Batters[[#All],[PID]],0)),INDEX(Table3[[#All],[zScore]],MATCH(Table5[[#This Row],[PID]],Table3[[#All],[PID]],0)))</f>
        <v>0.36936986694434354</v>
      </c>
      <c r="S308" s="58" t="str">
        <f>IF($C308="B",INDEX(Batters[[#All],[DEM]],MATCH(Table5[[#This Row],[PID]],Batters[[#All],[PID]],0)),INDEX(Table3[[#All],[DEM]],MATCH(Table5[[#This Row],[PID]],Table3[[#All],[PID]],0)))</f>
        <v>$38k</v>
      </c>
      <c r="T308" s="62">
        <f>IF($C308="B",INDEX(Batters[[#All],[Rnk]],MATCH(Table5[[#This Row],[PID]],Batters[[#All],[PID]],0)),INDEX(Table3[[#All],[Rnk]],MATCH(Table5[[#This Row],[PID]],Table3[[#All],[PID]],0)))</f>
        <v>164</v>
      </c>
      <c r="U308" s="68">
        <f>IF($C308="B",VLOOKUP($A308,Bat!$A$4:$BA$1621,47,FALSE),VLOOKUP($A308,Pit!$A$4:$BF$1557,56,FALSE))</f>
        <v>0</v>
      </c>
      <c r="V308" s="50">
        <f>IF($C308="B",VLOOKUP($A308,Bat!$A$4:$BA$1621,48,FALSE),VLOOKUP($A308,Pit!$A$4:$BF$1557,57,FALSE))</f>
        <v>0</v>
      </c>
      <c r="W308" s="50">
        <f>Table5[[#This Row],[posRnk]]+Table5[[#This Row],[zRnk]]+IF($W$3&lt;&gt;Table5[[#This Row],[Type]],50,0)</f>
        <v>609</v>
      </c>
      <c r="X308" s="51">
        <f>RANK(Table5[[#This Row],[zScore]],Table5[[#All],[zScore]])</f>
        <v>395</v>
      </c>
      <c r="Y308" s="50">
        <f>IFERROR(INDEX(DraftResults[[#All],[OVR]],MATCH(Table5[[#This Row],[PID]],DraftResults[[#All],[Player ID]],0)),"")</f>
        <v>304</v>
      </c>
      <c r="Z3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8" s="50">
        <f>IFERROR(INDEX(DraftResults[[#All],[Pick in Round]],MATCH(Table5[[#This Row],[PID]],DraftResults[[#All],[Player ID]],0)),"")</f>
        <v>26</v>
      </c>
      <c r="AB308" s="50" t="str">
        <f>IFERROR(INDEX(DraftResults[[#All],[Team Name]],MATCH(Table5[[#This Row],[PID]],DraftResults[[#All],[Player ID]],0)),"")</f>
        <v>Aurora Borealis</v>
      </c>
      <c r="AC308" s="50">
        <f>IF(Table5[[#This Row],[Ovr]]="","",IF(Table5[[#This Row],[cmbList]]="","",Table5[[#This Row],[cmbList]]-Table5[[#This Row],[Ovr]]))</f>
        <v>305</v>
      </c>
      <c r="AD308" s="54" t="str">
        <f>IF(ISERROR(VLOOKUP($AB308&amp;"-"&amp;$E308&amp;" "&amp;F308,Bonuses!$B$1:$G$1006,4,FALSE)),"",INT(VLOOKUP($AB308&amp;"-"&amp;$E308&amp;" "&amp;$F308,Bonuses!$B$1:$G$1006,4,FALSE)))</f>
        <v/>
      </c>
      <c r="AE3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10.26 (304) - RF Patrick MacLay</v>
      </c>
    </row>
    <row r="309" spans="1:31" s="50" customFormat="1" x14ac:dyDescent="0.25">
      <c r="A309" s="50">
        <v>20423</v>
      </c>
      <c r="B309" s="50">
        <f>COUNTIF(Table5[PID],A309)</f>
        <v>1</v>
      </c>
      <c r="C309" s="50" t="str">
        <f>IF(COUNTIF(Table3[[#All],[PID]],A309)&gt;0,"P","B")</f>
        <v>B</v>
      </c>
      <c r="D309" s="59" t="str">
        <f>IF($C309="B",INDEX(Batters[[#All],[POS]],MATCH(Table5[[#This Row],[PID]],Batters[[#All],[PID]],0)),INDEX(Table3[[#All],[POS]],MATCH(Table5[[#This Row],[PID]],Table3[[#All],[PID]],0)))</f>
        <v>LF</v>
      </c>
      <c r="E309" s="52" t="str">
        <f>IF($C309="B",INDEX(Batters[[#All],[First]],MATCH(Table5[[#This Row],[PID]],Batters[[#All],[PID]],0)),INDEX(Table3[[#All],[First]],MATCH(Table5[[#This Row],[PID]],Table3[[#All],[PID]],0)))</f>
        <v>Juan</v>
      </c>
      <c r="F309" s="50" t="str">
        <f>IF($C309="B",INDEX(Batters[[#All],[Last]],MATCH(A309,Batters[[#All],[PID]],0)),INDEX(Table3[[#All],[Last]],MATCH(A309,Table3[[#All],[PID]],0)))</f>
        <v>Amador</v>
      </c>
      <c r="G309" s="56">
        <f>IF($C309="B",INDEX(Batters[[#All],[Age]],MATCH(Table5[[#This Row],[PID]],Batters[[#All],[PID]],0)),INDEX(Table3[[#All],[Age]],MATCH(Table5[[#This Row],[PID]],Table3[[#All],[PID]],0)))</f>
        <v>17</v>
      </c>
      <c r="H309" s="52" t="str">
        <f>IF($C309="B",INDEX(Batters[[#All],[B]],MATCH(Table5[[#This Row],[PID]],Batters[[#All],[PID]],0)),INDEX(Table3[[#All],[B]],MATCH(Table5[[#This Row],[PID]],Table3[[#All],[PID]],0)))</f>
        <v>R</v>
      </c>
      <c r="I309" s="52" t="str">
        <f>IF($C309="B",INDEX(Batters[[#All],[T]],MATCH(Table5[[#This Row],[PID]],Batters[[#All],[PID]],0)),INDEX(Table3[[#All],[T]],MATCH(Table5[[#This Row],[PID]],Table3[[#All],[PID]],0)))</f>
        <v>L</v>
      </c>
      <c r="J309" s="52" t="str">
        <f>IF($C309="B",INDEX(Batters[[#All],[WE]],MATCH(Table5[[#This Row],[PID]],Batters[[#All],[PID]],0)),INDEX(Table3[[#All],[WE]],MATCH(Table5[[#This Row],[PID]],Table3[[#All],[PID]],0)))</f>
        <v>High</v>
      </c>
      <c r="K309" s="52" t="str">
        <f>IF($C309="B",INDEX(Batters[[#All],[INT]],MATCH(Table5[[#This Row],[PID]],Batters[[#All],[PID]],0)),INDEX(Table3[[#All],[INT]],MATCH(Table5[[#This Row],[PID]],Table3[[#All],[PID]],0)))</f>
        <v>Low</v>
      </c>
      <c r="L309" s="60">
        <f>IF($C309="B",INDEX(Batters[[#All],[CON P]],MATCH(Table5[[#This Row],[PID]],Batters[[#All],[PID]],0)),INDEX(Table3[[#All],[STU P]],MATCH(Table5[[#This Row],[PID]],Table3[[#All],[PID]],0)))</f>
        <v>3</v>
      </c>
      <c r="M309" s="56">
        <f>IF($C309="B",INDEX(Batters[[#All],[GAP P]],MATCH(Table5[[#This Row],[PID]],Batters[[#All],[PID]],0)),INDEX(Table3[[#All],[MOV P]],MATCH(Table5[[#This Row],[PID]],Table3[[#All],[PID]],0)))</f>
        <v>4</v>
      </c>
      <c r="N309" s="56">
        <f>IF($C309="B",INDEX(Batters[[#All],[POW P]],MATCH(Table5[[#This Row],[PID]],Batters[[#All],[PID]],0)),INDEX(Table3[[#All],[CON P]],MATCH(Table5[[#This Row],[PID]],Table3[[#All],[PID]],0)))</f>
        <v>8</v>
      </c>
      <c r="O309" s="56">
        <f>IF($C309="B",INDEX(Batters[[#All],[EYE P]],MATCH(Table5[[#This Row],[PID]],Batters[[#All],[PID]],0)),INDEX(Table3[[#All],[VELO]],MATCH(Table5[[#This Row],[PID]],Table3[[#All],[PID]],0)))</f>
        <v>6</v>
      </c>
      <c r="P309" s="56">
        <f>IF($C309="B",INDEX(Batters[[#All],[K P]],MATCH(Table5[[#This Row],[PID]],Batters[[#All],[PID]],0)),INDEX(Table3[[#All],[STM]],MATCH(Table5[[#This Row],[PID]],Table3[[#All],[PID]],0)))</f>
        <v>2</v>
      </c>
      <c r="Q309" s="61">
        <f>IF($C309="B",INDEX(Batters[[#All],[Tot]],MATCH(Table5[[#This Row],[PID]],Batters[[#All],[PID]],0)),INDEX(Table3[[#All],[Tot]],MATCH(Table5[[#This Row],[PID]],Table3[[#All],[PID]],0)))</f>
        <v>47.255148274184833</v>
      </c>
      <c r="R309" s="52">
        <f>IF($C309="B",INDEX(Batters[[#All],[zScore]],MATCH(Table5[[#This Row],[PID]],Batters[[#All],[PID]],0)),INDEX(Table3[[#All],[zScore]],MATCH(Table5[[#This Row],[PID]],Table3[[#All],[PID]],0)))</f>
        <v>0.69243644703110596</v>
      </c>
      <c r="S309" s="58" t="str">
        <f>IF($C309="B",INDEX(Batters[[#All],[DEM]],MATCH(Table5[[#This Row],[PID]],Batters[[#All],[PID]],0)),INDEX(Table3[[#All],[DEM]],MATCH(Table5[[#This Row],[PID]],Table3[[#All],[PID]],0)))</f>
        <v>$190k</v>
      </c>
      <c r="T309" s="62">
        <f>IF($C309="B",INDEX(Batters[[#All],[Rnk]],MATCH(Table5[[#This Row],[PID]],Batters[[#All],[PID]],0)),INDEX(Table3[[#All],[Rnk]],MATCH(Table5[[#This Row],[PID]],Table3[[#All],[PID]],0)))</f>
        <v>120</v>
      </c>
      <c r="U309" s="68">
        <f>IF($C309="B",VLOOKUP($A309,Bat!$A$4:$BA$1621,47,FALSE),VLOOKUP($A309,Pit!$A$4:$BF$1557,56,FALSE))</f>
        <v>0</v>
      </c>
      <c r="V309" s="50">
        <f>IF($C309="B",VLOOKUP($A309,Bat!$A$4:$BA$1621,48,FALSE),VLOOKUP($A309,Pit!$A$4:$BF$1557,57,FALSE))</f>
        <v>0</v>
      </c>
      <c r="W309" s="50">
        <f>Table5[[#This Row],[posRnk]]+Table5[[#This Row],[zRnk]]+IF($W$3&lt;&gt;Table5[[#This Row],[Type]],50,0)</f>
        <v>478</v>
      </c>
      <c r="X309" s="51">
        <f>RANK(Table5[[#This Row],[zScore]],Table5[[#All],[zScore]])</f>
        <v>308</v>
      </c>
      <c r="Y309" s="50">
        <f>IFERROR(INDEX(DraftResults[[#All],[OVR]],MATCH(Table5[[#This Row],[PID]],DraftResults[[#All],[Player ID]],0)),"")</f>
        <v>305</v>
      </c>
      <c r="Z3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09" s="50">
        <f>IFERROR(INDEX(DraftResults[[#All],[Pick in Round]],MATCH(Table5[[#This Row],[PID]],DraftResults[[#All],[Player ID]],0)),"")</f>
        <v>27</v>
      </c>
      <c r="AB309" s="50" t="str">
        <f>IFERROR(INDEX(DraftResults[[#All],[Team Name]],MATCH(Table5[[#This Row],[PID]],DraftResults[[#All],[Player ID]],0)),"")</f>
        <v>Neo-Tokyo Akira</v>
      </c>
      <c r="AC309" s="50">
        <f>IF(Table5[[#This Row],[Ovr]]="","",IF(Table5[[#This Row],[cmbList]]="","",Table5[[#This Row],[cmbList]]-Table5[[#This Row],[Ovr]]))</f>
        <v>173</v>
      </c>
      <c r="AD309" s="54" t="str">
        <f>IF(ISERROR(VLOOKUP($AB309&amp;"-"&amp;$E309&amp;" "&amp;F309,Bonuses!$B$1:$G$1006,4,FALSE)),"",INT(VLOOKUP($AB309&amp;"-"&amp;$E309&amp;" "&amp;$F309,Bonuses!$B$1:$G$1006,4,FALSE)))</f>
        <v/>
      </c>
      <c r="AE3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10.27 (305) - LF Juan Amador</v>
      </c>
    </row>
    <row r="310" spans="1:31" s="50" customFormat="1" x14ac:dyDescent="0.25">
      <c r="A310" s="68">
        <v>18196</v>
      </c>
      <c r="B310" s="69">
        <f>COUNTIF(Table5[PID],A310)</f>
        <v>1</v>
      </c>
      <c r="C310" s="69" t="str">
        <f>IF(COUNTIF(Table3[[#All],[PID]],A310)&gt;0,"P","B")</f>
        <v>P</v>
      </c>
      <c r="D310" s="59" t="str">
        <f>IF($C310="B",INDEX(Batters[[#All],[POS]],MATCH(Table5[[#This Row],[PID]],Batters[[#All],[PID]],0)),INDEX(Table3[[#All],[POS]],MATCH(Table5[[#This Row],[PID]],Table3[[#All],[PID]],0)))</f>
        <v>SP</v>
      </c>
      <c r="E310" s="52" t="str">
        <f>IF($C310="B",INDEX(Batters[[#All],[First]],MATCH(Table5[[#This Row],[PID]],Batters[[#All],[PID]],0)),INDEX(Table3[[#All],[First]],MATCH(Table5[[#This Row],[PID]],Table3[[#All],[PID]],0)))</f>
        <v>Shawn</v>
      </c>
      <c r="F310" s="55" t="str">
        <f>IF($C310="B",INDEX(Batters[[#All],[Last]],MATCH(A310,Batters[[#All],[PID]],0)),INDEX(Table3[[#All],[Last]],MATCH(A310,Table3[[#All],[PID]],0)))</f>
        <v>Bradley</v>
      </c>
      <c r="G310" s="56">
        <f>IF($C310="B",INDEX(Batters[[#All],[Age]],MATCH(Table5[[#This Row],[PID]],Batters[[#All],[PID]],0)),INDEX(Table3[[#All],[Age]],MATCH(Table5[[#This Row],[PID]],Table3[[#All],[PID]],0)))</f>
        <v>18</v>
      </c>
      <c r="H310" s="52" t="str">
        <f>IF($C310="B",INDEX(Batters[[#All],[B]],MATCH(Table5[[#This Row],[PID]],Batters[[#All],[PID]],0)),INDEX(Table3[[#All],[B]],MATCH(Table5[[#This Row],[PID]],Table3[[#All],[PID]],0)))</f>
        <v>L</v>
      </c>
      <c r="I310" s="52" t="str">
        <f>IF($C310="B",INDEX(Batters[[#All],[T]],MATCH(Table5[[#This Row],[PID]],Batters[[#All],[PID]],0)),INDEX(Table3[[#All],[T]],MATCH(Table5[[#This Row],[PID]],Table3[[#All],[PID]],0)))</f>
        <v>R</v>
      </c>
      <c r="J310" s="71" t="str">
        <f>IF($C310="B",INDEX(Batters[[#All],[WE]],MATCH(Table5[[#This Row],[PID]],Batters[[#All],[PID]],0)),INDEX(Table3[[#All],[WE]],MATCH(Table5[[#This Row],[PID]],Table3[[#All],[PID]],0)))</f>
        <v>Normal</v>
      </c>
      <c r="K310" s="52" t="str">
        <f>IF($C310="B",INDEX(Batters[[#All],[INT]],MATCH(Table5[[#This Row],[PID]],Batters[[#All],[PID]],0)),INDEX(Table3[[#All],[INT]],MATCH(Table5[[#This Row],[PID]],Table3[[#All],[PID]],0)))</f>
        <v>Normal</v>
      </c>
      <c r="L310" s="60">
        <f>IF($C310="B",INDEX(Batters[[#All],[CON P]],MATCH(Table5[[#This Row],[PID]],Batters[[#All],[PID]],0)),INDEX(Table3[[#All],[STU P]],MATCH(Table5[[#This Row],[PID]],Table3[[#All],[PID]],0)))</f>
        <v>5</v>
      </c>
      <c r="M310" s="72">
        <f>IF($C310="B",INDEX(Batters[[#All],[GAP P]],MATCH(Table5[[#This Row],[PID]],Batters[[#All],[PID]],0)),INDEX(Table3[[#All],[MOV P]],MATCH(Table5[[#This Row],[PID]],Table3[[#All],[PID]],0)))</f>
        <v>2</v>
      </c>
      <c r="N310" s="72">
        <f>IF($C310="B",INDEX(Batters[[#All],[POW P]],MATCH(Table5[[#This Row],[PID]],Batters[[#All],[PID]],0)),INDEX(Table3[[#All],[CON P]],MATCH(Table5[[#This Row],[PID]],Table3[[#All],[PID]],0)))</f>
        <v>5</v>
      </c>
      <c r="O310" s="72" t="str">
        <f>IF($C310="B",INDEX(Batters[[#All],[EYE P]],MATCH(Table5[[#This Row],[PID]],Batters[[#All],[PID]],0)),INDEX(Table3[[#All],[VELO]],MATCH(Table5[[#This Row],[PID]],Table3[[#All],[PID]],0)))</f>
        <v>91-93 Mph</v>
      </c>
      <c r="P310" s="56">
        <f>IF($C310="B",INDEX(Batters[[#All],[K P]],MATCH(Table5[[#This Row],[PID]],Batters[[#All],[PID]],0)),INDEX(Table3[[#All],[STM]],MATCH(Table5[[#This Row],[PID]],Table3[[#All],[PID]],0)))</f>
        <v>7</v>
      </c>
      <c r="Q310" s="61">
        <f>IF($C310="B",INDEX(Batters[[#All],[Tot]],MATCH(Table5[[#This Row],[PID]],Batters[[#All],[PID]],0)),INDEX(Table3[[#All],[Tot]],MATCH(Table5[[#This Row],[PID]],Table3[[#All],[PID]],0)))</f>
        <v>51.03752358964762</v>
      </c>
      <c r="R310" s="52">
        <f>IF($C310="B",INDEX(Batters[[#All],[zScore]],MATCH(Table5[[#This Row],[PID]],Batters[[#All],[PID]],0)),INDEX(Table3[[#All],[zScore]],MATCH(Table5[[#This Row],[PID]],Table3[[#All],[PID]],0)))</f>
        <v>0.90650779666438364</v>
      </c>
      <c r="S310" s="78" t="str">
        <f>IF($C310="B",INDEX(Batters[[#All],[DEM]],MATCH(Table5[[#This Row],[PID]],Batters[[#All],[PID]],0)),INDEX(Table3[[#All],[DEM]],MATCH(Table5[[#This Row],[PID]],Table3[[#All],[PID]],0)))</f>
        <v>$190k</v>
      </c>
      <c r="T310" s="75">
        <f>IF($C310="B",INDEX(Batters[[#All],[Rnk]],MATCH(Table5[[#This Row],[PID]],Batters[[#All],[PID]],0)),INDEX(Table3[[#All],[Rnk]],MATCH(Table5[[#This Row],[PID]],Table3[[#All],[PID]],0)))</f>
        <v>152</v>
      </c>
      <c r="U310" s="68">
        <f>IF($C310="B",VLOOKUP($A310,Bat!$A$4:$BA$1621,47,FALSE),VLOOKUP($A310,Pit!$A$4:$BF$1557,56,FALSE))</f>
        <v>0</v>
      </c>
      <c r="V310" s="50">
        <f>IF($C310="B",VLOOKUP($A310,Bat!$A$4:$BA$1621,48,FALSE),VLOOKUP($A310,Pit!$A$4:$BF$1557,57,FALSE))</f>
        <v>0</v>
      </c>
      <c r="W310" s="69">
        <f>Table5[[#This Row],[posRnk]]+Table5[[#This Row],[zRnk]]+IF($W$3&lt;&gt;Table5[[#This Row],[Type]],50,0)</f>
        <v>454</v>
      </c>
      <c r="X310" s="73">
        <f>RANK(Table5[[#This Row],[zScore]],Table5[[#All],[zScore]])</f>
        <v>252</v>
      </c>
      <c r="Y310" s="69">
        <f>IFERROR(INDEX(DraftResults[[#All],[OVR]],MATCH(Table5[[#This Row],[PID]],DraftResults[[#All],[Player ID]],0)),"")</f>
        <v>306</v>
      </c>
      <c r="Z31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10" s="69">
        <f>IFERROR(INDEX(DraftResults[[#All],[Pick in Round]],MATCH(Table5[[#This Row],[PID]],DraftResults[[#All],[Player ID]],0)),"")</f>
        <v>28</v>
      </c>
      <c r="AB310" s="69" t="str">
        <f>IFERROR(INDEX(DraftResults[[#All],[Team Name]],MATCH(Table5[[#This Row],[PID]],DraftResults[[#All],[Player ID]],0)),"")</f>
        <v>San Juan Coqui</v>
      </c>
      <c r="AC310" s="69">
        <f>IF(Table5[[#This Row],[Ovr]]="","",IF(Table5[[#This Row],[cmbList]]="","",Table5[[#This Row],[cmbList]]-Table5[[#This Row],[Ovr]]))</f>
        <v>148</v>
      </c>
      <c r="AD310" s="77" t="str">
        <f>IF(ISERROR(VLOOKUP($AB310&amp;"-"&amp;$E310&amp;" "&amp;F310,Bonuses!$B$1:$G$1006,4,FALSE)),"",INT(VLOOKUP($AB310&amp;"-"&amp;$E310&amp;" "&amp;$F310,Bonuses!$B$1:$G$1006,4,FALSE)))</f>
        <v/>
      </c>
      <c r="AE31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10.28 (306) - SP Shawn Bradley</v>
      </c>
    </row>
    <row r="311" spans="1:31" s="50" customFormat="1" x14ac:dyDescent="0.25">
      <c r="A311" s="50">
        <v>18351</v>
      </c>
      <c r="B311" s="50">
        <f>COUNTIF(Table5[PID],A311)</f>
        <v>1</v>
      </c>
      <c r="C311" s="50" t="str">
        <f>IF(COUNTIF(Table3[[#All],[PID]],A311)&gt;0,"P","B")</f>
        <v>B</v>
      </c>
      <c r="D311" s="59" t="str">
        <f>IF($C311="B",INDEX(Batters[[#All],[POS]],MATCH(Table5[[#This Row],[PID]],Batters[[#All],[PID]],0)),INDEX(Table3[[#All],[POS]],MATCH(Table5[[#This Row],[PID]],Table3[[#All],[PID]],0)))</f>
        <v>3B</v>
      </c>
      <c r="E311" s="52" t="str">
        <f>IF($C311="B",INDEX(Batters[[#All],[First]],MATCH(Table5[[#This Row],[PID]],Batters[[#All],[PID]],0)),INDEX(Table3[[#All],[First]],MATCH(Table5[[#This Row],[PID]],Table3[[#All],[PID]],0)))</f>
        <v>Ron</v>
      </c>
      <c r="F311" s="50" t="str">
        <f>IF($C311="B",INDEX(Batters[[#All],[Last]],MATCH(A311,Batters[[#All],[PID]],0)),INDEX(Table3[[#All],[Last]],MATCH(A311,Table3[[#All],[PID]],0)))</f>
        <v>Fields</v>
      </c>
      <c r="G311" s="56">
        <f>IF($C311="B",INDEX(Batters[[#All],[Age]],MATCH(Table5[[#This Row],[PID]],Batters[[#All],[PID]],0)),INDEX(Table3[[#All],[Age]],MATCH(Table5[[#This Row],[PID]],Table3[[#All],[PID]],0)))</f>
        <v>18</v>
      </c>
      <c r="H311" s="52" t="str">
        <f>IF($C311="B",INDEX(Batters[[#All],[B]],MATCH(Table5[[#This Row],[PID]],Batters[[#All],[PID]],0)),INDEX(Table3[[#All],[B]],MATCH(Table5[[#This Row],[PID]],Table3[[#All],[PID]],0)))</f>
        <v>S</v>
      </c>
      <c r="I311" s="52" t="str">
        <f>IF($C311="B",INDEX(Batters[[#All],[T]],MATCH(Table5[[#This Row],[PID]],Batters[[#All],[PID]],0)),INDEX(Table3[[#All],[T]],MATCH(Table5[[#This Row],[PID]],Table3[[#All],[PID]],0)))</f>
        <v>R</v>
      </c>
      <c r="J311" s="52" t="str">
        <f>IF($C311="B",INDEX(Batters[[#All],[WE]],MATCH(Table5[[#This Row],[PID]],Batters[[#All],[PID]],0)),INDEX(Table3[[#All],[WE]],MATCH(Table5[[#This Row],[PID]],Table3[[#All],[PID]],0)))</f>
        <v>Low</v>
      </c>
      <c r="K311" s="52" t="str">
        <f>IF($C311="B",INDEX(Batters[[#All],[INT]],MATCH(Table5[[#This Row],[PID]],Batters[[#All],[PID]],0)),INDEX(Table3[[#All],[INT]],MATCH(Table5[[#This Row],[PID]],Table3[[#All],[PID]],0)))</f>
        <v>Normal</v>
      </c>
      <c r="L311" s="60">
        <f>IF($C311="B",INDEX(Batters[[#All],[CON P]],MATCH(Table5[[#This Row],[PID]],Batters[[#All],[PID]],0)),INDEX(Table3[[#All],[STU P]],MATCH(Table5[[#This Row],[PID]],Table3[[#All],[PID]],0)))</f>
        <v>4</v>
      </c>
      <c r="M311" s="56">
        <f>IF($C311="B",INDEX(Batters[[#All],[GAP P]],MATCH(Table5[[#This Row],[PID]],Batters[[#All],[PID]],0)),INDEX(Table3[[#All],[MOV P]],MATCH(Table5[[#This Row],[PID]],Table3[[#All],[PID]],0)))</f>
        <v>6</v>
      </c>
      <c r="N311" s="56">
        <f>IF($C311="B",INDEX(Batters[[#All],[POW P]],MATCH(Table5[[#This Row],[PID]],Batters[[#All],[PID]],0)),INDEX(Table3[[#All],[CON P]],MATCH(Table5[[#This Row],[PID]],Table3[[#All],[PID]],0)))</f>
        <v>5</v>
      </c>
      <c r="O311" s="56">
        <f>IF($C311="B",INDEX(Batters[[#All],[EYE P]],MATCH(Table5[[#This Row],[PID]],Batters[[#All],[PID]],0)),INDEX(Table3[[#All],[VELO]],MATCH(Table5[[#This Row],[PID]],Table3[[#All],[PID]],0)))</f>
        <v>5</v>
      </c>
      <c r="P311" s="56">
        <f>IF($C311="B",INDEX(Batters[[#All],[K P]],MATCH(Table5[[#This Row],[PID]],Batters[[#All],[PID]],0)),INDEX(Table3[[#All],[STM]],MATCH(Table5[[#This Row],[PID]],Table3[[#All],[PID]],0)))</f>
        <v>4</v>
      </c>
      <c r="Q311" s="61">
        <f>IF($C311="B",INDEX(Batters[[#All],[Tot]],MATCH(Table5[[#This Row],[PID]],Batters[[#All],[PID]],0)),INDEX(Table3[[#All],[Tot]],MATCH(Table5[[#This Row],[PID]],Table3[[#All],[PID]],0)))</f>
        <v>48.96967009685946</v>
      </c>
      <c r="R311" s="52">
        <f>IF($C311="B",INDEX(Batters[[#All],[zScore]],MATCH(Table5[[#This Row],[PID]],Batters[[#All],[PID]],0)),INDEX(Table3[[#All],[zScore]],MATCH(Table5[[#This Row],[PID]],Table3[[#All],[PID]],0)))</f>
        <v>1.0725575242100398</v>
      </c>
      <c r="S311" s="58" t="str">
        <f>IF($C311="B",INDEX(Batters[[#All],[DEM]],MATCH(Table5[[#This Row],[PID]],Batters[[#All],[PID]],0)),INDEX(Table3[[#All],[DEM]],MATCH(Table5[[#This Row],[PID]],Table3[[#All],[PID]],0)))</f>
        <v>$200k</v>
      </c>
      <c r="T311" s="62">
        <f>IF($C311="B",INDEX(Batters[[#All],[Rnk]],MATCH(Table5[[#This Row],[PID]],Batters[[#All],[PID]],0)),INDEX(Table3[[#All],[Rnk]],MATCH(Table5[[#This Row],[PID]],Table3[[#All],[PID]],0)))</f>
        <v>85</v>
      </c>
      <c r="U311" s="68">
        <f>IF($C311="B",VLOOKUP($A311,Bat!$A$4:$BA$1621,47,FALSE),VLOOKUP($A311,Pit!$A$4:$BF$1557,56,FALSE))</f>
        <v>0</v>
      </c>
      <c r="V311" s="50">
        <f>IF($C311="B",VLOOKUP($A311,Bat!$A$4:$BA$1621,48,FALSE),VLOOKUP($A311,Pit!$A$4:$BF$1557,57,FALSE))</f>
        <v>0</v>
      </c>
      <c r="W311" s="50">
        <f>Table5[[#This Row],[posRnk]]+Table5[[#This Row],[zRnk]]+IF($W$3&lt;&gt;Table5[[#This Row],[Type]],50,0)</f>
        <v>347</v>
      </c>
      <c r="X311" s="51">
        <f>RANK(Table5[[#This Row],[zScore]],Table5[[#All],[zScore]])</f>
        <v>212</v>
      </c>
      <c r="Y311" s="50">
        <f>IFERROR(INDEX(DraftResults[[#All],[OVR]],MATCH(Table5[[#This Row],[PID]],DraftResults[[#All],[Player ID]],0)),"")</f>
        <v>307</v>
      </c>
      <c r="Z3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11" s="50">
        <f>IFERROR(INDEX(DraftResults[[#All],[Pick in Round]],MATCH(Table5[[#This Row],[PID]],DraftResults[[#All],[Player ID]],0)),"")</f>
        <v>29</v>
      </c>
      <c r="AB311" s="50" t="str">
        <f>IFERROR(INDEX(DraftResults[[#All],[Team Name]],MATCH(Table5[[#This Row],[PID]],DraftResults[[#All],[Player ID]],0)),"")</f>
        <v>Havana Leones</v>
      </c>
      <c r="AC311" s="50">
        <f>IF(Table5[[#This Row],[Ovr]]="","",IF(Table5[[#This Row],[cmbList]]="","",Table5[[#This Row],[cmbList]]-Table5[[#This Row],[Ovr]]))</f>
        <v>40</v>
      </c>
      <c r="AD311" s="54" t="str">
        <f>IF(ISERROR(VLOOKUP($AB311&amp;"-"&amp;$E311&amp;" "&amp;F311,Bonuses!$B$1:$G$1006,4,FALSE)),"",INT(VLOOKUP($AB311&amp;"-"&amp;$E311&amp;" "&amp;$F311,Bonuses!$B$1:$G$1006,4,FALSE)))</f>
        <v/>
      </c>
      <c r="AE3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10.29 (307) - 3B Ron Fields</v>
      </c>
    </row>
    <row r="312" spans="1:31" s="50" customFormat="1" x14ac:dyDescent="0.25">
      <c r="A312" s="68">
        <v>20830</v>
      </c>
      <c r="B312" s="69">
        <f>COUNTIF(Table5[PID],A312)</f>
        <v>1</v>
      </c>
      <c r="C312" s="69" t="str">
        <f>IF(COUNTIF(Table3[[#All],[PID]],A312)&gt;0,"P","B")</f>
        <v>P</v>
      </c>
      <c r="D312" s="59" t="str">
        <f>IF($C312="B",INDEX(Batters[[#All],[POS]],MATCH(Table5[[#This Row],[PID]],Batters[[#All],[PID]],0)),INDEX(Table3[[#All],[POS]],MATCH(Table5[[#This Row],[PID]],Table3[[#All],[PID]],0)))</f>
        <v>SP</v>
      </c>
      <c r="E312" s="52" t="str">
        <f>IF($C312="B",INDEX(Batters[[#All],[First]],MATCH(Table5[[#This Row],[PID]],Batters[[#All],[PID]],0)),INDEX(Table3[[#All],[First]],MATCH(Table5[[#This Row],[PID]],Table3[[#All],[PID]],0)))</f>
        <v>John</v>
      </c>
      <c r="F312" s="55" t="str">
        <f>IF($C312="B",INDEX(Batters[[#All],[Last]],MATCH(A312,Batters[[#All],[PID]],0)),INDEX(Table3[[#All],[Last]],MATCH(A312,Table3[[#All],[PID]],0)))</f>
        <v>Burns</v>
      </c>
      <c r="G312" s="56">
        <f>IF($C312="B",INDEX(Batters[[#All],[Age]],MATCH(Table5[[#This Row],[PID]],Batters[[#All],[PID]],0)),INDEX(Table3[[#All],[Age]],MATCH(Table5[[#This Row],[PID]],Table3[[#All],[PID]],0)))</f>
        <v>17</v>
      </c>
      <c r="H312" s="52" t="str">
        <f>IF($C312="B",INDEX(Batters[[#All],[B]],MATCH(Table5[[#This Row],[PID]],Batters[[#All],[PID]],0)),INDEX(Table3[[#All],[B]],MATCH(Table5[[#This Row],[PID]],Table3[[#All],[PID]],0)))</f>
        <v>R</v>
      </c>
      <c r="I312" s="52" t="str">
        <f>IF($C312="B",INDEX(Batters[[#All],[T]],MATCH(Table5[[#This Row],[PID]],Batters[[#All],[PID]],0)),INDEX(Table3[[#All],[T]],MATCH(Table5[[#This Row],[PID]],Table3[[#All],[PID]],0)))</f>
        <v>R</v>
      </c>
      <c r="J312" s="71" t="str">
        <f>IF($C312="B",INDEX(Batters[[#All],[WE]],MATCH(Table5[[#This Row],[PID]],Batters[[#All],[PID]],0)),INDEX(Table3[[#All],[WE]],MATCH(Table5[[#This Row],[PID]],Table3[[#All],[PID]],0)))</f>
        <v>Normal</v>
      </c>
      <c r="K312" s="52" t="str">
        <f>IF($C312="B",INDEX(Batters[[#All],[INT]],MATCH(Table5[[#This Row],[PID]],Batters[[#All],[PID]],0)),INDEX(Table3[[#All],[INT]],MATCH(Table5[[#This Row],[PID]],Table3[[#All],[PID]],0)))</f>
        <v>Normal</v>
      </c>
      <c r="L312" s="60">
        <f>IF($C312="B",INDEX(Batters[[#All],[CON P]],MATCH(Table5[[#This Row],[PID]],Batters[[#All],[PID]],0)),INDEX(Table3[[#All],[STU P]],MATCH(Table5[[#This Row],[PID]],Table3[[#All],[PID]],0)))</f>
        <v>4</v>
      </c>
      <c r="M312" s="72">
        <f>IF($C312="B",INDEX(Batters[[#All],[GAP P]],MATCH(Table5[[#This Row],[PID]],Batters[[#All],[PID]],0)),INDEX(Table3[[#All],[MOV P]],MATCH(Table5[[#This Row],[PID]],Table3[[#All],[PID]],0)))</f>
        <v>5</v>
      </c>
      <c r="N312" s="72">
        <f>IF($C312="B",INDEX(Batters[[#All],[POW P]],MATCH(Table5[[#This Row],[PID]],Batters[[#All],[PID]],0)),INDEX(Table3[[#All],[CON P]],MATCH(Table5[[#This Row],[PID]],Table3[[#All],[PID]],0)))</f>
        <v>6</v>
      </c>
      <c r="O312" s="72" t="str">
        <f>IF($C312="B",INDEX(Batters[[#All],[EYE P]],MATCH(Table5[[#This Row],[PID]],Batters[[#All],[PID]],0)),INDEX(Table3[[#All],[VELO]],MATCH(Table5[[#This Row],[PID]],Table3[[#All],[PID]],0)))</f>
        <v>89-91 Mph</v>
      </c>
      <c r="P312" s="56">
        <f>IF($C312="B",INDEX(Batters[[#All],[K P]],MATCH(Table5[[#This Row],[PID]],Batters[[#All],[PID]],0)),INDEX(Table3[[#All],[STM]],MATCH(Table5[[#This Row],[PID]],Table3[[#All],[PID]],0)))</f>
        <v>8</v>
      </c>
      <c r="Q312" s="61">
        <f>IF($C312="B",INDEX(Batters[[#All],[Tot]],MATCH(Table5[[#This Row],[PID]],Batters[[#All],[PID]],0)),INDEX(Table3[[#All],[Tot]],MATCH(Table5[[#This Row],[PID]],Table3[[#All],[PID]],0)))</f>
        <v>56.427073141447849</v>
      </c>
      <c r="R312" s="52">
        <f>IF($C312="B",INDEX(Batters[[#All],[zScore]],MATCH(Table5[[#This Row],[PID]],Batters[[#All],[PID]],0)),INDEX(Table3[[#All],[zScore]],MATCH(Table5[[#This Row],[PID]],Table3[[#All],[PID]],0)))</f>
        <v>1.3675956658182911</v>
      </c>
      <c r="S312" s="78" t="str">
        <f>IF($C312="B",INDEX(Batters[[#All],[DEM]],MATCH(Table5[[#This Row],[PID]],Batters[[#All],[PID]],0)),INDEX(Table3[[#All],[DEM]],MATCH(Table5[[#This Row],[PID]],Table3[[#All],[PID]],0)))</f>
        <v>$90k</v>
      </c>
      <c r="T312" s="75">
        <f>IF($C312="B",INDEX(Batters[[#All],[Rnk]],MATCH(Table5[[#This Row],[PID]],Batters[[#All],[PID]],0)),INDEX(Table3[[#All],[Rnk]],MATCH(Table5[[#This Row],[PID]],Table3[[#All],[PID]],0)))</f>
        <v>90</v>
      </c>
      <c r="U312" s="68">
        <f>IF($C312="B",VLOOKUP($A312,Bat!$A$4:$BA$1621,47,FALSE),VLOOKUP($A312,Pit!$A$4:$BF$1557,56,FALSE))</f>
        <v>0</v>
      </c>
      <c r="V312" s="50">
        <f>IF($C312="B",VLOOKUP($A312,Bat!$A$4:$BA$1621,48,FALSE),VLOOKUP($A312,Pit!$A$4:$BF$1557,57,FALSE))</f>
        <v>0</v>
      </c>
      <c r="W312" s="69">
        <f>Table5[[#This Row],[posRnk]]+Table5[[#This Row],[zRnk]]+IF($W$3&lt;&gt;Table5[[#This Row],[Type]],50,0)</f>
        <v>282</v>
      </c>
      <c r="X312" s="73">
        <f>RANK(Table5[[#This Row],[zScore]],Table5[[#All],[zScore]])</f>
        <v>142</v>
      </c>
      <c r="Y312" s="69">
        <f>IFERROR(INDEX(DraftResults[[#All],[OVR]],MATCH(Table5[[#This Row],[PID]],DraftResults[[#All],[Player ID]],0)),"")</f>
        <v>308</v>
      </c>
      <c r="Z31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10</v>
      </c>
      <c r="AA312" s="69">
        <f>IFERROR(INDEX(DraftResults[[#All],[Pick in Round]],MATCH(Table5[[#This Row],[PID]],DraftResults[[#All],[Player ID]],0)),"")</f>
        <v>30</v>
      </c>
      <c r="AB312" s="69" t="str">
        <f>IFERROR(INDEX(DraftResults[[#All],[Team Name]],MATCH(Table5[[#This Row],[PID]],DraftResults[[#All],[Player ID]],0)),"")</f>
        <v>Florida Farstriders</v>
      </c>
      <c r="AC312" s="69">
        <f>IF(Table5[[#This Row],[Ovr]]="","",IF(Table5[[#This Row],[cmbList]]="","",Table5[[#This Row],[cmbList]]-Table5[[#This Row],[Ovr]]))</f>
        <v>-26</v>
      </c>
      <c r="AD312" s="77" t="str">
        <f>IF(ISERROR(VLOOKUP($AB312&amp;"-"&amp;$E312&amp;" "&amp;F312,Bonuses!$B$1:$G$1006,4,FALSE)),"",INT(VLOOKUP($AB312&amp;"-"&amp;$E312&amp;" "&amp;$F312,Bonuses!$B$1:$G$1006,4,FALSE)))</f>
        <v/>
      </c>
      <c r="AE31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10.30 (308) - SP John Burns</v>
      </c>
    </row>
    <row r="313" spans="1:31" s="50" customFormat="1" x14ac:dyDescent="0.25">
      <c r="A313" s="50">
        <v>15327</v>
      </c>
      <c r="B313" s="50">
        <f>COUNTIF(Table5[PID],A313)</f>
        <v>1</v>
      </c>
      <c r="C313" s="50" t="str">
        <f>IF(COUNTIF(Table3[[#All],[PID]],A313)&gt;0,"P","B")</f>
        <v>B</v>
      </c>
      <c r="D313" s="59" t="str">
        <f>IF($C313="B",INDEX(Batters[[#All],[POS]],MATCH(Table5[[#This Row],[PID]],Batters[[#All],[PID]],0)),INDEX(Table3[[#All],[POS]],MATCH(Table5[[#This Row],[PID]],Table3[[#All],[PID]],0)))</f>
        <v>1B</v>
      </c>
      <c r="E313" s="52" t="str">
        <f>IF($C313="B",INDEX(Batters[[#All],[First]],MATCH(Table5[[#This Row],[PID]],Batters[[#All],[PID]],0)),INDEX(Table3[[#All],[First]],MATCH(Table5[[#This Row],[PID]],Table3[[#All],[PID]],0)))</f>
        <v>Bryan</v>
      </c>
      <c r="F313" s="50" t="str">
        <f>IF($C313="B",INDEX(Batters[[#All],[Last]],MATCH(A313,Batters[[#All],[PID]],0)),INDEX(Table3[[#All],[Last]],MATCH(A313,Table3[[#All],[PID]],0)))</f>
        <v>Addison</v>
      </c>
      <c r="G313" s="56">
        <f>IF($C313="B",INDEX(Batters[[#All],[Age]],MATCH(Table5[[#This Row],[PID]],Batters[[#All],[PID]],0)),INDEX(Table3[[#All],[Age]],MATCH(Table5[[#This Row],[PID]],Table3[[#All],[PID]],0)))</f>
        <v>18</v>
      </c>
      <c r="H313" s="52" t="str">
        <f>IF($C313="B",INDEX(Batters[[#All],[B]],MATCH(Table5[[#This Row],[PID]],Batters[[#All],[PID]],0)),INDEX(Table3[[#All],[B]],MATCH(Table5[[#This Row],[PID]],Table3[[#All],[PID]],0)))</f>
        <v>R</v>
      </c>
      <c r="I313" s="52" t="str">
        <f>IF($C313="B",INDEX(Batters[[#All],[T]],MATCH(Table5[[#This Row],[PID]],Batters[[#All],[PID]],0)),INDEX(Table3[[#All],[T]],MATCH(Table5[[#This Row],[PID]],Table3[[#All],[PID]],0)))</f>
        <v>L</v>
      </c>
      <c r="J313" s="52" t="str">
        <f>IF($C313="B",INDEX(Batters[[#All],[WE]],MATCH(Table5[[#This Row],[PID]],Batters[[#All],[PID]],0)),INDEX(Table3[[#All],[WE]],MATCH(Table5[[#This Row],[PID]],Table3[[#All],[PID]],0)))</f>
        <v>Low</v>
      </c>
      <c r="K313" s="52" t="str">
        <f>IF($C313="B",INDEX(Batters[[#All],[INT]],MATCH(Table5[[#This Row],[PID]],Batters[[#All],[PID]],0)),INDEX(Table3[[#All],[INT]],MATCH(Table5[[#This Row],[PID]],Table3[[#All],[PID]],0)))</f>
        <v>Normal</v>
      </c>
      <c r="L313" s="60">
        <f>IF($C313="B",INDEX(Batters[[#All],[CON P]],MATCH(Table5[[#This Row],[PID]],Batters[[#All],[PID]],0)),INDEX(Table3[[#All],[STU P]],MATCH(Table5[[#This Row],[PID]],Table3[[#All],[PID]],0)))</f>
        <v>4</v>
      </c>
      <c r="M313" s="56">
        <f>IF($C313="B",INDEX(Batters[[#All],[GAP P]],MATCH(Table5[[#This Row],[PID]],Batters[[#All],[PID]],0)),INDEX(Table3[[#All],[MOV P]],MATCH(Table5[[#This Row],[PID]],Table3[[#All],[PID]],0)))</f>
        <v>5</v>
      </c>
      <c r="N313" s="56">
        <f>IF($C313="B",INDEX(Batters[[#All],[POW P]],MATCH(Table5[[#This Row],[PID]],Batters[[#All],[PID]],0)),INDEX(Table3[[#All],[CON P]],MATCH(Table5[[#This Row],[PID]],Table3[[#All],[PID]],0)))</f>
        <v>7</v>
      </c>
      <c r="O313" s="56">
        <f>IF($C313="B",INDEX(Batters[[#All],[EYE P]],MATCH(Table5[[#This Row],[PID]],Batters[[#All],[PID]],0)),INDEX(Table3[[#All],[VELO]],MATCH(Table5[[#This Row],[PID]],Table3[[#All],[PID]],0)))</f>
        <v>6</v>
      </c>
      <c r="P313" s="56">
        <f>IF($C313="B",INDEX(Batters[[#All],[K P]],MATCH(Table5[[#This Row],[PID]],Batters[[#All],[PID]],0)),INDEX(Table3[[#All],[STM]],MATCH(Table5[[#This Row],[PID]],Table3[[#All],[PID]],0)))</f>
        <v>3</v>
      </c>
      <c r="Q313" s="61">
        <f>IF($C313="B",INDEX(Batters[[#All],[Tot]],MATCH(Table5[[#This Row],[PID]],Batters[[#All],[PID]],0)),INDEX(Table3[[#All],[Tot]],MATCH(Table5[[#This Row],[PID]],Table3[[#All],[PID]],0)))</f>
        <v>50.905382714754779</v>
      </c>
      <c r="R313" s="52">
        <f>IF($C313="B",INDEX(Batters[[#All],[zScore]],MATCH(Table5[[#This Row],[PID]],Batters[[#All],[PID]],0)),INDEX(Table3[[#All],[zScore]],MATCH(Table5[[#This Row],[PID]],Table3[[#All],[PID]],0)))</f>
        <v>1.5017180958004195</v>
      </c>
      <c r="S313" s="58" t="str">
        <f>IF($C313="B",INDEX(Batters[[#All],[DEM]],MATCH(Table5[[#This Row],[PID]],Batters[[#All],[PID]],0)),INDEX(Table3[[#All],[DEM]],MATCH(Table5[[#This Row],[PID]],Table3[[#All],[PID]],0)))</f>
        <v>$190k</v>
      </c>
      <c r="T313" s="62">
        <f>IF($C313="B",INDEX(Batters[[#All],[Rnk]],MATCH(Table5[[#This Row],[PID]],Batters[[#All],[PID]],0)),INDEX(Table3[[#All],[Rnk]],MATCH(Table5[[#This Row],[PID]],Table3[[#All],[PID]],0)))</f>
        <v>47</v>
      </c>
      <c r="U313" s="68">
        <f>IF($C313="B",VLOOKUP($A313,Bat!$A$4:$BA$1621,47,FALSE),VLOOKUP($A313,Pit!$A$4:$BF$1557,56,FALSE))</f>
        <v>0</v>
      </c>
      <c r="V313" s="50">
        <f>IF($C313="B",VLOOKUP($A313,Bat!$A$4:$BA$1621,48,FALSE),VLOOKUP($A313,Pit!$A$4:$BF$1557,57,FALSE))</f>
        <v>0</v>
      </c>
      <c r="W313" s="50">
        <f>Table5[[#This Row],[posRnk]]+Table5[[#This Row],[zRnk]]+IF($W$3&lt;&gt;Table5[[#This Row],[Type]],50,0)</f>
        <v>217</v>
      </c>
      <c r="X313" s="51">
        <f>RANK(Table5[[#This Row],[zScore]],Table5[[#All],[zScore]])</f>
        <v>120</v>
      </c>
      <c r="Y313" s="50">
        <f>IFERROR(INDEX(DraftResults[[#All],[OVR]],MATCH(Table5[[#This Row],[PID]],DraftResults[[#All],[Player ID]],0)),"")</f>
        <v>309</v>
      </c>
      <c r="Z3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3" s="50">
        <f>IFERROR(INDEX(DraftResults[[#All],[Pick in Round]],MATCH(Table5[[#This Row],[PID]],DraftResults[[#All],[Player ID]],0)),"")</f>
        <v>1</v>
      </c>
      <c r="AB313" s="50" t="str">
        <f>IFERROR(INDEX(DraftResults[[#All],[Team Name]],MATCH(Table5[[#This Row],[PID]],DraftResults[[#All],[Player ID]],0)),"")</f>
        <v>Yuma Arroyos</v>
      </c>
      <c r="AC313" s="50">
        <f>IF(Table5[[#This Row],[Ovr]]="","",IF(Table5[[#This Row],[cmbList]]="","",Table5[[#This Row],[cmbList]]-Table5[[#This Row],[Ovr]]))</f>
        <v>-92</v>
      </c>
      <c r="AD313" s="54" t="str">
        <f>IF(ISERROR(VLOOKUP($AB313&amp;"-"&amp;$E313&amp;" "&amp;F313,Bonuses!$B$1:$G$1006,4,FALSE)),"",INT(VLOOKUP($AB313&amp;"-"&amp;$E313&amp;" "&amp;$F313,Bonuses!$B$1:$G$1006,4,FALSE)))</f>
        <v/>
      </c>
      <c r="AE3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 (309) - 1B Bryan Addison</v>
      </c>
    </row>
    <row r="314" spans="1:31" s="50" customFormat="1" x14ac:dyDescent="0.25">
      <c r="A314" s="50">
        <v>18182</v>
      </c>
      <c r="B314" s="50">
        <f>COUNTIF(Table5[PID],A314)</f>
        <v>1</v>
      </c>
      <c r="C314" s="50" t="str">
        <f>IF(COUNTIF(Table3[[#All],[PID]],A314)&gt;0,"P","B")</f>
        <v>P</v>
      </c>
      <c r="D314" s="59" t="str">
        <f>IF($C314="B",INDEX(Batters[[#All],[POS]],MATCH(Table5[[#This Row],[PID]],Batters[[#All],[PID]],0)),INDEX(Table3[[#All],[POS]],MATCH(Table5[[#This Row],[PID]],Table3[[#All],[PID]],0)))</f>
        <v>RP</v>
      </c>
      <c r="E314" s="52" t="str">
        <f>IF($C314="B",INDEX(Batters[[#All],[First]],MATCH(Table5[[#This Row],[PID]],Batters[[#All],[PID]],0)),INDEX(Table3[[#All],[First]],MATCH(Table5[[#This Row],[PID]],Table3[[#All],[PID]],0)))</f>
        <v>John</v>
      </c>
      <c r="F314" s="50" t="str">
        <f>IF($C314="B",INDEX(Batters[[#All],[Last]],MATCH(A314,Batters[[#All],[PID]],0)),INDEX(Table3[[#All],[Last]],MATCH(A314,Table3[[#All],[PID]],0)))</f>
        <v>McVurie</v>
      </c>
      <c r="G314" s="56">
        <f>IF($C314="B",INDEX(Batters[[#All],[Age]],MATCH(Table5[[#This Row],[PID]],Batters[[#All],[PID]],0)),INDEX(Table3[[#All],[Age]],MATCH(Table5[[#This Row],[PID]],Table3[[#All],[PID]],0)))</f>
        <v>18</v>
      </c>
      <c r="H314" s="52" t="str">
        <f>IF($C314="B",INDEX(Batters[[#All],[B]],MATCH(Table5[[#This Row],[PID]],Batters[[#All],[PID]],0)),INDEX(Table3[[#All],[B]],MATCH(Table5[[#This Row],[PID]],Table3[[#All],[PID]],0)))</f>
        <v>L</v>
      </c>
      <c r="I314" s="52" t="str">
        <f>IF($C314="B",INDEX(Batters[[#All],[T]],MATCH(Table5[[#This Row],[PID]],Batters[[#All],[PID]],0)),INDEX(Table3[[#All],[T]],MATCH(Table5[[#This Row],[PID]],Table3[[#All],[PID]],0)))</f>
        <v>L</v>
      </c>
      <c r="J314" s="52" t="str">
        <f>IF($C314="B",INDEX(Batters[[#All],[WE]],MATCH(Table5[[#This Row],[PID]],Batters[[#All],[PID]],0)),INDEX(Table3[[#All],[WE]],MATCH(Table5[[#This Row],[PID]],Table3[[#All],[PID]],0)))</f>
        <v>Normal</v>
      </c>
      <c r="K314" s="52" t="str">
        <f>IF($C314="B",INDEX(Batters[[#All],[INT]],MATCH(Table5[[#This Row],[PID]],Batters[[#All],[PID]],0)),INDEX(Table3[[#All],[INT]],MATCH(Table5[[#This Row],[PID]],Table3[[#All],[PID]],0)))</f>
        <v>Normal</v>
      </c>
      <c r="L314" s="60">
        <f>IF($C314="B",INDEX(Batters[[#All],[CON P]],MATCH(Table5[[#This Row],[PID]],Batters[[#All],[PID]],0)),INDEX(Table3[[#All],[STU P]],MATCH(Table5[[#This Row],[PID]],Table3[[#All],[PID]],0)))</f>
        <v>5</v>
      </c>
      <c r="M314" s="56">
        <f>IF($C314="B",INDEX(Batters[[#All],[GAP P]],MATCH(Table5[[#This Row],[PID]],Batters[[#All],[PID]],0)),INDEX(Table3[[#All],[MOV P]],MATCH(Table5[[#This Row],[PID]],Table3[[#All],[PID]],0)))</f>
        <v>6</v>
      </c>
      <c r="N314" s="56">
        <f>IF($C314="B",INDEX(Batters[[#All],[POW P]],MATCH(Table5[[#This Row],[PID]],Batters[[#All],[PID]],0)),INDEX(Table3[[#All],[CON P]],MATCH(Table5[[#This Row],[PID]],Table3[[#All],[PID]],0)))</f>
        <v>3</v>
      </c>
      <c r="O314" s="56" t="str">
        <f>IF($C314="B",INDEX(Batters[[#All],[EYE P]],MATCH(Table5[[#This Row],[PID]],Batters[[#All],[PID]],0)),INDEX(Table3[[#All],[VELO]],MATCH(Table5[[#This Row],[PID]],Table3[[#All],[PID]],0)))</f>
        <v>86-88 Mph</v>
      </c>
      <c r="P314" s="56">
        <f>IF($C314="B",INDEX(Batters[[#All],[K P]],MATCH(Table5[[#This Row],[PID]],Batters[[#All],[PID]],0)),INDEX(Table3[[#All],[STM]],MATCH(Table5[[#This Row],[PID]],Table3[[#All],[PID]],0)))</f>
        <v>6</v>
      </c>
      <c r="Q314" s="61">
        <f>IF($C314="B",INDEX(Batters[[#All],[Tot]],MATCH(Table5[[#This Row],[PID]],Batters[[#All],[PID]],0)),INDEX(Table3[[#All],[Tot]],MATCH(Table5[[#This Row],[PID]],Table3[[#All],[PID]],0)))</f>
        <v>54.521531597676763</v>
      </c>
      <c r="R314" s="52">
        <f>IF($C314="B",INDEX(Batters[[#All],[zScore]],MATCH(Table5[[#This Row],[PID]],Batters[[#All],[PID]],0)),INDEX(Table3[[#All],[zScore]],MATCH(Table5[[#This Row],[PID]],Table3[[#All],[PID]],0)))</f>
        <v>1.2408228987860828</v>
      </c>
      <c r="S314" s="58" t="str">
        <f>IF($C314="B",INDEX(Batters[[#All],[DEM]],MATCH(Table5[[#This Row],[PID]],Batters[[#All],[PID]],0)),INDEX(Table3[[#All],[DEM]],MATCH(Table5[[#This Row],[PID]],Table3[[#All],[PID]],0)))</f>
        <v>$90k</v>
      </c>
      <c r="T314" s="62">
        <f>IF($C314="B",INDEX(Batters[[#All],[Rnk]],MATCH(Table5[[#This Row],[PID]],Batters[[#All],[PID]],0)),INDEX(Table3[[#All],[Rnk]],MATCH(Table5[[#This Row],[PID]],Table3[[#All],[PID]],0)))</f>
        <v>110</v>
      </c>
      <c r="U314" s="68">
        <f>IF($C314="B",VLOOKUP($A314,Bat!$A$4:$BA$1621,47,FALSE),VLOOKUP($A314,Pit!$A$4:$BF$1557,56,FALSE))</f>
        <v>0</v>
      </c>
      <c r="V314" s="50">
        <f>IF($C314="B",VLOOKUP($A314,Bat!$A$4:$BA$1621,48,FALSE),VLOOKUP($A314,Pit!$A$4:$BF$1557,57,FALSE))</f>
        <v>0</v>
      </c>
      <c r="W314" s="50">
        <f>Table5[[#This Row],[posRnk]]+Table5[[#This Row],[zRnk]]+IF($W$3&lt;&gt;Table5[[#This Row],[Type]],50,0)</f>
        <v>335</v>
      </c>
      <c r="X314" s="51">
        <f>RANK(Table5[[#This Row],[zScore]],Table5[[#All],[zScore]])</f>
        <v>175</v>
      </c>
      <c r="Y314" s="50">
        <f>IFERROR(INDEX(DraftResults[[#All],[OVR]],MATCH(Table5[[#This Row],[PID]],DraftResults[[#All],[Player ID]],0)),"")</f>
        <v>310</v>
      </c>
      <c r="Z3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4" s="50">
        <f>IFERROR(INDEX(DraftResults[[#All],[Pick in Round]],MATCH(Table5[[#This Row],[PID]],DraftResults[[#All],[Player ID]],0)),"")</f>
        <v>2</v>
      </c>
      <c r="AB314" s="50" t="str">
        <f>IFERROR(INDEX(DraftResults[[#All],[Team Name]],MATCH(Table5[[#This Row],[PID]],DraftResults[[#All],[Player ID]],0)),"")</f>
        <v>Charleston Statesmen</v>
      </c>
      <c r="AC314" s="50">
        <f>IF(Table5[[#This Row],[Ovr]]="","",IF(Table5[[#This Row],[cmbList]]="","",Table5[[#This Row],[cmbList]]-Table5[[#This Row],[Ovr]]))</f>
        <v>25</v>
      </c>
      <c r="AD314" s="54" t="str">
        <f>IF(ISERROR(VLOOKUP($AB314&amp;"-"&amp;$E314&amp;" "&amp;F314,Bonuses!$B$1:$G$1006,4,FALSE)),"",INT(VLOOKUP($AB314&amp;"-"&amp;$E314&amp;" "&amp;$F314,Bonuses!$B$1:$G$1006,4,FALSE)))</f>
        <v/>
      </c>
      <c r="AE3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 (310) - RP John McVurie</v>
      </c>
    </row>
    <row r="315" spans="1:31" s="50" customFormat="1" x14ac:dyDescent="0.25">
      <c r="A315" s="50">
        <v>20229</v>
      </c>
      <c r="B315" s="50">
        <f>COUNTIF(Table5[PID],A315)</f>
        <v>1</v>
      </c>
      <c r="C315" s="50" t="str">
        <f>IF(COUNTIF(Table3[[#All],[PID]],A315)&gt;0,"P","B")</f>
        <v>B</v>
      </c>
      <c r="D315" s="59" t="str">
        <f>IF($C315="B",INDEX(Batters[[#All],[POS]],MATCH(Table5[[#This Row],[PID]],Batters[[#All],[PID]],0)),INDEX(Table3[[#All],[POS]],MATCH(Table5[[#This Row],[PID]],Table3[[#All],[PID]],0)))</f>
        <v>LF</v>
      </c>
      <c r="E315" s="52" t="str">
        <f>IF($C315="B",INDEX(Batters[[#All],[First]],MATCH(Table5[[#This Row],[PID]],Batters[[#All],[PID]],0)),INDEX(Table3[[#All],[First]],MATCH(Table5[[#This Row],[PID]],Table3[[#All],[PID]],0)))</f>
        <v>Tommy</v>
      </c>
      <c r="F315" s="50" t="str">
        <f>IF($C315="B",INDEX(Batters[[#All],[Last]],MATCH(A315,Batters[[#All],[PID]],0)),INDEX(Table3[[#All],[Last]],MATCH(A315,Table3[[#All],[PID]],0)))</f>
        <v>Kennedy</v>
      </c>
      <c r="G315" s="56">
        <f>IF($C315="B",INDEX(Batters[[#All],[Age]],MATCH(Table5[[#This Row],[PID]],Batters[[#All],[PID]],0)),INDEX(Table3[[#All],[Age]],MATCH(Table5[[#This Row],[PID]],Table3[[#All],[PID]],0)))</f>
        <v>22</v>
      </c>
      <c r="H315" s="52" t="str">
        <f>IF($C315="B",INDEX(Batters[[#All],[B]],MATCH(Table5[[#This Row],[PID]],Batters[[#All],[PID]],0)),INDEX(Table3[[#All],[B]],MATCH(Table5[[#This Row],[PID]],Table3[[#All],[PID]],0)))</f>
        <v>R</v>
      </c>
      <c r="I315" s="52" t="str">
        <f>IF($C315="B",INDEX(Batters[[#All],[T]],MATCH(Table5[[#This Row],[PID]],Batters[[#All],[PID]],0)),INDEX(Table3[[#All],[T]],MATCH(Table5[[#This Row],[PID]],Table3[[#All],[PID]],0)))</f>
        <v>R</v>
      </c>
      <c r="J315" s="52" t="str">
        <f>IF($C315="B",INDEX(Batters[[#All],[WE]],MATCH(Table5[[#This Row],[PID]],Batters[[#All],[PID]],0)),INDEX(Table3[[#All],[WE]],MATCH(Table5[[#This Row],[PID]],Table3[[#All],[PID]],0)))</f>
        <v>Normal</v>
      </c>
      <c r="K315" s="52" t="str">
        <f>IF($C315="B",INDEX(Batters[[#All],[INT]],MATCH(Table5[[#This Row],[PID]],Batters[[#All],[PID]],0)),INDEX(Table3[[#All],[INT]],MATCH(Table5[[#This Row],[PID]],Table3[[#All],[PID]],0)))</f>
        <v>Normal</v>
      </c>
      <c r="L315" s="60">
        <f>IF($C315="B",INDEX(Batters[[#All],[CON P]],MATCH(Table5[[#This Row],[PID]],Batters[[#All],[PID]],0)),INDEX(Table3[[#All],[STU P]],MATCH(Table5[[#This Row],[PID]],Table3[[#All],[PID]],0)))</f>
        <v>3</v>
      </c>
      <c r="M315" s="56">
        <f>IF($C315="B",INDEX(Batters[[#All],[GAP P]],MATCH(Table5[[#This Row],[PID]],Batters[[#All],[PID]],0)),INDEX(Table3[[#All],[MOV P]],MATCH(Table5[[#This Row],[PID]],Table3[[#All],[PID]],0)))</f>
        <v>5</v>
      </c>
      <c r="N315" s="56">
        <f>IF($C315="B",INDEX(Batters[[#All],[POW P]],MATCH(Table5[[#This Row],[PID]],Batters[[#All],[PID]],0)),INDEX(Table3[[#All],[CON P]],MATCH(Table5[[#This Row],[PID]],Table3[[#All],[PID]],0)))</f>
        <v>8</v>
      </c>
      <c r="O315" s="56">
        <f>IF($C315="B",INDEX(Batters[[#All],[EYE P]],MATCH(Table5[[#This Row],[PID]],Batters[[#All],[PID]],0)),INDEX(Table3[[#All],[VELO]],MATCH(Table5[[#This Row],[PID]],Table3[[#All],[PID]],0)))</f>
        <v>5</v>
      </c>
      <c r="P315" s="56">
        <f>IF($C315="B",INDEX(Batters[[#All],[K P]],MATCH(Table5[[#This Row],[PID]],Batters[[#All],[PID]],0)),INDEX(Table3[[#All],[STM]],MATCH(Table5[[#This Row],[PID]],Table3[[#All],[PID]],0)))</f>
        <v>2</v>
      </c>
      <c r="Q315" s="61">
        <f>IF($C315="B",INDEX(Batters[[#All],[Tot]],MATCH(Table5[[#This Row],[PID]],Batters[[#All],[PID]],0)),INDEX(Table3[[#All],[Tot]],MATCH(Table5[[#This Row],[PID]],Table3[[#All],[PID]],0)))</f>
        <v>41.863404676825759</v>
      </c>
      <c r="R315" s="52">
        <f>IF($C315="B",INDEX(Batters[[#All],[zScore]],MATCH(Table5[[#This Row],[PID]],Batters[[#All],[PID]],0)),INDEX(Table3[[#All],[zScore]],MATCH(Table5[[#This Row],[PID]],Table3[[#All],[PID]],0)))</f>
        <v>-0.50294955330777524</v>
      </c>
      <c r="S315" s="58" t="str">
        <f>IF($C315="B",INDEX(Batters[[#All],[DEM]],MATCH(Table5[[#This Row],[PID]],Batters[[#All],[PID]],0)),INDEX(Table3[[#All],[DEM]],MATCH(Table5[[#This Row],[PID]],Table3[[#All],[PID]],0)))</f>
        <v>$45k</v>
      </c>
      <c r="T315" s="62">
        <f>IF($C315="B",INDEX(Batters[[#All],[Rnk]],MATCH(Table5[[#This Row],[PID]],Batters[[#All],[PID]],0)),INDEX(Table3[[#All],[Rnk]],MATCH(Table5[[#This Row],[PID]],Table3[[#All],[PID]],0)))</f>
        <v>335</v>
      </c>
      <c r="U315" s="68">
        <f>IF($C315="B",VLOOKUP($A315,Bat!$A$4:$BA$1621,47,FALSE),VLOOKUP($A315,Pit!$A$4:$BF$1557,56,FALSE))</f>
        <v>0</v>
      </c>
      <c r="V315" s="50">
        <f>IF($C315="B",VLOOKUP($A315,Bat!$A$4:$BA$1621,48,FALSE),VLOOKUP($A315,Pit!$A$4:$BF$1557,57,FALSE))</f>
        <v>0</v>
      </c>
      <c r="W315" s="50">
        <f>Table5[[#This Row],[posRnk]]+Table5[[#This Row],[zRnk]]+IF($W$3&lt;&gt;Table5[[#This Row],[Type]],50,0)</f>
        <v>1244</v>
      </c>
      <c r="X315" s="51">
        <f>RANK(Table5[[#This Row],[zScore]],Table5[[#All],[zScore]])</f>
        <v>859</v>
      </c>
      <c r="Y315" s="50">
        <f>IFERROR(INDEX(DraftResults[[#All],[OVR]],MATCH(Table5[[#This Row],[PID]],DraftResults[[#All],[Player ID]],0)),"")</f>
        <v>311</v>
      </c>
      <c r="Z3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5" s="50">
        <f>IFERROR(INDEX(DraftResults[[#All],[Pick in Round]],MATCH(Table5[[#This Row],[PID]],DraftResults[[#All],[Player ID]],0)),"")</f>
        <v>3</v>
      </c>
      <c r="AB315" s="50" t="str">
        <f>IFERROR(INDEX(DraftResults[[#All],[Team Name]],MATCH(Table5[[#This Row],[PID]],DraftResults[[#All],[Player ID]],0)),"")</f>
        <v>New Orleans Trendsetters</v>
      </c>
      <c r="AC315" s="50">
        <f>IF(Table5[[#This Row],[Ovr]]="","",IF(Table5[[#This Row],[cmbList]]="","",Table5[[#This Row],[cmbList]]-Table5[[#This Row],[Ovr]]))</f>
        <v>933</v>
      </c>
      <c r="AD315" s="54" t="str">
        <f>IF(ISERROR(VLOOKUP($AB315&amp;"-"&amp;$E315&amp;" "&amp;F315,Bonuses!$B$1:$G$1006,4,FALSE)),"",INT(VLOOKUP($AB315&amp;"-"&amp;$E315&amp;" "&amp;$F315,Bonuses!$B$1:$G$1006,4,FALSE)))</f>
        <v/>
      </c>
      <c r="AE3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11.3 (311) - LF Tommy Kennedy</v>
      </c>
    </row>
    <row r="316" spans="1:31" s="50" customFormat="1" x14ac:dyDescent="0.25">
      <c r="A316" s="50">
        <v>20415</v>
      </c>
      <c r="B316" s="50">
        <f>COUNTIF(Table5[PID],A316)</f>
        <v>1</v>
      </c>
      <c r="C316" s="50" t="str">
        <f>IF(COUNTIF(Table3[[#All],[PID]],A316)&gt;0,"P","B")</f>
        <v>B</v>
      </c>
      <c r="D316" s="59" t="str">
        <f>IF($C316="B",INDEX(Batters[[#All],[POS]],MATCH(Table5[[#This Row],[PID]],Batters[[#All],[PID]],0)),INDEX(Table3[[#All],[POS]],MATCH(Table5[[#This Row],[PID]],Table3[[#All],[PID]],0)))</f>
        <v>1B</v>
      </c>
      <c r="E316" s="52" t="str">
        <f>IF($C316="B",INDEX(Batters[[#All],[First]],MATCH(Table5[[#This Row],[PID]],Batters[[#All],[PID]],0)),INDEX(Table3[[#All],[First]],MATCH(Table5[[#This Row],[PID]],Table3[[#All],[PID]],0)))</f>
        <v>Oliver</v>
      </c>
      <c r="F316" s="50" t="str">
        <f>IF($C316="B",INDEX(Batters[[#All],[Last]],MATCH(A316,Batters[[#All],[PID]],0)),INDEX(Table3[[#All],[Last]],MATCH(A316,Table3[[#All],[PID]],0)))</f>
        <v>Slater</v>
      </c>
      <c r="G316" s="56">
        <f>IF($C316="B",INDEX(Batters[[#All],[Age]],MATCH(Table5[[#This Row],[PID]],Batters[[#All],[PID]],0)),INDEX(Table3[[#All],[Age]],MATCH(Table5[[#This Row],[PID]],Table3[[#All],[PID]],0)))</f>
        <v>18</v>
      </c>
      <c r="H316" s="52" t="str">
        <f>IF($C316="B",INDEX(Batters[[#All],[B]],MATCH(Table5[[#This Row],[PID]],Batters[[#All],[PID]],0)),INDEX(Table3[[#All],[B]],MATCH(Table5[[#This Row],[PID]],Table3[[#All],[PID]],0)))</f>
        <v>R</v>
      </c>
      <c r="I316" s="52" t="str">
        <f>IF($C316="B",INDEX(Batters[[#All],[T]],MATCH(Table5[[#This Row],[PID]],Batters[[#All],[PID]],0)),INDEX(Table3[[#All],[T]],MATCH(Table5[[#This Row],[PID]],Table3[[#All],[PID]],0)))</f>
        <v>R</v>
      </c>
      <c r="J316" s="52" t="str">
        <f>IF($C316="B",INDEX(Batters[[#All],[WE]],MATCH(Table5[[#This Row],[PID]],Batters[[#All],[PID]],0)),INDEX(Table3[[#All],[WE]],MATCH(Table5[[#This Row],[PID]],Table3[[#All],[PID]],0)))</f>
        <v>Low</v>
      </c>
      <c r="K316" s="52" t="str">
        <f>IF($C316="B",INDEX(Batters[[#All],[INT]],MATCH(Table5[[#This Row],[PID]],Batters[[#All],[PID]],0)),INDEX(Table3[[#All],[INT]],MATCH(Table5[[#This Row],[PID]],Table3[[#All],[PID]],0)))</f>
        <v>Normal</v>
      </c>
      <c r="L316" s="60">
        <f>IF($C316="B",INDEX(Batters[[#All],[CON P]],MATCH(Table5[[#This Row],[PID]],Batters[[#All],[PID]],0)),INDEX(Table3[[#All],[STU P]],MATCH(Table5[[#This Row],[PID]],Table3[[#All],[PID]],0)))</f>
        <v>4</v>
      </c>
      <c r="M316" s="56">
        <f>IF($C316="B",INDEX(Batters[[#All],[GAP P]],MATCH(Table5[[#This Row],[PID]],Batters[[#All],[PID]],0)),INDEX(Table3[[#All],[MOV P]],MATCH(Table5[[#This Row],[PID]],Table3[[#All],[PID]],0)))</f>
        <v>6</v>
      </c>
      <c r="N316" s="56">
        <f>IF($C316="B",INDEX(Batters[[#All],[POW P]],MATCH(Table5[[#This Row],[PID]],Batters[[#All],[PID]],0)),INDEX(Table3[[#All],[CON P]],MATCH(Table5[[#This Row],[PID]],Table3[[#All],[PID]],0)))</f>
        <v>7</v>
      </c>
      <c r="O316" s="56">
        <f>IF($C316="B",INDEX(Batters[[#All],[EYE P]],MATCH(Table5[[#This Row],[PID]],Batters[[#All],[PID]],0)),INDEX(Table3[[#All],[VELO]],MATCH(Table5[[#This Row],[PID]],Table3[[#All],[PID]],0)))</f>
        <v>6</v>
      </c>
      <c r="P316" s="56">
        <f>IF($C316="B",INDEX(Batters[[#All],[K P]],MATCH(Table5[[#This Row],[PID]],Batters[[#All],[PID]],0)),INDEX(Table3[[#All],[STM]],MATCH(Table5[[#This Row],[PID]],Table3[[#All],[PID]],0)))</f>
        <v>3</v>
      </c>
      <c r="Q316" s="61">
        <f>IF($C316="B",INDEX(Batters[[#All],[Tot]],MATCH(Table5[[#This Row],[PID]],Batters[[#All],[PID]],0)),INDEX(Table3[[#All],[Tot]],MATCH(Table5[[#This Row],[PID]],Table3[[#All],[PID]],0)))</f>
        <v>51.531513407543478</v>
      </c>
      <c r="R316" s="52">
        <f>IF($C316="B",INDEX(Batters[[#All],[zScore]],MATCH(Table5[[#This Row],[PID]],Batters[[#All],[PID]],0)),INDEX(Table3[[#All],[zScore]],MATCH(Table5[[#This Row],[PID]],Table3[[#All],[PID]],0)))</f>
        <v>1.6405355026423738</v>
      </c>
      <c r="S316" s="58" t="str">
        <f>IF($C316="B",INDEX(Batters[[#All],[DEM]],MATCH(Table5[[#This Row],[PID]],Batters[[#All],[PID]],0)),INDEX(Table3[[#All],[DEM]],MATCH(Table5[[#This Row],[PID]],Table3[[#All],[PID]],0)))</f>
        <v>$200k</v>
      </c>
      <c r="T316" s="62">
        <f>IF($C316="B",INDEX(Batters[[#All],[Rnk]],MATCH(Table5[[#This Row],[PID]],Batters[[#All],[PID]],0)),INDEX(Table3[[#All],[Rnk]],MATCH(Table5[[#This Row],[PID]],Table3[[#All],[PID]],0)))</f>
        <v>36</v>
      </c>
      <c r="U316" s="68">
        <f>IF($C316="B",VLOOKUP($A316,Bat!$A$4:$BA$1621,47,FALSE),VLOOKUP($A316,Pit!$A$4:$BF$1557,56,FALSE))</f>
        <v>0</v>
      </c>
      <c r="V316" s="50">
        <f>IF($C316="B",VLOOKUP($A316,Bat!$A$4:$BA$1621,48,FALSE),VLOOKUP($A316,Pit!$A$4:$BF$1557,57,FALSE))</f>
        <v>0</v>
      </c>
      <c r="W316" s="50">
        <f>Table5[[#This Row],[posRnk]]+Table5[[#This Row],[zRnk]]+IF($W$3&lt;&gt;Table5[[#This Row],[Type]],50,0)</f>
        <v>183</v>
      </c>
      <c r="X316" s="51">
        <f>RANK(Table5[[#This Row],[zScore]],Table5[[#All],[zScore]])</f>
        <v>97</v>
      </c>
      <c r="Y316" s="50">
        <f>IFERROR(INDEX(DraftResults[[#All],[OVR]],MATCH(Table5[[#This Row],[PID]],DraftResults[[#All],[Player ID]],0)),"")</f>
        <v>312</v>
      </c>
      <c r="Z3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6" s="50">
        <f>IFERROR(INDEX(DraftResults[[#All],[Pick in Round]],MATCH(Table5[[#This Row],[PID]],DraftResults[[#All],[Player ID]],0)),"")</f>
        <v>4</v>
      </c>
      <c r="AB316" s="50" t="str">
        <f>IFERROR(INDEX(DraftResults[[#All],[Team Name]],MATCH(Table5[[#This Row],[PID]],DraftResults[[#All],[Player ID]],0)),"")</f>
        <v>Tempe Knights</v>
      </c>
      <c r="AC316" s="50">
        <f>IF(Table5[[#This Row],[Ovr]]="","",IF(Table5[[#This Row],[cmbList]]="","",Table5[[#This Row],[cmbList]]-Table5[[#This Row],[Ovr]]))</f>
        <v>-129</v>
      </c>
      <c r="AD316" s="54" t="str">
        <f>IF(ISERROR(VLOOKUP($AB316&amp;"-"&amp;$E316&amp;" "&amp;F316,Bonuses!$B$1:$G$1006,4,FALSE)),"",INT(VLOOKUP($AB316&amp;"-"&amp;$E316&amp;" "&amp;$F316,Bonuses!$B$1:$G$1006,4,FALSE)))</f>
        <v/>
      </c>
      <c r="AE3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11.4 (312) - 1B Oliver Slater</v>
      </c>
    </row>
    <row r="317" spans="1:31" s="50" customFormat="1" x14ac:dyDescent="0.25">
      <c r="A317" s="68">
        <v>20904</v>
      </c>
      <c r="B317" s="69">
        <f>COUNTIF(Table5[PID],A317)</f>
        <v>1</v>
      </c>
      <c r="C317" s="69" t="str">
        <f>IF(COUNTIF(Table3[[#All],[PID]],A317)&gt;0,"P","B")</f>
        <v>P</v>
      </c>
      <c r="D317" s="59" t="str">
        <f>IF($C317="B",INDEX(Batters[[#All],[POS]],MATCH(Table5[[#This Row],[PID]],Batters[[#All],[PID]],0)),INDEX(Table3[[#All],[POS]],MATCH(Table5[[#This Row],[PID]],Table3[[#All],[PID]],0)))</f>
        <v>SP</v>
      </c>
      <c r="E317" s="52" t="str">
        <f>IF($C317="B",INDEX(Batters[[#All],[First]],MATCH(Table5[[#This Row],[PID]],Batters[[#All],[PID]],0)),INDEX(Table3[[#All],[First]],MATCH(Table5[[#This Row],[PID]],Table3[[#All],[PID]],0)))</f>
        <v>Ben</v>
      </c>
      <c r="F317" s="55" t="str">
        <f>IF($C317="B",INDEX(Batters[[#All],[Last]],MATCH(A317,Batters[[#All],[PID]],0)),INDEX(Table3[[#All],[Last]],MATCH(A317,Table3[[#All],[PID]],0)))</f>
        <v>Bell</v>
      </c>
      <c r="G317" s="56">
        <f>IF($C317="B",INDEX(Batters[[#All],[Age]],MATCH(Table5[[#This Row],[PID]],Batters[[#All],[PID]],0)),INDEX(Table3[[#All],[Age]],MATCH(Table5[[#This Row],[PID]],Table3[[#All],[PID]],0)))</f>
        <v>17</v>
      </c>
      <c r="H317" s="52" t="str">
        <f>IF($C317="B",INDEX(Batters[[#All],[B]],MATCH(Table5[[#This Row],[PID]],Batters[[#All],[PID]],0)),INDEX(Table3[[#All],[B]],MATCH(Table5[[#This Row],[PID]],Table3[[#All],[PID]],0)))</f>
        <v>R</v>
      </c>
      <c r="I317" s="52" t="str">
        <f>IF($C317="B",INDEX(Batters[[#All],[T]],MATCH(Table5[[#This Row],[PID]],Batters[[#All],[PID]],0)),INDEX(Table3[[#All],[T]],MATCH(Table5[[#This Row],[PID]],Table3[[#All],[PID]],0)))</f>
        <v>R</v>
      </c>
      <c r="J317" s="71" t="str">
        <f>IF($C317="B",INDEX(Batters[[#All],[WE]],MATCH(Table5[[#This Row],[PID]],Batters[[#All],[PID]],0)),INDEX(Table3[[#All],[WE]],MATCH(Table5[[#This Row],[PID]],Table3[[#All],[PID]],0)))</f>
        <v>Normal</v>
      </c>
      <c r="K317" s="52" t="str">
        <f>IF($C317="B",INDEX(Batters[[#All],[INT]],MATCH(Table5[[#This Row],[PID]],Batters[[#All],[PID]],0)),INDEX(Table3[[#All],[INT]],MATCH(Table5[[#This Row],[PID]],Table3[[#All],[PID]],0)))</f>
        <v>Normal</v>
      </c>
      <c r="L317" s="60">
        <f>IF($C317="B",INDEX(Batters[[#All],[CON P]],MATCH(Table5[[#This Row],[PID]],Batters[[#All],[PID]],0)),INDEX(Table3[[#All],[STU P]],MATCH(Table5[[#This Row],[PID]],Table3[[#All],[PID]],0)))</f>
        <v>5</v>
      </c>
      <c r="M317" s="72">
        <f>IF($C317="B",INDEX(Batters[[#All],[GAP P]],MATCH(Table5[[#This Row],[PID]],Batters[[#All],[PID]],0)),INDEX(Table3[[#All],[MOV P]],MATCH(Table5[[#This Row],[PID]],Table3[[#All],[PID]],0)))</f>
        <v>4</v>
      </c>
      <c r="N317" s="72">
        <f>IF($C317="B",INDEX(Batters[[#All],[POW P]],MATCH(Table5[[#This Row],[PID]],Batters[[#All],[PID]],0)),INDEX(Table3[[#All],[CON P]],MATCH(Table5[[#This Row],[PID]],Table3[[#All],[PID]],0)))</f>
        <v>5</v>
      </c>
      <c r="O317" s="72" t="str">
        <f>IF($C317="B",INDEX(Batters[[#All],[EYE P]],MATCH(Table5[[#This Row],[PID]],Batters[[#All],[PID]],0)),INDEX(Table3[[#All],[VELO]],MATCH(Table5[[#This Row],[PID]],Table3[[#All],[PID]],0)))</f>
        <v>90-92 Mph</v>
      </c>
      <c r="P317" s="56">
        <f>IF($C317="B",INDEX(Batters[[#All],[K P]],MATCH(Table5[[#This Row],[PID]],Batters[[#All],[PID]],0)),INDEX(Table3[[#All],[STM]],MATCH(Table5[[#This Row],[PID]],Table3[[#All],[PID]],0)))</f>
        <v>9</v>
      </c>
      <c r="Q317" s="61">
        <f>IF($C317="B",INDEX(Batters[[#All],[Tot]],MATCH(Table5[[#This Row],[PID]],Batters[[#All],[PID]],0)),INDEX(Table3[[#All],[Tot]],MATCH(Table5[[#This Row],[PID]],Table3[[#All],[PID]],0)))</f>
        <v>57.065853981948003</v>
      </c>
      <c r="R317" s="52">
        <f>IF($C317="B",INDEX(Batters[[#All],[zScore]],MATCH(Table5[[#This Row],[PID]],Batters[[#All],[PID]],0)),INDEX(Table3[[#All],[zScore]],MATCH(Table5[[#This Row],[PID]],Table3[[#All],[PID]],0)))</f>
        <v>1.4100927790101159</v>
      </c>
      <c r="S317" s="78" t="str">
        <f>IF($C317="B",INDEX(Batters[[#All],[DEM]],MATCH(Table5[[#This Row],[PID]],Batters[[#All],[PID]],0)),INDEX(Table3[[#All],[DEM]],MATCH(Table5[[#This Row],[PID]],Table3[[#All],[PID]],0)))</f>
        <v>$95k</v>
      </c>
      <c r="T317" s="75">
        <f>IF($C317="B",INDEX(Batters[[#All],[Rnk]],MATCH(Table5[[#This Row],[PID]],Batters[[#All],[PID]],0)),INDEX(Table3[[#All],[Rnk]],MATCH(Table5[[#This Row],[PID]],Table3[[#All],[PID]],0)))</f>
        <v>82</v>
      </c>
      <c r="U317" s="68">
        <f>IF($C317="B",VLOOKUP($A317,Bat!$A$4:$BA$1621,47,FALSE),VLOOKUP($A317,Pit!$A$4:$BF$1557,56,FALSE))</f>
        <v>0</v>
      </c>
      <c r="V317" s="50">
        <f>IF($C317="B",VLOOKUP($A317,Bat!$A$4:$BA$1621,48,FALSE),VLOOKUP($A317,Pit!$A$4:$BF$1557,57,FALSE))</f>
        <v>0</v>
      </c>
      <c r="W317" s="69">
        <f>Table5[[#This Row],[posRnk]]+Table5[[#This Row],[zRnk]]+IF($W$3&lt;&gt;Table5[[#This Row],[Type]],50,0)</f>
        <v>264</v>
      </c>
      <c r="X317" s="73">
        <f>RANK(Table5[[#This Row],[zScore]],Table5[[#All],[zScore]])</f>
        <v>132</v>
      </c>
      <c r="Y317" s="69">
        <f>IFERROR(INDEX(DraftResults[[#All],[OVR]],MATCH(Table5[[#This Row],[PID]],DraftResults[[#All],[Player ID]],0)),"")</f>
        <v>313</v>
      </c>
      <c r="Z31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7" s="69">
        <f>IFERROR(INDEX(DraftResults[[#All],[Pick in Round]],MATCH(Table5[[#This Row],[PID]],DraftResults[[#All],[Player ID]],0)),"")</f>
        <v>5</v>
      </c>
      <c r="AB317" s="69" t="str">
        <f>IFERROR(INDEX(DraftResults[[#All],[Team Name]],MATCH(Table5[[#This Row],[PID]],DraftResults[[#All],[Player ID]],0)),"")</f>
        <v>Okinawa Shisa</v>
      </c>
      <c r="AC317" s="69">
        <f>IF(Table5[[#This Row],[Ovr]]="","",IF(Table5[[#This Row],[cmbList]]="","",Table5[[#This Row],[cmbList]]-Table5[[#This Row],[Ovr]]))</f>
        <v>-49</v>
      </c>
      <c r="AD317" s="77" t="str">
        <f>IF(ISERROR(VLOOKUP($AB317&amp;"-"&amp;$E317&amp;" "&amp;F317,Bonuses!$B$1:$G$1006,4,FALSE)),"",INT(VLOOKUP($AB317&amp;"-"&amp;$E317&amp;" "&amp;$F317,Bonuses!$B$1:$G$1006,4,FALSE)))</f>
        <v/>
      </c>
      <c r="AE31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11.5 (313) - SP Ben Bell</v>
      </c>
    </row>
    <row r="318" spans="1:31" s="50" customFormat="1" x14ac:dyDescent="0.25">
      <c r="A318" s="50">
        <v>18026</v>
      </c>
      <c r="B318" s="50">
        <f>COUNTIF(Table5[PID],A318)</f>
        <v>1</v>
      </c>
      <c r="C318" s="50" t="str">
        <f>IF(COUNTIF(Table3[[#All],[PID]],A318)&gt;0,"P","B")</f>
        <v>B</v>
      </c>
      <c r="D318" s="59" t="str">
        <f>IF($C318="B",INDEX(Batters[[#All],[POS]],MATCH(Table5[[#This Row],[PID]],Batters[[#All],[PID]],0)),INDEX(Table3[[#All],[POS]],MATCH(Table5[[#This Row],[PID]],Table3[[#All],[PID]],0)))</f>
        <v>CF</v>
      </c>
      <c r="E318" s="52" t="str">
        <f>IF($C318="B",INDEX(Batters[[#All],[First]],MATCH(Table5[[#This Row],[PID]],Batters[[#All],[PID]],0)),INDEX(Table3[[#All],[First]],MATCH(Table5[[#This Row],[PID]],Table3[[#All],[PID]],0)))</f>
        <v>Jesús</v>
      </c>
      <c r="F318" s="50" t="str">
        <f>IF($C318="B",INDEX(Batters[[#All],[Last]],MATCH(A318,Batters[[#All],[PID]],0)),INDEX(Table3[[#All],[Last]],MATCH(A318,Table3[[#All],[PID]],0)))</f>
        <v>Ferniza</v>
      </c>
      <c r="G318" s="56">
        <f>IF($C318="B",INDEX(Batters[[#All],[Age]],MATCH(Table5[[#This Row],[PID]],Batters[[#All],[PID]],0)),INDEX(Table3[[#All],[Age]],MATCH(Table5[[#This Row],[PID]],Table3[[#All],[PID]],0)))</f>
        <v>21</v>
      </c>
      <c r="H318" s="52" t="str">
        <f>IF($C318="B",INDEX(Batters[[#All],[B]],MATCH(Table5[[#This Row],[PID]],Batters[[#All],[PID]],0)),INDEX(Table3[[#All],[B]],MATCH(Table5[[#This Row],[PID]],Table3[[#All],[PID]],0)))</f>
        <v>L</v>
      </c>
      <c r="I318" s="52" t="str">
        <f>IF($C318="B",INDEX(Batters[[#All],[T]],MATCH(Table5[[#This Row],[PID]],Batters[[#All],[PID]],0)),INDEX(Table3[[#All],[T]],MATCH(Table5[[#This Row],[PID]],Table3[[#All],[PID]],0)))</f>
        <v>L</v>
      </c>
      <c r="J318" s="52" t="str">
        <f>IF($C318="B",INDEX(Batters[[#All],[WE]],MATCH(Table5[[#This Row],[PID]],Batters[[#All],[PID]],0)),INDEX(Table3[[#All],[WE]],MATCH(Table5[[#This Row],[PID]],Table3[[#All],[PID]],0)))</f>
        <v>Normal</v>
      </c>
      <c r="K318" s="52" t="str">
        <f>IF($C318="B",INDEX(Batters[[#All],[INT]],MATCH(Table5[[#This Row],[PID]],Batters[[#All],[PID]],0)),INDEX(Table3[[#All],[INT]],MATCH(Table5[[#This Row],[PID]],Table3[[#All],[PID]],0)))</f>
        <v>Normal</v>
      </c>
      <c r="L318" s="60">
        <f>IF($C318="B",INDEX(Batters[[#All],[CON P]],MATCH(Table5[[#This Row],[PID]],Batters[[#All],[PID]],0)),INDEX(Table3[[#All],[STU P]],MATCH(Table5[[#This Row],[PID]],Table3[[#All],[PID]],0)))</f>
        <v>4</v>
      </c>
      <c r="M318" s="56">
        <f>IF($C318="B",INDEX(Batters[[#All],[GAP P]],MATCH(Table5[[#This Row],[PID]],Batters[[#All],[PID]],0)),INDEX(Table3[[#All],[MOV P]],MATCH(Table5[[#This Row],[PID]],Table3[[#All],[PID]],0)))</f>
        <v>3</v>
      </c>
      <c r="N318" s="56">
        <f>IF($C318="B",INDEX(Batters[[#All],[POW P]],MATCH(Table5[[#This Row],[PID]],Batters[[#All],[PID]],0)),INDEX(Table3[[#All],[CON P]],MATCH(Table5[[#This Row],[PID]],Table3[[#All],[PID]],0)))</f>
        <v>4</v>
      </c>
      <c r="O318" s="56">
        <f>IF($C318="B",INDEX(Batters[[#All],[EYE P]],MATCH(Table5[[#This Row],[PID]],Batters[[#All],[PID]],0)),INDEX(Table3[[#All],[VELO]],MATCH(Table5[[#This Row],[PID]],Table3[[#All],[PID]],0)))</f>
        <v>4</v>
      </c>
      <c r="P318" s="56">
        <f>IF($C318="B",INDEX(Batters[[#All],[K P]],MATCH(Table5[[#This Row],[PID]],Batters[[#All],[PID]],0)),INDEX(Table3[[#All],[STM]],MATCH(Table5[[#This Row],[PID]],Table3[[#All],[PID]],0)))</f>
        <v>3</v>
      </c>
      <c r="Q318" s="61">
        <f>IF($C318="B",INDEX(Batters[[#All],[Tot]],MATCH(Table5[[#This Row],[PID]],Batters[[#All],[PID]],0)),INDEX(Table3[[#All],[Tot]],MATCH(Table5[[#This Row],[PID]],Table3[[#All],[PID]],0)))</f>
        <v>40.76834776469908</v>
      </c>
      <c r="R318" s="52">
        <f>IF($C318="B",INDEX(Batters[[#All],[zScore]],MATCH(Table5[[#This Row],[PID]],Batters[[#All],[PID]],0)),INDEX(Table3[[#All],[zScore]],MATCH(Table5[[#This Row],[PID]],Table3[[#All],[PID]],0)))</f>
        <v>-0.74573107262403593</v>
      </c>
      <c r="S318" s="58" t="str">
        <f>IF($C318="B",INDEX(Batters[[#All],[DEM]],MATCH(Table5[[#This Row],[PID]],Batters[[#All],[PID]],0)),INDEX(Table3[[#All],[DEM]],MATCH(Table5[[#This Row],[PID]],Table3[[#All],[PID]],0)))</f>
        <v>-</v>
      </c>
      <c r="T318" s="62">
        <f>IF($C318="B",INDEX(Batters[[#All],[Rnk]],MATCH(Table5[[#This Row],[PID]],Batters[[#All],[PID]],0)),INDEX(Table3[[#All],[Rnk]],MATCH(Table5[[#This Row],[PID]],Table3[[#All],[PID]],0)))</f>
        <v>390</v>
      </c>
      <c r="U318" s="68">
        <f>IF($C318="B",VLOOKUP($A318,Bat!$A$4:$BA$1621,47,FALSE),VLOOKUP($A318,Pit!$A$4:$BF$1557,56,FALSE))</f>
        <v>0</v>
      </c>
      <c r="V318" s="50">
        <f>IF($C318="B",VLOOKUP($A318,Bat!$A$4:$BA$1621,48,FALSE),VLOOKUP($A318,Pit!$A$4:$BF$1557,57,FALSE))</f>
        <v>0</v>
      </c>
      <c r="W318" s="50">
        <f>Table5[[#This Row],[posRnk]]+Table5[[#This Row],[zRnk]]+IF($W$3&lt;&gt;Table5[[#This Row],[Type]],50,0)</f>
        <v>1448</v>
      </c>
      <c r="X318" s="51">
        <f>RANK(Table5[[#This Row],[zScore]],Table5[[#All],[zScore]])</f>
        <v>1008</v>
      </c>
      <c r="Y318" s="50">
        <f>IFERROR(INDEX(DraftResults[[#All],[OVR]],MATCH(Table5[[#This Row],[PID]],DraftResults[[#All],[Player ID]],0)),"")</f>
        <v>314</v>
      </c>
      <c r="Z3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8" s="50">
        <f>IFERROR(INDEX(DraftResults[[#All],[Pick in Round]],MATCH(Table5[[#This Row],[PID]],DraftResults[[#All],[Player ID]],0)),"")</f>
        <v>6</v>
      </c>
      <c r="AB318" s="50" t="str">
        <f>IFERROR(INDEX(DraftResults[[#All],[Team Name]],MATCH(Table5[[#This Row],[PID]],DraftResults[[#All],[Player ID]],0)),"")</f>
        <v>Manchester Maulers</v>
      </c>
      <c r="AC318" s="50">
        <f>IF(Table5[[#This Row],[Ovr]]="","",IF(Table5[[#This Row],[cmbList]]="","",Table5[[#This Row],[cmbList]]-Table5[[#This Row],[Ovr]]))</f>
        <v>1134</v>
      </c>
      <c r="AD318" s="54" t="str">
        <f>IF(ISERROR(VLOOKUP($AB318&amp;"-"&amp;$E318&amp;" "&amp;F318,Bonuses!$B$1:$G$1006,4,FALSE)),"",INT(VLOOKUP($AB318&amp;"-"&amp;$E318&amp;" "&amp;$F318,Bonuses!$B$1:$G$1006,4,FALSE)))</f>
        <v/>
      </c>
      <c r="AE3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11.6 (314) - CF Jesús Ferniza</v>
      </c>
    </row>
    <row r="319" spans="1:31" s="50" customFormat="1" x14ac:dyDescent="0.25">
      <c r="A319" s="68">
        <v>17993</v>
      </c>
      <c r="B319" s="69">
        <f>COUNTIF(Table5[PID],A319)</f>
        <v>1</v>
      </c>
      <c r="C319" s="69" t="str">
        <f>IF(COUNTIF(Table3[[#All],[PID]],A319)&gt;0,"P","B")</f>
        <v>P</v>
      </c>
      <c r="D319" s="59" t="str">
        <f>IF($C319="B",INDEX(Batters[[#All],[POS]],MATCH(Table5[[#This Row],[PID]],Batters[[#All],[PID]],0)),INDEX(Table3[[#All],[POS]],MATCH(Table5[[#This Row],[PID]],Table3[[#All],[PID]],0)))</f>
        <v>SP</v>
      </c>
      <c r="E319" s="52" t="str">
        <f>IF($C319="B",INDEX(Batters[[#All],[First]],MATCH(Table5[[#This Row],[PID]],Batters[[#All],[PID]],0)),INDEX(Table3[[#All],[First]],MATCH(Table5[[#This Row],[PID]],Table3[[#All],[PID]],0)))</f>
        <v>Marvin</v>
      </c>
      <c r="F319" s="55" t="str">
        <f>IF($C319="B",INDEX(Batters[[#All],[Last]],MATCH(A319,Batters[[#All],[PID]],0)),INDEX(Table3[[#All],[Last]],MATCH(A319,Table3[[#All],[PID]],0)))</f>
        <v>Lee</v>
      </c>
      <c r="G319" s="56">
        <f>IF($C319="B",INDEX(Batters[[#All],[Age]],MATCH(Table5[[#This Row],[PID]],Batters[[#All],[PID]],0)),INDEX(Table3[[#All],[Age]],MATCH(Table5[[#This Row],[PID]],Table3[[#All],[PID]],0)))</f>
        <v>21</v>
      </c>
      <c r="H319" s="52" t="str">
        <f>IF($C319="B",INDEX(Batters[[#All],[B]],MATCH(Table5[[#This Row],[PID]],Batters[[#All],[PID]],0)),INDEX(Table3[[#All],[B]],MATCH(Table5[[#This Row],[PID]],Table3[[#All],[PID]],0)))</f>
        <v>L</v>
      </c>
      <c r="I319" s="52" t="str">
        <f>IF($C319="B",INDEX(Batters[[#All],[T]],MATCH(Table5[[#This Row],[PID]],Batters[[#All],[PID]],0)),INDEX(Table3[[#All],[T]],MATCH(Table5[[#This Row],[PID]],Table3[[#All],[PID]],0)))</f>
        <v>L</v>
      </c>
      <c r="J319" s="71" t="str">
        <f>IF($C319="B",INDEX(Batters[[#All],[WE]],MATCH(Table5[[#This Row],[PID]],Batters[[#All],[PID]],0)),INDEX(Table3[[#All],[WE]],MATCH(Table5[[#This Row],[PID]],Table3[[#All],[PID]],0)))</f>
        <v>High</v>
      </c>
      <c r="K319" s="52" t="str">
        <f>IF($C319="B",INDEX(Batters[[#All],[INT]],MATCH(Table5[[#This Row],[PID]],Batters[[#All],[PID]],0)),INDEX(Table3[[#All],[INT]],MATCH(Table5[[#This Row],[PID]],Table3[[#All],[PID]],0)))</f>
        <v>Normal</v>
      </c>
      <c r="L319" s="60">
        <f>IF($C319="B",INDEX(Batters[[#All],[CON P]],MATCH(Table5[[#This Row],[PID]],Batters[[#All],[PID]],0)),INDEX(Table3[[#All],[STU P]],MATCH(Table5[[#This Row],[PID]],Table3[[#All],[PID]],0)))</f>
        <v>5</v>
      </c>
      <c r="M319" s="72">
        <f>IF($C319="B",INDEX(Batters[[#All],[GAP P]],MATCH(Table5[[#This Row],[PID]],Batters[[#All],[PID]],0)),INDEX(Table3[[#All],[MOV P]],MATCH(Table5[[#This Row],[PID]],Table3[[#All],[PID]],0)))</f>
        <v>4</v>
      </c>
      <c r="N319" s="72">
        <f>IF($C319="B",INDEX(Batters[[#All],[POW P]],MATCH(Table5[[#This Row],[PID]],Batters[[#All],[PID]],0)),INDEX(Table3[[#All],[CON P]],MATCH(Table5[[#This Row],[PID]],Table3[[#All],[PID]],0)))</f>
        <v>3</v>
      </c>
      <c r="O319" s="72" t="str">
        <f>IF($C319="B",INDEX(Batters[[#All],[EYE P]],MATCH(Table5[[#This Row],[PID]],Batters[[#All],[PID]],0)),INDEX(Table3[[#All],[VELO]],MATCH(Table5[[#This Row],[PID]],Table3[[#All],[PID]],0)))</f>
        <v>90-92 Mph</v>
      </c>
      <c r="P319" s="56">
        <f>IF($C319="B",INDEX(Batters[[#All],[K P]],MATCH(Table5[[#This Row],[PID]],Batters[[#All],[PID]],0)),INDEX(Table3[[#All],[STM]],MATCH(Table5[[#This Row],[PID]],Table3[[#All],[PID]],0)))</f>
        <v>4</v>
      </c>
      <c r="Q319" s="61">
        <f>IF($C319="B",INDEX(Batters[[#All],[Tot]],MATCH(Table5[[#This Row],[PID]],Batters[[#All],[PID]],0)),INDEX(Table3[[#All],[Tot]],MATCH(Table5[[#This Row],[PID]],Table3[[#All],[PID]],0)))</f>
        <v>42.166003150572863</v>
      </c>
      <c r="R319" s="52">
        <f>IF($C319="B",INDEX(Batters[[#All],[zScore]],MATCH(Table5[[#This Row],[PID]],Batters[[#All],[PID]],0)),INDEX(Table3[[#All],[zScore]],MATCH(Table5[[#This Row],[PID]],Table3[[#All],[PID]],0)))</f>
        <v>0.29881125684225618</v>
      </c>
      <c r="S319" s="78" t="str">
        <f>IF($C319="B",INDEX(Batters[[#All],[DEM]],MATCH(Table5[[#This Row],[PID]],Batters[[#All],[PID]],0)),INDEX(Table3[[#All],[DEM]],MATCH(Table5[[#This Row],[PID]],Table3[[#All],[PID]],0)))</f>
        <v>$20k</v>
      </c>
      <c r="T319" s="75">
        <f>IF($C319="B",INDEX(Batters[[#All],[Rnk]],MATCH(Table5[[#This Row],[PID]],Batters[[#All],[PID]],0)),INDEX(Table3[[#All],[Rnk]],MATCH(Table5[[#This Row],[PID]],Table3[[#All],[PID]],0)))</f>
        <v>243</v>
      </c>
      <c r="U319" s="68">
        <f>IF($C319="B",VLOOKUP($A319,Bat!$A$4:$BA$1621,47,FALSE),VLOOKUP($A319,Pit!$A$4:$BF$1557,56,FALSE))</f>
        <v>0</v>
      </c>
      <c r="V319" s="50">
        <f>IF($C319="B",VLOOKUP($A319,Bat!$A$4:$BA$1621,48,FALSE),VLOOKUP($A319,Pit!$A$4:$BF$1557,57,FALSE))</f>
        <v>0</v>
      </c>
      <c r="W319" s="69">
        <f>Table5[[#This Row],[posRnk]]+Table5[[#This Row],[zRnk]]+IF($W$3&lt;&gt;Table5[[#This Row],[Type]],50,0)</f>
        <v>710</v>
      </c>
      <c r="X319" s="73">
        <f>RANK(Table5[[#This Row],[zScore]],Table5[[#All],[zScore]])</f>
        <v>417</v>
      </c>
      <c r="Y319" s="69">
        <f>IFERROR(INDEX(DraftResults[[#All],[OVR]],MATCH(Table5[[#This Row],[PID]],DraftResults[[#All],[Player ID]],0)),"")</f>
        <v>315</v>
      </c>
      <c r="Z31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19" s="69">
        <f>IFERROR(INDEX(DraftResults[[#All],[Pick in Round]],MATCH(Table5[[#This Row],[PID]],DraftResults[[#All],[Player ID]],0)),"")</f>
        <v>7</v>
      </c>
      <c r="AB319" s="69" t="str">
        <f>IFERROR(INDEX(DraftResults[[#All],[Team Name]],MATCH(Table5[[#This Row],[PID]],DraftResults[[#All],[Player ID]],0)),"")</f>
        <v>Niihama-shi Ghosts</v>
      </c>
      <c r="AC319" s="69">
        <f>IF(Table5[[#This Row],[Ovr]]="","",IF(Table5[[#This Row],[cmbList]]="","",Table5[[#This Row],[cmbList]]-Table5[[#This Row],[Ovr]]))</f>
        <v>395</v>
      </c>
      <c r="AD319" s="77" t="str">
        <f>IF(ISERROR(VLOOKUP($AB319&amp;"-"&amp;$E319&amp;" "&amp;F319,Bonuses!$B$1:$G$1006,4,FALSE)),"",INT(VLOOKUP($AB319&amp;"-"&amp;$E319&amp;" "&amp;$F319,Bonuses!$B$1:$G$1006,4,FALSE)))</f>
        <v/>
      </c>
      <c r="AE31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11.7 (315) - SP Marvin Lee</v>
      </c>
    </row>
    <row r="320" spans="1:31" s="50" customFormat="1" x14ac:dyDescent="0.25">
      <c r="A320" s="68">
        <v>18055</v>
      </c>
      <c r="B320" s="69">
        <f>COUNTIF(Table5[PID],A320)</f>
        <v>1</v>
      </c>
      <c r="C320" s="69" t="str">
        <f>IF(COUNTIF(Table3[[#All],[PID]],A320)&gt;0,"P","B")</f>
        <v>P</v>
      </c>
      <c r="D320" s="59" t="str">
        <f>IF($C320="B",INDEX(Batters[[#All],[POS]],MATCH(Table5[[#This Row],[PID]],Batters[[#All],[PID]],0)),INDEX(Table3[[#All],[POS]],MATCH(Table5[[#This Row],[PID]],Table3[[#All],[PID]],0)))</f>
        <v>SP</v>
      </c>
      <c r="E320" s="52" t="str">
        <f>IF($C320="B",INDEX(Batters[[#All],[First]],MATCH(Table5[[#This Row],[PID]],Batters[[#All],[PID]],0)),INDEX(Table3[[#All],[First]],MATCH(Table5[[#This Row],[PID]],Table3[[#All],[PID]],0)))</f>
        <v>Fred</v>
      </c>
      <c r="F320" s="55" t="str">
        <f>IF($C320="B",INDEX(Batters[[#All],[Last]],MATCH(A320,Batters[[#All],[PID]],0)),INDEX(Table3[[#All],[Last]],MATCH(A320,Table3[[#All],[PID]],0)))</f>
        <v>Woodward</v>
      </c>
      <c r="G320" s="56">
        <f>IF($C320="B",INDEX(Batters[[#All],[Age]],MATCH(Table5[[#This Row],[PID]],Batters[[#All],[PID]],0)),INDEX(Table3[[#All],[Age]],MATCH(Table5[[#This Row],[PID]],Table3[[#All],[PID]],0)))</f>
        <v>21</v>
      </c>
      <c r="H320" s="52" t="str">
        <f>IF($C320="B",INDEX(Batters[[#All],[B]],MATCH(Table5[[#This Row],[PID]],Batters[[#All],[PID]],0)),INDEX(Table3[[#All],[B]],MATCH(Table5[[#This Row],[PID]],Table3[[#All],[PID]],0)))</f>
        <v>R</v>
      </c>
      <c r="I320" s="52" t="str">
        <f>IF($C320="B",INDEX(Batters[[#All],[T]],MATCH(Table5[[#This Row],[PID]],Batters[[#All],[PID]],0)),INDEX(Table3[[#All],[T]],MATCH(Table5[[#This Row],[PID]],Table3[[#All],[PID]],0)))</f>
        <v>R</v>
      </c>
      <c r="J320" s="71" t="str">
        <f>IF($C320="B",INDEX(Batters[[#All],[WE]],MATCH(Table5[[#This Row],[PID]],Batters[[#All],[PID]],0)),INDEX(Table3[[#All],[WE]],MATCH(Table5[[#This Row],[PID]],Table3[[#All],[PID]],0)))</f>
        <v>Normal</v>
      </c>
      <c r="K320" s="52" t="str">
        <f>IF($C320="B",INDEX(Batters[[#All],[INT]],MATCH(Table5[[#This Row],[PID]],Batters[[#All],[PID]],0)),INDEX(Table3[[#All],[INT]],MATCH(Table5[[#This Row],[PID]],Table3[[#All],[PID]],0)))</f>
        <v>Normal</v>
      </c>
      <c r="L320" s="60">
        <f>IF($C320="B",INDEX(Batters[[#All],[CON P]],MATCH(Table5[[#This Row],[PID]],Batters[[#All],[PID]],0)),INDEX(Table3[[#All],[STU P]],MATCH(Table5[[#This Row],[PID]],Table3[[#All],[PID]],0)))</f>
        <v>5</v>
      </c>
      <c r="M320" s="72">
        <f>IF($C320="B",INDEX(Batters[[#All],[GAP P]],MATCH(Table5[[#This Row],[PID]],Batters[[#All],[PID]],0)),INDEX(Table3[[#All],[MOV P]],MATCH(Table5[[#This Row],[PID]],Table3[[#All],[PID]],0)))</f>
        <v>2</v>
      </c>
      <c r="N320" s="72">
        <f>IF($C320="B",INDEX(Batters[[#All],[POW P]],MATCH(Table5[[#This Row],[PID]],Batters[[#All],[PID]],0)),INDEX(Table3[[#All],[CON P]],MATCH(Table5[[#This Row],[PID]],Table3[[#All],[PID]],0)))</f>
        <v>3</v>
      </c>
      <c r="O320" s="72" t="str">
        <f>IF($C320="B",INDEX(Batters[[#All],[EYE P]],MATCH(Table5[[#This Row],[PID]],Batters[[#All],[PID]],0)),INDEX(Table3[[#All],[VELO]],MATCH(Table5[[#This Row],[PID]],Table3[[#All],[PID]],0)))</f>
        <v>95-97 Mph</v>
      </c>
      <c r="P320" s="56">
        <f>IF($C320="B",INDEX(Batters[[#All],[K P]],MATCH(Table5[[#This Row],[PID]],Batters[[#All],[PID]],0)),INDEX(Table3[[#All],[STM]],MATCH(Table5[[#This Row],[PID]],Table3[[#All],[PID]],0)))</f>
        <v>10</v>
      </c>
      <c r="Q320" s="61">
        <f>IF($C320="B",INDEX(Batters[[#All],[Tot]],MATCH(Table5[[#This Row],[PID]],Batters[[#All],[PID]],0)),INDEX(Table3[[#All],[Tot]],MATCH(Table5[[#This Row],[PID]],Table3[[#All],[PID]],0)))</f>
        <v>35.378708491875656</v>
      </c>
      <c r="R320" s="52">
        <f>IF($C320="B",INDEX(Batters[[#All],[zScore]],MATCH(Table5[[#This Row],[PID]],Batters[[#All],[PID]],0)),INDEX(Table3[[#All],[zScore]],MATCH(Table5[[#This Row],[PID]],Table3[[#All],[PID]],0)))</f>
        <v>-0.10136306592589779</v>
      </c>
      <c r="S320" s="78" t="str">
        <f>IF($C320="B",INDEX(Batters[[#All],[DEM]],MATCH(Table5[[#This Row],[PID]],Batters[[#All],[PID]],0)),INDEX(Table3[[#All],[DEM]],MATCH(Table5[[#This Row],[PID]],Table3[[#All],[PID]],0)))</f>
        <v>-</v>
      </c>
      <c r="T320" s="75">
        <f>IF($C320="B",INDEX(Batters[[#All],[Rnk]],MATCH(Table5[[#This Row],[PID]],Batters[[#All],[PID]],0)),INDEX(Table3[[#All],[Rnk]],MATCH(Table5[[#This Row],[PID]],Table3[[#All],[PID]],0)))</f>
        <v>340</v>
      </c>
      <c r="U320" s="68">
        <f>IF($C320="B",VLOOKUP($A320,Bat!$A$4:$BA$1621,47,FALSE),VLOOKUP($A320,Pit!$A$4:$BF$1557,56,FALSE))</f>
        <v>0</v>
      </c>
      <c r="V320" s="50">
        <f>IF($C320="B",VLOOKUP($A320,Bat!$A$4:$BA$1621,48,FALSE),VLOOKUP($A320,Pit!$A$4:$BF$1557,57,FALSE))</f>
        <v>0</v>
      </c>
      <c r="W320" s="69">
        <f>Table5[[#This Row],[posRnk]]+Table5[[#This Row],[zRnk]]+IF($W$3&lt;&gt;Table5[[#This Row],[Type]],50,0)</f>
        <v>989</v>
      </c>
      <c r="X320" s="73">
        <f>RANK(Table5[[#This Row],[zScore]],Table5[[#All],[zScore]])</f>
        <v>599</v>
      </c>
      <c r="Y320" s="69">
        <f>IFERROR(INDEX(DraftResults[[#All],[OVR]],MATCH(Table5[[#This Row],[PID]],DraftResults[[#All],[Player ID]],0)),"")</f>
        <v>316</v>
      </c>
      <c r="Z3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0" s="69">
        <f>IFERROR(INDEX(DraftResults[[#All],[Pick in Round]],MATCH(Table5[[#This Row],[PID]],DraftResults[[#All],[Player ID]],0)),"")</f>
        <v>8</v>
      </c>
      <c r="AB320" s="69" t="str">
        <f>IFERROR(INDEX(DraftResults[[#All],[Team Name]],MATCH(Table5[[#This Row],[PID]],DraftResults[[#All],[Player ID]],0)),"")</f>
        <v>London Underground</v>
      </c>
      <c r="AC320" s="69">
        <f>IF(Table5[[#This Row],[Ovr]]="","",IF(Table5[[#This Row],[cmbList]]="","",Table5[[#This Row],[cmbList]]-Table5[[#This Row],[Ovr]]))</f>
        <v>673</v>
      </c>
      <c r="AD320" s="77" t="str">
        <f>IF(ISERROR(VLOOKUP($AB320&amp;"-"&amp;$E320&amp;" "&amp;F320,Bonuses!$B$1:$G$1006,4,FALSE)),"",INT(VLOOKUP($AB320&amp;"-"&amp;$E320&amp;" "&amp;$F320,Bonuses!$B$1:$G$1006,4,FALSE)))</f>
        <v/>
      </c>
      <c r="AE3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11.8 (316) - SP Fred Woodward</v>
      </c>
    </row>
    <row r="321" spans="1:31" s="50" customFormat="1" x14ac:dyDescent="0.25">
      <c r="A321" s="50">
        <v>17883</v>
      </c>
      <c r="B321" s="50">
        <f>COUNTIF(Table5[PID],A321)</f>
        <v>1</v>
      </c>
      <c r="C321" s="50" t="str">
        <f>IF(COUNTIF(Table3[[#All],[PID]],A321)&gt;0,"P","B")</f>
        <v>B</v>
      </c>
      <c r="D321" s="59" t="str">
        <f>IF($C321="B",INDEX(Batters[[#All],[POS]],MATCH(Table5[[#This Row],[PID]],Batters[[#All],[PID]],0)),INDEX(Table3[[#All],[POS]],MATCH(Table5[[#This Row],[PID]],Table3[[#All],[PID]],0)))</f>
        <v>LF</v>
      </c>
      <c r="E321" s="52" t="str">
        <f>IF($C321="B",INDEX(Batters[[#All],[First]],MATCH(Table5[[#This Row],[PID]],Batters[[#All],[PID]],0)),INDEX(Table3[[#All],[First]],MATCH(Table5[[#This Row],[PID]],Table3[[#All],[PID]],0)))</f>
        <v>Nobukazu</v>
      </c>
      <c r="F321" s="50" t="str">
        <f>IF($C321="B",INDEX(Batters[[#All],[Last]],MATCH(A321,Batters[[#All],[PID]],0)),INDEX(Table3[[#All],[Last]],MATCH(A321,Table3[[#All],[PID]],0)))</f>
        <v>Shiraishi</v>
      </c>
      <c r="G321" s="56">
        <f>IF($C321="B",INDEX(Batters[[#All],[Age]],MATCH(Table5[[#This Row],[PID]],Batters[[#All],[PID]],0)),INDEX(Table3[[#All],[Age]],MATCH(Table5[[#This Row],[PID]],Table3[[#All],[PID]],0)))</f>
        <v>18</v>
      </c>
      <c r="H321" s="52" t="str">
        <f>IF($C321="B",INDEX(Batters[[#All],[B]],MATCH(Table5[[#This Row],[PID]],Batters[[#All],[PID]],0)),INDEX(Table3[[#All],[B]],MATCH(Table5[[#This Row],[PID]],Table3[[#All],[PID]],0)))</f>
        <v>R</v>
      </c>
      <c r="I321" s="52" t="str">
        <f>IF($C321="B",INDEX(Batters[[#All],[T]],MATCH(Table5[[#This Row],[PID]],Batters[[#All],[PID]],0)),INDEX(Table3[[#All],[T]],MATCH(Table5[[#This Row],[PID]],Table3[[#All],[PID]],0)))</f>
        <v>R</v>
      </c>
      <c r="J321" s="52" t="str">
        <f>IF($C321="B",INDEX(Batters[[#All],[WE]],MATCH(Table5[[#This Row],[PID]],Batters[[#All],[PID]],0)),INDEX(Table3[[#All],[WE]],MATCH(Table5[[#This Row],[PID]],Table3[[#All],[PID]],0)))</f>
        <v>High</v>
      </c>
      <c r="K321" s="52" t="str">
        <f>IF($C321="B",INDEX(Batters[[#All],[INT]],MATCH(Table5[[#This Row],[PID]],Batters[[#All],[PID]],0)),INDEX(Table3[[#All],[INT]],MATCH(Table5[[#This Row],[PID]],Table3[[#All],[PID]],0)))</f>
        <v>Normal</v>
      </c>
      <c r="L321" s="60">
        <f>IF($C321="B",INDEX(Batters[[#All],[CON P]],MATCH(Table5[[#This Row],[PID]],Batters[[#All],[PID]],0)),INDEX(Table3[[#All],[STU P]],MATCH(Table5[[#This Row],[PID]],Table3[[#All],[PID]],0)))</f>
        <v>3</v>
      </c>
      <c r="M321" s="56">
        <f>IF($C321="B",INDEX(Batters[[#All],[GAP P]],MATCH(Table5[[#This Row],[PID]],Batters[[#All],[PID]],0)),INDEX(Table3[[#All],[MOV P]],MATCH(Table5[[#This Row],[PID]],Table3[[#All],[PID]],0)))</f>
        <v>3</v>
      </c>
      <c r="N321" s="56">
        <f>IF($C321="B",INDEX(Batters[[#All],[POW P]],MATCH(Table5[[#This Row],[PID]],Batters[[#All],[PID]],0)),INDEX(Table3[[#All],[CON P]],MATCH(Table5[[#This Row],[PID]],Table3[[#All],[PID]],0)))</f>
        <v>4</v>
      </c>
      <c r="O321" s="56">
        <f>IF($C321="B",INDEX(Batters[[#All],[EYE P]],MATCH(Table5[[#This Row],[PID]],Batters[[#All],[PID]],0)),INDEX(Table3[[#All],[VELO]],MATCH(Table5[[#This Row],[PID]],Table3[[#All],[PID]],0)))</f>
        <v>6</v>
      </c>
      <c r="P321" s="56">
        <f>IF($C321="B",INDEX(Batters[[#All],[K P]],MATCH(Table5[[#This Row],[PID]],Batters[[#All],[PID]],0)),INDEX(Table3[[#All],[STM]],MATCH(Table5[[#This Row],[PID]],Table3[[#All],[PID]],0)))</f>
        <v>3</v>
      </c>
      <c r="Q321" s="61">
        <f>IF($C321="B",INDEX(Batters[[#All],[Tot]],MATCH(Table5[[#This Row],[PID]],Batters[[#All],[PID]],0)),INDEX(Table3[[#All],[Tot]],MATCH(Table5[[#This Row],[PID]],Table3[[#All],[PID]],0)))</f>
        <v>43.45131736823361</v>
      </c>
      <c r="R321" s="52">
        <f>IF($C321="B",INDEX(Batters[[#All],[zScore]],MATCH(Table5[[#This Row],[PID]],Batters[[#All],[PID]],0)),INDEX(Table3[[#All],[zScore]],MATCH(Table5[[#This Row],[PID]],Table3[[#All],[PID]],0)))</f>
        <v>-0.15089857632898865</v>
      </c>
      <c r="S321" s="58" t="str">
        <f>IF($C321="B",INDEX(Batters[[#All],[DEM]],MATCH(Table5[[#This Row],[PID]],Batters[[#All],[PID]],0)),INDEX(Table3[[#All],[DEM]],MATCH(Table5[[#This Row],[PID]],Table3[[#All],[PID]],0)))</f>
        <v>$65k</v>
      </c>
      <c r="T321" s="62">
        <f>IF($C321="B",INDEX(Batters[[#All],[Rnk]],MATCH(Table5[[#This Row],[PID]],Batters[[#All],[PID]],0)),INDEX(Table3[[#All],[Rnk]],MATCH(Table5[[#This Row],[PID]],Table3[[#All],[PID]],0)))</f>
        <v>270</v>
      </c>
      <c r="U321" s="68">
        <f>IF($C321="B",VLOOKUP($A321,Bat!$A$4:$BA$1621,47,FALSE),VLOOKUP($A321,Pit!$A$4:$BF$1557,56,FALSE))</f>
        <v>0</v>
      </c>
      <c r="V321" s="50">
        <f>IF($C321="B",VLOOKUP($A321,Bat!$A$4:$BA$1621,48,FALSE),VLOOKUP($A321,Pit!$A$4:$BF$1557,57,FALSE))</f>
        <v>0</v>
      </c>
      <c r="W321" s="50">
        <f>Table5[[#This Row],[posRnk]]+Table5[[#This Row],[zRnk]]+IF($W$3&lt;&gt;Table5[[#This Row],[Type]],50,0)</f>
        <v>951</v>
      </c>
      <c r="X321" s="51">
        <f>RANK(Table5[[#This Row],[zScore]],Table5[[#All],[zScore]])</f>
        <v>631</v>
      </c>
      <c r="Y321" s="50">
        <f>IFERROR(INDEX(DraftResults[[#All],[OVR]],MATCH(Table5[[#This Row],[PID]],DraftResults[[#All],[Player ID]],0)),"")</f>
        <v>317</v>
      </c>
      <c r="Z3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1" s="50">
        <f>IFERROR(INDEX(DraftResults[[#All],[Pick in Round]],MATCH(Table5[[#This Row],[PID]],DraftResults[[#All],[Player ID]],0)),"")</f>
        <v>9</v>
      </c>
      <c r="AB321" s="50" t="str">
        <f>IFERROR(INDEX(DraftResults[[#All],[Team Name]],MATCH(Table5[[#This Row],[PID]],DraftResults[[#All],[Player ID]],0)),"")</f>
        <v>Scottish Claymores</v>
      </c>
      <c r="AC321" s="50">
        <f>IF(Table5[[#This Row],[Ovr]]="","",IF(Table5[[#This Row],[cmbList]]="","",Table5[[#This Row],[cmbList]]-Table5[[#This Row],[Ovr]]))</f>
        <v>634</v>
      </c>
      <c r="AD321" s="54" t="str">
        <f>IF(ISERROR(VLOOKUP($AB321&amp;"-"&amp;$E321&amp;" "&amp;F321,Bonuses!$B$1:$G$1006,4,FALSE)),"",INT(VLOOKUP($AB321&amp;"-"&amp;$E321&amp;" "&amp;$F321,Bonuses!$B$1:$G$1006,4,FALSE)))</f>
        <v/>
      </c>
      <c r="AE3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11.9 (317) - LF Nobukazu Shiraishi</v>
      </c>
    </row>
    <row r="322" spans="1:31" s="50" customFormat="1" x14ac:dyDescent="0.25">
      <c r="A322" s="50">
        <v>17771</v>
      </c>
      <c r="B322" s="50">
        <f>COUNTIF(Table5[PID],A322)</f>
        <v>1</v>
      </c>
      <c r="C322" s="50" t="str">
        <f>IF(COUNTIF(Table3[[#All],[PID]],A322)&gt;0,"P","B")</f>
        <v>B</v>
      </c>
      <c r="D322" s="59" t="str">
        <f>IF($C322="B",INDEX(Batters[[#All],[POS]],MATCH(Table5[[#This Row],[PID]],Batters[[#All],[PID]],0)),INDEX(Table3[[#All],[POS]],MATCH(Table5[[#This Row],[PID]],Table3[[#All],[PID]],0)))</f>
        <v>LF</v>
      </c>
      <c r="E322" s="52" t="str">
        <f>IF($C322="B",INDEX(Batters[[#All],[First]],MATCH(Table5[[#This Row],[PID]],Batters[[#All],[PID]],0)),INDEX(Table3[[#All],[First]],MATCH(Table5[[#This Row],[PID]],Table3[[#All],[PID]],0)))</f>
        <v>Julián</v>
      </c>
      <c r="F322" s="50" t="str">
        <f>IF($C322="B",INDEX(Batters[[#All],[Last]],MATCH(A322,Batters[[#All],[PID]],0)),INDEX(Table3[[#All],[Last]],MATCH(A322,Table3[[#All],[PID]],0)))</f>
        <v>Lucero</v>
      </c>
      <c r="G322" s="56">
        <f>IF($C322="B",INDEX(Batters[[#All],[Age]],MATCH(Table5[[#This Row],[PID]],Batters[[#All],[PID]],0)),INDEX(Table3[[#All],[Age]],MATCH(Table5[[#This Row],[PID]],Table3[[#All],[PID]],0)))</f>
        <v>21</v>
      </c>
      <c r="H322" s="52" t="str">
        <f>IF($C322="B",INDEX(Batters[[#All],[B]],MATCH(Table5[[#This Row],[PID]],Batters[[#All],[PID]],0)),INDEX(Table3[[#All],[B]],MATCH(Table5[[#This Row],[PID]],Table3[[#All],[PID]],0)))</f>
        <v>L</v>
      </c>
      <c r="I322" s="52" t="str">
        <f>IF($C322="B",INDEX(Batters[[#All],[T]],MATCH(Table5[[#This Row],[PID]],Batters[[#All],[PID]],0)),INDEX(Table3[[#All],[T]],MATCH(Table5[[#This Row],[PID]],Table3[[#All],[PID]],0)))</f>
        <v>L</v>
      </c>
      <c r="J322" s="52" t="str">
        <f>IF($C322="B",INDEX(Batters[[#All],[WE]],MATCH(Table5[[#This Row],[PID]],Batters[[#All],[PID]],0)),INDEX(Table3[[#All],[WE]],MATCH(Table5[[#This Row],[PID]],Table3[[#All],[PID]],0)))</f>
        <v>Low</v>
      </c>
      <c r="K322" s="52" t="str">
        <f>IF($C322="B",INDEX(Batters[[#All],[INT]],MATCH(Table5[[#This Row],[PID]],Batters[[#All],[PID]],0)),INDEX(Table3[[#All],[INT]],MATCH(Table5[[#This Row],[PID]],Table3[[#All],[PID]],0)))</f>
        <v>Normal</v>
      </c>
      <c r="L322" s="60">
        <f>IF($C322="B",INDEX(Batters[[#All],[CON P]],MATCH(Table5[[#This Row],[PID]],Batters[[#All],[PID]],0)),INDEX(Table3[[#All],[STU P]],MATCH(Table5[[#This Row],[PID]],Table3[[#All],[PID]],0)))</f>
        <v>4</v>
      </c>
      <c r="M322" s="56">
        <f>IF($C322="B",INDEX(Batters[[#All],[GAP P]],MATCH(Table5[[#This Row],[PID]],Batters[[#All],[PID]],0)),INDEX(Table3[[#All],[MOV P]],MATCH(Table5[[#This Row],[PID]],Table3[[#All],[PID]],0)))</f>
        <v>3</v>
      </c>
      <c r="N322" s="56">
        <f>IF($C322="B",INDEX(Batters[[#All],[POW P]],MATCH(Table5[[#This Row],[PID]],Batters[[#All],[PID]],0)),INDEX(Table3[[#All],[CON P]],MATCH(Table5[[#This Row],[PID]],Table3[[#All],[PID]],0)))</f>
        <v>5</v>
      </c>
      <c r="O322" s="56">
        <f>IF($C322="B",INDEX(Batters[[#All],[EYE P]],MATCH(Table5[[#This Row],[PID]],Batters[[#All],[PID]],0)),INDEX(Table3[[#All],[VELO]],MATCH(Table5[[#This Row],[PID]],Table3[[#All],[PID]],0)))</f>
        <v>6</v>
      </c>
      <c r="P322" s="56">
        <f>IF($C322="B",INDEX(Batters[[#All],[K P]],MATCH(Table5[[#This Row],[PID]],Batters[[#All],[PID]],0)),INDEX(Table3[[#All],[STM]],MATCH(Table5[[#This Row],[PID]],Table3[[#All],[PID]],0)))</f>
        <v>4</v>
      </c>
      <c r="Q322" s="61">
        <f>IF($C322="B",INDEX(Batters[[#All],[Tot]],MATCH(Table5[[#This Row],[PID]],Batters[[#All],[PID]],0)),INDEX(Table3[[#All],[Tot]],MATCH(Table5[[#This Row],[PID]],Table3[[#All],[PID]],0)))</f>
        <v>43.360618754404939</v>
      </c>
      <c r="R322" s="52">
        <f>IF($C322="B",INDEX(Batters[[#All],[zScore]],MATCH(Table5[[#This Row],[PID]],Batters[[#All],[PID]],0)),INDEX(Table3[[#All],[zScore]],MATCH(Table5[[#This Row],[PID]],Table3[[#All],[PID]],0)))</f>
        <v>-0.17100707208053756</v>
      </c>
      <c r="S322" s="58" t="str">
        <f>IF($C322="B",INDEX(Batters[[#All],[DEM]],MATCH(Table5[[#This Row],[PID]],Batters[[#All],[PID]],0)),INDEX(Table3[[#All],[DEM]],MATCH(Table5[[#This Row],[PID]],Table3[[#All],[PID]],0)))</f>
        <v>-</v>
      </c>
      <c r="T322" s="62">
        <f>IF($C322="B",INDEX(Batters[[#All],[Rnk]],MATCH(Table5[[#This Row],[PID]],Batters[[#All],[PID]],0)),INDEX(Table3[[#All],[Rnk]],MATCH(Table5[[#This Row],[PID]],Table3[[#All],[PID]],0)))</f>
        <v>273</v>
      </c>
      <c r="U322" s="68">
        <f>IF($C322="B",VLOOKUP($A322,Bat!$A$4:$BA$1621,47,FALSE),VLOOKUP($A322,Pit!$A$4:$BF$1557,56,FALSE))</f>
        <v>0</v>
      </c>
      <c r="V322" s="50">
        <f>IF($C322="B",VLOOKUP($A322,Bat!$A$4:$BA$1621,48,FALSE),VLOOKUP($A322,Pit!$A$4:$BF$1557,57,FALSE))</f>
        <v>0</v>
      </c>
      <c r="W322" s="50">
        <f>Table5[[#This Row],[posRnk]]+Table5[[#This Row],[zRnk]]+IF($W$3&lt;&gt;Table5[[#This Row],[Type]],50,0)</f>
        <v>969</v>
      </c>
      <c r="X322" s="51">
        <f>RANK(Table5[[#This Row],[zScore]],Table5[[#All],[zScore]])</f>
        <v>646</v>
      </c>
      <c r="Y322" s="50">
        <f>IFERROR(INDEX(DraftResults[[#All],[OVR]],MATCH(Table5[[#This Row],[PID]],DraftResults[[#All],[Player ID]],0)),"")</f>
        <v>318</v>
      </c>
      <c r="Z3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2" s="50">
        <f>IFERROR(INDEX(DraftResults[[#All],[Pick in Round]],MATCH(Table5[[#This Row],[PID]],DraftResults[[#All],[Player ID]],0)),"")</f>
        <v>10</v>
      </c>
      <c r="AB322" s="50" t="str">
        <f>IFERROR(INDEX(DraftResults[[#All],[Team Name]],MATCH(Table5[[#This Row],[PID]],DraftResults[[#All],[Player ID]],0)),"")</f>
        <v>Hartford Harpoon</v>
      </c>
      <c r="AC322" s="50">
        <f>IF(Table5[[#This Row],[Ovr]]="","",IF(Table5[[#This Row],[cmbList]]="","",Table5[[#This Row],[cmbList]]-Table5[[#This Row],[Ovr]]))</f>
        <v>651</v>
      </c>
      <c r="AD322" s="54" t="str">
        <f>IF(ISERROR(VLOOKUP($AB322&amp;"-"&amp;$E322&amp;" "&amp;F322,Bonuses!$B$1:$G$1006,4,FALSE)),"",INT(VLOOKUP($AB322&amp;"-"&amp;$E322&amp;" "&amp;$F322,Bonuses!$B$1:$G$1006,4,FALSE)))</f>
        <v/>
      </c>
      <c r="AE3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11.10 (318) - LF Julián Lucero</v>
      </c>
    </row>
    <row r="323" spans="1:31" s="50" customFormat="1" x14ac:dyDescent="0.25">
      <c r="A323" s="68">
        <v>20353</v>
      </c>
      <c r="B323" s="69">
        <f>COUNTIF(Table5[PID],A323)</f>
        <v>1</v>
      </c>
      <c r="C323" s="69" t="str">
        <f>IF(COUNTIF(Table3[[#All],[PID]],A323)&gt;0,"P","B")</f>
        <v>P</v>
      </c>
      <c r="D323" s="59" t="str">
        <f>IF($C323="B",INDEX(Batters[[#All],[POS]],MATCH(Table5[[#This Row],[PID]],Batters[[#All],[PID]],0)),INDEX(Table3[[#All],[POS]],MATCH(Table5[[#This Row],[PID]],Table3[[#All],[PID]],0)))</f>
        <v>SP</v>
      </c>
      <c r="E323" s="52" t="str">
        <f>IF($C323="B",INDEX(Batters[[#All],[First]],MATCH(Table5[[#This Row],[PID]],Batters[[#All],[PID]],0)),INDEX(Table3[[#All],[First]],MATCH(Table5[[#This Row],[PID]],Table3[[#All],[PID]],0)))</f>
        <v>Bob</v>
      </c>
      <c r="F323" s="55" t="str">
        <f>IF($C323="B",INDEX(Batters[[#All],[Last]],MATCH(A323,Batters[[#All],[PID]],0)),INDEX(Table3[[#All],[Last]],MATCH(A323,Table3[[#All],[PID]],0)))</f>
        <v>Donogan</v>
      </c>
      <c r="G323" s="56">
        <f>IF($C323="B",INDEX(Batters[[#All],[Age]],MATCH(Table5[[#This Row],[PID]],Batters[[#All],[PID]],0)),INDEX(Table3[[#All],[Age]],MATCH(Table5[[#This Row],[PID]],Table3[[#All],[PID]],0)))</f>
        <v>17</v>
      </c>
      <c r="H323" s="52" t="str">
        <f>IF($C323="B",INDEX(Batters[[#All],[B]],MATCH(Table5[[#This Row],[PID]],Batters[[#All],[PID]],0)),INDEX(Table3[[#All],[B]],MATCH(Table5[[#This Row],[PID]],Table3[[#All],[PID]],0)))</f>
        <v>L</v>
      </c>
      <c r="I323" s="52" t="str">
        <f>IF($C323="B",INDEX(Batters[[#All],[T]],MATCH(Table5[[#This Row],[PID]],Batters[[#All],[PID]],0)),INDEX(Table3[[#All],[T]],MATCH(Table5[[#This Row],[PID]],Table3[[#All],[PID]],0)))</f>
        <v>R</v>
      </c>
      <c r="J323" s="71" t="str">
        <f>IF($C323="B",INDEX(Batters[[#All],[WE]],MATCH(Table5[[#This Row],[PID]],Batters[[#All],[PID]],0)),INDEX(Table3[[#All],[WE]],MATCH(Table5[[#This Row],[PID]],Table3[[#All],[PID]],0)))</f>
        <v>Normal</v>
      </c>
      <c r="K323" s="52" t="str">
        <f>IF($C323="B",INDEX(Batters[[#All],[INT]],MATCH(Table5[[#This Row],[PID]],Batters[[#All],[PID]],0)),INDEX(Table3[[#All],[INT]],MATCH(Table5[[#This Row],[PID]],Table3[[#All],[PID]],0)))</f>
        <v>Normal</v>
      </c>
      <c r="L323" s="60">
        <f>IF($C323="B",INDEX(Batters[[#All],[CON P]],MATCH(Table5[[#This Row],[PID]],Batters[[#All],[PID]],0)),INDEX(Table3[[#All],[STU P]],MATCH(Table5[[#This Row],[PID]],Table3[[#All],[PID]],0)))</f>
        <v>5</v>
      </c>
      <c r="M323" s="72">
        <f>IF($C323="B",INDEX(Batters[[#All],[GAP P]],MATCH(Table5[[#This Row],[PID]],Batters[[#All],[PID]],0)),INDEX(Table3[[#All],[MOV P]],MATCH(Table5[[#This Row],[PID]],Table3[[#All],[PID]],0)))</f>
        <v>3</v>
      </c>
      <c r="N323" s="72">
        <f>IF($C323="B",INDEX(Batters[[#All],[POW P]],MATCH(Table5[[#This Row],[PID]],Batters[[#All],[PID]],0)),INDEX(Table3[[#All],[CON P]],MATCH(Table5[[#This Row],[PID]],Table3[[#All],[PID]],0)))</f>
        <v>4</v>
      </c>
      <c r="O323" s="72" t="str">
        <f>IF($C323="B",INDEX(Batters[[#All],[EYE P]],MATCH(Table5[[#This Row],[PID]],Batters[[#All],[PID]],0)),INDEX(Table3[[#All],[VELO]],MATCH(Table5[[#This Row],[PID]],Table3[[#All],[PID]],0)))</f>
        <v>95-97 Mph</v>
      </c>
      <c r="P323" s="56">
        <f>IF($C323="B",INDEX(Batters[[#All],[K P]],MATCH(Table5[[#This Row],[PID]],Batters[[#All],[PID]],0)),INDEX(Table3[[#All],[STM]],MATCH(Table5[[#This Row],[PID]],Table3[[#All],[PID]],0)))</f>
        <v>5</v>
      </c>
      <c r="Q323" s="61">
        <f>IF($C323="B",INDEX(Batters[[#All],[Tot]],MATCH(Table5[[#This Row],[PID]],Batters[[#All],[PID]],0)),INDEX(Table3[[#All],[Tot]],MATCH(Table5[[#This Row],[PID]],Table3[[#All],[PID]],0)))</f>
        <v>50.094478627542479</v>
      </c>
      <c r="R323" s="52">
        <f>IF($C323="B",INDEX(Batters[[#All],[zScore]],MATCH(Table5[[#This Row],[PID]],Batters[[#All],[PID]],0)),INDEX(Table3[[#All],[zScore]],MATCH(Table5[[#This Row],[PID]],Table3[[#All],[PID]],0)))</f>
        <v>0.94629782970183718</v>
      </c>
      <c r="S323" s="78" t="str">
        <f>IF($C323="B",INDEX(Batters[[#All],[DEM]],MATCH(Table5[[#This Row],[PID]],Batters[[#All],[PID]],0)),INDEX(Table3[[#All],[DEM]],MATCH(Table5[[#This Row],[PID]],Table3[[#All],[PID]],0)))</f>
        <v>$200k</v>
      </c>
      <c r="T323" s="75">
        <f>IF($C323="B",INDEX(Batters[[#All],[Rnk]],MATCH(Table5[[#This Row],[PID]],Batters[[#All],[PID]],0)),INDEX(Table3[[#All],[Rnk]],MATCH(Table5[[#This Row],[PID]],Table3[[#All],[PID]],0)))</f>
        <v>147</v>
      </c>
      <c r="U323" s="68">
        <f>IF($C323="B",VLOOKUP($A323,Bat!$A$4:$BA$1621,47,FALSE),VLOOKUP($A323,Pit!$A$4:$BF$1557,56,FALSE))</f>
        <v>0</v>
      </c>
      <c r="V323" s="50">
        <f>IF($C323="B",VLOOKUP($A323,Bat!$A$4:$BA$1621,48,FALSE),VLOOKUP($A323,Pit!$A$4:$BF$1557,57,FALSE))</f>
        <v>0</v>
      </c>
      <c r="W323" s="69">
        <f>Table5[[#This Row],[posRnk]]+Table5[[#This Row],[zRnk]]+IF($W$3&lt;&gt;Table5[[#This Row],[Type]],50,0)</f>
        <v>440</v>
      </c>
      <c r="X323" s="73">
        <f>RANK(Table5[[#This Row],[zScore]],Table5[[#All],[zScore]])</f>
        <v>243</v>
      </c>
      <c r="Y323" s="69">
        <f>IFERROR(INDEX(DraftResults[[#All],[OVR]],MATCH(Table5[[#This Row],[PID]],DraftResults[[#All],[Player ID]],0)),"")</f>
        <v>319</v>
      </c>
      <c r="Z32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3" s="69">
        <f>IFERROR(INDEX(DraftResults[[#All],[Pick in Round]],MATCH(Table5[[#This Row],[PID]],DraftResults[[#All],[Player ID]],0)),"")</f>
        <v>11</v>
      </c>
      <c r="AB323" s="69" t="str">
        <f>IFERROR(INDEX(DraftResults[[#All],[Team Name]],MATCH(Table5[[#This Row],[PID]],DraftResults[[#All],[Player ID]],0)),"")</f>
        <v>Duluth Warriors</v>
      </c>
      <c r="AC323" s="69">
        <f>IF(Table5[[#This Row],[Ovr]]="","",IF(Table5[[#This Row],[cmbList]]="","",Table5[[#This Row],[cmbList]]-Table5[[#This Row],[Ovr]]))</f>
        <v>121</v>
      </c>
      <c r="AD323" s="77" t="str">
        <f>IF(ISERROR(VLOOKUP($AB323&amp;"-"&amp;$E323&amp;" "&amp;F323,Bonuses!$B$1:$G$1006,4,FALSE)),"",INT(VLOOKUP($AB323&amp;"-"&amp;$E323&amp;" "&amp;$F323,Bonuses!$B$1:$G$1006,4,FALSE)))</f>
        <v/>
      </c>
      <c r="AE32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11.11 (319) - SP Bob Donogan</v>
      </c>
    </row>
    <row r="324" spans="1:31" s="50" customFormat="1" x14ac:dyDescent="0.25">
      <c r="A324" s="50">
        <v>13214</v>
      </c>
      <c r="B324" s="50">
        <f>COUNTIF(Table5[PID],A324)</f>
        <v>1</v>
      </c>
      <c r="C324" s="50" t="str">
        <f>IF(COUNTIF(Table3[[#All],[PID]],A324)&gt;0,"P","B")</f>
        <v>B</v>
      </c>
      <c r="D324" s="59" t="str">
        <f>IF($C324="B",INDEX(Batters[[#All],[POS]],MATCH(Table5[[#This Row],[PID]],Batters[[#All],[PID]],0)),INDEX(Table3[[#All],[POS]],MATCH(Table5[[#This Row],[PID]],Table3[[#All],[PID]],0)))</f>
        <v>3B</v>
      </c>
      <c r="E324" s="52" t="str">
        <f>IF($C324="B",INDEX(Batters[[#All],[First]],MATCH(Table5[[#This Row],[PID]],Batters[[#All],[PID]],0)),INDEX(Table3[[#All],[First]],MATCH(Table5[[#This Row],[PID]],Table3[[#All],[PID]],0)))</f>
        <v>Cory</v>
      </c>
      <c r="F324" s="50" t="str">
        <f>IF($C324="B",INDEX(Batters[[#All],[Last]],MATCH(A324,Batters[[#All],[PID]],0)),INDEX(Table3[[#All],[Last]],MATCH(A324,Table3[[#All],[PID]],0)))</f>
        <v>Allen</v>
      </c>
      <c r="G324" s="56">
        <f>IF($C324="B",INDEX(Batters[[#All],[Age]],MATCH(Table5[[#This Row],[PID]],Batters[[#All],[PID]],0)),INDEX(Table3[[#All],[Age]],MATCH(Table5[[#This Row],[PID]],Table3[[#All],[PID]],0)))</f>
        <v>18</v>
      </c>
      <c r="H324" s="52" t="str">
        <f>IF($C324="B",INDEX(Batters[[#All],[B]],MATCH(Table5[[#This Row],[PID]],Batters[[#All],[PID]],0)),INDEX(Table3[[#All],[B]],MATCH(Table5[[#This Row],[PID]],Table3[[#All],[PID]],0)))</f>
        <v>R</v>
      </c>
      <c r="I324" s="52" t="str">
        <f>IF($C324="B",INDEX(Batters[[#All],[T]],MATCH(Table5[[#This Row],[PID]],Batters[[#All],[PID]],0)),INDEX(Table3[[#All],[T]],MATCH(Table5[[#This Row],[PID]],Table3[[#All],[PID]],0)))</f>
        <v>R</v>
      </c>
      <c r="J324" s="52" t="str">
        <f>IF($C324="B",INDEX(Batters[[#All],[WE]],MATCH(Table5[[#This Row],[PID]],Batters[[#All],[PID]],0)),INDEX(Table3[[#All],[WE]],MATCH(Table5[[#This Row],[PID]],Table3[[#All],[PID]],0)))</f>
        <v>Normal</v>
      </c>
      <c r="K324" s="52" t="str">
        <f>IF($C324="B",INDEX(Batters[[#All],[INT]],MATCH(Table5[[#This Row],[PID]],Batters[[#All],[PID]],0)),INDEX(Table3[[#All],[INT]],MATCH(Table5[[#This Row],[PID]],Table3[[#All],[PID]],0)))</f>
        <v>Normal</v>
      </c>
      <c r="L324" s="60">
        <f>IF($C324="B",INDEX(Batters[[#All],[CON P]],MATCH(Table5[[#This Row],[PID]],Batters[[#All],[PID]],0)),INDEX(Table3[[#All],[STU P]],MATCH(Table5[[#This Row],[PID]],Table3[[#All],[PID]],0)))</f>
        <v>3</v>
      </c>
      <c r="M324" s="56">
        <f>IF($C324="B",INDEX(Batters[[#All],[GAP P]],MATCH(Table5[[#This Row],[PID]],Batters[[#All],[PID]],0)),INDEX(Table3[[#All],[MOV P]],MATCH(Table5[[#This Row],[PID]],Table3[[#All],[PID]],0)))</f>
        <v>6</v>
      </c>
      <c r="N324" s="56">
        <f>IF($C324="B",INDEX(Batters[[#All],[POW P]],MATCH(Table5[[#This Row],[PID]],Batters[[#All],[PID]],0)),INDEX(Table3[[#All],[CON P]],MATCH(Table5[[#This Row],[PID]],Table3[[#All],[PID]],0)))</f>
        <v>6</v>
      </c>
      <c r="O324" s="56">
        <f>IF($C324="B",INDEX(Batters[[#All],[EYE P]],MATCH(Table5[[#This Row],[PID]],Batters[[#All],[PID]],0)),INDEX(Table3[[#All],[VELO]],MATCH(Table5[[#This Row],[PID]],Table3[[#All],[PID]],0)))</f>
        <v>5</v>
      </c>
      <c r="P324" s="56">
        <f>IF($C324="B",INDEX(Batters[[#All],[K P]],MATCH(Table5[[#This Row],[PID]],Batters[[#All],[PID]],0)),INDEX(Table3[[#All],[STM]],MATCH(Table5[[#This Row],[PID]],Table3[[#All],[PID]],0)))</f>
        <v>2</v>
      </c>
      <c r="Q324" s="61">
        <f>IF($C324="B",INDEX(Batters[[#All],[Tot]],MATCH(Table5[[#This Row],[PID]],Batters[[#All],[PID]],0)),INDEX(Table3[[#All],[Tot]],MATCH(Table5[[#This Row],[PID]],Table3[[#All],[PID]],0)))</f>
        <v>45.371599537175115</v>
      </c>
      <c r="R324" s="52">
        <f>IF($C324="B",INDEX(Batters[[#All],[zScore]],MATCH(Table5[[#This Row],[PID]],Batters[[#All],[PID]],0)),INDEX(Table3[[#All],[zScore]],MATCH(Table5[[#This Row],[PID]],Table3[[#All],[PID]],0)))</f>
        <v>0.27484096042817535</v>
      </c>
      <c r="S324" s="58" t="str">
        <f>IF($C324="B",INDEX(Batters[[#All],[DEM]],MATCH(Table5[[#This Row],[PID]],Batters[[#All],[PID]],0)),INDEX(Table3[[#All],[DEM]],MATCH(Table5[[#This Row],[PID]],Table3[[#All],[PID]],0)))</f>
        <v>$200k</v>
      </c>
      <c r="T324" s="62">
        <f>IF($C324="B",INDEX(Batters[[#All],[Rnk]],MATCH(Table5[[#This Row],[PID]],Batters[[#All],[PID]],0)),INDEX(Table3[[#All],[Rnk]],MATCH(Table5[[#This Row],[PID]],Table3[[#All],[PID]],0)))</f>
        <v>179</v>
      </c>
      <c r="U324" s="68">
        <f>IF($C324="B",VLOOKUP($A324,Bat!$A$4:$BA$1621,47,FALSE),VLOOKUP($A324,Pit!$A$4:$BF$1557,56,FALSE))</f>
        <v>0</v>
      </c>
      <c r="V324" s="50">
        <f>IF($C324="B",VLOOKUP($A324,Bat!$A$4:$BA$1621,48,FALSE),VLOOKUP($A324,Pit!$A$4:$BF$1557,57,FALSE))</f>
        <v>0</v>
      </c>
      <c r="W324" s="50">
        <f>Table5[[#This Row],[posRnk]]+Table5[[#This Row],[zRnk]]+IF($W$3&lt;&gt;Table5[[#This Row],[Type]],50,0)</f>
        <v>653</v>
      </c>
      <c r="X324" s="51">
        <f>RANK(Table5[[#This Row],[zScore]],Table5[[#All],[zScore]])</f>
        <v>424</v>
      </c>
      <c r="Y324" s="50">
        <f>IFERROR(INDEX(DraftResults[[#All],[OVR]],MATCH(Table5[[#This Row],[PID]],DraftResults[[#All],[Player ID]],0)),"")</f>
        <v>320</v>
      </c>
      <c r="Z3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4" s="50">
        <f>IFERROR(INDEX(DraftResults[[#All],[Pick in Round]],MATCH(Table5[[#This Row],[PID]],DraftResults[[#All],[Player ID]],0)),"")</f>
        <v>12</v>
      </c>
      <c r="AB324" s="50" t="str">
        <f>IFERROR(INDEX(DraftResults[[#All],[Team Name]],MATCH(Table5[[#This Row],[PID]],DraftResults[[#All],[Player ID]],0)),"")</f>
        <v>Palm Springs Codgers</v>
      </c>
      <c r="AC324" s="50">
        <f>IF(Table5[[#This Row],[Ovr]]="","",IF(Table5[[#This Row],[cmbList]]="","",Table5[[#This Row],[cmbList]]-Table5[[#This Row],[Ovr]]))</f>
        <v>333</v>
      </c>
      <c r="AD324" s="54" t="str">
        <f>IF(ISERROR(VLOOKUP($AB324&amp;"-"&amp;$E324&amp;" "&amp;F324,Bonuses!$B$1:$G$1006,4,FALSE)),"",INT(VLOOKUP($AB324&amp;"-"&amp;$E324&amp;" "&amp;$F324,Bonuses!$B$1:$G$1006,4,FALSE)))</f>
        <v/>
      </c>
      <c r="AE3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11.12 (320) - 3B Cory Allen</v>
      </c>
    </row>
    <row r="325" spans="1:31" s="50" customFormat="1" x14ac:dyDescent="0.25">
      <c r="A325" s="50">
        <v>17826</v>
      </c>
      <c r="B325" s="50">
        <f>COUNTIF(Table5[PID],A325)</f>
        <v>1</v>
      </c>
      <c r="C325" s="50" t="str">
        <f>IF(COUNTIF(Table3[[#All],[PID]],A325)&gt;0,"P","B")</f>
        <v>B</v>
      </c>
      <c r="D325" s="59" t="str">
        <f>IF($C325="B",INDEX(Batters[[#All],[POS]],MATCH(Table5[[#This Row],[PID]],Batters[[#All],[PID]],0)),INDEX(Table3[[#All],[POS]],MATCH(Table5[[#This Row],[PID]],Table3[[#All],[PID]],0)))</f>
        <v>C</v>
      </c>
      <c r="E325" s="52" t="str">
        <f>IF($C325="B",INDEX(Batters[[#All],[First]],MATCH(Table5[[#This Row],[PID]],Batters[[#All],[PID]],0)),INDEX(Table3[[#All],[First]],MATCH(Table5[[#This Row],[PID]],Table3[[#All],[PID]],0)))</f>
        <v>Chris</v>
      </c>
      <c r="F325" s="50" t="str">
        <f>IF($C325="B",INDEX(Batters[[#All],[Last]],MATCH(A325,Batters[[#All],[PID]],0)),INDEX(Table3[[#All],[Last]],MATCH(A325,Table3[[#All],[PID]],0)))</f>
        <v>Barthorpe</v>
      </c>
      <c r="G325" s="56">
        <f>IF($C325="B",INDEX(Batters[[#All],[Age]],MATCH(Table5[[#This Row],[PID]],Batters[[#All],[PID]],0)),INDEX(Table3[[#All],[Age]],MATCH(Table5[[#This Row],[PID]],Table3[[#All],[PID]],0)))</f>
        <v>18</v>
      </c>
      <c r="H325" s="52" t="str">
        <f>IF($C325="B",INDEX(Batters[[#All],[B]],MATCH(Table5[[#This Row],[PID]],Batters[[#All],[PID]],0)),INDEX(Table3[[#All],[B]],MATCH(Table5[[#This Row],[PID]],Table3[[#All],[PID]],0)))</f>
        <v>L</v>
      </c>
      <c r="I325" s="52" t="str">
        <f>IF($C325="B",INDEX(Batters[[#All],[T]],MATCH(Table5[[#This Row],[PID]],Batters[[#All],[PID]],0)),INDEX(Table3[[#All],[T]],MATCH(Table5[[#This Row],[PID]],Table3[[#All],[PID]],0)))</f>
        <v>R</v>
      </c>
      <c r="J325" s="52" t="str">
        <f>IF($C325="B",INDEX(Batters[[#All],[WE]],MATCH(Table5[[#This Row],[PID]],Batters[[#All],[PID]],0)),INDEX(Table3[[#All],[WE]],MATCH(Table5[[#This Row],[PID]],Table3[[#All],[PID]],0)))</f>
        <v>High</v>
      </c>
      <c r="K325" s="52" t="str">
        <f>IF($C325="B",INDEX(Batters[[#All],[INT]],MATCH(Table5[[#This Row],[PID]],Batters[[#All],[PID]],0)),INDEX(Table3[[#All],[INT]],MATCH(Table5[[#This Row],[PID]],Table3[[#All],[PID]],0)))</f>
        <v>High</v>
      </c>
      <c r="L325" s="60">
        <f>IF($C325="B",INDEX(Batters[[#All],[CON P]],MATCH(Table5[[#This Row],[PID]],Batters[[#All],[PID]],0)),INDEX(Table3[[#All],[STU P]],MATCH(Table5[[#This Row],[PID]],Table3[[#All],[PID]],0)))</f>
        <v>2</v>
      </c>
      <c r="M325" s="56">
        <f>IF($C325="B",INDEX(Batters[[#All],[GAP P]],MATCH(Table5[[#This Row],[PID]],Batters[[#All],[PID]],0)),INDEX(Table3[[#All],[MOV P]],MATCH(Table5[[#This Row],[PID]],Table3[[#All],[PID]],0)))</f>
        <v>3</v>
      </c>
      <c r="N325" s="56">
        <f>IF($C325="B",INDEX(Batters[[#All],[POW P]],MATCH(Table5[[#This Row],[PID]],Batters[[#All],[PID]],0)),INDEX(Table3[[#All],[CON P]],MATCH(Table5[[#This Row],[PID]],Table3[[#All],[PID]],0)))</f>
        <v>4</v>
      </c>
      <c r="O325" s="56">
        <f>IF($C325="B",INDEX(Batters[[#All],[EYE P]],MATCH(Table5[[#This Row],[PID]],Batters[[#All],[PID]],0)),INDEX(Table3[[#All],[VELO]],MATCH(Table5[[#This Row],[PID]],Table3[[#All],[PID]],0)))</f>
        <v>6</v>
      </c>
      <c r="P325" s="56">
        <f>IF($C325="B",INDEX(Batters[[#All],[K P]],MATCH(Table5[[#This Row],[PID]],Batters[[#All],[PID]],0)),INDEX(Table3[[#All],[STM]],MATCH(Table5[[#This Row],[PID]],Table3[[#All],[PID]],0)))</f>
        <v>2</v>
      </c>
      <c r="Q325" s="61">
        <f>IF($C325="B",INDEX(Batters[[#All],[Tot]],MATCH(Table5[[#This Row],[PID]],Batters[[#All],[PID]],0)),INDEX(Table3[[#All],[Tot]],MATCH(Table5[[#This Row],[PID]],Table3[[#All],[PID]],0)))</f>
        <v>40.445812580011022</v>
      </c>
      <c r="R325" s="52">
        <f>IF($C325="B",INDEX(Batters[[#All],[zScore]],MATCH(Table5[[#This Row],[PID]],Batters[[#All],[PID]],0)),INDEX(Table3[[#All],[zScore]],MATCH(Table5[[#This Row],[PID]],Table3[[#All],[PID]],0)))</f>
        <v>-0.81723930320489424</v>
      </c>
      <c r="S325" s="58" t="str">
        <f>IF($C325="B",INDEX(Batters[[#All],[DEM]],MATCH(Table5[[#This Row],[PID]],Batters[[#All],[PID]],0)),INDEX(Table3[[#All],[DEM]],MATCH(Table5[[#This Row],[PID]],Table3[[#All],[PID]],0)))</f>
        <v>$65k</v>
      </c>
      <c r="T325" s="62">
        <f>IF($C325="B",INDEX(Batters[[#All],[Rnk]],MATCH(Table5[[#This Row],[PID]],Batters[[#All],[PID]],0)),INDEX(Table3[[#All],[Rnk]],MATCH(Table5[[#This Row],[PID]],Table3[[#All],[PID]],0)))</f>
        <v>405</v>
      </c>
      <c r="U325" s="68">
        <f>IF($C325="B",VLOOKUP($A325,Bat!$A$4:$BA$1621,47,FALSE),VLOOKUP($A325,Pit!$A$4:$BF$1557,56,FALSE))</f>
        <v>0</v>
      </c>
      <c r="V325" s="50">
        <f>IF($C325="B",VLOOKUP($A325,Bat!$A$4:$BA$1621,48,FALSE),VLOOKUP($A325,Pit!$A$4:$BF$1557,57,FALSE))</f>
        <v>0</v>
      </c>
      <c r="W325" s="50">
        <f>Table5[[#This Row],[posRnk]]+Table5[[#This Row],[zRnk]]+IF($W$3&lt;&gt;Table5[[#This Row],[Type]],50,0)</f>
        <v>1506</v>
      </c>
      <c r="X325" s="51">
        <f>RANK(Table5[[#This Row],[zScore]],Table5[[#All],[zScore]])</f>
        <v>1051</v>
      </c>
      <c r="Y325" s="50">
        <f>IFERROR(INDEX(DraftResults[[#All],[OVR]],MATCH(Table5[[#This Row],[PID]],DraftResults[[#All],[Player ID]],0)),"")</f>
        <v>321</v>
      </c>
      <c r="Z3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5" s="50">
        <f>IFERROR(INDEX(DraftResults[[#All],[Pick in Round]],MATCH(Table5[[#This Row],[PID]],DraftResults[[#All],[Player ID]],0)),"")</f>
        <v>13</v>
      </c>
      <c r="AB325" s="50" t="str">
        <f>IFERROR(INDEX(DraftResults[[#All],[Team Name]],MATCH(Table5[[#This Row],[PID]],DraftResults[[#All],[Player ID]],0)),"")</f>
        <v>Reno Zephyrs</v>
      </c>
      <c r="AC325" s="50">
        <f>IF(Table5[[#This Row],[Ovr]]="","",IF(Table5[[#This Row],[cmbList]]="","",Table5[[#This Row],[cmbList]]-Table5[[#This Row],[Ovr]]))</f>
        <v>1185</v>
      </c>
      <c r="AD325" s="54" t="str">
        <f>IF(ISERROR(VLOOKUP($AB325&amp;"-"&amp;$E325&amp;" "&amp;F325,Bonuses!$B$1:$G$1006,4,FALSE)),"",INT(VLOOKUP($AB325&amp;"-"&amp;$E325&amp;" "&amp;$F325,Bonuses!$B$1:$G$1006,4,FALSE)))</f>
        <v/>
      </c>
      <c r="AE3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11.13 (321) - C Chris Barthorpe</v>
      </c>
    </row>
    <row r="326" spans="1:31" s="50" customFormat="1" x14ac:dyDescent="0.25">
      <c r="A326" s="50">
        <v>20949</v>
      </c>
      <c r="B326" s="50">
        <f>COUNTIF(Table5[PID],A326)</f>
        <v>1</v>
      </c>
      <c r="C326" s="50" t="str">
        <f>IF(COUNTIF(Table3[[#All],[PID]],A326)&gt;0,"P","B")</f>
        <v>B</v>
      </c>
      <c r="D326" s="59" t="str">
        <f>IF($C326="B",INDEX(Batters[[#All],[POS]],MATCH(Table5[[#This Row],[PID]],Batters[[#All],[PID]],0)),INDEX(Table3[[#All],[POS]],MATCH(Table5[[#This Row],[PID]],Table3[[#All],[PID]],0)))</f>
        <v>LF</v>
      </c>
      <c r="E326" s="52" t="str">
        <f>IF($C326="B",INDEX(Batters[[#All],[First]],MATCH(Table5[[#This Row],[PID]],Batters[[#All],[PID]],0)),INDEX(Table3[[#All],[First]],MATCH(Table5[[#This Row],[PID]],Table3[[#All],[PID]],0)))</f>
        <v>José</v>
      </c>
      <c r="F326" s="50" t="str">
        <f>IF($C326="B",INDEX(Batters[[#All],[Last]],MATCH(A326,Batters[[#All],[PID]],0)),INDEX(Table3[[#All],[Last]],MATCH(A326,Table3[[#All],[PID]],0)))</f>
        <v>Herrera</v>
      </c>
      <c r="G326" s="56">
        <f>IF($C326="B",INDEX(Batters[[#All],[Age]],MATCH(Table5[[#This Row],[PID]],Batters[[#All],[PID]],0)),INDEX(Table3[[#All],[Age]],MATCH(Table5[[#This Row],[PID]],Table3[[#All],[PID]],0)))</f>
        <v>18</v>
      </c>
      <c r="H326" s="52" t="str">
        <f>IF($C326="B",INDEX(Batters[[#All],[B]],MATCH(Table5[[#This Row],[PID]],Batters[[#All],[PID]],0)),INDEX(Table3[[#All],[B]],MATCH(Table5[[#This Row],[PID]],Table3[[#All],[PID]],0)))</f>
        <v>R</v>
      </c>
      <c r="I326" s="52" t="str">
        <f>IF($C326="B",INDEX(Batters[[#All],[T]],MATCH(Table5[[#This Row],[PID]],Batters[[#All],[PID]],0)),INDEX(Table3[[#All],[T]],MATCH(Table5[[#This Row],[PID]],Table3[[#All],[PID]],0)))</f>
        <v>R</v>
      </c>
      <c r="J326" s="52" t="str">
        <f>IF($C326="B",INDEX(Batters[[#All],[WE]],MATCH(Table5[[#This Row],[PID]],Batters[[#All],[PID]],0)),INDEX(Table3[[#All],[WE]],MATCH(Table5[[#This Row],[PID]],Table3[[#All],[PID]],0)))</f>
        <v>Normal</v>
      </c>
      <c r="K326" s="52" t="str">
        <f>IF($C326="B",INDEX(Batters[[#All],[INT]],MATCH(Table5[[#This Row],[PID]],Batters[[#All],[PID]],0)),INDEX(Table3[[#All],[INT]],MATCH(Table5[[#This Row],[PID]],Table3[[#All],[PID]],0)))</f>
        <v>High</v>
      </c>
      <c r="L326" s="60">
        <f>IF($C326="B",INDEX(Batters[[#All],[CON P]],MATCH(Table5[[#This Row],[PID]],Batters[[#All],[PID]],0)),INDEX(Table3[[#All],[STU P]],MATCH(Table5[[#This Row],[PID]],Table3[[#All],[PID]],0)))</f>
        <v>4</v>
      </c>
      <c r="M326" s="56">
        <f>IF($C326="B",INDEX(Batters[[#All],[GAP P]],MATCH(Table5[[#This Row],[PID]],Batters[[#All],[PID]],0)),INDEX(Table3[[#All],[MOV P]],MATCH(Table5[[#This Row],[PID]],Table3[[#All],[PID]],0)))</f>
        <v>4</v>
      </c>
      <c r="N326" s="56">
        <f>IF($C326="B",INDEX(Batters[[#All],[POW P]],MATCH(Table5[[#This Row],[PID]],Batters[[#All],[PID]],0)),INDEX(Table3[[#All],[CON P]],MATCH(Table5[[#This Row],[PID]],Table3[[#All],[PID]],0)))</f>
        <v>6</v>
      </c>
      <c r="O326" s="56">
        <f>IF($C326="B",INDEX(Batters[[#All],[EYE P]],MATCH(Table5[[#This Row],[PID]],Batters[[#All],[PID]],0)),INDEX(Table3[[#All],[VELO]],MATCH(Table5[[#This Row],[PID]],Table3[[#All],[PID]],0)))</f>
        <v>5</v>
      </c>
      <c r="P326" s="56">
        <f>IF($C326="B",INDEX(Batters[[#All],[K P]],MATCH(Table5[[#This Row],[PID]],Batters[[#All],[PID]],0)),INDEX(Table3[[#All],[STM]],MATCH(Table5[[#This Row],[PID]],Table3[[#All],[PID]],0)))</f>
        <v>4</v>
      </c>
      <c r="Q326" s="61">
        <f>IF($C326="B",INDEX(Batters[[#All],[Tot]],MATCH(Table5[[#This Row],[PID]],Batters[[#All],[PID]],0)),INDEX(Table3[[#All],[Tot]],MATCH(Table5[[#This Row],[PID]],Table3[[#All],[PID]],0)))</f>
        <v>49.290636753732585</v>
      </c>
      <c r="R326" s="52">
        <f>IF($C326="B",INDEX(Batters[[#All],[zScore]],MATCH(Table5[[#This Row],[PID]],Batters[[#All],[PID]],0)),INDEX(Table3[[#All],[zScore]],MATCH(Table5[[#This Row],[PID]],Table3[[#All],[PID]],0)))</f>
        <v>1.1437180015720636</v>
      </c>
      <c r="S326" s="58" t="str">
        <f>IF($C326="B",INDEX(Batters[[#All],[DEM]],MATCH(Table5[[#This Row],[PID]],Batters[[#All],[PID]],0)),INDEX(Table3[[#All],[DEM]],MATCH(Table5[[#This Row],[PID]],Table3[[#All],[PID]],0)))</f>
        <v>$75k</v>
      </c>
      <c r="T326" s="62">
        <f>IF($C326="B",INDEX(Batters[[#All],[Rnk]],MATCH(Table5[[#This Row],[PID]],Batters[[#All],[PID]],0)),INDEX(Table3[[#All],[Rnk]],MATCH(Table5[[#This Row],[PID]],Table3[[#All],[PID]],0)))</f>
        <v>79</v>
      </c>
      <c r="U326" s="68">
        <f>IF($C326="B",VLOOKUP($A326,Bat!$A$4:$BA$1621,47,FALSE),VLOOKUP($A326,Pit!$A$4:$BF$1557,56,FALSE))</f>
        <v>0</v>
      </c>
      <c r="V326" s="50">
        <f>IF($C326="B",VLOOKUP($A326,Bat!$A$4:$BA$1621,48,FALSE),VLOOKUP($A326,Pit!$A$4:$BF$1557,57,FALSE))</f>
        <v>0</v>
      </c>
      <c r="W326" s="50">
        <f>Table5[[#This Row],[posRnk]]+Table5[[#This Row],[zRnk]]+IF($W$3&lt;&gt;Table5[[#This Row],[Type]],50,0)</f>
        <v>329</v>
      </c>
      <c r="X326" s="51">
        <f>RANK(Table5[[#This Row],[zScore]],Table5[[#All],[zScore]])</f>
        <v>200</v>
      </c>
      <c r="Y326" s="50">
        <f>IFERROR(INDEX(DraftResults[[#All],[OVR]],MATCH(Table5[[#This Row],[PID]],DraftResults[[#All],[Player ID]],0)),"")</f>
        <v>322</v>
      </c>
      <c r="Z3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6" s="50">
        <f>IFERROR(INDEX(DraftResults[[#All],[Pick in Round]],MATCH(Table5[[#This Row],[PID]],DraftResults[[#All],[Player ID]],0)),"")</f>
        <v>14</v>
      </c>
      <c r="AB326" s="50" t="str">
        <f>IFERROR(INDEX(DraftResults[[#All],[Team Name]],MATCH(Table5[[#This Row],[PID]],DraftResults[[#All],[Player ID]],0)),"")</f>
        <v>Arlington Bureaucrats</v>
      </c>
      <c r="AC326" s="50">
        <f>IF(Table5[[#This Row],[Ovr]]="","",IF(Table5[[#This Row],[cmbList]]="","",Table5[[#This Row],[cmbList]]-Table5[[#This Row],[Ovr]]))</f>
        <v>7</v>
      </c>
      <c r="AD326" s="54" t="str">
        <f>IF(ISERROR(VLOOKUP($AB326&amp;"-"&amp;$E326&amp;" "&amp;F326,Bonuses!$B$1:$G$1006,4,FALSE)),"",INT(VLOOKUP($AB326&amp;"-"&amp;$E326&amp;" "&amp;$F326,Bonuses!$B$1:$G$1006,4,FALSE)))</f>
        <v/>
      </c>
      <c r="AE3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11.14 (322) - LF José Herrera</v>
      </c>
    </row>
    <row r="327" spans="1:31" s="50" customFormat="1" x14ac:dyDescent="0.25">
      <c r="A327" s="50">
        <v>12305</v>
      </c>
      <c r="B327" s="50">
        <f>COUNTIF(Table5[PID],A327)</f>
        <v>1</v>
      </c>
      <c r="C327" s="50" t="str">
        <f>IF(COUNTIF(Table3[[#All],[PID]],A327)&gt;0,"P","B")</f>
        <v>B</v>
      </c>
      <c r="D327" s="59" t="str">
        <f>IF($C327="B",INDEX(Batters[[#All],[POS]],MATCH(Table5[[#This Row],[PID]],Batters[[#All],[PID]],0)),INDEX(Table3[[#All],[POS]],MATCH(Table5[[#This Row],[PID]],Table3[[#All],[PID]],0)))</f>
        <v>LF</v>
      </c>
      <c r="E327" s="52" t="str">
        <f>IF($C327="B",INDEX(Batters[[#All],[First]],MATCH(Table5[[#This Row],[PID]],Batters[[#All],[PID]],0)),INDEX(Table3[[#All],[First]],MATCH(Table5[[#This Row],[PID]],Table3[[#All],[PID]],0)))</f>
        <v>Tony</v>
      </c>
      <c r="F327" s="50" t="str">
        <f>IF($C327="B",INDEX(Batters[[#All],[Last]],MATCH(A327,Batters[[#All],[PID]],0)),INDEX(Table3[[#All],[Last]],MATCH(A327,Table3[[#All],[PID]],0)))</f>
        <v>Maez</v>
      </c>
      <c r="G327" s="56">
        <f>IF($C327="B",INDEX(Batters[[#All],[Age]],MATCH(Table5[[#This Row],[PID]],Batters[[#All],[PID]],0)),INDEX(Table3[[#All],[Age]],MATCH(Table5[[#This Row],[PID]],Table3[[#All],[PID]],0)))</f>
        <v>21</v>
      </c>
      <c r="H327" s="52" t="str">
        <f>IF($C327="B",INDEX(Batters[[#All],[B]],MATCH(Table5[[#This Row],[PID]],Batters[[#All],[PID]],0)),INDEX(Table3[[#All],[B]],MATCH(Table5[[#This Row],[PID]],Table3[[#All],[PID]],0)))</f>
        <v>R</v>
      </c>
      <c r="I327" s="52" t="str">
        <f>IF($C327="B",INDEX(Batters[[#All],[T]],MATCH(Table5[[#This Row],[PID]],Batters[[#All],[PID]],0)),INDEX(Table3[[#All],[T]],MATCH(Table5[[#This Row],[PID]],Table3[[#All],[PID]],0)))</f>
        <v>R</v>
      </c>
      <c r="J327" s="52" t="str">
        <f>IF($C327="B",INDEX(Batters[[#All],[WE]],MATCH(Table5[[#This Row],[PID]],Batters[[#All],[PID]],0)),INDEX(Table3[[#All],[WE]],MATCH(Table5[[#This Row],[PID]],Table3[[#All],[PID]],0)))</f>
        <v>Normal</v>
      </c>
      <c r="K327" s="52" t="str">
        <f>IF($C327="B",INDEX(Batters[[#All],[INT]],MATCH(Table5[[#This Row],[PID]],Batters[[#All],[PID]],0)),INDEX(Table3[[#All],[INT]],MATCH(Table5[[#This Row],[PID]],Table3[[#All],[PID]],0)))</f>
        <v>Normal</v>
      </c>
      <c r="L327" s="60">
        <f>IF($C327="B",INDEX(Batters[[#All],[CON P]],MATCH(Table5[[#This Row],[PID]],Batters[[#All],[PID]],0)),INDEX(Table3[[#All],[STU P]],MATCH(Table5[[#This Row],[PID]],Table3[[#All],[PID]],0)))</f>
        <v>3</v>
      </c>
      <c r="M327" s="56">
        <f>IF($C327="B",INDEX(Batters[[#All],[GAP P]],MATCH(Table5[[#This Row],[PID]],Batters[[#All],[PID]],0)),INDEX(Table3[[#All],[MOV P]],MATCH(Table5[[#This Row],[PID]],Table3[[#All],[PID]],0)))</f>
        <v>3</v>
      </c>
      <c r="N327" s="56">
        <f>IF($C327="B",INDEX(Batters[[#All],[POW P]],MATCH(Table5[[#This Row],[PID]],Batters[[#All],[PID]],0)),INDEX(Table3[[#All],[CON P]],MATCH(Table5[[#This Row],[PID]],Table3[[#All],[PID]],0)))</f>
        <v>5</v>
      </c>
      <c r="O327" s="56">
        <f>IF($C327="B",INDEX(Batters[[#All],[EYE P]],MATCH(Table5[[#This Row],[PID]],Batters[[#All],[PID]],0)),INDEX(Table3[[#All],[VELO]],MATCH(Table5[[#This Row],[PID]],Table3[[#All],[PID]],0)))</f>
        <v>4</v>
      </c>
      <c r="P327" s="56">
        <f>IF($C327="B",INDEX(Batters[[#All],[K P]],MATCH(Table5[[#This Row],[PID]],Batters[[#All],[PID]],0)),INDEX(Table3[[#All],[STM]],MATCH(Table5[[#This Row],[PID]],Table3[[#All],[PID]],0)))</f>
        <v>3</v>
      </c>
      <c r="Q327" s="61">
        <f>IF($C327="B",INDEX(Batters[[#All],[Tot]],MATCH(Table5[[#This Row],[PID]],Batters[[#All],[PID]],0)),INDEX(Table3[[#All],[Tot]],MATCH(Table5[[#This Row],[PID]],Table3[[#All],[PID]],0)))</f>
        <v>38.362160074933527</v>
      </c>
      <c r="R327" s="52">
        <f>IF($C327="B",INDEX(Batters[[#All],[zScore]],MATCH(Table5[[#This Row],[PID]],Batters[[#All],[PID]],0)),INDEX(Table3[[#All],[zScore]],MATCH(Table5[[#This Row],[PID]],Table3[[#All],[PID]],0)))</f>
        <v>-1.2791991477643943</v>
      </c>
      <c r="S327" s="58" t="str">
        <f>IF($C327="B",INDEX(Batters[[#All],[DEM]],MATCH(Table5[[#This Row],[PID]],Batters[[#All],[PID]],0)),INDEX(Table3[[#All],[DEM]],MATCH(Table5[[#This Row],[PID]],Table3[[#All],[PID]],0)))</f>
        <v>$70k</v>
      </c>
      <c r="T327" s="62">
        <f>IF($C327="B",INDEX(Batters[[#All],[Rnk]],MATCH(Table5[[#This Row],[PID]],Batters[[#All],[PID]],0)),INDEX(Table3[[#All],[Rnk]],MATCH(Table5[[#This Row],[PID]],Table3[[#All],[PID]],0)))</f>
        <v>482</v>
      </c>
      <c r="U327" s="68">
        <f>IF($C327="B",VLOOKUP($A327,Bat!$A$4:$BA$1621,47,FALSE),VLOOKUP($A327,Pit!$A$4:$BF$1557,56,FALSE))</f>
        <v>0</v>
      </c>
      <c r="V327" s="50">
        <f>IF($C327="B",VLOOKUP($A327,Bat!$A$4:$BA$1621,48,FALSE),VLOOKUP($A327,Pit!$A$4:$BF$1557,57,FALSE))</f>
        <v>0</v>
      </c>
      <c r="W327" s="50">
        <f>Table5[[#This Row],[posRnk]]+Table5[[#This Row],[zRnk]]+IF($W$3&lt;&gt;Table5[[#This Row],[Type]],50,0)</f>
        <v>1766</v>
      </c>
      <c r="X327" s="51">
        <f>RANK(Table5[[#This Row],[zScore]],Table5[[#All],[zScore]])</f>
        <v>1234</v>
      </c>
      <c r="Y327" s="50">
        <f>IFERROR(INDEX(DraftResults[[#All],[OVR]],MATCH(Table5[[#This Row],[PID]],DraftResults[[#All],[Player ID]],0)),"")</f>
        <v>323</v>
      </c>
      <c r="Z3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7" s="50">
        <f>IFERROR(INDEX(DraftResults[[#All],[Pick in Round]],MATCH(Table5[[#This Row],[PID]],DraftResults[[#All],[Player ID]],0)),"")</f>
        <v>15</v>
      </c>
      <c r="AB327" s="50" t="str">
        <f>IFERROR(INDEX(DraftResults[[#All],[Team Name]],MATCH(Table5[[#This Row],[PID]],DraftResults[[#All],[Player ID]],0)),"")</f>
        <v>Kentucky Thoroughbreds</v>
      </c>
      <c r="AC327" s="50">
        <f>IF(Table5[[#This Row],[Ovr]]="","",IF(Table5[[#This Row],[cmbList]]="","",Table5[[#This Row],[cmbList]]-Table5[[#This Row],[Ovr]]))</f>
        <v>1443</v>
      </c>
      <c r="AD327" s="54" t="str">
        <f>IF(ISERROR(VLOOKUP($AB327&amp;"-"&amp;$E327&amp;" "&amp;F327,Bonuses!$B$1:$G$1006,4,FALSE)),"",INT(VLOOKUP($AB327&amp;"-"&amp;$E327&amp;" "&amp;$F327,Bonuses!$B$1:$G$1006,4,FALSE)))</f>
        <v/>
      </c>
      <c r="AE3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11.15 (323) - LF Tony Maez</v>
      </c>
    </row>
    <row r="328" spans="1:31" s="50" customFormat="1" x14ac:dyDescent="0.25">
      <c r="A328" s="50">
        <v>20992</v>
      </c>
      <c r="B328" s="50">
        <f>COUNTIF(Table5[PID],A328)</f>
        <v>1</v>
      </c>
      <c r="C328" s="50" t="str">
        <f>IF(COUNTIF(Table3[[#All],[PID]],A328)&gt;0,"P","B")</f>
        <v>B</v>
      </c>
      <c r="D328" s="59" t="str">
        <f>IF($C328="B",INDEX(Batters[[#All],[POS]],MATCH(Table5[[#This Row],[PID]],Batters[[#All],[PID]],0)),INDEX(Table3[[#All],[POS]],MATCH(Table5[[#This Row],[PID]],Table3[[#All],[PID]],0)))</f>
        <v>3B</v>
      </c>
      <c r="E328" s="52" t="str">
        <f>IF($C328="B",INDEX(Batters[[#All],[First]],MATCH(Table5[[#This Row],[PID]],Batters[[#All],[PID]],0)),INDEX(Table3[[#All],[First]],MATCH(Table5[[#This Row],[PID]],Table3[[#All],[PID]],0)))</f>
        <v>Vernon</v>
      </c>
      <c r="F328" s="50" t="str">
        <f>IF($C328="B",INDEX(Batters[[#All],[Last]],MATCH(A328,Batters[[#All],[PID]],0)),INDEX(Table3[[#All],[Last]],MATCH(A328,Table3[[#All],[PID]],0)))</f>
        <v>Kelley</v>
      </c>
      <c r="G328" s="56">
        <f>IF($C328="B",INDEX(Batters[[#All],[Age]],MATCH(Table5[[#This Row],[PID]],Batters[[#All],[PID]],0)),INDEX(Table3[[#All],[Age]],MATCH(Table5[[#This Row],[PID]],Table3[[#All],[PID]],0)))</f>
        <v>17</v>
      </c>
      <c r="H328" s="52" t="str">
        <f>IF($C328="B",INDEX(Batters[[#All],[B]],MATCH(Table5[[#This Row],[PID]],Batters[[#All],[PID]],0)),INDEX(Table3[[#All],[B]],MATCH(Table5[[#This Row],[PID]],Table3[[#All],[PID]],0)))</f>
        <v>R</v>
      </c>
      <c r="I328" s="52" t="str">
        <f>IF($C328="B",INDEX(Batters[[#All],[T]],MATCH(Table5[[#This Row],[PID]],Batters[[#All],[PID]],0)),INDEX(Table3[[#All],[T]],MATCH(Table5[[#This Row],[PID]],Table3[[#All],[PID]],0)))</f>
        <v>R</v>
      </c>
      <c r="J328" s="52" t="str">
        <f>IF($C328="B",INDEX(Batters[[#All],[WE]],MATCH(Table5[[#This Row],[PID]],Batters[[#All],[PID]],0)),INDEX(Table3[[#All],[WE]],MATCH(Table5[[#This Row],[PID]],Table3[[#All],[PID]],0)))</f>
        <v>Low</v>
      </c>
      <c r="K328" s="52" t="str">
        <f>IF($C328="B",INDEX(Batters[[#All],[INT]],MATCH(Table5[[#This Row],[PID]],Batters[[#All],[PID]],0)),INDEX(Table3[[#All],[INT]],MATCH(Table5[[#This Row],[PID]],Table3[[#All],[PID]],0)))</f>
        <v>Normal</v>
      </c>
      <c r="L328" s="60">
        <f>IF($C328="B",INDEX(Batters[[#All],[CON P]],MATCH(Table5[[#This Row],[PID]],Batters[[#All],[PID]],0)),INDEX(Table3[[#All],[STU P]],MATCH(Table5[[#This Row],[PID]],Table3[[#All],[PID]],0)))</f>
        <v>4</v>
      </c>
      <c r="M328" s="56">
        <f>IF($C328="B",INDEX(Batters[[#All],[GAP P]],MATCH(Table5[[#This Row],[PID]],Batters[[#All],[PID]],0)),INDEX(Table3[[#All],[MOV P]],MATCH(Table5[[#This Row],[PID]],Table3[[#All],[PID]],0)))</f>
        <v>4</v>
      </c>
      <c r="N328" s="56">
        <f>IF($C328="B",INDEX(Batters[[#All],[POW P]],MATCH(Table5[[#This Row],[PID]],Batters[[#All],[PID]],0)),INDEX(Table3[[#All],[CON P]],MATCH(Table5[[#This Row],[PID]],Table3[[#All],[PID]],0)))</f>
        <v>5</v>
      </c>
      <c r="O328" s="56">
        <f>IF($C328="B",INDEX(Batters[[#All],[EYE P]],MATCH(Table5[[#This Row],[PID]],Batters[[#All],[PID]],0)),INDEX(Table3[[#All],[VELO]],MATCH(Table5[[#This Row],[PID]],Table3[[#All],[PID]],0)))</f>
        <v>5</v>
      </c>
      <c r="P328" s="56">
        <f>IF($C328="B",INDEX(Batters[[#All],[K P]],MATCH(Table5[[#This Row],[PID]],Batters[[#All],[PID]],0)),INDEX(Table3[[#All],[STM]],MATCH(Table5[[#This Row],[PID]],Table3[[#All],[PID]],0)))</f>
        <v>4</v>
      </c>
      <c r="Q328" s="61">
        <f>IF($C328="B",INDEX(Batters[[#All],[Tot]],MATCH(Table5[[#This Row],[PID]],Batters[[#All],[PID]],0)),INDEX(Table3[[#All],[Tot]],MATCH(Table5[[#This Row],[PID]],Table3[[#All],[PID]],0)))</f>
        <v>48.03048668808151</v>
      </c>
      <c r="R328" s="52">
        <f>IF($C328="B",INDEX(Batters[[#All],[zScore]],MATCH(Table5[[#This Row],[PID]],Batters[[#All],[PID]],0)),INDEX(Table3[[#All],[zScore]],MATCH(Table5[[#This Row],[PID]],Table3[[#All],[PID]],0)))</f>
        <v>0.86433421419329259</v>
      </c>
      <c r="S328" s="58" t="str">
        <f>IF($C328="B",INDEX(Batters[[#All],[DEM]],MATCH(Table5[[#This Row],[PID]],Batters[[#All],[PID]],0)),INDEX(Table3[[#All],[DEM]],MATCH(Table5[[#This Row],[PID]],Table3[[#All],[PID]],0)))</f>
        <v>$75k</v>
      </c>
      <c r="T328" s="62">
        <f>IF($C328="B",INDEX(Batters[[#All],[Rnk]],MATCH(Table5[[#This Row],[PID]],Batters[[#All],[PID]],0)),INDEX(Table3[[#All],[Rnk]],MATCH(Table5[[#This Row],[PID]],Table3[[#All],[PID]],0)))</f>
        <v>105</v>
      </c>
      <c r="U328" s="68">
        <f>IF($C328="B",VLOOKUP($A328,Bat!$A$4:$BA$1621,47,FALSE),VLOOKUP($A328,Pit!$A$4:$BF$1557,56,FALSE))</f>
        <v>0</v>
      </c>
      <c r="V328" s="50">
        <f>IF($C328="B",VLOOKUP($A328,Bat!$A$4:$BA$1621,48,FALSE),VLOOKUP($A328,Pit!$A$4:$BF$1557,57,FALSE))</f>
        <v>0</v>
      </c>
      <c r="W328" s="50">
        <f>Table5[[#This Row],[posRnk]]+Table5[[#This Row],[zRnk]]+IF($W$3&lt;&gt;Table5[[#This Row],[Type]],50,0)</f>
        <v>421</v>
      </c>
      <c r="X328" s="51">
        <f>RANK(Table5[[#This Row],[zScore]],Table5[[#All],[zScore]])</f>
        <v>266</v>
      </c>
      <c r="Y328" s="50">
        <f>IFERROR(INDEX(DraftResults[[#All],[OVR]],MATCH(Table5[[#This Row],[PID]],DraftResults[[#All],[Player ID]],0)),"")</f>
        <v>324</v>
      </c>
      <c r="Z3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8" s="50">
        <f>IFERROR(INDEX(DraftResults[[#All],[Pick in Round]],MATCH(Table5[[#This Row],[PID]],DraftResults[[#All],[Player ID]],0)),"")</f>
        <v>16</v>
      </c>
      <c r="AB328" s="50" t="str">
        <f>IFERROR(INDEX(DraftResults[[#All],[Team Name]],MATCH(Table5[[#This Row],[PID]],DraftResults[[#All],[Player ID]],0)),"")</f>
        <v>San Antonio Calzones of Laredo</v>
      </c>
      <c r="AC328" s="50">
        <f>IF(Table5[[#This Row],[Ovr]]="","",IF(Table5[[#This Row],[cmbList]]="","",Table5[[#This Row],[cmbList]]-Table5[[#This Row],[Ovr]]))</f>
        <v>97</v>
      </c>
      <c r="AD328" s="54" t="str">
        <f>IF(ISERROR(VLOOKUP($AB328&amp;"-"&amp;$E328&amp;" "&amp;F328,Bonuses!$B$1:$G$1006,4,FALSE)),"",INT(VLOOKUP($AB328&amp;"-"&amp;$E328&amp;" "&amp;$F328,Bonuses!$B$1:$G$1006,4,FALSE)))</f>
        <v/>
      </c>
      <c r="AE3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11.16 (324) - 3B Vernon Kelley</v>
      </c>
    </row>
    <row r="329" spans="1:31" s="50" customFormat="1" x14ac:dyDescent="0.25">
      <c r="A329" s="50">
        <v>20870</v>
      </c>
      <c r="B329" s="50">
        <f>COUNTIF(Table5[PID],A329)</f>
        <v>1</v>
      </c>
      <c r="C329" s="50" t="str">
        <f>IF(COUNTIF(Table3[[#All],[PID]],A329)&gt;0,"P","B")</f>
        <v>B</v>
      </c>
      <c r="D329" s="59" t="str">
        <f>IF($C329="B",INDEX(Batters[[#All],[POS]],MATCH(Table5[[#This Row],[PID]],Batters[[#All],[PID]],0)),INDEX(Table3[[#All],[POS]],MATCH(Table5[[#This Row],[PID]],Table3[[#All],[PID]],0)))</f>
        <v>CF</v>
      </c>
      <c r="E329" s="52" t="str">
        <f>IF($C329="B",INDEX(Batters[[#All],[First]],MATCH(Table5[[#This Row],[PID]],Batters[[#All],[PID]],0)),INDEX(Table3[[#All],[First]],MATCH(Table5[[#This Row],[PID]],Table3[[#All],[PID]],0)))</f>
        <v>Ángel</v>
      </c>
      <c r="F329" s="50" t="str">
        <f>IF($C329="B",INDEX(Batters[[#All],[Last]],MATCH(A329,Batters[[#All],[PID]],0)),INDEX(Table3[[#All],[Last]],MATCH(A329,Table3[[#All],[PID]],0)))</f>
        <v>Martínez</v>
      </c>
      <c r="G329" s="56">
        <f>IF($C329="B",INDEX(Batters[[#All],[Age]],MATCH(Table5[[#This Row],[PID]],Batters[[#All],[PID]],0)),INDEX(Table3[[#All],[Age]],MATCH(Table5[[#This Row],[PID]],Table3[[#All],[PID]],0)))</f>
        <v>18</v>
      </c>
      <c r="H329" s="52" t="str">
        <f>IF($C329="B",INDEX(Batters[[#All],[B]],MATCH(Table5[[#This Row],[PID]],Batters[[#All],[PID]],0)),INDEX(Table3[[#All],[B]],MATCH(Table5[[#This Row],[PID]],Table3[[#All],[PID]],0)))</f>
        <v>L</v>
      </c>
      <c r="I329" s="52" t="str">
        <f>IF($C329="B",INDEX(Batters[[#All],[T]],MATCH(Table5[[#This Row],[PID]],Batters[[#All],[PID]],0)),INDEX(Table3[[#All],[T]],MATCH(Table5[[#This Row],[PID]],Table3[[#All],[PID]],0)))</f>
        <v>L</v>
      </c>
      <c r="J329" s="52" t="str">
        <f>IF($C329="B",INDEX(Batters[[#All],[WE]],MATCH(Table5[[#This Row],[PID]],Batters[[#All],[PID]],0)),INDEX(Table3[[#All],[WE]],MATCH(Table5[[#This Row],[PID]],Table3[[#All],[PID]],0)))</f>
        <v>High</v>
      </c>
      <c r="K329" s="52" t="str">
        <f>IF($C329="B",INDEX(Batters[[#All],[INT]],MATCH(Table5[[#This Row],[PID]],Batters[[#All],[PID]],0)),INDEX(Table3[[#All],[INT]],MATCH(Table5[[#This Row],[PID]],Table3[[#All],[PID]],0)))</f>
        <v>Normal</v>
      </c>
      <c r="L329" s="60">
        <f>IF($C329="B",INDEX(Batters[[#All],[CON P]],MATCH(Table5[[#This Row],[PID]],Batters[[#All],[PID]],0)),INDEX(Table3[[#All],[STU P]],MATCH(Table5[[#This Row],[PID]],Table3[[#All],[PID]],0)))</f>
        <v>4</v>
      </c>
      <c r="M329" s="56">
        <f>IF($C329="B",INDEX(Batters[[#All],[GAP P]],MATCH(Table5[[#This Row],[PID]],Batters[[#All],[PID]],0)),INDEX(Table3[[#All],[MOV P]],MATCH(Table5[[#This Row],[PID]],Table3[[#All],[PID]],0)))</f>
        <v>5</v>
      </c>
      <c r="N329" s="56">
        <f>IF($C329="B",INDEX(Batters[[#All],[POW P]],MATCH(Table5[[#This Row],[PID]],Batters[[#All],[PID]],0)),INDEX(Table3[[#All],[CON P]],MATCH(Table5[[#This Row],[PID]],Table3[[#All],[PID]],0)))</f>
        <v>3</v>
      </c>
      <c r="O329" s="56">
        <f>IF($C329="B",INDEX(Batters[[#All],[EYE P]],MATCH(Table5[[#This Row],[PID]],Batters[[#All],[PID]],0)),INDEX(Table3[[#All],[VELO]],MATCH(Table5[[#This Row],[PID]],Table3[[#All],[PID]],0)))</f>
        <v>5</v>
      </c>
      <c r="P329" s="56">
        <f>IF($C329="B",INDEX(Batters[[#All],[K P]],MATCH(Table5[[#This Row],[PID]],Batters[[#All],[PID]],0)),INDEX(Table3[[#All],[STM]],MATCH(Table5[[#This Row],[PID]],Table3[[#All],[PID]],0)))</f>
        <v>5</v>
      </c>
      <c r="Q329" s="61">
        <f>IF($C329="B",INDEX(Batters[[#All],[Tot]],MATCH(Table5[[#This Row],[PID]],Batters[[#All],[PID]],0)),INDEX(Table3[[#All],[Tot]],MATCH(Table5[[#This Row],[PID]],Table3[[#All],[PID]],0)))</f>
        <v>47.723470773994393</v>
      </c>
      <c r="R329" s="52">
        <f>IF($C329="B",INDEX(Batters[[#All],[zScore]],MATCH(Table5[[#This Row],[PID]],Batters[[#All],[PID]],0)),INDEX(Table3[[#All],[zScore]],MATCH(Table5[[#This Row],[PID]],Table3[[#All],[PID]],0)))</f>
        <v>0.79626671080519651</v>
      </c>
      <c r="S329" s="58" t="str">
        <f>IF($C329="B",INDEX(Batters[[#All],[DEM]],MATCH(Table5[[#This Row],[PID]],Batters[[#All],[PID]],0)),INDEX(Table3[[#All],[DEM]],MATCH(Table5[[#This Row],[PID]],Table3[[#All],[PID]],0)))</f>
        <v>$200k</v>
      </c>
      <c r="T329" s="62">
        <f>IF($C329="B",INDEX(Batters[[#All],[Rnk]],MATCH(Table5[[#This Row],[PID]],Batters[[#All],[PID]],0)),INDEX(Table3[[#All],[Rnk]],MATCH(Table5[[#This Row],[PID]],Table3[[#All],[PID]],0)))</f>
        <v>114</v>
      </c>
      <c r="U329" s="68">
        <f>IF($C329="B",VLOOKUP($A329,Bat!$A$4:$BA$1621,47,FALSE),VLOOKUP($A329,Pit!$A$4:$BF$1557,56,FALSE))</f>
        <v>0</v>
      </c>
      <c r="V329" s="50">
        <f>IF($C329="B",VLOOKUP($A329,Bat!$A$4:$BA$1621,48,FALSE),VLOOKUP($A329,Pit!$A$4:$BF$1557,57,FALSE))</f>
        <v>0</v>
      </c>
      <c r="W329" s="50">
        <f>Table5[[#This Row],[posRnk]]+Table5[[#This Row],[zRnk]]+IF($W$3&lt;&gt;Table5[[#This Row],[Type]],50,0)</f>
        <v>449</v>
      </c>
      <c r="X329" s="51">
        <f>RANK(Table5[[#This Row],[zScore]],Table5[[#All],[zScore]])</f>
        <v>285</v>
      </c>
      <c r="Y329" s="50">
        <f>IFERROR(INDEX(DraftResults[[#All],[OVR]],MATCH(Table5[[#This Row],[PID]],DraftResults[[#All],[Player ID]],0)),"")</f>
        <v>325</v>
      </c>
      <c r="Z3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29" s="50">
        <f>IFERROR(INDEX(DraftResults[[#All],[Pick in Round]],MATCH(Table5[[#This Row],[PID]],DraftResults[[#All],[Player ID]],0)),"")</f>
        <v>17</v>
      </c>
      <c r="AB329" s="50" t="str">
        <f>IFERROR(INDEX(DraftResults[[#All],[Team Name]],MATCH(Table5[[#This Row],[PID]],DraftResults[[#All],[Player ID]],0)),"")</f>
        <v>Madison Malts</v>
      </c>
      <c r="AC329" s="50">
        <f>IF(Table5[[#This Row],[Ovr]]="","",IF(Table5[[#This Row],[cmbList]]="","",Table5[[#This Row],[cmbList]]-Table5[[#This Row],[Ovr]]))</f>
        <v>124</v>
      </c>
      <c r="AD329" s="54" t="str">
        <f>IF(ISERROR(VLOOKUP($AB329&amp;"-"&amp;$E329&amp;" "&amp;F329,Bonuses!$B$1:$G$1006,4,FALSE)),"",INT(VLOOKUP($AB329&amp;"-"&amp;$E329&amp;" "&amp;$F329,Bonuses!$B$1:$G$1006,4,FALSE)))</f>
        <v/>
      </c>
      <c r="AE3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11.17 (325) - CF Ángel Martínez</v>
      </c>
    </row>
    <row r="330" spans="1:31" s="50" customFormat="1" x14ac:dyDescent="0.25">
      <c r="A330" s="50">
        <v>14683</v>
      </c>
      <c r="B330" s="50">
        <f>COUNTIF(Table5[PID],A330)</f>
        <v>1</v>
      </c>
      <c r="C330" s="50" t="str">
        <f>IF(COUNTIF(Table3[[#All],[PID]],A330)&gt;0,"P","B")</f>
        <v>B</v>
      </c>
      <c r="D330" s="59" t="str">
        <f>IF($C330="B",INDEX(Batters[[#All],[POS]],MATCH(Table5[[#This Row],[PID]],Batters[[#All],[PID]],0)),INDEX(Table3[[#All],[POS]],MATCH(Table5[[#This Row],[PID]],Table3[[#All],[PID]],0)))</f>
        <v>LF</v>
      </c>
      <c r="E330" s="52" t="str">
        <f>IF($C330="B",INDEX(Batters[[#All],[First]],MATCH(Table5[[#This Row],[PID]],Batters[[#All],[PID]],0)),INDEX(Table3[[#All],[First]],MATCH(Table5[[#This Row],[PID]],Table3[[#All],[PID]],0)))</f>
        <v>MacKenzie</v>
      </c>
      <c r="F330" s="50" t="str">
        <f>IF($C330="B",INDEX(Batters[[#All],[Last]],MATCH(A330,Batters[[#All],[PID]],0)),INDEX(Table3[[#All],[Last]],MATCH(A330,Table3[[#All],[PID]],0)))</f>
        <v>Begley</v>
      </c>
      <c r="G330" s="56">
        <f>IF($C330="B",INDEX(Batters[[#All],[Age]],MATCH(Table5[[#This Row],[PID]],Batters[[#All],[PID]],0)),INDEX(Table3[[#All],[Age]],MATCH(Table5[[#This Row],[PID]],Table3[[#All],[PID]],0)))</f>
        <v>18</v>
      </c>
      <c r="H330" s="52" t="str">
        <f>IF($C330="B",INDEX(Batters[[#All],[B]],MATCH(Table5[[#This Row],[PID]],Batters[[#All],[PID]],0)),INDEX(Table3[[#All],[B]],MATCH(Table5[[#This Row],[PID]],Table3[[#All],[PID]],0)))</f>
        <v>L</v>
      </c>
      <c r="I330" s="52" t="str">
        <f>IF($C330="B",INDEX(Batters[[#All],[T]],MATCH(Table5[[#This Row],[PID]],Batters[[#All],[PID]],0)),INDEX(Table3[[#All],[T]],MATCH(Table5[[#This Row],[PID]],Table3[[#All],[PID]],0)))</f>
        <v>L</v>
      </c>
      <c r="J330" s="52" t="str">
        <f>IF($C330="B",INDEX(Batters[[#All],[WE]],MATCH(Table5[[#This Row],[PID]],Batters[[#All],[PID]],0)),INDEX(Table3[[#All],[WE]],MATCH(Table5[[#This Row],[PID]],Table3[[#All],[PID]],0)))</f>
        <v>Normal</v>
      </c>
      <c r="K330" s="52" t="str">
        <f>IF($C330="B",INDEX(Batters[[#All],[INT]],MATCH(Table5[[#This Row],[PID]],Batters[[#All],[PID]],0)),INDEX(Table3[[#All],[INT]],MATCH(Table5[[#This Row],[PID]],Table3[[#All],[PID]],0)))</f>
        <v>Normal</v>
      </c>
      <c r="L330" s="60">
        <f>IF($C330="B",INDEX(Batters[[#All],[CON P]],MATCH(Table5[[#This Row],[PID]],Batters[[#All],[PID]],0)),INDEX(Table3[[#All],[STU P]],MATCH(Table5[[#This Row],[PID]],Table3[[#All],[PID]],0)))</f>
        <v>4</v>
      </c>
      <c r="M330" s="56">
        <f>IF($C330="B",INDEX(Batters[[#All],[GAP P]],MATCH(Table5[[#This Row],[PID]],Batters[[#All],[PID]],0)),INDEX(Table3[[#All],[MOV P]],MATCH(Table5[[#This Row],[PID]],Table3[[#All],[PID]],0)))</f>
        <v>5</v>
      </c>
      <c r="N330" s="56">
        <f>IF($C330="B",INDEX(Batters[[#All],[POW P]],MATCH(Table5[[#This Row],[PID]],Batters[[#All],[PID]],0)),INDEX(Table3[[#All],[CON P]],MATCH(Table5[[#This Row],[PID]],Table3[[#All],[PID]],0)))</f>
        <v>5</v>
      </c>
      <c r="O330" s="56">
        <f>IF($C330="B",INDEX(Batters[[#All],[EYE P]],MATCH(Table5[[#This Row],[PID]],Batters[[#All],[PID]],0)),INDEX(Table3[[#All],[VELO]],MATCH(Table5[[#This Row],[PID]],Table3[[#All],[PID]],0)))</f>
        <v>5</v>
      </c>
      <c r="P330" s="56">
        <f>IF($C330="B",INDEX(Batters[[#All],[K P]],MATCH(Table5[[#This Row],[PID]],Batters[[#All],[PID]],0)),INDEX(Table3[[#All],[STM]],MATCH(Table5[[#This Row],[PID]],Table3[[#All],[PID]],0)))</f>
        <v>4</v>
      </c>
      <c r="Q330" s="61">
        <f>IF($C330="B",INDEX(Batters[[#All],[Tot]],MATCH(Table5[[#This Row],[PID]],Batters[[#All],[PID]],0)),INDEX(Table3[[#All],[Tot]],MATCH(Table5[[#This Row],[PID]],Table3[[#All],[PID]],0)))</f>
        <v>48.606617380870212</v>
      </c>
      <c r="R330" s="52">
        <f>IF($C330="B",INDEX(Batters[[#All],[zScore]],MATCH(Table5[[#This Row],[PID]],Batters[[#All],[PID]],0)),INDEX(Table3[[#All],[zScore]],MATCH(Table5[[#This Row],[PID]],Table3[[#All],[PID]],0)))</f>
        <v>0.99206628306661326</v>
      </c>
      <c r="S330" s="58" t="str">
        <f>IF($C330="B",INDEX(Batters[[#All],[DEM]],MATCH(Table5[[#This Row],[PID]],Batters[[#All],[PID]],0)),INDEX(Table3[[#All],[DEM]],MATCH(Table5[[#This Row],[PID]],Table3[[#All],[PID]],0)))</f>
        <v>$70k</v>
      </c>
      <c r="T330" s="62">
        <f>IF($C330="B",INDEX(Batters[[#All],[Rnk]],MATCH(Table5[[#This Row],[PID]],Batters[[#All],[PID]],0)),INDEX(Table3[[#All],[Rnk]],MATCH(Table5[[#This Row],[PID]],Table3[[#All],[PID]],0)))</f>
        <v>91</v>
      </c>
      <c r="U330" s="68">
        <f>IF($C330="B",VLOOKUP($A330,Bat!$A$4:$BA$1621,47,FALSE),VLOOKUP($A330,Pit!$A$4:$BF$1557,56,FALSE))</f>
        <v>0</v>
      </c>
      <c r="V330" s="50">
        <f>IF($C330="B",VLOOKUP($A330,Bat!$A$4:$BA$1621,48,FALSE),VLOOKUP($A330,Pit!$A$4:$BF$1557,57,FALSE))</f>
        <v>0</v>
      </c>
      <c r="W330" s="50">
        <f>Table5[[#This Row],[posRnk]]+Table5[[#This Row],[zRnk]]+IF($W$3&lt;&gt;Table5[[#This Row],[Type]],50,0)</f>
        <v>371</v>
      </c>
      <c r="X330" s="51">
        <f>RANK(Table5[[#This Row],[zScore]],Table5[[#All],[zScore]])</f>
        <v>230</v>
      </c>
      <c r="Y330" s="50">
        <f>IFERROR(INDEX(DraftResults[[#All],[OVR]],MATCH(Table5[[#This Row],[PID]],DraftResults[[#All],[Player ID]],0)),"")</f>
        <v>326</v>
      </c>
      <c r="Z3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0" s="50">
        <f>IFERROR(INDEX(DraftResults[[#All],[Pick in Round]],MATCH(Table5[[#This Row],[PID]],DraftResults[[#All],[Player ID]],0)),"")</f>
        <v>18</v>
      </c>
      <c r="AB330" s="50" t="str">
        <f>IFERROR(INDEX(DraftResults[[#All],[Team Name]],MATCH(Table5[[#This Row],[PID]],DraftResults[[#All],[Player ID]],0)),"")</f>
        <v>Bakersfield Bears</v>
      </c>
      <c r="AC330" s="50">
        <f>IF(Table5[[#This Row],[Ovr]]="","",IF(Table5[[#This Row],[cmbList]]="","",Table5[[#This Row],[cmbList]]-Table5[[#This Row],[Ovr]]))</f>
        <v>45</v>
      </c>
      <c r="AD330" s="54" t="str">
        <f>IF(ISERROR(VLOOKUP($AB330&amp;"-"&amp;$E330&amp;" "&amp;F330,Bonuses!$B$1:$G$1006,4,FALSE)),"",INT(VLOOKUP($AB330&amp;"-"&amp;$E330&amp;" "&amp;$F330,Bonuses!$B$1:$G$1006,4,FALSE)))</f>
        <v/>
      </c>
      <c r="AE3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11.18 (326) - LF MacKenzie Begley</v>
      </c>
    </row>
    <row r="331" spans="1:31" s="50" customFormat="1" x14ac:dyDescent="0.25">
      <c r="A331" s="50">
        <v>20896</v>
      </c>
      <c r="B331" s="50">
        <f>COUNTIF(Table5[PID],A331)</f>
        <v>1</v>
      </c>
      <c r="C331" s="50" t="str">
        <f>IF(COUNTIF(Table3[[#All],[PID]],A331)&gt;0,"P","B")</f>
        <v>B</v>
      </c>
      <c r="D331" s="59" t="str">
        <f>IF($C331="B",INDEX(Batters[[#All],[POS]],MATCH(Table5[[#This Row],[PID]],Batters[[#All],[PID]],0)),INDEX(Table3[[#All],[POS]],MATCH(Table5[[#This Row],[PID]],Table3[[#All],[PID]],0)))</f>
        <v>RF</v>
      </c>
      <c r="E331" s="52" t="str">
        <f>IF($C331="B",INDEX(Batters[[#All],[First]],MATCH(Table5[[#This Row],[PID]],Batters[[#All],[PID]],0)),INDEX(Table3[[#All],[First]],MATCH(Table5[[#This Row],[PID]],Table3[[#All],[PID]],0)))</f>
        <v>Michael</v>
      </c>
      <c r="F331" s="50" t="str">
        <f>IF($C331="B",INDEX(Batters[[#All],[Last]],MATCH(A331,Batters[[#All],[PID]],0)),INDEX(Table3[[#All],[Last]],MATCH(A331,Table3[[#All],[PID]],0)))</f>
        <v>Brown</v>
      </c>
      <c r="G331" s="56">
        <f>IF($C331="B",INDEX(Batters[[#All],[Age]],MATCH(Table5[[#This Row],[PID]],Batters[[#All],[PID]],0)),INDEX(Table3[[#All],[Age]],MATCH(Table5[[#This Row],[PID]],Table3[[#All],[PID]],0)))</f>
        <v>17</v>
      </c>
      <c r="H331" s="52" t="str">
        <f>IF($C331="B",INDEX(Batters[[#All],[B]],MATCH(Table5[[#This Row],[PID]],Batters[[#All],[PID]],0)),INDEX(Table3[[#All],[B]],MATCH(Table5[[#This Row],[PID]],Table3[[#All],[PID]],0)))</f>
        <v>L</v>
      </c>
      <c r="I331" s="52" t="str">
        <f>IF($C331="B",INDEX(Batters[[#All],[T]],MATCH(Table5[[#This Row],[PID]],Batters[[#All],[PID]],0)),INDEX(Table3[[#All],[T]],MATCH(Table5[[#This Row],[PID]],Table3[[#All],[PID]],0)))</f>
        <v>L</v>
      </c>
      <c r="J331" s="52" t="str">
        <f>IF($C331="B",INDEX(Batters[[#All],[WE]],MATCH(Table5[[#This Row],[PID]],Batters[[#All],[PID]],0)),INDEX(Table3[[#All],[WE]],MATCH(Table5[[#This Row],[PID]],Table3[[#All],[PID]],0)))</f>
        <v>Normal</v>
      </c>
      <c r="K331" s="52" t="str">
        <f>IF($C331="B",INDEX(Batters[[#All],[INT]],MATCH(Table5[[#This Row],[PID]],Batters[[#All],[PID]],0)),INDEX(Table3[[#All],[INT]],MATCH(Table5[[#This Row],[PID]],Table3[[#All],[PID]],0)))</f>
        <v>Low</v>
      </c>
      <c r="L331" s="60">
        <f>IF($C331="B",INDEX(Batters[[#All],[CON P]],MATCH(Table5[[#This Row],[PID]],Batters[[#All],[PID]],0)),INDEX(Table3[[#All],[STU P]],MATCH(Table5[[#This Row],[PID]],Table3[[#All],[PID]],0)))</f>
        <v>3</v>
      </c>
      <c r="M331" s="56">
        <f>IF($C331="B",INDEX(Batters[[#All],[GAP P]],MATCH(Table5[[#This Row],[PID]],Batters[[#All],[PID]],0)),INDEX(Table3[[#All],[MOV P]],MATCH(Table5[[#This Row],[PID]],Table3[[#All],[PID]],0)))</f>
        <v>6</v>
      </c>
      <c r="N331" s="56">
        <f>IF($C331="B",INDEX(Batters[[#All],[POW P]],MATCH(Table5[[#This Row],[PID]],Batters[[#All],[PID]],0)),INDEX(Table3[[#All],[CON P]],MATCH(Table5[[#This Row],[PID]],Table3[[#All],[PID]],0)))</f>
        <v>7</v>
      </c>
      <c r="O331" s="56">
        <f>IF($C331="B",INDEX(Batters[[#All],[EYE P]],MATCH(Table5[[#This Row],[PID]],Batters[[#All],[PID]],0)),INDEX(Table3[[#All],[VELO]],MATCH(Table5[[#This Row],[PID]],Table3[[#All],[PID]],0)))</f>
        <v>5</v>
      </c>
      <c r="P331" s="56">
        <f>IF($C331="B",INDEX(Batters[[#All],[K P]],MATCH(Table5[[#This Row],[PID]],Batters[[#All],[PID]],0)),INDEX(Table3[[#All],[STM]],MATCH(Table5[[#This Row],[PID]],Table3[[#All],[PID]],0)))</f>
        <v>2</v>
      </c>
      <c r="Q331" s="61">
        <f>IF($C331="B",INDEX(Batters[[#All],[Tot]],MATCH(Table5[[#This Row],[PID]],Batters[[#All],[PID]],0)),INDEX(Table3[[#All],[Tot]],MATCH(Table5[[#This Row],[PID]],Table3[[#All],[PID]],0)))</f>
        <v>46.24841626949285</v>
      </c>
      <c r="R331" s="52">
        <f>IF($C331="B",INDEX(Batters[[#All],[zScore]],MATCH(Table5[[#This Row],[PID]],Batters[[#All],[PID]],0)),INDEX(Table3[[#All],[zScore]],MATCH(Table5[[#This Row],[PID]],Table3[[#All],[PID]],0)))</f>
        <v>0.46923715671408384</v>
      </c>
      <c r="S331" s="58" t="str">
        <f>IF($C331="B",INDEX(Batters[[#All],[DEM]],MATCH(Table5[[#This Row],[PID]],Batters[[#All],[PID]],0)),INDEX(Table3[[#All],[DEM]],MATCH(Table5[[#This Row],[PID]],Table3[[#All],[PID]],0)))</f>
        <v>$80k</v>
      </c>
      <c r="T331" s="62">
        <f>IF($C331="B",INDEX(Batters[[#All],[Rnk]],MATCH(Table5[[#This Row],[PID]],Batters[[#All],[PID]],0)),INDEX(Table3[[#All],[Rnk]],MATCH(Table5[[#This Row],[PID]],Table3[[#All],[PID]],0)))</f>
        <v>156</v>
      </c>
      <c r="U331" s="68">
        <f>IF($C331="B",VLOOKUP($A331,Bat!$A$4:$BA$1621,47,FALSE),VLOOKUP($A331,Pit!$A$4:$BF$1557,56,FALSE))</f>
        <v>0</v>
      </c>
      <c r="V331" s="50">
        <f>IF($C331="B",VLOOKUP($A331,Bat!$A$4:$BA$1621,48,FALSE),VLOOKUP($A331,Pit!$A$4:$BF$1557,57,FALSE))</f>
        <v>0</v>
      </c>
      <c r="W331" s="50">
        <f>Table5[[#This Row],[posRnk]]+Table5[[#This Row],[zRnk]]+IF($W$3&lt;&gt;Table5[[#This Row],[Type]],50,0)</f>
        <v>582</v>
      </c>
      <c r="X331" s="51">
        <f>RANK(Table5[[#This Row],[zScore]],Table5[[#All],[zScore]])</f>
        <v>376</v>
      </c>
      <c r="Y331" s="50">
        <f>IFERROR(INDEX(DraftResults[[#All],[OVR]],MATCH(Table5[[#This Row],[PID]],DraftResults[[#All],[Player ID]],0)),"")</f>
        <v>327</v>
      </c>
      <c r="Z3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1" s="50">
        <f>IFERROR(INDEX(DraftResults[[#All],[Pick in Round]],MATCH(Table5[[#This Row],[PID]],DraftResults[[#All],[Player ID]],0)),"")</f>
        <v>19</v>
      </c>
      <c r="AB331" s="50" t="str">
        <f>IFERROR(INDEX(DraftResults[[#All],[Team Name]],MATCH(Table5[[#This Row],[PID]],DraftResults[[#All],[Player ID]],0)),"")</f>
        <v>Kalamazoo Badgers</v>
      </c>
      <c r="AC331" s="50">
        <f>IF(Table5[[#This Row],[Ovr]]="","",IF(Table5[[#This Row],[cmbList]]="","",Table5[[#This Row],[cmbList]]-Table5[[#This Row],[Ovr]]))</f>
        <v>255</v>
      </c>
      <c r="AD331" s="54" t="str">
        <f>IF(ISERROR(VLOOKUP($AB331&amp;"-"&amp;$E331&amp;" "&amp;F331,Bonuses!$B$1:$G$1006,4,FALSE)),"",INT(VLOOKUP($AB331&amp;"-"&amp;$E331&amp;" "&amp;$F331,Bonuses!$B$1:$G$1006,4,FALSE)))</f>
        <v/>
      </c>
      <c r="AE3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11.19 (327) - RF Michael Brown</v>
      </c>
    </row>
    <row r="332" spans="1:31" s="50" customFormat="1" x14ac:dyDescent="0.25">
      <c r="A332" s="68">
        <v>18428</v>
      </c>
      <c r="B332" s="69">
        <f>COUNTIF(Table5[PID],A332)</f>
        <v>1</v>
      </c>
      <c r="C332" s="69" t="str">
        <f>IF(COUNTIF(Table3[[#All],[PID]],A332)&gt;0,"P","B")</f>
        <v>P</v>
      </c>
      <c r="D332" s="59" t="str">
        <f>IF($C332="B",INDEX(Batters[[#All],[POS]],MATCH(Table5[[#This Row],[PID]],Batters[[#All],[PID]],0)),INDEX(Table3[[#All],[POS]],MATCH(Table5[[#This Row],[PID]],Table3[[#All],[PID]],0)))</f>
        <v>SP</v>
      </c>
      <c r="E332" s="52" t="str">
        <f>IF($C332="B",INDEX(Batters[[#All],[First]],MATCH(Table5[[#This Row],[PID]],Batters[[#All],[PID]],0)),INDEX(Table3[[#All],[First]],MATCH(Table5[[#This Row],[PID]],Table3[[#All],[PID]],0)))</f>
        <v>Sotatsu</v>
      </c>
      <c r="F332" s="55" t="str">
        <f>IF($C332="B",INDEX(Batters[[#All],[Last]],MATCH(A332,Batters[[#All],[PID]],0)),INDEX(Table3[[#All],[Last]],MATCH(A332,Table3[[#All],[PID]],0)))</f>
        <v>Nakamura</v>
      </c>
      <c r="G332" s="56">
        <f>IF($C332="B",INDEX(Batters[[#All],[Age]],MATCH(Table5[[#This Row],[PID]],Batters[[#All],[PID]],0)),INDEX(Table3[[#All],[Age]],MATCH(Table5[[#This Row],[PID]],Table3[[#All],[PID]],0)))</f>
        <v>18</v>
      </c>
      <c r="H332" s="52" t="str">
        <f>IF($C332="B",INDEX(Batters[[#All],[B]],MATCH(Table5[[#This Row],[PID]],Batters[[#All],[PID]],0)),INDEX(Table3[[#All],[B]],MATCH(Table5[[#This Row],[PID]],Table3[[#All],[PID]],0)))</f>
        <v>R</v>
      </c>
      <c r="I332" s="52" t="str">
        <f>IF($C332="B",INDEX(Batters[[#All],[T]],MATCH(Table5[[#This Row],[PID]],Batters[[#All],[PID]],0)),INDEX(Table3[[#All],[T]],MATCH(Table5[[#This Row],[PID]],Table3[[#All],[PID]],0)))</f>
        <v>R</v>
      </c>
      <c r="J332" s="71" t="str">
        <f>IF($C332="B",INDEX(Batters[[#All],[WE]],MATCH(Table5[[#This Row],[PID]],Batters[[#All],[PID]],0)),INDEX(Table3[[#All],[WE]],MATCH(Table5[[#This Row],[PID]],Table3[[#All],[PID]],0)))</f>
        <v>Low</v>
      </c>
      <c r="K332" s="52" t="str">
        <f>IF($C332="B",INDEX(Batters[[#All],[INT]],MATCH(Table5[[#This Row],[PID]],Batters[[#All],[PID]],0)),INDEX(Table3[[#All],[INT]],MATCH(Table5[[#This Row],[PID]],Table3[[#All],[PID]],0)))</f>
        <v>Normal</v>
      </c>
      <c r="L332" s="60">
        <f>IF($C332="B",INDEX(Batters[[#All],[CON P]],MATCH(Table5[[#This Row],[PID]],Batters[[#All],[PID]],0)),INDEX(Table3[[#All],[STU P]],MATCH(Table5[[#This Row],[PID]],Table3[[#All],[PID]],0)))</f>
        <v>4</v>
      </c>
      <c r="M332" s="72">
        <f>IF($C332="B",INDEX(Batters[[#All],[GAP P]],MATCH(Table5[[#This Row],[PID]],Batters[[#All],[PID]],0)),INDEX(Table3[[#All],[MOV P]],MATCH(Table5[[#This Row],[PID]],Table3[[#All],[PID]],0)))</f>
        <v>6</v>
      </c>
      <c r="N332" s="72">
        <f>IF($C332="B",INDEX(Batters[[#All],[POW P]],MATCH(Table5[[#This Row],[PID]],Batters[[#All],[PID]],0)),INDEX(Table3[[#All],[CON P]],MATCH(Table5[[#This Row],[PID]],Table3[[#All],[PID]],0)))</f>
        <v>5</v>
      </c>
      <c r="O332" s="72" t="str">
        <f>IF($C332="B",INDEX(Batters[[#All],[EYE P]],MATCH(Table5[[#This Row],[PID]],Batters[[#All],[PID]],0)),INDEX(Table3[[#All],[VELO]],MATCH(Table5[[#This Row],[PID]],Table3[[#All],[PID]],0)))</f>
        <v>86-88 Mph</v>
      </c>
      <c r="P332" s="56">
        <f>IF($C332="B",INDEX(Batters[[#All],[K P]],MATCH(Table5[[#This Row],[PID]],Batters[[#All],[PID]],0)),INDEX(Table3[[#All],[STM]],MATCH(Table5[[#This Row],[PID]],Table3[[#All],[PID]],0)))</f>
        <v>6</v>
      </c>
      <c r="Q332" s="61">
        <f>IF($C332="B",INDEX(Batters[[#All],[Tot]],MATCH(Table5[[#This Row],[PID]],Batters[[#All],[PID]],0)),INDEX(Table3[[#All],[Tot]],MATCH(Table5[[#This Row],[PID]],Table3[[#All],[PID]],0)))</f>
        <v>59.376537942841971</v>
      </c>
      <c r="R332" s="52">
        <f>IF($C332="B",INDEX(Batters[[#All],[zScore]],MATCH(Table5[[#This Row],[PID]],Batters[[#All],[PID]],0)),INDEX(Table3[[#All],[zScore]],MATCH(Table5[[#This Row],[PID]],Table3[[#All],[PID]],0)))</f>
        <v>1.5638190519517994</v>
      </c>
      <c r="S332" s="78" t="str">
        <f>IF($C332="B",INDEX(Batters[[#All],[DEM]],MATCH(Table5[[#This Row],[PID]],Batters[[#All],[PID]],0)),INDEX(Table3[[#All],[DEM]],MATCH(Table5[[#This Row],[PID]],Table3[[#All],[PID]],0)))</f>
        <v>$330k</v>
      </c>
      <c r="T332" s="75">
        <f>IF($C332="B",INDEX(Batters[[#All],[Rnk]],MATCH(Table5[[#This Row],[PID]],Batters[[#All],[PID]],0)),INDEX(Table3[[#All],[Rnk]],MATCH(Table5[[#This Row],[PID]],Table3[[#All],[PID]],0)))</f>
        <v>68</v>
      </c>
      <c r="U332" s="68">
        <f>IF($C332="B",VLOOKUP($A332,Bat!$A$4:$BA$1621,47,FALSE),VLOOKUP($A332,Pit!$A$4:$BF$1557,56,FALSE))</f>
        <v>0</v>
      </c>
      <c r="V332" s="50">
        <f>IF($C332="B",VLOOKUP($A332,Bat!$A$4:$BA$1621,48,FALSE),VLOOKUP($A332,Pit!$A$4:$BF$1557,57,FALSE))</f>
        <v>0</v>
      </c>
      <c r="W332" s="69">
        <f>Table5[[#This Row],[posRnk]]+Table5[[#This Row],[zRnk]]+IF($W$3&lt;&gt;Table5[[#This Row],[Type]],50,0)</f>
        <v>225</v>
      </c>
      <c r="X332" s="73">
        <f>RANK(Table5[[#This Row],[zScore]],Table5[[#All],[zScore]])</f>
        <v>107</v>
      </c>
      <c r="Y332" s="69">
        <f>IFERROR(INDEX(DraftResults[[#All],[OVR]],MATCH(Table5[[#This Row],[PID]],DraftResults[[#All],[Player ID]],0)),"")</f>
        <v>328</v>
      </c>
      <c r="Z33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2" s="69">
        <f>IFERROR(INDEX(DraftResults[[#All],[Pick in Round]],MATCH(Table5[[#This Row],[PID]],DraftResults[[#All],[Player ID]],0)),"")</f>
        <v>20</v>
      </c>
      <c r="AB332" s="69" t="str">
        <f>IFERROR(INDEX(DraftResults[[#All],[Team Name]],MATCH(Table5[[#This Row],[PID]],DraftResults[[#All],[Player ID]],0)),"")</f>
        <v>Amsterdam Lions</v>
      </c>
      <c r="AC332" s="69">
        <f>IF(Table5[[#This Row],[Ovr]]="","",IF(Table5[[#This Row],[cmbList]]="","",Table5[[#This Row],[cmbList]]-Table5[[#This Row],[Ovr]]))</f>
        <v>-103</v>
      </c>
      <c r="AD332" s="77" t="str">
        <f>IF(ISERROR(VLOOKUP($AB332&amp;"-"&amp;$E332&amp;" "&amp;F332,Bonuses!$B$1:$G$1006,4,FALSE)),"",INT(VLOOKUP($AB332&amp;"-"&amp;$E332&amp;" "&amp;$F332,Bonuses!$B$1:$G$1006,4,FALSE)))</f>
        <v/>
      </c>
      <c r="AE33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11.20 (328) - SP Sotatsu Nakamura</v>
      </c>
    </row>
    <row r="333" spans="1:31" s="50" customFormat="1" x14ac:dyDescent="0.25">
      <c r="A333" s="50">
        <v>20390</v>
      </c>
      <c r="B333" s="50">
        <f>COUNTIF(Table5[PID],A333)</f>
        <v>1</v>
      </c>
      <c r="C333" s="50" t="str">
        <f>IF(COUNTIF(Table3[[#All],[PID]],A333)&gt;0,"P","B")</f>
        <v>B</v>
      </c>
      <c r="D333" s="59" t="str">
        <f>IF($C333="B",INDEX(Batters[[#All],[POS]],MATCH(Table5[[#This Row],[PID]],Batters[[#All],[PID]],0)),INDEX(Table3[[#All],[POS]],MATCH(Table5[[#This Row],[PID]],Table3[[#All],[PID]],0)))</f>
        <v>1B</v>
      </c>
      <c r="E333" s="52" t="str">
        <f>IF($C333="B",INDEX(Batters[[#All],[First]],MATCH(Table5[[#This Row],[PID]],Batters[[#All],[PID]],0)),INDEX(Table3[[#All],[First]],MATCH(Table5[[#This Row],[PID]],Table3[[#All],[PID]],0)))</f>
        <v>Fionn</v>
      </c>
      <c r="F333" s="50" t="str">
        <f>IF($C333="B",INDEX(Batters[[#All],[Last]],MATCH(A333,Batters[[#All],[PID]],0)),INDEX(Table3[[#All],[Last]],MATCH(A333,Table3[[#All],[PID]],0)))</f>
        <v>Thorncroft</v>
      </c>
      <c r="G333" s="56">
        <f>IF($C333="B",INDEX(Batters[[#All],[Age]],MATCH(Table5[[#This Row],[PID]],Batters[[#All],[PID]],0)),INDEX(Table3[[#All],[Age]],MATCH(Table5[[#This Row],[PID]],Table3[[#All],[PID]],0)))</f>
        <v>18</v>
      </c>
      <c r="H333" s="52" t="str">
        <f>IF($C333="B",INDEX(Batters[[#All],[B]],MATCH(Table5[[#This Row],[PID]],Batters[[#All],[PID]],0)),INDEX(Table3[[#All],[B]],MATCH(Table5[[#This Row],[PID]],Table3[[#All],[PID]],0)))</f>
        <v>R</v>
      </c>
      <c r="I333" s="52" t="str">
        <f>IF($C333="B",INDEX(Batters[[#All],[T]],MATCH(Table5[[#This Row],[PID]],Batters[[#All],[PID]],0)),INDEX(Table3[[#All],[T]],MATCH(Table5[[#This Row],[PID]],Table3[[#All],[PID]],0)))</f>
        <v>R</v>
      </c>
      <c r="J333" s="52" t="str">
        <f>IF($C333="B",INDEX(Batters[[#All],[WE]],MATCH(Table5[[#This Row],[PID]],Batters[[#All],[PID]],0)),INDEX(Table3[[#All],[WE]],MATCH(Table5[[#This Row],[PID]],Table3[[#All],[PID]],0)))</f>
        <v>Normal</v>
      </c>
      <c r="K333" s="52" t="str">
        <f>IF($C333="B",INDEX(Batters[[#All],[INT]],MATCH(Table5[[#This Row],[PID]],Batters[[#All],[PID]],0)),INDEX(Table3[[#All],[INT]],MATCH(Table5[[#This Row],[PID]],Table3[[#All],[PID]],0)))</f>
        <v>Normal</v>
      </c>
      <c r="L333" s="60">
        <f>IF($C333="B",INDEX(Batters[[#All],[CON P]],MATCH(Table5[[#This Row],[PID]],Batters[[#All],[PID]],0)),INDEX(Table3[[#All],[STU P]],MATCH(Table5[[#This Row],[PID]],Table3[[#All],[PID]],0)))</f>
        <v>4</v>
      </c>
      <c r="M333" s="56">
        <f>IF($C333="B",INDEX(Batters[[#All],[GAP P]],MATCH(Table5[[#This Row],[PID]],Batters[[#All],[PID]],0)),INDEX(Table3[[#All],[MOV P]],MATCH(Table5[[#This Row],[PID]],Table3[[#All],[PID]],0)))</f>
        <v>6</v>
      </c>
      <c r="N333" s="56">
        <f>IF($C333="B",INDEX(Batters[[#All],[POW P]],MATCH(Table5[[#This Row],[PID]],Batters[[#All],[PID]],0)),INDEX(Table3[[#All],[CON P]],MATCH(Table5[[#This Row],[PID]],Table3[[#All],[PID]],0)))</f>
        <v>7</v>
      </c>
      <c r="O333" s="56">
        <f>IF($C333="B",INDEX(Batters[[#All],[EYE P]],MATCH(Table5[[#This Row],[PID]],Batters[[#All],[PID]],0)),INDEX(Table3[[#All],[VELO]],MATCH(Table5[[#This Row],[PID]],Table3[[#All],[PID]],0)))</f>
        <v>6</v>
      </c>
      <c r="P333" s="56">
        <f>IF($C333="B",INDEX(Batters[[#All],[K P]],MATCH(Table5[[#This Row],[PID]],Batters[[#All],[PID]],0)),INDEX(Table3[[#All],[STM]],MATCH(Table5[[#This Row],[PID]],Table3[[#All],[PID]],0)))</f>
        <v>3</v>
      </c>
      <c r="Q333" s="61">
        <f>IF($C333="B",INDEX(Batters[[#All],[Tot]],MATCH(Table5[[#This Row],[PID]],Batters[[#All],[PID]],0)),INDEX(Table3[[#All],[Tot]],MATCH(Table5[[#This Row],[PID]],Table3[[#All],[PID]],0)))</f>
        <v>51.686619395505346</v>
      </c>
      <c r="R333" s="52">
        <f>IF($C333="B",INDEX(Batters[[#All],[zScore]],MATCH(Table5[[#This Row],[PID]],Batters[[#All],[PID]],0)),INDEX(Table3[[#All],[zScore]],MATCH(Table5[[#This Row],[PID]],Table3[[#All],[PID]],0)))</f>
        <v>1.6749235485926974</v>
      </c>
      <c r="S333" s="58" t="str">
        <f>IF($C333="B",INDEX(Batters[[#All],[DEM]],MATCH(Table5[[#This Row],[PID]],Batters[[#All],[PID]],0)),INDEX(Table3[[#All],[DEM]],MATCH(Table5[[#This Row],[PID]],Table3[[#All],[PID]],0)))</f>
        <v>$190k</v>
      </c>
      <c r="T333" s="62">
        <f>IF($C333="B",INDEX(Batters[[#All],[Rnk]],MATCH(Table5[[#This Row],[PID]],Batters[[#All],[PID]],0)),INDEX(Table3[[#All],[Rnk]],MATCH(Table5[[#This Row],[PID]],Table3[[#All],[PID]],0)))</f>
        <v>33</v>
      </c>
      <c r="U333" s="68">
        <f>IF($C333="B",VLOOKUP($A333,Bat!$A$4:$BA$1621,47,FALSE),VLOOKUP($A333,Pit!$A$4:$BF$1557,56,FALSE))</f>
        <v>0</v>
      </c>
      <c r="V333" s="50">
        <f>IF($C333="B",VLOOKUP($A333,Bat!$A$4:$BA$1621,48,FALSE),VLOOKUP($A333,Pit!$A$4:$BF$1557,57,FALSE))</f>
        <v>0</v>
      </c>
      <c r="W333" s="50">
        <f>Table5[[#This Row],[posRnk]]+Table5[[#This Row],[zRnk]]+IF($W$3&lt;&gt;Table5[[#This Row],[Type]],50,0)</f>
        <v>174</v>
      </c>
      <c r="X333" s="51">
        <f>RANK(Table5[[#This Row],[zScore]],Table5[[#All],[zScore]])</f>
        <v>91</v>
      </c>
      <c r="Y333" s="50">
        <f>IFERROR(INDEX(DraftResults[[#All],[OVR]],MATCH(Table5[[#This Row],[PID]],DraftResults[[#All],[Player ID]],0)),"")</f>
        <v>329</v>
      </c>
      <c r="Z3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3" s="50">
        <f>IFERROR(INDEX(DraftResults[[#All],[Pick in Round]],MATCH(Table5[[#This Row],[PID]],DraftResults[[#All],[Player ID]],0)),"")</f>
        <v>21</v>
      </c>
      <c r="AB333" s="50" t="str">
        <f>IFERROR(INDEX(DraftResults[[#All],[Team Name]],MATCH(Table5[[#This Row],[PID]],DraftResults[[#All],[Player ID]],0)),"")</f>
        <v>Crystal Lake Sandgnats</v>
      </c>
      <c r="AC333" s="50">
        <f>IF(Table5[[#This Row],[Ovr]]="","",IF(Table5[[#This Row],[cmbList]]="","",Table5[[#This Row],[cmbList]]-Table5[[#This Row],[Ovr]]))</f>
        <v>-155</v>
      </c>
      <c r="AD333" s="54" t="str">
        <f>IF(ISERROR(VLOOKUP($AB333&amp;"-"&amp;$E333&amp;" "&amp;F333,Bonuses!$B$1:$G$1006,4,FALSE)),"",INT(VLOOKUP($AB333&amp;"-"&amp;$E333&amp;" "&amp;$F333,Bonuses!$B$1:$G$1006,4,FALSE)))</f>
        <v/>
      </c>
      <c r="AE3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11.21 (329) - 1B Fionn Thorncroft</v>
      </c>
    </row>
    <row r="334" spans="1:31" s="50" customFormat="1" x14ac:dyDescent="0.25">
      <c r="A334" s="50">
        <v>18439</v>
      </c>
      <c r="B334" s="50">
        <f>COUNTIF(Table5[PID],A334)</f>
        <v>1</v>
      </c>
      <c r="C334" s="50" t="str">
        <f>IF(COUNTIF(Table3[[#All],[PID]],A334)&gt;0,"P","B")</f>
        <v>B</v>
      </c>
      <c r="D334" s="59" t="str">
        <f>IF($C334="B",INDEX(Batters[[#All],[POS]],MATCH(Table5[[#This Row],[PID]],Batters[[#All],[PID]],0)),INDEX(Table3[[#All],[POS]],MATCH(Table5[[#This Row],[PID]],Table3[[#All],[PID]],0)))</f>
        <v>CF</v>
      </c>
      <c r="E334" s="52" t="str">
        <f>IF($C334="B",INDEX(Batters[[#All],[First]],MATCH(Table5[[#This Row],[PID]],Batters[[#All],[PID]],0)),INDEX(Table3[[#All],[First]],MATCH(Table5[[#This Row],[PID]],Table3[[#All],[PID]],0)))</f>
        <v>Phil</v>
      </c>
      <c r="F334" s="50" t="str">
        <f>IF($C334="B",INDEX(Batters[[#All],[Last]],MATCH(A334,Batters[[#All],[PID]],0)),INDEX(Table3[[#All],[Last]],MATCH(A334,Table3[[#All],[PID]],0)))</f>
        <v>Ouwerkerk</v>
      </c>
      <c r="G334" s="56">
        <f>IF($C334="B",INDEX(Batters[[#All],[Age]],MATCH(Table5[[#This Row],[PID]],Batters[[#All],[PID]],0)),INDEX(Table3[[#All],[Age]],MATCH(Table5[[#This Row],[PID]],Table3[[#All],[PID]],0)))</f>
        <v>18</v>
      </c>
      <c r="H334" s="52" t="str">
        <f>IF($C334="B",INDEX(Batters[[#All],[B]],MATCH(Table5[[#This Row],[PID]],Batters[[#All],[PID]],0)),INDEX(Table3[[#All],[B]],MATCH(Table5[[#This Row],[PID]],Table3[[#All],[PID]],0)))</f>
        <v>S</v>
      </c>
      <c r="I334" s="52" t="str">
        <f>IF($C334="B",INDEX(Batters[[#All],[T]],MATCH(Table5[[#This Row],[PID]],Batters[[#All],[PID]],0)),INDEX(Table3[[#All],[T]],MATCH(Table5[[#This Row],[PID]],Table3[[#All],[PID]],0)))</f>
        <v>R</v>
      </c>
      <c r="J334" s="52" t="str">
        <f>IF($C334="B",INDEX(Batters[[#All],[WE]],MATCH(Table5[[#This Row],[PID]],Batters[[#All],[PID]],0)),INDEX(Table3[[#All],[WE]],MATCH(Table5[[#This Row],[PID]],Table3[[#All],[PID]],0)))</f>
        <v>Low</v>
      </c>
      <c r="K334" s="52" t="str">
        <f>IF($C334="B",INDEX(Batters[[#All],[INT]],MATCH(Table5[[#This Row],[PID]],Batters[[#All],[PID]],0)),INDEX(Table3[[#All],[INT]],MATCH(Table5[[#This Row],[PID]],Table3[[#All],[PID]],0)))</f>
        <v>Normal</v>
      </c>
      <c r="L334" s="60">
        <f>IF($C334="B",INDEX(Batters[[#All],[CON P]],MATCH(Table5[[#This Row],[PID]],Batters[[#All],[PID]],0)),INDEX(Table3[[#All],[STU P]],MATCH(Table5[[#This Row],[PID]],Table3[[#All],[PID]],0)))</f>
        <v>4</v>
      </c>
      <c r="M334" s="56">
        <f>IF($C334="B",INDEX(Batters[[#All],[GAP P]],MATCH(Table5[[#This Row],[PID]],Batters[[#All],[PID]],0)),INDEX(Table3[[#All],[MOV P]],MATCH(Table5[[#This Row],[PID]],Table3[[#All],[PID]],0)))</f>
        <v>5</v>
      </c>
      <c r="N334" s="56">
        <f>IF($C334="B",INDEX(Batters[[#All],[POW P]],MATCH(Table5[[#This Row],[PID]],Batters[[#All],[PID]],0)),INDEX(Table3[[#All],[CON P]],MATCH(Table5[[#This Row],[PID]],Table3[[#All],[PID]],0)))</f>
        <v>5</v>
      </c>
      <c r="O334" s="56">
        <f>IF($C334="B",INDEX(Batters[[#All],[EYE P]],MATCH(Table5[[#This Row],[PID]],Batters[[#All],[PID]],0)),INDEX(Table3[[#All],[VELO]],MATCH(Table5[[#This Row],[PID]],Table3[[#All],[PID]],0)))</f>
        <v>5</v>
      </c>
      <c r="P334" s="56">
        <f>IF($C334="B",INDEX(Batters[[#All],[K P]],MATCH(Table5[[#This Row],[PID]],Batters[[#All],[PID]],0)),INDEX(Table3[[#All],[STM]],MATCH(Table5[[#This Row],[PID]],Table3[[#All],[PID]],0)))</f>
        <v>3</v>
      </c>
      <c r="Q334" s="61">
        <f>IF($C334="B",INDEX(Batters[[#All],[Tot]],MATCH(Table5[[#This Row],[PID]],Batters[[#All],[PID]],0)),INDEX(Table3[[#All],[Tot]],MATCH(Table5[[#This Row],[PID]],Table3[[#All],[PID]],0)))</f>
        <v>49.25975463639854</v>
      </c>
      <c r="R334" s="52">
        <f>IF($C334="B",INDEX(Batters[[#All],[zScore]],MATCH(Table5[[#This Row],[PID]],Batters[[#All],[PID]],0)),INDEX(Table3[[#All],[zScore]],MATCH(Table5[[#This Row],[PID]],Table3[[#All],[PID]],0)))</f>
        <v>1.1368712274153656</v>
      </c>
      <c r="S334" s="58" t="str">
        <f>IF($C334="B",INDEX(Batters[[#All],[DEM]],MATCH(Table5[[#This Row],[PID]],Batters[[#All],[PID]],0)),INDEX(Table3[[#All],[DEM]],MATCH(Table5[[#This Row],[PID]],Table3[[#All],[PID]],0)))</f>
        <v>$200k</v>
      </c>
      <c r="T334" s="62">
        <f>IF($C334="B",INDEX(Batters[[#All],[Rnk]],MATCH(Table5[[#This Row],[PID]],Batters[[#All],[PID]],0)),INDEX(Table3[[#All],[Rnk]],MATCH(Table5[[#This Row],[PID]],Table3[[#All],[PID]],0)))</f>
        <v>80</v>
      </c>
      <c r="U334" s="68">
        <f>IF($C334="B",VLOOKUP($A334,Bat!$A$4:$BA$1621,47,FALSE),VLOOKUP($A334,Pit!$A$4:$BF$1557,56,FALSE))</f>
        <v>0</v>
      </c>
      <c r="V334" s="50">
        <f>IF($C334="B",VLOOKUP($A334,Bat!$A$4:$BA$1621,48,FALSE),VLOOKUP($A334,Pit!$A$4:$BF$1557,57,FALSE))</f>
        <v>0</v>
      </c>
      <c r="W334" s="50">
        <f>Table5[[#This Row],[posRnk]]+Table5[[#This Row],[zRnk]]+IF($W$3&lt;&gt;Table5[[#This Row],[Type]],50,0)</f>
        <v>331</v>
      </c>
      <c r="X334" s="51">
        <f>RANK(Table5[[#This Row],[zScore]],Table5[[#All],[zScore]])</f>
        <v>201</v>
      </c>
      <c r="Y334" s="50">
        <f>IFERROR(INDEX(DraftResults[[#All],[OVR]],MATCH(Table5[[#This Row],[PID]],DraftResults[[#All],[Player ID]],0)),"")</f>
        <v>330</v>
      </c>
      <c r="Z3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4" s="50">
        <f>IFERROR(INDEX(DraftResults[[#All],[Pick in Round]],MATCH(Table5[[#This Row],[PID]],DraftResults[[#All],[Player ID]],0)),"")</f>
        <v>22</v>
      </c>
      <c r="AB334" s="50" t="str">
        <f>IFERROR(INDEX(DraftResults[[#All],[Team Name]],MATCH(Table5[[#This Row],[PID]],DraftResults[[#All],[Player ID]],0)),"")</f>
        <v>Fargo Dinosaurs</v>
      </c>
      <c r="AC334" s="50">
        <f>IF(Table5[[#This Row],[Ovr]]="","",IF(Table5[[#This Row],[cmbList]]="","",Table5[[#This Row],[cmbList]]-Table5[[#This Row],[Ovr]]))</f>
        <v>1</v>
      </c>
      <c r="AD334" s="54" t="str">
        <f>IF(ISERROR(VLOOKUP($AB334&amp;"-"&amp;$E334&amp;" "&amp;F334,Bonuses!$B$1:$G$1006,4,FALSE)),"",INT(VLOOKUP($AB334&amp;"-"&amp;$E334&amp;" "&amp;$F334,Bonuses!$B$1:$G$1006,4,FALSE)))</f>
        <v/>
      </c>
      <c r="AE3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11.22 (330) - CF Phil Ouwerkerk</v>
      </c>
    </row>
    <row r="335" spans="1:31" s="50" customFormat="1" x14ac:dyDescent="0.25">
      <c r="A335" s="50">
        <v>18367</v>
      </c>
      <c r="B335" s="50">
        <f>COUNTIF(Table5[PID],A335)</f>
        <v>1</v>
      </c>
      <c r="C335" s="50" t="str">
        <f>IF(COUNTIF(Table3[[#All],[PID]],A335)&gt;0,"P","B")</f>
        <v>B</v>
      </c>
      <c r="D335" s="59" t="str">
        <f>IF($C335="B",INDEX(Batters[[#All],[POS]],MATCH(Table5[[#This Row],[PID]],Batters[[#All],[PID]],0)),INDEX(Table3[[#All],[POS]],MATCH(Table5[[#This Row],[PID]],Table3[[#All],[PID]],0)))</f>
        <v>RF</v>
      </c>
      <c r="E335" s="52" t="str">
        <f>IF($C335="B",INDEX(Batters[[#All],[First]],MATCH(Table5[[#This Row],[PID]],Batters[[#All],[PID]],0)),INDEX(Table3[[#All],[First]],MATCH(Table5[[#This Row],[PID]],Table3[[#All],[PID]],0)))</f>
        <v>Georg</v>
      </c>
      <c r="F335" s="50" t="str">
        <f>IF($C335="B",INDEX(Batters[[#All],[Last]],MATCH(A335,Batters[[#All],[PID]],0)),INDEX(Table3[[#All],[Last]],MATCH(A335,Table3[[#All],[PID]],0)))</f>
        <v>Kallenberger</v>
      </c>
      <c r="G335" s="56">
        <f>IF($C335="B",INDEX(Batters[[#All],[Age]],MATCH(Table5[[#This Row],[PID]],Batters[[#All],[PID]],0)),INDEX(Table3[[#All],[Age]],MATCH(Table5[[#This Row],[PID]],Table3[[#All],[PID]],0)))</f>
        <v>18</v>
      </c>
      <c r="H335" s="52" t="str">
        <f>IF($C335="B",INDEX(Batters[[#All],[B]],MATCH(Table5[[#This Row],[PID]],Batters[[#All],[PID]],0)),INDEX(Table3[[#All],[B]],MATCH(Table5[[#This Row],[PID]],Table3[[#All],[PID]],0)))</f>
        <v>R</v>
      </c>
      <c r="I335" s="52" t="str">
        <f>IF($C335="B",INDEX(Batters[[#All],[T]],MATCH(Table5[[#This Row],[PID]],Batters[[#All],[PID]],0)),INDEX(Table3[[#All],[T]],MATCH(Table5[[#This Row],[PID]],Table3[[#All],[PID]],0)))</f>
        <v>R</v>
      </c>
      <c r="J335" s="52" t="str">
        <f>IF($C335="B",INDEX(Batters[[#All],[WE]],MATCH(Table5[[#This Row],[PID]],Batters[[#All],[PID]],0)),INDEX(Table3[[#All],[WE]],MATCH(Table5[[#This Row],[PID]],Table3[[#All],[PID]],0)))</f>
        <v>Normal</v>
      </c>
      <c r="K335" s="52" t="str">
        <f>IF($C335="B",INDEX(Batters[[#All],[INT]],MATCH(Table5[[#This Row],[PID]],Batters[[#All],[PID]],0)),INDEX(Table3[[#All],[INT]],MATCH(Table5[[#This Row],[PID]],Table3[[#All],[PID]],0)))</f>
        <v>Normal</v>
      </c>
      <c r="L335" s="60">
        <f>IF($C335="B",INDEX(Batters[[#All],[CON P]],MATCH(Table5[[#This Row],[PID]],Batters[[#All],[PID]],0)),INDEX(Table3[[#All],[STU P]],MATCH(Table5[[#This Row],[PID]],Table3[[#All],[PID]],0)))</f>
        <v>3</v>
      </c>
      <c r="M335" s="56">
        <f>IF($C335="B",INDEX(Batters[[#All],[GAP P]],MATCH(Table5[[#This Row],[PID]],Batters[[#All],[PID]],0)),INDEX(Table3[[#All],[MOV P]],MATCH(Table5[[#This Row],[PID]],Table3[[#All],[PID]],0)))</f>
        <v>3</v>
      </c>
      <c r="N335" s="56">
        <f>IF($C335="B",INDEX(Batters[[#All],[POW P]],MATCH(Table5[[#This Row],[PID]],Batters[[#All],[PID]],0)),INDEX(Table3[[#All],[CON P]],MATCH(Table5[[#This Row],[PID]],Table3[[#All],[PID]],0)))</f>
        <v>7</v>
      </c>
      <c r="O335" s="56">
        <f>IF($C335="B",INDEX(Batters[[#All],[EYE P]],MATCH(Table5[[#This Row],[PID]],Batters[[#All],[PID]],0)),INDEX(Table3[[#All],[VELO]],MATCH(Table5[[#This Row],[PID]],Table3[[#All],[PID]],0)))</f>
        <v>5</v>
      </c>
      <c r="P335" s="56">
        <f>IF($C335="B",INDEX(Batters[[#All],[K P]],MATCH(Table5[[#This Row],[PID]],Batters[[#All],[PID]],0)),INDEX(Table3[[#All],[STM]],MATCH(Table5[[#This Row],[PID]],Table3[[#All],[PID]],0)))</f>
        <v>2</v>
      </c>
      <c r="Q335" s="61">
        <f>IF($C335="B",INDEX(Batters[[#All],[Tot]],MATCH(Table5[[#This Row],[PID]],Batters[[#All],[PID]],0)),INDEX(Table3[[#All],[Tot]],MATCH(Table5[[#This Row],[PID]],Table3[[#All],[PID]],0)))</f>
        <v>44.393593936552861</v>
      </c>
      <c r="R335" s="52">
        <f>IF($C335="B",INDEX(Batters[[#All],[zScore]],MATCH(Table5[[#This Row],[PID]],Batters[[#All],[PID]],0)),INDEX(Table3[[#All],[zScore]],MATCH(Table5[[#This Row],[PID]],Table3[[#All],[PID]],0)))</f>
        <v>5.8010508065883044E-2</v>
      </c>
      <c r="S335" s="58" t="str">
        <f>IF($C335="B",INDEX(Batters[[#All],[DEM]],MATCH(Table5[[#This Row],[PID]],Batters[[#All],[PID]],0)),INDEX(Table3[[#All],[DEM]],MATCH(Table5[[#This Row],[PID]],Table3[[#All],[PID]],0)))</f>
        <v>$65k</v>
      </c>
      <c r="T335" s="62">
        <f>IF($C335="B",INDEX(Batters[[#All],[Rnk]],MATCH(Table5[[#This Row],[PID]],Batters[[#All],[PID]],0)),INDEX(Table3[[#All],[Rnk]],MATCH(Table5[[#This Row],[PID]],Table3[[#All],[PID]],0)))</f>
        <v>230</v>
      </c>
      <c r="U335" s="68">
        <f>IF($C335="B",VLOOKUP($A335,Bat!$A$4:$BA$1621,47,FALSE),VLOOKUP($A335,Pit!$A$4:$BF$1557,56,FALSE))</f>
        <v>0</v>
      </c>
      <c r="V335" s="50">
        <f>IF($C335="B",VLOOKUP($A335,Bat!$A$4:$BA$1621,48,FALSE),VLOOKUP($A335,Pit!$A$4:$BF$1557,57,FALSE))</f>
        <v>0</v>
      </c>
      <c r="W335" s="50">
        <f>Table5[[#This Row],[posRnk]]+Table5[[#This Row],[zRnk]]+IF($W$3&lt;&gt;Table5[[#This Row],[Type]],50,0)</f>
        <v>806</v>
      </c>
      <c r="X335" s="51">
        <f>RANK(Table5[[#This Row],[zScore]],Table5[[#All],[zScore]])</f>
        <v>526</v>
      </c>
      <c r="Y335" s="50">
        <f>IFERROR(INDEX(DraftResults[[#All],[OVR]],MATCH(Table5[[#This Row],[PID]],DraftResults[[#All],[Player ID]],0)),"")</f>
        <v>331</v>
      </c>
      <c r="Z3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5" s="50">
        <f>IFERROR(INDEX(DraftResults[[#All],[Pick in Round]],MATCH(Table5[[#This Row],[PID]],DraftResults[[#All],[Player ID]],0)),"")</f>
        <v>23</v>
      </c>
      <c r="AB335" s="50" t="str">
        <f>IFERROR(INDEX(DraftResults[[#All],[Team Name]],MATCH(Table5[[#This Row],[PID]],DraftResults[[#All],[Player ID]],0)),"")</f>
        <v>Shin Seiki Evas</v>
      </c>
      <c r="AC335" s="50">
        <f>IF(Table5[[#This Row],[Ovr]]="","",IF(Table5[[#This Row],[cmbList]]="","",Table5[[#This Row],[cmbList]]-Table5[[#This Row],[Ovr]]))</f>
        <v>475</v>
      </c>
      <c r="AD335" s="54" t="str">
        <f>IF(ISERROR(VLOOKUP($AB335&amp;"-"&amp;$E335&amp;" "&amp;F335,Bonuses!$B$1:$G$1006,4,FALSE)),"",INT(VLOOKUP($AB335&amp;"-"&amp;$E335&amp;" "&amp;$F335,Bonuses!$B$1:$G$1006,4,FALSE)))</f>
        <v/>
      </c>
      <c r="AE3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11.23 (331) - RF Georg Kallenberger</v>
      </c>
    </row>
    <row r="336" spans="1:31" s="50" customFormat="1" x14ac:dyDescent="0.25">
      <c r="A336" s="50">
        <v>14079</v>
      </c>
      <c r="B336" s="55">
        <f>COUNTIF(Table5[PID],A336)</f>
        <v>1</v>
      </c>
      <c r="C336" s="55" t="str">
        <f>IF(COUNTIF(Table3[[#All],[PID]],A336)&gt;0,"P","B")</f>
        <v>B</v>
      </c>
      <c r="D336" s="59" t="str">
        <f>IF($C336="B",INDEX(Batters[[#All],[POS]],MATCH(Table5[[#This Row],[PID]],Batters[[#All],[PID]],0)),INDEX(Table3[[#All],[POS]],MATCH(Table5[[#This Row],[PID]],Table3[[#All],[PID]],0)))</f>
        <v>2B</v>
      </c>
      <c r="E336" s="52" t="str">
        <f>IF($C336="B",INDEX(Batters[[#All],[First]],MATCH(Table5[[#This Row],[PID]],Batters[[#All],[PID]],0)),INDEX(Table3[[#All],[First]],MATCH(Table5[[#This Row],[PID]],Table3[[#All],[PID]],0)))</f>
        <v>Nakazo</v>
      </c>
      <c r="F336" s="50" t="str">
        <f>IF($C336="B",INDEX(Batters[[#All],[Last]],MATCH(A336,Batters[[#All],[PID]],0)),INDEX(Table3[[#All],[Last]],MATCH(A336,Table3[[#All],[PID]],0)))</f>
        <v>Shiotani</v>
      </c>
      <c r="G336" s="56">
        <f>IF($C336="B",INDEX(Batters[[#All],[Age]],MATCH(Table5[[#This Row],[PID]],Batters[[#All],[PID]],0)),INDEX(Table3[[#All],[Age]],MATCH(Table5[[#This Row],[PID]],Table3[[#All],[PID]],0)))</f>
        <v>18</v>
      </c>
      <c r="H336" s="52" t="str">
        <f>IF($C336="B",INDEX(Batters[[#All],[B]],MATCH(Table5[[#This Row],[PID]],Batters[[#All],[PID]],0)),INDEX(Table3[[#All],[B]],MATCH(Table5[[#This Row],[PID]],Table3[[#All],[PID]],0)))</f>
        <v>R</v>
      </c>
      <c r="I336" s="52" t="str">
        <f>IF($C336="B",INDEX(Batters[[#All],[T]],MATCH(Table5[[#This Row],[PID]],Batters[[#All],[PID]],0)),INDEX(Table3[[#All],[T]],MATCH(Table5[[#This Row],[PID]],Table3[[#All],[PID]],0)))</f>
        <v>R</v>
      </c>
      <c r="J336" s="52" t="str">
        <f>IF($C336="B",INDEX(Batters[[#All],[WE]],MATCH(Table5[[#This Row],[PID]],Batters[[#All],[PID]],0)),INDEX(Table3[[#All],[WE]],MATCH(Table5[[#This Row],[PID]],Table3[[#All],[PID]],0)))</f>
        <v>High</v>
      </c>
      <c r="K336" s="52" t="str">
        <f>IF($C336="B",INDEX(Batters[[#All],[INT]],MATCH(Table5[[#This Row],[PID]],Batters[[#All],[PID]],0)),INDEX(Table3[[#All],[INT]],MATCH(Table5[[#This Row],[PID]],Table3[[#All],[PID]],0)))</f>
        <v>Normal</v>
      </c>
      <c r="L336" s="60">
        <f>IF($C336="B",INDEX(Batters[[#All],[CON P]],MATCH(Table5[[#This Row],[PID]],Batters[[#All],[PID]],0)),INDEX(Table3[[#All],[STU P]],MATCH(Table5[[#This Row],[PID]],Table3[[#All],[PID]],0)))</f>
        <v>4</v>
      </c>
      <c r="M336" s="56">
        <f>IF($C336="B",INDEX(Batters[[#All],[GAP P]],MATCH(Table5[[#This Row],[PID]],Batters[[#All],[PID]],0)),INDEX(Table3[[#All],[MOV P]],MATCH(Table5[[#This Row],[PID]],Table3[[#All],[PID]],0)))</f>
        <v>4</v>
      </c>
      <c r="N336" s="56">
        <f>IF($C336="B",INDEX(Batters[[#All],[POW P]],MATCH(Table5[[#This Row],[PID]],Batters[[#All],[PID]],0)),INDEX(Table3[[#All],[CON P]],MATCH(Table5[[#This Row],[PID]],Table3[[#All],[PID]],0)))</f>
        <v>4</v>
      </c>
      <c r="O336" s="56">
        <f>IF($C336="B",INDEX(Batters[[#All],[EYE P]],MATCH(Table5[[#This Row],[PID]],Batters[[#All],[PID]],0)),INDEX(Table3[[#All],[VELO]],MATCH(Table5[[#This Row],[PID]],Table3[[#All],[PID]],0)))</f>
        <v>4</v>
      </c>
      <c r="P336" s="56">
        <f>IF($C336="B",INDEX(Batters[[#All],[K P]],MATCH(Table5[[#This Row],[PID]],Batters[[#All],[PID]],0)),INDEX(Table3[[#All],[STM]],MATCH(Table5[[#This Row],[PID]],Table3[[#All],[PID]],0)))</f>
        <v>5</v>
      </c>
      <c r="Q336" s="61">
        <f>IF($C336="B",INDEX(Batters[[#All],[Tot]],MATCH(Table5[[#This Row],[PID]],Batters[[#All],[PID]],0)),INDEX(Table3[[#All],[Tot]],MATCH(Table5[[#This Row],[PID]],Table3[[#All],[PID]],0)))</f>
        <v>46.871510675497355</v>
      </c>
      <c r="R336" s="52">
        <f>IF($C336="B",INDEX(Batters[[#All],[zScore]],MATCH(Table5[[#This Row],[PID]],Batters[[#All],[PID]],0)),INDEX(Table3[[#All],[zScore]],MATCH(Table5[[#This Row],[PID]],Table3[[#All],[PID]],0)))</f>
        <v>0.60738139825258808</v>
      </c>
      <c r="S336" s="58" t="str">
        <f>IF($C336="B",INDEX(Batters[[#All],[DEM]],MATCH(Table5[[#This Row],[PID]],Batters[[#All],[PID]],0)),INDEX(Table3[[#All],[DEM]],MATCH(Table5[[#This Row],[PID]],Table3[[#All],[PID]],0)))</f>
        <v>$38k</v>
      </c>
      <c r="T336" s="62">
        <f>IF($C336="B",INDEX(Batters[[#All],[Rnk]],MATCH(Table5[[#This Row],[PID]],Batters[[#All],[PID]],0)),INDEX(Table3[[#All],[Rnk]],MATCH(Table5[[#This Row],[PID]],Table3[[#All],[PID]],0)))</f>
        <v>136</v>
      </c>
      <c r="U336" s="68">
        <f>IF($C336="B",VLOOKUP($A336,Bat!$A$4:$BA$1621,47,FALSE),VLOOKUP($A336,Pit!$A$4:$BF$1557,56,FALSE))</f>
        <v>0</v>
      </c>
      <c r="V336" s="50">
        <f>IF($C336="B",VLOOKUP($A336,Bat!$A$4:$BA$1621,48,FALSE),VLOOKUP($A336,Pit!$A$4:$BF$1557,57,FALSE))</f>
        <v>0</v>
      </c>
      <c r="W336" s="50">
        <f>Table5[[#This Row],[posRnk]]+Table5[[#This Row],[zRnk]]+IF($W$3&lt;&gt;Table5[[#This Row],[Type]],50,0)</f>
        <v>521</v>
      </c>
      <c r="X336" s="51">
        <f>RANK(Table5[[#This Row],[zScore]],Table5[[#All],[zScore]])</f>
        <v>335</v>
      </c>
      <c r="Y336" s="50">
        <f>IFERROR(INDEX(DraftResults[[#All],[OVR]],MATCH(Table5[[#This Row],[PID]],DraftResults[[#All],[Player ID]],0)),"")</f>
        <v>332</v>
      </c>
      <c r="Z3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6" s="50">
        <f>IFERROR(INDEX(DraftResults[[#All],[Pick in Round]],MATCH(Table5[[#This Row],[PID]],DraftResults[[#All],[Player ID]],0)),"")</f>
        <v>24</v>
      </c>
      <c r="AB336" s="50" t="str">
        <f>IFERROR(INDEX(DraftResults[[#All],[Team Name]],MATCH(Table5[[#This Row],[PID]],DraftResults[[#All],[Player ID]],0)),"")</f>
        <v>Aurora Borealis</v>
      </c>
      <c r="AC336" s="50">
        <f>IF(Table5[[#This Row],[Ovr]]="","",IF(Table5[[#This Row],[cmbList]]="","",Table5[[#This Row],[cmbList]]-Table5[[#This Row],[Ovr]]))</f>
        <v>189</v>
      </c>
      <c r="AD336" s="54" t="str">
        <f>IF(ISERROR(VLOOKUP($AB336&amp;"-"&amp;$E336&amp;" "&amp;F336,Bonuses!$B$1:$G$1006,4,FALSE)),"",INT(VLOOKUP($AB336&amp;"-"&amp;$E336&amp;" "&amp;$F336,Bonuses!$B$1:$G$1006,4,FALSE)))</f>
        <v/>
      </c>
      <c r="AE3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11.24 (332) - 2B Nakazo Shiotani</v>
      </c>
    </row>
    <row r="337" spans="1:31" s="50" customFormat="1" x14ac:dyDescent="0.25">
      <c r="A337" s="68">
        <v>18197</v>
      </c>
      <c r="B337" s="69">
        <f>COUNTIF(Table5[PID],A337)</f>
        <v>1</v>
      </c>
      <c r="C337" s="69" t="str">
        <f>IF(COUNTIF(Table3[[#All],[PID]],A337)&gt;0,"P","B")</f>
        <v>P</v>
      </c>
      <c r="D337" s="59" t="str">
        <f>IF($C337="B",INDEX(Batters[[#All],[POS]],MATCH(Table5[[#This Row],[PID]],Batters[[#All],[PID]],0)),INDEX(Table3[[#All],[POS]],MATCH(Table5[[#This Row],[PID]],Table3[[#All],[PID]],0)))</f>
        <v>SP</v>
      </c>
      <c r="E337" s="52" t="str">
        <f>IF($C337="B",INDEX(Batters[[#All],[First]],MATCH(Table5[[#This Row],[PID]],Batters[[#All],[PID]],0)),INDEX(Table3[[#All],[First]],MATCH(Table5[[#This Row],[PID]],Table3[[#All],[PID]],0)))</f>
        <v>José</v>
      </c>
      <c r="F337" s="55" t="str">
        <f>IF($C337="B",INDEX(Batters[[#All],[Last]],MATCH(A337,Batters[[#All],[PID]],0)),INDEX(Table3[[#All],[Last]],MATCH(A337,Table3[[#All],[PID]],0)))</f>
        <v>Carracheo</v>
      </c>
      <c r="G337" s="56">
        <f>IF($C337="B",INDEX(Batters[[#All],[Age]],MATCH(Table5[[#This Row],[PID]],Batters[[#All],[PID]],0)),INDEX(Table3[[#All],[Age]],MATCH(Table5[[#This Row],[PID]],Table3[[#All],[PID]],0)))</f>
        <v>18</v>
      </c>
      <c r="H337" s="52" t="str">
        <f>IF($C337="B",INDEX(Batters[[#All],[B]],MATCH(Table5[[#This Row],[PID]],Batters[[#All],[PID]],0)),INDEX(Table3[[#All],[B]],MATCH(Table5[[#This Row],[PID]],Table3[[#All],[PID]],0)))</f>
        <v>R</v>
      </c>
      <c r="I337" s="52" t="str">
        <f>IF($C337="B",INDEX(Batters[[#All],[T]],MATCH(Table5[[#This Row],[PID]],Batters[[#All],[PID]],0)),INDEX(Table3[[#All],[T]],MATCH(Table5[[#This Row],[PID]],Table3[[#All],[PID]],0)))</f>
        <v>R</v>
      </c>
      <c r="J337" s="71" t="str">
        <f>IF($C337="B",INDEX(Batters[[#All],[WE]],MATCH(Table5[[#This Row],[PID]],Batters[[#All],[PID]],0)),INDEX(Table3[[#All],[WE]],MATCH(Table5[[#This Row],[PID]],Table3[[#All],[PID]],0)))</f>
        <v>High</v>
      </c>
      <c r="K337" s="52" t="str">
        <f>IF($C337="B",INDEX(Batters[[#All],[INT]],MATCH(Table5[[#This Row],[PID]],Batters[[#All],[PID]],0)),INDEX(Table3[[#All],[INT]],MATCH(Table5[[#This Row],[PID]],Table3[[#All],[PID]],0)))</f>
        <v>Normal</v>
      </c>
      <c r="L337" s="60">
        <f>IF($C337="B",INDEX(Batters[[#All],[CON P]],MATCH(Table5[[#This Row],[PID]],Batters[[#All],[PID]],0)),INDEX(Table3[[#All],[STU P]],MATCH(Table5[[#This Row],[PID]],Table3[[#All],[PID]],0)))</f>
        <v>3</v>
      </c>
      <c r="M337" s="72">
        <f>IF($C337="B",INDEX(Batters[[#All],[GAP P]],MATCH(Table5[[#This Row],[PID]],Batters[[#All],[PID]],0)),INDEX(Table3[[#All],[MOV P]],MATCH(Table5[[#This Row],[PID]],Table3[[#All],[PID]],0)))</f>
        <v>5</v>
      </c>
      <c r="N337" s="72">
        <f>IF($C337="B",INDEX(Batters[[#All],[POW P]],MATCH(Table5[[#This Row],[PID]],Batters[[#All],[PID]],0)),INDEX(Table3[[#All],[CON P]],MATCH(Table5[[#This Row],[PID]],Table3[[#All],[PID]],0)))</f>
        <v>5</v>
      </c>
      <c r="O337" s="72" t="str">
        <f>IF($C337="B",INDEX(Batters[[#All],[EYE P]],MATCH(Table5[[#This Row],[PID]],Batters[[#All],[PID]],0)),INDEX(Table3[[#All],[VELO]],MATCH(Table5[[#This Row],[PID]],Table3[[#All],[PID]],0)))</f>
        <v>85-87 Mph</v>
      </c>
      <c r="P337" s="56">
        <f>IF($C337="B",INDEX(Batters[[#All],[K P]],MATCH(Table5[[#This Row],[PID]],Batters[[#All],[PID]],0)),INDEX(Table3[[#All],[STM]],MATCH(Table5[[#This Row],[PID]],Table3[[#All],[PID]],0)))</f>
        <v>4</v>
      </c>
      <c r="Q337" s="61">
        <f>IF($C337="B",INDEX(Batters[[#All],[Tot]],MATCH(Table5[[#This Row],[PID]],Batters[[#All],[PID]],0)),INDEX(Table3[[#All],[Tot]],MATCH(Table5[[#This Row],[PID]],Table3[[#All],[PID]],0)))</f>
        <v>49.601394310305032</v>
      </c>
      <c r="R337" s="52">
        <f>IF($C337="B",INDEX(Batters[[#All],[zScore]],MATCH(Table5[[#This Row],[PID]],Batters[[#All],[PID]],0)),INDEX(Table3[[#All],[zScore]],MATCH(Table5[[#This Row],[PID]],Table3[[#All],[PID]],0)))</f>
        <v>0.91349368356253491</v>
      </c>
      <c r="S337" s="78" t="str">
        <f>IF($C337="B",INDEX(Batters[[#All],[DEM]],MATCH(Table5[[#This Row],[PID]],Batters[[#All],[PID]],0)),INDEX(Table3[[#All],[DEM]],MATCH(Table5[[#This Row],[PID]],Table3[[#All],[PID]],0)))</f>
        <v>$65k</v>
      </c>
      <c r="T337" s="75">
        <f>IF($C337="B",INDEX(Batters[[#All],[Rnk]],MATCH(Table5[[#This Row],[PID]],Batters[[#All],[PID]],0)),INDEX(Table3[[#All],[Rnk]],MATCH(Table5[[#This Row],[PID]],Table3[[#All],[PID]],0)))</f>
        <v>151</v>
      </c>
      <c r="U337" s="68">
        <f>IF($C337="B",VLOOKUP($A337,Bat!$A$4:$BA$1621,47,FALSE),VLOOKUP($A337,Pit!$A$4:$BF$1557,56,FALSE))</f>
        <v>0</v>
      </c>
      <c r="V337" s="50">
        <f>IF($C337="B",VLOOKUP($A337,Bat!$A$4:$BA$1621,48,FALSE),VLOOKUP($A337,Pit!$A$4:$BF$1557,57,FALSE))</f>
        <v>0</v>
      </c>
      <c r="W337" s="69">
        <f>Table5[[#This Row],[posRnk]]+Table5[[#This Row],[zRnk]]+IF($W$3&lt;&gt;Table5[[#This Row],[Type]],50,0)</f>
        <v>451</v>
      </c>
      <c r="X337" s="73">
        <f>RANK(Table5[[#This Row],[zScore]],Table5[[#All],[zScore]])</f>
        <v>250</v>
      </c>
      <c r="Y337" s="69">
        <f>IFERROR(INDEX(DraftResults[[#All],[OVR]],MATCH(Table5[[#This Row],[PID]],DraftResults[[#All],[Player ID]],0)),"")</f>
        <v>333</v>
      </c>
      <c r="Z33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7" s="69">
        <f>IFERROR(INDEX(DraftResults[[#All],[Pick in Round]],MATCH(Table5[[#This Row],[PID]],DraftResults[[#All],[Player ID]],0)),"")</f>
        <v>25</v>
      </c>
      <c r="AB337" s="69" t="str">
        <f>IFERROR(INDEX(DraftResults[[#All],[Team Name]],MATCH(Table5[[#This Row],[PID]],DraftResults[[#All],[Player ID]],0)),"")</f>
        <v>Toyama Wind Dancers</v>
      </c>
      <c r="AC337" s="69">
        <f>IF(Table5[[#This Row],[Ovr]]="","",IF(Table5[[#This Row],[cmbList]]="","",Table5[[#This Row],[cmbList]]-Table5[[#This Row],[Ovr]]))</f>
        <v>118</v>
      </c>
      <c r="AD337" s="77" t="str">
        <f>IF(ISERROR(VLOOKUP($AB337&amp;"-"&amp;$E337&amp;" "&amp;F337,Bonuses!$B$1:$G$1006,4,FALSE)),"",INT(VLOOKUP($AB337&amp;"-"&amp;$E337&amp;" "&amp;$F337,Bonuses!$B$1:$G$1006,4,FALSE)))</f>
        <v/>
      </c>
      <c r="AE33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11.25 (333) - SP José Carracheo</v>
      </c>
    </row>
    <row r="338" spans="1:31" s="50" customFormat="1" x14ac:dyDescent="0.25">
      <c r="A338" s="50">
        <v>18454</v>
      </c>
      <c r="B338" s="55">
        <f>COUNTIF(Table5[PID],A338)</f>
        <v>1</v>
      </c>
      <c r="C338" s="55" t="str">
        <f>IF(COUNTIF(Table3[[#All],[PID]],A338)&gt;0,"P","B")</f>
        <v>B</v>
      </c>
      <c r="D338" s="59" t="str">
        <f>IF($C338="B",INDEX(Batters[[#All],[POS]],MATCH(Table5[[#This Row],[PID]],Batters[[#All],[PID]],0)),INDEX(Table3[[#All],[POS]],MATCH(Table5[[#This Row],[PID]],Table3[[#All],[PID]],0)))</f>
        <v>LF</v>
      </c>
      <c r="E338" s="52" t="str">
        <f>IF($C338="B",INDEX(Batters[[#All],[First]],MATCH(Table5[[#This Row],[PID]],Batters[[#All],[PID]],0)),INDEX(Table3[[#All],[First]],MATCH(Table5[[#This Row],[PID]],Table3[[#All],[PID]],0)))</f>
        <v>Lucas</v>
      </c>
      <c r="F338" s="50" t="str">
        <f>IF($C338="B",INDEX(Batters[[#All],[Last]],MATCH(A338,Batters[[#All],[PID]],0)),INDEX(Table3[[#All],[Last]],MATCH(A338,Table3[[#All],[PID]],0)))</f>
        <v>MacHendrie</v>
      </c>
      <c r="G338" s="56">
        <f>IF($C338="B",INDEX(Batters[[#All],[Age]],MATCH(Table5[[#This Row],[PID]],Batters[[#All],[PID]],0)),INDEX(Table3[[#All],[Age]],MATCH(Table5[[#This Row],[PID]],Table3[[#All],[PID]],0)))</f>
        <v>18</v>
      </c>
      <c r="H338" s="52" t="str">
        <f>IF($C338="B",INDEX(Batters[[#All],[B]],MATCH(Table5[[#This Row],[PID]],Batters[[#All],[PID]],0)),INDEX(Table3[[#All],[B]],MATCH(Table5[[#This Row],[PID]],Table3[[#All],[PID]],0)))</f>
        <v>R</v>
      </c>
      <c r="I338" s="52" t="str">
        <f>IF($C338="B",INDEX(Batters[[#All],[T]],MATCH(Table5[[#This Row],[PID]],Batters[[#All],[PID]],0)),INDEX(Table3[[#All],[T]],MATCH(Table5[[#This Row],[PID]],Table3[[#All],[PID]],0)))</f>
        <v>R</v>
      </c>
      <c r="J338" s="52" t="str">
        <f>IF($C338="B",INDEX(Batters[[#All],[WE]],MATCH(Table5[[#This Row],[PID]],Batters[[#All],[PID]],0)),INDEX(Table3[[#All],[WE]],MATCH(Table5[[#This Row],[PID]],Table3[[#All],[PID]],0)))</f>
        <v>Normal</v>
      </c>
      <c r="K338" s="52" t="str">
        <f>IF($C338="B",INDEX(Batters[[#All],[INT]],MATCH(Table5[[#This Row],[PID]],Batters[[#All],[PID]],0)),INDEX(Table3[[#All],[INT]],MATCH(Table5[[#This Row],[PID]],Table3[[#All],[PID]],0)))</f>
        <v>High</v>
      </c>
      <c r="L338" s="60">
        <f>IF($C338="B",INDEX(Batters[[#All],[CON P]],MATCH(Table5[[#This Row],[PID]],Batters[[#All],[PID]],0)),INDEX(Table3[[#All],[STU P]],MATCH(Table5[[#This Row],[PID]],Table3[[#All],[PID]],0)))</f>
        <v>4</v>
      </c>
      <c r="M338" s="56">
        <f>IF($C338="B",INDEX(Batters[[#All],[GAP P]],MATCH(Table5[[#This Row],[PID]],Batters[[#All],[PID]],0)),INDEX(Table3[[#All],[MOV P]],MATCH(Table5[[#This Row],[PID]],Table3[[#All],[PID]],0)))</f>
        <v>5</v>
      </c>
      <c r="N338" s="56">
        <f>IF($C338="B",INDEX(Batters[[#All],[POW P]],MATCH(Table5[[#This Row],[PID]],Batters[[#All],[PID]],0)),INDEX(Table3[[#All],[CON P]],MATCH(Table5[[#This Row],[PID]],Table3[[#All],[PID]],0)))</f>
        <v>5</v>
      </c>
      <c r="O338" s="56">
        <f>IF($C338="B",INDEX(Batters[[#All],[EYE P]],MATCH(Table5[[#This Row],[PID]],Batters[[#All],[PID]],0)),INDEX(Table3[[#All],[VELO]],MATCH(Table5[[#This Row],[PID]],Table3[[#All],[PID]],0)))</f>
        <v>5</v>
      </c>
      <c r="P338" s="56">
        <f>IF($C338="B",INDEX(Batters[[#All],[K P]],MATCH(Table5[[#This Row],[PID]],Batters[[#All],[PID]],0)),INDEX(Table3[[#All],[STM]],MATCH(Table5[[#This Row],[PID]],Table3[[#All],[PID]],0)))</f>
        <v>4</v>
      </c>
      <c r="Q338" s="61">
        <f>IF($C338="B",INDEX(Batters[[#All],[Tot]],MATCH(Table5[[#This Row],[PID]],Batters[[#All],[PID]],0)),INDEX(Table3[[#All],[Tot]],MATCH(Table5[[#This Row],[PID]],Table3[[#All],[PID]],0)))</f>
        <v>49.415725002813787</v>
      </c>
      <c r="R338" s="52">
        <f>IF($C338="B",INDEX(Batters[[#All],[zScore]],MATCH(Table5[[#This Row],[PID]],Batters[[#All],[PID]],0)),INDEX(Table3[[#All],[zScore]],MATCH(Table5[[#This Row],[PID]],Table3[[#All],[PID]],0)))</f>
        <v>1.1714509119114596</v>
      </c>
      <c r="S338" s="58" t="str">
        <f>IF($C338="B",INDEX(Batters[[#All],[DEM]],MATCH(Table5[[#This Row],[PID]],Batters[[#All],[PID]],0)),INDEX(Table3[[#All],[DEM]],MATCH(Table5[[#This Row],[PID]],Table3[[#All],[PID]],0)))</f>
        <v>$65k</v>
      </c>
      <c r="T338" s="62">
        <f>IF($C338="B",INDEX(Batters[[#All],[Rnk]],MATCH(Table5[[#This Row],[PID]],Batters[[#All],[PID]],0)),INDEX(Table3[[#All],[Rnk]],MATCH(Table5[[#This Row],[PID]],Table3[[#All],[PID]],0)))</f>
        <v>75</v>
      </c>
      <c r="U338" s="68">
        <f>IF($C338="B",VLOOKUP($A338,Bat!$A$4:$BA$1621,47,FALSE),VLOOKUP($A338,Pit!$A$4:$BF$1557,56,FALSE))</f>
        <v>0</v>
      </c>
      <c r="V338" s="50">
        <f>IF($C338="B",VLOOKUP($A338,Bat!$A$4:$BA$1621,48,FALSE),VLOOKUP($A338,Pit!$A$4:$BF$1557,57,FALSE))</f>
        <v>0</v>
      </c>
      <c r="W338" s="50">
        <f>Table5[[#This Row],[posRnk]]+Table5[[#This Row],[zRnk]]+IF($W$3&lt;&gt;Table5[[#This Row],[Type]],50,0)</f>
        <v>317</v>
      </c>
      <c r="X338" s="51">
        <f>RANK(Table5[[#This Row],[zScore]],Table5[[#All],[zScore]])</f>
        <v>192</v>
      </c>
      <c r="Y338" s="50">
        <f>IFERROR(INDEX(DraftResults[[#All],[OVR]],MATCH(Table5[[#This Row],[PID]],DraftResults[[#All],[Player ID]],0)),"")</f>
        <v>334</v>
      </c>
      <c r="Z3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8" s="50">
        <f>IFERROR(INDEX(DraftResults[[#All],[Pick in Round]],MATCH(Table5[[#This Row],[PID]],DraftResults[[#All],[Player ID]],0)),"")</f>
        <v>26</v>
      </c>
      <c r="AB338" s="50" t="str">
        <f>IFERROR(INDEX(DraftResults[[#All],[Team Name]],MATCH(Table5[[#This Row],[PID]],DraftResults[[#All],[Player ID]],0)),"")</f>
        <v>Aurora Borealis</v>
      </c>
      <c r="AC338" s="50">
        <f>IF(Table5[[#This Row],[Ovr]]="","",IF(Table5[[#This Row],[cmbList]]="","",Table5[[#This Row],[cmbList]]-Table5[[#This Row],[Ovr]]))</f>
        <v>-17</v>
      </c>
      <c r="AD338" s="54" t="str">
        <f>IF(ISERROR(VLOOKUP($AB338&amp;"-"&amp;$E338&amp;" "&amp;F338,Bonuses!$B$1:$G$1006,4,FALSE)),"",INT(VLOOKUP($AB338&amp;"-"&amp;$E338&amp;" "&amp;$F338,Bonuses!$B$1:$G$1006,4,FALSE)))</f>
        <v/>
      </c>
      <c r="AE3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11.26 (334) - LF Lucas MacHendrie</v>
      </c>
    </row>
    <row r="339" spans="1:31" s="50" customFormat="1" x14ac:dyDescent="0.25">
      <c r="A339" s="68">
        <v>18173</v>
      </c>
      <c r="B339" s="69">
        <f>COUNTIF(Table5[PID],A339)</f>
        <v>1</v>
      </c>
      <c r="C339" s="69" t="str">
        <f>IF(COUNTIF(Table3[[#All],[PID]],A339)&gt;0,"P","B")</f>
        <v>P</v>
      </c>
      <c r="D339" s="59" t="str">
        <f>IF($C339="B",INDEX(Batters[[#All],[POS]],MATCH(Table5[[#This Row],[PID]],Batters[[#All],[PID]],0)),INDEX(Table3[[#All],[POS]],MATCH(Table5[[#This Row],[PID]],Table3[[#All],[PID]],0)))</f>
        <v>SP</v>
      </c>
      <c r="E339" s="52" t="str">
        <f>IF($C339="B",INDEX(Batters[[#All],[First]],MATCH(Table5[[#This Row],[PID]],Batters[[#All],[PID]],0)),INDEX(Table3[[#All],[First]],MATCH(Table5[[#This Row],[PID]],Table3[[#All],[PID]],0)))</f>
        <v>Edgardo</v>
      </c>
      <c r="F339" s="55" t="str">
        <f>IF($C339="B",INDEX(Batters[[#All],[Last]],MATCH(A339,Batters[[#All],[PID]],0)),INDEX(Table3[[#All],[Last]],MATCH(A339,Table3[[#All],[PID]],0)))</f>
        <v>Blanca</v>
      </c>
      <c r="G339" s="56">
        <f>IF($C339="B",INDEX(Batters[[#All],[Age]],MATCH(Table5[[#This Row],[PID]],Batters[[#All],[PID]],0)),INDEX(Table3[[#All],[Age]],MATCH(Table5[[#This Row],[PID]],Table3[[#All],[PID]],0)))</f>
        <v>18</v>
      </c>
      <c r="H339" s="52" t="str">
        <f>IF($C339="B",INDEX(Batters[[#All],[B]],MATCH(Table5[[#This Row],[PID]],Batters[[#All],[PID]],0)),INDEX(Table3[[#All],[B]],MATCH(Table5[[#This Row],[PID]],Table3[[#All],[PID]],0)))</f>
        <v>S</v>
      </c>
      <c r="I339" s="52" t="str">
        <f>IF($C339="B",INDEX(Batters[[#All],[T]],MATCH(Table5[[#This Row],[PID]],Batters[[#All],[PID]],0)),INDEX(Table3[[#All],[T]],MATCH(Table5[[#This Row],[PID]],Table3[[#All],[PID]],0)))</f>
        <v>R</v>
      </c>
      <c r="J339" s="71" t="str">
        <f>IF($C339="B",INDEX(Batters[[#All],[WE]],MATCH(Table5[[#This Row],[PID]],Batters[[#All],[PID]],0)),INDEX(Table3[[#All],[WE]],MATCH(Table5[[#This Row],[PID]],Table3[[#All],[PID]],0)))</f>
        <v>High</v>
      </c>
      <c r="K339" s="52" t="str">
        <f>IF($C339="B",INDEX(Batters[[#All],[INT]],MATCH(Table5[[#This Row],[PID]],Batters[[#All],[PID]],0)),INDEX(Table3[[#All],[INT]],MATCH(Table5[[#This Row],[PID]],Table3[[#All],[PID]],0)))</f>
        <v>Normal</v>
      </c>
      <c r="L339" s="60">
        <f>IF($C339="B",INDEX(Batters[[#All],[CON P]],MATCH(Table5[[#This Row],[PID]],Batters[[#All],[PID]],0)),INDEX(Table3[[#All],[STU P]],MATCH(Table5[[#This Row],[PID]],Table3[[#All],[PID]],0)))</f>
        <v>5</v>
      </c>
      <c r="M339" s="72">
        <f>IF($C339="B",INDEX(Batters[[#All],[GAP P]],MATCH(Table5[[#This Row],[PID]],Batters[[#All],[PID]],0)),INDEX(Table3[[#All],[MOV P]],MATCH(Table5[[#This Row],[PID]],Table3[[#All],[PID]],0)))</f>
        <v>3</v>
      </c>
      <c r="N339" s="72">
        <f>IF($C339="B",INDEX(Batters[[#All],[POW P]],MATCH(Table5[[#This Row],[PID]],Batters[[#All],[PID]],0)),INDEX(Table3[[#All],[CON P]],MATCH(Table5[[#This Row],[PID]],Table3[[#All],[PID]],0)))</f>
        <v>5</v>
      </c>
      <c r="O339" s="72" t="str">
        <f>IF($C339="B",INDEX(Batters[[#All],[EYE P]],MATCH(Table5[[#This Row],[PID]],Batters[[#All],[PID]],0)),INDEX(Table3[[#All],[VELO]],MATCH(Table5[[#This Row],[PID]],Table3[[#All],[PID]],0)))</f>
        <v>89-91 Mph</v>
      </c>
      <c r="P339" s="56">
        <f>IF($C339="B",INDEX(Batters[[#All],[K P]],MATCH(Table5[[#This Row],[PID]],Batters[[#All],[PID]],0)),INDEX(Table3[[#All],[STM]],MATCH(Table5[[#This Row],[PID]],Table3[[#All],[PID]],0)))</f>
        <v>8</v>
      </c>
      <c r="Q339" s="61">
        <f>IF($C339="B",INDEX(Batters[[#All],[Tot]],MATCH(Table5[[#This Row],[PID]],Batters[[#All],[PID]],0)),INDEX(Table3[[#All],[Tot]],MATCH(Table5[[#This Row],[PID]],Table3[[#All],[PID]],0)))</f>
        <v>54.707219653346897</v>
      </c>
      <c r="R339" s="52">
        <f>IF($C339="B",INDEX(Batters[[#All],[zScore]],MATCH(Table5[[#This Row],[PID]],Batters[[#All],[PID]],0)),INDEX(Table3[[#All],[zScore]],MATCH(Table5[[#This Row],[PID]],Table3[[#All],[PID]],0)))</f>
        <v>1.2531764413782571</v>
      </c>
      <c r="S339" s="78" t="str">
        <f>IF($C339="B",INDEX(Batters[[#All],[DEM]],MATCH(Table5[[#This Row],[PID]],Batters[[#All],[PID]],0)),INDEX(Table3[[#All],[DEM]],MATCH(Table5[[#This Row],[PID]],Table3[[#All],[PID]],0)))</f>
        <v>$190k</v>
      </c>
      <c r="T339" s="75">
        <f>IF($C339="B",INDEX(Batters[[#All],[Rnk]],MATCH(Table5[[#This Row],[PID]],Batters[[#All],[PID]],0)),INDEX(Table3[[#All],[Rnk]],MATCH(Table5[[#This Row],[PID]],Table3[[#All],[PID]],0)))</f>
        <v>108</v>
      </c>
      <c r="U339" s="68">
        <f>IF($C339="B",VLOOKUP($A339,Bat!$A$4:$BA$1621,47,FALSE),VLOOKUP($A339,Pit!$A$4:$BF$1557,56,FALSE))</f>
        <v>0</v>
      </c>
      <c r="V339" s="50">
        <f>IF($C339="B",VLOOKUP($A339,Bat!$A$4:$BA$1621,48,FALSE),VLOOKUP($A339,Pit!$A$4:$BF$1557,57,FALSE))</f>
        <v>0</v>
      </c>
      <c r="W339" s="69">
        <f>Table5[[#This Row],[posRnk]]+Table5[[#This Row],[zRnk]]+IF($W$3&lt;&gt;Table5[[#This Row],[Type]],50,0)</f>
        <v>330</v>
      </c>
      <c r="X339" s="73">
        <f>RANK(Table5[[#This Row],[zScore]],Table5[[#All],[zScore]])</f>
        <v>172</v>
      </c>
      <c r="Y339" s="69">
        <f>IFERROR(INDEX(DraftResults[[#All],[OVR]],MATCH(Table5[[#This Row],[PID]],DraftResults[[#All],[Player ID]],0)),"")</f>
        <v>335</v>
      </c>
      <c r="Z33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39" s="69">
        <f>IFERROR(INDEX(DraftResults[[#All],[Pick in Round]],MATCH(Table5[[#This Row],[PID]],DraftResults[[#All],[Player ID]],0)),"")</f>
        <v>27</v>
      </c>
      <c r="AB339" s="69" t="str">
        <f>IFERROR(INDEX(DraftResults[[#All],[Team Name]],MATCH(Table5[[#This Row],[PID]],DraftResults[[#All],[Player ID]],0)),"")</f>
        <v>Neo-Tokyo Akira</v>
      </c>
      <c r="AC339" s="69">
        <f>IF(Table5[[#This Row],[Ovr]]="","",IF(Table5[[#This Row],[cmbList]]="","",Table5[[#This Row],[cmbList]]-Table5[[#This Row],[Ovr]]))</f>
        <v>-5</v>
      </c>
      <c r="AD339" s="77" t="str">
        <f>IF(ISERROR(VLOOKUP($AB339&amp;"-"&amp;$E339&amp;" "&amp;F339,Bonuses!$B$1:$G$1006,4,FALSE)),"",INT(VLOOKUP($AB339&amp;"-"&amp;$E339&amp;" "&amp;$F339,Bonuses!$B$1:$G$1006,4,FALSE)))</f>
        <v/>
      </c>
      <c r="AE33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11.27 (335) - SP Edgardo Blanca</v>
      </c>
    </row>
    <row r="340" spans="1:31" s="50" customFormat="1" x14ac:dyDescent="0.25">
      <c r="A340" s="68">
        <v>18290</v>
      </c>
      <c r="B340" s="69">
        <f>COUNTIF(Table5[PID],A340)</f>
        <v>1</v>
      </c>
      <c r="C340" s="69" t="str">
        <f>IF(COUNTIF(Table3[[#All],[PID]],A340)&gt;0,"P","B")</f>
        <v>P</v>
      </c>
      <c r="D340" s="59" t="str">
        <f>IF($C340="B",INDEX(Batters[[#All],[POS]],MATCH(Table5[[#This Row],[PID]],Batters[[#All],[PID]],0)),INDEX(Table3[[#All],[POS]],MATCH(Table5[[#This Row],[PID]],Table3[[#All],[PID]],0)))</f>
        <v>SP</v>
      </c>
      <c r="E340" s="52" t="str">
        <f>IF($C340="B",INDEX(Batters[[#All],[First]],MATCH(Table5[[#This Row],[PID]],Batters[[#All],[PID]],0)),INDEX(Table3[[#All],[First]],MATCH(Table5[[#This Row],[PID]],Table3[[#All],[PID]],0)))</f>
        <v>Andrew</v>
      </c>
      <c r="F340" s="55" t="str">
        <f>IF($C340="B",INDEX(Batters[[#All],[Last]],MATCH(A340,Batters[[#All],[PID]],0)),INDEX(Table3[[#All],[Last]],MATCH(A340,Table3[[#All],[PID]],0)))</f>
        <v>MacElfrish</v>
      </c>
      <c r="G340" s="56">
        <f>IF($C340="B",INDEX(Batters[[#All],[Age]],MATCH(Table5[[#This Row],[PID]],Batters[[#All],[PID]],0)),INDEX(Table3[[#All],[Age]],MATCH(Table5[[#This Row],[PID]],Table3[[#All],[PID]],0)))</f>
        <v>21</v>
      </c>
      <c r="H340" s="52" t="str">
        <f>IF($C340="B",INDEX(Batters[[#All],[B]],MATCH(Table5[[#This Row],[PID]],Batters[[#All],[PID]],0)),INDEX(Table3[[#All],[B]],MATCH(Table5[[#This Row],[PID]],Table3[[#All],[PID]],0)))</f>
        <v>L</v>
      </c>
      <c r="I340" s="52" t="str">
        <f>IF($C340="B",INDEX(Batters[[#All],[T]],MATCH(Table5[[#This Row],[PID]],Batters[[#All],[PID]],0)),INDEX(Table3[[#All],[T]],MATCH(Table5[[#This Row],[PID]],Table3[[#All],[PID]],0)))</f>
        <v>L</v>
      </c>
      <c r="J340" s="71" t="str">
        <f>IF($C340="B",INDEX(Batters[[#All],[WE]],MATCH(Table5[[#This Row],[PID]],Batters[[#All],[PID]],0)),INDEX(Table3[[#All],[WE]],MATCH(Table5[[#This Row],[PID]],Table3[[#All],[PID]],0)))</f>
        <v>Normal</v>
      </c>
      <c r="K340" s="52" t="str">
        <f>IF($C340="B",INDEX(Batters[[#All],[INT]],MATCH(Table5[[#This Row],[PID]],Batters[[#All],[PID]],0)),INDEX(Table3[[#All],[INT]],MATCH(Table5[[#This Row],[PID]],Table3[[#All],[PID]],0)))</f>
        <v>Normal</v>
      </c>
      <c r="L340" s="60">
        <f>IF($C340="B",INDEX(Batters[[#All],[CON P]],MATCH(Table5[[#This Row],[PID]],Batters[[#All],[PID]],0)),INDEX(Table3[[#All],[STU P]],MATCH(Table5[[#This Row],[PID]],Table3[[#All],[PID]],0)))</f>
        <v>4</v>
      </c>
      <c r="M340" s="72">
        <f>IF($C340="B",INDEX(Batters[[#All],[GAP P]],MATCH(Table5[[#This Row],[PID]],Batters[[#All],[PID]],0)),INDEX(Table3[[#All],[MOV P]],MATCH(Table5[[#This Row],[PID]],Table3[[#All],[PID]],0)))</f>
        <v>5</v>
      </c>
      <c r="N340" s="72">
        <f>IF($C340="B",INDEX(Batters[[#All],[POW P]],MATCH(Table5[[#This Row],[PID]],Batters[[#All],[PID]],0)),INDEX(Table3[[#All],[CON P]],MATCH(Table5[[#This Row],[PID]],Table3[[#All],[PID]],0)))</f>
        <v>5</v>
      </c>
      <c r="O340" s="72" t="str">
        <f>IF($C340="B",INDEX(Batters[[#All],[EYE P]],MATCH(Table5[[#This Row],[PID]],Batters[[#All],[PID]],0)),INDEX(Table3[[#All],[VELO]],MATCH(Table5[[#This Row],[PID]],Table3[[#All],[PID]],0)))</f>
        <v>88-90 Mph</v>
      </c>
      <c r="P340" s="56">
        <f>IF($C340="B",INDEX(Batters[[#All],[K P]],MATCH(Table5[[#This Row],[PID]],Batters[[#All],[PID]],0)),INDEX(Table3[[#All],[STM]],MATCH(Table5[[#This Row],[PID]],Table3[[#All],[PID]],0)))</f>
        <v>7</v>
      </c>
      <c r="Q340" s="61">
        <f>IF($C340="B",INDEX(Batters[[#All],[Tot]],MATCH(Table5[[#This Row],[PID]],Batters[[#All],[PID]],0)),INDEX(Table3[[#All],[Tot]],MATCH(Table5[[#This Row],[PID]],Table3[[#All],[PID]],0)))</f>
        <v>50.803930689801774</v>
      </c>
      <c r="R340" s="52">
        <f>IF($C340="B",INDEX(Batters[[#All],[zScore]],MATCH(Table5[[#This Row],[PID]],Batters[[#All],[PID]],0)),INDEX(Table3[[#All],[zScore]],MATCH(Table5[[#This Row],[PID]],Table3[[#All],[PID]],0)))</f>
        <v>0.99349659128397871</v>
      </c>
      <c r="S340" s="78" t="str">
        <f>IF($C340="B",INDEX(Batters[[#All],[DEM]],MATCH(Table5[[#This Row],[PID]],Batters[[#All],[PID]],0)),INDEX(Table3[[#All],[DEM]],MATCH(Table5[[#This Row],[PID]],Table3[[#All],[PID]],0)))</f>
        <v>$26k</v>
      </c>
      <c r="T340" s="75">
        <f>IF($C340="B",INDEX(Batters[[#All],[Rnk]],MATCH(Table5[[#This Row],[PID]],Batters[[#All],[PID]],0)),INDEX(Table3[[#All],[Rnk]],MATCH(Table5[[#This Row],[PID]],Table3[[#All],[PID]],0)))</f>
        <v>138</v>
      </c>
      <c r="U340" s="68">
        <f>IF($C340="B",VLOOKUP($A340,Bat!$A$4:$BA$1621,47,FALSE),VLOOKUP($A340,Pit!$A$4:$BF$1557,56,FALSE))</f>
        <v>0</v>
      </c>
      <c r="V340" s="50">
        <f>IF($C340="B",VLOOKUP($A340,Bat!$A$4:$BA$1621,48,FALSE),VLOOKUP($A340,Pit!$A$4:$BF$1557,57,FALSE))</f>
        <v>0</v>
      </c>
      <c r="W340" s="69">
        <f>Table5[[#This Row],[posRnk]]+Table5[[#This Row],[zRnk]]+IF($W$3&lt;&gt;Table5[[#This Row],[Type]],50,0)</f>
        <v>416</v>
      </c>
      <c r="X340" s="73">
        <f>RANK(Table5[[#This Row],[zScore]],Table5[[#All],[zScore]])</f>
        <v>228</v>
      </c>
      <c r="Y340" s="69">
        <f>IFERROR(INDEX(DraftResults[[#All],[OVR]],MATCH(Table5[[#This Row],[PID]],DraftResults[[#All],[Player ID]],0)),"")</f>
        <v>336</v>
      </c>
      <c r="Z34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40" s="69">
        <f>IFERROR(INDEX(DraftResults[[#All],[Pick in Round]],MATCH(Table5[[#This Row],[PID]],DraftResults[[#All],[Player ID]],0)),"")</f>
        <v>28</v>
      </c>
      <c r="AB340" s="69" t="str">
        <f>IFERROR(INDEX(DraftResults[[#All],[Team Name]],MATCH(Table5[[#This Row],[PID]],DraftResults[[#All],[Player ID]],0)),"")</f>
        <v>San Juan Coqui</v>
      </c>
      <c r="AC340" s="69">
        <f>IF(Table5[[#This Row],[Ovr]]="","",IF(Table5[[#This Row],[cmbList]]="","",Table5[[#This Row],[cmbList]]-Table5[[#This Row],[Ovr]]))</f>
        <v>80</v>
      </c>
      <c r="AD340" s="77" t="str">
        <f>IF(ISERROR(VLOOKUP($AB340&amp;"-"&amp;$E340&amp;" "&amp;F340,Bonuses!$B$1:$G$1006,4,FALSE)),"",INT(VLOOKUP($AB340&amp;"-"&amp;$E340&amp;" "&amp;$F340,Bonuses!$B$1:$G$1006,4,FALSE)))</f>
        <v/>
      </c>
      <c r="AE34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11.28 (336) - SP Andrew MacElfrish</v>
      </c>
    </row>
    <row r="341" spans="1:31" s="50" customFormat="1" x14ac:dyDescent="0.25">
      <c r="A341" s="50">
        <v>12913</v>
      </c>
      <c r="B341" s="50">
        <f>COUNTIF(Table5[PID],A341)</f>
        <v>1</v>
      </c>
      <c r="C341" s="50" t="str">
        <f>IF(COUNTIF(Table3[[#All],[PID]],A341)&gt;0,"P","B")</f>
        <v>B</v>
      </c>
      <c r="D341" s="59" t="str">
        <f>IF($C341="B",INDEX(Batters[[#All],[POS]],MATCH(Table5[[#This Row],[PID]],Batters[[#All],[PID]],0)),INDEX(Table3[[#All],[POS]],MATCH(Table5[[#This Row],[PID]],Table3[[#All],[PID]],0)))</f>
        <v>3B</v>
      </c>
      <c r="E341" s="52" t="str">
        <f>IF($C341="B",INDEX(Batters[[#All],[First]],MATCH(Table5[[#This Row],[PID]],Batters[[#All],[PID]],0)),INDEX(Table3[[#All],[First]],MATCH(Table5[[#This Row],[PID]],Table3[[#All],[PID]],0)))</f>
        <v>William</v>
      </c>
      <c r="F341" s="50" t="str">
        <f>IF($C341="B",INDEX(Batters[[#All],[Last]],MATCH(A341,Batters[[#All],[PID]],0)),INDEX(Table3[[#All],[Last]],MATCH(A341,Table3[[#All],[PID]],0)))</f>
        <v>Pope</v>
      </c>
      <c r="G341" s="56">
        <f>IF($C341="B",INDEX(Batters[[#All],[Age]],MATCH(Table5[[#This Row],[PID]],Batters[[#All],[PID]],0)),INDEX(Table3[[#All],[Age]],MATCH(Table5[[#This Row],[PID]],Table3[[#All],[PID]],0)))</f>
        <v>18</v>
      </c>
      <c r="H341" s="52" t="str">
        <f>IF($C341="B",INDEX(Batters[[#All],[B]],MATCH(Table5[[#This Row],[PID]],Batters[[#All],[PID]],0)),INDEX(Table3[[#All],[B]],MATCH(Table5[[#This Row],[PID]],Table3[[#All],[PID]],0)))</f>
        <v>S</v>
      </c>
      <c r="I341" s="52" t="str">
        <f>IF($C341="B",INDEX(Batters[[#All],[T]],MATCH(Table5[[#This Row],[PID]],Batters[[#All],[PID]],0)),INDEX(Table3[[#All],[T]],MATCH(Table5[[#This Row],[PID]],Table3[[#All],[PID]],0)))</f>
        <v>R</v>
      </c>
      <c r="J341" s="52" t="str">
        <f>IF($C341="B",INDEX(Batters[[#All],[WE]],MATCH(Table5[[#This Row],[PID]],Batters[[#All],[PID]],0)),INDEX(Table3[[#All],[WE]],MATCH(Table5[[#This Row],[PID]],Table3[[#All],[PID]],0)))</f>
        <v>Low</v>
      </c>
      <c r="K341" s="52" t="str">
        <f>IF($C341="B",INDEX(Batters[[#All],[INT]],MATCH(Table5[[#This Row],[PID]],Batters[[#All],[PID]],0)),INDEX(Table3[[#All],[INT]],MATCH(Table5[[#This Row],[PID]],Table3[[#All],[PID]],0)))</f>
        <v>Normal</v>
      </c>
      <c r="L341" s="60">
        <f>IF($C341="B",INDEX(Batters[[#All],[CON P]],MATCH(Table5[[#This Row],[PID]],Batters[[#All],[PID]],0)),INDEX(Table3[[#All],[STU P]],MATCH(Table5[[#This Row],[PID]],Table3[[#All],[PID]],0)))</f>
        <v>3</v>
      </c>
      <c r="M341" s="56">
        <f>IF($C341="B",INDEX(Batters[[#All],[GAP P]],MATCH(Table5[[#This Row],[PID]],Batters[[#All],[PID]],0)),INDEX(Table3[[#All],[MOV P]],MATCH(Table5[[#This Row],[PID]],Table3[[#All],[PID]],0)))</f>
        <v>5</v>
      </c>
      <c r="N341" s="56">
        <f>IF($C341="B",INDEX(Batters[[#All],[POW P]],MATCH(Table5[[#This Row],[PID]],Batters[[#All],[PID]],0)),INDEX(Table3[[#All],[CON P]],MATCH(Table5[[#This Row],[PID]],Table3[[#All],[PID]],0)))</f>
        <v>6</v>
      </c>
      <c r="O341" s="56">
        <f>IF($C341="B",INDEX(Batters[[#All],[EYE P]],MATCH(Table5[[#This Row],[PID]],Batters[[#All],[PID]],0)),INDEX(Table3[[#All],[VELO]],MATCH(Table5[[#This Row],[PID]],Table3[[#All],[PID]],0)))</f>
        <v>5</v>
      </c>
      <c r="P341" s="56">
        <f>IF($C341="B",INDEX(Batters[[#All],[K P]],MATCH(Table5[[#This Row],[PID]],Batters[[#All],[PID]],0)),INDEX(Table3[[#All],[STM]],MATCH(Table5[[#This Row],[PID]],Table3[[#All],[PID]],0)))</f>
        <v>2</v>
      </c>
      <c r="Q341" s="61">
        <f>IF($C341="B",INDEX(Batters[[#All],[Tot]],MATCH(Table5[[#This Row],[PID]],Batters[[#All],[PID]],0)),INDEX(Table3[[#All],[Tot]],MATCH(Table5[[#This Row],[PID]],Table3[[#All],[PID]],0)))</f>
        <v>44.463986969712536</v>
      </c>
      <c r="R341" s="52">
        <f>IF($C341="B",INDEX(Batters[[#All],[zScore]],MATCH(Table5[[#This Row],[PID]],Batters[[#All],[PID]],0)),INDEX(Table3[[#All],[zScore]],MATCH(Table5[[#This Row],[PID]],Table3[[#All],[PID]],0)))</f>
        <v>7.3617119330128294E-2</v>
      </c>
      <c r="S341" s="58" t="str">
        <f>IF($C341="B",INDEX(Batters[[#All],[DEM]],MATCH(Table5[[#This Row],[PID]],Batters[[#All],[PID]],0)),INDEX(Table3[[#All],[DEM]],MATCH(Table5[[#This Row],[PID]],Table3[[#All],[PID]],0)))</f>
        <v>$200k</v>
      </c>
      <c r="T341" s="62">
        <f>IF($C341="B",INDEX(Batters[[#All],[Rnk]],MATCH(Table5[[#This Row],[PID]],Batters[[#All],[PID]],0)),INDEX(Table3[[#All],[Rnk]],MATCH(Table5[[#This Row],[PID]],Table3[[#All],[PID]],0)))</f>
        <v>227</v>
      </c>
      <c r="U341" s="68">
        <f>IF($C341="B",VLOOKUP($A341,Bat!$A$4:$BA$1621,47,FALSE),VLOOKUP($A341,Pit!$A$4:$BF$1557,56,FALSE))</f>
        <v>0</v>
      </c>
      <c r="V341" s="50">
        <f>IF($C341="B",VLOOKUP($A341,Bat!$A$4:$BA$1621,48,FALSE),VLOOKUP($A341,Pit!$A$4:$BF$1557,57,FALSE))</f>
        <v>0</v>
      </c>
      <c r="W341" s="50">
        <f>Table5[[#This Row],[posRnk]]+Table5[[#This Row],[zRnk]]+IF($W$3&lt;&gt;Table5[[#This Row],[Type]],50,0)</f>
        <v>798</v>
      </c>
      <c r="X341" s="51">
        <f>RANK(Table5[[#This Row],[zScore]],Table5[[#All],[zScore]])</f>
        <v>521</v>
      </c>
      <c r="Y341" s="50">
        <f>IFERROR(INDEX(DraftResults[[#All],[OVR]],MATCH(Table5[[#This Row],[PID]],DraftResults[[#All],[Player ID]],0)),"")</f>
        <v>337</v>
      </c>
      <c r="Z3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41" s="50">
        <f>IFERROR(INDEX(DraftResults[[#All],[Pick in Round]],MATCH(Table5[[#This Row],[PID]],DraftResults[[#All],[Player ID]],0)),"")</f>
        <v>29</v>
      </c>
      <c r="AB341" s="50" t="str">
        <f>IFERROR(INDEX(DraftResults[[#All],[Team Name]],MATCH(Table5[[#This Row],[PID]],DraftResults[[#All],[Player ID]],0)),"")</f>
        <v>Havana Leones</v>
      </c>
      <c r="AC341" s="50">
        <f>IF(Table5[[#This Row],[Ovr]]="","",IF(Table5[[#This Row],[cmbList]]="","",Table5[[#This Row],[cmbList]]-Table5[[#This Row],[Ovr]]))</f>
        <v>461</v>
      </c>
      <c r="AD341" s="54" t="str">
        <f>IF(ISERROR(VLOOKUP($AB341&amp;"-"&amp;$E341&amp;" "&amp;F341,Bonuses!$B$1:$G$1006,4,FALSE)),"",INT(VLOOKUP($AB341&amp;"-"&amp;$E341&amp;" "&amp;$F341,Bonuses!$B$1:$G$1006,4,FALSE)))</f>
        <v/>
      </c>
      <c r="AE3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11.29 (337) - 3B William Pope</v>
      </c>
    </row>
    <row r="342" spans="1:31" s="50" customFormat="1" x14ac:dyDescent="0.25">
      <c r="A342" s="50">
        <v>13938</v>
      </c>
      <c r="B342" s="50">
        <f>COUNTIF(Table5[PID],A342)</f>
        <v>1</v>
      </c>
      <c r="C342" s="50" t="str">
        <f>IF(COUNTIF(Table3[[#All],[PID]],A342)&gt;0,"P","B")</f>
        <v>P</v>
      </c>
      <c r="D342" s="59" t="str">
        <f>IF($C342="B",INDEX(Batters[[#All],[POS]],MATCH(Table5[[#This Row],[PID]],Batters[[#All],[PID]],0)),INDEX(Table3[[#All],[POS]],MATCH(Table5[[#This Row],[PID]],Table3[[#All],[PID]],0)))</f>
        <v>RP</v>
      </c>
      <c r="E342" s="52" t="str">
        <f>IF($C342="B",INDEX(Batters[[#All],[First]],MATCH(Table5[[#This Row],[PID]],Batters[[#All],[PID]],0)),INDEX(Table3[[#All],[First]],MATCH(Table5[[#This Row],[PID]],Table3[[#All],[PID]],0)))</f>
        <v>Steven</v>
      </c>
      <c r="F342" s="50" t="str">
        <f>IF($C342="B",INDEX(Batters[[#All],[Last]],MATCH(A342,Batters[[#All],[PID]],0)),INDEX(Table3[[#All],[Last]],MATCH(A342,Table3[[#All],[PID]],0)))</f>
        <v>Fluck</v>
      </c>
      <c r="G342" s="56">
        <f>IF($C342="B",INDEX(Batters[[#All],[Age]],MATCH(Table5[[#This Row],[PID]],Batters[[#All],[PID]],0)),INDEX(Table3[[#All],[Age]],MATCH(Table5[[#This Row],[PID]],Table3[[#All],[PID]],0)))</f>
        <v>18</v>
      </c>
      <c r="H342" s="52" t="str">
        <f>IF($C342="B",INDEX(Batters[[#All],[B]],MATCH(Table5[[#This Row],[PID]],Batters[[#All],[PID]],0)),INDEX(Table3[[#All],[B]],MATCH(Table5[[#This Row],[PID]],Table3[[#All],[PID]],0)))</f>
        <v>L</v>
      </c>
      <c r="I342" s="52" t="str">
        <f>IF($C342="B",INDEX(Batters[[#All],[T]],MATCH(Table5[[#This Row],[PID]],Batters[[#All],[PID]],0)),INDEX(Table3[[#All],[T]],MATCH(Table5[[#This Row],[PID]],Table3[[#All],[PID]],0)))</f>
        <v>L</v>
      </c>
      <c r="J342" s="52" t="str">
        <f>IF($C342="B",INDEX(Batters[[#All],[WE]],MATCH(Table5[[#This Row],[PID]],Batters[[#All],[PID]],0)),INDEX(Table3[[#All],[WE]],MATCH(Table5[[#This Row],[PID]],Table3[[#All],[PID]],0)))</f>
        <v>Normal</v>
      </c>
      <c r="K342" s="52" t="str">
        <f>IF($C342="B",INDEX(Batters[[#All],[INT]],MATCH(Table5[[#This Row],[PID]],Batters[[#All],[PID]],0)),INDEX(Table3[[#All],[INT]],MATCH(Table5[[#This Row],[PID]],Table3[[#All],[PID]],0)))</f>
        <v>Normal</v>
      </c>
      <c r="L342" s="60">
        <f>IF($C342="B",INDEX(Batters[[#All],[CON P]],MATCH(Table5[[#This Row],[PID]],Batters[[#All],[PID]],0)),INDEX(Table3[[#All],[STU P]],MATCH(Table5[[#This Row],[PID]],Table3[[#All],[PID]],0)))</f>
        <v>5</v>
      </c>
      <c r="M342" s="56">
        <f>IF($C342="B",INDEX(Batters[[#All],[GAP P]],MATCH(Table5[[#This Row],[PID]],Batters[[#All],[PID]],0)),INDEX(Table3[[#All],[MOV P]],MATCH(Table5[[#This Row],[PID]],Table3[[#All],[PID]],0)))</f>
        <v>4</v>
      </c>
      <c r="N342" s="56">
        <f>IF($C342="B",INDEX(Batters[[#All],[POW P]],MATCH(Table5[[#This Row],[PID]],Batters[[#All],[PID]],0)),INDEX(Table3[[#All],[CON P]],MATCH(Table5[[#This Row],[PID]],Table3[[#All],[PID]],0)))</f>
        <v>3</v>
      </c>
      <c r="O342" s="56" t="str">
        <f>IF($C342="B",INDEX(Batters[[#All],[EYE P]],MATCH(Table5[[#This Row],[PID]],Batters[[#All],[PID]],0)),INDEX(Table3[[#All],[VELO]],MATCH(Table5[[#This Row],[PID]],Table3[[#All],[PID]],0)))</f>
        <v>90-92 Mph</v>
      </c>
      <c r="P342" s="56">
        <f>IF($C342="B",INDEX(Batters[[#All],[K P]],MATCH(Table5[[#This Row],[PID]],Batters[[#All],[PID]],0)),INDEX(Table3[[#All],[STM]],MATCH(Table5[[#This Row],[PID]],Table3[[#All],[PID]],0)))</f>
        <v>9</v>
      </c>
      <c r="Q342" s="61">
        <f>IF($C342="B",INDEX(Batters[[#All],[Tot]],MATCH(Table5[[#This Row],[PID]],Batters[[#All],[PID]],0)),INDEX(Table3[[#All],[Tot]],MATCH(Table5[[#This Row],[PID]],Table3[[#All],[PID]],0)))</f>
        <v>47.636969604685419</v>
      </c>
      <c r="R342" s="52">
        <f>IF($C342="B",INDEX(Batters[[#All],[zScore]],MATCH(Table5[[#This Row],[PID]],Batters[[#All],[PID]],0)),INDEX(Table3[[#All],[zScore]],MATCH(Table5[[#This Row],[PID]],Table3[[#All],[PID]],0)))</f>
        <v>0.78280350975242441</v>
      </c>
      <c r="S342" s="58" t="str">
        <f>IF($C342="B",INDEX(Batters[[#All],[DEM]],MATCH(Table5[[#This Row],[PID]],Batters[[#All],[PID]],0)),INDEX(Table3[[#All],[DEM]],MATCH(Table5[[#This Row],[PID]],Table3[[#All],[PID]],0)))</f>
        <v>$65k</v>
      </c>
      <c r="T342" s="62">
        <f>IF($C342="B",INDEX(Batters[[#All],[Rnk]],MATCH(Table5[[#This Row],[PID]],Batters[[#All],[PID]],0)),INDEX(Table3[[#All],[Rnk]],MATCH(Table5[[#This Row],[PID]],Table3[[#All],[PID]],0)))</f>
        <v>175</v>
      </c>
      <c r="U342" s="68">
        <f>IF($C342="B",VLOOKUP($A342,Bat!$A$4:$BA$1621,47,FALSE),VLOOKUP($A342,Pit!$A$4:$BF$1557,56,FALSE))</f>
        <v>0</v>
      </c>
      <c r="V342" s="50">
        <f>IF($C342="B",VLOOKUP($A342,Bat!$A$4:$BA$1621,48,FALSE),VLOOKUP($A342,Pit!$A$4:$BF$1557,57,FALSE))</f>
        <v>0</v>
      </c>
      <c r="W342" s="50">
        <f>Table5[[#This Row],[posRnk]]+Table5[[#This Row],[zRnk]]+IF($W$3&lt;&gt;Table5[[#This Row],[Type]],50,0)</f>
        <v>515</v>
      </c>
      <c r="X342" s="51">
        <f>RANK(Table5[[#This Row],[zScore]],Table5[[#All],[zScore]])</f>
        <v>290</v>
      </c>
      <c r="Y342" s="50">
        <f>IFERROR(INDEX(DraftResults[[#All],[OVR]],MATCH(Table5[[#This Row],[PID]],DraftResults[[#All],[Player ID]],0)),"")</f>
        <v>338</v>
      </c>
      <c r="Z3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11</v>
      </c>
      <c r="AA342" s="50">
        <f>IFERROR(INDEX(DraftResults[[#All],[Pick in Round]],MATCH(Table5[[#This Row],[PID]],DraftResults[[#All],[Player ID]],0)),"")</f>
        <v>30</v>
      </c>
      <c r="AB342" s="50" t="str">
        <f>IFERROR(INDEX(DraftResults[[#All],[Team Name]],MATCH(Table5[[#This Row],[PID]],DraftResults[[#All],[Player ID]],0)),"")</f>
        <v>Florida Farstriders</v>
      </c>
      <c r="AC342" s="50">
        <f>IF(Table5[[#This Row],[Ovr]]="","",IF(Table5[[#This Row],[cmbList]]="","",Table5[[#This Row],[cmbList]]-Table5[[#This Row],[Ovr]]))</f>
        <v>177</v>
      </c>
      <c r="AD342" s="54" t="str">
        <f>IF(ISERROR(VLOOKUP($AB342&amp;"-"&amp;$E342&amp;" "&amp;F342,Bonuses!$B$1:$G$1006,4,FALSE)),"",INT(VLOOKUP($AB342&amp;"-"&amp;$E342&amp;" "&amp;$F342,Bonuses!$B$1:$G$1006,4,FALSE)))</f>
        <v/>
      </c>
      <c r="AE3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11.30 (338) - RP Steven Fluck</v>
      </c>
    </row>
    <row r="343" spans="1:31" s="50" customFormat="1" x14ac:dyDescent="0.25">
      <c r="A343" s="50">
        <v>20389</v>
      </c>
      <c r="B343" s="50">
        <f>COUNTIF(Table5[PID],A343)</f>
        <v>1</v>
      </c>
      <c r="C343" s="50" t="str">
        <f>IF(COUNTIF(Table3[[#All],[PID]],A343)&gt;0,"P","B")</f>
        <v>B</v>
      </c>
      <c r="D343" s="59" t="str">
        <f>IF($C343="B",INDEX(Batters[[#All],[POS]],MATCH(Table5[[#This Row],[PID]],Batters[[#All],[PID]],0)),INDEX(Table3[[#All],[POS]],MATCH(Table5[[#This Row],[PID]],Table3[[#All],[PID]],0)))</f>
        <v>C</v>
      </c>
      <c r="E343" s="52" t="str">
        <f>IF($C343="B",INDEX(Batters[[#All],[First]],MATCH(Table5[[#This Row],[PID]],Batters[[#All],[PID]],0)),INDEX(Table3[[#All],[First]],MATCH(Table5[[#This Row],[PID]],Table3[[#All],[PID]],0)))</f>
        <v>Derek</v>
      </c>
      <c r="F343" s="50" t="str">
        <f>IF($C343="B",INDEX(Batters[[#All],[Last]],MATCH(A343,Batters[[#All],[PID]],0)),INDEX(Table3[[#All],[Last]],MATCH(A343,Table3[[#All],[PID]],0)))</f>
        <v>Beales</v>
      </c>
      <c r="G343" s="56">
        <f>IF($C343="B",INDEX(Batters[[#All],[Age]],MATCH(Table5[[#This Row],[PID]],Batters[[#All],[PID]],0)),INDEX(Table3[[#All],[Age]],MATCH(Table5[[#This Row],[PID]],Table3[[#All],[PID]],0)))</f>
        <v>17</v>
      </c>
      <c r="H343" s="52" t="str">
        <f>IF($C343="B",INDEX(Batters[[#All],[B]],MATCH(Table5[[#This Row],[PID]],Batters[[#All],[PID]],0)),INDEX(Table3[[#All],[B]],MATCH(Table5[[#This Row],[PID]],Table3[[#All],[PID]],0)))</f>
        <v>S</v>
      </c>
      <c r="I343" s="52" t="str">
        <f>IF($C343="B",INDEX(Batters[[#All],[T]],MATCH(Table5[[#This Row],[PID]],Batters[[#All],[PID]],0)),INDEX(Table3[[#All],[T]],MATCH(Table5[[#This Row],[PID]],Table3[[#All],[PID]],0)))</f>
        <v>R</v>
      </c>
      <c r="J343" s="52" t="str">
        <f>IF($C343="B",INDEX(Batters[[#All],[WE]],MATCH(Table5[[#This Row],[PID]],Batters[[#All],[PID]],0)),INDEX(Table3[[#All],[WE]],MATCH(Table5[[#This Row],[PID]],Table3[[#All],[PID]],0)))</f>
        <v>High</v>
      </c>
      <c r="K343" s="52" t="str">
        <f>IF($C343="B",INDEX(Batters[[#All],[INT]],MATCH(Table5[[#This Row],[PID]],Batters[[#All],[PID]],0)),INDEX(Table3[[#All],[INT]],MATCH(Table5[[#This Row],[PID]],Table3[[#All],[PID]],0)))</f>
        <v>Low</v>
      </c>
      <c r="L343" s="60">
        <f>IF($C343="B",INDEX(Batters[[#All],[CON P]],MATCH(Table5[[#This Row],[PID]],Batters[[#All],[PID]],0)),INDEX(Table3[[#All],[STU P]],MATCH(Table5[[#This Row],[PID]],Table3[[#All],[PID]],0)))</f>
        <v>3</v>
      </c>
      <c r="M343" s="56">
        <f>IF($C343="B",INDEX(Batters[[#All],[GAP P]],MATCH(Table5[[#This Row],[PID]],Batters[[#All],[PID]],0)),INDEX(Table3[[#All],[MOV P]],MATCH(Table5[[#This Row],[PID]],Table3[[#All],[PID]],0)))</f>
        <v>5</v>
      </c>
      <c r="N343" s="56">
        <f>IF($C343="B",INDEX(Batters[[#All],[POW P]],MATCH(Table5[[#This Row],[PID]],Batters[[#All],[PID]],0)),INDEX(Table3[[#All],[CON P]],MATCH(Table5[[#This Row],[PID]],Table3[[#All],[PID]],0)))</f>
        <v>5</v>
      </c>
      <c r="O343" s="56">
        <f>IF($C343="B",INDEX(Batters[[#All],[EYE P]],MATCH(Table5[[#This Row],[PID]],Batters[[#All],[PID]],0)),INDEX(Table3[[#All],[VELO]],MATCH(Table5[[#This Row],[PID]],Table3[[#All],[PID]],0)))</f>
        <v>6</v>
      </c>
      <c r="P343" s="56">
        <f>IF($C343="B",INDEX(Batters[[#All],[K P]],MATCH(Table5[[#This Row],[PID]],Batters[[#All],[PID]],0)),INDEX(Table3[[#All],[STM]],MATCH(Table5[[#This Row],[PID]],Table3[[#All],[PID]],0)))</f>
        <v>2</v>
      </c>
      <c r="Q343" s="61">
        <f>IF($C343="B",INDEX(Batters[[#All],[Tot]],MATCH(Table5[[#This Row],[PID]],Batters[[#All],[PID]],0)),INDEX(Table3[[#All],[Tot]],MATCH(Table5[[#This Row],[PID]],Table3[[#All],[PID]],0)))</f>
        <v>44.866146733905907</v>
      </c>
      <c r="R343" s="52">
        <f>IF($C343="B",INDEX(Batters[[#All],[zScore]],MATCH(Table5[[#This Row],[PID]],Batters[[#All],[PID]],0)),INDEX(Table3[[#All],[zScore]],MATCH(Table5[[#This Row],[PID]],Table3[[#All],[PID]],0)))</f>
        <v>0.1627786573995221</v>
      </c>
      <c r="S343" s="58" t="str">
        <f>IF($C343="B",INDEX(Batters[[#All],[DEM]],MATCH(Table5[[#This Row],[PID]],Batters[[#All],[PID]],0)),INDEX(Table3[[#All],[DEM]],MATCH(Table5[[#This Row],[PID]],Table3[[#All],[PID]],0)))</f>
        <v>$38k</v>
      </c>
      <c r="T343" s="62">
        <f>IF($C343="B",INDEX(Batters[[#All],[Rnk]],MATCH(Table5[[#This Row],[PID]],Batters[[#All],[PID]],0)),INDEX(Table3[[#All],[Rnk]],MATCH(Table5[[#This Row],[PID]],Table3[[#All],[PID]],0)))</f>
        <v>212</v>
      </c>
      <c r="U343" s="68">
        <f>IF($C343="B",VLOOKUP($A343,Bat!$A$4:$BA$1621,47,FALSE),VLOOKUP($A343,Pit!$A$4:$BF$1557,56,FALSE))</f>
        <v>0</v>
      </c>
      <c r="V343" s="50">
        <f>IF($C343="B",VLOOKUP($A343,Bat!$A$4:$BA$1621,48,FALSE),VLOOKUP($A343,Pit!$A$4:$BF$1557,57,FALSE))</f>
        <v>0</v>
      </c>
      <c r="W343" s="50">
        <f>Table5[[#This Row],[posRnk]]+Table5[[#This Row],[zRnk]]+IF($W$3&lt;&gt;Table5[[#This Row],[Type]],50,0)</f>
        <v>748</v>
      </c>
      <c r="X343" s="51">
        <f>RANK(Table5[[#This Row],[zScore]],Table5[[#All],[zScore]])</f>
        <v>486</v>
      </c>
      <c r="Y343" s="50">
        <f>IFERROR(INDEX(DraftResults[[#All],[OVR]],MATCH(Table5[[#This Row],[PID]],DraftResults[[#All],[Player ID]],0)),"")</f>
        <v>339</v>
      </c>
      <c r="Z3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3" s="50">
        <f>IFERROR(INDEX(DraftResults[[#All],[Pick in Round]],MATCH(Table5[[#This Row],[PID]],DraftResults[[#All],[Player ID]],0)),"")</f>
        <v>1</v>
      </c>
      <c r="AB343" s="50" t="str">
        <f>IFERROR(INDEX(DraftResults[[#All],[Team Name]],MATCH(Table5[[#This Row],[PID]],DraftResults[[#All],[Player ID]],0)),"")</f>
        <v>Yuma Arroyos</v>
      </c>
      <c r="AC343" s="50">
        <f>IF(Table5[[#This Row],[Ovr]]="","",IF(Table5[[#This Row],[cmbList]]="","",Table5[[#This Row],[cmbList]]-Table5[[#This Row],[Ovr]]))</f>
        <v>409</v>
      </c>
      <c r="AD343" s="54" t="str">
        <f>IF(ISERROR(VLOOKUP($AB343&amp;"-"&amp;$E343&amp;" "&amp;F343,Bonuses!$B$1:$G$1006,4,FALSE)),"",INT(VLOOKUP($AB343&amp;"-"&amp;$E343&amp;" "&amp;$F343,Bonuses!$B$1:$G$1006,4,FALSE)))</f>
        <v/>
      </c>
      <c r="AE3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 (339) - C Derek Beales</v>
      </c>
    </row>
    <row r="344" spans="1:31" s="50" customFormat="1" x14ac:dyDescent="0.25">
      <c r="A344" s="50">
        <v>17012</v>
      </c>
      <c r="B344" s="50">
        <f>COUNTIF(Table5[PID],A344)</f>
        <v>1</v>
      </c>
      <c r="C344" s="50" t="str">
        <f>IF(COUNTIF(Table3[[#All],[PID]],A344)&gt;0,"P","B")</f>
        <v>B</v>
      </c>
      <c r="D344" s="59" t="str">
        <f>IF($C344="B",INDEX(Batters[[#All],[POS]],MATCH(Table5[[#This Row],[PID]],Batters[[#All],[PID]],0)),INDEX(Table3[[#All],[POS]],MATCH(Table5[[#This Row],[PID]],Table3[[#All],[PID]],0)))</f>
        <v>C</v>
      </c>
      <c r="E344" s="52" t="str">
        <f>IF($C344="B",INDEX(Batters[[#All],[First]],MATCH(Table5[[#This Row],[PID]],Batters[[#All],[PID]],0)),INDEX(Table3[[#All],[First]],MATCH(Table5[[#This Row],[PID]],Table3[[#All],[PID]],0)))</f>
        <v>Héctor</v>
      </c>
      <c r="F344" s="50" t="str">
        <f>IF($C344="B",INDEX(Batters[[#All],[Last]],MATCH(A344,Batters[[#All],[PID]],0)),INDEX(Table3[[#All],[Last]],MATCH(A344,Table3[[#All],[PID]],0)))</f>
        <v>Cardenas</v>
      </c>
      <c r="G344" s="56">
        <f>IF($C344="B",INDEX(Batters[[#All],[Age]],MATCH(Table5[[#This Row],[PID]],Batters[[#All],[PID]],0)),INDEX(Table3[[#All],[Age]],MATCH(Table5[[#This Row],[PID]],Table3[[#All],[PID]],0)))</f>
        <v>21</v>
      </c>
      <c r="H344" s="52" t="str">
        <f>IF($C344="B",INDEX(Batters[[#All],[B]],MATCH(Table5[[#This Row],[PID]],Batters[[#All],[PID]],0)),INDEX(Table3[[#All],[B]],MATCH(Table5[[#This Row],[PID]],Table3[[#All],[PID]],0)))</f>
        <v>R</v>
      </c>
      <c r="I344" s="52" t="str">
        <f>IF($C344="B",INDEX(Batters[[#All],[T]],MATCH(Table5[[#This Row],[PID]],Batters[[#All],[PID]],0)),INDEX(Table3[[#All],[T]],MATCH(Table5[[#This Row],[PID]],Table3[[#All],[PID]],0)))</f>
        <v>R</v>
      </c>
      <c r="J344" s="52" t="str">
        <f>IF($C344="B",INDEX(Batters[[#All],[WE]],MATCH(Table5[[#This Row],[PID]],Batters[[#All],[PID]],0)),INDEX(Table3[[#All],[WE]],MATCH(Table5[[#This Row],[PID]],Table3[[#All],[PID]],0)))</f>
        <v>Normal</v>
      </c>
      <c r="K344" s="52" t="str">
        <f>IF($C344="B",INDEX(Batters[[#All],[INT]],MATCH(Table5[[#This Row],[PID]],Batters[[#All],[PID]],0)),INDEX(Table3[[#All],[INT]],MATCH(Table5[[#This Row],[PID]],Table3[[#All],[PID]],0)))</f>
        <v>High</v>
      </c>
      <c r="L344" s="60">
        <f>IF($C344="B",INDEX(Batters[[#All],[CON P]],MATCH(Table5[[#This Row],[PID]],Batters[[#All],[PID]],0)),INDEX(Table3[[#All],[STU P]],MATCH(Table5[[#This Row],[PID]],Table3[[#All],[PID]],0)))</f>
        <v>2</v>
      </c>
      <c r="M344" s="56">
        <f>IF($C344="B",INDEX(Batters[[#All],[GAP P]],MATCH(Table5[[#This Row],[PID]],Batters[[#All],[PID]],0)),INDEX(Table3[[#All],[MOV P]],MATCH(Table5[[#This Row],[PID]],Table3[[#All],[PID]],0)))</f>
        <v>4</v>
      </c>
      <c r="N344" s="56">
        <f>IF($C344="B",INDEX(Batters[[#All],[POW P]],MATCH(Table5[[#This Row],[PID]],Batters[[#All],[PID]],0)),INDEX(Table3[[#All],[CON P]],MATCH(Table5[[#This Row],[PID]],Table3[[#All],[PID]],0)))</f>
        <v>3</v>
      </c>
      <c r="O344" s="56">
        <f>IF($C344="B",INDEX(Batters[[#All],[EYE P]],MATCH(Table5[[#This Row],[PID]],Batters[[#All],[PID]],0)),INDEX(Table3[[#All],[VELO]],MATCH(Table5[[#This Row],[PID]],Table3[[#All],[PID]],0)))</f>
        <v>4</v>
      </c>
      <c r="P344" s="56">
        <f>IF($C344="B",INDEX(Batters[[#All],[K P]],MATCH(Table5[[#This Row],[PID]],Batters[[#All],[PID]],0)),INDEX(Table3[[#All],[STM]],MATCH(Table5[[#This Row],[PID]],Table3[[#All],[PID]],0)))</f>
        <v>2</v>
      </c>
      <c r="Q344" s="61">
        <f>IF($C344="B",INDEX(Batters[[#All],[Tot]],MATCH(Table5[[#This Row],[PID]],Batters[[#All],[PID]],0)),INDEX(Table3[[#All],[Tot]],MATCH(Table5[[#This Row],[PID]],Table3[[#All],[PID]],0)))</f>
        <v>33.377282132244829</v>
      </c>
      <c r="R344" s="52">
        <f>IF($C344="B",INDEX(Batters[[#All],[zScore]],MATCH(Table5[[#This Row],[PID]],Batters[[#All],[PID]],0)),INDEX(Table3[[#All],[zScore]],MATCH(Table5[[#This Row],[PID]],Table3[[#All],[PID]],0)))</f>
        <v>-2.3843802823062621</v>
      </c>
      <c r="S344" s="58" t="str">
        <f>IF($C344="B",INDEX(Batters[[#All],[DEM]],MATCH(Table5[[#This Row],[PID]],Batters[[#All],[PID]],0)),INDEX(Table3[[#All],[DEM]],MATCH(Table5[[#This Row],[PID]],Table3[[#All],[PID]],0)))</f>
        <v>$20k</v>
      </c>
      <c r="T344" s="62">
        <f>IF($C344="B",INDEX(Batters[[#All],[Rnk]],MATCH(Table5[[#This Row],[PID]],Batters[[#All],[PID]],0)),INDEX(Table3[[#All],[Rnk]],MATCH(Table5[[#This Row],[PID]],Table3[[#All],[PID]],0)))</f>
        <v>679</v>
      </c>
      <c r="U344" s="68">
        <f>IF($C344="B",VLOOKUP($A344,Bat!$A$4:$BA$1621,47,FALSE),VLOOKUP($A344,Pit!$A$4:$BF$1557,56,FALSE))</f>
        <v>0</v>
      </c>
      <c r="V344" s="50">
        <f>IF($C344="B",VLOOKUP($A344,Bat!$A$4:$BA$1621,48,FALSE),VLOOKUP($A344,Pit!$A$4:$BF$1557,57,FALSE))</f>
        <v>0</v>
      </c>
      <c r="W344" s="50">
        <f>Table5[[#This Row],[posRnk]]+Table5[[#This Row],[zRnk]]+IF($W$3&lt;&gt;Table5[[#This Row],[Type]],50,0)</f>
        <v>2186</v>
      </c>
      <c r="X344" s="51">
        <f>RANK(Table5[[#This Row],[zScore]],Table5[[#All],[zScore]])</f>
        <v>1457</v>
      </c>
      <c r="Y344" s="50">
        <f>IFERROR(INDEX(DraftResults[[#All],[OVR]],MATCH(Table5[[#This Row],[PID]],DraftResults[[#All],[Player ID]],0)),"")</f>
        <v>340</v>
      </c>
      <c r="Z3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4" s="50">
        <f>IFERROR(INDEX(DraftResults[[#All],[Pick in Round]],MATCH(Table5[[#This Row],[PID]],DraftResults[[#All],[Player ID]],0)),"")</f>
        <v>2</v>
      </c>
      <c r="AB344" s="50" t="str">
        <f>IFERROR(INDEX(DraftResults[[#All],[Team Name]],MATCH(Table5[[#This Row],[PID]],DraftResults[[#All],[Player ID]],0)),"")</f>
        <v>Charleston Statesmen</v>
      </c>
      <c r="AC344" s="50">
        <f>IF(Table5[[#This Row],[Ovr]]="","",IF(Table5[[#This Row],[cmbList]]="","",Table5[[#This Row],[cmbList]]-Table5[[#This Row],[Ovr]]))</f>
        <v>1846</v>
      </c>
      <c r="AD344" s="54" t="str">
        <f>IF(ISERROR(VLOOKUP($AB344&amp;"-"&amp;$E344&amp;" "&amp;F344,Bonuses!$B$1:$G$1006,4,FALSE)),"",INT(VLOOKUP($AB344&amp;"-"&amp;$E344&amp;" "&amp;$F344,Bonuses!$B$1:$G$1006,4,FALSE)))</f>
        <v/>
      </c>
      <c r="AE3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 (340) - C Héctor Cardenas</v>
      </c>
    </row>
    <row r="345" spans="1:31" s="50" customFormat="1" x14ac:dyDescent="0.25">
      <c r="A345" s="68">
        <v>18086</v>
      </c>
      <c r="B345" s="69">
        <f>COUNTIF(Table5[PID],A345)</f>
        <v>1</v>
      </c>
      <c r="C345" s="69" t="str">
        <f>IF(COUNTIF(Table3[[#All],[PID]],A345)&gt;0,"P","B")</f>
        <v>P</v>
      </c>
      <c r="D345" s="59" t="str">
        <f>IF($C345="B",INDEX(Batters[[#All],[POS]],MATCH(Table5[[#This Row],[PID]],Batters[[#All],[PID]],0)),INDEX(Table3[[#All],[POS]],MATCH(Table5[[#This Row],[PID]],Table3[[#All],[PID]],0)))</f>
        <v>SP</v>
      </c>
      <c r="E345" s="52" t="str">
        <f>IF($C345="B",INDEX(Batters[[#All],[First]],MATCH(Table5[[#This Row],[PID]],Batters[[#All],[PID]],0)),INDEX(Table3[[#All],[First]],MATCH(Table5[[#This Row],[PID]],Table3[[#All],[PID]],0)))</f>
        <v>Ángel</v>
      </c>
      <c r="F345" s="55" t="str">
        <f>IF($C345="B",INDEX(Batters[[#All],[Last]],MATCH(A345,Batters[[#All],[PID]],0)),INDEX(Table3[[#All],[Last]],MATCH(A345,Table3[[#All],[PID]],0)))</f>
        <v>Moreno</v>
      </c>
      <c r="G345" s="56">
        <f>IF($C345="B",INDEX(Batters[[#All],[Age]],MATCH(Table5[[#This Row],[PID]],Batters[[#All],[PID]],0)),INDEX(Table3[[#All],[Age]],MATCH(Table5[[#This Row],[PID]],Table3[[#All],[PID]],0)))</f>
        <v>21</v>
      </c>
      <c r="H345" s="52" t="str">
        <f>IF($C345="B",INDEX(Batters[[#All],[B]],MATCH(Table5[[#This Row],[PID]],Batters[[#All],[PID]],0)),INDEX(Table3[[#All],[B]],MATCH(Table5[[#This Row],[PID]],Table3[[#All],[PID]],0)))</f>
        <v>L</v>
      </c>
      <c r="I345" s="52" t="str">
        <f>IF($C345="B",INDEX(Batters[[#All],[T]],MATCH(Table5[[#This Row],[PID]],Batters[[#All],[PID]],0)),INDEX(Table3[[#All],[T]],MATCH(Table5[[#This Row],[PID]],Table3[[#All],[PID]],0)))</f>
        <v>L</v>
      </c>
      <c r="J345" s="71" t="str">
        <f>IF($C345="B",INDEX(Batters[[#All],[WE]],MATCH(Table5[[#This Row],[PID]],Batters[[#All],[PID]],0)),INDEX(Table3[[#All],[WE]],MATCH(Table5[[#This Row],[PID]],Table3[[#All],[PID]],0)))</f>
        <v>High</v>
      </c>
      <c r="K345" s="52" t="str">
        <f>IF($C345="B",INDEX(Batters[[#All],[INT]],MATCH(Table5[[#This Row],[PID]],Batters[[#All],[PID]],0)),INDEX(Table3[[#All],[INT]],MATCH(Table5[[#This Row],[PID]],Table3[[#All],[PID]],0)))</f>
        <v>Normal</v>
      </c>
      <c r="L345" s="60">
        <f>IF($C345="B",INDEX(Batters[[#All],[CON P]],MATCH(Table5[[#This Row],[PID]],Batters[[#All],[PID]],0)),INDEX(Table3[[#All],[STU P]],MATCH(Table5[[#This Row],[PID]],Table3[[#All],[PID]],0)))</f>
        <v>4</v>
      </c>
      <c r="M345" s="72">
        <f>IF($C345="B",INDEX(Batters[[#All],[GAP P]],MATCH(Table5[[#This Row],[PID]],Batters[[#All],[PID]],0)),INDEX(Table3[[#All],[MOV P]],MATCH(Table5[[#This Row],[PID]],Table3[[#All],[PID]],0)))</f>
        <v>5</v>
      </c>
      <c r="N345" s="72">
        <f>IF($C345="B",INDEX(Batters[[#All],[POW P]],MATCH(Table5[[#This Row],[PID]],Batters[[#All],[PID]],0)),INDEX(Table3[[#All],[CON P]],MATCH(Table5[[#This Row],[PID]],Table3[[#All],[PID]],0)))</f>
        <v>3</v>
      </c>
      <c r="O345" s="72" t="str">
        <f>IF($C345="B",INDEX(Batters[[#All],[EYE P]],MATCH(Table5[[#This Row],[PID]],Batters[[#All],[PID]],0)),INDEX(Table3[[#All],[VELO]],MATCH(Table5[[#This Row],[PID]],Table3[[#All],[PID]],0)))</f>
        <v>94-96 Mph</v>
      </c>
      <c r="P345" s="56">
        <f>IF($C345="B",INDEX(Batters[[#All],[K P]],MATCH(Table5[[#This Row],[PID]],Batters[[#All],[PID]],0)),INDEX(Table3[[#All],[STM]],MATCH(Table5[[#This Row],[PID]],Table3[[#All],[PID]],0)))</f>
        <v>6</v>
      </c>
      <c r="Q345" s="61">
        <f>IF($C345="B",INDEX(Batters[[#All],[Tot]],MATCH(Table5[[#This Row],[PID]],Batters[[#All],[PID]],0)),INDEX(Table3[[#All],[Tot]],MATCH(Table5[[#This Row],[PID]],Table3[[#All],[PID]],0)))</f>
        <v>41.567912694662638</v>
      </c>
      <c r="R345" s="52">
        <f>IF($C345="B",INDEX(Batters[[#All],[zScore]],MATCH(Table5[[#This Row],[PID]],Batters[[#All],[PID]],0)),INDEX(Table3[[#All],[zScore]],MATCH(Table5[[#This Row],[PID]],Table3[[#All],[PID]],0)))</f>
        <v>0.25784223658768662</v>
      </c>
      <c r="S345" s="78" t="str">
        <f>IF($C345="B",INDEX(Batters[[#All],[DEM]],MATCH(Table5[[#This Row],[PID]],Batters[[#All],[PID]],0)),INDEX(Table3[[#All],[DEM]],MATCH(Table5[[#This Row],[PID]],Table3[[#All],[PID]],0)))</f>
        <v>$20k</v>
      </c>
      <c r="T345" s="75">
        <f>IF($C345="B",INDEX(Batters[[#All],[Rnk]],MATCH(Table5[[#This Row],[PID]],Batters[[#All],[PID]],0)),INDEX(Table3[[#All],[Rnk]],MATCH(Table5[[#This Row],[PID]],Table3[[#All],[PID]],0)))</f>
        <v>250</v>
      </c>
      <c r="U345" s="68">
        <f>IF($C345="B",VLOOKUP($A345,Bat!$A$4:$BA$1621,47,FALSE),VLOOKUP($A345,Pit!$A$4:$BF$1557,56,FALSE))</f>
        <v>0</v>
      </c>
      <c r="V345" s="50">
        <f>IF($C345="B",VLOOKUP($A345,Bat!$A$4:$BA$1621,48,FALSE),VLOOKUP($A345,Pit!$A$4:$BF$1557,57,FALSE))</f>
        <v>0</v>
      </c>
      <c r="W345" s="69">
        <f>Table5[[#This Row],[posRnk]]+Table5[[#This Row],[zRnk]]+IF($W$3&lt;&gt;Table5[[#This Row],[Type]],50,0)</f>
        <v>733</v>
      </c>
      <c r="X345" s="73">
        <f>RANK(Table5[[#This Row],[zScore]],Table5[[#All],[zScore]])</f>
        <v>433</v>
      </c>
      <c r="Y345" s="69">
        <f>IFERROR(INDEX(DraftResults[[#All],[OVR]],MATCH(Table5[[#This Row],[PID]],DraftResults[[#All],[Player ID]],0)),"")</f>
        <v>341</v>
      </c>
      <c r="Z3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5" s="69">
        <f>IFERROR(INDEX(DraftResults[[#All],[Pick in Round]],MATCH(Table5[[#This Row],[PID]],DraftResults[[#All],[Player ID]],0)),"")</f>
        <v>3</v>
      </c>
      <c r="AB345" s="69" t="str">
        <f>IFERROR(INDEX(DraftResults[[#All],[Team Name]],MATCH(Table5[[#This Row],[PID]],DraftResults[[#All],[Player ID]],0)),"")</f>
        <v>New Orleans Trendsetters</v>
      </c>
      <c r="AC345" s="69">
        <f>IF(Table5[[#This Row],[Ovr]]="","",IF(Table5[[#This Row],[cmbList]]="","",Table5[[#This Row],[cmbList]]-Table5[[#This Row],[Ovr]]))</f>
        <v>392</v>
      </c>
      <c r="AD345" s="77" t="str">
        <f>IF(ISERROR(VLOOKUP($AB345&amp;"-"&amp;$E345&amp;" "&amp;F345,Bonuses!$B$1:$G$1006,4,FALSE)),"",INT(VLOOKUP($AB345&amp;"-"&amp;$E345&amp;" "&amp;$F345,Bonuses!$B$1:$G$1006,4,FALSE)))</f>
        <v/>
      </c>
      <c r="AE3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12.3 (341) - SP Ángel Moreno</v>
      </c>
    </row>
    <row r="346" spans="1:31" s="50" customFormat="1" x14ac:dyDescent="0.25">
      <c r="A346" s="50">
        <v>20892</v>
      </c>
      <c r="B346" s="50">
        <f>COUNTIF(Table5[PID],A346)</f>
        <v>1</v>
      </c>
      <c r="C346" s="50" t="str">
        <f>IF(COUNTIF(Table3[[#All],[PID]],A346)&gt;0,"P","B")</f>
        <v>B</v>
      </c>
      <c r="D346" s="59" t="str">
        <f>IF($C346="B",INDEX(Batters[[#All],[POS]],MATCH(Table5[[#This Row],[PID]],Batters[[#All],[PID]],0)),INDEX(Table3[[#All],[POS]],MATCH(Table5[[#This Row],[PID]],Table3[[#All],[PID]],0)))</f>
        <v>3B</v>
      </c>
      <c r="E346" s="52" t="str">
        <f>IF($C346="B",INDEX(Batters[[#All],[First]],MATCH(Table5[[#This Row],[PID]],Batters[[#All],[PID]],0)),INDEX(Table3[[#All],[First]],MATCH(Table5[[#This Row],[PID]],Table3[[#All],[PID]],0)))</f>
        <v>John</v>
      </c>
      <c r="F346" s="50" t="str">
        <f>IF($C346="B",INDEX(Batters[[#All],[Last]],MATCH(A346,Batters[[#All],[PID]],0)),INDEX(Table3[[#All],[Last]],MATCH(A346,Table3[[#All],[PID]],0)))</f>
        <v>Vaden</v>
      </c>
      <c r="G346" s="56">
        <f>IF($C346="B",INDEX(Batters[[#All],[Age]],MATCH(Table5[[#This Row],[PID]],Batters[[#All],[PID]],0)),INDEX(Table3[[#All],[Age]],MATCH(Table5[[#This Row],[PID]],Table3[[#All],[PID]],0)))</f>
        <v>18</v>
      </c>
      <c r="H346" s="52" t="str">
        <f>IF($C346="B",INDEX(Batters[[#All],[B]],MATCH(Table5[[#This Row],[PID]],Batters[[#All],[PID]],0)),INDEX(Table3[[#All],[B]],MATCH(Table5[[#This Row],[PID]],Table3[[#All],[PID]],0)))</f>
        <v>R</v>
      </c>
      <c r="I346" s="52" t="str">
        <f>IF($C346="B",INDEX(Batters[[#All],[T]],MATCH(Table5[[#This Row],[PID]],Batters[[#All],[PID]],0)),INDEX(Table3[[#All],[T]],MATCH(Table5[[#This Row],[PID]],Table3[[#All],[PID]],0)))</f>
        <v>R</v>
      </c>
      <c r="J346" s="52" t="str">
        <f>IF($C346="B",INDEX(Batters[[#All],[WE]],MATCH(Table5[[#This Row],[PID]],Batters[[#All],[PID]],0)),INDEX(Table3[[#All],[WE]],MATCH(Table5[[#This Row],[PID]],Table3[[#All],[PID]],0)))</f>
        <v>Normal</v>
      </c>
      <c r="K346" s="52" t="str">
        <f>IF($C346="B",INDEX(Batters[[#All],[INT]],MATCH(Table5[[#This Row],[PID]],Batters[[#All],[PID]],0)),INDEX(Table3[[#All],[INT]],MATCH(Table5[[#This Row],[PID]],Table3[[#All],[PID]],0)))</f>
        <v>Normal</v>
      </c>
      <c r="L346" s="60">
        <f>IF($C346="B",INDEX(Batters[[#All],[CON P]],MATCH(Table5[[#This Row],[PID]],Batters[[#All],[PID]],0)),INDEX(Table3[[#All],[STU P]],MATCH(Table5[[#This Row],[PID]],Table3[[#All],[PID]],0)))</f>
        <v>3</v>
      </c>
      <c r="M346" s="56">
        <f>IF($C346="B",INDEX(Batters[[#All],[GAP P]],MATCH(Table5[[#This Row],[PID]],Batters[[#All],[PID]],0)),INDEX(Table3[[#All],[MOV P]],MATCH(Table5[[#This Row],[PID]],Table3[[#All],[PID]],0)))</f>
        <v>4</v>
      </c>
      <c r="N346" s="56">
        <f>IF($C346="B",INDEX(Batters[[#All],[POW P]],MATCH(Table5[[#This Row],[PID]],Batters[[#All],[PID]],0)),INDEX(Table3[[#All],[CON P]],MATCH(Table5[[#This Row],[PID]],Table3[[#All],[PID]],0)))</f>
        <v>5</v>
      </c>
      <c r="O346" s="56">
        <f>IF($C346="B",INDEX(Batters[[#All],[EYE P]],MATCH(Table5[[#This Row],[PID]],Batters[[#All],[PID]],0)),INDEX(Table3[[#All],[VELO]],MATCH(Table5[[#This Row],[PID]],Table3[[#All],[PID]],0)))</f>
        <v>6</v>
      </c>
      <c r="P346" s="56">
        <f>IF($C346="B",INDEX(Batters[[#All],[K P]],MATCH(Table5[[#This Row],[PID]],Batters[[#All],[PID]],0)),INDEX(Table3[[#All],[STM]],MATCH(Table5[[#This Row],[PID]],Table3[[#All],[PID]],0)))</f>
        <v>2</v>
      </c>
      <c r="Q346" s="61">
        <f>IF($C346="B",INDEX(Batters[[#All],[Tot]],MATCH(Table5[[#This Row],[PID]],Batters[[#All],[PID]],0)),INDEX(Table3[[#All],[Tot]],MATCH(Table5[[#This Row],[PID]],Table3[[#All],[PID]],0)))</f>
        <v>44.225939098154385</v>
      </c>
      <c r="R346" s="52">
        <f>IF($C346="B",INDEX(Batters[[#All],[zScore]],MATCH(Table5[[#This Row],[PID]],Batters[[#All],[PID]],0)),INDEX(Table3[[#All],[zScore]],MATCH(Table5[[#This Row],[PID]],Table3[[#All],[PID]],0)))</f>
        <v>2.0840297151406287E-2</v>
      </c>
      <c r="S346" s="58" t="str">
        <f>IF($C346="B",INDEX(Batters[[#All],[DEM]],MATCH(Table5[[#This Row],[PID]],Batters[[#All],[PID]],0)),INDEX(Table3[[#All],[DEM]],MATCH(Table5[[#This Row],[PID]],Table3[[#All],[PID]],0)))</f>
        <v>$100k</v>
      </c>
      <c r="T346" s="62">
        <f>IF($C346="B",INDEX(Batters[[#All],[Rnk]],MATCH(Table5[[#This Row],[PID]],Batters[[#All],[PID]],0)),INDEX(Table3[[#All],[Rnk]],MATCH(Table5[[#This Row],[PID]],Table3[[#All],[PID]],0)))</f>
        <v>240</v>
      </c>
      <c r="U346" s="68">
        <f>IF($C346="B",VLOOKUP($A346,Bat!$A$4:$BA$1621,47,FALSE),VLOOKUP($A346,Pit!$A$4:$BF$1557,56,FALSE))</f>
        <v>0</v>
      </c>
      <c r="V346" s="50">
        <f>IF($C346="B",VLOOKUP($A346,Bat!$A$4:$BA$1621,48,FALSE),VLOOKUP($A346,Pit!$A$4:$BF$1557,57,FALSE))</f>
        <v>0</v>
      </c>
      <c r="W346" s="50">
        <f>Table5[[#This Row],[posRnk]]+Table5[[#This Row],[zRnk]]+IF($W$3&lt;&gt;Table5[[#This Row],[Type]],50,0)</f>
        <v>832</v>
      </c>
      <c r="X346" s="51">
        <f>RANK(Table5[[#This Row],[zScore]],Table5[[#All],[zScore]])</f>
        <v>542</v>
      </c>
      <c r="Y346" s="50">
        <f>IFERROR(INDEX(DraftResults[[#All],[OVR]],MATCH(Table5[[#This Row],[PID]],DraftResults[[#All],[Player ID]],0)),"")</f>
        <v>342</v>
      </c>
      <c r="Z3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6" s="50">
        <f>IFERROR(INDEX(DraftResults[[#All],[Pick in Round]],MATCH(Table5[[#This Row],[PID]],DraftResults[[#All],[Player ID]],0)),"")</f>
        <v>4</v>
      </c>
      <c r="AB346" s="50" t="str">
        <f>IFERROR(INDEX(DraftResults[[#All],[Team Name]],MATCH(Table5[[#This Row],[PID]],DraftResults[[#All],[Player ID]],0)),"")</f>
        <v>Tempe Knights</v>
      </c>
      <c r="AC346" s="50">
        <f>IF(Table5[[#This Row],[Ovr]]="","",IF(Table5[[#This Row],[cmbList]]="","",Table5[[#This Row],[cmbList]]-Table5[[#This Row],[Ovr]]))</f>
        <v>490</v>
      </c>
      <c r="AD346" s="54" t="str">
        <f>IF(ISERROR(VLOOKUP($AB346&amp;"-"&amp;$E346&amp;" "&amp;F346,Bonuses!$B$1:$G$1006,4,FALSE)),"",INT(VLOOKUP($AB346&amp;"-"&amp;$E346&amp;" "&amp;$F346,Bonuses!$B$1:$G$1006,4,FALSE)))</f>
        <v/>
      </c>
      <c r="AE3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12.4 (342) - 3B John Vaden</v>
      </c>
    </row>
    <row r="347" spans="1:31" s="50" customFormat="1" x14ac:dyDescent="0.25">
      <c r="A347" s="68">
        <v>18283</v>
      </c>
      <c r="B347" s="69">
        <f>COUNTIF(Table5[PID],A347)</f>
        <v>1</v>
      </c>
      <c r="C347" s="69" t="str">
        <f>IF(COUNTIF(Table3[[#All],[PID]],A347)&gt;0,"P","B")</f>
        <v>P</v>
      </c>
      <c r="D347" s="59" t="str">
        <f>IF($C347="B",INDEX(Batters[[#All],[POS]],MATCH(Table5[[#This Row],[PID]],Batters[[#All],[PID]],0)),INDEX(Table3[[#All],[POS]],MATCH(Table5[[#This Row],[PID]],Table3[[#All],[PID]],0)))</f>
        <v>SP</v>
      </c>
      <c r="E347" s="52" t="str">
        <f>IF($C347="B",INDEX(Batters[[#All],[First]],MATCH(Table5[[#This Row],[PID]],Batters[[#All],[PID]],0)),INDEX(Table3[[#All],[First]],MATCH(Table5[[#This Row],[PID]],Table3[[#All],[PID]],0)))</f>
        <v>César</v>
      </c>
      <c r="F347" s="55" t="str">
        <f>IF($C347="B",INDEX(Batters[[#All],[Last]],MATCH(A347,Batters[[#All],[PID]],0)),INDEX(Table3[[#All],[Last]],MATCH(A347,Table3[[#All],[PID]],0)))</f>
        <v>Montés</v>
      </c>
      <c r="G347" s="56">
        <f>IF($C347="B",INDEX(Batters[[#All],[Age]],MATCH(Table5[[#This Row],[PID]],Batters[[#All],[PID]],0)),INDEX(Table3[[#All],[Age]],MATCH(Table5[[#This Row],[PID]],Table3[[#All],[PID]],0)))</f>
        <v>21</v>
      </c>
      <c r="H347" s="52" t="str">
        <f>IF($C347="B",INDEX(Batters[[#All],[B]],MATCH(Table5[[#This Row],[PID]],Batters[[#All],[PID]],0)),INDEX(Table3[[#All],[B]],MATCH(Table5[[#This Row],[PID]],Table3[[#All],[PID]],0)))</f>
        <v>S</v>
      </c>
      <c r="I347" s="52" t="str">
        <f>IF($C347="B",INDEX(Batters[[#All],[T]],MATCH(Table5[[#This Row],[PID]],Batters[[#All],[PID]],0)),INDEX(Table3[[#All],[T]],MATCH(Table5[[#This Row],[PID]],Table3[[#All],[PID]],0)))</f>
        <v>R</v>
      </c>
      <c r="J347" s="71" t="str">
        <f>IF($C347="B",INDEX(Batters[[#All],[WE]],MATCH(Table5[[#This Row],[PID]],Batters[[#All],[PID]],0)),INDEX(Table3[[#All],[WE]],MATCH(Table5[[#This Row],[PID]],Table3[[#All],[PID]],0)))</f>
        <v>Low</v>
      </c>
      <c r="K347" s="52" t="str">
        <f>IF($C347="B",INDEX(Batters[[#All],[INT]],MATCH(Table5[[#This Row],[PID]],Batters[[#All],[PID]],0)),INDEX(Table3[[#All],[INT]],MATCH(Table5[[#This Row],[PID]],Table3[[#All],[PID]],0)))</f>
        <v>Normal</v>
      </c>
      <c r="L347" s="60">
        <f>IF($C347="B",INDEX(Batters[[#All],[CON P]],MATCH(Table5[[#This Row],[PID]],Batters[[#All],[PID]],0)),INDEX(Table3[[#All],[STU P]],MATCH(Table5[[#This Row],[PID]],Table3[[#All],[PID]],0)))</f>
        <v>4</v>
      </c>
      <c r="M347" s="72">
        <f>IF($C347="B",INDEX(Batters[[#All],[GAP P]],MATCH(Table5[[#This Row],[PID]],Batters[[#All],[PID]],0)),INDEX(Table3[[#All],[MOV P]],MATCH(Table5[[#This Row],[PID]],Table3[[#All],[PID]],0)))</f>
        <v>5</v>
      </c>
      <c r="N347" s="72">
        <f>IF($C347="B",INDEX(Batters[[#All],[POW P]],MATCH(Table5[[#This Row],[PID]],Batters[[#All],[PID]],0)),INDEX(Table3[[#All],[CON P]],MATCH(Table5[[#This Row],[PID]],Table3[[#All],[PID]],0)))</f>
        <v>4</v>
      </c>
      <c r="O347" s="72" t="str">
        <f>IF($C347="B",INDEX(Batters[[#All],[EYE P]],MATCH(Table5[[#This Row],[PID]],Batters[[#All],[PID]],0)),INDEX(Table3[[#All],[VELO]],MATCH(Table5[[#This Row],[PID]],Table3[[#All],[PID]],0)))</f>
        <v>92-94 Mph</v>
      </c>
      <c r="P347" s="56">
        <f>IF($C347="B",INDEX(Batters[[#All],[K P]],MATCH(Table5[[#This Row],[PID]],Batters[[#All],[PID]],0)),INDEX(Table3[[#All],[STM]],MATCH(Table5[[#This Row],[PID]],Table3[[#All],[PID]],0)))</f>
        <v>10</v>
      </c>
      <c r="Q347" s="61">
        <f>IF($C347="B",INDEX(Batters[[#All],[Tot]],MATCH(Table5[[#This Row],[PID]],Batters[[#All],[PID]],0)),INDEX(Table3[[#All],[Tot]],MATCH(Table5[[#This Row],[PID]],Table3[[#All],[PID]],0)))</f>
        <v>47.648141598794751</v>
      </c>
      <c r="R347" s="52">
        <f>IF($C347="B",INDEX(Batters[[#All],[zScore]],MATCH(Table5[[#This Row],[PID]],Batters[[#All],[PID]],0)),INDEX(Table3[[#All],[zScore]],MATCH(Table5[[#This Row],[PID]],Table3[[#All],[PID]],0)))</f>
        <v>0.78354676544849533</v>
      </c>
      <c r="S347" s="78" t="str">
        <f>IF($C347="B",INDEX(Batters[[#All],[DEM]],MATCH(Table5[[#This Row],[PID]],Batters[[#All],[PID]],0)),INDEX(Table3[[#All],[DEM]],MATCH(Table5[[#This Row],[PID]],Table3[[#All],[PID]],0)))</f>
        <v>-</v>
      </c>
      <c r="T347" s="75">
        <f>IF($C347="B",INDEX(Batters[[#All],[Rnk]],MATCH(Table5[[#This Row],[PID]],Batters[[#All],[PID]],0)),INDEX(Table3[[#All],[Rnk]],MATCH(Table5[[#This Row],[PID]],Table3[[#All],[PID]],0)))</f>
        <v>174</v>
      </c>
      <c r="U347" s="68">
        <f>IF($C347="B",VLOOKUP($A347,Bat!$A$4:$BA$1621,47,FALSE),VLOOKUP($A347,Pit!$A$4:$BF$1557,56,FALSE))</f>
        <v>0</v>
      </c>
      <c r="V347" s="50">
        <f>IF($C347="B",VLOOKUP($A347,Bat!$A$4:$BA$1621,48,FALSE),VLOOKUP($A347,Pit!$A$4:$BF$1557,57,FALSE))</f>
        <v>0</v>
      </c>
      <c r="W347" s="69">
        <f>Table5[[#This Row],[posRnk]]+Table5[[#This Row],[zRnk]]+IF($W$3&lt;&gt;Table5[[#This Row],[Type]],50,0)</f>
        <v>513</v>
      </c>
      <c r="X347" s="73">
        <f>RANK(Table5[[#This Row],[zScore]],Table5[[#All],[zScore]])</f>
        <v>289</v>
      </c>
      <c r="Y347" s="69">
        <f>IFERROR(INDEX(DraftResults[[#All],[OVR]],MATCH(Table5[[#This Row],[PID]],DraftResults[[#All],[Player ID]],0)),"")</f>
        <v>343</v>
      </c>
      <c r="Z34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7" s="69">
        <f>IFERROR(INDEX(DraftResults[[#All],[Pick in Round]],MATCH(Table5[[#This Row],[PID]],DraftResults[[#All],[Player ID]],0)),"")</f>
        <v>5</v>
      </c>
      <c r="AB347" s="69" t="str">
        <f>IFERROR(INDEX(DraftResults[[#All],[Team Name]],MATCH(Table5[[#This Row],[PID]],DraftResults[[#All],[Player ID]],0)),"")</f>
        <v>Okinawa Shisa</v>
      </c>
      <c r="AC347" s="69">
        <f>IF(Table5[[#This Row],[Ovr]]="","",IF(Table5[[#This Row],[cmbList]]="","",Table5[[#This Row],[cmbList]]-Table5[[#This Row],[Ovr]]))</f>
        <v>170</v>
      </c>
      <c r="AD347" s="77" t="str">
        <f>IF(ISERROR(VLOOKUP($AB347&amp;"-"&amp;$E347&amp;" "&amp;F347,Bonuses!$B$1:$G$1006,4,FALSE)),"",INT(VLOOKUP($AB347&amp;"-"&amp;$E347&amp;" "&amp;$F347,Bonuses!$B$1:$G$1006,4,FALSE)))</f>
        <v/>
      </c>
      <c r="AE34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12.5 (343) - SP César Montés</v>
      </c>
    </row>
    <row r="348" spans="1:31" s="50" customFormat="1" x14ac:dyDescent="0.25">
      <c r="A348" s="50">
        <v>18251</v>
      </c>
      <c r="B348" s="50">
        <f>COUNTIF(Table5[PID],A348)</f>
        <v>1</v>
      </c>
      <c r="C348" s="50" t="str">
        <f>IF(COUNTIF(Table3[[#All],[PID]],A348)&gt;0,"P","B")</f>
        <v>B</v>
      </c>
      <c r="D348" s="59" t="str">
        <f>IF($C348="B",INDEX(Batters[[#All],[POS]],MATCH(Table5[[#This Row],[PID]],Batters[[#All],[PID]],0)),INDEX(Table3[[#All],[POS]],MATCH(Table5[[#This Row],[PID]],Table3[[#All],[PID]],0)))</f>
        <v>3B</v>
      </c>
      <c r="E348" s="52" t="str">
        <f>IF($C348="B",INDEX(Batters[[#All],[First]],MATCH(Table5[[#This Row],[PID]],Batters[[#All],[PID]],0)),INDEX(Table3[[#All],[First]],MATCH(Table5[[#This Row],[PID]],Table3[[#All],[PID]],0)))</f>
        <v>Raúl</v>
      </c>
      <c r="F348" s="50" t="str">
        <f>IF($C348="B",INDEX(Batters[[#All],[Last]],MATCH(A348,Batters[[#All],[PID]],0)),INDEX(Table3[[#All],[Last]],MATCH(A348,Table3[[#All],[PID]],0)))</f>
        <v>Pinazo</v>
      </c>
      <c r="G348" s="56">
        <f>IF($C348="B",INDEX(Batters[[#All],[Age]],MATCH(Table5[[#This Row],[PID]],Batters[[#All],[PID]],0)),INDEX(Table3[[#All],[Age]],MATCH(Table5[[#This Row],[PID]],Table3[[#All],[PID]],0)))</f>
        <v>18</v>
      </c>
      <c r="H348" s="52" t="str">
        <f>IF($C348="B",INDEX(Batters[[#All],[B]],MATCH(Table5[[#This Row],[PID]],Batters[[#All],[PID]],0)),INDEX(Table3[[#All],[B]],MATCH(Table5[[#This Row],[PID]],Table3[[#All],[PID]],0)))</f>
        <v>S</v>
      </c>
      <c r="I348" s="52" t="str">
        <f>IF($C348="B",INDEX(Batters[[#All],[T]],MATCH(Table5[[#This Row],[PID]],Batters[[#All],[PID]],0)),INDEX(Table3[[#All],[T]],MATCH(Table5[[#This Row],[PID]],Table3[[#All],[PID]],0)))</f>
        <v>R</v>
      </c>
      <c r="J348" s="52" t="str">
        <f>IF($C348="B",INDEX(Batters[[#All],[WE]],MATCH(Table5[[#This Row],[PID]],Batters[[#All],[PID]],0)),INDEX(Table3[[#All],[WE]],MATCH(Table5[[#This Row],[PID]],Table3[[#All],[PID]],0)))</f>
        <v>High</v>
      </c>
      <c r="K348" s="52" t="str">
        <f>IF($C348="B",INDEX(Batters[[#All],[INT]],MATCH(Table5[[#This Row],[PID]],Batters[[#All],[PID]],0)),INDEX(Table3[[#All],[INT]],MATCH(Table5[[#This Row],[PID]],Table3[[#All],[PID]],0)))</f>
        <v>Normal</v>
      </c>
      <c r="L348" s="60">
        <f>IF($C348="B",INDEX(Batters[[#All],[CON P]],MATCH(Table5[[#This Row],[PID]],Batters[[#All],[PID]],0)),INDEX(Table3[[#All],[STU P]],MATCH(Table5[[#This Row],[PID]],Table3[[#All],[PID]],0)))</f>
        <v>4</v>
      </c>
      <c r="M348" s="56">
        <f>IF($C348="B",INDEX(Batters[[#All],[GAP P]],MATCH(Table5[[#This Row],[PID]],Batters[[#All],[PID]],0)),INDEX(Table3[[#All],[MOV P]],MATCH(Table5[[#This Row],[PID]],Table3[[#All],[PID]],0)))</f>
        <v>5</v>
      </c>
      <c r="N348" s="56">
        <f>IF($C348="B",INDEX(Batters[[#All],[POW P]],MATCH(Table5[[#This Row],[PID]],Batters[[#All],[PID]],0)),INDEX(Table3[[#All],[CON P]],MATCH(Table5[[#This Row],[PID]],Table3[[#All],[PID]],0)))</f>
        <v>5</v>
      </c>
      <c r="O348" s="56">
        <f>IF($C348="B",INDEX(Batters[[#All],[EYE P]],MATCH(Table5[[#This Row],[PID]],Batters[[#All],[PID]],0)),INDEX(Table3[[#All],[VELO]],MATCH(Table5[[#This Row],[PID]],Table3[[#All],[PID]],0)))</f>
        <v>3</v>
      </c>
      <c r="P348" s="56">
        <f>IF($C348="B",INDEX(Batters[[#All],[K P]],MATCH(Table5[[#This Row],[PID]],Batters[[#All],[PID]],0)),INDEX(Table3[[#All],[STM]],MATCH(Table5[[#This Row],[PID]],Table3[[#All],[PID]],0)))</f>
        <v>4</v>
      </c>
      <c r="Q348" s="61">
        <f>IF($C348="B",INDEX(Batters[[#All],[Tot]],MATCH(Table5[[#This Row],[PID]],Batters[[#All],[PID]],0)),INDEX(Table3[[#All],[Tot]],MATCH(Table5[[#This Row],[PID]],Table3[[#All],[PID]],0)))</f>
        <v>47.069644409570252</v>
      </c>
      <c r="R348" s="52">
        <f>IF($C348="B",INDEX(Batters[[#All],[zScore]],MATCH(Table5[[#This Row],[PID]],Batters[[#All],[PID]],0)),INDEX(Table3[[#All],[zScore]],MATCH(Table5[[#This Row],[PID]],Table3[[#All],[PID]],0)))</f>
        <v>0.65130898635629864</v>
      </c>
      <c r="S348" s="58" t="str">
        <f>IF($C348="B",INDEX(Batters[[#All],[DEM]],MATCH(Table5[[#This Row],[PID]],Batters[[#All],[PID]],0)),INDEX(Table3[[#All],[DEM]],MATCH(Table5[[#This Row],[PID]],Table3[[#All],[PID]],0)))</f>
        <v>$190k</v>
      </c>
      <c r="T348" s="62">
        <f>IF($C348="B",INDEX(Batters[[#All],[Rnk]],MATCH(Table5[[#This Row],[PID]],Batters[[#All],[PID]],0)),INDEX(Table3[[#All],[Rnk]],MATCH(Table5[[#This Row],[PID]],Table3[[#All],[PID]],0)))</f>
        <v>129</v>
      </c>
      <c r="U348" s="68">
        <f>IF($C348="B",VLOOKUP($A348,Bat!$A$4:$BA$1621,47,FALSE),VLOOKUP($A348,Pit!$A$4:$BF$1557,56,FALSE))</f>
        <v>0</v>
      </c>
      <c r="V348" s="50">
        <f>IF($C348="B",VLOOKUP($A348,Bat!$A$4:$BA$1621,48,FALSE),VLOOKUP($A348,Pit!$A$4:$BF$1557,57,FALSE))</f>
        <v>0</v>
      </c>
      <c r="W348" s="50">
        <f>Table5[[#This Row],[posRnk]]+Table5[[#This Row],[zRnk]]+IF($W$3&lt;&gt;Table5[[#This Row],[Type]],50,0)</f>
        <v>501</v>
      </c>
      <c r="X348" s="51">
        <f>RANK(Table5[[#This Row],[zScore]],Table5[[#All],[zScore]])</f>
        <v>322</v>
      </c>
      <c r="Y348" s="50">
        <f>IFERROR(INDEX(DraftResults[[#All],[OVR]],MATCH(Table5[[#This Row],[PID]],DraftResults[[#All],[Player ID]],0)),"")</f>
        <v>344</v>
      </c>
      <c r="Z3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8" s="50">
        <f>IFERROR(INDEX(DraftResults[[#All],[Pick in Round]],MATCH(Table5[[#This Row],[PID]],DraftResults[[#All],[Player ID]],0)),"")</f>
        <v>6</v>
      </c>
      <c r="AB348" s="50" t="str">
        <f>IFERROR(INDEX(DraftResults[[#All],[Team Name]],MATCH(Table5[[#This Row],[PID]],DraftResults[[#All],[Player ID]],0)),"")</f>
        <v>Manchester Maulers</v>
      </c>
      <c r="AC348" s="50">
        <f>IF(Table5[[#This Row],[Ovr]]="","",IF(Table5[[#This Row],[cmbList]]="","",Table5[[#This Row],[cmbList]]-Table5[[#This Row],[Ovr]]))</f>
        <v>157</v>
      </c>
      <c r="AD348" s="54" t="str">
        <f>IF(ISERROR(VLOOKUP($AB348&amp;"-"&amp;$E348&amp;" "&amp;F348,Bonuses!$B$1:$G$1006,4,FALSE)),"",INT(VLOOKUP($AB348&amp;"-"&amp;$E348&amp;" "&amp;$F348,Bonuses!$B$1:$G$1006,4,FALSE)))</f>
        <v/>
      </c>
      <c r="AE3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12.6 (344) - 3B Raúl Pinazo</v>
      </c>
    </row>
    <row r="349" spans="1:31" s="50" customFormat="1" x14ac:dyDescent="0.25">
      <c r="A349" s="68">
        <v>18307</v>
      </c>
      <c r="B349" s="69">
        <f>COUNTIF(Table5[PID],A349)</f>
        <v>1</v>
      </c>
      <c r="C349" s="69" t="str">
        <f>IF(COUNTIF(Table3[[#All],[PID]],A349)&gt;0,"P","B")</f>
        <v>P</v>
      </c>
      <c r="D349" s="59" t="str">
        <f>IF($C349="B",INDEX(Batters[[#All],[POS]],MATCH(Table5[[#This Row],[PID]],Batters[[#All],[PID]],0)),INDEX(Table3[[#All],[POS]],MATCH(Table5[[#This Row],[PID]],Table3[[#All],[PID]],0)))</f>
        <v>SP</v>
      </c>
      <c r="E349" s="52" t="str">
        <f>IF($C349="B",INDEX(Batters[[#All],[First]],MATCH(Table5[[#This Row],[PID]],Batters[[#All],[PID]],0)),INDEX(Table3[[#All],[First]],MATCH(Table5[[#This Row],[PID]],Table3[[#All],[PID]],0)))</f>
        <v>Nobuhisa</v>
      </c>
      <c r="F349" s="55" t="str">
        <f>IF($C349="B",INDEX(Batters[[#All],[Last]],MATCH(A349,Batters[[#All],[PID]],0)),INDEX(Table3[[#All],[Last]],MATCH(A349,Table3[[#All],[PID]],0)))</f>
        <v>Ohayashi</v>
      </c>
      <c r="G349" s="56">
        <f>IF($C349="B",INDEX(Batters[[#All],[Age]],MATCH(Table5[[#This Row],[PID]],Batters[[#All],[PID]],0)),INDEX(Table3[[#All],[Age]],MATCH(Table5[[#This Row],[PID]],Table3[[#All],[PID]],0)))</f>
        <v>21</v>
      </c>
      <c r="H349" s="52" t="str">
        <f>IF($C349="B",INDEX(Batters[[#All],[B]],MATCH(Table5[[#This Row],[PID]],Batters[[#All],[PID]],0)),INDEX(Table3[[#All],[B]],MATCH(Table5[[#This Row],[PID]],Table3[[#All],[PID]],0)))</f>
        <v>R</v>
      </c>
      <c r="I349" s="52" t="str">
        <f>IF($C349="B",INDEX(Batters[[#All],[T]],MATCH(Table5[[#This Row],[PID]],Batters[[#All],[PID]],0)),INDEX(Table3[[#All],[T]],MATCH(Table5[[#This Row],[PID]],Table3[[#All],[PID]],0)))</f>
        <v>R</v>
      </c>
      <c r="J349" s="71" t="str">
        <f>IF($C349="B",INDEX(Batters[[#All],[WE]],MATCH(Table5[[#This Row],[PID]],Batters[[#All],[PID]],0)),INDEX(Table3[[#All],[WE]],MATCH(Table5[[#This Row],[PID]],Table3[[#All],[PID]],0)))</f>
        <v>Normal</v>
      </c>
      <c r="K349" s="52" t="str">
        <f>IF($C349="B",INDEX(Batters[[#All],[INT]],MATCH(Table5[[#This Row],[PID]],Batters[[#All],[PID]],0)),INDEX(Table3[[#All],[INT]],MATCH(Table5[[#This Row],[PID]],Table3[[#All],[PID]],0)))</f>
        <v>Normal</v>
      </c>
      <c r="L349" s="60">
        <f>IF($C349="B",INDEX(Batters[[#All],[CON P]],MATCH(Table5[[#This Row],[PID]],Batters[[#All],[PID]],0)),INDEX(Table3[[#All],[STU P]],MATCH(Table5[[#This Row],[PID]],Table3[[#All],[PID]],0)))</f>
        <v>6</v>
      </c>
      <c r="M349" s="72">
        <f>IF($C349="B",INDEX(Batters[[#All],[GAP P]],MATCH(Table5[[#This Row],[PID]],Batters[[#All],[PID]],0)),INDEX(Table3[[#All],[MOV P]],MATCH(Table5[[#This Row],[PID]],Table3[[#All],[PID]],0)))</f>
        <v>4</v>
      </c>
      <c r="N349" s="72">
        <f>IF($C349="B",INDEX(Batters[[#All],[POW P]],MATCH(Table5[[#This Row],[PID]],Batters[[#All],[PID]],0)),INDEX(Table3[[#All],[CON P]],MATCH(Table5[[#This Row],[PID]],Table3[[#All],[PID]],0)))</f>
        <v>3</v>
      </c>
      <c r="O349" s="72" t="str">
        <f>IF($C349="B",INDEX(Batters[[#All],[EYE P]],MATCH(Table5[[#This Row],[PID]],Batters[[#All],[PID]],0)),INDEX(Table3[[#All],[VELO]],MATCH(Table5[[#This Row],[PID]],Table3[[#All],[PID]],0)))</f>
        <v>94-96 Mph</v>
      </c>
      <c r="P349" s="56">
        <f>IF($C349="B",INDEX(Batters[[#All],[K P]],MATCH(Table5[[#This Row],[PID]],Batters[[#All],[PID]],0)),INDEX(Table3[[#All],[STM]],MATCH(Table5[[#This Row],[PID]],Table3[[#All],[PID]],0)))</f>
        <v>4</v>
      </c>
      <c r="Q349" s="61">
        <f>IF($C349="B",INDEX(Batters[[#All],[Tot]],MATCH(Table5[[#This Row],[PID]],Batters[[#All],[PID]],0)),INDEX(Table3[[#All],[Tot]],MATCH(Table5[[#This Row],[PID]],Table3[[#All],[PID]],0)))</f>
        <v>47.864443943304821</v>
      </c>
      <c r="R349" s="52">
        <f>IF($C349="B",INDEX(Batters[[#All],[zScore]],MATCH(Table5[[#This Row],[PID]],Batters[[#All],[PID]],0)),INDEX(Table3[[#All],[zScore]],MATCH(Table5[[#This Row],[PID]],Table3[[#All],[PID]],0)))</f>
        <v>0.79793702989522497</v>
      </c>
      <c r="S349" s="78" t="str">
        <f>IF($C349="B",INDEX(Batters[[#All],[DEM]],MATCH(Table5[[#This Row],[PID]],Batters[[#All],[PID]],0)),INDEX(Table3[[#All],[DEM]],MATCH(Table5[[#This Row],[PID]],Table3[[#All],[PID]],0)))</f>
        <v>$20k</v>
      </c>
      <c r="T349" s="75">
        <f>IF($C349="B",INDEX(Batters[[#All],[Rnk]],MATCH(Table5[[#This Row],[PID]],Batters[[#All],[PID]],0)),INDEX(Table3[[#All],[Rnk]],MATCH(Table5[[#This Row],[PID]],Table3[[#All],[PID]],0)))</f>
        <v>171</v>
      </c>
      <c r="U349" s="68">
        <f>IF($C349="B",VLOOKUP($A349,Bat!$A$4:$BA$1621,47,FALSE),VLOOKUP($A349,Pit!$A$4:$BF$1557,56,FALSE))</f>
        <v>0</v>
      </c>
      <c r="V349" s="50">
        <f>IF($C349="B",VLOOKUP($A349,Bat!$A$4:$BA$1621,48,FALSE),VLOOKUP($A349,Pit!$A$4:$BF$1557,57,FALSE))</f>
        <v>0</v>
      </c>
      <c r="W349" s="69">
        <f>Table5[[#This Row],[posRnk]]+Table5[[#This Row],[zRnk]]+IF($W$3&lt;&gt;Table5[[#This Row],[Type]],50,0)</f>
        <v>505</v>
      </c>
      <c r="X349" s="73">
        <f>RANK(Table5[[#This Row],[zScore]],Table5[[#All],[zScore]])</f>
        <v>284</v>
      </c>
      <c r="Y349" s="69">
        <f>IFERROR(INDEX(DraftResults[[#All],[OVR]],MATCH(Table5[[#This Row],[PID]],DraftResults[[#All],[Player ID]],0)),"")</f>
        <v>345</v>
      </c>
      <c r="Z34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49" s="69">
        <f>IFERROR(INDEX(DraftResults[[#All],[Pick in Round]],MATCH(Table5[[#This Row],[PID]],DraftResults[[#All],[Player ID]],0)),"")</f>
        <v>7</v>
      </c>
      <c r="AB349" s="69" t="str">
        <f>IFERROR(INDEX(DraftResults[[#All],[Team Name]],MATCH(Table5[[#This Row],[PID]],DraftResults[[#All],[Player ID]],0)),"")</f>
        <v>Niihama-shi Ghosts</v>
      </c>
      <c r="AC349" s="69">
        <f>IF(Table5[[#This Row],[Ovr]]="","",IF(Table5[[#This Row],[cmbList]]="","",Table5[[#This Row],[cmbList]]-Table5[[#This Row],[Ovr]]))</f>
        <v>160</v>
      </c>
      <c r="AD349" s="77" t="str">
        <f>IF(ISERROR(VLOOKUP($AB349&amp;"-"&amp;$E349&amp;" "&amp;F349,Bonuses!$B$1:$G$1006,4,FALSE)),"",INT(VLOOKUP($AB349&amp;"-"&amp;$E349&amp;" "&amp;$F349,Bonuses!$B$1:$G$1006,4,FALSE)))</f>
        <v/>
      </c>
      <c r="AE34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12.7 (345) - SP Nobuhisa Ohayashi</v>
      </c>
    </row>
    <row r="350" spans="1:31" s="50" customFormat="1" x14ac:dyDescent="0.25">
      <c r="A350" s="50">
        <v>16923</v>
      </c>
      <c r="B350" s="55">
        <f>COUNTIF(Table5[PID],A350)</f>
        <v>1</v>
      </c>
      <c r="C350" s="55" t="str">
        <f>IF(COUNTIF(Table3[[#All],[PID]],A350)&gt;0,"P","B")</f>
        <v>B</v>
      </c>
      <c r="D350" s="59" t="str">
        <f>IF($C350="B",INDEX(Batters[[#All],[POS]],MATCH(Table5[[#This Row],[PID]],Batters[[#All],[PID]],0)),INDEX(Table3[[#All],[POS]],MATCH(Table5[[#This Row],[PID]],Table3[[#All],[PID]],0)))</f>
        <v>RF</v>
      </c>
      <c r="E350" s="52" t="str">
        <f>IF($C350="B",INDEX(Batters[[#All],[First]],MATCH(Table5[[#This Row],[PID]],Batters[[#All],[PID]],0)),INDEX(Table3[[#All],[First]],MATCH(Table5[[#This Row],[PID]],Table3[[#All],[PID]],0)))</f>
        <v>Sloan</v>
      </c>
      <c r="F350" s="50" t="str">
        <f>IF($C350="B",INDEX(Batters[[#All],[Last]],MATCH(A350,Batters[[#All],[PID]],0)),INDEX(Table3[[#All],[Last]],MATCH(A350,Table3[[#All],[PID]],0)))</f>
        <v>Anderson</v>
      </c>
      <c r="G350" s="56">
        <f>IF($C350="B",INDEX(Batters[[#All],[Age]],MATCH(Table5[[#This Row],[PID]],Batters[[#All],[PID]],0)),INDEX(Table3[[#All],[Age]],MATCH(Table5[[#This Row],[PID]],Table3[[#All],[PID]],0)))</f>
        <v>21</v>
      </c>
      <c r="H350" s="52" t="str">
        <f>IF($C350="B",INDEX(Batters[[#All],[B]],MATCH(Table5[[#This Row],[PID]],Batters[[#All],[PID]],0)),INDEX(Table3[[#All],[B]],MATCH(Table5[[#This Row],[PID]],Table3[[#All],[PID]],0)))</f>
        <v>R</v>
      </c>
      <c r="I350" s="52" t="str">
        <f>IF($C350="B",INDEX(Batters[[#All],[T]],MATCH(Table5[[#This Row],[PID]],Batters[[#All],[PID]],0)),INDEX(Table3[[#All],[T]],MATCH(Table5[[#This Row],[PID]],Table3[[#All],[PID]],0)))</f>
        <v>L</v>
      </c>
      <c r="J350" s="52" t="str">
        <f>IF($C350="B",INDEX(Batters[[#All],[WE]],MATCH(Table5[[#This Row],[PID]],Batters[[#All],[PID]],0)),INDEX(Table3[[#All],[WE]],MATCH(Table5[[#This Row],[PID]],Table3[[#All],[PID]],0)))</f>
        <v>Low</v>
      </c>
      <c r="K350" s="52" t="str">
        <f>IF($C350="B",INDEX(Batters[[#All],[INT]],MATCH(Table5[[#This Row],[PID]],Batters[[#All],[PID]],0)),INDEX(Table3[[#All],[INT]],MATCH(Table5[[#This Row],[PID]],Table3[[#All],[PID]],0)))</f>
        <v>Normal</v>
      </c>
      <c r="L350" s="60">
        <f>IF($C350="B",INDEX(Batters[[#All],[CON P]],MATCH(Table5[[#This Row],[PID]],Batters[[#All],[PID]],0)),INDEX(Table3[[#All],[STU P]],MATCH(Table5[[#This Row],[PID]],Table3[[#All],[PID]],0)))</f>
        <v>4</v>
      </c>
      <c r="M350" s="56">
        <f>IF($C350="B",INDEX(Batters[[#All],[GAP P]],MATCH(Table5[[#This Row],[PID]],Batters[[#All],[PID]],0)),INDEX(Table3[[#All],[MOV P]],MATCH(Table5[[#This Row],[PID]],Table3[[#All],[PID]],0)))</f>
        <v>5</v>
      </c>
      <c r="N350" s="56">
        <f>IF($C350="B",INDEX(Batters[[#All],[POW P]],MATCH(Table5[[#This Row],[PID]],Batters[[#All],[PID]],0)),INDEX(Table3[[#All],[CON P]],MATCH(Table5[[#This Row],[PID]],Table3[[#All],[PID]],0)))</f>
        <v>5</v>
      </c>
      <c r="O350" s="56">
        <f>IF($C350="B",INDEX(Batters[[#All],[EYE P]],MATCH(Table5[[#This Row],[PID]],Batters[[#All],[PID]],0)),INDEX(Table3[[#All],[VELO]],MATCH(Table5[[#This Row],[PID]],Table3[[#All],[PID]],0)))</f>
        <v>5</v>
      </c>
      <c r="P350" s="56">
        <f>IF($C350="B",INDEX(Batters[[#All],[K P]],MATCH(Table5[[#This Row],[PID]],Batters[[#All],[PID]],0)),INDEX(Table3[[#All],[STM]],MATCH(Table5[[#This Row],[PID]],Table3[[#All],[PID]],0)))</f>
        <v>3</v>
      </c>
      <c r="Q350" s="61">
        <f>IF($C350="B",INDEX(Batters[[#All],[Tot]],MATCH(Table5[[#This Row],[PID]],Batters[[#All],[PID]],0)),INDEX(Table3[[#All],[Tot]],MATCH(Table5[[#This Row],[PID]],Table3[[#All],[PID]],0)))</f>
        <v>43.358676886685473</v>
      </c>
      <c r="R350" s="52">
        <f>IF($C350="B",INDEX(Batters[[#All],[zScore]],MATCH(Table5[[#This Row],[PID]],Batters[[#All],[PID]],0)),INDEX(Table3[[#All],[zScore]],MATCH(Table5[[#This Row],[PID]],Table3[[#All],[PID]],0)))</f>
        <v>-0.17143759727975089</v>
      </c>
      <c r="S350" s="58" t="str">
        <f>IF($C350="B",INDEX(Batters[[#All],[DEM]],MATCH(Table5[[#This Row],[PID]],Batters[[#All],[PID]],0)),INDEX(Table3[[#All],[DEM]],MATCH(Table5[[#This Row],[PID]],Table3[[#All],[PID]],0)))</f>
        <v>$37k</v>
      </c>
      <c r="T350" s="62">
        <f>IF($C350="B",INDEX(Batters[[#All],[Rnk]],MATCH(Table5[[#This Row],[PID]],Batters[[#All],[PID]],0)),INDEX(Table3[[#All],[Rnk]],MATCH(Table5[[#This Row],[PID]],Table3[[#All],[PID]],0)))</f>
        <v>274</v>
      </c>
      <c r="U350" s="68">
        <f>IF($C350="B",VLOOKUP($A350,Bat!$A$4:$BA$1621,47,FALSE),VLOOKUP($A350,Pit!$A$4:$BF$1557,56,FALSE))</f>
        <v>0</v>
      </c>
      <c r="V350" s="50">
        <f>IF($C350="B",VLOOKUP($A350,Bat!$A$4:$BA$1621,48,FALSE),VLOOKUP($A350,Pit!$A$4:$BF$1557,57,FALSE))</f>
        <v>0</v>
      </c>
      <c r="W350" s="50">
        <f>Table5[[#This Row],[posRnk]]+Table5[[#This Row],[zRnk]]+IF($W$3&lt;&gt;Table5[[#This Row],[Type]],50,0)</f>
        <v>972</v>
      </c>
      <c r="X350" s="51">
        <f>RANK(Table5[[#This Row],[zScore]],Table5[[#All],[zScore]])</f>
        <v>648</v>
      </c>
      <c r="Y350" s="50">
        <f>IFERROR(INDEX(DraftResults[[#All],[OVR]],MATCH(Table5[[#This Row],[PID]],DraftResults[[#All],[Player ID]],0)),"")</f>
        <v>346</v>
      </c>
      <c r="Z3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0" s="50">
        <f>IFERROR(INDEX(DraftResults[[#All],[Pick in Round]],MATCH(Table5[[#This Row],[PID]],DraftResults[[#All],[Player ID]],0)),"")</f>
        <v>8</v>
      </c>
      <c r="AB350" s="50" t="str">
        <f>IFERROR(INDEX(DraftResults[[#All],[Team Name]],MATCH(Table5[[#This Row],[PID]],DraftResults[[#All],[Player ID]],0)),"")</f>
        <v>London Underground</v>
      </c>
      <c r="AC350" s="50">
        <f>IF(Table5[[#This Row],[Ovr]]="","",IF(Table5[[#This Row],[cmbList]]="","",Table5[[#This Row],[cmbList]]-Table5[[#This Row],[Ovr]]))</f>
        <v>626</v>
      </c>
      <c r="AD350" s="54" t="str">
        <f>IF(ISERROR(VLOOKUP($AB350&amp;"-"&amp;$E350&amp;" "&amp;F350,Bonuses!$B$1:$G$1006,4,FALSE)),"",INT(VLOOKUP($AB350&amp;"-"&amp;$E350&amp;" "&amp;$F350,Bonuses!$B$1:$G$1006,4,FALSE)))</f>
        <v/>
      </c>
      <c r="AE3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12.8 (346) - RF Sloan Anderson</v>
      </c>
    </row>
    <row r="351" spans="1:31" s="50" customFormat="1" x14ac:dyDescent="0.25">
      <c r="A351" s="50">
        <v>20749</v>
      </c>
      <c r="B351" s="50">
        <f>COUNTIF(Table5[PID],A351)</f>
        <v>1</v>
      </c>
      <c r="C351" s="50" t="str">
        <f>IF(COUNTIF(Table3[[#All],[PID]],A351)&gt;0,"P","B")</f>
        <v>B</v>
      </c>
      <c r="D351" s="59" t="str">
        <f>IF($C351="B",INDEX(Batters[[#All],[POS]],MATCH(Table5[[#This Row],[PID]],Batters[[#All],[PID]],0)),INDEX(Table3[[#All],[POS]],MATCH(Table5[[#This Row],[PID]],Table3[[#All],[PID]],0)))</f>
        <v>RF</v>
      </c>
      <c r="E351" s="52" t="str">
        <f>IF($C351="B",INDEX(Batters[[#All],[First]],MATCH(Table5[[#This Row],[PID]],Batters[[#All],[PID]],0)),INDEX(Table3[[#All],[First]],MATCH(Table5[[#This Row],[PID]],Table3[[#All],[PID]],0)))</f>
        <v>Cam</v>
      </c>
      <c r="F351" s="50" t="str">
        <f>IF($C351="B",INDEX(Batters[[#All],[Last]],MATCH(A351,Batters[[#All],[PID]],0)),INDEX(Table3[[#All],[Last]],MATCH(A351,Table3[[#All],[PID]],0)))</f>
        <v>Hagger</v>
      </c>
      <c r="G351" s="56">
        <f>IF($C351="B",INDEX(Batters[[#All],[Age]],MATCH(Table5[[#This Row],[PID]],Batters[[#All],[PID]],0)),INDEX(Table3[[#All],[Age]],MATCH(Table5[[#This Row],[PID]],Table3[[#All],[PID]],0)))</f>
        <v>18</v>
      </c>
      <c r="H351" s="52" t="str">
        <f>IF($C351="B",INDEX(Batters[[#All],[B]],MATCH(Table5[[#This Row],[PID]],Batters[[#All],[PID]],0)),INDEX(Table3[[#All],[B]],MATCH(Table5[[#This Row],[PID]],Table3[[#All],[PID]],0)))</f>
        <v>L</v>
      </c>
      <c r="I351" s="52" t="str">
        <f>IF($C351="B",INDEX(Batters[[#All],[T]],MATCH(Table5[[#This Row],[PID]],Batters[[#All],[PID]],0)),INDEX(Table3[[#All],[T]],MATCH(Table5[[#This Row],[PID]],Table3[[#All],[PID]],0)))</f>
        <v>L</v>
      </c>
      <c r="J351" s="52" t="str">
        <f>IF($C351="B",INDEX(Batters[[#All],[WE]],MATCH(Table5[[#This Row],[PID]],Batters[[#All],[PID]],0)),INDEX(Table3[[#All],[WE]],MATCH(Table5[[#This Row],[PID]],Table3[[#All],[PID]],0)))</f>
        <v>High</v>
      </c>
      <c r="K351" s="52" t="str">
        <f>IF($C351="B",INDEX(Batters[[#All],[INT]],MATCH(Table5[[#This Row],[PID]],Batters[[#All],[PID]],0)),INDEX(Table3[[#All],[INT]],MATCH(Table5[[#This Row],[PID]],Table3[[#All],[PID]],0)))</f>
        <v>High</v>
      </c>
      <c r="L351" s="60">
        <f>IF($C351="B",INDEX(Batters[[#All],[CON P]],MATCH(Table5[[#This Row],[PID]],Batters[[#All],[PID]],0)),INDEX(Table3[[#All],[STU P]],MATCH(Table5[[#This Row],[PID]],Table3[[#All],[PID]],0)))</f>
        <v>3</v>
      </c>
      <c r="M351" s="56">
        <f>IF($C351="B",INDEX(Batters[[#All],[GAP P]],MATCH(Table5[[#This Row],[PID]],Batters[[#All],[PID]],0)),INDEX(Table3[[#All],[MOV P]],MATCH(Table5[[#This Row],[PID]],Table3[[#All],[PID]],0)))</f>
        <v>6</v>
      </c>
      <c r="N351" s="56">
        <f>IF($C351="B",INDEX(Batters[[#All],[POW P]],MATCH(Table5[[#This Row],[PID]],Batters[[#All],[PID]],0)),INDEX(Table3[[#All],[CON P]],MATCH(Table5[[#This Row],[PID]],Table3[[#All],[PID]],0)))</f>
        <v>7</v>
      </c>
      <c r="O351" s="56">
        <f>IF($C351="B",INDEX(Batters[[#All],[EYE P]],MATCH(Table5[[#This Row],[PID]],Batters[[#All],[PID]],0)),INDEX(Table3[[#All],[VELO]],MATCH(Table5[[#This Row],[PID]],Table3[[#All],[PID]],0)))</f>
        <v>6</v>
      </c>
      <c r="P351" s="56">
        <f>IF($C351="B",INDEX(Batters[[#All],[K P]],MATCH(Table5[[#This Row],[PID]],Batters[[#All],[PID]],0)),INDEX(Table3[[#All],[STM]],MATCH(Table5[[#This Row],[PID]],Table3[[#All],[PID]],0)))</f>
        <v>3</v>
      </c>
      <c r="Q351" s="61">
        <f>IF($C351="B",INDEX(Batters[[#All],[Tot]],MATCH(Table5[[#This Row],[PID]],Batters[[#All],[PID]],0)),INDEX(Table3[[#All],[Tot]],MATCH(Table5[[#This Row],[PID]],Table3[[#All],[PID]],0)))</f>
        <v>48.763460280746159</v>
      </c>
      <c r="R351" s="52">
        <f>IF($C351="B",INDEX(Batters[[#All],[zScore]],MATCH(Table5[[#This Row],[PID]],Batters[[#All],[PID]],0)),INDEX(Table3[[#All],[zScore]],MATCH(Table5[[#This Row],[PID]],Table3[[#All],[PID]],0)))</f>
        <v>1.0268394141287234</v>
      </c>
      <c r="S351" s="58" t="str">
        <f>IF($C351="B",INDEX(Batters[[#All],[DEM]],MATCH(Table5[[#This Row],[PID]],Batters[[#All],[PID]],0)),INDEX(Table3[[#All],[DEM]],MATCH(Table5[[#This Row],[PID]],Table3[[#All],[PID]],0)))</f>
        <v>$190k</v>
      </c>
      <c r="T351" s="62">
        <f>IF($C351="B",INDEX(Batters[[#All],[Rnk]],MATCH(Table5[[#This Row],[PID]],Batters[[#All],[PID]],0)),INDEX(Table3[[#All],[Rnk]],MATCH(Table5[[#This Row],[PID]],Table3[[#All],[PID]],0)))</f>
        <v>88</v>
      </c>
      <c r="U351" s="68">
        <f>IF($C351="B",VLOOKUP($A351,Bat!$A$4:$BA$1621,47,FALSE),VLOOKUP($A351,Pit!$A$4:$BF$1557,56,FALSE))</f>
        <v>0</v>
      </c>
      <c r="V351" s="50">
        <f>IF($C351="B",VLOOKUP($A351,Bat!$A$4:$BA$1621,48,FALSE),VLOOKUP($A351,Pit!$A$4:$BF$1557,57,FALSE))</f>
        <v>0</v>
      </c>
      <c r="W351" s="50">
        <f>Table5[[#This Row],[posRnk]]+Table5[[#This Row],[zRnk]]+IF($W$3&lt;&gt;Table5[[#This Row],[Type]],50,0)</f>
        <v>361</v>
      </c>
      <c r="X351" s="51">
        <f>RANK(Table5[[#This Row],[zScore]],Table5[[#All],[zScore]])</f>
        <v>223</v>
      </c>
      <c r="Y351" s="50">
        <f>IFERROR(INDEX(DraftResults[[#All],[OVR]],MATCH(Table5[[#This Row],[PID]],DraftResults[[#All],[Player ID]],0)),"")</f>
        <v>347</v>
      </c>
      <c r="Z3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1" s="50">
        <f>IFERROR(INDEX(DraftResults[[#All],[Pick in Round]],MATCH(Table5[[#This Row],[PID]],DraftResults[[#All],[Player ID]],0)),"")</f>
        <v>9</v>
      </c>
      <c r="AB351" s="50" t="str">
        <f>IFERROR(INDEX(DraftResults[[#All],[Team Name]],MATCH(Table5[[#This Row],[PID]],DraftResults[[#All],[Player ID]],0)),"")</f>
        <v>Scottish Claymores</v>
      </c>
      <c r="AC351" s="50">
        <f>IF(Table5[[#This Row],[Ovr]]="","",IF(Table5[[#This Row],[cmbList]]="","",Table5[[#This Row],[cmbList]]-Table5[[#This Row],[Ovr]]))</f>
        <v>14</v>
      </c>
      <c r="AD351" s="54" t="str">
        <f>IF(ISERROR(VLOOKUP($AB351&amp;"-"&amp;$E351&amp;" "&amp;F351,Bonuses!$B$1:$G$1006,4,FALSE)),"",INT(VLOOKUP($AB351&amp;"-"&amp;$E351&amp;" "&amp;$F351,Bonuses!$B$1:$G$1006,4,FALSE)))</f>
        <v/>
      </c>
      <c r="AE3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12.9 (347) - RF Cam Hagger</v>
      </c>
    </row>
    <row r="352" spans="1:31" s="50" customFormat="1" x14ac:dyDescent="0.25">
      <c r="A352" s="68">
        <v>18147</v>
      </c>
      <c r="B352" s="69">
        <f>COUNTIF(Table5[PID],A352)</f>
        <v>1</v>
      </c>
      <c r="C352" s="69" t="str">
        <f>IF(COUNTIF(Table3[[#All],[PID]],A352)&gt;0,"P","B")</f>
        <v>P</v>
      </c>
      <c r="D352" s="59" t="str">
        <f>IF($C352="B",INDEX(Batters[[#All],[POS]],MATCH(Table5[[#This Row],[PID]],Batters[[#All],[PID]],0)),INDEX(Table3[[#All],[POS]],MATCH(Table5[[#This Row],[PID]],Table3[[#All],[PID]],0)))</f>
        <v>SP</v>
      </c>
      <c r="E352" s="52" t="str">
        <f>IF($C352="B",INDEX(Batters[[#All],[First]],MATCH(Table5[[#This Row],[PID]],Batters[[#All],[PID]],0)),INDEX(Table3[[#All],[First]],MATCH(Table5[[#This Row],[PID]],Table3[[#All],[PID]],0)))</f>
        <v>Cam</v>
      </c>
      <c r="F352" s="55" t="str">
        <f>IF($C352="B",INDEX(Batters[[#All],[Last]],MATCH(A352,Batters[[#All],[PID]],0)),INDEX(Table3[[#All],[Last]],MATCH(A352,Table3[[#All],[PID]],0)))</f>
        <v>Lewis</v>
      </c>
      <c r="G352" s="56">
        <f>IF($C352="B",INDEX(Batters[[#All],[Age]],MATCH(Table5[[#This Row],[PID]],Batters[[#All],[PID]],0)),INDEX(Table3[[#All],[Age]],MATCH(Table5[[#This Row],[PID]],Table3[[#All],[PID]],0)))</f>
        <v>21</v>
      </c>
      <c r="H352" s="52" t="str">
        <f>IF($C352="B",INDEX(Batters[[#All],[B]],MATCH(Table5[[#This Row],[PID]],Batters[[#All],[PID]],0)),INDEX(Table3[[#All],[B]],MATCH(Table5[[#This Row],[PID]],Table3[[#All],[PID]],0)))</f>
        <v>S</v>
      </c>
      <c r="I352" s="52" t="str">
        <f>IF($C352="B",INDEX(Batters[[#All],[T]],MATCH(Table5[[#This Row],[PID]],Batters[[#All],[PID]],0)),INDEX(Table3[[#All],[T]],MATCH(Table5[[#This Row],[PID]],Table3[[#All],[PID]],0)))</f>
        <v>R</v>
      </c>
      <c r="J352" s="71" t="str">
        <f>IF($C352="B",INDEX(Batters[[#All],[WE]],MATCH(Table5[[#This Row],[PID]],Batters[[#All],[PID]],0)),INDEX(Table3[[#All],[WE]],MATCH(Table5[[#This Row],[PID]],Table3[[#All],[PID]],0)))</f>
        <v>Normal</v>
      </c>
      <c r="K352" s="52" t="str">
        <f>IF($C352="B",INDEX(Batters[[#All],[INT]],MATCH(Table5[[#This Row],[PID]],Batters[[#All],[PID]],0)),INDEX(Table3[[#All],[INT]],MATCH(Table5[[#This Row],[PID]],Table3[[#All],[PID]],0)))</f>
        <v>Normal</v>
      </c>
      <c r="L352" s="60">
        <f>IF($C352="B",INDEX(Batters[[#All],[CON P]],MATCH(Table5[[#This Row],[PID]],Batters[[#All],[PID]],0)),INDEX(Table3[[#All],[STU P]],MATCH(Table5[[#This Row],[PID]],Table3[[#All],[PID]],0)))</f>
        <v>5</v>
      </c>
      <c r="M352" s="72">
        <f>IF($C352="B",INDEX(Batters[[#All],[GAP P]],MATCH(Table5[[#This Row],[PID]],Batters[[#All],[PID]],0)),INDEX(Table3[[#All],[MOV P]],MATCH(Table5[[#This Row],[PID]],Table3[[#All],[PID]],0)))</f>
        <v>1</v>
      </c>
      <c r="N352" s="72">
        <f>IF($C352="B",INDEX(Batters[[#All],[POW P]],MATCH(Table5[[#This Row],[PID]],Batters[[#All],[PID]],0)),INDEX(Table3[[#All],[CON P]],MATCH(Table5[[#This Row],[PID]],Table3[[#All],[PID]],0)))</f>
        <v>5</v>
      </c>
      <c r="O352" s="72" t="str">
        <f>IF($C352="B",INDEX(Batters[[#All],[EYE P]],MATCH(Table5[[#This Row],[PID]],Batters[[#All],[PID]],0)),INDEX(Table3[[#All],[VELO]],MATCH(Table5[[#This Row],[PID]],Table3[[#All],[PID]],0)))</f>
        <v>95-97 Mph</v>
      </c>
      <c r="P352" s="56">
        <f>IF($C352="B",INDEX(Batters[[#All],[K P]],MATCH(Table5[[#This Row],[PID]],Batters[[#All],[PID]],0)),INDEX(Table3[[#All],[STM]],MATCH(Table5[[#This Row],[PID]],Table3[[#All],[PID]],0)))</f>
        <v>10</v>
      </c>
      <c r="Q352" s="61">
        <f>IF($C352="B",INDEX(Batters[[#All],[Tot]],MATCH(Table5[[#This Row],[PID]],Batters[[#All],[PID]],0)),INDEX(Table3[[#All],[Tot]],MATCH(Table5[[#This Row],[PID]],Table3[[#All],[PID]],0)))</f>
        <v>39.311065560666812</v>
      </c>
      <c r="R352" s="52">
        <f>IF($C352="B",INDEX(Batters[[#All],[zScore]],MATCH(Table5[[#This Row],[PID]],Batters[[#All],[PID]],0)),INDEX(Table3[[#All],[zScore]],MATCH(Table5[[#This Row],[PID]],Table3[[#All],[PID]],0)))</f>
        <v>0.2288938365914549</v>
      </c>
      <c r="S352" s="78" t="str">
        <f>IF($C352="B",INDEX(Batters[[#All],[DEM]],MATCH(Table5[[#This Row],[PID]],Batters[[#All],[PID]],0)),INDEX(Table3[[#All],[DEM]],MATCH(Table5[[#This Row],[PID]],Table3[[#All],[PID]],0)))</f>
        <v>$25k</v>
      </c>
      <c r="T352" s="75">
        <f>IF($C352="B",INDEX(Batters[[#All],[Rnk]],MATCH(Table5[[#This Row],[PID]],Batters[[#All],[PID]],0)),INDEX(Table3[[#All],[Rnk]],MATCH(Table5[[#This Row],[PID]],Table3[[#All],[PID]],0)))</f>
        <v>255</v>
      </c>
      <c r="U352" s="68">
        <f>IF($C352="B",VLOOKUP($A352,Bat!$A$4:$BA$1621,47,FALSE),VLOOKUP($A352,Pit!$A$4:$BF$1557,56,FALSE))</f>
        <v>0</v>
      </c>
      <c r="V352" s="50">
        <f>IF($C352="B",VLOOKUP($A352,Bat!$A$4:$BA$1621,48,FALSE),VLOOKUP($A352,Pit!$A$4:$BF$1557,57,FALSE))</f>
        <v>0</v>
      </c>
      <c r="W352" s="69">
        <f>Table5[[#This Row],[posRnk]]+Table5[[#This Row],[zRnk]]+IF($W$3&lt;&gt;Table5[[#This Row],[Type]],50,0)</f>
        <v>752</v>
      </c>
      <c r="X352" s="73">
        <f>RANK(Table5[[#This Row],[zScore]],Table5[[#All],[zScore]])</f>
        <v>447</v>
      </c>
      <c r="Y352" s="69">
        <f>IFERROR(INDEX(DraftResults[[#All],[OVR]],MATCH(Table5[[#This Row],[PID]],DraftResults[[#All],[Player ID]],0)),"")</f>
        <v>348</v>
      </c>
      <c r="Z35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2" s="69">
        <f>IFERROR(INDEX(DraftResults[[#All],[Pick in Round]],MATCH(Table5[[#This Row],[PID]],DraftResults[[#All],[Player ID]],0)),"")</f>
        <v>10</v>
      </c>
      <c r="AB352" s="69" t="str">
        <f>IFERROR(INDEX(DraftResults[[#All],[Team Name]],MATCH(Table5[[#This Row],[PID]],DraftResults[[#All],[Player ID]],0)),"")</f>
        <v>Hartford Harpoon</v>
      </c>
      <c r="AC352" s="69">
        <f>IF(Table5[[#This Row],[Ovr]]="","",IF(Table5[[#This Row],[cmbList]]="","",Table5[[#This Row],[cmbList]]-Table5[[#This Row],[Ovr]]))</f>
        <v>404</v>
      </c>
      <c r="AD352" s="77" t="str">
        <f>IF(ISERROR(VLOOKUP($AB352&amp;"-"&amp;$E352&amp;" "&amp;F352,Bonuses!$B$1:$G$1006,4,FALSE)),"",INT(VLOOKUP($AB352&amp;"-"&amp;$E352&amp;" "&amp;$F352,Bonuses!$B$1:$G$1006,4,FALSE)))</f>
        <v/>
      </c>
      <c r="AE35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12.10 (348) - SP Cam Lewis</v>
      </c>
    </row>
    <row r="353" spans="1:31" s="50" customFormat="1" x14ac:dyDescent="0.25">
      <c r="A353" s="50">
        <v>12934</v>
      </c>
      <c r="B353" s="50">
        <f>COUNTIF(Table5[PID],A353)</f>
        <v>1</v>
      </c>
      <c r="C353" s="50" t="str">
        <f>IF(COUNTIF(Table3[[#All],[PID]],A353)&gt;0,"P","B")</f>
        <v>P</v>
      </c>
      <c r="D353" s="59" t="str">
        <f>IF($C353="B",INDEX(Batters[[#All],[POS]],MATCH(Table5[[#This Row],[PID]],Batters[[#All],[PID]],0)),INDEX(Table3[[#All],[POS]],MATCH(Table5[[#This Row],[PID]],Table3[[#All],[PID]],0)))</f>
        <v>CL</v>
      </c>
      <c r="E353" s="52" t="str">
        <f>IF($C353="B",INDEX(Batters[[#All],[First]],MATCH(Table5[[#This Row],[PID]],Batters[[#All],[PID]],0)),INDEX(Table3[[#All],[First]],MATCH(Table5[[#This Row],[PID]],Table3[[#All],[PID]],0)))</f>
        <v>Kuniyuki</v>
      </c>
      <c r="F353" s="50" t="str">
        <f>IF($C353="B",INDEX(Batters[[#All],[Last]],MATCH(A353,Batters[[#All],[PID]],0)),INDEX(Table3[[#All],[Last]],MATCH(A353,Table3[[#All],[PID]],0)))</f>
        <v>Murata</v>
      </c>
      <c r="G353" s="56">
        <f>IF($C353="B",INDEX(Batters[[#All],[Age]],MATCH(Table5[[#This Row],[PID]],Batters[[#All],[PID]],0)),INDEX(Table3[[#All],[Age]],MATCH(Table5[[#This Row],[PID]],Table3[[#All],[PID]],0)))</f>
        <v>22</v>
      </c>
      <c r="H353" s="52" t="str">
        <f>IF($C353="B",INDEX(Batters[[#All],[B]],MATCH(Table5[[#This Row],[PID]],Batters[[#All],[PID]],0)),INDEX(Table3[[#All],[B]],MATCH(Table5[[#This Row],[PID]],Table3[[#All],[PID]],0)))</f>
        <v>L</v>
      </c>
      <c r="I353" s="52" t="str">
        <f>IF($C353="B",INDEX(Batters[[#All],[T]],MATCH(Table5[[#This Row],[PID]],Batters[[#All],[PID]],0)),INDEX(Table3[[#All],[T]],MATCH(Table5[[#This Row],[PID]],Table3[[#All],[PID]],0)))</f>
        <v>L</v>
      </c>
      <c r="J353" s="52" t="str">
        <f>IF($C353="B",INDEX(Batters[[#All],[WE]],MATCH(Table5[[#This Row],[PID]],Batters[[#All],[PID]],0)),INDEX(Table3[[#All],[WE]],MATCH(Table5[[#This Row],[PID]],Table3[[#All],[PID]],0)))</f>
        <v>Low</v>
      </c>
      <c r="K353" s="52" t="str">
        <f>IF($C353="B",INDEX(Batters[[#All],[INT]],MATCH(Table5[[#This Row],[PID]],Batters[[#All],[PID]],0)),INDEX(Table3[[#All],[INT]],MATCH(Table5[[#This Row],[PID]],Table3[[#All],[PID]],0)))</f>
        <v>Normal</v>
      </c>
      <c r="L353" s="60">
        <f>IF($C353="B",INDEX(Batters[[#All],[CON P]],MATCH(Table5[[#This Row],[PID]],Batters[[#All],[PID]],0)),INDEX(Table3[[#All],[STU P]],MATCH(Table5[[#This Row],[PID]],Table3[[#All],[PID]],0)))</f>
        <v>6</v>
      </c>
      <c r="M353" s="56">
        <f>IF($C353="B",INDEX(Batters[[#All],[GAP P]],MATCH(Table5[[#This Row],[PID]],Batters[[#All],[PID]],0)),INDEX(Table3[[#All],[MOV P]],MATCH(Table5[[#This Row],[PID]],Table3[[#All],[PID]],0)))</f>
        <v>1</v>
      </c>
      <c r="N353" s="56">
        <f>IF($C353="B",INDEX(Batters[[#All],[POW P]],MATCH(Table5[[#This Row],[PID]],Batters[[#All],[PID]],0)),INDEX(Table3[[#All],[CON P]],MATCH(Table5[[#This Row],[PID]],Table3[[#All],[PID]],0)))</f>
        <v>3</v>
      </c>
      <c r="O353" s="56" t="str">
        <f>IF($C353="B",INDEX(Batters[[#All],[EYE P]],MATCH(Table5[[#This Row],[PID]],Batters[[#All],[PID]],0)),INDEX(Table3[[#All],[VELO]],MATCH(Table5[[#This Row],[PID]],Table3[[#All],[PID]],0)))</f>
        <v>96-98 Mph</v>
      </c>
      <c r="P353" s="56">
        <f>IF($C353="B",INDEX(Batters[[#All],[K P]],MATCH(Table5[[#This Row],[PID]],Batters[[#All],[PID]],0)),INDEX(Table3[[#All],[STM]],MATCH(Table5[[#This Row],[PID]],Table3[[#All],[PID]],0)))</f>
        <v>3</v>
      </c>
      <c r="Q353" s="61">
        <f>IF($C353="B",INDEX(Batters[[#All],[Tot]],MATCH(Table5[[#This Row],[PID]],Batters[[#All],[PID]],0)),INDEX(Table3[[#All],[Tot]],MATCH(Table5[[#This Row],[PID]],Table3[[#All],[PID]],0)))</f>
        <v>34.143604540272058</v>
      </c>
      <c r="R353" s="52">
        <f>IF($C353="B",INDEX(Batters[[#All],[zScore]],MATCH(Table5[[#This Row],[PID]],Batters[[#All],[PID]],0)),INDEX(Table3[[#All],[zScore]],MATCH(Table5[[#This Row],[PID]],Table3[[#All],[PID]],0)))</f>
        <v>-0.11488944865253144</v>
      </c>
      <c r="S353" s="58" t="str">
        <f>IF($C353="B",INDEX(Batters[[#All],[DEM]],MATCH(Table5[[#This Row],[PID]],Batters[[#All],[PID]],0)),INDEX(Table3[[#All],[DEM]],MATCH(Table5[[#This Row],[PID]],Table3[[#All],[PID]],0)))</f>
        <v>-</v>
      </c>
      <c r="T353" s="62">
        <f>IF($C353="B",INDEX(Batters[[#All],[Rnk]],MATCH(Table5[[#This Row],[PID]],Batters[[#All],[PID]],0)),INDEX(Table3[[#All],[Rnk]],MATCH(Table5[[#This Row],[PID]],Table3[[#All],[PID]],0)))</f>
        <v>345</v>
      </c>
      <c r="U353" s="68">
        <f>IF($C353="B",VLOOKUP($A353,Bat!$A$4:$BA$1621,47,FALSE),VLOOKUP($A353,Pit!$A$4:$BF$1557,56,FALSE))</f>
        <v>0</v>
      </c>
      <c r="V353" s="50">
        <f>IF($C353="B",VLOOKUP($A353,Bat!$A$4:$BA$1621,48,FALSE),VLOOKUP($A353,Pit!$A$4:$BF$1557,57,FALSE))</f>
        <v>0</v>
      </c>
      <c r="W353" s="50">
        <f>Table5[[#This Row],[posRnk]]+Table5[[#This Row],[zRnk]]+IF($W$3&lt;&gt;Table5[[#This Row],[Type]],50,0)</f>
        <v>1002</v>
      </c>
      <c r="X353" s="51">
        <f>RANK(Table5[[#This Row],[zScore]],Table5[[#All],[zScore]])</f>
        <v>607</v>
      </c>
      <c r="Y353" s="50">
        <f>IFERROR(INDEX(DraftResults[[#All],[OVR]],MATCH(Table5[[#This Row],[PID]],DraftResults[[#All],[Player ID]],0)),"")</f>
        <v>349</v>
      </c>
      <c r="Z3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3" s="50">
        <f>IFERROR(INDEX(DraftResults[[#All],[Pick in Round]],MATCH(Table5[[#This Row],[PID]],DraftResults[[#All],[Player ID]],0)),"")</f>
        <v>11</v>
      </c>
      <c r="AB353" s="50" t="str">
        <f>IFERROR(INDEX(DraftResults[[#All],[Team Name]],MATCH(Table5[[#This Row],[PID]],DraftResults[[#All],[Player ID]],0)),"")</f>
        <v>Duluth Warriors</v>
      </c>
      <c r="AC353" s="50">
        <f>IF(Table5[[#This Row],[Ovr]]="","",IF(Table5[[#This Row],[cmbList]]="","",Table5[[#This Row],[cmbList]]-Table5[[#This Row],[Ovr]]))</f>
        <v>653</v>
      </c>
      <c r="AD353" s="54" t="str">
        <f>IF(ISERROR(VLOOKUP($AB353&amp;"-"&amp;$E353&amp;" "&amp;F353,Bonuses!$B$1:$G$1006,4,FALSE)),"",INT(VLOOKUP($AB353&amp;"-"&amp;$E353&amp;" "&amp;$F353,Bonuses!$B$1:$G$1006,4,FALSE)))</f>
        <v/>
      </c>
      <c r="AE3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12.11 (349) - CL Kuniyuki Murata</v>
      </c>
    </row>
    <row r="354" spans="1:31" s="50" customFormat="1" x14ac:dyDescent="0.25">
      <c r="A354" s="50">
        <v>18246</v>
      </c>
      <c r="B354" s="50">
        <f>COUNTIF(Table5[PID],A354)</f>
        <v>1</v>
      </c>
      <c r="C354" s="50" t="str">
        <f>IF(COUNTIF(Table3[[#All],[PID]],A354)&gt;0,"P","B")</f>
        <v>P</v>
      </c>
      <c r="D354" s="59" t="str">
        <f>IF($C354="B",INDEX(Batters[[#All],[POS]],MATCH(Table5[[#This Row],[PID]],Batters[[#All],[PID]],0)),INDEX(Table3[[#All],[POS]],MATCH(Table5[[#This Row],[PID]],Table3[[#All],[PID]],0)))</f>
        <v>RP</v>
      </c>
      <c r="E354" s="52" t="str">
        <f>IF($C354="B",INDEX(Batters[[#All],[First]],MATCH(Table5[[#This Row],[PID]],Batters[[#All],[PID]],0)),INDEX(Table3[[#All],[First]],MATCH(Table5[[#This Row],[PID]],Table3[[#All],[PID]],0)))</f>
        <v>José</v>
      </c>
      <c r="F354" s="50" t="str">
        <f>IF($C354="B",INDEX(Batters[[#All],[Last]],MATCH(A354,Batters[[#All],[PID]],0)),INDEX(Table3[[#All],[Last]],MATCH(A354,Table3[[#All],[PID]],0)))</f>
        <v>Escobar</v>
      </c>
      <c r="G354" s="56">
        <f>IF($C354="B",INDEX(Batters[[#All],[Age]],MATCH(Table5[[#This Row],[PID]],Batters[[#All],[PID]],0)),INDEX(Table3[[#All],[Age]],MATCH(Table5[[#This Row],[PID]],Table3[[#All],[PID]],0)))</f>
        <v>18</v>
      </c>
      <c r="H354" s="52" t="str">
        <f>IF($C354="B",INDEX(Batters[[#All],[B]],MATCH(Table5[[#This Row],[PID]],Batters[[#All],[PID]],0)),INDEX(Table3[[#All],[B]],MATCH(Table5[[#This Row],[PID]],Table3[[#All],[PID]],0)))</f>
        <v>R</v>
      </c>
      <c r="I354" s="52" t="str">
        <f>IF($C354="B",INDEX(Batters[[#All],[T]],MATCH(Table5[[#This Row],[PID]],Batters[[#All],[PID]],0)),INDEX(Table3[[#All],[T]],MATCH(Table5[[#This Row],[PID]],Table3[[#All],[PID]],0)))</f>
        <v>R</v>
      </c>
      <c r="J354" s="52" t="str">
        <f>IF($C354="B",INDEX(Batters[[#All],[WE]],MATCH(Table5[[#This Row],[PID]],Batters[[#All],[PID]],0)),INDEX(Table3[[#All],[WE]],MATCH(Table5[[#This Row],[PID]],Table3[[#All],[PID]],0)))</f>
        <v>Normal</v>
      </c>
      <c r="K354" s="52" t="str">
        <f>IF($C354="B",INDEX(Batters[[#All],[INT]],MATCH(Table5[[#This Row],[PID]],Batters[[#All],[PID]],0)),INDEX(Table3[[#All],[INT]],MATCH(Table5[[#This Row],[PID]],Table3[[#All],[PID]],0)))</f>
        <v>Normal</v>
      </c>
      <c r="L354" s="60">
        <f>IF($C354="B",INDEX(Batters[[#All],[CON P]],MATCH(Table5[[#This Row],[PID]],Batters[[#All],[PID]],0)),INDEX(Table3[[#All],[STU P]],MATCH(Table5[[#This Row],[PID]],Table3[[#All],[PID]],0)))</f>
        <v>6</v>
      </c>
      <c r="M354" s="56">
        <f>IF($C354="B",INDEX(Batters[[#All],[GAP P]],MATCH(Table5[[#This Row],[PID]],Batters[[#All],[PID]],0)),INDEX(Table3[[#All],[MOV P]],MATCH(Table5[[#This Row],[PID]],Table3[[#All],[PID]],0)))</f>
        <v>3</v>
      </c>
      <c r="N354" s="56">
        <f>IF($C354="B",INDEX(Batters[[#All],[POW P]],MATCH(Table5[[#This Row],[PID]],Batters[[#All],[PID]],0)),INDEX(Table3[[#All],[CON P]],MATCH(Table5[[#This Row],[PID]],Table3[[#All],[PID]],0)))</f>
        <v>4</v>
      </c>
      <c r="O354" s="56" t="str">
        <f>IF($C354="B",INDEX(Batters[[#All],[EYE P]],MATCH(Table5[[#This Row],[PID]],Batters[[#All],[PID]],0)),INDEX(Table3[[#All],[VELO]],MATCH(Table5[[#This Row],[PID]],Table3[[#All],[PID]],0)))</f>
        <v>91-93 Mph</v>
      </c>
      <c r="P354" s="56">
        <f>IF($C354="B",INDEX(Batters[[#All],[K P]],MATCH(Table5[[#This Row],[PID]],Batters[[#All],[PID]],0)),INDEX(Table3[[#All],[STM]],MATCH(Table5[[#This Row],[PID]],Table3[[#All],[PID]],0)))</f>
        <v>6</v>
      </c>
      <c r="Q354" s="61">
        <f>IF($C354="B",INDEX(Batters[[#All],[Tot]],MATCH(Table5[[#This Row],[PID]],Batters[[#All],[PID]],0)),INDEX(Table3[[#All],[Tot]],MATCH(Table5[[#This Row],[PID]],Table3[[#All],[PID]],0)))</f>
        <v>52.087483760166243</v>
      </c>
      <c r="R354" s="52">
        <f>IF($C354="B",INDEX(Batters[[#All],[zScore]],MATCH(Table5[[#This Row],[PID]],Batters[[#All],[PID]],0)),INDEX(Table3[[#All],[zScore]],MATCH(Table5[[#This Row],[PID]],Table3[[#All],[PID]],0)))</f>
        <v>0.97842975941666288</v>
      </c>
      <c r="S354" s="58" t="str">
        <f>IF($C354="B",INDEX(Batters[[#All],[DEM]],MATCH(Table5[[#This Row],[PID]],Batters[[#All],[PID]],0)),INDEX(Table3[[#All],[DEM]],MATCH(Table5[[#This Row],[PID]],Table3[[#All],[PID]],0)))</f>
        <v>$65k</v>
      </c>
      <c r="T354" s="62">
        <f>IF($C354="B",INDEX(Batters[[#All],[Rnk]],MATCH(Table5[[#This Row],[PID]],Batters[[#All],[PID]],0)),INDEX(Table3[[#All],[Rnk]],MATCH(Table5[[#This Row],[PID]],Table3[[#All],[PID]],0)))</f>
        <v>142</v>
      </c>
      <c r="U354" s="68">
        <f>IF($C354="B",VLOOKUP($A354,Bat!$A$4:$BA$1621,47,FALSE),VLOOKUP($A354,Pit!$A$4:$BF$1557,56,FALSE))</f>
        <v>0</v>
      </c>
      <c r="V354" s="50">
        <f>IF($C354="B",VLOOKUP($A354,Bat!$A$4:$BA$1621,48,FALSE),VLOOKUP($A354,Pit!$A$4:$BF$1557,57,FALSE))</f>
        <v>0</v>
      </c>
      <c r="W354" s="50">
        <f>Table5[[#This Row],[posRnk]]+Table5[[#This Row],[zRnk]]+IF($W$3&lt;&gt;Table5[[#This Row],[Type]],50,0)</f>
        <v>426</v>
      </c>
      <c r="X354" s="51">
        <f>RANK(Table5[[#This Row],[zScore]],Table5[[#All],[zScore]])</f>
        <v>234</v>
      </c>
      <c r="Y354" s="50">
        <f>IFERROR(INDEX(DraftResults[[#All],[OVR]],MATCH(Table5[[#This Row],[PID]],DraftResults[[#All],[Player ID]],0)),"")</f>
        <v>350</v>
      </c>
      <c r="Z3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4" s="50">
        <f>IFERROR(INDEX(DraftResults[[#All],[Pick in Round]],MATCH(Table5[[#This Row],[PID]],DraftResults[[#All],[Player ID]],0)),"")</f>
        <v>12</v>
      </c>
      <c r="AB354" s="50" t="str">
        <f>IFERROR(INDEX(DraftResults[[#All],[Team Name]],MATCH(Table5[[#This Row],[PID]],DraftResults[[#All],[Player ID]],0)),"")</f>
        <v>Palm Springs Codgers</v>
      </c>
      <c r="AC354" s="50">
        <f>IF(Table5[[#This Row],[Ovr]]="","",IF(Table5[[#This Row],[cmbList]]="","",Table5[[#This Row],[cmbList]]-Table5[[#This Row],[Ovr]]))</f>
        <v>76</v>
      </c>
      <c r="AD354" s="54" t="str">
        <f>IF(ISERROR(VLOOKUP($AB354&amp;"-"&amp;$E354&amp;" "&amp;F354,Bonuses!$B$1:$G$1006,4,FALSE)),"",INT(VLOOKUP($AB354&amp;"-"&amp;$E354&amp;" "&amp;$F354,Bonuses!$B$1:$G$1006,4,FALSE)))</f>
        <v/>
      </c>
      <c r="AE3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12.12 (350) - RP José Escobar</v>
      </c>
    </row>
    <row r="355" spans="1:31" s="50" customFormat="1" x14ac:dyDescent="0.25">
      <c r="A355" s="50">
        <v>20862</v>
      </c>
      <c r="B355" s="50">
        <f>COUNTIF(Table5[PID],A355)</f>
        <v>1</v>
      </c>
      <c r="C355" s="50" t="str">
        <f>IF(COUNTIF(Table3[[#All],[PID]],A355)&gt;0,"P","B")</f>
        <v>B</v>
      </c>
      <c r="D355" s="59" t="str">
        <f>IF($C355="B",INDEX(Batters[[#All],[POS]],MATCH(Table5[[#This Row],[PID]],Batters[[#All],[PID]],0)),INDEX(Table3[[#All],[POS]],MATCH(Table5[[#This Row],[PID]],Table3[[#All],[PID]],0)))</f>
        <v>C</v>
      </c>
      <c r="E355" s="52" t="str">
        <f>IF($C355="B",INDEX(Batters[[#All],[First]],MATCH(Table5[[#This Row],[PID]],Batters[[#All],[PID]],0)),INDEX(Table3[[#All],[First]],MATCH(Table5[[#This Row],[PID]],Table3[[#All],[PID]],0)))</f>
        <v>Hamilton</v>
      </c>
      <c r="F355" s="50" t="str">
        <f>IF($C355="B",INDEX(Batters[[#All],[Last]],MATCH(A355,Batters[[#All],[PID]],0)),INDEX(Table3[[#All],[Last]],MATCH(A355,Table3[[#All],[PID]],0)))</f>
        <v>Lleras</v>
      </c>
      <c r="G355" s="56">
        <f>IF($C355="B",INDEX(Batters[[#All],[Age]],MATCH(Table5[[#This Row],[PID]],Batters[[#All],[PID]],0)),INDEX(Table3[[#All],[Age]],MATCH(Table5[[#This Row],[PID]],Table3[[#All],[PID]],0)))</f>
        <v>18</v>
      </c>
      <c r="H355" s="52" t="str">
        <f>IF($C355="B",INDEX(Batters[[#All],[B]],MATCH(Table5[[#This Row],[PID]],Batters[[#All],[PID]],0)),INDEX(Table3[[#All],[B]],MATCH(Table5[[#This Row],[PID]],Table3[[#All],[PID]],0)))</f>
        <v>L</v>
      </c>
      <c r="I355" s="52" t="str">
        <f>IF($C355="B",INDEX(Batters[[#All],[T]],MATCH(Table5[[#This Row],[PID]],Batters[[#All],[PID]],0)),INDEX(Table3[[#All],[T]],MATCH(Table5[[#This Row],[PID]],Table3[[#All],[PID]],0)))</f>
        <v>R</v>
      </c>
      <c r="J355" s="52" t="str">
        <f>IF($C355="B",INDEX(Batters[[#All],[WE]],MATCH(Table5[[#This Row],[PID]],Batters[[#All],[PID]],0)),INDEX(Table3[[#All],[WE]],MATCH(Table5[[#This Row],[PID]],Table3[[#All],[PID]],0)))</f>
        <v>Low</v>
      </c>
      <c r="K355" s="52" t="str">
        <f>IF($C355="B",INDEX(Batters[[#All],[INT]],MATCH(Table5[[#This Row],[PID]],Batters[[#All],[PID]],0)),INDEX(Table3[[#All],[INT]],MATCH(Table5[[#This Row],[PID]],Table3[[#All],[PID]],0)))</f>
        <v>Normal</v>
      </c>
      <c r="L355" s="60">
        <f>IF($C355="B",INDEX(Batters[[#All],[CON P]],MATCH(Table5[[#This Row],[PID]],Batters[[#All],[PID]],0)),INDEX(Table3[[#All],[STU P]],MATCH(Table5[[#This Row],[PID]],Table3[[#All],[PID]],0)))</f>
        <v>2</v>
      </c>
      <c r="M355" s="56">
        <f>IF($C355="B",INDEX(Batters[[#All],[GAP P]],MATCH(Table5[[#This Row],[PID]],Batters[[#All],[PID]],0)),INDEX(Table3[[#All],[MOV P]],MATCH(Table5[[#This Row],[PID]],Table3[[#All],[PID]],0)))</f>
        <v>5</v>
      </c>
      <c r="N355" s="56">
        <f>IF($C355="B",INDEX(Batters[[#All],[POW P]],MATCH(Table5[[#This Row],[PID]],Batters[[#All],[PID]],0)),INDEX(Table3[[#All],[CON P]],MATCH(Table5[[#This Row],[PID]],Table3[[#All],[PID]],0)))</f>
        <v>4</v>
      </c>
      <c r="O355" s="56">
        <f>IF($C355="B",INDEX(Batters[[#All],[EYE P]],MATCH(Table5[[#This Row],[PID]],Batters[[#All],[PID]],0)),INDEX(Table3[[#All],[VELO]],MATCH(Table5[[#This Row],[PID]],Table3[[#All],[PID]],0)))</f>
        <v>6</v>
      </c>
      <c r="P355" s="56">
        <f>IF($C355="B",INDEX(Batters[[#All],[K P]],MATCH(Table5[[#This Row],[PID]],Batters[[#All],[PID]],0)),INDEX(Table3[[#All],[STM]],MATCH(Table5[[#This Row],[PID]],Table3[[#All],[PID]],0)))</f>
        <v>2</v>
      </c>
      <c r="Q355" s="61">
        <f>IF($C355="B",INDEX(Batters[[#All],[Tot]],MATCH(Table5[[#This Row],[PID]],Batters[[#All],[PID]],0)),INDEX(Table3[[#All],[Tot]],MATCH(Table5[[#This Row],[PID]],Table3[[#All],[PID]],0)))</f>
        <v>39.676355678821778</v>
      </c>
      <c r="R355" s="52">
        <f>IF($C355="B",INDEX(Batters[[#All],[zScore]],MATCH(Table5[[#This Row],[PID]],Batters[[#All],[PID]],0)),INDEX(Table3[[#All],[zScore]],MATCH(Table5[[#This Row],[PID]],Table3[[#All],[PID]],0)))</f>
        <v>-0.98783309924450668</v>
      </c>
      <c r="S355" s="58" t="str">
        <f>IF($C355="B",INDEX(Batters[[#All],[DEM]],MATCH(Table5[[#This Row],[PID]],Batters[[#All],[PID]],0)),INDEX(Table3[[#All],[DEM]],MATCH(Table5[[#This Row],[PID]],Table3[[#All],[PID]],0)))</f>
        <v>$70k</v>
      </c>
      <c r="T355" s="62">
        <f>IF($C355="B",INDEX(Batters[[#All],[Rnk]],MATCH(Table5[[#This Row],[PID]],Batters[[#All],[PID]],0)),INDEX(Table3[[#All],[Rnk]],MATCH(Table5[[#This Row],[PID]],Table3[[#All],[PID]],0)))</f>
        <v>440</v>
      </c>
      <c r="U355" s="68">
        <f>IF($C355="B",VLOOKUP($A355,Bat!$A$4:$BA$1621,47,FALSE),VLOOKUP($A355,Pit!$A$4:$BF$1557,56,FALSE))</f>
        <v>0</v>
      </c>
      <c r="V355" s="50">
        <f>IF($C355="B",VLOOKUP($A355,Bat!$A$4:$BA$1621,48,FALSE),VLOOKUP($A355,Pit!$A$4:$BF$1557,57,FALSE))</f>
        <v>0</v>
      </c>
      <c r="W355" s="50">
        <f>Table5[[#This Row],[posRnk]]+Table5[[#This Row],[zRnk]]+IF($W$3&lt;&gt;Table5[[#This Row],[Type]],50,0)</f>
        <v>1625</v>
      </c>
      <c r="X355" s="51">
        <f>RANK(Table5[[#This Row],[zScore]],Table5[[#All],[zScore]])</f>
        <v>1135</v>
      </c>
      <c r="Y355" s="50">
        <f>IFERROR(INDEX(DraftResults[[#All],[OVR]],MATCH(Table5[[#This Row],[PID]],DraftResults[[#All],[Player ID]],0)),"")</f>
        <v>351</v>
      </c>
      <c r="Z3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5" s="50">
        <f>IFERROR(INDEX(DraftResults[[#All],[Pick in Round]],MATCH(Table5[[#This Row],[PID]],DraftResults[[#All],[Player ID]],0)),"")</f>
        <v>13</v>
      </c>
      <c r="AB355" s="50" t="str">
        <f>IFERROR(INDEX(DraftResults[[#All],[Team Name]],MATCH(Table5[[#This Row],[PID]],DraftResults[[#All],[Player ID]],0)),"")</f>
        <v>Reno Zephyrs</v>
      </c>
      <c r="AC355" s="50">
        <f>IF(Table5[[#This Row],[Ovr]]="","",IF(Table5[[#This Row],[cmbList]]="","",Table5[[#This Row],[cmbList]]-Table5[[#This Row],[Ovr]]))</f>
        <v>1274</v>
      </c>
      <c r="AD355" s="54" t="str">
        <f>IF(ISERROR(VLOOKUP($AB355&amp;"-"&amp;$E355&amp;" "&amp;F355,Bonuses!$B$1:$G$1006,4,FALSE)),"",INT(VLOOKUP($AB355&amp;"-"&amp;$E355&amp;" "&amp;$F355,Bonuses!$B$1:$G$1006,4,FALSE)))</f>
        <v/>
      </c>
      <c r="AE3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12.13 (351) - C Hamilton Lleras</v>
      </c>
    </row>
    <row r="356" spans="1:31" s="50" customFormat="1" x14ac:dyDescent="0.25">
      <c r="A356" s="50">
        <v>20720</v>
      </c>
      <c r="B356" s="50">
        <f>COUNTIF(Table5[PID],A356)</f>
        <v>1</v>
      </c>
      <c r="C356" s="50" t="str">
        <f>IF(COUNTIF(Table3[[#All],[PID]],A356)&gt;0,"P","B")</f>
        <v>B</v>
      </c>
      <c r="D356" s="59" t="str">
        <f>IF($C356="B",INDEX(Batters[[#All],[POS]],MATCH(Table5[[#This Row],[PID]],Batters[[#All],[PID]],0)),INDEX(Table3[[#All],[POS]],MATCH(Table5[[#This Row],[PID]],Table3[[#All],[PID]],0)))</f>
        <v>CF</v>
      </c>
      <c r="E356" s="52" t="str">
        <f>IF($C356="B",INDEX(Batters[[#All],[First]],MATCH(Table5[[#This Row],[PID]],Batters[[#All],[PID]],0)),INDEX(Table3[[#All],[First]],MATCH(Table5[[#This Row],[PID]],Table3[[#All],[PID]],0)))</f>
        <v>Jim</v>
      </c>
      <c r="F356" s="50" t="str">
        <f>IF($C356="B",INDEX(Batters[[#All],[Last]],MATCH(A356,Batters[[#All],[PID]],0)),INDEX(Table3[[#All],[Last]],MATCH(A356,Table3[[#All],[PID]],0)))</f>
        <v>Waddell</v>
      </c>
      <c r="G356" s="56">
        <f>IF($C356="B",INDEX(Batters[[#All],[Age]],MATCH(Table5[[#This Row],[PID]],Batters[[#All],[PID]],0)),INDEX(Table3[[#All],[Age]],MATCH(Table5[[#This Row],[PID]],Table3[[#All],[PID]],0)))</f>
        <v>18</v>
      </c>
      <c r="H356" s="52" t="str">
        <f>IF($C356="B",INDEX(Batters[[#All],[B]],MATCH(Table5[[#This Row],[PID]],Batters[[#All],[PID]],0)),INDEX(Table3[[#All],[B]],MATCH(Table5[[#This Row],[PID]],Table3[[#All],[PID]],0)))</f>
        <v>R</v>
      </c>
      <c r="I356" s="52" t="str">
        <f>IF($C356="B",INDEX(Batters[[#All],[T]],MATCH(Table5[[#This Row],[PID]],Batters[[#All],[PID]],0)),INDEX(Table3[[#All],[T]],MATCH(Table5[[#This Row],[PID]],Table3[[#All],[PID]],0)))</f>
        <v>R</v>
      </c>
      <c r="J356" s="52" t="str">
        <f>IF($C356="B",INDEX(Batters[[#All],[WE]],MATCH(Table5[[#This Row],[PID]],Batters[[#All],[PID]],0)),INDEX(Table3[[#All],[WE]],MATCH(Table5[[#This Row],[PID]],Table3[[#All],[PID]],0)))</f>
        <v>Low</v>
      </c>
      <c r="K356" s="52" t="str">
        <f>IF($C356="B",INDEX(Batters[[#All],[INT]],MATCH(Table5[[#This Row],[PID]],Batters[[#All],[PID]],0)),INDEX(Table3[[#All],[INT]],MATCH(Table5[[#This Row],[PID]],Table3[[#All],[PID]],0)))</f>
        <v>Normal</v>
      </c>
      <c r="L356" s="60">
        <f>IF($C356="B",INDEX(Batters[[#All],[CON P]],MATCH(Table5[[#This Row],[PID]],Batters[[#All],[PID]],0)),INDEX(Table3[[#All],[STU P]],MATCH(Table5[[#This Row],[PID]],Table3[[#All],[PID]],0)))</f>
        <v>3</v>
      </c>
      <c r="M356" s="56">
        <f>IF($C356="B",INDEX(Batters[[#All],[GAP P]],MATCH(Table5[[#This Row],[PID]],Batters[[#All],[PID]],0)),INDEX(Table3[[#All],[MOV P]],MATCH(Table5[[#This Row],[PID]],Table3[[#All],[PID]],0)))</f>
        <v>5</v>
      </c>
      <c r="N356" s="56">
        <f>IF($C356="B",INDEX(Batters[[#All],[POW P]],MATCH(Table5[[#This Row],[PID]],Batters[[#All],[PID]],0)),INDEX(Table3[[#All],[CON P]],MATCH(Table5[[#This Row],[PID]],Table3[[#All],[PID]],0)))</f>
        <v>3</v>
      </c>
      <c r="O356" s="56">
        <f>IF($C356="B",INDEX(Batters[[#All],[EYE P]],MATCH(Table5[[#This Row],[PID]],Batters[[#All],[PID]],0)),INDEX(Table3[[#All],[VELO]],MATCH(Table5[[#This Row],[PID]],Table3[[#All],[PID]],0)))</f>
        <v>6</v>
      </c>
      <c r="P356" s="56">
        <f>IF($C356="B",INDEX(Batters[[#All],[K P]],MATCH(Table5[[#This Row],[PID]],Batters[[#All],[PID]],0)),INDEX(Table3[[#All],[STM]],MATCH(Table5[[#This Row],[PID]],Table3[[#All],[PID]],0)))</f>
        <v>4</v>
      </c>
      <c r="Q356" s="61">
        <f>IF($C356="B",INDEX(Batters[[#All],[Tot]],MATCH(Table5[[#This Row],[PID]],Batters[[#All],[PID]],0)),INDEX(Table3[[#All],[Tot]],MATCH(Table5[[#This Row],[PID]],Table3[[#All],[PID]],0)))</f>
        <v>43.505573952615194</v>
      </c>
      <c r="R356" s="52">
        <f>IF($C356="B",INDEX(Batters[[#All],[zScore]],MATCH(Table5[[#This Row],[PID]],Batters[[#All],[PID]],0)),INDEX(Table3[[#All],[zScore]],MATCH(Table5[[#This Row],[PID]],Table3[[#All],[PID]],0)))</f>
        <v>-0.13886952483111731</v>
      </c>
      <c r="S356" s="58" t="str">
        <f>IF($C356="B",INDEX(Batters[[#All],[DEM]],MATCH(Table5[[#This Row],[PID]],Batters[[#All],[PID]],0)),INDEX(Table3[[#All],[DEM]],MATCH(Table5[[#This Row],[PID]],Table3[[#All],[PID]],0)))</f>
        <v>$65k</v>
      </c>
      <c r="T356" s="62">
        <f>IF($C356="B",INDEX(Batters[[#All],[Rnk]],MATCH(Table5[[#This Row],[PID]],Batters[[#All],[PID]],0)),INDEX(Table3[[#All],[Rnk]],MATCH(Table5[[#This Row],[PID]],Table3[[#All],[PID]],0)))</f>
        <v>267</v>
      </c>
      <c r="U356" s="68">
        <f>IF($C356="B",VLOOKUP($A356,Bat!$A$4:$BA$1621,47,FALSE),VLOOKUP($A356,Pit!$A$4:$BF$1557,56,FALSE))</f>
        <v>0</v>
      </c>
      <c r="V356" s="50">
        <f>IF($C356="B",VLOOKUP($A356,Bat!$A$4:$BA$1621,48,FALSE),VLOOKUP($A356,Pit!$A$4:$BF$1557,57,FALSE))</f>
        <v>0</v>
      </c>
      <c r="W356" s="50">
        <f>Table5[[#This Row],[posRnk]]+Table5[[#This Row],[zRnk]]+IF($W$3&lt;&gt;Table5[[#This Row],[Type]],50,0)</f>
        <v>941</v>
      </c>
      <c r="X356" s="51">
        <f>RANK(Table5[[#This Row],[zScore]],Table5[[#All],[zScore]])</f>
        <v>624</v>
      </c>
      <c r="Y356" s="50">
        <f>IFERROR(INDEX(DraftResults[[#All],[OVR]],MATCH(Table5[[#This Row],[PID]],DraftResults[[#All],[Player ID]],0)),"")</f>
        <v>352</v>
      </c>
      <c r="Z3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6" s="50">
        <f>IFERROR(INDEX(DraftResults[[#All],[Pick in Round]],MATCH(Table5[[#This Row],[PID]],DraftResults[[#All],[Player ID]],0)),"")</f>
        <v>14</v>
      </c>
      <c r="AB356" s="50" t="str">
        <f>IFERROR(INDEX(DraftResults[[#All],[Team Name]],MATCH(Table5[[#This Row],[PID]],DraftResults[[#All],[Player ID]],0)),"")</f>
        <v>Arlington Bureaucrats</v>
      </c>
      <c r="AC356" s="50">
        <f>IF(Table5[[#This Row],[Ovr]]="","",IF(Table5[[#This Row],[cmbList]]="","",Table5[[#This Row],[cmbList]]-Table5[[#This Row],[Ovr]]))</f>
        <v>589</v>
      </c>
      <c r="AD356" s="54" t="str">
        <f>IF(ISERROR(VLOOKUP($AB356&amp;"-"&amp;$E356&amp;" "&amp;F356,Bonuses!$B$1:$G$1006,4,FALSE)),"",INT(VLOOKUP($AB356&amp;"-"&amp;$E356&amp;" "&amp;$F356,Bonuses!$B$1:$G$1006,4,FALSE)))</f>
        <v/>
      </c>
      <c r="AE3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12.14 (352) - CF Jim Waddell</v>
      </c>
    </row>
    <row r="357" spans="1:31" s="50" customFormat="1" x14ac:dyDescent="0.25">
      <c r="A357" s="50">
        <v>20261</v>
      </c>
      <c r="B357" s="50">
        <f>COUNTIF(Table5[PID],A357)</f>
        <v>1</v>
      </c>
      <c r="C357" s="50" t="str">
        <f>IF(COUNTIF(Table3[[#All],[PID]],A357)&gt;0,"P","B")</f>
        <v>B</v>
      </c>
      <c r="D357" s="59" t="str">
        <f>IF($C357="B",INDEX(Batters[[#All],[POS]],MATCH(Table5[[#This Row],[PID]],Batters[[#All],[PID]],0)),INDEX(Table3[[#All],[POS]],MATCH(Table5[[#This Row],[PID]],Table3[[#All],[PID]],0)))</f>
        <v>LF</v>
      </c>
      <c r="E357" s="52" t="str">
        <f>IF($C357="B",INDEX(Batters[[#All],[First]],MATCH(Table5[[#This Row],[PID]],Batters[[#All],[PID]],0)),INDEX(Table3[[#All],[First]],MATCH(Table5[[#This Row],[PID]],Table3[[#All],[PID]],0)))</f>
        <v>Jaime</v>
      </c>
      <c r="F357" s="50" t="str">
        <f>IF($C357="B",INDEX(Batters[[#All],[Last]],MATCH(A357,Batters[[#All],[PID]],0)),INDEX(Table3[[#All],[Last]],MATCH(A357,Table3[[#All],[PID]],0)))</f>
        <v>Drake</v>
      </c>
      <c r="G357" s="56">
        <f>IF($C357="B",INDEX(Batters[[#All],[Age]],MATCH(Table5[[#This Row],[PID]],Batters[[#All],[PID]],0)),INDEX(Table3[[#All],[Age]],MATCH(Table5[[#This Row],[PID]],Table3[[#All],[PID]],0)))</f>
        <v>21</v>
      </c>
      <c r="H357" s="52" t="str">
        <f>IF($C357="B",INDEX(Batters[[#All],[B]],MATCH(Table5[[#This Row],[PID]],Batters[[#All],[PID]],0)),INDEX(Table3[[#All],[B]],MATCH(Table5[[#This Row],[PID]],Table3[[#All],[PID]],0)))</f>
        <v>R</v>
      </c>
      <c r="I357" s="52" t="str">
        <f>IF($C357="B",INDEX(Batters[[#All],[T]],MATCH(Table5[[#This Row],[PID]],Batters[[#All],[PID]],0)),INDEX(Table3[[#All],[T]],MATCH(Table5[[#This Row],[PID]],Table3[[#All],[PID]],0)))</f>
        <v>L</v>
      </c>
      <c r="J357" s="52" t="str">
        <f>IF($C357="B",INDEX(Batters[[#All],[WE]],MATCH(Table5[[#This Row],[PID]],Batters[[#All],[PID]],0)),INDEX(Table3[[#All],[WE]],MATCH(Table5[[#This Row],[PID]],Table3[[#All],[PID]],0)))</f>
        <v>Normal</v>
      </c>
      <c r="K357" s="52" t="str">
        <f>IF($C357="B",INDEX(Batters[[#All],[INT]],MATCH(Table5[[#This Row],[PID]],Batters[[#All],[PID]],0)),INDEX(Table3[[#All],[INT]],MATCH(Table5[[#This Row],[PID]],Table3[[#All],[PID]],0)))</f>
        <v>Normal</v>
      </c>
      <c r="L357" s="60">
        <f>IF($C357="B",INDEX(Batters[[#All],[CON P]],MATCH(Table5[[#This Row],[PID]],Batters[[#All],[PID]],0)),INDEX(Table3[[#All],[STU P]],MATCH(Table5[[#This Row],[PID]],Table3[[#All],[PID]],0)))</f>
        <v>3</v>
      </c>
      <c r="M357" s="56">
        <f>IF($C357="B",INDEX(Batters[[#All],[GAP P]],MATCH(Table5[[#This Row],[PID]],Batters[[#All],[PID]],0)),INDEX(Table3[[#All],[MOV P]],MATCH(Table5[[#This Row],[PID]],Table3[[#All],[PID]],0)))</f>
        <v>7</v>
      </c>
      <c r="N357" s="56">
        <f>IF($C357="B",INDEX(Batters[[#All],[POW P]],MATCH(Table5[[#This Row],[PID]],Batters[[#All],[PID]],0)),INDEX(Table3[[#All],[CON P]],MATCH(Table5[[#This Row],[PID]],Table3[[#All],[PID]],0)))</f>
        <v>4</v>
      </c>
      <c r="O357" s="56">
        <f>IF($C357="B",INDEX(Batters[[#All],[EYE P]],MATCH(Table5[[#This Row],[PID]],Batters[[#All],[PID]],0)),INDEX(Table3[[#All],[VELO]],MATCH(Table5[[#This Row],[PID]],Table3[[#All],[PID]],0)))</f>
        <v>5</v>
      </c>
      <c r="P357" s="56">
        <f>IF($C357="B",INDEX(Batters[[#All],[K P]],MATCH(Table5[[#This Row],[PID]],Batters[[#All],[PID]],0)),INDEX(Table3[[#All],[STM]],MATCH(Table5[[#This Row],[PID]],Table3[[#All],[PID]],0)))</f>
        <v>4</v>
      </c>
      <c r="Q357" s="61">
        <f>IF($C357="B",INDEX(Batters[[#All],[Tot]],MATCH(Table5[[#This Row],[PID]],Batters[[#All],[PID]],0)),INDEX(Table3[[#All],[Tot]],MATCH(Table5[[#This Row],[PID]],Table3[[#All],[PID]],0)))</f>
        <v>40.696965320117265</v>
      </c>
      <c r="R357" s="52">
        <f>IF($C357="B",INDEX(Batters[[#All],[zScore]],MATCH(Table5[[#This Row],[PID]],Batters[[#All],[PID]],0)),INDEX(Table3[[#All],[zScore]],MATCH(Table5[[#This Row],[PID]],Table3[[#All],[PID]],0)))</f>
        <v>-0.76155704308837013</v>
      </c>
      <c r="S357" s="58" t="str">
        <f>IF($C357="B",INDEX(Batters[[#All],[DEM]],MATCH(Table5[[#This Row],[PID]],Batters[[#All],[PID]],0)),INDEX(Table3[[#All],[DEM]],MATCH(Table5[[#This Row],[PID]],Table3[[#All],[PID]],0)))</f>
        <v>$20k</v>
      </c>
      <c r="T357" s="62">
        <f>IF($C357="B",INDEX(Batters[[#All],[Rnk]],MATCH(Table5[[#This Row],[PID]],Batters[[#All],[PID]],0)),INDEX(Table3[[#All],[Rnk]],MATCH(Table5[[#This Row],[PID]],Table3[[#All],[PID]],0)))</f>
        <v>393</v>
      </c>
      <c r="U357" s="68">
        <f>IF($C357="B",VLOOKUP($A357,Bat!$A$4:$BA$1621,47,FALSE),VLOOKUP($A357,Pit!$A$4:$BF$1557,56,FALSE))</f>
        <v>0</v>
      </c>
      <c r="V357" s="50">
        <f>IF($C357="B",VLOOKUP($A357,Bat!$A$4:$BA$1621,48,FALSE),VLOOKUP($A357,Pit!$A$4:$BF$1557,57,FALSE))</f>
        <v>0</v>
      </c>
      <c r="W357" s="50">
        <f>Table5[[#This Row],[posRnk]]+Table5[[#This Row],[zRnk]]+IF($W$3&lt;&gt;Table5[[#This Row],[Type]],50,0)</f>
        <v>1461</v>
      </c>
      <c r="X357" s="51">
        <f>RANK(Table5[[#This Row],[zScore]],Table5[[#All],[zScore]])</f>
        <v>1018</v>
      </c>
      <c r="Y357" s="50">
        <f>IFERROR(INDEX(DraftResults[[#All],[OVR]],MATCH(Table5[[#This Row],[PID]],DraftResults[[#All],[Player ID]],0)),"")</f>
        <v>353</v>
      </c>
      <c r="Z3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7" s="50">
        <f>IFERROR(INDEX(DraftResults[[#All],[Pick in Round]],MATCH(Table5[[#This Row],[PID]],DraftResults[[#All],[Player ID]],0)),"")</f>
        <v>15</v>
      </c>
      <c r="AB357" s="50" t="str">
        <f>IFERROR(INDEX(DraftResults[[#All],[Team Name]],MATCH(Table5[[#This Row],[PID]],DraftResults[[#All],[Player ID]],0)),"")</f>
        <v>Kentucky Thoroughbreds</v>
      </c>
      <c r="AC357" s="50">
        <f>IF(Table5[[#This Row],[Ovr]]="","",IF(Table5[[#This Row],[cmbList]]="","",Table5[[#This Row],[cmbList]]-Table5[[#This Row],[Ovr]]))</f>
        <v>1108</v>
      </c>
      <c r="AD357" s="54" t="str">
        <f>IF(ISERROR(VLOOKUP($AB357&amp;"-"&amp;$E357&amp;" "&amp;F357,Bonuses!$B$1:$G$1006,4,FALSE)),"",INT(VLOOKUP($AB357&amp;"-"&amp;$E357&amp;" "&amp;$F357,Bonuses!$B$1:$G$1006,4,FALSE)))</f>
        <v/>
      </c>
      <c r="AE3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12.15 (353) - LF Jaime Drake</v>
      </c>
    </row>
    <row r="358" spans="1:31" s="50" customFormat="1" x14ac:dyDescent="0.25">
      <c r="A358" s="50">
        <v>18209</v>
      </c>
      <c r="B358" s="50">
        <f>COUNTIF(Table5[PID],A358)</f>
        <v>1</v>
      </c>
      <c r="C358" s="50" t="str">
        <f>IF(COUNTIF(Table3[[#All],[PID]],A358)&gt;0,"P","B")</f>
        <v>B</v>
      </c>
      <c r="D358" s="59" t="str">
        <f>IF($C358="B",INDEX(Batters[[#All],[POS]],MATCH(Table5[[#This Row],[PID]],Batters[[#All],[PID]],0)),INDEX(Table3[[#All],[POS]],MATCH(Table5[[#This Row],[PID]],Table3[[#All],[PID]],0)))</f>
        <v>3B</v>
      </c>
      <c r="E358" s="52" t="str">
        <f>IF($C358="B",INDEX(Batters[[#All],[First]],MATCH(Table5[[#This Row],[PID]],Batters[[#All],[PID]],0)),INDEX(Table3[[#All],[First]],MATCH(Table5[[#This Row],[PID]],Table3[[#All],[PID]],0)))</f>
        <v>Esteban</v>
      </c>
      <c r="F358" s="50" t="str">
        <f>IF($C358="B",INDEX(Batters[[#All],[Last]],MATCH(A358,Batters[[#All],[PID]],0)),INDEX(Table3[[#All],[Last]],MATCH(A358,Table3[[#All],[PID]],0)))</f>
        <v>Flores</v>
      </c>
      <c r="G358" s="56">
        <f>IF($C358="B",INDEX(Batters[[#All],[Age]],MATCH(Table5[[#This Row],[PID]],Batters[[#All],[PID]],0)),INDEX(Table3[[#All],[Age]],MATCH(Table5[[#This Row],[PID]],Table3[[#All],[PID]],0)))</f>
        <v>18</v>
      </c>
      <c r="H358" s="52" t="str">
        <f>IF($C358="B",INDEX(Batters[[#All],[B]],MATCH(Table5[[#This Row],[PID]],Batters[[#All],[PID]],0)),INDEX(Table3[[#All],[B]],MATCH(Table5[[#This Row],[PID]],Table3[[#All],[PID]],0)))</f>
        <v>R</v>
      </c>
      <c r="I358" s="52" t="str">
        <f>IF($C358="B",INDEX(Batters[[#All],[T]],MATCH(Table5[[#This Row],[PID]],Batters[[#All],[PID]],0)),INDEX(Table3[[#All],[T]],MATCH(Table5[[#This Row],[PID]],Table3[[#All],[PID]],0)))</f>
        <v>R</v>
      </c>
      <c r="J358" s="52" t="str">
        <f>IF($C358="B",INDEX(Batters[[#All],[WE]],MATCH(Table5[[#This Row],[PID]],Batters[[#All],[PID]],0)),INDEX(Table3[[#All],[WE]],MATCH(Table5[[#This Row],[PID]],Table3[[#All],[PID]],0)))</f>
        <v>Low</v>
      </c>
      <c r="K358" s="52" t="str">
        <f>IF($C358="B",INDEX(Batters[[#All],[INT]],MATCH(Table5[[#This Row],[PID]],Batters[[#All],[PID]],0)),INDEX(Table3[[#All],[INT]],MATCH(Table5[[#This Row],[PID]],Table3[[#All],[PID]],0)))</f>
        <v>Normal</v>
      </c>
      <c r="L358" s="60">
        <f>IF($C358="B",INDEX(Batters[[#All],[CON P]],MATCH(Table5[[#This Row],[PID]],Batters[[#All],[PID]],0)),INDEX(Table3[[#All],[STU P]],MATCH(Table5[[#This Row],[PID]],Table3[[#All],[PID]],0)))</f>
        <v>3</v>
      </c>
      <c r="M358" s="56">
        <f>IF($C358="B",INDEX(Batters[[#All],[GAP P]],MATCH(Table5[[#This Row],[PID]],Batters[[#All],[PID]],0)),INDEX(Table3[[#All],[MOV P]],MATCH(Table5[[#This Row],[PID]],Table3[[#All],[PID]],0)))</f>
        <v>5</v>
      </c>
      <c r="N358" s="56">
        <f>IF($C358="B",INDEX(Batters[[#All],[POW P]],MATCH(Table5[[#This Row],[PID]],Batters[[#All],[PID]],0)),INDEX(Table3[[#All],[CON P]],MATCH(Table5[[#This Row],[PID]],Table3[[#All],[PID]],0)))</f>
        <v>5</v>
      </c>
      <c r="O358" s="56">
        <f>IF($C358="B",INDEX(Batters[[#All],[EYE P]],MATCH(Table5[[#This Row],[PID]],Batters[[#All],[PID]],0)),INDEX(Table3[[#All],[VELO]],MATCH(Table5[[#This Row],[PID]],Table3[[#All],[PID]],0)))</f>
        <v>6</v>
      </c>
      <c r="P358" s="56">
        <f>IF($C358="B",INDEX(Batters[[#All],[K P]],MATCH(Table5[[#This Row],[PID]],Batters[[#All],[PID]],0)),INDEX(Table3[[#All],[STM]],MATCH(Table5[[#This Row],[PID]],Table3[[#All],[PID]],0)))</f>
        <v>3</v>
      </c>
      <c r="Q358" s="61">
        <f>IF($C358="B",INDEX(Batters[[#All],[Tot]],MATCH(Table5[[#This Row],[PID]],Batters[[#All],[PID]],0)),INDEX(Table3[[#All],[Tot]],MATCH(Table5[[#This Row],[PID]],Table3[[#All],[PID]],0)))</f>
        <v>45.032265868748084</v>
      </c>
      <c r="R358" s="52">
        <f>IF($C358="B",INDEX(Batters[[#All],[zScore]],MATCH(Table5[[#This Row],[PID]],Batters[[#All],[PID]],0)),INDEX(Table3[[#All],[zScore]],MATCH(Table5[[#This Row],[PID]],Table3[[#All],[PID]],0)))</f>
        <v>0.19960839245517448</v>
      </c>
      <c r="S358" s="58" t="str">
        <f>IF($C358="B",INDEX(Batters[[#All],[DEM]],MATCH(Table5[[#This Row],[PID]],Batters[[#All],[PID]],0)),INDEX(Table3[[#All],[DEM]],MATCH(Table5[[#This Row],[PID]],Table3[[#All],[PID]],0)))</f>
        <v>$70k</v>
      </c>
      <c r="T358" s="62">
        <f>IF($C358="B",INDEX(Batters[[#All],[Rnk]],MATCH(Table5[[#This Row],[PID]],Batters[[#All],[PID]],0)),INDEX(Table3[[#All],[Rnk]],MATCH(Table5[[#This Row],[PID]],Table3[[#All],[PID]],0)))</f>
        <v>204</v>
      </c>
      <c r="U358" s="68">
        <f>IF($C358="B",VLOOKUP($A358,Bat!$A$4:$BA$1621,47,FALSE),VLOOKUP($A358,Pit!$A$4:$BF$1557,56,FALSE))</f>
        <v>0</v>
      </c>
      <c r="V358" s="50">
        <f>IF($C358="B",VLOOKUP($A358,Bat!$A$4:$BA$1621,48,FALSE),VLOOKUP($A358,Pit!$A$4:$BF$1557,57,FALSE))</f>
        <v>0</v>
      </c>
      <c r="W358" s="50">
        <f>Table5[[#This Row],[posRnk]]+Table5[[#This Row],[zRnk]]+IF($W$3&lt;&gt;Table5[[#This Row],[Type]],50,0)</f>
        <v>723</v>
      </c>
      <c r="X358" s="51">
        <f>RANK(Table5[[#This Row],[zScore]],Table5[[#All],[zScore]])</f>
        <v>469</v>
      </c>
      <c r="Y358" s="50">
        <f>IFERROR(INDEX(DraftResults[[#All],[OVR]],MATCH(Table5[[#This Row],[PID]],DraftResults[[#All],[Player ID]],0)),"")</f>
        <v>354</v>
      </c>
      <c r="Z3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8" s="50">
        <f>IFERROR(INDEX(DraftResults[[#All],[Pick in Round]],MATCH(Table5[[#This Row],[PID]],DraftResults[[#All],[Player ID]],0)),"")</f>
        <v>16</v>
      </c>
      <c r="AB358" s="50" t="str">
        <f>IFERROR(INDEX(DraftResults[[#All],[Team Name]],MATCH(Table5[[#This Row],[PID]],DraftResults[[#All],[Player ID]],0)),"")</f>
        <v>San Antonio Calzones of Laredo</v>
      </c>
      <c r="AC358" s="50">
        <f>IF(Table5[[#This Row],[Ovr]]="","",IF(Table5[[#This Row],[cmbList]]="","",Table5[[#This Row],[cmbList]]-Table5[[#This Row],[Ovr]]))</f>
        <v>369</v>
      </c>
      <c r="AD358" s="54" t="str">
        <f>IF(ISERROR(VLOOKUP($AB358&amp;"-"&amp;$E358&amp;" "&amp;F358,Bonuses!$B$1:$G$1006,4,FALSE)),"",INT(VLOOKUP($AB358&amp;"-"&amp;$E358&amp;" "&amp;$F358,Bonuses!$B$1:$G$1006,4,FALSE)))</f>
        <v/>
      </c>
      <c r="AE3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12.16 (354) - 3B Esteban Flores</v>
      </c>
    </row>
    <row r="359" spans="1:31" s="50" customFormat="1" x14ac:dyDescent="0.25">
      <c r="A359" s="50">
        <v>20441</v>
      </c>
      <c r="B359" s="50">
        <f>COUNTIF(Table5[PID],A359)</f>
        <v>1</v>
      </c>
      <c r="C359" s="50" t="str">
        <f>IF(COUNTIF(Table3[[#All],[PID]],A359)&gt;0,"P","B")</f>
        <v>B</v>
      </c>
      <c r="D359" s="59" t="str">
        <f>IF($C359="B",INDEX(Batters[[#All],[POS]],MATCH(Table5[[#This Row],[PID]],Batters[[#All],[PID]],0)),INDEX(Table3[[#All],[POS]],MATCH(Table5[[#This Row],[PID]],Table3[[#All],[PID]],0)))</f>
        <v>SS</v>
      </c>
      <c r="E359" s="52" t="str">
        <f>IF($C359="B",INDEX(Batters[[#All],[First]],MATCH(Table5[[#This Row],[PID]],Batters[[#All],[PID]],0)),INDEX(Table3[[#All],[First]],MATCH(Table5[[#This Row],[PID]],Table3[[#All],[PID]],0)))</f>
        <v>Hong-bo</v>
      </c>
      <c r="F359" s="50" t="str">
        <f>IF($C359="B",INDEX(Batters[[#All],[Last]],MATCH(A359,Batters[[#All],[PID]],0)),INDEX(Table3[[#All],[Last]],MATCH(A359,Table3[[#All],[PID]],0)))</f>
        <v>Zhang</v>
      </c>
      <c r="G359" s="56">
        <f>IF($C359="B",INDEX(Batters[[#All],[Age]],MATCH(Table5[[#This Row],[PID]],Batters[[#All],[PID]],0)),INDEX(Table3[[#All],[Age]],MATCH(Table5[[#This Row],[PID]],Table3[[#All],[PID]],0)))</f>
        <v>18</v>
      </c>
      <c r="H359" s="52" t="str">
        <f>IF($C359="B",INDEX(Batters[[#All],[B]],MATCH(Table5[[#This Row],[PID]],Batters[[#All],[PID]],0)),INDEX(Table3[[#All],[B]],MATCH(Table5[[#This Row],[PID]],Table3[[#All],[PID]],0)))</f>
        <v>R</v>
      </c>
      <c r="I359" s="52" t="str">
        <f>IF($C359="B",INDEX(Batters[[#All],[T]],MATCH(Table5[[#This Row],[PID]],Batters[[#All],[PID]],0)),INDEX(Table3[[#All],[T]],MATCH(Table5[[#This Row],[PID]],Table3[[#All],[PID]],0)))</f>
        <v>R</v>
      </c>
      <c r="J359" s="52" t="str">
        <f>IF($C359="B",INDEX(Batters[[#All],[WE]],MATCH(Table5[[#This Row],[PID]],Batters[[#All],[PID]],0)),INDEX(Table3[[#All],[WE]],MATCH(Table5[[#This Row],[PID]],Table3[[#All],[PID]],0)))</f>
        <v>Normal</v>
      </c>
      <c r="K359" s="52" t="str">
        <f>IF($C359="B",INDEX(Batters[[#All],[INT]],MATCH(Table5[[#This Row],[PID]],Batters[[#All],[PID]],0)),INDEX(Table3[[#All],[INT]],MATCH(Table5[[#This Row],[PID]],Table3[[#All],[PID]],0)))</f>
        <v>Normal</v>
      </c>
      <c r="L359" s="60">
        <f>IF($C359="B",INDEX(Batters[[#All],[CON P]],MATCH(Table5[[#This Row],[PID]],Batters[[#All],[PID]],0)),INDEX(Table3[[#All],[STU P]],MATCH(Table5[[#This Row],[PID]],Table3[[#All],[PID]],0)))</f>
        <v>4</v>
      </c>
      <c r="M359" s="56">
        <f>IF($C359="B",INDEX(Batters[[#All],[GAP P]],MATCH(Table5[[#This Row],[PID]],Batters[[#All],[PID]],0)),INDEX(Table3[[#All],[MOV P]],MATCH(Table5[[#This Row],[PID]],Table3[[#All],[PID]],0)))</f>
        <v>6</v>
      </c>
      <c r="N359" s="56">
        <f>IF($C359="B",INDEX(Batters[[#All],[POW P]],MATCH(Table5[[#This Row],[PID]],Batters[[#All],[PID]],0)),INDEX(Table3[[#All],[CON P]],MATCH(Table5[[#This Row],[PID]],Table3[[#All],[PID]],0)))</f>
        <v>4</v>
      </c>
      <c r="O359" s="56">
        <f>IF($C359="B",INDEX(Batters[[#All],[EYE P]],MATCH(Table5[[#This Row],[PID]],Batters[[#All],[PID]],0)),INDEX(Table3[[#All],[VELO]],MATCH(Table5[[#This Row],[PID]],Table3[[#All],[PID]],0)))</f>
        <v>6</v>
      </c>
      <c r="P359" s="56">
        <f>IF($C359="B",INDEX(Batters[[#All],[K P]],MATCH(Table5[[#This Row],[PID]],Batters[[#All],[PID]],0)),INDEX(Table3[[#All],[STM]],MATCH(Table5[[#This Row],[PID]],Table3[[#All],[PID]],0)))</f>
        <v>4</v>
      </c>
      <c r="Q359" s="61">
        <f>IF($C359="B",INDEX(Batters[[#All],[Tot]],MATCH(Table5[[#This Row],[PID]],Batters[[#All],[PID]],0)),INDEX(Table3[[#All],[Tot]],MATCH(Table5[[#This Row],[PID]],Table3[[#All],[PID]],0)))</f>
        <v>49.543295539047506</v>
      </c>
      <c r="R359" s="52">
        <f>IF($C359="B",INDEX(Batters[[#All],[zScore]],MATCH(Table5[[#This Row],[PID]],Batters[[#All],[PID]],0)),INDEX(Table3[[#All],[zScore]],MATCH(Table5[[#This Row],[PID]],Table3[[#All],[PID]],0)))</f>
        <v>1.1997341620912725</v>
      </c>
      <c r="S359" s="58" t="str">
        <f>IF($C359="B",INDEX(Batters[[#All],[DEM]],MATCH(Table5[[#This Row],[PID]],Batters[[#All],[PID]],0)),INDEX(Table3[[#All],[DEM]],MATCH(Table5[[#This Row],[PID]],Table3[[#All],[PID]],0)))</f>
        <v>$200k</v>
      </c>
      <c r="T359" s="62">
        <f>IF($C359="B",INDEX(Batters[[#All],[Rnk]],MATCH(Table5[[#This Row],[PID]],Batters[[#All],[PID]],0)),INDEX(Table3[[#All],[Rnk]],MATCH(Table5[[#This Row],[PID]],Table3[[#All],[PID]],0)))</f>
        <v>70</v>
      </c>
      <c r="U359" s="68">
        <f>IF($C359="B",VLOOKUP($A359,Bat!$A$4:$BA$1621,47,FALSE),VLOOKUP($A359,Pit!$A$4:$BF$1557,56,FALSE))</f>
        <v>0</v>
      </c>
      <c r="V359" s="50">
        <f>IF($C359="B",VLOOKUP($A359,Bat!$A$4:$BA$1621,48,FALSE),VLOOKUP($A359,Pit!$A$4:$BF$1557,57,FALSE))</f>
        <v>0</v>
      </c>
      <c r="W359" s="50">
        <f>Table5[[#This Row],[posRnk]]+Table5[[#This Row],[zRnk]]+IF($W$3&lt;&gt;Table5[[#This Row],[Type]],50,0)</f>
        <v>303</v>
      </c>
      <c r="X359" s="51">
        <f>RANK(Table5[[#This Row],[zScore]],Table5[[#All],[zScore]])</f>
        <v>183</v>
      </c>
      <c r="Y359" s="50">
        <f>IFERROR(INDEX(DraftResults[[#All],[OVR]],MATCH(Table5[[#This Row],[PID]],DraftResults[[#All],[Player ID]],0)),"")</f>
        <v>355</v>
      </c>
      <c r="Z3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59" s="50">
        <f>IFERROR(INDEX(DraftResults[[#All],[Pick in Round]],MATCH(Table5[[#This Row],[PID]],DraftResults[[#All],[Player ID]],0)),"")</f>
        <v>17</v>
      </c>
      <c r="AB359" s="50" t="str">
        <f>IFERROR(INDEX(DraftResults[[#All],[Team Name]],MATCH(Table5[[#This Row],[PID]],DraftResults[[#All],[Player ID]],0)),"")</f>
        <v>Madison Malts</v>
      </c>
      <c r="AC359" s="50">
        <f>IF(Table5[[#This Row],[Ovr]]="","",IF(Table5[[#This Row],[cmbList]]="","",Table5[[#This Row],[cmbList]]-Table5[[#This Row],[Ovr]]))</f>
        <v>-52</v>
      </c>
      <c r="AD359" s="54" t="str">
        <f>IF(ISERROR(VLOOKUP($AB359&amp;"-"&amp;$E359&amp;" "&amp;F359,Bonuses!$B$1:$G$1006,4,FALSE)),"",INT(VLOOKUP($AB359&amp;"-"&amp;$E359&amp;" "&amp;$F359,Bonuses!$B$1:$G$1006,4,FALSE)))</f>
        <v/>
      </c>
      <c r="AE3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12.17 (355) - SS Hong-bo Zhang</v>
      </c>
    </row>
    <row r="360" spans="1:31" s="50" customFormat="1" x14ac:dyDescent="0.25">
      <c r="A360" s="50">
        <v>20796</v>
      </c>
      <c r="B360" s="50">
        <f>COUNTIF(Table5[PID],A360)</f>
        <v>1</v>
      </c>
      <c r="C360" s="50" t="str">
        <f>IF(COUNTIF(Table3[[#All],[PID]],A360)&gt;0,"P","B")</f>
        <v>B</v>
      </c>
      <c r="D360" s="59" t="str">
        <f>IF($C360="B",INDEX(Batters[[#All],[POS]],MATCH(Table5[[#This Row],[PID]],Batters[[#All],[PID]],0)),INDEX(Table3[[#All],[POS]],MATCH(Table5[[#This Row],[PID]],Table3[[#All],[PID]],0)))</f>
        <v>LF</v>
      </c>
      <c r="E360" s="52" t="str">
        <f>IF($C360="B",INDEX(Batters[[#All],[First]],MATCH(Table5[[#This Row],[PID]],Batters[[#All],[PID]],0)),INDEX(Table3[[#All],[First]],MATCH(Table5[[#This Row],[PID]],Table3[[#All],[PID]],0)))</f>
        <v>Edward</v>
      </c>
      <c r="F360" s="50" t="str">
        <f>IF($C360="B",INDEX(Batters[[#All],[Last]],MATCH(A360,Batters[[#All],[PID]],0)),INDEX(Table3[[#All],[Last]],MATCH(A360,Table3[[#All],[PID]],0)))</f>
        <v>López</v>
      </c>
      <c r="G360" s="56">
        <f>IF($C360="B",INDEX(Batters[[#All],[Age]],MATCH(Table5[[#This Row],[PID]],Batters[[#All],[PID]],0)),INDEX(Table3[[#All],[Age]],MATCH(Table5[[#This Row],[PID]],Table3[[#All],[PID]],0)))</f>
        <v>18</v>
      </c>
      <c r="H360" s="52" t="str">
        <f>IF($C360="B",INDEX(Batters[[#All],[B]],MATCH(Table5[[#This Row],[PID]],Batters[[#All],[PID]],0)),INDEX(Table3[[#All],[B]],MATCH(Table5[[#This Row],[PID]],Table3[[#All],[PID]],0)))</f>
        <v>L</v>
      </c>
      <c r="I360" s="52" t="str">
        <f>IF($C360="B",INDEX(Batters[[#All],[T]],MATCH(Table5[[#This Row],[PID]],Batters[[#All],[PID]],0)),INDEX(Table3[[#All],[T]],MATCH(Table5[[#This Row],[PID]],Table3[[#All],[PID]],0)))</f>
        <v>L</v>
      </c>
      <c r="J360" s="52" t="str">
        <f>IF($C360="B",INDEX(Batters[[#All],[WE]],MATCH(Table5[[#This Row],[PID]],Batters[[#All],[PID]],0)),INDEX(Table3[[#All],[WE]],MATCH(Table5[[#This Row],[PID]],Table3[[#All],[PID]],0)))</f>
        <v>Low</v>
      </c>
      <c r="K360" s="52" t="str">
        <f>IF($C360="B",INDEX(Batters[[#All],[INT]],MATCH(Table5[[#This Row],[PID]],Batters[[#All],[PID]],0)),INDEX(Table3[[#All],[INT]],MATCH(Table5[[#This Row],[PID]],Table3[[#All],[PID]],0)))</f>
        <v>Normal</v>
      </c>
      <c r="L360" s="60">
        <f>IF($C360="B",INDEX(Batters[[#All],[CON P]],MATCH(Table5[[#This Row],[PID]],Batters[[#All],[PID]],0)),INDEX(Table3[[#All],[STU P]],MATCH(Table5[[#This Row],[PID]],Table3[[#All],[PID]],0)))</f>
        <v>4</v>
      </c>
      <c r="M360" s="56">
        <f>IF($C360="B",INDEX(Batters[[#All],[GAP P]],MATCH(Table5[[#This Row],[PID]],Batters[[#All],[PID]],0)),INDEX(Table3[[#All],[MOV P]],MATCH(Table5[[#This Row],[PID]],Table3[[#All],[PID]],0)))</f>
        <v>5</v>
      </c>
      <c r="N360" s="56">
        <f>IF($C360="B",INDEX(Batters[[#All],[POW P]],MATCH(Table5[[#This Row],[PID]],Batters[[#All],[PID]],0)),INDEX(Table3[[#All],[CON P]],MATCH(Table5[[#This Row],[PID]],Table3[[#All],[PID]],0)))</f>
        <v>5</v>
      </c>
      <c r="O360" s="56">
        <f>IF($C360="B",INDEX(Batters[[#All],[EYE P]],MATCH(Table5[[#This Row],[PID]],Batters[[#All],[PID]],0)),INDEX(Table3[[#All],[VELO]],MATCH(Table5[[#This Row],[PID]],Table3[[#All],[PID]],0)))</f>
        <v>4</v>
      </c>
      <c r="P360" s="56">
        <f>IF($C360="B",INDEX(Batters[[#All],[K P]],MATCH(Table5[[#This Row],[PID]],Batters[[#All],[PID]],0)),INDEX(Table3[[#All],[STM]],MATCH(Table5[[#This Row],[PID]],Table3[[#All],[PID]],0)))</f>
        <v>4</v>
      </c>
      <c r="Q360" s="61">
        <f>IF($C360="B",INDEX(Batters[[#All],[Tot]],MATCH(Table5[[#This Row],[PID]],Batters[[#All],[PID]],0)),INDEX(Table3[[#All],[Tot]],MATCH(Table5[[#This Row],[PID]],Table3[[#All],[PID]],0)))</f>
        <v>47.212825676351891</v>
      </c>
      <c r="R360" s="52">
        <f>IF($C360="B",INDEX(Batters[[#All],[zScore]],MATCH(Table5[[#This Row],[PID]],Batters[[#All],[PID]],0)),INDEX(Table3[[#All],[zScore]],MATCH(Table5[[#This Row],[PID]],Table3[[#All],[PID]],0)))</f>
        <v>0.683053241017331</v>
      </c>
      <c r="S360" s="58" t="str">
        <f>IF($C360="B",INDEX(Batters[[#All],[DEM]],MATCH(Table5[[#This Row],[PID]],Batters[[#All],[PID]],0)),INDEX(Table3[[#All],[DEM]],MATCH(Table5[[#This Row],[PID]],Table3[[#All],[PID]],0)))</f>
        <v>$200k</v>
      </c>
      <c r="T360" s="62">
        <f>IF($C360="B",INDEX(Batters[[#All],[Rnk]],MATCH(Table5[[#This Row],[PID]],Batters[[#All],[PID]],0)),INDEX(Table3[[#All],[Rnk]],MATCH(Table5[[#This Row],[PID]],Table3[[#All],[PID]],0)))</f>
        <v>121</v>
      </c>
      <c r="U360" s="68">
        <f>IF($C360="B",VLOOKUP($A360,Bat!$A$4:$BA$1621,47,FALSE),VLOOKUP($A360,Pit!$A$4:$BF$1557,56,FALSE))</f>
        <v>0</v>
      </c>
      <c r="V360" s="50">
        <f>IF($C360="B",VLOOKUP($A360,Bat!$A$4:$BA$1621,48,FALSE),VLOOKUP($A360,Pit!$A$4:$BF$1557,57,FALSE))</f>
        <v>0</v>
      </c>
      <c r="W360" s="50">
        <f>Table5[[#This Row],[posRnk]]+Table5[[#This Row],[zRnk]]+IF($W$3&lt;&gt;Table5[[#This Row],[Type]],50,0)</f>
        <v>481</v>
      </c>
      <c r="X360" s="51">
        <f>RANK(Table5[[#This Row],[zScore]],Table5[[#All],[zScore]])</f>
        <v>310</v>
      </c>
      <c r="Y360" s="50">
        <f>IFERROR(INDEX(DraftResults[[#All],[OVR]],MATCH(Table5[[#This Row],[PID]],DraftResults[[#All],[Player ID]],0)),"")</f>
        <v>356</v>
      </c>
      <c r="Z3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0" s="50">
        <f>IFERROR(INDEX(DraftResults[[#All],[Pick in Round]],MATCH(Table5[[#This Row],[PID]],DraftResults[[#All],[Player ID]],0)),"")</f>
        <v>18</v>
      </c>
      <c r="AB360" s="50" t="str">
        <f>IFERROR(INDEX(DraftResults[[#All],[Team Name]],MATCH(Table5[[#This Row],[PID]],DraftResults[[#All],[Player ID]],0)),"")</f>
        <v>Bakersfield Bears</v>
      </c>
      <c r="AC360" s="50">
        <f>IF(Table5[[#This Row],[Ovr]]="","",IF(Table5[[#This Row],[cmbList]]="","",Table5[[#This Row],[cmbList]]-Table5[[#This Row],[Ovr]]))</f>
        <v>125</v>
      </c>
      <c r="AD360" s="54" t="str">
        <f>IF(ISERROR(VLOOKUP($AB360&amp;"-"&amp;$E360&amp;" "&amp;F360,Bonuses!$B$1:$G$1006,4,FALSE)),"",INT(VLOOKUP($AB360&amp;"-"&amp;$E360&amp;" "&amp;$F360,Bonuses!$B$1:$G$1006,4,FALSE)))</f>
        <v/>
      </c>
      <c r="AE3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12.18 (356) - LF Edward López</v>
      </c>
    </row>
    <row r="361" spans="1:31" s="50" customFormat="1" x14ac:dyDescent="0.25">
      <c r="A361" s="50">
        <v>18273</v>
      </c>
      <c r="B361" s="50">
        <f>COUNTIF(Table5[PID],A361)</f>
        <v>1</v>
      </c>
      <c r="C361" s="50" t="str">
        <f>IF(COUNTIF(Table3[[#All],[PID]],A361)&gt;0,"P","B")</f>
        <v>P</v>
      </c>
      <c r="D361" s="59" t="str">
        <f>IF($C361="B",INDEX(Batters[[#All],[POS]],MATCH(Table5[[#This Row],[PID]],Batters[[#All],[PID]],0)),INDEX(Table3[[#All],[POS]],MATCH(Table5[[#This Row],[PID]],Table3[[#All],[PID]],0)))</f>
        <v>CL</v>
      </c>
      <c r="E361" s="52" t="str">
        <f>IF($C361="B",INDEX(Batters[[#All],[First]],MATCH(Table5[[#This Row],[PID]],Batters[[#All],[PID]],0)),INDEX(Table3[[#All],[First]],MATCH(Table5[[#This Row],[PID]],Table3[[#All],[PID]],0)))</f>
        <v>Jorge</v>
      </c>
      <c r="F361" s="50" t="str">
        <f>IF($C361="B",INDEX(Batters[[#All],[Last]],MATCH(A361,Batters[[#All],[PID]],0)),INDEX(Table3[[#All],[Last]],MATCH(A361,Table3[[#All],[PID]],0)))</f>
        <v>Fierro</v>
      </c>
      <c r="G361" s="56">
        <f>IF($C361="B",INDEX(Batters[[#All],[Age]],MATCH(Table5[[#This Row],[PID]],Batters[[#All],[PID]],0)),INDEX(Table3[[#All],[Age]],MATCH(Table5[[#This Row],[PID]],Table3[[#All],[PID]],0)))</f>
        <v>18</v>
      </c>
      <c r="H361" s="52" t="str">
        <f>IF($C361="B",INDEX(Batters[[#All],[B]],MATCH(Table5[[#This Row],[PID]],Batters[[#All],[PID]],0)),INDEX(Table3[[#All],[B]],MATCH(Table5[[#This Row],[PID]],Table3[[#All],[PID]],0)))</f>
        <v>R</v>
      </c>
      <c r="I361" s="52" t="str">
        <f>IF($C361="B",INDEX(Batters[[#All],[T]],MATCH(Table5[[#This Row],[PID]],Batters[[#All],[PID]],0)),INDEX(Table3[[#All],[T]],MATCH(Table5[[#This Row],[PID]],Table3[[#All],[PID]],0)))</f>
        <v>R</v>
      </c>
      <c r="J361" s="52" t="str">
        <f>IF($C361="B",INDEX(Batters[[#All],[WE]],MATCH(Table5[[#This Row],[PID]],Batters[[#All],[PID]],0)),INDEX(Table3[[#All],[WE]],MATCH(Table5[[#This Row],[PID]],Table3[[#All],[PID]],0)))</f>
        <v>Low</v>
      </c>
      <c r="K361" s="52" t="str">
        <f>IF($C361="B",INDEX(Batters[[#All],[INT]],MATCH(Table5[[#This Row],[PID]],Batters[[#All],[PID]],0)),INDEX(Table3[[#All],[INT]],MATCH(Table5[[#This Row],[PID]],Table3[[#All],[PID]],0)))</f>
        <v>Normal</v>
      </c>
      <c r="L361" s="60">
        <f>IF($C361="B",INDEX(Batters[[#All],[CON P]],MATCH(Table5[[#This Row],[PID]],Batters[[#All],[PID]],0)),INDEX(Table3[[#All],[STU P]],MATCH(Table5[[#This Row],[PID]],Table3[[#All],[PID]],0)))</f>
        <v>5</v>
      </c>
      <c r="M361" s="56">
        <f>IF($C361="B",INDEX(Batters[[#All],[GAP P]],MATCH(Table5[[#This Row],[PID]],Batters[[#All],[PID]],0)),INDEX(Table3[[#All],[MOV P]],MATCH(Table5[[#This Row],[PID]],Table3[[#All],[PID]],0)))</f>
        <v>4</v>
      </c>
      <c r="N361" s="56">
        <f>IF($C361="B",INDEX(Batters[[#All],[POW P]],MATCH(Table5[[#This Row],[PID]],Batters[[#All],[PID]],0)),INDEX(Table3[[#All],[CON P]],MATCH(Table5[[#This Row],[PID]],Table3[[#All],[PID]],0)))</f>
        <v>5</v>
      </c>
      <c r="O361" s="56" t="str">
        <f>IF($C361="B",INDEX(Batters[[#All],[EYE P]],MATCH(Table5[[#This Row],[PID]],Batters[[#All],[PID]],0)),INDEX(Table3[[#All],[VELO]],MATCH(Table5[[#This Row],[PID]],Table3[[#All],[PID]],0)))</f>
        <v>88-90 Mph</v>
      </c>
      <c r="P361" s="56">
        <f>IF($C361="B",INDEX(Batters[[#All],[K P]],MATCH(Table5[[#This Row],[PID]],Batters[[#All],[PID]],0)),INDEX(Table3[[#All],[STM]],MATCH(Table5[[#This Row],[PID]],Table3[[#All],[PID]],0)))</f>
        <v>6</v>
      </c>
      <c r="Q361" s="61">
        <f>IF($C361="B",INDEX(Batters[[#All],[Tot]],MATCH(Table5[[#This Row],[PID]],Batters[[#All],[PID]],0)),INDEX(Table3[[#All],[Tot]],MATCH(Table5[[#This Row],[PID]],Table3[[#All],[PID]],0)))</f>
        <v>56.527172440678584</v>
      </c>
      <c r="R361" s="52">
        <f>IF($C361="B",INDEX(Batters[[#All],[zScore]],MATCH(Table5[[#This Row],[PID]],Batters[[#All],[PID]],0)),INDEX(Table3[[#All],[zScore]],MATCH(Table5[[#This Row],[PID]],Table3[[#All],[PID]],0)))</f>
        <v>1.3742551192334878</v>
      </c>
      <c r="S361" s="58" t="str">
        <f>IF($C361="B",INDEX(Batters[[#All],[DEM]],MATCH(Table5[[#This Row],[PID]],Batters[[#All],[PID]],0)),INDEX(Table3[[#All],[DEM]],MATCH(Table5[[#This Row],[PID]],Table3[[#All],[PID]],0)))</f>
        <v>$240k</v>
      </c>
      <c r="T361" s="62">
        <f>IF($C361="B",INDEX(Batters[[#All],[Rnk]],MATCH(Table5[[#This Row],[PID]],Batters[[#All],[PID]],0)),INDEX(Table3[[#All],[Rnk]],MATCH(Table5[[#This Row],[PID]],Table3[[#All],[PID]],0)))</f>
        <v>89</v>
      </c>
      <c r="U361" s="68">
        <f>IF($C361="B",VLOOKUP($A361,Bat!$A$4:$BA$1621,47,FALSE),VLOOKUP($A361,Pit!$A$4:$BF$1557,56,FALSE))</f>
        <v>0</v>
      </c>
      <c r="V361" s="50">
        <f>IF($C361="B",VLOOKUP($A361,Bat!$A$4:$BA$1621,48,FALSE),VLOOKUP($A361,Pit!$A$4:$BF$1557,57,FALSE))</f>
        <v>0</v>
      </c>
      <c r="W361" s="50">
        <f>Table5[[#This Row],[posRnk]]+Table5[[#This Row],[zRnk]]+IF($W$3&lt;&gt;Table5[[#This Row],[Type]],50,0)</f>
        <v>280</v>
      </c>
      <c r="X361" s="51">
        <f>RANK(Table5[[#This Row],[zScore]],Table5[[#All],[zScore]])</f>
        <v>141</v>
      </c>
      <c r="Y361" s="50">
        <f>IFERROR(INDEX(DraftResults[[#All],[OVR]],MATCH(Table5[[#This Row],[PID]],DraftResults[[#All],[Player ID]],0)),"")</f>
        <v>357</v>
      </c>
      <c r="Z3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1" s="50">
        <f>IFERROR(INDEX(DraftResults[[#All],[Pick in Round]],MATCH(Table5[[#This Row],[PID]],DraftResults[[#All],[Player ID]],0)),"")</f>
        <v>19</v>
      </c>
      <c r="AB361" s="50" t="str">
        <f>IFERROR(INDEX(DraftResults[[#All],[Team Name]],MATCH(Table5[[#This Row],[PID]],DraftResults[[#All],[Player ID]],0)),"")</f>
        <v>Kalamazoo Badgers</v>
      </c>
      <c r="AC361" s="50">
        <f>IF(Table5[[#This Row],[Ovr]]="","",IF(Table5[[#This Row],[cmbList]]="","",Table5[[#This Row],[cmbList]]-Table5[[#This Row],[Ovr]]))</f>
        <v>-77</v>
      </c>
      <c r="AD361" s="54" t="str">
        <f>IF(ISERROR(VLOOKUP($AB361&amp;"-"&amp;$E361&amp;" "&amp;F361,Bonuses!$B$1:$G$1006,4,FALSE)),"",INT(VLOOKUP($AB361&amp;"-"&amp;$E361&amp;" "&amp;$F361,Bonuses!$B$1:$G$1006,4,FALSE)))</f>
        <v/>
      </c>
      <c r="AE3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12.19 (357) - CL Jorge Fierro</v>
      </c>
    </row>
    <row r="362" spans="1:31" s="50" customFormat="1" x14ac:dyDescent="0.25">
      <c r="A362" s="50">
        <v>20312</v>
      </c>
      <c r="B362" s="50">
        <f>COUNTIF(Table5[PID],A362)</f>
        <v>1</v>
      </c>
      <c r="C362" s="50" t="str">
        <f>IF(COUNTIF(Table3[[#All],[PID]],A362)&gt;0,"P","B")</f>
        <v>B</v>
      </c>
      <c r="D362" s="59" t="str">
        <f>IF($C362="B",INDEX(Batters[[#All],[POS]],MATCH(Table5[[#This Row],[PID]],Batters[[#All],[PID]],0)),INDEX(Table3[[#All],[POS]],MATCH(Table5[[#This Row],[PID]],Table3[[#All],[PID]],0)))</f>
        <v>2B</v>
      </c>
      <c r="E362" s="52" t="str">
        <f>IF($C362="B",INDEX(Batters[[#All],[First]],MATCH(Table5[[#This Row],[PID]],Batters[[#All],[PID]],0)),INDEX(Table3[[#All],[First]],MATCH(Table5[[#This Row],[PID]],Table3[[#All],[PID]],0)))</f>
        <v>Dong-hee</v>
      </c>
      <c r="F362" s="50" t="str">
        <f>IF($C362="B",INDEX(Batters[[#All],[Last]],MATCH(A362,Batters[[#All],[PID]],0)),INDEX(Table3[[#All],[Last]],MATCH(A362,Table3[[#All],[PID]],0)))</f>
        <v>Yi</v>
      </c>
      <c r="G362" s="56">
        <f>IF($C362="B",INDEX(Batters[[#All],[Age]],MATCH(Table5[[#This Row],[PID]],Batters[[#All],[PID]],0)),INDEX(Table3[[#All],[Age]],MATCH(Table5[[#This Row],[PID]],Table3[[#All],[PID]],0)))</f>
        <v>18</v>
      </c>
      <c r="H362" s="52" t="str">
        <f>IF($C362="B",INDEX(Batters[[#All],[B]],MATCH(Table5[[#This Row],[PID]],Batters[[#All],[PID]],0)),INDEX(Table3[[#All],[B]],MATCH(Table5[[#This Row],[PID]],Table3[[#All],[PID]],0)))</f>
        <v>R</v>
      </c>
      <c r="I362" s="52" t="str">
        <f>IF($C362="B",INDEX(Batters[[#All],[T]],MATCH(Table5[[#This Row],[PID]],Batters[[#All],[PID]],0)),INDEX(Table3[[#All],[T]],MATCH(Table5[[#This Row],[PID]],Table3[[#All],[PID]],0)))</f>
        <v>R</v>
      </c>
      <c r="J362" s="52" t="str">
        <f>IF($C362="B",INDEX(Batters[[#All],[WE]],MATCH(Table5[[#This Row],[PID]],Batters[[#All],[PID]],0)),INDEX(Table3[[#All],[WE]],MATCH(Table5[[#This Row],[PID]],Table3[[#All],[PID]],0)))</f>
        <v>Normal</v>
      </c>
      <c r="K362" s="52" t="str">
        <f>IF($C362="B",INDEX(Batters[[#All],[INT]],MATCH(Table5[[#This Row],[PID]],Batters[[#All],[PID]],0)),INDEX(Table3[[#All],[INT]],MATCH(Table5[[#This Row],[PID]],Table3[[#All],[PID]],0)))</f>
        <v>Normal</v>
      </c>
      <c r="L362" s="60">
        <f>IF($C362="B",INDEX(Batters[[#All],[CON P]],MATCH(Table5[[#This Row],[PID]],Batters[[#All],[PID]],0)),INDEX(Table3[[#All],[STU P]],MATCH(Table5[[#This Row],[PID]],Table3[[#All],[PID]],0)))</f>
        <v>4</v>
      </c>
      <c r="M362" s="56">
        <f>IF($C362="B",INDEX(Batters[[#All],[GAP P]],MATCH(Table5[[#This Row],[PID]],Batters[[#All],[PID]],0)),INDEX(Table3[[#All],[MOV P]],MATCH(Table5[[#This Row],[PID]],Table3[[#All],[PID]],0)))</f>
        <v>7</v>
      </c>
      <c r="N362" s="56">
        <f>IF($C362="B",INDEX(Batters[[#All],[POW P]],MATCH(Table5[[#This Row],[PID]],Batters[[#All],[PID]],0)),INDEX(Table3[[#All],[CON P]],MATCH(Table5[[#This Row],[PID]],Table3[[#All],[PID]],0)))</f>
        <v>4</v>
      </c>
      <c r="O362" s="56">
        <f>IF($C362="B",INDEX(Batters[[#All],[EYE P]],MATCH(Table5[[#This Row],[PID]],Batters[[#All],[PID]],0)),INDEX(Table3[[#All],[VELO]],MATCH(Table5[[#This Row],[PID]],Table3[[#All],[PID]],0)))</f>
        <v>6</v>
      </c>
      <c r="P362" s="56">
        <f>IF($C362="B",INDEX(Batters[[#All],[K P]],MATCH(Table5[[#This Row],[PID]],Batters[[#All],[PID]],0)),INDEX(Table3[[#All],[STM]],MATCH(Table5[[#This Row],[PID]],Table3[[#All],[PID]],0)))</f>
        <v>4</v>
      </c>
      <c r="Q362" s="61">
        <f>IF($C362="B",INDEX(Batters[[#All],[Tot]],MATCH(Table5[[#This Row],[PID]],Batters[[#All],[PID]],0)),INDEX(Table3[[#All],[Tot]],MATCH(Table5[[#This Row],[PID]],Table3[[#All],[PID]],0)))</f>
        <v>49.922707945069561</v>
      </c>
      <c r="R362" s="52">
        <f>IF($C362="B",INDEX(Batters[[#All],[zScore]],MATCH(Table5[[#This Row],[PID]],Batters[[#All],[PID]],0)),INDEX(Table3[[#All],[zScore]],MATCH(Table5[[#This Row],[PID]],Table3[[#All],[PID]],0)))</f>
        <v>1.2838524570962142</v>
      </c>
      <c r="S362" s="58" t="str">
        <f>IF($C362="B",INDEX(Batters[[#All],[DEM]],MATCH(Table5[[#This Row],[PID]],Batters[[#All],[PID]],0)),INDEX(Table3[[#All],[DEM]],MATCH(Table5[[#This Row],[PID]],Table3[[#All],[PID]],0)))</f>
        <v>$75k</v>
      </c>
      <c r="T362" s="62">
        <f>IF($C362="B",INDEX(Batters[[#All],[Rnk]],MATCH(Table5[[#This Row],[PID]],Batters[[#All],[PID]],0)),INDEX(Table3[[#All],[Rnk]],MATCH(Table5[[#This Row],[PID]],Table3[[#All],[PID]],0)))</f>
        <v>60</v>
      </c>
      <c r="U362" s="68">
        <f>IF($C362="B",VLOOKUP($A362,Bat!$A$4:$BA$1621,47,FALSE),VLOOKUP($A362,Pit!$A$4:$BF$1557,56,FALSE))</f>
        <v>0</v>
      </c>
      <c r="V362" s="50">
        <f>IF($C362="B",VLOOKUP($A362,Bat!$A$4:$BA$1621,48,FALSE),VLOOKUP($A362,Pit!$A$4:$BF$1557,57,FALSE))</f>
        <v>0</v>
      </c>
      <c r="W362" s="50">
        <f>Table5[[#This Row],[posRnk]]+Table5[[#This Row],[zRnk]]+IF($W$3&lt;&gt;Table5[[#This Row],[Type]],50,0)</f>
        <v>273</v>
      </c>
      <c r="X362" s="51">
        <f>RANK(Table5[[#This Row],[zScore]],Table5[[#All],[zScore]])</f>
        <v>163</v>
      </c>
      <c r="Y362" s="50">
        <f>IFERROR(INDEX(DraftResults[[#All],[OVR]],MATCH(Table5[[#This Row],[PID]],DraftResults[[#All],[Player ID]],0)),"")</f>
        <v>358</v>
      </c>
      <c r="Z3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2" s="50">
        <f>IFERROR(INDEX(DraftResults[[#All],[Pick in Round]],MATCH(Table5[[#This Row],[PID]],DraftResults[[#All],[Player ID]],0)),"")</f>
        <v>20</v>
      </c>
      <c r="AB362" s="50" t="str">
        <f>IFERROR(INDEX(DraftResults[[#All],[Team Name]],MATCH(Table5[[#This Row],[PID]],DraftResults[[#All],[Player ID]],0)),"")</f>
        <v>Amsterdam Lions</v>
      </c>
      <c r="AC362" s="50">
        <f>IF(Table5[[#This Row],[Ovr]]="","",IF(Table5[[#This Row],[cmbList]]="","",Table5[[#This Row],[cmbList]]-Table5[[#This Row],[Ovr]]))</f>
        <v>-85</v>
      </c>
      <c r="AD362" s="54" t="str">
        <f>IF(ISERROR(VLOOKUP($AB362&amp;"-"&amp;$E362&amp;" "&amp;F362,Bonuses!$B$1:$G$1006,4,FALSE)),"",INT(VLOOKUP($AB362&amp;"-"&amp;$E362&amp;" "&amp;$F362,Bonuses!$B$1:$G$1006,4,FALSE)))</f>
        <v/>
      </c>
      <c r="AE3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12.20 (358) - 2B Dong-hee Yi</v>
      </c>
    </row>
    <row r="363" spans="1:31" s="50" customFormat="1" x14ac:dyDescent="0.25">
      <c r="A363" s="50">
        <v>12841</v>
      </c>
      <c r="B363" s="50">
        <f>COUNTIF(Table5[PID],A363)</f>
        <v>1</v>
      </c>
      <c r="C363" s="50" t="str">
        <f>IF(COUNTIF(Table3[[#All],[PID]],A363)&gt;0,"P","B")</f>
        <v>B</v>
      </c>
      <c r="D363" s="59" t="str">
        <f>IF($C363="B",INDEX(Batters[[#All],[POS]],MATCH(Table5[[#This Row],[PID]],Batters[[#All],[PID]],0)),INDEX(Table3[[#All],[POS]],MATCH(Table5[[#This Row],[PID]],Table3[[#All],[PID]],0)))</f>
        <v>SS</v>
      </c>
      <c r="E363" s="52" t="str">
        <f>IF($C363="B",INDEX(Batters[[#All],[First]],MATCH(Table5[[#This Row],[PID]],Batters[[#All],[PID]],0)),INDEX(Table3[[#All],[First]],MATCH(Table5[[#This Row],[PID]],Table3[[#All],[PID]],0)))</f>
        <v>Frazer</v>
      </c>
      <c r="F363" s="50" t="str">
        <f>IF($C363="B",INDEX(Batters[[#All],[Last]],MATCH(A363,Batters[[#All],[PID]],0)),INDEX(Table3[[#All],[Last]],MATCH(A363,Table3[[#All],[PID]],0)))</f>
        <v>Singer</v>
      </c>
      <c r="G363" s="56">
        <f>IF($C363="B",INDEX(Batters[[#All],[Age]],MATCH(Table5[[#This Row],[PID]],Batters[[#All],[PID]],0)),INDEX(Table3[[#All],[Age]],MATCH(Table5[[#This Row],[PID]],Table3[[#All],[PID]],0)))</f>
        <v>21</v>
      </c>
      <c r="H363" s="52" t="str">
        <f>IF($C363="B",INDEX(Batters[[#All],[B]],MATCH(Table5[[#This Row],[PID]],Batters[[#All],[PID]],0)),INDEX(Table3[[#All],[B]],MATCH(Table5[[#This Row],[PID]],Table3[[#All],[PID]],0)))</f>
        <v>R</v>
      </c>
      <c r="I363" s="52" t="str">
        <f>IF($C363="B",INDEX(Batters[[#All],[T]],MATCH(Table5[[#This Row],[PID]],Batters[[#All],[PID]],0)),INDEX(Table3[[#All],[T]],MATCH(Table5[[#This Row],[PID]],Table3[[#All],[PID]],0)))</f>
        <v>R</v>
      </c>
      <c r="J363" s="52" t="str">
        <f>IF($C363="B",INDEX(Batters[[#All],[WE]],MATCH(Table5[[#This Row],[PID]],Batters[[#All],[PID]],0)),INDEX(Table3[[#All],[WE]],MATCH(Table5[[#This Row],[PID]],Table3[[#All],[PID]],0)))</f>
        <v>Normal</v>
      </c>
      <c r="K363" s="52" t="str">
        <f>IF($C363="B",INDEX(Batters[[#All],[INT]],MATCH(Table5[[#This Row],[PID]],Batters[[#All],[PID]],0)),INDEX(Table3[[#All],[INT]],MATCH(Table5[[#This Row],[PID]],Table3[[#All],[PID]],0)))</f>
        <v>Normal</v>
      </c>
      <c r="L363" s="60">
        <f>IF($C363="B",INDEX(Batters[[#All],[CON P]],MATCH(Table5[[#This Row],[PID]],Batters[[#All],[PID]],0)),INDEX(Table3[[#All],[STU P]],MATCH(Table5[[#This Row],[PID]],Table3[[#All],[PID]],0)))</f>
        <v>4</v>
      </c>
      <c r="M363" s="56">
        <f>IF($C363="B",INDEX(Batters[[#All],[GAP P]],MATCH(Table5[[#This Row],[PID]],Batters[[#All],[PID]],0)),INDEX(Table3[[#All],[MOV P]],MATCH(Table5[[#This Row],[PID]],Table3[[#All],[PID]],0)))</f>
        <v>6</v>
      </c>
      <c r="N363" s="56">
        <f>IF($C363="B",INDEX(Batters[[#All],[POW P]],MATCH(Table5[[#This Row],[PID]],Batters[[#All],[PID]],0)),INDEX(Table3[[#All],[CON P]],MATCH(Table5[[#This Row],[PID]],Table3[[#All],[PID]],0)))</f>
        <v>5</v>
      </c>
      <c r="O363" s="56">
        <f>IF($C363="B",INDEX(Batters[[#All],[EYE P]],MATCH(Table5[[#This Row],[PID]],Batters[[#All],[PID]],0)),INDEX(Table3[[#All],[VELO]],MATCH(Table5[[#This Row],[PID]],Table3[[#All],[PID]],0)))</f>
        <v>5</v>
      </c>
      <c r="P363" s="56">
        <f>IF($C363="B",INDEX(Batters[[#All],[K P]],MATCH(Table5[[#This Row],[PID]],Batters[[#All],[PID]],0)),INDEX(Table3[[#All],[STM]],MATCH(Table5[[#This Row],[PID]],Table3[[#All],[PID]],0)))</f>
        <v>4</v>
      </c>
      <c r="Q363" s="61">
        <f>IF($C363="B",INDEX(Batters[[#All],[Tot]],MATCH(Table5[[#This Row],[PID]],Batters[[#All],[PID]],0)),INDEX(Table3[[#All],[Tot]],MATCH(Table5[[#This Row],[PID]],Table3[[#All],[PID]],0)))</f>
        <v>45.274776084821326</v>
      </c>
      <c r="R363" s="52">
        <f>IF($C363="B",INDEX(Batters[[#All],[zScore]],MATCH(Table5[[#This Row],[PID]],Batters[[#All],[PID]],0)),INDEX(Table3[[#All],[zScore]],MATCH(Table5[[#This Row],[PID]],Table3[[#All],[PID]],0)))</f>
        <v>0.25337454657554165</v>
      </c>
      <c r="S363" s="58" t="str">
        <f>IF($C363="B",INDEX(Batters[[#All],[DEM]],MATCH(Table5[[#This Row],[PID]],Batters[[#All],[PID]],0)),INDEX(Table3[[#All],[DEM]],MATCH(Table5[[#This Row],[PID]],Table3[[#All],[PID]],0)))</f>
        <v>$180k</v>
      </c>
      <c r="T363" s="62">
        <f>IF($C363="B",INDEX(Batters[[#All],[Rnk]],MATCH(Table5[[#This Row],[PID]],Batters[[#All],[PID]],0)),INDEX(Table3[[#All],[Rnk]],MATCH(Table5[[#This Row],[PID]],Table3[[#All],[PID]],0)))</f>
        <v>186</v>
      </c>
      <c r="U363" s="68">
        <f>IF($C363="B",VLOOKUP($A363,Bat!$A$4:$BA$1621,47,FALSE),VLOOKUP($A363,Pit!$A$4:$BF$1557,56,FALSE))</f>
        <v>0</v>
      </c>
      <c r="V363" s="50">
        <f>IF($C363="B",VLOOKUP($A363,Bat!$A$4:$BA$1621,48,FALSE),VLOOKUP($A363,Pit!$A$4:$BF$1557,57,FALSE))</f>
        <v>0</v>
      </c>
      <c r="W363" s="50">
        <f>Table5[[#This Row],[posRnk]]+Table5[[#This Row],[zRnk]]+IF($W$3&lt;&gt;Table5[[#This Row],[Type]],50,0)</f>
        <v>672</v>
      </c>
      <c r="X363" s="51">
        <f>RANK(Table5[[#This Row],[zScore]],Table5[[#All],[zScore]])</f>
        <v>436</v>
      </c>
      <c r="Y363" s="50">
        <f>IFERROR(INDEX(DraftResults[[#All],[OVR]],MATCH(Table5[[#This Row],[PID]],DraftResults[[#All],[Player ID]],0)),"")</f>
        <v>359</v>
      </c>
      <c r="Z3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3" s="50">
        <f>IFERROR(INDEX(DraftResults[[#All],[Pick in Round]],MATCH(Table5[[#This Row],[PID]],DraftResults[[#All],[Player ID]],0)),"")</f>
        <v>21</v>
      </c>
      <c r="AB363" s="50" t="str">
        <f>IFERROR(INDEX(DraftResults[[#All],[Team Name]],MATCH(Table5[[#This Row],[PID]],DraftResults[[#All],[Player ID]],0)),"")</f>
        <v>Crystal Lake Sandgnats</v>
      </c>
      <c r="AC363" s="50">
        <f>IF(Table5[[#This Row],[Ovr]]="","",IF(Table5[[#This Row],[cmbList]]="","",Table5[[#This Row],[cmbList]]-Table5[[#This Row],[Ovr]]))</f>
        <v>313</v>
      </c>
      <c r="AD363" s="54" t="str">
        <f>IF(ISERROR(VLOOKUP($AB363&amp;"-"&amp;$E363&amp;" "&amp;F363,Bonuses!$B$1:$G$1006,4,FALSE)),"",INT(VLOOKUP($AB363&amp;"-"&amp;$E363&amp;" "&amp;$F363,Bonuses!$B$1:$G$1006,4,FALSE)))</f>
        <v/>
      </c>
      <c r="AE3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12.21 (359) - SS Frazer Singer</v>
      </c>
    </row>
    <row r="364" spans="1:31" s="50" customFormat="1" x14ac:dyDescent="0.25">
      <c r="A364" s="50">
        <v>20898</v>
      </c>
      <c r="B364" s="50">
        <f>COUNTIF(Table5[PID],A364)</f>
        <v>1</v>
      </c>
      <c r="C364" s="50" t="str">
        <f>IF(COUNTIF(Table3[[#All],[PID]],A364)&gt;0,"P","B")</f>
        <v>B</v>
      </c>
      <c r="D364" s="59" t="str">
        <f>IF($C364="B",INDEX(Batters[[#All],[POS]],MATCH(Table5[[#This Row],[PID]],Batters[[#All],[PID]],0)),INDEX(Table3[[#All],[POS]],MATCH(Table5[[#This Row],[PID]],Table3[[#All],[PID]],0)))</f>
        <v>1B</v>
      </c>
      <c r="E364" s="52" t="str">
        <f>IF($C364="B",INDEX(Batters[[#All],[First]],MATCH(Table5[[#This Row],[PID]],Batters[[#All],[PID]],0)),INDEX(Table3[[#All],[First]],MATCH(Table5[[#This Row],[PID]],Table3[[#All],[PID]],0)))</f>
        <v>Bud</v>
      </c>
      <c r="F364" s="50" t="str">
        <f>IF($C364="B",INDEX(Batters[[#All],[Last]],MATCH(A364,Batters[[#All],[PID]],0)),INDEX(Table3[[#All],[Last]],MATCH(A364,Table3[[#All],[PID]],0)))</f>
        <v>Meyer</v>
      </c>
      <c r="G364" s="56">
        <f>IF($C364="B",INDEX(Batters[[#All],[Age]],MATCH(Table5[[#This Row],[PID]],Batters[[#All],[PID]],0)),INDEX(Table3[[#All],[Age]],MATCH(Table5[[#This Row],[PID]],Table3[[#All],[PID]],0)))</f>
        <v>18</v>
      </c>
      <c r="H364" s="52" t="str">
        <f>IF($C364="B",INDEX(Batters[[#All],[B]],MATCH(Table5[[#This Row],[PID]],Batters[[#All],[PID]],0)),INDEX(Table3[[#All],[B]],MATCH(Table5[[#This Row],[PID]],Table3[[#All],[PID]],0)))</f>
        <v>R</v>
      </c>
      <c r="I364" s="52" t="str">
        <f>IF($C364="B",INDEX(Batters[[#All],[T]],MATCH(Table5[[#This Row],[PID]],Batters[[#All],[PID]],0)),INDEX(Table3[[#All],[T]],MATCH(Table5[[#This Row],[PID]],Table3[[#All],[PID]],0)))</f>
        <v>R</v>
      </c>
      <c r="J364" s="52" t="str">
        <f>IF($C364="B",INDEX(Batters[[#All],[WE]],MATCH(Table5[[#This Row],[PID]],Batters[[#All],[PID]],0)),INDEX(Table3[[#All],[WE]],MATCH(Table5[[#This Row],[PID]],Table3[[#All],[PID]],0)))</f>
        <v>Normal</v>
      </c>
      <c r="K364" s="52" t="str">
        <f>IF($C364="B",INDEX(Batters[[#All],[INT]],MATCH(Table5[[#This Row],[PID]],Batters[[#All],[PID]],0)),INDEX(Table3[[#All],[INT]],MATCH(Table5[[#This Row],[PID]],Table3[[#All],[PID]],0)))</f>
        <v>High</v>
      </c>
      <c r="L364" s="60">
        <f>IF($C364="B",INDEX(Batters[[#All],[CON P]],MATCH(Table5[[#This Row],[PID]],Batters[[#All],[PID]],0)),INDEX(Table3[[#All],[STU P]],MATCH(Table5[[#This Row],[PID]],Table3[[#All],[PID]],0)))</f>
        <v>3</v>
      </c>
      <c r="M364" s="56">
        <f>IF($C364="B",INDEX(Batters[[#All],[GAP P]],MATCH(Table5[[#This Row],[PID]],Batters[[#All],[PID]],0)),INDEX(Table3[[#All],[MOV P]],MATCH(Table5[[#This Row],[PID]],Table3[[#All],[PID]],0)))</f>
        <v>5</v>
      </c>
      <c r="N364" s="56">
        <f>IF($C364="B",INDEX(Batters[[#All],[POW P]],MATCH(Table5[[#This Row],[PID]],Batters[[#All],[PID]],0)),INDEX(Table3[[#All],[CON P]],MATCH(Table5[[#This Row],[PID]],Table3[[#All],[PID]],0)))</f>
        <v>8</v>
      </c>
      <c r="O364" s="56">
        <f>IF($C364="B",INDEX(Batters[[#All],[EYE P]],MATCH(Table5[[#This Row],[PID]],Batters[[#All],[PID]],0)),INDEX(Table3[[#All],[VELO]],MATCH(Table5[[#This Row],[PID]],Table3[[#All],[PID]],0)))</f>
        <v>5</v>
      </c>
      <c r="P364" s="56">
        <f>IF($C364="B",INDEX(Batters[[#All],[K P]],MATCH(Table5[[#This Row],[PID]],Batters[[#All],[PID]],0)),INDEX(Table3[[#All],[STM]],MATCH(Table5[[#This Row],[PID]],Table3[[#All],[PID]],0)))</f>
        <v>2</v>
      </c>
      <c r="Q364" s="61">
        <f>IF($C364="B",INDEX(Batters[[#All],[Tot]],MATCH(Table5[[#This Row],[PID]],Batters[[#All],[PID]],0)),INDEX(Table3[[#All],[Tot]],MATCH(Table5[[#This Row],[PID]],Table3[[#All],[PID]],0)))</f>
        <v>47.065104170089995</v>
      </c>
      <c r="R364" s="52">
        <f>IF($C364="B",INDEX(Batters[[#All],[zScore]],MATCH(Table5[[#This Row],[PID]],Batters[[#All],[PID]],0)),INDEX(Table3[[#All],[zScore]],MATCH(Table5[[#This Row],[PID]],Table3[[#All],[PID]],0)))</f>
        <v>0.65030238457435507</v>
      </c>
      <c r="S364" s="58" t="str">
        <f>IF($C364="B",INDEX(Batters[[#All],[DEM]],MATCH(Table5[[#This Row],[PID]],Batters[[#All],[PID]],0)),INDEX(Table3[[#All],[DEM]],MATCH(Table5[[#This Row],[PID]],Table3[[#All],[PID]],0)))</f>
        <v>$220k</v>
      </c>
      <c r="T364" s="62">
        <f>IF($C364="B",INDEX(Batters[[#All],[Rnk]],MATCH(Table5[[#This Row],[PID]],Batters[[#All],[PID]],0)),INDEX(Table3[[#All],[Rnk]],MATCH(Table5[[#This Row],[PID]],Table3[[#All],[PID]],0)))</f>
        <v>130</v>
      </c>
      <c r="U364" s="68">
        <f>IF($C364="B",VLOOKUP($A364,Bat!$A$4:$BA$1621,47,FALSE),VLOOKUP($A364,Pit!$A$4:$BF$1557,56,FALSE))</f>
        <v>0</v>
      </c>
      <c r="V364" s="50">
        <f>IF($C364="B",VLOOKUP($A364,Bat!$A$4:$BA$1621,48,FALSE),VLOOKUP($A364,Pit!$A$4:$BF$1557,57,FALSE))</f>
        <v>0</v>
      </c>
      <c r="W364" s="50">
        <f>Table5[[#This Row],[posRnk]]+Table5[[#This Row],[zRnk]]+IF($W$3&lt;&gt;Table5[[#This Row],[Type]],50,0)</f>
        <v>503</v>
      </c>
      <c r="X364" s="51">
        <f>RANK(Table5[[#This Row],[zScore]],Table5[[#All],[zScore]])</f>
        <v>323</v>
      </c>
      <c r="Y364" s="50">
        <f>IFERROR(INDEX(DraftResults[[#All],[OVR]],MATCH(Table5[[#This Row],[PID]],DraftResults[[#All],[Player ID]],0)),"")</f>
        <v>360</v>
      </c>
      <c r="Z3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4" s="50">
        <f>IFERROR(INDEX(DraftResults[[#All],[Pick in Round]],MATCH(Table5[[#This Row],[PID]],DraftResults[[#All],[Player ID]],0)),"")</f>
        <v>22</v>
      </c>
      <c r="AB364" s="50" t="str">
        <f>IFERROR(INDEX(DraftResults[[#All],[Team Name]],MATCH(Table5[[#This Row],[PID]],DraftResults[[#All],[Player ID]],0)),"")</f>
        <v>Fargo Dinosaurs</v>
      </c>
      <c r="AC364" s="50">
        <f>IF(Table5[[#This Row],[Ovr]]="","",IF(Table5[[#This Row],[cmbList]]="","",Table5[[#This Row],[cmbList]]-Table5[[#This Row],[Ovr]]))</f>
        <v>143</v>
      </c>
      <c r="AD364" s="54" t="str">
        <f>IF(ISERROR(VLOOKUP($AB364&amp;"-"&amp;$E364&amp;" "&amp;F364,Bonuses!$B$1:$G$1006,4,FALSE)),"",INT(VLOOKUP($AB364&amp;"-"&amp;$E364&amp;" "&amp;$F364,Bonuses!$B$1:$G$1006,4,FALSE)))</f>
        <v/>
      </c>
      <c r="AE3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12.22 (360) - 1B Bud Meyer</v>
      </c>
    </row>
    <row r="365" spans="1:31" s="50" customFormat="1" x14ac:dyDescent="0.25">
      <c r="A365" s="50">
        <v>12299</v>
      </c>
      <c r="B365" s="50">
        <f>COUNTIF(Table5[PID],A365)</f>
        <v>1</v>
      </c>
      <c r="C365" s="50" t="str">
        <f>IF(COUNTIF(Table3[[#All],[PID]],A365)&gt;0,"P","B")</f>
        <v>B</v>
      </c>
      <c r="D365" s="59" t="str">
        <f>IF($C365="B",INDEX(Batters[[#All],[POS]],MATCH(Table5[[#This Row],[PID]],Batters[[#All],[PID]],0)),INDEX(Table3[[#All],[POS]],MATCH(Table5[[#This Row],[PID]],Table3[[#All],[PID]],0)))</f>
        <v>C</v>
      </c>
      <c r="E365" s="52" t="str">
        <f>IF($C365="B",INDEX(Batters[[#All],[First]],MATCH(Table5[[#This Row],[PID]],Batters[[#All],[PID]],0)),INDEX(Table3[[#All],[First]],MATCH(Table5[[#This Row],[PID]],Table3[[#All],[PID]],0)))</f>
        <v>Manny</v>
      </c>
      <c r="F365" s="50" t="str">
        <f>IF($C365="B",INDEX(Batters[[#All],[Last]],MATCH(A365,Batters[[#All],[PID]],0)),INDEX(Table3[[#All],[Last]],MATCH(A365,Table3[[#All],[PID]],0)))</f>
        <v>Benítez</v>
      </c>
      <c r="G365" s="56">
        <f>IF($C365="B",INDEX(Batters[[#All],[Age]],MATCH(Table5[[#This Row],[PID]],Batters[[#All],[PID]],0)),INDEX(Table3[[#All],[Age]],MATCH(Table5[[#This Row],[PID]],Table3[[#All],[PID]],0)))</f>
        <v>21</v>
      </c>
      <c r="H365" s="52" t="str">
        <f>IF($C365="B",INDEX(Batters[[#All],[B]],MATCH(Table5[[#This Row],[PID]],Batters[[#All],[PID]],0)),INDEX(Table3[[#All],[B]],MATCH(Table5[[#This Row],[PID]],Table3[[#All],[PID]],0)))</f>
        <v>S</v>
      </c>
      <c r="I365" s="52" t="str">
        <f>IF($C365="B",INDEX(Batters[[#All],[T]],MATCH(Table5[[#This Row],[PID]],Batters[[#All],[PID]],0)),INDEX(Table3[[#All],[T]],MATCH(Table5[[#This Row],[PID]],Table3[[#All],[PID]],0)))</f>
        <v>R</v>
      </c>
      <c r="J365" s="52" t="str">
        <f>IF($C365="B",INDEX(Batters[[#All],[WE]],MATCH(Table5[[#This Row],[PID]],Batters[[#All],[PID]],0)),INDEX(Table3[[#All],[WE]],MATCH(Table5[[#This Row],[PID]],Table3[[#All],[PID]],0)))</f>
        <v>Low</v>
      </c>
      <c r="K365" s="52" t="str">
        <f>IF($C365="B",INDEX(Batters[[#All],[INT]],MATCH(Table5[[#This Row],[PID]],Batters[[#All],[PID]],0)),INDEX(Table3[[#All],[INT]],MATCH(Table5[[#This Row],[PID]],Table3[[#All],[PID]],0)))</f>
        <v>Low</v>
      </c>
      <c r="L365" s="60">
        <f>IF($C365="B",INDEX(Batters[[#All],[CON P]],MATCH(Table5[[#This Row],[PID]],Batters[[#All],[PID]],0)),INDEX(Table3[[#All],[STU P]],MATCH(Table5[[#This Row],[PID]],Table3[[#All],[PID]],0)))</f>
        <v>2</v>
      </c>
      <c r="M365" s="56">
        <f>IF($C365="B",INDEX(Batters[[#All],[GAP P]],MATCH(Table5[[#This Row],[PID]],Batters[[#All],[PID]],0)),INDEX(Table3[[#All],[MOV P]],MATCH(Table5[[#This Row],[PID]],Table3[[#All],[PID]],0)))</f>
        <v>2</v>
      </c>
      <c r="N365" s="56">
        <f>IF($C365="B",INDEX(Batters[[#All],[POW P]],MATCH(Table5[[#This Row],[PID]],Batters[[#All],[PID]],0)),INDEX(Table3[[#All],[CON P]],MATCH(Table5[[#This Row],[PID]],Table3[[#All],[PID]],0)))</f>
        <v>3</v>
      </c>
      <c r="O365" s="56">
        <f>IF($C365="B",INDEX(Batters[[#All],[EYE P]],MATCH(Table5[[#This Row],[PID]],Batters[[#All],[PID]],0)),INDEX(Table3[[#All],[VELO]],MATCH(Table5[[#This Row],[PID]],Table3[[#All],[PID]],0)))</f>
        <v>5</v>
      </c>
      <c r="P365" s="56">
        <f>IF($C365="B",INDEX(Batters[[#All],[K P]],MATCH(Table5[[#This Row],[PID]],Batters[[#All],[PID]],0)),INDEX(Table3[[#All],[STM]],MATCH(Table5[[#This Row],[PID]],Table3[[#All],[PID]],0)))</f>
        <v>1</v>
      </c>
      <c r="Q365" s="61">
        <f>IF($C365="B",INDEX(Batters[[#All],[Tot]],MATCH(Table5[[#This Row],[PID]],Batters[[#All],[PID]],0)),INDEX(Table3[[#All],[Tot]],MATCH(Table5[[#This Row],[PID]],Table3[[#All],[PID]],0)))</f>
        <v>29.820674463378829</v>
      </c>
      <c r="R365" s="52">
        <f>IF($C365="B",INDEX(Batters[[#All],[zScore]],MATCH(Table5[[#This Row],[PID]],Batters[[#All],[PID]],0)),INDEX(Table3[[#All],[zScore]],MATCH(Table5[[#This Row],[PID]],Table3[[#All],[PID]],0)))</f>
        <v>-3.1729042429305681</v>
      </c>
      <c r="S365" s="58" t="str">
        <f>IF($C365="B",INDEX(Batters[[#All],[DEM]],MATCH(Table5[[#This Row],[PID]],Batters[[#All],[PID]],0)),INDEX(Table3[[#All],[DEM]],MATCH(Table5[[#This Row],[PID]],Table3[[#All],[PID]],0)))</f>
        <v>$20k</v>
      </c>
      <c r="T365" s="62">
        <f>IF($C365="B",INDEX(Batters[[#All],[Rnk]],MATCH(Table5[[#This Row],[PID]],Batters[[#All],[PID]],0)),INDEX(Table3[[#All],[Rnk]],MATCH(Table5[[#This Row],[PID]],Table3[[#All],[PID]],0)))</f>
        <v>757</v>
      </c>
      <c r="U365" s="68">
        <f>IF($C365="B",VLOOKUP($A365,Bat!$A$4:$BA$1621,47,FALSE),VLOOKUP($A365,Pit!$A$4:$BF$1557,56,FALSE))</f>
        <v>0</v>
      </c>
      <c r="V365" s="50">
        <f>IF($C365="B",VLOOKUP($A365,Bat!$A$4:$BA$1621,48,FALSE),VLOOKUP($A365,Pit!$A$4:$BF$1557,57,FALSE))</f>
        <v>0</v>
      </c>
      <c r="W365" s="50">
        <f>Table5[[#This Row],[posRnk]]+Table5[[#This Row],[zRnk]]+IF($W$3&lt;&gt;Table5[[#This Row],[Type]],50,0)</f>
        <v>2341</v>
      </c>
      <c r="X365" s="51">
        <f>RANK(Table5[[#This Row],[zScore]],Table5[[#All],[zScore]])</f>
        <v>1534</v>
      </c>
      <c r="Y365" s="50">
        <f>IFERROR(INDEX(DraftResults[[#All],[OVR]],MATCH(Table5[[#This Row],[PID]],DraftResults[[#All],[Player ID]],0)),"")</f>
        <v>361</v>
      </c>
      <c r="Z3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5" s="50">
        <f>IFERROR(INDEX(DraftResults[[#All],[Pick in Round]],MATCH(Table5[[#This Row],[PID]],DraftResults[[#All],[Player ID]],0)),"")</f>
        <v>23</v>
      </c>
      <c r="AB365" s="50" t="str">
        <f>IFERROR(INDEX(DraftResults[[#All],[Team Name]],MATCH(Table5[[#This Row],[PID]],DraftResults[[#All],[Player ID]],0)),"")</f>
        <v>Shin Seiki Evas</v>
      </c>
      <c r="AC365" s="50">
        <f>IF(Table5[[#This Row],[Ovr]]="","",IF(Table5[[#This Row],[cmbList]]="","",Table5[[#This Row],[cmbList]]-Table5[[#This Row],[Ovr]]))</f>
        <v>1980</v>
      </c>
      <c r="AD365" s="54" t="str">
        <f>IF(ISERROR(VLOOKUP($AB365&amp;"-"&amp;$E365&amp;" "&amp;F365,Bonuses!$B$1:$G$1006,4,FALSE)),"",INT(VLOOKUP($AB365&amp;"-"&amp;$E365&amp;" "&amp;$F365,Bonuses!$B$1:$G$1006,4,FALSE)))</f>
        <v/>
      </c>
      <c r="AE3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12.23 (361) - C Manny Benítez</v>
      </c>
    </row>
    <row r="366" spans="1:31" s="50" customFormat="1" x14ac:dyDescent="0.25">
      <c r="A366" s="50">
        <v>17924</v>
      </c>
      <c r="B366" s="50">
        <f>COUNTIF(Table5[PID],A366)</f>
        <v>1</v>
      </c>
      <c r="C366" s="50" t="str">
        <f>IF(COUNTIF(Table3[[#All],[PID]],A366)&gt;0,"P","B")</f>
        <v>B</v>
      </c>
      <c r="D366" s="59" t="str">
        <f>IF($C366="B",INDEX(Batters[[#All],[POS]],MATCH(Table5[[#This Row],[PID]],Batters[[#All],[PID]],0)),INDEX(Table3[[#All],[POS]],MATCH(Table5[[#This Row],[PID]],Table3[[#All],[PID]],0)))</f>
        <v>C</v>
      </c>
      <c r="E366" s="52" t="str">
        <f>IF($C366="B",INDEX(Batters[[#All],[First]],MATCH(Table5[[#This Row],[PID]],Batters[[#All],[PID]],0)),INDEX(Table3[[#All],[First]],MATCH(Table5[[#This Row],[PID]],Table3[[#All],[PID]],0)))</f>
        <v>Lucas</v>
      </c>
      <c r="F366" s="50" t="str">
        <f>IF($C366="B",INDEX(Batters[[#All],[Last]],MATCH(A366,Batters[[#All],[PID]],0)),INDEX(Table3[[#All],[Last]],MATCH(A366,Table3[[#All],[PID]],0)))</f>
        <v>Craigie</v>
      </c>
      <c r="G366" s="56">
        <f>IF($C366="B",INDEX(Batters[[#All],[Age]],MATCH(Table5[[#This Row],[PID]],Batters[[#All],[PID]],0)),INDEX(Table3[[#All],[Age]],MATCH(Table5[[#This Row],[PID]],Table3[[#All],[PID]],0)))</f>
        <v>18</v>
      </c>
      <c r="H366" s="52" t="str">
        <f>IF($C366="B",INDEX(Batters[[#All],[B]],MATCH(Table5[[#This Row],[PID]],Batters[[#All],[PID]],0)),INDEX(Table3[[#All],[B]],MATCH(Table5[[#This Row],[PID]],Table3[[#All],[PID]],0)))</f>
        <v>L</v>
      </c>
      <c r="I366" s="52" t="str">
        <f>IF($C366="B",INDEX(Batters[[#All],[T]],MATCH(Table5[[#This Row],[PID]],Batters[[#All],[PID]],0)),INDEX(Table3[[#All],[T]],MATCH(Table5[[#This Row],[PID]],Table3[[#All],[PID]],0)))</f>
        <v>R</v>
      </c>
      <c r="J366" s="52" t="str">
        <f>IF($C366="B",INDEX(Batters[[#All],[WE]],MATCH(Table5[[#This Row],[PID]],Batters[[#All],[PID]],0)),INDEX(Table3[[#All],[WE]],MATCH(Table5[[#This Row],[PID]],Table3[[#All],[PID]],0)))</f>
        <v>Normal</v>
      </c>
      <c r="K366" s="52" t="str">
        <f>IF($C366="B",INDEX(Batters[[#All],[INT]],MATCH(Table5[[#This Row],[PID]],Batters[[#All],[PID]],0)),INDEX(Table3[[#All],[INT]],MATCH(Table5[[#This Row],[PID]],Table3[[#All],[PID]],0)))</f>
        <v>Normal</v>
      </c>
      <c r="L366" s="60">
        <f>IF($C366="B",INDEX(Batters[[#All],[CON P]],MATCH(Table5[[#This Row],[PID]],Batters[[#All],[PID]],0)),INDEX(Table3[[#All],[STU P]],MATCH(Table5[[#This Row],[PID]],Table3[[#All],[PID]],0)))</f>
        <v>3</v>
      </c>
      <c r="M366" s="56">
        <f>IF($C366="B",INDEX(Batters[[#All],[GAP P]],MATCH(Table5[[#This Row],[PID]],Batters[[#All],[PID]],0)),INDEX(Table3[[#All],[MOV P]],MATCH(Table5[[#This Row],[PID]],Table3[[#All],[PID]],0)))</f>
        <v>5</v>
      </c>
      <c r="N366" s="56">
        <f>IF($C366="B",INDEX(Batters[[#All],[POW P]],MATCH(Table5[[#This Row],[PID]],Batters[[#All],[PID]],0)),INDEX(Table3[[#All],[CON P]],MATCH(Table5[[#This Row],[PID]],Table3[[#All],[PID]],0)))</f>
        <v>5</v>
      </c>
      <c r="O366" s="56">
        <f>IF($C366="B",INDEX(Batters[[#All],[EYE P]],MATCH(Table5[[#This Row],[PID]],Batters[[#All],[PID]],0)),INDEX(Table3[[#All],[VELO]],MATCH(Table5[[#This Row],[PID]],Table3[[#All],[PID]],0)))</f>
        <v>5</v>
      </c>
      <c r="P366" s="56">
        <f>IF($C366="B",INDEX(Batters[[#All],[K P]],MATCH(Table5[[#This Row],[PID]],Batters[[#All],[PID]],0)),INDEX(Table3[[#All],[STM]],MATCH(Table5[[#This Row],[PID]],Table3[[#All],[PID]],0)))</f>
        <v>4</v>
      </c>
      <c r="Q366" s="61">
        <f>IF($C366="B",INDEX(Batters[[#All],[Tot]],MATCH(Table5[[#This Row],[PID]],Batters[[#All],[PID]],0)),INDEX(Table3[[#All],[Tot]],MATCH(Table5[[#This Row],[PID]],Table3[[#All],[PID]],0)))</f>
        <v>44.741053334399986</v>
      </c>
      <c r="R366" s="52">
        <f>IF($C366="B",INDEX(Batters[[#All],[zScore]],MATCH(Table5[[#This Row],[PID]],Batters[[#All],[PID]],0)),INDEX(Table3[[#All],[zScore]],MATCH(Table5[[#This Row],[PID]],Table3[[#All],[PID]],0)))</f>
        <v>0.13504460517615213</v>
      </c>
      <c r="S366" s="58" t="str">
        <f>IF($C366="B",INDEX(Batters[[#All],[DEM]],MATCH(Table5[[#This Row],[PID]],Batters[[#All],[PID]],0)),INDEX(Table3[[#All],[DEM]],MATCH(Table5[[#This Row],[PID]],Table3[[#All],[PID]],0)))</f>
        <v>$2.0m</v>
      </c>
      <c r="T366" s="62">
        <f>IF($C366="B",INDEX(Batters[[#All],[Rnk]],MATCH(Table5[[#This Row],[PID]],Batters[[#All],[PID]],0)),INDEX(Table3[[#All],[Rnk]],MATCH(Table5[[#This Row],[PID]],Table3[[#All],[PID]],0)))</f>
        <v>216</v>
      </c>
      <c r="U366" s="68">
        <f>IF($C366="B",VLOOKUP($A366,Bat!$A$4:$BA$1621,47,FALSE),VLOOKUP($A366,Pit!$A$4:$BF$1557,56,FALSE))</f>
        <v>0</v>
      </c>
      <c r="V366" s="50">
        <f>IF($C366="B",VLOOKUP($A366,Bat!$A$4:$BA$1621,48,FALSE),VLOOKUP($A366,Pit!$A$4:$BF$1557,57,FALSE))</f>
        <v>0</v>
      </c>
      <c r="W366" s="50">
        <f>Table5[[#This Row],[posRnk]]+Table5[[#This Row],[zRnk]]+IF($W$3&lt;&gt;Table5[[#This Row],[Type]],50,0)</f>
        <v>762</v>
      </c>
      <c r="X366" s="51">
        <f>RANK(Table5[[#This Row],[zScore]],Table5[[#All],[zScore]])</f>
        <v>496</v>
      </c>
      <c r="Y366" s="50">
        <f>IFERROR(INDEX(DraftResults[[#All],[OVR]],MATCH(Table5[[#This Row],[PID]],DraftResults[[#All],[Player ID]],0)),"")</f>
        <v>362</v>
      </c>
      <c r="Z3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6" s="50">
        <f>IFERROR(INDEX(DraftResults[[#All],[Pick in Round]],MATCH(Table5[[#This Row],[PID]],DraftResults[[#All],[Player ID]],0)),"")</f>
        <v>24</v>
      </c>
      <c r="AB366" s="50" t="str">
        <f>IFERROR(INDEX(DraftResults[[#All],[Team Name]],MATCH(Table5[[#This Row],[PID]],DraftResults[[#All],[Player ID]],0)),"")</f>
        <v>Aurora Borealis</v>
      </c>
      <c r="AC366" s="50">
        <f>IF(Table5[[#This Row],[Ovr]]="","",IF(Table5[[#This Row],[cmbList]]="","",Table5[[#This Row],[cmbList]]-Table5[[#This Row],[Ovr]]))</f>
        <v>400</v>
      </c>
      <c r="AD366" s="54" t="str">
        <f>IF(ISERROR(VLOOKUP($AB366&amp;"-"&amp;$E366&amp;" "&amp;F366,Bonuses!$B$1:$G$1006,4,FALSE)),"",INT(VLOOKUP($AB366&amp;"-"&amp;$E366&amp;" "&amp;$F366,Bonuses!$B$1:$G$1006,4,FALSE)))</f>
        <v/>
      </c>
      <c r="AE3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12.24 (362) - C Lucas Craigie</v>
      </c>
    </row>
    <row r="367" spans="1:31" s="50" customFormat="1" x14ac:dyDescent="0.25">
      <c r="A367" s="50">
        <v>18338</v>
      </c>
      <c r="B367" s="50">
        <f>COUNTIF(Table5[PID],A367)</f>
        <v>1</v>
      </c>
      <c r="C367" s="50" t="str">
        <f>IF(COUNTIF(Table3[[#All],[PID]],A367)&gt;0,"P","B")</f>
        <v>B</v>
      </c>
      <c r="D367" s="59" t="str">
        <f>IF($C367="B",INDEX(Batters[[#All],[POS]],MATCH(Table5[[#This Row],[PID]],Batters[[#All],[PID]],0)),INDEX(Table3[[#All],[POS]],MATCH(Table5[[#This Row],[PID]],Table3[[#All],[PID]],0)))</f>
        <v>CF</v>
      </c>
      <c r="E367" s="52" t="str">
        <f>IF($C367="B",INDEX(Batters[[#All],[First]],MATCH(Table5[[#This Row],[PID]],Batters[[#All],[PID]],0)),INDEX(Table3[[#All],[First]],MATCH(Table5[[#This Row],[PID]],Table3[[#All],[PID]],0)))</f>
        <v>Natsu</v>
      </c>
      <c r="F367" s="50" t="str">
        <f>IF($C367="B",INDEX(Batters[[#All],[Last]],MATCH(A367,Batters[[#All],[PID]],0)),INDEX(Table3[[#All],[Last]],MATCH(A367,Table3[[#All],[PID]],0)))</f>
        <v>Kono</v>
      </c>
      <c r="G367" s="56">
        <f>IF($C367="B",INDEX(Batters[[#All],[Age]],MATCH(Table5[[#This Row],[PID]],Batters[[#All],[PID]],0)),INDEX(Table3[[#All],[Age]],MATCH(Table5[[#This Row],[PID]],Table3[[#All],[PID]],0)))</f>
        <v>18</v>
      </c>
      <c r="H367" s="52" t="str">
        <f>IF($C367="B",INDEX(Batters[[#All],[B]],MATCH(Table5[[#This Row],[PID]],Batters[[#All],[PID]],0)),INDEX(Table3[[#All],[B]],MATCH(Table5[[#This Row],[PID]],Table3[[#All],[PID]],0)))</f>
        <v>R</v>
      </c>
      <c r="I367" s="52" t="str">
        <f>IF($C367="B",INDEX(Batters[[#All],[T]],MATCH(Table5[[#This Row],[PID]],Batters[[#All],[PID]],0)),INDEX(Table3[[#All],[T]],MATCH(Table5[[#This Row],[PID]],Table3[[#All],[PID]],0)))</f>
        <v>R</v>
      </c>
      <c r="J367" s="52" t="str">
        <f>IF($C367="B",INDEX(Batters[[#All],[WE]],MATCH(Table5[[#This Row],[PID]],Batters[[#All],[PID]],0)),INDEX(Table3[[#All],[WE]],MATCH(Table5[[#This Row],[PID]],Table3[[#All],[PID]],0)))</f>
        <v>High</v>
      </c>
      <c r="K367" s="52" t="str">
        <f>IF($C367="B",INDEX(Batters[[#All],[INT]],MATCH(Table5[[#This Row],[PID]],Batters[[#All],[PID]],0)),INDEX(Table3[[#All],[INT]],MATCH(Table5[[#This Row],[PID]],Table3[[#All],[PID]],0)))</f>
        <v>Normal</v>
      </c>
      <c r="L367" s="60">
        <f>IF($C367="B",INDEX(Batters[[#All],[CON P]],MATCH(Table5[[#This Row],[PID]],Batters[[#All],[PID]],0)),INDEX(Table3[[#All],[STU P]],MATCH(Table5[[#This Row],[PID]],Table3[[#All],[PID]],0)))</f>
        <v>4</v>
      </c>
      <c r="M367" s="56">
        <f>IF($C367="B",INDEX(Batters[[#All],[GAP P]],MATCH(Table5[[#This Row],[PID]],Batters[[#All],[PID]],0)),INDEX(Table3[[#All],[MOV P]],MATCH(Table5[[#This Row],[PID]],Table3[[#All],[PID]],0)))</f>
        <v>4</v>
      </c>
      <c r="N367" s="56">
        <f>IF($C367="B",INDEX(Batters[[#All],[POW P]],MATCH(Table5[[#This Row],[PID]],Batters[[#All],[PID]],0)),INDEX(Table3[[#All],[CON P]],MATCH(Table5[[#This Row],[PID]],Table3[[#All],[PID]],0)))</f>
        <v>4</v>
      </c>
      <c r="O367" s="56">
        <f>IF($C367="B",INDEX(Batters[[#All],[EYE P]],MATCH(Table5[[#This Row],[PID]],Batters[[#All],[PID]],0)),INDEX(Table3[[#All],[VELO]],MATCH(Table5[[#This Row],[PID]],Table3[[#All],[PID]],0)))</f>
        <v>5</v>
      </c>
      <c r="P367" s="56">
        <f>IF($C367="B",INDEX(Batters[[#All],[K P]],MATCH(Table5[[#This Row],[PID]],Batters[[#All],[PID]],0)),INDEX(Table3[[#All],[STM]],MATCH(Table5[[#This Row],[PID]],Table3[[#All],[PID]],0)))</f>
        <v>4</v>
      </c>
      <c r="Q367" s="61">
        <f>IF($C367="B",INDEX(Batters[[#All],[Tot]],MATCH(Table5[[#This Row],[PID]],Batters[[#All],[PID]],0)),INDEX(Table3[[#All],[Tot]],MATCH(Table5[[#This Row],[PID]],Table3[[#All],[PID]],0)))</f>
        <v>47.192389069761887</v>
      </c>
      <c r="R367" s="52">
        <f>IF($C367="B",INDEX(Batters[[#All],[zScore]],MATCH(Table5[[#This Row],[PID]],Batters[[#All],[PID]],0)),INDEX(Table3[[#All],[zScore]],MATCH(Table5[[#This Row],[PID]],Table3[[#All],[PID]],0)))</f>
        <v>0.67852230719768702</v>
      </c>
      <c r="S367" s="58" t="str">
        <f>IF($C367="B",INDEX(Batters[[#All],[DEM]],MATCH(Table5[[#This Row],[PID]],Batters[[#All],[PID]],0)),INDEX(Table3[[#All],[DEM]],MATCH(Table5[[#This Row],[PID]],Table3[[#All],[PID]],0)))</f>
        <v>$65k</v>
      </c>
      <c r="T367" s="62">
        <f>IF($C367="B",INDEX(Batters[[#All],[Rnk]],MATCH(Table5[[#This Row],[PID]],Batters[[#All],[PID]],0)),INDEX(Table3[[#All],[Rnk]],MATCH(Table5[[#This Row],[PID]],Table3[[#All],[PID]],0)))</f>
        <v>123</v>
      </c>
      <c r="U367" s="68">
        <f>IF($C367="B",VLOOKUP($A367,Bat!$A$4:$BA$1621,47,FALSE),VLOOKUP($A367,Pit!$A$4:$BF$1557,56,FALSE))</f>
        <v>0</v>
      </c>
      <c r="V367" s="50">
        <f>IF($C367="B",VLOOKUP($A367,Bat!$A$4:$BA$1621,48,FALSE),VLOOKUP($A367,Pit!$A$4:$BF$1557,57,FALSE))</f>
        <v>0</v>
      </c>
      <c r="W367" s="50">
        <f>Table5[[#This Row],[posRnk]]+Table5[[#This Row],[zRnk]]+IF($W$3&lt;&gt;Table5[[#This Row],[Type]],50,0)</f>
        <v>486</v>
      </c>
      <c r="X367" s="51">
        <f>RANK(Table5[[#This Row],[zScore]],Table5[[#All],[zScore]])</f>
        <v>313</v>
      </c>
      <c r="Y367" s="50">
        <f>IFERROR(INDEX(DraftResults[[#All],[OVR]],MATCH(Table5[[#This Row],[PID]],DraftResults[[#All],[Player ID]],0)),"")</f>
        <v>363</v>
      </c>
      <c r="Z3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7" s="50">
        <f>IFERROR(INDEX(DraftResults[[#All],[Pick in Round]],MATCH(Table5[[#This Row],[PID]],DraftResults[[#All],[Player ID]],0)),"")</f>
        <v>25</v>
      </c>
      <c r="AB367" s="50" t="str">
        <f>IFERROR(INDEX(DraftResults[[#All],[Team Name]],MATCH(Table5[[#This Row],[PID]],DraftResults[[#All],[Player ID]],0)),"")</f>
        <v>Toyama Wind Dancers</v>
      </c>
      <c r="AC367" s="50">
        <f>IF(Table5[[#This Row],[Ovr]]="","",IF(Table5[[#This Row],[cmbList]]="","",Table5[[#This Row],[cmbList]]-Table5[[#This Row],[Ovr]]))</f>
        <v>123</v>
      </c>
      <c r="AD367" s="54" t="str">
        <f>IF(ISERROR(VLOOKUP($AB367&amp;"-"&amp;$E367&amp;" "&amp;F367,Bonuses!$B$1:$G$1006,4,FALSE)),"",INT(VLOOKUP($AB367&amp;"-"&amp;$E367&amp;" "&amp;$F367,Bonuses!$B$1:$G$1006,4,FALSE)))</f>
        <v/>
      </c>
      <c r="AE3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12.25 (363) - CF Natsu Kono</v>
      </c>
    </row>
    <row r="368" spans="1:31" s="50" customFormat="1" x14ac:dyDescent="0.25">
      <c r="A368" s="50">
        <v>17587</v>
      </c>
      <c r="B368" s="50">
        <f>COUNTIF(Table5[PID],A368)</f>
        <v>1</v>
      </c>
      <c r="C368" s="50" t="str">
        <f>IF(COUNTIF(Table3[[#All],[PID]],A368)&gt;0,"P","B")</f>
        <v>B</v>
      </c>
      <c r="D368" s="59" t="str">
        <f>IF($C368="B",INDEX(Batters[[#All],[POS]],MATCH(Table5[[#This Row],[PID]],Batters[[#All],[PID]],0)),INDEX(Table3[[#All],[POS]],MATCH(Table5[[#This Row],[PID]],Table3[[#All],[PID]],0)))</f>
        <v>RF</v>
      </c>
      <c r="E368" s="52" t="str">
        <f>IF($C368="B",INDEX(Batters[[#All],[First]],MATCH(Table5[[#This Row],[PID]],Batters[[#All],[PID]],0)),INDEX(Table3[[#All],[First]],MATCH(Table5[[#This Row],[PID]],Table3[[#All],[PID]],0)))</f>
        <v>Ernesto</v>
      </c>
      <c r="F368" s="50" t="str">
        <f>IF($C368="B",INDEX(Batters[[#All],[Last]],MATCH(A368,Batters[[#All],[PID]],0)),INDEX(Table3[[#All],[Last]],MATCH(A368,Table3[[#All],[PID]],0)))</f>
        <v>Morán</v>
      </c>
      <c r="G368" s="56">
        <f>IF($C368="B",INDEX(Batters[[#All],[Age]],MATCH(Table5[[#This Row],[PID]],Batters[[#All],[PID]],0)),INDEX(Table3[[#All],[Age]],MATCH(Table5[[#This Row],[PID]],Table3[[#All],[PID]],0)))</f>
        <v>18</v>
      </c>
      <c r="H368" s="52" t="str">
        <f>IF($C368="B",INDEX(Batters[[#All],[B]],MATCH(Table5[[#This Row],[PID]],Batters[[#All],[PID]],0)),INDEX(Table3[[#All],[B]],MATCH(Table5[[#This Row],[PID]],Table3[[#All],[PID]],0)))</f>
        <v>R</v>
      </c>
      <c r="I368" s="52" t="str">
        <f>IF($C368="B",INDEX(Batters[[#All],[T]],MATCH(Table5[[#This Row],[PID]],Batters[[#All],[PID]],0)),INDEX(Table3[[#All],[T]],MATCH(Table5[[#This Row],[PID]],Table3[[#All],[PID]],0)))</f>
        <v>R</v>
      </c>
      <c r="J368" s="52" t="str">
        <f>IF($C368="B",INDEX(Batters[[#All],[WE]],MATCH(Table5[[#This Row],[PID]],Batters[[#All],[PID]],0)),INDEX(Table3[[#All],[WE]],MATCH(Table5[[#This Row],[PID]],Table3[[#All],[PID]],0)))</f>
        <v>Low</v>
      </c>
      <c r="K368" s="52" t="str">
        <f>IF($C368="B",INDEX(Batters[[#All],[INT]],MATCH(Table5[[#This Row],[PID]],Batters[[#All],[PID]],0)),INDEX(Table3[[#All],[INT]],MATCH(Table5[[#This Row],[PID]],Table3[[#All],[PID]],0)))</f>
        <v>Normal</v>
      </c>
      <c r="L368" s="60">
        <f>IF($C368="B",INDEX(Batters[[#All],[CON P]],MATCH(Table5[[#This Row],[PID]],Batters[[#All],[PID]],0)),INDEX(Table3[[#All],[STU P]],MATCH(Table5[[#This Row],[PID]],Table3[[#All],[PID]],0)))</f>
        <v>4</v>
      </c>
      <c r="M368" s="56">
        <f>IF($C368="B",INDEX(Batters[[#All],[GAP P]],MATCH(Table5[[#This Row],[PID]],Batters[[#All],[PID]],0)),INDEX(Table3[[#All],[MOV P]],MATCH(Table5[[#This Row],[PID]],Table3[[#All],[PID]],0)))</f>
        <v>2</v>
      </c>
      <c r="N368" s="56">
        <f>IF($C368="B",INDEX(Batters[[#All],[POW P]],MATCH(Table5[[#This Row],[PID]],Batters[[#All],[PID]],0)),INDEX(Table3[[#All],[CON P]],MATCH(Table5[[#This Row],[PID]],Table3[[#All],[PID]],0)))</f>
        <v>2</v>
      </c>
      <c r="O368" s="56">
        <f>IF($C368="B",INDEX(Batters[[#All],[EYE P]],MATCH(Table5[[#This Row],[PID]],Batters[[#All],[PID]],0)),INDEX(Table3[[#All],[VELO]],MATCH(Table5[[#This Row],[PID]],Table3[[#All],[PID]],0)))</f>
        <v>5</v>
      </c>
      <c r="P368" s="56">
        <f>IF($C368="B",INDEX(Batters[[#All],[K P]],MATCH(Table5[[#This Row],[PID]],Batters[[#All],[PID]],0)),INDEX(Table3[[#All],[STM]],MATCH(Table5[[#This Row],[PID]],Table3[[#All],[PID]],0)))</f>
        <v>4</v>
      </c>
      <c r="Q368" s="61">
        <f>IF($C368="B",INDEX(Batters[[#All],[Tot]],MATCH(Table5[[#This Row],[PID]],Batters[[#All],[PID]],0)),INDEX(Table3[[#All],[Tot]],MATCH(Table5[[#This Row],[PID]],Table3[[#All],[PID]],0)))</f>
        <v>43.455864837371209</v>
      </c>
      <c r="R368" s="52">
        <f>IF($C368="B",INDEX(Batters[[#All],[zScore]],MATCH(Table5[[#This Row],[PID]],Batters[[#All],[PID]],0)),INDEX(Table3[[#All],[zScore]],MATCH(Table5[[#This Row],[PID]],Table3[[#All],[PID]],0)))</f>
        <v>-0.14989037168314437</v>
      </c>
      <c r="S368" s="58" t="str">
        <f>IF($C368="B",INDEX(Batters[[#All],[DEM]],MATCH(Table5[[#This Row],[PID]],Batters[[#All],[PID]],0)),INDEX(Table3[[#All],[DEM]],MATCH(Table5[[#This Row],[PID]],Table3[[#All],[PID]],0)))</f>
        <v>$70k</v>
      </c>
      <c r="T368" s="62">
        <f>IF($C368="B",INDEX(Batters[[#All],[Rnk]],MATCH(Table5[[#This Row],[PID]],Batters[[#All],[PID]],0)),INDEX(Table3[[#All],[Rnk]],MATCH(Table5[[#This Row],[PID]],Table3[[#All],[PID]],0)))</f>
        <v>269</v>
      </c>
      <c r="U368" s="68">
        <f>IF($C368="B",VLOOKUP($A368,Bat!$A$4:$BA$1621,47,FALSE),VLOOKUP($A368,Pit!$A$4:$BF$1557,56,FALSE))</f>
        <v>0</v>
      </c>
      <c r="V368" s="50">
        <f>IF($C368="B",VLOOKUP($A368,Bat!$A$4:$BA$1621,48,FALSE),VLOOKUP($A368,Pit!$A$4:$BF$1557,57,FALSE))</f>
        <v>0</v>
      </c>
      <c r="W368" s="50">
        <f>Table5[[#This Row],[posRnk]]+Table5[[#This Row],[zRnk]]+IF($W$3&lt;&gt;Table5[[#This Row],[Type]],50,0)</f>
        <v>947</v>
      </c>
      <c r="X368" s="51">
        <f>RANK(Table5[[#This Row],[zScore]],Table5[[#All],[zScore]])</f>
        <v>628</v>
      </c>
      <c r="Y368" s="50">
        <f>IFERROR(INDEX(DraftResults[[#All],[OVR]],MATCH(Table5[[#This Row],[PID]],DraftResults[[#All],[Player ID]],0)),"")</f>
        <v>364</v>
      </c>
      <c r="Z3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8" s="50">
        <f>IFERROR(INDEX(DraftResults[[#All],[Pick in Round]],MATCH(Table5[[#This Row],[PID]],DraftResults[[#All],[Player ID]],0)),"")</f>
        <v>26</v>
      </c>
      <c r="AB368" s="50" t="str">
        <f>IFERROR(INDEX(DraftResults[[#All],[Team Name]],MATCH(Table5[[#This Row],[PID]],DraftResults[[#All],[Player ID]],0)),"")</f>
        <v>Aurora Borealis</v>
      </c>
      <c r="AC368" s="50">
        <f>IF(Table5[[#This Row],[Ovr]]="","",IF(Table5[[#This Row],[cmbList]]="","",Table5[[#This Row],[cmbList]]-Table5[[#This Row],[Ovr]]))</f>
        <v>583</v>
      </c>
      <c r="AD368" s="54" t="str">
        <f>IF(ISERROR(VLOOKUP($AB368&amp;"-"&amp;$E368&amp;" "&amp;F368,Bonuses!$B$1:$G$1006,4,FALSE)),"",INT(VLOOKUP($AB368&amp;"-"&amp;$E368&amp;" "&amp;$F368,Bonuses!$B$1:$G$1006,4,FALSE)))</f>
        <v/>
      </c>
      <c r="AE3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12.26 (364) - RF Ernesto Morán</v>
      </c>
    </row>
    <row r="369" spans="1:31" s="50" customFormat="1" x14ac:dyDescent="0.25">
      <c r="A369" s="50">
        <v>17761</v>
      </c>
      <c r="B369" s="50">
        <f>COUNTIF(Table5[PID],A369)</f>
        <v>1</v>
      </c>
      <c r="C369" s="50" t="str">
        <f>IF(COUNTIF(Table3[[#All],[PID]],A369)&gt;0,"P","B")</f>
        <v>B</v>
      </c>
      <c r="D369" s="59" t="str">
        <f>IF($C369="B",INDEX(Batters[[#All],[POS]],MATCH(Table5[[#This Row],[PID]],Batters[[#All],[PID]],0)),INDEX(Table3[[#All],[POS]],MATCH(Table5[[#This Row],[PID]],Table3[[#All],[PID]],0)))</f>
        <v>1B</v>
      </c>
      <c r="E369" s="52" t="str">
        <f>IF($C369="B",INDEX(Batters[[#All],[First]],MATCH(Table5[[#This Row],[PID]],Batters[[#All],[PID]],0)),INDEX(Table3[[#All],[First]],MATCH(Table5[[#This Row],[PID]],Table3[[#All],[PID]],0)))</f>
        <v>Walter</v>
      </c>
      <c r="F369" s="50" t="str">
        <f>IF($C369="B",INDEX(Batters[[#All],[Last]],MATCH(A369,Batters[[#All],[PID]],0)),INDEX(Table3[[#All],[Last]],MATCH(A369,Table3[[#All],[PID]],0)))</f>
        <v>Guesne</v>
      </c>
      <c r="G369" s="56">
        <f>IF($C369="B",INDEX(Batters[[#All],[Age]],MATCH(Table5[[#This Row],[PID]],Batters[[#All],[PID]],0)),INDEX(Table3[[#All],[Age]],MATCH(Table5[[#This Row],[PID]],Table3[[#All],[PID]],0)))</f>
        <v>21</v>
      </c>
      <c r="H369" s="52" t="str">
        <f>IF($C369="B",INDEX(Batters[[#All],[B]],MATCH(Table5[[#This Row],[PID]],Batters[[#All],[PID]],0)),INDEX(Table3[[#All],[B]],MATCH(Table5[[#This Row],[PID]],Table3[[#All],[PID]],0)))</f>
        <v>R</v>
      </c>
      <c r="I369" s="52" t="str">
        <f>IF($C369="B",INDEX(Batters[[#All],[T]],MATCH(Table5[[#This Row],[PID]],Batters[[#All],[PID]],0)),INDEX(Table3[[#All],[T]],MATCH(Table5[[#This Row],[PID]],Table3[[#All],[PID]],0)))</f>
        <v>R</v>
      </c>
      <c r="J369" s="52" t="str">
        <f>IF($C369="B",INDEX(Batters[[#All],[WE]],MATCH(Table5[[#This Row],[PID]],Batters[[#All],[PID]],0)),INDEX(Table3[[#All],[WE]],MATCH(Table5[[#This Row],[PID]],Table3[[#All],[PID]],0)))</f>
        <v>Normal</v>
      </c>
      <c r="K369" s="52" t="str">
        <f>IF($C369="B",INDEX(Batters[[#All],[INT]],MATCH(Table5[[#This Row],[PID]],Batters[[#All],[PID]],0)),INDEX(Table3[[#All],[INT]],MATCH(Table5[[#This Row],[PID]],Table3[[#All],[PID]],0)))</f>
        <v>Normal</v>
      </c>
      <c r="L369" s="60">
        <f>IF($C369="B",INDEX(Batters[[#All],[CON P]],MATCH(Table5[[#This Row],[PID]],Batters[[#All],[PID]],0)),INDEX(Table3[[#All],[STU P]],MATCH(Table5[[#This Row],[PID]],Table3[[#All],[PID]],0)))</f>
        <v>3</v>
      </c>
      <c r="M369" s="56">
        <f>IF($C369="B",INDEX(Batters[[#All],[GAP P]],MATCH(Table5[[#This Row],[PID]],Batters[[#All],[PID]],0)),INDEX(Table3[[#All],[MOV P]],MATCH(Table5[[#This Row],[PID]],Table3[[#All],[PID]],0)))</f>
        <v>5</v>
      </c>
      <c r="N369" s="56">
        <f>IF($C369="B",INDEX(Batters[[#All],[POW P]],MATCH(Table5[[#This Row],[PID]],Batters[[#All],[PID]],0)),INDEX(Table3[[#All],[CON P]],MATCH(Table5[[#This Row],[PID]],Table3[[#All],[PID]],0)))</f>
        <v>4</v>
      </c>
      <c r="O369" s="56">
        <f>IF($C369="B",INDEX(Batters[[#All],[EYE P]],MATCH(Table5[[#This Row],[PID]],Batters[[#All],[PID]],0)),INDEX(Table3[[#All],[VELO]],MATCH(Table5[[#This Row],[PID]],Table3[[#All],[PID]],0)))</f>
        <v>5</v>
      </c>
      <c r="P369" s="56">
        <f>IF($C369="B",INDEX(Batters[[#All],[K P]],MATCH(Table5[[#This Row],[PID]],Batters[[#All],[PID]],0)),INDEX(Table3[[#All],[STM]],MATCH(Table5[[#This Row],[PID]],Table3[[#All],[PID]],0)))</f>
        <v>2</v>
      </c>
      <c r="Q369" s="61">
        <f>IF($C369="B",INDEX(Batters[[#All],[Tot]],MATCH(Table5[[#This Row],[PID]],Batters[[#All],[PID]],0)),INDEX(Table3[[#All],[Tot]],MATCH(Table5[[#This Row],[PID]],Table3[[#All],[PID]],0)))</f>
        <v>38.339056422395977</v>
      </c>
      <c r="R369" s="52">
        <f>IF($C369="B",INDEX(Batters[[#All],[zScore]],MATCH(Table5[[#This Row],[PID]],Batters[[#All],[PID]],0)),INDEX(Table3[[#All],[zScore]],MATCH(Table5[[#This Row],[PID]],Table3[[#All],[PID]],0)))</f>
        <v>-1.2843213836981668</v>
      </c>
      <c r="S369" s="58" t="str">
        <f>IF($C369="B",INDEX(Batters[[#All],[DEM]],MATCH(Table5[[#This Row],[PID]],Batters[[#All],[PID]],0)),INDEX(Table3[[#All],[DEM]],MATCH(Table5[[#This Row],[PID]],Table3[[#All],[PID]],0)))</f>
        <v>-</v>
      </c>
      <c r="T369" s="62">
        <f>IF($C369="B",INDEX(Batters[[#All],[Rnk]],MATCH(Table5[[#This Row],[PID]],Batters[[#All],[PID]],0)),INDEX(Table3[[#All],[Rnk]],MATCH(Table5[[#This Row],[PID]],Table3[[#All],[PID]],0)))</f>
        <v>483</v>
      </c>
      <c r="U369" s="68">
        <f>IF($C369="B",VLOOKUP($A369,Bat!$A$4:$BA$1621,47,FALSE),VLOOKUP($A369,Pit!$A$4:$BF$1557,56,FALSE))</f>
        <v>0</v>
      </c>
      <c r="V369" s="50">
        <f>IF($C369="B",VLOOKUP($A369,Bat!$A$4:$BA$1621,48,FALSE),VLOOKUP($A369,Pit!$A$4:$BF$1557,57,FALSE))</f>
        <v>0</v>
      </c>
      <c r="W369" s="50">
        <f>Table5[[#This Row],[posRnk]]+Table5[[#This Row],[zRnk]]+IF($W$3&lt;&gt;Table5[[#This Row],[Type]],50,0)</f>
        <v>1768</v>
      </c>
      <c r="X369" s="51">
        <f>RANK(Table5[[#This Row],[zScore]],Table5[[#All],[zScore]])</f>
        <v>1235</v>
      </c>
      <c r="Y369" s="50">
        <f>IFERROR(INDEX(DraftResults[[#All],[OVR]],MATCH(Table5[[#This Row],[PID]],DraftResults[[#All],[Player ID]],0)),"")</f>
        <v>365</v>
      </c>
      <c r="Z3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69" s="50">
        <f>IFERROR(INDEX(DraftResults[[#All],[Pick in Round]],MATCH(Table5[[#This Row],[PID]],DraftResults[[#All],[Player ID]],0)),"")</f>
        <v>27</v>
      </c>
      <c r="AB369" s="50" t="str">
        <f>IFERROR(INDEX(DraftResults[[#All],[Team Name]],MATCH(Table5[[#This Row],[PID]],DraftResults[[#All],[Player ID]],0)),"")</f>
        <v>Neo-Tokyo Akira</v>
      </c>
      <c r="AC369" s="50">
        <f>IF(Table5[[#This Row],[Ovr]]="","",IF(Table5[[#This Row],[cmbList]]="","",Table5[[#This Row],[cmbList]]-Table5[[#This Row],[Ovr]]))</f>
        <v>1403</v>
      </c>
      <c r="AD369" s="54" t="str">
        <f>IF(ISERROR(VLOOKUP($AB369&amp;"-"&amp;$E369&amp;" "&amp;F369,Bonuses!$B$1:$G$1006,4,FALSE)),"",INT(VLOOKUP($AB369&amp;"-"&amp;$E369&amp;" "&amp;$F369,Bonuses!$B$1:$G$1006,4,FALSE)))</f>
        <v/>
      </c>
      <c r="AE3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12.27 (365) - 1B Walter Guesne</v>
      </c>
    </row>
    <row r="370" spans="1:31" s="50" customFormat="1" x14ac:dyDescent="0.25">
      <c r="A370" s="68">
        <v>17837</v>
      </c>
      <c r="B370" s="69">
        <f>COUNTIF(Table5[PID],A370)</f>
        <v>1</v>
      </c>
      <c r="C370" s="69" t="str">
        <f>IF(COUNTIF(Table3[[#All],[PID]],A370)&gt;0,"P","B")</f>
        <v>P</v>
      </c>
      <c r="D370" s="59" t="str">
        <f>IF($C370="B",INDEX(Batters[[#All],[POS]],MATCH(Table5[[#This Row],[PID]],Batters[[#All],[PID]],0)),INDEX(Table3[[#All],[POS]],MATCH(Table5[[#This Row],[PID]],Table3[[#All],[PID]],0)))</f>
        <v>SP</v>
      </c>
      <c r="E370" s="52" t="str">
        <f>IF($C370="B",INDEX(Batters[[#All],[First]],MATCH(Table5[[#This Row],[PID]],Batters[[#All],[PID]],0)),INDEX(Table3[[#All],[First]],MATCH(Table5[[#This Row],[PID]],Table3[[#All],[PID]],0)))</f>
        <v>Kunimatsu</v>
      </c>
      <c r="F370" s="55" t="str">
        <f>IF($C370="B",INDEX(Batters[[#All],[Last]],MATCH(A370,Batters[[#All],[PID]],0)),INDEX(Table3[[#All],[Last]],MATCH(A370,Table3[[#All],[PID]],0)))</f>
        <v>Yamasaki</v>
      </c>
      <c r="G370" s="56">
        <f>IF($C370="B",INDEX(Batters[[#All],[Age]],MATCH(Table5[[#This Row],[PID]],Batters[[#All],[PID]],0)),INDEX(Table3[[#All],[Age]],MATCH(Table5[[#This Row],[PID]],Table3[[#All],[PID]],0)))</f>
        <v>18</v>
      </c>
      <c r="H370" s="52" t="str">
        <f>IF($C370="B",INDEX(Batters[[#All],[B]],MATCH(Table5[[#This Row],[PID]],Batters[[#All],[PID]],0)),INDEX(Table3[[#All],[B]],MATCH(Table5[[#This Row],[PID]],Table3[[#All],[PID]],0)))</f>
        <v>S</v>
      </c>
      <c r="I370" s="52" t="str">
        <f>IF($C370="B",INDEX(Batters[[#All],[T]],MATCH(Table5[[#This Row],[PID]],Batters[[#All],[PID]],0)),INDEX(Table3[[#All],[T]],MATCH(Table5[[#This Row],[PID]],Table3[[#All],[PID]],0)))</f>
        <v>R</v>
      </c>
      <c r="J370" s="71" t="str">
        <f>IF($C370="B",INDEX(Batters[[#All],[WE]],MATCH(Table5[[#This Row],[PID]],Batters[[#All],[PID]],0)),INDEX(Table3[[#All],[WE]],MATCH(Table5[[#This Row],[PID]],Table3[[#All],[PID]],0)))</f>
        <v>Normal</v>
      </c>
      <c r="K370" s="52" t="str">
        <f>IF($C370="B",INDEX(Batters[[#All],[INT]],MATCH(Table5[[#This Row],[PID]],Batters[[#All],[PID]],0)),INDEX(Table3[[#All],[INT]],MATCH(Table5[[#This Row],[PID]],Table3[[#All],[PID]],0)))</f>
        <v>Normal</v>
      </c>
      <c r="L370" s="60">
        <f>IF($C370="B",INDEX(Batters[[#All],[CON P]],MATCH(Table5[[#This Row],[PID]],Batters[[#All],[PID]],0)),INDEX(Table3[[#All],[STU P]],MATCH(Table5[[#This Row],[PID]],Table3[[#All],[PID]],0)))</f>
        <v>4</v>
      </c>
      <c r="M370" s="72">
        <f>IF($C370="B",INDEX(Batters[[#All],[GAP P]],MATCH(Table5[[#This Row],[PID]],Batters[[#All],[PID]],0)),INDEX(Table3[[#All],[MOV P]],MATCH(Table5[[#This Row],[PID]],Table3[[#All],[PID]],0)))</f>
        <v>2</v>
      </c>
      <c r="N370" s="72">
        <f>IF($C370="B",INDEX(Batters[[#All],[POW P]],MATCH(Table5[[#This Row],[PID]],Batters[[#All],[PID]],0)),INDEX(Table3[[#All],[CON P]],MATCH(Table5[[#This Row],[PID]],Table3[[#All],[PID]],0)))</f>
        <v>3</v>
      </c>
      <c r="O370" s="72" t="str">
        <f>IF($C370="B",INDEX(Batters[[#All],[EYE P]],MATCH(Table5[[#This Row],[PID]],Batters[[#All],[PID]],0)),INDEX(Table3[[#All],[VELO]],MATCH(Table5[[#This Row],[PID]],Table3[[#All],[PID]],0)))</f>
        <v>91-93 Mph</v>
      </c>
      <c r="P370" s="56">
        <f>IF($C370="B",INDEX(Batters[[#All],[K P]],MATCH(Table5[[#This Row],[PID]],Batters[[#All],[PID]],0)),INDEX(Table3[[#All],[STM]],MATCH(Table5[[#This Row],[PID]],Table3[[#All],[PID]],0)))</f>
        <v>8</v>
      </c>
      <c r="Q370" s="61">
        <f>IF($C370="B",INDEX(Batters[[#All],[Tot]],MATCH(Table5[[#This Row],[PID]],Batters[[#All],[PID]],0)),INDEX(Table3[[#All],[Tot]],MATCH(Table5[[#This Row],[PID]],Table3[[#All],[PID]],0)))</f>
        <v>34.450874457299733</v>
      </c>
      <c r="R370" s="52">
        <f>IF($C370="B",INDEX(Batters[[#All],[zScore]],MATCH(Table5[[#This Row],[PID]],Batters[[#All],[PID]],0)),INDEX(Table3[[#All],[zScore]],MATCH(Table5[[#This Row],[PID]],Table3[[#All],[PID]],0)))</f>
        <v>-0.16850342418369749</v>
      </c>
      <c r="S370" s="78" t="str">
        <f>IF($C370="B",INDEX(Batters[[#All],[DEM]],MATCH(Table5[[#This Row],[PID]],Batters[[#All],[PID]],0)),INDEX(Table3[[#All],[DEM]],MATCH(Table5[[#This Row],[PID]],Table3[[#All],[PID]],0)))</f>
        <v>$38k</v>
      </c>
      <c r="T370" s="75">
        <f>IF($C370="B",INDEX(Batters[[#All],[Rnk]],MATCH(Table5[[#This Row],[PID]],Batters[[#All],[PID]],0)),INDEX(Table3[[#All],[Rnk]],MATCH(Table5[[#This Row],[PID]],Table3[[#All],[PID]],0)))</f>
        <v>372</v>
      </c>
      <c r="U370" s="68">
        <f>IF($C370="B",VLOOKUP($A370,Bat!$A$4:$BA$1621,47,FALSE),VLOOKUP($A370,Pit!$A$4:$BF$1557,56,FALSE))</f>
        <v>0</v>
      </c>
      <c r="V370" s="50">
        <f>IF($C370="B",VLOOKUP($A370,Bat!$A$4:$BA$1621,48,FALSE),VLOOKUP($A370,Pit!$A$4:$BF$1557,57,FALSE))</f>
        <v>0</v>
      </c>
      <c r="W370" s="69">
        <f>Table5[[#This Row],[posRnk]]+Table5[[#This Row],[zRnk]]+IF($W$3&lt;&gt;Table5[[#This Row],[Type]],50,0)</f>
        <v>1065</v>
      </c>
      <c r="X370" s="73">
        <f>RANK(Table5[[#This Row],[zScore]],Table5[[#All],[zScore]])</f>
        <v>643</v>
      </c>
      <c r="Y370" s="69">
        <f>IFERROR(INDEX(DraftResults[[#All],[OVR]],MATCH(Table5[[#This Row],[PID]],DraftResults[[#All],[Player ID]],0)),"")</f>
        <v>366</v>
      </c>
      <c r="Z37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70" s="69">
        <f>IFERROR(INDEX(DraftResults[[#All],[Pick in Round]],MATCH(Table5[[#This Row],[PID]],DraftResults[[#All],[Player ID]],0)),"")</f>
        <v>28</v>
      </c>
      <c r="AB370" s="69" t="str">
        <f>IFERROR(INDEX(DraftResults[[#All],[Team Name]],MATCH(Table5[[#This Row],[PID]],DraftResults[[#All],[Player ID]],0)),"")</f>
        <v>San Juan Coqui</v>
      </c>
      <c r="AC370" s="69">
        <f>IF(Table5[[#This Row],[Ovr]]="","",IF(Table5[[#This Row],[cmbList]]="","",Table5[[#This Row],[cmbList]]-Table5[[#This Row],[Ovr]]))</f>
        <v>699</v>
      </c>
      <c r="AD370" s="77" t="str">
        <f>IF(ISERROR(VLOOKUP($AB370&amp;"-"&amp;$E370&amp;" "&amp;F370,Bonuses!$B$1:$G$1006,4,FALSE)),"",INT(VLOOKUP($AB370&amp;"-"&amp;$E370&amp;" "&amp;$F370,Bonuses!$B$1:$G$1006,4,FALSE)))</f>
        <v/>
      </c>
      <c r="AE37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12.28 (366) - SP Kunimatsu Yamasaki</v>
      </c>
    </row>
    <row r="371" spans="1:31" s="50" customFormat="1" x14ac:dyDescent="0.25">
      <c r="A371" s="68">
        <v>15123</v>
      </c>
      <c r="B371" s="69">
        <f>COUNTIF(Table5[PID],A371)</f>
        <v>1</v>
      </c>
      <c r="C371" s="69" t="str">
        <f>IF(COUNTIF(Table3[[#All],[PID]],A371)&gt;0,"P","B")</f>
        <v>P</v>
      </c>
      <c r="D371" s="59" t="str">
        <f>IF($C371="B",INDEX(Batters[[#All],[POS]],MATCH(Table5[[#This Row],[PID]],Batters[[#All],[PID]],0)),INDEX(Table3[[#All],[POS]],MATCH(Table5[[#This Row],[PID]],Table3[[#All],[PID]],0)))</f>
        <v>SP</v>
      </c>
      <c r="E371" s="52" t="str">
        <f>IF($C371="B",INDEX(Batters[[#All],[First]],MATCH(Table5[[#This Row],[PID]],Batters[[#All],[PID]],0)),INDEX(Table3[[#All],[First]],MATCH(Table5[[#This Row],[PID]],Table3[[#All],[PID]],0)))</f>
        <v>Oliver</v>
      </c>
      <c r="F371" s="55" t="str">
        <f>IF($C371="B",INDEX(Batters[[#All],[Last]],MATCH(A371,Batters[[#All],[PID]],0)),INDEX(Table3[[#All],[Last]],MATCH(A371,Table3[[#All],[PID]],0)))</f>
        <v>Flores</v>
      </c>
      <c r="G371" s="56">
        <f>IF($C371="B",INDEX(Batters[[#All],[Age]],MATCH(Table5[[#This Row],[PID]],Batters[[#All],[PID]],0)),INDEX(Table3[[#All],[Age]],MATCH(Table5[[#This Row],[PID]],Table3[[#All],[PID]],0)))</f>
        <v>18</v>
      </c>
      <c r="H371" s="52" t="str">
        <f>IF($C371="B",INDEX(Batters[[#All],[B]],MATCH(Table5[[#This Row],[PID]],Batters[[#All],[PID]],0)),INDEX(Table3[[#All],[B]],MATCH(Table5[[#This Row],[PID]],Table3[[#All],[PID]],0)))</f>
        <v>S</v>
      </c>
      <c r="I371" s="52" t="str">
        <f>IF($C371="B",INDEX(Batters[[#All],[T]],MATCH(Table5[[#This Row],[PID]],Batters[[#All],[PID]],0)),INDEX(Table3[[#All],[T]],MATCH(Table5[[#This Row],[PID]],Table3[[#All],[PID]],0)))</f>
        <v>R</v>
      </c>
      <c r="J371" s="71" t="str">
        <f>IF($C371="B",INDEX(Batters[[#All],[WE]],MATCH(Table5[[#This Row],[PID]],Batters[[#All],[PID]],0)),INDEX(Table3[[#All],[WE]],MATCH(Table5[[#This Row],[PID]],Table3[[#All],[PID]],0)))</f>
        <v>High</v>
      </c>
      <c r="K371" s="52" t="str">
        <f>IF($C371="B",INDEX(Batters[[#All],[INT]],MATCH(Table5[[#This Row],[PID]],Batters[[#All],[PID]],0)),INDEX(Table3[[#All],[INT]],MATCH(Table5[[#This Row],[PID]],Table3[[#All],[PID]],0)))</f>
        <v>Normal</v>
      </c>
      <c r="L371" s="60">
        <f>IF($C371="B",INDEX(Batters[[#All],[CON P]],MATCH(Table5[[#This Row],[PID]],Batters[[#All],[PID]],0)),INDEX(Table3[[#All],[STU P]],MATCH(Table5[[#This Row],[PID]],Table3[[#All],[PID]],0)))</f>
        <v>4</v>
      </c>
      <c r="M371" s="72">
        <f>IF($C371="B",INDEX(Batters[[#All],[GAP P]],MATCH(Table5[[#This Row],[PID]],Batters[[#All],[PID]],0)),INDEX(Table3[[#All],[MOV P]],MATCH(Table5[[#This Row],[PID]],Table3[[#All],[PID]],0)))</f>
        <v>3</v>
      </c>
      <c r="N371" s="72">
        <f>IF($C371="B",INDEX(Batters[[#All],[POW P]],MATCH(Table5[[#This Row],[PID]],Batters[[#All],[PID]],0)),INDEX(Table3[[#All],[CON P]],MATCH(Table5[[#This Row],[PID]],Table3[[#All],[PID]],0)))</f>
        <v>6</v>
      </c>
      <c r="O371" s="72" t="str">
        <f>IF($C371="B",INDEX(Batters[[#All],[EYE P]],MATCH(Table5[[#This Row],[PID]],Batters[[#All],[PID]],0)),INDEX(Table3[[#All],[VELO]],MATCH(Table5[[#This Row],[PID]],Table3[[#All],[PID]],0)))</f>
        <v>89-91 Mph</v>
      </c>
      <c r="P371" s="56">
        <f>IF($C371="B",INDEX(Batters[[#All],[K P]],MATCH(Table5[[#This Row],[PID]],Batters[[#All],[PID]],0)),INDEX(Table3[[#All],[STM]],MATCH(Table5[[#This Row],[PID]],Table3[[#All],[PID]],0)))</f>
        <v>8</v>
      </c>
      <c r="Q371" s="61">
        <f>IF($C371="B",INDEX(Batters[[#All],[Tot]],MATCH(Table5[[#This Row],[PID]],Batters[[#All],[PID]],0)),INDEX(Table3[[#All],[Tot]],MATCH(Table5[[#This Row],[PID]],Table3[[#All],[PID]],0)))</f>
        <v>53.472206862358284</v>
      </c>
      <c r="R371" s="52">
        <f>IF($C371="B",INDEX(Batters[[#All],[zScore]],MATCH(Table5[[#This Row],[PID]],Batters[[#All],[PID]],0)),INDEX(Table3[[#All],[zScore]],MATCH(Table5[[#This Row],[PID]],Table3[[#All],[PID]],0)))</f>
        <v>1.1710129276277508</v>
      </c>
      <c r="S371" s="78" t="str">
        <f>IF($C371="B",INDEX(Batters[[#All],[DEM]],MATCH(Table5[[#This Row],[PID]],Batters[[#All],[PID]],0)),INDEX(Table3[[#All],[DEM]],MATCH(Table5[[#This Row],[PID]],Table3[[#All],[PID]],0)))</f>
        <v>$190k</v>
      </c>
      <c r="T371" s="75">
        <f>IF($C371="B",INDEX(Batters[[#All],[Rnk]],MATCH(Table5[[#This Row],[PID]],Batters[[#All],[PID]],0)),INDEX(Table3[[#All],[Rnk]],MATCH(Table5[[#This Row],[PID]],Table3[[#All],[PID]],0)))</f>
        <v>118</v>
      </c>
      <c r="U371" s="68">
        <f>IF($C371="B",VLOOKUP($A371,Bat!$A$4:$BA$1621,47,FALSE),VLOOKUP($A371,Pit!$A$4:$BF$1557,56,FALSE))</f>
        <v>0</v>
      </c>
      <c r="V371" s="50">
        <f>IF($C371="B",VLOOKUP($A371,Bat!$A$4:$BA$1621,48,FALSE),VLOOKUP($A371,Pit!$A$4:$BF$1557,57,FALSE))</f>
        <v>0</v>
      </c>
      <c r="W371" s="69">
        <f>Table5[[#This Row],[posRnk]]+Table5[[#This Row],[zRnk]]+IF($W$3&lt;&gt;Table5[[#This Row],[Type]],50,0)</f>
        <v>361</v>
      </c>
      <c r="X371" s="73">
        <f>RANK(Table5[[#This Row],[zScore]],Table5[[#All],[zScore]])</f>
        <v>193</v>
      </c>
      <c r="Y371" s="69">
        <f>IFERROR(INDEX(DraftResults[[#All],[OVR]],MATCH(Table5[[#This Row],[PID]],DraftResults[[#All],[Player ID]],0)),"")</f>
        <v>367</v>
      </c>
      <c r="Z37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71" s="69">
        <f>IFERROR(INDEX(DraftResults[[#All],[Pick in Round]],MATCH(Table5[[#This Row],[PID]],DraftResults[[#All],[Player ID]],0)),"")</f>
        <v>29</v>
      </c>
      <c r="AB371" s="69" t="str">
        <f>IFERROR(INDEX(DraftResults[[#All],[Team Name]],MATCH(Table5[[#This Row],[PID]],DraftResults[[#All],[Player ID]],0)),"")</f>
        <v>Havana Leones</v>
      </c>
      <c r="AC371" s="69">
        <f>IF(Table5[[#This Row],[Ovr]]="","",IF(Table5[[#This Row],[cmbList]]="","",Table5[[#This Row],[cmbList]]-Table5[[#This Row],[Ovr]]))</f>
        <v>-6</v>
      </c>
      <c r="AD371" s="77" t="str">
        <f>IF(ISERROR(VLOOKUP($AB371&amp;"-"&amp;$E371&amp;" "&amp;F371,Bonuses!$B$1:$G$1006,4,FALSE)),"",INT(VLOOKUP($AB371&amp;"-"&amp;$E371&amp;" "&amp;$F371,Bonuses!$B$1:$G$1006,4,FALSE)))</f>
        <v/>
      </c>
      <c r="AE37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12.29 (367) - SP Oliver Flores</v>
      </c>
    </row>
    <row r="372" spans="1:31" s="50" customFormat="1" x14ac:dyDescent="0.25">
      <c r="A372" s="50">
        <v>20543</v>
      </c>
      <c r="B372" s="50">
        <f>COUNTIF(Table5[PID],A372)</f>
        <v>1</v>
      </c>
      <c r="C372" s="50" t="str">
        <f>IF(COUNTIF(Table3[[#All],[PID]],A372)&gt;0,"P","B")</f>
        <v>B</v>
      </c>
      <c r="D372" s="59" t="str">
        <f>IF($C372="B",INDEX(Batters[[#All],[POS]],MATCH(Table5[[#This Row],[PID]],Batters[[#All],[PID]],0)),INDEX(Table3[[#All],[POS]],MATCH(Table5[[#This Row],[PID]],Table3[[#All],[PID]],0)))</f>
        <v>SS</v>
      </c>
      <c r="E372" s="52" t="str">
        <f>IF($C372="B",INDEX(Batters[[#All],[First]],MATCH(Table5[[#This Row],[PID]],Batters[[#All],[PID]],0)),INDEX(Table3[[#All],[First]],MATCH(Table5[[#This Row],[PID]],Table3[[#All],[PID]],0)))</f>
        <v>Randy</v>
      </c>
      <c r="F372" s="50" t="str">
        <f>IF($C372="B",INDEX(Batters[[#All],[Last]],MATCH(A372,Batters[[#All],[PID]],0)),INDEX(Table3[[#All],[Last]],MATCH(A372,Table3[[#All],[PID]],0)))</f>
        <v>Mossop</v>
      </c>
      <c r="G372" s="56">
        <f>IF($C372="B",INDEX(Batters[[#All],[Age]],MATCH(Table5[[#This Row],[PID]],Batters[[#All],[PID]],0)),INDEX(Table3[[#All],[Age]],MATCH(Table5[[#This Row],[PID]],Table3[[#All],[PID]],0)))</f>
        <v>17</v>
      </c>
      <c r="H372" s="52" t="str">
        <f>IF($C372="B",INDEX(Batters[[#All],[B]],MATCH(Table5[[#This Row],[PID]],Batters[[#All],[PID]],0)),INDEX(Table3[[#All],[B]],MATCH(Table5[[#This Row],[PID]],Table3[[#All],[PID]],0)))</f>
        <v>L</v>
      </c>
      <c r="I372" s="52" t="str">
        <f>IF($C372="B",INDEX(Batters[[#All],[T]],MATCH(Table5[[#This Row],[PID]],Batters[[#All],[PID]],0)),INDEX(Table3[[#All],[T]],MATCH(Table5[[#This Row],[PID]],Table3[[#All],[PID]],0)))</f>
        <v>R</v>
      </c>
      <c r="J372" s="52" t="str">
        <f>IF($C372="B",INDEX(Batters[[#All],[WE]],MATCH(Table5[[#This Row],[PID]],Batters[[#All],[PID]],0)),INDEX(Table3[[#All],[WE]],MATCH(Table5[[#This Row],[PID]],Table3[[#All],[PID]],0)))</f>
        <v>High</v>
      </c>
      <c r="K372" s="52" t="str">
        <f>IF($C372="B",INDEX(Batters[[#All],[INT]],MATCH(Table5[[#This Row],[PID]],Batters[[#All],[PID]],0)),INDEX(Table3[[#All],[INT]],MATCH(Table5[[#This Row],[PID]],Table3[[#All],[PID]],0)))</f>
        <v>Normal</v>
      </c>
      <c r="L372" s="60">
        <f>IF($C372="B",INDEX(Batters[[#All],[CON P]],MATCH(Table5[[#This Row],[PID]],Batters[[#All],[PID]],0)),INDEX(Table3[[#All],[STU P]],MATCH(Table5[[#This Row],[PID]],Table3[[#All],[PID]],0)))</f>
        <v>4</v>
      </c>
      <c r="M372" s="56">
        <f>IF($C372="B",INDEX(Batters[[#All],[GAP P]],MATCH(Table5[[#This Row],[PID]],Batters[[#All],[PID]],0)),INDEX(Table3[[#All],[MOV P]],MATCH(Table5[[#This Row],[PID]],Table3[[#All],[PID]],0)))</f>
        <v>4</v>
      </c>
      <c r="N372" s="56">
        <f>IF($C372="B",INDEX(Batters[[#All],[POW P]],MATCH(Table5[[#This Row],[PID]],Batters[[#All],[PID]],0)),INDEX(Table3[[#All],[CON P]],MATCH(Table5[[#This Row],[PID]],Table3[[#All],[PID]],0)))</f>
        <v>2</v>
      </c>
      <c r="O372" s="56">
        <f>IF($C372="B",INDEX(Batters[[#All],[EYE P]],MATCH(Table5[[#This Row],[PID]],Batters[[#All],[PID]],0)),INDEX(Table3[[#All],[VELO]],MATCH(Table5[[#This Row],[PID]],Table3[[#All],[PID]],0)))</f>
        <v>5</v>
      </c>
      <c r="P372" s="56">
        <f>IF($C372="B",INDEX(Batters[[#All],[K P]],MATCH(Table5[[#This Row],[PID]],Batters[[#All],[PID]],0)),INDEX(Table3[[#All],[STM]],MATCH(Table5[[#This Row],[PID]],Table3[[#All],[PID]],0)))</f>
        <v>6</v>
      </c>
      <c r="Q372" s="61">
        <f>IF($C372="B",INDEX(Batters[[#All],[Tot]],MATCH(Table5[[#This Row],[PID]],Batters[[#All],[PID]],0)),INDEX(Table3[[#All],[Tot]],MATCH(Table5[[#This Row],[PID]],Table3[[#All],[PID]],0)))</f>
        <v>46.118880302718217</v>
      </c>
      <c r="R372" s="52">
        <f>IF($C372="B",INDEX(Batters[[#All],[zScore]],MATCH(Table5[[#This Row],[PID]],Batters[[#All],[PID]],0)),INDEX(Table3[[#All],[zScore]],MATCH(Table5[[#This Row],[PID]],Table3[[#All],[PID]],0)))</f>
        <v>0.44051815729827276</v>
      </c>
      <c r="S372" s="58" t="str">
        <f>IF($C372="B",INDEX(Batters[[#All],[DEM]],MATCH(Table5[[#This Row],[PID]],Batters[[#All],[PID]],0)),INDEX(Table3[[#All],[DEM]],MATCH(Table5[[#This Row],[PID]],Table3[[#All],[PID]],0)))</f>
        <v>$75k</v>
      </c>
      <c r="T372" s="62">
        <f>IF($C372="B",INDEX(Batters[[#All],[Rnk]],MATCH(Table5[[#This Row],[PID]],Batters[[#All],[PID]],0)),INDEX(Table3[[#All],[Rnk]],MATCH(Table5[[#This Row],[PID]],Table3[[#All],[PID]],0)))</f>
        <v>159</v>
      </c>
      <c r="U372" s="68">
        <f>IF($C372="B",VLOOKUP($A372,Bat!$A$4:$BA$1621,47,FALSE),VLOOKUP($A372,Pit!$A$4:$BF$1557,56,FALSE))</f>
        <v>0</v>
      </c>
      <c r="V372" s="50">
        <f>IF($C372="B",VLOOKUP($A372,Bat!$A$4:$BA$1621,48,FALSE),VLOOKUP($A372,Pit!$A$4:$BF$1557,57,FALSE))</f>
        <v>0</v>
      </c>
      <c r="W372" s="50">
        <f>Table5[[#This Row],[posRnk]]+Table5[[#This Row],[zRnk]]+IF($W$3&lt;&gt;Table5[[#This Row],[Type]],50,0)</f>
        <v>593</v>
      </c>
      <c r="X372" s="51">
        <f>RANK(Table5[[#This Row],[zScore]],Table5[[#All],[zScore]])</f>
        <v>384</v>
      </c>
      <c r="Y372" s="50">
        <f>IFERROR(INDEX(DraftResults[[#All],[OVR]],MATCH(Table5[[#This Row],[PID]],DraftResults[[#All],[Player ID]],0)),"")</f>
        <v>368</v>
      </c>
      <c r="Z3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12</v>
      </c>
      <c r="AA372" s="50">
        <f>IFERROR(INDEX(DraftResults[[#All],[Pick in Round]],MATCH(Table5[[#This Row],[PID]],DraftResults[[#All],[Player ID]],0)),"")</f>
        <v>30</v>
      </c>
      <c r="AB372" s="50" t="str">
        <f>IFERROR(INDEX(DraftResults[[#All],[Team Name]],MATCH(Table5[[#This Row],[PID]],DraftResults[[#All],[Player ID]],0)),"")</f>
        <v>Florida Farstriders</v>
      </c>
      <c r="AC372" s="50">
        <f>IF(Table5[[#This Row],[Ovr]]="","",IF(Table5[[#This Row],[cmbList]]="","",Table5[[#This Row],[cmbList]]-Table5[[#This Row],[Ovr]]))</f>
        <v>225</v>
      </c>
      <c r="AD372" s="54" t="str">
        <f>IF(ISERROR(VLOOKUP($AB372&amp;"-"&amp;$E372&amp;" "&amp;F372,Bonuses!$B$1:$G$1006,4,FALSE)),"",INT(VLOOKUP($AB372&amp;"-"&amp;$E372&amp;" "&amp;$F372,Bonuses!$B$1:$G$1006,4,FALSE)))</f>
        <v/>
      </c>
      <c r="AE3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12.30 (368) - SS Randy Mossop</v>
      </c>
    </row>
    <row r="373" spans="1:31" s="50" customFormat="1" x14ac:dyDescent="0.25">
      <c r="A373" s="50">
        <v>18096</v>
      </c>
      <c r="B373" s="50">
        <f>COUNTIF(Table5[PID],A373)</f>
        <v>1</v>
      </c>
      <c r="C373" s="50" t="str">
        <f>IF(COUNTIF(Table3[[#All],[PID]],A373)&gt;0,"P","B")</f>
        <v>B</v>
      </c>
      <c r="D373" s="59" t="str">
        <f>IF($C373="B",INDEX(Batters[[#All],[POS]],MATCH(Table5[[#This Row],[PID]],Batters[[#All],[PID]],0)),INDEX(Table3[[#All],[POS]],MATCH(Table5[[#This Row],[PID]],Table3[[#All],[PID]],0)))</f>
        <v>2B</v>
      </c>
      <c r="E373" s="52" t="str">
        <f>IF($C373="B",INDEX(Batters[[#All],[First]],MATCH(Table5[[#This Row],[PID]],Batters[[#All],[PID]],0)),INDEX(Table3[[#All],[First]],MATCH(Table5[[#This Row],[PID]],Table3[[#All],[PID]],0)))</f>
        <v>Ronald</v>
      </c>
      <c r="F373" s="50" t="str">
        <f>IF($C373="B",INDEX(Batters[[#All],[Last]],MATCH(A373,Batters[[#All],[PID]],0)),INDEX(Table3[[#All],[Last]],MATCH(A373,Table3[[#All],[PID]],0)))</f>
        <v>Bonnell</v>
      </c>
      <c r="G373" s="56">
        <f>IF($C373="B",INDEX(Batters[[#All],[Age]],MATCH(Table5[[#This Row],[PID]],Batters[[#All],[PID]],0)),INDEX(Table3[[#All],[Age]],MATCH(Table5[[#This Row],[PID]],Table3[[#All],[PID]],0)))</f>
        <v>21</v>
      </c>
      <c r="H373" s="52" t="str">
        <f>IF($C373="B",INDEX(Batters[[#All],[B]],MATCH(Table5[[#This Row],[PID]],Batters[[#All],[PID]],0)),INDEX(Table3[[#All],[B]],MATCH(Table5[[#This Row],[PID]],Table3[[#All],[PID]],0)))</f>
        <v>R</v>
      </c>
      <c r="I373" s="52" t="str">
        <f>IF($C373="B",INDEX(Batters[[#All],[T]],MATCH(Table5[[#This Row],[PID]],Batters[[#All],[PID]],0)),INDEX(Table3[[#All],[T]],MATCH(Table5[[#This Row],[PID]],Table3[[#All],[PID]],0)))</f>
        <v>R</v>
      </c>
      <c r="J373" s="52" t="str">
        <f>IF($C373="B",INDEX(Batters[[#All],[WE]],MATCH(Table5[[#This Row],[PID]],Batters[[#All],[PID]],0)),INDEX(Table3[[#All],[WE]],MATCH(Table5[[#This Row],[PID]],Table3[[#All],[PID]],0)))</f>
        <v>Normal</v>
      </c>
      <c r="K373" s="52" t="str">
        <f>IF($C373="B",INDEX(Batters[[#All],[INT]],MATCH(Table5[[#This Row],[PID]],Batters[[#All],[PID]],0)),INDEX(Table3[[#All],[INT]],MATCH(Table5[[#This Row],[PID]],Table3[[#All],[PID]],0)))</f>
        <v>Normal</v>
      </c>
      <c r="L373" s="60">
        <f>IF($C373="B",INDEX(Batters[[#All],[CON P]],MATCH(Table5[[#This Row],[PID]],Batters[[#All],[PID]],0)),INDEX(Table3[[#All],[STU P]],MATCH(Table5[[#This Row],[PID]],Table3[[#All],[PID]],0)))</f>
        <v>4</v>
      </c>
      <c r="M373" s="56">
        <f>IF($C373="B",INDEX(Batters[[#All],[GAP P]],MATCH(Table5[[#This Row],[PID]],Batters[[#All],[PID]],0)),INDEX(Table3[[#All],[MOV P]],MATCH(Table5[[#This Row],[PID]],Table3[[#All],[PID]],0)))</f>
        <v>4</v>
      </c>
      <c r="N373" s="56">
        <f>IF($C373="B",INDEX(Batters[[#All],[POW P]],MATCH(Table5[[#This Row],[PID]],Batters[[#All],[PID]],0)),INDEX(Table3[[#All],[CON P]],MATCH(Table5[[#This Row],[PID]],Table3[[#All],[PID]],0)))</f>
        <v>3</v>
      </c>
      <c r="O373" s="56">
        <f>IF($C373="B",INDEX(Batters[[#All],[EYE P]],MATCH(Table5[[#This Row],[PID]],Batters[[#All],[PID]],0)),INDEX(Table3[[#All],[VELO]],MATCH(Table5[[#This Row],[PID]],Table3[[#All],[PID]],0)))</f>
        <v>5</v>
      </c>
      <c r="P373" s="56">
        <f>IF($C373="B",INDEX(Batters[[#All],[K P]],MATCH(Table5[[#This Row],[PID]],Batters[[#All],[PID]],0)),INDEX(Table3[[#All],[STM]],MATCH(Table5[[#This Row],[PID]],Table3[[#All],[PID]],0)))</f>
        <v>3</v>
      </c>
      <c r="Q373" s="61">
        <f>IF($C373="B",INDEX(Batters[[#All],[Tot]],MATCH(Table5[[#This Row],[PID]],Batters[[#All],[PID]],0)),INDEX(Table3[[#All],[Tot]],MATCH(Table5[[#This Row],[PID]],Table3[[#All],[PID]],0)))</f>
        <v>41.153147280285964</v>
      </c>
      <c r="R373" s="52">
        <f>IF($C373="B",INDEX(Batters[[#All],[zScore]],MATCH(Table5[[#This Row],[PID]],Batters[[#All],[PID]],0)),INDEX(Table3[[#All],[zScore]],MATCH(Table5[[#This Row],[PID]],Table3[[#All],[PID]],0)))</f>
        <v>-0.66041841901509046</v>
      </c>
      <c r="S373" s="58" t="str">
        <f>IF($C373="B",INDEX(Batters[[#All],[DEM]],MATCH(Table5[[#This Row],[PID]],Batters[[#All],[PID]],0)),INDEX(Table3[[#All],[DEM]],MATCH(Table5[[#This Row],[PID]],Table3[[#All],[PID]],0)))</f>
        <v>$23k</v>
      </c>
      <c r="T373" s="62">
        <f>IF($C373="B",INDEX(Batters[[#All],[Rnk]],MATCH(Table5[[#This Row],[PID]],Batters[[#All],[PID]],0)),INDEX(Table3[[#All],[Rnk]],MATCH(Table5[[#This Row],[PID]],Table3[[#All],[PID]],0)))</f>
        <v>369</v>
      </c>
      <c r="U373" s="68">
        <f>IF($C373="B",VLOOKUP($A373,Bat!$A$4:$BA$1621,47,FALSE),VLOOKUP($A373,Pit!$A$4:$BF$1557,56,FALSE))</f>
        <v>0</v>
      </c>
      <c r="V373" s="50">
        <f>IF($C373="B",VLOOKUP($A373,Bat!$A$4:$BA$1621,48,FALSE),VLOOKUP($A373,Pit!$A$4:$BF$1557,57,FALSE))</f>
        <v>0</v>
      </c>
      <c r="W373" s="50">
        <f>Table5[[#This Row],[posRnk]]+Table5[[#This Row],[zRnk]]+IF($W$3&lt;&gt;Table5[[#This Row],[Type]],50,0)</f>
        <v>1375</v>
      </c>
      <c r="X373" s="51">
        <f>RANK(Table5[[#This Row],[zScore]],Table5[[#All],[zScore]])</f>
        <v>956</v>
      </c>
      <c r="Y373" s="50">
        <f>IFERROR(INDEX(DraftResults[[#All],[OVR]],MATCH(Table5[[#This Row],[PID]],DraftResults[[#All],[Player ID]],0)),"")</f>
        <v>369</v>
      </c>
      <c r="Z3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3" s="50">
        <f>IFERROR(INDEX(DraftResults[[#All],[Pick in Round]],MATCH(Table5[[#This Row],[PID]],DraftResults[[#All],[Player ID]],0)),"")</f>
        <v>1</v>
      </c>
      <c r="AB373" s="50" t="str">
        <f>IFERROR(INDEX(DraftResults[[#All],[Team Name]],MATCH(Table5[[#This Row],[PID]],DraftResults[[#All],[Player ID]],0)),"")</f>
        <v>Yuma Arroyos</v>
      </c>
      <c r="AC373" s="50">
        <f>IF(Table5[[#This Row],[Ovr]]="","",IF(Table5[[#This Row],[cmbList]]="","",Table5[[#This Row],[cmbList]]-Table5[[#This Row],[Ovr]]))</f>
        <v>1006</v>
      </c>
      <c r="AD373" s="54" t="str">
        <f>IF(ISERROR(VLOOKUP($AB373&amp;"-"&amp;$E373&amp;" "&amp;F373,Bonuses!$B$1:$G$1006,4,FALSE)),"",INT(VLOOKUP($AB373&amp;"-"&amp;$E373&amp;" "&amp;$F373,Bonuses!$B$1:$G$1006,4,FALSE)))</f>
        <v/>
      </c>
      <c r="AE3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 (369) - 2B Ronald Bonnell</v>
      </c>
    </row>
    <row r="374" spans="1:31" s="50" customFormat="1" x14ac:dyDescent="0.25">
      <c r="A374" s="50">
        <v>11389</v>
      </c>
      <c r="B374" s="55">
        <f>COUNTIF(Table5[PID],A374)</f>
        <v>1</v>
      </c>
      <c r="C374" s="55" t="str">
        <f>IF(COUNTIF(Table3[[#All],[PID]],A374)&gt;0,"P","B")</f>
        <v>B</v>
      </c>
      <c r="D374" s="59" t="str">
        <f>IF($C374="B",INDEX(Batters[[#All],[POS]],MATCH(Table5[[#This Row],[PID]],Batters[[#All],[PID]],0)),INDEX(Table3[[#All],[POS]],MATCH(Table5[[#This Row],[PID]],Table3[[#All],[PID]],0)))</f>
        <v>C</v>
      </c>
      <c r="E374" s="52" t="str">
        <f>IF($C374="B",INDEX(Batters[[#All],[First]],MATCH(Table5[[#This Row],[PID]],Batters[[#All],[PID]],0)),INDEX(Table3[[#All],[First]],MATCH(Table5[[#This Row],[PID]],Table3[[#All],[PID]],0)))</f>
        <v>Claudio</v>
      </c>
      <c r="F374" s="50" t="str">
        <f>IF($C374="B",INDEX(Batters[[#All],[Last]],MATCH(A374,Batters[[#All],[PID]],0)),INDEX(Table3[[#All],[Last]],MATCH(A374,Table3[[#All],[PID]],0)))</f>
        <v>Snel</v>
      </c>
      <c r="G374" s="56">
        <f>IF($C374="B",INDEX(Batters[[#All],[Age]],MATCH(Table5[[#This Row],[PID]],Batters[[#All],[PID]],0)),INDEX(Table3[[#All],[Age]],MATCH(Table5[[#This Row],[PID]],Table3[[#All],[PID]],0)))</f>
        <v>21</v>
      </c>
      <c r="H374" s="52" t="str">
        <f>IF($C374="B",INDEX(Batters[[#All],[B]],MATCH(Table5[[#This Row],[PID]],Batters[[#All],[PID]],0)),INDEX(Table3[[#All],[B]],MATCH(Table5[[#This Row],[PID]],Table3[[#All],[PID]],0)))</f>
        <v>R</v>
      </c>
      <c r="I374" s="52" t="str">
        <f>IF($C374="B",INDEX(Batters[[#All],[T]],MATCH(Table5[[#This Row],[PID]],Batters[[#All],[PID]],0)),INDEX(Table3[[#All],[T]],MATCH(Table5[[#This Row],[PID]],Table3[[#All],[PID]],0)))</f>
        <v>R</v>
      </c>
      <c r="J374" s="52" t="str">
        <f>IF($C374="B",INDEX(Batters[[#All],[WE]],MATCH(Table5[[#This Row],[PID]],Batters[[#All],[PID]],0)),INDEX(Table3[[#All],[WE]],MATCH(Table5[[#This Row],[PID]],Table3[[#All],[PID]],0)))</f>
        <v>Normal</v>
      </c>
      <c r="K374" s="52" t="str">
        <f>IF($C374="B",INDEX(Batters[[#All],[INT]],MATCH(Table5[[#This Row],[PID]],Batters[[#All],[PID]],0)),INDEX(Table3[[#All],[INT]],MATCH(Table5[[#This Row],[PID]],Table3[[#All],[PID]],0)))</f>
        <v>Normal</v>
      </c>
      <c r="L374" s="60">
        <f>IF($C374="B",INDEX(Batters[[#All],[CON P]],MATCH(Table5[[#This Row],[PID]],Batters[[#All],[PID]],0)),INDEX(Table3[[#All],[STU P]],MATCH(Table5[[#This Row],[PID]],Table3[[#All],[PID]],0)))</f>
        <v>2</v>
      </c>
      <c r="M374" s="56">
        <f>IF($C374="B",INDEX(Batters[[#All],[GAP P]],MATCH(Table5[[#This Row],[PID]],Batters[[#All],[PID]],0)),INDEX(Table3[[#All],[MOV P]],MATCH(Table5[[#This Row],[PID]],Table3[[#All],[PID]],0)))</f>
        <v>4</v>
      </c>
      <c r="N374" s="56">
        <f>IF($C374="B",INDEX(Batters[[#All],[POW P]],MATCH(Table5[[#This Row],[PID]],Batters[[#All],[PID]],0)),INDEX(Table3[[#All],[CON P]],MATCH(Table5[[#This Row],[PID]],Table3[[#All],[PID]],0)))</f>
        <v>3</v>
      </c>
      <c r="O374" s="56">
        <f>IF($C374="B",INDEX(Batters[[#All],[EYE P]],MATCH(Table5[[#This Row],[PID]],Batters[[#All],[PID]],0)),INDEX(Table3[[#All],[VELO]],MATCH(Table5[[#This Row],[PID]],Table3[[#All],[PID]],0)))</f>
        <v>4</v>
      </c>
      <c r="P374" s="56">
        <f>IF($C374="B",INDEX(Batters[[#All],[K P]],MATCH(Table5[[#This Row],[PID]],Batters[[#All],[PID]],0)),INDEX(Table3[[#All],[STM]],MATCH(Table5[[#This Row],[PID]],Table3[[#All],[PID]],0)))</f>
        <v>1</v>
      </c>
      <c r="Q374" s="61">
        <f>IF($C374="B",INDEX(Batters[[#All],[Tot]],MATCH(Table5[[#This Row],[PID]],Batters[[#All],[PID]],0)),INDEX(Table3[[#All],[Tot]],MATCH(Table5[[#This Row],[PID]],Table3[[#All],[PID]],0)))</f>
        <v>30.738779905037443</v>
      </c>
      <c r="R374" s="52">
        <f>IF($C374="B",INDEX(Batters[[#All],[zScore]],MATCH(Table5[[#This Row],[PID]],Batters[[#All],[PID]],0)),INDEX(Table3[[#All],[zScore]],MATCH(Table5[[#This Row],[PID]],Table3[[#All],[PID]],0)))</f>
        <v>-2.9693540606980129</v>
      </c>
      <c r="S374" s="58" t="str">
        <f>IF($C374="B",INDEX(Batters[[#All],[DEM]],MATCH(Table5[[#This Row],[PID]],Batters[[#All],[PID]],0)),INDEX(Table3[[#All],[DEM]],MATCH(Table5[[#This Row],[PID]],Table3[[#All],[PID]],0)))</f>
        <v>-</v>
      </c>
      <c r="T374" s="62">
        <f>IF($C374="B",INDEX(Batters[[#All],[Rnk]],MATCH(Table5[[#This Row],[PID]],Batters[[#All],[PID]],0)),INDEX(Table3[[#All],[Rnk]],MATCH(Table5[[#This Row],[PID]],Table3[[#All],[PID]],0)))</f>
        <v>748</v>
      </c>
      <c r="U374" s="68">
        <f>IF($C374="B",VLOOKUP($A374,Bat!$A$4:$BA$1621,47,FALSE),VLOOKUP($A374,Pit!$A$4:$BF$1557,56,FALSE))</f>
        <v>0</v>
      </c>
      <c r="V374" s="50">
        <f>IF($C374="B",VLOOKUP($A374,Bat!$A$4:$BA$1621,48,FALSE),VLOOKUP($A374,Pit!$A$4:$BF$1557,57,FALSE))</f>
        <v>0</v>
      </c>
      <c r="W374" s="50">
        <f>Table5[[#This Row],[posRnk]]+Table5[[#This Row],[zRnk]]+IF($W$3&lt;&gt;Table5[[#This Row],[Type]],50,0)</f>
        <v>2323</v>
      </c>
      <c r="X374" s="51">
        <f>RANK(Table5[[#This Row],[zScore]],Table5[[#All],[zScore]])</f>
        <v>1525</v>
      </c>
      <c r="Y374" s="50">
        <f>IFERROR(INDEX(DraftResults[[#All],[OVR]],MATCH(Table5[[#This Row],[PID]],DraftResults[[#All],[Player ID]],0)),"")</f>
        <v>370</v>
      </c>
      <c r="Z3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4" s="50">
        <f>IFERROR(INDEX(DraftResults[[#All],[Pick in Round]],MATCH(Table5[[#This Row],[PID]],DraftResults[[#All],[Player ID]],0)),"")</f>
        <v>2</v>
      </c>
      <c r="AB374" s="50" t="str">
        <f>IFERROR(INDEX(DraftResults[[#All],[Team Name]],MATCH(Table5[[#This Row],[PID]],DraftResults[[#All],[Player ID]],0)),"")</f>
        <v>Charleston Statesmen</v>
      </c>
      <c r="AC374" s="50">
        <f>IF(Table5[[#This Row],[Ovr]]="","",IF(Table5[[#This Row],[cmbList]]="","",Table5[[#This Row],[cmbList]]-Table5[[#This Row],[Ovr]]))</f>
        <v>1953</v>
      </c>
      <c r="AD374" s="54" t="str">
        <f>IF(ISERROR(VLOOKUP($AB374&amp;"-"&amp;$E374&amp;" "&amp;F374,Bonuses!$B$1:$G$1006,4,FALSE)),"",INT(VLOOKUP($AB374&amp;"-"&amp;$E374&amp;" "&amp;$F374,Bonuses!$B$1:$G$1006,4,FALSE)))</f>
        <v/>
      </c>
      <c r="AE3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 (370) - C Claudio Snel</v>
      </c>
    </row>
    <row r="375" spans="1:31" s="50" customFormat="1" x14ac:dyDescent="0.25">
      <c r="A375" s="68">
        <v>18311</v>
      </c>
      <c r="B375" s="69">
        <f>COUNTIF(Table5[PID],A375)</f>
        <v>1</v>
      </c>
      <c r="C375" s="69" t="str">
        <f>IF(COUNTIF(Table3[[#All],[PID]],A375)&gt;0,"P","B")</f>
        <v>P</v>
      </c>
      <c r="D375" s="59" t="str">
        <f>IF($C375="B",INDEX(Batters[[#All],[POS]],MATCH(Table5[[#This Row],[PID]],Batters[[#All],[PID]],0)),INDEX(Table3[[#All],[POS]],MATCH(Table5[[#This Row],[PID]],Table3[[#All],[PID]],0)))</f>
        <v>SP</v>
      </c>
      <c r="E375" s="52" t="str">
        <f>IF($C375="B",INDEX(Batters[[#All],[First]],MATCH(Table5[[#This Row],[PID]],Batters[[#All],[PID]],0)),INDEX(Table3[[#All],[First]],MATCH(Table5[[#This Row],[PID]],Table3[[#All],[PID]],0)))</f>
        <v>Hideyoshi</v>
      </c>
      <c r="F375" s="55" t="str">
        <f>IF($C375="B",INDEX(Batters[[#All],[Last]],MATCH(A375,Batters[[#All],[PID]],0)),INDEX(Table3[[#All],[Last]],MATCH(A375,Table3[[#All],[PID]],0)))</f>
        <v>Kouno</v>
      </c>
      <c r="G375" s="56">
        <f>IF($C375="B",INDEX(Batters[[#All],[Age]],MATCH(Table5[[#This Row],[PID]],Batters[[#All],[PID]],0)),INDEX(Table3[[#All],[Age]],MATCH(Table5[[#This Row],[PID]],Table3[[#All],[PID]],0)))</f>
        <v>21</v>
      </c>
      <c r="H375" s="52" t="str">
        <f>IF($C375="B",INDEX(Batters[[#All],[B]],MATCH(Table5[[#This Row],[PID]],Batters[[#All],[PID]],0)),INDEX(Table3[[#All],[B]],MATCH(Table5[[#This Row],[PID]],Table3[[#All],[PID]],0)))</f>
        <v>L</v>
      </c>
      <c r="I375" s="52" t="str">
        <f>IF($C375="B",INDEX(Batters[[#All],[T]],MATCH(Table5[[#This Row],[PID]],Batters[[#All],[PID]],0)),INDEX(Table3[[#All],[T]],MATCH(Table5[[#This Row],[PID]],Table3[[#All],[PID]],0)))</f>
        <v>L</v>
      </c>
      <c r="J375" s="71" t="str">
        <f>IF($C375="B",INDEX(Batters[[#All],[WE]],MATCH(Table5[[#This Row],[PID]],Batters[[#All],[PID]],0)),INDEX(Table3[[#All],[WE]],MATCH(Table5[[#This Row],[PID]],Table3[[#All],[PID]],0)))</f>
        <v>High</v>
      </c>
      <c r="K375" s="52" t="str">
        <f>IF($C375="B",INDEX(Batters[[#All],[INT]],MATCH(Table5[[#This Row],[PID]],Batters[[#All],[PID]],0)),INDEX(Table3[[#All],[INT]],MATCH(Table5[[#This Row],[PID]],Table3[[#All],[PID]],0)))</f>
        <v>Normal</v>
      </c>
      <c r="L375" s="60">
        <f>IF($C375="B",INDEX(Batters[[#All],[CON P]],MATCH(Table5[[#This Row],[PID]],Batters[[#All],[PID]],0)),INDEX(Table3[[#All],[STU P]],MATCH(Table5[[#This Row],[PID]],Table3[[#All],[PID]],0)))</f>
        <v>5</v>
      </c>
      <c r="M375" s="72">
        <f>IF($C375="B",INDEX(Batters[[#All],[GAP P]],MATCH(Table5[[#This Row],[PID]],Batters[[#All],[PID]],0)),INDEX(Table3[[#All],[MOV P]],MATCH(Table5[[#This Row],[PID]],Table3[[#All],[PID]],0)))</f>
        <v>2</v>
      </c>
      <c r="N375" s="72">
        <f>IF($C375="B",INDEX(Batters[[#All],[POW P]],MATCH(Table5[[#This Row],[PID]],Batters[[#All],[PID]],0)),INDEX(Table3[[#All],[CON P]],MATCH(Table5[[#This Row],[PID]],Table3[[#All],[PID]],0)))</f>
        <v>4</v>
      </c>
      <c r="O375" s="72" t="str">
        <f>IF($C375="B",INDEX(Batters[[#All],[EYE P]],MATCH(Table5[[#This Row],[PID]],Batters[[#All],[PID]],0)),INDEX(Table3[[#All],[VELO]],MATCH(Table5[[#This Row],[PID]],Table3[[#All],[PID]],0)))</f>
        <v>87-89 Mph</v>
      </c>
      <c r="P375" s="56">
        <f>IF($C375="B",INDEX(Batters[[#All],[K P]],MATCH(Table5[[#This Row],[PID]],Batters[[#All],[PID]],0)),INDEX(Table3[[#All],[STM]],MATCH(Table5[[#This Row],[PID]],Table3[[#All],[PID]],0)))</f>
        <v>6</v>
      </c>
      <c r="Q375" s="61">
        <f>IF($C375="B",INDEX(Batters[[#All],[Tot]],MATCH(Table5[[#This Row],[PID]],Batters[[#All],[PID]],0)),INDEX(Table3[[#All],[Tot]],MATCH(Table5[[#This Row],[PID]],Table3[[#All],[PID]],0)))</f>
        <v>41.553556801272215</v>
      </c>
      <c r="R375" s="52">
        <f>IF($C375="B",INDEX(Batters[[#All],[zScore]],MATCH(Table5[[#This Row],[PID]],Batters[[#All],[PID]],0)),INDEX(Table3[[#All],[zScore]],MATCH(Table5[[#This Row],[PID]],Table3[[#All],[PID]],0)))</f>
        <v>0.37808335205823923</v>
      </c>
      <c r="S375" s="78" t="str">
        <f>IF($C375="B",INDEX(Batters[[#All],[DEM]],MATCH(Table5[[#This Row],[PID]],Batters[[#All],[PID]],0)),INDEX(Table3[[#All],[DEM]],MATCH(Table5[[#This Row],[PID]],Table3[[#All],[PID]],0)))</f>
        <v>-</v>
      </c>
      <c r="T375" s="75">
        <f>IF($C375="B",INDEX(Batters[[#All],[Rnk]],MATCH(Table5[[#This Row],[PID]],Batters[[#All],[PID]],0)),INDEX(Table3[[#All],[Rnk]],MATCH(Table5[[#This Row],[PID]],Table3[[#All],[PID]],0)))</f>
        <v>230</v>
      </c>
      <c r="U375" s="68">
        <f>IF($C375="B",VLOOKUP($A375,Bat!$A$4:$BA$1621,47,FALSE),VLOOKUP($A375,Pit!$A$4:$BF$1557,56,FALSE))</f>
        <v>0</v>
      </c>
      <c r="V375" s="50">
        <f>IF($C375="B",VLOOKUP($A375,Bat!$A$4:$BA$1621,48,FALSE),VLOOKUP($A375,Pit!$A$4:$BF$1557,57,FALSE))</f>
        <v>0</v>
      </c>
      <c r="W375" s="69">
        <f>Table5[[#This Row],[posRnk]]+Table5[[#This Row],[zRnk]]+IF($W$3&lt;&gt;Table5[[#This Row],[Type]],50,0)</f>
        <v>673</v>
      </c>
      <c r="X375" s="73">
        <f>RANK(Table5[[#This Row],[zScore]],Table5[[#All],[zScore]])</f>
        <v>393</v>
      </c>
      <c r="Y375" s="69">
        <f>IFERROR(INDEX(DraftResults[[#All],[OVR]],MATCH(Table5[[#This Row],[PID]],DraftResults[[#All],[Player ID]],0)),"")</f>
        <v>371</v>
      </c>
      <c r="Z37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5" s="69">
        <f>IFERROR(INDEX(DraftResults[[#All],[Pick in Round]],MATCH(Table5[[#This Row],[PID]],DraftResults[[#All],[Player ID]],0)),"")</f>
        <v>3</v>
      </c>
      <c r="AB375" s="69" t="str">
        <f>IFERROR(INDEX(DraftResults[[#All],[Team Name]],MATCH(Table5[[#This Row],[PID]],DraftResults[[#All],[Player ID]],0)),"")</f>
        <v>New Orleans Trendsetters</v>
      </c>
      <c r="AC375" s="69">
        <f>IF(Table5[[#This Row],[Ovr]]="","",IF(Table5[[#This Row],[cmbList]]="","",Table5[[#This Row],[cmbList]]-Table5[[#This Row],[Ovr]]))</f>
        <v>302</v>
      </c>
      <c r="AD375" s="77" t="str">
        <f>IF(ISERROR(VLOOKUP($AB375&amp;"-"&amp;$E375&amp;" "&amp;F375,Bonuses!$B$1:$G$1006,4,FALSE)),"",INT(VLOOKUP($AB375&amp;"-"&amp;$E375&amp;" "&amp;$F375,Bonuses!$B$1:$G$1006,4,FALSE)))</f>
        <v/>
      </c>
      <c r="AE37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13.3 (371) - SP Hideyoshi Kouno</v>
      </c>
    </row>
    <row r="376" spans="1:31" s="50" customFormat="1" x14ac:dyDescent="0.25">
      <c r="A376" s="50">
        <v>18448</v>
      </c>
      <c r="B376" s="50">
        <f>COUNTIF(Table5[PID],A376)</f>
        <v>1</v>
      </c>
      <c r="C376" s="50" t="str">
        <f>IF(COUNTIF(Table3[[#All],[PID]],A376)&gt;0,"P","B")</f>
        <v>P</v>
      </c>
      <c r="D376" s="59" t="str">
        <f>IF($C376="B",INDEX(Batters[[#All],[POS]],MATCH(Table5[[#This Row],[PID]],Batters[[#All],[PID]],0)),INDEX(Table3[[#All],[POS]],MATCH(Table5[[#This Row],[PID]],Table3[[#All],[PID]],0)))</f>
        <v>RP</v>
      </c>
      <c r="E376" s="52" t="str">
        <f>IF($C376="B",INDEX(Batters[[#All],[First]],MATCH(Table5[[#This Row],[PID]],Batters[[#All],[PID]],0)),INDEX(Table3[[#All],[First]],MATCH(Table5[[#This Row],[PID]],Table3[[#All],[PID]],0)))</f>
        <v>Adam</v>
      </c>
      <c r="F376" s="50" t="str">
        <f>IF($C376="B",INDEX(Batters[[#All],[Last]],MATCH(A376,Batters[[#All],[PID]],0)),INDEX(Table3[[#All],[Last]],MATCH(A376,Table3[[#All],[PID]],0)))</f>
        <v>Opie</v>
      </c>
      <c r="G376" s="56">
        <f>IF($C376="B",INDEX(Batters[[#All],[Age]],MATCH(Table5[[#This Row],[PID]],Batters[[#All],[PID]],0)),INDEX(Table3[[#All],[Age]],MATCH(Table5[[#This Row],[PID]],Table3[[#All],[PID]],0)))</f>
        <v>18</v>
      </c>
      <c r="H376" s="52" t="str">
        <f>IF($C376="B",INDEX(Batters[[#All],[B]],MATCH(Table5[[#This Row],[PID]],Batters[[#All],[PID]],0)),INDEX(Table3[[#All],[B]],MATCH(Table5[[#This Row],[PID]],Table3[[#All],[PID]],0)))</f>
        <v>R</v>
      </c>
      <c r="I376" s="52" t="str">
        <f>IF($C376="B",INDEX(Batters[[#All],[T]],MATCH(Table5[[#This Row],[PID]],Batters[[#All],[PID]],0)),INDEX(Table3[[#All],[T]],MATCH(Table5[[#This Row],[PID]],Table3[[#All],[PID]],0)))</f>
        <v>R</v>
      </c>
      <c r="J376" s="52" t="str">
        <f>IF($C376="B",INDEX(Batters[[#All],[WE]],MATCH(Table5[[#This Row],[PID]],Batters[[#All],[PID]],0)),INDEX(Table3[[#All],[WE]],MATCH(Table5[[#This Row],[PID]],Table3[[#All],[PID]],0)))</f>
        <v>Normal</v>
      </c>
      <c r="K376" s="52" t="str">
        <f>IF($C376="B",INDEX(Batters[[#All],[INT]],MATCH(Table5[[#This Row],[PID]],Batters[[#All],[PID]],0)),INDEX(Table3[[#All],[INT]],MATCH(Table5[[#This Row],[PID]],Table3[[#All],[PID]],0)))</f>
        <v>Normal</v>
      </c>
      <c r="L376" s="60">
        <f>IF($C376="B",INDEX(Batters[[#All],[CON P]],MATCH(Table5[[#This Row],[PID]],Batters[[#All],[PID]],0)),INDEX(Table3[[#All],[STU P]],MATCH(Table5[[#This Row],[PID]],Table3[[#All],[PID]],0)))</f>
        <v>5</v>
      </c>
      <c r="M376" s="56">
        <f>IF($C376="B",INDEX(Batters[[#All],[GAP P]],MATCH(Table5[[#This Row],[PID]],Batters[[#All],[PID]],0)),INDEX(Table3[[#All],[MOV P]],MATCH(Table5[[#This Row],[PID]],Table3[[#All],[PID]],0)))</f>
        <v>5</v>
      </c>
      <c r="N376" s="56">
        <f>IF($C376="B",INDEX(Batters[[#All],[POW P]],MATCH(Table5[[#This Row],[PID]],Batters[[#All],[PID]],0)),INDEX(Table3[[#All],[CON P]],MATCH(Table5[[#This Row],[PID]],Table3[[#All],[PID]],0)))</f>
        <v>3</v>
      </c>
      <c r="O376" s="56" t="str">
        <f>IF($C376="B",INDEX(Batters[[#All],[EYE P]],MATCH(Table5[[#This Row],[PID]],Batters[[#All],[PID]],0)),INDEX(Table3[[#All],[VELO]],MATCH(Table5[[#This Row],[PID]],Table3[[#All],[PID]],0)))</f>
        <v>89-91 Mph</v>
      </c>
      <c r="P376" s="56">
        <f>IF($C376="B",INDEX(Batters[[#All],[K P]],MATCH(Table5[[#This Row],[PID]],Batters[[#All],[PID]],0)),INDEX(Table3[[#All],[STM]],MATCH(Table5[[#This Row],[PID]],Table3[[#All],[PID]],0)))</f>
        <v>10</v>
      </c>
      <c r="Q376" s="61">
        <f>IF($C376="B",INDEX(Batters[[#All],[Tot]],MATCH(Table5[[#This Row],[PID]],Batters[[#All],[PID]],0)),INDEX(Table3[[#All],[Tot]],MATCH(Table5[[#This Row],[PID]],Table3[[#All],[PID]],0)))</f>
        <v>42.658154389783363</v>
      </c>
      <c r="R376" s="52">
        <f>IF($C376="B",INDEX(Batters[[#All],[zScore]],MATCH(Table5[[#This Row],[PID]],Batters[[#All],[PID]],0)),INDEX(Table3[[#All],[zScore]],MATCH(Table5[[#This Row],[PID]],Table3[[#All],[PID]],0)))</f>
        <v>0.45157054167654387</v>
      </c>
      <c r="S376" s="58" t="str">
        <f>IF($C376="B",INDEX(Batters[[#All],[DEM]],MATCH(Table5[[#This Row],[PID]],Batters[[#All],[PID]],0)),INDEX(Table3[[#All],[DEM]],MATCH(Table5[[#This Row],[PID]],Table3[[#All],[PID]],0)))</f>
        <v>$65k</v>
      </c>
      <c r="T376" s="62">
        <f>IF($C376="B",INDEX(Batters[[#All],[Rnk]],MATCH(Table5[[#This Row],[PID]],Batters[[#All],[PID]],0)),INDEX(Table3[[#All],[Rnk]],MATCH(Table5[[#This Row],[PID]],Table3[[#All],[PID]],0)))</f>
        <v>222</v>
      </c>
      <c r="U376" s="68">
        <f>IF($C376="B",VLOOKUP($A376,Bat!$A$4:$BA$1621,47,FALSE),VLOOKUP($A376,Pit!$A$4:$BF$1557,56,FALSE))</f>
        <v>0</v>
      </c>
      <c r="V376" s="50">
        <f>IF($C376="B",VLOOKUP($A376,Bat!$A$4:$BA$1621,48,FALSE),VLOOKUP($A376,Pit!$A$4:$BF$1557,57,FALSE))</f>
        <v>0</v>
      </c>
      <c r="W376" s="50">
        <f>Table5[[#This Row],[posRnk]]+Table5[[#This Row],[zRnk]]+IF($W$3&lt;&gt;Table5[[#This Row],[Type]],50,0)</f>
        <v>651</v>
      </c>
      <c r="X376" s="51">
        <f>RANK(Table5[[#This Row],[zScore]],Table5[[#All],[zScore]])</f>
        <v>379</v>
      </c>
      <c r="Y376" s="50">
        <f>IFERROR(INDEX(DraftResults[[#All],[OVR]],MATCH(Table5[[#This Row],[PID]],DraftResults[[#All],[Player ID]],0)),"")</f>
        <v>372</v>
      </c>
      <c r="Z3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6" s="50">
        <f>IFERROR(INDEX(DraftResults[[#All],[Pick in Round]],MATCH(Table5[[#This Row],[PID]],DraftResults[[#All],[Player ID]],0)),"")</f>
        <v>4</v>
      </c>
      <c r="AB376" s="50" t="str">
        <f>IFERROR(INDEX(DraftResults[[#All],[Team Name]],MATCH(Table5[[#This Row],[PID]],DraftResults[[#All],[Player ID]],0)),"")</f>
        <v>Tempe Knights</v>
      </c>
      <c r="AC376" s="50">
        <f>IF(Table5[[#This Row],[Ovr]]="","",IF(Table5[[#This Row],[cmbList]]="","",Table5[[#This Row],[cmbList]]-Table5[[#This Row],[Ovr]]))</f>
        <v>279</v>
      </c>
      <c r="AD376" s="54" t="str">
        <f>IF(ISERROR(VLOOKUP($AB376&amp;"-"&amp;$E376&amp;" "&amp;F376,Bonuses!$B$1:$G$1006,4,FALSE)),"",INT(VLOOKUP($AB376&amp;"-"&amp;$E376&amp;" "&amp;$F376,Bonuses!$B$1:$G$1006,4,FALSE)))</f>
        <v/>
      </c>
      <c r="AE3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13.4 (372) - RP Adam Opie</v>
      </c>
    </row>
    <row r="377" spans="1:31" s="50" customFormat="1" x14ac:dyDescent="0.25">
      <c r="A377" s="68">
        <v>18272</v>
      </c>
      <c r="B377" s="69">
        <f>COUNTIF(Table5[PID],A377)</f>
        <v>1</v>
      </c>
      <c r="C377" s="69" t="str">
        <f>IF(COUNTIF(Table3[[#All],[PID]],A377)&gt;0,"P","B")</f>
        <v>P</v>
      </c>
      <c r="D377" s="59" t="str">
        <f>IF($C377="B",INDEX(Batters[[#All],[POS]],MATCH(Table5[[#This Row],[PID]],Batters[[#All],[PID]],0)),INDEX(Table3[[#All],[POS]],MATCH(Table5[[#This Row],[PID]],Table3[[#All],[PID]],0)))</f>
        <v>SP</v>
      </c>
      <c r="E377" s="52" t="str">
        <f>IF($C377="B",INDEX(Batters[[#All],[First]],MATCH(Table5[[#This Row],[PID]],Batters[[#All],[PID]],0)),INDEX(Table3[[#All],[First]],MATCH(Table5[[#This Row],[PID]],Table3[[#All],[PID]],0)))</f>
        <v>Ramón</v>
      </c>
      <c r="F377" s="55" t="str">
        <f>IF($C377="B",INDEX(Batters[[#All],[Last]],MATCH(A377,Batters[[#All],[PID]],0)),INDEX(Table3[[#All],[Last]],MATCH(A377,Table3[[#All],[PID]],0)))</f>
        <v>Noriega</v>
      </c>
      <c r="G377" s="56">
        <f>IF($C377="B",INDEX(Batters[[#All],[Age]],MATCH(Table5[[#This Row],[PID]],Batters[[#All],[PID]],0)),INDEX(Table3[[#All],[Age]],MATCH(Table5[[#This Row],[PID]],Table3[[#All],[PID]],0)))</f>
        <v>18</v>
      </c>
      <c r="H377" s="52" t="str">
        <f>IF($C377="B",INDEX(Batters[[#All],[B]],MATCH(Table5[[#This Row],[PID]],Batters[[#All],[PID]],0)),INDEX(Table3[[#All],[B]],MATCH(Table5[[#This Row],[PID]],Table3[[#All],[PID]],0)))</f>
        <v>L</v>
      </c>
      <c r="I377" s="52" t="str">
        <f>IF($C377="B",INDEX(Batters[[#All],[T]],MATCH(Table5[[#This Row],[PID]],Batters[[#All],[PID]],0)),INDEX(Table3[[#All],[T]],MATCH(Table5[[#This Row],[PID]],Table3[[#All],[PID]],0)))</f>
        <v>R</v>
      </c>
      <c r="J377" s="71" t="str">
        <f>IF($C377="B",INDEX(Batters[[#All],[WE]],MATCH(Table5[[#This Row],[PID]],Batters[[#All],[PID]],0)),INDEX(Table3[[#All],[WE]],MATCH(Table5[[#This Row],[PID]],Table3[[#All],[PID]],0)))</f>
        <v>Normal</v>
      </c>
      <c r="K377" s="52" t="str">
        <f>IF($C377="B",INDEX(Batters[[#All],[INT]],MATCH(Table5[[#This Row],[PID]],Batters[[#All],[PID]],0)),INDEX(Table3[[#All],[INT]],MATCH(Table5[[#This Row],[PID]],Table3[[#All],[PID]],0)))</f>
        <v>Normal</v>
      </c>
      <c r="L377" s="60">
        <f>IF($C377="B",INDEX(Batters[[#All],[CON P]],MATCH(Table5[[#This Row],[PID]],Batters[[#All],[PID]],0)),INDEX(Table3[[#All],[STU P]],MATCH(Table5[[#This Row],[PID]],Table3[[#All],[PID]],0)))</f>
        <v>5</v>
      </c>
      <c r="M377" s="72">
        <f>IF($C377="B",INDEX(Batters[[#All],[GAP P]],MATCH(Table5[[#This Row],[PID]],Batters[[#All],[PID]],0)),INDEX(Table3[[#All],[MOV P]],MATCH(Table5[[#This Row],[PID]],Table3[[#All],[PID]],0)))</f>
        <v>5</v>
      </c>
      <c r="N377" s="72">
        <f>IF($C377="B",INDEX(Batters[[#All],[POW P]],MATCH(Table5[[#This Row],[PID]],Batters[[#All],[PID]],0)),INDEX(Table3[[#All],[CON P]],MATCH(Table5[[#This Row],[PID]],Table3[[#All],[PID]],0)))</f>
        <v>4</v>
      </c>
      <c r="O377" s="72" t="str">
        <f>IF($C377="B",INDEX(Batters[[#All],[EYE P]],MATCH(Table5[[#This Row],[PID]],Batters[[#All],[PID]],0)),INDEX(Table3[[#All],[VELO]],MATCH(Table5[[#This Row],[PID]],Table3[[#All],[PID]],0)))</f>
        <v>93-95 Mph</v>
      </c>
      <c r="P377" s="56">
        <f>IF($C377="B",INDEX(Batters[[#All],[K P]],MATCH(Table5[[#This Row],[PID]],Batters[[#All],[PID]],0)),INDEX(Table3[[#All],[STM]],MATCH(Table5[[#This Row],[PID]],Table3[[#All],[PID]],0)))</f>
        <v>7</v>
      </c>
      <c r="Q377" s="61">
        <f>IF($C377="B",INDEX(Batters[[#All],[Tot]],MATCH(Table5[[#This Row],[PID]],Batters[[#All],[PID]],0)),INDEX(Table3[[#All],[Tot]],MATCH(Table5[[#This Row],[PID]],Table3[[#All],[PID]],0)))</f>
        <v>57.914940635727952</v>
      </c>
      <c r="R377" s="52">
        <f>IF($C377="B",INDEX(Batters[[#All],[zScore]],MATCH(Table5[[#This Row],[PID]],Batters[[#All],[PID]],0)),INDEX(Table3[[#All],[zScore]],MATCH(Table5[[#This Row],[PID]],Table3[[#All],[PID]],0)))</f>
        <v>1.4665812165892724</v>
      </c>
      <c r="S377" s="78" t="str">
        <f>IF($C377="B",INDEX(Batters[[#All],[DEM]],MATCH(Table5[[#This Row],[PID]],Batters[[#All],[PID]],0)),INDEX(Table3[[#All],[DEM]],MATCH(Table5[[#This Row],[PID]],Table3[[#All],[PID]],0)))</f>
        <v>$800k</v>
      </c>
      <c r="T377" s="75">
        <f>IF($C377="B",INDEX(Batters[[#All],[Rnk]],MATCH(Table5[[#This Row],[PID]],Batters[[#All],[PID]],0)),INDEX(Table3[[#All],[Rnk]],MATCH(Table5[[#This Row],[PID]],Table3[[#All],[PID]],0)))</f>
        <v>77</v>
      </c>
      <c r="U377" s="68">
        <f>IF($C377="B",VLOOKUP($A377,Bat!$A$4:$BA$1621,47,FALSE),VLOOKUP($A377,Pit!$A$4:$BF$1557,56,FALSE))</f>
        <v>0</v>
      </c>
      <c r="V377" s="50">
        <f>IF($C377="B",VLOOKUP($A377,Bat!$A$4:$BA$1621,48,FALSE),VLOOKUP($A377,Pit!$A$4:$BF$1557,57,FALSE))</f>
        <v>0</v>
      </c>
      <c r="W377" s="69">
        <f>Table5[[#This Row],[posRnk]]+Table5[[#This Row],[zRnk]]+IF($W$3&lt;&gt;Table5[[#This Row],[Type]],50,0)</f>
        <v>252</v>
      </c>
      <c r="X377" s="73">
        <f>RANK(Table5[[#This Row],[zScore]],Table5[[#All],[zScore]])</f>
        <v>125</v>
      </c>
      <c r="Y377" s="69">
        <f>IFERROR(INDEX(DraftResults[[#All],[OVR]],MATCH(Table5[[#This Row],[PID]],DraftResults[[#All],[Player ID]],0)),"")</f>
        <v>373</v>
      </c>
      <c r="Z37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7" s="69">
        <f>IFERROR(INDEX(DraftResults[[#All],[Pick in Round]],MATCH(Table5[[#This Row],[PID]],DraftResults[[#All],[Player ID]],0)),"")</f>
        <v>5</v>
      </c>
      <c r="AB377" s="69" t="str">
        <f>IFERROR(INDEX(DraftResults[[#All],[Team Name]],MATCH(Table5[[#This Row],[PID]],DraftResults[[#All],[Player ID]],0)),"")</f>
        <v>Okinawa Shisa</v>
      </c>
      <c r="AC377" s="69">
        <f>IF(Table5[[#This Row],[Ovr]]="","",IF(Table5[[#This Row],[cmbList]]="","",Table5[[#This Row],[cmbList]]-Table5[[#This Row],[Ovr]]))</f>
        <v>-121</v>
      </c>
      <c r="AD377" s="77" t="str">
        <f>IF(ISERROR(VLOOKUP($AB377&amp;"-"&amp;$E377&amp;" "&amp;F377,Bonuses!$B$1:$G$1006,4,FALSE)),"",INT(VLOOKUP($AB377&amp;"-"&amp;$E377&amp;" "&amp;$F377,Bonuses!$B$1:$G$1006,4,FALSE)))</f>
        <v/>
      </c>
      <c r="AE37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13.5 (373) - SP Ramón Noriega</v>
      </c>
    </row>
    <row r="378" spans="1:31" s="50" customFormat="1" x14ac:dyDescent="0.25">
      <c r="A378" s="50">
        <v>18426</v>
      </c>
      <c r="B378" s="50">
        <f>COUNTIF(Table5[PID],A378)</f>
        <v>1</v>
      </c>
      <c r="C378" s="50" t="str">
        <f>IF(COUNTIF(Table3[[#All],[PID]],A378)&gt;0,"P","B")</f>
        <v>B</v>
      </c>
      <c r="D378" s="59" t="str">
        <f>IF($C378="B",INDEX(Batters[[#All],[POS]],MATCH(Table5[[#This Row],[PID]],Batters[[#All],[PID]],0)),INDEX(Table3[[#All],[POS]],MATCH(Table5[[#This Row],[PID]],Table3[[#All],[PID]],0)))</f>
        <v>LF</v>
      </c>
      <c r="E378" s="52" t="str">
        <f>IF($C378="B",INDEX(Batters[[#All],[First]],MATCH(Table5[[#This Row],[PID]],Batters[[#All],[PID]],0)),INDEX(Table3[[#All],[First]],MATCH(Table5[[#This Row],[PID]],Table3[[#All],[PID]],0)))</f>
        <v>Quinn</v>
      </c>
      <c r="F378" s="50" t="str">
        <f>IF($C378="B",INDEX(Batters[[#All],[Last]],MATCH(A378,Batters[[#All],[PID]],0)),INDEX(Table3[[#All],[Last]],MATCH(A378,Table3[[#All],[PID]],0)))</f>
        <v>Weegerink</v>
      </c>
      <c r="G378" s="56">
        <f>IF($C378="B",INDEX(Batters[[#All],[Age]],MATCH(Table5[[#This Row],[PID]],Batters[[#All],[PID]],0)),INDEX(Table3[[#All],[Age]],MATCH(Table5[[#This Row],[PID]],Table3[[#All],[PID]],0)))</f>
        <v>18</v>
      </c>
      <c r="H378" s="52" t="str">
        <f>IF($C378="B",INDEX(Batters[[#All],[B]],MATCH(Table5[[#This Row],[PID]],Batters[[#All],[PID]],0)),INDEX(Table3[[#All],[B]],MATCH(Table5[[#This Row],[PID]],Table3[[#All],[PID]],0)))</f>
        <v>L</v>
      </c>
      <c r="I378" s="52" t="str">
        <f>IF($C378="B",INDEX(Batters[[#All],[T]],MATCH(Table5[[#This Row],[PID]],Batters[[#All],[PID]],0)),INDEX(Table3[[#All],[T]],MATCH(Table5[[#This Row],[PID]],Table3[[#All],[PID]],0)))</f>
        <v>L</v>
      </c>
      <c r="J378" s="52" t="str">
        <f>IF($C378="B",INDEX(Batters[[#All],[WE]],MATCH(Table5[[#This Row],[PID]],Batters[[#All],[PID]],0)),INDEX(Table3[[#All],[WE]],MATCH(Table5[[#This Row],[PID]],Table3[[#All],[PID]],0)))</f>
        <v>Normal</v>
      </c>
      <c r="K378" s="52" t="str">
        <f>IF($C378="B",INDEX(Batters[[#All],[INT]],MATCH(Table5[[#This Row],[PID]],Batters[[#All],[PID]],0)),INDEX(Table3[[#All],[INT]],MATCH(Table5[[#This Row],[PID]],Table3[[#All],[PID]],0)))</f>
        <v>Normal</v>
      </c>
      <c r="L378" s="60">
        <f>IF($C378="B",INDEX(Batters[[#All],[CON P]],MATCH(Table5[[#This Row],[PID]],Batters[[#All],[PID]],0)),INDEX(Table3[[#All],[STU P]],MATCH(Table5[[#This Row],[PID]],Table3[[#All],[PID]],0)))</f>
        <v>4</v>
      </c>
      <c r="M378" s="56">
        <f>IF($C378="B",INDEX(Batters[[#All],[GAP P]],MATCH(Table5[[#This Row],[PID]],Batters[[#All],[PID]],0)),INDEX(Table3[[#All],[MOV P]],MATCH(Table5[[#This Row],[PID]],Table3[[#All],[PID]],0)))</f>
        <v>4</v>
      </c>
      <c r="N378" s="56">
        <f>IF($C378="B",INDEX(Batters[[#All],[POW P]],MATCH(Table5[[#This Row],[PID]],Batters[[#All],[PID]],0)),INDEX(Table3[[#All],[CON P]],MATCH(Table5[[#This Row],[PID]],Table3[[#All],[PID]],0)))</f>
        <v>5</v>
      </c>
      <c r="O378" s="56">
        <f>IF($C378="B",INDEX(Batters[[#All],[EYE P]],MATCH(Table5[[#This Row],[PID]],Batters[[#All],[PID]],0)),INDEX(Table3[[#All],[VELO]],MATCH(Table5[[#This Row],[PID]],Table3[[#All],[PID]],0)))</f>
        <v>4</v>
      </c>
      <c r="P378" s="56">
        <f>IF($C378="B",INDEX(Batters[[#All],[K P]],MATCH(Table5[[#This Row],[PID]],Batters[[#All],[PID]],0)),INDEX(Table3[[#All],[STM]],MATCH(Table5[[#This Row],[PID]],Table3[[#All],[PID]],0)))</f>
        <v>4</v>
      </c>
      <c r="Q378" s="61">
        <f>IF($C378="B",INDEX(Batters[[#All],[Tot]],MATCH(Table5[[#This Row],[PID]],Batters[[#All],[PID]],0)),INDEX(Table3[[#All],[Tot]],MATCH(Table5[[#This Row],[PID]],Table3[[#All],[PID]],0)))</f>
        <v>46.917384225330792</v>
      </c>
      <c r="R378" s="52">
        <f>IF($C378="B",INDEX(Batters[[#All],[zScore]],MATCH(Table5[[#This Row],[PID]],Batters[[#All],[PID]],0)),INDEX(Table3[[#All],[zScore]],MATCH(Table5[[#This Row],[PID]],Table3[[#All],[PID]],0)))</f>
        <v>0.61755187432708081</v>
      </c>
      <c r="S378" s="58" t="str">
        <f>IF($C378="B",INDEX(Batters[[#All],[DEM]],MATCH(Table5[[#This Row],[PID]],Batters[[#All],[PID]],0)),INDEX(Table3[[#All],[DEM]],MATCH(Table5[[#This Row],[PID]],Table3[[#All],[PID]],0)))</f>
        <v>$75k</v>
      </c>
      <c r="T378" s="62">
        <f>IF($C378="B",INDEX(Batters[[#All],[Rnk]],MATCH(Table5[[#This Row],[PID]],Batters[[#All],[PID]],0)),INDEX(Table3[[#All],[Rnk]],MATCH(Table5[[#This Row],[PID]],Table3[[#All],[PID]],0)))</f>
        <v>133</v>
      </c>
      <c r="U378" s="68">
        <f>IF($C378="B",VLOOKUP($A378,Bat!$A$4:$BA$1621,47,FALSE),VLOOKUP($A378,Pit!$A$4:$BF$1557,56,FALSE))</f>
        <v>0</v>
      </c>
      <c r="V378" s="50">
        <f>IF($C378="B",VLOOKUP($A378,Bat!$A$4:$BA$1621,48,FALSE),VLOOKUP($A378,Pit!$A$4:$BF$1557,57,FALSE))</f>
        <v>0</v>
      </c>
      <c r="W378" s="50">
        <f>Table5[[#This Row],[posRnk]]+Table5[[#This Row],[zRnk]]+IF($W$3&lt;&gt;Table5[[#This Row],[Type]],50,0)</f>
        <v>512</v>
      </c>
      <c r="X378" s="51">
        <f>RANK(Table5[[#This Row],[zScore]],Table5[[#All],[zScore]])</f>
        <v>329</v>
      </c>
      <c r="Y378" s="50">
        <f>IFERROR(INDEX(DraftResults[[#All],[OVR]],MATCH(Table5[[#This Row],[PID]],DraftResults[[#All],[Player ID]],0)),"")</f>
        <v>374</v>
      </c>
      <c r="Z3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8" s="50">
        <f>IFERROR(INDEX(DraftResults[[#All],[Pick in Round]],MATCH(Table5[[#This Row],[PID]],DraftResults[[#All],[Player ID]],0)),"")</f>
        <v>6</v>
      </c>
      <c r="AB378" s="50" t="str">
        <f>IFERROR(INDEX(DraftResults[[#All],[Team Name]],MATCH(Table5[[#This Row],[PID]],DraftResults[[#All],[Player ID]],0)),"")</f>
        <v>Manchester Maulers</v>
      </c>
      <c r="AC378" s="50">
        <f>IF(Table5[[#This Row],[Ovr]]="","",IF(Table5[[#This Row],[cmbList]]="","",Table5[[#This Row],[cmbList]]-Table5[[#This Row],[Ovr]]))</f>
        <v>138</v>
      </c>
      <c r="AD378" s="54" t="str">
        <f>IF(ISERROR(VLOOKUP($AB378&amp;"-"&amp;$E378&amp;" "&amp;F378,Bonuses!$B$1:$G$1006,4,FALSE)),"",INT(VLOOKUP($AB378&amp;"-"&amp;$E378&amp;" "&amp;$F378,Bonuses!$B$1:$G$1006,4,FALSE)))</f>
        <v/>
      </c>
      <c r="AE3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13.6 (374) - LF Quinn Weegerink</v>
      </c>
    </row>
    <row r="379" spans="1:31" s="50" customFormat="1" x14ac:dyDescent="0.25">
      <c r="A379" s="50">
        <v>20363</v>
      </c>
      <c r="B379" s="50">
        <f>COUNTIF(Table5[PID],A379)</f>
        <v>1</v>
      </c>
      <c r="C379" s="50" t="str">
        <f>IF(COUNTIF(Table3[[#All],[PID]],A379)&gt;0,"P","B")</f>
        <v>B</v>
      </c>
      <c r="D379" s="59" t="str">
        <f>IF($C379="B",INDEX(Batters[[#All],[POS]],MATCH(Table5[[#This Row],[PID]],Batters[[#All],[PID]],0)),INDEX(Table3[[#All],[POS]],MATCH(Table5[[#This Row],[PID]],Table3[[#All],[PID]],0)))</f>
        <v>C</v>
      </c>
      <c r="E379" s="52" t="str">
        <f>IF($C379="B",INDEX(Batters[[#All],[First]],MATCH(Table5[[#This Row],[PID]],Batters[[#All],[PID]],0)),INDEX(Table3[[#All],[First]],MATCH(Table5[[#This Row],[PID]],Table3[[#All],[PID]],0)))</f>
        <v>David</v>
      </c>
      <c r="F379" s="50" t="str">
        <f>IF($C379="B",INDEX(Batters[[#All],[Last]],MATCH(A379,Batters[[#All],[PID]],0)),INDEX(Table3[[#All],[Last]],MATCH(A379,Table3[[#All],[PID]],0)))</f>
        <v>Phillips</v>
      </c>
      <c r="G379" s="56">
        <f>IF($C379="B",INDEX(Batters[[#All],[Age]],MATCH(Table5[[#This Row],[PID]],Batters[[#All],[PID]],0)),INDEX(Table3[[#All],[Age]],MATCH(Table5[[#This Row],[PID]],Table3[[#All],[PID]],0)))</f>
        <v>17</v>
      </c>
      <c r="H379" s="52" t="str">
        <f>IF($C379="B",INDEX(Batters[[#All],[B]],MATCH(Table5[[#This Row],[PID]],Batters[[#All],[PID]],0)),INDEX(Table3[[#All],[B]],MATCH(Table5[[#This Row],[PID]],Table3[[#All],[PID]],0)))</f>
        <v>R</v>
      </c>
      <c r="I379" s="52" t="str">
        <f>IF($C379="B",INDEX(Batters[[#All],[T]],MATCH(Table5[[#This Row],[PID]],Batters[[#All],[PID]],0)),INDEX(Table3[[#All],[T]],MATCH(Table5[[#This Row],[PID]],Table3[[#All],[PID]],0)))</f>
        <v>R</v>
      </c>
      <c r="J379" s="52" t="str">
        <f>IF($C379="B",INDEX(Batters[[#All],[WE]],MATCH(Table5[[#This Row],[PID]],Batters[[#All],[PID]],0)),INDEX(Table3[[#All],[WE]],MATCH(Table5[[#This Row],[PID]],Table3[[#All],[PID]],0)))</f>
        <v>High</v>
      </c>
      <c r="K379" s="52" t="str">
        <f>IF($C379="B",INDEX(Batters[[#All],[INT]],MATCH(Table5[[#This Row],[PID]],Batters[[#All],[PID]],0)),INDEX(Table3[[#All],[INT]],MATCH(Table5[[#This Row],[PID]],Table3[[#All],[PID]],0)))</f>
        <v>High</v>
      </c>
      <c r="L379" s="60">
        <f>IF($C379="B",INDEX(Batters[[#All],[CON P]],MATCH(Table5[[#This Row],[PID]],Batters[[#All],[PID]],0)),INDEX(Table3[[#All],[STU P]],MATCH(Table5[[#This Row],[PID]],Table3[[#All],[PID]],0)))</f>
        <v>3</v>
      </c>
      <c r="M379" s="56">
        <f>IF($C379="B",INDEX(Batters[[#All],[GAP P]],MATCH(Table5[[#This Row],[PID]],Batters[[#All],[PID]],0)),INDEX(Table3[[#All],[MOV P]],MATCH(Table5[[#This Row],[PID]],Table3[[#All],[PID]],0)))</f>
        <v>4</v>
      </c>
      <c r="N379" s="56">
        <f>IF($C379="B",INDEX(Batters[[#All],[POW P]],MATCH(Table5[[#This Row],[PID]],Batters[[#All],[PID]],0)),INDEX(Table3[[#All],[CON P]],MATCH(Table5[[#This Row],[PID]],Table3[[#All],[PID]],0)))</f>
        <v>5</v>
      </c>
      <c r="O379" s="56">
        <f>IF($C379="B",INDEX(Batters[[#All],[EYE P]],MATCH(Table5[[#This Row],[PID]],Batters[[#All],[PID]],0)),INDEX(Table3[[#All],[VELO]],MATCH(Table5[[#This Row],[PID]],Table3[[#All],[PID]],0)))</f>
        <v>7</v>
      </c>
      <c r="P379" s="56">
        <f>IF($C379="B",INDEX(Batters[[#All],[K P]],MATCH(Table5[[#This Row],[PID]],Batters[[#All],[PID]],0)),INDEX(Table3[[#All],[STM]],MATCH(Table5[[#This Row],[PID]],Table3[[#All],[PID]],0)))</f>
        <v>4</v>
      </c>
      <c r="Q379" s="61">
        <f>IF($C379="B",INDEX(Batters[[#All],[Tot]],MATCH(Table5[[#This Row],[PID]],Batters[[#All],[PID]],0)),INDEX(Table3[[#All],[Tot]],MATCH(Table5[[#This Row],[PID]],Table3[[#All],[PID]],0)))</f>
        <v>46.885228946244581</v>
      </c>
      <c r="R379" s="52">
        <f>IF($C379="B",INDEX(Batters[[#All],[zScore]],MATCH(Table5[[#This Row],[PID]],Batters[[#All],[PID]],0)),INDEX(Table3[[#All],[zScore]],MATCH(Table5[[#This Row],[PID]],Table3[[#All],[PID]],0)))</f>
        <v>0.61042283160415267</v>
      </c>
      <c r="S379" s="58" t="str">
        <f>IF($C379="B",INDEX(Batters[[#All],[DEM]],MATCH(Table5[[#This Row],[PID]],Batters[[#All],[PID]],0)),INDEX(Table3[[#All],[DEM]],MATCH(Table5[[#This Row],[PID]],Table3[[#All],[PID]],0)))</f>
        <v>-</v>
      </c>
      <c r="T379" s="62">
        <f>IF($C379="B",INDEX(Batters[[#All],[Rnk]],MATCH(Table5[[#This Row],[PID]],Batters[[#All],[PID]],0)),INDEX(Table3[[#All],[Rnk]],MATCH(Table5[[#This Row],[PID]],Table3[[#All],[PID]],0)))</f>
        <v>135</v>
      </c>
      <c r="U379" s="68">
        <f>IF($C379="B",VLOOKUP($A379,Bat!$A$4:$BA$1621,47,FALSE),VLOOKUP($A379,Pit!$A$4:$BF$1557,56,FALSE))</f>
        <v>0</v>
      </c>
      <c r="V379" s="50">
        <f>IF($C379="B",VLOOKUP($A379,Bat!$A$4:$BA$1621,48,FALSE),VLOOKUP($A379,Pit!$A$4:$BF$1557,57,FALSE))</f>
        <v>0</v>
      </c>
      <c r="W379" s="50">
        <f>Table5[[#This Row],[posRnk]]+Table5[[#This Row],[zRnk]]+IF($W$3&lt;&gt;Table5[[#This Row],[Type]],50,0)</f>
        <v>519</v>
      </c>
      <c r="X379" s="51">
        <f>RANK(Table5[[#This Row],[zScore]],Table5[[#All],[zScore]])</f>
        <v>334</v>
      </c>
      <c r="Y379" s="50">
        <f>IFERROR(INDEX(DraftResults[[#All],[OVR]],MATCH(Table5[[#This Row],[PID]],DraftResults[[#All],[Player ID]],0)),"")</f>
        <v>375</v>
      </c>
      <c r="Z3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79" s="50">
        <f>IFERROR(INDEX(DraftResults[[#All],[Pick in Round]],MATCH(Table5[[#This Row],[PID]],DraftResults[[#All],[Player ID]],0)),"")</f>
        <v>7</v>
      </c>
      <c r="AB379" s="50" t="str">
        <f>IFERROR(INDEX(DraftResults[[#All],[Team Name]],MATCH(Table5[[#This Row],[PID]],DraftResults[[#All],[Player ID]],0)),"")</f>
        <v>Niihama-shi Ghosts</v>
      </c>
      <c r="AC379" s="50">
        <f>IF(Table5[[#This Row],[Ovr]]="","",IF(Table5[[#This Row],[cmbList]]="","",Table5[[#This Row],[cmbList]]-Table5[[#This Row],[Ovr]]))</f>
        <v>144</v>
      </c>
      <c r="AD379" s="54" t="str">
        <f>IF(ISERROR(VLOOKUP($AB379&amp;"-"&amp;$E379&amp;" "&amp;F379,Bonuses!$B$1:$G$1006,4,FALSE)),"",INT(VLOOKUP($AB379&amp;"-"&amp;$E379&amp;" "&amp;$F379,Bonuses!$B$1:$G$1006,4,FALSE)))</f>
        <v/>
      </c>
      <c r="AE3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13.7 (375) - C David Phillips</v>
      </c>
    </row>
    <row r="380" spans="1:31" s="50" customFormat="1" x14ac:dyDescent="0.25">
      <c r="A380" s="68">
        <v>18218</v>
      </c>
      <c r="B380" s="69">
        <f>COUNTIF(Table5[PID],A380)</f>
        <v>1</v>
      </c>
      <c r="C380" s="69" t="str">
        <f>IF(COUNTIF(Table3[[#All],[PID]],A380)&gt;0,"P","B")</f>
        <v>P</v>
      </c>
      <c r="D380" s="59" t="str">
        <f>IF($C380="B",INDEX(Batters[[#All],[POS]],MATCH(Table5[[#This Row],[PID]],Batters[[#All],[PID]],0)),INDEX(Table3[[#All],[POS]],MATCH(Table5[[#This Row],[PID]],Table3[[#All],[PID]],0)))</f>
        <v>SP</v>
      </c>
      <c r="E380" s="52" t="str">
        <f>IF($C380="B",INDEX(Batters[[#All],[First]],MATCH(Table5[[#This Row],[PID]],Batters[[#All],[PID]],0)),INDEX(Table3[[#All],[First]],MATCH(Table5[[#This Row],[PID]],Table3[[#All],[PID]],0)))</f>
        <v>Alonso</v>
      </c>
      <c r="F380" s="55" t="str">
        <f>IF($C380="B",INDEX(Batters[[#All],[Last]],MATCH(A380,Batters[[#All],[PID]],0)),INDEX(Table3[[#All],[Last]],MATCH(A380,Table3[[#All],[PID]],0)))</f>
        <v>Martínez</v>
      </c>
      <c r="G380" s="56">
        <f>IF($C380="B",INDEX(Batters[[#All],[Age]],MATCH(Table5[[#This Row],[PID]],Batters[[#All],[PID]],0)),INDEX(Table3[[#All],[Age]],MATCH(Table5[[#This Row],[PID]],Table3[[#All],[PID]],0)))</f>
        <v>18</v>
      </c>
      <c r="H380" s="52" t="str">
        <f>IF($C380="B",INDEX(Batters[[#All],[B]],MATCH(Table5[[#This Row],[PID]],Batters[[#All],[PID]],0)),INDEX(Table3[[#All],[B]],MATCH(Table5[[#This Row],[PID]],Table3[[#All],[PID]],0)))</f>
        <v>R</v>
      </c>
      <c r="I380" s="52" t="str">
        <f>IF($C380="B",INDEX(Batters[[#All],[T]],MATCH(Table5[[#This Row],[PID]],Batters[[#All],[PID]],0)),INDEX(Table3[[#All],[T]],MATCH(Table5[[#This Row],[PID]],Table3[[#All],[PID]],0)))</f>
        <v>R</v>
      </c>
      <c r="J380" s="71" t="str">
        <f>IF($C380="B",INDEX(Batters[[#All],[WE]],MATCH(Table5[[#This Row],[PID]],Batters[[#All],[PID]],0)),INDEX(Table3[[#All],[WE]],MATCH(Table5[[#This Row],[PID]],Table3[[#All],[PID]],0)))</f>
        <v>Normal</v>
      </c>
      <c r="K380" s="52" t="str">
        <f>IF($C380="B",INDEX(Batters[[#All],[INT]],MATCH(Table5[[#This Row],[PID]],Batters[[#All],[PID]],0)),INDEX(Table3[[#All],[INT]],MATCH(Table5[[#This Row],[PID]],Table3[[#All],[PID]],0)))</f>
        <v>Normal</v>
      </c>
      <c r="L380" s="60">
        <f>IF($C380="B",INDEX(Batters[[#All],[CON P]],MATCH(Table5[[#This Row],[PID]],Batters[[#All],[PID]],0)),INDEX(Table3[[#All],[STU P]],MATCH(Table5[[#This Row],[PID]],Table3[[#All],[PID]],0)))</f>
        <v>4</v>
      </c>
      <c r="M380" s="72">
        <f>IF($C380="B",INDEX(Batters[[#All],[GAP P]],MATCH(Table5[[#This Row],[PID]],Batters[[#All],[PID]],0)),INDEX(Table3[[#All],[MOV P]],MATCH(Table5[[#This Row],[PID]],Table3[[#All],[PID]],0)))</f>
        <v>4</v>
      </c>
      <c r="N380" s="72">
        <f>IF($C380="B",INDEX(Batters[[#All],[POW P]],MATCH(Table5[[#This Row],[PID]],Batters[[#All],[PID]],0)),INDEX(Table3[[#All],[CON P]],MATCH(Table5[[#This Row],[PID]],Table3[[#All],[PID]],0)))</f>
        <v>4</v>
      </c>
      <c r="O380" s="72" t="str">
        <f>IF($C380="B",INDEX(Batters[[#All],[EYE P]],MATCH(Table5[[#This Row],[PID]],Batters[[#All],[PID]],0)),INDEX(Table3[[#All],[VELO]],MATCH(Table5[[#This Row],[PID]],Table3[[#All],[PID]],0)))</f>
        <v>89-91 Mph</v>
      </c>
      <c r="P380" s="56">
        <f>IF($C380="B",INDEX(Batters[[#All],[K P]],MATCH(Table5[[#This Row],[PID]],Batters[[#All],[PID]],0)),INDEX(Table3[[#All],[STM]],MATCH(Table5[[#This Row],[PID]],Table3[[#All],[PID]],0)))</f>
        <v>9</v>
      </c>
      <c r="Q380" s="61">
        <f>IF($C380="B",INDEX(Batters[[#All],[Tot]],MATCH(Table5[[#This Row],[PID]],Batters[[#All],[PID]],0)),INDEX(Table3[[#All],[Tot]],MATCH(Table5[[#This Row],[PID]],Table3[[#All],[PID]],0)))</f>
        <v>47.114554435584154</v>
      </c>
      <c r="R380" s="52">
        <f>IF($C380="B",INDEX(Batters[[#All],[zScore]],MATCH(Table5[[#This Row],[PID]],Batters[[#All],[PID]],0)),INDEX(Table3[[#All],[zScore]],MATCH(Table5[[#This Row],[PID]],Table3[[#All],[PID]],0)))</f>
        <v>0.74804802685935645</v>
      </c>
      <c r="S380" s="78" t="str">
        <f>IF($C380="B",INDEX(Batters[[#All],[DEM]],MATCH(Table5[[#This Row],[PID]],Batters[[#All],[PID]],0)),INDEX(Table3[[#All],[DEM]],MATCH(Table5[[#This Row],[PID]],Table3[[#All],[PID]],0)))</f>
        <v>$200k</v>
      </c>
      <c r="T380" s="75">
        <f>IF($C380="B",INDEX(Batters[[#All],[Rnk]],MATCH(Table5[[#This Row],[PID]],Batters[[#All],[PID]],0)),INDEX(Table3[[#All],[Rnk]],MATCH(Table5[[#This Row],[PID]],Table3[[#All],[PID]],0)))</f>
        <v>182</v>
      </c>
      <c r="U380" s="68">
        <f>IF($C380="B",VLOOKUP($A380,Bat!$A$4:$BA$1621,47,FALSE),VLOOKUP($A380,Pit!$A$4:$BF$1557,56,FALSE))</f>
        <v>0</v>
      </c>
      <c r="V380" s="50">
        <f>IF($C380="B",VLOOKUP($A380,Bat!$A$4:$BA$1621,48,FALSE),VLOOKUP($A380,Pit!$A$4:$BF$1557,57,FALSE))</f>
        <v>0</v>
      </c>
      <c r="W380" s="69">
        <f>Table5[[#This Row],[posRnk]]+Table5[[#This Row],[zRnk]]+IF($W$3&lt;&gt;Table5[[#This Row],[Type]],50,0)</f>
        <v>531</v>
      </c>
      <c r="X380" s="73">
        <f>RANK(Table5[[#This Row],[zScore]],Table5[[#All],[zScore]])</f>
        <v>299</v>
      </c>
      <c r="Y380" s="69">
        <f>IFERROR(INDEX(DraftResults[[#All],[OVR]],MATCH(Table5[[#This Row],[PID]],DraftResults[[#All],[Player ID]],0)),"")</f>
        <v>376</v>
      </c>
      <c r="Z38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0" s="69">
        <f>IFERROR(INDEX(DraftResults[[#All],[Pick in Round]],MATCH(Table5[[#This Row],[PID]],DraftResults[[#All],[Player ID]],0)),"")</f>
        <v>8</v>
      </c>
      <c r="AB380" s="69" t="str">
        <f>IFERROR(INDEX(DraftResults[[#All],[Team Name]],MATCH(Table5[[#This Row],[PID]],DraftResults[[#All],[Player ID]],0)),"")</f>
        <v>London Underground</v>
      </c>
      <c r="AC380" s="69">
        <f>IF(Table5[[#This Row],[Ovr]]="","",IF(Table5[[#This Row],[cmbList]]="","",Table5[[#This Row],[cmbList]]-Table5[[#This Row],[Ovr]]))</f>
        <v>155</v>
      </c>
      <c r="AD380" s="77" t="str">
        <f>IF(ISERROR(VLOOKUP($AB380&amp;"-"&amp;$E380&amp;" "&amp;F380,Bonuses!$B$1:$G$1006,4,FALSE)),"",INT(VLOOKUP($AB380&amp;"-"&amp;$E380&amp;" "&amp;$F380,Bonuses!$B$1:$G$1006,4,FALSE)))</f>
        <v/>
      </c>
      <c r="AE38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13.8 (376) - SP Alonso Martínez</v>
      </c>
    </row>
    <row r="381" spans="1:31" s="50" customFormat="1" x14ac:dyDescent="0.25">
      <c r="A381" s="50">
        <v>20251</v>
      </c>
      <c r="B381" s="50">
        <f>COUNTIF(Table5[PID],A381)</f>
        <v>1</v>
      </c>
      <c r="C381" s="50" t="str">
        <f>IF(COUNTIF(Table3[[#All],[PID]],A381)&gt;0,"P","B")</f>
        <v>B</v>
      </c>
      <c r="D381" s="59" t="str">
        <f>IF($C381="B",INDEX(Batters[[#All],[POS]],MATCH(Table5[[#This Row],[PID]],Batters[[#All],[PID]],0)),INDEX(Table3[[#All],[POS]],MATCH(Table5[[#This Row],[PID]],Table3[[#All],[PID]],0)))</f>
        <v>C</v>
      </c>
      <c r="E381" s="52" t="str">
        <f>IF($C381="B",INDEX(Batters[[#All],[First]],MATCH(Table5[[#This Row],[PID]],Batters[[#All],[PID]],0)),INDEX(Table3[[#All],[First]],MATCH(Table5[[#This Row],[PID]],Table3[[#All],[PID]],0)))</f>
        <v>Bernard</v>
      </c>
      <c r="F381" s="50" t="str">
        <f>IF($C381="B",INDEX(Batters[[#All],[Last]],MATCH(A381,Batters[[#All],[PID]],0)),INDEX(Table3[[#All],[Last]],MATCH(A381,Table3[[#All],[PID]],0)))</f>
        <v>Pardy</v>
      </c>
      <c r="G381" s="56">
        <f>IF($C381="B",INDEX(Batters[[#All],[Age]],MATCH(Table5[[#This Row],[PID]],Batters[[#All],[PID]],0)),INDEX(Table3[[#All],[Age]],MATCH(Table5[[#This Row],[PID]],Table3[[#All],[PID]],0)))</f>
        <v>22</v>
      </c>
      <c r="H381" s="52" t="str">
        <f>IF($C381="B",INDEX(Batters[[#All],[B]],MATCH(Table5[[#This Row],[PID]],Batters[[#All],[PID]],0)),INDEX(Table3[[#All],[B]],MATCH(Table5[[#This Row],[PID]],Table3[[#All],[PID]],0)))</f>
        <v>R</v>
      </c>
      <c r="I381" s="52" t="str">
        <f>IF($C381="B",INDEX(Batters[[#All],[T]],MATCH(Table5[[#This Row],[PID]],Batters[[#All],[PID]],0)),INDEX(Table3[[#All],[T]],MATCH(Table5[[#This Row],[PID]],Table3[[#All],[PID]],0)))</f>
        <v>R</v>
      </c>
      <c r="J381" s="52" t="str">
        <f>IF($C381="B",INDEX(Batters[[#All],[WE]],MATCH(Table5[[#This Row],[PID]],Batters[[#All],[PID]],0)),INDEX(Table3[[#All],[WE]],MATCH(Table5[[#This Row],[PID]],Table3[[#All],[PID]],0)))</f>
        <v>High</v>
      </c>
      <c r="K381" s="52" t="str">
        <f>IF($C381="B",INDEX(Batters[[#All],[INT]],MATCH(Table5[[#This Row],[PID]],Batters[[#All],[PID]],0)),INDEX(Table3[[#All],[INT]],MATCH(Table5[[#This Row],[PID]],Table3[[#All],[PID]],0)))</f>
        <v>High</v>
      </c>
      <c r="L381" s="60">
        <f>IF($C381="B",INDEX(Batters[[#All],[CON P]],MATCH(Table5[[#This Row],[PID]],Batters[[#All],[PID]],0)),INDEX(Table3[[#All],[STU P]],MATCH(Table5[[#This Row],[PID]],Table3[[#All],[PID]],0)))</f>
        <v>3</v>
      </c>
      <c r="M381" s="56">
        <f>IF($C381="B",INDEX(Batters[[#All],[GAP P]],MATCH(Table5[[#This Row],[PID]],Batters[[#All],[PID]],0)),INDEX(Table3[[#All],[MOV P]],MATCH(Table5[[#This Row],[PID]],Table3[[#All],[PID]],0)))</f>
        <v>7</v>
      </c>
      <c r="N381" s="56">
        <f>IF($C381="B",INDEX(Batters[[#All],[POW P]],MATCH(Table5[[#This Row],[PID]],Batters[[#All],[PID]],0)),INDEX(Table3[[#All],[CON P]],MATCH(Table5[[#This Row],[PID]],Table3[[#All],[PID]],0)))</f>
        <v>4</v>
      </c>
      <c r="O381" s="56">
        <f>IF($C381="B",INDEX(Batters[[#All],[EYE P]],MATCH(Table5[[#This Row],[PID]],Batters[[#All],[PID]],0)),INDEX(Table3[[#All],[VELO]],MATCH(Table5[[#This Row],[PID]],Table3[[#All],[PID]],0)))</f>
        <v>7</v>
      </c>
      <c r="P381" s="56">
        <f>IF($C381="B",INDEX(Batters[[#All],[K P]],MATCH(Table5[[#This Row],[PID]],Batters[[#All],[PID]],0)),INDEX(Table3[[#All],[STM]],MATCH(Table5[[#This Row],[PID]],Table3[[#All],[PID]],0)))</f>
        <v>3</v>
      </c>
      <c r="Q381" s="61">
        <f>IF($C381="B",INDEX(Batters[[#All],[Tot]],MATCH(Table5[[#This Row],[PID]],Batters[[#All],[PID]],0)),INDEX(Table3[[#All],[Tot]],MATCH(Table5[[#This Row],[PID]],Table3[[#All],[PID]],0)))</f>
        <v>42.296987584716959</v>
      </c>
      <c r="R381" s="52">
        <f>IF($C381="B",INDEX(Batters[[#All],[zScore]],MATCH(Table5[[#This Row],[PID]],Batters[[#All],[PID]],0)),INDEX(Table3[[#All],[zScore]],MATCH(Table5[[#This Row],[PID]],Table3[[#All],[PID]],0)))</f>
        <v>-0.40682129187983368</v>
      </c>
      <c r="S381" s="58" t="str">
        <f>IF($C381="B",INDEX(Batters[[#All],[DEM]],MATCH(Table5[[#This Row],[PID]],Batters[[#All],[PID]],0)),INDEX(Table3[[#All],[DEM]],MATCH(Table5[[#This Row],[PID]],Table3[[#All],[PID]],0)))</f>
        <v>$100k</v>
      </c>
      <c r="T381" s="62">
        <f>IF($C381="B",INDEX(Batters[[#All],[Rnk]],MATCH(Table5[[#This Row],[PID]],Batters[[#All],[PID]],0)),INDEX(Table3[[#All],[Rnk]],MATCH(Table5[[#This Row],[PID]],Table3[[#All],[PID]],0)))</f>
        <v>323</v>
      </c>
      <c r="U381" s="68">
        <f>IF($C381="B",VLOOKUP($A381,Bat!$A$4:$BA$1621,47,FALSE),VLOOKUP($A381,Pit!$A$4:$BF$1557,56,FALSE))</f>
        <v>0</v>
      </c>
      <c r="V381" s="50">
        <f>IF($C381="B",VLOOKUP($A381,Bat!$A$4:$BA$1621,48,FALSE),VLOOKUP($A381,Pit!$A$4:$BF$1557,57,FALSE))</f>
        <v>0</v>
      </c>
      <c r="W381" s="50">
        <f>Table5[[#This Row],[posRnk]]+Table5[[#This Row],[zRnk]]+IF($W$3&lt;&gt;Table5[[#This Row],[Type]],50,0)</f>
        <v>1168</v>
      </c>
      <c r="X381" s="51">
        <f>RANK(Table5[[#This Row],[zScore]],Table5[[#All],[zScore]])</f>
        <v>795</v>
      </c>
      <c r="Y381" s="50">
        <f>IFERROR(INDEX(DraftResults[[#All],[OVR]],MATCH(Table5[[#This Row],[PID]],DraftResults[[#All],[Player ID]],0)),"")</f>
        <v>377</v>
      </c>
      <c r="Z3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1" s="50">
        <f>IFERROR(INDEX(DraftResults[[#All],[Pick in Round]],MATCH(Table5[[#This Row],[PID]],DraftResults[[#All],[Player ID]],0)),"")</f>
        <v>9</v>
      </c>
      <c r="AB381" s="50" t="str">
        <f>IFERROR(INDEX(DraftResults[[#All],[Team Name]],MATCH(Table5[[#This Row],[PID]],DraftResults[[#All],[Player ID]],0)),"")</f>
        <v>Scottish Claymores</v>
      </c>
      <c r="AC381" s="50">
        <f>IF(Table5[[#This Row],[Ovr]]="","",IF(Table5[[#This Row],[cmbList]]="","",Table5[[#This Row],[cmbList]]-Table5[[#This Row],[Ovr]]))</f>
        <v>791</v>
      </c>
      <c r="AD381" s="54" t="str">
        <f>IF(ISERROR(VLOOKUP($AB381&amp;"-"&amp;$E381&amp;" "&amp;F381,Bonuses!$B$1:$G$1006,4,FALSE)),"",INT(VLOOKUP($AB381&amp;"-"&amp;$E381&amp;" "&amp;$F381,Bonuses!$B$1:$G$1006,4,FALSE)))</f>
        <v/>
      </c>
      <c r="AE3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13.9 (377) - C Bernard Pardy</v>
      </c>
    </row>
    <row r="382" spans="1:31" s="50" customFormat="1" x14ac:dyDescent="0.25">
      <c r="A382" s="68">
        <v>18088</v>
      </c>
      <c r="B382" s="69">
        <f>COUNTIF(Table5[PID],A382)</f>
        <v>1</v>
      </c>
      <c r="C382" s="69" t="str">
        <f>IF(COUNTIF(Table3[[#All],[PID]],A382)&gt;0,"P","B")</f>
        <v>P</v>
      </c>
      <c r="D382" s="59" t="str">
        <f>IF($C382="B",INDEX(Batters[[#All],[POS]],MATCH(Table5[[#This Row],[PID]],Batters[[#All],[PID]],0)),INDEX(Table3[[#All],[POS]],MATCH(Table5[[#This Row],[PID]],Table3[[#All],[PID]],0)))</f>
        <v>SP</v>
      </c>
      <c r="E382" s="52" t="str">
        <f>IF($C382="B",INDEX(Batters[[#All],[First]],MATCH(Table5[[#This Row],[PID]],Batters[[#All],[PID]],0)),INDEX(Table3[[#All],[First]],MATCH(Table5[[#This Row],[PID]],Table3[[#All],[PID]],0)))</f>
        <v>Anthony</v>
      </c>
      <c r="F382" s="55" t="str">
        <f>IF($C382="B",INDEX(Batters[[#All],[Last]],MATCH(A382,Batters[[#All],[PID]],0)),INDEX(Table3[[#All],[Last]],MATCH(A382,Table3[[#All],[PID]],0)))</f>
        <v>Swanson</v>
      </c>
      <c r="G382" s="56">
        <f>IF($C382="B",INDEX(Batters[[#All],[Age]],MATCH(Table5[[#This Row],[PID]],Batters[[#All],[PID]],0)),INDEX(Table3[[#All],[Age]],MATCH(Table5[[#This Row],[PID]],Table3[[#All],[PID]],0)))</f>
        <v>21</v>
      </c>
      <c r="H382" s="52" t="str">
        <f>IF($C382="B",INDEX(Batters[[#All],[B]],MATCH(Table5[[#This Row],[PID]],Batters[[#All],[PID]],0)),INDEX(Table3[[#All],[B]],MATCH(Table5[[#This Row],[PID]],Table3[[#All],[PID]],0)))</f>
        <v>R</v>
      </c>
      <c r="I382" s="52" t="str">
        <f>IF($C382="B",INDEX(Batters[[#All],[T]],MATCH(Table5[[#This Row],[PID]],Batters[[#All],[PID]],0)),INDEX(Table3[[#All],[T]],MATCH(Table5[[#This Row],[PID]],Table3[[#All],[PID]],0)))</f>
        <v>R</v>
      </c>
      <c r="J382" s="71" t="str">
        <f>IF($C382="B",INDEX(Batters[[#All],[WE]],MATCH(Table5[[#This Row],[PID]],Batters[[#All],[PID]],0)),INDEX(Table3[[#All],[WE]],MATCH(Table5[[#This Row],[PID]],Table3[[#All],[PID]],0)))</f>
        <v>Low</v>
      </c>
      <c r="K382" s="52" t="str">
        <f>IF($C382="B",INDEX(Batters[[#All],[INT]],MATCH(Table5[[#This Row],[PID]],Batters[[#All],[PID]],0)),INDEX(Table3[[#All],[INT]],MATCH(Table5[[#This Row],[PID]],Table3[[#All],[PID]],0)))</f>
        <v>Low</v>
      </c>
      <c r="L382" s="60">
        <f>IF($C382="B",INDEX(Batters[[#All],[CON P]],MATCH(Table5[[#This Row],[PID]],Batters[[#All],[PID]],0)),INDEX(Table3[[#All],[STU P]],MATCH(Table5[[#This Row],[PID]],Table3[[#All],[PID]],0)))</f>
        <v>4</v>
      </c>
      <c r="M382" s="72">
        <f>IF($C382="B",INDEX(Batters[[#All],[GAP P]],MATCH(Table5[[#This Row],[PID]],Batters[[#All],[PID]],0)),INDEX(Table3[[#All],[MOV P]],MATCH(Table5[[#This Row],[PID]],Table3[[#All],[PID]],0)))</f>
        <v>7</v>
      </c>
      <c r="N382" s="72">
        <f>IF($C382="B",INDEX(Batters[[#All],[POW P]],MATCH(Table5[[#This Row],[PID]],Batters[[#All],[PID]],0)),INDEX(Table3[[#All],[CON P]],MATCH(Table5[[#This Row],[PID]],Table3[[#All],[PID]],0)))</f>
        <v>4</v>
      </c>
      <c r="O382" s="72" t="str">
        <f>IF($C382="B",INDEX(Batters[[#All],[EYE P]],MATCH(Table5[[#This Row],[PID]],Batters[[#All],[PID]],0)),INDEX(Table3[[#All],[VELO]],MATCH(Table5[[#This Row],[PID]],Table3[[#All],[PID]],0)))</f>
        <v>93-95 Mph</v>
      </c>
      <c r="P382" s="56">
        <f>IF($C382="B",INDEX(Batters[[#All],[K P]],MATCH(Table5[[#This Row],[PID]],Batters[[#All],[PID]],0)),INDEX(Table3[[#All],[STM]],MATCH(Table5[[#This Row],[PID]],Table3[[#All],[PID]],0)))</f>
        <v>7</v>
      </c>
      <c r="Q382" s="61">
        <f>IF($C382="B",INDEX(Batters[[#All],[Tot]],MATCH(Table5[[#This Row],[PID]],Batters[[#All],[PID]],0)),INDEX(Table3[[#All],[Tot]],MATCH(Table5[[#This Row],[PID]],Table3[[#All],[PID]],0)))</f>
        <v>54.712585078567741</v>
      </c>
      <c r="R382" s="52">
        <f>IF($C382="B",INDEX(Batters[[#All],[zScore]],MATCH(Table5[[#This Row],[PID]],Batters[[#All],[PID]],0)),INDEX(Table3[[#All],[zScore]],MATCH(Table5[[#This Row],[PID]],Table3[[#All],[PID]],0)))</f>
        <v>1.2535333949192462</v>
      </c>
      <c r="S382" s="78" t="str">
        <f>IF($C382="B",INDEX(Batters[[#All],[DEM]],MATCH(Table5[[#This Row],[PID]],Batters[[#All],[PID]],0)),INDEX(Table3[[#All],[DEM]],MATCH(Table5[[#This Row],[PID]],Table3[[#All],[PID]],0)))</f>
        <v>$110k</v>
      </c>
      <c r="T382" s="75">
        <f>IF($C382="B",INDEX(Batters[[#All],[Rnk]],MATCH(Table5[[#This Row],[PID]],Batters[[#All],[PID]],0)),INDEX(Table3[[#All],[Rnk]],MATCH(Table5[[#This Row],[PID]],Table3[[#All],[PID]],0)))</f>
        <v>107</v>
      </c>
      <c r="U382" s="68">
        <f>IF($C382="B",VLOOKUP($A382,Bat!$A$4:$BA$1621,47,FALSE),VLOOKUP($A382,Pit!$A$4:$BF$1557,56,FALSE))</f>
        <v>0</v>
      </c>
      <c r="V382" s="50">
        <f>IF($C382="B",VLOOKUP($A382,Bat!$A$4:$BA$1621,48,FALSE),VLOOKUP($A382,Pit!$A$4:$BF$1557,57,FALSE))</f>
        <v>0</v>
      </c>
      <c r="W382" s="69">
        <f>Table5[[#This Row],[posRnk]]+Table5[[#This Row],[zRnk]]+IF($W$3&lt;&gt;Table5[[#This Row],[Type]],50,0)</f>
        <v>328</v>
      </c>
      <c r="X382" s="73">
        <f>RANK(Table5[[#This Row],[zScore]],Table5[[#All],[zScore]])</f>
        <v>171</v>
      </c>
      <c r="Y382" s="69">
        <f>IFERROR(INDEX(DraftResults[[#All],[OVR]],MATCH(Table5[[#This Row],[PID]],DraftResults[[#All],[Player ID]],0)),"")</f>
        <v>378</v>
      </c>
      <c r="Z38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2" s="69">
        <f>IFERROR(INDEX(DraftResults[[#All],[Pick in Round]],MATCH(Table5[[#This Row],[PID]],DraftResults[[#All],[Player ID]],0)),"")</f>
        <v>10</v>
      </c>
      <c r="AB382" s="69" t="str">
        <f>IFERROR(INDEX(DraftResults[[#All],[Team Name]],MATCH(Table5[[#This Row],[PID]],DraftResults[[#All],[Player ID]],0)),"")</f>
        <v>Hartford Harpoon</v>
      </c>
      <c r="AC382" s="69">
        <f>IF(Table5[[#This Row],[Ovr]]="","",IF(Table5[[#This Row],[cmbList]]="","",Table5[[#This Row],[cmbList]]-Table5[[#This Row],[Ovr]]))</f>
        <v>-50</v>
      </c>
      <c r="AD382" s="77" t="str">
        <f>IF(ISERROR(VLOOKUP($AB382&amp;"-"&amp;$E382&amp;" "&amp;F382,Bonuses!$B$1:$G$1006,4,FALSE)),"",INT(VLOOKUP($AB382&amp;"-"&amp;$E382&amp;" "&amp;$F382,Bonuses!$B$1:$G$1006,4,FALSE)))</f>
        <v/>
      </c>
      <c r="AE38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13.10 (378) - SP Anthony Swanson</v>
      </c>
    </row>
    <row r="383" spans="1:31" s="50" customFormat="1" x14ac:dyDescent="0.25">
      <c r="A383" s="50">
        <v>8360</v>
      </c>
      <c r="B383" s="55">
        <f>COUNTIF(Table5[PID],A383)</f>
        <v>1</v>
      </c>
      <c r="C383" s="55" t="str">
        <f>IF(COUNTIF(Table3[[#All],[PID]],A383)&gt;0,"P","B")</f>
        <v>B</v>
      </c>
      <c r="D383" s="59" t="str">
        <f>IF($C383="B",INDEX(Batters[[#All],[POS]],MATCH(Table5[[#This Row],[PID]],Batters[[#All],[PID]],0)),INDEX(Table3[[#All],[POS]],MATCH(Table5[[#This Row],[PID]],Table3[[#All],[PID]],0)))</f>
        <v>SS</v>
      </c>
      <c r="E383" s="52" t="str">
        <f>IF($C383="B",INDEX(Batters[[#All],[First]],MATCH(Table5[[#This Row],[PID]],Batters[[#All],[PID]],0)),INDEX(Table3[[#All],[First]],MATCH(Table5[[#This Row],[PID]],Table3[[#All],[PID]],0)))</f>
        <v>Jesús</v>
      </c>
      <c r="F383" s="50" t="str">
        <f>IF($C383="B",INDEX(Batters[[#All],[Last]],MATCH(A383,Batters[[#All],[PID]],0)),INDEX(Table3[[#All],[Last]],MATCH(A383,Table3[[#All],[PID]],0)))</f>
        <v>Vásquez</v>
      </c>
      <c r="G383" s="56">
        <f>IF($C383="B",INDEX(Batters[[#All],[Age]],MATCH(Table5[[#This Row],[PID]],Batters[[#All],[PID]],0)),INDEX(Table3[[#All],[Age]],MATCH(Table5[[#This Row],[PID]],Table3[[#All],[PID]],0)))</f>
        <v>21</v>
      </c>
      <c r="H383" s="52" t="str">
        <f>IF($C383="B",INDEX(Batters[[#All],[B]],MATCH(Table5[[#This Row],[PID]],Batters[[#All],[PID]],0)),INDEX(Table3[[#All],[B]],MATCH(Table5[[#This Row],[PID]],Table3[[#All],[PID]],0)))</f>
        <v>R</v>
      </c>
      <c r="I383" s="52" t="str">
        <f>IF($C383="B",INDEX(Batters[[#All],[T]],MATCH(Table5[[#This Row],[PID]],Batters[[#All],[PID]],0)),INDEX(Table3[[#All],[T]],MATCH(Table5[[#This Row],[PID]],Table3[[#All],[PID]],0)))</f>
        <v>R</v>
      </c>
      <c r="J383" s="52" t="str">
        <f>IF($C383="B",INDEX(Batters[[#All],[WE]],MATCH(Table5[[#This Row],[PID]],Batters[[#All],[PID]],0)),INDEX(Table3[[#All],[WE]],MATCH(Table5[[#This Row],[PID]],Table3[[#All],[PID]],0)))</f>
        <v>Normal</v>
      </c>
      <c r="K383" s="52" t="str">
        <f>IF($C383="B",INDEX(Batters[[#All],[INT]],MATCH(Table5[[#This Row],[PID]],Batters[[#All],[PID]],0)),INDEX(Table3[[#All],[INT]],MATCH(Table5[[#This Row],[PID]],Table3[[#All],[PID]],0)))</f>
        <v>Normal</v>
      </c>
      <c r="L383" s="60">
        <f>IF($C383="B",INDEX(Batters[[#All],[CON P]],MATCH(Table5[[#This Row],[PID]],Batters[[#All],[PID]],0)),INDEX(Table3[[#All],[STU P]],MATCH(Table5[[#This Row],[PID]],Table3[[#All],[PID]],0)))</f>
        <v>4</v>
      </c>
      <c r="M383" s="56">
        <f>IF($C383="B",INDEX(Batters[[#All],[GAP P]],MATCH(Table5[[#This Row],[PID]],Batters[[#All],[PID]],0)),INDEX(Table3[[#All],[MOV P]],MATCH(Table5[[#This Row],[PID]],Table3[[#All],[PID]],0)))</f>
        <v>4</v>
      </c>
      <c r="N383" s="56">
        <f>IF($C383="B",INDEX(Batters[[#All],[POW P]],MATCH(Table5[[#This Row],[PID]],Batters[[#All],[PID]],0)),INDEX(Table3[[#All],[CON P]],MATCH(Table5[[#This Row],[PID]],Table3[[#All],[PID]],0)))</f>
        <v>2</v>
      </c>
      <c r="O383" s="56">
        <f>IF($C383="B",INDEX(Batters[[#All],[EYE P]],MATCH(Table5[[#This Row],[PID]],Batters[[#All],[PID]],0)),INDEX(Table3[[#All],[VELO]],MATCH(Table5[[#This Row],[PID]],Table3[[#All],[PID]],0)))</f>
        <v>4</v>
      </c>
      <c r="P383" s="56">
        <f>IF($C383="B",INDEX(Batters[[#All],[K P]],MATCH(Table5[[#This Row],[PID]],Batters[[#All],[PID]],0)),INDEX(Table3[[#All],[STM]],MATCH(Table5[[#This Row],[PID]],Table3[[#All],[PID]],0)))</f>
        <v>4</v>
      </c>
      <c r="Q383" s="61">
        <f>IF($C383="B",INDEX(Batters[[#All],[Tot]],MATCH(Table5[[#This Row],[PID]],Batters[[#All],[PID]],0)),INDEX(Table3[[#All],[Tot]],MATCH(Table5[[#This Row],[PID]],Table3[[#All],[PID]],0)))</f>
        <v>40.252197624401283</v>
      </c>
      <c r="R383" s="52">
        <f>IF($C383="B",INDEX(Batters[[#All],[zScore]],MATCH(Table5[[#This Row],[PID]],Batters[[#All],[PID]],0)),INDEX(Table3[[#All],[zScore]],MATCH(Table5[[#This Row],[PID]],Table3[[#All],[PID]],0)))</f>
        <v>-0.86016504757921497</v>
      </c>
      <c r="S383" s="58" t="str">
        <f>IF($C383="B",INDEX(Batters[[#All],[DEM]],MATCH(Table5[[#This Row],[PID]],Batters[[#All],[PID]],0)),INDEX(Table3[[#All],[DEM]],MATCH(Table5[[#This Row],[PID]],Table3[[#All],[PID]],0)))</f>
        <v>$20k</v>
      </c>
      <c r="T383" s="62">
        <f>IF($C383="B",INDEX(Batters[[#All],[Rnk]],MATCH(Table5[[#This Row],[PID]],Batters[[#All],[PID]],0)),INDEX(Table3[[#All],[Rnk]],MATCH(Table5[[#This Row],[PID]],Table3[[#All],[PID]],0)))</f>
        <v>417</v>
      </c>
      <c r="U383" s="68">
        <f>IF($C383="B",VLOOKUP($A383,Bat!$A$4:$BA$1621,47,FALSE),VLOOKUP($A383,Pit!$A$4:$BF$1557,56,FALSE))</f>
        <v>0</v>
      </c>
      <c r="V383" s="50">
        <f>IF($C383="B",VLOOKUP($A383,Bat!$A$4:$BA$1621,48,FALSE),VLOOKUP($A383,Pit!$A$4:$BF$1557,57,FALSE))</f>
        <v>0</v>
      </c>
      <c r="W383" s="50">
        <f>Table5[[#This Row],[posRnk]]+Table5[[#This Row],[zRnk]]+IF($W$3&lt;&gt;Table5[[#This Row],[Type]],50,0)</f>
        <v>1544</v>
      </c>
      <c r="X383" s="51">
        <f>RANK(Table5[[#This Row],[zScore]],Table5[[#All],[zScore]])</f>
        <v>1077</v>
      </c>
      <c r="Y383" s="50">
        <f>IFERROR(INDEX(DraftResults[[#All],[OVR]],MATCH(Table5[[#This Row],[PID]],DraftResults[[#All],[Player ID]],0)),"")</f>
        <v>379</v>
      </c>
      <c r="Z3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3" s="50">
        <f>IFERROR(INDEX(DraftResults[[#All],[Pick in Round]],MATCH(Table5[[#This Row],[PID]],DraftResults[[#All],[Player ID]],0)),"")</f>
        <v>11</v>
      </c>
      <c r="AB383" s="50" t="str">
        <f>IFERROR(INDEX(DraftResults[[#All],[Team Name]],MATCH(Table5[[#This Row],[PID]],DraftResults[[#All],[Player ID]],0)),"")</f>
        <v>Duluth Warriors</v>
      </c>
      <c r="AC383" s="50">
        <f>IF(Table5[[#This Row],[Ovr]]="","",IF(Table5[[#This Row],[cmbList]]="","",Table5[[#This Row],[cmbList]]-Table5[[#This Row],[Ovr]]))</f>
        <v>1165</v>
      </c>
      <c r="AD383" s="54" t="str">
        <f>IF(ISERROR(VLOOKUP($AB383&amp;"-"&amp;$E383&amp;" "&amp;F383,Bonuses!$B$1:$G$1006,4,FALSE)),"",INT(VLOOKUP($AB383&amp;"-"&amp;$E383&amp;" "&amp;$F383,Bonuses!$B$1:$G$1006,4,FALSE)))</f>
        <v/>
      </c>
      <c r="AE3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13.11 (379) - SS Jesús Vásquez</v>
      </c>
    </row>
    <row r="384" spans="1:31" s="50" customFormat="1" x14ac:dyDescent="0.25">
      <c r="A384" s="50">
        <v>17814</v>
      </c>
      <c r="B384" s="50">
        <f>COUNTIF(Table5[PID],A384)</f>
        <v>1</v>
      </c>
      <c r="C384" s="50" t="str">
        <f>IF(COUNTIF(Table3[[#All],[PID]],A384)&gt;0,"P","B")</f>
        <v>B</v>
      </c>
      <c r="D384" s="59" t="str">
        <f>IF($C384="B",INDEX(Batters[[#All],[POS]],MATCH(Table5[[#This Row],[PID]],Batters[[#All],[PID]],0)),INDEX(Table3[[#All],[POS]],MATCH(Table5[[#This Row],[PID]],Table3[[#All],[PID]],0)))</f>
        <v>C</v>
      </c>
      <c r="E384" s="52" t="str">
        <f>IF($C384="B",INDEX(Batters[[#All],[First]],MATCH(Table5[[#This Row],[PID]],Batters[[#All],[PID]],0)),INDEX(Table3[[#All],[First]],MATCH(Table5[[#This Row],[PID]],Table3[[#All],[PID]],0)))</f>
        <v>Marc</v>
      </c>
      <c r="F384" s="50" t="str">
        <f>IF($C384="B",INDEX(Batters[[#All],[Last]],MATCH(A384,Batters[[#All],[PID]],0)),INDEX(Table3[[#All],[Last]],MATCH(A384,Table3[[#All],[PID]],0)))</f>
        <v>Zuijdam</v>
      </c>
      <c r="G384" s="56">
        <f>IF($C384="B",INDEX(Batters[[#All],[Age]],MATCH(Table5[[#This Row],[PID]],Batters[[#All],[PID]],0)),INDEX(Table3[[#All],[Age]],MATCH(Table5[[#This Row],[PID]],Table3[[#All],[PID]],0)))</f>
        <v>22</v>
      </c>
      <c r="H384" s="52" t="str">
        <f>IF($C384="B",INDEX(Batters[[#All],[B]],MATCH(Table5[[#This Row],[PID]],Batters[[#All],[PID]],0)),INDEX(Table3[[#All],[B]],MATCH(Table5[[#This Row],[PID]],Table3[[#All],[PID]],0)))</f>
        <v>R</v>
      </c>
      <c r="I384" s="52" t="str">
        <f>IF($C384="B",INDEX(Batters[[#All],[T]],MATCH(Table5[[#This Row],[PID]],Batters[[#All],[PID]],0)),INDEX(Table3[[#All],[T]],MATCH(Table5[[#This Row],[PID]],Table3[[#All],[PID]],0)))</f>
        <v>R</v>
      </c>
      <c r="J384" s="52" t="str">
        <f>IF($C384="B",INDEX(Batters[[#All],[WE]],MATCH(Table5[[#This Row],[PID]],Batters[[#All],[PID]],0)),INDEX(Table3[[#All],[WE]],MATCH(Table5[[#This Row],[PID]],Table3[[#All],[PID]],0)))</f>
        <v>Normal</v>
      </c>
      <c r="K384" s="52" t="str">
        <f>IF($C384="B",INDEX(Batters[[#All],[INT]],MATCH(Table5[[#This Row],[PID]],Batters[[#All],[PID]],0)),INDEX(Table3[[#All],[INT]],MATCH(Table5[[#This Row],[PID]],Table3[[#All],[PID]],0)))</f>
        <v>Normal</v>
      </c>
      <c r="L384" s="60">
        <f>IF($C384="B",INDEX(Batters[[#All],[CON P]],MATCH(Table5[[#This Row],[PID]],Batters[[#All],[PID]],0)),INDEX(Table3[[#All],[STU P]],MATCH(Table5[[#This Row],[PID]],Table3[[#All],[PID]],0)))</f>
        <v>3</v>
      </c>
      <c r="M384" s="56">
        <f>IF($C384="B",INDEX(Batters[[#All],[GAP P]],MATCH(Table5[[#This Row],[PID]],Batters[[#All],[PID]],0)),INDEX(Table3[[#All],[MOV P]],MATCH(Table5[[#This Row],[PID]],Table3[[#All],[PID]],0)))</f>
        <v>5</v>
      </c>
      <c r="N384" s="56">
        <f>IF($C384="B",INDEX(Batters[[#All],[POW P]],MATCH(Table5[[#This Row],[PID]],Batters[[#All],[PID]],0)),INDEX(Table3[[#All],[CON P]],MATCH(Table5[[#This Row],[PID]],Table3[[#All],[PID]],0)))</f>
        <v>4</v>
      </c>
      <c r="O384" s="56">
        <f>IF($C384="B",INDEX(Batters[[#All],[EYE P]],MATCH(Table5[[#This Row],[PID]],Batters[[#All],[PID]],0)),INDEX(Table3[[#All],[VELO]],MATCH(Table5[[#This Row],[PID]],Table3[[#All],[PID]],0)))</f>
        <v>6</v>
      </c>
      <c r="P384" s="56">
        <f>IF($C384="B",INDEX(Batters[[#All],[K P]],MATCH(Table5[[#This Row],[PID]],Batters[[#All],[PID]],0)),INDEX(Table3[[#All],[STM]],MATCH(Table5[[#This Row],[PID]],Table3[[#All],[PID]],0)))</f>
        <v>2</v>
      </c>
      <c r="Q384" s="61">
        <f>IF($C384="B",INDEX(Batters[[#All],[Tot]],MATCH(Table5[[#This Row],[PID]],Batters[[#All],[PID]],0)),INDEX(Table3[[#All],[Tot]],MATCH(Table5[[#This Row],[PID]],Table3[[#All],[PID]],0)))</f>
        <v>40.047996915822459</v>
      </c>
      <c r="R384" s="52">
        <f>IF($C384="B",INDEX(Batters[[#All],[zScore]],MATCH(Table5[[#This Row],[PID]],Batters[[#All],[PID]],0)),INDEX(Table3[[#All],[zScore]],MATCH(Table5[[#This Row],[PID]],Table3[[#All],[PID]],0)))</f>
        <v>-0.90543772493983132</v>
      </c>
      <c r="S384" s="58" t="str">
        <f>IF($C384="B",INDEX(Batters[[#All],[DEM]],MATCH(Table5[[#This Row],[PID]],Batters[[#All],[PID]],0)),INDEX(Table3[[#All],[DEM]],MATCH(Table5[[#This Row],[PID]],Table3[[#All],[PID]],0)))</f>
        <v>-</v>
      </c>
      <c r="T384" s="62">
        <f>IF($C384="B",INDEX(Batters[[#All],[Rnk]],MATCH(Table5[[#This Row],[PID]],Batters[[#All],[PID]],0)),INDEX(Table3[[#All],[Rnk]],MATCH(Table5[[#This Row],[PID]],Table3[[#All],[PID]],0)))</f>
        <v>423</v>
      </c>
      <c r="U384" s="68">
        <f>IF($C384="B",VLOOKUP($A384,Bat!$A$4:$BA$1621,47,FALSE),VLOOKUP($A384,Pit!$A$4:$BF$1557,56,FALSE))</f>
        <v>0</v>
      </c>
      <c r="V384" s="50">
        <f>IF($C384="B",VLOOKUP($A384,Bat!$A$4:$BA$1621,48,FALSE),VLOOKUP($A384,Pit!$A$4:$BF$1557,57,FALSE))</f>
        <v>0</v>
      </c>
      <c r="W384" s="50">
        <f>Table5[[#This Row],[posRnk]]+Table5[[#This Row],[zRnk]]+IF($W$3&lt;&gt;Table5[[#This Row],[Type]],50,0)</f>
        <v>1572</v>
      </c>
      <c r="X384" s="51">
        <f>RANK(Table5[[#This Row],[zScore]],Table5[[#All],[zScore]])</f>
        <v>1099</v>
      </c>
      <c r="Y384" s="50">
        <f>IFERROR(INDEX(DraftResults[[#All],[OVR]],MATCH(Table5[[#This Row],[PID]],DraftResults[[#All],[Player ID]],0)),"")</f>
        <v>380</v>
      </c>
      <c r="Z3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4" s="50">
        <f>IFERROR(INDEX(DraftResults[[#All],[Pick in Round]],MATCH(Table5[[#This Row],[PID]],DraftResults[[#All],[Player ID]],0)),"")</f>
        <v>12</v>
      </c>
      <c r="AB384" s="50" t="str">
        <f>IFERROR(INDEX(DraftResults[[#All],[Team Name]],MATCH(Table5[[#This Row],[PID]],DraftResults[[#All],[Player ID]],0)),"")</f>
        <v>Palm Springs Codgers</v>
      </c>
      <c r="AC384" s="50">
        <f>IF(Table5[[#This Row],[Ovr]]="","",IF(Table5[[#This Row],[cmbList]]="","",Table5[[#This Row],[cmbList]]-Table5[[#This Row],[Ovr]]))</f>
        <v>1192</v>
      </c>
      <c r="AD384" s="54" t="str">
        <f>IF(ISERROR(VLOOKUP($AB384&amp;"-"&amp;$E384&amp;" "&amp;F384,Bonuses!$B$1:$G$1006,4,FALSE)),"",INT(VLOOKUP($AB384&amp;"-"&amp;$E384&amp;" "&amp;$F384,Bonuses!$B$1:$G$1006,4,FALSE)))</f>
        <v/>
      </c>
      <c r="AE3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13.12 (380) - C Marc Zuijdam</v>
      </c>
    </row>
    <row r="385" spans="1:31" s="50" customFormat="1" x14ac:dyDescent="0.25">
      <c r="A385" s="50">
        <v>13593</v>
      </c>
      <c r="B385" s="50">
        <f>COUNTIF(Table5[PID],A385)</f>
        <v>1</v>
      </c>
      <c r="C385" s="50" t="str">
        <f>IF(COUNTIF(Table3[[#All],[PID]],A385)&gt;0,"P","B")</f>
        <v>B</v>
      </c>
      <c r="D385" s="59" t="str">
        <f>IF($C385="B",INDEX(Batters[[#All],[POS]],MATCH(Table5[[#This Row],[PID]],Batters[[#All],[PID]],0)),INDEX(Table3[[#All],[POS]],MATCH(Table5[[#This Row],[PID]],Table3[[#All],[PID]],0)))</f>
        <v>SS</v>
      </c>
      <c r="E385" s="52" t="str">
        <f>IF($C385="B",INDEX(Batters[[#All],[First]],MATCH(Table5[[#This Row],[PID]],Batters[[#All],[PID]],0)),INDEX(Table3[[#All],[First]],MATCH(Table5[[#This Row],[PID]],Table3[[#All],[PID]],0)))</f>
        <v>Javier</v>
      </c>
      <c r="F385" s="50" t="str">
        <f>IF($C385="B",INDEX(Batters[[#All],[Last]],MATCH(A385,Batters[[#All],[PID]],0)),INDEX(Table3[[#All],[Last]],MATCH(A385,Table3[[#All],[PID]],0)))</f>
        <v>Guevara</v>
      </c>
      <c r="G385" s="56">
        <f>IF($C385="B",INDEX(Batters[[#All],[Age]],MATCH(Table5[[#This Row],[PID]],Batters[[#All],[PID]],0)),INDEX(Table3[[#All],[Age]],MATCH(Table5[[#This Row],[PID]],Table3[[#All],[PID]],0)))</f>
        <v>18</v>
      </c>
      <c r="H385" s="52" t="str">
        <f>IF($C385="B",INDEX(Batters[[#All],[B]],MATCH(Table5[[#This Row],[PID]],Batters[[#All],[PID]],0)),INDEX(Table3[[#All],[B]],MATCH(Table5[[#This Row],[PID]],Table3[[#All],[PID]],0)))</f>
        <v>L</v>
      </c>
      <c r="I385" s="52" t="str">
        <f>IF($C385="B",INDEX(Batters[[#All],[T]],MATCH(Table5[[#This Row],[PID]],Batters[[#All],[PID]],0)),INDEX(Table3[[#All],[T]],MATCH(Table5[[#This Row],[PID]],Table3[[#All],[PID]],0)))</f>
        <v>R</v>
      </c>
      <c r="J385" s="52" t="str">
        <f>IF($C385="B",INDEX(Batters[[#All],[WE]],MATCH(Table5[[#This Row],[PID]],Batters[[#All],[PID]],0)),INDEX(Table3[[#All],[WE]],MATCH(Table5[[#This Row],[PID]],Table3[[#All],[PID]],0)))</f>
        <v>Low</v>
      </c>
      <c r="K385" s="52" t="str">
        <f>IF($C385="B",INDEX(Batters[[#All],[INT]],MATCH(Table5[[#This Row],[PID]],Batters[[#All],[PID]],0)),INDEX(Table3[[#All],[INT]],MATCH(Table5[[#This Row],[PID]],Table3[[#All],[PID]],0)))</f>
        <v>Normal</v>
      </c>
      <c r="L385" s="60">
        <f>IF($C385="B",INDEX(Batters[[#All],[CON P]],MATCH(Table5[[#This Row],[PID]],Batters[[#All],[PID]],0)),INDEX(Table3[[#All],[STU P]],MATCH(Table5[[#This Row],[PID]],Table3[[#All],[PID]],0)))</f>
        <v>3</v>
      </c>
      <c r="M385" s="56">
        <f>IF($C385="B",INDEX(Batters[[#All],[GAP P]],MATCH(Table5[[#This Row],[PID]],Batters[[#All],[PID]],0)),INDEX(Table3[[#All],[MOV P]],MATCH(Table5[[#This Row],[PID]],Table3[[#All],[PID]],0)))</f>
        <v>4</v>
      </c>
      <c r="N385" s="56">
        <f>IF($C385="B",INDEX(Batters[[#All],[POW P]],MATCH(Table5[[#This Row],[PID]],Batters[[#All],[PID]],0)),INDEX(Table3[[#All],[CON P]],MATCH(Table5[[#This Row],[PID]],Table3[[#All],[PID]],0)))</f>
        <v>2</v>
      </c>
      <c r="O385" s="56">
        <f>IF($C385="B",INDEX(Batters[[#All],[EYE P]],MATCH(Table5[[#This Row],[PID]],Batters[[#All],[PID]],0)),INDEX(Table3[[#All],[VELO]],MATCH(Table5[[#This Row],[PID]],Table3[[#All],[PID]],0)))</f>
        <v>5</v>
      </c>
      <c r="P385" s="56">
        <f>IF($C385="B",INDEX(Batters[[#All],[K P]],MATCH(Table5[[#This Row],[PID]],Batters[[#All],[PID]],0)),INDEX(Table3[[#All],[STM]],MATCH(Table5[[#This Row],[PID]],Table3[[#All],[PID]],0)))</f>
        <v>5</v>
      </c>
      <c r="Q385" s="61">
        <f>IF($C385="B",INDEX(Batters[[#All],[Tot]],MATCH(Table5[[#This Row],[PID]],Batters[[#All],[PID]],0)),INDEX(Table3[[#All],[Tot]],MATCH(Table5[[#This Row],[PID]],Table3[[#All],[PID]],0)))</f>
        <v>42.471571601222493</v>
      </c>
      <c r="R385" s="52">
        <f>IF($C385="B",INDEX(Batters[[#All],[zScore]],MATCH(Table5[[#This Row],[PID]],Batters[[#All],[PID]],0)),INDEX(Table3[[#All],[zScore]],MATCH(Table5[[#This Row],[PID]],Table3[[#All],[PID]],0)))</f>
        <v>-0.36811483534212508</v>
      </c>
      <c r="S385" s="58" t="str">
        <f>IF($C385="B",INDEX(Batters[[#All],[DEM]],MATCH(Table5[[#This Row],[PID]],Batters[[#All],[PID]],0)),INDEX(Table3[[#All],[DEM]],MATCH(Table5[[#This Row],[PID]],Table3[[#All],[PID]],0)))</f>
        <v>$65k</v>
      </c>
      <c r="T385" s="62">
        <f>IF($C385="B",INDEX(Batters[[#All],[Rnk]],MATCH(Table5[[#This Row],[PID]],Batters[[#All],[PID]],0)),INDEX(Table3[[#All],[Rnk]],MATCH(Table5[[#This Row],[PID]],Table3[[#All],[PID]],0)))</f>
        <v>315</v>
      </c>
      <c r="U385" s="68">
        <f>IF($C385="B",VLOOKUP($A385,Bat!$A$4:$BA$1621,47,FALSE),VLOOKUP($A385,Pit!$A$4:$BF$1557,56,FALSE))</f>
        <v>0</v>
      </c>
      <c r="V385" s="50">
        <f>IF($C385="B",VLOOKUP($A385,Bat!$A$4:$BA$1621,48,FALSE),VLOOKUP($A385,Pit!$A$4:$BF$1557,57,FALSE))</f>
        <v>0</v>
      </c>
      <c r="W385" s="50">
        <f>Table5[[#This Row],[posRnk]]+Table5[[#This Row],[zRnk]]+IF($W$3&lt;&gt;Table5[[#This Row],[Type]],50,0)</f>
        <v>1140</v>
      </c>
      <c r="X385" s="51">
        <f>RANK(Table5[[#This Row],[zScore]],Table5[[#All],[zScore]])</f>
        <v>775</v>
      </c>
      <c r="Y385" s="50">
        <f>IFERROR(INDEX(DraftResults[[#All],[OVR]],MATCH(Table5[[#This Row],[PID]],DraftResults[[#All],[Player ID]],0)),"")</f>
        <v>381</v>
      </c>
      <c r="Z3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5" s="50">
        <f>IFERROR(INDEX(DraftResults[[#All],[Pick in Round]],MATCH(Table5[[#This Row],[PID]],DraftResults[[#All],[Player ID]],0)),"")</f>
        <v>13</v>
      </c>
      <c r="AB385" s="50" t="str">
        <f>IFERROR(INDEX(DraftResults[[#All],[Team Name]],MATCH(Table5[[#This Row],[PID]],DraftResults[[#All],[Player ID]],0)),"")</f>
        <v>Reno Zephyrs</v>
      </c>
      <c r="AC385" s="50">
        <f>IF(Table5[[#This Row],[Ovr]]="","",IF(Table5[[#This Row],[cmbList]]="","",Table5[[#This Row],[cmbList]]-Table5[[#This Row],[Ovr]]))</f>
        <v>759</v>
      </c>
      <c r="AD385" s="54" t="str">
        <f>IF(ISERROR(VLOOKUP($AB385&amp;"-"&amp;$E385&amp;" "&amp;F385,Bonuses!$B$1:$G$1006,4,FALSE)),"",INT(VLOOKUP($AB385&amp;"-"&amp;$E385&amp;" "&amp;$F385,Bonuses!$B$1:$G$1006,4,FALSE)))</f>
        <v/>
      </c>
      <c r="AE3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13.13 (381) - SS Javier Guevara</v>
      </c>
    </row>
    <row r="386" spans="1:31" s="50" customFormat="1" x14ac:dyDescent="0.25">
      <c r="A386" s="50">
        <v>20696</v>
      </c>
      <c r="B386" s="50">
        <f>COUNTIF(Table5[PID],A386)</f>
        <v>1</v>
      </c>
      <c r="C386" s="50" t="str">
        <f>IF(COUNTIF(Table3[[#All],[PID]],A386)&gt;0,"P","B")</f>
        <v>B</v>
      </c>
      <c r="D386" s="59" t="str">
        <f>IF($C386="B",INDEX(Batters[[#All],[POS]],MATCH(Table5[[#This Row],[PID]],Batters[[#All],[PID]],0)),INDEX(Table3[[#All],[POS]],MATCH(Table5[[#This Row],[PID]],Table3[[#All],[PID]],0)))</f>
        <v>RF</v>
      </c>
      <c r="E386" s="52" t="str">
        <f>IF($C386="B",INDEX(Batters[[#All],[First]],MATCH(Table5[[#This Row],[PID]],Batters[[#All],[PID]],0)),INDEX(Table3[[#All],[First]],MATCH(Table5[[#This Row],[PID]],Table3[[#All],[PID]],0)))</f>
        <v>Hsiao-lou</v>
      </c>
      <c r="F386" s="50" t="str">
        <f>IF($C386="B",INDEX(Batters[[#All],[Last]],MATCH(A386,Batters[[#All],[PID]],0)),INDEX(Table3[[#All],[Last]],MATCH(A386,Table3[[#All],[PID]],0)))</f>
        <v>Seto</v>
      </c>
      <c r="G386" s="56">
        <f>IF($C386="B",INDEX(Batters[[#All],[Age]],MATCH(Table5[[#This Row],[PID]],Batters[[#All],[PID]],0)),INDEX(Table3[[#All],[Age]],MATCH(Table5[[#This Row],[PID]],Table3[[#All],[PID]],0)))</f>
        <v>17</v>
      </c>
      <c r="H386" s="52" t="str">
        <f>IF($C386="B",INDEX(Batters[[#All],[B]],MATCH(Table5[[#This Row],[PID]],Batters[[#All],[PID]],0)),INDEX(Table3[[#All],[B]],MATCH(Table5[[#This Row],[PID]],Table3[[#All],[PID]],0)))</f>
        <v>L</v>
      </c>
      <c r="I386" s="52" t="str">
        <f>IF($C386="B",INDEX(Batters[[#All],[T]],MATCH(Table5[[#This Row],[PID]],Batters[[#All],[PID]],0)),INDEX(Table3[[#All],[T]],MATCH(Table5[[#This Row],[PID]],Table3[[#All],[PID]],0)))</f>
        <v>L</v>
      </c>
      <c r="J386" s="52" t="str">
        <f>IF($C386="B",INDEX(Batters[[#All],[WE]],MATCH(Table5[[#This Row],[PID]],Batters[[#All],[PID]],0)),INDEX(Table3[[#All],[WE]],MATCH(Table5[[#This Row],[PID]],Table3[[#All],[PID]],0)))</f>
        <v>Low</v>
      </c>
      <c r="K386" s="52" t="str">
        <f>IF($C386="B",INDEX(Batters[[#All],[INT]],MATCH(Table5[[#This Row],[PID]],Batters[[#All],[PID]],0)),INDEX(Table3[[#All],[INT]],MATCH(Table5[[#This Row],[PID]],Table3[[#All],[PID]],0)))</f>
        <v>Normal</v>
      </c>
      <c r="L386" s="60">
        <f>IF($C386="B",INDEX(Batters[[#All],[CON P]],MATCH(Table5[[#This Row],[PID]],Batters[[#All],[PID]],0)),INDEX(Table3[[#All],[STU P]],MATCH(Table5[[#This Row],[PID]],Table3[[#All],[PID]],0)))</f>
        <v>4</v>
      </c>
      <c r="M386" s="56">
        <f>IF($C386="B",INDEX(Batters[[#All],[GAP P]],MATCH(Table5[[#This Row],[PID]],Batters[[#All],[PID]],0)),INDEX(Table3[[#All],[MOV P]],MATCH(Table5[[#This Row],[PID]],Table3[[#All],[PID]],0)))</f>
        <v>3</v>
      </c>
      <c r="N386" s="56">
        <f>IF($C386="B",INDEX(Batters[[#All],[POW P]],MATCH(Table5[[#This Row],[PID]],Batters[[#All],[PID]],0)),INDEX(Table3[[#All],[CON P]],MATCH(Table5[[#This Row],[PID]],Table3[[#All],[PID]],0)))</f>
        <v>5</v>
      </c>
      <c r="O386" s="56">
        <f>IF($C386="B",INDEX(Batters[[#All],[EYE P]],MATCH(Table5[[#This Row],[PID]],Batters[[#All],[PID]],0)),INDEX(Table3[[#All],[VELO]],MATCH(Table5[[#This Row],[PID]],Table3[[#All],[PID]],0)))</f>
        <v>5</v>
      </c>
      <c r="P386" s="56">
        <f>IF($C386="B",INDEX(Batters[[#All],[K P]],MATCH(Table5[[#This Row],[PID]],Batters[[#All],[PID]],0)),INDEX(Table3[[#All],[STM]],MATCH(Table5[[#This Row],[PID]],Table3[[#All],[PID]],0)))</f>
        <v>4</v>
      </c>
      <c r="Q386" s="61">
        <f>IF($C386="B",INDEX(Batters[[#All],[Tot]],MATCH(Table5[[#This Row],[PID]],Batters[[#All],[PID]],0)),INDEX(Table3[[#All],[Tot]],MATCH(Table5[[#This Row],[PID]],Table3[[#All],[PID]],0)))</f>
        <v>47.081180270021328</v>
      </c>
      <c r="R386" s="52">
        <f>IF($C386="B",INDEX(Batters[[#All],[zScore]],MATCH(Table5[[#This Row],[PID]],Batters[[#All],[PID]],0)),INDEX(Table3[[#All],[zScore]],MATCH(Table5[[#This Row],[PID]],Table3[[#All],[PID]],0)))</f>
        <v>0.65386656459348214</v>
      </c>
      <c r="S386" s="58" t="str">
        <f>IF($C386="B",INDEX(Batters[[#All],[DEM]],MATCH(Table5[[#This Row],[PID]],Batters[[#All],[PID]],0)),INDEX(Table3[[#All],[DEM]],MATCH(Table5[[#This Row],[PID]],Table3[[#All],[PID]],0)))</f>
        <v>$38k</v>
      </c>
      <c r="T386" s="62">
        <f>IF($C386="B",INDEX(Batters[[#All],[Rnk]],MATCH(Table5[[#This Row],[PID]],Batters[[#All],[PID]],0)),INDEX(Table3[[#All],[Rnk]],MATCH(Table5[[#This Row],[PID]],Table3[[#All],[PID]],0)))</f>
        <v>127</v>
      </c>
      <c r="U386" s="68">
        <f>IF($C386="B",VLOOKUP($A386,Bat!$A$4:$BA$1621,47,FALSE),VLOOKUP($A386,Pit!$A$4:$BF$1557,56,FALSE))</f>
        <v>0</v>
      </c>
      <c r="V386" s="50">
        <f>IF($C386="B",VLOOKUP($A386,Bat!$A$4:$BA$1621,48,FALSE),VLOOKUP($A386,Pit!$A$4:$BF$1557,57,FALSE))</f>
        <v>0</v>
      </c>
      <c r="W386" s="50">
        <f>Table5[[#This Row],[posRnk]]+Table5[[#This Row],[zRnk]]+IF($W$3&lt;&gt;Table5[[#This Row],[Type]],50,0)</f>
        <v>497</v>
      </c>
      <c r="X386" s="51">
        <f>RANK(Table5[[#This Row],[zScore]],Table5[[#All],[zScore]])</f>
        <v>320</v>
      </c>
      <c r="Y386" s="50">
        <f>IFERROR(INDEX(DraftResults[[#All],[OVR]],MATCH(Table5[[#This Row],[PID]],DraftResults[[#All],[Player ID]],0)),"")</f>
        <v>382</v>
      </c>
      <c r="Z3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6" s="50">
        <f>IFERROR(INDEX(DraftResults[[#All],[Pick in Round]],MATCH(Table5[[#This Row],[PID]],DraftResults[[#All],[Player ID]],0)),"")</f>
        <v>14</v>
      </c>
      <c r="AB386" s="50" t="str">
        <f>IFERROR(INDEX(DraftResults[[#All],[Team Name]],MATCH(Table5[[#This Row],[PID]],DraftResults[[#All],[Player ID]],0)),"")</f>
        <v>Arlington Bureaucrats</v>
      </c>
      <c r="AC386" s="50">
        <f>IF(Table5[[#This Row],[Ovr]]="","",IF(Table5[[#This Row],[cmbList]]="","",Table5[[#This Row],[cmbList]]-Table5[[#This Row],[Ovr]]))</f>
        <v>115</v>
      </c>
      <c r="AD386" s="54" t="str">
        <f>IF(ISERROR(VLOOKUP($AB386&amp;"-"&amp;$E386&amp;" "&amp;F386,Bonuses!$B$1:$G$1006,4,FALSE)),"",INT(VLOOKUP($AB386&amp;"-"&amp;$E386&amp;" "&amp;$F386,Bonuses!$B$1:$G$1006,4,FALSE)))</f>
        <v/>
      </c>
      <c r="AE3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13.14 (382) - RF Hsiao-lou Seto</v>
      </c>
    </row>
    <row r="387" spans="1:31" s="50" customFormat="1" x14ac:dyDescent="0.25">
      <c r="A387" s="68">
        <v>18320</v>
      </c>
      <c r="B387" s="69">
        <f>COUNTIF(Table5[PID],A387)</f>
        <v>1</v>
      </c>
      <c r="C387" s="69" t="str">
        <f>IF(COUNTIF(Table3[[#All],[PID]],A387)&gt;0,"P","B")</f>
        <v>P</v>
      </c>
      <c r="D387" s="59" t="str">
        <f>IF($C387="B",INDEX(Batters[[#All],[POS]],MATCH(Table5[[#This Row],[PID]],Batters[[#All],[PID]],0)),INDEX(Table3[[#All],[POS]],MATCH(Table5[[#This Row],[PID]],Table3[[#All],[PID]],0)))</f>
        <v>SP</v>
      </c>
      <c r="E387" s="52" t="str">
        <f>IF($C387="B",INDEX(Batters[[#All],[First]],MATCH(Table5[[#This Row],[PID]],Batters[[#All],[PID]],0)),INDEX(Table3[[#All],[First]],MATCH(Table5[[#This Row],[PID]],Table3[[#All],[PID]],0)))</f>
        <v>Yujiro</v>
      </c>
      <c r="F387" s="55" t="str">
        <f>IF($C387="B",INDEX(Batters[[#All],[Last]],MATCH(A387,Batters[[#All],[PID]],0)),INDEX(Table3[[#All],[Last]],MATCH(A387,Table3[[#All],[PID]],0)))</f>
        <v>Tamura</v>
      </c>
      <c r="G387" s="56">
        <f>IF($C387="B",INDEX(Batters[[#All],[Age]],MATCH(Table5[[#This Row],[PID]],Batters[[#All],[PID]],0)),INDEX(Table3[[#All],[Age]],MATCH(Table5[[#This Row],[PID]],Table3[[#All],[PID]],0)))</f>
        <v>21</v>
      </c>
      <c r="H387" s="52" t="str">
        <f>IF($C387="B",INDEX(Batters[[#All],[B]],MATCH(Table5[[#This Row],[PID]],Batters[[#All],[PID]],0)),INDEX(Table3[[#All],[B]],MATCH(Table5[[#This Row],[PID]],Table3[[#All],[PID]],0)))</f>
        <v>L</v>
      </c>
      <c r="I387" s="52" t="str">
        <f>IF($C387="B",INDEX(Batters[[#All],[T]],MATCH(Table5[[#This Row],[PID]],Batters[[#All],[PID]],0)),INDEX(Table3[[#All],[T]],MATCH(Table5[[#This Row],[PID]],Table3[[#All],[PID]],0)))</f>
        <v>R</v>
      </c>
      <c r="J387" s="71" t="str">
        <f>IF($C387="B",INDEX(Batters[[#All],[WE]],MATCH(Table5[[#This Row],[PID]],Batters[[#All],[PID]],0)),INDEX(Table3[[#All],[WE]],MATCH(Table5[[#This Row],[PID]],Table3[[#All],[PID]],0)))</f>
        <v>Low</v>
      </c>
      <c r="K387" s="52" t="str">
        <f>IF($C387="B",INDEX(Batters[[#All],[INT]],MATCH(Table5[[#This Row],[PID]],Batters[[#All],[PID]],0)),INDEX(Table3[[#All],[INT]],MATCH(Table5[[#This Row],[PID]],Table3[[#All],[PID]],0)))</f>
        <v>Normal</v>
      </c>
      <c r="L387" s="60">
        <f>IF($C387="B",INDEX(Batters[[#All],[CON P]],MATCH(Table5[[#This Row],[PID]],Batters[[#All],[PID]],0)),INDEX(Table3[[#All],[STU P]],MATCH(Table5[[#This Row],[PID]],Table3[[#All],[PID]],0)))</f>
        <v>4</v>
      </c>
      <c r="M387" s="72">
        <f>IF($C387="B",INDEX(Batters[[#All],[GAP P]],MATCH(Table5[[#This Row],[PID]],Batters[[#All],[PID]],0)),INDEX(Table3[[#All],[MOV P]],MATCH(Table5[[#This Row],[PID]],Table3[[#All],[PID]],0)))</f>
        <v>3</v>
      </c>
      <c r="N387" s="72">
        <f>IF($C387="B",INDEX(Batters[[#All],[POW P]],MATCH(Table5[[#This Row],[PID]],Batters[[#All],[PID]],0)),INDEX(Table3[[#All],[CON P]],MATCH(Table5[[#This Row],[PID]],Table3[[#All],[PID]],0)))</f>
        <v>6</v>
      </c>
      <c r="O387" s="72" t="str">
        <f>IF($C387="B",INDEX(Batters[[#All],[EYE P]],MATCH(Table5[[#This Row],[PID]],Batters[[#All],[PID]],0)),INDEX(Table3[[#All],[VELO]],MATCH(Table5[[#This Row],[PID]],Table3[[#All],[PID]],0)))</f>
        <v>90-92 Mph</v>
      </c>
      <c r="P387" s="56">
        <f>IF($C387="B",INDEX(Batters[[#All],[K P]],MATCH(Table5[[#This Row],[PID]],Batters[[#All],[PID]],0)),INDEX(Table3[[#All],[STM]],MATCH(Table5[[#This Row],[PID]],Table3[[#All],[PID]],0)))</f>
        <v>8</v>
      </c>
      <c r="Q387" s="61">
        <f>IF($C387="B",INDEX(Batters[[#All],[Tot]],MATCH(Table5[[#This Row],[PID]],Batters[[#All],[PID]],0)),INDEX(Table3[[#All],[Tot]],MATCH(Table5[[#This Row],[PID]],Table3[[#All],[PID]],0)))</f>
        <v>49.470623810178594</v>
      </c>
      <c r="R387" s="52">
        <f>IF($C387="B",INDEX(Batters[[#All],[zScore]],MATCH(Table5[[#This Row],[PID]],Batters[[#All],[PID]],0)),INDEX(Table3[[#All],[zScore]],MATCH(Table5[[#This Row],[PID]],Table3[[#All],[PID]],0)))</f>
        <v>0.90479372202068054</v>
      </c>
      <c r="S387" s="78" t="str">
        <f>IF($C387="B",INDEX(Batters[[#All],[DEM]],MATCH(Table5[[#This Row],[PID]],Batters[[#All],[PID]],0)),INDEX(Table3[[#All],[DEM]],MATCH(Table5[[#This Row],[PID]],Table3[[#All],[PID]],0)))</f>
        <v>$20k</v>
      </c>
      <c r="T387" s="75">
        <f>IF($C387="B",INDEX(Batters[[#All],[Rnk]],MATCH(Table5[[#This Row],[PID]],Batters[[#All],[PID]],0)),INDEX(Table3[[#All],[Rnk]],MATCH(Table5[[#This Row],[PID]],Table3[[#All],[PID]],0)))</f>
        <v>153</v>
      </c>
      <c r="U387" s="68">
        <f>IF($C387="B",VLOOKUP($A387,Bat!$A$4:$BA$1621,47,FALSE),VLOOKUP($A387,Pit!$A$4:$BF$1557,56,FALSE))</f>
        <v>0</v>
      </c>
      <c r="V387" s="50">
        <f>IF($C387="B",VLOOKUP($A387,Bat!$A$4:$BA$1621,48,FALSE),VLOOKUP($A387,Pit!$A$4:$BF$1557,57,FALSE))</f>
        <v>0</v>
      </c>
      <c r="W387" s="69">
        <f>Table5[[#This Row],[posRnk]]+Table5[[#This Row],[zRnk]]+IF($W$3&lt;&gt;Table5[[#This Row],[Type]],50,0)</f>
        <v>456</v>
      </c>
      <c r="X387" s="73">
        <f>RANK(Table5[[#This Row],[zScore]],Table5[[#All],[zScore]])</f>
        <v>253</v>
      </c>
      <c r="Y387" s="69">
        <f>IFERROR(INDEX(DraftResults[[#All],[OVR]],MATCH(Table5[[#This Row],[PID]],DraftResults[[#All],[Player ID]],0)),"")</f>
        <v>383</v>
      </c>
      <c r="Z38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7" s="69">
        <f>IFERROR(INDEX(DraftResults[[#All],[Pick in Round]],MATCH(Table5[[#This Row],[PID]],DraftResults[[#All],[Player ID]],0)),"")</f>
        <v>15</v>
      </c>
      <c r="AB387" s="69" t="str">
        <f>IFERROR(INDEX(DraftResults[[#All],[Team Name]],MATCH(Table5[[#This Row],[PID]],DraftResults[[#All],[Player ID]],0)),"")</f>
        <v>Kentucky Thoroughbreds</v>
      </c>
      <c r="AC387" s="69">
        <f>IF(Table5[[#This Row],[Ovr]]="","",IF(Table5[[#This Row],[cmbList]]="","",Table5[[#This Row],[cmbList]]-Table5[[#This Row],[Ovr]]))</f>
        <v>73</v>
      </c>
      <c r="AD387" s="77" t="str">
        <f>IF(ISERROR(VLOOKUP($AB387&amp;"-"&amp;$E387&amp;" "&amp;F387,Bonuses!$B$1:$G$1006,4,FALSE)),"",INT(VLOOKUP($AB387&amp;"-"&amp;$E387&amp;" "&amp;$F387,Bonuses!$B$1:$G$1006,4,FALSE)))</f>
        <v/>
      </c>
      <c r="AE38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13.15 (383) - SP Yujiro Tamura</v>
      </c>
    </row>
    <row r="388" spans="1:31" s="50" customFormat="1" x14ac:dyDescent="0.25">
      <c r="A388" s="50">
        <v>13100</v>
      </c>
      <c r="B388" s="50">
        <f>COUNTIF(Table5[PID],A388)</f>
        <v>1</v>
      </c>
      <c r="C388" s="50" t="str">
        <f>IF(COUNTIF(Table3[[#All],[PID]],A388)&gt;0,"P","B")</f>
        <v>P</v>
      </c>
      <c r="D388" s="59" t="str">
        <f>IF($C388="B",INDEX(Batters[[#All],[POS]],MATCH(Table5[[#This Row],[PID]],Batters[[#All],[PID]],0)),INDEX(Table3[[#All],[POS]],MATCH(Table5[[#This Row],[PID]],Table3[[#All],[PID]],0)))</f>
        <v>RP</v>
      </c>
      <c r="E388" s="52" t="str">
        <f>IF($C388="B",INDEX(Batters[[#All],[First]],MATCH(Table5[[#This Row],[PID]],Batters[[#All],[PID]],0)),INDEX(Table3[[#All],[First]],MATCH(Table5[[#This Row],[PID]],Table3[[#All],[PID]],0)))</f>
        <v>José</v>
      </c>
      <c r="F388" s="50" t="str">
        <f>IF($C388="B",INDEX(Batters[[#All],[Last]],MATCH(A388,Batters[[#All],[PID]],0)),INDEX(Table3[[#All],[Last]],MATCH(A388,Table3[[#All],[PID]],0)))</f>
        <v>Silva</v>
      </c>
      <c r="G388" s="56">
        <f>IF($C388="B",INDEX(Batters[[#All],[Age]],MATCH(Table5[[#This Row],[PID]],Batters[[#All],[PID]],0)),INDEX(Table3[[#All],[Age]],MATCH(Table5[[#This Row],[PID]],Table3[[#All],[PID]],0)))</f>
        <v>18</v>
      </c>
      <c r="H388" s="52" t="str">
        <f>IF($C388="B",INDEX(Batters[[#All],[B]],MATCH(Table5[[#This Row],[PID]],Batters[[#All],[PID]],0)),INDEX(Table3[[#All],[B]],MATCH(Table5[[#This Row],[PID]],Table3[[#All],[PID]],0)))</f>
        <v>R</v>
      </c>
      <c r="I388" s="52" t="str">
        <f>IF($C388="B",INDEX(Batters[[#All],[T]],MATCH(Table5[[#This Row],[PID]],Batters[[#All],[PID]],0)),INDEX(Table3[[#All],[T]],MATCH(Table5[[#This Row],[PID]],Table3[[#All],[PID]],0)))</f>
        <v>R</v>
      </c>
      <c r="J388" s="52" t="str">
        <f>IF($C388="B",INDEX(Batters[[#All],[WE]],MATCH(Table5[[#This Row],[PID]],Batters[[#All],[PID]],0)),INDEX(Table3[[#All],[WE]],MATCH(Table5[[#This Row],[PID]],Table3[[#All],[PID]],0)))</f>
        <v>Normal</v>
      </c>
      <c r="K388" s="52" t="str">
        <f>IF($C388="B",INDEX(Batters[[#All],[INT]],MATCH(Table5[[#This Row],[PID]],Batters[[#All],[PID]],0)),INDEX(Table3[[#All],[INT]],MATCH(Table5[[#This Row],[PID]],Table3[[#All],[PID]],0)))</f>
        <v>Low</v>
      </c>
      <c r="L388" s="60">
        <f>IF($C388="B",INDEX(Batters[[#All],[CON P]],MATCH(Table5[[#This Row],[PID]],Batters[[#All],[PID]],0)),INDEX(Table3[[#All],[STU P]],MATCH(Table5[[#This Row],[PID]],Table3[[#All],[PID]],0)))</f>
        <v>4</v>
      </c>
      <c r="M388" s="56">
        <f>IF($C388="B",INDEX(Batters[[#All],[GAP P]],MATCH(Table5[[#This Row],[PID]],Batters[[#All],[PID]],0)),INDEX(Table3[[#All],[MOV P]],MATCH(Table5[[#This Row],[PID]],Table3[[#All],[PID]],0)))</f>
        <v>4</v>
      </c>
      <c r="N388" s="56">
        <f>IF($C388="B",INDEX(Batters[[#All],[POW P]],MATCH(Table5[[#This Row],[PID]],Batters[[#All],[PID]],0)),INDEX(Table3[[#All],[CON P]],MATCH(Table5[[#This Row],[PID]],Table3[[#All],[PID]],0)))</f>
        <v>5</v>
      </c>
      <c r="O388" s="56" t="str">
        <f>IF($C388="B",INDEX(Batters[[#All],[EYE P]],MATCH(Table5[[#This Row],[PID]],Batters[[#All],[PID]],0)),INDEX(Table3[[#All],[VELO]],MATCH(Table5[[#This Row],[PID]],Table3[[#All],[PID]],0)))</f>
        <v>86-88 Mph</v>
      </c>
      <c r="P388" s="56">
        <f>IF($C388="B",INDEX(Batters[[#All],[K P]],MATCH(Table5[[#This Row],[PID]],Batters[[#All],[PID]],0)),INDEX(Table3[[#All],[STM]],MATCH(Table5[[#This Row],[PID]],Table3[[#All],[PID]],0)))</f>
        <v>7</v>
      </c>
      <c r="Q388" s="61">
        <f>IF($C388="B",INDEX(Batters[[#All],[Tot]],MATCH(Table5[[#This Row],[PID]],Batters[[#All],[PID]],0)),INDEX(Table3[[#All],[Tot]],MATCH(Table5[[#This Row],[PID]],Table3[[#All],[PID]],0)))</f>
        <v>51.625926117176306</v>
      </c>
      <c r="R388" s="52">
        <f>IF($C388="B",INDEX(Batters[[#All],[zScore]],MATCH(Table5[[#This Row],[PID]],Batters[[#All],[PID]],0)),INDEX(Table3[[#All],[zScore]],MATCH(Table5[[#This Row],[PID]],Table3[[#All],[PID]],0)))</f>
        <v>1.0481826909687255</v>
      </c>
      <c r="S388" s="58" t="str">
        <f>IF($C388="B",INDEX(Batters[[#All],[DEM]],MATCH(Table5[[#This Row],[PID]],Batters[[#All],[PID]],0)),INDEX(Table3[[#All],[DEM]],MATCH(Table5[[#This Row],[PID]],Table3[[#All],[PID]],0)))</f>
        <v>$65k</v>
      </c>
      <c r="T388" s="62">
        <f>IF($C388="B",INDEX(Batters[[#All],[Rnk]],MATCH(Table5[[#This Row],[PID]],Batters[[#All],[PID]],0)),INDEX(Table3[[#All],[Rnk]],MATCH(Table5[[#This Row],[PID]],Table3[[#All],[PID]],0)))</f>
        <v>131</v>
      </c>
      <c r="U388" s="68">
        <f>IF($C388="B",VLOOKUP($A388,Bat!$A$4:$BA$1621,47,FALSE),VLOOKUP($A388,Pit!$A$4:$BF$1557,56,FALSE))</f>
        <v>0</v>
      </c>
      <c r="V388" s="50">
        <f>IF($C388="B",VLOOKUP($A388,Bat!$A$4:$BA$1621,48,FALSE),VLOOKUP($A388,Pit!$A$4:$BF$1557,57,FALSE))</f>
        <v>0</v>
      </c>
      <c r="W388" s="50">
        <f>Table5[[#This Row],[posRnk]]+Table5[[#This Row],[zRnk]]+IF($W$3&lt;&gt;Table5[[#This Row],[Type]],50,0)</f>
        <v>398</v>
      </c>
      <c r="X388" s="51">
        <f>RANK(Table5[[#This Row],[zScore]],Table5[[#All],[zScore]])</f>
        <v>217</v>
      </c>
      <c r="Y388" s="50">
        <f>IFERROR(INDEX(DraftResults[[#All],[OVR]],MATCH(Table5[[#This Row],[PID]],DraftResults[[#All],[Player ID]],0)),"")</f>
        <v>384</v>
      </c>
      <c r="Z3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8" s="50">
        <f>IFERROR(INDEX(DraftResults[[#All],[Pick in Round]],MATCH(Table5[[#This Row],[PID]],DraftResults[[#All],[Player ID]],0)),"")</f>
        <v>16</v>
      </c>
      <c r="AB388" s="50" t="str">
        <f>IFERROR(INDEX(DraftResults[[#All],[Team Name]],MATCH(Table5[[#This Row],[PID]],DraftResults[[#All],[Player ID]],0)),"")</f>
        <v>San Antonio Calzones of Laredo</v>
      </c>
      <c r="AC388" s="50">
        <f>IF(Table5[[#This Row],[Ovr]]="","",IF(Table5[[#This Row],[cmbList]]="","",Table5[[#This Row],[cmbList]]-Table5[[#This Row],[Ovr]]))</f>
        <v>14</v>
      </c>
      <c r="AD388" s="54" t="str">
        <f>IF(ISERROR(VLOOKUP($AB388&amp;"-"&amp;$E388&amp;" "&amp;F388,Bonuses!$B$1:$G$1006,4,FALSE)),"",INT(VLOOKUP($AB388&amp;"-"&amp;$E388&amp;" "&amp;$F388,Bonuses!$B$1:$G$1006,4,FALSE)))</f>
        <v/>
      </c>
      <c r="AE3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13.16 (384) - RP José Silva</v>
      </c>
    </row>
    <row r="389" spans="1:31" s="50" customFormat="1" x14ac:dyDescent="0.25">
      <c r="A389" s="50">
        <v>16486</v>
      </c>
      <c r="B389" s="50">
        <f>COUNTIF(Table5[PID],A389)</f>
        <v>1</v>
      </c>
      <c r="C389" s="50" t="str">
        <f>IF(COUNTIF(Table3[[#All],[PID]],A389)&gt;0,"P","B")</f>
        <v>B</v>
      </c>
      <c r="D389" s="59" t="str">
        <f>IF($C389="B",INDEX(Batters[[#All],[POS]],MATCH(Table5[[#This Row],[PID]],Batters[[#All],[PID]],0)),INDEX(Table3[[#All],[POS]],MATCH(Table5[[#This Row],[PID]],Table3[[#All],[PID]],0)))</f>
        <v>2B</v>
      </c>
      <c r="E389" s="52" t="str">
        <f>IF($C389="B",INDEX(Batters[[#All],[First]],MATCH(Table5[[#This Row],[PID]],Batters[[#All],[PID]],0)),INDEX(Table3[[#All],[First]],MATCH(Table5[[#This Row],[PID]],Table3[[#All],[PID]],0)))</f>
        <v>James</v>
      </c>
      <c r="F389" s="50" t="str">
        <f>IF($C389="B",INDEX(Batters[[#All],[Last]],MATCH(A389,Batters[[#All],[PID]],0)),INDEX(Table3[[#All],[Last]],MATCH(A389,Table3[[#All],[PID]],0)))</f>
        <v>King</v>
      </c>
      <c r="G389" s="56">
        <f>IF($C389="B",INDEX(Batters[[#All],[Age]],MATCH(Table5[[#This Row],[PID]],Batters[[#All],[PID]],0)),INDEX(Table3[[#All],[Age]],MATCH(Table5[[#This Row],[PID]],Table3[[#All],[PID]],0)))</f>
        <v>21</v>
      </c>
      <c r="H389" s="52" t="str">
        <f>IF($C389="B",INDEX(Batters[[#All],[B]],MATCH(Table5[[#This Row],[PID]],Batters[[#All],[PID]],0)),INDEX(Table3[[#All],[B]],MATCH(Table5[[#This Row],[PID]],Table3[[#All],[PID]],0)))</f>
        <v>R</v>
      </c>
      <c r="I389" s="52" t="str">
        <f>IF($C389="B",INDEX(Batters[[#All],[T]],MATCH(Table5[[#This Row],[PID]],Batters[[#All],[PID]],0)),INDEX(Table3[[#All],[T]],MATCH(Table5[[#This Row],[PID]],Table3[[#All],[PID]],0)))</f>
        <v>R</v>
      </c>
      <c r="J389" s="52" t="str">
        <f>IF($C389="B",INDEX(Batters[[#All],[WE]],MATCH(Table5[[#This Row],[PID]],Batters[[#All],[PID]],0)),INDEX(Table3[[#All],[WE]],MATCH(Table5[[#This Row],[PID]],Table3[[#All],[PID]],0)))</f>
        <v>High</v>
      </c>
      <c r="K389" s="52" t="str">
        <f>IF($C389="B",INDEX(Batters[[#All],[INT]],MATCH(Table5[[#This Row],[PID]],Batters[[#All],[PID]],0)),INDEX(Table3[[#All],[INT]],MATCH(Table5[[#This Row],[PID]],Table3[[#All],[PID]],0)))</f>
        <v>Low</v>
      </c>
      <c r="L389" s="60">
        <f>IF($C389="B",INDEX(Batters[[#All],[CON P]],MATCH(Table5[[#This Row],[PID]],Batters[[#All],[PID]],0)),INDEX(Table3[[#All],[STU P]],MATCH(Table5[[#This Row],[PID]],Table3[[#All],[PID]],0)))</f>
        <v>5</v>
      </c>
      <c r="M389" s="56">
        <f>IF($C389="B",INDEX(Batters[[#All],[GAP P]],MATCH(Table5[[#This Row],[PID]],Batters[[#All],[PID]],0)),INDEX(Table3[[#All],[MOV P]],MATCH(Table5[[#This Row],[PID]],Table3[[#All],[PID]],0)))</f>
        <v>4</v>
      </c>
      <c r="N389" s="56">
        <f>IF($C389="B",INDEX(Batters[[#All],[POW P]],MATCH(Table5[[#This Row],[PID]],Batters[[#All],[PID]],0)),INDEX(Table3[[#All],[CON P]],MATCH(Table5[[#This Row],[PID]],Table3[[#All],[PID]],0)))</f>
        <v>3</v>
      </c>
      <c r="O389" s="56">
        <f>IF($C389="B",INDEX(Batters[[#All],[EYE P]],MATCH(Table5[[#This Row],[PID]],Batters[[#All],[PID]],0)),INDEX(Table3[[#All],[VELO]],MATCH(Table5[[#This Row],[PID]],Table3[[#All],[PID]],0)))</f>
        <v>4</v>
      </c>
      <c r="P389" s="56">
        <f>IF($C389="B",INDEX(Batters[[#All],[K P]],MATCH(Table5[[#This Row],[PID]],Batters[[#All],[PID]],0)),INDEX(Table3[[#All],[STM]],MATCH(Table5[[#This Row],[PID]],Table3[[#All],[PID]],0)))</f>
        <v>5</v>
      </c>
      <c r="Q389" s="61">
        <f>IF($C389="B",INDEX(Batters[[#All],[Tot]],MATCH(Table5[[#This Row],[PID]],Batters[[#All],[PID]],0)),INDEX(Table3[[#All],[Tot]],MATCH(Table5[[#This Row],[PID]],Table3[[#All],[PID]],0)))</f>
        <v>44.944088754757686</v>
      </c>
      <c r="R389" s="52">
        <f>IF($C389="B",INDEX(Batters[[#All],[zScore]],MATCH(Table5[[#This Row],[PID]],Batters[[#All],[PID]],0)),INDEX(Table3[[#All],[zScore]],MATCH(Table5[[#This Row],[PID]],Table3[[#All],[PID]],0)))</f>
        <v>0.18005893026152797</v>
      </c>
      <c r="S389" s="58" t="str">
        <f>IF($C389="B",INDEX(Batters[[#All],[DEM]],MATCH(Table5[[#This Row],[PID]],Batters[[#All],[PID]],0)),INDEX(Table3[[#All],[DEM]],MATCH(Table5[[#This Row],[PID]],Table3[[#All],[PID]],0)))</f>
        <v>-</v>
      </c>
      <c r="T389" s="62">
        <f>IF($C389="B",INDEX(Batters[[#All],[Rnk]],MATCH(Table5[[#This Row],[PID]],Batters[[#All],[PID]],0)),INDEX(Table3[[#All],[Rnk]],MATCH(Table5[[#This Row],[PID]],Table3[[#All],[PID]],0)))</f>
        <v>209</v>
      </c>
      <c r="U389" s="68">
        <f>IF($C389="B",VLOOKUP($A389,Bat!$A$4:$BA$1621,47,FALSE),VLOOKUP($A389,Pit!$A$4:$BF$1557,56,FALSE))</f>
        <v>0</v>
      </c>
      <c r="V389" s="50">
        <f>IF($C389="B",VLOOKUP($A389,Bat!$A$4:$BA$1621,48,FALSE),VLOOKUP($A389,Pit!$A$4:$BF$1557,57,FALSE))</f>
        <v>0</v>
      </c>
      <c r="W389" s="50">
        <f>Table5[[#This Row],[posRnk]]+Table5[[#This Row],[zRnk]]+IF($W$3&lt;&gt;Table5[[#This Row],[Type]],50,0)</f>
        <v>739</v>
      </c>
      <c r="X389" s="51">
        <f>RANK(Table5[[#This Row],[zScore]],Table5[[#All],[zScore]])</f>
        <v>480</v>
      </c>
      <c r="Y389" s="50">
        <f>IFERROR(INDEX(DraftResults[[#All],[OVR]],MATCH(Table5[[#This Row],[PID]],DraftResults[[#All],[Player ID]],0)),"")</f>
        <v>385</v>
      </c>
      <c r="Z3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89" s="50">
        <f>IFERROR(INDEX(DraftResults[[#All],[Pick in Round]],MATCH(Table5[[#This Row],[PID]],DraftResults[[#All],[Player ID]],0)),"")</f>
        <v>17</v>
      </c>
      <c r="AB389" s="50" t="str">
        <f>IFERROR(INDEX(DraftResults[[#All],[Team Name]],MATCH(Table5[[#This Row],[PID]],DraftResults[[#All],[Player ID]],0)),"")</f>
        <v>Madison Malts</v>
      </c>
      <c r="AC389" s="50">
        <f>IF(Table5[[#This Row],[Ovr]]="","",IF(Table5[[#This Row],[cmbList]]="","",Table5[[#This Row],[cmbList]]-Table5[[#This Row],[Ovr]]))</f>
        <v>354</v>
      </c>
      <c r="AD389" s="54" t="str">
        <f>IF(ISERROR(VLOOKUP($AB389&amp;"-"&amp;$E389&amp;" "&amp;F389,Bonuses!$B$1:$G$1006,4,FALSE)),"",INT(VLOOKUP($AB389&amp;"-"&amp;$E389&amp;" "&amp;$F389,Bonuses!$B$1:$G$1006,4,FALSE)))</f>
        <v/>
      </c>
      <c r="AE3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13.17 (385) - 2B James King</v>
      </c>
    </row>
    <row r="390" spans="1:31" s="50" customFormat="1" x14ac:dyDescent="0.25">
      <c r="A390" s="68">
        <v>20827</v>
      </c>
      <c r="B390" s="69">
        <f>COUNTIF(Table5[PID],A390)</f>
        <v>1</v>
      </c>
      <c r="C390" s="69" t="str">
        <f>IF(COUNTIF(Table3[[#All],[PID]],A390)&gt;0,"P","B")</f>
        <v>P</v>
      </c>
      <c r="D390" s="59" t="str">
        <f>IF($C390="B",INDEX(Batters[[#All],[POS]],MATCH(Table5[[#This Row],[PID]],Batters[[#All],[PID]],0)),INDEX(Table3[[#All],[POS]],MATCH(Table5[[#This Row],[PID]],Table3[[#All],[PID]],0)))</f>
        <v>SP</v>
      </c>
      <c r="E390" s="52" t="str">
        <f>IF($C390="B",INDEX(Batters[[#All],[First]],MATCH(Table5[[#This Row],[PID]],Batters[[#All],[PID]],0)),INDEX(Table3[[#All],[First]],MATCH(Table5[[#This Row],[PID]],Table3[[#All],[PID]],0)))</f>
        <v>Duane</v>
      </c>
      <c r="F390" s="55" t="str">
        <f>IF($C390="B",INDEX(Batters[[#All],[Last]],MATCH(A390,Batters[[#All],[PID]],0)),INDEX(Table3[[#All],[Last]],MATCH(A390,Table3[[#All],[PID]],0)))</f>
        <v>Moore</v>
      </c>
      <c r="G390" s="56">
        <f>IF($C390="B",INDEX(Batters[[#All],[Age]],MATCH(Table5[[#This Row],[PID]],Batters[[#All],[PID]],0)),INDEX(Table3[[#All],[Age]],MATCH(Table5[[#This Row],[PID]],Table3[[#All],[PID]],0)))</f>
        <v>17</v>
      </c>
      <c r="H390" s="52" t="str">
        <f>IF($C390="B",INDEX(Batters[[#All],[B]],MATCH(Table5[[#This Row],[PID]],Batters[[#All],[PID]],0)),INDEX(Table3[[#All],[B]],MATCH(Table5[[#This Row],[PID]],Table3[[#All],[PID]],0)))</f>
        <v>L</v>
      </c>
      <c r="I390" s="52" t="str">
        <f>IF($C390="B",INDEX(Batters[[#All],[T]],MATCH(Table5[[#This Row],[PID]],Batters[[#All],[PID]],0)),INDEX(Table3[[#All],[T]],MATCH(Table5[[#This Row],[PID]],Table3[[#All],[PID]],0)))</f>
        <v>L</v>
      </c>
      <c r="J390" s="71" t="str">
        <f>IF($C390="B",INDEX(Batters[[#All],[WE]],MATCH(Table5[[#This Row],[PID]],Batters[[#All],[PID]],0)),INDEX(Table3[[#All],[WE]],MATCH(Table5[[#This Row],[PID]],Table3[[#All],[PID]],0)))</f>
        <v>Normal</v>
      </c>
      <c r="K390" s="52" t="str">
        <f>IF($C390="B",INDEX(Batters[[#All],[INT]],MATCH(Table5[[#This Row],[PID]],Batters[[#All],[PID]],0)),INDEX(Table3[[#All],[INT]],MATCH(Table5[[#This Row],[PID]],Table3[[#All],[PID]],0)))</f>
        <v>Normal</v>
      </c>
      <c r="L390" s="60">
        <f>IF($C390="B",INDEX(Batters[[#All],[CON P]],MATCH(Table5[[#This Row],[PID]],Batters[[#All],[PID]],0)),INDEX(Table3[[#All],[STU P]],MATCH(Table5[[#This Row],[PID]],Table3[[#All],[PID]],0)))</f>
        <v>5</v>
      </c>
      <c r="M390" s="72">
        <f>IF($C390="B",INDEX(Batters[[#All],[GAP P]],MATCH(Table5[[#This Row],[PID]],Batters[[#All],[PID]],0)),INDEX(Table3[[#All],[MOV P]],MATCH(Table5[[#This Row],[PID]],Table3[[#All],[PID]],0)))</f>
        <v>3</v>
      </c>
      <c r="N390" s="72">
        <f>IF($C390="B",INDEX(Batters[[#All],[POW P]],MATCH(Table5[[#This Row],[PID]],Batters[[#All],[PID]],0)),INDEX(Table3[[#All],[CON P]],MATCH(Table5[[#This Row],[PID]],Table3[[#All],[PID]],0)))</f>
        <v>4</v>
      </c>
      <c r="O390" s="72" t="str">
        <f>IF($C390="B",INDEX(Batters[[#All],[EYE P]],MATCH(Table5[[#This Row],[PID]],Batters[[#All],[PID]],0)),INDEX(Table3[[#All],[VELO]],MATCH(Table5[[#This Row],[PID]],Table3[[#All],[PID]],0)))</f>
        <v>90-92 Mph</v>
      </c>
      <c r="P390" s="56">
        <f>IF($C390="B",INDEX(Batters[[#All],[K P]],MATCH(Table5[[#This Row],[PID]],Batters[[#All],[PID]],0)),INDEX(Table3[[#All],[STM]],MATCH(Table5[[#This Row],[PID]],Table3[[#All],[PID]],0)))</f>
        <v>6</v>
      </c>
      <c r="Q390" s="61">
        <f>IF($C390="B",INDEX(Batters[[#All],[Tot]],MATCH(Table5[[#This Row],[PID]],Batters[[#All],[PID]],0)),INDEX(Table3[[#All],[Tot]],MATCH(Table5[[#This Row],[PID]],Table3[[#All],[PID]],0)))</f>
        <v>48.364928939254213</v>
      </c>
      <c r="R390" s="52">
        <f>IF($C390="B",INDEX(Batters[[#All],[zScore]],MATCH(Table5[[#This Row],[PID]],Batters[[#All],[PID]],0)),INDEX(Table3[[#All],[zScore]],MATCH(Table5[[#This Row],[PID]],Table3[[#All],[PID]],0)))</f>
        <v>0.72343584946605344</v>
      </c>
      <c r="S390" s="78" t="str">
        <f>IF($C390="B",INDEX(Batters[[#All],[DEM]],MATCH(Table5[[#This Row],[PID]],Batters[[#All],[PID]],0)),INDEX(Table3[[#All],[DEM]],MATCH(Table5[[#This Row],[PID]],Table3[[#All],[PID]],0)))</f>
        <v>$70k</v>
      </c>
      <c r="T390" s="75">
        <f>IF($C390="B",INDEX(Batters[[#All],[Rnk]],MATCH(Table5[[#This Row],[PID]],Batters[[#All],[PID]],0)),INDEX(Table3[[#All],[Rnk]],MATCH(Table5[[#This Row],[PID]],Table3[[#All],[PID]],0)))</f>
        <v>185</v>
      </c>
      <c r="U390" s="68">
        <f>IF($C390="B",VLOOKUP($A390,Bat!$A$4:$BA$1621,47,FALSE),VLOOKUP($A390,Pit!$A$4:$BF$1557,56,FALSE))</f>
        <v>0</v>
      </c>
      <c r="V390" s="50">
        <f>IF($C390="B",VLOOKUP($A390,Bat!$A$4:$BA$1621,48,FALSE),VLOOKUP($A390,Pit!$A$4:$BF$1557,57,FALSE))</f>
        <v>0</v>
      </c>
      <c r="W390" s="69">
        <f>Table5[[#This Row],[posRnk]]+Table5[[#This Row],[zRnk]]+IF($W$3&lt;&gt;Table5[[#This Row],[Type]],50,0)</f>
        <v>538</v>
      </c>
      <c r="X390" s="73">
        <f>RANK(Table5[[#This Row],[zScore]],Table5[[#All],[zScore]])</f>
        <v>303</v>
      </c>
      <c r="Y390" s="69">
        <f>IFERROR(INDEX(DraftResults[[#All],[OVR]],MATCH(Table5[[#This Row],[PID]],DraftResults[[#All],[Player ID]],0)),"")</f>
        <v>386</v>
      </c>
      <c r="Z39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0" s="69">
        <f>IFERROR(INDEX(DraftResults[[#All],[Pick in Round]],MATCH(Table5[[#This Row],[PID]],DraftResults[[#All],[Player ID]],0)),"")</f>
        <v>18</v>
      </c>
      <c r="AB390" s="69" t="str">
        <f>IFERROR(INDEX(DraftResults[[#All],[Team Name]],MATCH(Table5[[#This Row],[PID]],DraftResults[[#All],[Player ID]],0)),"")</f>
        <v>Bakersfield Bears</v>
      </c>
      <c r="AC390" s="69">
        <f>IF(Table5[[#This Row],[Ovr]]="","",IF(Table5[[#This Row],[cmbList]]="","",Table5[[#This Row],[cmbList]]-Table5[[#This Row],[Ovr]]))</f>
        <v>152</v>
      </c>
      <c r="AD390" s="77" t="str">
        <f>IF(ISERROR(VLOOKUP($AB390&amp;"-"&amp;$E390&amp;" "&amp;F390,Bonuses!$B$1:$G$1006,4,FALSE)),"",INT(VLOOKUP($AB390&amp;"-"&amp;$E390&amp;" "&amp;$F390,Bonuses!$B$1:$G$1006,4,FALSE)))</f>
        <v/>
      </c>
      <c r="AE39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13.18 (386) - SP Duane Moore</v>
      </c>
    </row>
    <row r="391" spans="1:31" s="50" customFormat="1" x14ac:dyDescent="0.25">
      <c r="A391" s="50">
        <v>20372</v>
      </c>
      <c r="B391" s="50">
        <f>COUNTIF(Table5[PID],A391)</f>
        <v>1</v>
      </c>
      <c r="C391" s="50" t="str">
        <f>IF(COUNTIF(Table3[[#All],[PID]],A391)&gt;0,"P","B")</f>
        <v>B</v>
      </c>
      <c r="D391" s="59" t="str">
        <f>IF($C391="B",INDEX(Batters[[#All],[POS]],MATCH(Table5[[#This Row],[PID]],Batters[[#All],[PID]],0)),INDEX(Table3[[#All],[POS]],MATCH(Table5[[#This Row],[PID]],Table3[[#All],[PID]],0)))</f>
        <v>2B</v>
      </c>
      <c r="E391" s="52" t="str">
        <f>IF($C391="B",INDEX(Batters[[#All],[First]],MATCH(Table5[[#This Row],[PID]],Batters[[#All],[PID]],0)),INDEX(Table3[[#All],[First]],MATCH(Table5[[#This Row],[PID]],Table3[[#All],[PID]],0)))</f>
        <v>Travis</v>
      </c>
      <c r="F391" s="50" t="str">
        <f>IF($C391="B",INDEX(Batters[[#All],[Last]],MATCH(A391,Batters[[#All],[PID]],0)),INDEX(Table3[[#All],[Last]],MATCH(A391,Table3[[#All],[PID]],0)))</f>
        <v>Jackson</v>
      </c>
      <c r="G391" s="56">
        <f>IF($C391="B",INDEX(Batters[[#All],[Age]],MATCH(Table5[[#This Row],[PID]],Batters[[#All],[PID]],0)),INDEX(Table3[[#All],[Age]],MATCH(Table5[[#This Row],[PID]],Table3[[#All],[PID]],0)))</f>
        <v>17</v>
      </c>
      <c r="H391" s="52" t="str">
        <f>IF($C391="B",INDEX(Batters[[#All],[B]],MATCH(Table5[[#This Row],[PID]],Batters[[#All],[PID]],0)),INDEX(Table3[[#All],[B]],MATCH(Table5[[#This Row],[PID]],Table3[[#All],[PID]],0)))</f>
        <v>R</v>
      </c>
      <c r="I391" s="52" t="str">
        <f>IF($C391="B",INDEX(Batters[[#All],[T]],MATCH(Table5[[#This Row],[PID]],Batters[[#All],[PID]],0)),INDEX(Table3[[#All],[T]],MATCH(Table5[[#This Row],[PID]],Table3[[#All],[PID]],0)))</f>
        <v>R</v>
      </c>
      <c r="J391" s="52" t="str">
        <f>IF($C391="B",INDEX(Batters[[#All],[WE]],MATCH(Table5[[#This Row],[PID]],Batters[[#All],[PID]],0)),INDEX(Table3[[#All],[WE]],MATCH(Table5[[#This Row],[PID]],Table3[[#All],[PID]],0)))</f>
        <v>Low</v>
      </c>
      <c r="K391" s="52" t="str">
        <f>IF($C391="B",INDEX(Batters[[#All],[INT]],MATCH(Table5[[#This Row],[PID]],Batters[[#All],[PID]],0)),INDEX(Table3[[#All],[INT]],MATCH(Table5[[#This Row],[PID]],Table3[[#All],[PID]],0)))</f>
        <v>Normal</v>
      </c>
      <c r="L391" s="60">
        <f>IF($C391="B",INDEX(Batters[[#All],[CON P]],MATCH(Table5[[#This Row],[PID]],Batters[[#All],[PID]],0)),INDEX(Table3[[#All],[STU P]],MATCH(Table5[[#This Row],[PID]],Table3[[#All],[PID]],0)))</f>
        <v>3</v>
      </c>
      <c r="M391" s="56">
        <f>IF($C391="B",INDEX(Batters[[#All],[GAP P]],MATCH(Table5[[#This Row],[PID]],Batters[[#All],[PID]],0)),INDEX(Table3[[#All],[MOV P]],MATCH(Table5[[#This Row],[PID]],Table3[[#All],[PID]],0)))</f>
        <v>6</v>
      </c>
      <c r="N391" s="56">
        <f>IF($C391="B",INDEX(Batters[[#All],[POW P]],MATCH(Table5[[#This Row],[PID]],Batters[[#All],[PID]],0)),INDEX(Table3[[#All],[CON P]],MATCH(Table5[[#This Row],[PID]],Table3[[#All],[PID]],0)))</f>
        <v>5</v>
      </c>
      <c r="O391" s="56">
        <f>IF($C391="B",INDEX(Batters[[#All],[EYE P]],MATCH(Table5[[#This Row],[PID]],Batters[[#All],[PID]],0)),INDEX(Table3[[#All],[VELO]],MATCH(Table5[[#This Row],[PID]],Table3[[#All],[PID]],0)))</f>
        <v>6</v>
      </c>
      <c r="P391" s="56">
        <f>IF($C391="B",INDEX(Batters[[#All],[K P]],MATCH(Table5[[#This Row],[PID]],Batters[[#All],[PID]],0)),INDEX(Table3[[#All],[STM]],MATCH(Table5[[#This Row],[PID]],Table3[[#All],[PID]],0)))</f>
        <v>4</v>
      </c>
      <c r="Q391" s="61">
        <f>IF($C391="B",INDEX(Batters[[#All],[Tot]],MATCH(Table5[[#This Row],[PID]],Batters[[#All],[PID]],0)),INDEX(Table3[[#All],[Tot]],MATCH(Table5[[#This Row],[PID]],Table3[[#All],[PID]],0)))</f>
        <v>46.143259078922064</v>
      </c>
      <c r="R391" s="52">
        <f>IF($C391="B",INDEX(Batters[[#All],[zScore]],MATCH(Table5[[#This Row],[PID]],Batters[[#All],[PID]],0)),INDEX(Table3[[#All],[zScore]],MATCH(Table5[[#This Row],[PID]],Table3[[#All],[PID]],0)))</f>
        <v>0.44592309676789943</v>
      </c>
      <c r="S391" s="58" t="str">
        <f>IF($C391="B",INDEX(Batters[[#All],[DEM]],MATCH(Table5[[#This Row],[PID]],Batters[[#All],[PID]],0)),INDEX(Table3[[#All],[DEM]],MATCH(Table5[[#This Row],[PID]],Table3[[#All],[PID]],0)))</f>
        <v>$70k</v>
      </c>
      <c r="T391" s="62">
        <f>IF($C391="B",INDEX(Batters[[#All],[Rnk]],MATCH(Table5[[#This Row],[PID]],Batters[[#All],[PID]],0)),INDEX(Table3[[#All],[Rnk]],MATCH(Table5[[#This Row],[PID]],Table3[[#All],[PID]],0)))</f>
        <v>158</v>
      </c>
      <c r="U391" s="68">
        <f>IF($C391="B",VLOOKUP($A391,Bat!$A$4:$BA$1621,47,FALSE),VLOOKUP($A391,Pit!$A$4:$BF$1557,56,FALSE))</f>
        <v>0</v>
      </c>
      <c r="V391" s="50">
        <f>IF($C391="B",VLOOKUP($A391,Bat!$A$4:$BA$1621,48,FALSE),VLOOKUP($A391,Pit!$A$4:$BF$1557,57,FALSE))</f>
        <v>0</v>
      </c>
      <c r="W391" s="50">
        <f>Table5[[#This Row],[posRnk]]+Table5[[#This Row],[zRnk]]+IF($W$3&lt;&gt;Table5[[#This Row],[Type]],50,0)</f>
        <v>590</v>
      </c>
      <c r="X391" s="51">
        <f>RANK(Table5[[#This Row],[zScore]],Table5[[#All],[zScore]])</f>
        <v>382</v>
      </c>
      <c r="Y391" s="50">
        <f>IFERROR(INDEX(DraftResults[[#All],[OVR]],MATCH(Table5[[#This Row],[PID]],DraftResults[[#All],[Player ID]],0)),"")</f>
        <v>387</v>
      </c>
      <c r="Z3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1" s="50">
        <f>IFERROR(INDEX(DraftResults[[#All],[Pick in Round]],MATCH(Table5[[#This Row],[PID]],DraftResults[[#All],[Player ID]],0)),"")</f>
        <v>19</v>
      </c>
      <c r="AB391" s="50" t="str">
        <f>IFERROR(INDEX(DraftResults[[#All],[Team Name]],MATCH(Table5[[#This Row],[PID]],DraftResults[[#All],[Player ID]],0)),"")</f>
        <v>Kalamazoo Badgers</v>
      </c>
      <c r="AC391" s="50">
        <f>IF(Table5[[#This Row],[Ovr]]="","",IF(Table5[[#This Row],[cmbList]]="","",Table5[[#This Row],[cmbList]]-Table5[[#This Row],[Ovr]]))</f>
        <v>203</v>
      </c>
      <c r="AD391" s="54" t="str">
        <f>IF(ISERROR(VLOOKUP($AB391&amp;"-"&amp;$E391&amp;" "&amp;F391,Bonuses!$B$1:$G$1006,4,FALSE)),"",INT(VLOOKUP($AB391&amp;"-"&amp;$E391&amp;" "&amp;$F391,Bonuses!$B$1:$G$1006,4,FALSE)))</f>
        <v/>
      </c>
      <c r="AE3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13.19 (387) - 2B Travis Jackson</v>
      </c>
    </row>
    <row r="392" spans="1:31" s="50" customFormat="1" x14ac:dyDescent="0.25">
      <c r="A392" s="50">
        <v>20496</v>
      </c>
      <c r="B392" s="50">
        <f>COUNTIF(Table5[PID],A392)</f>
        <v>1</v>
      </c>
      <c r="C392" s="50" t="str">
        <f>IF(COUNTIF(Table3[[#All],[PID]],A392)&gt;0,"P","B")</f>
        <v>B</v>
      </c>
      <c r="D392" s="59" t="str">
        <f>IF($C392="B",INDEX(Batters[[#All],[POS]],MATCH(Table5[[#This Row],[PID]],Batters[[#All],[PID]],0)),INDEX(Table3[[#All],[POS]],MATCH(Table5[[#This Row],[PID]],Table3[[#All],[PID]],0)))</f>
        <v>RF</v>
      </c>
      <c r="E392" s="52" t="str">
        <f>IF($C392="B",INDEX(Batters[[#All],[First]],MATCH(Table5[[#This Row],[PID]],Batters[[#All],[PID]],0)),INDEX(Table3[[#All],[First]],MATCH(Table5[[#This Row],[PID]],Table3[[#All],[PID]],0)))</f>
        <v>Michihiro</v>
      </c>
      <c r="F392" s="50" t="str">
        <f>IF($C392="B",INDEX(Batters[[#All],[Last]],MATCH(A392,Batters[[#All],[PID]],0)),INDEX(Table3[[#All],[Last]],MATCH(A392,Table3[[#All],[PID]],0)))</f>
        <v>Sakei</v>
      </c>
      <c r="G392" s="56">
        <f>IF($C392="B",INDEX(Batters[[#All],[Age]],MATCH(Table5[[#This Row],[PID]],Batters[[#All],[PID]],0)),INDEX(Table3[[#All],[Age]],MATCH(Table5[[#This Row],[PID]],Table3[[#All],[PID]],0)))</f>
        <v>18</v>
      </c>
      <c r="H392" s="52" t="str">
        <f>IF($C392="B",INDEX(Batters[[#All],[B]],MATCH(Table5[[#This Row],[PID]],Batters[[#All],[PID]],0)),INDEX(Table3[[#All],[B]],MATCH(Table5[[#This Row],[PID]],Table3[[#All],[PID]],0)))</f>
        <v>L</v>
      </c>
      <c r="I392" s="52" t="str">
        <f>IF($C392="B",INDEX(Batters[[#All],[T]],MATCH(Table5[[#This Row],[PID]],Batters[[#All],[PID]],0)),INDEX(Table3[[#All],[T]],MATCH(Table5[[#This Row],[PID]],Table3[[#All],[PID]],0)))</f>
        <v>L</v>
      </c>
      <c r="J392" s="52" t="str">
        <f>IF($C392="B",INDEX(Batters[[#All],[WE]],MATCH(Table5[[#This Row],[PID]],Batters[[#All],[PID]],0)),INDEX(Table3[[#All],[WE]],MATCH(Table5[[#This Row],[PID]],Table3[[#All],[PID]],0)))</f>
        <v>Low</v>
      </c>
      <c r="K392" s="52" t="str">
        <f>IF($C392="B",INDEX(Batters[[#All],[INT]],MATCH(Table5[[#This Row],[PID]],Batters[[#All],[PID]],0)),INDEX(Table3[[#All],[INT]],MATCH(Table5[[#This Row],[PID]],Table3[[#All],[PID]],0)))</f>
        <v>Normal</v>
      </c>
      <c r="L392" s="60">
        <f>IF($C392="B",INDEX(Batters[[#All],[CON P]],MATCH(Table5[[#This Row],[PID]],Batters[[#All],[PID]],0)),INDEX(Table3[[#All],[STU P]],MATCH(Table5[[#This Row],[PID]],Table3[[#All],[PID]],0)))</f>
        <v>4</v>
      </c>
      <c r="M392" s="56">
        <f>IF($C392="B",INDEX(Batters[[#All],[GAP P]],MATCH(Table5[[#This Row],[PID]],Batters[[#All],[PID]],0)),INDEX(Table3[[#All],[MOV P]],MATCH(Table5[[#This Row],[PID]],Table3[[#All],[PID]],0)))</f>
        <v>5</v>
      </c>
      <c r="N392" s="56">
        <f>IF($C392="B",INDEX(Batters[[#All],[POW P]],MATCH(Table5[[#This Row],[PID]],Batters[[#All],[PID]],0)),INDEX(Table3[[#All],[CON P]],MATCH(Table5[[#This Row],[PID]],Table3[[#All],[PID]],0)))</f>
        <v>5</v>
      </c>
      <c r="O392" s="56">
        <f>IF($C392="B",INDEX(Batters[[#All],[EYE P]],MATCH(Table5[[#This Row],[PID]],Batters[[#All],[PID]],0)),INDEX(Table3[[#All],[VELO]],MATCH(Table5[[#This Row],[PID]],Table3[[#All],[PID]],0)))</f>
        <v>6</v>
      </c>
      <c r="P392" s="56">
        <f>IF($C392="B",INDEX(Batters[[#All],[K P]],MATCH(Table5[[#This Row],[PID]],Batters[[#All],[PID]],0)),INDEX(Table3[[#All],[STM]],MATCH(Table5[[#This Row],[PID]],Table3[[#All],[PID]],0)))</f>
        <v>5</v>
      </c>
      <c r="Q392" s="61">
        <f>IF($C392="B",INDEX(Batters[[#All],[Tot]],MATCH(Table5[[#This Row],[PID]],Batters[[#All],[PID]],0)),INDEX(Table3[[#All],[Tot]],MATCH(Table5[[#This Row],[PID]],Table3[[#All],[PID]],0)))</f>
        <v>49.885271602773813</v>
      </c>
      <c r="R392" s="52">
        <f>IF($C392="B",INDEX(Batters[[#All],[zScore]],MATCH(Table5[[#This Row],[PID]],Batters[[#All],[PID]],0)),INDEX(Table3[[#All],[zScore]],MATCH(Table5[[#This Row],[PID]],Table3[[#All],[PID]],0)))</f>
        <v>1.2755525669630574</v>
      </c>
      <c r="S392" s="58" t="str">
        <f>IF($C392="B",INDEX(Batters[[#All],[DEM]],MATCH(Table5[[#This Row],[PID]],Batters[[#All],[PID]],0)),INDEX(Table3[[#All],[DEM]],MATCH(Table5[[#This Row],[PID]],Table3[[#All],[PID]],0)))</f>
        <v>$75k</v>
      </c>
      <c r="T392" s="62">
        <f>IF($C392="B",INDEX(Batters[[#All],[Rnk]],MATCH(Table5[[#This Row],[PID]],Batters[[#All],[PID]],0)),INDEX(Table3[[#All],[Rnk]],MATCH(Table5[[#This Row],[PID]],Table3[[#All],[PID]],0)))</f>
        <v>62</v>
      </c>
      <c r="U392" s="68">
        <f>IF($C392="B",VLOOKUP($A392,Bat!$A$4:$BA$1621,47,FALSE),VLOOKUP($A392,Pit!$A$4:$BF$1557,56,FALSE))</f>
        <v>0</v>
      </c>
      <c r="V392" s="50">
        <f>IF($C392="B",VLOOKUP($A392,Bat!$A$4:$BA$1621,48,FALSE),VLOOKUP($A392,Pit!$A$4:$BF$1557,57,FALSE))</f>
        <v>0</v>
      </c>
      <c r="W392" s="50">
        <f>Table5[[#This Row],[posRnk]]+Table5[[#This Row],[zRnk]]+IF($W$3&lt;&gt;Table5[[#This Row],[Type]],50,0)</f>
        <v>278</v>
      </c>
      <c r="X392" s="51">
        <f>RANK(Table5[[#This Row],[zScore]],Table5[[#All],[zScore]])</f>
        <v>166</v>
      </c>
      <c r="Y392" s="50">
        <f>IFERROR(INDEX(DraftResults[[#All],[OVR]],MATCH(Table5[[#This Row],[PID]],DraftResults[[#All],[Player ID]],0)),"")</f>
        <v>388</v>
      </c>
      <c r="Z3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2" s="50">
        <f>IFERROR(INDEX(DraftResults[[#All],[Pick in Round]],MATCH(Table5[[#This Row],[PID]],DraftResults[[#All],[Player ID]],0)),"")</f>
        <v>20</v>
      </c>
      <c r="AB392" s="50" t="str">
        <f>IFERROR(INDEX(DraftResults[[#All],[Team Name]],MATCH(Table5[[#This Row],[PID]],DraftResults[[#All],[Player ID]],0)),"")</f>
        <v>Amsterdam Lions</v>
      </c>
      <c r="AC392" s="50">
        <f>IF(Table5[[#This Row],[Ovr]]="","",IF(Table5[[#This Row],[cmbList]]="","",Table5[[#This Row],[cmbList]]-Table5[[#This Row],[Ovr]]))</f>
        <v>-110</v>
      </c>
      <c r="AD392" s="54" t="str">
        <f>IF(ISERROR(VLOOKUP($AB392&amp;"-"&amp;$E392&amp;" "&amp;F392,Bonuses!$B$1:$G$1006,4,FALSE)),"",INT(VLOOKUP($AB392&amp;"-"&amp;$E392&amp;" "&amp;$F392,Bonuses!$B$1:$G$1006,4,FALSE)))</f>
        <v/>
      </c>
      <c r="AE3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13.20 (388) - RF Michihiro Sakei</v>
      </c>
    </row>
    <row r="393" spans="1:31" s="50" customFormat="1" x14ac:dyDescent="0.25">
      <c r="A393" s="50">
        <v>18342</v>
      </c>
      <c r="B393" s="50">
        <f>COUNTIF(Table5[PID],A393)</f>
        <v>1</v>
      </c>
      <c r="C393" s="50" t="str">
        <f>IF(COUNTIF(Table3[[#All],[PID]],A393)&gt;0,"P","B")</f>
        <v>B</v>
      </c>
      <c r="D393" s="59" t="str">
        <f>IF($C393="B",INDEX(Batters[[#All],[POS]],MATCH(Table5[[#This Row],[PID]],Batters[[#All],[PID]],0)),INDEX(Table3[[#All],[POS]],MATCH(Table5[[#This Row],[PID]],Table3[[#All],[PID]],0)))</f>
        <v>2B</v>
      </c>
      <c r="E393" s="52" t="str">
        <f>IF($C393="B",INDEX(Batters[[#All],[First]],MATCH(Table5[[#This Row],[PID]],Batters[[#All],[PID]],0)),INDEX(Table3[[#All],[First]],MATCH(Table5[[#This Row],[PID]],Table3[[#All],[PID]],0)))</f>
        <v>Ira</v>
      </c>
      <c r="F393" s="50" t="str">
        <f>IF($C393="B",INDEX(Batters[[#All],[Last]],MATCH(A393,Batters[[#All],[PID]],0)),INDEX(Table3[[#All],[Last]],MATCH(A393,Table3[[#All],[PID]],0)))</f>
        <v>Santegoeds</v>
      </c>
      <c r="G393" s="56">
        <f>IF($C393="B",INDEX(Batters[[#All],[Age]],MATCH(Table5[[#This Row],[PID]],Batters[[#All],[PID]],0)),INDEX(Table3[[#All],[Age]],MATCH(Table5[[#This Row],[PID]],Table3[[#All],[PID]],0)))</f>
        <v>18</v>
      </c>
      <c r="H393" s="52" t="str">
        <f>IF($C393="B",INDEX(Batters[[#All],[B]],MATCH(Table5[[#This Row],[PID]],Batters[[#All],[PID]],0)),INDEX(Table3[[#All],[B]],MATCH(Table5[[#This Row],[PID]],Table3[[#All],[PID]],0)))</f>
        <v>R</v>
      </c>
      <c r="I393" s="52" t="str">
        <f>IF($C393="B",INDEX(Batters[[#All],[T]],MATCH(Table5[[#This Row],[PID]],Batters[[#All],[PID]],0)),INDEX(Table3[[#All],[T]],MATCH(Table5[[#This Row],[PID]],Table3[[#All],[PID]],0)))</f>
        <v>R</v>
      </c>
      <c r="J393" s="52" t="str">
        <f>IF($C393="B",INDEX(Batters[[#All],[WE]],MATCH(Table5[[#This Row],[PID]],Batters[[#All],[PID]],0)),INDEX(Table3[[#All],[WE]],MATCH(Table5[[#This Row],[PID]],Table3[[#All],[PID]],0)))</f>
        <v>Low</v>
      </c>
      <c r="K393" s="52" t="str">
        <f>IF($C393="B",INDEX(Batters[[#All],[INT]],MATCH(Table5[[#This Row],[PID]],Batters[[#All],[PID]],0)),INDEX(Table3[[#All],[INT]],MATCH(Table5[[#This Row],[PID]],Table3[[#All],[PID]],0)))</f>
        <v>Normal</v>
      </c>
      <c r="L393" s="60">
        <f>IF($C393="B",INDEX(Batters[[#All],[CON P]],MATCH(Table5[[#This Row],[PID]],Batters[[#All],[PID]],0)),INDEX(Table3[[#All],[STU P]],MATCH(Table5[[#This Row],[PID]],Table3[[#All],[PID]],0)))</f>
        <v>4</v>
      </c>
      <c r="M393" s="56">
        <f>IF($C393="B",INDEX(Batters[[#All],[GAP P]],MATCH(Table5[[#This Row],[PID]],Batters[[#All],[PID]],0)),INDEX(Table3[[#All],[MOV P]],MATCH(Table5[[#This Row],[PID]],Table3[[#All],[PID]],0)))</f>
        <v>5</v>
      </c>
      <c r="N393" s="56">
        <f>IF($C393="B",INDEX(Batters[[#All],[POW P]],MATCH(Table5[[#This Row],[PID]],Batters[[#All],[PID]],0)),INDEX(Table3[[#All],[CON P]],MATCH(Table5[[#This Row],[PID]],Table3[[#All],[PID]],0)))</f>
        <v>2</v>
      </c>
      <c r="O393" s="56">
        <f>IF($C393="B",INDEX(Batters[[#All],[EYE P]],MATCH(Table5[[#This Row],[PID]],Batters[[#All],[PID]],0)),INDEX(Table3[[#All],[VELO]],MATCH(Table5[[#This Row],[PID]],Table3[[#All],[PID]],0)))</f>
        <v>1</v>
      </c>
      <c r="P393" s="56">
        <f>IF($C393="B",INDEX(Batters[[#All],[K P]],MATCH(Table5[[#This Row],[PID]],Batters[[#All],[PID]],0)),INDEX(Table3[[#All],[STM]],MATCH(Table5[[#This Row],[PID]],Table3[[#All],[PID]],0)))</f>
        <v>7</v>
      </c>
      <c r="Q393" s="61">
        <f>IF($C393="B",INDEX(Batters[[#All],[Tot]],MATCH(Table5[[#This Row],[PID]],Batters[[#All],[PID]],0)),INDEX(Table3[[#All],[Tot]],MATCH(Table5[[#This Row],[PID]],Table3[[#All],[PID]],0)))</f>
        <v>42.437657958543227</v>
      </c>
      <c r="R393" s="52">
        <f>IF($C393="B",INDEX(Batters[[#All],[zScore]],MATCH(Table5[[#This Row],[PID]],Batters[[#All],[PID]],0)),INDEX(Table3[[#All],[zScore]],MATCH(Table5[[#This Row],[PID]],Table3[[#All],[PID]],0)))</f>
        <v>-0.37563371915906829</v>
      </c>
      <c r="S393" s="58" t="str">
        <f>IF($C393="B",INDEX(Batters[[#All],[DEM]],MATCH(Table5[[#This Row],[PID]],Batters[[#All],[PID]],0)),INDEX(Table3[[#All],[DEM]],MATCH(Table5[[#This Row],[PID]],Table3[[#All],[PID]],0)))</f>
        <v>$80k</v>
      </c>
      <c r="T393" s="62">
        <f>IF($C393="B",INDEX(Batters[[#All],[Rnk]],MATCH(Table5[[#This Row],[PID]],Batters[[#All],[PID]],0)),INDEX(Table3[[#All],[Rnk]],MATCH(Table5[[#This Row],[PID]],Table3[[#All],[PID]],0)))</f>
        <v>317</v>
      </c>
      <c r="U393" s="68">
        <f>IF($C393="B",VLOOKUP($A393,Bat!$A$4:$BA$1621,47,FALSE),VLOOKUP($A393,Pit!$A$4:$BF$1557,56,FALSE))</f>
        <v>0</v>
      </c>
      <c r="V393" s="50">
        <f>IF($C393="B",VLOOKUP($A393,Bat!$A$4:$BA$1621,48,FALSE),VLOOKUP($A393,Pit!$A$4:$BF$1557,57,FALSE))</f>
        <v>0</v>
      </c>
      <c r="W393" s="50">
        <f>Table5[[#This Row],[posRnk]]+Table5[[#This Row],[zRnk]]+IF($W$3&lt;&gt;Table5[[#This Row],[Type]],50,0)</f>
        <v>1149</v>
      </c>
      <c r="X393" s="51">
        <f>RANK(Table5[[#This Row],[zScore]],Table5[[#All],[zScore]])</f>
        <v>782</v>
      </c>
      <c r="Y393" s="50">
        <f>IFERROR(INDEX(DraftResults[[#All],[OVR]],MATCH(Table5[[#This Row],[PID]],DraftResults[[#All],[Player ID]],0)),"")</f>
        <v>389</v>
      </c>
      <c r="Z3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3" s="50">
        <f>IFERROR(INDEX(DraftResults[[#All],[Pick in Round]],MATCH(Table5[[#This Row],[PID]],DraftResults[[#All],[Player ID]],0)),"")</f>
        <v>21</v>
      </c>
      <c r="AB393" s="50" t="str">
        <f>IFERROR(INDEX(DraftResults[[#All],[Team Name]],MATCH(Table5[[#This Row],[PID]],DraftResults[[#All],[Player ID]],0)),"")</f>
        <v>Crystal Lake Sandgnats</v>
      </c>
      <c r="AC393" s="50">
        <f>IF(Table5[[#This Row],[Ovr]]="","",IF(Table5[[#This Row],[cmbList]]="","",Table5[[#This Row],[cmbList]]-Table5[[#This Row],[Ovr]]))</f>
        <v>760</v>
      </c>
      <c r="AD393" s="54" t="str">
        <f>IF(ISERROR(VLOOKUP($AB393&amp;"-"&amp;$E393&amp;" "&amp;F393,Bonuses!$B$1:$G$1006,4,FALSE)),"",INT(VLOOKUP($AB393&amp;"-"&amp;$E393&amp;" "&amp;$F393,Bonuses!$B$1:$G$1006,4,FALSE)))</f>
        <v/>
      </c>
      <c r="AE3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13.21 (389) - 2B Ira Santegoeds</v>
      </c>
    </row>
    <row r="394" spans="1:31" s="50" customFormat="1" x14ac:dyDescent="0.25">
      <c r="A394" s="50">
        <v>20492</v>
      </c>
      <c r="B394" s="50">
        <f>COUNTIF(Table5[PID],A394)</f>
        <v>1</v>
      </c>
      <c r="C394" s="50" t="str">
        <f>IF(COUNTIF(Table3[[#All],[PID]],A394)&gt;0,"P","B")</f>
        <v>B</v>
      </c>
      <c r="D394" s="59" t="str">
        <f>IF($C394="B",INDEX(Batters[[#All],[POS]],MATCH(Table5[[#This Row],[PID]],Batters[[#All],[PID]],0)),INDEX(Table3[[#All],[POS]],MATCH(Table5[[#This Row],[PID]],Table3[[#All],[PID]],0)))</f>
        <v>1B</v>
      </c>
      <c r="E394" s="52" t="str">
        <f>IF($C394="B",INDEX(Batters[[#All],[First]],MATCH(Table5[[#This Row],[PID]],Batters[[#All],[PID]],0)),INDEX(Table3[[#All],[First]],MATCH(Table5[[#This Row],[PID]],Table3[[#All],[PID]],0)))</f>
        <v>Shigemasa</v>
      </c>
      <c r="F394" s="50" t="str">
        <f>IF($C394="B",INDEX(Batters[[#All],[Last]],MATCH(A394,Batters[[#All],[PID]],0)),INDEX(Table3[[#All],[Last]],MATCH(A394,Table3[[#All],[PID]],0)))</f>
        <v>Hara</v>
      </c>
      <c r="G394" s="56">
        <f>IF($C394="B",INDEX(Batters[[#All],[Age]],MATCH(Table5[[#This Row],[PID]],Batters[[#All],[PID]],0)),INDEX(Table3[[#All],[Age]],MATCH(Table5[[#This Row],[PID]],Table3[[#All],[PID]],0)))</f>
        <v>16</v>
      </c>
      <c r="H394" s="52" t="str">
        <f>IF($C394="B",INDEX(Batters[[#All],[B]],MATCH(Table5[[#This Row],[PID]],Batters[[#All],[PID]],0)),INDEX(Table3[[#All],[B]],MATCH(Table5[[#This Row],[PID]],Table3[[#All],[PID]],0)))</f>
        <v>R</v>
      </c>
      <c r="I394" s="52" t="str">
        <f>IF($C394="B",INDEX(Batters[[#All],[T]],MATCH(Table5[[#This Row],[PID]],Batters[[#All],[PID]],0)),INDEX(Table3[[#All],[T]],MATCH(Table5[[#This Row],[PID]],Table3[[#All],[PID]],0)))</f>
        <v>R</v>
      </c>
      <c r="J394" s="52" t="str">
        <f>IF($C394="B",INDEX(Batters[[#All],[WE]],MATCH(Table5[[#This Row],[PID]],Batters[[#All],[PID]],0)),INDEX(Table3[[#All],[WE]],MATCH(Table5[[#This Row],[PID]],Table3[[#All],[PID]],0)))</f>
        <v>Low</v>
      </c>
      <c r="K394" s="52" t="str">
        <f>IF($C394="B",INDEX(Batters[[#All],[INT]],MATCH(Table5[[#This Row],[PID]],Batters[[#All],[PID]],0)),INDEX(Table3[[#All],[INT]],MATCH(Table5[[#This Row],[PID]],Table3[[#All],[PID]],0)))</f>
        <v>High</v>
      </c>
      <c r="L394" s="60">
        <f>IF($C394="B",INDEX(Batters[[#All],[CON P]],MATCH(Table5[[#This Row],[PID]],Batters[[#All],[PID]],0)),INDEX(Table3[[#All],[STU P]],MATCH(Table5[[#This Row],[PID]],Table3[[#All],[PID]],0)))</f>
        <v>4</v>
      </c>
      <c r="M394" s="56">
        <f>IF($C394="B",INDEX(Batters[[#All],[GAP P]],MATCH(Table5[[#This Row],[PID]],Batters[[#All],[PID]],0)),INDEX(Table3[[#All],[MOV P]],MATCH(Table5[[#This Row],[PID]],Table3[[#All],[PID]],0)))</f>
        <v>5</v>
      </c>
      <c r="N394" s="56">
        <f>IF($C394="B",INDEX(Batters[[#All],[POW P]],MATCH(Table5[[#This Row],[PID]],Batters[[#All],[PID]],0)),INDEX(Table3[[#All],[CON P]],MATCH(Table5[[#This Row],[PID]],Table3[[#All],[PID]],0)))</f>
        <v>6</v>
      </c>
      <c r="O394" s="56">
        <f>IF($C394="B",INDEX(Batters[[#All],[EYE P]],MATCH(Table5[[#This Row],[PID]],Batters[[#All],[PID]],0)),INDEX(Table3[[#All],[VELO]],MATCH(Table5[[#This Row],[PID]],Table3[[#All],[PID]],0)))</f>
        <v>7</v>
      </c>
      <c r="P394" s="56">
        <f>IF($C394="B",INDEX(Batters[[#All],[K P]],MATCH(Table5[[#This Row],[PID]],Batters[[#All],[PID]],0)),INDEX(Table3[[#All],[STM]],MATCH(Table5[[#This Row],[PID]],Table3[[#All],[PID]],0)))</f>
        <v>3</v>
      </c>
      <c r="Q394" s="61">
        <f>IF($C394="B",INDEX(Batters[[#All],[Tot]],MATCH(Table5[[#This Row],[PID]],Batters[[#All],[PID]],0)),INDEX(Table3[[#All],[Tot]],MATCH(Table5[[#This Row],[PID]],Table3[[#All],[PID]],0)))</f>
        <v>51.285159386582933</v>
      </c>
      <c r="R394" s="52">
        <f>IF($C394="B",INDEX(Batters[[#All],[zScore]],MATCH(Table5[[#This Row],[PID]],Batters[[#All],[PID]],0)),INDEX(Table3[[#All],[zScore]],MATCH(Table5[[#This Row],[PID]],Table3[[#All],[PID]],0)))</f>
        <v>1.5859171509967818</v>
      </c>
      <c r="S394" s="58" t="str">
        <f>IF($C394="B",INDEX(Batters[[#All],[DEM]],MATCH(Table5[[#This Row],[PID]],Batters[[#All],[PID]],0)),INDEX(Table3[[#All],[DEM]],MATCH(Table5[[#This Row],[PID]],Table3[[#All],[PID]],0)))</f>
        <v>$70k</v>
      </c>
      <c r="T394" s="62">
        <f>IF($C394="B",INDEX(Batters[[#All],[Rnk]],MATCH(Table5[[#This Row],[PID]],Batters[[#All],[PID]],0)),INDEX(Table3[[#All],[Rnk]],MATCH(Table5[[#This Row],[PID]],Table3[[#All],[PID]],0)))</f>
        <v>39</v>
      </c>
      <c r="U394" s="68">
        <f>IF($C394="B",VLOOKUP($A394,Bat!$A$4:$BA$1621,47,FALSE),VLOOKUP($A394,Pit!$A$4:$BF$1557,56,FALSE))</f>
        <v>0</v>
      </c>
      <c r="V394" s="50">
        <f>IF($C394="B",VLOOKUP($A394,Bat!$A$4:$BA$1621,48,FALSE),VLOOKUP($A394,Pit!$A$4:$BF$1557,57,FALSE))</f>
        <v>0</v>
      </c>
      <c r="W394" s="50">
        <f>Table5[[#This Row],[posRnk]]+Table5[[#This Row],[zRnk]]+IF($W$3&lt;&gt;Table5[[#This Row],[Type]],50,0)</f>
        <v>194</v>
      </c>
      <c r="X394" s="51">
        <f>RANK(Table5[[#This Row],[zScore]],Table5[[#All],[zScore]])</f>
        <v>105</v>
      </c>
      <c r="Y394" s="50">
        <f>IFERROR(INDEX(DraftResults[[#All],[OVR]],MATCH(Table5[[#This Row],[PID]],DraftResults[[#All],[Player ID]],0)),"")</f>
        <v>390</v>
      </c>
      <c r="Z3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4" s="50">
        <f>IFERROR(INDEX(DraftResults[[#All],[Pick in Round]],MATCH(Table5[[#This Row],[PID]],DraftResults[[#All],[Player ID]],0)),"")</f>
        <v>22</v>
      </c>
      <c r="AB394" s="50" t="str">
        <f>IFERROR(INDEX(DraftResults[[#All],[Team Name]],MATCH(Table5[[#This Row],[PID]],DraftResults[[#All],[Player ID]],0)),"")</f>
        <v>Fargo Dinosaurs</v>
      </c>
      <c r="AC394" s="50">
        <f>IF(Table5[[#This Row],[Ovr]]="","",IF(Table5[[#This Row],[cmbList]]="","",Table5[[#This Row],[cmbList]]-Table5[[#This Row],[Ovr]]))</f>
        <v>-196</v>
      </c>
      <c r="AD394" s="54" t="str">
        <f>IF(ISERROR(VLOOKUP($AB394&amp;"-"&amp;$E394&amp;" "&amp;F394,Bonuses!$B$1:$G$1006,4,FALSE)),"",INT(VLOOKUP($AB394&amp;"-"&amp;$E394&amp;" "&amp;$F394,Bonuses!$B$1:$G$1006,4,FALSE)))</f>
        <v/>
      </c>
      <c r="AE3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13.22 (390) - 1B Shigemasa Hara</v>
      </c>
    </row>
    <row r="395" spans="1:31" s="50" customFormat="1" x14ac:dyDescent="0.25">
      <c r="A395" s="50">
        <v>12904</v>
      </c>
      <c r="B395" s="50">
        <f>COUNTIF(Table5[PID],A395)</f>
        <v>1</v>
      </c>
      <c r="C395" s="50" t="str">
        <f>IF(COUNTIF(Table3[[#All],[PID]],A395)&gt;0,"P","B")</f>
        <v>B</v>
      </c>
      <c r="D395" s="59" t="str">
        <f>IF($C395="B",INDEX(Batters[[#All],[POS]],MATCH(Table5[[#This Row],[PID]],Batters[[#All],[PID]],0)),INDEX(Table3[[#All],[POS]],MATCH(Table5[[#This Row],[PID]],Table3[[#All],[PID]],0)))</f>
        <v>3B</v>
      </c>
      <c r="E395" s="52" t="str">
        <f>IF($C395="B",INDEX(Batters[[#All],[First]],MATCH(Table5[[#This Row],[PID]],Batters[[#All],[PID]],0)),INDEX(Table3[[#All],[First]],MATCH(Table5[[#This Row],[PID]],Table3[[#All],[PID]],0)))</f>
        <v>Pedro</v>
      </c>
      <c r="F395" s="50" t="str">
        <f>IF($C395="B",INDEX(Batters[[#All],[Last]],MATCH(A395,Batters[[#All],[PID]],0)),INDEX(Table3[[#All],[Last]],MATCH(A395,Table3[[#All],[PID]],0)))</f>
        <v>Cordero</v>
      </c>
      <c r="G395" s="56">
        <f>IF($C395="B",INDEX(Batters[[#All],[Age]],MATCH(Table5[[#This Row],[PID]],Batters[[#All],[PID]],0)),INDEX(Table3[[#All],[Age]],MATCH(Table5[[#This Row],[PID]],Table3[[#All],[PID]],0)))</f>
        <v>21</v>
      </c>
      <c r="H395" s="52" t="str">
        <f>IF($C395="B",INDEX(Batters[[#All],[B]],MATCH(Table5[[#This Row],[PID]],Batters[[#All],[PID]],0)),INDEX(Table3[[#All],[B]],MATCH(Table5[[#This Row],[PID]],Table3[[#All],[PID]],0)))</f>
        <v>R</v>
      </c>
      <c r="I395" s="52" t="str">
        <f>IF($C395="B",INDEX(Batters[[#All],[T]],MATCH(Table5[[#This Row],[PID]],Batters[[#All],[PID]],0)),INDEX(Table3[[#All],[T]],MATCH(Table5[[#This Row],[PID]],Table3[[#All],[PID]],0)))</f>
        <v>R</v>
      </c>
      <c r="J395" s="52" t="str">
        <f>IF($C395="B",INDEX(Batters[[#All],[WE]],MATCH(Table5[[#This Row],[PID]],Batters[[#All],[PID]],0)),INDEX(Table3[[#All],[WE]],MATCH(Table5[[#This Row],[PID]],Table3[[#All],[PID]],0)))</f>
        <v>Low</v>
      </c>
      <c r="K395" s="52" t="str">
        <f>IF($C395="B",INDEX(Batters[[#All],[INT]],MATCH(Table5[[#This Row],[PID]],Batters[[#All],[PID]],0)),INDEX(Table3[[#All],[INT]],MATCH(Table5[[#This Row],[PID]],Table3[[#All],[PID]],0)))</f>
        <v>Low</v>
      </c>
      <c r="L395" s="60">
        <f>IF($C395="B",INDEX(Batters[[#All],[CON P]],MATCH(Table5[[#This Row],[PID]],Batters[[#All],[PID]],0)),INDEX(Table3[[#All],[STU P]],MATCH(Table5[[#This Row],[PID]],Table3[[#All],[PID]],0)))</f>
        <v>4</v>
      </c>
      <c r="M395" s="56">
        <f>IF($C395="B",INDEX(Batters[[#All],[GAP P]],MATCH(Table5[[#This Row],[PID]],Batters[[#All],[PID]],0)),INDEX(Table3[[#All],[MOV P]],MATCH(Table5[[#This Row],[PID]],Table3[[#All],[PID]],0)))</f>
        <v>4</v>
      </c>
      <c r="N395" s="56">
        <f>IF($C395="B",INDEX(Batters[[#All],[POW P]],MATCH(Table5[[#This Row],[PID]],Batters[[#All],[PID]],0)),INDEX(Table3[[#All],[CON P]],MATCH(Table5[[#This Row],[PID]],Table3[[#All],[PID]],0)))</f>
        <v>4</v>
      </c>
      <c r="O395" s="56">
        <f>IF($C395="B",INDEX(Batters[[#All],[EYE P]],MATCH(Table5[[#This Row],[PID]],Batters[[#All],[PID]],0)),INDEX(Table3[[#All],[VELO]],MATCH(Table5[[#This Row],[PID]],Table3[[#All],[PID]],0)))</f>
        <v>5</v>
      </c>
      <c r="P395" s="56">
        <f>IF($C395="B",INDEX(Batters[[#All],[K P]],MATCH(Table5[[#This Row],[PID]],Batters[[#All],[PID]],0)),INDEX(Table3[[#All],[STM]],MATCH(Table5[[#This Row],[PID]],Table3[[#All],[PID]],0)))</f>
        <v>4</v>
      </c>
      <c r="Q395" s="61">
        <f>IF($C395="B",INDEX(Batters[[#All],[Tot]],MATCH(Table5[[#This Row],[PID]],Batters[[#All],[PID]],0)),INDEX(Table3[[#All],[Tot]],MATCH(Table5[[#This Row],[PID]],Table3[[#All],[PID]],0)))</f>
        <v>41.388854747756554</v>
      </c>
      <c r="R395" s="52">
        <f>IF($C395="B",INDEX(Batters[[#All],[zScore]],MATCH(Table5[[#This Row],[PID]],Batters[[#All],[PID]],0)),INDEX(Table3[[#All],[zScore]],MATCH(Table5[[#This Row],[PID]],Table3[[#All],[PID]],0)))</f>
        <v>-0.60816048024224434</v>
      </c>
      <c r="S395" s="58" t="str">
        <f>IF($C395="B",INDEX(Batters[[#All],[DEM]],MATCH(Table5[[#This Row],[PID]],Batters[[#All],[PID]],0)),INDEX(Table3[[#All],[DEM]],MATCH(Table5[[#This Row],[PID]],Table3[[#All],[PID]],0)))</f>
        <v>$20k</v>
      </c>
      <c r="T395" s="62">
        <f>IF($C395="B",INDEX(Batters[[#All],[Rnk]],MATCH(Table5[[#This Row],[PID]],Batters[[#All],[PID]],0)),INDEX(Table3[[#All],[Rnk]],MATCH(Table5[[#This Row],[PID]],Table3[[#All],[PID]],0)))</f>
        <v>361</v>
      </c>
      <c r="U395" s="68">
        <f>IF($C395="B",VLOOKUP($A395,Bat!$A$4:$BA$1621,47,FALSE),VLOOKUP($A395,Pit!$A$4:$BF$1557,56,FALSE))</f>
        <v>0</v>
      </c>
      <c r="V395" s="50">
        <f>IF($C395="B",VLOOKUP($A395,Bat!$A$4:$BA$1621,48,FALSE),VLOOKUP($A395,Pit!$A$4:$BF$1557,57,FALSE))</f>
        <v>0</v>
      </c>
      <c r="W395" s="50">
        <f>Table5[[#This Row],[posRnk]]+Table5[[#This Row],[zRnk]]+IF($W$3&lt;&gt;Table5[[#This Row],[Type]],50,0)</f>
        <v>1334</v>
      </c>
      <c r="X395" s="51">
        <f>RANK(Table5[[#This Row],[zScore]],Table5[[#All],[zScore]])</f>
        <v>923</v>
      </c>
      <c r="Y395" s="50">
        <f>IFERROR(INDEX(DraftResults[[#All],[OVR]],MATCH(Table5[[#This Row],[PID]],DraftResults[[#All],[Player ID]],0)),"")</f>
        <v>391</v>
      </c>
      <c r="Z3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5" s="50">
        <f>IFERROR(INDEX(DraftResults[[#All],[Pick in Round]],MATCH(Table5[[#This Row],[PID]],DraftResults[[#All],[Player ID]],0)),"")</f>
        <v>23</v>
      </c>
      <c r="AB395" s="50" t="str">
        <f>IFERROR(INDEX(DraftResults[[#All],[Team Name]],MATCH(Table5[[#This Row],[PID]],DraftResults[[#All],[Player ID]],0)),"")</f>
        <v>Shin Seiki Evas</v>
      </c>
      <c r="AC395" s="50">
        <f>IF(Table5[[#This Row],[Ovr]]="","",IF(Table5[[#This Row],[cmbList]]="","",Table5[[#This Row],[cmbList]]-Table5[[#This Row],[Ovr]]))</f>
        <v>943</v>
      </c>
      <c r="AD395" s="54" t="str">
        <f>IF(ISERROR(VLOOKUP($AB395&amp;"-"&amp;$E395&amp;" "&amp;F395,Bonuses!$B$1:$G$1006,4,FALSE)),"",INT(VLOOKUP($AB395&amp;"-"&amp;$E395&amp;" "&amp;$F395,Bonuses!$B$1:$G$1006,4,FALSE)))</f>
        <v/>
      </c>
      <c r="AE3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13.23 (391) - 3B Pedro Cordero</v>
      </c>
    </row>
    <row r="396" spans="1:31" s="50" customFormat="1" x14ac:dyDescent="0.25">
      <c r="A396" s="68">
        <v>18440</v>
      </c>
      <c r="B396" s="69">
        <f>COUNTIF(Table5[PID],A396)</f>
        <v>1</v>
      </c>
      <c r="C396" s="69" t="str">
        <f>IF(COUNTIF(Table3[[#All],[PID]],A396)&gt;0,"P","B")</f>
        <v>P</v>
      </c>
      <c r="D396" s="59" t="str">
        <f>IF($C396="B",INDEX(Batters[[#All],[POS]],MATCH(Table5[[#This Row],[PID]],Batters[[#All],[PID]],0)),INDEX(Table3[[#All],[POS]],MATCH(Table5[[#This Row],[PID]],Table3[[#All],[PID]],0)))</f>
        <v>SP</v>
      </c>
      <c r="E396" s="52" t="str">
        <f>IF($C396="B",INDEX(Batters[[#All],[First]],MATCH(Table5[[#This Row],[PID]],Batters[[#All],[PID]],0)),INDEX(Table3[[#All],[First]],MATCH(Table5[[#This Row],[PID]],Table3[[#All],[PID]],0)))</f>
        <v>Sadao</v>
      </c>
      <c r="F396" s="55" t="str">
        <f>IF($C396="B",INDEX(Batters[[#All],[Last]],MATCH(A396,Batters[[#All],[PID]],0)),INDEX(Table3[[#All],[Last]],MATCH(A396,Table3[[#All],[PID]],0)))</f>
        <v>Kodo</v>
      </c>
      <c r="G396" s="56">
        <f>IF($C396="B",INDEX(Batters[[#All],[Age]],MATCH(Table5[[#This Row],[PID]],Batters[[#All],[PID]],0)),INDEX(Table3[[#All],[Age]],MATCH(Table5[[#This Row],[PID]],Table3[[#All],[PID]],0)))</f>
        <v>18</v>
      </c>
      <c r="H396" s="52" t="str">
        <f>IF($C396="B",INDEX(Batters[[#All],[B]],MATCH(Table5[[#This Row],[PID]],Batters[[#All],[PID]],0)),INDEX(Table3[[#All],[B]],MATCH(Table5[[#This Row],[PID]],Table3[[#All],[PID]],0)))</f>
        <v>L</v>
      </c>
      <c r="I396" s="52" t="str">
        <f>IF($C396="B",INDEX(Batters[[#All],[T]],MATCH(Table5[[#This Row],[PID]],Batters[[#All],[PID]],0)),INDEX(Table3[[#All],[T]],MATCH(Table5[[#This Row],[PID]],Table3[[#All],[PID]],0)))</f>
        <v>L</v>
      </c>
      <c r="J396" s="71" t="str">
        <f>IF($C396="B",INDEX(Batters[[#All],[WE]],MATCH(Table5[[#This Row],[PID]],Batters[[#All],[PID]],0)),INDEX(Table3[[#All],[WE]],MATCH(Table5[[#This Row],[PID]],Table3[[#All],[PID]],0)))</f>
        <v>Normal</v>
      </c>
      <c r="K396" s="52" t="str">
        <f>IF($C396="B",INDEX(Batters[[#All],[INT]],MATCH(Table5[[#This Row],[PID]],Batters[[#All],[PID]],0)),INDEX(Table3[[#All],[INT]],MATCH(Table5[[#This Row],[PID]],Table3[[#All],[PID]],0)))</f>
        <v>Normal</v>
      </c>
      <c r="L396" s="60">
        <f>IF($C396="B",INDEX(Batters[[#All],[CON P]],MATCH(Table5[[#This Row],[PID]],Batters[[#All],[PID]],0)),INDEX(Table3[[#All],[STU P]],MATCH(Table5[[#This Row],[PID]],Table3[[#All],[PID]],0)))</f>
        <v>5</v>
      </c>
      <c r="M396" s="72">
        <f>IF($C396="B",INDEX(Batters[[#All],[GAP P]],MATCH(Table5[[#This Row],[PID]],Batters[[#All],[PID]],0)),INDEX(Table3[[#All],[MOV P]],MATCH(Table5[[#This Row],[PID]],Table3[[#All],[PID]],0)))</f>
        <v>2</v>
      </c>
      <c r="N396" s="72">
        <f>IF($C396="B",INDEX(Batters[[#All],[POW P]],MATCH(Table5[[#This Row],[PID]],Batters[[#All],[PID]],0)),INDEX(Table3[[#All],[CON P]],MATCH(Table5[[#This Row],[PID]],Table3[[#All],[PID]],0)))</f>
        <v>5</v>
      </c>
      <c r="O396" s="72" t="str">
        <f>IF($C396="B",INDEX(Batters[[#All],[EYE P]],MATCH(Table5[[#This Row],[PID]],Batters[[#All],[PID]],0)),INDEX(Table3[[#All],[VELO]],MATCH(Table5[[#This Row],[PID]],Table3[[#All],[PID]],0)))</f>
        <v>93-95 Mph</v>
      </c>
      <c r="P396" s="56">
        <f>IF($C396="B",INDEX(Batters[[#All],[K P]],MATCH(Table5[[#This Row],[PID]],Batters[[#All],[PID]],0)),INDEX(Table3[[#All],[STM]],MATCH(Table5[[#This Row],[PID]],Table3[[#All],[PID]],0)))</f>
        <v>8</v>
      </c>
      <c r="Q396" s="61">
        <f>IF($C396="B",INDEX(Batters[[#All],[Tot]],MATCH(Table5[[#This Row],[PID]],Batters[[#All],[PID]],0)),INDEX(Table3[[#All],[Tot]],MATCH(Table5[[#This Row],[PID]],Table3[[#All],[PID]],0)))</f>
        <v>50.550637395429902</v>
      </c>
      <c r="R396" s="52">
        <f>IF($C396="B",INDEX(Batters[[#All],[zScore]],MATCH(Table5[[#This Row],[PID]],Batters[[#All],[PID]],0)),INDEX(Table3[[#All],[zScore]],MATCH(Table5[[#This Row],[PID]],Table3[[#All],[PID]],0)))</f>
        <v>0.97664537546914088</v>
      </c>
      <c r="S396" s="78" t="str">
        <f>IF($C396="B",INDEX(Batters[[#All],[DEM]],MATCH(Table5[[#This Row],[PID]],Batters[[#All],[PID]],0)),INDEX(Table3[[#All],[DEM]],MATCH(Table5[[#This Row],[PID]],Table3[[#All],[PID]],0)))</f>
        <v>$250k</v>
      </c>
      <c r="T396" s="75">
        <f>IF($C396="B",INDEX(Batters[[#All],[Rnk]],MATCH(Table5[[#This Row],[PID]],Batters[[#All],[PID]],0)),INDEX(Table3[[#All],[Rnk]],MATCH(Table5[[#This Row],[PID]],Table3[[#All],[PID]],0)))</f>
        <v>143</v>
      </c>
      <c r="U396" s="68">
        <f>IF($C396="B",VLOOKUP($A396,Bat!$A$4:$BA$1621,47,FALSE),VLOOKUP($A396,Pit!$A$4:$BF$1557,56,FALSE))</f>
        <v>0</v>
      </c>
      <c r="V396" s="50">
        <f>IF($C396="B",VLOOKUP($A396,Bat!$A$4:$BA$1621,48,FALSE),VLOOKUP($A396,Pit!$A$4:$BF$1557,57,FALSE))</f>
        <v>0</v>
      </c>
      <c r="W396" s="69">
        <f>Table5[[#This Row],[posRnk]]+Table5[[#This Row],[zRnk]]+IF($W$3&lt;&gt;Table5[[#This Row],[Type]],50,0)</f>
        <v>428</v>
      </c>
      <c r="X396" s="73">
        <f>RANK(Table5[[#This Row],[zScore]],Table5[[#All],[zScore]])</f>
        <v>235</v>
      </c>
      <c r="Y396" s="69">
        <f>IFERROR(INDEX(DraftResults[[#All],[OVR]],MATCH(Table5[[#This Row],[PID]],DraftResults[[#All],[Player ID]],0)),"")</f>
        <v>392</v>
      </c>
      <c r="Z3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6" s="69">
        <f>IFERROR(INDEX(DraftResults[[#All],[Pick in Round]],MATCH(Table5[[#This Row],[PID]],DraftResults[[#All],[Player ID]],0)),"")</f>
        <v>24</v>
      </c>
      <c r="AB396" s="69" t="str">
        <f>IFERROR(INDEX(DraftResults[[#All],[Team Name]],MATCH(Table5[[#This Row],[PID]],DraftResults[[#All],[Player ID]],0)),"")</f>
        <v>Aurora Borealis</v>
      </c>
      <c r="AC396" s="69">
        <f>IF(Table5[[#This Row],[Ovr]]="","",IF(Table5[[#This Row],[cmbList]]="","",Table5[[#This Row],[cmbList]]-Table5[[#This Row],[Ovr]]))</f>
        <v>36</v>
      </c>
      <c r="AD396" s="77" t="str">
        <f>IF(ISERROR(VLOOKUP($AB396&amp;"-"&amp;$E396&amp;" "&amp;F396,Bonuses!$B$1:$G$1006,4,FALSE)),"",INT(VLOOKUP($AB396&amp;"-"&amp;$E396&amp;" "&amp;$F396,Bonuses!$B$1:$G$1006,4,FALSE)))</f>
        <v/>
      </c>
      <c r="AE3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13.24 (392) - SP Sadao Kodo</v>
      </c>
    </row>
    <row r="397" spans="1:31" s="50" customFormat="1" x14ac:dyDescent="0.25">
      <c r="A397" s="50">
        <v>18421</v>
      </c>
      <c r="B397" s="50">
        <f>COUNTIF(Table5[PID],A397)</f>
        <v>1</v>
      </c>
      <c r="C397" s="50" t="str">
        <f>IF(COUNTIF(Table3[[#All],[PID]],A397)&gt;0,"P","B")</f>
        <v>B</v>
      </c>
      <c r="D397" s="59" t="str">
        <f>IF($C397="B",INDEX(Batters[[#All],[POS]],MATCH(Table5[[#This Row],[PID]],Batters[[#All],[PID]],0)),INDEX(Table3[[#All],[POS]],MATCH(Table5[[#This Row],[PID]],Table3[[#All],[PID]],0)))</f>
        <v>1B</v>
      </c>
      <c r="E397" s="52" t="str">
        <f>IF($C397="B",INDEX(Batters[[#All],[First]],MATCH(Table5[[#This Row],[PID]],Batters[[#All],[PID]],0)),INDEX(Table3[[#All],[First]],MATCH(Table5[[#This Row],[PID]],Table3[[#All],[PID]],0)))</f>
        <v>Katsumi</v>
      </c>
      <c r="F397" s="50" t="str">
        <f>IF($C397="B",INDEX(Batters[[#All],[Last]],MATCH(A397,Batters[[#All],[PID]],0)),INDEX(Table3[[#All],[Last]],MATCH(A397,Table3[[#All],[PID]],0)))</f>
        <v>Wada</v>
      </c>
      <c r="G397" s="56">
        <f>IF($C397="B",INDEX(Batters[[#All],[Age]],MATCH(Table5[[#This Row],[PID]],Batters[[#All],[PID]],0)),INDEX(Table3[[#All],[Age]],MATCH(Table5[[#This Row],[PID]],Table3[[#All],[PID]],0)))</f>
        <v>18</v>
      </c>
      <c r="H397" s="52" t="str">
        <f>IF($C397="B",INDEX(Batters[[#All],[B]],MATCH(Table5[[#This Row],[PID]],Batters[[#All],[PID]],0)),INDEX(Table3[[#All],[B]],MATCH(Table5[[#This Row],[PID]],Table3[[#All],[PID]],0)))</f>
        <v>L</v>
      </c>
      <c r="I397" s="52" t="str">
        <f>IF($C397="B",INDEX(Batters[[#All],[T]],MATCH(Table5[[#This Row],[PID]],Batters[[#All],[PID]],0)),INDEX(Table3[[#All],[T]],MATCH(Table5[[#This Row],[PID]],Table3[[#All],[PID]],0)))</f>
        <v>L</v>
      </c>
      <c r="J397" s="52" t="str">
        <f>IF($C397="B",INDEX(Batters[[#All],[WE]],MATCH(Table5[[#This Row],[PID]],Batters[[#All],[PID]],0)),INDEX(Table3[[#All],[WE]],MATCH(Table5[[#This Row],[PID]],Table3[[#All],[PID]],0)))</f>
        <v>Normal</v>
      </c>
      <c r="K397" s="52" t="str">
        <f>IF($C397="B",INDEX(Batters[[#All],[INT]],MATCH(Table5[[#This Row],[PID]],Batters[[#All],[PID]],0)),INDEX(Table3[[#All],[INT]],MATCH(Table5[[#This Row],[PID]],Table3[[#All],[PID]],0)))</f>
        <v>Normal</v>
      </c>
      <c r="L397" s="60">
        <f>IF($C397="B",INDEX(Batters[[#All],[CON P]],MATCH(Table5[[#This Row],[PID]],Batters[[#All],[PID]],0)),INDEX(Table3[[#All],[STU P]],MATCH(Table5[[#This Row],[PID]],Table3[[#All],[PID]],0)))</f>
        <v>4</v>
      </c>
      <c r="M397" s="56">
        <f>IF($C397="B",INDEX(Batters[[#All],[GAP P]],MATCH(Table5[[#This Row],[PID]],Batters[[#All],[PID]],0)),INDEX(Table3[[#All],[MOV P]],MATCH(Table5[[#This Row],[PID]],Table3[[#All],[PID]],0)))</f>
        <v>4</v>
      </c>
      <c r="N397" s="56">
        <f>IF($C397="B",INDEX(Batters[[#All],[POW P]],MATCH(Table5[[#This Row],[PID]],Batters[[#All],[PID]],0)),INDEX(Table3[[#All],[CON P]],MATCH(Table5[[#This Row],[PID]],Table3[[#All],[PID]],0)))</f>
        <v>4</v>
      </c>
      <c r="O397" s="56">
        <f>IF($C397="B",INDEX(Batters[[#All],[EYE P]],MATCH(Table5[[#This Row],[PID]],Batters[[#All],[PID]],0)),INDEX(Table3[[#All],[VELO]],MATCH(Table5[[#This Row],[PID]],Table3[[#All],[PID]],0)))</f>
        <v>2</v>
      </c>
      <c r="P397" s="56">
        <f>IF($C397="B",INDEX(Batters[[#All],[K P]],MATCH(Table5[[#This Row],[PID]],Batters[[#All],[PID]],0)),INDEX(Table3[[#All],[STM]],MATCH(Table5[[#This Row],[PID]],Table3[[#All],[PID]],0)))</f>
        <v>5</v>
      </c>
      <c r="Q397" s="61">
        <f>IF($C397="B",INDEX(Batters[[#All],[Tot]],MATCH(Table5[[#This Row],[PID]],Batters[[#All],[PID]],0)),INDEX(Table3[[#All],[Tot]],MATCH(Table5[[#This Row],[PID]],Table3[[#All],[PID]],0)))</f>
        <v>44.459537704197395</v>
      </c>
      <c r="R397" s="52">
        <f>IF($C397="B",INDEX(Batters[[#All],[zScore]],MATCH(Table5[[#This Row],[PID]],Batters[[#All],[PID]],0)),INDEX(Table3[[#All],[zScore]],MATCH(Table5[[#This Row],[PID]],Table3[[#All],[PID]],0)))</f>
        <v>7.2630687091177634E-2</v>
      </c>
      <c r="S397" s="58" t="str">
        <f>IF($C397="B",INDEX(Batters[[#All],[DEM]],MATCH(Table5[[#This Row],[PID]],Batters[[#All],[PID]],0)),INDEX(Table3[[#All],[DEM]],MATCH(Table5[[#This Row],[PID]],Table3[[#All],[PID]],0)))</f>
        <v>$65k</v>
      </c>
      <c r="T397" s="62">
        <f>IF($C397="B",INDEX(Batters[[#All],[Rnk]],MATCH(Table5[[#This Row],[PID]],Batters[[#All],[PID]],0)),INDEX(Table3[[#All],[Rnk]],MATCH(Table5[[#This Row],[PID]],Table3[[#All],[PID]],0)))</f>
        <v>228</v>
      </c>
      <c r="U397" s="68">
        <f>IF($C397="B",VLOOKUP($A397,Bat!$A$4:$BA$1621,47,FALSE),VLOOKUP($A397,Pit!$A$4:$BF$1557,56,FALSE))</f>
        <v>0</v>
      </c>
      <c r="V397" s="50">
        <f>IF($C397="B",VLOOKUP($A397,Bat!$A$4:$BA$1621,48,FALSE),VLOOKUP($A397,Pit!$A$4:$BF$1557,57,FALSE))</f>
        <v>0</v>
      </c>
      <c r="W397" s="50">
        <f>Table5[[#This Row],[posRnk]]+Table5[[#This Row],[zRnk]]+IF($W$3&lt;&gt;Table5[[#This Row],[Type]],50,0)</f>
        <v>800</v>
      </c>
      <c r="X397" s="51">
        <f>RANK(Table5[[#This Row],[zScore]],Table5[[#All],[zScore]])</f>
        <v>522</v>
      </c>
      <c r="Y397" s="50">
        <f>IFERROR(INDEX(DraftResults[[#All],[OVR]],MATCH(Table5[[#This Row],[PID]],DraftResults[[#All],[Player ID]],0)),"")</f>
        <v>393</v>
      </c>
      <c r="Z3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7" s="50">
        <f>IFERROR(INDEX(DraftResults[[#All],[Pick in Round]],MATCH(Table5[[#This Row],[PID]],DraftResults[[#All],[Player ID]],0)),"")</f>
        <v>25</v>
      </c>
      <c r="AB397" s="50" t="str">
        <f>IFERROR(INDEX(DraftResults[[#All],[Team Name]],MATCH(Table5[[#This Row],[PID]],DraftResults[[#All],[Player ID]],0)),"")</f>
        <v>Toyama Wind Dancers</v>
      </c>
      <c r="AC397" s="50">
        <f>IF(Table5[[#This Row],[Ovr]]="","",IF(Table5[[#This Row],[cmbList]]="","",Table5[[#This Row],[cmbList]]-Table5[[#This Row],[Ovr]]))</f>
        <v>407</v>
      </c>
      <c r="AD397" s="54" t="str">
        <f>IF(ISERROR(VLOOKUP($AB397&amp;"-"&amp;$E397&amp;" "&amp;F397,Bonuses!$B$1:$G$1006,4,FALSE)),"",INT(VLOOKUP($AB397&amp;"-"&amp;$E397&amp;" "&amp;$F397,Bonuses!$B$1:$G$1006,4,FALSE)))</f>
        <v/>
      </c>
      <c r="AE3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13.25 (393) - 1B Katsumi Wada</v>
      </c>
    </row>
    <row r="398" spans="1:31" s="50" customFormat="1" x14ac:dyDescent="0.25">
      <c r="A398" s="50">
        <v>18128</v>
      </c>
      <c r="B398" s="50">
        <f>COUNTIF(Table5[PID],A398)</f>
        <v>1</v>
      </c>
      <c r="C398" s="50" t="str">
        <f>IF(COUNTIF(Table3[[#All],[PID]],A398)&gt;0,"P","B")</f>
        <v>B</v>
      </c>
      <c r="D398" s="59" t="str">
        <f>IF($C398="B",INDEX(Batters[[#All],[POS]],MATCH(Table5[[#This Row],[PID]],Batters[[#All],[PID]],0)),INDEX(Table3[[#All],[POS]],MATCH(Table5[[#This Row],[PID]],Table3[[#All],[PID]],0)))</f>
        <v>2B</v>
      </c>
      <c r="E398" s="52" t="str">
        <f>IF($C398="B",INDEX(Batters[[#All],[First]],MATCH(Table5[[#This Row],[PID]],Batters[[#All],[PID]],0)),INDEX(Table3[[#All],[First]],MATCH(Table5[[#This Row],[PID]],Table3[[#All],[PID]],0)))</f>
        <v>Roy</v>
      </c>
      <c r="F398" s="50" t="str">
        <f>IF($C398="B",INDEX(Batters[[#All],[Last]],MATCH(A398,Batters[[#All],[PID]],0)),INDEX(Table3[[#All],[Last]],MATCH(A398,Table3[[#All],[PID]],0)))</f>
        <v>Cahill</v>
      </c>
      <c r="G398" s="56">
        <f>IF($C398="B",INDEX(Batters[[#All],[Age]],MATCH(Table5[[#This Row],[PID]],Batters[[#All],[PID]],0)),INDEX(Table3[[#All],[Age]],MATCH(Table5[[#This Row],[PID]],Table3[[#All],[PID]],0)))</f>
        <v>21</v>
      </c>
      <c r="H398" s="52" t="str">
        <f>IF($C398="B",INDEX(Batters[[#All],[B]],MATCH(Table5[[#This Row],[PID]],Batters[[#All],[PID]],0)),INDEX(Table3[[#All],[B]],MATCH(Table5[[#This Row],[PID]],Table3[[#All],[PID]],0)))</f>
        <v>R</v>
      </c>
      <c r="I398" s="52" t="str">
        <f>IF($C398="B",INDEX(Batters[[#All],[T]],MATCH(Table5[[#This Row],[PID]],Batters[[#All],[PID]],0)),INDEX(Table3[[#All],[T]],MATCH(Table5[[#This Row],[PID]],Table3[[#All],[PID]],0)))</f>
        <v>R</v>
      </c>
      <c r="J398" s="52" t="str">
        <f>IF($C398="B",INDEX(Batters[[#All],[WE]],MATCH(Table5[[#This Row],[PID]],Batters[[#All],[PID]],0)),INDEX(Table3[[#All],[WE]],MATCH(Table5[[#This Row],[PID]],Table3[[#All],[PID]],0)))</f>
        <v>Low</v>
      </c>
      <c r="K398" s="52" t="str">
        <f>IF($C398="B",INDEX(Batters[[#All],[INT]],MATCH(Table5[[#This Row],[PID]],Batters[[#All],[PID]],0)),INDEX(Table3[[#All],[INT]],MATCH(Table5[[#This Row],[PID]],Table3[[#All],[PID]],0)))</f>
        <v>Normal</v>
      </c>
      <c r="L398" s="60">
        <f>IF($C398="B",INDEX(Batters[[#All],[CON P]],MATCH(Table5[[#This Row],[PID]],Batters[[#All],[PID]],0)),INDEX(Table3[[#All],[STU P]],MATCH(Table5[[#This Row],[PID]],Table3[[#All],[PID]],0)))</f>
        <v>4</v>
      </c>
      <c r="M398" s="56">
        <f>IF($C398="B",INDEX(Batters[[#All],[GAP P]],MATCH(Table5[[#This Row],[PID]],Batters[[#All],[PID]],0)),INDEX(Table3[[#All],[MOV P]],MATCH(Table5[[#This Row],[PID]],Table3[[#All],[PID]],0)))</f>
        <v>3</v>
      </c>
      <c r="N398" s="56">
        <f>IF($C398="B",INDEX(Batters[[#All],[POW P]],MATCH(Table5[[#This Row],[PID]],Batters[[#All],[PID]],0)),INDEX(Table3[[#All],[CON P]],MATCH(Table5[[#This Row],[PID]],Table3[[#All],[PID]],0)))</f>
        <v>3</v>
      </c>
      <c r="O398" s="56">
        <f>IF($C398="B",INDEX(Batters[[#All],[EYE P]],MATCH(Table5[[#This Row],[PID]],Batters[[#All],[PID]],0)),INDEX(Table3[[#All],[VELO]],MATCH(Table5[[#This Row],[PID]],Table3[[#All],[PID]],0)))</f>
        <v>6</v>
      </c>
      <c r="P398" s="56">
        <f>IF($C398="B",INDEX(Batters[[#All],[K P]],MATCH(Table5[[#This Row],[PID]],Batters[[#All],[PID]],0)),INDEX(Table3[[#All],[STM]],MATCH(Table5[[#This Row],[PID]],Table3[[#All],[PID]],0)))</f>
        <v>4</v>
      </c>
      <c r="Q398" s="61">
        <f>IF($C398="B",INDEX(Batters[[#All],[Tot]],MATCH(Table5[[#This Row],[PID]],Batters[[#All],[PID]],0)),INDEX(Table3[[#All],[Tot]],MATCH(Table5[[#This Row],[PID]],Table3[[#All],[PID]],0)))</f>
        <v>41.806247024725081</v>
      </c>
      <c r="R398" s="52">
        <f>IF($C398="B",INDEX(Batters[[#All],[zScore]],MATCH(Table5[[#This Row],[PID]],Batters[[#All],[PID]],0)),INDEX(Table3[[#All],[zScore]],MATCH(Table5[[#This Row],[PID]],Table3[[#All],[PID]],0)))</f>
        <v>-0.51562179112836759</v>
      </c>
      <c r="S398" s="58" t="str">
        <f>IF($C398="B",INDEX(Batters[[#All],[DEM]],MATCH(Table5[[#This Row],[PID]],Batters[[#All],[PID]],0)),INDEX(Table3[[#All],[DEM]],MATCH(Table5[[#This Row],[PID]],Table3[[#All],[PID]],0)))</f>
        <v>-</v>
      </c>
      <c r="T398" s="62">
        <f>IF($C398="B",INDEX(Batters[[#All],[Rnk]],MATCH(Table5[[#This Row],[PID]],Batters[[#All],[PID]],0)),INDEX(Table3[[#All],[Rnk]],MATCH(Table5[[#This Row],[PID]],Table3[[#All],[PID]],0)))</f>
        <v>339</v>
      </c>
      <c r="U398" s="68">
        <f>IF($C398="B",VLOOKUP($A398,Bat!$A$4:$BA$1621,47,FALSE),VLOOKUP($A398,Pit!$A$4:$BF$1557,56,FALSE))</f>
        <v>0</v>
      </c>
      <c r="V398" s="50">
        <f>IF($C398="B",VLOOKUP($A398,Bat!$A$4:$BA$1621,48,FALSE),VLOOKUP($A398,Pit!$A$4:$BF$1557,57,FALSE))</f>
        <v>0</v>
      </c>
      <c r="W398" s="50">
        <f>Table5[[#This Row],[posRnk]]+Table5[[#This Row],[zRnk]]+IF($W$3&lt;&gt;Table5[[#This Row],[Type]],50,0)</f>
        <v>1260</v>
      </c>
      <c r="X398" s="51">
        <f>RANK(Table5[[#This Row],[zScore]],Table5[[#All],[zScore]])</f>
        <v>871</v>
      </c>
      <c r="Y398" s="50">
        <f>IFERROR(INDEX(DraftResults[[#All],[OVR]],MATCH(Table5[[#This Row],[PID]],DraftResults[[#All],[Player ID]],0)),"")</f>
        <v>394</v>
      </c>
      <c r="Z3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8" s="50">
        <f>IFERROR(INDEX(DraftResults[[#All],[Pick in Round]],MATCH(Table5[[#This Row],[PID]],DraftResults[[#All],[Player ID]],0)),"")</f>
        <v>26</v>
      </c>
      <c r="AB398" s="50" t="str">
        <f>IFERROR(INDEX(DraftResults[[#All],[Team Name]],MATCH(Table5[[#This Row],[PID]],DraftResults[[#All],[Player ID]],0)),"")</f>
        <v>Yuma Arroyos</v>
      </c>
      <c r="AC398" s="50">
        <f>IF(Table5[[#This Row],[Ovr]]="","",IF(Table5[[#This Row],[cmbList]]="","",Table5[[#This Row],[cmbList]]-Table5[[#This Row],[Ovr]]))</f>
        <v>866</v>
      </c>
      <c r="AD398" s="54" t="str">
        <f>IF(ISERROR(VLOOKUP($AB398&amp;"-"&amp;$E398&amp;" "&amp;F398,Bonuses!$B$1:$G$1006,4,FALSE)),"",INT(VLOOKUP($AB398&amp;"-"&amp;$E398&amp;" "&amp;$F398,Bonuses!$B$1:$G$1006,4,FALSE)))</f>
        <v/>
      </c>
      <c r="AE3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13.26 (394) - 2B Roy Cahill</v>
      </c>
    </row>
    <row r="399" spans="1:31" s="50" customFormat="1" x14ac:dyDescent="0.25">
      <c r="A399" s="50">
        <v>18229</v>
      </c>
      <c r="B399" s="50">
        <f>COUNTIF(Table5[PID],A399)</f>
        <v>1</v>
      </c>
      <c r="C399" s="50" t="str">
        <f>IF(COUNTIF(Table3[[#All],[PID]],A399)&gt;0,"P","B")</f>
        <v>B</v>
      </c>
      <c r="D399" s="59" t="str">
        <f>IF($C399="B",INDEX(Batters[[#All],[POS]],MATCH(Table5[[#This Row],[PID]],Batters[[#All],[PID]],0)),INDEX(Table3[[#All],[POS]],MATCH(Table5[[#This Row],[PID]],Table3[[#All],[PID]],0)))</f>
        <v>1B</v>
      </c>
      <c r="E399" s="52" t="str">
        <f>IF($C399="B",INDEX(Batters[[#All],[First]],MATCH(Table5[[#This Row],[PID]],Batters[[#All],[PID]],0)),INDEX(Table3[[#All],[First]],MATCH(Table5[[#This Row],[PID]],Table3[[#All],[PID]],0)))</f>
        <v>Denny</v>
      </c>
      <c r="F399" s="50" t="str">
        <f>IF($C399="B",INDEX(Batters[[#All],[Last]],MATCH(A399,Batters[[#All],[PID]],0)),INDEX(Table3[[#All],[Last]],MATCH(A399,Table3[[#All],[PID]],0)))</f>
        <v>Shirley</v>
      </c>
      <c r="G399" s="56">
        <f>IF($C399="B",INDEX(Batters[[#All],[Age]],MATCH(Table5[[#This Row],[PID]],Batters[[#All],[PID]],0)),INDEX(Table3[[#All],[Age]],MATCH(Table5[[#This Row],[PID]],Table3[[#All],[PID]],0)))</f>
        <v>18</v>
      </c>
      <c r="H399" s="52" t="str">
        <f>IF($C399="B",INDEX(Batters[[#All],[B]],MATCH(Table5[[#This Row],[PID]],Batters[[#All],[PID]],0)),INDEX(Table3[[#All],[B]],MATCH(Table5[[#This Row],[PID]],Table3[[#All],[PID]],0)))</f>
        <v>L</v>
      </c>
      <c r="I399" s="52" t="str">
        <f>IF($C399="B",INDEX(Batters[[#All],[T]],MATCH(Table5[[#This Row],[PID]],Batters[[#All],[PID]],0)),INDEX(Table3[[#All],[T]],MATCH(Table5[[#This Row],[PID]],Table3[[#All],[PID]],0)))</f>
        <v>R</v>
      </c>
      <c r="J399" s="52" t="str">
        <f>IF($C399="B",INDEX(Batters[[#All],[WE]],MATCH(Table5[[#This Row],[PID]],Batters[[#All],[PID]],0)),INDEX(Table3[[#All],[WE]],MATCH(Table5[[#This Row],[PID]],Table3[[#All],[PID]],0)))</f>
        <v>Normal</v>
      </c>
      <c r="K399" s="52" t="str">
        <f>IF($C399="B",INDEX(Batters[[#All],[INT]],MATCH(Table5[[#This Row],[PID]],Batters[[#All],[PID]],0)),INDEX(Table3[[#All],[INT]],MATCH(Table5[[#This Row],[PID]],Table3[[#All],[PID]],0)))</f>
        <v>Low</v>
      </c>
      <c r="L399" s="60">
        <f>IF($C399="B",INDEX(Batters[[#All],[CON P]],MATCH(Table5[[#This Row],[PID]],Batters[[#All],[PID]],0)),INDEX(Table3[[#All],[STU P]],MATCH(Table5[[#This Row],[PID]],Table3[[#All],[PID]],0)))</f>
        <v>4</v>
      </c>
      <c r="M399" s="56">
        <f>IF($C399="B",INDEX(Batters[[#All],[GAP P]],MATCH(Table5[[#This Row],[PID]],Batters[[#All],[PID]],0)),INDEX(Table3[[#All],[MOV P]],MATCH(Table5[[#This Row],[PID]],Table3[[#All],[PID]],0)))</f>
        <v>4</v>
      </c>
      <c r="N399" s="56">
        <f>IF($C399="B",INDEX(Batters[[#All],[POW P]],MATCH(Table5[[#This Row],[PID]],Batters[[#All],[PID]],0)),INDEX(Table3[[#All],[CON P]],MATCH(Table5[[#This Row],[PID]],Table3[[#All],[PID]],0)))</f>
        <v>3</v>
      </c>
      <c r="O399" s="56">
        <f>IF($C399="B",INDEX(Batters[[#All],[EYE P]],MATCH(Table5[[#This Row],[PID]],Batters[[#All],[PID]],0)),INDEX(Table3[[#All],[VELO]],MATCH(Table5[[#This Row],[PID]],Table3[[#All],[PID]],0)))</f>
        <v>5</v>
      </c>
      <c r="P399" s="56">
        <f>IF($C399="B",INDEX(Batters[[#All],[K P]],MATCH(Table5[[#This Row],[PID]],Batters[[#All],[PID]],0)),INDEX(Table3[[#All],[STM]],MATCH(Table5[[#This Row],[PID]],Table3[[#All],[PID]],0)))</f>
        <v>7</v>
      </c>
      <c r="Q399" s="61">
        <f>IF($C399="B",INDEX(Batters[[#All],[Tot]],MATCH(Table5[[#This Row],[PID]],Batters[[#All],[PID]],0)),INDEX(Table3[[#All],[Tot]],MATCH(Table5[[#This Row],[PID]],Table3[[#All],[PID]],0)))</f>
        <v>47.974041654181491</v>
      </c>
      <c r="R399" s="52">
        <f>IF($C399="B",INDEX(Batters[[#All],[zScore]],MATCH(Table5[[#This Row],[PID]],Batters[[#All],[PID]],0)),INDEX(Table3[[#All],[zScore]],MATCH(Table5[[#This Row],[PID]],Table3[[#All],[PID]],0)))</f>
        <v>0.85181996864463827</v>
      </c>
      <c r="S399" s="58" t="str">
        <f>IF($C399="B",INDEX(Batters[[#All],[DEM]],MATCH(Table5[[#This Row],[PID]],Batters[[#All],[PID]],0)),INDEX(Table3[[#All],[DEM]],MATCH(Table5[[#This Row],[PID]],Table3[[#All],[PID]],0)))</f>
        <v>$65k</v>
      </c>
      <c r="T399" s="62">
        <f>IF($C399="B",INDEX(Batters[[#All],[Rnk]],MATCH(Table5[[#This Row],[PID]],Batters[[#All],[PID]],0)),INDEX(Table3[[#All],[Rnk]],MATCH(Table5[[#This Row],[PID]],Table3[[#All],[PID]],0)))</f>
        <v>109</v>
      </c>
      <c r="U399" s="68">
        <f>IF($C399="B",VLOOKUP($A399,Bat!$A$4:$BA$1621,47,FALSE),VLOOKUP($A399,Pit!$A$4:$BF$1557,56,FALSE))</f>
        <v>0</v>
      </c>
      <c r="V399" s="50">
        <f>IF($C399="B",VLOOKUP($A399,Bat!$A$4:$BA$1621,48,FALSE),VLOOKUP($A399,Pit!$A$4:$BF$1557,57,FALSE))</f>
        <v>0</v>
      </c>
      <c r="W399" s="50">
        <f>Table5[[#This Row],[posRnk]]+Table5[[#This Row],[zRnk]]+IF($W$3&lt;&gt;Table5[[#This Row],[Type]],50,0)</f>
        <v>431</v>
      </c>
      <c r="X399" s="51">
        <f>RANK(Table5[[#This Row],[zScore]],Table5[[#All],[zScore]])</f>
        <v>272</v>
      </c>
      <c r="Y399" s="50">
        <f>IFERROR(INDEX(DraftResults[[#All],[OVR]],MATCH(Table5[[#This Row],[PID]],DraftResults[[#All],[Player ID]],0)),"")</f>
        <v>395</v>
      </c>
      <c r="Z3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399" s="50">
        <f>IFERROR(INDEX(DraftResults[[#All],[Pick in Round]],MATCH(Table5[[#This Row],[PID]],DraftResults[[#All],[Player ID]],0)),"")</f>
        <v>27</v>
      </c>
      <c r="AB399" s="50" t="str">
        <f>IFERROR(INDEX(DraftResults[[#All],[Team Name]],MATCH(Table5[[#This Row],[PID]],DraftResults[[#All],[Player ID]],0)),"")</f>
        <v>Neo-Tokyo Akira</v>
      </c>
      <c r="AC399" s="50">
        <f>IF(Table5[[#This Row],[Ovr]]="","",IF(Table5[[#This Row],[cmbList]]="","",Table5[[#This Row],[cmbList]]-Table5[[#This Row],[Ovr]]))</f>
        <v>36</v>
      </c>
      <c r="AD399" s="54" t="str">
        <f>IF(ISERROR(VLOOKUP($AB399&amp;"-"&amp;$E399&amp;" "&amp;F399,Bonuses!$B$1:$G$1006,4,FALSE)),"",INT(VLOOKUP($AB399&amp;"-"&amp;$E399&amp;" "&amp;$F399,Bonuses!$B$1:$G$1006,4,FALSE)))</f>
        <v/>
      </c>
      <c r="AE3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13.27 (395) - 1B Denny Shirley</v>
      </c>
    </row>
    <row r="400" spans="1:31" s="50" customFormat="1" x14ac:dyDescent="0.25">
      <c r="A400" s="50">
        <v>18266</v>
      </c>
      <c r="B400" s="50">
        <f>COUNTIF(Table5[PID],A400)</f>
        <v>1</v>
      </c>
      <c r="C400" s="50" t="str">
        <f>IF(COUNTIF(Table3[[#All],[PID]],A400)&gt;0,"P","B")</f>
        <v>P</v>
      </c>
      <c r="D400" s="59" t="str">
        <f>IF($C400="B",INDEX(Batters[[#All],[POS]],MATCH(Table5[[#This Row],[PID]],Batters[[#All],[PID]],0)),INDEX(Table3[[#All],[POS]],MATCH(Table5[[#This Row],[PID]],Table3[[#All],[PID]],0)))</f>
        <v>CL</v>
      </c>
      <c r="E400" s="52" t="str">
        <f>IF($C400="B",INDEX(Batters[[#All],[First]],MATCH(Table5[[#This Row],[PID]],Batters[[#All],[PID]],0)),INDEX(Table3[[#All],[First]],MATCH(Table5[[#This Row],[PID]],Table3[[#All],[PID]],0)))</f>
        <v>Leonard</v>
      </c>
      <c r="F400" s="50" t="str">
        <f>IF($C400="B",INDEX(Batters[[#All],[Last]],MATCH(A400,Batters[[#All],[PID]],0)),INDEX(Table3[[#All],[Last]],MATCH(A400,Table3[[#All],[PID]],0)))</f>
        <v>Hurley</v>
      </c>
      <c r="G400" s="56">
        <f>IF($C400="B",INDEX(Batters[[#All],[Age]],MATCH(Table5[[#This Row],[PID]],Batters[[#All],[PID]],0)),INDEX(Table3[[#All],[Age]],MATCH(Table5[[#This Row],[PID]],Table3[[#All],[PID]],0)))</f>
        <v>18</v>
      </c>
      <c r="H400" s="52" t="str">
        <f>IF($C400="B",INDEX(Batters[[#All],[B]],MATCH(Table5[[#This Row],[PID]],Batters[[#All],[PID]],0)),INDEX(Table3[[#All],[B]],MATCH(Table5[[#This Row],[PID]],Table3[[#All],[PID]],0)))</f>
        <v>R</v>
      </c>
      <c r="I400" s="52" t="str">
        <f>IF($C400="B",INDEX(Batters[[#All],[T]],MATCH(Table5[[#This Row],[PID]],Batters[[#All],[PID]],0)),INDEX(Table3[[#All],[T]],MATCH(Table5[[#This Row],[PID]],Table3[[#All],[PID]],0)))</f>
        <v>R</v>
      </c>
      <c r="J400" s="52" t="str">
        <f>IF($C400="B",INDEX(Batters[[#All],[WE]],MATCH(Table5[[#This Row],[PID]],Batters[[#All],[PID]],0)),INDEX(Table3[[#All],[WE]],MATCH(Table5[[#This Row],[PID]],Table3[[#All],[PID]],0)))</f>
        <v>Low</v>
      </c>
      <c r="K400" s="52" t="str">
        <f>IF($C400="B",INDEX(Batters[[#All],[INT]],MATCH(Table5[[#This Row],[PID]],Batters[[#All],[PID]],0)),INDEX(Table3[[#All],[INT]],MATCH(Table5[[#This Row],[PID]],Table3[[#All],[PID]],0)))</f>
        <v>Normal</v>
      </c>
      <c r="L400" s="60">
        <f>IF($C400="B",INDEX(Batters[[#All],[CON P]],MATCH(Table5[[#This Row],[PID]],Batters[[#All],[PID]],0)),INDEX(Table3[[#All],[STU P]],MATCH(Table5[[#This Row],[PID]],Table3[[#All],[PID]],0)))</f>
        <v>5</v>
      </c>
      <c r="M400" s="56">
        <f>IF($C400="B",INDEX(Batters[[#All],[GAP P]],MATCH(Table5[[#This Row],[PID]],Batters[[#All],[PID]],0)),INDEX(Table3[[#All],[MOV P]],MATCH(Table5[[#This Row],[PID]],Table3[[#All],[PID]],0)))</f>
        <v>2</v>
      </c>
      <c r="N400" s="56">
        <f>IF($C400="B",INDEX(Batters[[#All],[POW P]],MATCH(Table5[[#This Row],[PID]],Batters[[#All],[PID]],0)),INDEX(Table3[[#All],[CON P]],MATCH(Table5[[#This Row],[PID]],Table3[[#All],[PID]],0)))</f>
        <v>5</v>
      </c>
      <c r="O400" s="56" t="str">
        <f>IF($C400="B",INDEX(Batters[[#All],[EYE P]],MATCH(Table5[[#This Row],[PID]],Batters[[#All],[PID]],0)),INDEX(Table3[[#All],[VELO]],MATCH(Table5[[#This Row],[PID]],Table3[[#All],[PID]],0)))</f>
        <v>92-94 Mph</v>
      </c>
      <c r="P400" s="56">
        <f>IF($C400="B",INDEX(Batters[[#All],[K P]],MATCH(Table5[[#This Row],[PID]],Batters[[#All],[PID]],0)),INDEX(Table3[[#All],[STM]],MATCH(Table5[[#This Row],[PID]],Table3[[#All],[PID]],0)))</f>
        <v>7</v>
      </c>
      <c r="Q400" s="61">
        <f>IF($C400="B",INDEX(Batters[[#All],[Tot]],MATCH(Table5[[#This Row],[PID]],Batters[[#All],[PID]],0)),INDEX(Table3[[#All],[Tot]],MATCH(Table5[[#This Row],[PID]],Table3[[#All],[PID]],0)))</f>
        <v>48.996901359572426</v>
      </c>
      <c r="R400" s="52">
        <f>IF($C400="B",INDEX(Batters[[#All],[zScore]],MATCH(Table5[[#This Row],[PID]],Batters[[#All],[PID]],0)),INDEX(Table3[[#All],[zScore]],MATCH(Table5[[#This Row],[PID]],Table3[[#All],[PID]],0)))</f>
        <v>0.87327769128131771</v>
      </c>
      <c r="S400" s="58" t="str">
        <f>IF($C400="B",INDEX(Batters[[#All],[DEM]],MATCH(Table5[[#This Row],[PID]],Batters[[#All],[PID]],0)),INDEX(Table3[[#All],[DEM]],MATCH(Table5[[#This Row],[PID]],Table3[[#All],[PID]],0)))</f>
        <v>$75k</v>
      </c>
      <c r="T400" s="62">
        <f>IF($C400="B",INDEX(Batters[[#All],[Rnk]],MATCH(Table5[[#This Row],[PID]],Batters[[#All],[PID]],0)),INDEX(Table3[[#All],[Rnk]],MATCH(Table5[[#This Row],[PID]],Table3[[#All],[PID]],0)))</f>
        <v>159</v>
      </c>
      <c r="U400" s="68">
        <f>IF($C400="B",VLOOKUP($A400,Bat!$A$4:$BA$1621,47,FALSE),VLOOKUP($A400,Pit!$A$4:$BF$1557,56,FALSE))</f>
        <v>0</v>
      </c>
      <c r="V400" s="50">
        <f>IF($C400="B",VLOOKUP($A400,Bat!$A$4:$BA$1621,48,FALSE),VLOOKUP($A400,Pit!$A$4:$BF$1557,57,FALSE))</f>
        <v>0</v>
      </c>
      <c r="W400" s="50">
        <f>Table5[[#This Row],[posRnk]]+Table5[[#This Row],[zRnk]]+IF($W$3&lt;&gt;Table5[[#This Row],[Type]],50,0)</f>
        <v>471</v>
      </c>
      <c r="X400" s="51">
        <f>RANK(Table5[[#This Row],[zScore]],Table5[[#All],[zScore]])</f>
        <v>262</v>
      </c>
      <c r="Y400" s="50">
        <f>IFERROR(INDEX(DraftResults[[#All],[OVR]],MATCH(Table5[[#This Row],[PID]],DraftResults[[#All],[Player ID]],0)),"")</f>
        <v>396</v>
      </c>
      <c r="Z4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00" s="50">
        <f>IFERROR(INDEX(DraftResults[[#All],[Pick in Round]],MATCH(Table5[[#This Row],[PID]],DraftResults[[#All],[Player ID]],0)),"")</f>
        <v>28</v>
      </c>
      <c r="AB400" s="50" t="str">
        <f>IFERROR(INDEX(DraftResults[[#All],[Team Name]],MATCH(Table5[[#This Row],[PID]],DraftResults[[#All],[Player ID]],0)),"")</f>
        <v>San Juan Coqui</v>
      </c>
      <c r="AC400" s="50">
        <f>IF(Table5[[#This Row],[Ovr]]="","",IF(Table5[[#This Row],[cmbList]]="","",Table5[[#This Row],[cmbList]]-Table5[[#This Row],[Ovr]]))</f>
        <v>75</v>
      </c>
      <c r="AD400" s="54" t="str">
        <f>IF(ISERROR(VLOOKUP($AB400&amp;"-"&amp;$E400&amp;" "&amp;F400,Bonuses!$B$1:$G$1006,4,FALSE)),"",INT(VLOOKUP($AB400&amp;"-"&amp;$E400&amp;" "&amp;$F400,Bonuses!$B$1:$G$1006,4,FALSE)))</f>
        <v/>
      </c>
      <c r="AE4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13.28 (396) - CL Leonard Hurley</v>
      </c>
    </row>
    <row r="401" spans="1:31" s="50" customFormat="1" x14ac:dyDescent="0.25">
      <c r="A401" s="68">
        <v>18238</v>
      </c>
      <c r="B401" s="69">
        <f>COUNTIF(Table5[PID],A401)</f>
        <v>1</v>
      </c>
      <c r="C401" s="69" t="str">
        <f>IF(COUNTIF(Table3[[#All],[PID]],A401)&gt;0,"P","B")</f>
        <v>P</v>
      </c>
      <c r="D401" s="59" t="str">
        <f>IF($C401="B",INDEX(Batters[[#All],[POS]],MATCH(Table5[[#This Row],[PID]],Batters[[#All],[PID]],0)),INDEX(Table3[[#All],[POS]],MATCH(Table5[[#This Row],[PID]],Table3[[#All],[PID]],0)))</f>
        <v>SP</v>
      </c>
      <c r="E401" s="52" t="str">
        <f>IF($C401="B",INDEX(Batters[[#All],[First]],MATCH(Table5[[#This Row],[PID]],Batters[[#All],[PID]],0)),INDEX(Table3[[#All],[First]],MATCH(Table5[[#This Row],[PID]],Table3[[#All],[PID]],0)))</f>
        <v>Hugh</v>
      </c>
      <c r="F401" s="55" t="str">
        <f>IF($C401="B",INDEX(Batters[[#All],[Last]],MATCH(A401,Batters[[#All],[PID]],0)),INDEX(Table3[[#All],[Last]],MATCH(A401,Table3[[#All],[PID]],0)))</f>
        <v>Peña</v>
      </c>
      <c r="G401" s="56">
        <f>IF($C401="B",INDEX(Batters[[#All],[Age]],MATCH(Table5[[#This Row],[PID]],Batters[[#All],[PID]],0)),INDEX(Table3[[#All],[Age]],MATCH(Table5[[#This Row],[PID]],Table3[[#All],[PID]],0)))</f>
        <v>18</v>
      </c>
      <c r="H401" s="52" t="str">
        <f>IF($C401="B",INDEX(Batters[[#All],[B]],MATCH(Table5[[#This Row],[PID]],Batters[[#All],[PID]],0)),INDEX(Table3[[#All],[B]],MATCH(Table5[[#This Row],[PID]],Table3[[#All],[PID]],0)))</f>
        <v>R</v>
      </c>
      <c r="I401" s="52" t="str">
        <f>IF($C401="B",INDEX(Batters[[#All],[T]],MATCH(Table5[[#This Row],[PID]],Batters[[#All],[PID]],0)),INDEX(Table3[[#All],[T]],MATCH(Table5[[#This Row],[PID]],Table3[[#All],[PID]],0)))</f>
        <v>R</v>
      </c>
      <c r="J401" s="71" t="str">
        <f>IF($C401="B",INDEX(Batters[[#All],[WE]],MATCH(Table5[[#This Row],[PID]],Batters[[#All],[PID]],0)),INDEX(Table3[[#All],[WE]],MATCH(Table5[[#This Row],[PID]],Table3[[#All],[PID]],0)))</f>
        <v>Normal</v>
      </c>
      <c r="K401" s="52" t="str">
        <f>IF($C401="B",INDEX(Batters[[#All],[INT]],MATCH(Table5[[#This Row],[PID]],Batters[[#All],[PID]],0)),INDEX(Table3[[#All],[INT]],MATCH(Table5[[#This Row],[PID]],Table3[[#All],[PID]],0)))</f>
        <v>Normal</v>
      </c>
      <c r="L401" s="60">
        <f>IF($C401="B",INDEX(Batters[[#All],[CON P]],MATCH(Table5[[#This Row],[PID]],Batters[[#All],[PID]],0)),INDEX(Table3[[#All],[STU P]],MATCH(Table5[[#This Row],[PID]],Table3[[#All],[PID]],0)))</f>
        <v>5</v>
      </c>
      <c r="M401" s="72">
        <f>IF($C401="B",INDEX(Batters[[#All],[GAP P]],MATCH(Table5[[#This Row],[PID]],Batters[[#All],[PID]],0)),INDEX(Table3[[#All],[MOV P]],MATCH(Table5[[#This Row],[PID]],Table3[[#All],[PID]],0)))</f>
        <v>4</v>
      </c>
      <c r="N401" s="72">
        <f>IF($C401="B",INDEX(Batters[[#All],[POW P]],MATCH(Table5[[#This Row],[PID]],Batters[[#All],[PID]],0)),INDEX(Table3[[#All],[CON P]],MATCH(Table5[[#This Row],[PID]],Table3[[#All],[PID]],0)))</f>
        <v>5</v>
      </c>
      <c r="O401" s="72" t="str">
        <f>IF($C401="B",INDEX(Batters[[#All],[EYE P]],MATCH(Table5[[#This Row],[PID]],Batters[[#All],[PID]],0)),INDEX(Table3[[#All],[VELO]],MATCH(Table5[[#This Row],[PID]],Table3[[#All],[PID]],0)))</f>
        <v>92-94 Mph</v>
      </c>
      <c r="P401" s="56">
        <f>IF($C401="B",INDEX(Batters[[#All],[K P]],MATCH(Table5[[#This Row],[PID]],Batters[[#All],[PID]],0)),INDEX(Table3[[#All],[STM]],MATCH(Table5[[#This Row],[PID]],Table3[[#All],[PID]],0)))</f>
        <v>6</v>
      </c>
      <c r="Q401" s="61">
        <f>IF($C401="B",INDEX(Batters[[#All],[Tot]],MATCH(Table5[[#This Row],[PID]],Batters[[#All],[PID]],0)),INDEX(Table3[[#All],[Tot]],MATCH(Table5[[#This Row],[PID]],Table3[[#All],[PID]],0)))</f>
        <v>56.789207632399297</v>
      </c>
      <c r="R401" s="52">
        <f>IF($C401="B",INDEX(Batters[[#All],[zScore]],MATCH(Table5[[#This Row],[PID]],Batters[[#All],[PID]],0)),INDEX(Table3[[#All],[zScore]],MATCH(Table5[[#This Row],[PID]],Table3[[#All],[PID]],0)))</f>
        <v>1.3916879201203733</v>
      </c>
      <c r="S401" s="78" t="str">
        <f>IF($C401="B",INDEX(Batters[[#All],[DEM]],MATCH(Table5[[#This Row],[PID]],Batters[[#All],[PID]],0)),INDEX(Table3[[#All],[DEM]],MATCH(Table5[[#This Row],[PID]],Table3[[#All],[PID]],0)))</f>
        <v>$420k</v>
      </c>
      <c r="T401" s="75">
        <f>IF($C401="B",INDEX(Batters[[#All],[Rnk]],MATCH(Table5[[#This Row],[PID]],Batters[[#All],[PID]],0)),INDEX(Table3[[#All],[Rnk]],MATCH(Table5[[#This Row],[PID]],Table3[[#All],[PID]],0)))</f>
        <v>85</v>
      </c>
      <c r="U401" s="68">
        <f>IF($C401="B",VLOOKUP($A401,Bat!$A$4:$BA$1621,47,FALSE),VLOOKUP($A401,Pit!$A$4:$BF$1557,56,FALSE))</f>
        <v>0</v>
      </c>
      <c r="V401" s="50">
        <f>IF($C401="B",VLOOKUP($A401,Bat!$A$4:$BA$1621,48,FALSE),VLOOKUP($A401,Pit!$A$4:$BF$1557,57,FALSE))</f>
        <v>0</v>
      </c>
      <c r="W401" s="69">
        <f>Table5[[#This Row],[posRnk]]+Table5[[#This Row],[zRnk]]+IF($W$3&lt;&gt;Table5[[#This Row],[Type]],50,0)</f>
        <v>271</v>
      </c>
      <c r="X401" s="73">
        <f>RANK(Table5[[#This Row],[zScore]],Table5[[#All],[zScore]])</f>
        <v>136</v>
      </c>
      <c r="Y401" s="69">
        <f>IFERROR(INDEX(DraftResults[[#All],[OVR]],MATCH(Table5[[#This Row],[PID]],DraftResults[[#All],[Player ID]],0)),"")</f>
        <v>397</v>
      </c>
      <c r="Z40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01" s="69">
        <f>IFERROR(INDEX(DraftResults[[#All],[Pick in Round]],MATCH(Table5[[#This Row],[PID]],DraftResults[[#All],[Player ID]],0)),"")</f>
        <v>29</v>
      </c>
      <c r="AB401" s="69" t="str">
        <f>IFERROR(INDEX(DraftResults[[#All],[Team Name]],MATCH(Table5[[#This Row],[PID]],DraftResults[[#All],[Player ID]],0)),"")</f>
        <v>Havana Leones</v>
      </c>
      <c r="AC401" s="69">
        <f>IF(Table5[[#This Row],[Ovr]]="","",IF(Table5[[#This Row],[cmbList]]="","",Table5[[#This Row],[cmbList]]-Table5[[#This Row],[Ovr]]))</f>
        <v>-126</v>
      </c>
      <c r="AD401" s="77" t="str">
        <f>IF(ISERROR(VLOOKUP($AB401&amp;"-"&amp;$E401&amp;" "&amp;F401,Bonuses!$B$1:$G$1006,4,FALSE)),"",INT(VLOOKUP($AB401&amp;"-"&amp;$E401&amp;" "&amp;$F401,Bonuses!$B$1:$G$1006,4,FALSE)))</f>
        <v/>
      </c>
      <c r="AE40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13.29 (397) - SP Hugh Peña</v>
      </c>
    </row>
    <row r="402" spans="1:31" s="50" customFormat="1" x14ac:dyDescent="0.25">
      <c r="A402" s="50">
        <v>20848</v>
      </c>
      <c r="B402" s="50">
        <f>COUNTIF(Table5[PID],A402)</f>
        <v>1</v>
      </c>
      <c r="C402" s="50" t="str">
        <f>IF(COUNTIF(Table3[[#All],[PID]],A402)&gt;0,"P","B")</f>
        <v>B</v>
      </c>
      <c r="D402" s="59" t="str">
        <f>IF($C402="B",INDEX(Batters[[#All],[POS]],MATCH(Table5[[#This Row],[PID]],Batters[[#All],[PID]],0)),INDEX(Table3[[#All],[POS]],MATCH(Table5[[#This Row],[PID]],Table3[[#All],[PID]],0)))</f>
        <v>SS</v>
      </c>
      <c r="E402" s="52" t="str">
        <f>IF($C402="B",INDEX(Batters[[#All],[First]],MATCH(Table5[[#This Row],[PID]],Batters[[#All],[PID]],0)),INDEX(Table3[[#All],[First]],MATCH(Table5[[#This Row],[PID]],Table3[[#All],[PID]],0)))</f>
        <v>Dylan</v>
      </c>
      <c r="F402" s="50" t="str">
        <f>IF($C402="B",INDEX(Batters[[#All],[Last]],MATCH(A402,Batters[[#All],[PID]],0)),INDEX(Table3[[#All],[Last]],MATCH(A402,Table3[[#All],[PID]],0)))</f>
        <v>Brown</v>
      </c>
      <c r="G402" s="56">
        <f>IF($C402="B",INDEX(Batters[[#All],[Age]],MATCH(Table5[[#This Row],[PID]],Batters[[#All],[PID]],0)),INDEX(Table3[[#All],[Age]],MATCH(Table5[[#This Row],[PID]],Table3[[#All],[PID]],0)))</f>
        <v>17</v>
      </c>
      <c r="H402" s="52" t="str">
        <f>IF($C402="B",INDEX(Batters[[#All],[B]],MATCH(Table5[[#This Row],[PID]],Batters[[#All],[PID]],0)),INDEX(Table3[[#All],[B]],MATCH(Table5[[#This Row],[PID]],Table3[[#All],[PID]],0)))</f>
        <v>L</v>
      </c>
      <c r="I402" s="52" t="str">
        <f>IF($C402="B",INDEX(Batters[[#All],[T]],MATCH(Table5[[#This Row],[PID]],Batters[[#All],[PID]],0)),INDEX(Table3[[#All],[T]],MATCH(Table5[[#This Row],[PID]],Table3[[#All],[PID]],0)))</f>
        <v>R</v>
      </c>
      <c r="J402" s="52" t="str">
        <f>IF($C402="B",INDEX(Batters[[#All],[WE]],MATCH(Table5[[#This Row],[PID]],Batters[[#All],[PID]],0)),INDEX(Table3[[#All],[WE]],MATCH(Table5[[#This Row],[PID]],Table3[[#All],[PID]],0)))</f>
        <v>High</v>
      </c>
      <c r="K402" s="52" t="str">
        <f>IF($C402="B",INDEX(Batters[[#All],[INT]],MATCH(Table5[[#This Row],[PID]],Batters[[#All],[PID]],0)),INDEX(Table3[[#All],[INT]],MATCH(Table5[[#This Row],[PID]],Table3[[#All],[PID]],0)))</f>
        <v>Low</v>
      </c>
      <c r="L402" s="60">
        <f>IF($C402="B",INDEX(Batters[[#All],[CON P]],MATCH(Table5[[#This Row],[PID]],Batters[[#All],[PID]],0)),INDEX(Table3[[#All],[STU P]],MATCH(Table5[[#This Row],[PID]],Table3[[#All],[PID]],0)))</f>
        <v>4</v>
      </c>
      <c r="M402" s="56">
        <f>IF($C402="B",INDEX(Batters[[#All],[GAP P]],MATCH(Table5[[#This Row],[PID]],Batters[[#All],[PID]],0)),INDEX(Table3[[#All],[MOV P]],MATCH(Table5[[#This Row],[PID]],Table3[[#All],[PID]],0)))</f>
        <v>3</v>
      </c>
      <c r="N402" s="56">
        <f>IF($C402="B",INDEX(Batters[[#All],[POW P]],MATCH(Table5[[#This Row],[PID]],Batters[[#All],[PID]],0)),INDEX(Table3[[#All],[CON P]],MATCH(Table5[[#This Row],[PID]],Table3[[#All],[PID]],0)))</f>
        <v>3</v>
      </c>
      <c r="O402" s="56">
        <f>IF($C402="B",INDEX(Batters[[#All],[EYE P]],MATCH(Table5[[#This Row],[PID]],Batters[[#All],[PID]],0)),INDEX(Table3[[#All],[VELO]],MATCH(Table5[[#This Row],[PID]],Table3[[#All],[PID]],0)))</f>
        <v>3</v>
      </c>
      <c r="P402" s="56">
        <f>IF($C402="B",INDEX(Batters[[#All],[K P]],MATCH(Table5[[#This Row],[PID]],Batters[[#All],[PID]],0)),INDEX(Table3[[#All],[STM]],MATCH(Table5[[#This Row],[PID]],Table3[[#All],[PID]],0)))</f>
        <v>5</v>
      </c>
      <c r="Q402" s="61">
        <f>IF($C402="B",INDEX(Batters[[#All],[Tot]],MATCH(Table5[[#This Row],[PID]],Batters[[#All],[PID]],0)),INDEX(Table3[[#All],[Tot]],MATCH(Table5[[#This Row],[PID]],Table3[[#All],[PID]],0)))</f>
        <v>44.755927519952735</v>
      </c>
      <c r="R402" s="52">
        <f>IF($C402="B",INDEX(Batters[[#All],[zScore]],MATCH(Table5[[#This Row],[PID]],Batters[[#All],[PID]],0)),INDEX(Table3[[#All],[zScore]],MATCH(Table5[[#This Row],[PID]],Table3[[#All],[PID]],0)))</f>
        <v>0.13834231265336008</v>
      </c>
      <c r="S402" s="58" t="str">
        <f>IF($C402="B",INDEX(Batters[[#All],[DEM]],MATCH(Table5[[#This Row],[PID]],Batters[[#All],[PID]],0)),INDEX(Table3[[#All],[DEM]],MATCH(Table5[[#This Row],[PID]],Table3[[#All],[PID]],0)))</f>
        <v>$38k</v>
      </c>
      <c r="T402" s="62">
        <f>IF($C402="B",INDEX(Batters[[#All],[Rnk]],MATCH(Table5[[#This Row],[PID]],Batters[[#All],[PID]],0)),INDEX(Table3[[#All],[Rnk]],MATCH(Table5[[#This Row],[PID]],Table3[[#All],[PID]],0)))</f>
        <v>215</v>
      </c>
      <c r="U402" s="68">
        <f>IF($C402="B",VLOOKUP($A402,Bat!$A$4:$BA$1621,47,FALSE),VLOOKUP($A402,Pit!$A$4:$BF$1557,56,FALSE))</f>
        <v>0</v>
      </c>
      <c r="V402" s="50">
        <f>IF($C402="B",VLOOKUP($A402,Bat!$A$4:$BA$1621,48,FALSE),VLOOKUP($A402,Pit!$A$4:$BF$1557,57,FALSE))</f>
        <v>0</v>
      </c>
      <c r="W402" s="50">
        <f>Table5[[#This Row],[posRnk]]+Table5[[#This Row],[zRnk]]+IF($W$3&lt;&gt;Table5[[#This Row],[Type]],50,0)</f>
        <v>759</v>
      </c>
      <c r="X402" s="51">
        <f>RANK(Table5[[#This Row],[zScore]],Table5[[#All],[zScore]])</f>
        <v>494</v>
      </c>
      <c r="Y402" s="50">
        <f>IFERROR(INDEX(DraftResults[[#All],[OVR]],MATCH(Table5[[#This Row],[PID]],DraftResults[[#All],[Player ID]],0)),"")</f>
        <v>398</v>
      </c>
      <c r="Z4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13</v>
      </c>
      <c r="AA402" s="50">
        <f>IFERROR(INDEX(DraftResults[[#All],[Pick in Round]],MATCH(Table5[[#This Row],[PID]],DraftResults[[#All],[Player ID]],0)),"")</f>
        <v>30</v>
      </c>
      <c r="AB402" s="50" t="str">
        <f>IFERROR(INDEX(DraftResults[[#All],[Team Name]],MATCH(Table5[[#This Row],[PID]],DraftResults[[#All],[Player ID]],0)),"")</f>
        <v>Florida Farstriders</v>
      </c>
      <c r="AC402" s="50">
        <f>IF(Table5[[#This Row],[Ovr]]="","",IF(Table5[[#This Row],[cmbList]]="","",Table5[[#This Row],[cmbList]]-Table5[[#This Row],[Ovr]]))</f>
        <v>361</v>
      </c>
      <c r="AD402" s="54" t="str">
        <f>IF(ISERROR(VLOOKUP($AB402&amp;"-"&amp;$E402&amp;" "&amp;F402,Bonuses!$B$1:$G$1006,4,FALSE)),"",INT(VLOOKUP($AB402&amp;"-"&amp;$E402&amp;" "&amp;$F402,Bonuses!$B$1:$G$1006,4,FALSE)))</f>
        <v/>
      </c>
      <c r="AE4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13.30 (398) - SS Dylan Brown</v>
      </c>
    </row>
    <row r="403" spans="1:31" s="50" customFormat="1" x14ac:dyDescent="0.25">
      <c r="A403" s="50">
        <v>20968</v>
      </c>
      <c r="B403" s="55">
        <f>COUNTIF(Table5[PID],A403)</f>
        <v>1</v>
      </c>
      <c r="C403" s="55" t="str">
        <f>IF(COUNTIF(Table3[[#All],[PID]],A403)&gt;0,"P","B")</f>
        <v>B</v>
      </c>
      <c r="D403" s="59" t="str">
        <f>IF($C403="B",INDEX(Batters[[#All],[POS]],MATCH(Table5[[#This Row],[PID]],Batters[[#All],[PID]],0)),INDEX(Table3[[#All],[POS]],MATCH(Table5[[#This Row],[PID]],Table3[[#All],[PID]],0)))</f>
        <v>SS</v>
      </c>
      <c r="E403" s="52" t="str">
        <f>IF($C403="B",INDEX(Batters[[#All],[First]],MATCH(Table5[[#This Row],[PID]],Batters[[#All],[PID]],0)),INDEX(Table3[[#All],[First]],MATCH(Table5[[#This Row],[PID]],Table3[[#All],[PID]],0)))</f>
        <v>Alberto</v>
      </c>
      <c r="F403" s="50" t="str">
        <f>IF($C403="B",INDEX(Batters[[#All],[Last]],MATCH(A403,Batters[[#All],[PID]],0)),INDEX(Table3[[#All],[Last]],MATCH(A403,Table3[[#All],[PID]],0)))</f>
        <v>Canseco</v>
      </c>
      <c r="G403" s="56">
        <f>IF($C403="B",INDEX(Batters[[#All],[Age]],MATCH(Table5[[#This Row],[PID]],Batters[[#All],[PID]],0)),INDEX(Table3[[#All],[Age]],MATCH(Table5[[#This Row],[PID]],Table3[[#All],[PID]],0)))</f>
        <v>17</v>
      </c>
      <c r="H403" s="52" t="str">
        <f>IF($C403="B",INDEX(Batters[[#All],[B]],MATCH(Table5[[#This Row],[PID]],Batters[[#All],[PID]],0)),INDEX(Table3[[#All],[B]],MATCH(Table5[[#This Row],[PID]],Table3[[#All],[PID]],0)))</f>
        <v>R</v>
      </c>
      <c r="I403" s="52" t="str">
        <f>IF($C403="B",INDEX(Batters[[#All],[T]],MATCH(Table5[[#This Row],[PID]],Batters[[#All],[PID]],0)),INDEX(Table3[[#All],[T]],MATCH(Table5[[#This Row],[PID]],Table3[[#All],[PID]],0)))</f>
        <v>R</v>
      </c>
      <c r="J403" s="52" t="str">
        <f>IF($C403="B",INDEX(Batters[[#All],[WE]],MATCH(Table5[[#This Row],[PID]],Batters[[#All],[PID]],0)),INDEX(Table3[[#All],[WE]],MATCH(Table5[[#This Row],[PID]],Table3[[#All],[PID]],0)))</f>
        <v>High</v>
      </c>
      <c r="K403" s="52" t="str">
        <f>IF($C403="B",INDEX(Batters[[#All],[INT]],MATCH(Table5[[#This Row],[PID]],Batters[[#All],[PID]],0)),INDEX(Table3[[#All],[INT]],MATCH(Table5[[#This Row],[PID]],Table3[[#All],[PID]],0)))</f>
        <v>Normal</v>
      </c>
      <c r="L403" s="60">
        <f>IF($C403="B",INDEX(Batters[[#All],[CON P]],MATCH(Table5[[#This Row],[PID]],Batters[[#All],[PID]],0)),INDEX(Table3[[#All],[STU P]],MATCH(Table5[[#This Row],[PID]],Table3[[#All],[PID]],0)))</f>
        <v>3</v>
      </c>
      <c r="M403" s="56">
        <f>IF($C403="B",INDEX(Batters[[#All],[GAP P]],MATCH(Table5[[#This Row],[PID]],Batters[[#All],[PID]],0)),INDEX(Table3[[#All],[MOV P]],MATCH(Table5[[#This Row],[PID]],Table3[[#All],[PID]],0)))</f>
        <v>5</v>
      </c>
      <c r="N403" s="56">
        <f>IF($C403="B",INDEX(Batters[[#All],[POW P]],MATCH(Table5[[#This Row],[PID]],Batters[[#All],[PID]],0)),INDEX(Table3[[#All],[CON P]],MATCH(Table5[[#This Row],[PID]],Table3[[#All],[PID]],0)))</f>
        <v>5</v>
      </c>
      <c r="O403" s="56">
        <f>IF($C403="B",INDEX(Batters[[#All],[EYE P]],MATCH(Table5[[#This Row],[PID]],Batters[[#All],[PID]],0)),INDEX(Table3[[#All],[VELO]],MATCH(Table5[[#This Row],[PID]],Table3[[#All],[PID]],0)))</f>
        <v>6</v>
      </c>
      <c r="P403" s="56">
        <f>IF($C403="B",INDEX(Batters[[#All],[K P]],MATCH(Table5[[#This Row],[PID]],Batters[[#All],[PID]],0)),INDEX(Table3[[#All],[STM]],MATCH(Table5[[#This Row],[PID]],Table3[[#All],[PID]],0)))</f>
        <v>3</v>
      </c>
      <c r="Q403" s="61">
        <f>IF($C403="B",INDEX(Batters[[#All],[Tot]],MATCH(Table5[[#This Row],[PID]],Batters[[#All],[PID]],0)),INDEX(Table3[[#All],[Tot]],MATCH(Table5[[#This Row],[PID]],Table3[[#All],[PID]],0)))</f>
        <v>45.623959719345692</v>
      </c>
      <c r="R403" s="52">
        <f>IF($C403="B",INDEX(Batters[[#All],[zScore]],MATCH(Table5[[#This Row],[PID]],Batters[[#All],[PID]],0)),INDEX(Table3[[#All],[zScore]],MATCH(Table5[[#This Row],[PID]],Table3[[#All],[PID]],0)))</f>
        <v>0.33079091861191329</v>
      </c>
      <c r="S403" s="58" t="str">
        <f>IF($C403="B",INDEX(Batters[[#All],[DEM]],MATCH(Table5[[#This Row],[PID]],Batters[[#All],[PID]],0)),INDEX(Table3[[#All],[DEM]],MATCH(Table5[[#This Row],[PID]],Table3[[#All],[PID]],0)))</f>
        <v>$38k</v>
      </c>
      <c r="T403" s="62">
        <f>IF($C403="B",INDEX(Batters[[#All],[Rnk]],MATCH(Table5[[#This Row],[PID]],Batters[[#All],[PID]],0)),INDEX(Table3[[#All],[Rnk]],MATCH(Table5[[#This Row],[PID]],Table3[[#All],[PID]],0)))</f>
        <v>172</v>
      </c>
      <c r="U403" s="68">
        <f>IF($C403="B",VLOOKUP($A403,Bat!$A$4:$BA$1621,47,FALSE),VLOOKUP($A403,Pit!$A$4:$BF$1557,56,FALSE))</f>
        <v>0</v>
      </c>
      <c r="V403" s="50">
        <f>IF($C403="B",VLOOKUP($A403,Bat!$A$4:$BA$1621,48,FALSE),VLOOKUP($A403,Pit!$A$4:$BF$1557,57,FALSE))</f>
        <v>0</v>
      </c>
      <c r="W403" s="50">
        <f>Table5[[#This Row],[posRnk]]+Table5[[#This Row],[zRnk]]+IF($W$3&lt;&gt;Table5[[#This Row],[Type]],50,0)</f>
        <v>630</v>
      </c>
      <c r="X403" s="51">
        <f>RANK(Table5[[#This Row],[zScore]],Table5[[#All],[zScore]])</f>
        <v>408</v>
      </c>
      <c r="Y403" s="50">
        <f>IFERROR(INDEX(DraftResults[[#All],[OVR]],MATCH(Table5[[#This Row],[PID]],DraftResults[[#All],[Player ID]],0)),"")</f>
        <v>399</v>
      </c>
      <c r="Z4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3" s="50">
        <f>IFERROR(INDEX(DraftResults[[#All],[Pick in Round]],MATCH(Table5[[#This Row],[PID]],DraftResults[[#All],[Player ID]],0)),"")</f>
        <v>1</v>
      </c>
      <c r="AB403" s="50" t="str">
        <f>IFERROR(INDEX(DraftResults[[#All],[Team Name]],MATCH(Table5[[#This Row],[PID]],DraftResults[[#All],[Player ID]],0)),"")</f>
        <v>Yuma Arroyos</v>
      </c>
      <c r="AC403" s="50">
        <f>IF(Table5[[#This Row],[Ovr]]="","",IF(Table5[[#This Row],[cmbList]]="","",Table5[[#This Row],[cmbList]]-Table5[[#This Row],[Ovr]]))</f>
        <v>231</v>
      </c>
      <c r="AD403" s="54" t="str">
        <f>IF(ISERROR(VLOOKUP($AB403&amp;"-"&amp;$E403&amp;" "&amp;F403,Bonuses!$B$1:$G$1006,4,FALSE)),"",INT(VLOOKUP($AB403&amp;"-"&amp;$E403&amp;" "&amp;$F403,Bonuses!$B$1:$G$1006,4,FALSE)))</f>
        <v/>
      </c>
      <c r="AE4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 (399) - SS Alberto Canseco</v>
      </c>
    </row>
    <row r="404" spans="1:31" s="50" customFormat="1" x14ac:dyDescent="0.25">
      <c r="A404" s="68">
        <v>20502</v>
      </c>
      <c r="B404" s="69">
        <f>COUNTIF(Table5[PID],A404)</f>
        <v>1</v>
      </c>
      <c r="C404" s="69" t="str">
        <f>IF(COUNTIF(Table3[[#All],[PID]],A404)&gt;0,"P","B")</f>
        <v>P</v>
      </c>
      <c r="D404" s="59" t="str">
        <f>IF($C404="B",INDEX(Batters[[#All],[POS]],MATCH(Table5[[#This Row],[PID]],Batters[[#All],[PID]],0)),INDEX(Table3[[#All],[POS]],MATCH(Table5[[#This Row],[PID]],Table3[[#All],[PID]],0)))</f>
        <v>SP</v>
      </c>
      <c r="E404" s="52" t="str">
        <f>IF($C404="B",INDEX(Batters[[#All],[First]],MATCH(Table5[[#This Row],[PID]],Batters[[#All],[PID]],0)),INDEX(Table3[[#All],[First]],MATCH(Table5[[#This Row],[PID]],Table3[[#All],[PID]],0)))</f>
        <v>Warren</v>
      </c>
      <c r="F404" s="55" t="str">
        <f>IF($C404="B",INDEX(Batters[[#All],[Last]],MATCH(A404,Batters[[#All],[PID]],0)),INDEX(Table3[[#All],[Last]],MATCH(A404,Table3[[#All],[PID]],0)))</f>
        <v>Bambase</v>
      </c>
      <c r="G404" s="56">
        <f>IF($C404="B",INDEX(Batters[[#All],[Age]],MATCH(Table5[[#This Row],[PID]],Batters[[#All],[PID]],0)),INDEX(Table3[[#All],[Age]],MATCH(Table5[[#This Row],[PID]],Table3[[#All],[PID]],0)))</f>
        <v>17</v>
      </c>
      <c r="H404" s="52" t="str">
        <f>IF($C404="B",INDEX(Batters[[#All],[B]],MATCH(Table5[[#This Row],[PID]],Batters[[#All],[PID]],0)),INDEX(Table3[[#All],[B]],MATCH(Table5[[#This Row],[PID]],Table3[[#All],[PID]],0)))</f>
        <v>R</v>
      </c>
      <c r="I404" s="52" t="str">
        <f>IF($C404="B",INDEX(Batters[[#All],[T]],MATCH(Table5[[#This Row],[PID]],Batters[[#All],[PID]],0)),INDEX(Table3[[#All],[T]],MATCH(Table5[[#This Row],[PID]],Table3[[#All],[PID]],0)))</f>
        <v>R</v>
      </c>
      <c r="J404" s="71" t="str">
        <f>IF($C404="B",INDEX(Batters[[#All],[WE]],MATCH(Table5[[#This Row],[PID]],Batters[[#All],[PID]],0)),INDEX(Table3[[#All],[WE]],MATCH(Table5[[#This Row],[PID]],Table3[[#All],[PID]],0)))</f>
        <v>Normal</v>
      </c>
      <c r="K404" s="52" t="str">
        <f>IF($C404="B",INDEX(Batters[[#All],[INT]],MATCH(Table5[[#This Row],[PID]],Batters[[#All],[PID]],0)),INDEX(Table3[[#All],[INT]],MATCH(Table5[[#This Row],[PID]],Table3[[#All],[PID]],0)))</f>
        <v>Normal</v>
      </c>
      <c r="L404" s="60">
        <f>IF($C404="B",INDEX(Batters[[#All],[CON P]],MATCH(Table5[[#This Row],[PID]],Batters[[#All],[PID]],0)),INDEX(Table3[[#All],[STU P]],MATCH(Table5[[#This Row],[PID]],Table3[[#All],[PID]],0)))</f>
        <v>4</v>
      </c>
      <c r="M404" s="72">
        <f>IF($C404="B",INDEX(Batters[[#All],[GAP P]],MATCH(Table5[[#This Row],[PID]],Batters[[#All],[PID]],0)),INDEX(Table3[[#All],[MOV P]],MATCH(Table5[[#This Row],[PID]],Table3[[#All],[PID]],0)))</f>
        <v>4</v>
      </c>
      <c r="N404" s="72">
        <f>IF($C404="B",INDEX(Batters[[#All],[POW P]],MATCH(Table5[[#This Row],[PID]],Batters[[#All],[PID]],0)),INDEX(Table3[[#All],[CON P]],MATCH(Table5[[#This Row],[PID]],Table3[[#All],[PID]],0)))</f>
        <v>3</v>
      </c>
      <c r="O404" s="72" t="str">
        <f>IF($C404="B",INDEX(Batters[[#All],[EYE P]],MATCH(Table5[[#This Row],[PID]],Batters[[#All],[PID]],0)),INDEX(Table3[[#All],[VELO]],MATCH(Table5[[#This Row],[PID]],Table3[[#All],[PID]],0)))</f>
        <v>87-89 Mph</v>
      </c>
      <c r="P404" s="56">
        <f>IF($C404="B",INDEX(Batters[[#All],[K P]],MATCH(Table5[[#This Row],[PID]],Batters[[#All],[PID]],0)),INDEX(Table3[[#All],[STM]],MATCH(Table5[[#This Row],[PID]],Table3[[#All],[PID]],0)))</f>
        <v>4</v>
      </c>
      <c r="Q404" s="61">
        <f>IF($C404="B",INDEX(Batters[[#All],[Tot]],MATCH(Table5[[#This Row],[PID]],Batters[[#All],[PID]],0)),INDEX(Table3[[#All],[Tot]],MATCH(Table5[[#This Row],[PID]],Table3[[#All],[PID]],0)))</f>
        <v>39.567376633241821</v>
      </c>
      <c r="R404" s="52">
        <f>IF($C404="B",INDEX(Batters[[#All],[zScore]],MATCH(Table5[[#This Row],[PID]],Batters[[#All],[PID]],0)),INDEX(Table3[[#All],[zScore]],MATCH(Table5[[#This Row],[PID]],Table3[[#All],[PID]],0)))</f>
        <v>0.24594582057865394</v>
      </c>
      <c r="S404" s="78" t="str">
        <f>IF($C404="B",INDEX(Batters[[#All],[DEM]],MATCH(Table5[[#This Row],[PID]],Batters[[#All],[PID]],0)),INDEX(Table3[[#All],[DEM]],MATCH(Table5[[#This Row],[PID]],Table3[[#All],[PID]],0)))</f>
        <v>$65k</v>
      </c>
      <c r="T404" s="75">
        <f>IF($C404="B",INDEX(Batters[[#All],[Rnk]],MATCH(Table5[[#This Row],[PID]],Batters[[#All],[PID]],0)),INDEX(Table3[[#All],[Rnk]],MATCH(Table5[[#This Row],[PID]],Table3[[#All],[PID]],0)))</f>
        <v>252</v>
      </c>
      <c r="U404" s="68">
        <f>IF($C404="B",VLOOKUP($A404,Bat!$A$4:$BA$1621,47,FALSE),VLOOKUP($A404,Pit!$A$4:$BF$1557,56,FALSE))</f>
        <v>0</v>
      </c>
      <c r="V404" s="50">
        <f>IF($C404="B",VLOOKUP($A404,Bat!$A$4:$BA$1621,48,FALSE),VLOOKUP($A404,Pit!$A$4:$BF$1557,57,FALSE))</f>
        <v>0</v>
      </c>
      <c r="W404" s="69">
        <f>Table5[[#This Row],[posRnk]]+Table5[[#This Row],[zRnk]]+IF($W$3&lt;&gt;Table5[[#This Row],[Type]],50,0)</f>
        <v>741</v>
      </c>
      <c r="X404" s="73">
        <f>RANK(Table5[[#This Row],[zScore]],Table5[[#All],[zScore]])</f>
        <v>439</v>
      </c>
      <c r="Y404" s="69">
        <f>IFERROR(INDEX(DraftResults[[#All],[OVR]],MATCH(Table5[[#This Row],[PID]],DraftResults[[#All],[Player ID]],0)),"")</f>
        <v>400</v>
      </c>
      <c r="Z40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4" s="69">
        <f>IFERROR(INDEX(DraftResults[[#All],[Pick in Round]],MATCH(Table5[[#This Row],[PID]],DraftResults[[#All],[Player ID]],0)),"")</f>
        <v>2</v>
      </c>
      <c r="AB404" s="69" t="str">
        <f>IFERROR(INDEX(DraftResults[[#All],[Team Name]],MATCH(Table5[[#This Row],[PID]],DraftResults[[#All],[Player ID]],0)),"")</f>
        <v>Charleston Statesmen</v>
      </c>
      <c r="AC404" s="69">
        <f>IF(Table5[[#This Row],[Ovr]]="","",IF(Table5[[#This Row],[cmbList]]="","",Table5[[#This Row],[cmbList]]-Table5[[#This Row],[Ovr]]))</f>
        <v>341</v>
      </c>
      <c r="AD404" s="77" t="str">
        <f>IF(ISERROR(VLOOKUP($AB404&amp;"-"&amp;$E404&amp;" "&amp;F404,Bonuses!$B$1:$G$1006,4,FALSE)),"",INT(VLOOKUP($AB404&amp;"-"&amp;$E404&amp;" "&amp;$F404,Bonuses!$B$1:$G$1006,4,FALSE)))</f>
        <v/>
      </c>
      <c r="AE40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 (400) - SP Warren Bambase</v>
      </c>
    </row>
    <row r="405" spans="1:31" s="50" customFormat="1" x14ac:dyDescent="0.25">
      <c r="A405" s="50">
        <v>18154</v>
      </c>
      <c r="B405" s="50">
        <f>COUNTIF(Table5[PID],A405)</f>
        <v>1</v>
      </c>
      <c r="C405" s="50" t="str">
        <f>IF(COUNTIF(Table3[[#All],[PID]],A405)&gt;0,"P","B")</f>
        <v>P</v>
      </c>
      <c r="D405" s="59" t="str">
        <f>IF($C405="B",INDEX(Batters[[#All],[POS]],MATCH(Table5[[#This Row],[PID]],Batters[[#All],[PID]],0)),INDEX(Table3[[#All],[POS]],MATCH(Table5[[#This Row],[PID]],Table3[[#All],[PID]],0)))</f>
        <v>RP</v>
      </c>
      <c r="E405" s="52" t="str">
        <f>IF($C405="B",INDEX(Batters[[#All],[First]],MATCH(Table5[[#This Row],[PID]],Batters[[#All],[PID]],0)),INDEX(Table3[[#All],[First]],MATCH(Table5[[#This Row],[PID]],Table3[[#All],[PID]],0)))</f>
        <v>Thomas</v>
      </c>
      <c r="F405" s="50" t="str">
        <f>IF($C405="B",INDEX(Batters[[#All],[Last]],MATCH(A405,Batters[[#All],[PID]],0)),INDEX(Table3[[#All],[Last]],MATCH(A405,Table3[[#All],[PID]],0)))</f>
        <v>Casillas</v>
      </c>
      <c r="G405" s="56">
        <f>IF($C405="B",INDEX(Batters[[#All],[Age]],MATCH(Table5[[#This Row],[PID]],Batters[[#All],[PID]],0)),INDEX(Table3[[#All],[Age]],MATCH(Table5[[#This Row],[PID]],Table3[[#All],[PID]],0)))</f>
        <v>21</v>
      </c>
      <c r="H405" s="52" t="str">
        <f>IF($C405="B",INDEX(Batters[[#All],[B]],MATCH(Table5[[#This Row],[PID]],Batters[[#All],[PID]],0)),INDEX(Table3[[#All],[B]],MATCH(Table5[[#This Row],[PID]],Table3[[#All],[PID]],0)))</f>
        <v>S</v>
      </c>
      <c r="I405" s="52" t="str">
        <f>IF($C405="B",INDEX(Batters[[#All],[T]],MATCH(Table5[[#This Row],[PID]],Batters[[#All],[PID]],0)),INDEX(Table3[[#All],[T]],MATCH(Table5[[#This Row],[PID]],Table3[[#All],[PID]],0)))</f>
        <v>R</v>
      </c>
      <c r="J405" s="52" t="str">
        <f>IF($C405="B",INDEX(Batters[[#All],[WE]],MATCH(Table5[[#This Row],[PID]],Batters[[#All],[PID]],0)),INDEX(Table3[[#All],[WE]],MATCH(Table5[[#This Row],[PID]],Table3[[#All],[PID]],0)))</f>
        <v>High</v>
      </c>
      <c r="K405" s="52" t="str">
        <f>IF($C405="B",INDEX(Batters[[#All],[INT]],MATCH(Table5[[#This Row],[PID]],Batters[[#All],[PID]],0)),INDEX(Table3[[#All],[INT]],MATCH(Table5[[#This Row],[PID]],Table3[[#All],[PID]],0)))</f>
        <v>Normal</v>
      </c>
      <c r="L405" s="60">
        <f>IF($C405="B",INDEX(Batters[[#All],[CON P]],MATCH(Table5[[#This Row],[PID]],Batters[[#All],[PID]],0)),INDEX(Table3[[#All],[STU P]],MATCH(Table5[[#This Row],[PID]],Table3[[#All],[PID]],0)))</f>
        <v>6</v>
      </c>
      <c r="M405" s="56">
        <f>IF($C405="B",INDEX(Batters[[#All],[GAP P]],MATCH(Table5[[#This Row],[PID]],Batters[[#All],[PID]],0)),INDEX(Table3[[#All],[MOV P]],MATCH(Table5[[#This Row],[PID]],Table3[[#All],[PID]],0)))</f>
        <v>5</v>
      </c>
      <c r="N405" s="56">
        <f>IF($C405="B",INDEX(Batters[[#All],[POW P]],MATCH(Table5[[#This Row],[PID]],Batters[[#All],[PID]],0)),INDEX(Table3[[#All],[CON P]],MATCH(Table5[[#This Row],[PID]],Table3[[#All],[PID]],0)))</f>
        <v>3</v>
      </c>
      <c r="O405" s="56" t="str">
        <f>IF($C405="B",INDEX(Batters[[#All],[EYE P]],MATCH(Table5[[#This Row],[PID]],Batters[[#All],[PID]],0)),INDEX(Table3[[#All],[VELO]],MATCH(Table5[[#This Row],[PID]],Table3[[#All],[PID]],0)))</f>
        <v>95-97 Mph</v>
      </c>
      <c r="P405" s="56">
        <f>IF($C405="B",INDEX(Batters[[#All],[K P]],MATCH(Table5[[#This Row],[PID]],Batters[[#All],[PID]],0)),INDEX(Table3[[#All],[STM]],MATCH(Table5[[#This Row],[PID]],Table3[[#All],[PID]],0)))</f>
        <v>9</v>
      </c>
      <c r="Q405" s="61">
        <f>IF($C405="B",INDEX(Batters[[#All],[Tot]],MATCH(Table5[[#This Row],[PID]],Batters[[#All],[PID]],0)),INDEX(Table3[[#All],[Tot]],MATCH(Table5[[#This Row],[PID]],Table3[[#All],[PID]],0)))</f>
        <v>50.797962961387668</v>
      </c>
      <c r="R405" s="52">
        <f>IF($C405="B",INDEX(Batters[[#All],[zScore]],MATCH(Table5[[#This Row],[PID]],Batters[[#All],[PID]],0)),INDEX(Table3[[#All],[zScore]],MATCH(Table5[[#This Row],[PID]],Table3[[#All],[PID]],0)))</f>
        <v>0.99309956743192673</v>
      </c>
      <c r="S405" s="58" t="str">
        <f>IF($C405="B",INDEX(Batters[[#All],[DEM]],MATCH(Table5[[#This Row],[PID]],Batters[[#All],[PID]],0)),INDEX(Table3[[#All],[DEM]],MATCH(Table5[[#This Row],[PID]],Table3[[#All],[PID]],0)))</f>
        <v>-</v>
      </c>
      <c r="T405" s="62">
        <f>IF($C405="B",INDEX(Batters[[#All],[Rnk]],MATCH(Table5[[#This Row],[PID]],Batters[[#All],[PID]],0)),INDEX(Table3[[#All],[Rnk]],MATCH(Table5[[#This Row],[PID]],Table3[[#All],[PID]],0)))</f>
        <v>139</v>
      </c>
      <c r="U405" s="68">
        <f>IF($C405="B",VLOOKUP($A405,Bat!$A$4:$BA$1621,47,FALSE),VLOOKUP($A405,Pit!$A$4:$BF$1557,56,FALSE))</f>
        <v>0</v>
      </c>
      <c r="V405" s="50">
        <f>IF($C405="B",VLOOKUP($A405,Bat!$A$4:$BA$1621,48,FALSE),VLOOKUP($A405,Pit!$A$4:$BF$1557,57,FALSE))</f>
        <v>0</v>
      </c>
      <c r="W405" s="50">
        <f>Table5[[#This Row],[posRnk]]+Table5[[#This Row],[zRnk]]+IF($W$3&lt;&gt;Table5[[#This Row],[Type]],50,0)</f>
        <v>418</v>
      </c>
      <c r="X405" s="51">
        <f>RANK(Table5[[#This Row],[zScore]],Table5[[#All],[zScore]])</f>
        <v>229</v>
      </c>
      <c r="Y405" s="50">
        <f>IFERROR(INDEX(DraftResults[[#All],[OVR]],MATCH(Table5[[#This Row],[PID]],DraftResults[[#All],[Player ID]],0)),"")</f>
        <v>401</v>
      </c>
      <c r="Z4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5" s="50">
        <f>IFERROR(INDEX(DraftResults[[#All],[Pick in Round]],MATCH(Table5[[#This Row],[PID]],DraftResults[[#All],[Player ID]],0)),"")</f>
        <v>3</v>
      </c>
      <c r="AB405" s="50" t="str">
        <f>IFERROR(INDEX(DraftResults[[#All],[Team Name]],MATCH(Table5[[#This Row],[PID]],DraftResults[[#All],[Player ID]],0)),"")</f>
        <v>New Orleans Trendsetters</v>
      </c>
      <c r="AC405" s="50">
        <f>IF(Table5[[#This Row],[Ovr]]="","",IF(Table5[[#This Row],[cmbList]]="","",Table5[[#This Row],[cmbList]]-Table5[[#This Row],[Ovr]]))</f>
        <v>17</v>
      </c>
      <c r="AD405" s="54" t="str">
        <f>IF(ISERROR(VLOOKUP($AB405&amp;"-"&amp;$E405&amp;" "&amp;F405,Bonuses!$B$1:$G$1006,4,FALSE)),"",INT(VLOOKUP($AB405&amp;"-"&amp;$E405&amp;" "&amp;$F405,Bonuses!$B$1:$G$1006,4,FALSE)))</f>
        <v/>
      </c>
      <c r="AE4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14.3 (401) - RP Thomas Casillas</v>
      </c>
    </row>
    <row r="406" spans="1:31" s="50" customFormat="1" x14ac:dyDescent="0.25">
      <c r="A406" s="50">
        <v>18384</v>
      </c>
      <c r="B406" s="50">
        <f>COUNTIF(Table5[PID],A406)</f>
        <v>1</v>
      </c>
      <c r="C406" s="50" t="str">
        <f>IF(COUNTIF(Table3[[#All],[PID]],A406)&gt;0,"P","B")</f>
        <v>B</v>
      </c>
      <c r="D406" s="59" t="str">
        <f>IF($C406="B",INDEX(Batters[[#All],[POS]],MATCH(Table5[[#This Row],[PID]],Batters[[#All],[PID]],0)),INDEX(Table3[[#All],[POS]],MATCH(Table5[[#This Row],[PID]],Table3[[#All],[PID]],0)))</f>
        <v>3B</v>
      </c>
      <c r="E406" s="52" t="str">
        <f>IF($C406="B",INDEX(Batters[[#All],[First]],MATCH(Table5[[#This Row],[PID]],Batters[[#All],[PID]],0)),INDEX(Table3[[#All],[First]],MATCH(Table5[[#This Row],[PID]],Table3[[#All],[PID]],0)))</f>
        <v>Yoshitoki</v>
      </c>
      <c r="F406" s="50" t="str">
        <f>IF($C406="B",INDEX(Batters[[#All],[Last]],MATCH(A406,Batters[[#All],[PID]],0)),INDEX(Table3[[#All],[Last]],MATCH(A406,Table3[[#All],[PID]],0)))</f>
        <v>Araki</v>
      </c>
      <c r="G406" s="56">
        <f>IF($C406="B",INDEX(Batters[[#All],[Age]],MATCH(Table5[[#This Row],[PID]],Batters[[#All],[PID]],0)),INDEX(Table3[[#All],[Age]],MATCH(Table5[[#This Row],[PID]],Table3[[#All],[PID]],0)))</f>
        <v>18</v>
      </c>
      <c r="H406" s="52" t="str">
        <f>IF($C406="B",INDEX(Batters[[#All],[B]],MATCH(Table5[[#This Row],[PID]],Batters[[#All],[PID]],0)),INDEX(Table3[[#All],[B]],MATCH(Table5[[#This Row],[PID]],Table3[[#All],[PID]],0)))</f>
        <v>S</v>
      </c>
      <c r="I406" s="52" t="str">
        <f>IF($C406="B",INDEX(Batters[[#All],[T]],MATCH(Table5[[#This Row],[PID]],Batters[[#All],[PID]],0)),INDEX(Table3[[#All],[T]],MATCH(Table5[[#This Row],[PID]],Table3[[#All],[PID]],0)))</f>
        <v>R</v>
      </c>
      <c r="J406" s="52" t="str">
        <f>IF($C406="B",INDEX(Batters[[#All],[WE]],MATCH(Table5[[#This Row],[PID]],Batters[[#All],[PID]],0)),INDEX(Table3[[#All],[WE]],MATCH(Table5[[#This Row],[PID]],Table3[[#All],[PID]],0)))</f>
        <v>Normal</v>
      </c>
      <c r="K406" s="52" t="str">
        <f>IF($C406="B",INDEX(Batters[[#All],[INT]],MATCH(Table5[[#This Row],[PID]],Batters[[#All],[PID]],0)),INDEX(Table3[[#All],[INT]],MATCH(Table5[[#This Row],[PID]],Table3[[#All],[PID]],0)))</f>
        <v>Normal</v>
      </c>
      <c r="L406" s="60">
        <f>IF($C406="B",INDEX(Batters[[#All],[CON P]],MATCH(Table5[[#This Row],[PID]],Batters[[#All],[PID]],0)),INDEX(Table3[[#All],[STU P]],MATCH(Table5[[#This Row],[PID]],Table3[[#All],[PID]],0)))</f>
        <v>3</v>
      </c>
      <c r="M406" s="56">
        <f>IF($C406="B",INDEX(Batters[[#All],[GAP P]],MATCH(Table5[[#This Row],[PID]],Batters[[#All],[PID]],0)),INDEX(Table3[[#All],[MOV P]],MATCH(Table5[[#This Row],[PID]],Table3[[#All],[PID]],0)))</f>
        <v>5</v>
      </c>
      <c r="N406" s="56">
        <f>IF($C406="B",INDEX(Batters[[#All],[POW P]],MATCH(Table5[[#This Row],[PID]],Batters[[#All],[PID]],0)),INDEX(Table3[[#All],[CON P]],MATCH(Table5[[#This Row],[PID]],Table3[[#All],[PID]],0)))</f>
        <v>6</v>
      </c>
      <c r="O406" s="56">
        <f>IF($C406="B",INDEX(Batters[[#All],[EYE P]],MATCH(Table5[[#This Row],[PID]],Batters[[#All],[PID]],0)),INDEX(Table3[[#All],[VELO]],MATCH(Table5[[#This Row],[PID]],Table3[[#All],[PID]],0)))</f>
        <v>5</v>
      </c>
      <c r="P406" s="56">
        <f>IF($C406="B",INDEX(Batters[[#All],[K P]],MATCH(Table5[[#This Row],[PID]],Batters[[#All],[PID]],0)),INDEX(Table3[[#All],[STM]],MATCH(Table5[[#This Row],[PID]],Table3[[#All],[PID]],0)))</f>
        <v>3</v>
      </c>
      <c r="Q406" s="61">
        <f>IF($C406="B",INDEX(Batters[[#All],[Tot]],MATCH(Table5[[#This Row],[PID]],Batters[[#All],[PID]],0)),INDEX(Table3[[#All],[Tot]],MATCH(Table5[[#This Row],[PID]],Table3[[#All],[PID]],0)))</f>
        <v>45.252489196919932</v>
      </c>
      <c r="R406" s="52">
        <f>IF($C406="B",INDEX(Batters[[#All],[zScore]],MATCH(Table5[[#This Row],[PID]],Batters[[#All],[PID]],0)),INDEX(Table3[[#All],[zScore]],MATCH(Table5[[#This Row],[PID]],Table3[[#All],[PID]],0)))</f>
        <v>0.24843339288242128</v>
      </c>
      <c r="S406" s="58" t="str">
        <f>IF($C406="B",INDEX(Batters[[#All],[DEM]],MATCH(Table5[[#This Row],[PID]],Batters[[#All],[PID]],0)),INDEX(Table3[[#All],[DEM]],MATCH(Table5[[#This Row],[PID]],Table3[[#All],[PID]],0)))</f>
        <v>$65k</v>
      </c>
      <c r="T406" s="62">
        <f>IF($C406="B",INDEX(Batters[[#All],[Rnk]],MATCH(Table5[[#This Row],[PID]],Batters[[#All],[PID]],0)),INDEX(Table3[[#All],[Rnk]],MATCH(Table5[[#This Row],[PID]],Table3[[#All],[PID]],0)))</f>
        <v>187</v>
      </c>
      <c r="U406" s="68">
        <f>IF($C406="B",VLOOKUP($A406,Bat!$A$4:$BA$1621,47,FALSE),VLOOKUP($A406,Pit!$A$4:$BF$1557,56,FALSE))</f>
        <v>0</v>
      </c>
      <c r="V406" s="50">
        <f>IF($C406="B",VLOOKUP($A406,Bat!$A$4:$BA$1621,48,FALSE),VLOOKUP($A406,Pit!$A$4:$BF$1557,57,FALSE))</f>
        <v>0</v>
      </c>
      <c r="W406" s="50">
        <f>Table5[[#This Row],[posRnk]]+Table5[[#This Row],[zRnk]]+IF($W$3&lt;&gt;Table5[[#This Row],[Type]],50,0)</f>
        <v>674</v>
      </c>
      <c r="X406" s="51">
        <f>RANK(Table5[[#This Row],[zScore]],Table5[[#All],[zScore]])</f>
        <v>437</v>
      </c>
      <c r="Y406" s="50">
        <f>IFERROR(INDEX(DraftResults[[#All],[OVR]],MATCH(Table5[[#This Row],[PID]],DraftResults[[#All],[Player ID]],0)),"")</f>
        <v>402</v>
      </c>
      <c r="Z4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6" s="50">
        <f>IFERROR(INDEX(DraftResults[[#All],[Pick in Round]],MATCH(Table5[[#This Row],[PID]],DraftResults[[#All],[Player ID]],0)),"")</f>
        <v>4</v>
      </c>
      <c r="AB406" s="50" t="str">
        <f>IFERROR(INDEX(DraftResults[[#All],[Team Name]],MATCH(Table5[[#This Row],[PID]],DraftResults[[#All],[Player ID]],0)),"")</f>
        <v>Tempe Knights</v>
      </c>
      <c r="AC406" s="50">
        <f>IF(Table5[[#This Row],[Ovr]]="","",IF(Table5[[#This Row],[cmbList]]="","",Table5[[#This Row],[cmbList]]-Table5[[#This Row],[Ovr]]))</f>
        <v>272</v>
      </c>
      <c r="AD406" s="54" t="str">
        <f>IF(ISERROR(VLOOKUP($AB406&amp;"-"&amp;$E406&amp;" "&amp;F406,Bonuses!$B$1:$G$1006,4,FALSE)),"",INT(VLOOKUP($AB406&amp;"-"&amp;$E406&amp;" "&amp;$F406,Bonuses!$B$1:$G$1006,4,FALSE)))</f>
        <v/>
      </c>
      <c r="AE4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14.4 (402) - 3B Yoshitoki Araki</v>
      </c>
    </row>
    <row r="407" spans="1:31" s="50" customFormat="1" x14ac:dyDescent="0.25">
      <c r="A407" s="50">
        <v>17766</v>
      </c>
      <c r="B407" s="50">
        <f>COUNTIF(Table5[PID],A407)</f>
        <v>1</v>
      </c>
      <c r="C407" s="50" t="str">
        <f>IF(COUNTIF(Table3[[#All],[PID]],A407)&gt;0,"P","B")</f>
        <v>P</v>
      </c>
      <c r="D407" s="59" t="str">
        <f>IF($C407="B",INDEX(Batters[[#All],[POS]],MATCH(Table5[[#This Row],[PID]],Batters[[#All],[PID]],0)),INDEX(Table3[[#All],[POS]],MATCH(Table5[[#This Row],[PID]],Table3[[#All],[PID]],0)))</f>
        <v>RP</v>
      </c>
      <c r="E407" s="52" t="str">
        <f>IF($C407="B",INDEX(Batters[[#All],[First]],MATCH(Table5[[#This Row],[PID]],Batters[[#All],[PID]],0)),INDEX(Table3[[#All],[First]],MATCH(Table5[[#This Row],[PID]],Table3[[#All],[PID]],0)))</f>
        <v>Kohei</v>
      </c>
      <c r="F407" s="50" t="str">
        <f>IF($C407="B",INDEX(Batters[[#All],[Last]],MATCH(A407,Batters[[#All],[PID]],0)),INDEX(Table3[[#All],[Last]],MATCH(A407,Table3[[#All],[PID]],0)))</f>
        <v>Takahashi</v>
      </c>
      <c r="G407" s="56">
        <f>IF($C407="B",INDEX(Batters[[#All],[Age]],MATCH(Table5[[#This Row],[PID]],Batters[[#All],[PID]],0)),INDEX(Table3[[#All],[Age]],MATCH(Table5[[#This Row],[PID]],Table3[[#All],[PID]],0)))</f>
        <v>21</v>
      </c>
      <c r="H407" s="52" t="str">
        <f>IF($C407="B",INDEX(Batters[[#All],[B]],MATCH(Table5[[#This Row],[PID]],Batters[[#All],[PID]],0)),INDEX(Table3[[#All],[B]],MATCH(Table5[[#This Row],[PID]],Table3[[#All],[PID]],0)))</f>
        <v>R</v>
      </c>
      <c r="I407" s="52" t="str">
        <f>IF($C407="B",INDEX(Batters[[#All],[T]],MATCH(Table5[[#This Row],[PID]],Batters[[#All],[PID]],0)),INDEX(Table3[[#All],[T]],MATCH(Table5[[#This Row],[PID]],Table3[[#All],[PID]],0)))</f>
        <v>R</v>
      </c>
      <c r="J407" s="52" t="str">
        <f>IF($C407="B",INDEX(Batters[[#All],[WE]],MATCH(Table5[[#This Row],[PID]],Batters[[#All],[PID]],0)),INDEX(Table3[[#All],[WE]],MATCH(Table5[[#This Row],[PID]],Table3[[#All],[PID]],0)))</f>
        <v>Normal</v>
      </c>
      <c r="K407" s="52" t="str">
        <f>IF($C407="B",INDEX(Batters[[#All],[INT]],MATCH(Table5[[#This Row],[PID]],Batters[[#All],[PID]],0)),INDEX(Table3[[#All],[INT]],MATCH(Table5[[#This Row],[PID]],Table3[[#All],[PID]],0)))</f>
        <v>Normal</v>
      </c>
      <c r="L407" s="60">
        <f>IF($C407="B",INDEX(Batters[[#All],[CON P]],MATCH(Table5[[#This Row],[PID]],Batters[[#All],[PID]],0)),INDEX(Table3[[#All],[STU P]],MATCH(Table5[[#This Row],[PID]],Table3[[#All],[PID]],0)))</f>
        <v>5</v>
      </c>
      <c r="M407" s="56">
        <f>IF($C407="B",INDEX(Batters[[#All],[GAP P]],MATCH(Table5[[#This Row],[PID]],Batters[[#All],[PID]],0)),INDEX(Table3[[#All],[MOV P]],MATCH(Table5[[#This Row],[PID]],Table3[[#All],[PID]],0)))</f>
        <v>3</v>
      </c>
      <c r="N407" s="56">
        <f>IF($C407="B",INDEX(Batters[[#All],[POW P]],MATCH(Table5[[#This Row],[PID]],Batters[[#All],[PID]],0)),INDEX(Table3[[#All],[CON P]],MATCH(Table5[[#This Row],[PID]],Table3[[#All],[PID]],0)))</f>
        <v>4</v>
      </c>
      <c r="O407" s="56" t="str">
        <f>IF($C407="B",INDEX(Batters[[#All],[EYE P]],MATCH(Table5[[#This Row],[PID]],Batters[[#All],[PID]],0)),INDEX(Table3[[#All],[VELO]],MATCH(Table5[[#This Row],[PID]],Table3[[#All],[PID]],0)))</f>
        <v>94-96 Mph</v>
      </c>
      <c r="P407" s="56">
        <f>IF($C407="B",INDEX(Batters[[#All],[K P]],MATCH(Table5[[#This Row],[PID]],Batters[[#All],[PID]],0)),INDEX(Table3[[#All],[STM]],MATCH(Table5[[#This Row],[PID]],Table3[[#All],[PID]],0)))</f>
        <v>8</v>
      </c>
      <c r="Q407" s="61">
        <f>IF($C407="B",INDEX(Batters[[#All],[Tot]],MATCH(Table5[[#This Row],[PID]],Batters[[#All],[PID]],0)),INDEX(Table3[[#All],[Tot]],MATCH(Table5[[#This Row],[PID]],Table3[[#All],[PID]],0)))</f>
        <v>42.116503415702255</v>
      </c>
      <c r="R407" s="52">
        <f>IF($C407="B",INDEX(Batters[[#All],[zScore]],MATCH(Table5[[#This Row],[PID]],Batters[[#All],[PID]],0)),INDEX(Table3[[#All],[zScore]],MATCH(Table5[[#This Row],[PID]],Table3[[#All],[PID]],0)))</f>
        <v>0.4155353300725706</v>
      </c>
      <c r="S407" s="58" t="str">
        <f>IF($C407="B",INDEX(Batters[[#All],[DEM]],MATCH(Table5[[#This Row],[PID]],Batters[[#All],[PID]],0)),INDEX(Table3[[#All],[DEM]],MATCH(Table5[[#This Row],[PID]],Table3[[#All],[PID]],0)))</f>
        <v>-</v>
      </c>
      <c r="T407" s="62">
        <f>IF($C407="B",INDEX(Batters[[#All],[Rnk]],MATCH(Table5[[#This Row],[PID]],Batters[[#All],[PID]],0)),INDEX(Table3[[#All],[Rnk]],MATCH(Table5[[#This Row],[PID]],Table3[[#All],[PID]],0)))</f>
        <v>227</v>
      </c>
      <c r="U407" s="68">
        <f>IF($C407="B",VLOOKUP($A407,Bat!$A$4:$BA$1621,47,FALSE),VLOOKUP($A407,Pit!$A$4:$BF$1557,56,FALSE))</f>
        <v>0</v>
      </c>
      <c r="V407" s="50">
        <f>IF($C407="B",VLOOKUP($A407,Bat!$A$4:$BA$1621,48,FALSE),VLOOKUP($A407,Pit!$A$4:$BF$1557,57,FALSE))</f>
        <v>0</v>
      </c>
      <c r="W407" s="50">
        <f>Table5[[#This Row],[posRnk]]+Table5[[#This Row],[zRnk]]+IF($W$3&lt;&gt;Table5[[#This Row],[Type]],50,0)</f>
        <v>664</v>
      </c>
      <c r="X407" s="51">
        <f>RANK(Table5[[#This Row],[zScore]],Table5[[#All],[zScore]])</f>
        <v>387</v>
      </c>
      <c r="Y407" s="50">
        <f>IFERROR(INDEX(DraftResults[[#All],[OVR]],MATCH(Table5[[#This Row],[PID]],DraftResults[[#All],[Player ID]],0)),"")</f>
        <v>403</v>
      </c>
      <c r="Z4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7" s="50">
        <f>IFERROR(INDEX(DraftResults[[#All],[Pick in Round]],MATCH(Table5[[#This Row],[PID]],DraftResults[[#All],[Player ID]],0)),"")</f>
        <v>5</v>
      </c>
      <c r="AB407" s="50" t="str">
        <f>IFERROR(INDEX(DraftResults[[#All],[Team Name]],MATCH(Table5[[#This Row],[PID]],DraftResults[[#All],[Player ID]],0)),"")</f>
        <v>Okinawa Shisa</v>
      </c>
      <c r="AC407" s="50">
        <f>IF(Table5[[#This Row],[Ovr]]="","",IF(Table5[[#This Row],[cmbList]]="","",Table5[[#This Row],[cmbList]]-Table5[[#This Row],[Ovr]]))</f>
        <v>261</v>
      </c>
      <c r="AD407" s="54" t="str">
        <f>IF(ISERROR(VLOOKUP($AB407&amp;"-"&amp;$E407&amp;" "&amp;F407,Bonuses!$B$1:$G$1006,4,FALSE)),"",INT(VLOOKUP($AB407&amp;"-"&amp;$E407&amp;" "&amp;$F407,Bonuses!$B$1:$G$1006,4,FALSE)))</f>
        <v/>
      </c>
      <c r="AE4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14.5 (403) - RP Kohei Takahashi</v>
      </c>
    </row>
    <row r="408" spans="1:31" s="50" customFormat="1" x14ac:dyDescent="0.25">
      <c r="A408" s="50">
        <v>20821</v>
      </c>
      <c r="B408" s="50">
        <f>COUNTIF(Table5[PID],A408)</f>
        <v>1</v>
      </c>
      <c r="C408" s="50" t="str">
        <f>IF(COUNTIF(Table3[[#All],[PID]],A408)&gt;0,"P","B")</f>
        <v>B</v>
      </c>
      <c r="D408" s="59" t="str">
        <f>IF($C408="B",INDEX(Batters[[#All],[POS]],MATCH(Table5[[#This Row],[PID]],Batters[[#All],[PID]],0)),INDEX(Table3[[#All],[POS]],MATCH(Table5[[#This Row],[PID]],Table3[[#All],[PID]],0)))</f>
        <v>RF</v>
      </c>
      <c r="E408" s="52" t="str">
        <f>IF($C408="B",INDEX(Batters[[#All],[First]],MATCH(Table5[[#This Row],[PID]],Batters[[#All],[PID]],0)),INDEX(Table3[[#All],[First]],MATCH(Table5[[#This Row],[PID]],Table3[[#All],[PID]],0)))</f>
        <v>Bud</v>
      </c>
      <c r="F408" s="50" t="str">
        <f>IF($C408="B",INDEX(Batters[[#All],[Last]],MATCH(A408,Batters[[#All],[PID]],0)),INDEX(Table3[[#All],[Last]],MATCH(A408,Table3[[#All],[PID]],0)))</f>
        <v>Brown</v>
      </c>
      <c r="G408" s="56">
        <f>IF($C408="B",INDEX(Batters[[#All],[Age]],MATCH(Table5[[#This Row],[PID]],Batters[[#All],[PID]],0)),INDEX(Table3[[#All],[Age]],MATCH(Table5[[#This Row],[PID]],Table3[[#All],[PID]],0)))</f>
        <v>17</v>
      </c>
      <c r="H408" s="52" t="str">
        <f>IF($C408="B",INDEX(Batters[[#All],[B]],MATCH(Table5[[#This Row],[PID]],Batters[[#All],[PID]],0)),INDEX(Table3[[#All],[B]],MATCH(Table5[[#This Row],[PID]],Table3[[#All],[PID]],0)))</f>
        <v>L</v>
      </c>
      <c r="I408" s="52" t="str">
        <f>IF($C408="B",INDEX(Batters[[#All],[T]],MATCH(Table5[[#This Row],[PID]],Batters[[#All],[PID]],0)),INDEX(Table3[[#All],[T]],MATCH(Table5[[#This Row],[PID]],Table3[[#All],[PID]],0)))</f>
        <v>L</v>
      </c>
      <c r="J408" s="52" t="str">
        <f>IF($C408="B",INDEX(Batters[[#All],[WE]],MATCH(Table5[[#This Row],[PID]],Batters[[#All],[PID]],0)),INDEX(Table3[[#All],[WE]],MATCH(Table5[[#This Row],[PID]],Table3[[#All],[PID]],0)))</f>
        <v>Normal</v>
      </c>
      <c r="K408" s="52" t="str">
        <f>IF($C408="B",INDEX(Batters[[#All],[INT]],MATCH(Table5[[#This Row],[PID]],Batters[[#All],[PID]],0)),INDEX(Table3[[#All],[INT]],MATCH(Table5[[#This Row],[PID]],Table3[[#All],[PID]],0)))</f>
        <v>Normal</v>
      </c>
      <c r="L408" s="60">
        <f>IF($C408="B",INDEX(Batters[[#All],[CON P]],MATCH(Table5[[#This Row],[PID]],Batters[[#All],[PID]],0)),INDEX(Table3[[#All],[STU P]],MATCH(Table5[[#This Row],[PID]],Table3[[#All],[PID]],0)))</f>
        <v>3</v>
      </c>
      <c r="M408" s="56">
        <f>IF($C408="B",INDEX(Batters[[#All],[GAP P]],MATCH(Table5[[#This Row],[PID]],Batters[[#All],[PID]],0)),INDEX(Table3[[#All],[MOV P]],MATCH(Table5[[#This Row],[PID]],Table3[[#All],[PID]],0)))</f>
        <v>2</v>
      </c>
      <c r="N408" s="56">
        <f>IF($C408="B",INDEX(Batters[[#All],[POW P]],MATCH(Table5[[#This Row],[PID]],Batters[[#All],[PID]],0)),INDEX(Table3[[#All],[CON P]],MATCH(Table5[[#This Row],[PID]],Table3[[#All],[PID]],0)))</f>
        <v>5</v>
      </c>
      <c r="O408" s="56">
        <f>IF($C408="B",INDEX(Batters[[#All],[EYE P]],MATCH(Table5[[#This Row],[PID]],Batters[[#All],[PID]],0)),INDEX(Table3[[#All],[VELO]],MATCH(Table5[[#This Row],[PID]],Table3[[#All],[PID]],0)))</f>
        <v>5</v>
      </c>
      <c r="P408" s="56">
        <f>IF($C408="B",INDEX(Batters[[#All],[K P]],MATCH(Table5[[#This Row],[PID]],Batters[[#All],[PID]],0)),INDEX(Table3[[#All],[STM]],MATCH(Table5[[#This Row],[PID]],Table3[[#All],[PID]],0)))</f>
        <v>3</v>
      </c>
      <c r="Q408" s="61">
        <f>IF($C408="B",INDEX(Batters[[#All],[Tot]],MATCH(Table5[[#This Row],[PID]],Batters[[#All],[PID]],0)),INDEX(Table3[[#All],[Tot]],MATCH(Table5[[#This Row],[PID]],Table3[[#All],[PID]],0)))</f>
        <v>42.395212509994565</v>
      </c>
      <c r="R408" s="52">
        <f>IF($C408="B",INDEX(Batters[[#All],[zScore]],MATCH(Table5[[#This Row],[PID]],Batters[[#All],[PID]],0)),INDEX(Table3[[#All],[zScore]],MATCH(Table5[[#This Row],[PID]],Table3[[#All],[PID]],0)))</f>
        <v>-0.38504416200691199</v>
      </c>
      <c r="S408" s="58" t="str">
        <f>IF($C408="B",INDEX(Batters[[#All],[DEM]],MATCH(Table5[[#This Row],[PID]],Batters[[#All],[PID]],0)),INDEX(Table3[[#All],[DEM]],MATCH(Table5[[#This Row],[PID]],Table3[[#All],[PID]],0)))</f>
        <v>$130k</v>
      </c>
      <c r="T408" s="62">
        <f>IF($C408="B",INDEX(Batters[[#All],[Rnk]],MATCH(Table5[[#This Row],[PID]],Batters[[#All],[PID]],0)),INDEX(Table3[[#All],[Rnk]],MATCH(Table5[[#This Row],[PID]],Table3[[#All],[PID]],0)))</f>
        <v>320</v>
      </c>
      <c r="U408" s="68">
        <f>IF($C408="B",VLOOKUP($A408,Bat!$A$4:$BA$1621,47,FALSE),VLOOKUP($A408,Pit!$A$4:$BF$1557,56,FALSE))</f>
        <v>0</v>
      </c>
      <c r="V408" s="50">
        <f>IF($C408="B",VLOOKUP($A408,Bat!$A$4:$BA$1621,48,FALSE),VLOOKUP($A408,Pit!$A$4:$BF$1557,57,FALSE))</f>
        <v>0</v>
      </c>
      <c r="W408" s="50">
        <f>Table5[[#This Row],[posRnk]]+Table5[[#This Row],[zRnk]]+IF($W$3&lt;&gt;Table5[[#This Row],[Type]],50,0)</f>
        <v>1156</v>
      </c>
      <c r="X408" s="51">
        <f>RANK(Table5[[#This Row],[zScore]],Table5[[#All],[zScore]])</f>
        <v>786</v>
      </c>
      <c r="Y408" s="50">
        <f>IFERROR(INDEX(DraftResults[[#All],[OVR]],MATCH(Table5[[#This Row],[PID]],DraftResults[[#All],[Player ID]],0)),"")</f>
        <v>404</v>
      </c>
      <c r="Z4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8" s="50">
        <f>IFERROR(INDEX(DraftResults[[#All],[Pick in Round]],MATCH(Table5[[#This Row],[PID]],DraftResults[[#All],[Player ID]],0)),"")</f>
        <v>6</v>
      </c>
      <c r="AB408" s="50" t="str">
        <f>IFERROR(INDEX(DraftResults[[#All],[Team Name]],MATCH(Table5[[#This Row],[PID]],DraftResults[[#All],[Player ID]],0)),"")</f>
        <v>Manchester Maulers</v>
      </c>
      <c r="AC408" s="50">
        <f>IF(Table5[[#This Row],[Ovr]]="","",IF(Table5[[#This Row],[cmbList]]="","",Table5[[#This Row],[cmbList]]-Table5[[#This Row],[Ovr]]))</f>
        <v>752</v>
      </c>
      <c r="AD408" s="54" t="str">
        <f>IF(ISERROR(VLOOKUP($AB408&amp;"-"&amp;$E408&amp;" "&amp;F408,Bonuses!$B$1:$G$1006,4,FALSE)),"",INT(VLOOKUP($AB408&amp;"-"&amp;$E408&amp;" "&amp;$F408,Bonuses!$B$1:$G$1006,4,FALSE)))</f>
        <v/>
      </c>
      <c r="AE4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14.6 (404) - RF Bud Brown</v>
      </c>
    </row>
    <row r="409" spans="1:31" s="50" customFormat="1" x14ac:dyDescent="0.25">
      <c r="A409" s="50">
        <v>18167</v>
      </c>
      <c r="B409" s="50">
        <f>COUNTIF(Table5[PID],A409)</f>
        <v>1</v>
      </c>
      <c r="C409" s="50" t="str">
        <f>IF(COUNTIF(Table3[[#All],[PID]],A409)&gt;0,"P","B")</f>
        <v>B</v>
      </c>
      <c r="D409" s="59" t="str">
        <f>IF($C409="B",INDEX(Batters[[#All],[POS]],MATCH(Table5[[#This Row],[PID]],Batters[[#All],[PID]],0)),INDEX(Table3[[#All],[POS]],MATCH(Table5[[#This Row],[PID]],Table3[[#All],[PID]],0)))</f>
        <v>RF</v>
      </c>
      <c r="E409" s="52" t="str">
        <f>IF($C409="B",INDEX(Batters[[#All],[First]],MATCH(Table5[[#This Row],[PID]],Batters[[#All],[PID]],0)),INDEX(Table3[[#All],[First]],MATCH(Table5[[#This Row],[PID]],Table3[[#All],[PID]],0)))</f>
        <v>Eric</v>
      </c>
      <c r="F409" s="50" t="str">
        <f>IF($C409="B",INDEX(Batters[[#All],[Last]],MATCH(A409,Batters[[#All],[PID]],0)),INDEX(Table3[[#All],[Last]],MATCH(A409,Table3[[#All],[PID]],0)))</f>
        <v>Smith</v>
      </c>
      <c r="G409" s="56">
        <f>IF($C409="B",INDEX(Batters[[#All],[Age]],MATCH(Table5[[#This Row],[PID]],Batters[[#All],[PID]],0)),INDEX(Table3[[#All],[Age]],MATCH(Table5[[#This Row],[PID]],Table3[[#All],[PID]],0)))</f>
        <v>21</v>
      </c>
      <c r="H409" s="52" t="str">
        <f>IF($C409="B",INDEX(Batters[[#All],[B]],MATCH(Table5[[#This Row],[PID]],Batters[[#All],[PID]],0)),INDEX(Table3[[#All],[B]],MATCH(Table5[[#This Row],[PID]],Table3[[#All],[PID]],0)))</f>
        <v>L</v>
      </c>
      <c r="I409" s="52" t="str">
        <f>IF($C409="B",INDEX(Batters[[#All],[T]],MATCH(Table5[[#This Row],[PID]],Batters[[#All],[PID]],0)),INDEX(Table3[[#All],[T]],MATCH(Table5[[#This Row],[PID]],Table3[[#All],[PID]],0)))</f>
        <v>L</v>
      </c>
      <c r="J409" s="52" t="str">
        <f>IF($C409="B",INDEX(Batters[[#All],[WE]],MATCH(Table5[[#This Row],[PID]],Batters[[#All],[PID]],0)),INDEX(Table3[[#All],[WE]],MATCH(Table5[[#This Row],[PID]],Table3[[#All],[PID]],0)))</f>
        <v>Low</v>
      </c>
      <c r="K409" s="52" t="str">
        <f>IF($C409="B",INDEX(Batters[[#All],[INT]],MATCH(Table5[[#This Row],[PID]],Batters[[#All],[PID]],0)),INDEX(Table3[[#All],[INT]],MATCH(Table5[[#This Row],[PID]],Table3[[#All],[PID]],0)))</f>
        <v>High</v>
      </c>
      <c r="L409" s="60">
        <f>IF($C409="B",INDEX(Batters[[#All],[CON P]],MATCH(Table5[[#This Row],[PID]],Batters[[#All],[PID]],0)),INDEX(Table3[[#All],[STU P]],MATCH(Table5[[#This Row],[PID]],Table3[[#All],[PID]],0)))</f>
        <v>4</v>
      </c>
      <c r="M409" s="56">
        <f>IF($C409="B",INDEX(Batters[[#All],[GAP P]],MATCH(Table5[[#This Row],[PID]],Batters[[#All],[PID]],0)),INDEX(Table3[[#All],[MOV P]],MATCH(Table5[[#This Row],[PID]],Table3[[#All],[PID]],0)))</f>
        <v>5</v>
      </c>
      <c r="N409" s="56">
        <f>IF($C409="B",INDEX(Batters[[#All],[POW P]],MATCH(Table5[[#This Row],[PID]],Batters[[#All],[PID]],0)),INDEX(Table3[[#All],[CON P]],MATCH(Table5[[#This Row],[PID]],Table3[[#All],[PID]],0)))</f>
        <v>3</v>
      </c>
      <c r="O409" s="56">
        <f>IF($C409="B",INDEX(Batters[[#All],[EYE P]],MATCH(Table5[[#This Row],[PID]],Batters[[#All],[PID]],0)),INDEX(Table3[[#All],[VELO]],MATCH(Table5[[#This Row],[PID]],Table3[[#All],[PID]],0)))</f>
        <v>6</v>
      </c>
      <c r="P409" s="56">
        <f>IF($C409="B",INDEX(Batters[[#All],[K P]],MATCH(Table5[[#This Row],[PID]],Batters[[#All],[PID]],0)),INDEX(Table3[[#All],[STM]],MATCH(Table5[[#This Row],[PID]],Table3[[#All],[PID]],0)))</f>
        <v>5</v>
      </c>
      <c r="Q409" s="61">
        <f>IF($C409="B",INDEX(Batters[[#All],[Tot]],MATCH(Table5[[#This Row],[PID]],Batters[[#All],[PID]],0)),INDEX(Table3[[#All],[Tot]],MATCH(Table5[[#This Row],[PID]],Table3[[#All],[PID]],0)))</f>
        <v>43.056774225417087</v>
      </c>
      <c r="R409" s="52">
        <f>IF($C409="B",INDEX(Batters[[#All],[zScore]],MATCH(Table5[[#This Row],[PID]],Batters[[#All],[PID]],0)),INDEX(Table3[[#All],[zScore]],MATCH(Table5[[#This Row],[PID]],Table3[[#All],[PID]],0)))</f>
        <v>-0.23837145795555292</v>
      </c>
      <c r="S409" s="58" t="str">
        <f>IF($C409="B",INDEX(Batters[[#All],[DEM]],MATCH(Table5[[#This Row],[PID]],Batters[[#All],[PID]],0)),INDEX(Table3[[#All],[DEM]],MATCH(Table5[[#This Row],[PID]],Table3[[#All],[PID]],0)))</f>
        <v>-</v>
      </c>
      <c r="T409" s="62">
        <f>IF($C409="B",INDEX(Batters[[#All],[Rnk]],MATCH(Table5[[#This Row],[PID]],Batters[[#All],[PID]],0)),INDEX(Table3[[#All],[Rnk]],MATCH(Table5[[#This Row],[PID]],Table3[[#All],[PID]],0)))</f>
        <v>290</v>
      </c>
      <c r="U409" s="68">
        <f>IF($C409="B",VLOOKUP($A409,Bat!$A$4:$BA$1621,47,FALSE),VLOOKUP($A409,Pit!$A$4:$BF$1557,56,FALSE))</f>
        <v>0</v>
      </c>
      <c r="V409" s="50">
        <f>IF($C409="B",VLOOKUP($A409,Bat!$A$4:$BA$1621,48,FALSE),VLOOKUP($A409,Pit!$A$4:$BF$1557,57,FALSE))</f>
        <v>0</v>
      </c>
      <c r="W409" s="50">
        <f>Table5[[#This Row],[posRnk]]+Table5[[#This Row],[zRnk]]+IF($W$3&lt;&gt;Table5[[#This Row],[Type]],50,0)</f>
        <v>1032</v>
      </c>
      <c r="X409" s="51">
        <f>RANK(Table5[[#This Row],[zScore]],Table5[[#All],[zScore]])</f>
        <v>692</v>
      </c>
      <c r="Y409" s="50">
        <f>IFERROR(INDEX(DraftResults[[#All],[OVR]],MATCH(Table5[[#This Row],[PID]],DraftResults[[#All],[Player ID]],0)),"")</f>
        <v>405</v>
      </c>
      <c r="Z4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09" s="50">
        <f>IFERROR(INDEX(DraftResults[[#All],[Pick in Round]],MATCH(Table5[[#This Row],[PID]],DraftResults[[#All],[Player ID]],0)),"")</f>
        <v>7</v>
      </c>
      <c r="AB409" s="50" t="str">
        <f>IFERROR(INDEX(DraftResults[[#All],[Team Name]],MATCH(Table5[[#This Row],[PID]],DraftResults[[#All],[Player ID]],0)),"")</f>
        <v>Niihama-shi Ghosts</v>
      </c>
      <c r="AC409" s="50">
        <f>IF(Table5[[#This Row],[Ovr]]="","",IF(Table5[[#This Row],[cmbList]]="","",Table5[[#This Row],[cmbList]]-Table5[[#This Row],[Ovr]]))</f>
        <v>627</v>
      </c>
      <c r="AD409" s="54" t="str">
        <f>IF(ISERROR(VLOOKUP($AB409&amp;"-"&amp;$E409&amp;" "&amp;F409,Bonuses!$B$1:$G$1006,4,FALSE)),"",INT(VLOOKUP($AB409&amp;"-"&amp;$E409&amp;" "&amp;$F409,Bonuses!$B$1:$G$1006,4,FALSE)))</f>
        <v/>
      </c>
      <c r="AE4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14.7 (405) - RF Eric Smith</v>
      </c>
    </row>
    <row r="410" spans="1:31" s="50" customFormat="1" x14ac:dyDescent="0.25">
      <c r="A410" s="50">
        <v>17786</v>
      </c>
      <c r="B410" s="50">
        <f>COUNTIF(Table5[PID],A410)</f>
        <v>1</v>
      </c>
      <c r="C410" s="50" t="str">
        <f>IF(COUNTIF(Table3[[#All],[PID]],A410)&gt;0,"P","B")</f>
        <v>P</v>
      </c>
      <c r="D410" s="59" t="str">
        <f>IF($C410="B",INDEX(Batters[[#All],[POS]],MATCH(Table5[[#This Row],[PID]],Batters[[#All],[PID]],0)),INDEX(Table3[[#All],[POS]],MATCH(Table5[[#This Row],[PID]],Table3[[#All],[PID]],0)))</f>
        <v>RP</v>
      </c>
      <c r="E410" s="52" t="str">
        <f>IF($C410="B",INDEX(Batters[[#All],[First]],MATCH(Table5[[#This Row],[PID]],Batters[[#All],[PID]],0)),INDEX(Table3[[#All],[First]],MATCH(Table5[[#This Row],[PID]],Table3[[#All],[PID]],0)))</f>
        <v>Shinsaku</v>
      </c>
      <c r="F410" s="50" t="str">
        <f>IF($C410="B",INDEX(Batters[[#All],[Last]],MATCH(A410,Batters[[#All],[PID]],0)),INDEX(Table3[[#All],[Last]],MATCH(A410,Table3[[#All],[PID]],0)))</f>
        <v>Sato</v>
      </c>
      <c r="G410" s="56">
        <f>IF($C410="B",INDEX(Batters[[#All],[Age]],MATCH(Table5[[#This Row],[PID]],Batters[[#All],[PID]],0)),INDEX(Table3[[#All],[Age]],MATCH(Table5[[#This Row],[PID]],Table3[[#All],[PID]],0)))</f>
        <v>21</v>
      </c>
      <c r="H410" s="52" t="str">
        <f>IF($C410="B",INDEX(Batters[[#All],[B]],MATCH(Table5[[#This Row],[PID]],Batters[[#All],[PID]],0)),INDEX(Table3[[#All],[B]],MATCH(Table5[[#This Row],[PID]],Table3[[#All],[PID]],0)))</f>
        <v>R</v>
      </c>
      <c r="I410" s="52" t="str">
        <f>IF($C410="B",INDEX(Batters[[#All],[T]],MATCH(Table5[[#This Row],[PID]],Batters[[#All],[PID]],0)),INDEX(Table3[[#All],[T]],MATCH(Table5[[#This Row],[PID]],Table3[[#All],[PID]],0)))</f>
        <v>R</v>
      </c>
      <c r="J410" s="52" t="str">
        <f>IF($C410="B",INDEX(Batters[[#All],[WE]],MATCH(Table5[[#This Row],[PID]],Batters[[#All],[PID]],0)),INDEX(Table3[[#All],[WE]],MATCH(Table5[[#This Row],[PID]],Table3[[#All],[PID]],0)))</f>
        <v>Normal</v>
      </c>
      <c r="K410" s="52" t="str">
        <f>IF($C410="B",INDEX(Batters[[#All],[INT]],MATCH(Table5[[#This Row],[PID]],Batters[[#All],[PID]],0)),INDEX(Table3[[#All],[INT]],MATCH(Table5[[#This Row],[PID]],Table3[[#All],[PID]],0)))</f>
        <v>High</v>
      </c>
      <c r="L410" s="60">
        <f>IF($C410="B",INDEX(Batters[[#All],[CON P]],MATCH(Table5[[#This Row],[PID]],Batters[[#All],[PID]],0)),INDEX(Table3[[#All],[STU P]],MATCH(Table5[[#This Row],[PID]],Table3[[#All],[PID]],0)))</f>
        <v>6</v>
      </c>
      <c r="M410" s="56">
        <f>IF($C410="B",INDEX(Batters[[#All],[GAP P]],MATCH(Table5[[#This Row],[PID]],Batters[[#All],[PID]],0)),INDEX(Table3[[#All],[MOV P]],MATCH(Table5[[#This Row],[PID]],Table3[[#All],[PID]],0)))</f>
        <v>2</v>
      </c>
      <c r="N410" s="56">
        <f>IF($C410="B",INDEX(Batters[[#All],[POW P]],MATCH(Table5[[#This Row],[PID]],Batters[[#All],[PID]],0)),INDEX(Table3[[#All],[CON P]],MATCH(Table5[[#This Row],[PID]],Table3[[#All],[PID]],0)))</f>
        <v>3</v>
      </c>
      <c r="O410" s="56" t="str">
        <f>IF($C410="B",INDEX(Batters[[#All],[EYE P]],MATCH(Table5[[#This Row],[PID]],Batters[[#All],[PID]],0)),INDEX(Table3[[#All],[VELO]],MATCH(Table5[[#This Row],[PID]],Table3[[#All],[PID]],0)))</f>
        <v>94-96 Mph</v>
      </c>
      <c r="P410" s="56">
        <f>IF($C410="B",INDEX(Batters[[#All],[K P]],MATCH(Table5[[#This Row],[PID]],Batters[[#All],[PID]],0)),INDEX(Table3[[#All],[STM]],MATCH(Table5[[#This Row],[PID]],Table3[[#All],[PID]],0)))</f>
        <v>8</v>
      </c>
      <c r="Q410" s="61">
        <f>IF($C410="B",INDEX(Batters[[#All],[Tot]],MATCH(Table5[[#This Row],[PID]],Batters[[#All],[PID]],0)),INDEX(Table3[[#All],[Tot]],MATCH(Table5[[#This Row],[PID]],Table3[[#All],[PID]],0)))</f>
        <v>38.7052397826982</v>
      </c>
      <c r="R410" s="52">
        <f>IF($C410="B",INDEX(Batters[[#All],[zScore]],MATCH(Table5[[#This Row],[PID]],Batters[[#All],[PID]],0)),INDEX(Table3[[#All],[zScore]],MATCH(Table5[[#This Row],[PID]],Table3[[#All],[PID]],0)))</f>
        <v>0.18858917335093128</v>
      </c>
      <c r="S410" s="58" t="str">
        <f>IF($C410="B",INDEX(Batters[[#All],[DEM]],MATCH(Table5[[#This Row],[PID]],Batters[[#All],[PID]],0)),INDEX(Table3[[#All],[DEM]],MATCH(Table5[[#This Row],[PID]],Table3[[#All],[PID]],0)))</f>
        <v>-</v>
      </c>
      <c r="T410" s="62">
        <f>IF($C410="B",INDEX(Batters[[#All],[Rnk]],MATCH(Table5[[#This Row],[PID]],Batters[[#All],[PID]],0)),INDEX(Table3[[#All],[Rnk]],MATCH(Table5[[#This Row],[PID]],Table3[[#All],[PID]],0)))</f>
        <v>269</v>
      </c>
      <c r="U410" s="68">
        <f>IF($C410="B",VLOOKUP($A410,Bat!$A$4:$BA$1621,47,FALSE),VLOOKUP($A410,Pit!$A$4:$BF$1557,56,FALSE))</f>
        <v>0</v>
      </c>
      <c r="V410" s="50">
        <f>IF($C410="B",VLOOKUP($A410,Bat!$A$4:$BA$1621,48,FALSE),VLOOKUP($A410,Pit!$A$4:$BF$1557,57,FALSE))</f>
        <v>0</v>
      </c>
      <c r="W410" s="50">
        <f>Table5[[#This Row],[posRnk]]+Table5[[#This Row],[zRnk]]+IF($W$3&lt;&gt;Table5[[#This Row],[Type]],50,0)</f>
        <v>795</v>
      </c>
      <c r="X410" s="51">
        <f>RANK(Table5[[#This Row],[zScore]],Table5[[#All],[zScore]])</f>
        <v>476</v>
      </c>
      <c r="Y410" s="50">
        <f>IFERROR(INDEX(DraftResults[[#All],[OVR]],MATCH(Table5[[#This Row],[PID]],DraftResults[[#All],[Player ID]],0)),"")</f>
        <v>406</v>
      </c>
      <c r="Z4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0" s="50">
        <f>IFERROR(INDEX(DraftResults[[#All],[Pick in Round]],MATCH(Table5[[#This Row],[PID]],DraftResults[[#All],[Player ID]],0)),"")</f>
        <v>8</v>
      </c>
      <c r="AB410" s="50" t="str">
        <f>IFERROR(INDEX(DraftResults[[#All],[Team Name]],MATCH(Table5[[#This Row],[PID]],DraftResults[[#All],[Player ID]],0)),"")</f>
        <v>London Underground</v>
      </c>
      <c r="AC410" s="50">
        <f>IF(Table5[[#This Row],[Ovr]]="","",IF(Table5[[#This Row],[cmbList]]="","",Table5[[#This Row],[cmbList]]-Table5[[#This Row],[Ovr]]))</f>
        <v>389</v>
      </c>
      <c r="AD410" s="54" t="str">
        <f>IF(ISERROR(VLOOKUP($AB410&amp;"-"&amp;$E410&amp;" "&amp;F410,Bonuses!$B$1:$G$1006,4,FALSE)),"",INT(VLOOKUP($AB410&amp;"-"&amp;$E410&amp;" "&amp;$F410,Bonuses!$B$1:$G$1006,4,FALSE)))</f>
        <v/>
      </c>
      <c r="AE4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14.8 (406) - RP Shinsaku Sato</v>
      </c>
    </row>
    <row r="411" spans="1:31" s="50" customFormat="1" x14ac:dyDescent="0.25">
      <c r="A411" s="50">
        <v>20972</v>
      </c>
      <c r="B411" s="50">
        <f>COUNTIF(Table5[PID],A411)</f>
        <v>1</v>
      </c>
      <c r="C411" s="50" t="str">
        <f>IF(COUNTIF(Table3[[#All],[PID]],A411)&gt;0,"P","B")</f>
        <v>B</v>
      </c>
      <c r="D411" s="59" t="str">
        <f>IF($C411="B",INDEX(Batters[[#All],[POS]],MATCH(Table5[[#This Row],[PID]],Batters[[#All],[PID]],0)),INDEX(Table3[[#All],[POS]],MATCH(Table5[[#This Row],[PID]],Table3[[#All],[PID]],0)))</f>
        <v>1B</v>
      </c>
      <c r="E411" s="52" t="str">
        <f>IF($C411="B",INDEX(Batters[[#All],[First]],MATCH(Table5[[#This Row],[PID]],Batters[[#All],[PID]],0)),INDEX(Table3[[#All],[First]],MATCH(Table5[[#This Row],[PID]],Table3[[#All],[PID]],0)))</f>
        <v>Bobby</v>
      </c>
      <c r="F411" s="50" t="str">
        <f>IF($C411="B",INDEX(Batters[[#All],[Last]],MATCH(A411,Batters[[#All],[PID]],0)),INDEX(Table3[[#All],[Last]],MATCH(A411,Table3[[#All],[PID]],0)))</f>
        <v>Hamilton</v>
      </c>
      <c r="G411" s="56">
        <f>IF($C411="B",INDEX(Batters[[#All],[Age]],MATCH(Table5[[#This Row],[PID]],Batters[[#All],[PID]],0)),INDEX(Table3[[#All],[Age]],MATCH(Table5[[#This Row],[PID]],Table3[[#All],[PID]],0)))</f>
        <v>16</v>
      </c>
      <c r="H411" s="52" t="str">
        <f>IF($C411="B",INDEX(Batters[[#All],[B]],MATCH(Table5[[#This Row],[PID]],Batters[[#All],[PID]],0)),INDEX(Table3[[#All],[B]],MATCH(Table5[[#This Row],[PID]],Table3[[#All],[PID]],0)))</f>
        <v>R</v>
      </c>
      <c r="I411" s="52" t="str">
        <f>IF($C411="B",INDEX(Batters[[#All],[T]],MATCH(Table5[[#This Row],[PID]],Batters[[#All],[PID]],0)),INDEX(Table3[[#All],[T]],MATCH(Table5[[#This Row],[PID]],Table3[[#All],[PID]],0)))</f>
        <v>R</v>
      </c>
      <c r="J411" s="52" t="str">
        <f>IF($C411="B",INDEX(Batters[[#All],[WE]],MATCH(Table5[[#This Row],[PID]],Batters[[#All],[PID]],0)),INDEX(Table3[[#All],[WE]],MATCH(Table5[[#This Row],[PID]],Table3[[#All],[PID]],0)))</f>
        <v>Normal</v>
      </c>
      <c r="K411" s="52" t="str">
        <f>IF($C411="B",INDEX(Batters[[#All],[INT]],MATCH(Table5[[#This Row],[PID]],Batters[[#All],[PID]],0)),INDEX(Table3[[#All],[INT]],MATCH(Table5[[#This Row],[PID]],Table3[[#All],[PID]],0)))</f>
        <v>Normal</v>
      </c>
      <c r="L411" s="60">
        <f>IF($C411="B",INDEX(Batters[[#All],[CON P]],MATCH(Table5[[#This Row],[PID]],Batters[[#All],[PID]],0)),INDEX(Table3[[#All],[STU P]],MATCH(Table5[[#This Row],[PID]],Table3[[#All],[PID]],0)))</f>
        <v>3</v>
      </c>
      <c r="M411" s="56">
        <f>IF($C411="B",INDEX(Batters[[#All],[GAP P]],MATCH(Table5[[#This Row],[PID]],Batters[[#All],[PID]],0)),INDEX(Table3[[#All],[MOV P]],MATCH(Table5[[#This Row],[PID]],Table3[[#All],[PID]],0)))</f>
        <v>5</v>
      </c>
      <c r="N411" s="56">
        <f>IF($C411="B",INDEX(Batters[[#All],[POW P]],MATCH(Table5[[#This Row],[PID]],Batters[[#All],[PID]],0)),INDEX(Table3[[#All],[CON P]],MATCH(Table5[[#This Row],[PID]],Table3[[#All],[PID]],0)))</f>
        <v>6</v>
      </c>
      <c r="O411" s="56">
        <f>IF($C411="B",INDEX(Batters[[#All],[EYE P]],MATCH(Table5[[#This Row],[PID]],Batters[[#All],[PID]],0)),INDEX(Table3[[#All],[VELO]],MATCH(Table5[[#This Row],[PID]],Table3[[#All],[PID]],0)))</f>
        <v>6</v>
      </c>
      <c r="P411" s="56">
        <f>IF($C411="B",INDEX(Batters[[#All],[K P]],MATCH(Table5[[#This Row],[PID]],Batters[[#All],[PID]],0)),INDEX(Table3[[#All],[STM]],MATCH(Table5[[#This Row],[PID]],Table3[[#All],[PID]],0)))</f>
        <v>3</v>
      </c>
      <c r="Q411" s="61">
        <f>IF($C411="B",INDEX(Batters[[#All],[Tot]],MATCH(Table5[[#This Row],[PID]],Batters[[#All],[PID]],0)),INDEX(Table3[[#All],[Tot]],MATCH(Table5[[#This Row],[PID]],Table3[[#All],[PID]],0)))</f>
        <v>46.3290037970349</v>
      </c>
      <c r="R411" s="52">
        <f>IF($C411="B",INDEX(Batters[[#All],[zScore]],MATCH(Table5[[#This Row],[PID]],Batters[[#All],[PID]],0)),INDEX(Table3[[#All],[zScore]],MATCH(Table5[[#This Row],[PID]],Table3[[#All],[PID]],0)))</f>
        <v>0.4871039562912885</v>
      </c>
      <c r="S411" s="58" t="str">
        <f>IF($C411="B",INDEX(Batters[[#All],[DEM]],MATCH(Table5[[#This Row],[PID]],Batters[[#All],[PID]],0)),INDEX(Table3[[#All],[DEM]],MATCH(Table5[[#This Row],[PID]],Table3[[#All],[PID]],0)))</f>
        <v>$65k</v>
      </c>
      <c r="T411" s="62">
        <f>IF($C411="B",INDEX(Batters[[#All],[Rnk]],MATCH(Table5[[#This Row],[PID]],Batters[[#All],[PID]],0)),INDEX(Table3[[#All],[Rnk]],MATCH(Table5[[#This Row],[PID]],Table3[[#All],[PID]],0)))</f>
        <v>153</v>
      </c>
      <c r="U411" s="68">
        <f>IF($C411="B",VLOOKUP($A411,Bat!$A$4:$BA$1621,47,FALSE),VLOOKUP($A411,Pit!$A$4:$BF$1557,56,FALSE))</f>
        <v>0</v>
      </c>
      <c r="V411" s="50">
        <f>IF($C411="B",VLOOKUP($A411,Bat!$A$4:$BA$1621,48,FALSE),VLOOKUP($A411,Pit!$A$4:$BF$1557,57,FALSE))</f>
        <v>0</v>
      </c>
      <c r="W411" s="50">
        <f>Table5[[#This Row],[posRnk]]+Table5[[#This Row],[zRnk]]+IF($W$3&lt;&gt;Table5[[#This Row],[Type]],50,0)</f>
        <v>575</v>
      </c>
      <c r="X411" s="51">
        <f>RANK(Table5[[#This Row],[zScore]],Table5[[#All],[zScore]])</f>
        <v>372</v>
      </c>
      <c r="Y411" s="50">
        <f>IFERROR(INDEX(DraftResults[[#All],[OVR]],MATCH(Table5[[#This Row],[PID]],DraftResults[[#All],[Player ID]],0)),"")</f>
        <v>407</v>
      </c>
      <c r="Z4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1" s="50">
        <f>IFERROR(INDEX(DraftResults[[#All],[Pick in Round]],MATCH(Table5[[#This Row],[PID]],DraftResults[[#All],[Player ID]],0)),"")</f>
        <v>9</v>
      </c>
      <c r="AB411" s="50" t="str">
        <f>IFERROR(INDEX(DraftResults[[#All],[Team Name]],MATCH(Table5[[#This Row],[PID]],DraftResults[[#All],[Player ID]],0)),"")</f>
        <v>Scottish Claymores</v>
      </c>
      <c r="AC411" s="50">
        <f>IF(Table5[[#This Row],[Ovr]]="","",IF(Table5[[#This Row],[cmbList]]="","",Table5[[#This Row],[cmbList]]-Table5[[#This Row],[Ovr]]))</f>
        <v>168</v>
      </c>
      <c r="AD411" s="54" t="str">
        <f>IF(ISERROR(VLOOKUP($AB411&amp;"-"&amp;$E411&amp;" "&amp;F411,Bonuses!$B$1:$G$1006,4,FALSE)),"",INT(VLOOKUP($AB411&amp;"-"&amp;$E411&amp;" "&amp;$F411,Bonuses!$B$1:$G$1006,4,FALSE)))</f>
        <v/>
      </c>
      <c r="AE4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14.9 (407) - 1B Bobby Hamilton</v>
      </c>
    </row>
    <row r="412" spans="1:31" s="50" customFormat="1" x14ac:dyDescent="0.25">
      <c r="A412" s="50">
        <v>20670</v>
      </c>
      <c r="B412" s="50">
        <f>COUNTIF(Table5[PID],A412)</f>
        <v>1</v>
      </c>
      <c r="C412" s="50" t="str">
        <f>IF(COUNTIF(Table3[[#All],[PID]],A412)&gt;0,"P","B")</f>
        <v>B</v>
      </c>
      <c r="D412" s="59" t="str">
        <f>IF($C412="B",INDEX(Batters[[#All],[POS]],MATCH(Table5[[#This Row],[PID]],Batters[[#All],[PID]],0)),INDEX(Table3[[#All],[POS]],MATCH(Table5[[#This Row],[PID]],Table3[[#All],[PID]],0)))</f>
        <v>CF</v>
      </c>
      <c r="E412" s="52" t="str">
        <f>IF($C412="B",INDEX(Batters[[#All],[First]],MATCH(Table5[[#This Row],[PID]],Batters[[#All],[PID]],0)),INDEX(Table3[[#All],[First]],MATCH(Table5[[#This Row],[PID]],Table3[[#All],[PID]],0)))</f>
        <v>Sang-hoon</v>
      </c>
      <c r="F412" s="50" t="str">
        <f>IF($C412="B",INDEX(Batters[[#All],[Last]],MATCH(A412,Batters[[#All],[PID]],0)),INDEX(Table3[[#All],[Last]],MATCH(A412,Table3[[#All],[PID]],0)))</f>
        <v>Kim</v>
      </c>
      <c r="G412" s="56">
        <f>IF($C412="B",INDEX(Batters[[#All],[Age]],MATCH(Table5[[#This Row],[PID]],Batters[[#All],[PID]],0)),INDEX(Table3[[#All],[Age]],MATCH(Table5[[#This Row],[PID]],Table3[[#All],[PID]],0)))</f>
        <v>18</v>
      </c>
      <c r="H412" s="52" t="str">
        <f>IF($C412="B",INDEX(Batters[[#All],[B]],MATCH(Table5[[#This Row],[PID]],Batters[[#All],[PID]],0)),INDEX(Table3[[#All],[B]],MATCH(Table5[[#This Row],[PID]],Table3[[#All],[PID]],0)))</f>
        <v>R</v>
      </c>
      <c r="I412" s="52" t="str">
        <f>IF($C412="B",INDEX(Batters[[#All],[T]],MATCH(Table5[[#This Row],[PID]],Batters[[#All],[PID]],0)),INDEX(Table3[[#All],[T]],MATCH(Table5[[#This Row],[PID]],Table3[[#All],[PID]],0)))</f>
        <v>R</v>
      </c>
      <c r="J412" s="52" t="str">
        <f>IF($C412="B",INDEX(Batters[[#All],[WE]],MATCH(Table5[[#This Row],[PID]],Batters[[#All],[PID]],0)),INDEX(Table3[[#All],[WE]],MATCH(Table5[[#This Row],[PID]],Table3[[#All],[PID]],0)))</f>
        <v>Normal</v>
      </c>
      <c r="K412" s="52" t="str">
        <f>IF($C412="B",INDEX(Batters[[#All],[INT]],MATCH(Table5[[#This Row],[PID]],Batters[[#All],[PID]],0)),INDEX(Table3[[#All],[INT]],MATCH(Table5[[#This Row],[PID]],Table3[[#All],[PID]],0)))</f>
        <v>Normal</v>
      </c>
      <c r="L412" s="60">
        <f>IF($C412="B",INDEX(Batters[[#All],[CON P]],MATCH(Table5[[#This Row],[PID]],Batters[[#All],[PID]],0)),INDEX(Table3[[#All],[STU P]],MATCH(Table5[[#This Row],[PID]],Table3[[#All],[PID]],0)))</f>
        <v>3</v>
      </c>
      <c r="M412" s="56">
        <f>IF($C412="B",INDEX(Batters[[#All],[GAP P]],MATCH(Table5[[#This Row],[PID]],Batters[[#All],[PID]],0)),INDEX(Table3[[#All],[MOV P]],MATCH(Table5[[#This Row],[PID]],Table3[[#All],[PID]],0)))</f>
        <v>5</v>
      </c>
      <c r="N412" s="56">
        <f>IF($C412="B",INDEX(Batters[[#All],[POW P]],MATCH(Table5[[#This Row],[PID]],Batters[[#All],[PID]],0)),INDEX(Table3[[#All],[CON P]],MATCH(Table5[[#This Row],[PID]],Table3[[#All],[PID]],0)))</f>
        <v>5</v>
      </c>
      <c r="O412" s="56">
        <f>IF($C412="B",INDEX(Batters[[#All],[EYE P]],MATCH(Table5[[#This Row],[PID]],Batters[[#All],[PID]],0)),INDEX(Table3[[#All],[VELO]],MATCH(Table5[[#This Row],[PID]],Table3[[#All],[PID]],0)))</f>
        <v>6</v>
      </c>
      <c r="P412" s="56">
        <f>IF($C412="B",INDEX(Batters[[#All],[K P]],MATCH(Table5[[#This Row],[PID]],Batters[[#All],[PID]],0)),INDEX(Table3[[#All],[STM]],MATCH(Table5[[#This Row],[PID]],Table3[[#All],[PID]],0)))</f>
        <v>3</v>
      </c>
      <c r="Q412" s="61">
        <f>IF($C412="B",INDEX(Batters[[#All],[Tot]],MATCH(Table5[[#This Row],[PID]],Batters[[#All],[PID]],0)),INDEX(Table3[[#All],[Tot]],MATCH(Table5[[#This Row],[PID]],Table3[[#All],[PID]],0)))</f>
        <v>45.355313766711873</v>
      </c>
      <c r="R412" s="52">
        <f>IF($C412="B",INDEX(Batters[[#All],[zScore]],MATCH(Table5[[#This Row],[PID]],Batters[[#All],[PID]],0)),INDEX(Table3[[#All],[zScore]],MATCH(Table5[[#This Row],[PID]],Table3[[#All],[PID]],0)))</f>
        <v>0.27123029503488272</v>
      </c>
      <c r="S412" s="58" t="str">
        <f>IF($C412="B",INDEX(Batters[[#All],[DEM]],MATCH(Table5[[#This Row],[PID]],Batters[[#All],[PID]],0)),INDEX(Table3[[#All],[DEM]],MATCH(Table5[[#This Row],[PID]],Table3[[#All],[PID]],0)))</f>
        <v>$38k</v>
      </c>
      <c r="T412" s="62">
        <f>IF($C412="B",INDEX(Batters[[#All],[Rnk]],MATCH(Table5[[#This Row],[PID]],Batters[[#All],[PID]],0)),INDEX(Table3[[#All],[Rnk]],MATCH(Table5[[#This Row],[PID]],Table3[[#All],[PID]],0)))</f>
        <v>182</v>
      </c>
      <c r="U412" s="68">
        <f>IF($C412="B",VLOOKUP($A412,Bat!$A$4:$BA$1621,47,FALSE),VLOOKUP($A412,Pit!$A$4:$BF$1557,56,FALSE))</f>
        <v>0</v>
      </c>
      <c r="V412" s="50">
        <f>IF($C412="B",VLOOKUP($A412,Bat!$A$4:$BA$1621,48,FALSE),VLOOKUP($A412,Pit!$A$4:$BF$1557,57,FALSE))</f>
        <v>0</v>
      </c>
      <c r="W412" s="50">
        <f>Table5[[#This Row],[posRnk]]+Table5[[#This Row],[zRnk]]+IF($W$3&lt;&gt;Table5[[#This Row],[Type]],50,0)</f>
        <v>659</v>
      </c>
      <c r="X412" s="51">
        <f>RANK(Table5[[#This Row],[zScore]],Table5[[#All],[zScore]])</f>
        <v>427</v>
      </c>
      <c r="Y412" s="50">
        <f>IFERROR(INDEX(DraftResults[[#All],[OVR]],MATCH(Table5[[#This Row],[PID]],DraftResults[[#All],[Player ID]],0)),"")</f>
        <v>408</v>
      </c>
      <c r="Z4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2" s="50">
        <f>IFERROR(INDEX(DraftResults[[#All],[Pick in Round]],MATCH(Table5[[#This Row],[PID]],DraftResults[[#All],[Player ID]],0)),"")</f>
        <v>10</v>
      </c>
      <c r="AB412" s="50" t="str">
        <f>IFERROR(INDEX(DraftResults[[#All],[Team Name]],MATCH(Table5[[#This Row],[PID]],DraftResults[[#All],[Player ID]],0)),"")</f>
        <v>Hartford Harpoon</v>
      </c>
      <c r="AC412" s="50">
        <f>IF(Table5[[#This Row],[Ovr]]="","",IF(Table5[[#This Row],[cmbList]]="","",Table5[[#This Row],[cmbList]]-Table5[[#This Row],[Ovr]]))</f>
        <v>251</v>
      </c>
      <c r="AD412" s="54" t="str">
        <f>IF(ISERROR(VLOOKUP($AB412&amp;"-"&amp;$E412&amp;" "&amp;F412,Bonuses!$B$1:$G$1006,4,FALSE)),"",INT(VLOOKUP($AB412&amp;"-"&amp;$E412&amp;" "&amp;$F412,Bonuses!$B$1:$G$1006,4,FALSE)))</f>
        <v/>
      </c>
      <c r="AE4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14.10 (408) - CF Sang-hoon Kim</v>
      </c>
    </row>
    <row r="413" spans="1:31" s="50" customFormat="1" x14ac:dyDescent="0.25">
      <c r="A413" s="50">
        <v>18033</v>
      </c>
      <c r="B413" s="50">
        <f>COUNTIF(Table5[PID],A413)</f>
        <v>1</v>
      </c>
      <c r="C413" s="50" t="str">
        <f>IF(COUNTIF(Table3[[#All],[PID]],A413)&gt;0,"P","B")</f>
        <v>P</v>
      </c>
      <c r="D413" s="59" t="str">
        <f>IF($C413="B",INDEX(Batters[[#All],[POS]],MATCH(Table5[[#This Row],[PID]],Batters[[#All],[PID]],0)),INDEX(Table3[[#All],[POS]],MATCH(Table5[[#This Row],[PID]],Table3[[#All],[PID]],0)))</f>
        <v>CL</v>
      </c>
      <c r="E413" s="52" t="str">
        <f>IF($C413="B",INDEX(Batters[[#All],[First]],MATCH(Table5[[#This Row],[PID]],Batters[[#All],[PID]],0)),INDEX(Table3[[#All],[First]],MATCH(Table5[[#This Row],[PID]],Table3[[#All],[PID]],0)))</f>
        <v>Pat</v>
      </c>
      <c r="F413" s="50" t="str">
        <f>IF($C413="B",INDEX(Batters[[#All],[Last]],MATCH(A413,Batters[[#All],[PID]],0)),INDEX(Table3[[#All],[Last]],MATCH(A413,Table3[[#All],[PID]],0)))</f>
        <v>Wallace</v>
      </c>
      <c r="G413" s="56">
        <f>IF($C413="B",INDEX(Batters[[#All],[Age]],MATCH(Table5[[#This Row],[PID]],Batters[[#All],[PID]],0)),INDEX(Table3[[#All],[Age]],MATCH(Table5[[#This Row],[PID]],Table3[[#All],[PID]],0)))</f>
        <v>21</v>
      </c>
      <c r="H413" s="52" t="str">
        <f>IF($C413="B",INDEX(Batters[[#All],[B]],MATCH(Table5[[#This Row],[PID]],Batters[[#All],[PID]],0)),INDEX(Table3[[#All],[B]],MATCH(Table5[[#This Row],[PID]],Table3[[#All],[PID]],0)))</f>
        <v>S</v>
      </c>
      <c r="I413" s="52" t="str">
        <f>IF($C413="B",INDEX(Batters[[#All],[T]],MATCH(Table5[[#This Row],[PID]],Batters[[#All],[PID]],0)),INDEX(Table3[[#All],[T]],MATCH(Table5[[#This Row],[PID]],Table3[[#All],[PID]],0)))</f>
        <v>L</v>
      </c>
      <c r="J413" s="52" t="str">
        <f>IF($C413="B",INDEX(Batters[[#All],[WE]],MATCH(Table5[[#This Row],[PID]],Batters[[#All],[PID]],0)),INDEX(Table3[[#All],[WE]],MATCH(Table5[[#This Row],[PID]],Table3[[#All],[PID]],0)))</f>
        <v>High</v>
      </c>
      <c r="K413" s="52" t="str">
        <f>IF($C413="B",INDEX(Batters[[#All],[INT]],MATCH(Table5[[#This Row],[PID]],Batters[[#All],[PID]],0)),INDEX(Table3[[#All],[INT]],MATCH(Table5[[#This Row],[PID]],Table3[[#All],[PID]],0)))</f>
        <v>Normal</v>
      </c>
      <c r="L413" s="60">
        <f>IF($C413="B",INDEX(Batters[[#All],[CON P]],MATCH(Table5[[#This Row],[PID]],Batters[[#All],[PID]],0)),INDEX(Table3[[#All],[STU P]],MATCH(Table5[[#This Row],[PID]],Table3[[#All],[PID]],0)))</f>
        <v>6</v>
      </c>
      <c r="M413" s="56">
        <f>IF($C413="B",INDEX(Batters[[#All],[GAP P]],MATCH(Table5[[#This Row],[PID]],Batters[[#All],[PID]],0)),INDEX(Table3[[#All],[MOV P]],MATCH(Table5[[#This Row],[PID]],Table3[[#All],[PID]],0)))</f>
        <v>2</v>
      </c>
      <c r="N413" s="56">
        <f>IF($C413="B",INDEX(Batters[[#All],[POW P]],MATCH(Table5[[#This Row],[PID]],Batters[[#All],[PID]],0)),INDEX(Table3[[#All],[CON P]],MATCH(Table5[[#This Row],[PID]],Table3[[#All],[PID]],0)))</f>
        <v>4</v>
      </c>
      <c r="O413" s="56" t="str">
        <f>IF($C413="B",INDEX(Batters[[#All],[EYE P]],MATCH(Table5[[#This Row],[PID]],Batters[[#All],[PID]],0)),INDEX(Table3[[#All],[VELO]],MATCH(Table5[[#This Row],[PID]],Table3[[#All],[PID]],0)))</f>
        <v>91-93 Mph</v>
      </c>
      <c r="P413" s="56">
        <f>IF($C413="B",INDEX(Batters[[#All],[K P]],MATCH(Table5[[#This Row],[PID]],Batters[[#All],[PID]],0)),INDEX(Table3[[#All],[STM]],MATCH(Table5[[#This Row],[PID]],Table3[[#All],[PID]],0)))</f>
        <v>3</v>
      </c>
      <c r="Q413" s="61">
        <f>IF($C413="B",INDEX(Batters[[#All],[Tot]],MATCH(Table5[[#This Row],[PID]],Batters[[#All],[PID]],0)),INDEX(Table3[[#All],[Tot]],MATCH(Table5[[#This Row],[PID]],Table3[[#All],[PID]],0)))</f>
        <v>41.75122408001846</v>
      </c>
      <c r="R413" s="52">
        <f>IF($C413="B",INDEX(Batters[[#All],[zScore]],MATCH(Table5[[#This Row],[PID]],Batters[[#All],[PID]],0)),INDEX(Table3[[#All],[zScore]],MATCH(Table5[[#This Row],[PID]],Table3[[#All],[PID]],0)))</f>
        <v>0.39123385405611044</v>
      </c>
      <c r="S413" s="58" t="str">
        <f>IF($C413="B",INDEX(Batters[[#All],[DEM]],MATCH(Table5[[#This Row],[PID]],Batters[[#All],[PID]],0)),INDEX(Table3[[#All],[DEM]],MATCH(Table5[[#This Row],[PID]],Table3[[#All],[PID]],0)))</f>
        <v>-</v>
      </c>
      <c r="T413" s="62">
        <f>IF($C413="B",INDEX(Batters[[#All],[Rnk]],MATCH(Table5[[#This Row],[PID]],Batters[[#All],[PID]],0)),INDEX(Table3[[#All],[Rnk]],MATCH(Table5[[#This Row],[PID]],Table3[[#All],[PID]],0)))</f>
        <v>228</v>
      </c>
      <c r="U413" s="68">
        <f>IF($C413="B",VLOOKUP($A413,Bat!$A$4:$BA$1621,47,FALSE),VLOOKUP($A413,Pit!$A$4:$BF$1557,56,FALSE))</f>
        <v>0</v>
      </c>
      <c r="V413" s="50">
        <f>IF($C413="B",VLOOKUP($A413,Bat!$A$4:$BA$1621,48,FALSE),VLOOKUP($A413,Pit!$A$4:$BF$1557,57,FALSE))</f>
        <v>0</v>
      </c>
      <c r="W413" s="50">
        <f>Table5[[#This Row],[posRnk]]+Table5[[#This Row],[zRnk]]+IF($W$3&lt;&gt;Table5[[#This Row],[Type]],50,0)</f>
        <v>667</v>
      </c>
      <c r="X413" s="51">
        <f>RANK(Table5[[#This Row],[zScore]],Table5[[#All],[zScore]])</f>
        <v>389</v>
      </c>
      <c r="Y413" s="50">
        <f>IFERROR(INDEX(DraftResults[[#All],[OVR]],MATCH(Table5[[#This Row],[PID]],DraftResults[[#All],[Player ID]],0)),"")</f>
        <v>409</v>
      </c>
      <c r="Z4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3" s="50">
        <f>IFERROR(INDEX(DraftResults[[#All],[Pick in Round]],MATCH(Table5[[#This Row],[PID]],DraftResults[[#All],[Player ID]],0)),"")</f>
        <v>11</v>
      </c>
      <c r="AB413" s="50" t="str">
        <f>IFERROR(INDEX(DraftResults[[#All],[Team Name]],MATCH(Table5[[#This Row],[PID]],DraftResults[[#All],[Player ID]],0)),"")</f>
        <v>Duluth Warriors</v>
      </c>
      <c r="AC413" s="50">
        <f>IF(Table5[[#This Row],[Ovr]]="","",IF(Table5[[#This Row],[cmbList]]="","",Table5[[#This Row],[cmbList]]-Table5[[#This Row],[Ovr]]))</f>
        <v>258</v>
      </c>
      <c r="AD413" s="54" t="str">
        <f>IF(ISERROR(VLOOKUP($AB413&amp;"-"&amp;$E413&amp;" "&amp;F413,Bonuses!$B$1:$G$1006,4,FALSE)),"",INT(VLOOKUP($AB413&amp;"-"&amp;$E413&amp;" "&amp;$F413,Bonuses!$B$1:$G$1006,4,FALSE)))</f>
        <v/>
      </c>
      <c r="AE4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14.11 (409) - CL Pat Wallace</v>
      </c>
    </row>
    <row r="414" spans="1:31" s="50" customFormat="1" x14ac:dyDescent="0.25">
      <c r="A414" s="50">
        <v>17757</v>
      </c>
      <c r="B414" s="55">
        <f>COUNTIF(Table5[PID],A414)</f>
        <v>1</v>
      </c>
      <c r="C414" s="55" t="str">
        <f>IF(COUNTIF(Table3[[#All],[PID]],A414)&gt;0,"P","B")</f>
        <v>B</v>
      </c>
      <c r="D414" s="59" t="str">
        <f>IF($C414="B",INDEX(Batters[[#All],[POS]],MATCH(Table5[[#This Row],[PID]],Batters[[#All],[PID]],0)),INDEX(Table3[[#All],[POS]],MATCH(Table5[[#This Row],[PID]],Table3[[#All],[PID]],0)))</f>
        <v>3B</v>
      </c>
      <c r="E414" s="52" t="str">
        <f>IF($C414="B",INDEX(Batters[[#All],[First]],MATCH(Table5[[#This Row],[PID]],Batters[[#All],[PID]],0)),INDEX(Table3[[#All],[First]],MATCH(Table5[[#This Row],[PID]],Table3[[#All],[PID]],0)))</f>
        <v>Tsutomu</v>
      </c>
      <c r="F414" s="50" t="str">
        <f>IF($C414="B",INDEX(Batters[[#All],[Last]],MATCH(A414,Batters[[#All],[PID]],0)),INDEX(Table3[[#All],[Last]],MATCH(A414,Table3[[#All],[PID]],0)))</f>
        <v>Ohayashi</v>
      </c>
      <c r="G414" s="56">
        <f>IF($C414="B",INDEX(Batters[[#All],[Age]],MATCH(Table5[[#This Row],[PID]],Batters[[#All],[PID]],0)),INDEX(Table3[[#All],[Age]],MATCH(Table5[[#This Row],[PID]],Table3[[#All],[PID]],0)))</f>
        <v>21</v>
      </c>
      <c r="H414" s="52" t="str">
        <f>IF($C414="B",INDEX(Batters[[#All],[B]],MATCH(Table5[[#This Row],[PID]],Batters[[#All],[PID]],0)),INDEX(Table3[[#All],[B]],MATCH(Table5[[#This Row],[PID]],Table3[[#All],[PID]],0)))</f>
        <v>L</v>
      </c>
      <c r="I414" s="52" t="str">
        <f>IF($C414="B",INDEX(Batters[[#All],[T]],MATCH(Table5[[#This Row],[PID]],Batters[[#All],[PID]],0)),INDEX(Table3[[#All],[T]],MATCH(Table5[[#This Row],[PID]],Table3[[#All],[PID]],0)))</f>
        <v>R</v>
      </c>
      <c r="J414" s="52" t="str">
        <f>IF($C414="B",INDEX(Batters[[#All],[WE]],MATCH(Table5[[#This Row],[PID]],Batters[[#All],[PID]],0)),INDEX(Table3[[#All],[WE]],MATCH(Table5[[#This Row],[PID]],Table3[[#All],[PID]],0)))</f>
        <v>Normal</v>
      </c>
      <c r="K414" s="52" t="str">
        <f>IF($C414="B",INDEX(Batters[[#All],[INT]],MATCH(Table5[[#This Row],[PID]],Batters[[#All],[PID]],0)),INDEX(Table3[[#All],[INT]],MATCH(Table5[[#This Row],[PID]],Table3[[#All],[PID]],0)))</f>
        <v>Normal</v>
      </c>
      <c r="L414" s="60">
        <f>IF($C414="B",INDEX(Batters[[#All],[CON P]],MATCH(Table5[[#This Row],[PID]],Batters[[#All],[PID]],0)),INDEX(Table3[[#All],[STU P]],MATCH(Table5[[#This Row],[PID]],Table3[[#All],[PID]],0)))</f>
        <v>4</v>
      </c>
      <c r="M414" s="56">
        <f>IF($C414="B",INDEX(Batters[[#All],[GAP P]],MATCH(Table5[[#This Row],[PID]],Batters[[#All],[PID]],0)),INDEX(Table3[[#All],[MOV P]],MATCH(Table5[[#This Row],[PID]],Table3[[#All],[PID]],0)))</f>
        <v>5</v>
      </c>
      <c r="N414" s="56">
        <f>IF($C414="B",INDEX(Batters[[#All],[POW P]],MATCH(Table5[[#This Row],[PID]],Batters[[#All],[PID]],0)),INDEX(Table3[[#All],[CON P]],MATCH(Table5[[#This Row],[PID]],Table3[[#All],[PID]],0)))</f>
        <v>5</v>
      </c>
      <c r="O414" s="56">
        <f>IF($C414="B",INDEX(Batters[[#All],[EYE P]],MATCH(Table5[[#This Row],[PID]],Batters[[#All],[PID]],0)),INDEX(Table3[[#All],[VELO]],MATCH(Table5[[#This Row],[PID]],Table3[[#All],[PID]],0)))</f>
        <v>5</v>
      </c>
      <c r="P414" s="56">
        <f>IF($C414="B",INDEX(Batters[[#All],[K P]],MATCH(Table5[[#This Row],[PID]],Batters[[#All],[PID]],0)),INDEX(Table3[[#All],[STM]],MATCH(Table5[[#This Row],[PID]],Table3[[#All],[PID]],0)))</f>
        <v>4</v>
      </c>
      <c r="Q414" s="61">
        <f>IF($C414="B",INDEX(Batters[[#All],[Tot]],MATCH(Table5[[#This Row],[PID]],Batters[[#All],[PID]],0)),INDEX(Table3[[#All],[Tot]],MATCH(Table5[[#This Row],[PID]],Table3[[#All],[PID]],0)))</f>
        <v>44.421128548110744</v>
      </c>
      <c r="R414" s="52">
        <f>IF($C414="B",INDEX(Batters[[#All],[zScore]],MATCH(Table5[[#This Row],[PID]],Batters[[#All],[PID]],0)),INDEX(Table3[[#All],[zScore]],MATCH(Table5[[#This Row],[PID]],Table3[[#All],[PID]],0)))</f>
        <v>6.4115117564966795E-2</v>
      </c>
      <c r="S414" s="58" t="str">
        <f>IF($C414="B",INDEX(Batters[[#All],[DEM]],MATCH(Table5[[#This Row],[PID]],Batters[[#All],[PID]],0)),INDEX(Table3[[#All],[DEM]],MATCH(Table5[[#This Row],[PID]],Table3[[#All],[PID]],0)))</f>
        <v>$20k</v>
      </c>
      <c r="T414" s="62">
        <f>IF($C414="B",INDEX(Batters[[#All],[Rnk]],MATCH(Table5[[#This Row],[PID]],Batters[[#All],[PID]],0)),INDEX(Table3[[#All],[Rnk]],MATCH(Table5[[#This Row],[PID]],Table3[[#All],[PID]],0)))</f>
        <v>229</v>
      </c>
      <c r="U414" s="68">
        <f>IF($C414="B",VLOOKUP($A414,Bat!$A$4:$BA$1621,47,FALSE),VLOOKUP($A414,Pit!$A$4:$BF$1557,56,FALSE))</f>
        <v>0</v>
      </c>
      <c r="V414" s="50">
        <f>IF($C414="B",VLOOKUP($A414,Bat!$A$4:$BA$1621,48,FALSE),VLOOKUP($A414,Pit!$A$4:$BF$1557,57,FALSE))</f>
        <v>0</v>
      </c>
      <c r="W414" s="50">
        <f>Table5[[#This Row],[posRnk]]+Table5[[#This Row],[zRnk]]+IF($W$3&lt;&gt;Table5[[#This Row],[Type]],50,0)</f>
        <v>803</v>
      </c>
      <c r="X414" s="51">
        <f>RANK(Table5[[#This Row],[zScore]],Table5[[#All],[zScore]])</f>
        <v>524</v>
      </c>
      <c r="Y414" s="50">
        <f>IFERROR(INDEX(DraftResults[[#All],[OVR]],MATCH(Table5[[#This Row],[PID]],DraftResults[[#All],[Player ID]],0)),"")</f>
        <v>410</v>
      </c>
      <c r="Z4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4" s="50">
        <f>IFERROR(INDEX(DraftResults[[#All],[Pick in Round]],MATCH(Table5[[#This Row],[PID]],DraftResults[[#All],[Player ID]],0)),"")</f>
        <v>12</v>
      </c>
      <c r="AB414" s="50" t="str">
        <f>IFERROR(INDEX(DraftResults[[#All],[Team Name]],MATCH(Table5[[#This Row],[PID]],DraftResults[[#All],[Player ID]],0)),"")</f>
        <v>Palm Springs Codgers</v>
      </c>
      <c r="AC414" s="50">
        <f>IF(Table5[[#This Row],[Ovr]]="","",IF(Table5[[#This Row],[cmbList]]="","",Table5[[#This Row],[cmbList]]-Table5[[#This Row],[Ovr]]))</f>
        <v>393</v>
      </c>
      <c r="AD414" s="54" t="str">
        <f>IF(ISERROR(VLOOKUP($AB414&amp;"-"&amp;$E414&amp;" "&amp;F414,Bonuses!$B$1:$G$1006,4,FALSE)),"",INT(VLOOKUP($AB414&amp;"-"&amp;$E414&amp;" "&amp;$F414,Bonuses!$B$1:$G$1006,4,FALSE)))</f>
        <v/>
      </c>
      <c r="AE4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14.12 (410) - 3B Tsutomu Ohayashi</v>
      </c>
    </row>
    <row r="415" spans="1:31" s="50" customFormat="1" x14ac:dyDescent="0.25">
      <c r="A415" s="50">
        <v>20374</v>
      </c>
      <c r="B415" s="55">
        <f>COUNTIF(Table5[PID],A415)</f>
        <v>1</v>
      </c>
      <c r="C415" s="55" t="str">
        <f>IF(COUNTIF(Table3[[#All],[PID]],A415)&gt;0,"P","B")</f>
        <v>B</v>
      </c>
      <c r="D415" s="59" t="str">
        <f>IF($C415="B",INDEX(Batters[[#All],[POS]],MATCH(Table5[[#This Row],[PID]],Batters[[#All],[PID]],0)),INDEX(Table3[[#All],[POS]],MATCH(Table5[[#This Row],[PID]],Table3[[#All],[PID]],0)))</f>
        <v>LF</v>
      </c>
      <c r="E415" s="52" t="str">
        <f>IF($C415="B",INDEX(Batters[[#All],[First]],MATCH(Table5[[#This Row],[PID]],Batters[[#All],[PID]],0)),INDEX(Table3[[#All],[First]],MATCH(Table5[[#This Row],[PID]],Table3[[#All],[PID]],0)))</f>
        <v>Joe</v>
      </c>
      <c r="F415" s="50" t="str">
        <f>IF($C415="B",INDEX(Batters[[#All],[Last]],MATCH(A415,Batters[[#All],[PID]],0)),INDEX(Table3[[#All],[Last]],MATCH(A415,Table3[[#All],[PID]],0)))</f>
        <v>Crawford</v>
      </c>
      <c r="G415" s="56">
        <f>IF($C415="B",INDEX(Batters[[#All],[Age]],MATCH(Table5[[#This Row],[PID]],Batters[[#All],[PID]],0)),INDEX(Table3[[#All],[Age]],MATCH(Table5[[#This Row],[PID]],Table3[[#All],[PID]],0)))</f>
        <v>18</v>
      </c>
      <c r="H415" s="52" t="str">
        <f>IF($C415="B",INDEX(Batters[[#All],[B]],MATCH(Table5[[#This Row],[PID]],Batters[[#All],[PID]],0)),INDEX(Table3[[#All],[B]],MATCH(Table5[[#This Row],[PID]],Table3[[#All],[PID]],0)))</f>
        <v>L</v>
      </c>
      <c r="I415" s="52" t="str">
        <f>IF($C415="B",INDEX(Batters[[#All],[T]],MATCH(Table5[[#This Row],[PID]],Batters[[#All],[PID]],0)),INDEX(Table3[[#All],[T]],MATCH(Table5[[#This Row],[PID]],Table3[[#All],[PID]],0)))</f>
        <v>L</v>
      </c>
      <c r="J415" s="52" t="str">
        <f>IF($C415="B",INDEX(Batters[[#All],[WE]],MATCH(Table5[[#This Row],[PID]],Batters[[#All],[PID]],0)),INDEX(Table3[[#All],[WE]],MATCH(Table5[[#This Row],[PID]],Table3[[#All],[PID]],0)))</f>
        <v>Normal</v>
      </c>
      <c r="K415" s="52" t="str">
        <f>IF($C415="B",INDEX(Batters[[#All],[INT]],MATCH(Table5[[#This Row],[PID]],Batters[[#All],[PID]],0)),INDEX(Table3[[#All],[INT]],MATCH(Table5[[#This Row],[PID]],Table3[[#All],[PID]],0)))</f>
        <v>High</v>
      </c>
      <c r="L415" s="60">
        <f>IF($C415="B",INDEX(Batters[[#All],[CON P]],MATCH(Table5[[#This Row],[PID]],Batters[[#All],[PID]],0)),INDEX(Table3[[#All],[STU P]],MATCH(Table5[[#This Row],[PID]],Table3[[#All],[PID]],0)))</f>
        <v>3</v>
      </c>
      <c r="M415" s="56">
        <f>IF($C415="B",INDEX(Batters[[#All],[GAP P]],MATCH(Table5[[#This Row],[PID]],Batters[[#All],[PID]],0)),INDEX(Table3[[#All],[MOV P]],MATCH(Table5[[#This Row],[PID]],Table3[[#All],[PID]],0)))</f>
        <v>4</v>
      </c>
      <c r="N415" s="56">
        <f>IF($C415="B",INDEX(Batters[[#All],[POW P]],MATCH(Table5[[#This Row],[PID]],Batters[[#All],[PID]],0)),INDEX(Table3[[#All],[CON P]],MATCH(Table5[[#This Row],[PID]],Table3[[#All],[PID]],0)))</f>
        <v>4</v>
      </c>
      <c r="O415" s="56">
        <f>IF($C415="B",INDEX(Batters[[#All],[EYE P]],MATCH(Table5[[#This Row],[PID]],Batters[[#All],[PID]],0)),INDEX(Table3[[#All],[VELO]],MATCH(Table5[[#This Row],[PID]],Table3[[#All],[PID]],0)))</f>
        <v>6</v>
      </c>
      <c r="P415" s="56">
        <f>IF($C415="B",INDEX(Batters[[#All],[K P]],MATCH(Table5[[#This Row],[PID]],Batters[[#All],[PID]],0)),INDEX(Table3[[#All],[STM]],MATCH(Table5[[#This Row],[PID]],Table3[[#All],[PID]],0)))</f>
        <v>4</v>
      </c>
      <c r="Q415" s="61">
        <f>IF($C415="B",INDEX(Batters[[#All],[Tot]],MATCH(Table5[[#This Row],[PID]],Batters[[#All],[PID]],0)),INDEX(Table3[[#All],[Tot]],MATCH(Table5[[#This Row],[PID]],Table3[[#All],[PID]],0)))</f>
        <v>45.011976417842789</v>
      </c>
      <c r="R415" s="52">
        <f>IF($C415="B",INDEX(Batters[[#All],[zScore]],MATCH(Table5[[#This Row],[PID]],Batters[[#All],[PID]],0)),INDEX(Table3[[#All],[zScore]],MATCH(Table5[[#This Row],[PID]],Table3[[#All],[PID]],0)))</f>
        <v>0.19511008404551036</v>
      </c>
      <c r="S415" s="58" t="str">
        <f>IF($C415="B",INDEX(Batters[[#All],[DEM]],MATCH(Table5[[#This Row],[PID]],Batters[[#All],[PID]],0)),INDEX(Table3[[#All],[DEM]],MATCH(Table5[[#This Row],[PID]],Table3[[#All],[PID]],0)))</f>
        <v>$65k</v>
      </c>
      <c r="T415" s="62">
        <f>IF($C415="B",INDEX(Batters[[#All],[Rnk]],MATCH(Table5[[#This Row],[PID]],Batters[[#All],[PID]],0)),INDEX(Table3[[#All],[Rnk]],MATCH(Table5[[#This Row],[PID]],Table3[[#All],[PID]],0)))</f>
        <v>205</v>
      </c>
      <c r="U415" s="68">
        <f>IF($C415="B",VLOOKUP($A415,Bat!$A$4:$BA$1621,47,FALSE),VLOOKUP($A415,Pit!$A$4:$BF$1557,56,FALSE))</f>
        <v>0</v>
      </c>
      <c r="V415" s="50">
        <f>IF($C415="B",VLOOKUP($A415,Bat!$A$4:$BA$1621,48,FALSE),VLOOKUP($A415,Pit!$A$4:$BF$1557,57,FALSE))</f>
        <v>0</v>
      </c>
      <c r="W415" s="50">
        <f>Table5[[#This Row],[posRnk]]+Table5[[#This Row],[zRnk]]+IF($W$3&lt;&gt;Table5[[#This Row],[Type]],50,0)</f>
        <v>725</v>
      </c>
      <c r="X415" s="51">
        <f>RANK(Table5[[#This Row],[zScore]],Table5[[#All],[zScore]])</f>
        <v>470</v>
      </c>
      <c r="Y415" s="50">
        <f>IFERROR(INDEX(DraftResults[[#All],[OVR]],MATCH(Table5[[#This Row],[PID]],DraftResults[[#All],[Player ID]],0)),"")</f>
        <v>411</v>
      </c>
      <c r="Z4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5" s="50">
        <f>IFERROR(INDEX(DraftResults[[#All],[Pick in Round]],MATCH(Table5[[#This Row],[PID]],DraftResults[[#All],[Player ID]],0)),"")</f>
        <v>13</v>
      </c>
      <c r="AB415" s="50" t="str">
        <f>IFERROR(INDEX(DraftResults[[#All],[Team Name]],MATCH(Table5[[#This Row],[PID]],DraftResults[[#All],[Player ID]],0)),"")</f>
        <v>Reno Zephyrs</v>
      </c>
      <c r="AC415" s="50">
        <f>IF(Table5[[#This Row],[Ovr]]="","",IF(Table5[[#This Row],[cmbList]]="","",Table5[[#This Row],[cmbList]]-Table5[[#This Row],[Ovr]]))</f>
        <v>314</v>
      </c>
      <c r="AD415" s="54" t="str">
        <f>IF(ISERROR(VLOOKUP($AB415&amp;"-"&amp;$E415&amp;" "&amp;F415,Bonuses!$B$1:$G$1006,4,FALSE)),"",INT(VLOOKUP($AB415&amp;"-"&amp;$E415&amp;" "&amp;$F415,Bonuses!$B$1:$G$1006,4,FALSE)))</f>
        <v/>
      </c>
      <c r="AE4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14.13 (411) - LF Joe Crawford</v>
      </c>
    </row>
    <row r="416" spans="1:31" s="50" customFormat="1" x14ac:dyDescent="0.25">
      <c r="A416" s="50">
        <v>20197</v>
      </c>
      <c r="B416" s="50">
        <f>COUNTIF(Table5[PID],A416)</f>
        <v>1</v>
      </c>
      <c r="C416" s="50" t="str">
        <f>IF(COUNTIF(Table3[[#All],[PID]],A416)&gt;0,"P","B")</f>
        <v>B</v>
      </c>
      <c r="D416" s="59" t="str">
        <f>IF($C416="B",INDEX(Batters[[#All],[POS]],MATCH(Table5[[#This Row],[PID]],Batters[[#All],[PID]],0)),INDEX(Table3[[#All],[POS]],MATCH(Table5[[#This Row],[PID]],Table3[[#All],[PID]],0)))</f>
        <v>1B</v>
      </c>
      <c r="E416" s="52" t="str">
        <f>IF($C416="B",INDEX(Batters[[#All],[First]],MATCH(Table5[[#This Row],[PID]],Batters[[#All],[PID]],0)),INDEX(Table3[[#All],[First]],MATCH(Table5[[#This Row],[PID]],Table3[[#All],[PID]],0)))</f>
        <v>Dan</v>
      </c>
      <c r="F416" s="50" t="str">
        <f>IF($C416="B",INDEX(Batters[[#All],[Last]],MATCH(A416,Batters[[#All],[PID]],0)),INDEX(Table3[[#All],[Last]],MATCH(A416,Table3[[#All],[PID]],0)))</f>
        <v>Campbell</v>
      </c>
      <c r="G416" s="56">
        <f>IF($C416="B",INDEX(Batters[[#All],[Age]],MATCH(Table5[[#This Row],[PID]],Batters[[#All],[PID]],0)),INDEX(Table3[[#All],[Age]],MATCH(Table5[[#This Row],[PID]],Table3[[#All],[PID]],0)))</f>
        <v>21</v>
      </c>
      <c r="H416" s="52" t="str">
        <f>IF($C416="B",INDEX(Batters[[#All],[B]],MATCH(Table5[[#This Row],[PID]],Batters[[#All],[PID]],0)),INDEX(Table3[[#All],[B]],MATCH(Table5[[#This Row],[PID]],Table3[[#All],[PID]],0)))</f>
        <v>L</v>
      </c>
      <c r="I416" s="52" t="str">
        <f>IF($C416="B",INDEX(Batters[[#All],[T]],MATCH(Table5[[#This Row],[PID]],Batters[[#All],[PID]],0)),INDEX(Table3[[#All],[T]],MATCH(Table5[[#This Row],[PID]],Table3[[#All],[PID]],0)))</f>
        <v>L</v>
      </c>
      <c r="J416" s="52" t="str">
        <f>IF($C416="B",INDEX(Batters[[#All],[WE]],MATCH(Table5[[#This Row],[PID]],Batters[[#All],[PID]],0)),INDEX(Table3[[#All],[WE]],MATCH(Table5[[#This Row],[PID]],Table3[[#All],[PID]],0)))</f>
        <v>Low</v>
      </c>
      <c r="K416" s="52" t="str">
        <f>IF($C416="B",INDEX(Batters[[#All],[INT]],MATCH(Table5[[#This Row],[PID]],Batters[[#All],[PID]],0)),INDEX(Table3[[#All],[INT]],MATCH(Table5[[#This Row],[PID]],Table3[[#All],[PID]],0)))</f>
        <v>Normal</v>
      </c>
      <c r="L416" s="60">
        <f>IF($C416="B",INDEX(Batters[[#All],[CON P]],MATCH(Table5[[#This Row],[PID]],Batters[[#All],[PID]],0)),INDEX(Table3[[#All],[STU P]],MATCH(Table5[[#This Row],[PID]],Table3[[#All],[PID]],0)))</f>
        <v>4</v>
      </c>
      <c r="M416" s="56">
        <f>IF($C416="B",INDEX(Batters[[#All],[GAP P]],MATCH(Table5[[#This Row],[PID]],Batters[[#All],[PID]],0)),INDEX(Table3[[#All],[MOV P]],MATCH(Table5[[#This Row],[PID]],Table3[[#All],[PID]],0)))</f>
        <v>5</v>
      </c>
      <c r="N416" s="56">
        <f>IF($C416="B",INDEX(Batters[[#All],[POW P]],MATCH(Table5[[#This Row],[PID]],Batters[[#All],[PID]],0)),INDEX(Table3[[#All],[CON P]],MATCH(Table5[[#This Row],[PID]],Table3[[#All],[PID]],0)))</f>
        <v>5</v>
      </c>
      <c r="O416" s="56">
        <f>IF($C416="B",INDEX(Batters[[#All],[EYE P]],MATCH(Table5[[#This Row],[PID]],Batters[[#All],[PID]],0)),INDEX(Table3[[#All],[VELO]],MATCH(Table5[[#This Row],[PID]],Table3[[#All],[PID]],0)))</f>
        <v>5</v>
      </c>
      <c r="P416" s="56">
        <f>IF($C416="B",INDEX(Batters[[#All],[K P]],MATCH(Table5[[#This Row],[PID]],Batters[[#All],[PID]],0)),INDEX(Table3[[#All],[STM]],MATCH(Table5[[#This Row],[PID]],Table3[[#All],[PID]],0)))</f>
        <v>4</v>
      </c>
      <c r="Q416" s="61">
        <f>IF($C416="B",INDEX(Batters[[#All],[Tot]],MATCH(Table5[[#This Row],[PID]],Batters[[#All],[PID]],0)),INDEX(Table3[[#All],[Tot]],MATCH(Table5[[#This Row],[PID]],Table3[[#All],[PID]],0)))</f>
        <v>43.374365312780981</v>
      </c>
      <c r="R416" s="52">
        <f>IF($C416="B",INDEX(Batters[[#All],[zScore]],MATCH(Table5[[#This Row],[PID]],Batters[[#All],[PID]],0)),INDEX(Table3[[#All],[zScore]],MATCH(Table5[[#This Row],[PID]],Table3[[#All],[PID]],0)))</f>
        <v>-0.16795936717045798</v>
      </c>
      <c r="S416" s="58" t="str">
        <f>IF($C416="B",INDEX(Batters[[#All],[DEM]],MATCH(Table5[[#This Row],[PID]],Batters[[#All],[PID]],0)),INDEX(Table3[[#All],[DEM]],MATCH(Table5[[#This Row],[PID]],Table3[[#All],[PID]],0)))</f>
        <v>$42k</v>
      </c>
      <c r="T416" s="62">
        <f>IF($C416="B",INDEX(Batters[[#All],[Rnk]],MATCH(Table5[[#This Row],[PID]],Batters[[#All],[PID]],0)),INDEX(Table3[[#All],[Rnk]],MATCH(Table5[[#This Row],[PID]],Table3[[#All],[PID]],0)))</f>
        <v>271</v>
      </c>
      <c r="U416" s="68">
        <f>IF($C416="B",VLOOKUP($A416,Bat!$A$4:$BA$1621,47,FALSE),VLOOKUP($A416,Pit!$A$4:$BF$1557,56,FALSE))</f>
        <v>0</v>
      </c>
      <c r="V416" s="50">
        <f>IF($C416="B",VLOOKUP($A416,Bat!$A$4:$BA$1621,48,FALSE),VLOOKUP($A416,Pit!$A$4:$BF$1557,57,FALSE))</f>
        <v>0</v>
      </c>
      <c r="W416" s="50">
        <f>Table5[[#This Row],[posRnk]]+Table5[[#This Row],[zRnk]]+IF($W$3&lt;&gt;Table5[[#This Row],[Type]],50,0)</f>
        <v>963</v>
      </c>
      <c r="X416" s="51">
        <f>RANK(Table5[[#This Row],[zScore]],Table5[[#All],[zScore]])</f>
        <v>642</v>
      </c>
      <c r="Y416" s="50">
        <f>IFERROR(INDEX(DraftResults[[#All],[OVR]],MATCH(Table5[[#This Row],[PID]],DraftResults[[#All],[Player ID]],0)),"")</f>
        <v>412</v>
      </c>
      <c r="Z4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6" s="50">
        <f>IFERROR(INDEX(DraftResults[[#All],[Pick in Round]],MATCH(Table5[[#This Row],[PID]],DraftResults[[#All],[Player ID]],0)),"")</f>
        <v>14</v>
      </c>
      <c r="AB416" s="50" t="str">
        <f>IFERROR(INDEX(DraftResults[[#All],[Team Name]],MATCH(Table5[[#This Row],[PID]],DraftResults[[#All],[Player ID]],0)),"")</f>
        <v>Arlington Bureaucrats</v>
      </c>
      <c r="AC416" s="50">
        <f>IF(Table5[[#This Row],[Ovr]]="","",IF(Table5[[#This Row],[cmbList]]="","",Table5[[#This Row],[cmbList]]-Table5[[#This Row],[Ovr]]))</f>
        <v>551</v>
      </c>
      <c r="AD416" s="54" t="str">
        <f>IF(ISERROR(VLOOKUP($AB416&amp;"-"&amp;$E416&amp;" "&amp;F416,Bonuses!$B$1:$G$1006,4,FALSE)),"",INT(VLOOKUP($AB416&amp;"-"&amp;$E416&amp;" "&amp;$F416,Bonuses!$B$1:$G$1006,4,FALSE)))</f>
        <v/>
      </c>
      <c r="AE4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14.14 (412) - 1B Dan Campbell</v>
      </c>
    </row>
    <row r="417" spans="1:31" s="50" customFormat="1" x14ac:dyDescent="0.25">
      <c r="A417" s="50">
        <v>20225</v>
      </c>
      <c r="B417" s="50">
        <f>COUNTIF(Table5[PID],A417)</f>
        <v>1</v>
      </c>
      <c r="C417" s="50" t="str">
        <f>IF(COUNTIF(Table3[[#All],[PID]],A417)&gt;0,"P","B")</f>
        <v>B</v>
      </c>
      <c r="D417" s="59" t="str">
        <f>IF($C417="B",INDEX(Batters[[#All],[POS]],MATCH(Table5[[#This Row],[PID]],Batters[[#All],[PID]],0)),INDEX(Table3[[#All],[POS]],MATCH(Table5[[#This Row],[PID]],Table3[[#All],[PID]],0)))</f>
        <v>1B</v>
      </c>
      <c r="E417" s="52" t="str">
        <f>IF($C417="B",INDEX(Batters[[#All],[First]],MATCH(Table5[[#This Row],[PID]],Batters[[#All],[PID]],0)),INDEX(Table3[[#All],[First]],MATCH(Table5[[#This Row],[PID]],Table3[[#All],[PID]],0)))</f>
        <v>Mendel</v>
      </c>
      <c r="F417" s="50" t="str">
        <f>IF($C417="B",INDEX(Batters[[#All],[Last]],MATCH(A417,Batters[[#All],[PID]],0)),INDEX(Table3[[#All],[Last]],MATCH(A417,Table3[[#All],[PID]],0)))</f>
        <v>Baartwijk</v>
      </c>
      <c r="G417" s="56">
        <f>IF($C417="B",INDEX(Batters[[#All],[Age]],MATCH(Table5[[#This Row],[PID]],Batters[[#All],[PID]],0)),INDEX(Table3[[#All],[Age]],MATCH(Table5[[#This Row],[PID]],Table3[[#All],[PID]],0)))</f>
        <v>22</v>
      </c>
      <c r="H417" s="52" t="str">
        <f>IF($C417="B",INDEX(Batters[[#All],[B]],MATCH(Table5[[#This Row],[PID]],Batters[[#All],[PID]],0)),INDEX(Table3[[#All],[B]],MATCH(Table5[[#This Row],[PID]],Table3[[#All],[PID]],0)))</f>
        <v>R</v>
      </c>
      <c r="I417" s="52" t="str">
        <f>IF($C417="B",INDEX(Batters[[#All],[T]],MATCH(Table5[[#This Row],[PID]],Batters[[#All],[PID]],0)),INDEX(Table3[[#All],[T]],MATCH(Table5[[#This Row],[PID]],Table3[[#All],[PID]],0)))</f>
        <v>R</v>
      </c>
      <c r="J417" s="52" t="str">
        <f>IF($C417="B",INDEX(Batters[[#All],[WE]],MATCH(Table5[[#This Row],[PID]],Batters[[#All],[PID]],0)),INDEX(Table3[[#All],[WE]],MATCH(Table5[[#This Row],[PID]],Table3[[#All],[PID]],0)))</f>
        <v>Normal</v>
      </c>
      <c r="K417" s="52" t="str">
        <f>IF($C417="B",INDEX(Batters[[#All],[INT]],MATCH(Table5[[#This Row],[PID]],Batters[[#All],[PID]],0)),INDEX(Table3[[#All],[INT]],MATCH(Table5[[#This Row],[PID]],Table3[[#All],[PID]],0)))</f>
        <v>Normal</v>
      </c>
      <c r="L417" s="60">
        <f>IF($C417="B",INDEX(Batters[[#All],[CON P]],MATCH(Table5[[#This Row],[PID]],Batters[[#All],[PID]],0)),INDEX(Table3[[#All],[STU P]],MATCH(Table5[[#This Row],[PID]],Table3[[#All],[PID]],0)))</f>
        <v>3</v>
      </c>
      <c r="M417" s="56">
        <f>IF($C417="B",INDEX(Batters[[#All],[GAP P]],MATCH(Table5[[#This Row],[PID]],Batters[[#All],[PID]],0)),INDEX(Table3[[#All],[MOV P]],MATCH(Table5[[#This Row],[PID]],Table3[[#All],[PID]],0)))</f>
        <v>5</v>
      </c>
      <c r="N417" s="56">
        <f>IF($C417="B",INDEX(Batters[[#All],[POW P]],MATCH(Table5[[#This Row],[PID]],Batters[[#All],[PID]],0)),INDEX(Table3[[#All],[CON P]],MATCH(Table5[[#This Row],[PID]],Table3[[#All],[PID]],0)))</f>
        <v>6</v>
      </c>
      <c r="O417" s="56">
        <f>IF($C417="B",INDEX(Batters[[#All],[EYE P]],MATCH(Table5[[#This Row],[PID]],Batters[[#All],[PID]],0)),INDEX(Table3[[#All],[VELO]],MATCH(Table5[[#This Row],[PID]],Table3[[#All],[PID]],0)))</f>
        <v>6</v>
      </c>
      <c r="P417" s="56">
        <f>IF($C417="B",INDEX(Batters[[#All],[K P]],MATCH(Table5[[#This Row],[PID]],Batters[[#All],[PID]],0)),INDEX(Table3[[#All],[STM]],MATCH(Table5[[#This Row],[PID]],Table3[[#All],[PID]],0)))</f>
        <v>1</v>
      </c>
      <c r="Q417" s="61">
        <f>IF($C417="B",INDEX(Batters[[#All],[Tot]],MATCH(Table5[[#This Row],[PID]],Batters[[#All],[PID]],0)),INDEX(Table3[[#All],[Tot]],MATCH(Table5[[#This Row],[PID]],Table3[[#All],[PID]],0)))</f>
        <v>40.408271838193471</v>
      </c>
      <c r="R417" s="52">
        <f>IF($C417="B",INDEX(Batters[[#All],[zScore]],MATCH(Table5[[#This Row],[PID]],Batters[[#All],[PID]],0)),INDEX(Table3[[#All],[zScore]],MATCH(Table5[[#This Row],[PID]],Table3[[#All],[PID]],0)))</f>
        <v>-0.82556233941771007</v>
      </c>
      <c r="S417" s="58" t="str">
        <f>IF($C417="B",INDEX(Batters[[#All],[DEM]],MATCH(Table5[[#This Row],[PID]],Batters[[#All],[PID]],0)),INDEX(Table3[[#All],[DEM]],MATCH(Table5[[#This Row],[PID]],Table3[[#All],[PID]],0)))</f>
        <v>-</v>
      </c>
      <c r="T417" s="62">
        <f>IF($C417="B",INDEX(Batters[[#All],[Rnk]],MATCH(Table5[[#This Row],[PID]],Batters[[#All],[PID]],0)),INDEX(Table3[[#All],[Rnk]],MATCH(Table5[[#This Row],[PID]],Table3[[#All],[PID]],0)))</f>
        <v>406</v>
      </c>
      <c r="U417" s="68">
        <f>IF($C417="B",VLOOKUP($A417,Bat!$A$4:$BA$1621,47,FALSE),VLOOKUP($A417,Pit!$A$4:$BF$1557,56,FALSE))</f>
        <v>0</v>
      </c>
      <c r="V417" s="50">
        <f>IF($C417="B",VLOOKUP($A417,Bat!$A$4:$BA$1621,48,FALSE),VLOOKUP($A417,Pit!$A$4:$BF$1557,57,FALSE))</f>
        <v>0</v>
      </c>
      <c r="W417" s="50">
        <f>Table5[[#This Row],[posRnk]]+Table5[[#This Row],[zRnk]]+IF($W$3&lt;&gt;Table5[[#This Row],[Type]],50,0)</f>
        <v>1513</v>
      </c>
      <c r="X417" s="51">
        <f>RANK(Table5[[#This Row],[zScore]],Table5[[#All],[zScore]])</f>
        <v>1057</v>
      </c>
      <c r="Y417" s="50">
        <f>IFERROR(INDEX(DraftResults[[#All],[OVR]],MATCH(Table5[[#This Row],[PID]],DraftResults[[#All],[Player ID]],0)),"")</f>
        <v>413</v>
      </c>
      <c r="Z4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7" s="50">
        <f>IFERROR(INDEX(DraftResults[[#All],[Pick in Round]],MATCH(Table5[[#This Row],[PID]],DraftResults[[#All],[Player ID]],0)),"")</f>
        <v>15</v>
      </c>
      <c r="AB417" s="50" t="str">
        <f>IFERROR(INDEX(DraftResults[[#All],[Team Name]],MATCH(Table5[[#This Row],[PID]],DraftResults[[#All],[Player ID]],0)),"")</f>
        <v>Kentucky Thoroughbreds</v>
      </c>
      <c r="AC417" s="50">
        <f>IF(Table5[[#This Row],[Ovr]]="","",IF(Table5[[#This Row],[cmbList]]="","",Table5[[#This Row],[cmbList]]-Table5[[#This Row],[Ovr]]))</f>
        <v>1100</v>
      </c>
      <c r="AD417" s="54" t="str">
        <f>IF(ISERROR(VLOOKUP($AB417&amp;"-"&amp;$E417&amp;" "&amp;F417,Bonuses!$B$1:$G$1006,4,FALSE)),"",INT(VLOOKUP($AB417&amp;"-"&amp;$E417&amp;" "&amp;$F417,Bonuses!$B$1:$G$1006,4,FALSE)))</f>
        <v/>
      </c>
      <c r="AE4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14.15 (413) - 1B Mendel Baartwijk</v>
      </c>
    </row>
    <row r="418" spans="1:31" s="50" customFormat="1" x14ac:dyDescent="0.25">
      <c r="A418" s="50">
        <v>17788</v>
      </c>
      <c r="B418" s="50">
        <f>COUNTIF(Table5[PID],A418)</f>
        <v>1</v>
      </c>
      <c r="C418" s="50" t="str">
        <f>IF(COUNTIF(Table3[[#All],[PID]],A418)&gt;0,"P","B")</f>
        <v>B</v>
      </c>
      <c r="D418" s="59" t="str">
        <f>IF($C418="B",INDEX(Batters[[#All],[POS]],MATCH(Table5[[#This Row],[PID]],Batters[[#All],[PID]],0)),INDEX(Table3[[#All],[POS]],MATCH(Table5[[#This Row],[PID]],Table3[[#All],[PID]],0)))</f>
        <v>LF</v>
      </c>
      <c r="E418" s="52" t="str">
        <f>IF($C418="B",INDEX(Batters[[#All],[First]],MATCH(Table5[[#This Row],[PID]],Batters[[#All],[PID]],0)),INDEX(Table3[[#All],[First]],MATCH(Table5[[#This Row],[PID]],Table3[[#All],[PID]],0)))</f>
        <v>Bailey</v>
      </c>
      <c r="F418" s="50" t="str">
        <f>IF($C418="B",INDEX(Batters[[#All],[Last]],MATCH(A418,Batters[[#All],[PID]],0)),INDEX(Table3[[#All],[Last]],MATCH(A418,Table3[[#All],[PID]],0)))</f>
        <v>Aldridge</v>
      </c>
      <c r="G418" s="56">
        <f>IF($C418="B",INDEX(Batters[[#All],[Age]],MATCH(Table5[[#This Row],[PID]],Batters[[#All],[PID]],0)),INDEX(Table3[[#All],[Age]],MATCH(Table5[[#This Row],[PID]],Table3[[#All],[PID]],0)))</f>
        <v>21</v>
      </c>
      <c r="H418" s="52" t="str">
        <f>IF($C418="B",INDEX(Batters[[#All],[B]],MATCH(Table5[[#This Row],[PID]],Batters[[#All],[PID]],0)),INDEX(Table3[[#All],[B]],MATCH(Table5[[#This Row],[PID]],Table3[[#All],[PID]],0)))</f>
        <v>R</v>
      </c>
      <c r="I418" s="52" t="str">
        <f>IF($C418="B",INDEX(Batters[[#All],[T]],MATCH(Table5[[#This Row],[PID]],Batters[[#All],[PID]],0)),INDEX(Table3[[#All],[T]],MATCH(Table5[[#This Row],[PID]],Table3[[#All],[PID]],0)))</f>
        <v>R</v>
      </c>
      <c r="J418" s="52" t="str">
        <f>IF($C418="B",INDEX(Batters[[#All],[WE]],MATCH(Table5[[#This Row],[PID]],Batters[[#All],[PID]],0)),INDEX(Table3[[#All],[WE]],MATCH(Table5[[#This Row],[PID]],Table3[[#All],[PID]],0)))</f>
        <v>Low</v>
      </c>
      <c r="K418" s="52" t="str">
        <f>IF($C418="B",INDEX(Batters[[#All],[INT]],MATCH(Table5[[#This Row],[PID]],Batters[[#All],[PID]],0)),INDEX(Table3[[#All],[INT]],MATCH(Table5[[#This Row],[PID]],Table3[[#All],[PID]],0)))</f>
        <v>Normal</v>
      </c>
      <c r="L418" s="60">
        <f>IF($C418="B",INDEX(Batters[[#All],[CON P]],MATCH(Table5[[#This Row],[PID]],Batters[[#All],[PID]],0)),INDEX(Table3[[#All],[STU P]],MATCH(Table5[[#This Row],[PID]],Table3[[#All],[PID]],0)))</f>
        <v>3</v>
      </c>
      <c r="M418" s="56">
        <f>IF($C418="B",INDEX(Batters[[#All],[GAP P]],MATCH(Table5[[#This Row],[PID]],Batters[[#All],[PID]],0)),INDEX(Table3[[#All],[MOV P]],MATCH(Table5[[#This Row],[PID]],Table3[[#All],[PID]],0)))</f>
        <v>6</v>
      </c>
      <c r="N418" s="56">
        <f>IF($C418="B",INDEX(Batters[[#All],[POW P]],MATCH(Table5[[#This Row],[PID]],Batters[[#All],[PID]],0)),INDEX(Table3[[#All],[CON P]],MATCH(Table5[[#This Row],[PID]],Table3[[#All],[PID]],0)))</f>
        <v>5</v>
      </c>
      <c r="O418" s="56">
        <f>IF($C418="B",INDEX(Batters[[#All],[EYE P]],MATCH(Table5[[#This Row],[PID]],Batters[[#All],[PID]],0)),INDEX(Table3[[#All],[VELO]],MATCH(Table5[[#This Row],[PID]],Table3[[#All],[PID]],0)))</f>
        <v>5</v>
      </c>
      <c r="P418" s="56">
        <f>IF($C418="B",INDEX(Batters[[#All],[K P]],MATCH(Table5[[#This Row],[PID]],Batters[[#All],[PID]],0)),INDEX(Table3[[#All],[STM]],MATCH(Table5[[#This Row],[PID]],Table3[[#All],[PID]],0)))</f>
        <v>3</v>
      </c>
      <c r="Q418" s="61">
        <f>IF($C418="B",INDEX(Batters[[#All],[Tot]],MATCH(Table5[[#This Row],[PID]],Batters[[#All],[PID]],0)),INDEX(Table3[[#All],[Tot]],MATCH(Table5[[#This Row],[PID]],Table3[[#All],[PID]],0)))</f>
        <v>39.960937383601561</v>
      </c>
      <c r="R418" s="52">
        <f>IF($C418="B",INDEX(Batters[[#All],[zScore]],MATCH(Table5[[#This Row],[PID]],Batters[[#All],[PID]],0)),INDEX(Table3[[#All],[zScore]],MATCH(Table5[[#This Row],[PID]],Table3[[#All],[PID]],0)))</f>
        <v>-0.92473941170102814</v>
      </c>
      <c r="S418" s="58" t="str">
        <f>IF($C418="B",INDEX(Batters[[#All],[DEM]],MATCH(Table5[[#This Row],[PID]],Batters[[#All],[PID]],0)),INDEX(Table3[[#All],[DEM]],MATCH(Table5[[#This Row],[PID]],Table3[[#All],[PID]],0)))</f>
        <v>-</v>
      </c>
      <c r="T418" s="62">
        <f>IF($C418="B",INDEX(Batters[[#All],[Rnk]],MATCH(Table5[[#This Row],[PID]],Batters[[#All],[PID]],0)),INDEX(Table3[[#All],[Rnk]],MATCH(Table5[[#This Row],[PID]],Table3[[#All],[PID]],0)))</f>
        <v>428</v>
      </c>
      <c r="U418" s="68">
        <f>IF($C418="B",VLOOKUP($A418,Bat!$A$4:$BA$1621,47,FALSE),VLOOKUP($A418,Pit!$A$4:$BF$1557,56,FALSE))</f>
        <v>0</v>
      </c>
      <c r="V418" s="50">
        <f>IF($C418="B",VLOOKUP($A418,Bat!$A$4:$BA$1621,48,FALSE),VLOOKUP($A418,Pit!$A$4:$BF$1557,57,FALSE))</f>
        <v>0</v>
      </c>
      <c r="W418" s="50">
        <f>Table5[[#This Row],[posRnk]]+Table5[[#This Row],[zRnk]]+IF($W$3&lt;&gt;Table5[[#This Row],[Type]],50,0)</f>
        <v>1590</v>
      </c>
      <c r="X418" s="51">
        <f>RANK(Table5[[#This Row],[zScore]],Table5[[#All],[zScore]])</f>
        <v>1112</v>
      </c>
      <c r="Y418" s="50">
        <f>IFERROR(INDEX(DraftResults[[#All],[OVR]],MATCH(Table5[[#This Row],[PID]],DraftResults[[#All],[Player ID]],0)),"")</f>
        <v>414</v>
      </c>
      <c r="Z4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8" s="50">
        <f>IFERROR(INDEX(DraftResults[[#All],[Pick in Round]],MATCH(Table5[[#This Row],[PID]],DraftResults[[#All],[Player ID]],0)),"")</f>
        <v>16</v>
      </c>
      <c r="AB418" s="50" t="str">
        <f>IFERROR(INDEX(DraftResults[[#All],[Team Name]],MATCH(Table5[[#This Row],[PID]],DraftResults[[#All],[Player ID]],0)),"")</f>
        <v>San Antonio Calzones of Laredo</v>
      </c>
      <c r="AC418" s="50">
        <f>IF(Table5[[#This Row],[Ovr]]="","",IF(Table5[[#This Row],[cmbList]]="","",Table5[[#This Row],[cmbList]]-Table5[[#This Row],[Ovr]]))</f>
        <v>1176</v>
      </c>
      <c r="AD418" s="54" t="str">
        <f>IF(ISERROR(VLOOKUP($AB418&amp;"-"&amp;$E418&amp;" "&amp;F418,Bonuses!$B$1:$G$1006,4,FALSE)),"",INT(VLOOKUP($AB418&amp;"-"&amp;$E418&amp;" "&amp;$F418,Bonuses!$B$1:$G$1006,4,FALSE)))</f>
        <v/>
      </c>
      <c r="AE4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14.16 (414) - LF Bailey Aldridge</v>
      </c>
    </row>
    <row r="419" spans="1:31" s="50" customFormat="1" x14ac:dyDescent="0.25">
      <c r="A419" s="50">
        <v>18304</v>
      </c>
      <c r="B419" s="50">
        <f>COUNTIF(Table5[PID],A419)</f>
        <v>1</v>
      </c>
      <c r="C419" s="50" t="str">
        <f>IF(COUNTIF(Table3[[#All],[PID]],A419)&gt;0,"P","B")</f>
        <v>B</v>
      </c>
      <c r="D419" s="59" t="str">
        <f>IF($C419="B",INDEX(Batters[[#All],[POS]],MATCH(Table5[[#This Row],[PID]],Batters[[#All],[PID]],0)),INDEX(Table3[[#All],[POS]],MATCH(Table5[[#This Row],[PID]],Table3[[#All],[PID]],0)))</f>
        <v>SS</v>
      </c>
      <c r="E419" s="52" t="str">
        <f>IF($C419="B",INDEX(Batters[[#All],[First]],MATCH(Table5[[#This Row],[PID]],Batters[[#All],[PID]],0)),INDEX(Table3[[#All],[First]],MATCH(Table5[[#This Row],[PID]],Table3[[#All],[PID]],0)))</f>
        <v>Sotan</v>
      </c>
      <c r="F419" s="50" t="str">
        <f>IF($C419="B",INDEX(Batters[[#All],[Last]],MATCH(A419,Batters[[#All],[PID]],0)),INDEX(Table3[[#All],[Last]],MATCH(A419,Table3[[#All],[PID]],0)))</f>
        <v>Sakata</v>
      </c>
      <c r="G419" s="56">
        <f>IF($C419="B",INDEX(Batters[[#All],[Age]],MATCH(Table5[[#This Row],[PID]],Batters[[#All],[PID]],0)),INDEX(Table3[[#All],[Age]],MATCH(Table5[[#This Row],[PID]],Table3[[#All],[PID]],0)))</f>
        <v>21</v>
      </c>
      <c r="H419" s="52" t="str">
        <f>IF($C419="B",INDEX(Batters[[#All],[B]],MATCH(Table5[[#This Row],[PID]],Batters[[#All],[PID]],0)),INDEX(Table3[[#All],[B]],MATCH(Table5[[#This Row],[PID]],Table3[[#All],[PID]],0)))</f>
        <v>R</v>
      </c>
      <c r="I419" s="52" t="str">
        <f>IF($C419="B",INDEX(Batters[[#All],[T]],MATCH(Table5[[#This Row],[PID]],Batters[[#All],[PID]],0)),INDEX(Table3[[#All],[T]],MATCH(Table5[[#This Row],[PID]],Table3[[#All],[PID]],0)))</f>
        <v>R</v>
      </c>
      <c r="J419" s="52" t="str">
        <f>IF($C419="B",INDEX(Batters[[#All],[WE]],MATCH(Table5[[#This Row],[PID]],Batters[[#All],[PID]],0)),INDEX(Table3[[#All],[WE]],MATCH(Table5[[#This Row],[PID]],Table3[[#All],[PID]],0)))</f>
        <v>Normal</v>
      </c>
      <c r="K419" s="52" t="str">
        <f>IF($C419="B",INDEX(Batters[[#All],[INT]],MATCH(Table5[[#This Row],[PID]],Batters[[#All],[PID]],0)),INDEX(Table3[[#All],[INT]],MATCH(Table5[[#This Row],[PID]],Table3[[#All],[PID]],0)))</f>
        <v>Normal</v>
      </c>
      <c r="L419" s="60">
        <f>IF($C419="B",INDEX(Batters[[#All],[CON P]],MATCH(Table5[[#This Row],[PID]],Batters[[#All],[PID]],0)),INDEX(Table3[[#All],[STU P]],MATCH(Table5[[#This Row],[PID]],Table3[[#All],[PID]],0)))</f>
        <v>5</v>
      </c>
      <c r="M419" s="56">
        <f>IF($C419="B",INDEX(Batters[[#All],[GAP P]],MATCH(Table5[[#This Row],[PID]],Batters[[#All],[PID]],0)),INDEX(Table3[[#All],[MOV P]],MATCH(Table5[[#This Row],[PID]],Table3[[#All],[PID]],0)))</f>
        <v>5</v>
      </c>
      <c r="N419" s="56">
        <f>IF($C419="B",INDEX(Batters[[#All],[POW P]],MATCH(Table5[[#This Row],[PID]],Batters[[#All],[PID]],0)),INDEX(Table3[[#All],[CON P]],MATCH(Table5[[#This Row],[PID]],Table3[[#All],[PID]],0)))</f>
        <v>2</v>
      </c>
      <c r="O419" s="56">
        <f>IF($C419="B",INDEX(Batters[[#All],[EYE P]],MATCH(Table5[[#This Row],[PID]],Batters[[#All],[PID]],0)),INDEX(Table3[[#All],[VELO]],MATCH(Table5[[#This Row],[PID]],Table3[[#All],[PID]],0)))</f>
        <v>5</v>
      </c>
      <c r="P419" s="56">
        <f>IF($C419="B",INDEX(Batters[[#All],[K P]],MATCH(Table5[[#This Row],[PID]],Batters[[#All],[PID]],0)),INDEX(Table3[[#All],[STM]],MATCH(Table5[[#This Row],[PID]],Table3[[#All],[PID]],0)))</f>
        <v>4</v>
      </c>
      <c r="Q419" s="61">
        <f>IF($C419="B",INDEX(Batters[[#All],[Tot]],MATCH(Table5[[#This Row],[PID]],Batters[[#All],[PID]],0)),INDEX(Table3[[#All],[Tot]],MATCH(Table5[[#This Row],[PID]],Table3[[#All],[PID]],0)))</f>
        <v>45.233129879853074</v>
      </c>
      <c r="R419" s="52">
        <f>IF($C419="B",INDEX(Batters[[#All],[zScore]],MATCH(Table5[[#This Row],[PID]],Batters[[#All],[PID]],0)),INDEX(Table3[[#All],[zScore]],MATCH(Table5[[#This Row],[PID]],Table3[[#All],[PID]],0)))</f>
        <v>0.24414130143186</v>
      </c>
      <c r="S419" s="58" t="str">
        <f>IF($C419="B",INDEX(Batters[[#All],[DEM]],MATCH(Table5[[#This Row],[PID]],Batters[[#All],[PID]],0)),INDEX(Table3[[#All],[DEM]],MATCH(Table5[[#This Row],[PID]],Table3[[#All],[PID]],0)))</f>
        <v>-</v>
      </c>
      <c r="T419" s="62">
        <f>IF($C419="B",INDEX(Batters[[#All],[Rnk]],MATCH(Table5[[#This Row],[PID]],Batters[[#All],[PID]],0)),INDEX(Table3[[#All],[Rnk]],MATCH(Table5[[#This Row],[PID]],Table3[[#All],[PID]],0)))</f>
        <v>190</v>
      </c>
      <c r="U419" s="68">
        <f>IF($C419="B",VLOOKUP($A419,Bat!$A$4:$BA$1621,47,FALSE),VLOOKUP($A419,Pit!$A$4:$BF$1557,56,FALSE))</f>
        <v>0</v>
      </c>
      <c r="V419" s="50">
        <f>IF($C419="B",VLOOKUP($A419,Bat!$A$4:$BA$1621,48,FALSE),VLOOKUP($A419,Pit!$A$4:$BF$1557,57,FALSE))</f>
        <v>0</v>
      </c>
      <c r="W419" s="50">
        <f>Table5[[#This Row],[posRnk]]+Table5[[#This Row],[zRnk]]+IF($W$3&lt;&gt;Table5[[#This Row],[Type]],50,0)</f>
        <v>682</v>
      </c>
      <c r="X419" s="51">
        <f>RANK(Table5[[#This Row],[zScore]],Table5[[#All],[zScore]])</f>
        <v>442</v>
      </c>
      <c r="Y419" s="50">
        <f>IFERROR(INDEX(DraftResults[[#All],[OVR]],MATCH(Table5[[#This Row],[PID]],DraftResults[[#All],[Player ID]],0)),"")</f>
        <v>415</v>
      </c>
      <c r="Z4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19" s="50">
        <f>IFERROR(INDEX(DraftResults[[#All],[Pick in Round]],MATCH(Table5[[#This Row],[PID]],DraftResults[[#All],[Player ID]],0)),"")</f>
        <v>17</v>
      </c>
      <c r="AB419" s="50" t="str">
        <f>IFERROR(INDEX(DraftResults[[#All],[Team Name]],MATCH(Table5[[#This Row],[PID]],DraftResults[[#All],[Player ID]],0)),"")</f>
        <v>Madison Malts</v>
      </c>
      <c r="AC419" s="50">
        <f>IF(Table5[[#This Row],[Ovr]]="","",IF(Table5[[#This Row],[cmbList]]="","",Table5[[#This Row],[cmbList]]-Table5[[#This Row],[Ovr]]))</f>
        <v>267</v>
      </c>
      <c r="AD419" s="54" t="str">
        <f>IF(ISERROR(VLOOKUP($AB419&amp;"-"&amp;$E419&amp;" "&amp;F419,Bonuses!$B$1:$G$1006,4,FALSE)),"",INT(VLOOKUP($AB419&amp;"-"&amp;$E419&amp;" "&amp;$F419,Bonuses!$B$1:$G$1006,4,FALSE)))</f>
        <v/>
      </c>
      <c r="AE4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14.17 (415) - SS Sotan Sakata</v>
      </c>
    </row>
    <row r="420" spans="1:31" s="50" customFormat="1" x14ac:dyDescent="0.25">
      <c r="A420" s="50">
        <v>18124</v>
      </c>
      <c r="B420" s="50">
        <f>COUNTIF(Table5[PID],A420)</f>
        <v>1</v>
      </c>
      <c r="C420" s="50" t="str">
        <f>IF(COUNTIF(Table3[[#All],[PID]],A420)&gt;0,"P","B")</f>
        <v>B</v>
      </c>
      <c r="D420" s="59" t="str">
        <f>IF($C420="B",INDEX(Batters[[#All],[POS]],MATCH(Table5[[#This Row],[PID]],Batters[[#All],[PID]],0)),INDEX(Table3[[#All],[POS]],MATCH(Table5[[#This Row],[PID]],Table3[[#All],[PID]],0)))</f>
        <v>C</v>
      </c>
      <c r="E420" s="52" t="str">
        <f>IF($C420="B",INDEX(Batters[[#All],[First]],MATCH(Table5[[#This Row],[PID]],Batters[[#All],[PID]],0)),INDEX(Table3[[#All],[First]],MATCH(Table5[[#This Row],[PID]],Table3[[#All],[PID]],0)))</f>
        <v>Curtis</v>
      </c>
      <c r="F420" s="50" t="str">
        <f>IF($C420="B",INDEX(Batters[[#All],[Last]],MATCH(A420,Batters[[#All],[PID]],0)),INDEX(Table3[[#All],[Last]],MATCH(A420,Table3[[#All],[PID]],0)))</f>
        <v>Patterson</v>
      </c>
      <c r="G420" s="56">
        <f>IF($C420="B",INDEX(Batters[[#All],[Age]],MATCH(Table5[[#This Row],[PID]],Batters[[#All],[PID]],0)),INDEX(Table3[[#All],[Age]],MATCH(Table5[[#This Row],[PID]],Table3[[#All],[PID]],0)))</f>
        <v>21</v>
      </c>
      <c r="H420" s="52" t="str">
        <f>IF($C420="B",INDEX(Batters[[#All],[B]],MATCH(Table5[[#This Row],[PID]],Batters[[#All],[PID]],0)),INDEX(Table3[[#All],[B]],MATCH(Table5[[#This Row],[PID]],Table3[[#All],[PID]],0)))</f>
        <v>S</v>
      </c>
      <c r="I420" s="52" t="str">
        <f>IF($C420="B",INDEX(Batters[[#All],[T]],MATCH(Table5[[#This Row],[PID]],Batters[[#All],[PID]],0)),INDEX(Table3[[#All],[T]],MATCH(Table5[[#This Row],[PID]],Table3[[#All],[PID]],0)))</f>
        <v>R</v>
      </c>
      <c r="J420" s="52" t="str">
        <f>IF($C420="B",INDEX(Batters[[#All],[WE]],MATCH(Table5[[#This Row],[PID]],Batters[[#All],[PID]],0)),INDEX(Table3[[#All],[WE]],MATCH(Table5[[#This Row],[PID]],Table3[[#All],[PID]],0)))</f>
        <v>Low</v>
      </c>
      <c r="K420" s="52" t="str">
        <f>IF($C420="B",INDEX(Batters[[#All],[INT]],MATCH(Table5[[#This Row],[PID]],Batters[[#All],[PID]],0)),INDEX(Table3[[#All],[INT]],MATCH(Table5[[#This Row],[PID]],Table3[[#All],[PID]],0)))</f>
        <v>Low</v>
      </c>
      <c r="L420" s="60">
        <f>IF($C420="B",INDEX(Batters[[#All],[CON P]],MATCH(Table5[[#This Row],[PID]],Batters[[#All],[PID]],0)),INDEX(Table3[[#All],[STU P]],MATCH(Table5[[#This Row],[PID]],Table3[[#All],[PID]],0)))</f>
        <v>3</v>
      </c>
      <c r="M420" s="56">
        <f>IF($C420="B",INDEX(Batters[[#All],[GAP P]],MATCH(Table5[[#This Row],[PID]],Batters[[#All],[PID]],0)),INDEX(Table3[[#All],[MOV P]],MATCH(Table5[[#This Row],[PID]],Table3[[#All],[PID]],0)))</f>
        <v>3</v>
      </c>
      <c r="N420" s="56">
        <f>IF($C420="B",INDEX(Batters[[#All],[POW P]],MATCH(Table5[[#This Row],[PID]],Batters[[#All],[PID]],0)),INDEX(Table3[[#All],[CON P]],MATCH(Table5[[#This Row],[PID]],Table3[[#All],[PID]],0)))</f>
        <v>6</v>
      </c>
      <c r="O420" s="56">
        <f>IF($C420="B",INDEX(Batters[[#All],[EYE P]],MATCH(Table5[[#This Row],[PID]],Batters[[#All],[PID]],0)),INDEX(Table3[[#All],[VELO]],MATCH(Table5[[#This Row],[PID]],Table3[[#All],[PID]],0)))</f>
        <v>6</v>
      </c>
      <c r="P420" s="56">
        <f>IF($C420="B",INDEX(Batters[[#All],[K P]],MATCH(Table5[[#This Row],[PID]],Batters[[#All],[PID]],0)),INDEX(Table3[[#All],[STM]],MATCH(Table5[[#This Row],[PID]],Table3[[#All],[PID]],0)))</f>
        <v>3</v>
      </c>
      <c r="Q420" s="61">
        <f>IF($C420="B",INDEX(Batters[[#All],[Tot]],MATCH(Table5[[#This Row],[PID]],Batters[[#All],[PID]],0)),INDEX(Table3[[#All],[Tot]],MATCH(Table5[[#This Row],[PID]],Table3[[#All],[PID]],0)))</f>
        <v>39.399899212769114</v>
      </c>
      <c r="R420" s="52">
        <f>IF($C420="B",INDEX(Batters[[#All],[zScore]],MATCH(Table5[[#This Row],[PID]],Batters[[#All],[PID]],0)),INDEX(Table3[[#All],[zScore]],MATCH(Table5[[#This Row],[PID]],Table3[[#All],[PID]],0)))</f>
        <v>-1.0491253664406666</v>
      </c>
      <c r="S420" s="58" t="str">
        <f>IF($C420="B",INDEX(Batters[[#All],[DEM]],MATCH(Table5[[#This Row],[PID]],Batters[[#All],[PID]],0)),INDEX(Table3[[#All],[DEM]],MATCH(Table5[[#This Row],[PID]],Table3[[#All],[PID]],0)))</f>
        <v>$20k</v>
      </c>
      <c r="T420" s="62">
        <f>IF($C420="B",INDEX(Batters[[#All],[Rnk]],MATCH(Table5[[#This Row],[PID]],Batters[[#All],[PID]],0)),INDEX(Table3[[#All],[Rnk]],MATCH(Table5[[#This Row],[PID]],Table3[[#All],[PID]],0)))</f>
        <v>450</v>
      </c>
      <c r="U420" s="68">
        <f>IF($C420="B",VLOOKUP($A420,Bat!$A$4:$BA$1621,47,FALSE),VLOOKUP($A420,Pit!$A$4:$BF$1557,56,FALSE))</f>
        <v>0</v>
      </c>
      <c r="V420" s="50">
        <f>IF($C420="B",VLOOKUP($A420,Bat!$A$4:$BA$1621,48,FALSE),VLOOKUP($A420,Pit!$A$4:$BF$1557,57,FALSE))</f>
        <v>0</v>
      </c>
      <c r="W420" s="50">
        <f>Table5[[#This Row],[posRnk]]+Table5[[#This Row],[zRnk]]+IF($W$3&lt;&gt;Table5[[#This Row],[Type]],50,0)</f>
        <v>1658</v>
      </c>
      <c r="X420" s="51">
        <f>RANK(Table5[[#This Row],[zScore]],Table5[[#All],[zScore]])</f>
        <v>1158</v>
      </c>
      <c r="Y420" s="50">
        <f>IFERROR(INDEX(DraftResults[[#All],[OVR]],MATCH(Table5[[#This Row],[PID]],DraftResults[[#All],[Player ID]],0)),"")</f>
        <v>416</v>
      </c>
      <c r="Z4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0" s="50">
        <f>IFERROR(INDEX(DraftResults[[#All],[Pick in Round]],MATCH(Table5[[#This Row],[PID]],DraftResults[[#All],[Player ID]],0)),"")</f>
        <v>18</v>
      </c>
      <c r="AB420" s="50" t="str">
        <f>IFERROR(INDEX(DraftResults[[#All],[Team Name]],MATCH(Table5[[#This Row],[PID]],DraftResults[[#All],[Player ID]],0)),"")</f>
        <v>Bakersfield Bears</v>
      </c>
      <c r="AC420" s="50">
        <f>IF(Table5[[#This Row],[Ovr]]="","",IF(Table5[[#This Row],[cmbList]]="","",Table5[[#This Row],[cmbList]]-Table5[[#This Row],[Ovr]]))</f>
        <v>1242</v>
      </c>
      <c r="AD420" s="54" t="str">
        <f>IF(ISERROR(VLOOKUP($AB420&amp;"-"&amp;$E420&amp;" "&amp;F420,Bonuses!$B$1:$G$1006,4,FALSE)),"",INT(VLOOKUP($AB420&amp;"-"&amp;$E420&amp;" "&amp;$F420,Bonuses!$B$1:$G$1006,4,FALSE)))</f>
        <v/>
      </c>
      <c r="AE4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14.18 (416) - C Curtis Patterson</v>
      </c>
    </row>
    <row r="421" spans="1:31" s="50" customFormat="1" x14ac:dyDescent="0.25">
      <c r="A421" s="50">
        <v>18347</v>
      </c>
      <c r="B421" s="50">
        <f>COUNTIF(Table5[PID],A421)</f>
        <v>1</v>
      </c>
      <c r="C421" s="50" t="str">
        <f>IF(COUNTIF(Table3[[#All],[PID]],A421)&gt;0,"P","B")</f>
        <v>B</v>
      </c>
      <c r="D421" s="59" t="str">
        <f>IF($C421="B",INDEX(Batters[[#All],[POS]],MATCH(Table5[[#This Row],[PID]],Batters[[#All],[PID]],0)),INDEX(Table3[[#All],[POS]],MATCH(Table5[[#This Row],[PID]],Table3[[#All],[PID]],0)))</f>
        <v>CF</v>
      </c>
      <c r="E421" s="52" t="str">
        <f>IF($C421="B",INDEX(Batters[[#All],[First]],MATCH(Table5[[#This Row],[PID]],Batters[[#All],[PID]],0)),INDEX(Table3[[#All],[First]],MATCH(Table5[[#This Row],[PID]],Table3[[#All],[PID]],0)))</f>
        <v>Arturo</v>
      </c>
      <c r="F421" s="50" t="str">
        <f>IF($C421="B",INDEX(Batters[[#All],[Last]],MATCH(A421,Batters[[#All],[PID]],0)),INDEX(Table3[[#All],[Last]],MATCH(A421,Table3[[#All],[PID]],0)))</f>
        <v>Sandoval</v>
      </c>
      <c r="G421" s="56">
        <f>IF($C421="B",INDEX(Batters[[#All],[Age]],MATCH(Table5[[#This Row],[PID]],Batters[[#All],[PID]],0)),INDEX(Table3[[#All],[Age]],MATCH(Table5[[#This Row],[PID]],Table3[[#All],[PID]],0)))</f>
        <v>18</v>
      </c>
      <c r="H421" s="52" t="str">
        <f>IF($C421="B",INDEX(Batters[[#All],[B]],MATCH(Table5[[#This Row],[PID]],Batters[[#All],[PID]],0)),INDEX(Table3[[#All],[B]],MATCH(Table5[[#This Row],[PID]],Table3[[#All],[PID]],0)))</f>
        <v>S</v>
      </c>
      <c r="I421" s="52" t="str">
        <f>IF($C421="B",INDEX(Batters[[#All],[T]],MATCH(Table5[[#This Row],[PID]],Batters[[#All],[PID]],0)),INDEX(Table3[[#All],[T]],MATCH(Table5[[#This Row],[PID]],Table3[[#All],[PID]],0)))</f>
        <v>R</v>
      </c>
      <c r="J421" s="52" t="str">
        <f>IF($C421="B",INDEX(Batters[[#All],[WE]],MATCH(Table5[[#This Row],[PID]],Batters[[#All],[PID]],0)),INDEX(Table3[[#All],[WE]],MATCH(Table5[[#This Row],[PID]],Table3[[#All],[PID]],0)))</f>
        <v>Low</v>
      </c>
      <c r="K421" s="52" t="str">
        <f>IF($C421="B",INDEX(Batters[[#All],[INT]],MATCH(Table5[[#This Row],[PID]],Batters[[#All],[PID]],0)),INDEX(Table3[[#All],[INT]],MATCH(Table5[[#This Row],[PID]],Table3[[#All],[PID]],0)))</f>
        <v>Normal</v>
      </c>
      <c r="L421" s="60">
        <f>IF($C421="B",INDEX(Batters[[#All],[CON P]],MATCH(Table5[[#This Row],[PID]],Batters[[#All],[PID]],0)),INDEX(Table3[[#All],[STU P]],MATCH(Table5[[#This Row],[PID]],Table3[[#All],[PID]],0)))</f>
        <v>3</v>
      </c>
      <c r="M421" s="56">
        <f>IF($C421="B",INDEX(Batters[[#All],[GAP P]],MATCH(Table5[[#This Row],[PID]],Batters[[#All],[PID]],0)),INDEX(Table3[[#All],[MOV P]],MATCH(Table5[[#This Row],[PID]],Table3[[#All],[PID]],0)))</f>
        <v>4</v>
      </c>
      <c r="N421" s="56">
        <f>IF($C421="B",INDEX(Batters[[#All],[POW P]],MATCH(Table5[[#This Row],[PID]],Batters[[#All],[PID]],0)),INDEX(Table3[[#All],[CON P]],MATCH(Table5[[#This Row],[PID]],Table3[[#All],[PID]],0)))</f>
        <v>6</v>
      </c>
      <c r="O421" s="56">
        <f>IF($C421="B",INDEX(Batters[[#All],[EYE P]],MATCH(Table5[[#This Row],[PID]],Batters[[#All],[PID]],0)),INDEX(Table3[[#All],[VELO]],MATCH(Table5[[#This Row],[PID]],Table3[[#All],[PID]],0)))</f>
        <v>6</v>
      </c>
      <c r="P421" s="56">
        <f>IF($C421="B",INDEX(Batters[[#All],[K P]],MATCH(Table5[[#This Row],[PID]],Batters[[#All],[PID]],0)),INDEX(Table3[[#All],[STM]],MATCH(Table5[[#This Row],[PID]],Table3[[#All],[PID]],0)))</f>
        <v>2</v>
      </c>
      <c r="Q421" s="61">
        <f>IF($C421="B",INDEX(Batters[[#All],[Tot]],MATCH(Table5[[#This Row],[PID]],Batters[[#All],[PID]],0)),INDEX(Table3[[#All],[Tot]],MATCH(Table5[[#This Row],[PID]],Table3[[#All],[PID]],0)))</f>
        <v>45.102755830472127</v>
      </c>
      <c r="R421" s="52">
        <f>IF($C421="B",INDEX(Batters[[#All],[zScore]],MATCH(Table5[[#This Row],[PID]],Batters[[#All],[PID]],0)),INDEX(Table3[[#All],[zScore]],MATCH(Table5[[#This Row],[PID]],Table3[[#All],[PID]],0)))</f>
        <v>0.21523649343731635</v>
      </c>
      <c r="S421" s="58" t="str">
        <f>IF($C421="B",INDEX(Batters[[#All],[DEM]],MATCH(Table5[[#This Row],[PID]],Batters[[#All],[PID]],0)),INDEX(Table3[[#All],[DEM]],MATCH(Table5[[#This Row],[PID]],Table3[[#All],[PID]],0)))</f>
        <v>$80k</v>
      </c>
      <c r="T421" s="62">
        <f>IF($C421="B",INDEX(Batters[[#All],[Rnk]],MATCH(Table5[[#This Row],[PID]],Batters[[#All],[PID]],0)),INDEX(Table3[[#All],[Rnk]],MATCH(Table5[[#This Row],[PID]],Table3[[#All],[PID]],0)))</f>
        <v>199</v>
      </c>
      <c r="U421" s="68">
        <f>IF($C421="B",VLOOKUP($A421,Bat!$A$4:$BA$1621,47,FALSE),VLOOKUP($A421,Pit!$A$4:$BF$1557,56,FALSE))</f>
        <v>0</v>
      </c>
      <c r="V421" s="50">
        <f>IF($C421="B",VLOOKUP($A421,Bat!$A$4:$BA$1621,48,FALSE),VLOOKUP($A421,Pit!$A$4:$BF$1557,57,FALSE))</f>
        <v>0</v>
      </c>
      <c r="W421" s="50">
        <f>Table5[[#This Row],[posRnk]]+Table5[[#This Row],[zRnk]]+IF($W$3&lt;&gt;Table5[[#This Row],[Type]],50,0)</f>
        <v>708</v>
      </c>
      <c r="X421" s="51">
        <f>RANK(Table5[[#This Row],[zScore]],Table5[[#All],[zScore]])</f>
        <v>459</v>
      </c>
      <c r="Y421" s="50">
        <f>IFERROR(INDEX(DraftResults[[#All],[OVR]],MATCH(Table5[[#This Row],[PID]],DraftResults[[#All],[Player ID]],0)),"")</f>
        <v>417</v>
      </c>
      <c r="Z4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1" s="50">
        <f>IFERROR(INDEX(DraftResults[[#All],[Pick in Round]],MATCH(Table5[[#This Row],[PID]],DraftResults[[#All],[Player ID]],0)),"")</f>
        <v>19</v>
      </c>
      <c r="AB421" s="50" t="str">
        <f>IFERROR(INDEX(DraftResults[[#All],[Team Name]],MATCH(Table5[[#This Row],[PID]],DraftResults[[#All],[Player ID]],0)),"")</f>
        <v>Kalamazoo Badgers</v>
      </c>
      <c r="AC421" s="50">
        <f>IF(Table5[[#This Row],[Ovr]]="","",IF(Table5[[#This Row],[cmbList]]="","",Table5[[#This Row],[cmbList]]-Table5[[#This Row],[Ovr]]))</f>
        <v>291</v>
      </c>
      <c r="AD421" s="54" t="str">
        <f>IF(ISERROR(VLOOKUP($AB421&amp;"-"&amp;$E421&amp;" "&amp;F421,Bonuses!$B$1:$G$1006,4,FALSE)),"",INT(VLOOKUP($AB421&amp;"-"&amp;$E421&amp;" "&amp;$F421,Bonuses!$B$1:$G$1006,4,FALSE)))</f>
        <v/>
      </c>
      <c r="AE4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14.19 (417) - CF Arturo Sandoval</v>
      </c>
    </row>
    <row r="422" spans="1:31" s="50" customFormat="1" x14ac:dyDescent="0.25">
      <c r="A422" s="50">
        <v>15836</v>
      </c>
      <c r="B422" s="50">
        <f>COUNTIF(Table5[PID],A422)</f>
        <v>1</v>
      </c>
      <c r="C422" s="50" t="str">
        <f>IF(COUNTIF(Table3[[#All],[PID]],A422)&gt;0,"P","B")</f>
        <v>B</v>
      </c>
      <c r="D422" s="59" t="str">
        <f>IF($C422="B",INDEX(Batters[[#All],[POS]],MATCH(Table5[[#This Row],[PID]],Batters[[#All],[PID]],0)),INDEX(Table3[[#All],[POS]],MATCH(Table5[[#This Row],[PID]],Table3[[#All],[PID]],0)))</f>
        <v>LF</v>
      </c>
      <c r="E422" s="52" t="str">
        <f>IF($C422="B",INDEX(Batters[[#All],[First]],MATCH(Table5[[#This Row],[PID]],Batters[[#All],[PID]],0)),INDEX(Table3[[#All],[First]],MATCH(Table5[[#This Row],[PID]],Table3[[#All],[PID]],0)))</f>
        <v>Sidney</v>
      </c>
      <c r="F422" s="50" t="str">
        <f>IF($C422="B",INDEX(Batters[[#All],[Last]],MATCH(A422,Batters[[#All],[PID]],0)),INDEX(Table3[[#All],[Last]],MATCH(A422,Table3[[#All],[PID]],0)))</f>
        <v>Green</v>
      </c>
      <c r="G422" s="56">
        <f>IF($C422="B",INDEX(Batters[[#All],[Age]],MATCH(Table5[[#This Row],[PID]],Batters[[#All],[PID]],0)),INDEX(Table3[[#All],[Age]],MATCH(Table5[[#This Row],[PID]],Table3[[#All],[PID]],0)))</f>
        <v>18</v>
      </c>
      <c r="H422" s="52" t="str">
        <f>IF($C422="B",INDEX(Batters[[#All],[B]],MATCH(Table5[[#This Row],[PID]],Batters[[#All],[PID]],0)),INDEX(Table3[[#All],[B]],MATCH(Table5[[#This Row],[PID]],Table3[[#All],[PID]],0)))</f>
        <v>R</v>
      </c>
      <c r="I422" s="52" t="str">
        <f>IF($C422="B",INDEX(Batters[[#All],[T]],MATCH(Table5[[#This Row],[PID]],Batters[[#All],[PID]],0)),INDEX(Table3[[#All],[T]],MATCH(Table5[[#This Row],[PID]],Table3[[#All],[PID]],0)))</f>
        <v>R</v>
      </c>
      <c r="J422" s="52" t="str">
        <f>IF($C422="B",INDEX(Batters[[#All],[WE]],MATCH(Table5[[#This Row],[PID]],Batters[[#All],[PID]],0)),INDEX(Table3[[#All],[WE]],MATCH(Table5[[#This Row],[PID]],Table3[[#All],[PID]],0)))</f>
        <v>Low</v>
      </c>
      <c r="K422" s="52" t="str">
        <f>IF($C422="B",INDEX(Batters[[#All],[INT]],MATCH(Table5[[#This Row],[PID]],Batters[[#All],[PID]],0)),INDEX(Table3[[#All],[INT]],MATCH(Table5[[#This Row],[PID]],Table3[[#All],[PID]],0)))</f>
        <v>Low</v>
      </c>
      <c r="L422" s="60">
        <f>IF($C422="B",INDEX(Batters[[#All],[CON P]],MATCH(Table5[[#This Row],[PID]],Batters[[#All],[PID]],0)),INDEX(Table3[[#All],[STU P]],MATCH(Table5[[#This Row],[PID]],Table3[[#All],[PID]],0)))</f>
        <v>4</v>
      </c>
      <c r="M422" s="56">
        <f>IF($C422="B",INDEX(Batters[[#All],[GAP P]],MATCH(Table5[[#This Row],[PID]],Batters[[#All],[PID]],0)),INDEX(Table3[[#All],[MOV P]],MATCH(Table5[[#This Row],[PID]],Table3[[#All],[PID]],0)))</f>
        <v>5</v>
      </c>
      <c r="N422" s="56">
        <f>IF($C422="B",INDEX(Batters[[#All],[POW P]],MATCH(Table5[[#This Row],[PID]],Batters[[#All],[PID]],0)),INDEX(Table3[[#All],[CON P]],MATCH(Table5[[#This Row],[PID]],Table3[[#All],[PID]],0)))</f>
        <v>6</v>
      </c>
      <c r="O422" s="56">
        <f>IF($C422="B",INDEX(Batters[[#All],[EYE P]],MATCH(Table5[[#This Row],[PID]],Batters[[#All],[PID]],0)),INDEX(Table3[[#All],[VELO]],MATCH(Table5[[#This Row],[PID]],Table3[[#All],[PID]],0)))</f>
        <v>6</v>
      </c>
      <c r="P422" s="56">
        <f>IF($C422="B",INDEX(Batters[[#All],[K P]],MATCH(Table5[[#This Row],[PID]],Batters[[#All],[PID]],0)),INDEX(Table3[[#All],[STM]],MATCH(Table5[[#This Row],[PID]],Table3[[#All],[PID]],0)))</f>
        <v>3</v>
      </c>
      <c r="Q422" s="61">
        <f>IF($C422="B",INDEX(Batters[[#All],[Tot]],MATCH(Table5[[#This Row],[PID]],Batters[[#All],[PID]],0)),INDEX(Table3[[#All],[Tot]],MATCH(Table5[[#This Row],[PID]],Table3[[#All],[PID]],0)))</f>
        <v>49.499206519490613</v>
      </c>
      <c r="R422" s="52">
        <f>IF($C422="B",INDEX(Batters[[#All],[zScore]],MATCH(Table5[[#This Row],[PID]],Batters[[#All],[PID]],0)),INDEX(Table3[[#All],[zScore]],MATCH(Table5[[#This Row],[PID]],Table3[[#All],[PID]],0)))</f>
        <v>1.1899593284413952</v>
      </c>
      <c r="S422" s="58" t="str">
        <f>IF($C422="B",INDEX(Batters[[#All],[DEM]],MATCH(Table5[[#This Row],[PID]],Batters[[#All],[PID]],0)),INDEX(Table3[[#All],[DEM]],MATCH(Table5[[#This Row],[PID]],Table3[[#All],[PID]],0)))</f>
        <v>$70k</v>
      </c>
      <c r="T422" s="62">
        <f>IF($C422="B",INDEX(Batters[[#All],[Rnk]],MATCH(Table5[[#This Row],[PID]],Batters[[#All],[PID]],0)),INDEX(Table3[[#All],[Rnk]],MATCH(Table5[[#This Row],[PID]],Table3[[#All],[PID]],0)))</f>
        <v>72</v>
      </c>
      <c r="U422" s="68">
        <f>IF($C422="B",VLOOKUP($A422,Bat!$A$4:$BA$1621,47,FALSE),VLOOKUP($A422,Pit!$A$4:$BF$1557,56,FALSE))</f>
        <v>0</v>
      </c>
      <c r="V422" s="50">
        <f>IF($C422="B",VLOOKUP($A422,Bat!$A$4:$BA$1621,48,FALSE),VLOOKUP($A422,Pit!$A$4:$BF$1557,57,FALSE))</f>
        <v>0</v>
      </c>
      <c r="W422" s="50">
        <f>Table5[[#This Row],[posRnk]]+Table5[[#This Row],[zRnk]]+IF($W$3&lt;&gt;Table5[[#This Row],[Type]],50,0)</f>
        <v>308</v>
      </c>
      <c r="X422" s="51">
        <f>RANK(Table5[[#This Row],[zScore]],Table5[[#All],[zScore]])</f>
        <v>186</v>
      </c>
      <c r="Y422" s="50">
        <f>IFERROR(INDEX(DraftResults[[#All],[OVR]],MATCH(Table5[[#This Row],[PID]],DraftResults[[#All],[Player ID]],0)),"")</f>
        <v>418</v>
      </c>
      <c r="Z4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2" s="50">
        <f>IFERROR(INDEX(DraftResults[[#All],[Pick in Round]],MATCH(Table5[[#This Row],[PID]],DraftResults[[#All],[Player ID]],0)),"")</f>
        <v>20</v>
      </c>
      <c r="AB422" s="50" t="str">
        <f>IFERROR(INDEX(DraftResults[[#All],[Team Name]],MATCH(Table5[[#This Row],[PID]],DraftResults[[#All],[Player ID]],0)),"")</f>
        <v>Amsterdam Lions</v>
      </c>
      <c r="AC422" s="50">
        <f>IF(Table5[[#This Row],[Ovr]]="","",IF(Table5[[#This Row],[cmbList]]="","",Table5[[#This Row],[cmbList]]-Table5[[#This Row],[Ovr]]))</f>
        <v>-110</v>
      </c>
      <c r="AD422" s="54" t="str">
        <f>IF(ISERROR(VLOOKUP($AB422&amp;"-"&amp;$E422&amp;" "&amp;F422,Bonuses!$B$1:$G$1006,4,FALSE)),"",INT(VLOOKUP($AB422&amp;"-"&amp;$E422&amp;" "&amp;$F422,Bonuses!$B$1:$G$1006,4,FALSE)))</f>
        <v/>
      </c>
      <c r="AE4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14.20 (418) - LF Sidney Green</v>
      </c>
    </row>
    <row r="423" spans="1:31" s="50" customFormat="1" x14ac:dyDescent="0.25">
      <c r="A423" s="50">
        <v>18414</v>
      </c>
      <c r="B423" s="55">
        <f>COUNTIF(Table5[PID],A423)</f>
        <v>1</v>
      </c>
      <c r="C423" s="55" t="str">
        <f>IF(COUNTIF(Table3[[#All],[PID]],A423)&gt;0,"P","B")</f>
        <v>B</v>
      </c>
      <c r="D423" s="59" t="str">
        <f>IF($C423="B",INDEX(Batters[[#All],[POS]],MATCH(Table5[[#This Row],[PID]],Batters[[#All],[PID]],0)),INDEX(Table3[[#All],[POS]],MATCH(Table5[[#This Row],[PID]],Table3[[#All],[PID]],0)))</f>
        <v>2B</v>
      </c>
      <c r="E423" s="52" t="str">
        <f>IF($C423="B",INDEX(Batters[[#All],[First]],MATCH(Table5[[#This Row],[PID]],Batters[[#All],[PID]],0)),INDEX(Table3[[#All],[First]],MATCH(Table5[[#This Row],[PID]],Table3[[#All],[PID]],0)))</f>
        <v>Jacky</v>
      </c>
      <c r="F423" s="50" t="str">
        <f>IF($C423="B",INDEX(Batters[[#All],[Last]],MATCH(A423,Batters[[#All],[PID]],0)),INDEX(Table3[[#All],[Last]],MATCH(A423,Table3[[#All],[PID]],0)))</f>
        <v>van Straaten</v>
      </c>
      <c r="G423" s="56">
        <f>IF($C423="B",INDEX(Batters[[#All],[Age]],MATCH(Table5[[#This Row],[PID]],Batters[[#All],[PID]],0)),INDEX(Table3[[#All],[Age]],MATCH(Table5[[#This Row],[PID]],Table3[[#All],[PID]],0)))</f>
        <v>18</v>
      </c>
      <c r="H423" s="52" t="str">
        <f>IF($C423="B",INDEX(Batters[[#All],[B]],MATCH(Table5[[#This Row],[PID]],Batters[[#All],[PID]],0)),INDEX(Table3[[#All],[B]],MATCH(Table5[[#This Row],[PID]],Table3[[#All],[PID]],0)))</f>
        <v>R</v>
      </c>
      <c r="I423" s="52" t="str">
        <f>IF($C423="B",INDEX(Batters[[#All],[T]],MATCH(Table5[[#This Row],[PID]],Batters[[#All],[PID]],0)),INDEX(Table3[[#All],[T]],MATCH(Table5[[#This Row],[PID]],Table3[[#All],[PID]],0)))</f>
        <v>R</v>
      </c>
      <c r="J423" s="52" t="str">
        <f>IF($C423="B",INDEX(Batters[[#All],[WE]],MATCH(Table5[[#This Row],[PID]],Batters[[#All],[PID]],0)),INDEX(Table3[[#All],[WE]],MATCH(Table5[[#This Row],[PID]],Table3[[#All],[PID]],0)))</f>
        <v>High</v>
      </c>
      <c r="K423" s="52" t="str">
        <f>IF($C423="B",INDEX(Batters[[#All],[INT]],MATCH(Table5[[#This Row],[PID]],Batters[[#All],[PID]],0)),INDEX(Table3[[#All],[INT]],MATCH(Table5[[#This Row],[PID]],Table3[[#All],[PID]],0)))</f>
        <v>Normal</v>
      </c>
      <c r="L423" s="60">
        <f>IF($C423="B",INDEX(Batters[[#All],[CON P]],MATCH(Table5[[#This Row],[PID]],Batters[[#All],[PID]],0)),INDEX(Table3[[#All],[STU P]],MATCH(Table5[[#This Row],[PID]],Table3[[#All],[PID]],0)))</f>
        <v>4</v>
      </c>
      <c r="M423" s="56">
        <f>IF($C423="B",INDEX(Batters[[#All],[GAP P]],MATCH(Table5[[#This Row],[PID]],Batters[[#All],[PID]],0)),INDEX(Table3[[#All],[MOV P]],MATCH(Table5[[#This Row],[PID]],Table3[[#All],[PID]],0)))</f>
        <v>6</v>
      </c>
      <c r="N423" s="56">
        <f>IF($C423="B",INDEX(Batters[[#All],[POW P]],MATCH(Table5[[#This Row],[PID]],Batters[[#All],[PID]],0)),INDEX(Table3[[#All],[CON P]],MATCH(Table5[[#This Row],[PID]],Table3[[#All],[PID]],0)))</f>
        <v>4</v>
      </c>
      <c r="O423" s="56">
        <f>IF($C423="B",INDEX(Batters[[#All],[EYE P]],MATCH(Table5[[#This Row],[PID]],Batters[[#All],[PID]],0)),INDEX(Table3[[#All],[VELO]],MATCH(Table5[[#This Row],[PID]],Table3[[#All],[PID]],0)))</f>
        <v>5</v>
      </c>
      <c r="P423" s="56">
        <f>IF($C423="B",INDEX(Batters[[#All],[K P]],MATCH(Table5[[#This Row],[PID]],Batters[[#All],[PID]],0)),INDEX(Table3[[#All],[STM]],MATCH(Table5[[#This Row],[PID]],Table3[[#All],[PID]],0)))</f>
        <v>4</v>
      </c>
      <c r="Q423" s="61">
        <f>IF($C423="B",INDEX(Batters[[#All],[Tot]],MATCH(Table5[[#This Row],[PID]],Batters[[#All],[PID]],0)),INDEX(Table3[[#All],[Tot]],MATCH(Table5[[#This Row],[PID]],Table3[[#All],[PID]],0)))</f>
        <v>48.555655064169294</v>
      </c>
      <c r="R423" s="52">
        <f>IF($C423="B",INDEX(Batters[[#All],[zScore]],MATCH(Table5[[#This Row],[PID]],Batters[[#All],[PID]],0)),INDEX(Table3[[#All],[zScore]],MATCH(Table5[[#This Row],[PID]],Table3[[#All],[PID]],0)))</f>
        <v>0.98076759298072846</v>
      </c>
      <c r="S423" s="58" t="str">
        <f>IF($C423="B",INDEX(Batters[[#All],[DEM]],MATCH(Table5[[#This Row],[PID]],Batters[[#All],[PID]],0)),INDEX(Table3[[#All],[DEM]],MATCH(Table5[[#This Row],[PID]],Table3[[#All],[PID]],0)))</f>
        <v>$130k</v>
      </c>
      <c r="T423" s="62">
        <f>IF($C423="B",INDEX(Batters[[#All],[Rnk]],MATCH(Table5[[#This Row],[PID]],Batters[[#All],[PID]],0)),INDEX(Table3[[#All],[Rnk]],MATCH(Table5[[#This Row],[PID]],Table3[[#All],[PID]],0)))</f>
        <v>92</v>
      </c>
      <c r="U423" s="68">
        <f>IF($C423="B",VLOOKUP($A423,Bat!$A$4:$BA$1621,47,FALSE),VLOOKUP($A423,Pit!$A$4:$BF$1557,56,FALSE))</f>
        <v>0</v>
      </c>
      <c r="V423" s="50">
        <f>IF($C423="B",VLOOKUP($A423,Bat!$A$4:$BA$1621,48,FALSE),VLOOKUP($A423,Pit!$A$4:$BF$1557,57,FALSE))</f>
        <v>0</v>
      </c>
      <c r="W423" s="50">
        <f>Table5[[#This Row],[posRnk]]+Table5[[#This Row],[zRnk]]+IF($W$3&lt;&gt;Table5[[#This Row],[Type]],50,0)</f>
        <v>375</v>
      </c>
      <c r="X423" s="51">
        <f>RANK(Table5[[#This Row],[zScore]],Table5[[#All],[zScore]])</f>
        <v>233</v>
      </c>
      <c r="Y423" s="50">
        <f>IFERROR(INDEX(DraftResults[[#All],[OVR]],MATCH(Table5[[#This Row],[PID]],DraftResults[[#All],[Player ID]],0)),"")</f>
        <v>419</v>
      </c>
      <c r="Z4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3" s="50">
        <f>IFERROR(INDEX(DraftResults[[#All],[Pick in Round]],MATCH(Table5[[#This Row],[PID]],DraftResults[[#All],[Player ID]],0)),"")</f>
        <v>21</v>
      </c>
      <c r="AB423" s="50" t="str">
        <f>IFERROR(INDEX(DraftResults[[#All],[Team Name]],MATCH(Table5[[#This Row],[PID]],DraftResults[[#All],[Player ID]],0)),"")</f>
        <v>Crystal Lake Sandgnats</v>
      </c>
      <c r="AC423" s="50">
        <f>IF(Table5[[#This Row],[Ovr]]="","",IF(Table5[[#This Row],[cmbList]]="","",Table5[[#This Row],[cmbList]]-Table5[[#This Row],[Ovr]]))</f>
        <v>-44</v>
      </c>
      <c r="AD423" s="54" t="str">
        <f>IF(ISERROR(VLOOKUP($AB423&amp;"-"&amp;$E423&amp;" "&amp;F423,Bonuses!$B$1:$G$1006,4,FALSE)),"",INT(VLOOKUP($AB423&amp;"-"&amp;$E423&amp;" "&amp;$F423,Bonuses!$B$1:$G$1006,4,FALSE)))</f>
        <v/>
      </c>
      <c r="AE4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14.21 (419) - 2B Jacky van Straaten</v>
      </c>
    </row>
    <row r="424" spans="1:31" s="50" customFormat="1" x14ac:dyDescent="0.25">
      <c r="A424" s="50">
        <v>20613</v>
      </c>
      <c r="B424" s="50">
        <f>COUNTIF(Table5[PID],A424)</f>
        <v>1</v>
      </c>
      <c r="C424" s="50" t="str">
        <f>IF(COUNTIF(Table3[[#All],[PID]],A424)&gt;0,"P","B")</f>
        <v>B</v>
      </c>
      <c r="D424" s="59" t="str">
        <f>IF($C424="B",INDEX(Batters[[#All],[POS]],MATCH(Table5[[#This Row],[PID]],Batters[[#All],[PID]],0)),INDEX(Table3[[#All],[POS]],MATCH(Table5[[#This Row],[PID]],Table3[[#All],[PID]],0)))</f>
        <v>C</v>
      </c>
      <c r="E424" s="52" t="str">
        <f>IF($C424="B",INDEX(Batters[[#All],[First]],MATCH(Table5[[#This Row],[PID]],Batters[[#All],[PID]],0)),INDEX(Table3[[#All],[First]],MATCH(Table5[[#This Row],[PID]],Table3[[#All],[PID]],0)))</f>
        <v>Kwang-chih</v>
      </c>
      <c r="F424" s="50" t="str">
        <f>IF($C424="B",INDEX(Batters[[#All],[Last]],MATCH(A424,Batters[[#All],[PID]],0)),INDEX(Table3[[#All],[Last]],MATCH(A424,Table3[[#All],[PID]],0)))</f>
        <v>Zhu</v>
      </c>
      <c r="G424" s="56">
        <f>IF($C424="B",INDEX(Batters[[#All],[Age]],MATCH(Table5[[#This Row],[PID]],Batters[[#All],[PID]],0)),INDEX(Table3[[#All],[Age]],MATCH(Table5[[#This Row],[PID]],Table3[[#All],[PID]],0)))</f>
        <v>17</v>
      </c>
      <c r="H424" s="52" t="str">
        <f>IF($C424="B",INDEX(Batters[[#All],[B]],MATCH(Table5[[#This Row],[PID]],Batters[[#All],[PID]],0)),INDEX(Table3[[#All],[B]],MATCH(Table5[[#This Row],[PID]],Table3[[#All],[PID]],0)))</f>
        <v>S</v>
      </c>
      <c r="I424" s="52" t="str">
        <f>IF($C424="B",INDEX(Batters[[#All],[T]],MATCH(Table5[[#This Row],[PID]],Batters[[#All],[PID]],0)),INDEX(Table3[[#All],[T]],MATCH(Table5[[#This Row],[PID]],Table3[[#All],[PID]],0)))</f>
        <v>R</v>
      </c>
      <c r="J424" s="52" t="str">
        <f>IF($C424="B",INDEX(Batters[[#All],[WE]],MATCH(Table5[[#This Row],[PID]],Batters[[#All],[PID]],0)),INDEX(Table3[[#All],[WE]],MATCH(Table5[[#This Row],[PID]],Table3[[#All],[PID]],0)))</f>
        <v>Low</v>
      </c>
      <c r="K424" s="52" t="str">
        <f>IF($C424="B",INDEX(Batters[[#All],[INT]],MATCH(Table5[[#This Row],[PID]],Batters[[#All],[PID]],0)),INDEX(Table3[[#All],[INT]],MATCH(Table5[[#This Row],[PID]],Table3[[#All],[PID]],0)))</f>
        <v>Normal</v>
      </c>
      <c r="L424" s="60">
        <f>IF($C424="B",INDEX(Batters[[#All],[CON P]],MATCH(Table5[[#This Row],[PID]],Batters[[#All],[PID]],0)),INDEX(Table3[[#All],[STU P]],MATCH(Table5[[#This Row],[PID]],Table3[[#All],[PID]],0)))</f>
        <v>3</v>
      </c>
      <c r="M424" s="56">
        <f>IF($C424="B",INDEX(Batters[[#All],[GAP P]],MATCH(Table5[[#This Row],[PID]],Batters[[#All],[PID]],0)),INDEX(Table3[[#All],[MOV P]],MATCH(Table5[[#This Row],[PID]],Table3[[#All],[PID]],0)))</f>
        <v>3</v>
      </c>
      <c r="N424" s="56">
        <f>IF($C424="B",INDEX(Batters[[#All],[POW P]],MATCH(Table5[[#This Row],[PID]],Batters[[#All],[PID]],0)),INDEX(Table3[[#All],[CON P]],MATCH(Table5[[#This Row],[PID]],Table3[[#All],[PID]],0)))</f>
        <v>6</v>
      </c>
      <c r="O424" s="56">
        <f>IF($C424="B",INDEX(Batters[[#All],[EYE P]],MATCH(Table5[[#This Row],[PID]],Batters[[#All],[PID]],0)),INDEX(Table3[[#All],[VELO]],MATCH(Table5[[#This Row],[PID]],Table3[[#All],[PID]],0)))</f>
        <v>6</v>
      </c>
      <c r="P424" s="56">
        <f>IF($C424="B",INDEX(Batters[[#All],[K P]],MATCH(Table5[[#This Row],[PID]],Batters[[#All],[PID]],0)),INDEX(Table3[[#All],[STM]],MATCH(Table5[[#This Row],[PID]],Table3[[#All],[PID]],0)))</f>
        <v>2</v>
      </c>
      <c r="Q424" s="61">
        <f>IF($C424="B",INDEX(Batters[[#All],[Tot]],MATCH(Table5[[#This Row],[PID]],Batters[[#All],[PID]],0)),INDEX(Table3[[#All],[Tot]],MATCH(Table5[[#This Row],[PID]],Table3[[#All],[PID]],0)))</f>
        <v>44.332341563381974</v>
      </c>
      <c r="R424" s="52">
        <f>IF($C424="B",INDEX(Batters[[#All],[zScore]],MATCH(Table5[[#This Row],[PID]],Batters[[#All],[PID]],0)),INDEX(Table3[[#All],[zScore]],MATCH(Table5[[#This Row],[PID]],Table3[[#All],[PID]],0)))</f>
        <v>4.4430442906279413E-2</v>
      </c>
      <c r="S424" s="58" t="str">
        <f>IF($C424="B",INDEX(Batters[[#All],[DEM]],MATCH(Table5[[#This Row],[PID]],Batters[[#All],[PID]],0)),INDEX(Table3[[#All],[DEM]],MATCH(Table5[[#This Row],[PID]],Table3[[#All],[PID]],0)))</f>
        <v>$65k</v>
      </c>
      <c r="T424" s="62">
        <f>IF($C424="B",INDEX(Batters[[#All],[Rnk]],MATCH(Table5[[#This Row],[PID]],Batters[[#All],[PID]],0)),INDEX(Table3[[#All],[Rnk]],MATCH(Table5[[#This Row],[PID]],Table3[[#All],[PID]],0)))</f>
        <v>233</v>
      </c>
      <c r="U424" s="68">
        <f>IF($C424="B",VLOOKUP($A424,Bat!$A$4:$BA$1621,47,FALSE),VLOOKUP($A424,Pit!$A$4:$BF$1557,56,FALSE))</f>
        <v>0</v>
      </c>
      <c r="V424" s="50">
        <f>IF($C424="B",VLOOKUP($A424,Bat!$A$4:$BA$1621,48,FALSE),VLOOKUP($A424,Pit!$A$4:$BF$1557,57,FALSE))</f>
        <v>0</v>
      </c>
      <c r="W424" s="50">
        <f>Table5[[#This Row],[posRnk]]+Table5[[#This Row],[zRnk]]+IF($W$3&lt;&gt;Table5[[#This Row],[Type]],50,0)</f>
        <v>816</v>
      </c>
      <c r="X424" s="51">
        <f>RANK(Table5[[#This Row],[zScore]],Table5[[#All],[zScore]])</f>
        <v>533</v>
      </c>
      <c r="Y424" s="50">
        <f>IFERROR(INDEX(DraftResults[[#All],[OVR]],MATCH(Table5[[#This Row],[PID]],DraftResults[[#All],[Player ID]],0)),"")</f>
        <v>420</v>
      </c>
      <c r="Z4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4" s="50">
        <f>IFERROR(INDEX(DraftResults[[#All],[Pick in Round]],MATCH(Table5[[#This Row],[PID]],DraftResults[[#All],[Player ID]],0)),"")</f>
        <v>22</v>
      </c>
      <c r="AB424" s="50" t="str">
        <f>IFERROR(INDEX(DraftResults[[#All],[Team Name]],MATCH(Table5[[#This Row],[PID]],DraftResults[[#All],[Player ID]],0)),"")</f>
        <v>Fargo Dinosaurs</v>
      </c>
      <c r="AC424" s="50">
        <f>IF(Table5[[#This Row],[Ovr]]="","",IF(Table5[[#This Row],[cmbList]]="","",Table5[[#This Row],[cmbList]]-Table5[[#This Row],[Ovr]]))</f>
        <v>396</v>
      </c>
      <c r="AD424" s="54" t="str">
        <f>IF(ISERROR(VLOOKUP($AB424&amp;"-"&amp;$E424&amp;" "&amp;F424,Bonuses!$B$1:$G$1006,4,FALSE)),"",INT(VLOOKUP($AB424&amp;"-"&amp;$E424&amp;" "&amp;$F424,Bonuses!$B$1:$G$1006,4,FALSE)))</f>
        <v/>
      </c>
      <c r="AE4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14.22 (420) - C Kwang-chih Zhu</v>
      </c>
    </row>
    <row r="425" spans="1:31" s="50" customFormat="1" x14ac:dyDescent="0.25">
      <c r="A425" s="50">
        <v>20459</v>
      </c>
      <c r="B425" s="50">
        <f>COUNTIF(Table5[PID],A425)</f>
        <v>1</v>
      </c>
      <c r="C425" s="50" t="str">
        <f>IF(COUNTIF(Table3[[#All],[PID]],A425)&gt;0,"P","B")</f>
        <v>P</v>
      </c>
      <c r="D425" s="59" t="str">
        <f>IF($C425="B",INDEX(Batters[[#All],[POS]],MATCH(Table5[[#This Row],[PID]],Batters[[#All],[PID]],0)),INDEX(Table3[[#All],[POS]],MATCH(Table5[[#This Row],[PID]],Table3[[#All],[PID]],0)))</f>
        <v>CL</v>
      </c>
      <c r="E425" s="52" t="str">
        <f>IF($C425="B",INDEX(Batters[[#All],[First]],MATCH(Table5[[#This Row],[PID]],Batters[[#All],[PID]],0)),INDEX(Table3[[#All],[First]],MATCH(Table5[[#This Row],[PID]],Table3[[#All],[PID]],0)))</f>
        <v>Asmo</v>
      </c>
      <c r="F425" s="50" t="str">
        <f>IF($C425="B",INDEX(Batters[[#All],[Last]],MATCH(A425,Batters[[#All],[PID]],0)),INDEX(Table3[[#All],[Last]],MATCH(A425,Table3[[#All],[PID]],0)))</f>
        <v>Subadio</v>
      </c>
      <c r="G425" s="56">
        <f>IF($C425="B",INDEX(Batters[[#All],[Age]],MATCH(Table5[[#This Row],[PID]],Batters[[#All],[PID]],0)),INDEX(Table3[[#All],[Age]],MATCH(Table5[[#This Row],[PID]],Table3[[#All],[PID]],0)))</f>
        <v>17</v>
      </c>
      <c r="H425" s="52" t="str">
        <f>IF($C425="B",INDEX(Batters[[#All],[B]],MATCH(Table5[[#This Row],[PID]],Batters[[#All],[PID]],0)),INDEX(Table3[[#All],[B]],MATCH(Table5[[#This Row],[PID]],Table3[[#All],[PID]],0)))</f>
        <v>R</v>
      </c>
      <c r="I425" s="52" t="str">
        <f>IF($C425="B",INDEX(Batters[[#All],[T]],MATCH(Table5[[#This Row],[PID]],Batters[[#All],[PID]],0)),INDEX(Table3[[#All],[T]],MATCH(Table5[[#This Row],[PID]],Table3[[#All],[PID]],0)))</f>
        <v>R</v>
      </c>
      <c r="J425" s="52" t="str">
        <f>IF($C425="B",INDEX(Batters[[#All],[WE]],MATCH(Table5[[#This Row],[PID]],Batters[[#All],[PID]],0)),INDEX(Table3[[#All],[WE]],MATCH(Table5[[#This Row],[PID]],Table3[[#All],[PID]],0)))</f>
        <v>Low</v>
      </c>
      <c r="K425" s="52" t="str">
        <f>IF($C425="B",INDEX(Batters[[#All],[INT]],MATCH(Table5[[#This Row],[PID]],Batters[[#All],[PID]],0)),INDEX(Table3[[#All],[INT]],MATCH(Table5[[#This Row],[PID]],Table3[[#All],[PID]],0)))</f>
        <v>Normal</v>
      </c>
      <c r="L425" s="60">
        <f>IF($C425="B",INDEX(Batters[[#All],[CON P]],MATCH(Table5[[#This Row],[PID]],Batters[[#All],[PID]],0)),INDEX(Table3[[#All],[STU P]],MATCH(Table5[[#This Row],[PID]],Table3[[#All],[PID]],0)))</f>
        <v>5</v>
      </c>
      <c r="M425" s="56">
        <f>IF($C425="B",INDEX(Batters[[#All],[GAP P]],MATCH(Table5[[#This Row],[PID]],Batters[[#All],[PID]],0)),INDEX(Table3[[#All],[MOV P]],MATCH(Table5[[#This Row],[PID]],Table3[[#All],[PID]],0)))</f>
        <v>3</v>
      </c>
      <c r="N425" s="56">
        <f>IF($C425="B",INDEX(Batters[[#All],[POW P]],MATCH(Table5[[#This Row],[PID]],Batters[[#All],[PID]],0)),INDEX(Table3[[#All],[CON P]],MATCH(Table5[[#This Row],[PID]],Table3[[#All],[PID]],0)))</f>
        <v>4</v>
      </c>
      <c r="O425" s="56" t="str">
        <f>IF($C425="B",INDEX(Batters[[#All],[EYE P]],MATCH(Table5[[#This Row],[PID]],Batters[[#All],[PID]],0)),INDEX(Table3[[#All],[VELO]],MATCH(Table5[[#This Row],[PID]],Table3[[#All],[PID]],0)))</f>
        <v>88-90 Mph</v>
      </c>
      <c r="P425" s="56">
        <f>IF($C425="B",INDEX(Batters[[#All],[K P]],MATCH(Table5[[#This Row],[PID]],Batters[[#All],[PID]],0)),INDEX(Table3[[#All],[STM]],MATCH(Table5[[#This Row],[PID]],Table3[[#All],[PID]],0)))</f>
        <v>10</v>
      </c>
      <c r="Q425" s="61">
        <f>IF($C425="B",INDEX(Batters[[#All],[Tot]],MATCH(Table5[[#This Row],[PID]],Batters[[#All],[PID]],0)),INDEX(Table3[[#All],[Tot]],MATCH(Table5[[#This Row],[PID]],Table3[[#All],[PID]],0)))</f>
        <v>46.799746597166518</v>
      </c>
      <c r="R425" s="52">
        <f>IF($C425="B",INDEX(Batters[[#All],[zScore]],MATCH(Table5[[#This Row],[PID]],Batters[[#All],[PID]],0)),INDEX(Table3[[#All],[zScore]],MATCH(Table5[[#This Row],[PID]],Table3[[#All],[PID]],0)))</f>
        <v>0.7271043424300726</v>
      </c>
      <c r="S425" s="58" t="str">
        <f>IF($C425="B",INDEX(Batters[[#All],[DEM]],MATCH(Table5[[#This Row],[PID]],Batters[[#All],[PID]],0)),INDEX(Table3[[#All],[DEM]],MATCH(Table5[[#This Row],[PID]],Table3[[#All],[PID]],0)))</f>
        <v>$65k</v>
      </c>
      <c r="T425" s="62">
        <f>IF($C425="B",INDEX(Batters[[#All],[Rnk]],MATCH(Table5[[#This Row],[PID]],Batters[[#All],[PID]],0)),INDEX(Table3[[#All],[Rnk]],MATCH(Table5[[#This Row],[PID]],Table3[[#All],[PID]],0)))</f>
        <v>184</v>
      </c>
      <c r="U425" s="68">
        <f>IF($C425="B",VLOOKUP($A425,Bat!$A$4:$BA$1621,47,FALSE),VLOOKUP($A425,Pit!$A$4:$BF$1557,56,FALSE))</f>
        <v>0</v>
      </c>
      <c r="V425" s="50">
        <f>IF($C425="B",VLOOKUP($A425,Bat!$A$4:$BA$1621,48,FALSE),VLOOKUP($A425,Pit!$A$4:$BF$1557,57,FALSE))</f>
        <v>0</v>
      </c>
      <c r="W425" s="50">
        <f>Table5[[#This Row],[posRnk]]+Table5[[#This Row],[zRnk]]+IF($W$3&lt;&gt;Table5[[#This Row],[Type]],50,0)</f>
        <v>535</v>
      </c>
      <c r="X425" s="51">
        <f>RANK(Table5[[#This Row],[zScore]],Table5[[#All],[zScore]])</f>
        <v>301</v>
      </c>
      <c r="Y425" s="50">
        <f>IFERROR(INDEX(DraftResults[[#All],[OVR]],MATCH(Table5[[#This Row],[PID]],DraftResults[[#All],[Player ID]],0)),"")</f>
        <v>421</v>
      </c>
      <c r="Z4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5" s="50">
        <f>IFERROR(INDEX(DraftResults[[#All],[Pick in Round]],MATCH(Table5[[#This Row],[PID]],DraftResults[[#All],[Player ID]],0)),"")</f>
        <v>23</v>
      </c>
      <c r="AB425" s="50" t="str">
        <f>IFERROR(INDEX(DraftResults[[#All],[Team Name]],MATCH(Table5[[#This Row],[PID]],DraftResults[[#All],[Player ID]],0)),"")</f>
        <v>Shin Seiki Evas</v>
      </c>
      <c r="AC425" s="50">
        <f>IF(Table5[[#This Row],[Ovr]]="","",IF(Table5[[#This Row],[cmbList]]="","",Table5[[#This Row],[cmbList]]-Table5[[#This Row],[Ovr]]))</f>
        <v>114</v>
      </c>
      <c r="AD425" s="54" t="str">
        <f>IF(ISERROR(VLOOKUP($AB425&amp;"-"&amp;$E425&amp;" "&amp;F425,Bonuses!$B$1:$G$1006,4,FALSE)),"",INT(VLOOKUP($AB425&amp;"-"&amp;$E425&amp;" "&amp;$F425,Bonuses!$B$1:$G$1006,4,FALSE)))</f>
        <v/>
      </c>
      <c r="AE4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14.23 (421) - CL Asmo Subadio</v>
      </c>
    </row>
    <row r="426" spans="1:31" s="50" customFormat="1" x14ac:dyDescent="0.25">
      <c r="A426" s="50">
        <v>18024</v>
      </c>
      <c r="B426" s="50">
        <f>COUNTIF(Table5[PID],A426)</f>
        <v>1</v>
      </c>
      <c r="C426" s="50" t="str">
        <f>IF(COUNTIF(Table3[[#All],[PID]],A426)&gt;0,"P","B")</f>
        <v>B</v>
      </c>
      <c r="D426" s="59" t="str">
        <f>IF($C426="B",INDEX(Batters[[#All],[POS]],MATCH(Table5[[#This Row],[PID]],Batters[[#All],[PID]],0)),INDEX(Table3[[#All],[POS]],MATCH(Table5[[#This Row],[PID]],Table3[[#All],[PID]],0)))</f>
        <v>SS</v>
      </c>
      <c r="E426" s="52" t="str">
        <f>IF($C426="B",INDEX(Batters[[#All],[First]],MATCH(Table5[[#This Row],[PID]],Batters[[#All],[PID]],0)),INDEX(Table3[[#All],[First]],MATCH(Table5[[#This Row],[PID]],Table3[[#All],[PID]],0)))</f>
        <v>Luis</v>
      </c>
      <c r="F426" s="50" t="str">
        <f>IF($C426="B",INDEX(Batters[[#All],[Last]],MATCH(A426,Batters[[#All],[PID]],0)),INDEX(Table3[[#All],[Last]],MATCH(A426,Table3[[#All],[PID]],0)))</f>
        <v>Gómez</v>
      </c>
      <c r="G426" s="56">
        <f>IF($C426="B",INDEX(Batters[[#All],[Age]],MATCH(Table5[[#This Row],[PID]],Batters[[#All],[PID]],0)),INDEX(Table3[[#All],[Age]],MATCH(Table5[[#This Row],[PID]],Table3[[#All],[PID]],0)))</f>
        <v>21</v>
      </c>
      <c r="H426" s="52" t="str">
        <f>IF($C426="B",INDEX(Batters[[#All],[B]],MATCH(Table5[[#This Row],[PID]],Batters[[#All],[PID]],0)),INDEX(Table3[[#All],[B]],MATCH(Table5[[#This Row],[PID]],Table3[[#All],[PID]],0)))</f>
        <v>R</v>
      </c>
      <c r="I426" s="52" t="str">
        <f>IF($C426="B",INDEX(Batters[[#All],[T]],MATCH(Table5[[#This Row],[PID]],Batters[[#All],[PID]],0)),INDEX(Table3[[#All],[T]],MATCH(Table5[[#This Row],[PID]],Table3[[#All],[PID]],0)))</f>
        <v>R</v>
      </c>
      <c r="J426" s="52" t="str">
        <f>IF($C426="B",INDEX(Batters[[#All],[WE]],MATCH(Table5[[#This Row],[PID]],Batters[[#All],[PID]],0)),INDEX(Table3[[#All],[WE]],MATCH(Table5[[#This Row],[PID]],Table3[[#All],[PID]],0)))</f>
        <v>Low</v>
      </c>
      <c r="K426" s="52" t="str">
        <f>IF($C426="B",INDEX(Batters[[#All],[INT]],MATCH(Table5[[#This Row],[PID]],Batters[[#All],[PID]],0)),INDEX(Table3[[#All],[INT]],MATCH(Table5[[#This Row],[PID]],Table3[[#All],[PID]],0)))</f>
        <v>Normal</v>
      </c>
      <c r="L426" s="60">
        <f>IF($C426="B",INDEX(Batters[[#All],[CON P]],MATCH(Table5[[#This Row],[PID]],Batters[[#All],[PID]],0)),INDEX(Table3[[#All],[STU P]],MATCH(Table5[[#This Row],[PID]],Table3[[#All],[PID]],0)))</f>
        <v>4</v>
      </c>
      <c r="M426" s="56">
        <f>IF($C426="B",INDEX(Batters[[#All],[GAP P]],MATCH(Table5[[#This Row],[PID]],Batters[[#All],[PID]],0)),INDEX(Table3[[#All],[MOV P]],MATCH(Table5[[#This Row],[PID]],Table3[[#All],[PID]],0)))</f>
        <v>4</v>
      </c>
      <c r="N426" s="56">
        <f>IF($C426="B",INDEX(Batters[[#All],[POW P]],MATCH(Table5[[#This Row],[PID]],Batters[[#All],[PID]],0)),INDEX(Table3[[#All],[CON P]],MATCH(Table5[[#This Row],[PID]],Table3[[#All],[PID]],0)))</f>
        <v>2</v>
      </c>
      <c r="O426" s="56">
        <f>IF($C426="B",INDEX(Batters[[#All],[EYE P]],MATCH(Table5[[#This Row],[PID]],Batters[[#All],[PID]],0)),INDEX(Table3[[#All],[VELO]],MATCH(Table5[[#This Row],[PID]],Table3[[#All],[PID]],0)))</f>
        <v>5</v>
      </c>
      <c r="P426" s="56">
        <f>IF($C426="B",INDEX(Batters[[#All],[K P]],MATCH(Table5[[#This Row],[PID]],Batters[[#All],[PID]],0)),INDEX(Table3[[#All],[STM]],MATCH(Table5[[#This Row],[PID]],Table3[[#All],[PID]],0)))</f>
        <v>5</v>
      </c>
      <c r="Q426" s="61">
        <f>IF($C426="B",INDEX(Batters[[#All],[Tot]],MATCH(Table5[[#This Row],[PID]],Batters[[#All],[PID]],0)),INDEX(Table3[[#All],[Tot]],MATCH(Table5[[#This Row],[PID]],Table3[[#All],[PID]],0)))</f>
        <v>40.909242462886063</v>
      </c>
      <c r="R426" s="52">
        <f>IF($C426="B",INDEX(Batters[[#All],[zScore]],MATCH(Table5[[#This Row],[PID]],Batters[[#All],[PID]],0)),INDEX(Table3[[#All],[zScore]],MATCH(Table5[[#This Row],[PID]],Table3[[#All],[PID]],0)))</f>
        <v>-0.71449376567620804</v>
      </c>
      <c r="S426" s="58" t="str">
        <f>IF($C426="B",INDEX(Batters[[#All],[DEM]],MATCH(Table5[[#This Row],[PID]],Batters[[#All],[PID]],0)),INDEX(Table3[[#All],[DEM]],MATCH(Table5[[#This Row],[PID]],Table3[[#All],[PID]],0)))</f>
        <v>-</v>
      </c>
      <c r="T426" s="62">
        <f>IF($C426="B",INDEX(Batters[[#All],[Rnk]],MATCH(Table5[[#This Row],[PID]],Batters[[#All],[PID]],0)),INDEX(Table3[[#All],[Rnk]],MATCH(Table5[[#This Row],[PID]],Table3[[#All],[PID]],0)))</f>
        <v>385</v>
      </c>
      <c r="U426" s="68">
        <f>IF($C426="B",VLOOKUP($A426,Bat!$A$4:$BA$1621,47,FALSE),VLOOKUP($A426,Pit!$A$4:$BF$1557,56,FALSE))</f>
        <v>0</v>
      </c>
      <c r="V426" s="50">
        <f>IF($C426="B",VLOOKUP($A426,Bat!$A$4:$BA$1621,48,FALSE),VLOOKUP($A426,Pit!$A$4:$BF$1557,57,FALSE))</f>
        <v>0</v>
      </c>
      <c r="W426" s="50">
        <f>Table5[[#This Row],[posRnk]]+Table5[[#This Row],[zRnk]]+IF($W$3&lt;&gt;Table5[[#This Row],[Type]],50,0)</f>
        <v>1426</v>
      </c>
      <c r="X426" s="51">
        <f>RANK(Table5[[#This Row],[zScore]],Table5[[#All],[zScore]])</f>
        <v>991</v>
      </c>
      <c r="Y426" s="50">
        <f>IFERROR(INDEX(DraftResults[[#All],[OVR]],MATCH(Table5[[#This Row],[PID]],DraftResults[[#All],[Player ID]],0)),"")</f>
        <v>422</v>
      </c>
      <c r="Z4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6" s="50">
        <f>IFERROR(INDEX(DraftResults[[#All],[Pick in Round]],MATCH(Table5[[#This Row],[PID]],DraftResults[[#All],[Player ID]],0)),"")</f>
        <v>24</v>
      </c>
      <c r="AB426" s="50" t="str">
        <f>IFERROR(INDEX(DraftResults[[#All],[Team Name]],MATCH(Table5[[#This Row],[PID]],DraftResults[[#All],[Player ID]],0)),"")</f>
        <v>Aurora Borealis</v>
      </c>
      <c r="AC426" s="50">
        <f>IF(Table5[[#This Row],[Ovr]]="","",IF(Table5[[#This Row],[cmbList]]="","",Table5[[#This Row],[cmbList]]-Table5[[#This Row],[Ovr]]))</f>
        <v>1004</v>
      </c>
      <c r="AD426" s="54" t="str">
        <f>IF(ISERROR(VLOOKUP($AB426&amp;"-"&amp;$E426&amp;" "&amp;F426,Bonuses!$B$1:$G$1006,4,FALSE)),"",INT(VLOOKUP($AB426&amp;"-"&amp;$E426&amp;" "&amp;$F426,Bonuses!$B$1:$G$1006,4,FALSE)))</f>
        <v/>
      </c>
      <c r="AE4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14.24 (422) - SS Luis Gómez</v>
      </c>
    </row>
    <row r="427" spans="1:31" s="50" customFormat="1" x14ac:dyDescent="0.25">
      <c r="A427" s="50">
        <v>15990</v>
      </c>
      <c r="B427" s="55">
        <f>COUNTIF(Table5[PID],A427)</f>
        <v>1</v>
      </c>
      <c r="C427" s="55" t="str">
        <f>IF(COUNTIF(Table3[[#All],[PID]],A427)&gt;0,"P","B")</f>
        <v>B</v>
      </c>
      <c r="D427" s="59" t="str">
        <f>IF($C427="B",INDEX(Batters[[#All],[POS]],MATCH(Table5[[#This Row],[PID]],Batters[[#All],[PID]],0)),INDEX(Table3[[#All],[POS]],MATCH(Table5[[#This Row],[PID]],Table3[[#All],[PID]],0)))</f>
        <v>3B</v>
      </c>
      <c r="E427" s="52" t="str">
        <f>IF($C427="B",INDEX(Batters[[#All],[First]],MATCH(Table5[[#This Row],[PID]],Batters[[#All],[PID]],0)),INDEX(Table3[[#All],[First]],MATCH(Table5[[#This Row],[PID]],Table3[[#All],[PID]],0)))</f>
        <v>Kyushichi</v>
      </c>
      <c r="F427" s="50" t="str">
        <f>IF($C427="B",INDEX(Batters[[#All],[Last]],MATCH(A427,Batters[[#All],[PID]],0)),INDEX(Table3[[#All],[Last]],MATCH(A427,Table3[[#All],[PID]],0)))</f>
        <v>Komatsu</v>
      </c>
      <c r="G427" s="56">
        <f>IF($C427="B",INDEX(Batters[[#All],[Age]],MATCH(Table5[[#This Row],[PID]],Batters[[#All],[PID]],0)),INDEX(Table3[[#All],[Age]],MATCH(Table5[[#This Row],[PID]],Table3[[#All],[PID]],0)))</f>
        <v>21</v>
      </c>
      <c r="H427" s="52" t="str">
        <f>IF($C427="B",INDEX(Batters[[#All],[B]],MATCH(Table5[[#This Row],[PID]],Batters[[#All],[PID]],0)),INDEX(Table3[[#All],[B]],MATCH(Table5[[#This Row],[PID]],Table3[[#All],[PID]],0)))</f>
        <v>R</v>
      </c>
      <c r="I427" s="52" t="str">
        <f>IF($C427="B",INDEX(Batters[[#All],[T]],MATCH(Table5[[#This Row],[PID]],Batters[[#All],[PID]],0)),INDEX(Table3[[#All],[T]],MATCH(Table5[[#This Row],[PID]],Table3[[#All],[PID]],0)))</f>
        <v>R</v>
      </c>
      <c r="J427" s="52" t="str">
        <f>IF($C427="B",INDEX(Batters[[#All],[WE]],MATCH(Table5[[#This Row],[PID]],Batters[[#All],[PID]],0)),INDEX(Table3[[#All],[WE]],MATCH(Table5[[#This Row],[PID]],Table3[[#All],[PID]],0)))</f>
        <v>High</v>
      </c>
      <c r="K427" s="52" t="str">
        <f>IF($C427="B",INDEX(Batters[[#All],[INT]],MATCH(Table5[[#This Row],[PID]],Batters[[#All],[PID]],0)),INDEX(Table3[[#All],[INT]],MATCH(Table5[[#This Row],[PID]],Table3[[#All],[PID]],0)))</f>
        <v>Normal</v>
      </c>
      <c r="L427" s="60">
        <f>IF($C427="B",INDEX(Batters[[#All],[CON P]],MATCH(Table5[[#This Row],[PID]],Batters[[#All],[PID]],0)),INDEX(Table3[[#All],[STU P]],MATCH(Table5[[#This Row],[PID]],Table3[[#All],[PID]],0)))</f>
        <v>3</v>
      </c>
      <c r="M427" s="56">
        <f>IF($C427="B",INDEX(Batters[[#All],[GAP P]],MATCH(Table5[[#This Row],[PID]],Batters[[#All],[PID]],0)),INDEX(Table3[[#All],[MOV P]],MATCH(Table5[[#This Row],[PID]],Table3[[#All],[PID]],0)))</f>
        <v>4</v>
      </c>
      <c r="N427" s="56">
        <f>IF($C427="B",INDEX(Batters[[#All],[POW P]],MATCH(Table5[[#This Row],[PID]],Batters[[#All],[PID]],0)),INDEX(Table3[[#All],[CON P]],MATCH(Table5[[#This Row],[PID]],Table3[[#All],[PID]],0)))</f>
        <v>3</v>
      </c>
      <c r="O427" s="56">
        <f>IF($C427="B",INDEX(Batters[[#All],[EYE P]],MATCH(Table5[[#This Row],[PID]],Batters[[#All],[PID]],0)),INDEX(Table3[[#All],[VELO]],MATCH(Table5[[#This Row],[PID]],Table3[[#All],[PID]],0)))</f>
        <v>4</v>
      </c>
      <c r="P427" s="56">
        <f>IF($C427="B",INDEX(Batters[[#All],[K P]],MATCH(Table5[[#This Row],[PID]],Batters[[#All],[PID]],0)),INDEX(Table3[[#All],[STM]],MATCH(Table5[[#This Row],[PID]],Table3[[#All],[PID]],0)))</f>
        <v>4</v>
      </c>
      <c r="Q427" s="61">
        <f>IF($C427="B",INDEX(Batters[[#All],[Tot]],MATCH(Table5[[#This Row],[PID]],Batters[[#All],[PID]],0)),INDEX(Table3[[#All],[Tot]],MATCH(Table5[[#This Row],[PID]],Table3[[#All],[PID]],0)))</f>
        <v>36.350038172884545</v>
      </c>
      <c r="R427" s="52">
        <f>IF($C427="B",INDEX(Batters[[#All],[zScore]],MATCH(Table5[[#This Row],[PID]],Batters[[#All],[PID]],0)),INDEX(Table3[[#All],[zScore]],MATCH(Table5[[#This Row],[PID]],Table3[[#All],[PID]],0)))</f>
        <v>-1.725300174130469</v>
      </c>
      <c r="S427" s="58" t="str">
        <f>IF($C427="B",INDEX(Batters[[#All],[DEM]],MATCH(Table5[[#This Row],[PID]],Batters[[#All],[PID]],0)),INDEX(Table3[[#All],[DEM]],MATCH(Table5[[#This Row],[PID]],Table3[[#All],[PID]],0)))</f>
        <v>$20k</v>
      </c>
      <c r="T427" s="62">
        <f>IF($C427="B",INDEX(Batters[[#All],[Rnk]],MATCH(Table5[[#This Row],[PID]],Batters[[#All],[PID]],0)),INDEX(Table3[[#All],[Rnk]],MATCH(Table5[[#This Row],[PID]],Table3[[#All],[PID]],0)))</f>
        <v>584</v>
      </c>
      <c r="U427" s="68">
        <f>IF($C427="B",VLOOKUP($A427,Bat!$A$4:$BA$1621,47,FALSE),VLOOKUP($A427,Pit!$A$4:$BF$1557,56,FALSE))</f>
        <v>0</v>
      </c>
      <c r="V427" s="50">
        <f>IF($C427="B",VLOOKUP($A427,Bat!$A$4:$BA$1621,48,FALSE),VLOOKUP($A427,Pit!$A$4:$BF$1557,57,FALSE))</f>
        <v>0</v>
      </c>
      <c r="W427" s="50">
        <f>Table5[[#This Row],[posRnk]]+Table5[[#This Row],[zRnk]]+IF($W$3&lt;&gt;Table5[[#This Row],[Type]],50,0)</f>
        <v>1995</v>
      </c>
      <c r="X427" s="51">
        <f>RANK(Table5[[#This Row],[zScore]],Table5[[#All],[zScore]])</f>
        <v>1361</v>
      </c>
      <c r="Y427" s="50">
        <f>IFERROR(INDEX(DraftResults[[#All],[OVR]],MATCH(Table5[[#This Row],[PID]],DraftResults[[#All],[Player ID]],0)),"")</f>
        <v>423</v>
      </c>
      <c r="Z4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7" s="50">
        <f>IFERROR(INDEX(DraftResults[[#All],[Pick in Round]],MATCH(Table5[[#This Row],[PID]],DraftResults[[#All],[Player ID]],0)),"")</f>
        <v>25</v>
      </c>
      <c r="AB427" s="50" t="str">
        <f>IFERROR(INDEX(DraftResults[[#All],[Team Name]],MATCH(Table5[[#This Row],[PID]],DraftResults[[#All],[Player ID]],0)),"")</f>
        <v>Toyama Wind Dancers</v>
      </c>
      <c r="AC427" s="50">
        <f>IF(Table5[[#This Row],[Ovr]]="","",IF(Table5[[#This Row],[cmbList]]="","",Table5[[#This Row],[cmbList]]-Table5[[#This Row],[Ovr]]))</f>
        <v>1572</v>
      </c>
      <c r="AD427" s="54" t="str">
        <f>IF(ISERROR(VLOOKUP($AB427&amp;"-"&amp;$E427&amp;" "&amp;F427,Bonuses!$B$1:$G$1006,4,FALSE)),"",INT(VLOOKUP($AB427&amp;"-"&amp;$E427&amp;" "&amp;$F427,Bonuses!$B$1:$G$1006,4,FALSE)))</f>
        <v/>
      </c>
      <c r="AE4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14.25 (423) - 3B Kyushichi Komatsu</v>
      </c>
    </row>
    <row r="428" spans="1:31" s="50" customFormat="1" x14ac:dyDescent="0.25">
      <c r="A428" s="50">
        <v>20342</v>
      </c>
      <c r="B428" s="50">
        <f>COUNTIF(Table5[PID],A428)</f>
        <v>1</v>
      </c>
      <c r="C428" s="50" t="str">
        <f>IF(COUNTIF(Table3[[#All],[PID]],A428)&gt;0,"P","B")</f>
        <v>B</v>
      </c>
      <c r="D428" s="59" t="str">
        <f>IF($C428="B",INDEX(Batters[[#All],[POS]],MATCH(Table5[[#This Row],[PID]],Batters[[#All],[PID]],0)),INDEX(Table3[[#All],[POS]],MATCH(Table5[[#This Row],[PID]],Table3[[#All],[PID]],0)))</f>
        <v>3B</v>
      </c>
      <c r="E428" s="52" t="str">
        <f>IF($C428="B",INDEX(Batters[[#All],[First]],MATCH(Table5[[#This Row],[PID]],Batters[[#All],[PID]],0)),INDEX(Table3[[#All],[First]],MATCH(Table5[[#This Row],[PID]],Table3[[#All],[PID]],0)))</f>
        <v>Hayden</v>
      </c>
      <c r="F428" s="50" t="str">
        <f>IF($C428="B",INDEX(Batters[[#All],[Last]],MATCH(A428,Batters[[#All],[PID]],0)),INDEX(Table3[[#All],[Last]],MATCH(A428,Table3[[#All],[PID]],0)))</f>
        <v>Dethridge</v>
      </c>
      <c r="G428" s="56">
        <f>IF($C428="B",INDEX(Batters[[#All],[Age]],MATCH(Table5[[#This Row],[PID]],Batters[[#All],[PID]],0)),INDEX(Table3[[#All],[Age]],MATCH(Table5[[#This Row],[PID]],Table3[[#All],[PID]],0)))</f>
        <v>18</v>
      </c>
      <c r="H428" s="52" t="str">
        <f>IF($C428="B",INDEX(Batters[[#All],[B]],MATCH(Table5[[#This Row],[PID]],Batters[[#All],[PID]],0)),INDEX(Table3[[#All],[B]],MATCH(Table5[[#This Row],[PID]],Table3[[#All],[PID]],0)))</f>
        <v>S</v>
      </c>
      <c r="I428" s="52" t="str">
        <f>IF($C428="B",INDEX(Batters[[#All],[T]],MATCH(Table5[[#This Row],[PID]],Batters[[#All],[PID]],0)),INDEX(Table3[[#All],[T]],MATCH(Table5[[#This Row],[PID]],Table3[[#All],[PID]],0)))</f>
        <v>R</v>
      </c>
      <c r="J428" s="52" t="str">
        <f>IF($C428="B",INDEX(Batters[[#All],[WE]],MATCH(Table5[[#This Row],[PID]],Batters[[#All],[PID]],0)),INDEX(Table3[[#All],[WE]],MATCH(Table5[[#This Row],[PID]],Table3[[#All],[PID]],0)))</f>
        <v>High</v>
      </c>
      <c r="K428" s="52" t="str">
        <f>IF($C428="B",INDEX(Batters[[#All],[INT]],MATCH(Table5[[#This Row],[PID]],Batters[[#All],[PID]],0)),INDEX(Table3[[#All],[INT]],MATCH(Table5[[#This Row],[PID]],Table3[[#All],[PID]],0)))</f>
        <v>Normal</v>
      </c>
      <c r="L428" s="60">
        <f>IF($C428="B",INDEX(Batters[[#All],[CON P]],MATCH(Table5[[#This Row],[PID]],Batters[[#All],[PID]],0)),INDEX(Table3[[#All],[STU P]],MATCH(Table5[[#This Row],[PID]],Table3[[#All],[PID]],0)))</f>
        <v>2</v>
      </c>
      <c r="M428" s="56">
        <f>IF($C428="B",INDEX(Batters[[#All],[GAP P]],MATCH(Table5[[#This Row],[PID]],Batters[[#All],[PID]],0)),INDEX(Table3[[#All],[MOV P]],MATCH(Table5[[#This Row],[PID]],Table3[[#All],[PID]],0)))</f>
        <v>5</v>
      </c>
      <c r="N428" s="56">
        <f>IF($C428="B",INDEX(Batters[[#All],[POW P]],MATCH(Table5[[#This Row],[PID]],Batters[[#All],[PID]],0)),INDEX(Table3[[#All],[CON P]],MATCH(Table5[[#This Row],[PID]],Table3[[#All],[PID]],0)))</f>
        <v>7</v>
      </c>
      <c r="O428" s="56">
        <f>IF($C428="B",INDEX(Batters[[#All],[EYE P]],MATCH(Table5[[#This Row],[PID]],Batters[[#All],[PID]],0)),INDEX(Table3[[#All],[VELO]],MATCH(Table5[[#This Row],[PID]],Table3[[#All],[PID]],0)))</f>
        <v>6</v>
      </c>
      <c r="P428" s="56">
        <f>IF($C428="B",INDEX(Batters[[#All],[K P]],MATCH(Table5[[#This Row],[PID]],Batters[[#All],[PID]],0)),INDEX(Table3[[#All],[STM]],MATCH(Table5[[#This Row],[PID]],Table3[[#All],[PID]],0)))</f>
        <v>1</v>
      </c>
      <c r="Q428" s="61">
        <f>IF($C428="B",INDEX(Batters[[#All],[Tot]],MATCH(Table5[[#This Row],[PID]],Batters[[#All],[PID]],0)),INDEX(Table3[[#All],[Tot]],MATCH(Table5[[#This Row],[PID]],Table3[[#All],[PID]],0)))</f>
        <v>42.817062627644844</v>
      </c>
      <c r="R428" s="52">
        <f>IF($C428="B",INDEX(Batters[[#All],[zScore]],MATCH(Table5[[#This Row],[PID]],Batters[[#All],[PID]],0)),INDEX(Table3[[#All],[zScore]],MATCH(Table5[[#This Row],[PID]],Table3[[#All],[PID]],0)))</f>
        <v>-0.29151713948168428</v>
      </c>
      <c r="S428" s="58" t="str">
        <f>IF($C428="B",INDEX(Batters[[#All],[DEM]],MATCH(Table5[[#This Row],[PID]],Batters[[#All],[PID]],0)),INDEX(Table3[[#All],[DEM]],MATCH(Table5[[#This Row],[PID]],Table3[[#All],[PID]],0)))</f>
        <v>$65k</v>
      </c>
      <c r="T428" s="62">
        <f>IF($C428="B",INDEX(Batters[[#All],[Rnk]],MATCH(Table5[[#This Row],[PID]],Batters[[#All],[PID]],0)),INDEX(Table3[[#All],[Rnk]],MATCH(Table5[[#This Row],[PID]],Table3[[#All],[PID]],0)))</f>
        <v>298</v>
      </c>
      <c r="U428" s="68">
        <f>IF($C428="B",VLOOKUP($A428,Bat!$A$4:$BA$1621,47,FALSE),VLOOKUP($A428,Pit!$A$4:$BF$1557,56,FALSE))</f>
        <v>0</v>
      </c>
      <c r="V428" s="50">
        <f>IF($C428="B",VLOOKUP($A428,Bat!$A$4:$BA$1621,48,FALSE),VLOOKUP($A428,Pit!$A$4:$BF$1557,57,FALSE))</f>
        <v>0</v>
      </c>
      <c r="W428" s="50">
        <f>Table5[[#This Row],[posRnk]]+Table5[[#This Row],[zRnk]]+IF($W$3&lt;&gt;Table5[[#This Row],[Type]],50,0)</f>
        <v>1067</v>
      </c>
      <c r="X428" s="51">
        <f>RANK(Table5[[#This Row],[zScore]],Table5[[#All],[zScore]])</f>
        <v>719</v>
      </c>
      <c r="Y428" s="50">
        <f>IFERROR(INDEX(DraftResults[[#All],[OVR]],MATCH(Table5[[#This Row],[PID]],DraftResults[[#All],[Player ID]],0)),"")</f>
        <v>424</v>
      </c>
      <c r="Z4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8" s="50">
        <f>IFERROR(INDEX(DraftResults[[#All],[Pick in Round]],MATCH(Table5[[#This Row],[PID]],DraftResults[[#All],[Player ID]],0)),"")</f>
        <v>26</v>
      </c>
      <c r="AB428" s="50" t="str">
        <f>IFERROR(INDEX(DraftResults[[#All],[Team Name]],MATCH(Table5[[#This Row],[PID]],DraftResults[[#All],[Player ID]],0)),"")</f>
        <v>Yuma Arroyos</v>
      </c>
      <c r="AC428" s="50">
        <f>IF(Table5[[#This Row],[Ovr]]="","",IF(Table5[[#This Row],[cmbList]]="","",Table5[[#This Row],[cmbList]]-Table5[[#This Row],[Ovr]]))</f>
        <v>643</v>
      </c>
      <c r="AD428" s="54" t="str">
        <f>IF(ISERROR(VLOOKUP($AB428&amp;"-"&amp;$E428&amp;" "&amp;F428,Bonuses!$B$1:$G$1006,4,FALSE)),"",INT(VLOOKUP($AB428&amp;"-"&amp;$E428&amp;" "&amp;$F428,Bonuses!$B$1:$G$1006,4,FALSE)))</f>
        <v/>
      </c>
      <c r="AE4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14.26 (424) - 3B Hayden Dethridge</v>
      </c>
    </row>
    <row r="429" spans="1:31" s="50" customFormat="1" x14ac:dyDescent="0.25">
      <c r="A429" s="50">
        <v>18252</v>
      </c>
      <c r="B429" s="50">
        <f>COUNTIF(Table5[PID],A429)</f>
        <v>1</v>
      </c>
      <c r="C429" s="50" t="str">
        <f>IF(COUNTIF(Table3[[#All],[PID]],A429)&gt;0,"P","B")</f>
        <v>P</v>
      </c>
      <c r="D429" s="59" t="str">
        <f>IF($C429="B",INDEX(Batters[[#All],[POS]],MATCH(Table5[[#This Row],[PID]],Batters[[#All],[PID]],0)),INDEX(Table3[[#All],[POS]],MATCH(Table5[[#This Row],[PID]],Table3[[#All],[PID]],0)))</f>
        <v>RP</v>
      </c>
      <c r="E429" s="52" t="str">
        <f>IF($C429="B",INDEX(Batters[[#All],[First]],MATCH(Table5[[#This Row],[PID]],Batters[[#All],[PID]],0)),INDEX(Table3[[#All],[First]],MATCH(Table5[[#This Row],[PID]],Table3[[#All],[PID]],0)))</f>
        <v>John</v>
      </c>
      <c r="F429" s="50" t="str">
        <f>IF($C429="B",INDEX(Batters[[#All],[Last]],MATCH(A429,Batters[[#All],[PID]],0)),INDEX(Table3[[#All],[Last]],MATCH(A429,Table3[[#All],[PID]],0)))</f>
        <v>Knapp</v>
      </c>
      <c r="G429" s="56">
        <f>IF($C429="B",INDEX(Batters[[#All],[Age]],MATCH(Table5[[#This Row],[PID]],Batters[[#All],[PID]],0)),INDEX(Table3[[#All],[Age]],MATCH(Table5[[#This Row],[PID]],Table3[[#All],[PID]],0)))</f>
        <v>18</v>
      </c>
      <c r="H429" s="52" t="str">
        <f>IF($C429="B",INDEX(Batters[[#All],[B]],MATCH(Table5[[#This Row],[PID]],Batters[[#All],[PID]],0)),INDEX(Table3[[#All],[B]],MATCH(Table5[[#This Row],[PID]],Table3[[#All],[PID]],0)))</f>
        <v>L</v>
      </c>
      <c r="I429" s="52" t="str">
        <f>IF($C429="B",INDEX(Batters[[#All],[T]],MATCH(Table5[[#This Row],[PID]],Batters[[#All],[PID]],0)),INDEX(Table3[[#All],[T]],MATCH(Table5[[#This Row],[PID]],Table3[[#All],[PID]],0)))</f>
        <v>L</v>
      </c>
      <c r="J429" s="52" t="str">
        <f>IF($C429="B",INDEX(Batters[[#All],[WE]],MATCH(Table5[[#This Row],[PID]],Batters[[#All],[PID]],0)),INDEX(Table3[[#All],[WE]],MATCH(Table5[[#This Row],[PID]],Table3[[#All],[PID]],0)))</f>
        <v>Low</v>
      </c>
      <c r="K429" s="52" t="str">
        <f>IF($C429="B",INDEX(Batters[[#All],[INT]],MATCH(Table5[[#This Row],[PID]],Batters[[#All],[PID]],0)),INDEX(Table3[[#All],[INT]],MATCH(Table5[[#This Row],[PID]],Table3[[#All],[PID]],0)))</f>
        <v>High</v>
      </c>
      <c r="L429" s="60">
        <f>IF($C429="B",INDEX(Batters[[#All],[CON P]],MATCH(Table5[[#This Row],[PID]],Batters[[#All],[PID]],0)),INDEX(Table3[[#All],[STU P]],MATCH(Table5[[#This Row],[PID]],Table3[[#All],[PID]],0)))</f>
        <v>5</v>
      </c>
      <c r="M429" s="56">
        <f>IF($C429="B",INDEX(Batters[[#All],[GAP P]],MATCH(Table5[[#This Row],[PID]],Batters[[#All],[PID]],0)),INDEX(Table3[[#All],[MOV P]],MATCH(Table5[[#This Row],[PID]],Table3[[#All],[PID]],0)))</f>
        <v>1</v>
      </c>
      <c r="N429" s="56">
        <f>IF($C429="B",INDEX(Batters[[#All],[POW P]],MATCH(Table5[[#This Row],[PID]],Batters[[#All],[PID]],0)),INDEX(Table3[[#All],[CON P]],MATCH(Table5[[#This Row],[PID]],Table3[[#All],[PID]],0)))</f>
        <v>7</v>
      </c>
      <c r="O429" s="56" t="str">
        <f>IF($C429="B",INDEX(Batters[[#All],[EYE P]],MATCH(Table5[[#This Row],[PID]],Batters[[#All],[PID]],0)),INDEX(Table3[[#All],[VELO]],MATCH(Table5[[#This Row],[PID]],Table3[[#All],[PID]],0)))</f>
        <v>90-92 Mph</v>
      </c>
      <c r="P429" s="56">
        <f>IF($C429="B",INDEX(Batters[[#All],[K P]],MATCH(Table5[[#This Row],[PID]],Batters[[#All],[PID]],0)),INDEX(Table3[[#All],[STM]],MATCH(Table5[[#This Row],[PID]],Table3[[#All],[PID]],0)))</f>
        <v>8</v>
      </c>
      <c r="Q429" s="61">
        <f>IF($C429="B",INDEX(Batters[[#All],[Tot]],MATCH(Table5[[#This Row],[PID]],Batters[[#All],[PID]],0)),INDEX(Table3[[#All],[Tot]],MATCH(Table5[[#This Row],[PID]],Table3[[#All],[PID]],0)))</f>
        <v>55.081089673135736</v>
      </c>
      <c r="R429" s="52">
        <f>IF($C429="B",INDEX(Batters[[#All],[zScore]],MATCH(Table5[[#This Row],[PID]],Batters[[#All],[PID]],0)),INDEX(Table3[[#All],[zScore]],MATCH(Table5[[#This Row],[PID]],Table3[[#All],[PID]],0)))</f>
        <v>1.2780494424807256</v>
      </c>
      <c r="S429" s="58" t="str">
        <f>IF($C429="B",INDEX(Batters[[#All],[DEM]],MATCH(Table5[[#This Row],[PID]],Batters[[#All],[PID]],0)),INDEX(Table3[[#All],[DEM]],MATCH(Table5[[#This Row],[PID]],Table3[[#All],[PID]],0)))</f>
        <v>$90k</v>
      </c>
      <c r="T429" s="62">
        <f>IF($C429="B",INDEX(Batters[[#All],[Rnk]],MATCH(Table5[[#This Row],[PID]],Batters[[#All],[PID]],0)),INDEX(Table3[[#All],[Rnk]],MATCH(Table5[[#This Row],[PID]],Table3[[#All],[PID]],0)))</f>
        <v>104</v>
      </c>
      <c r="U429" s="68">
        <f>IF($C429="B",VLOOKUP($A429,Bat!$A$4:$BA$1621,47,FALSE),VLOOKUP($A429,Pit!$A$4:$BF$1557,56,FALSE))</f>
        <v>0</v>
      </c>
      <c r="V429" s="50">
        <f>IF($C429="B",VLOOKUP($A429,Bat!$A$4:$BA$1621,48,FALSE),VLOOKUP($A429,Pit!$A$4:$BF$1557,57,FALSE))</f>
        <v>0</v>
      </c>
      <c r="W429" s="50">
        <f>Table5[[#This Row],[posRnk]]+Table5[[#This Row],[zRnk]]+IF($W$3&lt;&gt;Table5[[#This Row],[Type]],50,0)</f>
        <v>319</v>
      </c>
      <c r="X429" s="51">
        <f>RANK(Table5[[#This Row],[zScore]],Table5[[#All],[zScore]])</f>
        <v>165</v>
      </c>
      <c r="Y429" s="50">
        <f>IFERROR(INDEX(DraftResults[[#All],[OVR]],MATCH(Table5[[#This Row],[PID]],DraftResults[[#All],[Player ID]],0)),"")</f>
        <v>425</v>
      </c>
      <c r="Z4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29" s="50">
        <f>IFERROR(INDEX(DraftResults[[#All],[Pick in Round]],MATCH(Table5[[#This Row],[PID]],DraftResults[[#All],[Player ID]],0)),"")</f>
        <v>27</v>
      </c>
      <c r="AB429" s="50" t="str">
        <f>IFERROR(INDEX(DraftResults[[#All],[Team Name]],MATCH(Table5[[#This Row],[PID]],DraftResults[[#All],[Player ID]],0)),"")</f>
        <v>Neo-Tokyo Akira</v>
      </c>
      <c r="AC429" s="50">
        <f>IF(Table5[[#This Row],[Ovr]]="","",IF(Table5[[#This Row],[cmbList]]="","",Table5[[#This Row],[cmbList]]-Table5[[#This Row],[Ovr]]))</f>
        <v>-106</v>
      </c>
      <c r="AD429" s="54" t="str">
        <f>IF(ISERROR(VLOOKUP($AB429&amp;"-"&amp;$E429&amp;" "&amp;F429,Bonuses!$B$1:$G$1006,4,FALSE)),"",INT(VLOOKUP($AB429&amp;"-"&amp;$E429&amp;" "&amp;$F429,Bonuses!$B$1:$G$1006,4,FALSE)))</f>
        <v/>
      </c>
      <c r="AE4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14.27 (425) - RP John Knapp</v>
      </c>
    </row>
    <row r="430" spans="1:31" s="50" customFormat="1" x14ac:dyDescent="0.25">
      <c r="A430" s="50">
        <v>12958</v>
      </c>
      <c r="B430" s="50">
        <f>COUNTIF(Table5[PID],A430)</f>
        <v>1</v>
      </c>
      <c r="C430" s="50" t="str">
        <f>IF(COUNTIF(Table3[[#All],[PID]],A430)&gt;0,"P","B")</f>
        <v>P</v>
      </c>
      <c r="D430" s="59" t="str">
        <f>IF($C430="B",INDEX(Batters[[#All],[POS]],MATCH(Table5[[#This Row],[PID]],Batters[[#All],[PID]],0)),INDEX(Table3[[#All],[POS]],MATCH(Table5[[#This Row],[PID]],Table3[[#All],[PID]],0)))</f>
        <v>RP</v>
      </c>
      <c r="E430" s="52" t="str">
        <f>IF($C430="B",INDEX(Batters[[#All],[First]],MATCH(Table5[[#This Row],[PID]],Batters[[#All],[PID]],0)),INDEX(Table3[[#All],[First]],MATCH(Table5[[#This Row],[PID]],Table3[[#All],[PID]],0)))</f>
        <v>Derrek</v>
      </c>
      <c r="F430" s="50" t="str">
        <f>IF($C430="B",INDEX(Batters[[#All],[Last]],MATCH(A430,Batters[[#All],[PID]],0)),INDEX(Table3[[#All],[Last]],MATCH(A430,Table3[[#All],[PID]],0)))</f>
        <v>Harper</v>
      </c>
      <c r="G430" s="56">
        <f>IF($C430="B",INDEX(Batters[[#All],[Age]],MATCH(Table5[[#This Row],[PID]],Batters[[#All],[PID]],0)),INDEX(Table3[[#All],[Age]],MATCH(Table5[[#This Row],[PID]],Table3[[#All],[PID]],0)))</f>
        <v>18</v>
      </c>
      <c r="H430" s="52" t="str">
        <f>IF($C430="B",INDEX(Batters[[#All],[B]],MATCH(Table5[[#This Row],[PID]],Batters[[#All],[PID]],0)),INDEX(Table3[[#All],[B]],MATCH(Table5[[#This Row],[PID]],Table3[[#All],[PID]],0)))</f>
        <v>S</v>
      </c>
      <c r="I430" s="52" t="str">
        <f>IF($C430="B",INDEX(Batters[[#All],[T]],MATCH(Table5[[#This Row],[PID]],Batters[[#All],[PID]],0)),INDEX(Table3[[#All],[T]],MATCH(Table5[[#This Row],[PID]],Table3[[#All],[PID]],0)))</f>
        <v>R</v>
      </c>
      <c r="J430" s="52" t="str">
        <f>IF($C430="B",INDEX(Batters[[#All],[WE]],MATCH(Table5[[#This Row],[PID]],Batters[[#All],[PID]],0)),INDEX(Table3[[#All],[WE]],MATCH(Table5[[#This Row],[PID]],Table3[[#All],[PID]],0)))</f>
        <v>Low</v>
      </c>
      <c r="K430" s="52" t="str">
        <f>IF($C430="B",INDEX(Batters[[#All],[INT]],MATCH(Table5[[#This Row],[PID]],Batters[[#All],[PID]],0)),INDEX(Table3[[#All],[INT]],MATCH(Table5[[#This Row],[PID]],Table3[[#All],[PID]],0)))</f>
        <v>High</v>
      </c>
      <c r="L430" s="60">
        <f>IF($C430="B",INDEX(Batters[[#All],[CON P]],MATCH(Table5[[#This Row],[PID]],Batters[[#All],[PID]],0)),INDEX(Table3[[#All],[STU P]],MATCH(Table5[[#This Row],[PID]],Table3[[#All],[PID]],0)))</f>
        <v>5</v>
      </c>
      <c r="M430" s="56">
        <f>IF($C430="B",INDEX(Batters[[#All],[GAP P]],MATCH(Table5[[#This Row],[PID]],Batters[[#All],[PID]],0)),INDEX(Table3[[#All],[MOV P]],MATCH(Table5[[#This Row],[PID]],Table3[[#All],[PID]],0)))</f>
        <v>5</v>
      </c>
      <c r="N430" s="56">
        <f>IF($C430="B",INDEX(Batters[[#All],[POW P]],MATCH(Table5[[#This Row],[PID]],Batters[[#All],[PID]],0)),INDEX(Table3[[#All],[CON P]],MATCH(Table5[[#This Row],[PID]],Table3[[#All],[PID]],0)))</f>
        <v>3</v>
      </c>
      <c r="O430" s="56" t="str">
        <f>IF($C430="B",INDEX(Batters[[#All],[EYE P]],MATCH(Table5[[#This Row],[PID]],Batters[[#All],[PID]],0)),INDEX(Table3[[#All],[VELO]],MATCH(Table5[[#This Row],[PID]],Table3[[#All],[PID]],0)))</f>
        <v>88-90 Mph</v>
      </c>
      <c r="P430" s="56">
        <f>IF($C430="B",INDEX(Batters[[#All],[K P]],MATCH(Table5[[#This Row],[PID]],Batters[[#All],[PID]],0)),INDEX(Table3[[#All],[STM]],MATCH(Table5[[#This Row],[PID]],Table3[[#All],[PID]],0)))</f>
        <v>6</v>
      </c>
      <c r="Q430" s="61">
        <f>IF($C430="B",INDEX(Batters[[#All],[Tot]],MATCH(Table5[[#This Row],[PID]],Batters[[#All],[PID]],0)),INDEX(Table3[[#All],[Tot]],MATCH(Table5[[#This Row],[PID]],Table3[[#All],[PID]],0)))</f>
        <v>42.593374026675079</v>
      </c>
      <c r="R430" s="52">
        <f>IF($C430="B",INDEX(Batters[[#All],[zScore]],MATCH(Table5[[#This Row],[PID]],Batters[[#All],[PID]],0)),INDEX(Table3[[#All],[zScore]],MATCH(Table5[[#This Row],[PID]],Table3[[#All],[PID]],0)))</f>
        <v>0.4472608031103954</v>
      </c>
      <c r="S430" s="58" t="str">
        <f>IF($C430="B",INDEX(Batters[[#All],[DEM]],MATCH(Table5[[#This Row],[PID]],Batters[[#All],[PID]],0)),INDEX(Table3[[#All],[DEM]],MATCH(Table5[[#This Row],[PID]],Table3[[#All],[PID]],0)))</f>
        <v>$80k</v>
      </c>
      <c r="T430" s="62">
        <f>IF($C430="B",INDEX(Batters[[#All],[Rnk]],MATCH(Table5[[#This Row],[PID]],Batters[[#All],[PID]],0)),INDEX(Table3[[#All],[Rnk]],MATCH(Table5[[#This Row],[PID]],Table3[[#All],[PID]],0)))</f>
        <v>223</v>
      </c>
      <c r="U430" s="68">
        <f>IF($C430="B",VLOOKUP($A430,Bat!$A$4:$BA$1621,47,FALSE),VLOOKUP($A430,Pit!$A$4:$BF$1557,56,FALSE))</f>
        <v>0</v>
      </c>
      <c r="V430" s="50">
        <f>IF($C430="B",VLOOKUP($A430,Bat!$A$4:$BA$1621,48,FALSE),VLOOKUP($A430,Pit!$A$4:$BF$1557,57,FALSE))</f>
        <v>0</v>
      </c>
      <c r="W430" s="50">
        <f>Table5[[#This Row],[posRnk]]+Table5[[#This Row],[zRnk]]+IF($W$3&lt;&gt;Table5[[#This Row],[Type]],50,0)</f>
        <v>653</v>
      </c>
      <c r="X430" s="51">
        <f>RANK(Table5[[#This Row],[zScore]],Table5[[#All],[zScore]])</f>
        <v>380</v>
      </c>
      <c r="Y430" s="50">
        <f>IFERROR(INDEX(DraftResults[[#All],[OVR]],MATCH(Table5[[#This Row],[PID]],DraftResults[[#All],[Player ID]],0)),"")</f>
        <v>426</v>
      </c>
      <c r="Z4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30" s="50">
        <f>IFERROR(INDEX(DraftResults[[#All],[Pick in Round]],MATCH(Table5[[#This Row],[PID]],DraftResults[[#All],[Player ID]],0)),"")</f>
        <v>28</v>
      </c>
      <c r="AB430" s="50" t="str">
        <f>IFERROR(INDEX(DraftResults[[#All],[Team Name]],MATCH(Table5[[#This Row],[PID]],DraftResults[[#All],[Player ID]],0)),"")</f>
        <v>San Juan Coqui</v>
      </c>
      <c r="AC430" s="50">
        <f>IF(Table5[[#This Row],[Ovr]]="","",IF(Table5[[#This Row],[cmbList]]="","",Table5[[#This Row],[cmbList]]-Table5[[#This Row],[Ovr]]))</f>
        <v>227</v>
      </c>
      <c r="AD430" s="54" t="str">
        <f>IF(ISERROR(VLOOKUP($AB430&amp;"-"&amp;$E430&amp;" "&amp;F430,Bonuses!$B$1:$G$1006,4,FALSE)),"",INT(VLOOKUP($AB430&amp;"-"&amp;$E430&amp;" "&amp;$F430,Bonuses!$B$1:$G$1006,4,FALSE)))</f>
        <v/>
      </c>
      <c r="AE4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14.28 (426) - RP Derrek Harper</v>
      </c>
    </row>
    <row r="431" spans="1:31" s="50" customFormat="1" x14ac:dyDescent="0.25">
      <c r="A431" s="50">
        <v>11476</v>
      </c>
      <c r="B431" s="50">
        <f>COUNTIF(Table5[PID],A431)</f>
        <v>1</v>
      </c>
      <c r="C431" s="50" t="str">
        <f>IF(COUNTIF(Table3[[#All],[PID]],A431)&gt;0,"P","B")</f>
        <v>B</v>
      </c>
      <c r="D431" s="59" t="str">
        <f>IF($C431="B",INDEX(Batters[[#All],[POS]],MATCH(Table5[[#This Row],[PID]],Batters[[#All],[PID]],0)),INDEX(Table3[[#All],[POS]],MATCH(Table5[[#This Row],[PID]],Table3[[#All],[PID]],0)))</f>
        <v>C</v>
      </c>
      <c r="E431" s="52" t="str">
        <f>IF($C431="B",INDEX(Batters[[#All],[First]],MATCH(Table5[[#This Row],[PID]],Batters[[#All],[PID]],0)),INDEX(Table3[[#All],[First]],MATCH(Table5[[#This Row],[PID]],Table3[[#All],[PID]],0)))</f>
        <v>John</v>
      </c>
      <c r="F431" s="50" t="str">
        <f>IF($C431="B",INDEX(Batters[[#All],[Last]],MATCH(A431,Batters[[#All],[PID]],0)),INDEX(Table3[[#All],[Last]],MATCH(A431,Table3[[#All],[PID]],0)))</f>
        <v>McNish</v>
      </c>
      <c r="G431" s="56">
        <f>IF($C431="B",INDEX(Batters[[#All],[Age]],MATCH(Table5[[#This Row],[PID]],Batters[[#All],[PID]],0)),INDEX(Table3[[#All],[Age]],MATCH(Table5[[#This Row],[PID]],Table3[[#All],[PID]],0)))</f>
        <v>21</v>
      </c>
      <c r="H431" s="52" t="str">
        <f>IF($C431="B",INDEX(Batters[[#All],[B]],MATCH(Table5[[#This Row],[PID]],Batters[[#All],[PID]],0)),INDEX(Table3[[#All],[B]],MATCH(Table5[[#This Row],[PID]],Table3[[#All],[PID]],0)))</f>
        <v>R</v>
      </c>
      <c r="I431" s="52" t="str">
        <f>IF($C431="B",INDEX(Batters[[#All],[T]],MATCH(Table5[[#This Row],[PID]],Batters[[#All],[PID]],0)),INDEX(Table3[[#All],[T]],MATCH(Table5[[#This Row],[PID]],Table3[[#All],[PID]],0)))</f>
        <v>R</v>
      </c>
      <c r="J431" s="52" t="str">
        <f>IF($C431="B",INDEX(Batters[[#All],[WE]],MATCH(Table5[[#This Row],[PID]],Batters[[#All],[PID]],0)),INDEX(Table3[[#All],[WE]],MATCH(Table5[[#This Row],[PID]],Table3[[#All],[PID]],0)))</f>
        <v>Normal</v>
      </c>
      <c r="K431" s="52" t="str">
        <f>IF($C431="B",INDEX(Batters[[#All],[INT]],MATCH(Table5[[#This Row],[PID]],Batters[[#All],[PID]],0)),INDEX(Table3[[#All],[INT]],MATCH(Table5[[#This Row],[PID]],Table3[[#All],[PID]],0)))</f>
        <v>Normal</v>
      </c>
      <c r="L431" s="60">
        <f>IF($C431="B",INDEX(Batters[[#All],[CON P]],MATCH(Table5[[#This Row],[PID]],Batters[[#All],[PID]],0)),INDEX(Table3[[#All],[STU P]],MATCH(Table5[[#This Row],[PID]],Table3[[#All],[PID]],0)))</f>
        <v>3</v>
      </c>
      <c r="M431" s="56">
        <f>IF($C431="B",INDEX(Batters[[#All],[GAP P]],MATCH(Table5[[#This Row],[PID]],Batters[[#All],[PID]],0)),INDEX(Table3[[#All],[MOV P]],MATCH(Table5[[#This Row],[PID]],Table3[[#All],[PID]],0)))</f>
        <v>3</v>
      </c>
      <c r="N431" s="56">
        <f>IF($C431="B",INDEX(Batters[[#All],[POW P]],MATCH(Table5[[#This Row],[PID]],Batters[[#All],[PID]],0)),INDEX(Table3[[#All],[CON P]],MATCH(Table5[[#This Row],[PID]],Table3[[#All],[PID]],0)))</f>
        <v>3</v>
      </c>
      <c r="O431" s="56">
        <f>IF($C431="B",INDEX(Batters[[#All],[EYE P]],MATCH(Table5[[#This Row],[PID]],Batters[[#All],[PID]],0)),INDEX(Table3[[#All],[VELO]],MATCH(Table5[[#This Row],[PID]],Table3[[#All],[PID]],0)))</f>
        <v>5</v>
      </c>
      <c r="P431" s="56">
        <f>IF($C431="B",INDEX(Batters[[#All],[K P]],MATCH(Table5[[#This Row],[PID]],Batters[[#All],[PID]],0)),INDEX(Table3[[#All],[STM]],MATCH(Table5[[#This Row],[PID]],Table3[[#All],[PID]],0)))</f>
        <v>2</v>
      </c>
      <c r="Q431" s="61">
        <f>IF($C431="B",INDEX(Batters[[#All],[Tot]],MATCH(Table5[[#This Row],[PID]],Batters[[#All],[PID]],0)),INDEX(Table3[[#All],[Tot]],MATCH(Table5[[#This Row],[PID]],Table3[[#All],[PID]],0)))</f>
        <v>35.773336074003197</v>
      </c>
      <c r="R431" s="52">
        <f>IF($C431="B",INDEX(Batters[[#All],[zScore]],MATCH(Table5[[#This Row],[PID]],Batters[[#All],[PID]],0)),INDEX(Table3[[#All],[zScore]],MATCH(Table5[[#This Row],[PID]],Table3[[#All],[PID]],0)))</f>
        <v>-1.8531589275968761</v>
      </c>
      <c r="S431" s="58" t="str">
        <f>IF($C431="B",INDEX(Batters[[#All],[DEM]],MATCH(Table5[[#This Row],[PID]],Batters[[#All],[PID]],0)),INDEX(Table3[[#All],[DEM]],MATCH(Table5[[#This Row],[PID]],Table3[[#All],[PID]],0)))</f>
        <v>-</v>
      </c>
      <c r="T431" s="62">
        <f>IF($C431="B",INDEX(Batters[[#All],[Rnk]],MATCH(Table5[[#This Row],[PID]],Batters[[#All],[PID]],0)),INDEX(Table3[[#All],[Rnk]],MATCH(Table5[[#This Row],[PID]],Table3[[#All],[PID]],0)))</f>
        <v>614</v>
      </c>
      <c r="U431" s="68">
        <f>IF($C431="B",VLOOKUP($A431,Bat!$A$4:$BA$1621,47,FALSE),VLOOKUP($A431,Pit!$A$4:$BF$1557,56,FALSE))</f>
        <v>0</v>
      </c>
      <c r="V431" s="50">
        <f>IF($C431="B",VLOOKUP($A431,Bat!$A$4:$BA$1621,48,FALSE),VLOOKUP($A431,Pit!$A$4:$BF$1557,57,FALSE))</f>
        <v>0</v>
      </c>
      <c r="W431" s="50">
        <f>Table5[[#This Row],[posRnk]]+Table5[[#This Row],[zRnk]]+IF($W$3&lt;&gt;Table5[[#This Row],[Type]],50,0)</f>
        <v>2056</v>
      </c>
      <c r="X431" s="51">
        <f>RANK(Table5[[#This Row],[zScore]],Table5[[#All],[zScore]])</f>
        <v>1392</v>
      </c>
      <c r="Y431" s="50">
        <f>IFERROR(INDEX(DraftResults[[#All],[OVR]],MATCH(Table5[[#This Row],[PID]],DraftResults[[#All],[Player ID]],0)),"")</f>
        <v>427</v>
      </c>
      <c r="Z4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31" s="50">
        <f>IFERROR(INDEX(DraftResults[[#All],[Pick in Round]],MATCH(Table5[[#This Row],[PID]],DraftResults[[#All],[Player ID]],0)),"")</f>
        <v>29</v>
      </c>
      <c r="AB431" s="50" t="str">
        <f>IFERROR(INDEX(DraftResults[[#All],[Team Name]],MATCH(Table5[[#This Row],[PID]],DraftResults[[#All],[Player ID]],0)),"")</f>
        <v>Havana Leones</v>
      </c>
      <c r="AC431" s="50">
        <f>IF(Table5[[#This Row],[Ovr]]="","",IF(Table5[[#This Row],[cmbList]]="","",Table5[[#This Row],[cmbList]]-Table5[[#This Row],[Ovr]]))</f>
        <v>1629</v>
      </c>
      <c r="AD431" s="54" t="str">
        <f>IF(ISERROR(VLOOKUP($AB431&amp;"-"&amp;$E431&amp;" "&amp;F431,Bonuses!$B$1:$G$1006,4,FALSE)),"",INT(VLOOKUP($AB431&amp;"-"&amp;$E431&amp;" "&amp;$F431,Bonuses!$B$1:$G$1006,4,FALSE)))</f>
        <v/>
      </c>
      <c r="AE4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14.29 (427) - C John McNish</v>
      </c>
    </row>
    <row r="432" spans="1:31" s="50" customFormat="1" x14ac:dyDescent="0.25">
      <c r="A432" s="50">
        <v>17030</v>
      </c>
      <c r="B432" s="50">
        <f>COUNTIF(Table5[PID],A432)</f>
        <v>1</v>
      </c>
      <c r="C432" s="50" t="str">
        <f>IF(COUNTIF(Table3[[#All],[PID]],A432)&gt;0,"P","B")</f>
        <v>B</v>
      </c>
      <c r="D432" s="59" t="str">
        <f>IF($C432="B",INDEX(Batters[[#All],[POS]],MATCH(Table5[[#This Row],[PID]],Batters[[#All],[PID]],0)),INDEX(Table3[[#All],[POS]],MATCH(Table5[[#This Row],[PID]],Table3[[#All],[PID]],0)))</f>
        <v>C</v>
      </c>
      <c r="E432" s="52" t="str">
        <f>IF($C432="B",INDEX(Batters[[#All],[First]],MATCH(Table5[[#This Row],[PID]],Batters[[#All],[PID]],0)),INDEX(Table3[[#All],[First]],MATCH(Table5[[#This Row],[PID]],Table3[[#All],[PID]],0)))</f>
        <v>Carlos</v>
      </c>
      <c r="F432" s="50" t="str">
        <f>IF($C432="B",INDEX(Batters[[#All],[Last]],MATCH(A432,Batters[[#All],[PID]],0)),INDEX(Table3[[#All],[Last]],MATCH(A432,Table3[[#All],[PID]],0)))</f>
        <v>Ortíz</v>
      </c>
      <c r="G432" s="56">
        <f>IF($C432="B",INDEX(Batters[[#All],[Age]],MATCH(Table5[[#This Row],[PID]],Batters[[#All],[PID]],0)),INDEX(Table3[[#All],[Age]],MATCH(Table5[[#This Row],[PID]],Table3[[#All],[PID]],0)))</f>
        <v>21</v>
      </c>
      <c r="H432" s="52" t="str">
        <f>IF($C432="B",INDEX(Batters[[#All],[B]],MATCH(Table5[[#This Row],[PID]],Batters[[#All],[PID]],0)),INDEX(Table3[[#All],[B]],MATCH(Table5[[#This Row],[PID]],Table3[[#All],[PID]],0)))</f>
        <v>R</v>
      </c>
      <c r="I432" s="52" t="str">
        <f>IF($C432="B",INDEX(Batters[[#All],[T]],MATCH(Table5[[#This Row],[PID]],Batters[[#All],[PID]],0)),INDEX(Table3[[#All],[T]],MATCH(Table5[[#This Row],[PID]],Table3[[#All],[PID]],0)))</f>
        <v>R</v>
      </c>
      <c r="J432" s="52" t="str">
        <f>IF($C432="B",INDEX(Batters[[#All],[WE]],MATCH(Table5[[#This Row],[PID]],Batters[[#All],[PID]],0)),INDEX(Table3[[#All],[WE]],MATCH(Table5[[#This Row],[PID]],Table3[[#All],[PID]],0)))</f>
        <v>Normal</v>
      </c>
      <c r="K432" s="52" t="str">
        <f>IF($C432="B",INDEX(Batters[[#All],[INT]],MATCH(Table5[[#This Row],[PID]],Batters[[#All],[PID]],0)),INDEX(Table3[[#All],[INT]],MATCH(Table5[[#This Row],[PID]],Table3[[#All],[PID]],0)))</f>
        <v>Normal</v>
      </c>
      <c r="L432" s="60">
        <f>IF($C432="B",INDEX(Batters[[#All],[CON P]],MATCH(Table5[[#This Row],[PID]],Batters[[#All],[PID]],0)),INDEX(Table3[[#All],[STU P]],MATCH(Table5[[#This Row],[PID]],Table3[[#All],[PID]],0)))</f>
        <v>4</v>
      </c>
      <c r="M432" s="56">
        <f>IF($C432="B",INDEX(Batters[[#All],[GAP P]],MATCH(Table5[[#This Row],[PID]],Batters[[#All],[PID]],0)),INDEX(Table3[[#All],[MOV P]],MATCH(Table5[[#This Row],[PID]],Table3[[#All],[PID]],0)))</f>
        <v>5</v>
      </c>
      <c r="N432" s="56">
        <f>IF($C432="B",INDEX(Batters[[#All],[POW P]],MATCH(Table5[[#This Row],[PID]],Batters[[#All],[PID]],0)),INDEX(Table3[[#All],[CON P]],MATCH(Table5[[#This Row],[PID]],Table3[[#All],[PID]],0)))</f>
        <v>4</v>
      </c>
      <c r="O432" s="56">
        <f>IF($C432="B",INDEX(Batters[[#All],[EYE P]],MATCH(Table5[[#This Row],[PID]],Batters[[#All],[PID]],0)),INDEX(Table3[[#All],[VELO]],MATCH(Table5[[#This Row],[PID]],Table3[[#All],[PID]],0)))</f>
        <v>4</v>
      </c>
      <c r="P432" s="56">
        <f>IF($C432="B",INDEX(Batters[[#All],[K P]],MATCH(Table5[[#This Row],[PID]],Batters[[#All],[PID]],0)),INDEX(Table3[[#All],[STM]],MATCH(Table5[[#This Row],[PID]],Table3[[#All],[PID]],0)))</f>
        <v>5</v>
      </c>
      <c r="Q432" s="61">
        <f>IF($C432="B",INDEX(Batters[[#All],[Tot]],MATCH(Table5[[#This Row],[PID]],Batters[[#All],[PID]],0)),INDEX(Table3[[#All],[Tot]],MATCH(Table5[[#This Row],[PID]],Table3[[#All],[PID]],0)))</f>
        <v>43.164031757780847</v>
      </c>
      <c r="R432" s="52">
        <f>IF($C432="B",INDEX(Batters[[#All],[zScore]],MATCH(Table5[[#This Row],[PID]],Batters[[#All],[PID]],0)),INDEX(Table3[[#All],[zScore]],MATCH(Table5[[#This Row],[PID]],Table3[[#All],[PID]],0)))</f>
        <v>-0.21459173803687306</v>
      </c>
      <c r="S432" s="58" t="str">
        <f>IF($C432="B",INDEX(Batters[[#All],[DEM]],MATCH(Table5[[#This Row],[PID]],Batters[[#All],[PID]],0)),INDEX(Table3[[#All],[DEM]],MATCH(Table5[[#This Row],[PID]],Table3[[#All],[PID]],0)))</f>
        <v>-</v>
      </c>
      <c r="T432" s="62">
        <f>IF($C432="B",INDEX(Batters[[#All],[Rnk]],MATCH(Table5[[#This Row],[PID]],Batters[[#All],[PID]],0)),INDEX(Table3[[#All],[Rnk]],MATCH(Table5[[#This Row],[PID]],Table3[[#All],[PID]],0)))</f>
        <v>286</v>
      </c>
      <c r="U432" s="68">
        <f>IF($C432="B",VLOOKUP($A432,Bat!$A$4:$BA$1621,47,FALSE),VLOOKUP($A432,Pit!$A$4:$BF$1557,56,FALSE))</f>
        <v>0</v>
      </c>
      <c r="V432" s="50">
        <f>IF($C432="B",VLOOKUP($A432,Bat!$A$4:$BA$1621,48,FALSE),VLOOKUP($A432,Pit!$A$4:$BF$1557,57,FALSE))</f>
        <v>0</v>
      </c>
      <c r="W432" s="50">
        <f>Table5[[#This Row],[posRnk]]+Table5[[#This Row],[zRnk]]+IF($W$3&lt;&gt;Table5[[#This Row],[Type]],50,0)</f>
        <v>1014</v>
      </c>
      <c r="X432" s="51">
        <f>RANK(Table5[[#This Row],[zScore]],Table5[[#All],[zScore]])</f>
        <v>678</v>
      </c>
      <c r="Y432" s="50">
        <f>IFERROR(INDEX(DraftResults[[#All],[OVR]],MATCH(Table5[[#This Row],[PID]],DraftResults[[#All],[Player ID]],0)),"")</f>
        <v>428</v>
      </c>
      <c r="Z4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14</v>
      </c>
      <c r="AA432" s="50">
        <f>IFERROR(INDEX(DraftResults[[#All],[Pick in Round]],MATCH(Table5[[#This Row],[PID]],DraftResults[[#All],[Player ID]],0)),"")</f>
        <v>30</v>
      </c>
      <c r="AB432" s="50" t="str">
        <f>IFERROR(INDEX(DraftResults[[#All],[Team Name]],MATCH(Table5[[#This Row],[PID]],DraftResults[[#All],[Player ID]],0)),"")</f>
        <v>Florida Farstriders</v>
      </c>
      <c r="AC432" s="50">
        <f>IF(Table5[[#This Row],[Ovr]]="","",IF(Table5[[#This Row],[cmbList]]="","",Table5[[#This Row],[cmbList]]-Table5[[#This Row],[Ovr]]))</f>
        <v>586</v>
      </c>
      <c r="AD432" s="54" t="str">
        <f>IF(ISERROR(VLOOKUP($AB432&amp;"-"&amp;$E432&amp;" "&amp;F432,Bonuses!$B$1:$G$1006,4,FALSE)),"",INT(VLOOKUP($AB432&amp;"-"&amp;$E432&amp;" "&amp;$F432,Bonuses!$B$1:$G$1006,4,FALSE)))</f>
        <v/>
      </c>
      <c r="AE4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14.30 (428) - C Carlos Ortíz</v>
      </c>
    </row>
    <row r="433" spans="1:31" s="50" customFormat="1" x14ac:dyDescent="0.25">
      <c r="A433" s="50">
        <v>20566</v>
      </c>
      <c r="B433" s="50">
        <f>COUNTIF(Table5[PID],A433)</f>
        <v>1</v>
      </c>
      <c r="C433" s="50" t="str">
        <f>IF(COUNTIF(Table3[[#All],[PID]],A433)&gt;0,"P","B")</f>
        <v>B</v>
      </c>
      <c r="D433" s="59" t="str">
        <f>IF($C433="B",INDEX(Batters[[#All],[POS]],MATCH(Table5[[#This Row],[PID]],Batters[[#All],[PID]],0)),INDEX(Table3[[#All],[POS]],MATCH(Table5[[#This Row],[PID]],Table3[[#All],[PID]],0)))</f>
        <v>2B</v>
      </c>
      <c r="E433" s="52" t="str">
        <f>IF($C433="B",INDEX(Batters[[#All],[First]],MATCH(Table5[[#This Row],[PID]],Batters[[#All],[PID]],0)),INDEX(Table3[[#All],[First]],MATCH(Table5[[#This Row],[PID]],Table3[[#All],[PID]],0)))</f>
        <v>Joshua</v>
      </c>
      <c r="F433" s="50" t="str">
        <f>IF($C433="B",INDEX(Batters[[#All],[Last]],MATCH(A433,Batters[[#All],[PID]],0)),INDEX(Table3[[#All],[Last]],MATCH(A433,Table3[[#All],[PID]],0)))</f>
        <v>Eveson</v>
      </c>
      <c r="G433" s="56">
        <f>IF($C433="B",INDEX(Batters[[#All],[Age]],MATCH(Table5[[#This Row],[PID]],Batters[[#All],[PID]],0)),INDEX(Table3[[#All],[Age]],MATCH(Table5[[#This Row],[PID]],Table3[[#All],[PID]],0)))</f>
        <v>17</v>
      </c>
      <c r="H433" s="52" t="str">
        <f>IF($C433="B",INDEX(Batters[[#All],[B]],MATCH(Table5[[#This Row],[PID]],Batters[[#All],[PID]],0)),INDEX(Table3[[#All],[B]],MATCH(Table5[[#This Row],[PID]],Table3[[#All],[PID]],0)))</f>
        <v>R</v>
      </c>
      <c r="I433" s="52" t="str">
        <f>IF($C433="B",INDEX(Batters[[#All],[T]],MATCH(Table5[[#This Row],[PID]],Batters[[#All],[PID]],0)),INDEX(Table3[[#All],[T]],MATCH(Table5[[#This Row],[PID]],Table3[[#All],[PID]],0)))</f>
        <v>R</v>
      </c>
      <c r="J433" s="52" t="str">
        <f>IF($C433="B",INDEX(Batters[[#All],[WE]],MATCH(Table5[[#This Row],[PID]],Batters[[#All],[PID]],0)),INDEX(Table3[[#All],[WE]],MATCH(Table5[[#This Row],[PID]],Table3[[#All],[PID]],0)))</f>
        <v>Low</v>
      </c>
      <c r="K433" s="52" t="str">
        <f>IF($C433="B",INDEX(Batters[[#All],[INT]],MATCH(Table5[[#This Row],[PID]],Batters[[#All],[PID]],0)),INDEX(Table3[[#All],[INT]],MATCH(Table5[[#This Row],[PID]],Table3[[#All],[PID]],0)))</f>
        <v>High</v>
      </c>
      <c r="L433" s="60">
        <f>IF($C433="B",INDEX(Batters[[#All],[CON P]],MATCH(Table5[[#This Row],[PID]],Batters[[#All],[PID]],0)),INDEX(Table3[[#All],[STU P]],MATCH(Table5[[#This Row],[PID]],Table3[[#All],[PID]],0)))</f>
        <v>4</v>
      </c>
      <c r="M433" s="56">
        <f>IF($C433="B",INDEX(Batters[[#All],[GAP P]],MATCH(Table5[[#This Row],[PID]],Batters[[#All],[PID]],0)),INDEX(Table3[[#All],[MOV P]],MATCH(Table5[[#This Row],[PID]],Table3[[#All],[PID]],0)))</f>
        <v>4</v>
      </c>
      <c r="N433" s="56">
        <f>IF($C433="B",INDEX(Batters[[#All],[POW P]],MATCH(Table5[[#This Row],[PID]],Batters[[#All],[PID]],0)),INDEX(Table3[[#All],[CON P]],MATCH(Table5[[#This Row],[PID]],Table3[[#All],[PID]],0)))</f>
        <v>3</v>
      </c>
      <c r="O433" s="56">
        <f>IF($C433="B",INDEX(Batters[[#All],[EYE P]],MATCH(Table5[[#This Row],[PID]],Batters[[#All],[PID]],0)),INDEX(Table3[[#All],[VELO]],MATCH(Table5[[#This Row],[PID]],Table3[[#All],[PID]],0)))</f>
        <v>6</v>
      </c>
      <c r="P433" s="56">
        <f>IF($C433="B",INDEX(Batters[[#All],[K P]],MATCH(Table5[[#This Row],[PID]],Batters[[#All],[PID]],0)),INDEX(Table3[[#All],[STM]],MATCH(Table5[[#This Row],[PID]],Table3[[#All],[PID]],0)))</f>
        <v>3</v>
      </c>
      <c r="Q433" s="61">
        <f>IF($C433="B",INDEX(Batters[[#All],[Tot]],MATCH(Table5[[#This Row],[PID]],Batters[[#All],[PID]],0)),INDEX(Table3[[#All],[Tot]],MATCH(Table5[[#This Row],[PID]],Table3[[#All],[PID]],0)))</f>
        <v>46.597406296780676</v>
      </c>
      <c r="R433" s="52">
        <f>IF($C433="B",INDEX(Batters[[#All],[zScore]],MATCH(Table5[[#This Row],[PID]],Batters[[#All],[PID]],0)),INDEX(Table3[[#All],[zScore]],MATCH(Table5[[#This Row],[PID]],Table3[[#All],[PID]],0)))</f>
        <v>0.54661060471745115</v>
      </c>
      <c r="S433" s="58" t="str">
        <f>IF($C433="B",INDEX(Batters[[#All],[DEM]],MATCH(Table5[[#This Row],[PID]],Batters[[#All],[PID]],0)),INDEX(Table3[[#All],[DEM]],MATCH(Table5[[#This Row],[PID]],Table3[[#All],[PID]],0)))</f>
        <v>$38k</v>
      </c>
      <c r="T433" s="62">
        <f>IF($C433="B",INDEX(Batters[[#All],[Rnk]],MATCH(Table5[[#This Row],[PID]],Batters[[#All],[PID]],0)),INDEX(Table3[[#All],[Rnk]],MATCH(Table5[[#This Row],[PID]],Table3[[#All],[PID]],0)))</f>
        <v>147</v>
      </c>
      <c r="U433" s="68">
        <f>IF($C433="B",VLOOKUP($A433,Bat!$A$4:$BA$1621,47,FALSE),VLOOKUP($A433,Pit!$A$4:$BF$1557,56,FALSE))</f>
        <v>0</v>
      </c>
      <c r="V433" s="50">
        <f>IF($C433="B",VLOOKUP($A433,Bat!$A$4:$BA$1621,48,FALSE),VLOOKUP($A433,Pit!$A$4:$BF$1557,57,FALSE))</f>
        <v>0</v>
      </c>
      <c r="W433" s="50">
        <f>Table5[[#This Row],[posRnk]]+Table5[[#This Row],[zRnk]]+IF($W$3&lt;&gt;Table5[[#This Row],[Type]],50,0)</f>
        <v>550</v>
      </c>
      <c r="X433" s="51">
        <f>RANK(Table5[[#This Row],[zScore]],Table5[[#All],[zScore]])</f>
        <v>353</v>
      </c>
      <c r="Y433" s="50">
        <f>IFERROR(INDEX(DraftResults[[#All],[OVR]],MATCH(Table5[[#This Row],[PID]],DraftResults[[#All],[Player ID]],0)),"")</f>
        <v>429</v>
      </c>
      <c r="Z4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3" s="50">
        <f>IFERROR(INDEX(DraftResults[[#All],[Pick in Round]],MATCH(Table5[[#This Row],[PID]],DraftResults[[#All],[Player ID]],0)),"")</f>
        <v>1</v>
      </c>
      <c r="AB433" s="50" t="str">
        <f>IFERROR(INDEX(DraftResults[[#All],[Team Name]],MATCH(Table5[[#This Row],[PID]],DraftResults[[#All],[Player ID]],0)),"")</f>
        <v>Yuma Arroyos</v>
      </c>
      <c r="AC433" s="50">
        <f>IF(Table5[[#This Row],[Ovr]]="","",IF(Table5[[#This Row],[cmbList]]="","",Table5[[#This Row],[cmbList]]-Table5[[#This Row],[Ovr]]))</f>
        <v>121</v>
      </c>
      <c r="AD433" s="54" t="str">
        <f>IF(ISERROR(VLOOKUP($AB433&amp;"-"&amp;$E433&amp;" "&amp;F433,Bonuses!$B$1:$G$1006,4,FALSE)),"",INT(VLOOKUP($AB433&amp;"-"&amp;$E433&amp;" "&amp;$F433,Bonuses!$B$1:$G$1006,4,FALSE)))</f>
        <v/>
      </c>
      <c r="AE4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 (429) - 2B Joshua Eveson</v>
      </c>
    </row>
    <row r="434" spans="1:31" s="50" customFormat="1" x14ac:dyDescent="0.25">
      <c r="A434" s="68">
        <v>20534</v>
      </c>
      <c r="B434" s="69">
        <f>COUNTIF(Table5[PID],A434)</f>
        <v>1</v>
      </c>
      <c r="C434" s="69" t="str">
        <f>IF(COUNTIF(Table3[[#All],[PID]],A434)&gt;0,"P","B")</f>
        <v>P</v>
      </c>
      <c r="D434" s="59" t="str">
        <f>IF($C434="B",INDEX(Batters[[#All],[POS]],MATCH(Table5[[#This Row],[PID]],Batters[[#All],[PID]],0)),INDEX(Table3[[#All],[POS]],MATCH(Table5[[#This Row],[PID]],Table3[[#All],[PID]],0)))</f>
        <v>SP</v>
      </c>
      <c r="E434" s="52" t="str">
        <f>IF($C434="B",INDEX(Batters[[#All],[First]],MATCH(Table5[[#This Row],[PID]],Batters[[#All],[PID]],0)),INDEX(Table3[[#All],[First]],MATCH(Table5[[#This Row],[PID]],Table3[[#All],[PID]],0)))</f>
        <v>Brendan</v>
      </c>
      <c r="F434" s="55" t="str">
        <f>IF($C434="B",INDEX(Batters[[#All],[Last]],MATCH(A434,Batters[[#All],[PID]],0)),INDEX(Table3[[#All],[Last]],MATCH(A434,Table3[[#All],[PID]],0)))</f>
        <v>Mullet</v>
      </c>
      <c r="G434" s="56">
        <f>IF($C434="B",INDEX(Batters[[#All],[Age]],MATCH(Table5[[#This Row],[PID]],Batters[[#All],[PID]],0)),INDEX(Table3[[#All],[Age]],MATCH(Table5[[#This Row],[PID]],Table3[[#All],[PID]],0)))</f>
        <v>17</v>
      </c>
      <c r="H434" s="52" t="str">
        <f>IF($C434="B",INDEX(Batters[[#All],[B]],MATCH(Table5[[#This Row],[PID]],Batters[[#All],[PID]],0)),INDEX(Table3[[#All],[B]],MATCH(Table5[[#This Row],[PID]],Table3[[#All],[PID]],0)))</f>
        <v>R</v>
      </c>
      <c r="I434" s="52" t="str">
        <f>IF($C434="B",INDEX(Batters[[#All],[T]],MATCH(Table5[[#This Row],[PID]],Batters[[#All],[PID]],0)),INDEX(Table3[[#All],[T]],MATCH(Table5[[#This Row],[PID]],Table3[[#All],[PID]],0)))</f>
        <v>R</v>
      </c>
      <c r="J434" s="71" t="str">
        <f>IF($C434="B",INDEX(Batters[[#All],[WE]],MATCH(Table5[[#This Row],[PID]],Batters[[#All],[PID]],0)),INDEX(Table3[[#All],[WE]],MATCH(Table5[[#This Row],[PID]],Table3[[#All],[PID]],0)))</f>
        <v>Normal</v>
      </c>
      <c r="K434" s="52" t="str">
        <f>IF($C434="B",INDEX(Batters[[#All],[INT]],MATCH(Table5[[#This Row],[PID]],Batters[[#All],[PID]],0)),INDEX(Table3[[#All],[INT]],MATCH(Table5[[#This Row],[PID]],Table3[[#All],[PID]],0)))</f>
        <v>Normal</v>
      </c>
      <c r="L434" s="60">
        <f>IF($C434="B",INDEX(Batters[[#All],[CON P]],MATCH(Table5[[#This Row],[PID]],Batters[[#All],[PID]],0)),INDEX(Table3[[#All],[STU P]],MATCH(Table5[[#This Row],[PID]],Table3[[#All],[PID]],0)))</f>
        <v>4</v>
      </c>
      <c r="M434" s="72">
        <f>IF($C434="B",INDEX(Batters[[#All],[GAP P]],MATCH(Table5[[#This Row],[PID]],Batters[[#All],[PID]],0)),INDEX(Table3[[#All],[MOV P]],MATCH(Table5[[#This Row],[PID]],Table3[[#All],[PID]],0)))</f>
        <v>5</v>
      </c>
      <c r="N434" s="72">
        <f>IF($C434="B",INDEX(Batters[[#All],[POW P]],MATCH(Table5[[#This Row],[PID]],Batters[[#All],[PID]],0)),INDEX(Table3[[#All],[CON P]],MATCH(Table5[[#This Row],[PID]],Table3[[#All],[PID]],0)))</f>
        <v>5</v>
      </c>
      <c r="O434" s="72" t="str">
        <f>IF($C434="B",INDEX(Batters[[#All],[EYE P]],MATCH(Table5[[#This Row],[PID]],Batters[[#All],[PID]],0)),INDEX(Table3[[#All],[VELO]],MATCH(Table5[[#This Row],[PID]],Table3[[#All],[PID]],0)))</f>
        <v>90-92 Mph</v>
      </c>
      <c r="P434" s="56">
        <f>IF($C434="B",INDEX(Batters[[#All],[K P]],MATCH(Table5[[#This Row],[PID]],Batters[[#All],[PID]],0)),INDEX(Table3[[#All],[STM]],MATCH(Table5[[#This Row],[PID]],Table3[[#All],[PID]],0)))</f>
        <v>4</v>
      </c>
      <c r="Q434" s="61">
        <f>IF($C434="B",INDEX(Batters[[#All],[Tot]],MATCH(Table5[[#This Row],[PID]],Batters[[#All],[PID]],0)),INDEX(Table3[[#All],[Tot]],MATCH(Table5[[#This Row],[PID]],Table3[[#All],[PID]],0)))</f>
        <v>53.609293014676091</v>
      </c>
      <c r="R434" s="52">
        <f>IF($C434="B",INDEX(Batters[[#All],[zScore]],MATCH(Table5[[#This Row],[PID]],Batters[[#All],[PID]],0)),INDEX(Table3[[#All],[zScore]],MATCH(Table5[[#This Row],[PID]],Table3[[#All],[PID]],0)))</f>
        <v>1.1801330598588931</v>
      </c>
      <c r="S434" s="78" t="str">
        <f>IF($C434="B",INDEX(Batters[[#All],[DEM]],MATCH(Table5[[#This Row],[PID]],Batters[[#All],[PID]],0)),INDEX(Table3[[#All],[DEM]],MATCH(Table5[[#This Row],[PID]],Table3[[#All],[PID]],0)))</f>
        <v>$70k</v>
      </c>
      <c r="T434" s="75">
        <f>IF($C434="B",INDEX(Batters[[#All],[Rnk]],MATCH(Table5[[#This Row],[PID]],Batters[[#All],[PID]],0)),INDEX(Table3[[#All],[Rnk]],MATCH(Table5[[#This Row],[PID]],Table3[[#All],[PID]],0)))</f>
        <v>116</v>
      </c>
      <c r="U434" s="68">
        <f>IF($C434="B",VLOOKUP($A434,Bat!$A$4:$BA$1621,47,FALSE),VLOOKUP($A434,Pit!$A$4:$BF$1557,56,FALSE))</f>
        <v>0</v>
      </c>
      <c r="V434" s="50">
        <f>IF($C434="B",VLOOKUP($A434,Bat!$A$4:$BA$1621,48,FALSE),VLOOKUP($A434,Pit!$A$4:$BF$1557,57,FALSE))</f>
        <v>0</v>
      </c>
      <c r="W434" s="69">
        <f>Table5[[#This Row],[posRnk]]+Table5[[#This Row],[zRnk]]+IF($W$3&lt;&gt;Table5[[#This Row],[Type]],50,0)</f>
        <v>356</v>
      </c>
      <c r="X434" s="73">
        <f>RANK(Table5[[#This Row],[zScore]],Table5[[#All],[zScore]])</f>
        <v>190</v>
      </c>
      <c r="Y434" s="69">
        <f>IFERROR(INDEX(DraftResults[[#All],[OVR]],MATCH(Table5[[#This Row],[PID]],DraftResults[[#All],[Player ID]],0)),"")</f>
        <v>430</v>
      </c>
      <c r="Z43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4" s="69">
        <f>IFERROR(INDEX(DraftResults[[#All],[Pick in Round]],MATCH(Table5[[#This Row],[PID]],DraftResults[[#All],[Player ID]],0)),"")</f>
        <v>2</v>
      </c>
      <c r="AB434" s="69" t="str">
        <f>IFERROR(INDEX(DraftResults[[#All],[Team Name]],MATCH(Table5[[#This Row],[PID]],DraftResults[[#All],[Player ID]],0)),"")</f>
        <v>Charleston Statesmen</v>
      </c>
      <c r="AC434" s="69">
        <f>IF(Table5[[#This Row],[Ovr]]="","",IF(Table5[[#This Row],[cmbList]]="","",Table5[[#This Row],[cmbList]]-Table5[[#This Row],[Ovr]]))</f>
        <v>-74</v>
      </c>
      <c r="AD434" s="77" t="str">
        <f>IF(ISERROR(VLOOKUP($AB434&amp;"-"&amp;$E434&amp;" "&amp;F434,Bonuses!$B$1:$G$1006,4,FALSE)),"",INT(VLOOKUP($AB434&amp;"-"&amp;$E434&amp;" "&amp;$F434,Bonuses!$B$1:$G$1006,4,FALSE)))</f>
        <v/>
      </c>
      <c r="AE43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 (430) - SP Brendan Mullet</v>
      </c>
    </row>
    <row r="435" spans="1:31" s="50" customFormat="1" x14ac:dyDescent="0.25">
      <c r="A435" s="50">
        <v>17798</v>
      </c>
      <c r="B435" s="50">
        <f>COUNTIF(Table5[PID],A435)</f>
        <v>1</v>
      </c>
      <c r="C435" s="50" t="str">
        <f>IF(COUNTIF(Table3[[#All],[PID]],A435)&gt;0,"P","B")</f>
        <v>B</v>
      </c>
      <c r="D435" s="59" t="str">
        <f>IF($C435="B",INDEX(Batters[[#All],[POS]],MATCH(Table5[[#This Row],[PID]],Batters[[#All],[PID]],0)),INDEX(Table3[[#All],[POS]],MATCH(Table5[[#This Row],[PID]],Table3[[#All],[PID]],0)))</f>
        <v>2B</v>
      </c>
      <c r="E435" s="52" t="str">
        <f>IF($C435="B",INDEX(Batters[[#All],[First]],MATCH(Table5[[#This Row],[PID]],Batters[[#All],[PID]],0)),INDEX(Table3[[#All],[First]],MATCH(Table5[[#This Row],[PID]],Table3[[#All],[PID]],0)))</f>
        <v>Matsusuke</v>
      </c>
      <c r="F435" s="50" t="str">
        <f>IF($C435="B",INDEX(Batters[[#All],[Last]],MATCH(A435,Batters[[#All],[PID]],0)),INDEX(Table3[[#All],[Last]],MATCH(A435,Table3[[#All],[PID]],0)))</f>
        <v>Ishikawa</v>
      </c>
      <c r="G435" s="56">
        <f>IF($C435="B",INDEX(Batters[[#All],[Age]],MATCH(Table5[[#This Row],[PID]],Batters[[#All],[PID]],0)),INDEX(Table3[[#All],[Age]],MATCH(Table5[[#This Row],[PID]],Table3[[#All],[PID]],0)))</f>
        <v>21</v>
      </c>
      <c r="H435" s="52" t="str">
        <f>IF($C435="B",INDEX(Batters[[#All],[B]],MATCH(Table5[[#This Row],[PID]],Batters[[#All],[PID]],0)),INDEX(Table3[[#All],[B]],MATCH(Table5[[#This Row],[PID]],Table3[[#All],[PID]],0)))</f>
        <v>R</v>
      </c>
      <c r="I435" s="52" t="str">
        <f>IF($C435="B",INDEX(Batters[[#All],[T]],MATCH(Table5[[#This Row],[PID]],Batters[[#All],[PID]],0)),INDEX(Table3[[#All],[T]],MATCH(Table5[[#This Row],[PID]],Table3[[#All],[PID]],0)))</f>
        <v>R</v>
      </c>
      <c r="J435" s="52" t="str">
        <f>IF($C435="B",INDEX(Batters[[#All],[WE]],MATCH(Table5[[#This Row],[PID]],Batters[[#All],[PID]],0)),INDEX(Table3[[#All],[WE]],MATCH(Table5[[#This Row],[PID]],Table3[[#All],[PID]],0)))</f>
        <v>High</v>
      </c>
      <c r="K435" s="52" t="str">
        <f>IF($C435="B",INDEX(Batters[[#All],[INT]],MATCH(Table5[[#This Row],[PID]],Batters[[#All],[PID]],0)),INDEX(Table3[[#All],[INT]],MATCH(Table5[[#This Row],[PID]],Table3[[#All],[PID]],0)))</f>
        <v>Normal</v>
      </c>
      <c r="L435" s="60">
        <f>IF($C435="B",INDEX(Batters[[#All],[CON P]],MATCH(Table5[[#This Row],[PID]],Batters[[#All],[PID]],0)),INDEX(Table3[[#All],[STU P]],MATCH(Table5[[#This Row],[PID]],Table3[[#All],[PID]],0)))</f>
        <v>4</v>
      </c>
      <c r="M435" s="56">
        <f>IF($C435="B",INDEX(Batters[[#All],[GAP P]],MATCH(Table5[[#This Row],[PID]],Batters[[#All],[PID]],0)),INDEX(Table3[[#All],[MOV P]],MATCH(Table5[[#This Row],[PID]],Table3[[#All],[PID]],0)))</f>
        <v>5</v>
      </c>
      <c r="N435" s="56">
        <f>IF($C435="B",INDEX(Batters[[#All],[POW P]],MATCH(Table5[[#This Row],[PID]],Batters[[#All],[PID]],0)),INDEX(Table3[[#All],[CON P]],MATCH(Table5[[#This Row],[PID]],Table3[[#All],[PID]],0)))</f>
        <v>2</v>
      </c>
      <c r="O435" s="56">
        <f>IF($C435="B",INDEX(Batters[[#All],[EYE P]],MATCH(Table5[[#This Row],[PID]],Batters[[#All],[PID]],0)),INDEX(Table3[[#All],[VELO]],MATCH(Table5[[#This Row],[PID]],Table3[[#All],[PID]],0)))</f>
        <v>5</v>
      </c>
      <c r="P435" s="56">
        <f>IF($C435="B",INDEX(Batters[[#All],[K P]],MATCH(Table5[[#This Row],[PID]],Batters[[#All],[PID]],0)),INDEX(Table3[[#All],[STM]],MATCH(Table5[[#This Row],[PID]],Table3[[#All],[PID]],0)))</f>
        <v>5</v>
      </c>
      <c r="Q435" s="61">
        <f>IF($C435="B",INDEX(Batters[[#All],[Tot]],MATCH(Table5[[#This Row],[PID]],Batters[[#All],[PID]],0)),INDEX(Table3[[#All],[Tot]],MATCH(Table5[[#This Row],[PID]],Table3[[#All],[PID]],0)))</f>
        <v>42.313324223874353</v>
      </c>
      <c r="R435" s="52">
        <f>IF($C435="B",INDEX(Batters[[#All],[zScore]],MATCH(Table5[[#This Row],[PID]],Batters[[#All],[PID]],0)),INDEX(Table3[[#All],[zScore]],MATCH(Table5[[#This Row],[PID]],Table3[[#All],[PID]],0)))</f>
        <v>-0.40319934855320694</v>
      </c>
      <c r="S435" s="58" t="str">
        <f>IF($C435="B",INDEX(Batters[[#All],[DEM]],MATCH(Table5[[#This Row],[PID]],Batters[[#All],[PID]],0)),INDEX(Table3[[#All],[DEM]],MATCH(Table5[[#This Row],[PID]],Table3[[#All],[PID]],0)))</f>
        <v>-</v>
      </c>
      <c r="T435" s="62">
        <f>IF($C435="B",INDEX(Batters[[#All],[Rnk]],MATCH(Table5[[#This Row],[PID]],Batters[[#All],[PID]],0)),INDEX(Table3[[#All],[Rnk]],MATCH(Table5[[#This Row],[PID]],Table3[[#All],[PID]],0)))</f>
        <v>322</v>
      </c>
      <c r="U435" s="68">
        <f>IF($C435="B",VLOOKUP($A435,Bat!$A$4:$BA$1621,47,FALSE),VLOOKUP($A435,Pit!$A$4:$BF$1557,56,FALSE))</f>
        <v>0</v>
      </c>
      <c r="V435" s="50">
        <f>IF($C435="B",VLOOKUP($A435,Bat!$A$4:$BA$1621,48,FALSE),VLOOKUP($A435,Pit!$A$4:$BF$1557,57,FALSE))</f>
        <v>0</v>
      </c>
      <c r="W435" s="50">
        <f>Table5[[#This Row],[posRnk]]+Table5[[#This Row],[zRnk]]+IF($W$3&lt;&gt;Table5[[#This Row],[Type]],50,0)</f>
        <v>1165</v>
      </c>
      <c r="X435" s="51">
        <f>RANK(Table5[[#This Row],[zScore]],Table5[[#All],[zScore]])</f>
        <v>793</v>
      </c>
      <c r="Y435" s="50">
        <f>IFERROR(INDEX(DraftResults[[#All],[OVR]],MATCH(Table5[[#This Row],[PID]],DraftResults[[#All],[Player ID]],0)),"")</f>
        <v>431</v>
      </c>
      <c r="Z4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5" s="50">
        <f>IFERROR(INDEX(DraftResults[[#All],[Pick in Round]],MATCH(Table5[[#This Row],[PID]],DraftResults[[#All],[Player ID]],0)),"")</f>
        <v>3</v>
      </c>
      <c r="AB435" s="50" t="str">
        <f>IFERROR(INDEX(DraftResults[[#All],[Team Name]],MATCH(Table5[[#This Row],[PID]],DraftResults[[#All],[Player ID]],0)),"")</f>
        <v>New Orleans Trendsetters</v>
      </c>
      <c r="AC435" s="50">
        <f>IF(Table5[[#This Row],[Ovr]]="","",IF(Table5[[#This Row],[cmbList]]="","",Table5[[#This Row],[cmbList]]-Table5[[#This Row],[Ovr]]))</f>
        <v>734</v>
      </c>
      <c r="AD435" s="54" t="str">
        <f>IF(ISERROR(VLOOKUP($AB435&amp;"-"&amp;$E435&amp;" "&amp;F435,Bonuses!$B$1:$G$1006,4,FALSE)),"",INT(VLOOKUP($AB435&amp;"-"&amp;$E435&amp;" "&amp;$F435,Bonuses!$B$1:$G$1006,4,FALSE)))</f>
        <v/>
      </c>
      <c r="AE4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15.3 (431) - 2B Matsusuke Ishikawa</v>
      </c>
    </row>
    <row r="436" spans="1:31" s="50" customFormat="1" x14ac:dyDescent="0.25">
      <c r="A436" s="50">
        <v>20849</v>
      </c>
      <c r="B436" s="50">
        <f>COUNTIF(Table5[PID],A436)</f>
        <v>1</v>
      </c>
      <c r="C436" s="50" t="str">
        <f>IF(COUNTIF(Table3[[#All],[PID]],A436)&gt;0,"P","B")</f>
        <v>B</v>
      </c>
      <c r="D436" s="59" t="str">
        <f>IF($C436="B",INDEX(Batters[[#All],[POS]],MATCH(Table5[[#This Row],[PID]],Batters[[#All],[PID]],0)),INDEX(Table3[[#All],[POS]],MATCH(Table5[[#This Row],[PID]],Table3[[#All],[PID]],0)))</f>
        <v>LF</v>
      </c>
      <c r="E436" s="52" t="str">
        <f>IF($C436="B",INDEX(Batters[[#All],[First]],MATCH(Table5[[#This Row],[PID]],Batters[[#All],[PID]],0)),INDEX(Table3[[#All],[First]],MATCH(Table5[[#This Row],[PID]],Table3[[#All],[PID]],0)))</f>
        <v>Roberto</v>
      </c>
      <c r="F436" s="50" t="str">
        <f>IF($C436="B",INDEX(Batters[[#All],[Last]],MATCH(A436,Batters[[#All],[PID]],0)),INDEX(Table3[[#All],[Last]],MATCH(A436,Table3[[#All],[PID]],0)))</f>
        <v>Aguilar</v>
      </c>
      <c r="G436" s="56">
        <f>IF($C436="B",INDEX(Batters[[#All],[Age]],MATCH(Table5[[#This Row],[PID]],Batters[[#All],[PID]],0)),INDEX(Table3[[#All],[Age]],MATCH(Table5[[#This Row],[PID]],Table3[[#All],[PID]],0)))</f>
        <v>17</v>
      </c>
      <c r="H436" s="52" t="str">
        <f>IF($C436="B",INDEX(Batters[[#All],[B]],MATCH(Table5[[#This Row],[PID]],Batters[[#All],[PID]],0)),INDEX(Table3[[#All],[B]],MATCH(Table5[[#This Row],[PID]],Table3[[#All],[PID]],0)))</f>
        <v>S</v>
      </c>
      <c r="I436" s="52" t="str">
        <f>IF($C436="B",INDEX(Batters[[#All],[T]],MATCH(Table5[[#This Row],[PID]],Batters[[#All],[PID]],0)),INDEX(Table3[[#All],[T]],MATCH(Table5[[#This Row],[PID]],Table3[[#All],[PID]],0)))</f>
        <v>R</v>
      </c>
      <c r="J436" s="52" t="str">
        <f>IF($C436="B",INDEX(Batters[[#All],[WE]],MATCH(Table5[[#This Row],[PID]],Batters[[#All],[PID]],0)),INDEX(Table3[[#All],[WE]],MATCH(Table5[[#This Row],[PID]],Table3[[#All],[PID]],0)))</f>
        <v>High</v>
      </c>
      <c r="K436" s="52" t="str">
        <f>IF($C436="B",INDEX(Batters[[#All],[INT]],MATCH(Table5[[#This Row],[PID]],Batters[[#All],[PID]],0)),INDEX(Table3[[#All],[INT]],MATCH(Table5[[#This Row],[PID]],Table3[[#All],[PID]],0)))</f>
        <v>Normal</v>
      </c>
      <c r="L436" s="60">
        <f>IF($C436="B",INDEX(Batters[[#All],[CON P]],MATCH(Table5[[#This Row],[PID]],Batters[[#All],[PID]],0)),INDEX(Table3[[#All],[STU P]],MATCH(Table5[[#This Row],[PID]],Table3[[#All],[PID]],0)))</f>
        <v>3</v>
      </c>
      <c r="M436" s="56">
        <f>IF($C436="B",INDEX(Batters[[#All],[GAP P]],MATCH(Table5[[#This Row],[PID]],Batters[[#All],[PID]],0)),INDEX(Table3[[#All],[MOV P]],MATCH(Table5[[#This Row],[PID]],Table3[[#All],[PID]],0)))</f>
        <v>6</v>
      </c>
      <c r="N436" s="56">
        <f>IF($C436="B",INDEX(Batters[[#All],[POW P]],MATCH(Table5[[#This Row],[PID]],Batters[[#All],[PID]],0)),INDEX(Table3[[#All],[CON P]],MATCH(Table5[[#This Row],[PID]],Table3[[#All],[PID]],0)))</f>
        <v>5</v>
      </c>
      <c r="O436" s="56">
        <f>IF($C436="B",INDEX(Batters[[#All],[EYE P]],MATCH(Table5[[#This Row],[PID]],Batters[[#All],[PID]],0)),INDEX(Table3[[#All],[VELO]],MATCH(Table5[[#This Row],[PID]],Table3[[#All],[PID]],0)))</f>
        <v>5</v>
      </c>
      <c r="P436" s="56">
        <f>IF($C436="B",INDEX(Batters[[#All],[K P]],MATCH(Table5[[#This Row],[PID]],Batters[[#All],[PID]],0)),INDEX(Table3[[#All],[STM]],MATCH(Table5[[#This Row],[PID]],Table3[[#All],[PID]],0)))</f>
        <v>3</v>
      </c>
      <c r="Q436" s="61">
        <f>IF($C436="B",INDEX(Batters[[#All],[Tot]],MATCH(Table5[[#This Row],[PID]],Batters[[#All],[PID]],0)),INDEX(Table3[[#All],[Tot]],MATCH(Table5[[#This Row],[PID]],Table3[[#All],[PID]],0)))</f>
        <v>45.151192719654205</v>
      </c>
      <c r="R436" s="52">
        <f>IF($C436="B",INDEX(Batters[[#All],[zScore]],MATCH(Table5[[#This Row],[PID]],Batters[[#All],[PID]],0)),INDEX(Table3[[#All],[zScore]],MATCH(Table5[[#This Row],[PID]],Table3[[#All],[PID]],0)))</f>
        <v>0.2259752791719685</v>
      </c>
      <c r="S436" s="58" t="str">
        <f>IF($C436="B",INDEX(Batters[[#All],[DEM]],MATCH(Table5[[#This Row],[PID]],Batters[[#All],[PID]],0)),INDEX(Table3[[#All],[DEM]],MATCH(Table5[[#This Row],[PID]],Table3[[#All],[PID]],0)))</f>
        <v>$65k</v>
      </c>
      <c r="T436" s="62">
        <f>IF($C436="B",INDEX(Batters[[#All],[Rnk]],MATCH(Table5[[#This Row],[PID]],Batters[[#All],[PID]],0)),INDEX(Table3[[#All],[Rnk]],MATCH(Table5[[#This Row],[PID]],Table3[[#All],[PID]],0)))</f>
        <v>193</v>
      </c>
      <c r="U436" s="68">
        <f>IF($C436="B",VLOOKUP($A436,Bat!$A$4:$BA$1621,47,FALSE),VLOOKUP($A436,Pit!$A$4:$BF$1557,56,FALSE))</f>
        <v>0</v>
      </c>
      <c r="V436" s="50">
        <f>IF($C436="B",VLOOKUP($A436,Bat!$A$4:$BA$1621,48,FALSE),VLOOKUP($A436,Pit!$A$4:$BF$1557,57,FALSE))</f>
        <v>0</v>
      </c>
      <c r="W436" s="50">
        <f>Table5[[#This Row],[posRnk]]+Table5[[#This Row],[zRnk]]+IF($W$3&lt;&gt;Table5[[#This Row],[Type]],50,0)</f>
        <v>694</v>
      </c>
      <c r="X436" s="51">
        <f>RANK(Table5[[#This Row],[zScore]],Table5[[#All],[zScore]])</f>
        <v>451</v>
      </c>
      <c r="Y436" s="50">
        <f>IFERROR(INDEX(DraftResults[[#All],[OVR]],MATCH(Table5[[#This Row],[PID]],DraftResults[[#All],[Player ID]],0)),"")</f>
        <v>432</v>
      </c>
      <c r="Z4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6" s="50">
        <f>IFERROR(INDEX(DraftResults[[#All],[Pick in Round]],MATCH(Table5[[#This Row],[PID]],DraftResults[[#All],[Player ID]],0)),"")</f>
        <v>4</v>
      </c>
      <c r="AB436" s="50" t="str">
        <f>IFERROR(INDEX(DraftResults[[#All],[Team Name]],MATCH(Table5[[#This Row],[PID]],DraftResults[[#All],[Player ID]],0)),"")</f>
        <v>Tempe Knights</v>
      </c>
      <c r="AC436" s="50">
        <f>IF(Table5[[#This Row],[Ovr]]="","",IF(Table5[[#This Row],[cmbList]]="","",Table5[[#This Row],[cmbList]]-Table5[[#This Row],[Ovr]]))</f>
        <v>262</v>
      </c>
      <c r="AD436" s="54" t="str">
        <f>IF(ISERROR(VLOOKUP($AB436&amp;"-"&amp;$E436&amp;" "&amp;F436,Bonuses!$B$1:$G$1006,4,FALSE)),"",INT(VLOOKUP($AB436&amp;"-"&amp;$E436&amp;" "&amp;$F436,Bonuses!$B$1:$G$1006,4,FALSE)))</f>
        <v/>
      </c>
      <c r="AE4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15.4 (432) - LF Roberto Aguilar</v>
      </c>
    </row>
    <row r="437" spans="1:31" s="50" customFormat="1" x14ac:dyDescent="0.25">
      <c r="A437" s="68">
        <v>20239</v>
      </c>
      <c r="B437" s="69">
        <f>COUNTIF(Table5[PID],A437)</f>
        <v>1</v>
      </c>
      <c r="C437" s="69" t="str">
        <f>IF(COUNTIF(Table3[[#All],[PID]],A437)&gt;0,"P","B")</f>
        <v>P</v>
      </c>
      <c r="D437" s="59" t="str">
        <f>IF($C437="B",INDEX(Batters[[#All],[POS]],MATCH(Table5[[#This Row],[PID]],Batters[[#All],[PID]],0)),INDEX(Table3[[#All],[POS]],MATCH(Table5[[#This Row],[PID]],Table3[[#All],[PID]],0)))</f>
        <v>SP</v>
      </c>
      <c r="E437" s="52" t="str">
        <f>IF($C437="B",INDEX(Batters[[#All],[First]],MATCH(Table5[[#This Row],[PID]],Batters[[#All],[PID]],0)),INDEX(Table3[[#All],[First]],MATCH(Table5[[#This Row],[PID]],Table3[[#All],[PID]],0)))</f>
        <v>Shusaku</v>
      </c>
      <c r="F437" s="55" t="str">
        <f>IF($C437="B",INDEX(Batters[[#All],[Last]],MATCH(A437,Batters[[#All],[PID]],0)),INDEX(Table3[[#All],[Last]],MATCH(A437,Table3[[#All],[PID]],0)))</f>
        <v>Okamoto</v>
      </c>
      <c r="G437" s="56">
        <f>IF($C437="B",INDEX(Batters[[#All],[Age]],MATCH(Table5[[#This Row],[PID]],Batters[[#All],[PID]],0)),INDEX(Table3[[#All],[Age]],MATCH(Table5[[#This Row],[PID]],Table3[[#All],[PID]],0)))</f>
        <v>21</v>
      </c>
      <c r="H437" s="52" t="str">
        <f>IF($C437="B",INDEX(Batters[[#All],[B]],MATCH(Table5[[#This Row],[PID]],Batters[[#All],[PID]],0)),INDEX(Table3[[#All],[B]],MATCH(Table5[[#This Row],[PID]],Table3[[#All],[PID]],0)))</f>
        <v>R</v>
      </c>
      <c r="I437" s="52" t="str">
        <f>IF($C437="B",INDEX(Batters[[#All],[T]],MATCH(Table5[[#This Row],[PID]],Batters[[#All],[PID]],0)),INDEX(Table3[[#All],[T]],MATCH(Table5[[#This Row],[PID]],Table3[[#All],[PID]],0)))</f>
        <v>R</v>
      </c>
      <c r="J437" s="71" t="str">
        <f>IF($C437="B",INDEX(Batters[[#All],[WE]],MATCH(Table5[[#This Row],[PID]],Batters[[#All],[PID]],0)),INDEX(Table3[[#All],[WE]],MATCH(Table5[[#This Row],[PID]],Table3[[#All],[PID]],0)))</f>
        <v>Normal</v>
      </c>
      <c r="K437" s="52" t="str">
        <f>IF($C437="B",INDEX(Batters[[#All],[INT]],MATCH(Table5[[#This Row],[PID]],Batters[[#All],[PID]],0)),INDEX(Table3[[#All],[INT]],MATCH(Table5[[#This Row],[PID]],Table3[[#All],[PID]],0)))</f>
        <v>Normal</v>
      </c>
      <c r="L437" s="60">
        <f>IF($C437="B",INDEX(Batters[[#All],[CON P]],MATCH(Table5[[#This Row],[PID]],Batters[[#All],[PID]],0)),INDEX(Table3[[#All],[STU P]],MATCH(Table5[[#This Row],[PID]],Table3[[#All],[PID]],0)))</f>
        <v>5</v>
      </c>
      <c r="M437" s="72">
        <f>IF($C437="B",INDEX(Batters[[#All],[GAP P]],MATCH(Table5[[#This Row],[PID]],Batters[[#All],[PID]],0)),INDEX(Table3[[#All],[MOV P]],MATCH(Table5[[#This Row],[PID]],Table3[[#All],[PID]],0)))</f>
        <v>2</v>
      </c>
      <c r="N437" s="72">
        <f>IF($C437="B",INDEX(Batters[[#All],[POW P]],MATCH(Table5[[#This Row],[PID]],Batters[[#All],[PID]],0)),INDEX(Table3[[#All],[CON P]],MATCH(Table5[[#This Row],[PID]],Table3[[#All],[PID]],0)))</f>
        <v>4</v>
      </c>
      <c r="O437" s="72" t="str">
        <f>IF($C437="B",INDEX(Batters[[#All],[EYE P]],MATCH(Table5[[#This Row],[PID]],Batters[[#All],[PID]],0)),INDEX(Table3[[#All],[VELO]],MATCH(Table5[[#This Row],[PID]],Table3[[#All],[PID]],0)))</f>
        <v>94-96 Mph</v>
      </c>
      <c r="P437" s="56">
        <f>IF($C437="B",INDEX(Batters[[#All],[K P]],MATCH(Table5[[#This Row],[PID]],Batters[[#All],[PID]],0)),INDEX(Table3[[#All],[STM]],MATCH(Table5[[#This Row],[PID]],Table3[[#All],[PID]],0)))</f>
        <v>10</v>
      </c>
      <c r="Q437" s="61">
        <f>IF($C437="B",INDEX(Batters[[#All],[Tot]],MATCH(Table5[[#This Row],[PID]],Batters[[#All],[PID]],0)),INDEX(Table3[[#All],[Tot]],MATCH(Table5[[#This Row],[PID]],Table3[[#All],[PID]],0)))</f>
        <v>40.622977512845019</v>
      </c>
      <c r="R437" s="52">
        <f>IF($C437="B",INDEX(Batters[[#All],[zScore]],MATCH(Table5[[#This Row],[PID]],Batters[[#All],[PID]],0)),INDEX(Table3[[#All],[zScore]],MATCH(Table5[[#This Row],[PID]],Table3[[#All],[PID]],0)))</f>
        <v>0.31617333402561676</v>
      </c>
      <c r="S437" s="78" t="str">
        <f>IF($C437="B",INDEX(Batters[[#All],[DEM]],MATCH(Table5[[#This Row],[PID]],Batters[[#All],[PID]],0)),INDEX(Table3[[#All],[DEM]],MATCH(Table5[[#This Row],[PID]],Table3[[#All],[PID]],0)))</f>
        <v>-</v>
      </c>
      <c r="T437" s="75">
        <f>IF($C437="B",INDEX(Batters[[#All],[Rnk]],MATCH(Table5[[#This Row],[PID]],Batters[[#All],[PID]],0)),INDEX(Table3[[#All],[Rnk]],MATCH(Table5[[#This Row],[PID]],Table3[[#All],[PID]],0)))</f>
        <v>240</v>
      </c>
      <c r="U437" s="68">
        <f>IF($C437="B",VLOOKUP($A437,Bat!$A$4:$BA$1621,47,FALSE),VLOOKUP($A437,Pit!$A$4:$BF$1557,56,FALSE))</f>
        <v>0</v>
      </c>
      <c r="V437" s="50">
        <f>IF($C437="B",VLOOKUP($A437,Bat!$A$4:$BA$1621,48,FALSE),VLOOKUP($A437,Pit!$A$4:$BF$1557,57,FALSE))</f>
        <v>0</v>
      </c>
      <c r="W437" s="69">
        <f>Table5[[#This Row],[posRnk]]+Table5[[#This Row],[zRnk]]+IF($W$3&lt;&gt;Table5[[#This Row],[Type]],50,0)</f>
        <v>704</v>
      </c>
      <c r="X437" s="73">
        <f>RANK(Table5[[#This Row],[zScore]],Table5[[#All],[zScore]])</f>
        <v>414</v>
      </c>
      <c r="Y437" s="69">
        <f>IFERROR(INDEX(DraftResults[[#All],[OVR]],MATCH(Table5[[#This Row],[PID]],DraftResults[[#All],[Player ID]],0)),"")</f>
        <v>433</v>
      </c>
      <c r="Z43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7" s="69">
        <f>IFERROR(INDEX(DraftResults[[#All],[Pick in Round]],MATCH(Table5[[#This Row],[PID]],DraftResults[[#All],[Player ID]],0)),"")</f>
        <v>5</v>
      </c>
      <c r="AB437" s="69" t="str">
        <f>IFERROR(INDEX(DraftResults[[#All],[Team Name]],MATCH(Table5[[#This Row],[PID]],DraftResults[[#All],[Player ID]],0)),"")</f>
        <v>Okinawa Shisa</v>
      </c>
      <c r="AC437" s="69">
        <f>IF(Table5[[#This Row],[Ovr]]="","",IF(Table5[[#This Row],[cmbList]]="","",Table5[[#This Row],[cmbList]]-Table5[[#This Row],[Ovr]]))</f>
        <v>271</v>
      </c>
      <c r="AD437" s="77" t="str">
        <f>IF(ISERROR(VLOOKUP($AB437&amp;"-"&amp;$E437&amp;" "&amp;F437,Bonuses!$B$1:$G$1006,4,FALSE)),"",INT(VLOOKUP($AB437&amp;"-"&amp;$E437&amp;" "&amp;$F437,Bonuses!$B$1:$G$1006,4,FALSE)))</f>
        <v/>
      </c>
      <c r="AE43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15.5 (433) - SP Shusaku Okamoto</v>
      </c>
    </row>
    <row r="438" spans="1:31" s="50" customFormat="1" x14ac:dyDescent="0.25">
      <c r="A438" s="50">
        <v>20252</v>
      </c>
      <c r="B438" s="50">
        <f>COUNTIF(Table5[PID],A438)</f>
        <v>1</v>
      </c>
      <c r="C438" s="50" t="str">
        <f>IF(COUNTIF(Table3[[#All],[PID]],A438)&gt;0,"P","B")</f>
        <v>B</v>
      </c>
      <c r="D438" s="59" t="str">
        <f>IF($C438="B",INDEX(Batters[[#All],[POS]],MATCH(Table5[[#This Row],[PID]],Batters[[#All],[PID]],0)),INDEX(Table3[[#All],[POS]],MATCH(Table5[[#This Row],[PID]],Table3[[#All],[PID]],0)))</f>
        <v>1B</v>
      </c>
      <c r="E438" s="52" t="str">
        <f>IF($C438="B",INDEX(Batters[[#All],[First]],MATCH(Table5[[#This Row],[PID]],Batters[[#All],[PID]],0)),INDEX(Table3[[#All],[First]],MATCH(Table5[[#This Row],[PID]],Table3[[#All],[PID]],0)))</f>
        <v>Orrin</v>
      </c>
      <c r="F438" s="50" t="str">
        <f>IF($C438="B",INDEX(Batters[[#All],[Last]],MATCH(A438,Batters[[#All],[PID]],0)),INDEX(Table3[[#All],[Last]],MATCH(A438,Table3[[#All],[PID]],0)))</f>
        <v>Grant</v>
      </c>
      <c r="G438" s="56">
        <f>IF($C438="B",INDEX(Batters[[#All],[Age]],MATCH(Table5[[#This Row],[PID]],Batters[[#All],[PID]],0)),INDEX(Table3[[#All],[Age]],MATCH(Table5[[#This Row],[PID]],Table3[[#All],[PID]],0)))</f>
        <v>23</v>
      </c>
      <c r="H438" s="52" t="str">
        <f>IF($C438="B",INDEX(Batters[[#All],[B]],MATCH(Table5[[#This Row],[PID]],Batters[[#All],[PID]],0)),INDEX(Table3[[#All],[B]],MATCH(Table5[[#This Row],[PID]],Table3[[#All],[PID]],0)))</f>
        <v>R</v>
      </c>
      <c r="I438" s="52" t="str">
        <f>IF($C438="B",INDEX(Batters[[#All],[T]],MATCH(Table5[[#This Row],[PID]],Batters[[#All],[PID]],0)),INDEX(Table3[[#All],[T]],MATCH(Table5[[#This Row],[PID]],Table3[[#All],[PID]],0)))</f>
        <v>R</v>
      </c>
      <c r="J438" s="52" t="str">
        <f>IF($C438="B",INDEX(Batters[[#All],[WE]],MATCH(Table5[[#This Row],[PID]],Batters[[#All],[PID]],0)),INDEX(Table3[[#All],[WE]],MATCH(Table5[[#This Row],[PID]],Table3[[#All],[PID]],0)))</f>
        <v>High</v>
      </c>
      <c r="K438" s="52" t="str">
        <f>IF($C438="B",INDEX(Batters[[#All],[INT]],MATCH(Table5[[#This Row],[PID]],Batters[[#All],[PID]],0)),INDEX(Table3[[#All],[INT]],MATCH(Table5[[#This Row],[PID]],Table3[[#All],[PID]],0)))</f>
        <v>High</v>
      </c>
      <c r="L438" s="60">
        <f>IF($C438="B",INDEX(Batters[[#All],[CON P]],MATCH(Table5[[#This Row],[PID]],Batters[[#All],[PID]],0)),INDEX(Table3[[#All],[STU P]],MATCH(Table5[[#This Row],[PID]],Table3[[#All],[PID]],0)))</f>
        <v>3</v>
      </c>
      <c r="M438" s="56">
        <f>IF($C438="B",INDEX(Batters[[#All],[GAP P]],MATCH(Table5[[#This Row],[PID]],Batters[[#All],[PID]],0)),INDEX(Table3[[#All],[MOV P]],MATCH(Table5[[#This Row],[PID]],Table3[[#All],[PID]],0)))</f>
        <v>3</v>
      </c>
      <c r="N438" s="56">
        <f>IF($C438="B",INDEX(Batters[[#All],[POW P]],MATCH(Table5[[#This Row],[PID]],Batters[[#All],[PID]],0)),INDEX(Table3[[#All],[CON P]],MATCH(Table5[[#This Row],[PID]],Table3[[#All],[PID]],0)))</f>
        <v>4</v>
      </c>
      <c r="O438" s="56">
        <f>IF($C438="B",INDEX(Batters[[#All],[EYE P]],MATCH(Table5[[#This Row],[PID]],Batters[[#All],[PID]],0)),INDEX(Table3[[#All],[VELO]],MATCH(Table5[[#This Row],[PID]],Table3[[#All],[PID]],0)))</f>
        <v>5</v>
      </c>
      <c r="P438" s="56">
        <f>IF($C438="B",INDEX(Batters[[#All],[K P]],MATCH(Table5[[#This Row],[PID]],Batters[[#All],[PID]],0)),INDEX(Table3[[#All],[STM]],MATCH(Table5[[#This Row],[PID]],Table3[[#All],[PID]],0)))</f>
        <v>3</v>
      </c>
      <c r="Q438" s="61">
        <f>IF($C438="B",INDEX(Batters[[#All],[Tot]],MATCH(Table5[[#This Row],[PID]],Batters[[#All],[PID]],0)),INDEX(Table3[[#All],[Tot]],MATCH(Table5[[#This Row],[PID]],Table3[[#All],[PID]],0)))</f>
        <v>37.692881345063171</v>
      </c>
      <c r="R438" s="52">
        <f>IF($C438="B",INDEX(Batters[[#All],[zScore]],MATCH(Table5[[#This Row],[PID]],Batters[[#All],[PID]],0)),INDEX(Table3[[#All],[zScore]],MATCH(Table5[[#This Row],[PID]],Table3[[#All],[PID]],0)))</f>
        <v>-1.427582766081015</v>
      </c>
      <c r="S438" s="58" t="str">
        <f>IF($C438="B",INDEX(Batters[[#All],[DEM]],MATCH(Table5[[#This Row],[PID]],Batters[[#All],[PID]],0)),INDEX(Table3[[#All],[DEM]],MATCH(Table5[[#This Row],[PID]],Table3[[#All],[PID]],0)))</f>
        <v>Slot</v>
      </c>
      <c r="T438" s="62">
        <f>IF($C438="B",INDEX(Batters[[#All],[Rnk]],MATCH(Table5[[#This Row],[PID]],Batters[[#All],[PID]],0)),INDEX(Table3[[#All],[Rnk]],MATCH(Table5[[#This Row],[PID]],Table3[[#All],[PID]],0)))</f>
        <v>519</v>
      </c>
      <c r="U438" s="68">
        <f>IF($C438="B",VLOOKUP($A438,Bat!$A$4:$BA$1621,47,FALSE),VLOOKUP($A438,Pit!$A$4:$BF$1557,56,FALSE))</f>
        <v>0</v>
      </c>
      <c r="V438" s="50">
        <f>IF($C438="B",VLOOKUP($A438,Bat!$A$4:$BA$1621,48,FALSE),VLOOKUP($A438,Pit!$A$4:$BF$1557,57,FALSE))</f>
        <v>0</v>
      </c>
      <c r="W438" s="50">
        <f>Table5[[#This Row],[posRnk]]+Table5[[#This Row],[zRnk]]+IF($W$3&lt;&gt;Table5[[#This Row],[Type]],50,0)</f>
        <v>1854</v>
      </c>
      <c r="X438" s="51">
        <f>RANK(Table5[[#This Row],[zScore]],Table5[[#All],[zScore]])</f>
        <v>1285</v>
      </c>
      <c r="Y438" s="50">
        <f>IFERROR(INDEX(DraftResults[[#All],[OVR]],MATCH(Table5[[#This Row],[PID]],DraftResults[[#All],[Player ID]],0)),"")</f>
        <v>434</v>
      </c>
      <c r="Z4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8" s="50">
        <f>IFERROR(INDEX(DraftResults[[#All],[Pick in Round]],MATCH(Table5[[#This Row],[PID]],DraftResults[[#All],[Player ID]],0)),"")</f>
        <v>6</v>
      </c>
      <c r="AB438" s="50" t="str">
        <f>IFERROR(INDEX(DraftResults[[#All],[Team Name]],MATCH(Table5[[#This Row],[PID]],DraftResults[[#All],[Player ID]],0)),"")</f>
        <v>Manchester Maulers</v>
      </c>
      <c r="AC438" s="50">
        <f>IF(Table5[[#This Row],[Ovr]]="","",IF(Table5[[#This Row],[cmbList]]="","",Table5[[#This Row],[cmbList]]-Table5[[#This Row],[Ovr]]))</f>
        <v>1420</v>
      </c>
      <c r="AD438" s="54" t="str">
        <f>IF(ISERROR(VLOOKUP($AB438&amp;"-"&amp;$E438&amp;" "&amp;F438,Bonuses!$B$1:$G$1006,4,FALSE)),"",INT(VLOOKUP($AB438&amp;"-"&amp;$E438&amp;" "&amp;$F438,Bonuses!$B$1:$G$1006,4,FALSE)))</f>
        <v/>
      </c>
      <c r="AE4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15.6 (434) - 1B Orrin Grant</v>
      </c>
    </row>
    <row r="439" spans="1:31" s="50" customFormat="1" x14ac:dyDescent="0.25">
      <c r="A439" s="50">
        <v>17972</v>
      </c>
      <c r="B439" s="50">
        <f>COUNTIF(Table5[PID],A439)</f>
        <v>1</v>
      </c>
      <c r="C439" s="50" t="str">
        <f>IF(COUNTIF(Table3[[#All],[PID]],A439)&gt;0,"P","B")</f>
        <v>B</v>
      </c>
      <c r="D439" s="59" t="str">
        <f>IF($C439="B",INDEX(Batters[[#All],[POS]],MATCH(Table5[[#This Row],[PID]],Batters[[#All],[PID]],0)),INDEX(Table3[[#All],[POS]],MATCH(Table5[[#This Row],[PID]],Table3[[#All],[PID]],0)))</f>
        <v>CF</v>
      </c>
      <c r="E439" s="52" t="str">
        <f>IF($C439="B",INDEX(Batters[[#All],[First]],MATCH(Table5[[#This Row],[PID]],Batters[[#All],[PID]],0)),INDEX(Table3[[#All],[First]],MATCH(Table5[[#This Row],[PID]],Table3[[#All],[PID]],0)))</f>
        <v>Ambrose</v>
      </c>
      <c r="F439" s="50" t="str">
        <f>IF($C439="B",INDEX(Batters[[#All],[Last]],MATCH(A439,Batters[[#All],[PID]],0)),INDEX(Table3[[#All],[Last]],MATCH(A439,Table3[[#All],[PID]],0)))</f>
        <v>Bailey</v>
      </c>
      <c r="G439" s="56">
        <f>IF($C439="B",INDEX(Batters[[#All],[Age]],MATCH(Table5[[#This Row],[PID]],Batters[[#All],[PID]],0)),INDEX(Table3[[#All],[Age]],MATCH(Table5[[#This Row],[PID]],Table3[[#All],[PID]],0)))</f>
        <v>21</v>
      </c>
      <c r="H439" s="52" t="str">
        <f>IF($C439="B",INDEX(Batters[[#All],[B]],MATCH(Table5[[#This Row],[PID]],Batters[[#All],[PID]],0)),INDEX(Table3[[#All],[B]],MATCH(Table5[[#This Row],[PID]],Table3[[#All],[PID]],0)))</f>
        <v>R</v>
      </c>
      <c r="I439" s="52" t="str">
        <f>IF($C439="B",INDEX(Batters[[#All],[T]],MATCH(Table5[[#This Row],[PID]],Batters[[#All],[PID]],0)),INDEX(Table3[[#All],[T]],MATCH(Table5[[#This Row],[PID]],Table3[[#All],[PID]],0)))</f>
        <v>R</v>
      </c>
      <c r="J439" s="52" t="str">
        <f>IF($C439="B",INDEX(Batters[[#All],[WE]],MATCH(Table5[[#This Row],[PID]],Batters[[#All],[PID]],0)),INDEX(Table3[[#All],[WE]],MATCH(Table5[[#This Row],[PID]],Table3[[#All],[PID]],0)))</f>
        <v>Low</v>
      </c>
      <c r="K439" s="52" t="str">
        <f>IF($C439="B",INDEX(Batters[[#All],[INT]],MATCH(Table5[[#This Row],[PID]],Batters[[#All],[PID]],0)),INDEX(Table3[[#All],[INT]],MATCH(Table5[[#This Row],[PID]],Table3[[#All],[PID]],0)))</f>
        <v>Low</v>
      </c>
      <c r="L439" s="60">
        <f>IF($C439="B",INDEX(Batters[[#All],[CON P]],MATCH(Table5[[#This Row],[PID]],Batters[[#All],[PID]],0)),INDEX(Table3[[#All],[STU P]],MATCH(Table5[[#This Row],[PID]],Table3[[#All],[PID]],0)))</f>
        <v>3</v>
      </c>
      <c r="M439" s="56">
        <f>IF($C439="B",INDEX(Batters[[#All],[GAP P]],MATCH(Table5[[#This Row],[PID]],Batters[[#All],[PID]],0)),INDEX(Table3[[#All],[MOV P]],MATCH(Table5[[#This Row],[PID]],Table3[[#All],[PID]],0)))</f>
        <v>3</v>
      </c>
      <c r="N439" s="56">
        <f>IF($C439="B",INDEX(Batters[[#All],[POW P]],MATCH(Table5[[#This Row],[PID]],Batters[[#All],[PID]],0)),INDEX(Table3[[#All],[CON P]],MATCH(Table5[[#This Row],[PID]],Table3[[#All],[PID]],0)))</f>
        <v>5</v>
      </c>
      <c r="O439" s="56">
        <f>IF($C439="B",INDEX(Batters[[#All],[EYE P]],MATCH(Table5[[#This Row],[PID]],Batters[[#All],[PID]],0)),INDEX(Table3[[#All],[VELO]],MATCH(Table5[[#This Row],[PID]],Table3[[#All],[PID]],0)))</f>
        <v>4</v>
      </c>
      <c r="P439" s="56">
        <f>IF($C439="B",INDEX(Batters[[#All],[K P]],MATCH(Table5[[#This Row],[PID]],Batters[[#All],[PID]],0)),INDEX(Table3[[#All],[STM]],MATCH(Table5[[#This Row],[PID]],Table3[[#All],[PID]],0)))</f>
        <v>3</v>
      </c>
      <c r="Q439" s="61">
        <f>IF($C439="B",INDEX(Batters[[#All],[Tot]],MATCH(Table5[[#This Row],[PID]],Batters[[#All],[PID]],0)),INDEX(Table3[[#All],[Tot]],MATCH(Table5[[#This Row],[PID]],Table3[[#All],[PID]],0)))</f>
        <v>38.273055948039755</v>
      </c>
      <c r="R439" s="52">
        <f>IF($C439="B",INDEX(Batters[[#All],[zScore]],MATCH(Table5[[#This Row],[PID]],Batters[[#All],[PID]],0)),INDEX(Table3[[#All],[zScore]],MATCH(Table5[[#This Row],[PID]],Table3[[#All],[PID]],0)))</f>
        <v>-1.2989541349847447</v>
      </c>
      <c r="S439" s="58" t="str">
        <f>IF($C439="B",INDEX(Batters[[#All],[DEM]],MATCH(Table5[[#This Row],[PID]],Batters[[#All],[PID]],0)),INDEX(Table3[[#All],[DEM]],MATCH(Table5[[#This Row],[PID]],Table3[[#All],[PID]],0)))</f>
        <v>$20k</v>
      </c>
      <c r="T439" s="62">
        <f>IF($C439="B",INDEX(Batters[[#All],[Rnk]],MATCH(Table5[[#This Row],[PID]],Batters[[#All],[PID]],0)),INDEX(Table3[[#All],[Rnk]],MATCH(Table5[[#This Row],[PID]],Table3[[#All],[PID]],0)))</f>
        <v>485</v>
      </c>
      <c r="U439" s="68">
        <f>IF($C439="B",VLOOKUP($A439,Bat!$A$4:$BA$1621,47,FALSE),VLOOKUP($A439,Pit!$A$4:$BF$1557,56,FALSE))</f>
        <v>0</v>
      </c>
      <c r="V439" s="50">
        <f>IF($C439="B",VLOOKUP($A439,Bat!$A$4:$BA$1621,48,FALSE),VLOOKUP($A439,Pit!$A$4:$BF$1557,57,FALSE))</f>
        <v>0</v>
      </c>
      <c r="W439" s="50">
        <f>Table5[[#This Row],[posRnk]]+Table5[[#This Row],[zRnk]]+IF($W$3&lt;&gt;Table5[[#This Row],[Type]],50,0)</f>
        <v>1774</v>
      </c>
      <c r="X439" s="51">
        <f>RANK(Table5[[#This Row],[zScore]],Table5[[#All],[zScore]])</f>
        <v>1239</v>
      </c>
      <c r="Y439" s="50">
        <f>IFERROR(INDEX(DraftResults[[#All],[OVR]],MATCH(Table5[[#This Row],[PID]],DraftResults[[#All],[Player ID]],0)),"")</f>
        <v>435</v>
      </c>
      <c r="Z4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39" s="50">
        <f>IFERROR(INDEX(DraftResults[[#All],[Pick in Round]],MATCH(Table5[[#This Row],[PID]],DraftResults[[#All],[Player ID]],0)),"")</f>
        <v>7</v>
      </c>
      <c r="AB439" s="50" t="str">
        <f>IFERROR(INDEX(DraftResults[[#All],[Team Name]],MATCH(Table5[[#This Row],[PID]],DraftResults[[#All],[Player ID]],0)),"")</f>
        <v>Niihama-shi Ghosts</v>
      </c>
      <c r="AC439" s="50">
        <f>IF(Table5[[#This Row],[Ovr]]="","",IF(Table5[[#This Row],[cmbList]]="","",Table5[[#This Row],[cmbList]]-Table5[[#This Row],[Ovr]]))</f>
        <v>1339</v>
      </c>
      <c r="AD439" s="54" t="str">
        <f>IF(ISERROR(VLOOKUP($AB439&amp;"-"&amp;$E439&amp;" "&amp;F439,Bonuses!$B$1:$G$1006,4,FALSE)),"",INT(VLOOKUP($AB439&amp;"-"&amp;$E439&amp;" "&amp;$F439,Bonuses!$B$1:$G$1006,4,FALSE)))</f>
        <v/>
      </c>
      <c r="AE4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15.7 (435) - CF Ambrose Bailey</v>
      </c>
    </row>
    <row r="440" spans="1:31" s="50" customFormat="1" x14ac:dyDescent="0.25">
      <c r="A440" s="50">
        <v>1219</v>
      </c>
      <c r="B440" s="50">
        <f>COUNTIF(Table5[PID],A440)</f>
        <v>1</v>
      </c>
      <c r="C440" s="50" t="str">
        <f>IF(COUNTIF(Table3[[#All],[PID]],A440)&gt;0,"P","B")</f>
        <v>B</v>
      </c>
      <c r="D440" s="59" t="str">
        <f>IF($C440="B",INDEX(Batters[[#All],[POS]],MATCH(Table5[[#This Row],[PID]],Batters[[#All],[PID]],0)),INDEX(Table3[[#All],[POS]],MATCH(Table5[[#This Row],[PID]],Table3[[#All],[PID]],0)))</f>
        <v>RF</v>
      </c>
      <c r="E440" s="52" t="str">
        <f>IF($C440="B",INDEX(Batters[[#All],[First]],MATCH(Table5[[#This Row],[PID]],Batters[[#All],[PID]],0)),INDEX(Table3[[#All],[First]],MATCH(Table5[[#This Row],[PID]],Table3[[#All],[PID]],0)))</f>
        <v>Sergio</v>
      </c>
      <c r="F440" s="50" t="str">
        <f>IF($C440="B",INDEX(Batters[[#All],[Last]],MATCH(A440,Batters[[#All],[PID]],0)),INDEX(Table3[[#All],[Last]],MATCH(A440,Table3[[#All],[PID]],0)))</f>
        <v>Ruíz</v>
      </c>
      <c r="G440" s="56">
        <f>IF($C440="B",INDEX(Batters[[#All],[Age]],MATCH(Table5[[#This Row],[PID]],Batters[[#All],[PID]],0)),INDEX(Table3[[#All],[Age]],MATCH(Table5[[#This Row],[PID]],Table3[[#All],[PID]],0)))</f>
        <v>18</v>
      </c>
      <c r="H440" s="52" t="str">
        <f>IF($C440="B",INDEX(Batters[[#All],[B]],MATCH(Table5[[#This Row],[PID]],Batters[[#All],[PID]],0)),INDEX(Table3[[#All],[B]],MATCH(Table5[[#This Row],[PID]],Table3[[#All],[PID]],0)))</f>
        <v>L</v>
      </c>
      <c r="I440" s="52" t="str">
        <f>IF($C440="B",INDEX(Batters[[#All],[T]],MATCH(Table5[[#This Row],[PID]],Batters[[#All],[PID]],0)),INDEX(Table3[[#All],[T]],MATCH(Table5[[#This Row],[PID]],Table3[[#All],[PID]],0)))</f>
        <v>L</v>
      </c>
      <c r="J440" s="52" t="str">
        <f>IF($C440="B",INDEX(Batters[[#All],[WE]],MATCH(Table5[[#This Row],[PID]],Batters[[#All],[PID]],0)),INDEX(Table3[[#All],[WE]],MATCH(Table5[[#This Row],[PID]],Table3[[#All],[PID]],0)))</f>
        <v>Low</v>
      </c>
      <c r="K440" s="52" t="str">
        <f>IF($C440="B",INDEX(Batters[[#All],[INT]],MATCH(Table5[[#This Row],[PID]],Batters[[#All],[PID]],0)),INDEX(Table3[[#All],[INT]],MATCH(Table5[[#This Row],[PID]],Table3[[#All],[PID]],0)))</f>
        <v>Normal</v>
      </c>
      <c r="L440" s="60">
        <f>IF($C440="B",INDEX(Batters[[#All],[CON P]],MATCH(Table5[[#This Row],[PID]],Batters[[#All],[PID]],0)),INDEX(Table3[[#All],[STU P]],MATCH(Table5[[#This Row],[PID]],Table3[[#All],[PID]],0)))</f>
        <v>3</v>
      </c>
      <c r="M440" s="56">
        <f>IF($C440="B",INDEX(Batters[[#All],[GAP P]],MATCH(Table5[[#This Row],[PID]],Batters[[#All],[PID]],0)),INDEX(Table3[[#All],[MOV P]],MATCH(Table5[[#This Row],[PID]],Table3[[#All],[PID]],0)))</f>
        <v>5</v>
      </c>
      <c r="N440" s="56">
        <f>IF($C440="B",INDEX(Batters[[#All],[POW P]],MATCH(Table5[[#This Row],[PID]],Batters[[#All],[PID]],0)),INDEX(Table3[[#All],[CON P]],MATCH(Table5[[#This Row],[PID]],Table3[[#All],[PID]],0)))</f>
        <v>5</v>
      </c>
      <c r="O440" s="56">
        <f>IF($C440="B",INDEX(Batters[[#All],[EYE P]],MATCH(Table5[[#This Row],[PID]],Batters[[#All],[PID]],0)),INDEX(Table3[[#All],[VELO]],MATCH(Table5[[#This Row],[PID]],Table3[[#All],[PID]],0)))</f>
        <v>5</v>
      </c>
      <c r="P440" s="56">
        <f>IF($C440="B",INDEX(Batters[[#All],[K P]],MATCH(Table5[[#This Row],[PID]],Batters[[#All],[PID]],0)),INDEX(Table3[[#All],[STM]],MATCH(Table5[[#This Row],[PID]],Table3[[#All],[PID]],0)))</f>
        <v>3</v>
      </c>
      <c r="Q440" s="61">
        <f>IF($C440="B",INDEX(Batters[[#All],[Tot]],MATCH(Table5[[#This Row],[PID]],Batters[[#All],[PID]],0)),INDEX(Table3[[#All],[Tot]],MATCH(Table5[[#This Row],[PID]],Table3[[#All],[PID]],0)))</f>
        <v>43.93847416422976</v>
      </c>
      <c r="R440" s="52">
        <f>IF($C440="B",INDEX(Batters[[#All],[zScore]],MATCH(Table5[[#This Row],[PID]],Batters[[#All],[PID]],0)),INDEX(Table3[[#All],[zScore]],MATCH(Table5[[#This Row],[PID]],Table3[[#All],[PID]],0)))</f>
        <v>-4.2892621782304102E-2</v>
      </c>
      <c r="S440" s="58" t="str">
        <f>IF($C440="B",INDEX(Batters[[#All],[DEM]],MATCH(Table5[[#This Row],[PID]],Batters[[#All],[PID]],0)),INDEX(Table3[[#All],[DEM]],MATCH(Table5[[#This Row],[PID]],Table3[[#All],[PID]],0)))</f>
        <v>$38k</v>
      </c>
      <c r="T440" s="62">
        <f>IF($C440="B",INDEX(Batters[[#All],[Rnk]],MATCH(Table5[[#This Row],[PID]],Batters[[#All],[PID]],0)),INDEX(Table3[[#All],[Rnk]],MATCH(Table5[[#This Row],[PID]],Table3[[#All],[PID]],0)))</f>
        <v>253</v>
      </c>
      <c r="U440" s="68">
        <f>IF($C440="B",VLOOKUP($A440,Bat!$A$4:$BA$1621,47,FALSE),VLOOKUP($A440,Pit!$A$4:$BF$1557,56,FALSE))</f>
        <v>0</v>
      </c>
      <c r="V440" s="50">
        <f>IF($C440="B",VLOOKUP($A440,Bat!$A$4:$BA$1621,48,FALSE),VLOOKUP($A440,Pit!$A$4:$BF$1557,57,FALSE))</f>
        <v>0</v>
      </c>
      <c r="W440" s="50">
        <f>Table5[[#This Row],[posRnk]]+Table5[[#This Row],[zRnk]]+IF($W$3&lt;&gt;Table5[[#This Row],[Type]],50,0)</f>
        <v>877</v>
      </c>
      <c r="X440" s="51">
        <f>RANK(Table5[[#This Row],[zScore]],Table5[[#All],[zScore]])</f>
        <v>574</v>
      </c>
      <c r="Y440" s="50">
        <f>IFERROR(INDEX(DraftResults[[#All],[OVR]],MATCH(Table5[[#This Row],[PID]],DraftResults[[#All],[Player ID]],0)),"")</f>
        <v>436</v>
      </c>
      <c r="Z4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0" s="50">
        <f>IFERROR(INDEX(DraftResults[[#All],[Pick in Round]],MATCH(Table5[[#This Row],[PID]],DraftResults[[#All],[Player ID]],0)),"")</f>
        <v>8</v>
      </c>
      <c r="AB440" s="50" t="str">
        <f>IFERROR(INDEX(DraftResults[[#All],[Team Name]],MATCH(Table5[[#This Row],[PID]],DraftResults[[#All],[Player ID]],0)),"")</f>
        <v>London Underground</v>
      </c>
      <c r="AC440" s="50">
        <f>IF(Table5[[#This Row],[Ovr]]="","",IF(Table5[[#This Row],[cmbList]]="","",Table5[[#This Row],[cmbList]]-Table5[[#This Row],[Ovr]]))</f>
        <v>441</v>
      </c>
      <c r="AD440" s="54" t="str">
        <f>IF(ISERROR(VLOOKUP($AB440&amp;"-"&amp;$E440&amp;" "&amp;F440,Bonuses!$B$1:$G$1006,4,FALSE)),"",INT(VLOOKUP($AB440&amp;"-"&amp;$E440&amp;" "&amp;$F440,Bonuses!$B$1:$G$1006,4,FALSE)))</f>
        <v/>
      </c>
      <c r="AE4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15.8 (436) - RF Sergio Ruíz</v>
      </c>
    </row>
    <row r="441" spans="1:31" s="50" customFormat="1" x14ac:dyDescent="0.25">
      <c r="A441" s="68">
        <v>18132</v>
      </c>
      <c r="B441" s="69">
        <f>COUNTIF(Table5[PID],A441)</f>
        <v>1</v>
      </c>
      <c r="C441" s="69" t="str">
        <f>IF(COUNTIF(Table3[[#All],[PID]],A441)&gt;0,"P","B")</f>
        <v>P</v>
      </c>
      <c r="D441" s="59" t="str">
        <f>IF($C441="B",INDEX(Batters[[#All],[POS]],MATCH(Table5[[#This Row],[PID]],Batters[[#All],[PID]],0)),INDEX(Table3[[#All],[POS]],MATCH(Table5[[#This Row],[PID]],Table3[[#All],[PID]],0)))</f>
        <v>SP</v>
      </c>
      <c r="E441" s="52" t="str">
        <f>IF($C441="B",INDEX(Batters[[#All],[First]],MATCH(Table5[[#This Row],[PID]],Batters[[#All],[PID]],0)),INDEX(Table3[[#All],[First]],MATCH(Table5[[#This Row],[PID]],Table3[[#All],[PID]],0)))</f>
        <v>Johnny</v>
      </c>
      <c r="F441" s="55" t="str">
        <f>IF($C441="B",INDEX(Batters[[#All],[Last]],MATCH(A441,Batters[[#All],[PID]],0)),INDEX(Table3[[#All],[Last]],MATCH(A441,Table3[[#All],[PID]],0)))</f>
        <v>Copeland</v>
      </c>
      <c r="G441" s="56">
        <f>IF($C441="B",INDEX(Batters[[#All],[Age]],MATCH(Table5[[#This Row],[PID]],Batters[[#All],[PID]],0)),INDEX(Table3[[#All],[Age]],MATCH(Table5[[#This Row],[PID]],Table3[[#All],[PID]],0)))</f>
        <v>21</v>
      </c>
      <c r="H441" s="52" t="str">
        <f>IF($C441="B",INDEX(Batters[[#All],[B]],MATCH(Table5[[#This Row],[PID]],Batters[[#All],[PID]],0)),INDEX(Table3[[#All],[B]],MATCH(Table5[[#This Row],[PID]],Table3[[#All],[PID]],0)))</f>
        <v>L</v>
      </c>
      <c r="I441" s="52" t="str">
        <f>IF($C441="B",INDEX(Batters[[#All],[T]],MATCH(Table5[[#This Row],[PID]],Batters[[#All],[PID]],0)),INDEX(Table3[[#All],[T]],MATCH(Table5[[#This Row],[PID]],Table3[[#All],[PID]],0)))</f>
        <v>L</v>
      </c>
      <c r="J441" s="71" t="str">
        <f>IF($C441="B",INDEX(Batters[[#All],[WE]],MATCH(Table5[[#This Row],[PID]],Batters[[#All],[PID]],0)),INDEX(Table3[[#All],[WE]],MATCH(Table5[[#This Row],[PID]],Table3[[#All],[PID]],0)))</f>
        <v>High</v>
      </c>
      <c r="K441" s="52" t="str">
        <f>IF($C441="B",INDEX(Batters[[#All],[INT]],MATCH(Table5[[#This Row],[PID]],Batters[[#All],[PID]],0)),INDEX(Table3[[#All],[INT]],MATCH(Table5[[#This Row],[PID]],Table3[[#All],[PID]],0)))</f>
        <v>Normal</v>
      </c>
      <c r="L441" s="60">
        <f>IF($C441="B",INDEX(Batters[[#All],[CON P]],MATCH(Table5[[#This Row],[PID]],Batters[[#All],[PID]],0)),INDEX(Table3[[#All],[STU P]],MATCH(Table5[[#This Row],[PID]],Table3[[#All],[PID]],0)))</f>
        <v>5</v>
      </c>
      <c r="M441" s="72">
        <f>IF($C441="B",INDEX(Batters[[#All],[GAP P]],MATCH(Table5[[#This Row],[PID]],Batters[[#All],[PID]],0)),INDEX(Table3[[#All],[MOV P]],MATCH(Table5[[#This Row],[PID]],Table3[[#All],[PID]],0)))</f>
        <v>5</v>
      </c>
      <c r="N441" s="72">
        <f>IF($C441="B",INDEX(Batters[[#All],[POW P]],MATCH(Table5[[#This Row],[PID]],Batters[[#All],[PID]],0)),INDEX(Table3[[#All],[CON P]],MATCH(Table5[[#This Row],[PID]],Table3[[#All],[PID]],0)))</f>
        <v>3</v>
      </c>
      <c r="O441" s="72" t="str">
        <f>IF($C441="B",INDEX(Batters[[#All],[EYE P]],MATCH(Table5[[#This Row],[PID]],Batters[[#All],[PID]],0)),INDEX(Table3[[#All],[VELO]],MATCH(Table5[[#This Row],[PID]],Table3[[#All],[PID]],0)))</f>
        <v>90-92 Mph</v>
      </c>
      <c r="P441" s="56">
        <f>IF($C441="B",INDEX(Batters[[#All],[K P]],MATCH(Table5[[#This Row],[PID]],Batters[[#All],[PID]],0)),INDEX(Table3[[#All],[STM]],MATCH(Table5[[#This Row],[PID]],Table3[[#All],[PID]],0)))</f>
        <v>8</v>
      </c>
      <c r="Q441" s="61">
        <f>IF($C441="B",INDEX(Batters[[#All],[Tot]],MATCH(Table5[[#This Row],[PID]],Batters[[#All],[PID]],0)),INDEX(Table3[[#All],[Tot]],MATCH(Table5[[#This Row],[PID]],Table3[[#All],[PID]],0)))</f>
        <v>47.198628541474378</v>
      </c>
      <c r="R441" s="52">
        <f>IF($C441="B",INDEX(Batters[[#All],[zScore]],MATCH(Table5[[#This Row],[PID]],Batters[[#All],[PID]],0)),INDEX(Table3[[#All],[zScore]],MATCH(Table5[[#This Row],[PID]],Table3[[#All],[PID]],0)))</f>
        <v>0.75364134864984844</v>
      </c>
      <c r="S441" s="78" t="str">
        <f>IF($C441="B",INDEX(Batters[[#All],[DEM]],MATCH(Table5[[#This Row],[PID]],Batters[[#All],[PID]],0)),INDEX(Table3[[#All],[DEM]],MATCH(Table5[[#This Row],[PID]],Table3[[#All],[PID]],0)))</f>
        <v>$24k</v>
      </c>
      <c r="T441" s="75">
        <f>IF($C441="B",INDEX(Batters[[#All],[Rnk]],MATCH(Table5[[#This Row],[PID]],Batters[[#All],[PID]],0)),INDEX(Table3[[#All],[Rnk]],MATCH(Table5[[#This Row],[PID]],Table3[[#All],[PID]],0)))</f>
        <v>180</v>
      </c>
      <c r="U441" s="68">
        <f>IF($C441="B",VLOOKUP($A441,Bat!$A$4:$BA$1621,47,FALSE),VLOOKUP($A441,Pit!$A$4:$BF$1557,56,FALSE))</f>
        <v>0</v>
      </c>
      <c r="V441" s="50">
        <f>IF($C441="B",VLOOKUP($A441,Bat!$A$4:$BA$1621,48,FALSE),VLOOKUP($A441,Pit!$A$4:$BF$1557,57,FALSE))</f>
        <v>0</v>
      </c>
      <c r="W441" s="69">
        <f>Table5[[#This Row],[posRnk]]+Table5[[#This Row],[zRnk]]+IF($W$3&lt;&gt;Table5[[#This Row],[Type]],50,0)</f>
        <v>526</v>
      </c>
      <c r="X441" s="73">
        <f>RANK(Table5[[#This Row],[zScore]],Table5[[#All],[zScore]])</f>
        <v>296</v>
      </c>
      <c r="Y441" s="69">
        <f>IFERROR(INDEX(DraftResults[[#All],[OVR]],MATCH(Table5[[#This Row],[PID]],DraftResults[[#All],[Player ID]],0)),"")</f>
        <v>437</v>
      </c>
      <c r="Z44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1" s="69">
        <f>IFERROR(INDEX(DraftResults[[#All],[Pick in Round]],MATCH(Table5[[#This Row],[PID]],DraftResults[[#All],[Player ID]],0)),"")</f>
        <v>9</v>
      </c>
      <c r="AB441" s="69" t="str">
        <f>IFERROR(INDEX(DraftResults[[#All],[Team Name]],MATCH(Table5[[#This Row],[PID]],DraftResults[[#All],[Player ID]],0)),"")</f>
        <v>Scottish Claymores</v>
      </c>
      <c r="AC441" s="69">
        <f>IF(Table5[[#This Row],[Ovr]]="","",IF(Table5[[#This Row],[cmbList]]="","",Table5[[#This Row],[cmbList]]-Table5[[#This Row],[Ovr]]))</f>
        <v>89</v>
      </c>
      <c r="AD441" s="77" t="str">
        <f>IF(ISERROR(VLOOKUP($AB441&amp;"-"&amp;$E441&amp;" "&amp;F441,Bonuses!$B$1:$G$1006,4,FALSE)),"",INT(VLOOKUP($AB441&amp;"-"&amp;$E441&amp;" "&amp;$F441,Bonuses!$B$1:$G$1006,4,FALSE)))</f>
        <v/>
      </c>
      <c r="AE44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15.9 (437) - SP Johnny Copeland</v>
      </c>
    </row>
    <row r="442" spans="1:31" s="50" customFormat="1" x14ac:dyDescent="0.25">
      <c r="A442" s="68">
        <v>18299</v>
      </c>
      <c r="B442" s="69">
        <f>COUNTIF(Table5[PID],A442)</f>
        <v>1</v>
      </c>
      <c r="C442" s="69" t="str">
        <f>IF(COUNTIF(Table3[[#All],[PID]],A442)&gt;0,"P","B")</f>
        <v>P</v>
      </c>
      <c r="D442" s="59" t="str">
        <f>IF($C442="B",INDEX(Batters[[#All],[POS]],MATCH(Table5[[#This Row],[PID]],Batters[[#All],[PID]],0)),INDEX(Table3[[#All],[POS]],MATCH(Table5[[#This Row],[PID]],Table3[[#All],[PID]],0)))</f>
        <v>SP</v>
      </c>
      <c r="E442" s="52" t="str">
        <f>IF($C442="B",INDEX(Batters[[#All],[First]],MATCH(Table5[[#This Row],[PID]],Batters[[#All],[PID]],0)),INDEX(Table3[[#All],[First]],MATCH(Table5[[#This Row],[PID]],Table3[[#All],[PID]],0)))</f>
        <v>Ciaran</v>
      </c>
      <c r="F442" s="55" t="str">
        <f>IF($C442="B",INDEX(Batters[[#All],[Last]],MATCH(A442,Batters[[#All],[PID]],0)),INDEX(Table3[[#All],[Last]],MATCH(A442,Table3[[#All],[PID]],0)))</f>
        <v>Willey</v>
      </c>
      <c r="G442" s="56">
        <f>IF($C442="B",INDEX(Batters[[#All],[Age]],MATCH(Table5[[#This Row],[PID]],Batters[[#All],[PID]],0)),INDEX(Table3[[#All],[Age]],MATCH(Table5[[#This Row],[PID]],Table3[[#All],[PID]],0)))</f>
        <v>21</v>
      </c>
      <c r="H442" s="52" t="str">
        <f>IF($C442="B",INDEX(Batters[[#All],[B]],MATCH(Table5[[#This Row],[PID]],Batters[[#All],[PID]],0)),INDEX(Table3[[#All],[B]],MATCH(Table5[[#This Row],[PID]],Table3[[#All],[PID]],0)))</f>
        <v>S</v>
      </c>
      <c r="I442" s="52" t="str">
        <f>IF($C442="B",INDEX(Batters[[#All],[T]],MATCH(Table5[[#This Row],[PID]],Batters[[#All],[PID]],0)),INDEX(Table3[[#All],[T]],MATCH(Table5[[#This Row],[PID]],Table3[[#All],[PID]],0)))</f>
        <v>R</v>
      </c>
      <c r="J442" s="71" t="str">
        <f>IF($C442="B",INDEX(Batters[[#All],[WE]],MATCH(Table5[[#This Row],[PID]],Batters[[#All],[PID]],0)),INDEX(Table3[[#All],[WE]],MATCH(Table5[[#This Row],[PID]],Table3[[#All],[PID]],0)))</f>
        <v>Low</v>
      </c>
      <c r="K442" s="52" t="str">
        <f>IF($C442="B",INDEX(Batters[[#All],[INT]],MATCH(Table5[[#This Row],[PID]],Batters[[#All],[PID]],0)),INDEX(Table3[[#All],[INT]],MATCH(Table5[[#This Row],[PID]],Table3[[#All],[PID]],0)))</f>
        <v>Normal</v>
      </c>
      <c r="L442" s="60">
        <f>IF($C442="B",INDEX(Batters[[#All],[CON P]],MATCH(Table5[[#This Row],[PID]],Batters[[#All],[PID]],0)),INDEX(Table3[[#All],[STU P]],MATCH(Table5[[#This Row],[PID]],Table3[[#All],[PID]],0)))</f>
        <v>4</v>
      </c>
      <c r="M442" s="72">
        <f>IF($C442="B",INDEX(Batters[[#All],[GAP P]],MATCH(Table5[[#This Row],[PID]],Batters[[#All],[PID]],0)),INDEX(Table3[[#All],[MOV P]],MATCH(Table5[[#This Row],[PID]],Table3[[#All],[PID]],0)))</f>
        <v>4</v>
      </c>
      <c r="N442" s="72">
        <f>IF($C442="B",INDEX(Batters[[#All],[POW P]],MATCH(Table5[[#This Row],[PID]],Batters[[#All],[PID]],0)),INDEX(Table3[[#All],[CON P]],MATCH(Table5[[#This Row],[PID]],Table3[[#All],[PID]],0)))</f>
        <v>4</v>
      </c>
      <c r="O442" s="72" t="str">
        <f>IF($C442="B",INDEX(Batters[[#All],[EYE P]],MATCH(Table5[[#This Row],[PID]],Batters[[#All],[PID]],0)),INDEX(Table3[[#All],[VELO]],MATCH(Table5[[#This Row],[PID]],Table3[[#All],[PID]],0)))</f>
        <v>87-89 Mph</v>
      </c>
      <c r="P442" s="56">
        <f>IF($C442="B",INDEX(Batters[[#All],[K P]],MATCH(Table5[[#This Row],[PID]],Batters[[#All],[PID]],0)),INDEX(Table3[[#All],[STM]],MATCH(Table5[[#This Row],[PID]],Table3[[#All],[PID]],0)))</f>
        <v>9</v>
      </c>
      <c r="Q442" s="61">
        <f>IF($C442="B",INDEX(Batters[[#All],[Tot]],MATCH(Table5[[#This Row],[PID]],Batters[[#All],[PID]],0)),INDEX(Table3[[#All],[Tot]],MATCH(Table5[[#This Row],[PID]],Table3[[#All],[PID]],0)))</f>
        <v>43.239507270193641</v>
      </c>
      <c r="R442" s="52">
        <f>IF($C442="B",INDEX(Batters[[#All],[zScore]],MATCH(Table5[[#This Row],[PID]],Batters[[#All],[PID]],0)),INDEX(Table3[[#All],[zScore]],MATCH(Table5[[#This Row],[PID]],Table3[[#All],[PID]],0)))</f>
        <v>0.49024706043976274</v>
      </c>
      <c r="S442" s="78" t="str">
        <f>IF($C442="B",INDEX(Batters[[#All],[DEM]],MATCH(Table5[[#This Row],[PID]],Batters[[#All],[PID]],0)),INDEX(Table3[[#All],[DEM]],MATCH(Table5[[#This Row],[PID]],Table3[[#All],[PID]],0)))</f>
        <v>$20k</v>
      </c>
      <c r="T442" s="75">
        <f>IF($C442="B",INDEX(Batters[[#All],[Rnk]],MATCH(Table5[[#This Row],[PID]],Batters[[#All],[PID]],0)),INDEX(Table3[[#All],[Rnk]],MATCH(Table5[[#This Row],[PID]],Table3[[#All],[PID]],0)))</f>
        <v>218</v>
      </c>
      <c r="U442" s="68">
        <f>IF($C442="B",VLOOKUP($A442,Bat!$A$4:$BA$1621,47,FALSE),VLOOKUP($A442,Pit!$A$4:$BF$1557,56,FALSE))</f>
        <v>0</v>
      </c>
      <c r="V442" s="50">
        <f>IF($C442="B",VLOOKUP($A442,Bat!$A$4:$BA$1621,48,FALSE),VLOOKUP($A442,Pit!$A$4:$BF$1557,57,FALSE))</f>
        <v>0</v>
      </c>
      <c r="W442" s="69">
        <f>Table5[[#This Row],[posRnk]]+Table5[[#This Row],[zRnk]]+IF($W$3&lt;&gt;Table5[[#This Row],[Type]],50,0)</f>
        <v>638</v>
      </c>
      <c r="X442" s="73">
        <f>RANK(Table5[[#This Row],[zScore]],Table5[[#All],[zScore]])</f>
        <v>370</v>
      </c>
      <c r="Y442" s="69">
        <f>IFERROR(INDEX(DraftResults[[#All],[OVR]],MATCH(Table5[[#This Row],[PID]],DraftResults[[#All],[Player ID]],0)),"")</f>
        <v>438</v>
      </c>
      <c r="Z44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2" s="69">
        <f>IFERROR(INDEX(DraftResults[[#All],[Pick in Round]],MATCH(Table5[[#This Row],[PID]],DraftResults[[#All],[Player ID]],0)),"")</f>
        <v>10</v>
      </c>
      <c r="AB442" s="69" t="str">
        <f>IFERROR(INDEX(DraftResults[[#All],[Team Name]],MATCH(Table5[[#This Row],[PID]],DraftResults[[#All],[Player ID]],0)),"")</f>
        <v>Hartford Harpoon</v>
      </c>
      <c r="AC442" s="69">
        <f>IF(Table5[[#This Row],[Ovr]]="","",IF(Table5[[#This Row],[cmbList]]="","",Table5[[#This Row],[cmbList]]-Table5[[#This Row],[Ovr]]))</f>
        <v>200</v>
      </c>
      <c r="AD442" s="77" t="str">
        <f>IF(ISERROR(VLOOKUP($AB442&amp;"-"&amp;$E442&amp;" "&amp;F442,Bonuses!$B$1:$G$1006,4,FALSE)),"",INT(VLOOKUP($AB442&amp;"-"&amp;$E442&amp;" "&amp;$F442,Bonuses!$B$1:$G$1006,4,FALSE)))</f>
        <v/>
      </c>
      <c r="AE44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15.10 (438) - SP Ciaran Willey</v>
      </c>
    </row>
    <row r="443" spans="1:31" s="50" customFormat="1" x14ac:dyDescent="0.25">
      <c r="A443" s="50">
        <v>18006</v>
      </c>
      <c r="B443" s="50">
        <f>COUNTIF(Table5[PID],A443)</f>
        <v>1</v>
      </c>
      <c r="C443" s="50" t="str">
        <f>IF(COUNTIF(Table3[[#All],[PID]],A443)&gt;0,"P","B")</f>
        <v>B</v>
      </c>
      <c r="D443" s="59" t="str">
        <f>IF($C443="B",INDEX(Batters[[#All],[POS]],MATCH(Table5[[#This Row],[PID]],Batters[[#All],[PID]],0)),INDEX(Table3[[#All],[POS]],MATCH(Table5[[#This Row],[PID]],Table3[[#All],[PID]],0)))</f>
        <v>RF</v>
      </c>
      <c r="E443" s="52" t="str">
        <f>IF($C443="B",INDEX(Batters[[#All],[First]],MATCH(Table5[[#This Row],[PID]],Batters[[#All],[PID]],0)),INDEX(Table3[[#All],[First]],MATCH(Table5[[#This Row],[PID]],Table3[[#All],[PID]],0)))</f>
        <v>Phil</v>
      </c>
      <c r="F443" s="50" t="str">
        <f>IF($C443="B",INDEX(Batters[[#All],[Last]],MATCH(A443,Batters[[#All],[PID]],0)),INDEX(Table3[[#All],[Last]],MATCH(A443,Table3[[#All],[PID]],0)))</f>
        <v>López</v>
      </c>
      <c r="G443" s="56">
        <f>IF($C443="B",INDEX(Batters[[#All],[Age]],MATCH(Table5[[#This Row],[PID]],Batters[[#All],[PID]],0)),INDEX(Table3[[#All],[Age]],MATCH(Table5[[#This Row],[PID]],Table3[[#All],[PID]],0)))</f>
        <v>21</v>
      </c>
      <c r="H443" s="52" t="str">
        <f>IF($C443="B",INDEX(Batters[[#All],[B]],MATCH(Table5[[#This Row],[PID]],Batters[[#All],[PID]],0)),INDEX(Table3[[#All],[B]],MATCH(Table5[[#This Row],[PID]],Table3[[#All],[PID]],0)))</f>
        <v>R</v>
      </c>
      <c r="I443" s="52" t="str">
        <f>IF($C443="B",INDEX(Batters[[#All],[T]],MATCH(Table5[[#This Row],[PID]],Batters[[#All],[PID]],0)),INDEX(Table3[[#All],[T]],MATCH(Table5[[#This Row],[PID]],Table3[[#All],[PID]],0)))</f>
        <v>R</v>
      </c>
      <c r="J443" s="52" t="str">
        <f>IF($C443="B",INDEX(Batters[[#All],[WE]],MATCH(Table5[[#This Row],[PID]],Batters[[#All],[PID]],0)),INDEX(Table3[[#All],[WE]],MATCH(Table5[[#This Row],[PID]],Table3[[#All],[PID]],0)))</f>
        <v>High</v>
      </c>
      <c r="K443" s="52" t="str">
        <f>IF($C443="B",INDEX(Batters[[#All],[INT]],MATCH(Table5[[#This Row],[PID]],Batters[[#All],[PID]],0)),INDEX(Table3[[#All],[INT]],MATCH(Table5[[#This Row],[PID]],Table3[[#All],[PID]],0)))</f>
        <v>Normal</v>
      </c>
      <c r="L443" s="60">
        <f>IF($C443="B",INDEX(Batters[[#All],[CON P]],MATCH(Table5[[#This Row],[PID]],Batters[[#All],[PID]],0)),INDEX(Table3[[#All],[STU P]],MATCH(Table5[[#This Row],[PID]],Table3[[#All],[PID]],0)))</f>
        <v>3</v>
      </c>
      <c r="M443" s="56">
        <f>IF($C443="B",INDEX(Batters[[#All],[GAP P]],MATCH(Table5[[#This Row],[PID]],Batters[[#All],[PID]],0)),INDEX(Table3[[#All],[MOV P]],MATCH(Table5[[#This Row],[PID]],Table3[[#All],[PID]],0)))</f>
        <v>5</v>
      </c>
      <c r="N443" s="56">
        <f>IF($C443="B",INDEX(Batters[[#All],[POW P]],MATCH(Table5[[#This Row],[PID]],Batters[[#All],[PID]],0)),INDEX(Table3[[#All],[CON P]],MATCH(Table5[[#This Row],[PID]],Table3[[#All],[PID]],0)))</f>
        <v>5</v>
      </c>
      <c r="O443" s="56">
        <f>IF($C443="B",INDEX(Batters[[#All],[EYE P]],MATCH(Table5[[#This Row],[PID]],Batters[[#All],[PID]],0)),INDEX(Table3[[#All],[VELO]],MATCH(Table5[[#This Row],[PID]],Table3[[#All],[PID]],0)))</f>
        <v>4</v>
      </c>
      <c r="P443" s="56">
        <f>IF($C443="B",INDEX(Batters[[#All],[K P]],MATCH(Table5[[#This Row],[PID]],Batters[[#All],[PID]],0)),INDEX(Table3[[#All],[STM]],MATCH(Table5[[#This Row],[PID]],Table3[[#All],[PID]],0)))</f>
        <v>4</v>
      </c>
      <c r="Q443" s="61">
        <f>IF($C443="B",INDEX(Batters[[#All],[Tot]],MATCH(Table5[[#This Row],[PID]],Batters[[#All],[PID]],0)),INDEX(Table3[[#All],[Tot]],MATCH(Table5[[#This Row],[PID]],Table3[[#All],[PID]],0)))</f>
        <v>39.617128457988855</v>
      </c>
      <c r="R443" s="52">
        <f>IF($C443="B",INDEX(Batters[[#All],[zScore]],MATCH(Table5[[#This Row],[PID]],Batters[[#All],[PID]],0)),INDEX(Table3[[#All],[zScore]],MATCH(Table5[[#This Row],[PID]],Table3[[#All],[PID]],0)))</f>
        <v>-1.0009641744420243</v>
      </c>
      <c r="S443" s="58" t="str">
        <f>IF($C443="B",INDEX(Batters[[#All],[DEM]],MATCH(Table5[[#This Row],[PID]],Batters[[#All],[PID]],0)),INDEX(Table3[[#All],[DEM]],MATCH(Table5[[#This Row],[PID]],Table3[[#All],[PID]],0)))</f>
        <v>-</v>
      </c>
      <c r="T443" s="62">
        <f>IF($C443="B",INDEX(Batters[[#All],[Rnk]],MATCH(Table5[[#This Row],[PID]],Batters[[#All],[PID]],0)),INDEX(Table3[[#All],[Rnk]],MATCH(Table5[[#This Row],[PID]],Table3[[#All],[PID]],0)))</f>
        <v>442</v>
      </c>
      <c r="U443" s="68">
        <f>IF($C443="B",VLOOKUP($A443,Bat!$A$4:$BA$1621,47,FALSE),VLOOKUP($A443,Pit!$A$4:$BF$1557,56,FALSE))</f>
        <v>0</v>
      </c>
      <c r="V443" s="50">
        <f>IF($C443="B",VLOOKUP($A443,Bat!$A$4:$BA$1621,48,FALSE),VLOOKUP($A443,Pit!$A$4:$BF$1557,57,FALSE))</f>
        <v>0</v>
      </c>
      <c r="W443" s="50">
        <f>Table5[[#This Row],[posRnk]]+Table5[[#This Row],[zRnk]]+IF($W$3&lt;&gt;Table5[[#This Row],[Type]],50,0)</f>
        <v>1630</v>
      </c>
      <c r="X443" s="51">
        <f>RANK(Table5[[#This Row],[zScore]],Table5[[#All],[zScore]])</f>
        <v>1138</v>
      </c>
      <c r="Y443" s="50">
        <f>IFERROR(INDEX(DraftResults[[#All],[OVR]],MATCH(Table5[[#This Row],[PID]],DraftResults[[#All],[Player ID]],0)),"")</f>
        <v>439</v>
      </c>
      <c r="Z4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3" s="50">
        <f>IFERROR(INDEX(DraftResults[[#All],[Pick in Round]],MATCH(Table5[[#This Row],[PID]],DraftResults[[#All],[Player ID]],0)),"")</f>
        <v>11</v>
      </c>
      <c r="AB443" s="50" t="str">
        <f>IFERROR(INDEX(DraftResults[[#All],[Team Name]],MATCH(Table5[[#This Row],[PID]],DraftResults[[#All],[Player ID]],0)),"")</f>
        <v>Duluth Warriors</v>
      </c>
      <c r="AC443" s="50">
        <f>IF(Table5[[#This Row],[Ovr]]="","",IF(Table5[[#This Row],[cmbList]]="","",Table5[[#This Row],[cmbList]]-Table5[[#This Row],[Ovr]]))</f>
        <v>1191</v>
      </c>
      <c r="AD443" s="54" t="str">
        <f>IF(ISERROR(VLOOKUP($AB443&amp;"-"&amp;$E443&amp;" "&amp;F443,Bonuses!$B$1:$G$1006,4,FALSE)),"",INT(VLOOKUP($AB443&amp;"-"&amp;$E443&amp;" "&amp;$F443,Bonuses!$B$1:$G$1006,4,FALSE)))</f>
        <v/>
      </c>
      <c r="AE4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15.11 (439) - RF Phil López</v>
      </c>
    </row>
    <row r="444" spans="1:31" s="50" customFormat="1" x14ac:dyDescent="0.25">
      <c r="A444" s="50">
        <v>20381</v>
      </c>
      <c r="B444" s="50">
        <f>COUNTIF(Table5[PID],A444)</f>
        <v>1</v>
      </c>
      <c r="C444" s="50" t="str">
        <f>IF(COUNTIF(Table3[[#All],[PID]],A444)&gt;0,"P","B")</f>
        <v>P</v>
      </c>
      <c r="D444" s="59" t="str">
        <f>IF($C444="B",INDEX(Batters[[#All],[POS]],MATCH(Table5[[#This Row],[PID]],Batters[[#All],[PID]],0)),INDEX(Table3[[#All],[POS]],MATCH(Table5[[#This Row],[PID]],Table3[[#All],[PID]],0)))</f>
        <v>RP</v>
      </c>
      <c r="E444" s="52" t="str">
        <f>IF($C444="B",INDEX(Batters[[#All],[First]],MATCH(Table5[[#This Row],[PID]],Batters[[#All],[PID]],0)),INDEX(Table3[[#All],[First]],MATCH(Table5[[#This Row],[PID]],Table3[[#All],[PID]],0)))</f>
        <v>Colm</v>
      </c>
      <c r="F444" s="50" t="str">
        <f>IF($C444="B",INDEX(Batters[[#All],[Last]],MATCH(A444,Batters[[#All],[PID]],0)),INDEX(Table3[[#All],[Last]],MATCH(A444,Table3[[#All],[PID]],0)))</f>
        <v>Cooper</v>
      </c>
      <c r="G444" s="56">
        <f>IF($C444="B",INDEX(Batters[[#All],[Age]],MATCH(Table5[[#This Row],[PID]],Batters[[#All],[PID]],0)),INDEX(Table3[[#All],[Age]],MATCH(Table5[[#This Row],[PID]],Table3[[#All],[PID]],0)))</f>
        <v>17</v>
      </c>
      <c r="H444" s="52" t="str">
        <f>IF($C444="B",INDEX(Batters[[#All],[B]],MATCH(Table5[[#This Row],[PID]],Batters[[#All],[PID]],0)),INDEX(Table3[[#All],[B]],MATCH(Table5[[#This Row],[PID]],Table3[[#All],[PID]],0)))</f>
        <v>R</v>
      </c>
      <c r="I444" s="52" t="str">
        <f>IF($C444="B",INDEX(Batters[[#All],[T]],MATCH(Table5[[#This Row],[PID]],Batters[[#All],[PID]],0)),INDEX(Table3[[#All],[T]],MATCH(Table5[[#This Row],[PID]],Table3[[#All],[PID]],0)))</f>
        <v>R</v>
      </c>
      <c r="J444" s="52" t="str">
        <f>IF($C444="B",INDEX(Batters[[#All],[WE]],MATCH(Table5[[#This Row],[PID]],Batters[[#All],[PID]],0)),INDEX(Table3[[#All],[WE]],MATCH(Table5[[#This Row],[PID]],Table3[[#All],[PID]],0)))</f>
        <v>Low</v>
      </c>
      <c r="K444" s="52" t="str">
        <f>IF($C444="B",INDEX(Batters[[#All],[INT]],MATCH(Table5[[#This Row],[PID]],Batters[[#All],[PID]],0)),INDEX(Table3[[#All],[INT]],MATCH(Table5[[#This Row],[PID]],Table3[[#All],[PID]],0)))</f>
        <v>Normal</v>
      </c>
      <c r="L444" s="60">
        <f>IF($C444="B",INDEX(Batters[[#All],[CON P]],MATCH(Table5[[#This Row],[PID]],Batters[[#All],[PID]],0)),INDEX(Table3[[#All],[STU P]],MATCH(Table5[[#This Row],[PID]],Table3[[#All],[PID]],0)))</f>
        <v>4</v>
      </c>
      <c r="M444" s="56">
        <f>IF($C444="B",INDEX(Batters[[#All],[GAP P]],MATCH(Table5[[#This Row],[PID]],Batters[[#All],[PID]],0)),INDEX(Table3[[#All],[MOV P]],MATCH(Table5[[#This Row],[PID]],Table3[[#All],[PID]],0)))</f>
        <v>1</v>
      </c>
      <c r="N444" s="56">
        <f>IF($C444="B",INDEX(Batters[[#All],[POW P]],MATCH(Table5[[#This Row],[PID]],Batters[[#All],[PID]],0)),INDEX(Table3[[#All],[CON P]],MATCH(Table5[[#This Row],[PID]],Table3[[#All],[PID]],0)))</f>
        <v>3</v>
      </c>
      <c r="O444" s="56" t="str">
        <f>IF($C444="B",INDEX(Batters[[#All],[EYE P]],MATCH(Table5[[#This Row],[PID]],Batters[[#All],[PID]],0)),INDEX(Table3[[#All],[VELO]],MATCH(Table5[[#This Row],[PID]],Table3[[#All],[PID]],0)))</f>
        <v>88-90 Mph</v>
      </c>
      <c r="P444" s="56">
        <f>IF($C444="B",INDEX(Batters[[#All],[K P]],MATCH(Table5[[#This Row],[PID]],Batters[[#All],[PID]],0)),INDEX(Table3[[#All],[STM]],MATCH(Table5[[#This Row],[PID]],Table3[[#All],[PID]],0)))</f>
        <v>2</v>
      </c>
      <c r="Q444" s="61">
        <f>IF($C444="B",INDEX(Batters[[#All],[Tot]],MATCH(Table5[[#This Row],[PID]],Batters[[#All],[PID]],0)),INDEX(Table3[[#All],[Tot]],MATCH(Table5[[#This Row],[PID]],Table3[[#All],[PID]],0)))</f>
        <v>23.802996096141978</v>
      </c>
      <c r="R444" s="52">
        <f>IF($C444="B",INDEX(Batters[[#All],[zScore]],MATCH(Table5[[#This Row],[PID]],Batters[[#All],[PID]],0)),INDEX(Table3[[#All],[zScore]],MATCH(Table5[[#This Row],[PID]],Table3[[#All],[PID]],0)))</f>
        <v>-0.8028343268653092</v>
      </c>
      <c r="S444" s="58" t="str">
        <f>IF($C444="B",INDEX(Batters[[#All],[DEM]],MATCH(Table5[[#This Row],[PID]],Batters[[#All],[PID]],0)),INDEX(Table3[[#All],[DEM]],MATCH(Table5[[#This Row],[PID]],Table3[[#All],[PID]],0)))</f>
        <v>$38k</v>
      </c>
      <c r="T444" s="62">
        <f>IF($C444="B",INDEX(Batters[[#All],[Rnk]],MATCH(Table5[[#This Row],[PID]],Batters[[#All],[PID]],0)),INDEX(Table3[[#All],[Rnk]],MATCH(Table5[[#This Row],[PID]],Table3[[#All],[PID]],0)))</f>
        <v>640</v>
      </c>
      <c r="U444" s="68">
        <f>IF($C444="B",VLOOKUP($A444,Bat!$A$4:$BA$1621,47,FALSE),VLOOKUP($A444,Pit!$A$4:$BF$1557,56,FALSE))</f>
        <v>0</v>
      </c>
      <c r="V444" s="50">
        <f>IF($C444="B",VLOOKUP($A444,Bat!$A$4:$BA$1621,48,FALSE),VLOOKUP($A444,Pit!$A$4:$BF$1557,57,FALSE))</f>
        <v>0</v>
      </c>
      <c r="W444" s="50">
        <f>Table5[[#This Row],[posRnk]]+Table5[[#This Row],[zRnk]]+IF($W$3&lt;&gt;Table5[[#This Row],[Type]],50,0)</f>
        <v>1734</v>
      </c>
      <c r="X444" s="51">
        <f>RANK(Table5[[#This Row],[zScore]],Table5[[#All],[zScore]])</f>
        <v>1044</v>
      </c>
      <c r="Y444" s="50">
        <f>IFERROR(INDEX(DraftResults[[#All],[OVR]],MATCH(Table5[[#This Row],[PID]],DraftResults[[#All],[Player ID]],0)),"")</f>
        <v>440</v>
      </c>
      <c r="Z4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4" s="50">
        <f>IFERROR(INDEX(DraftResults[[#All],[Pick in Round]],MATCH(Table5[[#This Row],[PID]],DraftResults[[#All],[Player ID]],0)),"")</f>
        <v>12</v>
      </c>
      <c r="AB444" s="50" t="str">
        <f>IFERROR(INDEX(DraftResults[[#All],[Team Name]],MATCH(Table5[[#This Row],[PID]],DraftResults[[#All],[Player ID]],0)),"")</f>
        <v>Palm Springs Codgers</v>
      </c>
      <c r="AC444" s="50">
        <f>IF(Table5[[#This Row],[Ovr]]="","",IF(Table5[[#This Row],[cmbList]]="","",Table5[[#This Row],[cmbList]]-Table5[[#This Row],[Ovr]]))</f>
        <v>1294</v>
      </c>
      <c r="AD444" s="54" t="str">
        <f>IF(ISERROR(VLOOKUP($AB444&amp;"-"&amp;$E444&amp;" "&amp;F444,Bonuses!$B$1:$G$1006,4,FALSE)),"",INT(VLOOKUP($AB444&amp;"-"&amp;$E444&amp;" "&amp;$F444,Bonuses!$B$1:$G$1006,4,FALSE)))</f>
        <v/>
      </c>
      <c r="AE4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15.12 (440) - RP Colm Cooper</v>
      </c>
    </row>
    <row r="445" spans="1:31" s="50" customFormat="1" x14ac:dyDescent="0.25">
      <c r="A445" s="50">
        <v>17856</v>
      </c>
      <c r="B445" s="50">
        <f>COUNTIF(Table5[PID],A445)</f>
        <v>1</v>
      </c>
      <c r="C445" s="50" t="str">
        <f>IF(COUNTIF(Table3[[#All],[PID]],A445)&gt;0,"P","B")</f>
        <v>B</v>
      </c>
      <c r="D445" s="59" t="str">
        <f>IF($C445="B",INDEX(Batters[[#All],[POS]],MATCH(Table5[[#This Row],[PID]],Batters[[#All],[PID]],0)),INDEX(Table3[[#All],[POS]],MATCH(Table5[[#This Row],[PID]],Table3[[#All],[PID]],0)))</f>
        <v>CF</v>
      </c>
      <c r="E445" s="52" t="str">
        <f>IF($C445="B",INDEX(Batters[[#All],[First]],MATCH(Table5[[#This Row],[PID]],Batters[[#All],[PID]],0)),INDEX(Table3[[#All],[First]],MATCH(Table5[[#This Row],[PID]],Table3[[#All],[PID]],0)))</f>
        <v>Mike</v>
      </c>
      <c r="F445" s="50" t="str">
        <f>IF($C445="B",INDEX(Batters[[#All],[Last]],MATCH(A445,Batters[[#All],[PID]],0)),INDEX(Table3[[#All],[Last]],MATCH(A445,Table3[[#All],[PID]],0)))</f>
        <v>Lorimer</v>
      </c>
      <c r="G445" s="56">
        <f>IF($C445="B",INDEX(Batters[[#All],[Age]],MATCH(Table5[[#This Row],[PID]],Batters[[#All],[PID]],0)),INDEX(Table3[[#All],[Age]],MATCH(Table5[[#This Row],[PID]],Table3[[#All],[PID]],0)))</f>
        <v>18</v>
      </c>
      <c r="H445" s="52" t="str">
        <f>IF($C445="B",INDEX(Batters[[#All],[B]],MATCH(Table5[[#This Row],[PID]],Batters[[#All],[PID]],0)),INDEX(Table3[[#All],[B]],MATCH(Table5[[#This Row],[PID]],Table3[[#All],[PID]],0)))</f>
        <v>R</v>
      </c>
      <c r="I445" s="52" t="str">
        <f>IF($C445="B",INDEX(Batters[[#All],[T]],MATCH(Table5[[#This Row],[PID]],Batters[[#All],[PID]],0)),INDEX(Table3[[#All],[T]],MATCH(Table5[[#This Row],[PID]],Table3[[#All],[PID]],0)))</f>
        <v>R</v>
      </c>
      <c r="J445" s="52" t="str">
        <f>IF($C445="B",INDEX(Batters[[#All],[WE]],MATCH(Table5[[#This Row],[PID]],Batters[[#All],[PID]],0)),INDEX(Table3[[#All],[WE]],MATCH(Table5[[#This Row],[PID]],Table3[[#All],[PID]],0)))</f>
        <v>Low</v>
      </c>
      <c r="K445" s="52" t="str">
        <f>IF($C445="B",INDEX(Batters[[#All],[INT]],MATCH(Table5[[#This Row],[PID]],Batters[[#All],[PID]],0)),INDEX(Table3[[#All],[INT]],MATCH(Table5[[#This Row],[PID]],Table3[[#All],[PID]],0)))</f>
        <v>Normal</v>
      </c>
      <c r="L445" s="60">
        <f>IF($C445="B",INDEX(Batters[[#All],[CON P]],MATCH(Table5[[#This Row],[PID]],Batters[[#All],[PID]],0)),INDEX(Table3[[#All],[STU P]],MATCH(Table5[[#This Row],[PID]],Table3[[#All],[PID]],0)))</f>
        <v>3</v>
      </c>
      <c r="M445" s="56">
        <f>IF($C445="B",INDEX(Batters[[#All],[GAP P]],MATCH(Table5[[#This Row],[PID]],Batters[[#All],[PID]],0)),INDEX(Table3[[#All],[MOV P]],MATCH(Table5[[#This Row],[PID]],Table3[[#All],[PID]],0)))</f>
        <v>2</v>
      </c>
      <c r="N445" s="56">
        <f>IF($C445="B",INDEX(Batters[[#All],[POW P]],MATCH(Table5[[#This Row],[PID]],Batters[[#All],[PID]],0)),INDEX(Table3[[#All],[CON P]],MATCH(Table5[[#This Row],[PID]],Table3[[#All],[PID]],0)))</f>
        <v>3</v>
      </c>
      <c r="O445" s="56">
        <f>IF($C445="B",INDEX(Batters[[#All],[EYE P]],MATCH(Table5[[#This Row],[PID]],Batters[[#All],[PID]],0)),INDEX(Table3[[#All],[VELO]],MATCH(Table5[[#This Row],[PID]],Table3[[#All],[PID]],0)))</f>
        <v>5</v>
      </c>
      <c r="P445" s="56">
        <f>IF($C445="B",INDEX(Batters[[#All],[K P]],MATCH(Table5[[#This Row],[PID]],Batters[[#All],[PID]],0)),INDEX(Table3[[#All],[STM]],MATCH(Table5[[#This Row],[PID]],Table3[[#All],[PID]],0)))</f>
        <v>5</v>
      </c>
      <c r="Q445" s="61">
        <f>IF($C445="B",INDEX(Batters[[#All],[Tot]],MATCH(Table5[[#This Row],[PID]],Batters[[#All],[PID]],0)),INDEX(Table3[[#All],[Tot]],MATCH(Table5[[#This Row],[PID]],Table3[[#All],[PID]],0)))</f>
        <v>42.645462142364266</v>
      </c>
      <c r="R445" s="52">
        <f>IF($C445="B",INDEX(Batters[[#All],[zScore]],MATCH(Table5[[#This Row],[PID]],Batters[[#All],[PID]],0)),INDEX(Table3[[#All],[zScore]],MATCH(Table5[[#This Row],[PID]],Table3[[#All],[PID]],0)))</f>
        <v>-0.32956212698002069</v>
      </c>
      <c r="S445" s="58" t="str">
        <f>IF($C445="B",INDEX(Batters[[#All],[DEM]],MATCH(Table5[[#This Row],[PID]],Batters[[#All],[PID]],0)),INDEX(Table3[[#All],[DEM]],MATCH(Table5[[#This Row],[PID]],Table3[[#All],[PID]],0)))</f>
        <v>$38k</v>
      </c>
      <c r="T445" s="62">
        <f>IF($C445="B",INDEX(Batters[[#All],[Rnk]],MATCH(Table5[[#This Row],[PID]],Batters[[#All],[PID]],0)),INDEX(Table3[[#All],[Rnk]],MATCH(Table5[[#This Row],[PID]],Table3[[#All],[PID]],0)))</f>
        <v>308</v>
      </c>
      <c r="U445" s="68">
        <f>IF($C445="B",VLOOKUP($A445,Bat!$A$4:$BA$1621,47,FALSE),VLOOKUP($A445,Pit!$A$4:$BF$1557,56,FALSE))</f>
        <v>0</v>
      </c>
      <c r="V445" s="50">
        <f>IF($C445="B",VLOOKUP($A445,Bat!$A$4:$BA$1621,48,FALSE),VLOOKUP($A445,Pit!$A$4:$BF$1557,57,FALSE))</f>
        <v>0</v>
      </c>
      <c r="W445" s="50">
        <f>Table5[[#This Row],[posRnk]]+Table5[[#This Row],[zRnk]]+IF($W$3&lt;&gt;Table5[[#This Row],[Type]],50,0)</f>
        <v>1106</v>
      </c>
      <c r="X445" s="51">
        <f>RANK(Table5[[#This Row],[zScore]],Table5[[#All],[zScore]])</f>
        <v>748</v>
      </c>
      <c r="Y445" s="50">
        <f>IFERROR(INDEX(DraftResults[[#All],[OVR]],MATCH(Table5[[#This Row],[PID]],DraftResults[[#All],[Player ID]],0)),"")</f>
        <v>441</v>
      </c>
      <c r="Z4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5" s="50">
        <f>IFERROR(INDEX(DraftResults[[#All],[Pick in Round]],MATCH(Table5[[#This Row],[PID]],DraftResults[[#All],[Player ID]],0)),"")</f>
        <v>13</v>
      </c>
      <c r="AB445" s="50" t="str">
        <f>IFERROR(INDEX(DraftResults[[#All],[Team Name]],MATCH(Table5[[#This Row],[PID]],DraftResults[[#All],[Player ID]],0)),"")</f>
        <v>Reno Zephyrs</v>
      </c>
      <c r="AC445" s="50">
        <f>IF(Table5[[#This Row],[Ovr]]="","",IF(Table5[[#This Row],[cmbList]]="","",Table5[[#This Row],[cmbList]]-Table5[[#This Row],[Ovr]]))</f>
        <v>665</v>
      </c>
      <c r="AD445" s="54" t="str">
        <f>IF(ISERROR(VLOOKUP($AB445&amp;"-"&amp;$E445&amp;" "&amp;F445,Bonuses!$B$1:$G$1006,4,FALSE)),"",INT(VLOOKUP($AB445&amp;"-"&amp;$E445&amp;" "&amp;$F445,Bonuses!$B$1:$G$1006,4,FALSE)))</f>
        <v/>
      </c>
      <c r="AE4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15.13 (441) - CF Mike Lorimer</v>
      </c>
    </row>
    <row r="446" spans="1:31" s="50" customFormat="1" x14ac:dyDescent="0.25">
      <c r="A446" s="50">
        <v>18213</v>
      </c>
      <c r="B446" s="50">
        <f>COUNTIF(Table5[PID],A446)</f>
        <v>1</v>
      </c>
      <c r="C446" s="50" t="str">
        <f>IF(COUNTIF(Table3[[#All],[PID]],A446)&gt;0,"P","B")</f>
        <v>B</v>
      </c>
      <c r="D446" s="59" t="str">
        <f>IF($C446="B",INDEX(Batters[[#All],[POS]],MATCH(Table5[[#This Row],[PID]],Batters[[#All],[PID]],0)),INDEX(Table3[[#All],[POS]],MATCH(Table5[[#This Row],[PID]],Table3[[#All],[PID]],0)))</f>
        <v>SS</v>
      </c>
      <c r="E446" s="52" t="str">
        <f>IF($C446="B",INDEX(Batters[[#All],[First]],MATCH(Table5[[#This Row],[PID]],Batters[[#All],[PID]],0)),INDEX(Table3[[#All],[First]],MATCH(Table5[[#This Row],[PID]],Table3[[#All],[PID]],0)))</f>
        <v>Bill</v>
      </c>
      <c r="F446" s="50" t="str">
        <f>IF($C446="B",INDEX(Batters[[#All],[Last]],MATCH(A446,Batters[[#All],[PID]],0)),INDEX(Table3[[#All],[Last]],MATCH(A446,Table3[[#All],[PID]],0)))</f>
        <v>Randall</v>
      </c>
      <c r="G446" s="56">
        <f>IF($C446="B",INDEX(Batters[[#All],[Age]],MATCH(Table5[[#This Row],[PID]],Batters[[#All],[PID]],0)),INDEX(Table3[[#All],[Age]],MATCH(Table5[[#This Row],[PID]],Table3[[#All],[PID]],0)))</f>
        <v>18</v>
      </c>
      <c r="H446" s="52" t="str">
        <f>IF($C446="B",INDEX(Batters[[#All],[B]],MATCH(Table5[[#This Row],[PID]],Batters[[#All],[PID]],0)),INDEX(Table3[[#All],[B]],MATCH(Table5[[#This Row],[PID]],Table3[[#All],[PID]],0)))</f>
        <v>R</v>
      </c>
      <c r="I446" s="52" t="str">
        <f>IF($C446="B",INDEX(Batters[[#All],[T]],MATCH(Table5[[#This Row],[PID]],Batters[[#All],[PID]],0)),INDEX(Table3[[#All],[T]],MATCH(Table5[[#This Row],[PID]],Table3[[#All],[PID]],0)))</f>
        <v>R</v>
      </c>
      <c r="J446" s="52" t="str">
        <f>IF($C446="B",INDEX(Batters[[#All],[WE]],MATCH(Table5[[#This Row],[PID]],Batters[[#All],[PID]],0)),INDEX(Table3[[#All],[WE]],MATCH(Table5[[#This Row],[PID]],Table3[[#All],[PID]],0)))</f>
        <v>Normal</v>
      </c>
      <c r="K446" s="52" t="str">
        <f>IF($C446="B",INDEX(Batters[[#All],[INT]],MATCH(Table5[[#This Row],[PID]],Batters[[#All],[PID]],0)),INDEX(Table3[[#All],[INT]],MATCH(Table5[[#This Row],[PID]],Table3[[#All],[PID]],0)))</f>
        <v>Normal</v>
      </c>
      <c r="L446" s="60">
        <f>IF($C446="B",INDEX(Batters[[#All],[CON P]],MATCH(Table5[[#This Row],[PID]],Batters[[#All],[PID]],0)),INDEX(Table3[[#All],[STU P]],MATCH(Table5[[#This Row],[PID]],Table3[[#All],[PID]],0)))</f>
        <v>4</v>
      </c>
      <c r="M446" s="56">
        <f>IF($C446="B",INDEX(Batters[[#All],[GAP P]],MATCH(Table5[[#This Row],[PID]],Batters[[#All],[PID]],0)),INDEX(Table3[[#All],[MOV P]],MATCH(Table5[[#This Row],[PID]],Table3[[#All],[PID]],0)))</f>
        <v>3</v>
      </c>
      <c r="N446" s="56">
        <f>IF($C446="B",INDEX(Batters[[#All],[POW P]],MATCH(Table5[[#This Row],[PID]],Batters[[#All],[PID]],0)),INDEX(Table3[[#All],[CON P]],MATCH(Table5[[#This Row],[PID]],Table3[[#All],[PID]],0)))</f>
        <v>3</v>
      </c>
      <c r="O446" s="56">
        <f>IF($C446="B",INDEX(Batters[[#All],[EYE P]],MATCH(Table5[[#This Row],[PID]],Batters[[#All],[PID]],0)),INDEX(Table3[[#All],[VELO]],MATCH(Table5[[#This Row],[PID]],Table3[[#All],[PID]],0)))</f>
        <v>5</v>
      </c>
      <c r="P446" s="56">
        <f>IF($C446="B",INDEX(Batters[[#All],[K P]],MATCH(Table5[[#This Row],[PID]],Batters[[#All],[PID]],0)),INDEX(Table3[[#All],[STM]],MATCH(Table5[[#This Row],[PID]],Table3[[#All],[PID]],0)))</f>
        <v>5</v>
      </c>
      <c r="Q446" s="61">
        <f>IF($C446="B",INDEX(Batters[[#All],[Tot]],MATCH(Table5[[#This Row],[PID]],Batters[[#All],[PID]],0)),INDEX(Table3[[#All],[Tot]],MATCH(Table5[[#This Row],[PID]],Table3[[#All],[PID]],0)))</f>
        <v>45.858489987870144</v>
      </c>
      <c r="R446" s="52">
        <f>IF($C446="B",INDEX(Batters[[#All],[zScore]],MATCH(Table5[[#This Row],[PID]],Batters[[#All],[PID]],0)),INDEX(Table3[[#All],[zScore]],MATCH(Table5[[#This Row],[PID]],Table3[[#All],[PID]],0)))</f>
        <v>0.38278786442127422</v>
      </c>
      <c r="S446" s="58" t="str">
        <f>IF($C446="B",INDEX(Batters[[#All],[DEM]],MATCH(Table5[[#This Row],[PID]],Batters[[#All],[PID]],0)),INDEX(Table3[[#All],[DEM]],MATCH(Table5[[#This Row],[PID]],Table3[[#All],[PID]],0)))</f>
        <v>$200k</v>
      </c>
      <c r="T446" s="62">
        <f>IF($C446="B",INDEX(Batters[[#All],[Rnk]],MATCH(Table5[[#This Row],[PID]],Batters[[#All],[PID]],0)),INDEX(Table3[[#All],[Rnk]],MATCH(Table5[[#This Row],[PID]],Table3[[#All],[PID]],0)))</f>
        <v>163</v>
      </c>
      <c r="U446" s="68">
        <f>IF($C446="B",VLOOKUP($A446,Bat!$A$4:$BA$1621,47,FALSE),VLOOKUP($A446,Pit!$A$4:$BF$1557,56,FALSE))</f>
        <v>0</v>
      </c>
      <c r="V446" s="50">
        <f>IF($C446="B",VLOOKUP($A446,Bat!$A$4:$BA$1621,48,FALSE),VLOOKUP($A446,Pit!$A$4:$BF$1557,57,FALSE))</f>
        <v>0</v>
      </c>
      <c r="W446" s="50">
        <f>Table5[[#This Row],[posRnk]]+Table5[[#This Row],[zRnk]]+IF($W$3&lt;&gt;Table5[[#This Row],[Type]],50,0)</f>
        <v>604</v>
      </c>
      <c r="X446" s="51">
        <f>RANK(Table5[[#This Row],[zScore]],Table5[[#All],[zScore]])</f>
        <v>391</v>
      </c>
      <c r="Y446" s="50">
        <f>IFERROR(INDEX(DraftResults[[#All],[OVR]],MATCH(Table5[[#This Row],[PID]],DraftResults[[#All],[Player ID]],0)),"")</f>
        <v>442</v>
      </c>
      <c r="Z4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6" s="50">
        <f>IFERROR(INDEX(DraftResults[[#All],[Pick in Round]],MATCH(Table5[[#This Row],[PID]],DraftResults[[#All],[Player ID]],0)),"")</f>
        <v>14</v>
      </c>
      <c r="AB446" s="50" t="str">
        <f>IFERROR(INDEX(DraftResults[[#All],[Team Name]],MATCH(Table5[[#This Row],[PID]],DraftResults[[#All],[Player ID]],0)),"")</f>
        <v>Arlington Bureaucrats</v>
      </c>
      <c r="AC446" s="50">
        <f>IF(Table5[[#This Row],[Ovr]]="","",IF(Table5[[#This Row],[cmbList]]="","",Table5[[#This Row],[cmbList]]-Table5[[#This Row],[Ovr]]))</f>
        <v>162</v>
      </c>
      <c r="AD446" s="54" t="str">
        <f>IF(ISERROR(VLOOKUP($AB446&amp;"-"&amp;$E446&amp;" "&amp;F446,Bonuses!$B$1:$G$1006,4,FALSE)),"",INT(VLOOKUP($AB446&amp;"-"&amp;$E446&amp;" "&amp;$F446,Bonuses!$B$1:$G$1006,4,FALSE)))</f>
        <v/>
      </c>
      <c r="AE4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15.14 (442) - SS Bill Randall</v>
      </c>
    </row>
    <row r="447" spans="1:31" s="50" customFormat="1" x14ac:dyDescent="0.25">
      <c r="A447" s="68">
        <v>18427</v>
      </c>
      <c r="B447" s="69">
        <f>COUNTIF(Table5[PID],A447)</f>
        <v>1</v>
      </c>
      <c r="C447" s="69" t="str">
        <f>IF(COUNTIF(Table3[[#All],[PID]],A447)&gt;0,"P","B")</f>
        <v>P</v>
      </c>
      <c r="D447" s="59" t="str">
        <f>IF($C447="B",INDEX(Batters[[#All],[POS]],MATCH(Table5[[#This Row],[PID]],Batters[[#All],[PID]],0)),INDEX(Table3[[#All],[POS]],MATCH(Table5[[#This Row],[PID]],Table3[[#All],[PID]],0)))</f>
        <v>SP</v>
      </c>
      <c r="E447" s="52" t="str">
        <f>IF($C447="B",INDEX(Batters[[#All],[First]],MATCH(Table5[[#This Row],[PID]],Batters[[#All],[PID]],0)),INDEX(Table3[[#All],[First]],MATCH(Table5[[#This Row],[PID]],Table3[[#All],[PID]],0)))</f>
        <v>Mick</v>
      </c>
      <c r="F447" s="55" t="str">
        <f>IF($C447="B",INDEX(Batters[[#All],[Last]],MATCH(A447,Batters[[#All],[PID]],0)),INDEX(Table3[[#All],[Last]],MATCH(A447,Table3[[#All],[PID]],0)))</f>
        <v>Abbott</v>
      </c>
      <c r="G447" s="56">
        <f>IF($C447="B",INDEX(Batters[[#All],[Age]],MATCH(Table5[[#This Row],[PID]],Batters[[#All],[PID]],0)),INDEX(Table3[[#All],[Age]],MATCH(Table5[[#This Row],[PID]],Table3[[#All],[PID]],0)))</f>
        <v>18</v>
      </c>
      <c r="H447" s="52" t="str">
        <f>IF($C447="B",INDEX(Batters[[#All],[B]],MATCH(Table5[[#This Row],[PID]],Batters[[#All],[PID]],0)),INDEX(Table3[[#All],[B]],MATCH(Table5[[#This Row],[PID]],Table3[[#All],[PID]],0)))</f>
        <v>R</v>
      </c>
      <c r="I447" s="52" t="str">
        <f>IF($C447="B",INDEX(Batters[[#All],[T]],MATCH(Table5[[#This Row],[PID]],Batters[[#All],[PID]],0)),INDEX(Table3[[#All],[T]],MATCH(Table5[[#This Row],[PID]],Table3[[#All],[PID]],0)))</f>
        <v>R</v>
      </c>
      <c r="J447" s="71" t="str">
        <f>IF($C447="B",INDEX(Batters[[#All],[WE]],MATCH(Table5[[#This Row],[PID]],Batters[[#All],[PID]],0)),INDEX(Table3[[#All],[WE]],MATCH(Table5[[#This Row],[PID]],Table3[[#All],[PID]],0)))</f>
        <v>Normal</v>
      </c>
      <c r="K447" s="52" t="str">
        <f>IF($C447="B",INDEX(Batters[[#All],[INT]],MATCH(Table5[[#This Row],[PID]],Batters[[#All],[PID]],0)),INDEX(Table3[[#All],[INT]],MATCH(Table5[[#This Row],[PID]],Table3[[#All],[PID]],0)))</f>
        <v>Normal</v>
      </c>
      <c r="L447" s="60">
        <f>IF($C447="B",INDEX(Batters[[#All],[CON P]],MATCH(Table5[[#This Row],[PID]],Batters[[#All],[PID]],0)),INDEX(Table3[[#All],[STU P]],MATCH(Table5[[#This Row],[PID]],Table3[[#All],[PID]],0)))</f>
        <v>5</v>
      </c>
      <c r="M447" s="72">
        <f>IF($C447="B",INDEX(Batters[[#All],[GAP P]],MATCH(Table5[[#This Row],[PID]],Batters[[#All],[PID]],0)),INDEX(Table3[[#All],[MOV P]],MATCH(Table5[[#This Row],[PID]],Table3[[#All],[PID]],0)))</f>
        <v>4</v>
      </c>
      <c r="N447" s="72">
        <f>IF($C447="B",INDEX(Batters[[#All],[POW P]],MATCH(Table5[[#This Row],[PID]],Batters[[#All],[PID]],0)),INDEX(Table3[[#All],[CON P]],MATCH(Table5[[#This Row],[PID]],Table3[[#All],[PID]],0)))</f>
        <v>3</v>
      </c>
      <c r="O447" s="72" t="str">
        <f>IF($C447="B",INDEX(Batters[[#All],[EYE P]],MATCH(Table5[[#This Row],[PID]],Batters[[#All],[PID]],0)),INDEX(Table3[[#All],[VELO]],MATCH(Table5[[#This Row],[PID]],Table3[[#All],[PID]],0)))</f>
        <v>92-94 Mph</v>
      </c>
      <c r="P447" s="56">
        <f>IF($C447="B",INDEX(Batters[[#All],[K P]],MATCH(Table5[[#This Row],[PID]],Batters[[#All],[PID]],0)),INDEX(Table3[[#All],[STM]],MATCH(Table5[[#This Row],[PID]],Table3[[#All],[PID]],0)))</f>
        <v>6</v>
      </c>
      <c r="Q447" s="61">
        <f>IF($C447="B",INDEX(Batters[[#All],[Tot]],MATCH(Table5[[#This Row],[PID]],Batters[[#All],[PID]],0)),INDEX(Table3[[#All],[Tot]],MATCH(Table5[[#This Row],[PID]],Table3[[#All],[PID]],0)))</f>
        <v>47.526670364568282</v>
      </c>
      <c r="R447" s="52">
        <f>IF($C447="B",INDEX(Batters[[#All],[zScore]],MATCH(Table5[[#This Row],[PID]],Batters[[#All],[PID]],0)),INDEX(Table3[[#All],[zScore]],MATCH(Table5[[#This Row],[PID]],Table3[[#All],[PID]],0)))</f>
        <v>0.77546546985667542</v>
      </c>
      <c r="S447" s="78" t="str">
        <f>IF($C447="B",INDEX(Batters[[#All],[DEM]],MATCH(Table5[[#This Row],[PID]],Batters[[#All],[PID]],0)),INDEX(Table3[[#All],[DEM]],MATCH(Table5[[#This Row],[PID]],Table3[[#All],[PID]],0)))</f>
        <v>$85k</v>
      </c>
      <c r="T447" s="75">
        <f>IF($C447="B",INDEX(Batters[[#All],[Rnk]],MATCH(Table5[[#This Row],[PID]],Batters[[#All],[PID]],0)),INDEX(Table3[[#All],[Rnk]],MATCH(Table5[[#This Row],[PID]],Table3[[#All],[PID]],0)))</f>
        <v>177</v>
      </c>
      <c r="U447" s="68">
        <f>IF($C447="B",VLOOKUP($A447,Bat!$A$4:$BA$1621,47,FALSE),VLOOKUP($A447,Pit!$A$4:$BF$1557,56,FALSE))</f>
        <v>0</v>
      </c>
      <c r="V447" s="50">
        <f>IF($C447="B",VLOOKUP($A447,Bat!$A$4:$BA$1621,48,FALSE),VLOOKUP($A447,Pit!$A$4:$BF$1557,57,FALSE))</f>
        <v>0</v>
      </c>
      <c r="W447" s="69">
        <f>Table5[[#This Row],[posRnk]]+Table5[[#This Row],[zRnk]]+IF($W$3&lt;&gt;Table5[[#This Row],[Type]],50,0)</f>
        <v>519</v>
      </c>
      <c r="X447" s="73">
        <f>RANK(Table5[[#This Row],[zScore]],Table5[[#All],[zScore]])</f>
        <v>292</v>
      </c>
      <c r="Y447" s="69">
        <f>IFERROR(INDEX(DraftResults[[#All],[OVR]],MATCH(Table5[[#This Row],[PID]],DraftResults[[#All],[Player ID]],0)),"")</f>
        <v>443</v>
      </c>
      <c r="Z44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7" s="69">
        <f>IFERROR(INDEX(DraftResults[[#All],[Pick in Round]],MATCH(Table5[[#This Row],[PID]],DraftResults[[#All],[Player ID]],0)),"")</f>
        <v>15</v>
      </c>
      <c r="AB447" s="69" t="str">
        <f>IFERROR(INDEX(DraftResults[[#All],[Team Name]],MATCH(Table5[[#This Row],[PID]],DraftResults[[#All],[Player ID]],0)),"")</f>
        <v>Kentucky Thoroughbreds</v>
      </c>
      <c r="AC447" s="69">
        <f>IF(Table5[[#This Row],[Ovr]]="","",IF(Table5[[#This Row],[cmbList]]="","",Table5[[#This Row],[cmbList]]-Table5[[#This Row],[Ovr]]))</f>
        <v>76</v>
      </c>
      <c r="AD447" s="77" t="str">
        <f>IF(ISERROR(VLOOKUP($AB447&amp;"-"&amp;$E447&amp;" "&amp;F447,Bonuses!$B$1:$G$1006,4,FALSE)),"",INT(VLOOKUP($AB447&amp;"-"&amp;$E447&amp;" "&amp;$F447,Bonuses!$B$1:$G$1006,4,FALSE)))</f>
        <v/>
      </c>
      <c r="AE44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15.15 (443) - SP Mick Abbott</v>
      </c>
    </row>
    <row r="448" spans="1:31" s="50" customFormat="1" x14ac:dyDescent="0.25">
      <c r="A448" s="68">
        <v>20427</v>
      </c>
      <c r="B448" s="69">
        <f>COUNTIF(Table5[PID],A448)</f>
        <v>1</v>
      </c>
      <c r="C448" s="69" t="str">
        <f>IF(COUNTIF(Table3[[#All],[PID]],A448)&gt;0,"P","B")</f>
        <v>P</v>
      </c>
      <c r="D448" s="59" t="str">
        <f>IF($C448="B",INDEX(Batters[[#All],[POS]],MATCH(Table5[[#This Row],[PID]],Batters[[#All],[PID]],0)),INDEX(Table3[[#All],[POS]],MATCH(Table5[[#This Row],[PID]],Table3[[#All],[PID]],0)))</f>
        <v>SP</v>
      </c>
      <c r="E448" s="52" t="str">
        <f>IF($C448="B",INDEX(Batters[[#All],[First]],MATCH(Table5[[#This Row],[PID]],Batters[[#All],[PID]],0)),INDEX(Table3[[#All],[First]],MATCH(Table5[[#This Row],[PID]],Table3[[#All],[PID]],0)))</f>
        <v>Lu</v>
      </c>
      <c r="F448" s="55" t="str">
        <f>IF($C448="B",INDEX(Batters[[#All],[Last]],MATCH(A448,Batters[[#All],[PID]],0)),INDEX(Table3[[#All],[Last]],MATCH(A448,Table3[[#All],[PID]],0)))</f>
        <v>Yang</v>
      </c>
      <c r="G448" s="56">
        <f>IF($C448="B",INDEX(Batters[[#All],[Age]],MATCH(Table5[[#This Row],[PID]],Batters[[#All],[PID]],0)),INDEX(Table3[[#All],[Age]],MATCH(Table5[[#This Row],[PID]],Table3[[#All],[PID]],0)))</f>
        <v>17</v>
      </c>
      <c r="H448" s="52" t="str">
        <f>IF($C448="B",INDEX(Batters[[#All],[B]],MATCH(Table5[[#This Row],[PID]],Batters[[#All],[PID]],0)),INDEX(Table3[[#All],[B]],MATCH(Table5[[#This Row],[PID]],Table3[[#All],[PID]],0)))</f>
        <v>R</v>
      </c>
      <c r="I448" s="52" t="str">
        <f>IF($C448="B",INDEX(Batters[[#All],[T]],MATCH(Table5[[#This Row],[PID]],Batters[[#All],[PID]],0)),INDEX(Table3[[#All],[T]],MATCH(Table5[[#This Row],[PID]],Table3[[#All],[PID]],0)))</f>
        <v>R</v>
      </c>
      <c r="J448" s="71" t="str">
        <f>IF($C448="B",INDEX(Batters[[#All],[WE]],MATCH(Table5[[#This Row],[PID]],Batters[[#All],[PID]],0)),INDEX(Table3[[#All],[WE]],MATCH(Table5[[#This Row],[PID]],Table3[[#All],[PID]],0)))</f>
        <v>Low</v>
      </c>
      <c r="K448" s="52" t="str">
        <f>IF($C448="B",INDEX(Batters[[#All],[INT]],MATCH(Table5[[#This Row],[PID]],Batters[[#All],[PID]],0)),INDEX(Table3[[#All],[INT]],MATCH(Table5[[#This Row],[PID]],Table3[[#All],[PID]],0)))</f>
        <v>Normal</v>
      </c>
      <c r="L448" s="60">
        <f>IF($C448="B",INDEX(Batters[[#All],[CON P]],MATCH(Table5[[#This Row],[PID]],Batters[[#All],[PID]],0)),INDEX(Table3[[#All],[STU P]],MATCH(Table5[[#This Row],[PID]],Table3[[#All],[PID]],0)))</f>
        <v>5</v>
      </c>
      <c r="M448" s="72">
        <f>IF($C448="B",INDEX(Batters[[#All],[GAP P]],MATCH(Table5[[#This Row],[PID]],Batters[[#All],[PID]],0)),INDEX(Table3[[#All],[MOV P]],MATCH(Table5[[#This Row],[PID]],Table3[[#All],[PID]],0)))</f>
        <v>2</v>
      </c>
      <c r="N448" s="72">
        <f>IF($C448="B",INDEX(Batters[[#All],[POW P]],MATCH(Table5[[#This Row],[PID]],Batters[[#All],[PID]],0)),INDEX(Table3[[#All],[CON P]],MATCH(Table5[[#This Row],[PID]],Table3[[#All],[PID]],0)))</f>
        <v>3</v>
      </c>
      <c r="O448" s="72" t="str">
        <f>IF($C448="B",INDEX(Batters[[#All],[EYE P]],MATCH(Table5[[#This Row],[PID]],Batters[[#All],[PID]],0)),INDEX(Table3[[#All],[VELO]],MATCH(Table5[[#This Row],[PID]],Table3[[#All],[PID]],0)))</f>
        <v>90-92 Mph</v>
      </c>
      <c r="P448" s="56">
        <f>IF($C448="B",INDEX(Batters[[#All],[K P]],MATCH(Table5[[#This Row],[PID]],Batters[[#All],[PID]],0)),INDEX(Table3[[#All],[STM]],MATCH(Table5[[#This Row],[PID]],Table3[[#All],[PID]],0)))</f>
        <v>10</v>
      </c>
      <c r="Q448" s="61">
        <f>IF($C448="B",INDEX(Batters[[#All],[Tot]],MATCH(Table5[[#This Row],[PID]],Batters[[#All],[PID]],0)),INDEX(Table3[[#All],[Tot]],MATCH(Table5[[#This Row],[PID]],Table3[[#All],[PID]],0)))</f>
        <v>39.794700947483207</v>
      </c>
      <c r="R448" s="52">
        <f>IF($C448="B",INDEX(Batters[[#All],[zScore]],MATCH(Table5[[#This Row],[PID]],Batters[[#All],[PID]],0)),INDEX(Table3[[#All],[zScore]],MATCH(Table5[[#This Row],[PID]],Table3[[#All],[PID]],0)))</f>
        <v>0.21818903551080598</v>
      </c>
      <c r="S448" s="78" t="str">
        <f>IF($C448="B",INDEX(Batters[[#All],[DEM]],MATCH(Table5[[#This Row],[PID]],Batters[[#All],[PID]],0)),INDEX(Table3[[#All],[DEM]],MATCH(Table5[[#This Row],[PID]],Table3[[#All],[PID]],0)))</f>
        <v>$80k</v>
      </c>
      <c r="T448" s="75">
        <f>IF($C448="B",INDEX(Batters[[#All],[Rnk]],MATCH(Table5[[#This Row],[PID]],Batters[[#All],[PID]],0)),INDEX(Table3[[#All],[Rnk]],MATCH(Table5[[#This Row],[PID]],Table3[[#All],[PID]],0)))</f>
        <v>260</v>
      </c>
      <c r="U448" s="68">
        <f>IF($C448="B",VLOOKUP($A448,Bat!$A$4:$BA$1621,47,FALSE),VLOOKUP($A448,Pit!$A$4:$BF$1557,56,FALSE))</f>
        <v>0</v>
      </c>
      <c r="V448" s="50">
        <f>IF($C448="B",VLOOKUP($A448,Bat!$A$4:$BA$1621,48,FALSE),VLOOKUP($A448,Pit!$A$4:$BF$1557,57,FALSE))</f>
        <v>0</v>
      </c>
      <c r="W448" s="69">
        <f>Table5[[#This Row],[posRnk]]+Table5[[#This Row],[zRnk]]+IF($W$3&lt;&gt;Table5[[#This Row],[Type]],50,0)</f>
        <v>765</v>
      </c>
      <c r="X448" s="73">
        <f>RANK(Table5[[#This Row],[zScore]],Table5[[#All],[zScore]])</f>
        <v>455</v>
      </c>
      <c r="Y448" s="69">
        <f>IFERROR(INDEX(DraftResults[[#All],[OVR]],MATCH(Table5[[#This Row],[PID]],DraftResults[[#All],[Player ID]],0)),"")</f>
        <v>444</v>
      </c>
      <c r="Z44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8" s="69">
        <f>IFERROR(INDEX(DraftResults[[#All],[Pick in Round]],MATCH(Table5[[#This Row],[PID]],DraftResults[[#All],[Player ID]],0)),"")</f>
        <v>16</v>
      </c>
      <c r="AB448" s="69" t="str">
        <f>IFERROR(INDEX(DraftResults[[#All],[Team Name]],MATCH(Table5[[#This Row],[PID]],DraftResults[[#All],[Player ID]],0)),"")</f>
        <v>San Antonio Calzones of Laredo</v>
      </c>
      <c r="AC448" s="69">
        <f>IF(Table5[[#This Row],[Ovr]]="","",IF(Table5[[#This Row],[cmbList]]="","",Table5[[#This Row],[cmbList]]-Table5[[#This Row],[Ovr]]))</f>
        <v>321</v>
      </c>
      <c r="AD448" s="77" t="str">
        <f>IF(ISERROR(VLOOKUP($AB448&amp;"-"&amp;$E448&amp;" "&amp;F448,Bonuses!$B$1:$G$1006,4,FALSE)),"",INT(VLOOKUP($AB448&amp;"-"&amp;$E448&amp;" "&amp;$F448,Bonuses!$B$1:$G$1006,4,FALSE)))</f>
        <v/>
      </c>
      <c r="AE44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15.16 (444) - SP Lu Yang</v>
      </c>
    </row>
    <row r="449" spans="1:31" s="50" customFormat="1" x14ac:dyDescent="0.25">
      <c r="A449" s="50">
        <v>18101</v>
      </c>
      <c r="B449" s="50">
        <f>COUNTIF(Table5[PID],A449)</f>
        <v>1</v>
      </c>
      <c r="C449" s="50" t="str">
        <f>IF(COUNTIF(Table3[[#All],[PID]],A449)&gt;0,"P","B")</f>
        <v>B</v>
      </c>
      <c r="D449" s="59" t="str">
        <f>IF($C449="B",INDEX(Batters[[#All],[POS]],MATCH(Table5[[#This Row],[PID]],Batters[[#All],[PID]],0)),INDEX(Table3[[#All],[POS]],MATCH(Table5[[#This Row],[PID]],Table3[[#All],[PID]],0)))</f>
        <v>C</v>
      </c>
      <c r="E449" s="52" t="str">
        <f>IF($C449="B",INDEX(Batters[[#All],[First]],MATCH(Table5[[#This Row],[PID]],Batters[[#All],[PID]],0)),INDEX(Table3[[#All],[First]],MATCH(Table5[[#This Row],[PID]],Table3[[#All],[PID]],0)))</f>
        <v>Terry</v>
      </c>
      <c r="F449" s="50" t="str">
        <f>IF($C449="B",INDEX(Batters[[#All],[Last]],MATCH(A449,Batters[[#All],[PID]],0)),INDEX(Table3[[#All],[Last]],MATCH(A449,Table3[[#All],[PID]],0)))</f>
        <v>Booker</v>
      </c>
      <c r="G449" s="56">
        <f>IF($C449="B",INDEX(Batters[[#All],[Age]],MATCH(Table5[[#This Row],[PID]],Batters[[#All],[PID]],0)),INDEX(Table3[[#All],[Age]],MATCH(Table5[[#This Row],[PID]],Table3[[#All],[PID]],0)))</f>
        <v>21</v>
      </c>
      <c r="H449" s="52" t="str">
        <f>IF($C449="B",INDEX(Batters[[#All],[B]],MATCH(Table5[[#This Row],[PID]],Batters[[#All],[PID]],0)),INDEX(Table3[[#All],[B]],MATCH(Table5[[#This Row],[PID]],Table3[[#All],[PID]],0)))</f>
        <v>R</v>
      </c>
      <c r="I449" s="52" t="str">
        <f>IF($C449="B",INDEX(Batters[[#All],[T]],MATCH(Table5[[#This Row],[PID]],Batters[[#All],[PID]],0)),INDEX(Table3[[#All],[T]],MATCH(Table5[[#This Row],[PID]],Table3[[#All],[PID]],0)))</f>
        <v>R</v>
      </c>
      <c r="J449" s="52" t="str">
        <f>IF($C449="B",INDEX(Batters[[#All],[WE]],MATCH(Table5[[#This Row],[PID]],Batters[[#All],[PID]],0)),INDEX(Table3[[#All],[WE]],MATCH(Table5[[#This Row],[PID]],Table3[[#All],[PID]],0)))</f>
        <v>Normal</v>
      </c>
      <c r="K449" s="52" t="str">
        <f>IF($C449="B",INDEX(Batters[[#All],[INT]],MATCH(Table5[[#This Row],[PID]],Batters[[#All],[PID]],0)),INDEX(Table3[[#All],[INT]],MATCH(Table5[[#This Row],[PID]],Table3[[#All],[PID]],0)))</f>
        <v>Normal</v>
      </c>
      <c r="L449" s="60">
        <f>IF($C449="B",INDEX(Batters[[#All],[CON P]],MATCH(Table5[[#This Row],[PID]],Batters[[#All],[PID]],0)),INDEX(Table3[[#All],[STU P]],MATCH(Table5[[#This Row],[PID]],Table3[[#All],[PID]],0)))</f>
        <v>4</v>
      </c>
      <c r="M449" s="56">
        <f>IF($C449="B",INDEX(Batters[[#All],[GAP P]],MATCH(Table5[[#This Row],[PID]],Batters[[#All],[PID]],0)),INDEX(Table3[[#All],[MOV P]],MATCH(Table5[[#This Row],[PID]],Table3[[#All],[PID]],0)))</f>
        <v>5</v>
      </c>
      <c r="N449" s="56">
        <f>IF($C449="B",INDEX(Batters[[#All],[POW P]],MATCH(Table5[[#This Row],[PID]],Batters[[#All],[PID]],0)),INDEX(Table3[[#All],[CON P]],MATCH(Table5[[#This Row],[PID]],Table3[[#All],[PID]],0)))</f>
        <v>2</v>
      </c>
      <c r="O449" s="56">
        <f>IF($C449="B",INDEX(Batters[[#All],[EYE P]],MATCH(Table5[[#This Row],[PID]],Batters[[#All],[PID]],0)),INDEX(Table3[[#All],[VELO]],MATCH(Table5[[#This Row],[PID]],Table3[[#All],[PID]],0)))</f>
        <v>2</v>
      </c>
      <c r="P449" s="56">
        <f>IF($C449="B",INDEX(Batters[[#All],[K P]],MATCH(Table5[[#This Row],[PID]],Batters[[#All],[PID]],0)),INDEX(Table3[[#All],[STM]],MATCH(Table5[[#This Row],[PID]],Table3[[#All],[PID]],0)))</f>
        <v>7</v>
      </c>
      <c r="Q449" s="61">
        <f>IF($C449="B",INDEX(Batters[[#All],[Tot]],MATCH(Table5[[#This Row],[PID]],Batters[[#All],[PID]],0)),INDEX(Table3[[#All],[Tot]],MATCH(Table5[[#This Row],[PID]],Table3[[#All],[PID]],0)))</f>
        <v>40.126204064870421</v>
      </c>
      <c r="R449" s="52">
        <f>IF($C449="B",INDEX(Batters[[#All],[zScore]],MATCH(Table5[[#This Row],[PID]],Batters[[#All],[PID]],0)),INDEX(Table3[[#All],[zScore]],MATCH(Table5[[#This Row],[PID]],Table3[[#All],[PID]],0)))</f>
        <v>-0.88809867136463128</v>
      </c>
      <c r="S449" s="58" t="str">
        <f>IF($C449="B",INDEX(Batters[[#All],[DEM]],MATCH(Table5[[#This Row],[PID]],Batters[[#All],[PID]],0)),INDEX(Table3[[#All],[DEM]],MATCH(Table5[[#This Row],[PID]],Table3[[#All],[PID]],0)))</f>
        <v>-</v>
      </c>
      <c r="T449" s="62">
        <f>IF($C449="B",INDEX(Batters[[#All],[Rnk]],MATCH(Table5[[#This Row],[PID]],Batters[[#All],[PID]],0)),INDEX(Table3[[#All],[Rnk]],MATCH(Table5[[#This Row],[PID]],Table3[[#All],[PID]],0)))</f>
        <v>422</v>
      </c>
      <c r="U449" s="68">
        <f>IF($C449="B",VLOOKUP($A449,Bat!$A$4:$BA$1621,47,FALSE),VLOOKUP($A449,Pit!$A$4:$BF$1557,56,FALSE))</f>
        <v>0</v>
      </c>
      <c r="V449" s="50">
        <f>IF($C449="B",VLOOKUP($A449,Bat!$A$4:$BA$1621,48,FALSE),VLOOKUP($A449,Pit!$A$4:$BF$1557,57,FALSE))</f>
        <v>0</v>
      </c>
      <c r="W449" s="50">
        <f>Table5[[#This Row],[posRnk]]+Table5[[#This Row],[zRnk]]+IF($W$3&lt;&gt;Table5[[#This Row],[Type]],50,0)</f>
        <v>1565</v>
      </c>
      <c r="X449" s="51">
        <f>RANK(Table5[[#This Row],[zScore]],Table5[[#All],[zScore]])</f>
        <v>1093</v>
      </c>
      <c r="Y449" s="50">
        <f>IFERROR(INDEX(DraftResults[[#All],[OVR]],MATCH(Table5[[#This Row],[PID]],DraftResults[[#All],[Player ID]],0)),"")</f>
        <v>445</v>
      </c>
      <c r="Z4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49" s="50">
        <f>IFERROR(INDEX(DraftResults[[#All],[Pick in Round]],MATCH(Table5[[#This Row],[PID]],DraftResults[[#All],[Player ID]],0)),"")</f>
        <v>17</v>
      </c>
      <c r="AB449" s="50" t="str">
        <f>IFERROR(INDEX(DraftResults[[#All],[Team Name]],MATCH(Table5[[#This Row],[PID]],DraftResults[[#All],[Player ID]],0)),"")</f>
        <v>Madison Malts</v>
      </c>
      <c r="AC449" s="50">
        <f>IF(Table5[[#This Row],[Ovr]]="","",IF(Table5[[#This Row],[cmbList]]="","",Table5[[#This Row],[cmbList]]-Table5[[#This Row],[Ovr]]))</f>
        <v>1120</v>
      </c>
      <c r="AD449" s="54" t="str">
        <f>IF(ISERROR(VLOOKUP($AB449&amp;"-"&amp;$E449&amp;" "&amp;F449,Bonuses!$B$1:$G$1006,4,FALSE)),"",INT(VLOOKUP($AB449&amp;"-"&amp;$E449&amp;" "&amp;$F449,Bonuses!$B$1:$G$1006,4,FALSE)))</f>
        <v/>
      </c>
      <c r="AE4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15.17 (445) - C Terry Booker</v>
      </c>
    </row>
    <row r="450" spans="1:31" s="50" customFormat="1" x14ac:dyDescent="0.25">
      <c r="A450" s="50">
        <v>16131</v>
      </c>
      <c r="B450" s="50">
        <f>COUNTIF(Table5[PID],A450)</f>
        <v>1</v>
      </c>
      <c r="C450" s="50" t="str">
        <f>IF(COUNTIF(Table3[[#All],[PID]],A450)&gt;0,"P","B")</f>
        <v>B</v>
      </c>
      <c r="D450" s="59" t="str">
        <f>IF($C450="B",INDEX(Batters[[#All],[POS]],MATCH(Table5[[#This Row],[PID]],Batters[[#All],[PID]],0)),INDEX(Table3[[#All],[POS]],MATCH(Table5[[#This Row],[PID]],Table3[[#All],[PID]],0)))</f>
        <v>C</v>
      </c>
      <c r="E450" s="52" t="str">
        <f>IF($C450="B",INDEX(Batters[[#All],[First]],MATCH(Table5[[#This Row],[PID]],Batters[[#All],[PID]],0)),INDEX(Table3[[#All],[First]],MATCH(Table5[[#This Row],[PID]],Table3[[#All],[PID]],0)))</f>
        <v>Tadamichi</v>
      </c>
      <c r="F450" s="50" t="str">
        <f>IF($C450="B",INDEX(Batters[[#All],[Last]],MATCH(A450,Batters[[#All],[PID]],0)),INDEX(Table3[[#All],[Last]],MATCH(A450,Table3[[#All],[PID]],0)))</f>
        <v>Yamamoto</v>
      </c>
      <c r="G450" s="56">
        <f>IF($C450="B",INDEX(Batters[[#All],[Age]],MATCH(Table5[[#This Row],[PID]],Batters[[#All],[PID]],0)),INDEX(Table3[[#All],[Age]],MATCH(Table5[[#This Row],[PID]],Table3[[#All],[PID]],0)))</f>
        <v>21</v>
      </c>
      <c r="H450" s="52" t="str">
        <f>IF($C450="B",INDEX(Batters[[#All],[B]],MATCH(Table5[[#This Row],[PID]],Batters[[#All],[PID]],0)),INDEX(Table3[[#All],[B]],MATCH(Table5[[#This Row],[PID]],Table3[[#All],[PID]],0)))</f>
        <v>R</v>
      </c>
      <c r="I450" s="52" t="str">
        <f>IF($C450="B",INDEX(Batters[[#All],[T]],MATCH(Table5[[#This Row],[PID]],Batters[[#All],[PID]],0)),INDEX(Table3[[#All],[T]],MATCH(Table5[[#This Row],[PID]],Table3[[#All],[PID]],0)))</f>
        <v>R</v>
      </c>
      <c r="J450" s="52" t="str">
        <f>IF($C450="B",INDEX(Batters[[#All],[WE]],MATCH(Table5[[#This Row],[PID]],Batters[[#All],[PID]],0)),INDEX(Table3[[#All],[WE]],MATCH(Table5[[#This Row],[PID]],Table3[[#All],[PID]],0)))</f>
        <v>Normal</v>
      </c>
      <c r="K450" s="52" t="str">
        <f>IF($C450="B",INDEX(Batters[[#All],[INT]],MATCH(Table5[[#This Row],[PID]],Batters[[#All],[PID]],0)),INDEX(Table3[[#All],[INT]],MATCH(Table5[[#This Row],[PID]],Table3[[#All],[PID]],0)))</f>
        <v>High</v>
      </c>
      <c r="L450" s="60">
        <f>IF($C450="B",INDEX(Batters[[#All],[CON P]],MATCH(Table5[[#This Row],[PID]],Batters[[#All],[PID]],0)),INDEX(Table3[[#All],[STU P]],MATCH(Table5[[#This Row],[PID]],Table3[[#All],[PID]],0)))</f>
        <v>3</v>
      </c>
      <c r="M450" s="56">
        <f>IF($C450="B",INDEX(Batters[[#All],[GAP P]],MATCH(Table5[[#This Row],[PID]],Batters[[#All],[PID]],0)),INDEX(Table3[[#All],[MOV P]],MATCH(Table5[[#This Row],[PID]],Table3[[#All],[PID]],0)))</f>
        <v>3</v>
      </c>
      <c r="N450" s="56">
        <f>IF($C450="B",INDEX(Batters[[#All],[POW P]],MATCH(Table5[[#This Row],[PID]],Batters[[#All],[PID]],0)),INDEX(Table3[[#All],[CON P]],MATCH(Table5[[#This Row],[PID]],Table3[[#All],[PID]],0)))</f>
        <v>4</v>
      </c>
      <c r="O450" s="56">
        <f>IF($C450="B",INDEX(Batters[[#All],[EYE P]],MATCH(Table5[[#This Row],[PID]],Batters[[#All],[PID]],0)),INDEX(Table3[[#All],[VELO]],MATCH(Table5[[#This Row],[PID]],Table3[[#All],[PID]],0)))</f>
        <v>5</v>
      </c>
      <c r="P450" s="56">
        <f>IF($C450="B",INDEX(Batters[[#All],[K P]],MATCH(Table5[[#This Row],[PID]],Batters[[#All],[PID]],0)),INDEX(Table3[[#All],[STM]],MATCH(Table5[[#This Row],[PID]],Table3[[#All],[PID]],0)))</f>
        <v>3</v>
      </c>
      <c r="Q450" s="61">
        <f>IF($C450="B",INDEX(Batters[[#All],[Tot]],MATCH(Table5[[#This Row],[PID]],Batters[[#All],[PID]],0)),INDEX(Table3[[#All],[Tot]],MATCH(Table5[[#This Row],[PID]],Table3[[#All],[PID]],0)))</f>
        <v>38.474802768118636</v>
      </c>
      <c r="R450" s="52">
        <f>IF($C450="B",INDEX(Batters[[#All],[zScore]],MATCH(Table5[[#This Row],[PID]],Batters[[#All],[PID]],0)),INDEX(Table3[[#All],[zScore]],MATCH(Table5[[#This Row],[PID]],Table3[[#All],[PID]],0)))</f>
        <v>-1.2542255012913126</v>
      </c>
      <c r="S450" s="58" t="str">
        <f>IF($C450="B",INDEX(Batters[[#All],[DEM]],MATCH(Table5[[#This Row],[PID]],Batters[[#All],[PID]],0)),INDEX(Table3[[#All],[DEM]],MATCH(Table5[[#This Row],[PID]],Table3[[#All],[PID]],0)))</f>
        <v>$20k</v>
      </c>
      <c r="T450" s="62">
        <f>IF($C450="B",INDEX(Batters[[#All],[Rnk]],MATCH(Table5[[#This Row],[PID]],Batters[[#All],[PID]],0)),INDEX(Table3[[#All],[Rnk]],MATCH(Table5[[#This Row],[PID]],Table3[[#All],[PID]],0)))</f>
        <v>475</v>
      </c>
      <c r="U450" s="68">
        <f>IF($C450="B",VLOOKUP($A450,Bat!$A$4:$BA$1621,47,FALSE),VLOOKUP($A450,Pit!$A$4:$BF$1557,56,FALSE))</f>
        <v>0</v>
      </c>
      <c r="V450" s="50">
        <f>IF($C450="B",VLOOKUP($A450,Bat!$A$4:$BA$1621,48,FALSE),VLOOKUP($A450,Pit!$A$4:$BF$1557,57,FALSE))</f>
        <v>0</v>
      </c>
      <c r="W450" s="50">
        <f>Table5[[#This Row],[posRnk]]+Table5[[#This Row],[zRnk]]+IF($W$3&lt;&gt;Table5[[#This Row],[Type]],50,0)</f>
        <v>1748</v>
      </c>
      <c r="X450" s="51">
        <f>RANK(Table5[[#This Row],[zScore]],Table5[[#All],[zScore]])</f>
        <v>1223</v>
      </c>
      <c r="Y450" s="50">
        <f>IFERROR(INDEX(DraftResults[[#All],[OVR]],MATCH(Table5[[#This Row],[PID]],DraftResults[[#All],[Player ID]],0)),"")</f>
        <v>446</v>
      </c>
      <c r="Z4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0" s="50">
        <f>IFERROR(INDEX(DraftResults[[#All],[Pick in Round]],MATCH(Table5[[#This Row],[PID]],DraftResults[[#All],[Player ID]],0)),"")</f>
        <v>18</v>
      </c>
      <c r="AB450" s="50" t="str">
        <f>IFERROR(INDEX(DraftResults[[#All],[Team Name]],MATCH(Table5[[#This Row],[PID]],DraftResults[[#All],[Player ID]],0)),"")</f>
        <v>Bakersfield Bears</v>
      </c>
      <c r="AC450" s="50">
        <f>IF(Table5[[#This Row],[Ovr]]="","",IF(Table5[[#This Row],[cmbList]]="","",Table5[[#This Row],[cmbList]]-Table5[[#This Row],[Ovr]]))</f>
        <v>1302</v>
      </c>
      <c r="AD450" s="54" t="str">
        <f>IF(ISERROR(VLOOKUP($AB450&amp;"-"&amp;$E450&amp;" "&amp;F450,Bonuses!$B$1:$G$1006,4,FALSE)),"",INT(VLOOKUP($AB450&amp;"-"&amp;$E450&amp;" "&amp;$F450,Bonuses!$B$1:$G$1006,4,FALSE)))</f>
        <v/>
      </c>
      <c r="AE4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15.18 (446) - C Tadamichi Yamamoto</v>
      </c>
    </row>
    <row r="451" spans="1:31" s="50" customFormat="1" x14ac:dyDescent="0.25">
      <c r="A451" s="68">
        <v>18205</v>
      </c>
      <c r="B451" s="69">
        <f>COUNTIF(Table5[PID],A451)</f>
        <v>1</v>
      </c>
      <c r="C451" s="69" t="str">
        <f>IF(COUNTIF(Table3[[#All],[PID]],A451)&gt;0,"P","B")</f>
        <v>P</v>
      </c>
      <c r="D451" s="59" t="str">
        <f>IF($C451="B",INDEX(Batters[[#All],[POS]],MATCH(Table5[[#This Row],[PID]],Batters[[#All],[PID]],0)),INDEX(Table3[[#All],[POS]],MATCH(Table5[[#This Row],[PID]],Table3[[#All],[PID]],0)))</f>
        <v>SP</v>
      </c>
      <c r="E451" s="52" t="str">
        <f>IF($C451="B",INDEX(Batters[[#All],[First]],MATCH(Table5[[#This Row],[PID]],Batters[[#All],[PID]],0)),INDEX(Table3[[#All],[First]],MATCH(Table5[[#This Row],[PID]],Table3[[#All],[PID]],0)))</f>
        <v>Eric</v>
      </c>
      <c r="F451" s="55" t="str">
        <f>IF($C451="B",INDEX(Batters[[#All],[Last]],MATCH(A451,Batters[[#All],[PID]],0)),INDEX(Table3[[#All],[Last]],MATCH(A451,Table3[[#All],[PID]],0)))</f>
        <v>Coleman</v>
      </c>
      <c r="G451" s="56">
        <f>IF($C451="B",INDEX(Batters[[#All],[Age]],MATCH(Table5[[#This Row],[PID]],Batters[[#All],[PID]],0)),INDEX(Table3[[#All],[Age]],MATCH(Table5[[#This Row],[PID]],Table3[[#All],[PID]],0)))</f>
        <v>18</v>
      </c>
      <c r="H451" s="52" t="str">
        <f>IF($C451="B",INDEX(Batters[[#All],[B]],MATCH(Table5[[#This Row],[PID]],Batters[[#All],[PID]],0)),INDEX(Table3[[#All],[B]],MATCH(Table5[[#This Row],[PID]],Table3[[#All],[PID]],0)))</f>
        <v>L</v>
      </c>
      <c r="I451" s="52" t="str">
        <f>IF($C451="B",INDEX(Batters[[#All],[T]],MATCH(Table5[[#This Row],[PID]],Batters[[#All],[PID]],0)),INDEX(Table3[[#All],[T]],MATCH(Table5[[#This Row],[PID]],Table3[[#All],[PID]],0)))</f>
        <v>R</v>
      </c>
      <c r="J451" s="71" t="str">
        <f>IF($C451="B",INDEX(Batters[[#All],[WE]],MATCH(Table5[[#This Row],[PID]],Batters[[#All],[PID]],0)),INDEX(Table3[[#All],[WE]],MATCH(Table5[[#This Row],[PID]],Table3[[#All],[PID]],0)))</f>
        <v>Normal</v>
      </c>
      <c r="K451" s="52" t="str">
        <f>IF($C451="B",INDEX(Batters[[#All],[INT]],MATCH(Table5[[#This Row],[PID]],Batters[[#All],[PID]],0)),INDEX(Table3[[#All],[INT]],MATCH(Table5[[#This Row],[PID]],Table3[[#All],[PID]],0)))</f>
        <v>Normal</v>
      </c>
      <c r="L451" s="60">
        <f>IF($C451="B",INDEX(Batters[[#All],[CON P]],MATCH(Table5[[#This Row],[PID]],Batters[[#All],[PID]],0)),INDEX(Table3[[#All],[STU P]],MATCH(Table5[[#This Row],[PID]],Table3[[#All],[PID]],0)))</f>
        <v>5</v>
      </c>
      <c r="M451" s="72">
        <f>IF($C451="B",INDEX(Batters[[#All],[GAP P]],MATCH(Table5[[#This Row],[PID]],Batters[[#All],[PID]],0)),INDEX(Table3[[#All],[MOV P]],MATCH(Table5[[#This Row],[PID]],Table3[[#All],[PID]],0)))</f>
        <v>3</v>
      </c>
      <c r="N451" s="72">
        <f>IF($C451="B",INDEX(Batters[[#All],[POW P]],MATCH(Table5[[#This Row],[PID]],Batters[[#All],[PID]],0)),INDEX(Table3[[#All],[CON P]],MATCH(Table5[[#This Row],[PID]],Table3[[#All],[PID]],0)))</f>
        <v>6</v>
      </c>
      <c r="O451" s="72" t="str">
        <f>IF($C451="B",INDEX(Batters[[#All],[EYE P]],MATCH(Table5[[#This Row],[PID]],Batters[[#All],[PID]],0)),INDEX(Table3[[#All],[VELO]],MATCH(Table5[[#This Row],[PID]],Table3[[#All],[PID]],0)))</f>
        <v>87-89 Mph</v>
      </c>
      <c r="P451" s="56">
        <f>IF($C451="B",INDEX(Batters[[#All],[K P]],MATCH(Table5[[#This Row],[PID]],Batters[[#All],[PID]],0)),INDEX(Table3[[#All],[STM]],MATCH(Table5[[#This Row],[PID]],Table3[[#All],[PID]],0)))</f>
        <v>4</v>
      </c>
      <c r="Q451" s="61">
        <f>IF($C451="B",INDEX(Batters[[#All],[Tot]],MATCH(Table5[[#This Row],[PID]],Batters[[#All],[PID]],0)),INDEX(Table3[[#All],[Tot]],MATCH(Table5[[#This Row],[PID]],Table3[[#All],[PID]],0)))</f>
        <v>55.749490333257924</v>
      </c>
      <c r="R451" s="52">
        <f>IF($C451="B",INDEX(Batters[[#All],[zScore]],MATCH(Table5[[#This Row],[PID]],Batters[[#All],[PID]],0)),INDEX(Table3[[#All],[zScore]],MATCH(Table5[[#This Row],[PID]],Table3[[#All],[PID]],0)))</f>
        <v>1.3225171170096959</v>
      </c>
      <c r="S451" s="78" t="str">
        <f>IF($C451="B",INDEX(Batters[[#All],[DEM]],MATCH(Table5[[#This Row],[PID]],Batters[[#All],[PID]],0)),INDEX(Table3[[#All],[DEM]],MATCH(Table5[[#This Row],[PID]],Table3[[#All],[PID]],0)))</f>
        <v>$200k</v>
      </c>
      <c r="T451" s="75">
        <f>IF($C451="B",INDEX(Batters[[#All],[Rnk]],MATCH(Table5[[#This Row],[PID]],Batters[[#All],[PID]],0)),INDEX(Table3[[#All],[Rnk]],MATCH(Table5[[#This Row],[PID]],Table3[[#All],[PID]],0)))</f>
        <v>101</v>
      </c>
      <c r="U451" s="68">
        <f>IF($C451="B",VLOOKUP($A451,Bat!$A$4:$BA$1621,47,FALSE),VLOOKUP($A451,Pit!$A$4:$BF$1557,56,FALSE))</f>
        <v>0</v>
      </c>
      <c r="V451" s="50">
        <f>IF($C451="B",VLOOKUP($A451,Bat!$A$4:$BA$1621,48,FALSE),VLOOKUP($A451,Pit!$A$4:$BF$1557,57,FALSE))</f>
        <v>0</v>
      </c>
      <c r="W451" s="69">
        <f>Table5[[#This Row],[posRnk]]+Table5[[#This Row],[zRnk]]+IF($W$3&lt;&gt;Table5[[#This Row],[Type]],50,0)</f>
        <v>307</v>
      </c>
      <c r="X451" s="73">
        <f>RANK(Table5[[#This Row],[zScore]],Table5[[#All],[zScore]])</f>
        <v>156</v>
      </c>
      <c r="Y451" s="69">
        <f>IFERROR(INDEX(DraftResults[[#All],[OVR]],MATCH(Table5[[#This Row],[PID]],DraftResults[[#All],[Player ID]],0)),"")</f>
        <v>447</v>
      </c>
      <c r="Z45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1" s="69">
        <f>IFERROR(INDEX(DraftResults[[#All],[Pick in Round]],MATCH(Table5[[#This Row],[PID]],DraftResults[[#All],[Player ID]],0)),"")</f>
        <v>19</v>
      </c>
      <c r="AB451" s="69" t="str">
        <f>IFERROR(INDEX(DraftResults[[#All],[Team Name]],MATCH(Table5[[#This Row],[PID]],DraftResults[[#All],[Player ID]],0)),"")</f>
        <v>Kalamazoo Badgers</v>
      </c>
      <c r="AC451" s="69">
        <f>IF(Table5[[#This Row],[Ovr]]="","",IF(Table5[[#This Row],[cmbList]]="","",Table5[[#This Row],[cmbList]]-Table5[[#This Row],[Ovr]]))</f>
        <v>-140</v>
      </c>
      <c r="AD451" s="77" t="str">
        <f>IF(ISERROR(VLOOKUP($AB451&amp;"-"&amp;$E451&amp;" "&amp;F451,Bonuses!$B$1:$G$1006,4,FALSE)),"",INT(VLOOKUP($AB451&amp;"-"&amp;$E451&amp;" "&amp;$F451,Bonuses!$B$1:$G$1006,4,FALSE)))</f>
        <v/>
      </c>
      <c r="AE45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15.19 (447) - SP Eric Coleman</v>
      </c>
    </row>
    <row r="452" spans="1:31" s="50" customFormat="1" x14ac:dyDescent="0.25">
      <c r="A452" s="50">
        <v>20563</v>
      </c>
      <c r="B452" s="50">
        <f>COUNTIF(Table5[PID],A452)</f>
        <v>1</v>
      </c>
      <c r="C452" s="50" t="str">
        <f>IF(COUNTIF(Table3[[#All],[PID]],A452)&gt;0,"P","B")</f>
        <v>B</v>
      </c>
      <c r="D452" s="59" t="str">
        <f>IF($C452="B",INDEX(Batters[[#All],[POS]],MATCH(Table5[[#This Row],[PID]],Batters[[#All],[PID]],0)),INDEX(Table3[[#All],[POS]],MATCH(Table5[[#This Row],[PID]],Table3[[#All],[PID]],0)))</f>
        <v>C</v>
      </c>
      <c r="E452" s="52" t="str">
        <f>IF($C452="B",INDEX(Batters[[#All],[First]],MATCH(Table5[[#This Row],[PID]],Batters[[#All],[PID]],0)),INDEX(Table3[[#All],[First]],MATCH(Table5[[#This Row],[PID]],Table3[[#All],[PID]],0)))</f>
        <v>Mitch</v>
      </c>
      <c r="F452" s="50" t="str">
        <f>IF($C452="B",INDEX(Batters[[#All],[Last]],MATCH(A452,Batters[[#All],[PID]],0)),INDEX(Table3[[#All],[Last]],MATCH(A452,Table3[[#All],[PID]],0)))</f>
        <v>Marriott</v>
      </c>
      <c r="G452" s="56">
        <f>IF($C452="B",INDEX(Batters[[#All],[Age]],MATCH(Table5[[#This Row],[PID]],Batters[[#All],[PID]],0)),INDEX(Table3[[#All],[Age]],MATCH(Table5[[#This Row],[PID]],Table3[[#All],[PID]],0)))</f>
        <v>18</v>
      </c>
      <c r="H452" s="52" t="str">
        <f>IF($C452="B",INDEX(Batters[[#All],[B]],MATCH(Table5[[#This Row],[PID]],Batters[[#All],[PID]],0)),INDEX(Table3[[#All],[B]],MATCH(Table5[[#This Row],[PID]],Table3[[#All],[PID]],0)))</f>
        <v>S</v>
      </c>
      <c r="I452" s="52" t="str">
        <f>IF($C452="B",INDEX(Batters[[#All],[T]],MATCH(Table5[[#This Row],[PID]],Batters[[#All],[PID]],0)),INDEX(Table3[[#All],[T]],MATCH(Table5[[#This Row],[PID]],Table3[[#All],[PID]],0)))</f>
        <v>R</v>
      </c>
      <c r="J452" s="52" t="str">
        <f>IF($C452="B",INDEX(Batters[[#All],[WE]],MATCH(Table5[[#This Row],[PID]],Batters[[#All],[PID]],0)),INDEX(Table3[[#All],[WE]],MATCH(Table5[[#This Row],[PID]],Table3[[#All],[PID]],0)))</f>
        <v>Normal</v>
      </c>
      <c r="K452" s="52" t="str">
        <f>IF($C452="B",INDEX(Batters[[#All],[INT]],MATCH(Table5[[#This Row],[PID]],Batters[[#All],[PID]],0)),INDEX(Table3[[#All],[INT]],MATCH(Table5[[#This Row],[PID]],Table3[[#All],[PID]],0)))</f>
        <v>Low</v>
      </c>
      <c r="L452" s="60">
        <f>IF($C452="B",INDEX(Batters[[#All],[CON P]],MATCH(Table5[[#This Row],[PID]],Batters[[#All],[PID]],0)),INDEX(Table3[[#All],[STU P]],MATCH(Table5[[#This Row],[PID]],Table3[[#All],[PID]],0)))</f>
        <v>4</v>
      </c>
      <c r="M452" s="56">
        <f>IF($C452="B",INDEX(Batters[[#All],[GAP P]],MATCH(Table5[[#This Row],[PID]],Batters[[#All],[PID]],0)),INDEX(Table3[[#All],[MOV P]],MATCH(Table5[[#This Row],[PID]],Table3[[#All],[PID]],0)))</f>
        <v>5</v>
      </c>
      <c r="N452" s="56">
        <f>IF($C452="B",INDEX(Batters[[#All],[POW P]],MATCH(Table5[[#This Row],[PID]],Batters[[#All],[PID]],0)),INDEX(Table3[[#All],[CON P]],MATCH(Table5[[#This Row],[PID]],Table3[[#All],[PID]],0)))</f>
        <v>4</v>
      </c>
      <c r="O452" s="56">
        <f>IF($C452="B",INDEX(Batters[[#All],[EYE P]],MATCH(Table5[[#This Row],[PID]],Batters[[#All],[PID]],0)),INDEX(Table3[[#All],[VELO]],MATCH(Table5[[#This Row],[PID]],Table3[[#All],[PID]],0)))</f>
        <v>7</v>
      </c>
      <c r="P452" s="56">
        <f>IF($C452="B",INDEX(Batters[[#All],[K P]],MATCH(Table5[[#This Row],[PID]],Batters[[#All],[PID]],0)),INDEX(Table3[[#All],[STM]],MATCH(Table5[[#This Row],[PID]],Table3[[#All],[PID]],0)))</f>
        <v>4</v>
      </c>
      <c r="Q452" s="61">
        <f>IF($C452="B",INDEX(Batters[[#All],[Tot]],MATCH(Table5[[#This Row],[PID]],Batters[[#All],[PID]],0)),INDEX(Table3[[#All],[Tot]],MATCH(Table5[[#This Row],[PID]],Table3[[#All],[PID]],0)))</f>
        <v>49.476985595776171</v>
      </c>
      <c r="R452" s="52">
        <f>IF($C452="B",INDEX(Batters[[#All],[zScore]],MATCH(Table5[[#This Row],[PID]],Batters[[#All],[PID]],0)),INDEX(Table3[[#All],[zScore]],MATCH(Table5[[#This Row],[PID]],Table3[[#All],[PID]],0)))</f>
        <v>1.1850327994543985</v>
      </c>
      <c r="S452" s="58" t="str">
        <f>IF($C452="B",INDEX(Batters[[#All],[DEM]],MATCH(Table5[[#This Row],[PID]],Batters[[#All],[PID]],0)),INDEX(Table3[[#All],[DEM]],MATCH(Table5[[#This Row],[PID]],Table3[[#All],[PID]],0)))</f>
        <v>$65k</v>
      </c>
      <c r="T452" s="62">
        <f>IF($C452="B",INDEX(Batters[[#All],[Rnk]],MATCH(Table5[[#This Row],[PID]],Batters[[#All],[PID]],0)),INDEX(Table3[[#All],[Rnk]],MATCH(Table5[[#This Row],[PID]],Table3[[#All],[PID]],0)))</f>
        <v>73</v>
      </c>
      <c r="U452" s="68">
        <f>IF($C452="B",VLOOKUP($A452,Bat!$A$4:$BA$1621,47,FALSE),VLOOKUP($A452,Pit!$A$4:$BF$1557,56,FALSE))</f>
        <v>0</v>
      </c>
      <c r="V452" s="50">
        <f>IF($C452="B",VLOOKUP($A452,Bat!$A$4:$BA$1621,48,FALSE),VLOOKUP($A452,Pit!$A$4:$BF$1557,57,FALSE))</f>
        <v>0</v>
      </c>
      <c r="W452" s="50">
        <f>Table5[[#This Row],[posRnk]]+Table5[[#This Row],[zRnk]]+IF($W$3&lt;&gt;Table5[[#This Row],[Type]],50,0)</f>
        <v>310</v>
      </c>
      <c r="X452" s="51">
        <f>RANK(Table5[[#This Row],[zScore]],Table5[[#All],[zScore]])</f>
        <v>187</v>
      </c>
      <c r="Y452" s="50">
        <f>IFERROR(INDEX(DraftResults[[#All],[OVR]],MATCH(Table5[[#This Row],[PID]],DraftResults[[#All],[Player ID]],0)),"")</f>
        <v>448</v>
      </c>
      <c r="Z4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2" s="50">
        <f>IFERROR(INDEX(DraftResults[[#All],[Pick in Round]],MATCH(Table5[[#This Row],[PID]],DraftResults[[#All],[Player ID]],0)),"")</f>
        <v>20</v>
      </c>
      <c r="AB452" s="50" t="str">
        <f>IFERROR(INDEX(DraftResults[[#All],[Team Name]],MATCH(Table5[[#This Row],[PID]],DraftResults[[#All],[Player ID]],0)),"")</f>
        <v>Amsterdam Lions</v>
      </c>
      <c r="AC452" s="50">
        <f>IF(Table5[[#This Row],[Ovr]]="","",IF(Table5[[#This Row],[cmbList]]="","",Table5[[#This Row],[cmbList]]-Table5[[#This Row],[Ovr]]))</f>
        <v>-138</v>
      </c>
      <c r="AD452" s="54" t="str">
        <f>IF(ISERROR(VLOOKUP($AB452&amp;"-"&amp;$E452&amp;" "&amp;F452,Bonuses!$B$1:$G$1006,4,FALSE)),"",INT(VLOOKUP($AB452&amp;"-"&amp;$E452&amp;" "&amp;$F452,Bonuses!$B$1:$G$1006,4,FALSE)))</f>
        <v/>
      </c>
      <c r="AE4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15.20 (448) - C Mitch Marriott</v>
      </c>
    </row>
    <row r="453" spans="1:31" s="50" customFormat="1" x14ac:dyDescent="0.25">
      <c r="A453" s="50">
        <v>15248</v>
      </c>
      <c r="B453" s="50">
        <f>COUNTIF(Table5[PID],A453)</f>
        <v>1</v>
      </c>
      <c r="C453" s="50" t="str">
        <f>IF(COUNTIF(Table3[[#All],[PID]],A453)&gt;0,"P","B")</f>
        <v>B</v>
      </c>
      <c r="D453" s="59" t="str">
        <f>IF($C453="B",INDEX(Batters[[#All],[POS]],MATCH(Table5[[#This Row],[PID]],Batters[[#All],[PID]],0)),INDEX(Table3[[#All],[POS]],MATCH(Table5[[#This Row],[PID]],Table3[[#All],[PID]],0)))</f>
        <v>CF</v>
      </c>
      <c r="E453" s="52" t="str">
        <f>IF($C453="B",INDEX(Batters[[#All],[First]],MATCH(Table5[[#This Row],[PID]],Batters[[#All],[PID]],0)),INDEX(Table3[[#All],[First]],MATCH(Table5[[#This Row],[PID]],Table3[[#All],[PID]],0)))</f>
        <v>Kazuhiro</v>
      </c>
      <c r="F453" s="50" t="str">
        <f>IF($C453="B",INDEX(Batters[[#All],[Last]],MATCH(A453,Batters[[#All],[PID]],0)),INDEX(Table3[[#All],[Last]],MATCH(A453,Table3[[#All],[PID]],0)))</f>
        <v>Hashimoto</v>
      </c>
      <c r="G453" s="56">
        <f>IF($C453="B",INDEX(Batters[[#All],[Age]],MATCH(Table5[[#This Row],[PID]],Batters[[#All],[PID]],0)),INDEX(Table3[[#All],[Age]],MATCH(Table5[[#This Row],[PID]],Table3[[#All],[PID]],0)))</f>
        <v>18</v>
      </c>
      <c r="H453" s="52" t="str">
        <f>IF($C453="B",INDEX(Batters[[#All],[B]],MATCH(Table5[[#This Row],[PID]],Batters[[#All],[PID]],0)),INDEX(Table3[[#All],[B]],MATCH(Table5[[#This Row],[PID]],Table3[[#All],[PID]],0)))</f>
        <v>R</v>
      </c>
      <c r="I453" s="52" t="str">
        <f>IF($C453="B",INDEX(Batters[[#All],[T]],MATCH(Table5[[#This Row],[PID]],Batters[[#All],[PID]],0)),INDEX(Table3[[#All],[T]],MATCH(Table5[[#This Row],[PID]],Table3[[#All],[PID]],0)))</f>
        <v>R</v>
      </c>
      <c r="J453" s="52" t="str">
        <f>IF($C453="B",INDEX(Batters[[#All],[WE]],MATCH(Table5[[#This Row],[PID]],Batters[[#All],[PID]],0)),INDEX(Table3[[#All],[WE]],MATCH(Table5[[#This Row],[PID]],Table3[[#All],[PID]],0)))</f>
        <v>High</v>
      </c>
      <c r="K453" s="52" t="str">
        <f>IF($C453="B",INDEX(Batters[[#All],[INT]],MATCH(Table5[[#This Row],[PID]],Batters[[#All],[PID]],0)),INDEX(Table3[[#All],[INT]],MATCH(Table5[[#This Row],[PID]],Table3[[#All],[PID]],0)))</f>
        <v>Normal</v>
      </c>
      <c r="L453" s="60">
        <f>IF($C453="B",INDEX(Batters[[#All],[CON P]],MATCH(Table5[[#This Row],[PID]],Batters[[#All],[PID]],0)),INDEX(Table3[[#All],[STU P]],MATCH(Table5[[#This Row],[PID]],Table3[[#All],[PID]],0)))</f>
        <v>3</v>
      </c>
      <c r="M453" s="56">
        <f>IF($C453="B",INDEX(Batters[[#All],[GAP P]],MATCH(Table5[[#This Row],[PID]],Batters[[#All],[PID]],0)),INDEX(Table3[[#All],[MOV P]],MATCH(Table5[[#This Row],[PID]],Table3[[#All],[PID]],0)))</f>
        <v>5</v>
      </c>
      <c r="N453" s="56">
        <f>IF($C453="B",INDEX(Batters[[#All],[POW P]],MATCH(Table5[[#This Row],[PID]],Batters[[#All],[PID]],0)),INDEX(Table3[[#All],[CON P]],MATCH(Table5[[#This Row],[PID]],Table3[[#All],[PID]],0)))</f>
        <v>6</v>
      </c>
      <c r="O453" s="56">
        <f>IF($C453="B",INDEX(Batters[[#All],[EYE P]],MATCH(Table5[[#This Row],[PID]],Batters[[#All],[PID]],0)),INDEX(Table3[[#All],[VELO]],MATCH(Table5[[#This Row],[PID]],Table3[[#All],[PID]],0)))</f>
        <v>4</v>
      </c>
      <c r="P453" s="56">
        <f>IF($C453="B",INDEX(Batters[[#All],[K P]],MATCH(Table5[[#This Row],[PID]],Batters[[#All],[PID]],0)),INDEX(Table3[[#All],[STM]],MATCH(Table5[[#This Row],[PID]],Table3[[#All],[PID]],0)))</f>
        <v>4</v>
      </c>
      <c r="Q453" s="61">
        <f>IF($C453="B",INDEX(Batters[[#All],[Tot]],MATCH(Table5[[#This Row],[PID]],Batters[[#All],[PID]],0)),INDEX(Table3[[#All],[Tot]],MATCH(Table5[[#This Row],[PID]],Table3[[#All],[PID]],0)))</f>
        <v>44.806170674609959</v>
      </c>
      <c r="R453" s="52">
        <f>IF($C453="B",INDEX(Batters[[#All],[zScore]],MATCH(Table5[[#This Row],[PID]],Batters[[#All],[PID]],0)),INDEX(Table3[[#All],[zScore]],MATCH(Table5[[#This Row],[PID]],Table3[[#All],[PID]],0)))</f>
        <v>0.14948155965307361</v>
      </c>
      <c r="S453" s="58" t="str">
        <f>IF($C453="B",INDEX(Batters[[#All],[DEM]],MATCH(Table5[[#This Row],[PID]],Batters[[#All],[PID]],0)),INDEX(Table3[[#All],[DEM]],MATCH(Table5[[#This Row],[PID]],Table3[[#All],[PID]],0)))</f>
        <v>$65k</v>
      </c>
      <c r="T453" s="62">
        <f>IF($C453="B",INDEX(Batters[[#All],[Rnk]],MATCH(Table5[[#This Row],[PID]],Batters[[#All],[PID]],0)),INDEX(Table3[[#All],[Rnk]],MATCH(Table5[[#This Row],[PID]],Table3[[#All],[PID]],0)))</f>
        <v>213</v>
      </c>
      <c r="U453" s="68">
        <f>IF($C453="B",VLOOKUP($A453,Bat!$A$4:$BA$1621,47,FALSE),VLOOKUP($A453,Pit!$A$4:$BF$1557,56,FALSE))</f>
        <v>0</v>
      </c>
      <c r="V453" s="50">
        <f>IF($C453="B",VLOOKUP($A453,Bat!$A$4:$BA$1621,48,FALSE),VLOOKUP($A453,Pit!$A$4:$BF$1557,57,FALSE))</f>
        <v>0</v>
      </c>
      <c r="W453" s="50">
        <f>Table5[[#This Row],[posRnk]]+Table5[[#This Row],[zRnk]]+IF($W$3&lt;&gt;Table5[[#This Row],[Type]],50,0)</f>
        <v>752</v>
      </c>
      <c r="X453" s="51">
        <f>RANK(Table5[[#This Row],[zScore]],Table5[[#All],[zScore]])</f>
        <v>489</v>
      </c>
      <c r="Y453" s="50">
        <f>IFERROR(INDEX(DraftResults[[#All],[OVR]],MATCH(Table5[[#This Row],[PID]],DraftResults[[#All],[Player ID]],0)),"")</f>
        <v>449</v>
      </c>
      <c r="Z4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3" s="50">
        <f>IFERROR(INDEX(DraftResults[[#All],[Pick in Round]],MATCH(Table5[[#This Row],[PID]],DraftResults[[#All],[Player ID]],0)),"")</f>
        <v>21</v>
      </c>
      <c r="AB453" s="50" t="str">
        <f>IFERROR(INDEX(DraftResults[[#All],[Team Name]],MATCH(Table5[[#This Row],[PID]],DraftResults[[#All],[Player ID]],0)),"")</f>
        <v>Crystal Lake Sandgnats</v>
      </c>
      <c r="AC453" s="50">
        <f>IF(Table5[[#This Row],[Ovr]]="","",IF(Table5[[#This Row],[cmbList]]="","",Table5[[#This Row],[cmbList]]-Table5[[#This Row],[Ovr]]))</f>
        <v>303</v>
      </c>
      <c r="AD453" s="54" t="str">
        <f>IF(ISERROR(VLOOKUP($AB453&amp;"-"&amp;$E453&amp;" "&amp;F453,Bonuses!$B$1:$G$1006,4,FALSE)),"",INT(VLOOKUP($AB453&amp;"-"&amp;$E453&amp;" "&amp;$F453,Bonuses!$B$1:$G$1006,4,FALSE)))</f>
        <v/>
      </c>
      <c r="AE4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15.21 (449) - CF Kazuhiro Hashimoto</v>
      </c>
    </row>
    <row r="454" spans="1:31" s="50" customFormat="1" x14ac:dyDescent="0.25">
      <c r="A454" s="50">
        <v>18156</v>
      </c>
      <c r="B454" s="50">
        <f>COUNTIF(Table5[PID],A454)</f>
        <v>1</v>
      </c>
      <c r="C454" s="50" t="str">
        <f>IF(COUNTIF(Table3[[#All],[PID]],A454)&gt;0,"P","B")</f>
        <v>B</v>
      </c>
      <c r="D454" s="59" t="str">
        <f>IF($C454="B",INDEX(Batters[[#All],[POS]],MATCH(Table5[[#This Row],[PID]],Batters[[#All],[PID]],0)),INDEX(Table3[[#All],[POS]],MATCH(Table5[[#This Row],[PID]],Table3[[#All],[PID]],0)))</f>
        <v>C</v>
      </c>
      <c r="E454" s="52" t="str">
        <f>IF($C454="B",INDEX(Batters[[#All],[First]],MATCH(Table5[[#This Row],[PID]],Batters[[#All],[PID]],0)),INDEX(Table3[[#All],[First]],MATCH(Table5[[#This Row],[PID]],Table3[[#All],[PID]],0)))</f>
        <v>Nick</v>
      </c>
      <c r="F454" s="50" t="str">
        <f>IF($C454="B",INDEX(Batters[[#All],[Last]],MATCH(A454,Batters[[#All],[PID]],0)),INDEX(Table3[[#All],[Last]],MATCH(A454,Table3[[#All],[PID]],0)))</f>
        <v>Richardson</v>
      </c>
      <c r="G454" s="56">
        <f>IF($C454="B",INDEX(Batters[[#All],[Age]],MATCH(Table5[[#This Row],[PID]],Batters[[#All],[PID]],0)),INDEX(Table3[[#All],[Age]],MATCH(Table5[[#This Row],[PID]],Table3[[#All],[PID]],0)))</f>
        <v>21</v>
      </c>
      <c r="H454" s="52" t="str">
        <f>IF($C454="B",INDEX(Batters[[#All],[B]],MATCH(Table5[[#This Row],[PID]],Batters[[#All],[PID]],0)),INDEX(Table3[[#All],[B]],MATCH(Table5[[#This Row],[PID]],Table3[[#All],[PID]],0)))</f>
        <v>L</v>
      </c>
      <c r="I454" s="52" t="str">
        <f>IF($C454="B",INDEX(Batters[[#All],[T]],MATCH(Table5[[#This Row],[PID]],Batters[[#All],[PID]],0)),INDEX(Table3[[#All],[T]],MATCH(Table5[[#This Row],[PID]],Table3[[#All],[PID]],0)))</f>
        <v>R</v>
      </c>
      <c r="J454" s="52" t="str">
        <f>IF($C454="B",INDEX(Batters[[#All],[WE]],MATCH(Table5[[#This Row],[PID]],Batters[[#All],[PID]],0)),INDEX(Table3[[#All],[WE]],MATCH(Table5[[#This Row],[PID]],Table3[[#All],[PID]],0)))</f>
        <v>Normal</v>
      </c>
      <c r="K454" s="52" t="str">
        <f>IF($C454="B",INDEX(Batters[[#All],[INT]],MATCH(Table5[[#This Row],[PID]],Batters[[#All],[PID]],0)),INDEX(Table3[[#All],[INT]],MATCH(Table5[[#This Row],[PID]],Table3[[#All],[PID]],0)))</f>
        <v>Normal</v>
      </c>
      <c r="L454" s="60">
        <f>IF($C454="B",INDEX(Batters[[#All],[CON P]],MATCH(Table5[[#This Row],[PID]],Batters[[#All],[PID]],0)),INDEX(Table3[[#All],[STU P]],MATCH(Table5[[#This Row],[PID]],Table3[[#All],[PID]],0)))</f>
        <v>4</v>
      </c>
      <c r="M454" s="56">
        <f>IF($C454="B",INDEX(Batters[[#All],[GAP P]],MATCH(Table5[[#This Row],[PID]],Batters[[#All],[PID]],0)),INDEX(Table3[[#All],[MOV P]],MATCH(Table5[[#This Row],[PID]],Table3[[#All],[PID]],0)))</f>
        <v>4</v>
      </c>
      <c r="N454" s="56">
        <f>IF($C454="B",INDEX(Batters[[#All],[POW P]],MATCH(Table5[[#This Row],[PID]],Batters[[#All],[PID]],0)),INDEX(Table3[[#All],[CON P]],MATCH(Table5[[#This Row],[PID]],Table3[[#All],[PID]],0)))</f>
        <v>4</v>
      </c>
      <c r="O454" s="56">
        <f>IF($C454="B",INDEX(Batters[[#All],[EYE P]],MATCH(Table5[[#This Row],[PID]],Batters[[#All],[PID]],0)),INDEX(Table3[[#All],[VELO]],MATCH(Table5[[#This Row],[PID]],Table3[[#All],[PID]],0)))</f>
        <v>6</v>
      </c>
      <c r="P454" s="56">
        <f>IF($C454="B",INDEX(Batters[[#All],[K P]],MATCH(Table5[[#This Row],[PID]],Batters[[#All],[PID]],0)),INDEX(Table3[[#All],[STM]],MATCH(Table5[[#This Row],[PID]],Table3[[#All],[PID]],0)))</f>
        <v>2</v>
      </c>
      <c r="Q454" s="61">
        <f>IF($C454="B",INDEX(Batters[[#All],[Tot]],MATCH(Table5[[#This Row],[PID]],Batters[[#All],[PID]],0)),INDEX(Table3[[#All],[Tot]],MATCH(Table5[[#This Row],[PID]],Table3[[#All],[PID]],0)))</f>
        <v>43.273692811209841</v>
      </c>
      <c r="R454" s="52">
        <f>IF($C454="B",INDEX(Batters[[#All],[zScore]],MATCH(Table5[[#This Row],[PID]],Batters[[#All],[PID]],0)),INDEX(Table3[[#All],[zScore]],MATCH(Table5[[#This Row],[PID]],Table3[[#All],[PID]],0)))</f>
        <v>-0.19027914125173645</v>
      </c>
      <c r="S454" s="58" t="str">
        <f>IF($C454="B",INDEX(Batters[[#All],[DEM]],MATCH(Table5[[#This Row],[PID]],Batters[[#All],[PID]],0)),INDEX(Table3[[#All],[DEM]],MATCH(Table5[[#This Row],[PID]],Table3[[#All],[PID]],0)))</f>
        <v>-</v>
      </c>
      <c r="T454" s="62">
        <f>IF($C454="B",INDEX(Batters[[#All],[Rnk]],MATCH(Table5[[#This Row],[PID]],Batters[[#All],[PID]],0)),INDEX(Table3[[#All],[Rnk]],MATCH(Table5[[#This Row],[PID]],Table3[[#All],[PID]],0)))</f>
        <v>282</v>
      </c>
      <c r="U454" s="68">
        <f>IF($C454="B",VLOOKUP($A454,Bat!$A$4:$BA$1621,47,FALSE),VLOOKUP($A454,Pit!$A$4:$BF$1557,56,FALSE))</f>
        <v>0</v>
      </c>
      <c r="V454" s="50">
        <f>IF($C454="B",VLOOKUP($A454,Bat!$A$4:$BA$1621,48,FALSE),VLOOKUP($A454,Pit!$A$4:$BF$1557,57,FALSE))</f>
        <v>0</v>
      </c>
      <c r="W454" s="50">
        <f>Table5[[#This Row],[posRnk]]+Table5[[#This Row],[zRnk]]+IF($W$3&lt;&gt;Table5[[#This Row],[Type]],50,0)</f>
        <v>996</v>
      </c>
      <c r="X454" s="51">
        <f>RANK(Table5[[#This Row],[zScore]],Table5[[#All],[zScore]])</f>
        <v>664</v>
      </c>
      <c r="Y454" s="50">
        <f>IFERROR(INDEX(DraftResults[[#All],[OVR]],MATCH(Table5[[#This Row],[PID]],DraftResults[[#All],[Player ID]],0)),"")</f>
        <v>450</v>
      </c>
      <c r="Z4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4" s="50">
        <f>IFERROR(INDEX(DraftResults[[#All],[Pick in Round]],MATCH(Table5[[#This Row],[PID]],DraftResults[[#All],[Player ID]],0)),"")</f>
        <v>22</v>
      </c>
      <c r="AB454" s="50" t="str">
        <f>IFERROR(INDEX(DraftResults[[#All],[Team Name]],MATCH(Table5[[#This Row],[PID]],DraftResults[[#All],[Player ID]],0)),"")</f>
        <v>Fargo Dinosaurs</v>
      </c>
      <c r="AC454" s="50">
        <f>IF(Table5[[#This Row],[Ovr]]="","",IF(Table5[[#This Row],[cmbList]]="","",Table5[[#This Row],[cmbList]]-Table5[[#This Row],[Ovr]]))</f>
        <v>546</v>
      </c>
      <c r="AD454" s="54" t="str">
        <f>IF(ISERROR(VLOOKUP($AB454&amp;"-"&amp;$E454&amp;" "&amp;F454,Bonuses!$B$1:$G$1006,4,FALSE)),"",INT(VLOOKUP($AB454&amp;"-"&amp;$E454&amp;" "&amp;$F454,Bonuses!$B$1:$G$1006,4,FALSE)))</f>
        <v/>
      </c>
      <c r="AE4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15.22 (450) - C Nick Richardson</v>
      </c>
    </row>
    <row r="455" spans="1:31" s="50" customFormat="1" x14ac:dyDescent="0.25">
      <c r="A455" s="68">
        <v>18355</v>
      </c>
      <c r="B455" s="69">
        <f>COUNTIF(Table5[PID],A455)</f>
        <v>1</v>
      </c>
      <c r="C455" s="69" t="str">
        <f>IF(COUNTIF(Table3[[#All],[PID]],A455)&gt;0,"P","B")</f>
        <v>P</v>
      </c>
      <c r="D455" s="59" t="str">
        <f>IF($C455="B",INDEX(Batters[[#All],[POS]],MATCH(Table5[[#This Row],[PID]],Batters[[#All],[PID]],0)),INDEX(Table3[[#All],[POS]],MATCH(Table5[[#This Row],[PID]],Table3[[#All],[PID]],0)))</f>
        <v>SP</v>
      </c>
      <c r="E455" s="52" t="str">
        <f>IF($C455="B",INDEX(Batters[[#All],[First]],MATCH(Table5[[#This Row],[PID]],Batters[[#All],[PID]],0)),INDEX(Table3[[#All],[First]],MATCH(Table5[[#This Row],[PID]],Table3[[#All],[PID]],0)))</f>
        <v>Declan</v>
      </c>
      <c r="F455" s="55" t="str">
        <f>IF($C455="B",INDEX(Batters[[#All],[Last]],MATCH(A455,Batters[[#All],[PID]],0)),INDEX(Table3[[#All],[Last]],MATCH(A455,Table3[[#All],[PID]],0)))</f>
        <v>Jamieson</v>
      </c>
      <c r="G455" s="56">
        <f>IF($C455="B",INDEX(Batters[[#All],[Age]],MATCH(Table5[[#This Row],[PID]],Batters[[#All],[PID]],0)),INDEX(Table3[[#All],[Age]],MATCH(Table5[[#This Row],[PID]],Table3[[#All],[PID]],0)))</f>
        <v>18</v>
      </c>
      <c r="H455" s="52" t="str">
        <f>IF($C455="B",INDEX(Batters[[#All],[B]],MATCH(Table5[[#This Row],[PID]],Batters[[#All],[PID]],0)),INDEX(Table3[[#All],[B]],MATCH(Table5[[#This Row],[PID]],Table3[[#All],[PID]],0)))</f>
        <v>R</v>
      </c>
      <c r="I455" s="52" t="str">
        <f>IF($C455="B",INDEX(Batters[[#All],[T]],MATCH(Table5[[#This Row],[PID]],Batters[[#All],[PID]],0)),INDEX(Table3[[#All],[T]],MATCH(Table5[[#This Row],[PID]],Table3[[#All],[PID]],0)))</f>
        <v>R</v>
      </c>
      <c r="J455" s="71" t="str">
        <f>IF($C455="B",INDEX(Batters[[#All],[WE]],MATCH(Table5[[#This Row],[PID]],Batters[[#All],[PID]],0)),INDEX(Table3[[#All],[WE]],MATCH(Table5[[#This Row],[PID]],Table3[[#All],[PID]],0)))</f>
        <v>Normal</v>
      </c>
      <c r="K455" s="52" t="str">
        <f>IF($C455="B",INDEX(Batters[[#All],[INT]],MATCH(Table5[[#This Row],[PID]],Batters[[#All],[PID]],0)),INDEX(Table3[[#All],[INT]],MATCH(Table5[[#This Row],[PID]],Table3[[#All],[PID]],0)))</f>
        <v>Low</v>
      </c>
      <c r="L455" s="60">
        <f>IF($C455="B",INDEX(Batters[[#All],[CON P]],MATCH(Table5[[#This Row],[PID]],Batters[[#All],[PID]],0)),INDEX(Table3[[#All],[STU P]],MATCH(Table5[[#This Row],[PID]],Table3[[#All],[PID]],0)))</f>
        <v>4</v>
      </c>
      <c r="M455" s="72">
        <f>IF($C455="B",INDEX(Batters[[#All],[GAP P]],MATCH(Table5[[#This Row],[PID]],Batters[[#All],[PID]],0)),INDEX(Table3[[#All],[MOV P]],MATCH(Table5[[#This Row],[PID]],Table3[[#All],[PID]],0)))</f>
        <v>4</v>
      </c>
      <c r="N455" s="72">
        <f>IF($C455="B",INDEX(Batters[[#All],[POW P]],MATCH(Table5[[#This Row],[PID]],Batters[[#All],[PID]],0)),INDEX(Table3[[#All],[CON P]],MATCH(Table5[[#This Row],[PID]],Table3[[#All],[PID]],0)))</f>
        <v>5</v>
      </c>
      <c r="O455" s="72" t="str">
        <f>IF($C455="B",INDEX(Batters[[#All],[EYE P]],MATCH(Table5[[#This Row],[PID]],Batters[[#All],[PID]],0)),INDEX(Table3[[#All],[VELO]],MATCH(Table5[[#This Row],[PID]],Table3[[#All],[PID]],0)))</f>
        <v>87-89 Mph</v>
      </c>
      <c r="P455" s="56">
        <f>IF($C455="B",INDEX(Batters[[#All],[K P]],MATCH(Table5[[#This Row],[PID]],Batters[[#All],[PID]],0)),INDEX(Table3[[#All],[STM]],MATCH(Table5[[#This Row],[PID]],Table3[[#All],[PID]],0)))</f>
        <v>9</v>
      </c>
      <c r="Q455" s="61">
        <f>IF($C455="B",INDEX(Batters[[#All],[Tot]],MATCH(Table5[[#This Row],[PID]],Batters[[#All],[PID]],0)),INDEX(Table3[[#All],[Tot]],MATCH(Table5[[#This Row],[PID]],Table3[[#All],[PID]],0)))</f>
        <v>54.020491604975348</v>
      </c>
      <c r="R455" s="52">
        <f>IF($C455="B",INDEX(Batters[[#All],[zScore]],MATCH(Table5[[#This Row],[PID]],Batters[[#All],[PID]],0)),INDEX(Table3[[#All],[zScore]],MATCH(Table5[[#This Row],[PID]],Table3[[#All],[PID]],0)))</f>
        <v>1.2074894737153008</v>
      </c>
      <c r="S455" s="78" t="str">
        <f>IF($C455="B",INDEX(Batters[[#All],[DEM]],MATCH(Table5[[#This Row],[PID]],Batters[[#All],[PID]],0)),INDEX(Table3[[#All],[DEM]],MATCH(Table5[[#This Row],[PID]],Table3[[#All],[PID]],0)))</f>
        <v>$240k</v>
      </c>
      <c r="T455" s="75">
        <f>IF($C455="B",INDEX(Batters[[#All],[Rnk]],MATCH(Table5[[#This Row],[PID]],Batters[[#All],[PID]],0)),INDEX(Table3[[#All],[Rnk]],MATCH(Table5[[#This Row],[PID]],Table3[[#All],[PID]],0)))</f>
        <v>113</v>
      </c>
      <c r="U455" s="68">
        <f>IF($C455="B",VLOOKUP($A455,Bat!$A$4:$BA$1621,47,FALSE),VLOOKUP($A455,Pit!$A$4:$BF$1557,56,FALSE))</f>
        <v>0</v>
      </c>
      <c r="V455" s="50">
        <f>IF($C455="B",VLOOKUP($A455,Bat!$A$4:$BA$1621,48,FALSE),VLOOKUP($A455,Pit!$A$4:$BF$1557,57,FALSE))</f>
        <v>0</v>
      </c>
      <c r="W455" s="69">
        <f>Table5[[#This Row],[posRnk]]+Table5[[#This Row],[zRnk]]+IF($W$3&lt;&gt;Table5[[#This Row],[Type]],50,0)</f>
        <v>344</v>
      </c>
      <c r="X455" s="73">
        <f>RANK(Table5[[#This Row],[zScore]],Table5[[#All],[zScore]])</f>
        <v>181</v>
      </c>
      <c r="Y455" s="69">
        <f>IFERROR(INDEX(DraftResults[[#All],[OVR]],MATCH(Table5[[#This Row],[PID]],DraftResults[[#All],[Player ID]],0)),"")</f>
        <v>451</v>
      </c>
      <c r="Z45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5" s="69">
        <f>IFERROR(INDEX(DraftResults[[#All],[Pick in Round]],MATCH(Table5[[#This Row],[PID]],DraftResults[[#All],[Player ID]],0)),"")</f>
        <v>23</v>
      </c>
      <c r="AB455" s="69" t="str">
        <f>IFERROR(INDEX(DraftResults[[#All],[Team Name]],MATCH(Table5[[#This Row],[PID]],DraftResults[[#All],[Player ID]],0)),"")</f>
        <v>Shin Seiki Evas</v>
      </c>
      <c r="AC455" s="69">
        <f>IF(Table5[[#This Row],[Ovr]]="","",IF(Table5[[#This Row],[cmbList]]="","",Table5[[#This Row],[cmbList]]-Table5[[#This Row],[Ovr]]))</f>
        <v>-107</v>
      </c>
      <c r="AD455" s="77" t="str">
        <f>IF(ISERROR(VLOOKUP($AB455&amp;"-"&amp;$E455&amp;" "&amp;F455,Bonuses!$B$1:$G$1006,4,FALSE)),"",INT(VLOOKUP($AB455&amp;"-"&amp;$E455&amp;" "&amp;$F455,Bonuses!$B$1:$G$1006,4,FALSE)))</f>
        <v/>
      </c>
      <c r="AE45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15.23 (451) - SP Declan Jamieson</v>
      </c>
    </row>
    <row r="456" spans="1:31" s="50" customFormat="1" x14ac:dyDescent="0.25">
      <c r="A456" s="68">
        <v>18388</v>
      </c>
      <c r="B456" s="69">
        <f>COUNTIF(Table5[PID],A456)</f>
        <v>1</v>
      </c>
      <c r="C456" s="69" t="str">
        <f>IF(COUNTIF(Table3[[#All],[PID]],A456)&gt;0,"P","B")</f>
        <v>P</v>
      </c>
      <c r="D456" s="59" t="str">
        <f>IF($C456="B",INDEX(Batters[[#All],[POS]],MATCH(Table5[[#This Row],[PID]],Batters[[#All],[PID]],0)),INDEX(Table3[[#All],[POS]],MATCH(Table5[[#This Row],[PID]],Table3[[#All],[PID]],0)))</f>
        <v>SP</v>
      </c>
      <c r="E456" s="52" t="str">
        <f>IF($C456="B",INDEX(Batters[[#All],[First]],MATCH(Table5[[#This Row],[PID]],Batters[[#All],[PID]],0)),INDEX(Table3[[#All],[First]],MATCH(Table5[[#This Row],[PID]],Table3[[#All],[PID]],0)))</f>
        <v>Peter</v>
      </c>
      <c r="F456" s="55" t="str">
        <f>IF($C456="B",INDEX(Batters[[#All],[Last]],MATCH(A456,Batters[[#All],[PID]],0)),INDEX(Table3[[#All],[Last]],MATCH(A456,Table3[[#All],[PID]],0)))</f>
        <v>Linwood</v>
      </c>
      <c r="G456" s="56">
        <f>IF($C456="B",INDEX(Batters[[#All],[Age]],MATCH(Table5[[#This Row],[PID]],Batters[[#All],[PID]],0)),INDEX(Table3[[#All],[Age]],MATCH(Table5[[#This Row],[PID]],Table3[[#All],[PID]],0)))</f>
        <v>18</v>
      </c>
      <c r="H456" s="52" t="str">
        <f>IF($C456="B",INDEX(Batters[[#All],[B]],MATCH(Table5[[#This Row],[PID]],Batters[[#All],[PID]],0)),INDEX(Table3[[#All],[B]],MATCH(Table5[[#This Row],[PID]],Table3[[#All],[PID]],0)))</f>
        <v>R</v>
      </c>
      <c r="I456" s="52" t="str">
        <f>IF($C456="B",INDEX(Batters[[#All],[T]],MATCH(Table5[[#This Row],[PID]],Batters[[#All],[PID]],0)),INDEX(Table3[[#All],[T]],MATCH(Table5[[#This Row],[PID]],Table3[[#All],[PID]],0)))</f>
        <v>R</v>
      </c>
      <c r="J456" s="71" t="str">
        <f>IF($C456="B",INDEX(Batters[[#All],[WE]],MATCH(Table5[[#This Row],[PID]],Batters[[#All],[PID]],0)),INDEX(Table3[[#All],[WE]],MATCH(Table5[[#This Row],[PID]],Table3[[#All],[PID]],0)))</f>
        <v>Normal</v>
      </c>
      <c r="K456" s="52" t="str">
        <f>IF($C456="B",INDEX(Batters[[#All],[INT]],MATCH(Table5[[#This Row],[PID]],Batters[[#All],[PID]],0)),INDEX(Table3[[#All],[INT]],MATCH(Table5[[#This Row],[PID]],Table3[[#All],[PID]],0)))</f>
        <v>Low</v>
      </c>
      <c r="L456" s="60">
        <f>IF($C456="B",INDEX(Batters[[#All],[CON P]],MATCH(Table5[[#This Row],[PID]],Batters[[#All],[PID]],0)),INDEX(Table3[[#All],[STU P]],MATCH(Table5[[#This Row],[PID]],Table3[[#All],[PID]],0)))</f>
        <v>5</v>
      </c>
      <c r="M456" s="72">
        <f>IF($C456="B",INDEX(Batters[[#All],[GAP P]],MATCH(Table5[[#This Row],[PID]],Batters[[#All],[PID]],0)),INDEX(Table3[[#All],[MOV P]],MATCH(Table5[[#This Row],[PID]],Table3[[#All],[PID]],0)))</f>
        <v>3</v>
      </c>
      <c r="N456" s="72">
        <f>IF($C456="B",INDEX(Batters[[#All],[POW P]],MATCH(Table5[[#This Row],[PID]],Batters[[#All],[PID]],0)),INDEX(Table3[[#All],[CON P]],MATCH(Table5[[#This Row],[PID]],Table3[[#All],[PID]],0)))</f>
        <v>4</v>
      </c>
      <c r="O456" s="72" t="str">
        <f>IF($C456="B",INDEX(Batters[[#All],[EYE P]],MATCH(Table5[[#This Row],[PID]],Batters[[#All],[PID]],0)),INDEX(Table3[[#All],[VELO]],MATCH(Table5[[#This Row],[PID]],Table3[[#All],[PID]],0)))</f>
        <v>91-93 Mph</v>
      </c>
      <c r="P456" s="56">
        <f>IF($C456="B",INDEX(Batters[[#All],[K P]],MATCH(Table5[[#This Row],[PID]],Batters[[#All],[PID]],0)),INDEX(Table3[[#All],[STM]],MATCH(Table5[[#This Row],[PID]],Table3[[#All],[PID]],0)))</f>
        <v>9</v>
      </c>
      <c r="Q456" s="61">
        <f>IF($C456="B",INDEX(Batters[[#All],[Tot]],MATCH(Table5[[#This Row],[PID]],Batters[[#All],[PID]],0)),INDEX(Table3[[#All],[Tot]],MATCH(Table5[[#This Row],[PID]],Table3[[#All],[PID]],0)))</f>
        <v>49.698210710377339</v>
      </c>
      <c r="R456" s="52">
        <f>IF($C456="B",INDEX(Batters[[#All],[zScore]],MATCH(Table5[[#This Row],[PID]],Batters[[#All],[PID]],0)),INDEX(Table3[[#All],[zScore]],MATCH(Table5[[#This Row],[PID]],Table3[[#All],[PID]],0)))</f>
        <v>0.91993473071334853</v>
      </c>
      <c r="S456" s="78" t="str">
        <f>IF($C456="B",INDEX(Batters[[#All],[DEM]],MATCH(Table5[[#This Row],[PID]],Batters[[#All],[PID]],0)),INDEX(Table3[[#All],[DEM]],MATCH(Table5[[#This Row],[PID]],Table3[[#All],[PID]],0)))</f>
        <v>$190k</v>
      </c>
      <c r="T456" s="75">
        <f>IF($C456="B",INDEX(Batters[[#All],[Rnk]],MATCH(Table5[[#This Row],[PID]],Batters[[#All],[PID]],0)),INDEX(Table3[[#All],[Rnk]],MATCH(Table5[[#This Row],[PID]],Table3[[#All],[PID]],0)))</f>
        <v>149</v>
      </c>
      <c r="U456" s="68">
        <f>IF($C456="B",VLOOKUP($A456,Bat!$A$4:$BA$1621,47,FALSE),VLOOKUP($A456,Pit!$A$4:$BF$1557,56,FALSE))</f>
        <v>0</v>
      </c>
      <c r="V456" s="50">
        <f>IF($C456="B",VLOOKUP($A456,Bat!$A$4:$BA$1621,48,FALSE),VLOOKUP($A456,Pit!$A$4:$BF$1557,57,FALSE))</f>
        <v>0</v>
      </c>
      <c r="W456" s="69">
        <f>Table5[[#This Row],[posRnk]]+Table5[[#This Row],[zRnk]]+IF($W$3&lt;&gt;Table5[[#This Row],[Type]],50,0)</f>
        <v>446</v>
      </c>
      <c r="X456" s="73">
        <f>RANK(Table5[[#This Row],[zScore]],Table5[[#All],[zScore]])</f>
        <v>247</v>
      </c>
      <c r="Y456" s="69">
        <f>IFERROR(INDEX(DraftResults[[#All],[OVR]],MATCH(Table5[[#This Row],[PID]],DraftResults[[#All],[Player ID]],0)),"")</f>
        <v>452</v>
      </c>
      <c r="Z4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6" s="69">
        <f>IFERROR(INDEX(DraftResults[[#All],[Pick in Round]],MATCH(Table5[[#This Row],[PID]],DraftResults[[#All],[Player ID]],0)),"")</f>
        <v>24</v>
      </c>
      <c r="AB456" s="69" t="str">
        <f>IFERROR(INDEX(DraftResults[[#All],[Team Name]],MATCH(Table5[[#This Row],[PID]],DraftResults[[#All],[Player ID]],0)),"")</f>
        <v>Aurora Borealis</v>
      </c>
      <c r="AC456" s="69">
        <f>IF(Table5[[#This Row],[Ovr]]="","",IF(Table5[[#This Row],[cmbList]]="","",Table5[[#This Row],[cmbList]]-Table5[[#This Row],[Ovr]]))</f>
        <v>-6</v>
      </c>
      <c r="AD456" s="77" t="str">
        <f>IF(ISERROR(VLOOKUP($AB456&amp;"-"&amp;$E456&amp;" "&amp;F456,Bonuses!$B$1:$G$1006,4,FALSE)),"",INT(VLOOKUP($AB456&amp;"-"&amp;$E456&amp;" "&amp;$F456,Bonuses!$B$1:$G$1006,4,FALSE)))</f>
        <v/>
      </c>
      <c r="AE4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15.24 (452) - SP Peter Linwood</v>
      </c>
    </row>
    <row r="457" spans="1:31" s="50" customFormat="1" x14ac:dyDescent="0.25">
      <c r="A457" s="68">
        <v>18418</v>
      </c>
      <c r="B457" s="69">
        <f>COUNTIF(Table5[PID],A457)</f>
        <v>1</v>
      </c>
      <c r="C457" s="69" t="str">
        <f>IF(COUNTIF(Table3[[#All],[PID]],A457)&gt;0,"P","B")</f>
        <v>P</v>
      </c>
      <c r="D457" s="59" t="str">
        <f>IF($C457="B",INDEX(Batters[[#All],[POS]],MATCH(Table5[[#This Row],[PID]],Batters[[#All],[PID]],0)),INDEX(Table3[[#All],[POS]],MATCH(Table5[[#This Row],[PID]],Table3[[#All],[PID]],0)))</f>
        <v>SP</v>
      </c>
      <c r="E457" s="52" t="str">
        <f>IF($C457="B",INDEX(Batters[[#All],[First]],MATCH(Table5[[#This Row],[PID]],Batters[[#All],[PID]],0)),INDEX(Table3[[#All],[First]],MATCH(Table5[[#This Row],[PID]],Table3[[#All],[PID]],0)))</f>
        <v>Terao</v>
      </c>
      <c r="F457" s="55" t="str">
        <f>IF($C457="B",INDEX(Batters[[#All],[Last]],MATCH(A457,Batters[[#All],[PID]],0)),INDEX(Table3[[#All],[Last]],MATCH(A457,Table3[[#All],[PID]],0)))</f>
        <v>Ito</v>
      </c>
      <c r="G457" s="56">
        <f>IF($C457="B",INDEX(Batters[[#All],[Age]],MATCH(Table5[[#This Row],[PID]],Batters[[#All],[PID]],0)),INDEX(Table3[[#All],[Age]],MATCH(Table5[[#This Row],[PID]],Table3[[#All],[PID]],0)))</f>
        <v>18</v>
      </c>
      <c r="H457" s="52" t="str">
        <f>IF($C457="B",INDEX(Batters[[#All],[B]],MATCH(Table5[[#This Row],[PID]],Batters[[#All],[PID]],0)),INDEX(Table3[[#All],[B]],MATCH(Table5[[#This Row],[PID]],Table3[[#All],[PID]],0)))</f>
        <v>S</v>
      </c>
      <c r="I457" s="52" t="str">
        <f>IF($C457="B",INDEX(Batters[[#All],[T]],MATCH(Table5[[#This Row],[PID]],Batters[[#All],[PID]],0)),INDEX(Table3[[#All],[T]],MATCH(Table5[[#This Row],[PID]],Table3[[#All],[PID]],0)))</f>
        <v>R</v>
      </c>
      <c r="J457" s="71" t="str">
        <f>IF($C457="B",INDEX(Batters[[#All],[WE]],MATCH(Table5[[#This Row],[PID]],Batters[[#All],[PID]],0)),INDEX(Table3[[#All],[WE]],MATCH(Table5[[#This Row],[PID]],Table3[[#All],[PID]],0)))</f>
        <v>Normal</v>
      </c>
      <c r="K457" s="52" t="str">
        <f>IF($C457="B",INDEX(Batters[[#All],[INT]],MATCH(Table5[[#This Row],[PID]],Batters[[#All],[PID]],0)),INDEX(Table3[[#All],[INT]],MATCH(Table5[[#This Row],[PID]],Table3[[#All],[PID]],0)))</f>
        <v>Normal</v>
      </c>
      <c r="L457" s="60">
        <f>IF($C457="B",INDEX(Batters[[#All],[CON P]],MATCH(Table5[[#This Row],[PID]],Batters[[#All],[PID]],0)),INDEX(Table3[[#All],[STU P]],MATCH(Table5[[#This Row],[PID]],Table3[[#All],[PID]],0)))</f>
        <v>5</v>
      </c>
      <c r="M457" s="72">
        <f>IF($C457="B",INDEX(Batters[[#All],[GAP P]],MATCH(Table5[[#This Row],[PID]],Batters[[#All],[PID]],0)),INDEX(Table3[[#All],[MOV P]],MATCH(Table5[[#This Row],[PID]],Table3[[#All],[PID]],0)))</f>
        <v>5</v>
      </c>
      <c r="N457" s="72">
        <f>IF($C457="B",INDEX(Batters[[#All],[POW P]],MATCH(Table5[[#This Row],[PID]],Batters[[#All],[PID]],0)),INDEX(Table3[[#All],[CON P]],MATCH(Table5[[#This Row],[PID]],Table3[[#All],[PID]],0)))</f>
        <v>2</v>
      </c>
      <c r="O457" s="72" t="str">
        <f>IF($C457="B",INDEX(Batters[[#All],[EYE P]],MATCH(Table5[[#This Row],[PID]],Batters[[#All],[PID]],0)),INDEX(Table3[[#All],[VELO]],MATCH(Table5[[#This Row],[PID]],Table3[[#All],[PID]],0)))</f>
        <v>89-91 Mph</v>
      </c>
      <c r="P457" s="56">
        <f>IF($C457="B",INDEX(Batters[[#All],[K P]],MATCH(Table5[[#This Row],[PID]],Batters[[#All],[PID]],0)),INDEX(Table3[[#All],[STM]],MATCH(Table5[[#This Row],[PID]],Table3[[#All],[PID]],0)))</f>
        <v>6</v>
      </c>
      <c r="Q457" s="61">
        <f>IF($C457="B",INDEX(Batters[[#All],[Tot]],MATCH(Table5[[#This Row],[PID]],Batters[[#All],[PID]],0)),INDEX(Table3[[#All],[Tot]],MATCH(Table5[[#This Row],[PID]],Table3[[#All],[PID]],0)))</f>
        <v>46.799372988619922</v>
      </c>
      <c r="R457" s="52">
        <f>IF($C457="B",INDEX(Batters[[#All],[zScore]],MATCH(Table5[[#This Row],[PID]],Batters[[#All],[PID]],0)),INDEX(Table3[[#All],[zScore]],MATCH(Table5[[#This Row],[PID]],Table3[[#All],[PID]],0)))</f>
        <v>0.61619572747884377</v>
      </c>
      <c r="S457" s="78" t="str">
        <f>IF($C457="B",INDEX(Batters[[#All],[DEM]],MATCH(Table5[[#This Row],[PID]],Batters[[#All],[PID]],0)),INDEX(Table3[[#All],[DEM]],MATCH(Table5[[#This Row],[PID]],Table3[[#All],[PID]],0)))</f>
        <v>$70k</v>
      </c>
      <c r="T457" s="75">
        <f>IF($C457="B",INDEX(Batters[[#All],[Rnk]],MATCH(Table5[[#This Row],[PID]],Batters[[#All],[PID]],0)),INDEX(Table3[[#All],[Rnk]],MATCH(Table5[[#This Row],[PID]],Table3[[#All],[PID]],0)))</f>
        <v>197</v>
      </c>
      <c r="U457" s="68">
        <f>IF($C457="B",VLOOKUP($A457,Bat!$A$4:$BA$1621,47,FALSE),VLOOKUP($A457,Pit!$A$4:$BF$1557,56,FALSE))</f>
        <v>0</v>
      </c>
      <c r="V457" s="50">
        <f>IF($C457="B",VLOOKUP($A457,Bat!$A$4:$BA$1621,48,FALSE),VLOOKUP($A457,Pit!$A$4:$BF$1557,57,FALSE))</f>
        <v>0</v>
      </c>
      <c r="W457" s="69">
        <f>Table5[[#This Row],[posRnk]]+Table5[[#This Row],[zRnk]]+IF($W$3&lt;&gt;Table5[[#This Row],[Type]],50,0)</f>
        <v>577</v>
      </c>
      <c r="X457" s="73">
        <f>RANK(Table5[[#This Row],[zScore]],Table5[[#All],[zScore]])</f>
        <v>330</v>
      </c>
      <c r="Y457" s="69">
        <f>IFERROR(INDEX(DraftResults[[#All],[OVR]],MATCH(Table5[[#This Row],[PID]],DraftResults[[#All],[Player ID]],0)),"")</f>
        <v>453</v>
      </c>
      <c r="Z45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7" s="69">
        <f>IFERROR(INDEX(DraftResults[[#All],[Pick in Round]],MATCH(Table5[[#This Row],[PID]],DraftResults[[#All],[Player ID]],0)),"")</f>
        <v>25</v>
      </c>
      <c r="AB457" s="69" t="str">
        <f>IFERROR(INDEX(DraftResults[[#All],[Team Name]],MATCH(Table5[[#This Row],[PID]],DraftResults[[#All],[Player ID]],0)),"")</f>
        <v>Toyama Wind Dancers</v>
      </c>
      <c r="AC457" s="69">
        <f>IF(Table5[[#This Row],[Ovr]]="","",IF(Table5[[#This Row],[cmbList]]="","",Table5[[#This Row],[cmbList]]-Table5[[#This Row],[Ovr]]))</f>
        <v>124</v>
      </c>
      <c r="AD457" s="77" t="str">
        <f>IF(ISERROR(VLOOKUP($AB457&amp;"-"&amp;$E457&amp;" "&amp;F457,Bonuses!$B$1:$G$1006,4,FALSE)),"",INT(VLOOKUP($AB457&amp;"-"&amp;$E457&amp;" "&amp;$F457,Bonuses!$B$1:$G$1006,4,FALSE)))</f>
        <v/>
      </c>
      <c r="AE45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15.25 (453) - SP Terao Ito</v>
      </c>
    </row>
    <row r="458" spans="1:31" s="50" customFormat="1" x14ac:dyDescent="0.25">
      <c r="A458" s="50">
        <v>17767</v>
      </c>
      <c r="B458" s="55">
        <f>COUNTIF(Table5[PID],A458)</f>
        <v>1</v>
      </c>
      <c r="C458" s="55" t="str">
        <f>IF(COUNTIF(Table3[[#All],[PID]],A458)&gt;0,"P","B")</f>
        <v>B</v>
      </c>
      <c r="D458" s="59" t="str">
        <f>IF($C458="B",INDEX(Batters[[#All],[POS]],MATCH(Table5[[#This Row],[PID]],Batters[[#All],[PID]],0)),INDEX(Table3[[#All],[POS]],MATCH(Table5[[#This Row],[PID]],Table3[[#All],[PID]],0)))</f>
        <v>2B</v>
      </c>
      <c r="E458" s="52" t="str">
        <f>IF($C458="B",INDEX(Batters[[#All],[First]],MATCH(Table5[[#This Row],[PID]],Batters[[#All],[PID]],0)),INDEX(Table3[[#All],[First]],MATCH(Table5[[#This Row],[PID]],Table3[[#All],[PID]],0)))</f>
        <v>George</v>
      </c>
      <c r="F458" s="50" t="str">
        <f>IF($C458="B",INDEX(Batters[[#All],[Last]],MATCH(A458,Batters[[#All],[PID]],0)),INDEX(Table3[[#All],[Last]],MATCH(A458,Table3[[#All],[PID]],0)))</f>
        <v>Frearson</v>
      </c>
      <c r="G458" s="56">
        <f>IF($C458="B",INDEX(Batters[[#All],[Age]],MATCH(Table5[[#This Row],[PID]],Batters[[#All],[PID]],0)),INDEX(Table3[[#All],[Age]],MATCH(Table5[[#This Row],[PID]],Table3[[#All],[PID]],0)))</f>
        <v>21</v>
      </c>
      <c r="H458" s="52" t="str">
        <f>IF($C458="B",INDEX(Batters[[#All],[B]],MATCH(Table5[[#This Row],[PID]],Batters[[#All],[PID]],0)),INDEX(Table3[[#All],[B]],MATCH(Table5[[#This Row],[PID]],Table3[[#All],[PID]],0)))</f>
        <v>R</v>
      </c>
      <c r="I458" s="52" t="str">
        <f>IF($C458="B",INDEX(Batters[[#All],[T]],MATCH(Table5[[#This Row],[PID]],Batters[[#All],[PID]],0)),INDEX(Table3[[#All],[T]],MATCH(Table5[[#This Row],[PID]],Table3[[#All],[PID]],0)))</f>
        <v>R</v>
      </c>
      <c r="J458" s="52" t="str">
        <f>IF($C458="B",INDEX(Batters[[#All],[WE]],MATCH(Table5[[#This Row],[PID]],Batters[[#All],[PID]],0)),INDEX(Table3[[#All],[WE]],MATCH(Table5[[#This Row],[PID]],Table3[[#All],[PID]],0)))</f>
        <v>Normal</v>
      </c>
      <c r="K458" s="52" t="str">
        <f>IF($C458="B",INDEX(Batters[[#All],[INT]],MATCH(Table5[[#This Row],[PID]],Batters[[#All],[PID]],0)),INDEX(Table3[[#All],[INT]],MATCH(Table5[[#This Row],[PID]],Table3[[#All],[PID]],0)))</f>
        <v>Normal</v>
      </c>
      <c r="L458" s="60">
        <f>IF($C458="B",INDEX(Batters[[#All],[CON P]],MATCH(Table5[[#This Row],[PID]],Batters[[#All],[PID]],0)),INDEX(Table3[[#All],[STU P]],MATCH(Table5[[#This Row],[PID]],Table3[[#All],[PID]],0)))</f>
        <v>4</v>
      </c>
      <c r="M458" s="56">
        <f>IF($C458="B",INDEX(Batters[[#All],[GAP P]],MATCH(Table5[[#This Row],[PID]],Batters[[#All],[PID]],0)),INDEX(Table3[[#All],[MOV P]],MATCH(Table5[[#This Row],[PID]],Table3[[#All],[PID]],0)))</f>
        <v>4</v>
      </c>
      <c r="N458" s="56">
        <f>IF($C458="B",INDEX(Batters[[#All],[POW P]],MATCH(Table5[[#This Row],[PID]],Batters[[#All],[PID]],0)),INDEX(Table3[[#All],[CON P]],MATCH(Table5[[#This Row],[PID]],Table3[[#All],[PID]],0)))</f>
        <v>3</v>
      </c>
      <c r="O458" s="56">
        <f>IF($C458="B",INDEX(Batters[[#All],[EYE P]],MATCH(Table5[[#This Row],[PID]],Batters[[#All],[PID]],0)),INDEX(Table3[[#All],[VELO]],MATCH(Table5[[#This Row],[PID]],Table3[[#All],[PID]],0)))</f>
        <v>4</v>
      </c>
      <c r="P458" s="56">
        <f>IF($C458="B",INDEX(Batters[[#All],[K P]],MATCH(Table5[[#This Row],[PID]],Batters[[#All],[PID]],0)),INDEX(Table3[[#All],[STM]],MATCH(Table5[[#This Row],[PID]],Table3[[#All],[PID]],0)))</f>
        <v>5</v>
      </c>
      <c r="Q458" s="61">
        <f>IF($C458="B",INDEX(Batters[[#All],[Tot]],MATCH(Table5[[#This Row],[PID]],Batters[[#All],[PID]],0)),INDEX(Table3[[#All],[Tot]],MATCH(Table5[[#This Row],[PID]],Table3[[#All],[PID]],0)))</f>
        <v>41.042267490685489</v>
      </c>
      <c r="R458" s="52">
        <f>IF($C458="B",INDEX(Batters[[#All],[zScore]],MATCH(Table5[[#This Row],[PID]],Batters[[#All],[PID]],0)),INDEX(Table3[[#All],[zScore]],MATCH(Table5[[#This Row],[PID]],Table3[[#All],[PID]],0)))</f>
        <v>-0.68500121784733625</v>
      </c>
      <c r="S458" s="58" t="str">
        <f>IF($C458="B",INDEX(Batters[[#All],[DEM]],MATCH(Table5[[#This Row],[PID]],Batters[[#All],[PID]],0)),INDEX(Table3[[#All],[DEM]],MATCH(Table5[[#This Row],[PID]],Table3[[#All],[PID]],0)))</f>
        <v>-</v>
      </c>
      <c r="T458" s="62">
        <f>IF($C458="B",INDEX(Batters[[#All],[Rnk]],MATCH(Table5[[#This Row],[PID]],Batters[[#All],[PID]],0)),INDEX(Table3[[#All],[Rnk]],MATCH(Table5[[#This Row],[PID]],Table3[[#All],[PID]],0)))</f>
        <v>378</v>
      </c>
      <c r="U458" s="68">
        <f>IF($C458="B",VLOOKUP($A458,Bat!$A$4:$BA$1621,47,FALSE),VLOOKUP($A458,Pit!$A$4:$BF$1557,56,FALSE))</f>
        <v>0</v>
      </c>
      <c r="V458" s="50">
        <f>IF($C458="B",VLOOKUP($A458,Bat!$A$4:$BA$1621,48,FALSE),VLOOKUP($A458,Pit!$A$4:$BF$1557,57,FALSE))</f>
        <v>0</v>
      </c>
      <c r="W458" s="50">
        <f>Table5[[#This Row],[posRnk]]+Table5[[#This Row],[zRnk]]+IF($W$3&lt;&gt;Table5[[#This Row],[Type]],50,0)</f>
        <v>1402</v>
      </c>
      <c r="X458" s="51">
        <f>RANK(Table5[[#This Row],[zScore]],Table5[[#All],[zScore]])</f>
        <v>974</v>
      </c>
      <c r="Y458" s="50">
        <f>IFERROR(INDEX(DraftResults[[#All],[OVR]],MATCH(Table5[[#This Row],[PID]],DraftResults[[#All],[Player ID]],0)),"")</f>
        <v>454</v>
      </c>
      <c r="Z4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8" s="50">
        <f>IFERROR(INDEX(DraftResults[[#All],[Pick in Round]],MATCH(Table5[[#This Row],[PID]],DraftResults[[#All],[Player ID]],0)),"")</f>
        <v>26</v>
      </c>
      <c r="AB458" s="50" t="str">
        <f>IFERROR(INDEX(DraftResults[[#All],[Team Name]],MATCH(Table5[[#This Row],[PID]],DraftResults[[#All],[Player ID]],0)),"")</f>
        <v>Yuma Arroyos</v>
      </c>
      <c r="AC458" s="50">
        <f>IF(Table5[[#This Row],[Ovr]]="","",IF(Table5[[#This Row],[cmbList]]="","",Table5[[#This Row],[cmbList]]-Table5[[#This Row],[Ovr]]))</f>
        <v>948</v>
      </c>
      <c r="AD458" s="54" t="str">
        <f>IF(ISERROR(VLOOKUP($AB458&amp;"-"&amp;$E458&amp;" "&amp;F458,Bonuses!$B$1:$G$1006,4,FALSE)),"",INT(VLOOKUP($AB458&amp;"-"&amp;$E458&amp;" "&amp;$F458,Bonuses!$B$1:$G$1006,4,FALSE)))</f>
        <v/>
      </c>
      <c r="AE4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15.26 (454) - 2B George Frearson</v>
      </c>
    </row>
    <row r="459" spans="1:31" s="50" customFormat="1" x14ac:dyDescent="0.25">
      <c r="A459" s="50">
        <v>20669</v>
      </c>
      <c r="B459" s="50">
        <f>COUNTIF(Table5[PID],A459)</f>
        <v>1</v>
      </c>
      <c r="C459" s="50" t="str">
        <f>IF(COUNTIF(Table3[[#All],[PID]],A459)&gt;0,"P","B")</f>
        <v>B</v>
      </c>
      <c r="D459" s="59" t="str">
        <f>IF($C459="B",INDEX(Batters[[#All],[POS]],MATCH(Table5[[#This Row],[PID]],Batters[[#All],[PID]],0)),INDEX(Table3[[#All],[POS]],MATCH(Table5[[#This Row],[PID]],Table3[[#All],[PID]],0)))</f>
        <v>3B</v>
      </c>
      <c r="E459" s="52" t="str">
        <f>IF($C459="B",INDEX(Batters[[#All],[First]],MATCH(Table5[[#This Row],[PID]],Batters[[#All],[PID]],0)),INDEX(Table3[[#All],[First]],MATCH(Table5[[#This Row],[PID]],Table3[[#All],[PID]],0)))</f>
        <v>Yeong-min</v>
      </c>
      <c r="F459" s="50" t="str">
        <f>IF($C459="B",INDEX(Batters[[#All],[Last]],MATCH(A459,Batters[[#All],[PID]],0)),INDEX(Table3[[#All],[Last]],MATCH(A459,Table3[[#All],[PID]],0)))</f>
        <v>Yu</v>
      </c>
      <c r="G459" s="56">
        <f>IF($C459="B",INDEX(Batters[[#All],[Age]],MATCH(Table5[[#This Row],[PID]],Batters[[#All],[PID]],0)),INDEX(Table3[[#All],[Age]],MATCH(Table5[[#This Row],[PID]],Table3[[#All],[PID]],0)))</f>
        <v>18</v>
      </c>
      <c r="H459" s="52" t="str">
        <f>IF($C459="B",INDEX(Batters[[#All],[B]],MATCH(Table5[[#This Row],[PID]],Batters[[#All],[PID]],0)),INDEX(Table3[[#All],[B]],MATCH(Table5[[#This Row],[PID]],Table3[[#All],[PID]],0)))</f>
        <v>R</v>
      </c>
      <c r="I459" s="52" t="str">
        <f>IF($C459="B",INDEX(Batters[[#All],[T]],MATCH(Table5[[#This Row],[PID]],Batters[[#All],[PID]],0)),INDEX(Table3[[#All],[T]],MATCH(Table5[[#This Row],[PID]],Table3[[#All],[PID]],0)))</f>
        <v>R</v>
      </c>
      <c r="J459" s="52" t="str">
        <f>IF($C459="B",INDEX(Batters[[#All],[WE]],MATCH(Table5[[#This Row],[PID]],Batters[[#All],[PID]],0)),INDEX(Table3[[#All],[WE]],MATCH(Table5[[#This Row],[PID]],Table3[[#All],[PID]],0)))</f>
        <v>Low</v>
      </c>
      <c r="K459" s="52" t="str">
        <f>IF($C459="B",INDEX(Batters[[#All],[INT]],MATCH(Table5[[#This Row],[PID]],Batters[[#All],[PID]],0)),INDEX(Table3[[#All],[INT]],MATCH(Table5[[#This Row],[PID]],Table3[[#All],[PID]],0)))</f>
        <v>High</v>
      </c>
      <c r="L459" s="60">
        <f>IF($C459="B",INDEX(Batters[[#All],[CON P]],MATCH(Table5[[#This Row],[PID]],Batters[[#All],[PID]],0)),INDEX(Table3[[#All],[STU P]],MATCH(Table5[[#This Row],[PID]],Table3[[#All],[PID]],0)))</f>
        <v>3</v>
      </c>
      <c r="M459" s="56">
        <f>IF($C459="B",INDEX(Batters[[#All],[GAP P]],MATCH(Table5[[#This Row],[PID]],Batters[[#All],[PID]],0)),INDEX(Table3[[#All],[MOV P]],MATCH(Table5[[#This Row],[PID]],Table3[[#All],[PID]],0)))</f>
        <v>6</v>
      </c>
      <c r="N459" s="56">
        <f>IF($C459="B",INDEX(Batters[[#All],[POW P]],MATCH(Table5[[#This Row],[PID]],Batters[[#All],[PID]],0)),INDEX(Table3[[#All],[CON P]],MATCH(Table5[[#This Row],[PID]],Table3[[#All],[PID]],0)))</f>
        <v>6</v>
      </c>
      <c r="O459" s="56">
        <f>IF($C459="B",INDEX(Batters[[#All],[EYE P]],MATCH(Table5[[#This Row],[PID]],Batters[[#All],[PID]],0)),INDEX(Table3[[#All],[VELO]],MATCH(Table5[[#This Row],[PID]],Table3[[#All],[PID]],0)))</f>
        <v>7</v>
      </c>
      <c r="P459" s="56">
        <f>IF($C459="B",INDEX(Batters[[#All],[K P]],MATCH(Table5[[#This Row],[PID]],Batters[[#All],[PID]],0)),INDEX(Table3[[#All],[STM]],MATCH(Table5[[#This Row],[PID]],Table3[[#All],[PID]],0)))</f>
        <v>3</v>
      </c>
      <c r="Q459" s="61">
        <f>IF($C459="B",INDEX(Batters[[#All],[Tot]],MATCH(Table5[[#This Row],[PID]],Batters[[#All],[PID]],0)),INDEX(Table3[[#All],[Tot]],MATCH(Table5[[#This Row],[PID]],Table3[[#All],[PID]],0)))</f>
        <v>48.046390838499974</v>
      </c>
      <c r="R459" s="52">
        <f>IF($C459="B",INDEX(Batters[[#All],[zScore]],MATCH(Table5[[#This Row],[PID]],Batters[[#All],[PID]],0)),INDEX(Table3[[#All],[zScore]],MATCH(Table5[[#This Row],[PID]],Table3[[#All],[PID]],0)))</f>
        <v>0.86786027184314596</v>
      </c>
      <c r="S459" s="58" t="str">
        <f>IF($C459="B",INDEX(Batters[[#All],[DEM]],MATCH(Table5[[#This Row],[PID]],Batters[[#All],[PID]],0)),INDEX(Table3[[#All],[DEM]],MATCH(Table5[[#This Row],[PID]],Table3[[#All],[PID]],0)))</f>
        <v>$65k</v>
      </c>
      <c r="T459" s="62">
        <f>IF($C459="B",INDEX(Batters[[#All],[Rnk]],MATCH(Table5[[#This Row],[PID]],Batters[[#All],[PID]],0)),INDEX(Table3[[#All],[Rnk]],MATCH(Table5[[#This Row],[PID]],Table3[[#All],[PID]],0)))</f>
        <v>104</v>
      </c>
      <c r="U459" s="68">
        <f>IF($C459="B",VLOOKUP($A459,Bat!$A$4:$BA$1621,47,FALSE),VLOOKUP($A459,Pit!$A$4:$BF$1557,56,FALSE))</f>
        <v>0</v>
      </c>
      <c r="V459" s="50">
        <f>IF($C459="B",VLOOKUP($A459,Bat!$A$4:$BA$1621,48,FALSE),VLOOKUP($A459,Pit!$A$4:$BF$1557,57,FALSE))</f>
        <v>0</v>
      </c>
      <c r="W459" s="50">
        <f>Table5[[#This Row],[posRnk]]+Table5[[#This Row],[zRnk]]+IF($W$3&lt;&gt;Table5[[#This Row],[Type]],50,0)</f>
        <v>418</v>
      </c>
      <c r="X459" s="51">
        <f>RANK(Table5[[#This Row],[zScore]],Table5[[#All],[zScore]])</f>
        <v>264</v>
      </c>
      <c r="Y459" s="50">
        <f>IFERROR(INDEX(DraftResults[[#All],[OVR]],MATCH(Table5[[#This Row],[PID]],DraftResults[[#All],[Player ID]],0)),"")</f>
        <v>455</v>
      </c>
      <c r="Z4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59" s="50">
        <f>IFERROR(INDEX(DraftResults[[#All],[Pick in Round]],MATCH(Table5[[#This Row],[PID]],DraftResults[[#All],[Player ID]],0)),"")</f>
        <v>27</v>
      </c>
      <c r="AB459" s="50" t="str">
        <f>IFERROR(INDEX(DraftResults[[#All],[Team Name]],MATCH(Table5[[#This Row],[PID]],DraftResults[[#All],[Player ID]],0)),"")</f>
        <v>Neo-Tokyo Akira</v>
      </c>
      <c r="AC459" s="50">
        <f>IF(Table5[[#This Row],[Ovr]]="","",IF(Table5[[#This Row],[cmbList]]="","",Table5[[#This Row],[cmbList]]-Table5[[#This Row],[Ovr]]))</f>
        <v>-37</v>
      </c>
      <c r="AD459" s="54" t="str">
        <f>IF(ISERROR(VLOOKUP($AB459&amp;"-"&amp;$E459&amp;" "&amp;F459,Bonuses!$B$1:$G$1006,4,FALSE)),"",INT(VLOOKUP($AB459&amp;"-"&amp;$E459&amp;" "&amp;$F459,Bonuses!$B$1:$G$1006,4,FALSE)))</f>
        <v/>
      </c>
      <c r="AE4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15.27 (455) - 3B Yeong-min Yu</v>
      </c>
    </row>
    <row r="460" spans="1:31" s="50" customFormat="1" x14ac:dyDescent="0.25">
      <c r="A460" s="68">
        <v>18443</v>
      </c>
      <c r="B460" s="69">
        <f>COUNTIF(Table5[PID],A460)</f>
        <v>1</v>
      </c>
      <c r="C460" s="69" t="str">
        <f>IF(COUNTIF(Table3[[#All],[PID]],A460)&gt;0,"P","B")</f>
        <v>P</v>
      </c>
      <c r="D460" s="59" t="str">
        <f>IF($C460="B",INDEX(Batters[[#All],[POS]],MATCH(Table5[[#This Row],[PID]],Batters[[#All],[PID]],0)),INDEX(Table3[[#All],[POS]],MATCH(Table5[[#This Row],[PID]],Table3[[#All],[PID]],0)))</f>
        <v>SP</v>
      </c>
      <c r="E460" s="52" t="str">
        <f>IF($C460="B",INDEX(Batters[[#All],[First]],MATCH(Table5[[#This Row],[PID]],Batters[[#All],[PID]],0)),INDEX(Table3[[#All],[First]],MATCH(Table5[[#This Row],[PID]],Table3[[#All],[PID]],0)))</f>
        <v>Bjorn</v>
      </c>
      <c r="F460" s="55" t="str">
        <f>IF($C460="B",INDEX(Batters[[#All],[Last]],MATCH(A460,Batters[[#All],[PID]],0)),INDEX(Table3[[#All],[Last]],MATCH(A460,Table3[[#All],[PID]],0)))</f>
        <v>Hak</v>
      </c>
      <c r="G460" s="56">
        <f>IF($C460="B",INDEX(Batters[[#All],[Age]],MATCH(Table5[[#This Row],[PID]],Batters[[#All],[PID]],0)),INDEX(Table3[[#All],[Age]],MATCH(Table5[[#This Row],[PID]],Table3[[#All],[PID]],0)))</f>
        <v>18</v>
      </c>
      <c r="H460" s="52" t="str">
        <f>IF($C460="B",INDEX(Batters[[#All],[B]],MATCH(Table5[[#This Row],[PID]],Batters[[#All],[PID]],0)),INDEX(Table3[[#All],[B]],MATCH(Table5[[#This Row],[PID]],Table3[[#All],[PID]],0)))</f>
        <v>R</v>
      </c>
      <c r="I460" s="52" t="str">
        <f>IF($C460="B",INDEX(Batters[[#All],[T]],MATCH(Table5[[#This Row],[PID]],Batters[[#All],[PID]],0)),INDEX(Table3[[#All],[T]],MATCH(Table5[[#This Row],[PID]],Table3[[#All],[PID]],0)))</f>
        <v>R</v>
      </c>
      <c r="J460" s="71" t="str">
        <f>IF($C460="B",INDEX(Batters[[#All],[WE]],MATCH(Table5[[#This Row],[PID]],Batters[[#All],[PID]],0)),INDEX(Table3[[#All],[WE]],MATCH(Table5[[#This Row],[PID]],Table3[[#All],[PID]],0)))</f>
        <v>Normal</v>
      </c>
      <c r="K460" s="52" t="str">
        <f>IF($C460="B",INDEX(Batters[[#All],[INT]],MATCH(Table5[[#This Row],[PID]],Batters[[#All],[PID]],0)),INDEX(Table3[[#All],[INT]],MATCH(Table5[[#This Row],[PID]],Table3[[#All],[PID]],0)))</f>
        <v>Normal</v>
      </c>
      <c r="L460" s="60">
        <f>IF($C460="B",INDEX(Batters[[#All],[CON P]],MATCH(Table5[[#This Row],[PID]],Batters[[#All],[PID]],0)),INDEX(Table3[[#All],[STU P]],MATCH(Table5[[#This Row],[PID]],Table3[[#All],[PID]],0)))</f>
        <v>5</v>
      </c>
      <c r="M460" s="72">
        <f>IF($C460="B",INDEX(Batters[[#All],[GAP P]],MATCH(Table5[[#This Row],[PID]],Batters[[#All],[PID]],0)),INDEX(Table3[[#All],[MOV P]],MATCH(Table5[[#This Row],[PID]],Table3[[#All],[PID]],0)))</f>
        <v>4</v>
      </c>
      <c r="N460" s="72">
        <f>IF($C460="B",INDEX(Batters[[#All],[POW P]],MATCH(Table5[[#This Row],[PID]],Batters[[#All],[PID]],0)),INDEX(Table3[[#All],[CON P]],MATCH(Table5[[#This Row],[PID]],Table3[[#All],[PID]],0)))</f>
        <v>3</v>
      </c>
      <c r="O460" s="72" t="str">
        <f>IF($C460="B",INDEX(Batters[[#All],[EYE P]],MATCH(Table5[[#This Row],[PID]],Batters[[#All],[PID]],0)),INDEX(Table3[[#All],[VELO]],MATCH(Table5[[#This Row],[PID]],Table3[[#All],[PID]],0)))</f>
        <v>90-92 Mph</v>
      </c>
      <c r="P460" s="56">
        <f>IF($C460="B",INDEX(Batters[[#All],[K P]],MATCH(Table5[[#This Row],[PID]],Batters[[#All],[PID]],0)),INDEX(Table3[[#All],[STM]],MATCH(Table5[[#This Row],[PID]],Table3[[#All],[PID]],0)))</f>
        <v>8</v>
      </c>
      <c r="Q460" s="61">
        <f>IF($C460="B",INDEX(Batters[[#All],[Tot]],MATCH(Table5[[#This Row],[PID]],Batters[[#All],[PID]],0)),INDEX(Table3[[#All],[Tot]],MATCH(Table5[[#This Row],[PID]],Table3[[#All],[PID]],0)))</f>
        <v>49.123031339783587</v>
      </c>
      <c r="R460" s="52">
        <f>IF($C460="B",INDEX(Batters[[#All],[zScore]],MATCH(Table5[[#This Row],[PID]],Batters[[#All],[PID]],0)),INDEX(Table3[[#All],[zScore]],MATCH(Table5[[#This Row],[PID]],Table3[[#All],[PID]],0)))</f>
        <v>0.88166892612442815</v>
      </c>
      <c r="S460" s="78" t="str">
        <f>IF($C460="B",INDEX(Batters[[#All],[DEM]],MATCH(Table5[[#This Row],[PID]],Batters[[#All],[PID]],0)),INDEX(Table3[[#All],[DEM]],MATCH(Table5[[#This Row],[PID]],Table3[[#All],[PID]],0)))</f>
        <v>$200k</v>
      </c>
      <c r="T460" s="75">
        <f>IF($C460="B",INDEX(Batters[[#All],[Rnk]],MATCH(Table5[[#This Row],[PID]],Batters[[#All],[PID]],0)),INDEX(Table3[[#All],[Rnk]],MATCH(Table5[[#This Row],[PID]],Table3[[#All],[PID]],0)))</f>
        <v>156</v>
      </c>
      <c r="U460" s="68">
        <f>IF($C460="B",VLOOKUP($A460,Bat!$A$4:$BA$1621,47,FALSE),VLOOKUP($A460,Pit!$A$4:$BF$1557,56,FALSE))</f>
        <v>0</v>
      </c>
      <c r="V460" s="50">
        <f>IF($C460="B",VLOOKUP($A460,Bat!$A$4:$BA$1621,48,FALSE),VLOOKUP($A460,Pit!$A$4:$BF$1557,57,FALSE))</f>
        <v>0</v>
      </c>
      <c r="W460" s="69">
        <f>Table5[[#This Row],[posRnk]]+Table5[[#This Row],[zRnk]]+IF($W$3&lt;&gt;Table5[[#This Row],[Type]],50,0)</f>
        <v>464</v>
      </c>
      <c r="X460" s="73">
        <f>RANK(Table5[[#This Row],[zScore]],Table5[[#All],[zScore]])</f>
        <v>258</v>
      </c>
      <c r="Y460" s="69">
        <f>IFERROR(INDEX(DraftResults[[#All],[OVR]],MATCH(Table5[[#This Row],[PID]],DraftResults[[#All],[Player ID]],0)),"")</f>
        <v>456</v>
      </c>
      <c r="Z46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0" s="69">
        <f>IFERROR(INDEX(DraftResults[[#All],[Pick in Round]],MATCH(Table5[[#This Row],[PID]],DraftResults[[#All],[Player ID]],0)),"")</f>
        <v>28</v>
      </c>
      <c r="AB460" s="69" t="str">
        <f>IFERROR(INDEX(DraftResults[[#All],[Team Name]],MATCH(Table5[[#This Row],[PID]],DraftResults[[#All],[Player ID]],0)),"")</f>
        <v>San Juan Coqui</v>
      </c>
      <c r="AC460" s="69">
        <f>IF(Table5[[#This Row],[Ovr]]="","",IF(Table5[[#This Row],[cmbList]]="","",Table5[[#This Row],[cmbList]]-Table5[[#This Row],[Ovr]]))</f>
        <v>8</v>
      </c>
      <c r="AD460" s="77" t="str">
        <f>IF(ISERROR(VLOOKUP($AB460&amp;"-"&amp;$E460&amp;" "&amp;F460,Bonuses!$B$1:$G$1006,4,FALSE)),"",INT(VLOOKUP($AB460&amp;"-"&amp;$E460&amp;" "&amp;$F460,Bonuses!$B$1:$G$1006,4,FALSE)))</f>
        <v/>
      </c>
      <c r="AE46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15.28 (456) - SP Bjorn Hak</v>
      </c>
    </row>
    <row r="461" spans="1:31" s="50" customFormat="1" x14ac:dyDescent="0.25">
      <c r="A461" s="68">
        <v>18144</v>
      </c>
      <c r="B461" s="69">
        <f>COUNTIF(Table5[PID],A461)</f>
        <v>1</v>
      </c>
      <c r="C461" s="69" t="str">
        <f>IF(COUNTIF(Table3[[#All],[PID]],A461)&gt;0,"P","B")</f>
        <v>P</v>
      </c>
      <c r="D461" s="59" t="str">
        <f>IF($C461="B",INDEX(Batters[[#All],[POS]],MATCH(Table5[[#This Row],[PID]],Batters[[#All],[PID]],0)),INDEX(Table3[[#All],[POS]],MATCH(Table5[[#This Row],[PID]],Table3[[#All],[PID]],0)))</f>
        <v>SP</v>
      </c>
      <c r="E461" s="52" t="str">
        <f>IF($C461="B",INDEX(Batters[[#All],[First]],MATCH(Table5[[#This Row],[PID]],Batters[[#All],[PID]],0)),INDEX(Table3[[#All],[First]],MATCH(Table5[[#This Row],[PID]],Table3[[#All],[PID]],0)))</f>
        <v>Fernando</v>
      </c>
      <c r="F461" s="55" t="str">
        <f>IF($C461="B",INDEX(Batters[[#All],[Last]],MATCH(A461,Batters[[#All],[PID]],0)),INDEX(Table3[[#All],[Last]],MATCH(A461,Table3[[#All],[PID]],0)))</f>
        <v>Cruz</v>
      </c>
      <c r="G461" s="56">
        <f>IF($C461="B",INDEX(Batters[[#All],[Age]],MATCH(Table5[[#This Row],[PID]],Batters[[#All],[PID]],0)),INDEX(Table3[[#All],[Age]],MATCH(Table5[[#This Row],[PID]],Table3[[#All],[PID]],0)))</f>
        <v>21</v>
      </c>
      <c r="H461" s="52" t="str">
        <f>IF($C461="B",INDEX(Batters[[#All],[B]],MATCH(Table5[[#This Row],[PID]],Batters[[#All],[PID]],0)),INDEX(Table3[[#All],[B]],MATCH(Table5[[#This Row],[PID]],Table3[[#All],[PID]],0)))</f>
        <v>R</v>
      </c>
      <c r="I461" s="52" t="str">
        <f>IF($C461="B",INDEX(Batters[[#All],[T]],MATCH(Table5[[#This Row],[PID]],Batters[[#All],[PID]],0)),INDEX(Table3[[#All],[T]],MATCH(Table5[[#This Row],[PID]],Table3[[#All],[PID]],0)))</f>
        <v>R</v>
      </c>
      <c r="J461" s="71" t="str">
        <f>IF($C461="B",INDEX(Batters[[#All],[WE]],MATCH(Table5[[#This Row],[PID]],Batters[[#All],[PID]],0)),INDEX(Table3[[#All],[WE]],MATCH(Table5[[#This Row],[PID]],Table3[[#All],[PID]],0)))</f>
        <v>High</v>
      </c>
      <c r="K461" s="52" t="str">
        <f>IF($C461="B",INDEX(Batters[[#All],[INT]],MATCH(Table5[[#This Row],[PID]],Batters[[#All],[PID]],0)),INDEX(Table3[[#All],[INT]],MATCH(Table5[[#This Row],[PID]],Table3[[#All],[PID]],0)))</f>
        <v>Normal</v>
      </c>
      <c r="L461" s="60">
        <f>IF($C461="B",INDEX(Batters[[#All],[CON P]],MATCH(Table5[[#This Row],[PID]],Batters[[#All],[PID]],0)),INDEX(Table3[[#All],[STU P]],MATCH(Table5[[#This Row],[PID]],Table3[[#All],[PID]],0)))</f>
        <v>5</v>
      </c>
      <c r="M461" s="72">
        <f>IF($C461="B",INDEX(Batters[[#All],[GAP P]],MATCH(Table5[[#This Row],[PID]],Batters[[#All],[PID]],0)),INDEX(Table3[[#All],[MOV P]],MATCH(Table5[[#This Row],[PID]],Table3[[#All],[PID]],0)))</f>
        <v>2</v>
      </c>
      <c r="N461" s="72">
        <f>IF($C461="B",INDEX(Batters[[#All],[POW P]],MATCH(Table5[[#This Row],[PID]],Batters[[#All],[PID]],0)),INDEX(Table3[[#All],[CON P]],MATCH(Table5[[#This Row],[PID]],Table3[[#All],[PID]],0)))</f>
        <v>3</v>
      </c>
      <c r="O461" s="72" t="str">
        <f>IF($C461="B",INDEX(Batters[[#All],[EYE P]],MATCH(Table5[[#This Row],[PID]],Batters[[#All],[PID]],0)),INDEX(Table3[[#All],[VELO]],MATCH(Table5[[#This Row],[PID]],Table3[[#All],[PID]],0)))</f>
        <v>93-95 Mph</v>
      </c>
      <c r="P461" s="56">
        <f>IF($C461="B",INDEX(Batters[[#All],[K P]],MATCH(Table5[[#This Row],[PID]],Batters[[#All],[PID]],0)),INDEX(Table3[[#All],[STM]],MATCH(Table5[[#This Row],[PID]],Table3[[#All],[PID]],0)))</f>
        <v>10</v>
      </c>
      <c r="Q461" s="61">
        <f>IF($C461="B",INDEX(Batters[[#All],[Tot]],MATCH(Table5[[#This Row],[PID]],Batters[[#All],[PID]],0)),INDEX(Table3[[#All],[Tot]],MATCH(Table5[[#This Row],[PID]],Table3[[#All],[PID]],0)))</f>
        <v>36.130730192694664</v>
      </c>
      <c r="R461" s="52">
        <f>IF($C461="B",INDEX(Batters[[#All],[zScore]],MATCH(Table5[[#This Row],[PID]],Batters[[#All],[PID]],0)),INDEX(Table3[[#All],[zScore]],MATCH(Table5[[#This Row],[PID]],Table3[[#All],[PID]],0)))</f>
        <v>1.7310984458864621E-2</v>
      </c>
      <c r="S461" s="78" t="str">
        <f>IF($C461="B",INDEX(Batters[[#All],[DEM]],MATCH(Table5[[#This Row],[PID]],Batters[[#All],[PID]],0)),INDEX(Table3[[#All],[DEM]],MATCH(Table5[[#This Row],[PID]],Table3[[#All],[PID]],0)))</f>
        <v>$23k</v>
      </c>
      <c r="T461" s="75">
        <f>IF($C461="B",INDEX(Batters[[#All],[Rnk]],MATCH(Table5[[#This Row],[PID]],Batters[[#All],[PID]],0)),INDEX(Table3[[#All],[Rnk]],MATCH(Table5[[#This Row],[PID]],Table3[[#All],[PID]],0)))</f>
        <v>303</v>
      </c>
      <c r="U461" s="68">
        <f>IF($C461="B",VLOOKUP($A461,Bat!$A$4:$BA$1621,47,FALSE),VLOOKUP($A461,Pit!$A$4:$BF$1557,56,FALSE))</f>
        <v>0</v>
      </c>
      <c r="V461" s="50">
        <f>IF($C461="B",VLOOKUP($A461,Bat!$A$4:$BA$1621,48,FALSE),VLOOKUP($A461,Pit!$A$4:$BF$1557,57,FALSE))</f>
        <v>0</v>
      </c>
      <c r="W461" s="69">
        <f>Table5[[#This Row],[posRnk]]+Table5[[#This Row],[zRnk]]+IF($W$3&lt;&gt;Table5[[#This Row],[Type]],50,0)</f>
        <v>897</v>
      </c>
      <c r="X461" s="73">
        <f>RANK(Table5[[#This Row],[zScore]],Table5[[#All],[zScore]])</f>
        <v>544</v>
      </c>
      <c r="Y461" s="69">
        <f>IFERROR(INDEX(DraftResults[[#All],[OVR]],MATCH(Table5[[#This Row],[PID]],DraftResults[[#All],[Player ID]],0)),"")</f>
        <v>457</v>
      </c>
      <c r="Z46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1" s="69">
        <f>IFERROR(INDEX(DraftResults[[#All],[Pick in Round]],MATCH(Table5[[#This Row],[PID]],DraftResults[[#All],[Player ID]],0)),"")</f>
        <v>29</v>
      </c>
      <c r="AB461" s="69" t="str">
        <f>IFERROR(INDEX(DraftResults[[#All],[Team Name]],MATCH(Table5[[#This Row],[PID]],DraftResults[[#All],[Player ID]],0)),"")</f>
        <v>Havana Leones</v>
      </c>
      <c r="AC461" s="69">
        <f>IF(Table5[[#This Row],[Ovr]]="","",IF(Table5[[#This Row],[cmbList]]="","",Table5[[#This Row],[cmbList]]-Table5[[#This Row],[Ovr]]))</f>
        <v>440</v>
      </c>
      <c r="AD461" s="77" t="str">
        <f>IF(ISERROR(VLOOKUP($AB461&amp;"-"&amp;$E461&amp;" "&amp;F461,Bonuses!$B$1:$G$1006,4,FALSE)),"",INT(VLOOKUP($AB461&amp;"-"&amp;$E461&amp;" "&amp;$F461,Bonuses!$B$1:$G$1006,4,FALSE)))</f>
        <v/>
      </c>
      <c r="AE46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15.29 (457) - SP Fernando Cruz</v>
      </c>
    </row>
    <row r="462" spans="1:31" s="50" customFormat="1" x14ac:dyDescent="0.25">
      <c r="A462" s="50">
        <v>21092</v>
      </c>
      <c r="B462" s="50">
        <f>COUNTIF(Table5[PID],A462)</f>
        <v>1</v>
      </c>
      <c r="C462" s="50" t="str">
        <f>IF(COUNTIF(Table3[[#All],[PID]],A462)&gt;0,"P","B")</f>
        <v>B</v>
      </c>
      <c r="D462" s="59" t="str">
        <f>IF($C462="B",INDEX(Batters[[#All],[POS]],MATCH(Table5[[#This Row],[PID]],Batters[[#All],[PID]],0)),INDEX(Table3[[#All],[POS]],MATCH(Table5[[#This Row],[PID]],Table3[[#All],[PID]],0)))</f>
        <v>3B</v>
      </c>
      <c r="E462" s="52" t="str">
        <f>IF($C462="B",INDEX(Batters[[#All],[First]],MATCH(Table5[[#This Row],[PID]],Batters[[#All],[PID]],0)),INDEX(Table3[[#All],[First]],MATCH(Table5[[#This Row],[PID]],Table3[[#All],[PID]],0)))</f>
        <v>Mike</v>
      </c>
      <c r="F462" s="50" t="str">
        <f>IF($C462="B",INDEX(Batters[[#All],[Last]],MATCH(A462,Batters[[#All],[PID]],0)),INDEX(Table3[[#All],[Last]],MATCH(A462,Table3[[#All],[PID]],0)))</f>
        <v>Parkinson</v>
      </c>
      <c r="G462" s="56">
        <f>IF($C462="B",INDEX(Batters[[#All],[Age]],MATCH(Table5[[#This Row],[PID]],Batters[[#All],[PID]],0)),INDEX(Table3[[#All],[Age]],MATCH(Table5[[#This Row],[PID]],Table3[[#All],[PID]],0)))</f>
        <v>18</v>
      </c>
      <c r="H462" s="52" t="str">
        <f>IF($C462="B",INDEX(Batters[[#All],[B]],MATCH(Table5[[#This Row],[PID]],Batters[[#All],[PID]],0)),INDEX(Table3[[#All],[B]],MATCH(Table5[[#This Row],[PID]],Table3[[#All],[PID]],0)))</f>
        <v>R</v>
      </c>
      <c r="I462" s="52" t="str">
        <f>IF($C462="B",INDEX(Batters[[#All],[T]],MATCH(Table5[[#This Row],[PID]],Batters[[#All],[PID]],0)),INDEX(Table3[[#All],[T]],MATCH(Table5[[#This Row],[PID]],Table3[[#All],[PID]],0)))</f>
        <v>R</v>
      </c>
      <c r="J462" s="52" t="str">
        <f>IF($C462="B",INDEX(Batters[[#All],[WE]],MATCH(Table5[[#This Row],[PID]],Batters[[#All],[PID]],0)),INDEX(Table3[[#All],[WE]],MATCH(Table5[[#This Row],[PID]],Table3[[#All],[PID]],0)))</f>
        <v>Normal</v>
      </c>
      <c r="K462" s="52" t="str">
        <f>IF($C462="B",INDEX(Batters[[#All],[INT]],MATCH(Table5[[#This Row],[PID]],Batters[[#All],[PID]],0)),INDEX(Table3[[#All],[INT]],MATCH(Table5[[#This Row],[PID]],Table3[[#All],[PID]],0)))</f>
        <v>Normal</v>
      </c>
      <c r="L462" s="60">
        <f>IF($C462="B",INDEX(Batters[[#All],[CON P]],MATCH(Table5[[#This Row],[PID]],Batters[[#All],[PID]],0)),INDEX(Table3[[#All],[STU P]],MATCH(Table5[[#This Row],[PID]],Table3[[#All],[PID]],0)))</f>
        <v>3</v>
      </c>
      <c r="M462" s="56">
        <f>IF($C462="B",INDEX(Batters[[#All],[GAP P]],MATCH(Table5[[#This Row],[PID]],Batters[[#All],[PID]],0)),INDEX(Table3[[#All],[MOV P]],MATCH(Table5[[#This Row],[PID]],Table3[[#All],[PID]],0)))</f>
        <v>6</v>
      </c>
      <c r="N462" s="56">
        <f>IF($C462="B",INDEX(Batters[[#All],[POW P]],MATCH(Table5[[#This Row],[PID]],Batters[[#All],[PID]],0)),INDEX(Table3[[#All],[CON P]],MATCH(Table5[[#This Row],[PID]],Table3[[#All],[PID]],0)))</f>
        <v>7</v>
      </c>
      <c r="O462" s="56">
        <f>IF($C462="B",INDEX(Batters[[#All],[EYE P]],MATCH(Table5[[#This Row],[PID]],Batters[[#All],[PID]],0)),INDEX(Table3[[#All],[VELO]],MATCH(Table5[[#This Row],[PID]],Table3[[#All],[PID]],0)))</f>
        <v>5</v>
      </c>
      <c r="P462" s="56">
        <f>IF($C462="B",INDEX(Batters[[#All],[K P]],MATCH(Table5[[#This Row],[PID]],Batters[[#All],[PID]],0)),INDEX(Table3[[#All],[STM]],MATCH(Table5[[#This Row],[PID]],Table3[[#All],[PID]],0)))</f>
        <v>2</v>
      </c>
      <c r="Q462" s="61">
        <f>IF($C462="B",INDEX(Batters[[#All],[Tot]],MATCH(Table5[[#This Row],[PID]],Batters[[#All],[PID]],0)),INDEX(Table3[[#All],[Tot]],MATCH(Table5[[#This Row],[PID]],Table3[[#All],[PID]],0)))</f>
        <v>46.386855590788059</v>
      </c>
      <c r="R462" s="52">
        <f>IF($C462="B",INDEX(Batters[[#All],[zScore]],MATCH(Table5[[#This Row],[PID]],Batters[[#All],[PID]],0)),INDEX(Table3[[#All],[zScore]],MATCH(Table5[[#This Row],[PID]],Table3[[#All],[PID]],0)))</f>
        <v>0.49993009000819799</v>
      </c>
      <c r="S462" s="58" t="str">
        <f>IF($C462="B",INDEX(Batters[[#All],[DEM]],MATCH(Table5[[#This Row],[PID]],Batters[[#All],[PID]],0)),INDEX(Table3[[#All],[DEM]],MATCH(Table5[[#This Row],[PID]],Table3[[#All],[PID]],0)))</f>
        <v>$200k</v>
      </c>
      <c r="T462" s="62">
        <f>IF($C462="B",INDEX(Batters[[#All],[Rnk]],MATCH(Table5[[#This Row],[PID]],Batters[[#All],[PID]],0)),INDEX(Table3[[#All],[Rnk]],MATCH(Table5[[#This Row],[PID]],Table3[[#All],[PID]],0)))</f>
        <v>152</v>
      </c>
      <c r="U462" s="68">
        <f>IF($C462="B",VLOOKUP($A462,Bat!$A$4:$BA$1621,47,FALSE),VLOOKUP($A462,Pit!$A$4:$BF$1557,56,FALSE))</f>
        <v>0</v>
      </c>
      <c r="V462" s="50">
        <f>IF($C462="B",VLOOKUP($A462,Bat!$A$4:$BA$1621,48,FALSE),VLOOKUP($A462,Pit!$A$4:$BF$1557,57,FALSE))</f>
        <v>0</v>
      </c>
      <c r="W462" s="50">
        <f>Table5[[#This Row],[posRnk]]+Table5[[#This Row],[zRnk]]+IF($W$3&lt;&gt;Table5[[#This Row],[Type]],50,0)</f>
        <v>569</v>
      </c>
      <c r="X462" s="51">
        <f>RANK(Table5[[#This Row],[zScore]],Table5[[#All],[zScore]])</f>
        <v>367</v>
      </c>
      <c r="Y462" s="50">
        <f>IFERROR(INDEX(DraftResults[[#All],[OVR]],MATCH(Table5[[#This Row],[PID]],DraftResults[[#All],[Player ID]],0)),"")</f>
        <v>458</v>
      </c>
      <c r="Z4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15</v>
      </c>
      <c r="AA462" s="50">
        <f>IFERROR(INDEX(DraftResults[[#All],[Pick in Round]],MATCH(Table5[[#This Row],[PID]],DraftResults[[#All],[Player ID]],0)),"")</f>
        <v>30</v>
      </c>
      <c r="AB462" s="50" t="str">
        <f>IFERROR(INDEX(DraftResults[[#All],[Team Name]],MATCH(Table5[[#This Row],[PID]],DraftResults[[#All],[Player ID]],0)),"")</f>
        <v>Florida Farstriders</v>
      </c>
      <c r="AC462" s="50">
        <f>IF(Table5[[#This Row],[Ovr]]="","",IF(Table5[[#This Row],[cmbList]]="","",Table5[[#This Row],[cmbList]]-Table5[[#This Row],[Ovr]]))</f>
        <v>111</v>
      </c>
      <c r="AD462" s="54" t="str">
        <f>IF(ISERROR(VLOOKUP($AB462&amp;"-"&amp;$E462&amp;" "&amp;F462,Bonuses!$B$1:$G$1006,4,FALSE)),"",INT(VLOOKUP($AB462&amp;"-"&amp;$E462&amp;" "&amp;$F462,Bonuses!$B$1:$G$1006,4,FALSE)))</f>
        <v/>
      </c>
      <c r="AE4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15.30 (458) - 3B Mike Parkinson</v>
      </c>
    </row>
    <row r="463" spans="1:31" s="50" customFormat="1" x14ac:dyDescent="0.25">
      <c r="A463" s="50">
        <v>14861</v>
      </c>
      <c r="B463" s="50">
        <f>COUNTIF(Table5[PID],A463)</f>
        <v>1</v>
      </c>
      <c r="C463" s="50" t="str">
        <f>IF(COUNTIF(Table3[[#All],[PID]],A463)&gt;0,"P","B")</f>
        <v>B</v>
      </c>
      <c r="D463" s="59" t="str">
        <f>IF($C463="B",INDEX(Batters[[#All],[POS]],MATCH(Table5[[#This Row],[PID]],Batters[[#All],[PID]],0)),INDEX(Table3[[#All],[POS]],MATCH(Table5[[#This Row],[PID]],Table3[[#All],[PID]],0)))</f>
        <v>C</v>
      </c>
      <c r="E463" s="52" t="str">
        <f>IF($C463="B",INDEX(Batters[[#All],[First]],MATCH(Table5[[#This Row],[PID]],Batters[[#All],[PID]],0)),INDEX(Table3[[#All],[First]],MATCH(Table5[[#This Row],[PID]],Table3[[#All],[PID]],0)))</f>
        <v>Arturo</v>
      </c>
      <c r="F463" s="50" t="str">
        <f>IF($C463="B",INDEX(Batters[[#All],[Last]],MATCH(A463,Batters[[#All],[PID]],0)),INDEX(Table3[[#All],[Last]],MATCH(A463,Table3[[#All],[PID]],0)))</f>
        <v>Fuentes</v>
      </c>
      <c r="G463" s="56">
        <f>IF($C463="B",INDEX(Batters[[#All],[Age]],MATCH(Table5[[#This Row],[PID]],Batters[[#All],[PID]],0)),INDEX(Table3[[#All],[Age]],MATCH(Table5[[#This Row],[PID]],Table3[[#All],[PID]],0)))</f>
        <v>18</v>
      </c>
      <c r="H463" s="52" t="str">
        <f>IF($C463="B",INDEX(Batters[[#All],[B]],MATCH(Table5[[#This Row],[PID]],Batters[[#All],[PID]],0)),INDEX(Table3[[#All],[B]],MATCH(Table5[[#This Row],[PID]],Table3[[#All],[PID]],0)))</f>
        <v>R</v>
      </c>
      <c r="I463" s="52" t="str">
        <f>IF($C463="B",INDEX(Batters[[#All],[T]],MATCH(Table5[[#This Row],[PID]],Batters[[#All],[PID]],0)),INDEX(Table3[[#All],[T]],MATCH(Table5[[#This Row],[PID]],Table3[[#All],[PID]],0)))</f>
        <v>R</v>
      </c>
      <c r="J463" s="52" t="str">
        <f>IF($C463="B",INDEX(Batters[[#All],[WE]],MATCH(Table5[[#This Row],[PID]],Batters[[#All],[PID]],0)),INDEX(Table3[[#All],[WE]],MATCH(Table5[[#This Row],[PID]],Table3[[#All],[PID]],0)))</f>
        <v>Low</v>
      </c>
      <c r="K463" s="52" t="str">
        <f>IF($C463="B",INDEX(Batters[[#All],[INT]],MATCH(Table5[[#This Row],[PID]],Batters[[#All],[PID]],0)),INDEX(Table3[[#All],[INT]],MATCH(Table5[[#This Row],[PID]],Table3[[#All],[PID]],0)))</f>
        <v>Normal</v>
      </c>
      <c r="L463" s="60">
        <f>IF($C463="B",INDEX(Batters[[#All],[CON P]],MATCH(Table5[[#This Row],[PID]],Batters[[#All],[PID]],0)),INDEX(Table3[[#All],[STU P]],MATCH(Table5[[#This Row],[PID]],Table3[[#All],[PID]],0)))</f>
        <v>3</v>
      </c>
      <c r="M463" s="56">
        <f>IF($C463="B",INDEX(Batters[[#All],[GAP P]],MATCH(Table5[[#This Row],[PID]],Batters[[#All],[PID]],0)),INDEX(Table3[[#All],[MOV P]],MATCH(Table5[[#This Row],[PID]],Table3[[#All],[PID]],0)))</f>
        <v>4</v>
      </c>
      <c r="N463" s="56">
        <f>IF($C463="B",INDEX(Batters[[#All],[POW P]],MATCH(Table5[[#This Row],[PID]],Batters[[#All],[PID]],0)),INDEX(Table3[[#All],[CON P]],MATCH(Table5[[#This Row],[PID]],Table3[[#All],[PID]],0)))</f>
        <v>5</v>
      </c>
      <c r="O463" s="56">
        <f>IF($C463="B",INDEX(Batters[[#All],[EYE P]],MATCH(Table5[[#This Row],[PID]],Batters[[#All],[PID]],0)),INDEX(Table3[[#All],[VELO]],MATCH(Table5[[#This Row],[PID]],Table3[[#All],[PID]],0)))</f>
        <v>5</v>
      </c>
      <c r="P463" s="56">
        <f>IF($C463="B",INDEX(Batters[[#All],[K P]],MATCH(Table5[[#This Row],[PID]],Batters[[#All],[PID]],0)),INDEX(Table3[[#All],[STM]],MATCH(Table5[[#This Row],[PID]],Table3[[#All],[PID]],0)))</f>
        <v>3</v>
      </c>
      <c r="Q463" s="61">
        <f>IF($C463="B",INDEX(Batters[[#All],[Tot]],MATCH(Table5[[#This Row],[PID]],Batters[[#All],[PID]],0)),INDEX(Table3[[#All],[Tot]],MATCH(Table5[[#This Row],[PID]],Table3[[#All],[PID]],0)))</f>
        <v>43.343032713208672</v>
      </c>
      <c r="R463" s="52">
        <f>IF($C463="B",INDEX(Batters[[#All],[zScore]],MATCH(Table5[[#This Row],[PID]],Batters[[#All],[PID]],0)),INDEX(Table3[[#All],[zScore]],MATCH(Table5[[#This Row],[PID]],Table3[[#All],[PID]],0)))</f>
        <v>-0.17490601628435645</v>
      </c>
      <c r="S463" s="58" t="str">
        <f>IF($C463="B",INDEX(Batters[[#All],[DEM]],MATCH(Table5[[#This Row],[PID]],Batters[[#All],[PID]],0)),INDEX(Table3[[#All],[DEM]],MATCH(Table5[[#This Row],[PID]],Table3[[#All],[PID]],0)))</f>
        <v>$75k</v>
      </c>
      <c r="T463" s="62">
        <f>IF($C463="B",INDEX(Batters[[#All],[Rnk]],MATCH(Table5[[#This Row],[PID]],Batters[[#All],[PID]],0)),INDEX(Table3[[#All],[Rnk]],MATCH(Table5[[#This Row],[PID]],Table3[[#All],[PID]],0)))</f>
        <v>276</v>
      </c>
      <c r="U463" s="68">
        <f>IF($C463="B",VLOOKUP($A463,Bat!$A$4:$BA$1621,47,FALSE),VLOOKUP($A463,Pit!$A$4:$BF$1557,56,FALSE))</f>
        <v>0</v>
      </c>
      <c r="V463" s="50">
        <f>IF($C463="B",VLOOKUP($A463,Bat!$A$4:$BA$1621,48,FALSE),VLOOKUP($A463,Pit!$A$4:$BF$1557,57,FALSE))</f>
        <v>0</v>
      </c>
      <c r="W463" s="50">
        <f>Table5[[#This Row],[posRnk]]+Table5[[#This Row],[zRnk]]+IF($W$3&lt;&gt;Table5[[#This Row],[Type]],50,0)</f>
        <v>976</v>
      </c>
      <c r="X463" s="51">
        <f>RANK(Table5[[#This Row],[zScore]],Table5[[#All],[zScore]])</f>
        <v>650</v>
      </c>
      <c r="Y463" s="50">
        <f>IFERROR(INDEX(DraftResults[[#All],[OVR]],MATCH(Table5[[#This Row],[PID]],DraftResults[[#All],[Player ID]],0)),"")</f>
        <v>459</v>
      </c>
      <c r="Z4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3" s="50">
        <f>IFERROR(INDEX(DraftResults[[#All],[Pick in Round]],MATCH(Table5[[#This Row],[PID]],DraftResults[[#All],[Player ID]],0)),"")</f>
        <v>1</v>
      </c>
      <c r="AB463" s="50" t="str">
        <f>IFERROR(INDEX(DraftResults[[#All],[Team Name]],MATCH(Table5[[#This Row],[PID]],DraftResults[[#All],[Player ID]],0)),"")</f>
        <v>Yuma Arroyos</v>
      </c>
      <c r="AC463" s="50">
        <f>IF(Table5[[#This Row],[Ovr]]="","",IF(Table5[[#This Row],[cmbList]]="","",Table5[[#This Row],[cmbList]]-Table5[[#This Row],[Ovr]]))</f>
        <v>517</v>
      </c>
      <c r="AD463" s="54" t="str">
        <f>IF(ISERROR(VLOOKUP($AB463&amp;"-"&amp;$E463&amp;" "&amp;F463,Bonuses!$B$1:$G$1006,4,FALSE)),"",INT(VLOOKUP($AB463&amp;"-"&amp;$E463&amp;" "&amp;$F463,Bonuses!$B$1:$G$1006,4,FALSE)))</f>
        <v/>
      </c>
      <c r="AE4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 (459) - C Arturo Fuentes</v>
      </c>
    </row>
    <row r="464" spans="1:31" s="50" customFormat="1" x14ac:dyDescent="0.25">
      <c r="A464" s="50">
        <v>18223</v>
      </c>
      <c r="B464" s="50">
        <f>COUNTIF(Table5[PID],A464)</f>
        <v>1</v>
      </c>
      <c r="C464" s="50" t="str">
        <f>IF(COUNTIF(Table3[[#All],[PID]],A464)&gt;0,"P","B")</f>
        <v>B</v>
      </c>
      <c r="D464" s="59" t="str">
        <f>IF($C464="B",INDEX(Batters[[#All],[POS]],MATCH(Table5[[#This Row],[PID]],Batters[[#All],[PID]],0)),INDEX(Table3[[#All],[POS]],MATCH(Table5[[#This Row],[PID]],Table3[[#All],[PID]],0)))</f>
        <v>SS</v>
      </c>
      <c r="E464" s="52" t="str">
        <f>IF($C464="B",INDEX(Batters[[#All],[First]],MATCH(Table5[[#This Row],[PID]],Batters[[#All],[PID]],0)),INDEX(Table3[[#All],[First]],MATCH(Table5[[#This Row],[PID]],Table3[[#All],[PID]],0)))</f>
        <v>Michael</v>
      </c>
      <c r="F464" s="50" t="str">
        <f>IF($C464="B",INDEX(Batters[[#All],[Last]],MATCH(A464,Batters[[#All],[PID]],0)),INDEX(Table3[[#All],[Last]],MATCH(A464,Table3[[#All],[PID]],0)))</f>
        <v>Edwards</v>
      </c>
      <c r="G464" s="56">
        <f>IF($C464="B",INDEX(Batters[[#All],[Age]],MATCH(Table5[[#This Row],[PID]],Batters[[#All],[PID]],0)),INDEX(Table3[[#All],[Age]],MATCH(Table5[[#This Row],[PID]],Table3[[#All],[PID]],0)))</f>
        <v>18</v>
      </c>
      <c r="H464" s="52" t="str">
        <f>IF($C464="B",INDEX(Batters[[#All],[B]],MATCH(Table5[[#This Row],[PID]],Batters[[#All],[PID]],0)),INDEX(Table3[[#All],[B]],MATCH(Table5[[#This Row],[PID]],Table3[[#All],[PID]],0)))</f>
        <v>R</v>
      </c>
      <c r="I464" s="52" t="str">
        <f>IF($C464="B",INDEX(Batters[[#All],[T]],MATCH(Table5[[#This Row],[PID]],Batters[[#All],[PID]],0)),INDEX(Table3[[#All],[T]],MATCH(Table5[[#This Row],[PID]],Table3[[#All],[PID]],0)))</f>
        <v>R</v>
      </c>
      <c r="J464" s="52" t="str">
        <f>IF($C464="B",INDEX(Batters[[#All],[WE]],MATCH(Table5[[#This Row],[PID]],Batters[[#All],[PID]],0)),INDEX(Table3[[#All],[WE]],MATCH(Table5[[#This Row],[PID]],Table3[[#All],[PID]],0)))</f>
        <v>High</v>
      </c>
      <c r="K464" s="52" t="str">
        <f>IF($C464="B",INDEX(Batters[[#All],[INT]],MATCH(Table5[[#This Row],[PID]],Batters[[#All],[PID]],0)),INDEX(Table3[[#All],[INT]],MATCH(Table5[[#This Row],[PID]],Table3[[#All],[PID]],0)))</f>
        <v>Normal</v>
      </c>
      <c r="L464" s="60">
        <f>IF($C464="B",INDEX(Batters[[#All],[CON P]],MATCH(Table5[[#This Row],[PID]],Batters[[#All],[PID]],0)),INDEX(Table3[[#All],[STU P]],MATCH(Table5[[#This Row],[PID]],Table3[[#All],[PID]],0)))</f>
        <v>3</v>
      </c>
      <c r="M464" s="56">
        <f>IF($C464="B",INDEX(Batters[[#All],[GAP P]],MATCH(Table5[[#This Row],[PID]],Batters[[#All],[PID]],0)),INDEX(Table3[[#All],[MOV P]],MATCH(Table5[[#This Row],[PID]],Table3[[#All],[PID]],0)))</f>
        <v>3</v>
      </c>
      <c r="N464" s="56">
        <f>IF($C464="B",INDEX(Batters[[#All],[POW P]],MATCH(Table5[[#This Row],[PID]],Batters[[#All],[PID]],0)),INDEX(Table3[[#All],[CON P]],MATCH(Table5[[#This Row],[PID]],Table3[[#All],[PID]],0)))</f>
        <v>5</v>
      </c>
      <c r="O464" s="56">
        <f>IF($C464="B",INDEX(Batters[[#All],[EYE P]],MATCH(Table5[[#This Row],[PID]],Batters[[#All],[PID]],0)),INDEX(Table3[[#All],[VELO]],MATCH(Table5[[#This Row],[PID]],Table3[[#All],[PID]],0)))</f>
        <v>5</v>
      </c>
      <c r="P464" s="56">
        <f>IF($C464="B",INDEX(Batters[[#All],[K P]],MATCH(Table5[[#This Row],[PID]],Batters[[#All],[PID]],0)),INDEX(Table3[[#All],[STM]],MATCH(Table5[[#This Row],[PID]],Table3[[#All],[PID]],0)))</f>
        <v>3</v>
      </c>
      <c r="Q464" s="61">
        <f>IF($C464="B",INDEX(Batters[[#All],[Tot]],MATCH(Table5[[#This Row],[PID]],Batters[[#All],[PID]],0)),INDEX(Table3[[#All],[Tot]],MATCH(Table5[[#This Row],[PID]],Table3[[#All],[PID]],0)))</f>
        <v>44.316902020419974</v>
      </c>
      <c r="R464" s="52">
        <f>IF($C464="B",INDEX(Batters[[#All],[zScore]],MATCH(Table5[[#This Row],[PID]],Batters[[#All],[PID]],0)),INDEX(Table3[[#All],[zScore]],MATCH(Table5[[#This Row],[PID]],Table3[[#All],[PID]],0)))</f>
        <v>4.1007391869979204E-2</v>
      </c>
      <c r="S464" s="58" t="str">
        <f>IF($C464="B",INDEX(Batters[[#All],[DEM]],MATCH(Table5[[#This Row],[PID]],Batters[[#All],[PID]],0)),INDEX(Table3[[#All],[DEM]],MATCH(Table5[[#This Row],[PID]],Table3[[#All],[PID]],0)))</f>
        <v>$80k</v>
      </c>
      <c r="T464" s="62">
        <f>IF($C464="B",INDEX(Batters[[#All],[Rnk]],MATCH(Table5[[#This Row],[PID]],Batters[[#All],[PID]],0)),INDEX(Table3[[#All],[Rnk]],MATCH(Table5[[#This Row],[PID]],Table3[[#All],[PID]],0)))</f>
        <v>234</v>
      </c>
      <c r="U464" s="68">
        <f>IF($C464="B",VLOOKUP($A464,Bat!$A$4:$BA$1621,47,FALSE),VLOOKUP($A464,Pit!$A$4:$BF$1557,56,FALSE))</f>
        <v>0</v>
      </c>
      <c r="V464" s="50">
        <f>IF($C464="B",VLOOKUP($A464,Bat!$A$4:$BA$1621,48,FALSE),VLOOKUP($A464,Pit!$A$4:$BF$1557,57,FALSE))</f>
        <v>0</v>
      </c>
      <c r="W464" s="50">
        <f>Table5[[#This Row],[posRnk]]+Table5[[#This Row],[zRnk]]+IF($W$3&lt;&gt;Table5[[#This Row],[Type]],50,0)</f>
        <v>818</v>
      </c>
      <c r="X464" s="51">
        <f>RANK(Table5[[#This Row],[zScore]],Table5[[#All],[zScore]])</f>
        <v>534</v>
      </c>
      <c r="Y464" s="50">
        <f>IFERROR(INDEX(DraftResults[[#All],[OVR]],MATCH(Table5[[#This Row],[PID]],DraftResults[[#All],[Player ID]],0)),"")</f>
        <v>460</v>
      </c>
      <c r="Z4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4" s="50">
        <f>IFERROR(INDEX(DraftResults[[#All],[Pick in Round]],MATCH(Table5[[#This Row],[PID]],DraftResults[[#All],[Player ID]],0)),"")</f>
        <v>2</v>
      </c>
      <c r="AB464" s="50" t="str">
        <f>IFERROR(INDEX(DraftResults[[#All],[Team Name]],MATCH(Table5[[#This Row],[PID]],DraftResults[[#All],[Player ID]],0)),"")</f>
        <v>Charleston Statesmen</v>
      </c>
      <c r="AC464" s="50">
        <f>IF(Table5[[#This Row],[Ovr]]="","",IF(Table5[[#This Row],[cmbList]]="","",Table5[[#This Row],[cmbList]]-Table5[[#This Row],[Ovr]]))</f>
        <v>358</v>
      </c>
      <c r="AD464" s="54" t="str">
        <f>IF(ISERROR(VLOOKUP($AB464&amp;"-"&amp;$E464&amp;" "&amp;F464,Bonuses!$B$1:$G$1006,4,FALSE)),"",INT(VLOOKUP($AB464&amp;"-"&amp;$E464&amp;" "&amp;$F464,Bonuses!$B$1:$G$1006,4,FALSE)))</f>
        <v/>
      </c>
      <c r="AE4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 (460) - SS Michael Edwards</v>
      </c>
    </row>
    <row r="465" spans="1:31" s="50" customFormat="1" x14ac:dyDescent="0.25">
      <c r="A465" s="50">
        <v>17017</v>
      </c>
      <c r="B465" s="50">
        <f>COUNTIF(Table5[PID],A465)</f>
        <v>1</v>
      </c>
      <c r="C465" s="50" t="str">
        <f>IF(COUNTIF(Table3[[#All],[PID]],A465)&gt;0,"P","B")</f>
        <v>B</v>
      </c>
      <c r="D465" s="59" t="str">
        <f>IF($C465="B",INDEX(Batters[[#All],[POS]],MATCH(Table5[[#This Row],[PID]],Batters[[#All],[PID]],0)),INDEX(Table3[[#All],[POS]],MATCH(Table5[[#This Row],[PID]],Table3[[#All],[PID]],0)))</f>
        <v>LF</v>
      </c>
      <c r="E465" s="52" t="str">
        <f>IF($C465="B",INDEX(Batters[[#All],[First]],MATCH(Table5[[#This Row],[PID]],Batters[[#All],[PID]],0)),INDEX(Table3[[#All],[First]],MATCH(Table5[[#This Row],[PID]],Table3[[#All],[PID]],0)))</f>
        <v>Yuki</v>
      </c>
      <c r="F465" s="50" t="str">
        <f>IF($C465="B",INDEX(Batters[[#All],[Last]],MATCH(A465,Batters[[#All],[PID]],0)),INDEX(Table3[[#All],[Last]],MATCH(A465,Table3[[#All],[PID]],0)))</f>
        <v>Maeda</v>
      </c>
      <c r="G465" s="56">
        <f>IF($C465="B",INDEX(Batters[[#All],[Age]],MATCH(Table5[[#This Row],[PID]],Batters[[#All],[PID]],0)),INDEX(Table3[[#All],[Age]],MATCH(Table5[[#This Row],[PID]],Table3[[#All],[PID]],0)))</f>
        <v>21</v>
      </c>
      <c r="H465" s="52" t="str">
        <f>IF($C465="B",INDEX(Batters[[#All],[B]],MATCH(Table5[[#This Row],[PID]],Batters[[#All],[PID]],0)),INDEX(Table3[[#All],[B]],MATCH(Table5[[#This Row],[PID]],Table3[[#All],[PID]],0)))</f>
        <v>L</v>
      </c>
      <c r="I465" s="52" t="str">
        <f>IF($C465="B",INDEX(Batters[[#All],[T]],MATCH(Table5[[#This Row],[PID]],Batters[[#All],[PID]],0)),INDEX(Table3[[#All],[T]],MATCH(Table5[[#This Row],[PID]],Table3[[#All],[PID]],0)))</f>
        <v>L</v>
      </c>
      <c r="J465" s="52" t="str">
        <f>IF($C465="B",INDEX(Batters[[#All],[WE]],MATCH(Table5[[#This Row],[PID]],Batters[[#All],[PID]],0)),INDEX(Table3[[#All],[WE]],MATCH(Table5[[#This Row],[PID]],Table3[[#All],[PID]],0)))</f>
        <v>High</v>
      </c>
      <c r="K465" s="52" t="str">
        <f>IF($C465="B",INDEX(Batters[[#All],[INT]],MATCH(Table5[[#This Row],[PID]],Batters[[#All],[PID]],0)),INDEX(Table3[[#All],[INT]],MATCH(Table5[[#This Row],[PID]],Table3[[#All],[PID]],0)))</f>
        <v>Normal</v>
      </c>
      <c r="L465" s="60">
        <f>IF($C465="B",INDEX(Batters[[#All],[CON P]],MATCH(Table5[[#This Row],[PID]],Batters[[#All],[PID]],0)),INDEX(Table3[[#All],[STU P]],MATCH(Table5[[#This Row],[PID]],Table3[[#All],[PID]],0)))</f>
        <v>4</v>
      </c>
      <c r="M465" s="56">
        <f>IF($C465="B",INDEX(Batters[[#All],[GAP P]],MATCH(Table5[[#This Row],[PID]],Batters[[#All],[PID]],0)),INDEX(Table3[[#All],[MOV P]],MATCH(Table5[[#This Row],[PID]],Table3[[#All],[PID]],0)))</f>
        <v>5</v>
      </c>
      <c r="N465" s="56">
        <f>IF($C465="B",INDEX(Batters[[#All],[POW P]],MATCH(Table5[[#This Row],[PID]],Batters[[#All],[PID]],0)),INDEX(Table3[[#All],[CON P]],MATCH(Table5[[#This Row],[PID]],Table3[[#All],[PID]],0)))</f>
        <v>2</v>
      </c>
      <c r="O465" s="56">
        <f>IF($C465="B",INDEX(Batters[[#All],[EYE P]],MATCH(Table5[[#This Row],[PID]],Batters[[#All],[PID]],0)),INDEX(Table3[[#All],[VELO]],MATCH(Table5[[#This Row],[PID]],Table3[[#All],[PID]],0)))</f>
        <v>4</v>
      </c>
      <c r="P465" s="56">
        <f>IF($C465="B",INDEX(Batters[[#All],[K P]],MATCH(Table5[[#This Row],[PID]],Batters[[#All],[PID]],0)),INDEX(Table3[[#All],[STM]],MATCH(Table5[[#This Row],[PID]],Table3[[#All],[PID]],0)))</f>
        <v>5</v>
      </c>
      <c r="Q465" s="61">
        <f>IF($C465="B",INDEX(Batters[[#All],[Tot]],MATCH(Table5[[#This Row],[PID]],Batters[[#All],[PID]],0)),INDEX(Table3[[#All],[Tot]],MATCH(Table5[[#This Row],[PID]],Table3[[#All],[PID]],0)))</f>
        <v>40.542993361434313</v>
      </c>
      <c r="R465" s="52">
        <f>IF($C465="B",INDEX(Batters[[#All],[zScore]],MATCH(Table5[[#This Row],[PID]],Batters[[#All],[PID]],0)),INDEX(Table3[[#All],[zScore]],MATCH(Table5[[#This Row],[PID]],Table3[[#All],[PID]],0)))</f>
        <v>-0.79569366708223166</v>
      </c>
      <c r="S465" s="58" t="str">
        <f>IF($C465="B",INDEX(Batters[[#All],[DEM]],MATCH(Table5[[#This Row],[PID]],Batters[[#All],[PID]],0)),INDEX(Table3[[#All],[DEM]],MATCH(Table5[[#This Row],[PID]],Table3[[#All],[PID]],0)))</f>
        <v>-</v>
      </c>
      <c r="T465" s="62">
        <f>IF($C465="B",INDEX(Batters[[#All],[Rnk]],MATCH(Table5[[#This Row],[PID]],Batters[[#All],[PID]],0)),INDEX(Table3[[#All],[Rnk]],MATCH(Table5[[#This Row],[PID]],Table3[[#All],[PID]],0)))</f>
        <v>402</v>
      </c>
      <c r="U465" s="68">
        <f>IF($C465="B",VLOOKUP($A465,Bat!$A$4:$BA$1621,47,FALSE),VLOOKUP($A465,Pit!$A$4:$BF$1557,56,FALSE))</f>
        <v>0</v>
      </c>
      <c r="V465" s="50">
        <f>IF($C465="B",VLOOKUP($A465,Bat!$A$4:$BA$1621,48,FALSE),VLOOKUP($A465,Pit!$A$4:$BF$1557,57,FALSE))</f>
        <v>0</v>
      </c>
      <c r="W465" s="50">
        <f>Table5[[#This Row],[posRnk]]+Table5[[#This Row],[zRnk]]+IF($W$3&lt;&gt;Table5[[#This Row],[Type]],50,0)</f>
        <v>1492</v>
      </c>
      <c r="X465" s="51">
        <f>RANK(Table5[[#This Row],[zScore]],Table5[[#All],[zScore]])</f>
        <v>1040</v>
      </c>
      <c r="Y465" s="50">
        <f>IFERROR(INDEX(DraftResults[[#All],[OVR]],MATCH(Table5[[#This Row],[PID]],DraftResults[[#All],[Player ID]],0)),"")</f>
        <v>461</v>
      </c>
      <c r="Z4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5" s="50">
        <f>IFERROR(INDEX(DraftResults[[#All],[Pick in Round]],MATCH(Table5[[#This Row],[PID]],DraftResults[[#All],[Player ID]],0)),"")</f>
        <v>3</v>
      </c>
      <c r="AB465" s="50" t="str">
        <f>IFERROR(INDEX(DraftResults[[#All],[Team Name]],MATCH(Table5[[#This Row],[PID]],DraftResults[[#All],[Player ID]],0)),"")</f>
        <v>New Orleans Trendsetters</v>
      </c>
      <c r="AC465" s="50">
        <f>IF(Table5[[#This Row],[Ovr]]="","",IF(Table5[[#This Row],[cmbList]]="","",Table5[[#This Row],[cmbList]]-Table5[[#This Row],[Ovr]]))</f>
        <v>1031</v>
      </c>
      <c r="AD465" s="54" t="str">
        <f>IF(ISERROR(VLOOKUP($AB465&amp;"-"&amp;$E465&amp;" "&amp;F465,Bonuses!$B$1:$G$1006,4,FALSE)),"",INT(VLOOKUP($AB465&amp;"-"&amp;$E465&amp;" "&amp;$F465,Bonuses!$B$1:$G$1006,4,FALSE)))</f>
        <v/>
      </c>
      <c r="AE4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16.3 (461) - LF Yuki Maeda</v>
      </c>
    </row>
    <row r="466" spans="1:31" s="50" customFormat="1" x14ac:dyDescent="0.25">
      <c r="A466" s="50">
        <v>979</v>
      </c>
      <c r="B466" s="55">
        <f>COUNTIF(Table5[PID],A466)</f>
        <v>1</v>
      </c>
      <c r="C466" s="55" t="str">
        <f>IF(COUNTIF(Table3[[#All],[PID]],A466)&gt;0,"P","B")</f>
        <v>B</v>
      </c>
      <c r="D466" s="59" t="str">
        <f>IF($C466="B",INDEX(Batters[[#All],[POS]],MATCH(Table5[[#This Row],[PID]],Batters[[#All],[PID]],0)),INDEX(Table3[[#All],[POS]],MATCH(Table5[[#This Row],[PID]],Table3[[#All],[PID]],0)))</f>
        <v>LF</v>
      </c>
      <c r="E466" s="52" t="str">
        <f>IF($C466="B",INDEX(Batters[[#All],[First]],MATCH(Table5[[#This Row],[PID]],Batters[[#All],[PID]],0)),INDEX(Table3[[#All],[First]],MATCH(Table5[[#This Row],[PID]],Table3[[#All],[PID]],0)))</f>
        <v>Jered</v>
      </c>
      <c r="F466" s="50" t="str">
        <f>IF($C466="B",INDEX(Batters[[#All],[Last]],MATCH(A466,Batters[[#All],[PID]],0)),INDEX(Table3[[#All],[Last]],MATCH(A466,Table3[[#All],[PID]],0)))</f>
        <v>McLeod</v>
      </c>
      <c r="G466" s="56">
        <f>IF($C466="B",INDEX(Batters[[#All],[Age]],MATCH(Table5[[#This Row],[PID]],Batters[[#All],[PID]],0)),INDEX(Table3[[#All],[Age]],MATCH(Table5[[#This Row],[PID]],Table3[[#All],[PID]],0)))</f>
        <v>18</v>
      </c>
      <c r="H466" s="52" t="str">
        <f>IF($C466="B",INDEX(Batters[[#All],[B]],MATCH(Table5[[#This Row],[PID]],Batters[[#All],[PID]],0)),INDEX(Table3[[#All],[B]],MATCH(Table5[[#This Row],[PID]],Table3[[#All],[PID]],0)))</f>
        <v>L</v>
      </c>
      <c r="I466" s="52" t="str">
        <f>IF($C466="B",INDEX(Batters[[#All],[T]],MATCH(Table5[[#This Row],[PID]],Batters[[#All],[PID]],0)),INDEX(Table3[[#All],[T]],MATCH(Table5[[#This Row],[PID]],Table3[[#All],[PID]],0)))</f>
        <v>L</v>
      </c>
      <c r="J466" s="52" t="str">
        <f>IF($C466="B",INDEX(Batters[[#All],[WE]],MATCH(Table5[[#This Row],[PID]],Batters[[#All],[PID]],0)),INDEX(Table3[[#All],[WE]],MATCH(Table5[[#This Row],[PID]],Table3[[#All],[PID]],0)))</f>
        <v>High</v>
      </c>
      <c r="K466" s="52" t="str">
        <f>IF($C466="B",INDEX(Batters[[#All],[INT]],MATCH(Table5[[#This Row],[PID]],Batters[[#All],[PID]],0)),INDEX(Table3[[#All],[INT]],MATCH(Table5[[#This Row],[PID]],Table3[[#All],[PID]],0)))</f>
        <v>Normal</v>
      </c>
      <c r="L466" s="60">
        <f>IF($C466="B",INDEX(Batters[[#All],[CON P]],MATCH(Table5[[#This Row],[PID]],Batters[[#All],[PID]],0)),INDEX(Table3[[#All],[STU P]],MATCH(Table5[[#This Row],[PID]],Table3[[#All],[PID]],0)))</f>
        <v>3</v>
      </c>
      <c r="M466" s="56">
        <f>IF($C466="B",INDEX(Batters[[#All],[GAP P]],MATCH(Table5[[#This Row],[PID]],Batters[[#All],[PID]],0)),INDEX(Table3[[#All],[MOV P]],MATCH(Table5[[#This Row],[PID]],Table3[[#All],[PID]],0)))</f>
        <v>5</v>
      </c>
      <c r="N466" s="56">
        <f>IF($C466="B",INDEX(Batters[[#All],[POW P]],MATCH(Table5[[#This Row],[PID]],Batters[[#All],[PID]],0)),INDEX(Table3[[#All],[CON P]],MATCH(Table5[[#This Row],[PID]],Table3[[#All],[PID]],0)))</f>
        <v>4</v>
      </c>
      <c r="O466" s="56">
        <f>IF($C466="B",INDEX(Batters[[#All],[EYE P]],MATCH(Table5[[#This Row],[PID]],Batters[[#All],[PID]],0)),INDEX(Table3[[#All],[VELO]],MATCH(Table5[[#This Row],[PID]],Table3[[#All],[PID]],0)))</f>
        <v>5</v>
      </c>
      <c r="P466" s="56">
        <f>IF($C466="B",INDEX(Batters[[#All],[K P]],MATCH(Table5[[#This Row],[PID]],Batters[[#All],[PID]],0)),INDEX(Table3[[#All],[STM]],MATCH(Table5[[#This Row],[PID]],Table3[[#All],[PID]],0)))</f>
        <v>3</v>
      </c>
      <c r="Q466" s="61">
        <f>IF($C466="B",INDEX(Batters[[#All],[Tot]],MATCH(Table5[[#This Row],[PID]],Batters[[#All],[PID]],0)),INDEX(Table3[[#All],[Tot]],MATCH(Table5[[#This Row],[PID]],Table3[[#All],[PID]],0)))</f>
        <v>44.041736235942949</v>
      </c>
      <c r="R466" s="52">
        <f>IF($C466="B",INDEX(Batters[[#All],[zScore]],MATCH(Table5[[#This Row],[PID]],Batters[[#All],[PID]],0)),INDEX(Table3[[#All],[zScore]],MATCH(Table5[[#This Row],[PID]],Table3[[#All],[PID]],0)))</f>
        <v>-1.9998722496663558E-2</v>
      </c>
      <c r="S466" s="58" t="str">
        <f>IF($C466="B",INDEX(Batters[[#All],[DEM]],MATCH(Table5[[#This Row],[PID]],Batters[[#All],[PID]],0)),INDEX(Table3[[#All],[DEM]],MATCH(Table5[[#This Row],[PID]],Table3[[#All],[PID]],0)))</f>
        <v>$2.0m</v>
      </c>
      <c r="T466" s="62">
        <f>IF($C466="B",INDEX(Batters[[#All],[Rnk]],MATCH(Table5[[#This Row],[PID]],Batters[[#All],[PID]],0)),INDEX(Table3[[#All],[Rnk]],MATCH(Table5[[#This Row],[PID]],Table3[[#All],[PID]],0)))</f>
        <v>247</v>
      </c>
      <c r="U466" s="68">
        <f>IF($C466="B",VLOOKUP($A466,Bat!$A$4:$BA$1621,47,FALSE),VLOOKUP($A466,Pit!$A$4:$BF$1557,56,FALSE))</f>
        <v>0</v>
      </c>
      <c r="V466" s="50">
        <f>IF($C466="B",VLOOKUP($A466,Bat!$A$4:$BA$1621,48,FALSE),VLOOKUP($A466,Pit!$A$4:$BF$1557,57,FALSE))</f>
        <v>0</v>
      </c>
      <c r="W466" s="50">
        <f>Table5[[#This Row],[posRnk]]+Table5[[#This Row],[zRnk]]+IF($W$3&lt;&gt;Table5[[#This Row],[Type]],50,0)</f>
        <v>859</v>
      </c>
      <c r="X466" s="51">
        <f>RANK(Table5[[#This Row],[zScore]],Table5[[#All],[zScore]])</f>
        <v>562</v>
      </c>
      <c r="Y466" s="50">
        <f>IFERROR(INDEX(DraftResults[[#All],[OVR]],MATCH(Table5[[#This Row],[PID]],DraftResults[[#All],[Player ID]],0)),"")</f>
        <v>462</v>
      </c>
      <c r="Z4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6" s="50">
        <f>IFERROR(INDEX(DraftResults[[#All],[Pick in Round]],MATCH(Table5[[#This Row],[PID]],DraftResults[[#All],[Player ID]],0)),"")</f>
        <v>4</v>
      </c>
      <c r="AB466" s="50" t="str">
        <f>IFERROR(INDEX(DraftResults[[#All],[Team Name]],MATCH(Table5[[#This Row],[PID]],DraftResults[[#All],[Player ID]],0)),"")</f>
        <v>Tempe Knights</v>
      </c>
      <c r="AC466" s="50">
        <f>IF(Table5[[#This Row],[Ovr]]="","",IF(Table5[[#This Row],[cmbList]]="","",Table5[[#This Row],[cmbList]]-Table5[[#This Row],[Ovr]]))</f>
        <v>397</v>
      </c>
      <c r="AD466" s="54" t="str">
        <f>IF(ISERROR(VLOOKUP($AB466&amp;"-"&amp;$E466&amp;" "&amp;F466,Bonuses!$B$1:$G$1006,4,FALSE)),"",INT(VLOOKUP($AB466&amp;"-"&amp;$E466&amp;" "&amp;$F466,Bonuses!$B$1:$G$1006,4,FALSE)))</f>
        <v/>
      </c>
      <c r="AE4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16.4 (462) - LF Jered McLeod</v>
      </c>
    </row>
    <row r="467" spans="1:31" s="50" customFormat="1" x14ac:dyDescent="0.25">
      <c r="A467" s="50">
        <v>20313</v>
      </c>
      <c r="B467" s="50">
        <f>COUNTIF(Table5[PID],A467)</f>
        <v>1</v>
      </c>
      <c r="C467" s="50" t="str">
        <f>IF(COUNTIF(Table3[[#All],[PID]],A467)&gt;0,"P","B")</f>
        <v>B</v>
      </c>
      <c r="D467" s="59" t="str">
        <f>IF($C467="B",INDEX(Batters[[#All],[POS]],MATCH(Table5[[#This Row],[PID]],Batters[[#All],[PID]],0)),INDEX(Table3[[#All],[POS]],MATCH(Table5[[#This Row],[PID]],Table3[[#All],[PID]],0)))</f>
        <v>3B</v>
      </c>
      <c r="E467" s="52" t="str">
        <f>IF($C467="B",INDEX(Batters[[#All],[First]],MATCH(Table5[[#This Row],[PID]],Batters[[#All],[PID]],0)),INDEX(Table3[[#All],[First]],MATCH(Table5[[#This Row],[PID]],Table3[[#All],[PID]],0)))</f>
        <v>Kwang-sub</v>
      </c>
      <c r="F467" s="50" t="str">
        <f>IF($C467="B",INDEX(Batters[[#All],[Last]],MATCH(A467,Batters[[#All],[PID]],0)),INDEX(Table3[[#All],[Last]],MATCH(A467,Table3[[#All],[PID]],0)))</f>
        <v>Pak</v>
      </c>
      <c r="G467" s="56">
        <f>IF($C467="B",INDEX(Batters[[#All],[Age]],MATCH(Table5[[#This Row],[PID]],Batters[[#All],[PID]],0)),INDEX(Table3[[#All],[Age]],MATCH(Table5[[#This Row],[PID]],Table3[[#All],[PID]],0)))</f>
        <v>18</v>
      </c>
      <c r="H467" s="52" t="str">
        <f>IF($C467="B",INDEX(Batters[[#All],[B]],MATCH(Table5[[#This Row],[PID]],Batters[[#All],[PID]],0)),INDEX(Table3[[#All],[B]],MATCH(Table5[[#This Row],[PID]],Table3[[#All],[PID]],0)))</f>
        <v>R</v>
      </c>
      <c r="I467" s="52" t="str">
        <f>IF($C467="B",INDEX(Batters[[#All],[T]],MATCH(Table5[[#This Row],[PID]],Batters[[#All],[PID]],0)),INDEX(Table3[[#All],[T]],MATCH(Table5[[#This Row],[PID]],Table3[[#All],[PID]],0)))</f>
        <v>R</v>
      </c>
      <c r="J467" s="52" t="str">
        <f>IF($C467="B",INDEX(Batters[[#All],[WE]],MATCH(Table5[[#This Row],[PID]],Batters[[#All],[PID]],0)),INDEX(Table3[[#All],[WE]],MATCH(Table5[[#This Row],[PID]],Table3[[#All],[PID]],0)))</f>
        <v>Normal</v>
      </c>
      <c r="K467" s="52" t="str">
        <f>IF($C467="B",INDEX(Batters[[#All],[INT]],MATCH(Table5[[#This Row],[PID]],Batters[[#All],[PID]],0)),INDEX(Table3[[#All],[INT]],MATCH(Table5[[#This Row],[PID]],Table3[[#All],[PID]],0)))</f>
        <v>Normal</v>
      </c>
      <c r="L467" s="60">
        <f>IF($C467="B",INDEX(Batters[[#All],[CON P]],MATCH(Table5[[#This Row],[PID]],Batters[[#All],[PID]],0)),INDEX(Table3[[#All],[STU P]],MATCH(Table5[[#This Row],[PID]],Table3[[#All],[PID]],0)))</f>
        <v>3</v>
      </c>
      <c r="M467" s="56">
        <f>IF($C467="B",INDEX(Batters[[#All],[GAP P]],MATCH(Table5[[#This Row],[PID]],Batters[[#All],[PID]],0)),INDEX(Table3[[#All],[MOV P]],MATCH(Table5[[#This Row],[PID]],Table3[[#All],[PID]],0)))</f>
        <v>6</v>
      </c>
      <c r="N467" s="56">
        <f>IF($C467="B",INDEX(Batters[[#All],[POW P]],MATCH(Table5[[#This Row],[PID]],Batters[[#All],[PID]],0)),INDEX(Table3[[#All],[CON P]],MATCH(Table5[[#This Row],[PID]],Table3[[#All],[PID]],0)))</f>
        <v>7</v>
      </c>
      <c r="O467" s="56">
        <f>IF($C467="B",INDEX(Batters[[#All],[EYE P]],MATCH(Table5[[#This Row],[PID]],Batters[[#All],[PID]],0)),INDEX(Table3[[#All],[VELO]],MATCH(Table5[[#This Row],[PID]],Table3[[#All],[PID]],0)))</f>
        <v>5</v>
      </c>
      <c r="P467" s="56">
        <f>IF($C467="B",INDEX(Batters[[#All],[K P]],MATCH(Table5[[#This Row],[PID]],Batters[[#All],[PID]],0)),INDEX(Table3[[#All],[STM]],MATCH(Table5[[#This Row],[PID]],Table3[[#All],[PID]],0)))</f>
        <v>2</v>
      </c>
      <c r="Q467" s="61">
        <f>IF($C467="B",INDEX(Batters[[#All],[Tot]],MATCH(Table5[[#This Row],[PID]],Batters[[#All],[PID]],0)),INDEX(Table3[[#All],[Tot]],MATCH(Table5[[#This Row],[PID]],Table3[[#All],[PID]],0)))</f>
        <v>46.404132695191407</v>
      </c>
      <c r="R467" s="52">
        <f>IF($C467="B",INDEX(Batters[[#All],[zScore]],MATCH(Table5[[#This Row],[PID]],Batters[[#All],[PID]],0)),INDEX(Table3[[#All],[zScore]],MATCH(Table5[[#This Row],[PID]],Table3[[#All],[PID]],0)))</f>
        <v>0.50376054083680777</v>
      </c>
      <c r="S467" s="58" t="str">
        <f>IF($C467="B",INDEX(Batters[[#All],[DEM]],MATCH(Table5[[#This Row],[PID]],Batters[[#All],[PID]],0)),INDEX(Table3[[#All],[DEM]],MATCH(Table5[[#This Row],[PID]],Table3[[#All],[PID]],0)))</f>
        <v>$38k</v>
      </c>
      <c r="T467" s="62">
        <f>IF($C467="B",INDEX(Batters[[#All],[Rnk]],MATCH(Table5[[#This Row],[PID]],Batters[[#All],[PID]],0)),INDEX(Table3[[#All],[Rnk]],MATCH(Table5[[#This Row],[PID]],Table3[[#All],[PID]],0)))</f>
        <v>151</v>
      </c>
      <c r="U467" s="68">
        <f>IF($C467="B",VLOOKUP($A467,Bat!$A$4:$BA$1621,47,FALSE),VLOOKUP($A467,Pit!$A$4:$BF$1557,56,FALSE))</f>
        <v>0</v>
      </c>
      <c r="V467" s="50">
        <f>IF($C467="B",VLOOKUP($A467,Bat!$A$4:$BA$1621,48,FALSE),VLOOKUP($A467,Pit!$A$4:$BF$1557,57,FALSE))</f>
        <v>0</v>
      </c>
      <c r="W467" s="50">
        <f>Table5[[#This Row],[posRnk]]+Table5[[#This Row],[zRnk]]+IF($W$3&lt;&gt;Table5[[#This Row],[Type]],50,0)</f>
        <v>567</v>
      </c>
      <c r="X467" s="51">
        <f>RANK(Table5[[#This Row],[zScore]],Table5[[#All],[zScore]])</f>
        <v>366</v>
      </c>
      <c r="Y467" s="50">
        <f>IFERROR(INDEX(DraftResults[[#All],[OVR]],MATCH(Table5[[#This Row],[PID]],DraftResults[[#All],[Player ID]],0)),"")</f>
        <v>463</v>
      </c>
      <c r="Z4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7" s="50">
        <f>IFERROR(INDEX(DraftResults[[#All],[Pick in Round]],MATCH(Table5[[#This Row],[PID]],DraftResults[[#All],[Player ID]],0)),"")</f>
        <v>5</v>
      </c>
      <c r="AB467" s="50" t="str">
        <f>IFERROR(INDEX(DraftResults[[#All],[Team Name]],MATCH(Table5[[#This Row],[PID]],DraftResults[[#All],[Player ID]],0)),"")</f>
        <v>Okinawa Shisa</v>
      </c>
      <c r="AC467" s="50">
        <f>IF(Table5[[#This Row],[Ovr]]="","",IF(Table5[[#This Row],[cmbList]]="","",Table5[[#This Row],[cmbList]]-Table5[[#This Row],[Ovr]]))</f>
        <v>104</v>
      </c>
      <c r="AD467" s="54" t="str">
        <f>IF(ISERROR(VLOOKUP($AB467&amp;"-"&amp;$E467&amp;" "&amp;F467,Bonuses!$B$1:$G$1006,4,FALSE)),"",INT(VLOOKUP($AB467&amp;"-"&amp;$E467&amp;" "&amp;$F467,Bonuses!$B$1:$G$1006,4,FALSE)))</f>
        <v/>
      </c>
      <c r="AE4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16.5 (463) - 3B Kwang-sub Pak</v>
      </c>
    </row>
    <row r="468" spans="1:31" s="50" customFormat="1" x14ac:dyDescent="0.25">
      <c r="A468" s="50">
        <v>20367</v>
      </c>
      <c r="B468" s="55">
        <f>COUNTIF(Table5[PID],A468)</f>
        <v>1</v>
      </c>
      <c r="C468" s="55" t="str">
        <f>IF(COUNTIF(Table3[[#All],[PID]],A468)&gt;0,"P","B")</f>
        <v>B</v>
      </c>
      <c r="D468" s="59" t="str">
        <f>IF($C468="B",INDEX(Batters[[#All],[POS]],MATCH(Table5[[#This Row],[PID]],Batters[[#All],[PID]],0)),INDEX(Table3[[#All],[POS]],MATCH(Table5[[#This Row],[PID]],Table3[[#All],[PID]],0)))</f>
        <v>3B</v>
      </c>
      <c r="E468" s="52" t="str">
        <f>IF($C468="B",INDEX(Batters[[#All],[First]],MATCH(Table5[[#This Row],[PID]],Batters[[#All],[PID]],0)),INDEX(Table3[[#All],[First]],MATCH(Table5[[#This Row],[PID]],Table3[[#All],[PID]],0)))</f>
        <v>Elton</v>
      </c>
      <c r="F468" s="50" t="str">
        <f>IF($C468="B",INDEX(Batters[[#All],[Last]],MATCH(A468,Batters[[#All],[PID]],0)),INDEX(Table3[[#All],[Last]],MATCH(A468,Table3[[#All],[PID]],0)))</f>
        <v>Davis</v>
      </c>
      <c r="G468" s="56">
        <f>IF($C468="B",INDEX(Batters[[#All],[Age]],MATCH(Table5[[#This Row],[PID]],Batters[[#All],[PID]],0)),INDEX(Table3[[#All],[Age]],MATCH(Table5[[#This Row],[PID]],Table3[[#All],[PID]],0)))</f>
        <v>17</v>
      </c>
      <c r="H468" s="52" t="str">
        <f>IF($C468="B",INDEX(Batters[[#All],[B]],MATCH(Table5[[#This Row],[PID]],Batters[[#All],[PID]],0)),INDEX(Table3[[#All],[B]],MATCH(Table5[[#This Row],[PID]],Table3[[#All],[PID]],0)))</f>
        <v>R</v>
      </c>
      <c r="I468" s="52" t="str">
        <f>IF($C468="B",INDEX(Batters[[#All],[T]],MATCH(Table5[[#This Row],[PID]],Batters[[#All],[PID]],0)),INDEX(Table3[[#All],[T]],MATCH(Table5[[#This Row],[PID]],Table3[[#All],[PID]],0)))</f>
        <v>R</v>
      </c>
      <c r="J468" s="52" t="str">
        <f>IF($C468="B",INDEX(Batters[[#All],[WE]],MATCH(Table5[[#This Row],[PID]],Batters[[#All],[PID]],0)),INDEX(Table3[[#All],[WE]],MATCH(Table5[[#This Row],[PID]],Table3[[#All],[PID]],0)))</f>
        <v>Low</v>
      </c>
      <c r="K468" s="52" t="str">
        <f>IF($C468="B",INDEX(Batters[[#All],[INT]],MATCH(Table5[[#This Row],[PID]],Batters[[#All],[PID]],0)),INDEX(Table3[[#All],[INT]],MATCH(Table5[[#This Row],[PID]],Table3[[#All],[PID]],0)))</f>
        <v>Normal</v>
      </c>
      <c r="L468" s="60">
        <f>IF($C468="B",INDEX(Batters[[#All],[CON P]],MATCH(Table5[[#This Row],[PID]],Batters[[#All],[PID]],0)),INDEX(Table3[[#All],[STU P]],MATCH(Table5[[#This Row],[PID]],Table3[[#All],[PID]],0)))</f>
        <v>4</v>
      </c>
      <c r="M468" s="56">
        <f>IF($C468="B",INDEX(Batters[[#All],[GAP P]],MATCH(Table5[[#This Row],[PID]],Batters[[#All],[PID]],0)),INDEX(Table3[[#All],[MOV P]],MATCH(Table5[[#This Row],[PID]],Table3[[#All],[PID]],0)))</f>
        <v>4</v>
      </c>
      <c r="N468" s="56">
        <f>IF($C468="B",INDEX(Batters[[#All],[POW P]],MATCH(Table5[[#This Row],[PID]],Batters[[#All],[PID]],0)),INDEX(Table3[[#All],[CON P]],MATCH(Table5[[#This Row],[PID]],Table3[[#All],[PID]],0)))</f>
        <v>5</v>
      </c>
      <c r="O468" s="56">
        <f>IF($C468="B",INDEX(Batters[[#All],[EYE P]],MATCH(Table5[[#This Row],[PID]],Batters[[#All],[PID]],0)),INDEX(Table3[[#All],[VELO]],MATCH(Table5[[#This Row],[PID]],Table3[[#All],[PID]],0)))</f>
        <v>5</v>
      </c>
      <c r="P468" s="56">
        <f>IF($C468="B",INDEX(Batters[[#All],[K P]],MATCH(Table5[[#This Row],[PID]],Batters[[#All],[PID]],0)),INDEX(Table3[[#All],[STM]],MATCH(Table5[[#This Row],[PID]],Table3[[#All],[PID]],0)))</f>
        <v>3</v>
      </c>
      <c r="Q468" s="61">
        <f>IF($C468="B",INDEX(Batters[[#All],[Tot]],MATCH(Table5[[#This Row],[PID]],Batters[[#All],[PID]],0)),INDEX(Table3[[#All],[Tot]],MATCH(Table5[[#This Row],[PID]],Table3[[#All],[PID]],0)))</f>
        <v>47.072673702641723</v>
      </c>
      <c r="R468" s="52">
        <f>IF($C468="B",INDEX(Batters[[#All],[zScore]],MATCH(Table5[[#This Row],[PID]],Batters[[#All],[PID]],0)),INDEX(Table3[[#All],[zScore]],MATCH(Table5[[#This Row],[PID]],Table3[[#All],[PID]],0)))</f>
        <v>0.65198060110636458</v>
      </c>
      <c r="S468" s="58" t="str">
        <f>IF($C468="B",INDEX(Batters[[#All],[DEM]],MATCH(Table5[[#This Row],[PID]],Batters[[#All],[PID]],0)),INDEX(Table3[[#All],[DEM]],MATCH(Table5[[#This Row],[PID]],Table3[[#All],[PID]],0)))</f>
        <v>$65k</v>
      </c>
      <c r="T468" s="62">
        <f>IF($C468="B",INDEX(Batters[[#All],[Rnk]],MATCH(Table5[[#This Row],[PID]],Batters[[#All],[PID]],0)),INDEX(Table3[[#All],[Rnk]],MATCH(Table5[[#This Row],[PID]],Table3[[#All],[PID]],0)))</f>
        <v>128</v>
      </c>
      <c r="U468" s="68">
        <f>IF($C468="B",VLOOKUP($A468,Bat!$A$4:$BA$1621,47,FALSE),VLOOKUP($A468,Pit!$A$4:$BF$1557,56,FALSE))</f>
        <v>0</v>
      </c>
      <c r="V468" s="50">
        <f>IF($C468="B",VLOOKUP($A468,Bat!$A$4:$BA$1621,48,FALSE),VLOOKUP($A468,Pit!$A$4:$BF$1557,57,FALSE))</f>
        <v>0</v>
      </c>
      <c r="W468" s="50">
        <f>Table5[[#This Row],[posRnk]]+Table5[[#This Row],[zRnk]]+IF($W$3&lt;&gt;Table5[[#This Row],[Type]],50,0)</f>
        <v>499</v>
      </c>
      <c r="X468" s="51">
        <f>RANK(Table5[[#This Row],[zScore]],Table5[[#All],[zScore]])</f>
        <v>321</v>
      </c>
      <c r="Y468" s="50">
        <f>IFERROR(INDEX(DraftResults[[#All],[OVR]],MATCH(Table5[[#This Row],[PID]],DraftResults[[#All],[Player ID]],0)),"")</f>
        <v>464</v>
      </c>
      <c r="Z4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8" s="50">
        <f>IFERROR(INDEX(DraftResults[[#All],[Pick in Round]],MATCH(Table5[[#This Row],[PID]],DraftResults[[#All],[Player ID]],0)),"")</f>
        <v>6</v>
      </c>
      <c r="AB468" s="50" t="str">
        <f>IFERROR(INDEX(DraftResults[[#All],[Team Name]],MATCH(Table5[[#This Row],[PID]],DraftResults[[#All],[Player ID]],0)),"")</f>
        <v>Manchester Maulers</v>
      </c>
      <c r="AC468" s="50">
        <f>IF(Table5[[#This Row],[Ovr]]="","",IF(Table5[[#This Row],[cmbList]]="","",Table5[[#This Row],[cmbList]]-Table5[[#This Row],[Ovr]]))</f>
        <v>35</v>
      </c>
      <c r="AD468" s="54" t="str">
        <f>IF(ISERROR(VLOOKUP($AB468&amp;"-"&amp;$E468&amp;" "&amp;F468,Bonuses!$B$1:$G$1006,4,FALSE)),"",INT(VLOOKUP($AB468&amp;"-"&amp;$E468&amp;" "&amp;$F468,Bonuses!$B$1:$G$1006,4,FALSE)))</f>
        <v/>
      </c>
      <c r="AE4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16.6 (464) - 3B Elton Davis</v>
      </c>
    </row>
    <row r="469" spans="1:31" s="50" customFormat="1" x14ac:dyDescent="0.25">
      <c r="A469" s="68">
        <v>18014</v>
      </c>
      <c r="B469" s="69">
        <f>COUNTIF(Table5[PID],A469)</f>
        <v>1</v>
      </c>
      <c r="C469" s="69" t="str">
        <f>IF(COUNTIF(Table3[[#All],[PID]],A469)&gt;0,"P","B")</f>
        <v>P</v>
      </c>
      <c r="D469" s="59" t="str">
        <f>IF($C469="B",INDEX(Batters[[#All],[POS]],MATCH(Table5[[#This Row],[PID]],Batters[[#All],[PID]],0)),INDEX(Table3[[#All],[POS]],MATCH(Table5[[#This Row],[PID]],Table3[[#All],[PID]],0)))</f>
        <v>SP</v>
      </c>
      <c r="E469" s="52" t="str">
        <f>IF($C469="B",INDEX(Batters[[#All],[First]],MATCH(Table5[[#This Row],[PID]],Batters[[#All],[PID]],0)),INDEX(Table3[[#All],[First]],MATCH(Table5[[#This Row],[PID]],Table3[[#All],[PID]],0)))</f>
        <v>Stephen</v>
      </c>
      <c r="F469" s="55" t="str">
        <f>IF($C469="B",INDEX(Batters[[#All],[Last]],MATCH(A469,Batters[[#All],[PID]],0)),INDEX(Table3[[#All],[Last]],MATCH(A469,Table3[[#All],[PID]],0)))</f>
        <v>Rivera</v>
      </c>
      <c r="G469" s="56">
        <f>IF($C469="B",INDEX(Batters[[#All],[Age]],MATCH(Table5[[#This Row],[PID]],Batters[[#All],[PID]],0)),INDEX(Table3[[#All],[Age]],MATCH(Table5[[#This Row],[PID]],Table3[[#All],[PID]],0)))</f>
        <v>21</v>
      </c>
      <c r="H469" s="52" t="str">
        <f>IF($C469="B",INDEX(Batters[[#All],[B]],MATCH(Table5[[#This Row],[PID]],Batters[[#All],[PID]],0)),INDEX(Table3[[#All],[B]],MATCH(Table5[[#This Row],[PID]],Table3[[#All],[PID]],0)))</f>
        <v>S</v>
      </c>
      <c r="I469" s="52" t="str">
        <f>IF($C469="B",INDEX(Batters[[#All],[T]],MATCH(Table5[[#This Row],[PID]],Batters[[#All],[PID]],0)),INDEX(Table3[[#All],[T]],MATCH(Table5[[#This Row],[PID]],Table3[[#All],[PID]],0)))</f>
        <v>R</v>
      </c>
      <c r="J469" s="71" t="str">
        <f>IF($C469="B",INDEX(Batters[[#All],[WE]],MATCH(Table5[[#This Row],[PID]],Batters[[#All],[PID]],0)),INDEX(Table3[[#All],[WE]],MATCH(Table5[[#This Row],[PID]],Table3[[#All],[PID]],0)))</f>
        <v>Normal</v>
      </c>
      <c r="K469" s="52" t="str">
        <f>IF($C469="B",INDEX(Batters[[#All],[INT]],MATCH(Table5[[#This Row],[PID]],Batters[[#All],[PID]],0)),INDEX(Table3[[#All],[INT]],MATCH(Table5[[#This Row],[PID]],Table3[[#All],[PID]],0)))</f>
        <v>Normal</v>
      </c>
      <c r="L469" s="60">
        <f>IF($C469="B",INDEX(Batters[[#All],[CON P]],MATCH(Table5[[#This Row],[PID]],Batters[[#All],[PID]],0)),INDEX(Table3[[#All],[STU P]],MATCH(Table5[[#This Row],[PID]],Table3[[#All],[PID]],0)))</f>
        <v>5</v>
      </c>
      <c r="M469" s="72">
        <f>IF($C469="B",INDEX(Batters[[#All],[GAP P]],MATCH(Table5[[#This Row],[PID]],Batters[[#All],[PID]],0)),INDEX(Table3[[#All],[MOV P]],MATCH(Table5[[#This Row],[PID]],Table3[[#All],[PID]],0)))</f>
        <v>3</v>
      </c>
      <c r="N469" s="72">
        <f>IF($C469="B",INDEX(Batters[[#All],[POW P]],MATCH(Table5[[#This Row],[PID]],Batters[[#All],[PID]],0)),INDEX(Table3[[#All],[CON P]],MATCH(Table5[[#This Row],[PID]],Table3[[#All],[PID]],0)))</f>
        <v>3</v>
      </c>
      <c r="O469" s="72" t="str">
        <f>IF($C469="B",INDEX(Batters[[#All],[EYE P]],MATCH(Table5[[#This Row],[PID]],Batters[[#All],[PID]],0)),INDEX(Table3[[#All],[VELO]],MATCH(Table5[[#This Row],[PID]],Table3[[#All],[PID]],0)))</f>
        <v>89-91 Mph</v>
      </c>
      <c r="P469" s="56">
        <f>IF($C469="B",INDEX(Batters[[#All],[K P]],MATCH(Table5[[#This Row],[PID]],Batters[[#All],[PID]],0)),INDEX(Table3[[#All],[STM]],MATCH(Table5[[#This Row],[PID]],Table3[[#All],[PID]],0)))</f>
        <v>7</v>
      </c>
      <c r="Q469" s="61">
        <f>IF($C469="B",INDEX(Batters[[#All],[Tot]],MATCH(Table5[[#This Row],[PID]],Batters[[#All],[PID]],0)),INDEX(Table3[[#All],[Tot]],MATCH(Table5[[#This Row],[PID]],Table3[[#All],[PID]],0)))</f>
        <v>40.517421619370324</v>
      </c>
      <c r="R469" s="52">
        <f>IF($C469="B",INDEX(Batters[[#All],[zScore]],MATCH(Table5[[#This Row],[PID]],Batters[[#All],[PID]],0)),INDEX(Table3[[#All],[zScore]],MATCH(Table5[[#This Row],[PID]],Table3[[#All],[PID]],0)))</f>
        <v>0.18588390701461693</v>
      </c>
      <c r="S469" s="78" t="str">
        <f>IF($C469="B",INDEX(Batters[[#All],[DEM]],MATCH(Table5[[#This Row],[PID]],Batters[[#All],[PID]],0)),INDEX(Table3[[#All],[DEM]],MATCH(Table5[[#This Row],[PID]],Table3[[#All],[PID]],0)))</f>
        <v>-</v>
      </c>
      <c r="T469" s="75">
        <f>IF($C469="B",INDEX(Batters[[#All],[Rnk]],MATCH(Table5[[#This Row],[PID]],Batters[[#All],[PID]],0)),INDEX(Table3[[#All],[Rnk]],MATCH(Table5[[#This Row],[PID]],Table3[[#All],[PID]],0)))</f>
        <v>270</v>
      </c>
      <c r="U469" s="68">
        <f>IF($C469="B",VLOOKUP($A469,Bat!$A$4:$BA$1621,47,FALSE),VLOOKUP($A469,Pit!$A$4:$BF$1557,56,FALSE))</f>
        <v>0</v>
      </c>
      <c r="V469" s="50">
        <f>IF($C469="B",VLOOKUP($A469,Bat!$A$4:$BA$1621,48,FALSE),VLOOKUP($A469,Pit!$A$4:$BF$1557,57,FALSE))</f>
        <v>0</v>
      </c>
      <c r="W469" s="69">
        <f>Table5[[#This Row],[posRnk]]+Table5[[#This Row],[zRnk]]+IF($W$3&lt;&gt;Table5[[#This Row],[Type]],50,0)</f>
        <v>798</v>
      </c>
      <c r="X469" s="73">
        <f>RANK(Table5[[#This Row],[zScore]],Table5[[#All],[zScore]])</f>
        <v>478</v>
      </c>
      <c r="Y469" s="69">
        <f>IFERROR(INDEX(DraftResults[[#All],[OVR]],MATCH(Table5[[#This Row],[PID]],DraftResults[[#All],[Player ID]],0)),"")</f>
        <v>465</v>
      </c>
      <c r="Z46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69" s="69">
        <f>IFERROR(INDEX(DraftResults[[#All],[Pick in Round]],MATCH(Table5[[#This Row],[PID]],DraftResults[[#All],[Player ID]],0)),"")</f>
        <v>7</v>
      </c>
      <c r="AB469" s="69" t="str">
        <f>IFERROR(INDEX(DraftResults[[#All],[Team Name]],MATCH(Table5[[#This Row],[PID]],DraftResults[[#All],[Player ID]],0)),"")</f>
        <v>Niihama-shi Ghosts</v>
      </c>
      <c r="AC469" s="69">
        <f>IF(Table5[[#This Row],[Ovr]]="","",IF(Table5[[#This Row],[cmbList]]="","",Table5[[#This Row],[cmbList]]-Table5[[#This Row],[Ovr]]))</f>
        <v>333</v>
      </c>
      <c r="AD469" s="77" t="str">
        <f>IF(ISERROR(VLOOKUP($AB469&amp;"-"&amp;$E469&amp;" "&amp;F469,Bonuses!$B$1:$G$1006,4,FALSE)),"",INT(VLOOKUP($AB469&amp;"-"&amp;$E469&amp;" "&amp;$F469,Bonuses!$B$1:$G$1006,4,FALSE)))</f>
        <v/>
      </c>
      <c r="AE46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16.7 (465) - SP Stephen Rivera</v>
      </c>
    </row>
    <row r="470" spans="1:31" s="50" customFormat="1" x14ac:dyDescent="0.25">
      <c r="A470" s="68">
        <v>13430</v>
      </c>
      <c r="B470" s="69">
        <f>COUNTIF(Table5[PID],A470)</f>
        <v>1</v>
      </c>
      <c r="C470" s="69" t="str">
        <f>IF(COUNTIF(Table3[[#All],[PID]],A470)&gt;0,"P","B")</f>
        <v>P</v>
      </c>
      <c r="D470" s="59" t="str">
        <f>IF($C470="B",INDEX(Batters[[#All],[POS]],MATCH(Table5[[#This Row],[PID]],Batters[[#All],[PID]],0)),INDEX(Table3[[#All],[POS]],MATCH(Table5[[#This Row],[PID]],Table3[[#All],[PID]],0)))</f>
        <v>SP</v>
      </c>
      <c r="E470" s="52" t="str">
        <f>IF($C470="B",INDEX(Batters[[#All],[First]],MATCH(Table5[[#This Row],[PID]],Batters[[#All],[PID]],0)),INDEX(Table3[[#All],[First]],MATCH(Table5[[#This Row],[PID]],Table3[[#All],[PID]],0)))</f>
        <v>Cole</v>
      </c>
      <c r="F470" s="55" t="str">
        <f>IF($C470="B",INDEX(Batters[[#All],[Last]],MATCH(A470,Batters[[#All],[PID]],0)),INDEX(Table3[[#All],[Last]],MATCH(A470,Table3[[#All],[PID]],0)))</f>
        <v>Smith</v>
      </c>
      <c r="G470" s="56">
        <f>IF($C470="B",INDEX(Batters[[#All],[Age]],MATCH(Table5[[#This Row],[PID]],Batters[[#All],[PID]],0)),INDEX(Table3[[#All],[Age]],MATCH(Table5[[#This Row],[PID]],Table3[[#All],[PID]],0)))</f>
        <v>18</v>
      </c>
      <c r="H470" s="52" t="str">
        <f>IF($C470="B",INDEX(Batters[[#All],[B]],MATCH(Table5[[#This Row],[PID]],Batters[[#All],[PID]],0)),INDEX(Table3[[#All],[B]],MATCH(Table5[[#This Row],[PID]],Table3[[#All],[PID]],0)))</f>
        <v>R</v>
      </c>
      <c r="I470" s="52" t="str">
        <f>IF($C470="B",INDEX(Batters[[#All],[T]],MATCH(Table5[[#This Row],[PID]],Batters[[#All],[PID]],0)),INDEX(Table3[[#All],[T]],MATCH(Table5[[#This Row],[PID]],Table3[[#All],[PID]],0)))</f>
        <v>R</v>
      </c>
      <c r="J470" s="71" t="str">
        <f>IF($C470="B",INDEX(Batters[[#All],[WE]],MATCH(Table5[[#This Row],[PID]],Batters[[#All],[PID]],0)),INDEX(Table3[[#All],[WE]],MATCH(Table5[[#This Row],[PID]],Table3[[#All],[PID]],0)))</f>
        <v>High</v>
      </c>
      <c r="K470" s="52" t="str">
        <f>IF($C470="B",INDEX(Batters[[#All],[INT]],MATCH(Table5[[#This Row],[PID]],Batters[[#All],[PID]],0)),INDEX(Table3[[#All],[INT]],MATCH(Table5[[#This Row],[PID]],Table3[[#All],[PID]],0)))</f>
        <v>Normal</v>
      </c>
      <c r="L470" s="60">
        <f>IF($C470="B",INDEX(Batters[[#All],[CON P]],MATCH(Table5[[#This Row],[PID]],Batters[[#All],[PID]],0)),INDEX(Table3[[#All],[STU P]],MATCH(Table5[[#This Row],[PID]],Table3[[#All],[PID]],0)))</f>
        <v>5</v>
      </c>
      <c r="M470" s="72">
        <f>IF($C470="B",INDEX(Batters[[#All],[GAP P]],MATCH(Table5[[#This Row],[PID]],Batters[[#All],[PID]],0)),INDEX(Table3[[#All],[MOV P]],MATCH(Table5[[#This Row],[PID]],Table3[[#All],[PID]],0)))</f>
        <v>2</v>
      </c>
      <c r="N470" s="72">
        <f>IF($C470="B",INDEX(Batters[[#All],[POW P]],MATCH(Table5[[#This Row],[PID]],Batters[[#All],[PID]],0)),INDEX(Table3[[#All],[CON P]],MATCH(Table5[[#This Row],[PID]],Table3[[#All],[PID]],0)))</f>
        <v>3</v>
      </c>
      <c r="O470" s="72" t="str">
        <f>IF($C470="B",INDEX(Batters[[#All],[EYE P]],MATCH(Table5[[#This Row],[PID]],Batters[[#All],[PID]],0)),INDEX(Table3[[#All],[VELO]],MATCH(Table5[[#This Row],[PID]],Table3[[#All],[PID]],0)))</f>
        <v>90-92 Mph</v>
      </c>
      <c r="P470" s="56">
        <f>IF($C470="B",INDEX(Batters[[#All],[K P]],MATCH(Table5[[#This Row],[PID]],Batters[[#All],[PID]],0)),INDEX(Table3[[#All],[STM]],MATCH(Table5[[#This Row],[PID]],Table3[[#All],[PID]],0)))</f>
        <v>6</v>
      </c>
      <c r="Q470" s="61">
        <f>IF($C470="B",INDEX(Batters[[#All],[Tot]],MATCH(Table5[[#This Row],[PID]],Batters[[#All],[PID]],0)),INDEX(Table3[[#All],[Tot]],MATCH(Table5[[#This Row],[PID]],Table3[[#All],[PID]],0)))</f>
        <v>41.423583423796124</v>
      </c>
      <c r="R470" s="52">
        <f>IF($C470="B",INDEX(Batters[[#All],[zScore]],MATCH(Table5[[#This Row],[PID]],Batters[[#All],[PID]],0)),INDEX(Table3[[#All],[zScore]],MATCH(Table5[[#This Row],[PID]],Table3[[#All],[PID]],0)))</f>
        <v>0.3360589874031043</v>
      </c>
      <c r="S470" s="78" t="str">
        <f>IF($C470="B",INDEX(Batters[[#All],[DEM]],MATCH(Table5[[#This Row],[PID]],Batters[[#All],[PID]],0)),INDEX(Table3[[#All],[DEM]],MATCH(Table5[[#This Row],[PID]],Table3[[#All],[PID]],0)))</f>
        <v>$75k</v>
      </c>
      <c r="T470" s="75">
        <f>IF($C470="B",INDEX(Batters[[#All],[Rnk]],MATCH(Table5[[#This Row],[PID]],Batters[[#All],[PID]],0)),INDEX(Table3[[#All],[Rnk]],MATCH(Table5[[#This Row],[PID]],Table3[[#All],[PID]],0)))</f>
        <v>235</v>
      </c>
      <c r="U470" s="68">
        <f>IF($C470="B",VLOOKUP($A470,Bat!$A$4:$BA$1621,47,FALSE),VLOOKUP($A470,Pit!$A$4:$BF$1557,56,FALSE))</f>
        <v>0</v>
      </c>
      <c r="V470" s="50">
        <f>IF($C470="B",VLOOKUP($A470,Bat!$A$4:$BA$1621,48,FALSE),VLOOKUP($A470,Pit!$A$4:$BF$1557,57,FALSE))</f>
        <v>0</v>
      </c>
      <c r="W470" s="69">
        <f>Table5[[#This Row],[posRnk]]+Table5[[#This Row],[zRnk]]+IF($W$3&lt;&gt;Table5[[#This Row],[Type]],50,0)</f>
        <v>689</v>
      </c>
      <c r="X470" s="73">
        <f>RANK(Table5[[#This Row],[zScore]],Table5[[#All],[zScore]])</f>
        <v>404</v>
      </c>
      <c r="Y470" s="69">
        <f>IFERROR(INDEX(DraftResults[[#All],[OVR]],MATCH(Table5[[#This Row],[PID]],DraftResults[[#All],[Player ID]],0)),"")</f>
        <v>466</v>
      </c>
      <c r="Z47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0" s="69">
        <f>IFERROR(INDEX(DraftResults[[#All],[Pick in Round]],MATCH(Table5[[#This Row],[PID]],DraftResults[[#All],[Player ID]],0)),"")</f>
        <v>8</v>
      </c>
      <c r="AB470" s="69" t="str">
        <f>IFERROR(INDEX(DraftResults[[#All],[Team Name]],MATCH(Table5[[#This Row],[PID]],DraftResults[[#All],[Player ID]],0)),"")</f>
        <v>London Underground</v>
      </c>
      <c r="AC470" s="69">
        <f>IF(Table5[[#This Row],[Ovr]]="","",IF(Table5[[#This Row],[cmbList]]="","",Table5[[#This Row],[cmbList]]-Table5[[#This Row],[Ovr]]))</f>
        <v>223</v>
      </c>
      <c r="AD470" s="77" t="str">
        <f>IF(ISERROR(VLOOKUP($AB470&amp;"-"&amp;$E470&amp;" "&amp;F470,Bonuses!$B$1:$G$1006,4,FALSE)),"",INT(VLOOKUP($AB470&amp;"-"&amp;$E470&amp;" "&amp;$F470,Bonuses!$B$1:$G$1006,4,FALSE)))</f>
        <v/>
      </c>
      <c r="AE47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16.8 (466) - SP Cole Smith</v>
      </c>
    </row>
    <row r="471" spans="1:31" s="50" customFormat="1" x14ac:dyDescent="0.25">
      <c r="A471" s="50">
        <v>20642</v>
      </c>
      <c r="B471" s="55">
        <f>COUNTIF(Table5[PID],A471)</f>
        <v>1</v>
      </c>
      <c r="C471" s="55" t="str">
        <f>IF(COUNTIF(Table3[[#All],[PID]],A471)&gt;0,"P","B")</f>
        <v>B</v>
      </c>
      <c r="D471" s="59" t="str">
        <f>IF($C471="B",INDEX(Batters[[#All],[POS]],MATCH(Table5[[#This Row],[PID]],Batters[[#All],[PID]],0)),INDEX(Table3[[#All],[POS]],MATCH(Table5[[#This Row],[PID]],Table3[[#All],[PID]],0)))</f>
        <v>3B</v>
      </c>
      <c r="E471" s="52" t="str">
        <f>IF($C471="B",INDEX(Batters[[#All],[First]],MATCH(Table5[[#This Row],[PID]],Batters[[#All],[PID]],0)),INDEX(Table3[[#All],[First]],MATCH(Table5[[#This Row],[PID]],Table3[[#All],[PID]],0)))</f>
        <v>Gwang-oo</v>
      </c>
      <c r="F471" s="50" t="str">
        <f>IF($C471="B",INDEX(Batters[[#All],[Last]],MATCH(A471,Batters[[#All],[PID]],0)),INDEX(Table3[[#All],[Last]],MATCH(A471,Table3[[#All],[PID]],0)))</f>
        <v>Chon</v>
      </c>
      <c r="G471" s="56">
        <f>IF($C471="B",INDEX(Batters[[#All],[Age]],MATCH(Table5[[#This Row],[PID]],Batters[[#All],[PID]],0)),INDEX(Table3[[#All],[Age]],MATCH(Table5[[#This Row],[PID]],Table3[[#All],[PID]],0)))</f>
        <v>18</v>
      </c>
      <c r="H471" s="52" t="str">
        <f>IF($C471="B",INDEX(Batters[[#All],[B]],MATCH(Table5[[#This Row],[PID]],Batters[[#All],[PID]],0)),INDEX(Table3[[#All],[B]],MATCH(Table5[[#This Row],[PID]],Table3[[#All],[PID]],0)))</f>
        <v>R</v>
      </c>
      <c r="I471" s="52" t="str">
        <f>IF($C471="B",INDEX(Batters[[#All],[T]],MATCH(Table5[[#This Row],[PID]],Batters[[#All],[PID]],0)),INDEX(Table3[[#All],[T]],MATCH(Table5[[#This Row],[PID]],Table3[[#All],[PID]],0)))</f>
        <v>R</v>
      </c>
      <c r="J471" s="52" t="str">
        <f>IF($C471="B",INDEX(Batters[[#All],[WE]],MATCH(Table5[[#This Row],[PID]],Batters[[#All],[PID]],0)),INDEX(Table3[[#All],[WE]],MATCH(Table5[[#This Row],[PID]],Table3[[#All],[PID]],0)))</f>
        <v>High</v>
      </c>
      <c r="K471" s="52" t="str">
        <f>IF($C471="B",INDEX(Batters[[#All],[INT]],MATCH(Table5[[#This Row],[PID]],Batters[[#All],[PID]],0)),INDEX(Table3[[#All],[INT]],MATCH(Table5[[#This Row],[PID]],Table3[[#All],[PID]],0)))</f>
        <v>High</v>
      </c>
      <c r="L471" s="60">
        <f>IF($C471="B",INDEX(Batters[[#All],[CON P]],MATCH(Table5[[#This Row],[PID]],Batters[[#All],[PID]],0)),INDEX(Table3[[#All],[STU P]],MATCH(Table5[[#This Row],[PID]],Table3[[#All],[PID]],0)))</f>
        <v>3</v>
      </c>
      <c r="M471" s="56">
        <f>IF($C471="B",INDEX(Batters[[#All],[GAP P]],MATCH(Table5[[#This Row],[PID]],Batters[[#All],[PID]],0)),INDEX(Table3[[#All],[MOV P]],MATCH(Table5[[#This Row],[PID]],Table3[[#All],[PID]],0)))</f>
        <v>3</v>
      </c>
      <c r="N471" s="56">
        <f>IF($C471="B",INDEX(Batters[[#All],[POW P]],MATCH(Table5[[#This Row],[PID]],Batters[[#All],[PID]],0)),INDEX(Table3[[#All],[CON P]],MATCH(Table5[[#This Row],[PID]],Table3[[#All],[PID]],0)))</f>
        <v>4</v>
      </c>
      <c r="O471" s="56">
        <f>IF($C471="B",INDEX(Batters[[#All],[EYE P]],MATCH(Table5[[#This Row],[PID]],Batters[[#All],[PID]],0)),INDEX(Table3[[#All],[VELO]],MATCH(Table5[[#This Row],[PID]],Table3[[#All],[PID]],0)))</f>
        <v>6</v>
      </c>
      <c r="P471" s="56">
        <f>IF($C471="B",INDEX(Batters[[#All],[K P]],MATCH(Table5[[#This Row],[PID]],Batters[[#All],[PID]],0)),INDEX(Table3[[#All],[STM]],MATCH(Table5[[#This Row],[PID]],Table3[[#All],[PID]],0)))</f>
        <v>4</v>
      </c>
      <c r="Q471" s="61">
        <f>IF($C471="B",INDEX(Batters[[#All],[Tot]],MATCH(Table5[[#This Row],[PID]],Batters[[#All],[PID]],0)),INDEX(Table3[[#All],[Tot]],MATCH(Table5[[#This Row],[PID]],Table3[[#All],[PID]],0)))</f>
        <v>44.203259496400051</v>
      </c>
      <c r="R471" s="52">
        <f>IF($C471="B",INDEX(Batters[[#All],[zScore]],MATCH(Table5[[#This Row],[PID]],Batters[[#All],[PID]],0)),INDEX(Table3[[#All],[zScore]],MATCH(Table5[[#This Row],[PID]],Table3[[#All],[PID]],0)))</f>
        <v>1.5812076142590017E-2</v>
      </c>
      <c r="S471" s="58" t="str">
        <f>IF($C471="B",INDEX(Batters[[#All],[DEM]],MATCH(Table5[[#This Row],[PID]],Batters[[#All],[PID]],0)),INDEX(Table3[[#All],[DEM]],MATCH(Table5[[#This Row],[PID]],Table3[[#All],[PID]],0)))</f>
        <v>$65k</v>
      </c>
      <c r="T471" s="62">
        <f>IF($C471="B",INDEX(Batters[[#All],[Rnk]],MATCH(Table5[[#This Row],[PID]],Batters[[#All],[PID]],0)),INDEX(Table3[[#All],[Rnk]],MATCH(Table5[[#This Row],[PID]],Table3[[#All],[PID]],0)))</f>
        <v>242</v>
      </c>
      <c r="U471" s="68">
        <f>IF($C471="B",VLOOKUP($A471,Bat!$A$4:$BA$1621,47,FALSE),VLOOKUP($A471,Pit!$A$4:$BF$1557,56,FALSE))</f>
        <v>0</v>
      </c>
      <c r="V471" s="50">
        <f>IF($C471="B",VLOOKUP($A471,Bat!$A$4:$BA$1621,48,FALSE),VLOOKUP($A471,Pit!$A$4:$BF$1557,57,FALSE))</f>
        <v>0</v>
      </c>
      <c r="W471" s="50">
        <f>Table5[[#This Row],[posRnk]]+Table5[[#This Row],[zRnk]]+IF($W$3&lt;&gt;Table5[[#This Row],[Type]],50,0)</f>
        <v>837</v>
      </c>
      <c r="X471" s="51">
        <f>RANK(Table5[[#This Row],[zScore]],Table5[[#All],[zScore]])</f>
        <v>545</v>
      </c>
      <c r="Y471" s="50">
        <f>IFERROR(INDEX(DraftResults[[#All],[OVR]],MATCH(Table5[[#This Row],[PID]],DraftResults[[#All],[Player ID]],0)),"")</f>
        <v>467</v>
      </c>
      <c r="Z4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1" s="50">
        <f>IFERROR(INDEX(DraftResults[[#All],[Pick in Round]],MATCH(Table5[[#This Row],[PID]],DraftResults[[#All],[Player ID]],0)),"")</f>
        <v>9</v>
      </c>
      <c r="AB471" s="50" t="str">
        <f>IFERROR(INDEX(DraftResults[[#All],[Team Name]],MATCH(Table5[[#This Row],[PID]],DraftResults[[#All],[Player ID]],0)),"")</f>
        <v>Scottish Claymores</v>
      </c>
      <c r="AC471" s="50">
        <f>IF(Table5[[#This Row],[Ovr]]="","",IF(Table5[[#This Row],[cmbList]]="","",Table5[[#This Row],[cmbList]]-Table5[[#This Row],[Ovr]]))</f>
        <v>370</v>
      </c>
      <c r="AD471" s="54" t="str">
        <f>IF(ISERROR(VLOOKUP($AB471&amp;"-"&amp;$E471&amp;" "&amp;F471,Bonuses!$B$1:$G$1006,4,FALSE)),"",INT(VLOOKUP($AB471&amp;"-"&amp;$E471&amp;" "&amp;$F471,Bonuses!$B$1:$G$1006,4,FALSE)))</f>
        <v/>
      </c>
      <c r="AE4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16.9 (467) - 3B Gwang-oo Chon</v>
      </c>
    </row>
    <row r="472" spans="1:31" s="50" customFormat="1" x14ac:dyDescent="0.25">
      <c r="A472" s="50">
        <v>18344</v>
      </c>
      <c r="B472" s="50">
        <f>COUNTIF(Table5[PID],A472)</f>
        <v>1</v>
      </c>
      <c r="C472" s="50" t="str">
        <f>IF(COUNTIF(Table3[[#All],[PID]],A472)&gt;0,"P","B")</f>
        <v>P</v>
      </c>
      <c r="D472" s="59" t="str">
        <f>IF($C472="B",INDEX(Batters[[#All],[POS]],MATCH(Table5[[#This Row],[PID]],Batters[[#All],[PID]],0)),INDEX(Table3[[#All],[POS]],MATCH(Table5[[#This Row],[PID]],Table3[[#All],[PID]],0)))</f>
        <v>RP</v>
      </c>
      <c r="E472" s="52" t="str">
        <f>IF($C472="B",INDEX(Batters[[#All],[First]],MATCH(Table5[[#This Row],[PID]],Batters[[#All],[PID]],0)),INDEX(Table3[[#All],[First]],MATCH(Table5[[#This Row],[PID]],Table3[[#All],[PID]],0)))</f>
        <v>César</v>
      </c>
      <c r="F472" s="50" t="str">
        <f>IF($C472="B",INDEX(Batters[[#All],[Last]],MATCH(A472,Batters[[#All],[PID]],0)),INDEX(Table3[[#All],[Last]],MATCH(A472,Table3[[#All],[PID]],0)))</f>
        <v>Mejía</v>
      </c>
      <c r="G472" s="56">
        <f>IF($C472="B",INDEX(Batters[[#All],[Age]],MATCH(Table5[[#This Row],[PID]],Batters[[#All],[PID]],0)),INDEX(Table3[[#All],[Age]],MATCH(Table5[[#This Row],[PID]],Table3[[#All],[PID]],0)))</f>
        <v>18</v>
      </c>
      <c r="H472" s="52" t="str">
        <f>IF($C472="B",INDEX(Batters[[#All],[B]],MATCH(Table5[[#This Row],[PID]],Batters[[#All],[PID]],0)),INDEX(Table3[[#All],[B]],MATCH(Table5[[#This Row],[PID]],Table3[[#All],[PID]],0)))</f>
        <v>R</v>
      </c>
      <c r="I472" s="52" t="str">
        <f>IF($C472="B",INDEX(Batters[[#All],[T]],MATCH(Table5[[#This Row],[PID]],Batters[[#All],[PID]],0)),INDEX(Table3[[#All],[T]],MATCH(Table5[[#This Row],[PID]],Table3[[#All],[PID]],0)))</f>
        <v>R</v>
      </c>
      <c r="J472" s="52" t="str">
        <f>IF($C472="B",INDEX(Batters[[#All],[WE]],MATCH(Table5[[#This Row],[PID]],Batters[[#All],[PID]],0)),INDEX(Table3[[#All],[WE]],MATCH(Table5[[#This Row],[PID]],Table3[[#All],[PID]],0)))</f>
        <v>Normal</v>
      </c>
      <c r="K472" s="52" t="str">
        <f>IF($C472="B",INDEX(Batters[[#All],[INT]],MATCH(Table5[[#This Row],[PID]],Batters[[#All],[PID]],0)),INDEX(Table3[[#All],[INT]],MATCH(Table5[[#This Row],[PID]],Table3[[#All],[PID]],0)))</f>
        <v>Normal</v>
      </c>
      <c r="L472" s="60">
        <f>IF($C472="B",INDEX(Batters[[#All],[CON P]],MATCH(Table5[[#This Row],[PID]],Batters[[#All],[PID]],0)),INDEX(Table3[[#All],[STU P]],MATCH(Table5[[#This Row],[PID]],Table3[[#All],[PID]],0)))</f>
        <v>4</v>
      </c>
      <c r="M472" s="56">
        <f>IF($C472="B",INDEX(Batters[[#All],[GAP P]],MATCH(Table5[[#This Row],[PID]],Batters[[#All],[PID]],0)),INDEX(Table3[[#All],[MOV P]],MATCH(Table5[[#This Row],[PID]],Table3[[#All],[PID]],0)))</f>
        <v>5</v>
      </c>
      <c r="N472" s="56">
        <f>IF($C472="B",INDEX(Batters[[#All],[POW P]],MATCH(Table5[[#This Row],[PID]],Batters[[#All],[PID]],0)),INDEX(Table3[[#All],[CON P]],MATCH(Table5[[#This Row],[PID]],Table3[[#All],[PID]],0)))</f>
        <v>3</v>
      </c>
      <c r="O472" s="56" t="str">
        <f>IF($C472="B",INDEX(Batters[[#All],[EYE P]],MATCH(Table5[[#This Row],[PID]],Batters[[#All],[PID]],0)),INDEX(Table3[[#All],[VELO]],MATCH(Table5[[#This Row],[PID]],Table3[[#All],[PID]],0)))</f>
        <v>87-89 Mph</v>
      </c>
      <c r="P472" s="56">
        <f>IF($C472="B",INDEX(Batters[[#All],[K P]],MATCH(Table5[[#This Row],[PID]],Batters[[#All],[PID]],0)),INDEX(Table3[[#All],[STM]],MATCH(Table5[[#This Row],[PID]],Table3[[#All],[PID]],0)))</f>
        <v>8</v>
      </c>
      <c r="Q472" s="61">
        <f>IF($C472="B",INDEX(Batters[[#All],[Tot]],MATCH(Table5[[#This Row],[PID]],Batters[[#All],[PID]],0)),INDEX(Table3[[#All],[Tot]],MATCH(Table5[[#This Row],[PID]],Table3[[#All],[PID]],0)))</f>
        <v>46.176777443103056</v>
      </c>
      <c r="R472" s="52">
        <f>IF($C472="B",INDEX(Batters[[#All],[zScore]],MATCH(Table5[[#This Row],[PID]],Batters[[#All],[PID]],0)),INDEX(Table3[[#All],[zScore]],MATCH(Table5[[#This Row],[PID]],Table3[[#All],[PID]],0)))</f>
        <v>0.68565915657490317</v>
      </c>
      <c r="S472" s="58" t="str">
        <f>IF($C472="B",INDEX(Batters[[#All],[DEM]],MATCH(Table5[[#This Row],[PID]],Batters[[#All],[PID]],0)),INDEX(Table3[[#All],[DEM]],MATCH(Table5[[#This Row],[PID]],Table3[[#All],[PID]],0)))</f>
        <v>$65k</v>
      </c>
      <c r="T472" s="62">
        <f>IF($C472="B",INDEX(Batters[[#All],[Rnk]],MATCH(Table5[[#This Row],[PID]],Batters[[#All],[PID]],0)),INDEX(Table3[[#All],[Rnk]],MATCH(Table5[[#This Row],[PID]],Table3[[#All],[PID]],0)))</f>
        <v>189</v>
      </c>
      <c r="U472" s="68">
        <f>IF($C472="B",VLOOKUP($A472,Bat!$A$4:$BA$1621,47,FALSE),VLOOKUP($A472,Pit!$A$4:$BF$1557,56,FALSE))</f>
        <v>0</v>
      </c>
      <c r="V472" s="50">
        <f>IF($C472="B",VLOOKUP($A472,Bat!$A$4:$BA$1621,48,FALSE),VLOOKUP($A472,Pit!$A$4:$BF$1557,57,FALSE))</f>
        <v>0</v>
      </c>
      <c r="W472" s="50">
        <f>Table5[[#This Row],[posRnk]]+Table5[[#This Row],[zRnk]]+IF($W$3&lt;&gt;Table5[[#This Row],[Type]],50,0)</f>
        <v>548</v>
      </c>
      <c r="X472" s="51">
        <f>RANK(Table5[[#This Row],[zScore]],Table5[[#All],[zScore]])</f>
        <v>309</v>
      </c>
      <c r="Y472" s="50">
        <f>IFERROR(INDEX(DraftResults[[#All],[OVR]],MATCH(Table5[[#This Row],[PID]],DraftResults[[#All],[Player ID]],0)),"")</f>
        <v>468</v>
      </c>
      <c r="Z4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2" s="50">
        <f>IFERROR(INDEX(DraftResults[[#All],[Pick in Round]],MATCH(Table5[[#This Row],[PID]],DraftResults[[#All],[Player ID]],0)),"")</f>
        <v>10</v>
      </c>
      <c r="AB472" s="50" t="str">
        <f>IFERROR(INDEX(DraftResults[[#All],[Team Name]],MATCH(Table5[[#This Row],[PID]],DraftResults[[#All],[Player ID]],0)),"")</f>
        <v>Hartford Harpoon</v>
      </c>
      <c r="AC472" s="50">
        <f>IF(Table5[[#This Row],[Ovr]]="","",IF(Table5[[#This Row],[cmbList]]="","",Table5[[#This Row],[cmbList]]-Table5[[#This Row],[Ovr]]))</f>
        <v>80</v>
      </c>
      <c r="AD472" s="54" t="str">
        <f>IF(ISERROR(VLOOKUP($AB472&amp;"-"&amp;$E472&amp;" "&amp;F472,Bonuses!$B$1:$G$1006,4,FALSE)),"",INT(VLOOKUP($AB472&amp;"-"&amp;$E472&amp;" "&amp;$F472,Bonuses!$B$1:$G$1006,4,FALSE)))</f>
        <v/>
      </c>
      <c r="AE4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16.10 (468) - RP César Mejía</v>
      </c>
    </row>
    <row r="473" spans="1:31" s="50" customFormat="1" x14ac:dyDescent="0.25">
      <c r="A473" s="68">
        <v>18054</v>
      </c>
      <c r="B473" s="69">
        <f>COUNTIF(Table5[PID],A473)</f>
        <v>1</v>
      </c>
      <c r="C473" s="69" t="str">
        <f>IF(COUNTIF(Table3[[#All],[PID]],A473)&gt;0,"P","B")</f>
        <v>P</v>
      </c>
      <c r="D473" s="59" t="str">
        <f>IF($C473="B",INDEX(Batters[[#All],[POS]],MATCH(Table5[[#This Row],[PID]],Batters[[#All],[PID]],0)),INDEX(Table3[[#All],[POS]],MATCH(Table5[[#This Row],[PID]],Table3[[#All],[PID]],0)))</f>
        <v>SP</v>
      </c>
      <c r="E473" s="52" t="str">
        <f>IF($C473="B",INDEX(Batters[[#All],[First]],MATCH(Table5[[#This Row],[PID]],Batters[[#All],[PID]],0)),INDEX(Table3[[#All],[First]],MATCH(Table5[[#This Row],[PID]],Table3[[#All],[PID]],0)))</f>
        <v>Steve</v>
      </c>
      <c r="F473" s="55" t="str">
        <f>IF($C473="B",INDEX(Batters[[#All],[Last]],MATCH(A473,Batters[[#All],[PID]],0)),INDEX(Table3[[#All],[Last]],MATCH(A473,Table3[[#All],[PID]],0)))</f>
        <v>Jones</v>
      </c>
      <c r="G473" s="56">
        <f>IF($C473="B",INDEX(Batters[[#All],[Age]],MATCH(Table5[[#This Row],[PID]],Batters[[#All],[PID]],0)),INDEX(Table3[[#All],[Age]],MATCH(Table5[[#This Row],[PID]],Table3[[#All],[PID]],0)))</f>
        <v>21</v>
      </c>
      <c r="H473" s="52" t="str">
        <f>IF($C473="B",INDEX(Batters[[#All],[B]],MATCH(Table5[[#This Row],[PID]],Batters[[#All],[PID]],0)),INDEX(Table3[[#All],[B]],MATCH(Table5[[#This Row],[PID]],Table3[[#All],[PID]],0)))</f>
        <v>L</v>
      </c>
      <c r="I473" s="52" t="str">
        <f>IF($C473="B",INDEX(Batters[[#All],[T]],MATCH(Table5[[#This Row],[PID]],Batters[[#All],[PID]],0)),INDEX(Table3[[#All],[T]],MATCH(Table5[[#This Row],[PID]],Table3[[#All],[PID]],0)))</f>
        <v>L</v>
      </c>
      <c r="J473" s="71" t="str">
        <f>IF($C473="B",INDEX(Batters[[#All],[WE]],MATCH(Table5[[#This Row],[PID]],Batters[[#All],[PID]],0)),INDEX(Table3[[#All],[WE]],MATCH(Table5[[#This Row],[PID]],Table3[[#All],[PID]],0)))</f>
        <v>Low</v>
      </c>
      <c r="K473" s="52" t="str">
        <f>IF($C473="B",INDEX(Batters[[#All],[INT]],MATCH(Table5[[#This Row],[PID]],Batters[[#All],[PID]],0)),INDEX(Table3[[#All],[INT]],MATCH(Table5[[#This Row],[PID]],Table3[[#All],[PID]],0)))</f>
        <v>Low</v>
      </c>
      <c r="L473" s="60">
        <f>IF($C473="B",INDEX(Batters[[#All],[CON P]],MATCH(Table5[[#This Row],[PID]],Batters[[#All],[PID]],0)),INDEX(Table3[[#All],[STU P]],MATCH(Table5[[#This Row],[PID]],Table3[[#All],[PID]],0)))</f>
        <v>4</v>
      </c>
      <c r="M473" s="72">
        <f>IF($C473="B",INDEX(Batters[[#All],[GAP P]],MATCH(Table5[[#This Row],[PID]],Batters[[#All],[PID]],0)),INDEX(Table3[[#All],[MOV P]],MATCH(Table5[[#This Row],[PID]],Table3[[#All],[PID]],0)))</f>
        <v>2</v>
      </c>
      <c r="N473" s="72">
        <f>IF($C473="B",INDEX(Batters[[#All],[POW P]],MATCH(Table5[[#This Row],[PID]],Batters[[#All],[PID]],0)),INDEX(Table3[[#All],[CON P]],MATCH(Table5[[#This Row],[PID]],Table3[[#All],[PID]],0)))</f>
        <v>3</v>
      </c>
      <c r="O473" s="72" t="str">
        <f>IF($C473="B",INDEX(Batters[[#All],[EYE P]],MATCH(Table5[[#This Row],[PID]],Batters[[#All],[PID]],0)),INDEX(Table3[[#All],[VELO]],MATCH(Table5[[#This Row],[PID]],Table3[[#All],[PID]],0)))</f>
        <v>91-93 Mph</v>
      </c>
      <c r="P473" s="56">
        <f>IF($C473="B",INDEX(Batters[[#All],[K P]],MATCH(Table5[[#This Row],[PID]],Batters[[#All],[PID]],0)),INDEX(Table3[[#All],[STM]],MATCH(Table5[[#This Row],[PID]],Table3[[#All],[PID]],0)))</f>
        <v>10</v>
      </c>
      <c r="Q473" s="61">
        <f>IF($C473="B",INDEX(Batters[[#All],[Tot]],MATCH(Table5[[#This Row],[PID]],Batters[[#All],[PID]],0)),INDEX(Table3[[#All],[Tot]],MATCH(Table5[[#This Row],[PID]],Table3[[#All],[PID]],0)))</f>
        <v>31.200874457299726</v>
      </c>
      <c r="R473" s="52">
        <f>IF($C473="B",INDEX(Batters[[#All],[zScore]],MATCH(Table5[[#This Row],[PID]],Batters[[#All],[PID]],0)),INDEX(Table3[[#All],[zScore]],MATCH(Table5[[#This Row],[PID]],Table3[[#All],[PID]],0)))</f>
        <v>-0.31066478426082089</v>
      </c>
      <c r="S473" s="78" t="str">
        <f>IF($C473="B",INDEX(Batters[[#All],[DEM]],MATCH(Table5[[#This Row],[PID]],Batters[[#All],[PID]],0)),INDEX(Table3[[#All],[DEM]],MATCH(Table5[[#This Row],[PID]],Table3[[#All],[PID]],0)))</f>
        <v>-</v>
      </c>
      <c r="T473" s="75">
        <f>IF($C473="B",INDEX(Batters[[#All],[Rnk]],MATCH(Table5[[#This Row],[PID]],Batters[[#All],[PID]],0)),INDEX(Table3[[#All],[Rnk]],MATCH(Table5[[#This Row],[PID]],Table3[[#All],[PID]],0)))</f>
        <v>431</v>
      </c>
      <c r="U473" s="68">
        <f>IF($C473="B",VLOOKUP($A473,Bat!$A$4:$BA$1621,47,FALSE),VLOOKUP($A473,Pit!$A$4:$BF$1557,56,FALSE))</f>
        <v>0</v>
      </c>
      <c r="V473" s="50">
        <f>IF($C473="B",VLOOKUP($A473,Bat!$A$4:$BA$1621,48,FALSE),VLOOKUP($A473,Pit!$A$4:$BF$1557,57,FALSE))</f>
        <v>0</v>
      </c>
      <c r="W473" s="69">
        <f>Table5[[#This Row],[posRnk]]+Table5[[#This Row],[zRnk]]+IF($W$3&lt;&gt;Table5[[#This Row],[Type]],50,0)</f>
        <v>1215</v>
      </c>
      <c r="X473" s="73">
        <f>RANK(Table5[[#This Row],[zScore]],Table5[[#All],[zScore]])</f>
        <v>734</v>
      </c>
      <c r="Y473" s="69">
        <f>IFERROR(INDEX(DraftResults[[#All],[OVR]],MATCH(Table5[[#This Row],[PID]],DraftResults[[#All],[Player ID]],0)),"")</f>
        <v>469</v>
      </c>
      <c r="Z47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3" s="69">
        <f>IFERROR(INDEX(DraftResults[[#All],[Pick in Round]],MATCH(Table5[[#This Row],[PID]],DraftResults[[#All],[Player ID]],0)),"")</f>
        <v>11</v>
      </c>
      <c r="AB473" s="69" t="str">
        <f>IFERROR(INDEX(DraftResults[[#All],[Team Name]],MATCH(Table5[[#This Row],[PID]],DraftResults[[#All],[Player ID]],0)),"")</f>
        <v>Duluth Warriors</v>
      </c>
      <c r="AC473" s="69">
        <f>IF(Table5[[#This Row],[Ovr]]="","",IF(Table5[[#This Row],[cmbList]]="","",Table5[[#This Row],[cmbList]]-Table5[[#This Row],[Ovr]]))</f>
        <v>746</v>
      </c>
      <c r="AD473" s="77" t="str">
        <f>IF(ISERROR(VLOOKUP($AB473&amp;"-"&amp;$E473&amp;" "&amp;F473,Bonuses!$B$1:$G$1006,4,FALSE)),"",INT(VLOOKUP($AB473&amp;"-"&amp;$E473&amp;" "&amp;$F473,Bonuses!$B$1:$G$1006,4,FALSE)))</f>
        <v/>
      </c>
      <c r="AE47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16.11 (469) - SP Steve Jones</v>
      </c>
    </row>
    <row r="474" spans="1:31" s="50" customFormat="1" x14ac:dyDescent="0.25">
      <c r="A474" s="50">
        <v>13347</v>
      </c>
      <c r="B474" s="50">
        <f>COUNTIF(Table5[PID],A474)</f>
        <v>1</v>
      </c>
      <c r="C474" s="50" t="str">
        <f>IF(COUNTIF(Table3[[#All],[PID]],A474)&gt;0,"P","B")</f>
        <v>P</v>
      </c>
      <c r="D474" s="59" t="str">
        <f>IF($C474="B",INDEX(Batters[[#All],[POS]],MATCH(Table5[[#This Row],[PID]],Batters[[#All],[PID]],0)),INDEX(Table3[[#All],[POS]],MATCH(Table5[[#This Row],[PID]],Table3[[#All],[PID]],0)))</f>
        <v>RP</v>
      </c>
      <c r="E474" s="52" t="str">
        <f>IF($C474="B",INDEX(Batters[[#All],[First]],MATCH(Table5[[#This Row],[PID]],Batters[[#All],[PID]],0)),INDEX(Table3[[#All],[First]],MATCH(Table5[[#This Row],[PID]],Table3[[#All],[PID]],0)))</f>
        <v>Rafael</v>
      </c>
      <c r="F474" s="50" t="str">
        <f>IF($C474="B",INDEX(Batters[[#All],[Last]],MATCH(A474,Batters[[#All],[PID]],0)),INDEX(Table3[[#All],[Last]],MATCH(A474,Table3[[#All],[PID]],0)))</f>
        <v>García</v>
      </c>
      <c r="G474" s="56">
        <f>IF($C474="B",INDEX(Batters[[#All],[Age]],MATCH(Table5[[#This Row],[PID]],Batters[[#All],[PID]],0)),INDEX(Table3[[#All],[Age]],MATCH(Table5[[#This Row],[PID]],Table3[[#All],[PID]],0)))</f>
        <v>18</v>
      </c>
      <c r="H474" s="52" t="str">
        <f>IF($C474="B",INDEX(Batters[[#All],[B]],MATCH(Table5[[#This Row],[PID]],Batters[[#All],[PID]],0)),INDEX(Table3[[#All],[B]],MATCH(Table5[[#This Row],[PID]],Table3[[#All],[PID]],0)))</f>
        <v>R</v>
      </c>
      <c r="I474" s="52" t="str">
        <f>IF($C474="B",INDEX(Batters[[#All],[T]],MATCH(Table5[[#This Row],[PID]],Batters[[#All],[PID]],0)),INDEX(Table3[[#All],[T]],MATCH(Table5[[#This Row],[PID]],Table3[[#All],[PID]],0)))</f>
        <v>R</v>
      </c>
      <c r="J474" s="52" t="str">
        <f>IF($C474="B",INDEX(Batters[[#All],[WE]],MATCH(Table5[[#This Row],[PID]],Batters[[#All],[PID]],0)),INDEX(Table3[[#All],[WE]],MATCH(Table5[[#This Row],[PID]],Table3[[#All],[PID]],0)))</f>
        <v>Low</v>
      </c>
      <c r="K474" s="52" t="str">
        <f>IF($C474="B",INDEX(Batters[[#All],[INT]],MATCH(Table5[[#This Row],[PID]],Batters[[#All],[PID]],0)),INDEX(Table3[[#All],[INT]],MATCH(Table5[[#This Row],[PID]],Table3[[#All],[PID]],0)))</f>
        <v>High</v>
      </c>
      <c r="L474" s="60">
        <f>IF($C474="B",INDEX(Batters[[#All],[CON P]],MATCH(Table5[[#This Row],[PID]],Batters[[#All],[PID]],0)),INDEX(Table3[[#All],[STU P]],MATCH(Table5[[#This Row],[PID]],Table3[[#All],[PID]],0)))</f>
        <v>5</v>
      </c>
      <c r="M474" s="56">
        <f>IF($C474="B",INDEX(Batters[[#All],[GAP P]],MATCH(Table5[[#This Row],[PID]],Batters[[#All],[PID]],0)),INDEX(Table3[[#All],[MOV P]],MATCH(Table5[[#This Row],[PID]],Table3[[#All],[PID]],0)))</f>
        <v>4</v>
      </c>
      <c r="N474" s="56">
        <f>IF($C474="B",INDEX(Batters[[#All],[POW P]],MATCH(Table5[[#This Row],[PID]],Batters[[#All],[PID]],0)),INDEX(Table3[[#All],[CON P]],MATCH(Table5[[#This Row],[PID]],Table3[[#All],[PID]],0)))</f>
        <v>3</v>
      </c>
      <c r="O474" s="56" t="str">
        <f>IF($C474="B",INDEX(Batters[[#All],[EYE P]],MATCH(Table5[[#This Row],[PID]],Batters[[#All],[PID]],0)),INDEX(Table3[[#All],[VELO]],MATCH(Table5[[#This Row],[PID]],Table3[[#All],[PID]],0)))</f>
        <v>88-90 Mph</v>
      </c>
      <c r="P474" s="56">
        <f>IF($C474="B",INDEX(Batters[[#All],[K P]],MATCH(Table5[[#This Row],[PID]],Batters[[#All],[PID]],0)),INDEX(Table3[[#All],[STM]],MATCH(Table5[[#This Row],[PID]],Table3[[#All],[PID]],0)))</f>
        <v>5</v>
      </c>
      <c r="Q474" s="61">
        <f>IF($C474="B",INDEX(Batters[[#All],[Tot]],MATCH(Table5[[#This Row],[PID]],Batters[[#All],[PID]],0)),INDEX(Table3[[#All],[Tot]],MATCH(Table5[[#This Row],[PID]],Table3[[#All],[PID]],0)))</f>
        <v>40.039170364568278</v>
      </c>
      <c r="R474" s="52">
        <f>IF($C474="B",INDEX(Batters[[#All],[zScore]],MATCH(Table5[[#This Row],[PID]],Batters[[#All],[PID]],0)),INDEX(Table3[[#All],[zScore]],MATCH(Table5[[#This Row],[PID]],Table3[[#All],[PID]],0)))</f>
        <v>0.27733353657163062</v>
      </c>
      <c r="S474" s="58" t="str">
        <f>IF($C474="B",INDEX(Batters[[#All],[DEM]],MATCH(Table5[[#This Row],[PID]],Batters[[#All],[PID]],0)),INDEX(Table3[[#All],[DEM]],MATCH(Table5[[#This Row],[PID]],Table3[[#All],[PID]],0)))</f>
        <v>$75k</v>
      </c>
      <c r="T474" s="62">
        <f>IF($C474="B",INDEX(Batters[[#All],[Rnk]],MATCH(Table5[[#This Row],[PID]],Batters[[#All],[PID]],0)),INDEX(Table3[[#All],[Rnk]],MATCH(Table5[[#This Row],[PID]],Table3[[#All],[PID]],0)))</f>
        <v>245</v>
      </c>
      <c r="U474" s="68">
        <f>IF($C474="B",VLOOKUP($A474,Bat!$A$4:$BA$1621,47,FALSE),VLOOKUP($A474,Pit!$A$4:$BF$1557,56,FALSE))</f>
        <v>0</v>
      </c>
      <c r="V474" s="50">
        <f>IF($C474="B",VLOOKUP($A474,Bat!$A$4:$BA$1621,48,FALSE),VLOOKUP($A474,Pit!$A$4:$BF$1557,57,FALSE))</f>
        <v>0</v>
      </c>
      <c r="W474" s="50">
        <f>Table5[[#This Row],[posRnk]]+Table5[[#This Row],[zRnk]]+IF($W$3&lt;&gt;Table5[[#This Row],[Type]],50,0)</f>
        <v>718</v>
      </c>
      <c r="X474" s="51">
        <f>RANK(Table5[[#This Row],[zScore]],Table5[[#All],[zScore]])</f>
        <v>423</v>
      </c>
      <c r="Y474" s="50">
        <f>IFERROR(INDEX(DraftResults[[#All],[OVR]],MATCH(Table5[[#This Row],[PID]],DraftResults[[#All],[Player ID]],0)),"")</f>
        <v>470</v>
      </c>
      <c r="Z4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4" s="50">
        <f>IFERROR(INDEX(DraftResults[[#All],[Pick in Round]],MATCH(Table5[[#This Row],[PID]],DraftResults[[#All],[Player ID]],0)),"")</f>
        <v>12</v>
      </c>
      <c r="AB474" s="50" t="str">
        <f>IFERROR(INDEX(DraftResults[[#All],[Team Name]],MATCH(Table5[[#This Row],[PID]],DraftResults[[#All],[Player ID]],0)),"")</f>
        <v>Palm Springs Codgers</v>
      </c>
      <c r="AC474" s="50">
        <f>IF(Table5[[#This Row],[Ovr]]="","",IF(Table5[[#This Row],[cmbList]]="","",Table5[[#This Row],[cmbList]]-Table5[[#This Row],[Ovr]]))</f>
        <v>248</v>
      </c>
      <c r="AD474" s="54" t="str">
        <f>IF(ISERROR(VLOOKUP($AB474&amp;"-"&amp;$E474&amp;" "&amp;F474,Bonuses!$B$1:$G$1006,4,FALSE)),"",INT(VLOOKUP($AB474&amp;"-"&amp;$E474&amp;" "&amp;$F474,Bonuses!$B$1:$G$1006,4,FALSE)))</f>
        <v/>
      </c>
      <c r="AE4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16.12 (470) - RP Rafael García</v>
      </c>
    </row>
    <row r="475" spans="1:31" s="50" customFormat="1" x14ac:dyDescent="0.25">
      <c r="A475" s="50">
        <v>17586</v>
      </c>
      <c r="B475" s="50">
        <f>COUNTIF(Table5[PID],A475)</f>
        <v>1</v>
      </c>
      <c r="C475" s="50" t="str">
        <f>IF(COUNTIF(Table3[[#All],[PID]],A475)&gt;0,"P","B")</f>
        <v>B</v>
      </c>
      <c r="D475" s="59" t="str">
        <f>IF($C475="B",INDEX(Batters[[#All],[POS]],MATCH(Table5[[#This Row],[PID]],Batters[[#All],[PID]],0)),INDEX(Table3[[#All],[POS]],MATCH(Table5[[#This Row],[PID]],Table3[[#All],[PID]],0)))</f>
        <v>2B</v>
      </c>
      <c r="E475" s="52" t="str">
        <f>IF($C475="B",INDEX(Batters[[#All],[First]],MATCH(Table5[[#This Row],[PID]],Batters[[#All],[PID]],0)),INDEX(Table3[[#All],[First]],MATCH(Table5[[#This Row],[PID]],Table3[[#All],[PID]],0)))</f>
        <v>Richard</v>
      </c>
      <c r="F475" s="50" t="str">
        <f>IF($C475="B",INDEX(Batters[[#All],[Last]],MATCH(A475,Batters[[#All],[PID]],0)),INDEX(Table3[[#All],[Last]],MATCH(A475,Table3[[#All],[PID]],0)))</f>
        <v>Bailey</v>
      </c>
      <c r="G475" s="56">
        <f>IF($C475="B",INDEX(Batters[[#All],[Age]],MATCH(Table5[[#This Row],[PID]],Batters[[#All],[PID]],0)),INDEX(Table3[[#All],[Age]],MATCH(Table5[[#This Row],[PID]],Table3[[#All],[PID]],0)))</f>
        <v>18</v>
      </c>
      <c r="H475" s="52" t="str">
        <f>IF($C475="B",INDEX(Batters[[#All],[B]],MATCH(Table5[[#This Row],[PID]],Batters[[#All],[PID]],0)),INDEX(Table3[[#All],[B]],MATCH(Table5[[#This Row],[PID]],Table3[[#All],[PID]],0)))</f>
        <v>R</v>
      </c>
      <c r="I475" s="52" t="str">
        <f>IF($C475="B",INDEX(Batters[[#All],[T]],MATCH(Table5[[#This Row],[PID]],Batters[[#All],[PID]],0)),INDEX(Table3[[#All],[T]],MATCH(Table5[[#This Row],[PID]],Table3[[#All],[PID]],0)))</f>
        <v>R</v>
      </c>
      <c r="J475" s="52" t="str">
        <f>IF($C475="B",INDEX(Batters[[#All],[WE]],MATCH(Table5[[#This Row],[PID]],Batters[[#All],[PID]],0)),INDEX(Table3[[#All],[WE]],MATCH(Table5[[#This Row],[PID]],Table3[[#All],[PID]],0)))</f>
        <v>Normal</v>
      </c>
      <c r="K475" s="52" t="str">
        <f>IF($C475="B",INDEX(Batters[[#All],[INT]],MATCH(Table5[[#This Row],[PID]],Batters[[#All],[PID]],0)),INDEX(Table3[[#All],[INT]],MATCH(Table5[[#This Row],[PID]],Table3[[#All],[PID]],0)))</f>
        <v>Normal</v>
      </c>
      <c r="L475" s="60">
        <f>IF($C475="B",INDEX(Batters[[#All],[CON P]],MATCH(Table5[[#This Row],[PID]],Batters[[#All],[PID]],0)),INDEX(Table3[[#All],[STU P]],MATCH(Table5[[#This Row],[PID]],Table3[[#All],[PID]],0)))</f>
        <v>4</v>
      </c>
      <c r="M475" s="56">
        <f>IF($C475="B",INDEX(Batters[[#All],[GAP P]],MATCH(Table5[[#This Row],[PID]],Batters[[#All],[PID]],0)),INDEX(Table3[[#All],[MOV P]],MATCH(Table5[[#This Row],[PID]],Table3[[#All],[PID]],0)))</f>
        <v>3</v>
      </c>
      <c r="N475" s="56">
        <f>IF($C475="B",INDEX(Batters[[#All],[POW P]],MATCH(Table5[[#This Row],[PID]],Batters[[#All],[PID]],0)),INDEX(Table3[[#All],[CON P]],MATCH(Table5[[#This Row],[PID]],Table3[[#All],[PID]],0)))</f>
        <v>3</v>
      </c>
      <c r="O475" s="56">
        <f>IF($C475="B",INDEX(Batters[[#All],[EYE P]],MATCH(Table5[[#This Row],[PID]],Batters[[#All],[PID]],0)),INDEX(Table3[[#All],[VELO]],MATCH(Table5[[#This Row],[PID]],Table3[[#All],[PID]],0)))</f>
        <v>4</v>
      </c>
      <c r="P475" s="56">
        <f>IF($C475="B",INDEX(Batters[[#All],[K P]],MATCH(Table5[[#This Row],[PID]],Batters[[#All],[PID]],0)),INDEX(Table3[[#All],[STM]],MATCH(Table5[[#This Row],[PID]],Table3[[#All],[PID]],0)))</f>
        <v>4</v>
      </c>
      <c r="Q475" s="61">
        <f>IF($C475="B",INDEX(Batters[[#All],[Tot]],MATCH(Table5[[#This Row],[PID]],Batters[[#All],[PID]],0)),INDEX(Table3[[#All],[Tot]],MATCH(Table5[[#This Row],[PID]],Table3[[#All],[PID]],0)))</f>
        <v>45.2888067209675</v>
      </c>
      <c r="R475" s="52">
        <f>IF($C475="B",INDEX(Batters[[#All],[zScore]],MATCH(Table5[[#This Row],[PID]],Batters[[#All],[PID]],0)),INDEX(Table3[[#All],[zScore]],MATCH(Table5[[#This Row],[PID]],Table3[[#All],[PID]],0)))</f>
        <v>0.25648523344744706</v>
      </c>
      <c r="S475" s="58" t="str">
        <f>IF($C475="B",INDEX(Batters[[#All],[DEM]],MATCH(Table5[[#This Row],[PID]],Batters[[#All],[PID]],0)),INDEX(Table3[[#All],[DEM]],MATCH(Table5[[#This Row],[PID]],Table3[[#All],[PID]],0)))</f>
        <v>$65k</v>
      </c>
      <c r="T475" s="62">
        <f>IF($C475="B",INDEX(Batters[[#All],[Rnk]],MATCH(Table5[[#This Row],[PID]],Batters[[#All],[PID]],0)),INDEX(Table3[[#All],[Rnk]],MATCH(Table5[[#This Row],[PID]],Table3[[#All],[PID]],0)))</f>
        <v>184</v>
      </c>
      <c r="U475" s="68">
        <f>IF($C475="B",VLOOKUP($A475,Bat!$A$4:$BA$1621,47,FALSE),VLOOKUP($A475,Pit!$A$4:$BF$1557,56,FALSE))</f>
        <v>0</v>
      </c>
      <c r="V475" s="50">
        <f>IF($C475="B",VLOOKUP($A475,Bat!$A$4:$BA$1621,48,FALSE),VLOOKUP($A475,Pit!$A$4:$BF$1557,57,FALSE))</f>
        <v>0</v>
      </c>
      <c r="W475" s="50">
        <f>Table5[[#This Row],[posRnk]]+Table5[[#This Row],[zRnk]]+IF($W$3&lt;&gt;Table5[[#This Row],[Type]],50,0)</f>
        <v>668</v>
      </c>
      <c r="X475" s="51">
        <f>RANK(Table5[[#This Row],[zScore]],Table5[[#All],[zScore]])</f>
        <v>434</v>
      </c>
      <c r="Y475" s="50">
        <f>IFERROR(INDEX(DraftResults[[#All],[OVR]],MATCH(Table5[[#This Row],[PID]],DraftResults[[#All],[Player ID]],0)),"")</f>
        <v>471</v>
      </c>
      <c r="Z4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5" s="50">
        <f>IFERROR(INDEX(DraftResults[[#All],[Pick in Round]],MATCH(Table5[[#This Row],[PID]],DraftResults[[#All],[Player ID]],0)),"")</f>
        <v>13</v>
      </c>
      <c r="AB475" s="50" t="str">
        <f>IFERROR(INDEX(DraftResults[[#All],[Team Name]],MATCH(Table5[[#This Row],[PID]],DraftResults[[#All],[Player ID]],0)),"")</f>
        <v>Reno Zephyrs</v>
      </c>
      <c r="AC475" s="50">
        <f>IF(Table5[[#This Row],[Ovr]]="","",IF(Table5[[#This Row],[cmbList]]="","",Table5[[#This Row],[cmbList]]-Table5[[#This Row],[Ovr]]))</f>
        <v>197</v>
      </c>
      <c r="AD475" s="54" t="str">
        <f>IF(ISERROR(VLOOKUP($AB475&amp;"-"&amp;$E475&amp;" "&amp;F475,Bonuses!$B$1:$G$1006,4,FALSE)),"",INT(VLOOKUP($AB475&amp;"-"&amp;$E475&amp;" "&amp;$F475,Bonuses!$B$1:$G$1006,4,FALSE)))</f>
        <v/>
      </c>
      <c r="AE4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16.13 (471) - 2B Richard Bailey</v>
      </c>
    </row>
    <row r="476" spans="1:31" s="50" customFormat="1" x14ac:dyDescent="0.25">
      <c r="A476" s="68">
        <v>18334</v>
      </c>
      <c r="B476" s="69">
        <f>COUNTIF(Table5[PID],A476)</f>
        <v>1</v>
      </c>
      <c r="C476" s="69" t="str">
        <f>IF(COUNTIF(Table3[[#All],[PID]],A476)&gt;0,"P","B")</f>
        <v>P</v>
      </c>
      <c r="D476" s="59" t="str">
        <f>IF($C476="B",INDEX(Batters[[#All],[POS]],MATCH(Table5[[#This Row],[PID]],Batters[[#All],[PID]],0)),INDEX(Table3[[#All],[POS]],MATCH(Table5[[#This Row],[PID]],Table3[[#All],[PID]],0)))</f>
        <v>SP</v>
      </c>
      <c r="E476" s="52" t="str">
        <f>IF($C476="B",INDEX(Batters[[#All],[First]],MATCH(Table5[[#This Row],[PID]],Batters[[#All],[PID]],0)),INDEX(Table3[[#All],[First]],MATCH(Table5[[#This Row],[PID]],Table3[[#All],[PID]],0)))</f>
        <v>James</v>
      </c>
      <c r="F476" s="55" t="str">
        <f>IF($C476="B",INDEX(Batters[[#All],[Last]],MATCH(A476,Batters[[#All],[PID]],0)),INDEX(Table3[[#All],[Last]],MATCH(A476,Table3[[#All],[PID]],0)))</f>
        <v>MacWatters</v>
      </c>
      <c r="G476" s="56">
        <f>IF($C476="B",INDEX(Batters[[#All],[Age]],MATCH(Table5[[#This Row],[PID]],Batters[[#All],[PID]],0)),INDEX(Table3[[#All],[Age]],MATCH(Table5[[#This Row],[PID]],Table3[[#All],[PID]],0)))</f>
        <v>18</v>
      </c>
      <c r="H476" s="52" t="str">
        <f>IF($C476="B",INDEX(Batters[[#All],[B]],MATCH(Table5[[#This Row],[PID]],Batters[[#All],[PID]],0)),INDEX(Table3[[#All],[B]],MATCH(Table5[[#This Row],[PID]],Table3[[#All],[PID]],0)))</f>
        <v>R</v>
      </c>
      <c r="I476" s="52" t="str">
        <f>IF($C476="B",INDEX(Batters[[#All],[T]],MATCH(Table5[[#This Row],[PID]],Batters[[#All],[PID]],0)),INDEX(Table3[[#All],[T]],MATCH(Table5[[#This Row],[PID]],Table3[[#All],[PID]],0)))</f>
        <v>R</v>
      </c>
      <c r="J476" s="71" t="str">
        <f>IF($C476="B",INDEX(Batters[[#All],[WE]],MATCH(Table5[[#This Row],[PID]],Batters[[#All],[PID]],0)),INDEX(Table3[[#All],[WE]],MATCH(Table5[[#This Row],[PID]],Table3[[#All],[PID]],0)))</f>
        <v>Low</v>
      </c>
      <c r="K476" s="52" t="str">
        <f>IF($C476="B",INDEX(Batters[[#All],[INT]],MATCH(Table5[[#This Row],[PID]],Batters[[#All],[PID]],0)),INDEX(Table3[[#All],[INT]],MATCH(Table5[[#This Row],[PID]],Table3[[#All],[PID]],0)))</f>
        <v>Normal</v>
      </c>
      <c r="L476" s="60">
        <f>IF($C476="B",INDEX(Batters[[#All],[CON P]],MATCH(Table5[[#This Row],[PID]],Batters[[#All],[PID]],0)),INDEX(Table3[[#All],[STU P]],MATCH(Table5[[#This Row],[PID]],Table3[[#All],[PID]],0)))</f>
        <v>5</v>
      </c>
      <c r="M476" s="72">
        <f>IF($C476="B",INDEX(Batters[[#All],[GAP P]],MATCH(Table5[[#This Row],[PID]],Batters[[#All],[PID]],0)),INDEX(Table3[[#All],[MOV P]],MATCH(Table5[[#This Row],[PID]],Table3[[#All],[PID]],0)))</f>
        <v>5</v>
      </c>
      <c r="N476" s="72">
        <f>IF($C476="B",INDEX(Batters[[#All],[POW P]],MATCH(Table5[[#This Row],[PID]],Batters[[#All],[PID]],0)),INDEX(Table3[[#All],[CON P]],MATCH(Table5[[#This Row],[PID]],Table3[[#All],[PID]],0)))</f>
        <v>4</v>
      </c>
      <c r="O476" s="72" t="str">
        <f>IF($C476="B",INDEX(Batters[[#All],[EYE P]],MATCH(Table5[[#This Row],[PID]],Batters[[#All],[PID]],0)),INDEX(Table3[[#All],[VELO]],MATCH(Table5[[#This Row],[PID]],Table3[[#All],[PID]],0)))</f>
        <v>89-91 Mph</v>
      </c>
      <c r="P476" s="56">
        <f>IF($C476="B",INDEX(Batters[[#All],[K P]],MATCH(Table5[[#This Row],[PID]],Batters[[#All],[PID]],0)),INDEX(Table3[[#All],[STM]],MATCH(Table5[[#This Row],[PID]],Table3[[#All],[PID]],0)))</f>
        <v>5</v>
      </c>
      <c r="Q476" s="61">
        <f>IF($C476="B",INDEX(Batters[[#All],[Tot]],MATCH(Table5[[#This Row],[PID]],Batters[[#All],[PID]],0)),INDEX(Table3[[#All],[Tot]],MATCH(Table5[[#This Row],[PID]],Table3[[#All],[PID]],0)))</f>
        <v>55.77212757511078</v>
      </c>
      <c r="R476" s="52">
        <f>IF($C476="B",INDEX(Batters[[#All],[zScore]],MATCH(Table5[[#This Row],[PID]],Batters[[#All],[PID]],0)),INDEX(Table3[[#All],[zScore]],MATCH(Table5[[#This Row],[PID]],Table3[[#All],[PID]],0)))</f>
        <v>1.324023138117997</v>
      </c>
      <c r="S476" s="78" t="str">
        <f>IF($C476="B",INDEX(Batters[[#All],[DEM]],MATCH(Table5[[#This Row],[PID]],Batters[[#All],[PID]],0)),INDEX(Table3[[#All],[DEM]],MATCH(Table5[[#This Row],[PID]],Table3[[#All],[PID]],0)))</f>
        <v>$2.2m</v>
      </c>
      <c r="T476" s="75">
        <f>IF($C476="B",INDEX(Batters[[#All],[Rnk]],MATCH(Table5[[#This Row],[PID]],Batters[[#All],[PID]],0)),INDEX(Table3[[#All],[Rnk]],MATCH(Table5[[#This Row],[PID]],Table3[[#All],[PID]],0)))</f>
        <v>100</v>
      </c>
      <c r="U476" s="68">
        <f>IF($C476="B",VLOOKUP($A476,Bat!$A$4:$BA$1621,47,FALSE),VLOOKUP($A476,Pit!$A$4:$BF$1557,56,FALSE))</f>
        <v>0</v>
      </c>
      <c r="V476" s="50">
        <f>IF($C476="B",VLOOKUP($A476,Bat!$A$4:$BA$1621,48,FALSE),VLOOKUP($A476,Pit!$A$4:$BF$1557,57,FALSE))</f>
        <v>0</v>
      </c>
      <c r="W476" s="69">
        <f>Table5[[#This Row],[posRnk]]+Table5[[#This Row],[zRnk]]+IF($W$3&lt;&gt;Table5[[#This Row],[Type]],50,0)</f>
        <v>305</v>
      </c>
      <c r="X476" s="73">
        <f>RANK(Table5[[#This Row],[zScore]],Table5[[#All],[zScore]])</f>
        <v>155</v>
      </c>
      <c r="Y476" s="69">
        <f>IFERROR(INDEX(DraftResults[[#All],[OVR]],MATCH(Table5[[#This Row],[PID]],DraftResults[[#All],[Player ID]],0)),"")</f>
        <v>472</v>
      </c>
      <c r="Z47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6" s="69">
        <f>IFERROR(INDEX(DraftResults[[#All],[Pick in Round]],MATCH(Table5[[#This Row],[PID]],DraftResults[[#All],[Player ID]],0)),"")</f>
        <v>14</v>
      </c>
      <c r="AB476" s="69" t="str">
        <f>IFERROR(INDEX(DraftResults[[#All],[Team Name]],MATCH(Table5[[#This Row],[PID]],DraftResults[[#All],[Player ID]],0)),"")</f>
        <v>Arlington Bureaucrats</v>
      </c>
      <c r="AC476" s="69">
        <f>IF(Table5[[#This Row],[Ovr]]="","",IF(Table5[[#This Row],[cmbList]]="","",Table5[[#This Row],[cmbList]]-Table5[[#This Row],[Ovr]]))</f>
        <v>-167</v>
      </c>
      <c r="AD476" s="77" t="str">
        <f>IF(ISERROR(VLOOKUP($AB476&amp;"-"&amp;$E476&amp;" "&amp;F476,Bonuses!$B$1:$G$1006,4,FALSE)),"",INT(VLOOKUP($AB476&amp;"-"&amp;$E476&amp;" "&amp;$F476,Bonuses!$B$1:$G$1006,4,FALSE)))</f>
        <v/>
      </c>
      <c r="AE47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16.14 (472) - SP James MacWatters</v>
      </c>
    </row>
    <row r="477" spans="1:31" s="50" customFormat="1" x14ac:dyDescent="0.25">
      <c r="A477" s="50">
        <v>18015</v>
      </c>
      <c r="B477" s="50">
        <f>COUNTIF(Table5[PID],A477)</f>
        <v>1</v>
      </c>
      <c r="C477" s="50" t="str">
        <f>IF(COUNTIF(Table3[[#All],[PID]],A477)&gt;0,"P","B")</f>
        <v>B</v>
      </c>
      <c r="D477" s="59" t="str">
        <f>IF($C477="B",INDEX(Batters[[#All],[POS]],MATCH(Table5[[#This Row],[PID]],Batters[[#All],[PID]],0)),INDEX(Table3[[#All],[POS]],MATCH(Table5[[#This Row],[PID]],Table3[[#All],[PID]],0)))</f>
        <v>3B</v>
      </c>
      <c r="E477" s="52" t="str">
        <f>IF($C477="B",INDEX(Batters[[#All],[First]],MATCH(Table5[[#This Row],[PID]],Batters[[#All],[PID]],0)),INDEX(Table3[[#All],[First]],MATCH(Table5[[#This Row],[PID]],Table3[[#All],[PID]],0)))</f>
        <v>Mike</v>
      </c>
      <c r="F477" s="50" t="str">
        <f>IF($C477="B",INDEX(Batters[[#All],[Last]],MATCH(A477,Batters[[#All],[PID]],0)),INDEX(Table3[[#All],[Last]],MATCH(A477,Table3[[#All],[PID]],0)))</f>
        <v>Curtis</v>
      </c>
      <c r="G477" s="56">
        <f>IF($C477="B",INDEX(Batters[[#All],[Age]],MATCH(Table5[[#This Row],[PID]],Batters[[#All],[PID]],0)),INDEX(Table3[[#All],[Age]],MATCH(Table5[[#This Row],[PID]],Table3[[#All],[PID]],0)))</f>
        <v>21</v>
      </c>
      <c r="H477" s="52" t="str">
        <f>IF($C477="B",INDEX(Batters[[#All],[B]],MATCH(Table5[[#This Row],[PID]],Batters[[#All],[PID]],0)),INDEX(Table3[[#All],[B]],MATCH(Table5[[#This Row],[PID]],Table3[[#All],[PID]],0)))</f>
        <v>R</v>
      </c>
      <c r="I477" s="52" t="str">
        <f>IF($C477="B",INDEX(Batters[[#All],[T]],MATCH(Table5[[#This Row],[PID]],Batters[[#All],[PID]],0)),INDEX(Table3[[#All],[T]],MATCH(Table5[[#This Row],[PID]],Table3[[#All],[PID]],0)))</f>
        <v>R</v>
      </c>
      <c r="J477" s="52" t="str">
        <f>IF($C477="B",INDEX(Batters[[#All],[WE]],MATCH(Table5[[#This Row],[PID]],Batters[[#All],[PID]],0)),INDEX(Table3[[#All],[WE]],MATCH(Table5[[#This Row],[PID]],Table3[[#All],[PID]],0)))</f>
        <v>Low</v>
      </c>
      <c r="K477" s="52" t="str">
        <f>IF($C477="B",INDEX(Batters[[#All],[INT]],MATCH(Table5[[#This Row],[PID]],Batters[[#All],[PID]],0)),INDEX(Table3[[#All],[INT]],MATCH(Table5[[#This Row],[PID]],Table3[[#All],[PID]],0)))</f>
        <v>High</v>
      </c>
      <c r="L477" s="60">
        <f>IF($C477="B",INDEX(Batters[[#All],[CON P]],MATCH(Table5[[#This Row],[PID]],Batters[[#All],[PID]],0)),INDEX(Table3[[#All],[STU P]],MATCH(Table5[[#This Row],[PID]],Table3[[#All],[PID]],0)))</f>
        <v>3</v>
      </c>
      <c r="M477" s="56">
        <f>IF($C477="B",INDEX(Batters[[#All],[GAP P]],MATCH(Table5[[#This Row],[PID]],Batters[[#All],[PID]],0)),INDEX(Table3[[#All],[MOV P]],MATCH(Table5[[#This Row],[PID]],Table3[[#All],[PID]],0)))</f>
        <v>5</v>
      </c>
      <c r="N477" s="56">
        <f>IF($C477="B",INDEX(Batters[[#All],[POW P]],MATCH(Table5[[#This Row],[PID]],Batters[[#All],[PID]],0)),INDEX(Table3[[#All],[CON P]],MATCH(Table5[[#This Row],[PID]],Table3[[#All],[PID]],0)))</f>
        <v>5</v>
      </c>
      <c r="O477" s="56">
        <f>IF($C477="B",INDEX(Batters[[#All],[EYE P]],MATCH(Table5[[#This Row],[PID]],Batters[[#All],[PID]],0)),INDEX(Table3[[#All],[VELO]],MATCH(Table5[[#This Row],[PID]],Table3[[#All],[PID]],0)))</f>
        <v>4</v>
      </c>
      <c r="P477" s="56">
        <f>IF($C477="B",INDEX(Batters[[#All],[K P]],MATCH(Table5[[#This Row],[PID]],Batters[[#All],[PID]],0)),INDEX(Table3[[#All],[STM]],MATCH(Table5[[#This Row],[PID]],Table3[[#All],[PID]],0)))</f>
        <v>4</v>
      </c>
      <c r="Q477" s="61">
        <f>IF($C477="B",INDEX(Batters[[#All],[Tot]],MATCH(Table5[[#This Row],[PID]],Batters[[#All],[PID]],0)),INDEX(Table3[[#All],[Tot]],MATCH(Table5[[#This Row],[PID]],Table3[[#All],[PID]],0)))</f>
        <v>38.654326758361272</v>
      </c>
      <c r="R477" s="52">
        <f>IF($C477="B",INDEX(Batters[[#All],[zScore]],MATCH(Table5[[#This Row],[PID]],Batters[[#All],[PID]],0)),INDEX(Table3[[#All],[zScore]],MATCH(Table5[[#This Row],[PID]],Table3[[#All],[PID]],0)))</f>
        <v>-1.214423819184965</v>
      </c>
      <c r="S477" s="58" t="str">
        <f>IF($C477="B",INDEX(Batters[[#All],[DEM]],MATCH(Table5[[#This Row],[PID]],Batters[[#All],[PID]],0)),INDEX(Table3[[#All],[DEM]],MATCH(Table5[[#This Row],[PID]],Table3[[#All],[PID]],0)))</f>
        <v>-</v>
      </c>
      <c r="T477" s="62">
        <f>IF($C477="B",INDEX(Batters[[#All],[Rnk]],MATCH(Table5[[#This Row],[PID]],Batters[[#All],[PID]],0)),INDEX(Table3[[#All],[Rnk]],MATCH(Table5[[#This Row],[PID]],Table3[[#All],[PID]],0)))</f>
        <v>468</v>
      </c>
      <c r="U477" s="68">
        <f>IF($C477="B",VLOOKUP($A477,Bat!$A$4:$BA$1621,47,FALSE),VLOOKUP($A477,Pit!$A$4:$BF$1557,56,FALSE))</f>
        <v>0</v>
      </c>
      <c r="V477" s="50">
        <f>IF($C477="B",VLOOKUP($A477,Bat!$A$4:$BA$1621,48,FALSE),VLOOKUP($A477,Pit!$A$4:$BF$1557,57,FALSE))</f>
        <v>0</v>
      </c>
      <c r="W477" s="50">
        <f>Table5[[#This Row],[posRnk]]+Table5[[#This Row],[zRnk]]+IF($W$3&lt;&gt;Table5[[#This Row],[Type]],50,0)</f>
        <v>1729</v>
      </c>
      <c r="X477" s="51">
        <f>RANK(Table5[[#This Row],[zScore]],Table5[[#All],[zScore]])</f>
        <v>1211</v>
      </c>
      <c r="Y477" s="50">
        <f>IFERROR(INDEX(DraftResults[[#All],[OVR]],MATCH(Table5[[#This Row],[PID]],DraftResults[[#All],[Player ID]],0)),"")</f>
        <v>473</v>
      </c>
      <c r="Z4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7" s="50">
        <f>IFERROR(INDEX(DraftResults[[#All],[Pick in Round]],MATCH(Table5[[#This Row],[PID]],DraftResults[[#All],[Player ID]],0)),"")</f>
        <v>15</v>
      </c>
      <c r="AB477" s="50" t="str">
        <f>IFERROR(INDEX(DraftResults[[#All],[Team Name]],MATCH(Table5[[#This Row],[PID]],DraftResults[[#All],[Player ID]],0)),"")</f>
        <v>Kentucky Thoroughbreds</v>
      </c>
      <c r="AC477" s="50">
        <f>IF(Table5[[#This Row],[Ovr]]="","",IF(Table5[[#This Row],[cmbList]]="","",Table5[[#This Row],[cmbList]]-Table5[[#This Row],[Ovr]]))</f>
        <v>1256</v>
      </c>
      <c r="AD477" s="54" t="str">
        <f>IF(ISERROR(VLOOKUP($AB477&amp;"-"&amp;$E477&amp;" "&amp;F477,Bonuses!$B$1:$G$1006,4,FALSE)),"",INT(VLOOKUP($AB477&amp;"-"&amp;$E477&amp;" "&amp;$F477,Bonuses!$B$1:$G$1006,4,FALSE)))</f>
        <v/>
      </c>
      <c r="AE4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16.15 (473) - 3B Mike Curtis</v>
      </c>
    </row>
    <row r="478" spans="1:31" s="50" customFormat="1" x14ac:dyDescent="0.25">
      <c r="A478" s="68">
        <v>17815</v>
      </c>
      <c r="B478" s="69">
        <f>COUNTIF(Table5[PID],A478)</f>
        <v>1</v>
      </c>
      <c r="C478" s="69" t="str">
        <f>IF(COUNTIF(Table3[[#All],[PID]],A478)&gt;0,"P","B")</f>
        <v>P</v>
      </c>
      <c r="D478" s="59" t="str">
        <f>IF($C478="B",INDEX(Batters[[#All],[POS]],MATCH(Table5[[#This Row],[PID]],Batters[[#All],[PID]],0)),INDEX(Table3[[#All],[POS]],MATCH(Table5[[#This Row],[PID]],Table3[[#All],[PID]],0)))</f>
        <v>SP</v>
      </c>
      <c r="E478" s="52" t="str">
        <f>IF($C478="B",INDEX(Batters[[#All],[First]],MATCH(Table5[[#This Row],[PID]],Batters[[#All],[PID]],0)),INDEX(Table3[[#All],[First]],MATCH(Table5[[#This Row],[PID]],Table3[[#All],[PID]],0)))</f>
        <v>Tokaji</v>
      </c>
      <c r="F478" s="55" t="str">
        <f>IF($C478="B",INDEX(Batters[[#All],[Last]],MATCH(A478,Batters[[#All],[PID]],0)),INDEX(Table3[[#All],[Last]],MATCH(A478,Table3[[#All],[PID]],0)))</f>
        <v>Kodo</v>
      </c>
      <c r="G478" s="56">
        <f>IF($C478="B",INDEX(Batters[[#All],[Age]],MATCH(Table5[[#This Row],[PID]],Batters[[#All],[PID]],0)),INDEX(Table3[[#All],[Age]],MATCH(Table5[[#This Row],[PID]],Table3[[#All],[PID]],0)))</f>
        <v>21</v>
      </c>
      <c r="H478" s="52" t="str">
        <f>IF($C478="B",INDEX(Batters[[#All],[B]],MATCH(Table5[[#This Row],[PID]],Batters[[#All],[PID]],0)),INDEX(Table3[[#All],[B]],MATCH(Table5[[#This Row],[PID]],Table3[[#All],[PID]],0)))</f>
        <v>R</v>
      </c>
      <c r="I478" s="52" t="str">
        <f>IF($C478="B",INDEX(Batters[[#All],[T]],MATCH(Table5[[#This Row],[PID]],Batters[[#All],[PID]],0)),INDEX(Table3[[#All],[T]],MATCH(Table5[[#This Row],[PID]],Table3[[#All],[PID]],0)))</f>
        <v>R</v>
      </c>
      <c r="J478" s="71" t="str">
        <f>IF($C478="B",INDEX(Batters[[#All],[WE]],MATCH(Table5[[#This Row],[PID]],Batters[[#All],[PID]],0)),INDEX(Table3[[#All],[WE]],MATCH(Table5[[#This Row],[PID]],Table3[[#All],[PID]],0)))</f>
        <v>Normal</v>
      </c>
      <c r="K478" s="52" t="str">
        <f>IF($C478="B",INDEX(Batters[[#All],[INT]],MATCH(Table5[[#This Row],[PID]],Batters[[#All],[PID]],0)),INDEX(Table3[[#All],[INT]],MATCH(Table5[[#This Row],[PID]],Table3[[#All],[PID]],0)))</f>
        <v>Normal</v>
      </c>
      <c r="L478" s="60">
        <f>IF($C478="B",INDEX(Batters[[#All],[CON P]],MATCH(Table5[[#This Row],[PID]],Batters[[#All],[PID]],0)),INDEX(Table3[[#All],[STU P]],MATCH(Table5[[#This Row],[PID]],Table3[[#All],[PID]],0)))</f>
        <v>5</v>
      </c>
      <c r="M478" s="72">
        <f>IF($C478="B",INDEX(Batters[[#All],[GAP P]],MATCH(Table5[[#This Row],[PID]],Batters[[#All],[PID]],0)),INDEX(Table3[[#All],[MOV P]],MATCH(Table5[[#This Row],[PID]],Table3[[#All],[PID]],0)))</f>
        <v>2</v>
      </c>
      <c r="N478" s="72">
        <f>IF($C478="B",INDEX(Batters[[#All],[POW P]],MATCH(Table5[[#This Row],[PID]],Batters[[#All],[PID]],0)),INDEX(Table3[[#All],[CON P]],MATCH(Table5[[#This Row],[PID]],Table3[[#All],[PID]],0)))</f>
        <v>4</v>
      </c>
      <c r="O478" s="72" t="str">
        <f>IF($C478="B",INDEX(Batters[[#All],[EYE P]],MATCH(Table5[[#This Row],[PID]],Batters[[#All],[PID]],0)),INDEX(Table3[[#All],[VELO]],MATCH(Table5[[#This Row],[PID]],Table3[[#All],[PID]],0)))</f>
        <v>93-95 Mph</v>
      </c>
      <c r="P478" s="56">
        <f>IF($C478="B",INDEX(Batters[[#All],[K P]],MATCH(Table5[[#This Row],[PID]],Batters[[#All],[PID]],0)),INDEX(Table3[[#All],[STM]],MATCH(Table5[[#This Row],[PID]],Table3[[#All],[PID]],0)))</f>
        <v>9</v>
      </c>
      <c r="Q478" s="61">
        <f>IF($C478="B",INDEX(Batters[[#All],[Tot]],MATCH(Table5[[#This Row],[PID]],Batters[[#All],[PID]],0)),INDEX(Table3[[#All],[Tot]],MATCH(Table5[[#This Row],[PID]],Table3[[#All],[PID]],0)))</f>
        <v>40.456314950410487</v>
      </c>
      <c r="R478" s="52">
        <f>IF($C478="B",INDEX(Batters[[#All],[zScore]],MATCH(Table5[[#This Row],[PID]],Batters[[#All],[PID]],0)),INDEX(Table3[[#All],[zScore]],MATCH(Table5[[#This Row],[PID]],Table3[[#All],[PID]],0)))</f>
        <v>0.30508552842538272</v>
      </c>
      <c r="S478" s="78" t="str">
        <f>IF($C478="B",INDEX(Batters[[#All],[DEM]],MATCH(Table5[[#This Row],[PID]],Batters[[#All],[PID]],0)),INDEX(Table3[[#All],[DEM]],MATCH(Table5[[#This Row],[PID]],Table3[[#All],[PID]],0)))</f>
        <v>-</v>
      </c>
      <c r="T478" s="75">
        <f>IF($C478="B",INDEX(Batters[[#All],[Rnk]],MATCH(Table5[[#This Row],[PID]],Batters[[#All],[PID]],0)),INDEX(Table3[[#All],[Rnk]],MATCH(Table5[[#This Row],[PID]],Table3[[#All],[PID]],0)))</f>
        <v>242</v>
      </c>
      <c r="U478" s="68">
        <f>IF($C478="B",VLOOKUP($A478,Bat!$A$4:$BA$1621,47,FALSE),VLOOKUP($A478,Pit!$A$4:$BF$1557,56,FALSE))</f>
        <v>0</v>
      </c>
      <c r="V478" s="50">
        <f>IF($C478="B",VLOOKUP($A478,Bat!$A$4:$BA$1621,48,FALSE),VLOOKUP($A478,Pit!$A$4:$BF$1557,57,FALSE))</f>
        <v>0</v>
      </c>
      <c r="W478" s="69">
        <f>Table5[[#This Row],[posRnk]]+Table5[[#This Row],[zRnk]]+IF($W$3&lt;&gt;Table5[[#This Row],[Type]],50,0)</f>
        <v>708</v>
      </c>
      <c r="X478" s="73">
        <f>RANK(Table5[[#This Row],[zScore]],Table5[[#All],[zScore]])</f>
        <v>416</v>
      </c>
      <c r="Y478" s="69">
        <f>IFERROR(INDEX(DraftResults[[#All],[OVR]],MATCH(Table5[[#This Row],[PID]],DraftResults[[#All],[Player ID]],0)),"")</f>
        <v>474</v>
      </c>
      <c r="Z47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8" s="69">
        <f>IFERROR(INDEX(DraftResults[[#All],[Pick in Round]],MATCH(Table5[[#This Row],[PID]],DraftResults[[#All],[Player ID]],0)),"")</f>
        <v>16</v>
      </c>
      <c r="AB478" s="69" t="str">
        <f>IFERROR(INDEX(DraftResults[[#All],[Team Name]],MATCH(Table5[[#This Row],[PID]],DraftResults[[#All],[Player ID]],0)),"")</f>
        <v>San Antonio Calzones of Laredo</v>
      </c>
      <c r="AC478" s="69">
        <f>IF(Table5[[#This Row],[Ovr]]="","",IF(Table5[[#This Row],[cmbList]]="","",Table5[[#This Row],[cmbList]]-Table5[[#This Row],[Ovr]]))</f>
        <v>234</v>
      </c>
      <c r="AD478" s="77" t="str">
        <f>IF(ISERROR(VLOOKUP($AB478&amp;"-"&amp;$E478&amp;" "&amp;F478,Bonuses!$B$1:$G$1006,4,FALSE)),"",INT(VLOOKUP($AB478&amp;"-"&amp;$E478&amp;" "&amp;$F478,Bonuses!$B$1:$G$1006,4,FALSE)))</f>
        <v/>
      </c>
      <c r="AE47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16.16 (474) - SP Tokaji Kodo</v>
      </c>
    </row>
    <row r="479" spans="1:31" s="50" customFormat="1" x14ac:dyDescent="0.25">
      <c r="A479" s="50">
        <v>17998</v>
      </c>
      <c r="B479" s="50">
        <f>COUNTIF(Table5[PID],A479)</f>
        <v>1</v>
      </c>
      <c r="C479" s="50" t="str">
        <f>IF(COUNTIF(Table3[[#All],[PID]],A479)&gt;0,"P","B")</f>
        <v>B</v>
      </c>
      <c r="D479" s="59" t="str">
        <f>IF($C479="B",INDEX(Batters[[#All],[POS]],MATCH(Table5[[#This Row],[PID]],Batters[[#All],[PID]],0)),INDEX(Table3[[#All],[POS]],MATCH(Table5[[#This Row],[PID]],Table3[[#All],[PID]],0)))</f>
        <v>SS</v>
      </c>
      <c r="E479" s="52" t="str">
        <f>IF($C479="B",INDEX(Batters[[#All],[First]],MATCH(Table5[[#This Row],[PID]],Batters[[#All],[PID]],0)),INDEX(Table3[[#All],[First]],MATCH(Table5[[#This Row],[PID]],Table3[[#All],[PID]],0)))</f>
        <v>Tim</v>
      </c>
      <c r="F479" s="50" t="str">
        <f>IF($C479="B",INDEX(Batters[[#All],[Last]],MATCH(A479,Batters[[#All],[PID]],0)),INDEX(Table3[[#All],[Last]],MATCH(A479,Table3[[#All],[PID]],0)))</f>
        <v>Davis</v>
      </c>
      <c r="G479" s="56">
        <f>IF($C479="B",INDEX(Batters[[#All],[Age]],MATCH(Table5[[#This Row],[PID]],Batters[[#All],[PID]],0)),INDEX(Table3[[#All],[Age]],MATCH(Table5[[#This Row],[PID]],Table3[[#All],[PID]],0)))</f>
        <v>21</v>
      </c>
      <c r="H479" s="52" t="str">
        <f>IF($C479="B",INDEX(Batters[[#All],[B]],MATCH(Table5[[#This Row],[PID]],Batters[[#All],[PID]],0)),INDEX(Table3[[#All],[B]],MATCH(Table5[[#This Row],[PID]],Table3[[#All],[PID]],0)))</f>
        <v>R</v>
      </c>
      <c r="I479" s="52" t="str">
        <f>IF($C479="B",INDEX(Batters[[#All],[T]],MATCH(Table5[[#This Row],[PID]],Batters[[#All],[PID]],0)),INDEX(Table3[[#All],[T]],MATCH(Table5[[#This Row],[PID]],Table3[[#All],[PID]],0)))</f>
        <v>R</v>
      </c>
      <c r="J479" s="52" t="str">
        <f>IF($C479="B",INDEX(Batters[[#All],[WE]],MATCH(Table5[[#This Row],[PID]],Batters[[#All],[PID]],0)),INDEX(Table3[[#All],[WE]],MATCH(Table5[[#This Row],[PID]],Table3[[#All],[PID]],0)))</f>
        <v>High</v>
      </c>
      <c r="K479" s="52" t="str">
        <f>IF($C479="B",INDEX(Batters[[#All],[INT]],MATCH(Table5[[#This Row],[PID]],Batters[[#All],[PID]],0)),INDEX(Table3[[#All],[INT]],MATCH(Table5[[#This Row],[PID]],Table3[[#All],[PID]],0)))</f>
        <v>Normal</v>
      </c>
      <c r="L479" s="60">
        <f>IF($C479="B",INDEX(Batters[[#All],[CON P]],MATCH(Table5[[#This Row],[PID]],Batters[[#All],[PID]],0)),INDEX(Table3[[#All],[STU P]],MATCH(Table5[[#This Row],[PID]],Table3[[#All],[PID]],0)))</f>
        <v>3</v>
      </c>
      <c r="M479" s="56">
        <f>IF($C479="B",INDEX(Batters[[#All],[GAP P]],MATCH(Table5[[#This Row],[PID]],Batters[[#All],[PID]],0)),INDEX(Table3[[#All],[MOV P]],MATCH(Table5[[#This Row],[PID]],Table3[[#All],[PID]],0)))</f>
        <v>4</v>
      </c>
      <c r="N479" s="56">
        <f>IF($C479="B",INDEX(Batters[[#All],[POW P]],MATCH(Table5[[#This Row],[PID]],Batters[[#All],[PID]],0)),INDEX(Table3[[#All],[CON P]],MATCH(Table5[[#This Row],[PID]],Table3[[#All],[PID]],0)))</f>
        <v>3</v>
      </c>
      <c r="O479" s="56">
        <f>IF($C479="B",INDEX(Batters[[#All],[EYE P]],MATCH(Table5[[#This Row],[PID]],Batters[[#All],[PID]],0)),INDEX(Table3[[#All],[VELO]],MATCH(Table5[[#This Row],[PID]],Table3[[#All],[PID]],0)))</f>
        <v>4</v>
      </c>
      <c r="P479" s="56">
        <f>IF($C479="B",INDEX(Batters[[#All],[K P]],MATCH(Table5[[#This Row],[PID]],Batters[[#All],[PID]],0)),INDEX(Table3[[#All],[STM]],MATCH(Table5[[#This Row],[PID]],Table3[[#All],[PID]],0)))</f>
        <v>3</v>
      </c>
      <c r="Q479" s="61">
        <f>IF($C479="B",INDEX(Batters[[#All],[Tot]],MATCH(Table5[[#This Row],[PID]],Batters[[#All],[PID]],0)),INDEX(Table3[[#All],[Tot]],MATCH(Table5[[#This Row],[PID]],Table3[[#All],[PID]],0)))</f>
        <v>37.859630119155803</v>
      </c>
      <c r="R479" s="52">
        <f>IF($C479="B",INDEX(Batters[[#All],[zScore]],MATCH(Table5[[#This Row],[PID]],Batters[[#All],[PID]],0)),INDEX(Table3[[#All],[zScore]],MATCH(Table5[[#This Row],[PID]],Table3[[#All],[PID]],0)))</f>
        <v>-1.3906134357475701</v>
      </c>
      <c r="S479" s="58" t="str">
        <f>IF($C479="B",INDEX(Batters[[#All],[DEM]],MATCH(Table5[[#This Row],[PID]],Batters[[#All],[PID]],0)),INDEX(Table3[[#All],[DEM]],MATCH(Table5[[#This Row],[PID]],Table3[[#All],[PID]],0)))</f>
        <v>-</v>
      </c>
      <c r="T479" s="62">
        <f>IF($C479="B",INDEX(Batters[[#All],[Rnk]],MATCH(Table5[[#This Row],[PID]],Batters[[#All],[PID]],0)),INDEX(Table3[[#All],[Rnk]],MATCH(Table5[[#This Row],[PID]],Table3[[#All],[PID]],0)))</f>
        <v>508</v>
      </c>
      <c r="U479" s="68">
        <f>IF($C479="B",VLOOKUP($A479,Bat!$A$4:$BA$1621,47,FALSE),VLOOKUP($A479,Pit!$A$4:$BF$1557,56,FALSE))</f>
        <v>0</v>
      </c>
      <c r="V479" s="50">
        <f>IF($C479="B",VLOOKUP($A479,Bat!$A$4:$BA$1621,48,FALSE),VLOOKUP($A479,Pit!$A$4:$BF$1557,57,FALSE))</f>
        <v>0</v>
      </c>
      <c r="W479" s="50">
        <f>Table5[[#This Row],[posRnk]]+Table5[[#This Row],[zRnk]]+IF($W$3&lt;&gt;Table5[[#This Row],[Type]],50,0)</f>
        <v>1829</v>
      </c>
      <c r="X479" s="51">
        <f>RANK(Table5[[#This Row],[zScore]],Table5[[#All],[zScore]])</f>
        <v>1271</v>
      </c>
      <c r="Y479" s="50">
        <f>IFERROR(INDEX(DraftResults[[#All],[OVR]],MATCH(Table5[[#This Row],[PID]],DraftResults[[#All],[Player ID]],0)),"")</f>
        <v>475</v>
      </c>
      <c r="Z4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79" s="50">
        <f>IFERROR(INDEX(DraftResults[[#All],[Pick in Round]],MATCH(Table5[[#This Row],[PID]],DraftResults[[#All],[Player ID]],0)),"")</f>
        <v>17</v>
      </c>
      <c r="AB479" s="50" t="str">
        <f>IFERROR(INDEX(DraftResults[[#All],[Team Name]],MATCH(Table5[[#This Row],[PID]],DraftResults[[#All],[Player ID]],0)),"")</f>
        <v>Madison Malts</v>
      </c>
      <c r="AC479" s="50">
        <f>IF(Table5[[#This Row],[Ovr]]="","",IF(Table5[[#This Row],[cmbList]]="","",Table5[[#This Row],[cmbList]]-Table5[[#This Row],[Ovr]]))</f>
        <v>1354</v>
      </c>
      <c r="AD479" s="54" t="str">
        <f>IF(ISERROR(VLOOKUP($AB479&amp;"-"&amp;$E479&amp;" "&amp;F479,Bonuses!$B$1:$G$1006,4,FALSE)),"",INT(VLOOKUP($AB479&amp;"-"&amp;$E479&amp;" "&amp;$F479,Bonuses!$B$1:$G$1006,4,FALSE)))</f>
        <v/>
      </c>
      <c r="AE4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16.17 (475) - SS Tim Davis</v>
      </c>
    </row>
    <row r="480" spans="1:31" s="50" customFormat="1" x14ac:dyDescent="0.25">
      <c r="A480" s="50">
        <v>17618</v>
      </c>
      <c r="B480" s="50">
        <f>COUNTIF(Table5[PID],A480)</f>
        <v>1</v>
      </c>
      <c r="C480" s="50" t="str">
        <f>IF(COUNTIF(Table3[[#All],[PID]],A480)&gt;0,"P","B")</f>
        <v>P</v>
      </c>
      <c r="D480" s="59" t="str">
        <f>IF($C480="B",INDEX(Batters[[#All],[POS]],MATCH(Table5[[#This Row],[PID]],Batters[[#All],[PID]],0)),INDEX(Table3[[#All],[POS]],MATCH(Table5[[#This Row],[PID]],Table3[[#All],[PID]],0)))</f>
        <v>RP</v>
      </c>
      <c r="E480" s="52" t="str">
        <f>IF($C480="B",INDEX(Batters[[#All],[First]],MATCH(Table5[[#This Row],[PID]],Batters[[#All],[PID]],0)),INDEX(Table3[[#All],[First]],MATCH(Table5[[#This Row],[PID]],Table3[[#All],[PID]],0)))</f>
        <v>Alberto</v>
      </c>
      <c r="F480" s="50" t="str">
        <f>IF($C480="B",INDEX(Batters[[#All],[Last]],MATCH(A480,Batters[[#All],[PID]],0)),INDEX(Table3[[#All],[Last]],MATCH(A480,Table3[[#All],[PID]],0)))</f>
        <v>Medina</v>
      </c>
      <c r="G480" s="56">
        <f>IF($C480="B",INDEX(Batters[[#All],[Age]],MATCH(Table5[[#This Row],[PID]],Batters[[#All],[PID]],0)),INDEX(Table3[[#All],[Age]],MATCH(Table5[[#This Row],[PID]],Table3[[#All],[PID]],0)))</f>
        <v>18</v>
      </c>
      <c r="H480" s="52" t="str">
        <f>IF($C480="B",INDEX(Batters[[#All],[B]],MATCH(Table5[[#This Row],[PID]],Batters[[#All],[PID]],0)),INDEX(Table3[[#All],[B]],MATCH(Table5[[#This Row],[PID]],Table3[[#All],[PID]],0)))</f>
        <v>R</v>
      </c>
      <c r="I480" s="52" t="str">
        <f>IF($C480="B",INDEX(Batters[[#All],[T]],MATCH(Table5[[#This Row],[PID]],Batters[[#All],[PID]],0)),INDEX(Table3[[#All],[T]],MATCH(Table5[[#This Row],[PID]],Table3[[#All],[PID]],0)))</f>
        <v>R</v>
      </c>
      <c r="J480" s="52" t="str">
        <f>IF($C480="B",INDEX(Batters[[#All],[WE]],MATCH(Table5[[#This Row],[PID]],Batters[[#All],[PID]],0)),INDEX(Table3[[#All],[WE]],MATCH(Table5[[#This Row],[PID]],Table3[[#All],[PID]],0)))</f>
        <v>Normal</v>
      </c>
      <c r="K480" s="52" t="str">
        <f>IF($C480="B",INDEX(Batters[[#All],[INT]],MATCH(Table5[[#This Row],[PID]],Batters[[#All],[PID]],0)),INDEX(Table3[[#All],[INT]],MATCH(Table5[[#This Row],[PID]],Table3[[#All],[PID]],0)))</f>
        <v>High</v>
      </c>
      <c r="L480" s="60">
        <f>IF($C480="B",INDEX(Batters[[#All],[CON P]],MATCH(Table5[[#This Row],[PID]],Batters[[#All],[PID]],0)),INDEX(Table3[[#All],[STU P]],MATCH(Table5[[#This Row],[PID]],Table3[[#All],[PID]],0)))</f>
        <v>6</v>
      </c>
      <c r="M480" s="56">
        <f>IF($C480="B",INDEX(Batters[[#All],[GAP P]],MATCH(Table5[[#This Row],[PID]],Batters[[#All],[PID]],0)),INDEX(Table3[[#All],[MOV P]],MATCH(Table5[[#This Row],[PID]],Table3[[#All],[PID]],0)))</f>
        <v>2</v>
      </c>
      <c r="N480" s="56">
        <f>IF($C480="B",INDEX(Batters[[#All],[POW P]],MATCH(Table5[[#This Row],[PID]],Batters[[#All],[PID]],0)),INDEX(Table3[[#All],[CON P]],MATCH(Table5[[#This Row],[PID]],Table3[[#All],[PID]],0)))</f>
        <v>3</v>
      </c>
      <c r="O480" s="56" t="str">
        <f>IF($C480="B",INDEX(Batters[[#All],[EYE P]],MATCH(Table5[[#This Row],[PID]],Batters[[#All],[PID]],0)),INDEX(Table3[[#All],[VELO]],MATCH(Table5[[#This Row],[PID]],Table3[[#All],[PID]],0)))</f>
        <v>93-95 Mph</v>
      </c>
      <c r="P480" s="56">
        <f>IF($C480="B",INDEX(Batters[[#All],[K P]],MATCH(Table5[[#This Row],[PID]],Batters[[#All],[PID]],0)),INDEX(Table3[[#All],[STM]],MATCH(Table5[[#This Row],[PID]],Table3[[#All],[PID]],0)))</f>
        <v>9</v>
      </c>
      <c r="Q480" s="61">
        <f>IF($C480="B",INDEX(Batters[[#All],[Tot]],MATCH(Table5[[#This Row],[PID]],Batters[[#All],[PID]],0)),INDEX(Table3[[#All],[Tot]],MATCH(Table5[[#This Row],[PID]],Table3[[#All],[PID]],0)))</f>
        <v>43.615652345132716</v>
      </c>
      <c r="R480" s="52">
        <f>IF($C480="B",INDEX(Batters[[#All],[zScore]],MATCH(Table5[[#This Row],[PID]],Batters[[#All],[PID]],0)),INDEX(Table3[[#All],[zScore]],MATCH(Table5[[#This Row],[PID]],Table3[[#All],[PID]],0)))</f>
        <v>0.5152714174848444</v>
      </c>
      <c r="S480" s="58" t="str">
        <f>IF($C480="B",INDEX(Batters[[#All],[DEM]],MATCH(Table5[[#This Row],[PID]],Batters[[#All],[PID]],0)),INDEX(Table3[[#All],[DEM]],MATCH(Table5[[#This Row],[PID]],Table3[[#All],[PID]],0)))</f>
        <v>$65k</v>
      </c>
      <c r="T480" s="62">
        <f>IF($C480="B",INDEX(Batters[[#All],[Rnk]],MATCH(Table5[[#This Row],[PID]],Batters[[#All],[PID]],0)),INDEX(Table3[[#All],[Rnk]],MATCH(Table5[[#This Row],[PID]],Table3[[#All],[PID]],0)))</f>
        <v>212</v>
      </c>
      <c r="U480" s="68">
        <f>IF($C480="B",VLOOKUP($A480,Bat!$A$4:$BA$1621,47,FALSE),VLOOKUP($A480,Pit!$A$4:$BF$1557,56,FALSE))</f>
        <v>0</v>
      </c>
      <c r="V480" s="50">
        <f>IF($C480="B",VLOOKUP($A480,Bat!$A$4:$BA$1621,48,FALSE),VLOOKUP($A480,Pit!$A$4:$BF$1557,57,FALSE))</f>
        <v>0</v>
      </c>
      <c r="W480" s="50">
        <f>Table5[[#This Row],[posRnk]]+Table5[[#This Row],[zRnk]]+IF($W$3&lt;&gt;Table5[[#This Row],[Type]],50,0)</f>
        <v>623</v>
      </c>
      <c r="X480" s="51">
        <f>RANK(Table5[[#This Row],[zScore]],Table5[[#All],[zScore]])</f>
        <v>361</v>
      </c>
      <c r="Y480" s="50">
        <f>IFERROR(INDEX(DraftResults[[#All],[OVR]],MATCH(Table5[[#This Row],[PID]],DraftResults[[#All],[Player ID]],0)),"")</f>
        <v>476</v>
      </c>
      <c r="Z4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0" s="50">
        <f>IFERROR(INDEX(DraftResults[[#All],[Pick in Round]],MATCH(Table5[[#This Row],[PID]],DraftResults[[#All],[Player ID]],0)),"")</f>
        <v>18</v>
      </c>
      <c r="AB480" s="50" t="str">
        <f>IFERROR(INDEX(DraftResults[[#All],[Team Name]],MATCH(Table5[[#This Row],[PID]],DraftResults[[#All],[Player ID]],0)),"")</f>
        <v>Bakersfield Bears</v>
      </c>
      <c r="AC480" s="50">
        <f>IF(Table5[[#This Row],[Ovr]]="","",IF(Table5[[#This Row],[cmbList]]="","",Table5[[#This Row],[cmbList]]-Table5[[#This Row],[Ovr]]))</f>
        <v>147</v>
      </c>
      <c r="AD480" s="54" t="str">
        <f>IF(ISERROR(VLOOKUP($AB480&amp;"-"&amp;$E480&amp;" "&amp;F480,Bonuses!$B$1:$G$1006,4,FALSE)),"",INT(VLOOKUP($AB480&amp;"-"&amp;$E480&amp;" "&amp;$F480,Bonuses!$B$1:$G$1006,4,FALSE)))</f>
        <v/>
      </c>
      <c r="AE4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16.18 (476) - RP Alberto Medina</v>
      </c>
    </row>
    <row r="481" spans="1:31" s="50" customFormat="1" x14ac:dyDescent="0.25">
      <c r="A481" s="50">
        <v>18436</v>
      </c>
      <c r="B481" s="50">
        <f>COUNTIF(Table5[PID],A481)</f>
        <v>1</v>
      </c>
      <c r="C481" s="50" t="str">
        <f>IF(COUNTIF(Table3[[#All],[PID]],A481)&gt;0,"P","B")</f>
        <v>B</v>
      </c>
      <c r="D481" s="59" t="str">
        <f>IF($C481="B",INDEX(Batters[[#All],[POS]],MATCH(Table5[[#This Row],[PID]],Batters[[#All],[PID]],0)),INDEX(Table3[[#All],[POS]],MATCH(Table5[[#This Row],[PID]],Table3[[#All],[PID]],0)))</f>
        <v>C</v>
      </c>
      <c r="E481" s="52" t="str">
        <f>IF($C481="B",INDEX(Batters[[#All],[First]],MATCH(Table5[[#This Row],[PID]],Batters[[#All],[PID]],0)),INDEX(Table3[[#All],[First]],MATCH(Table5[[#This Row],[PID]],Table3[[#All],[PID]],0)))</f>
        <v>Sergio</v>
      </c>
      <c r="F481" s="50" t="str">
        <f>IF($C481="B",INDEX(Batters[[#All],[Last]],MATCH(A481,Batters[[#All],[PID]],0)),INDEX(Table3[[#All],[Last]],MATCH(A481,Table3[[#All],[PID]],0)))</f>
        <v>García</v>
      </c>
      <c r="G481" s="56">
        <f>IF($C481="B",INDEX(Batters[[#All],[Age]],MATCH(Table5[[#This Row],[PID]],Batters[[#All],[PID]],0)),INDEX(Table3[[#All],[Age]],MATCH(Table5[[#This Row],[PID]],Table3[[#All],[PID]],0)))</f>
        <v>18</v>
      </c>
      <c r="H481" s="52" t="str">
        <f>IF($C481="B",INDEX(Batters[[#All],[B]],MATCH(Table5[[#This Row],[PID]],Batters[[#All],[PID]],0)),INDEX(Table3[[#All],[B]],MATCH(Table5[[#This Row],[PID]],Table3[[#All],[PID]],0)))</f>
        <v>R</v>
      </c>
      <c r="I481" s="52" t="str">
        <f>IF($C481="B",INDEX(Batters[[#All],[T]],MATCH(Table5[[#This Row],[PID]],Batters[[#All],[PID]],0)),INDEX(Table3[[#All],[T]],MATCH(Table5[[#This Row],[PID]],Table3[[#All],[PID]],0)))</f>
        <v>R</v>
      </c>
      <c r="J481" s="52" t="str">
        <f>IF($C481="B",INDEX(Batters[[#All],[WE]],MATCH(Table5[[#This Row],[PID]],Batters[[#All],[PID]],0)),INDEX(Table3[[#All],[WE]],MATCH(Table5[[#This Row],[PID]],Table3[[#All],[PID]],0)))</f>
        <v>Low</v>
      </c>
      <c r="K481" s="52" t="str">
        <f>IF($C481="B",INDEX(Batters[[#All],[INT]],MATCH(Table5[[#This Row],[PID]],Batters[[#All],[PID]],0)),INDEX(Table3[[#All],[INT]],MATCH(Table5[[#This Row],[PID]],Table3[[#All],[PID]],0)))</f>
        <v>Normal</v>
      </c>
      <c r="L481" s="60">
        <f>IF($C481="B",INDEX(Batters[[#All],[CON P]],MATCH(Table5[[#This Row],[PID]],Batters[[#All],[PID]],0)),INDEX(Table3[[#All],[STU P]],MATCH(Table5[[#This Row],[PID]],Table3[[#All],[PID]],0)))</f>
        <v>3</v>
      </c>
      <c r="M481" s="56">
        <f>IF($C481="B",INDEX(Batters[[#All],[GAP P]],MATCH(Table5[[#This Row],[PID]],Batters[[#All],[PID]],0)),INDEX(Table3[[#All],[MOV P]],MATCH(Table5[[#This Row],[PID]],Table3[[#All],[PID]],0)))</f>
        <v>7</v>
      </c>
      <c r="N481" s="56">
        <f>IF($C481="B",INDEX(Batters[[#All],[POW P]],MATCH(Table5[[#This Row],[PID]],Batters[[#All],[PID]],0)),INDEX(Table3[[#All],[CON P]],MATCH(Table5[[#This Row],[PID]],Table3[[#All],[PID]],0)))</f>
        <v>5</v>
      </c>
      <c r="O481" s="56">
        <f>IF($C481="B",INDEX(Batters[[#All],[EYE P]],MATCH(Table5[[#This Row],[PID]],Batters[[#All],[PID]],0)),INDEX(Table3[[#All],[VELO]],MATCH(Table5[[#This Row],[PID]],Table3[[#All],[PID]],0)))</f>
        <v>5</v>
      </c>
      <c r="P481" s="56">
        <f>IF($C481="B",INDEX(Batters[[#All],[K P]],MATCH(Table5[[#This Row],[PID]],Batters[[#All],[PID]],0)),INDEX(Table3[[#All],[STM]],MATCH(Table5[[#This Row],[PID]],Table3[[#All],[PID]],0)))</f>
        <v>2</v>
      </c>
      <c r="Q481" s="61">
        <f>IF($C481="B",INDEX(Batters[[#All],[Tot]],MATCH(Table5[[#This Row],[PID]],Batters[[#All],[PID]],0)),INDEX(Table3[[#All],[Tot]],MATCH(Table5[[#This Row],[PID]],Table3[[#All],[PID]],0)))</f>
        <v>44.70099230167699</v>
      </c>
      <c r="R481" s="52">
        <f>IF($C481="B",INDEX(Batters[[#All],[zScore]],MATCH(Table5[[#This Row],[PID]],Batters[[#All],[PID]],0)),INDEX(Table3[[#All],[zScore]],MATCH(Table5[[#This Row],[PID]],Table3[[#All],[PID]],0)))</f>
        <v>0.12616280343401387</v>
      </c>
      <c r="S481" s="58" t="str">
        <f>IF($C481="B",INDEX(Batters[[#All],[DEM]],MATCH(Table5[[#This Row],[PID]],Batters[[#All],[PID]],0)),INDEX(Table3[[#All],[DEM]],MATCH(Table5[[#This Row],[PID]],Table3[[#All],[PID]],0)))</f>
        <v>$70k</v>
      </c>
      <c r="T481" s="62">
        <f>IF($C481="B",INDEX(Batters[[#All],[Rnk]],MATCH(Table5[[#This Row],[PID]],Batters[[#All],[PID]],0)),INDEX(Table3[[#All],[Rnk]],MATCH(Table5[[#This Row],[PID]],Table3[[#All],[PID]],0)))</f>
        <v>218</v>
      </c>
      <c r="U481" s="68">
        <f>IF($C481="B",VLOOKUP($A481,Bat!$A$4:$BA$1621,47,FALSE),VLOOKUP($A481,Pit!$A$4:$BF$1557,56,FALSE))</f>
        <v>0</v>
      </c>
      <c r="V481" s="50">
        <f>IF($C481="B",VLOOKUP($A481,Bat!$A$4:$BA$1621,48,FALSE),VLOOKUP($A481,Pit!$A$4:$BF$1557,57,FALSE))</f>
        <v>0</v>
      </c>
      <c r="W481" s="50">
        <f>Table5[[#This Row],[posRnk]]+Table5[[#This Row],[zRnk]]+IF($W$3&lt;&gt;Table5[[#This Row],[Type]],50,0)</f>
        <v>767</v>
      </c>
      <c r="X481" s="51">
        <f>RANK(Table5[[#This Row],[zScore]],Table5[[#All],[zScore]])</f>
        <v>499</v>
      </c>
      <c r="Y481" s="50">
        <f>IFERROR(INDEX(DraftResults[[#All],[OVR]],MATCH(Table5[[#This Row],[PID]],DraftResults[[#All],[Player ID]],0)),"")</f>
        <v>477</v>
      </c>
      <c r="Z4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1" s="50">
        <f>IFERROR(INDEX(DraftResults[[#All],[Pick in Round]],MATCH(Table5[[#This Row],[PID]],DraftResults[[#All],[Player ID]],0)),"")</f>
        <v>19</v>
      </c>
      <c r="AB481" s="50" t="str">
        <f>IFERROR(INDEX(DraftResults[[#All],[Team Name]],MATCH(Table5[[#This Row],[PID]],DraftResults[[#All],[Player ID]],0)),"")</f>
        <v>Kalamazoo Badgers</v>
      </c>
      <c r="AC481" s="50">
        <f>IF(Table5[[#This Row],[Ovr]]="","",IF(Table5[[#This Row],[cmbList]]="","",Table5[[#This Row],[cmbList]]-Table5[[#This Row],[Ovr]]))</f>
        <v>290</v>
      </c>
      <c r="AD481" s="54" t="str">
        <f>IF(ISERROR(VLOOKUP($AB481&amp;"-"&amp;$E481&amp;" "&amp;F481,Bonuses!$B$1:$G$1006,4,FALSE)),"",INT(VLOOKUP($AB481&amp;"-"&amp;$E481&amp;" "&amp;$F481,Bonuses!$B$1:$G$1006,4,FALSE)))</f>
        <v/>
      </c>
      <c r="AE4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16.19 (477) - C Sergio García</v>
      </c>
    </row>
    <row r="482" spans="1:31" s="50" customFormat="1" x14ac:dyDescent="0.25">
      <c r="A482" s="50">
        <v>15748</v>
      </c>
      <c r="B482" s="50">
        <f>COUNTIF(Table5[PID],A482)</f>
        <v>1</v>
      </c>
      <c r="C482" s="50" t="str">
        <f>IF(COUNTIF(Table3[[#All],[PID]],A482)&gt;0,"P","B")</f>
        <v>B</v>
      </c>
      <c r="D482" s="59" t="str">
        <f>IF($C482="B",INDEX(Batters[[#All],[POS]],MATCH(Table5[[#This Row],[PID]],Batters[[#All],[PID]],0)),INDEX(Table3[[#All],[POS]],MATCH(Table5[[#This Row],[PID]],Table3[[#All],[PID]],0)))</f>
        <v>RF</v>
      </c>
      <c r="E482" s="52" t="str">
        <f>IF($C482="B",INDEX(Batters[[#All],[First]],MATCH(Table5[[#This Row],[PID]],Batters[[#All],[PID]],0)),INDEX(Table3[[#All],[First]],MATCH(Table5[[#This Row],[PID]],Table3[[#All],[PID]],0)))</f>
        <v>José</v>
      </c>
      <c r="F482" s="50" t="str">
        <f>IF($C482="B",INDEX(Batters[[#All],[Last]],MATCH(A482,Batters[[#All],[PID]],0)),INDEX(Table3[[#All],[Last]],MATCH(A482,Table3[[#All],[PID]],0)))</f>
        <v>Tovar</v>
      </c>
      <c r="G482" s="56">
        <f>IF($C482="B",INDEX(Batters[[#All],[Age]],MATCH(Table5[[#This Row],[PID]],Batters[[#All],[PID]],0)),INDEX(Table3[[#All],[Age]],MATCH(Table5[[#This Row],[PID]],Table3[[#All],[PID]],0)))</f>
        <v>18</v>
      </c>
      <c r="H482" s="52" t="str">
        <f>IF($C482="B",INDEX(Batters[[#All],[B]],MATCH(Table5[[#This Row],[PID]],Batters[[#All],[PID]],0)),INDEX(Table3[[#All],[B]],MATCH(Table5[[#This Row],[PID]],Table3[[#All],[PID]],0)))</f>
        <v>R</v>
      </c>
      <c r="I482" s="52" t="str">
        <f>IF($C482="B",INDEX(Batters[[#All],[T]],MATCH(Table5[[#This Row],[PID]],Batters[[#All],[PID]],0)),INDEX(Table3[[#All],[T]],MATCH(Table5[[#This Row],[PID]],Table3[[#All],[PID]],0)))</f>
        <v>L</v>
      </c>
      <c r="J482" s="52" t="str">
        <f>IF($C482="B",INDEX(Batters[[#All],[WE]],MATCH(Table5[[#This Row],[PID]],Batters[[#All],[PID]],0)),INDEX(Table3[[#All],[WE]],MATCH(Table5[[#This Row],[PID]],Table3[[#All],[PID]],0)))</f>
        <v>Normal</v>
      </c>
      <c r="K482" s="52" t="str">
        <f>IF($C482="B",INDEX(Batters[[#All],[INT]],MATCH(Table5[[#This Row],[PID]],Batters[[#All],[PID]],0)),INDEX(Table3[[#All],[INT]],MATCH(Table5[[#This Row],[PID]],Table3[[#All],[PID]],0)))</f>
        <v>Normal</v>
      </c>
      <c r="L482" s="60">
        <f>IF($C482="B",INDEX(Batters[[#All],[CON P]],MATCH(Table5[[#This Row],[PID]],Batters[[#All],[PID]],0)),INDEX(Table3[[#All],[STU P]],MATCH(Table5[[#This Row],[PID]],Table3[[#All],[PID]],0)))</f>
        <v>4</v>
      </c>
      <c r="M482" s="56">
        <f>IF($C482="B",INDEX(Batters[[#All],[GAP P]],MATCH(Table5[[#This Row],[PID]],Batters[[#All],[PID]],0)),INDEX(Table3[[#All],[MOV P]],MATCH(Table5[[#This Row],[PID]],Table3[[#All],[PID]],0)))</f>
        <v>5</v>
      </c>
      <c r="N482" s="56">
        <f>IF($C482="B",INDEX(Batters[[#All],[POW P]],MATCH(Table5[[#This Row],[PID]],Batters[[#All],[PID]],0)),INDEX(Table3[[#All],[CON P]],MATCH(Table5[[#This Row],[PID]],Table3[[#All],[PID]],0)))</f>
        <v>6</v>
      </c>
      <c r="O482" s="56">
        <f>IF($C482="B",INDEX(Batters[[#All],[EYE P]],MATCH(Table5[[#This Row],[PID]],Batters[[#All],[PID]],0)),INDEX(Table3[[#All],[VELO]],MATCH(Table5[[#This Row],[PID]],Table3[[#All],[PID]],0)))</f>
        <v>5</v>
      </c>
      <c r="P482" s="56">
        <f>IF($C482="B",INDEX(Batters[[#All],[K P]],MATCH(Table5[[#This Row],[PID]],Batters[[#All],[PID]],0)),INDEX(Table3[[#All],[STM]],MATCH(Table5[[#This Row],[PID]],Table3[[#All],[PID]],0)))</f>
        <v>3</v>
      </c>
      <c r="Q482" s="61">
        <f>IF($C482="B",INDEX(Batters[[#All],[Tot]],MATCH(Table5[[#This Row],[PID]],Batters[[#All],[PID]],0)),INDEX(Table3[[#All],[Tot]],MATCH(Table5[[#This Row],[PID]],Table3[[#All],[PID]],0)))</f>
        <v>49.348159231352028</v>
      </c>
      <c r="R482" s="52">
        <f>IF($C482="B",INDEX(Batters[[#All],[zScore]],MATCH(Table5[[#This Row],[PID]],Batters[[#All],[PID]],0)),INDEX(Table3[[#All],[zScore]],MATCH(Table5[[#This Row],[PID]],Table3[[#All],[PID]],0)))</f>
        <v>1.1564711236761578</v>
      </c>
      <c r="S482" s="58" t="str">
        <f>IF($C482="B",INDEX(Batters[[#All],[DEM]],MATCH(Table5[[#This Row],[PID]],Batters[[#All],[PID]],0)),INDEX(Table3[[#All],[DEM]],MATCH(Table5[[#This Row],[PID]],Table3[[#All],[PID]],0)))</f>
        <v>-</v>
      </c>
      <c r="T482" s="62">
        <f>IF($C482="B",INDEX(Batters[[#All],[Rnk]],MATCH(Table5[[#This Row],[PID]],Batters[[#All],[PID]],0)),INDEX(Table3[[#All],[Rnk]],MATCH(Table5[[#This Row],[PID]],Table3[[#All],[PID]],0)))</f>
        <v>77</v>
      </c>
      <c r="U482" s="68">
        <f>IF($C482="B",VLOOKUP($A482,Bat!$A$4:$BA$1621,47,FALSE),VLOOKUP($A482,Pit!$A$4:$BF$1557,56,FALSE))</f>
        <v>0</v>
      </c>
      <c r="V482" s="50">
        <f>IF($C482="B",VLOOKUP($A482,Bat!$A$4:$BA$1621,48,FALSE),VLOOKUP($A482,Pit!$A$4:$BF$1557,57,FALSE))</f>
        <v>0</v>
      </c>
      <c r="W482" s="50">
        <f>Table5[[#This Row],[posRnk]]+Table5[[#This Row],[zRnk]]+IF($W$3&lt;&gt;Table5[[#This Row],[Type]],50,0)</f>
        <v>323</v>
      </c>
      <c r="X482" s="51">
        <f>RANK(Table5[[#This Row],[zScore]],Table5[[#All],[zScore]])</f>
        <v>196</v>
      </c>
      <c r="Y482" s="50">
        <f>IFERROR(INDEX(DraftResults[[#All],[OVR]],MATCH(Table5[[#This Row],[PID]],DraftResults[[#All],[Player ID]],0)),"")</f>
        <v>478</v>
      </c>
      <c r="Z4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2" s="50">
        <f>IFERROR(INDEX(DraftResults[[#All],[Pick in Round]],MATCH(Table5[[#This Row],[PID]],DraftResults[[#All],[Player ID]],0)),"")</f>
        <v>20</v>
      </c>
      <c r="AB482" s="50" t="str">
        <f>IFERROR(INDEX(DraftResults[[#All],[Team Name]],MATCH(Table5[[#This Row],[PID]],DraftResults[[#All],[Player ID]],0)),"")</f>
        <v>Amsterdam Lions</v>
      </c>
      <c r="AC482" s="50">
        <f>IF(Table5[[#This Row],[Ovr]]="","",IF(Table5[[#This Row],[cmbList]]="","",Table5[[#This Row],[cmbList]]-Table5[[#This Row],[Ovr]]))</f>
        <v>-155</v>
      </c>
      <c r="AD482" s="54" t="str">
        <f>IF(ISERROR(VLOOKUP($AB482&amp;"-"&amp;$E482&amp;" "&amp;F482,Bonuses!$B$1:$G$1006,4,FALSE)),"",INT(VLOOKUP($AB482&amp;"-"&amp;$E482&amp;" "&amp;$F482,Bonuses!$B$1:$G$1006,4,FALSE)))</f>
        <v/>
      </c>
      <c r="AE4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16.20 (478) - RF José Tovar</v>
      </c>
    </row>
    <row r="483" spans="1:31" s="50" customFormat="1" x14ac:dyDescent="0.25">
      <c r="A483" s="50">
        <v>20882</v>
      </c>
      <c r="B483" s="50">
        <f>COUNTIF(Table5[PID],A483)</f>
        <v>1</v>
      </c>
      <c r="C483" s="50" t="str">
        <f>IF(COUNTIF(Table3[[#All],[PID]],A483)&gt;0,"P","B")</f>
        <v>P</v>
      </c>
      <c r="D483" s="59" t="str">
        <f>IF($C483="B",INDEX(Batters[[#All],[POS]],MATCH(Table5[[#This Row],[PID]],Batters[[#All],[PID]],0)),INDEX(Table3[[#All],[POS]],MATCH(Table5[[#This Row],[PID]],Table3[[#All],[PID]],0)))</f>
        <v>RP</v>
      </c>
      <c r="E483" s="52" t="str">
        <f>IF($C483="B",INDEX(Batters[[#All],[First]],MATCH(Table5[[#This Row],[PID]],Batters[[#All],[PID]],0)),INDEX(Table3[[#All],[First]],MATCH(Table5[[#This Row],[PID]],Table3[[#All],[PID]],0)))</f>
        <v>Juan</v>
      </c>
      <c r="F483" s="50" t="str">
        <f>IF($C483="B",INDEX(Batters[[#All],[Last]],MATCH(A483,Batters[[#All],[PID]],0)),INDEX(Table3[[#All],[Last]],MATCH(A483,Table3[[#All],[PID]],0)))</f>
        <v>Gámez</v>
      </c>
      <c r="G483" s="56">
        <f>IF($C483="B",INDEX(Batters[[#All],[Age]],MATCH(Table5[[#This Row],[PID]],Batters[[#All],[PID]],0)),INDEX(Table3[[#All],[Age]],MATCH(Table5[[#This Row],[PID]],Table3[[#All],[PID]],0)))</f>
        <v>17</v>
      </c>
      <c r="H483" s="52" t="str">
        <f>IF($C483="B",INDEX(Batters[[#All],[B]],MATCH(Table5[[#This Row],[PID]],Batters[[#All],[PID]],0)),INDEX(Table3[[#All],[B]],MATCH(Table5[[#This Row],[PID]],Table3[[#All],[PID]],0)))</f>
        <v>R</v>
      </c>
      <c r="I483" s="52" t="str">
        <f>IF($C483="B",INDEX(Batters[[#All],[T]],MATCH(Table5[[#This Row],[PID]],Batters[[#All],[PID]],0)),INDEX(Table3[[#All],[T]],MATCH(Table5[[#This Row],[PID]],Table3[[#All],[PID]],0)))</f>
        <v>L</v>
      </c>
      <c r="J483" s="52" t="str">
        <f>IF($C483="B",INDEX(Batters[[#All],[WE]],MATCH(Table5[[#This Row],[PID]],Batters[[#All],[PID]],0)),INDEX(Table3[[#All],[WE]],MATCH(Table5[[#This Row],[PID]],Table3[[#All],[PID]],0)))</f>
        <v>Normal</v>
      </c>
      <c r="K483" s="52" t="str">
        <f>IF($C483="B",INDEX(Batters[[#All],[INT]],MATCH(Table5[[#This Row],[PID]],Batters[[#All],[PID]],0)),INDEX(Table3[[#All],[INT]],MATCH(Table5[[#This Row],[PID]],Table3[[#All],[PID]],0)))</f>
        <v>Normal</v>
      </c>
      <c r="L483" s="60">
        <f>IF($C483="B",INDEX(Batters[[#All],[CON P]],MATCH(Table5[[#This Row],[PID]],Batters[[#All],[PID]],0)),INDEX(Table3[[#All],[STU P]],MATCH(Table5[[#This Row],[PID]],Table3[[#All],[PID]],0)))</f>
        <v>4</v>
      </c>
      <c r="M483" s="56">
        <f>IF($C483="B",INDEX(Batters[[#All],[GAP P]],MATCH(Table5[[#This Row],[PID]],Batters[[#All],[PID]],0)),INDEX(Table3[[#All],[MOV P]],MATCH(Table5[[#This Row],[PID]],Table3[[#All],[PID]],0)))</f>
        <v>2</v>
      </c>
      <c r="N483" s="56">
        <f>IF($C483="B",INDEX(Batters[[#All],[POW P]],MATCH(Table5[[#This Row],[PID]],Batters[[#All],[PID]],0)),INDEX(Table3[[#All],[CON P]],MATCH(Table5[[#This Row],[PID]],Table3[[#All],[PID]],0)))</f>
        <v>3</v>
      </c>
      <c r="O483" s="56" t="str">
        <f>IF($C483="B",INDEX(Batters[[#All],[EYE P]],MATCH(Table5[[#This Row],[PID]],Batters[[#All],[PID]],0)),INDEX(Table3[[#All],[VELO]],MATCH(Table5[[#This Row],[PID]],Table3[[#All],[PID]],0)))</f>
        <v>88-90 Mph</v>
      </c>
      <c r="P483" s="56">
        <f>IF($C483="B",INDEX(Batters[[#All],[K P]],MATCH(Table5[[#This Row],[PID]],Batters[[#All],[PID]],0)),INDEX(Table3[[#All],[STM]],MATCH(Table5[[#This Row],[PID]],Table3[[#All],[PID]],0)))</f>
        <v>10</v>
      </c>
      <c r="Q483" s="61">
        <f>IF($C483="B",INDEX(Batters[[#All],[Tot]],MATCH(Table5[[#This Row],[PID]],Batters[[#All],[PID]],0)),INDEX(Table3[[#All],[Tot]],MATCH(Table5[[#This Row],[PID]],Table3[[#All],[PID]],0)))</f>
        <v>34.950874457299733</v>
      </c>
      <c r="R483" s="52">
        <f>IF($C483="B",INDEX(Batters[[#All],[zScore]],MATCH(Table5[[#This Row],[PID]],Batters[[#All],[PID]],0)),INDEX(Table3[[#All],[zScore]],MATCH(Table5[[#This Row],[PID]],Table3[[#All],[PID]],0)))</f>
        <v>-6.1183014668978415E-2</v>
      </c>
      <c r="S483" s="58" t="str">
        <f>IF($C483="B",INDEX(Batters[[#All],[DEM]],MATCH(Table5[[#This Row],[PID]],Batters[[#All],[PID]],0)),INDEX(Table3[[#All],[DEM]],MATCH(Table5[[#This Row],[PID]],Table3[[#All],[PID]],0)))</f>
        <v>$65k</v>
      </c>
      <c r="T483" s="62">
        <f>IF($C483="B",INDEX(Batters[[#All],[Rnk]],MATCH(Table5[[#This Row],[PID]],Batters[[#All],[PID]],0)),INDEX(Table3[[#All],[Rnk]],MATCH(Table5[[#This Row],[PID]],Table3[[#All],[PID]],0)))</f>
        <v>329</v>
      </c>
      <c r="U483" s="68">
        <f>IF($C483="B",VLOOKUP($A483,Bat!$A$4:$BA$1621,47,FALSE),VLOOKUP($A483,Pit!$A$4:$BF$1557,56,FALSE))</f>
        <v>0</v>
      </c>
      <c r="V483" s="50">
        <f>IF($C483="B",VLOOKUP($A483,Bat!$A$4:$BA$1621,48,FALSE),VLOOKUP($A483,Pit!$A$4:$BF$1557,57,FALSE))</f>
        <v>0</v>
      </c>
      <c r="W483" s="50">
        <f>Table5[[#This Row],[posRnk]]+Table5[[#This Row],[zRnk]]+IF($W$3&lt;&gt;Table5[[#This Row],[Type]],50,0)</f>
        <v>964</v>
      </c>
      <c r="X483" s="51">
        <f>RANK(Table5[[#This Row],[zScore]],Table5[[#All],[zScore]])</f>
        <v>585</v>
      </c>
      <c r="Y483" s="50">
        <f>IFERROR(INDEX(DraftResults[[#All],[OVR]],MATCH(Table5[[#This Row],[PID]],DraftResults[[#All],[Player ID]],0)),"")</f>
        <v>479</v>
      </c>
      <c r="Z4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3" s="50">
        <f>IFERROR(INDEX(DraftResults[[#All],[Pick in Round]],MATCH(Table5[[#This Row],[PID]],DraftResults[[#All],[Player ID]],0)),"")</f>
        <v>21</v>
      </c>
      <c r="AB483" s="50" t="str">
        <f>IFERROR(INDEX(DraftResults[[#All],[Team Name]],MATCH(Table5[[#This Row],[PID]],DraftResults[[#All],[Player ID]],0)),"")</f>
        <v>Crystal Lake Sandgnats</v>
      </c>
      <c r="AC483" s="50">
        <f>IF(Table5[[#This Row],[Ovr]]="","",IF(Table5[[#This Row],[cmbList]]="","",Table5[[#This Row],[cmbList]]-Table5[[#This Row],[Ovr]]))</f>
        <v>485</v>
      </c>
      <c r="AD483" s="54" t="str">
        <f>IF(ISERROR(VLOOKUP($AB483&amp;"-"&amp;$E483&amp;" "&amp;F483,Bonuses!$B$1:$G$1006,4,FALSE)),"",INT(VLOOKUP($AB483&amp;"-"&amp;$E483&amp;" "&amp;$F483,Bonuses!$B$1:$G$1006,4,FALSE)))</f>
        <v/>
      </c>
      <c r="AE4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16.21 (479) - RP Juan Gámez</v>
      </c>
    </row>
    <row r="484" spans="1:31" s="50" customFormat="1" x14ac:dyDescent="0.25">
      <c r="A484" s="50">
        <v>20587</v>
      </c>
      <c r="B484" s="50">
        <f>COUNTIF(Table5[PID],A484)</f>
        <v>1</v>
      </c>
      <c r="C484" s="50" t="str">
        <f>IF(COUNTIF(Table3[[#All],[PID]],A484)&gt;0,"P","B")</f>
        <v>B</v>
      </c>
      <c r="D484" s="59" t="str">
        <f>IF($C484="B",INDEX(Batters[[#All],[POS]],MATCH(Table5[[#This Row],[PID]],Batters[[#All],[PID]],0)),INDEX(Table3[[#All],[POS]],MATCH(Table5[[#This Row],[PID]],Table3[[#All],[PID]],0)))</f>
        <v>C</v>
      </c>
      <c r="E484" s="52" t="str">
        <f>IF($C484="B",INDEX(Batters[[#All],[First]],MATCH(Table5[[#This Row],[PID]],Batters[[#All],[PID]],0)),INDEX(Table3[[#All],[First]],MATCH(Table5[[#This Row],[PID]],Table3[[#All],[PID]],0)))</f>
        <v>Xun</v>
      </c>
      <c r="F484" s="50" t="str">
        <f>IF($C484="B",INDEX(Batters[[#All],[Last]],MATCH(A484,Batters[[#All],[PID]],0)),INDEX(Table3[[#All],[Last]],MATCH(A484,Table3[[#All],[PID]],0)))</f>
        <v>Shih</v>
      </c>
      <c r="G484" s="56">
        <f>IF($C484="B",INDEX(Batters[[#All],[Age]],MATCH(Table5[[#This Row],[PID]],Batters[[#All],[PID]],0)),INDEX(Table3[[#All],[Age]],MATCH(Table5[[#This Row],[PID]],Table3[[#All],[PID]],0)))</f>
        <v>17</v>
      </c>
      <c r="H484" s="52" t="str">
        <f>IF($C484="B",INDEX(Batters[[#All],[B]],MATCH(Table5[[#This Row],[PID]],Batters[[#All],[PID]],0)),INDEX(Table3[[#All],[B]],MATCH(Table5[[#This Row],[PID]],Table3[[#All],[PID]],0)))</f>
        <v>R</v>
      </c>
      <c r="I484" s="52" t="str">
        <f>IF($C484="B",INDEX(Batters[[#All],[T]],MATCH(Table5[[#This Row],[PID]],Batters[[#All],[PID]],0)),INDEX(Table3[[#All],[T]],MATCH(Table5[[#This Row],[PID]],Table3[[#All],[PID]],0)))</f>
        <v>R</v>
      </c>
      <c r="J484" s="52" t="str">
        <f>IF($C484="B",INDEX(Batters[[#All],[WE]],MATCH(Table5[[#This Row],[PID]],Batters[[#All],[PID]],0)),INDEX(Table3[[#All],[WE]],MATCH(Table5[[#This Row],[PID]],Table3[[#All],[PID]],0)))</f>
        <v>Normal</v>
      </c>
      <c r="K484" s="52" t="str">
        <f>IF($C484="B",INDEX(Batters[[#All],[INT]],MATCH(Table5[[#This Row],[PID]],Batters[[#All],[PID]],0)),INDEX(Table3[[#All],[INT]],MATCH(Table5[[#This Row],[PID]],Table3[[#All],[PID]],0)))</f>
        <v>Normal</v>
      </c>
      <c r="L484" s="60">
        <f>IF($C484="B",INDEX(Batters[[#All],[CON P]],MATCH(Table5[[#This Row],[PID]],Batters[[#All],[PID]],0)),INDEX(Table3[[#All],[STU P]],MATCH(Table5[[#This Row],[PID]],Table3[[#All],[PID]],0)))</f>
        <v>3</v>
      </c>
      <c r="M484" s="56">
        <f>IF($C484="B",INDEX(Batters[[#All],[GAP P]],MATCH(Table5[[#This Row],[PID]],Batters[[#All],[PID]],0)),INDEX(Table3[[#All],[MOV P]],MATCH(Table5[[#This Row],[PID]],Table3[[#All],[PID]],0)))</f>
        <v>4</v>
      </c>
      <c r="N484" s="56">
        <f>IF($C484="B",INDEX(Batters[[#All],[POW P]],MATCH(Table5[[#This Row],[PID]],Batters[[#All],[PID]],0)),INDEX(Table3[[#All],[CON P]],MATCH(Table5[[#This Row],[PID]],Table3[[#All],[PID]],0)))</f>
        <v>4</v>
      </c>
      <c r="O484" s="56">
        <f>IF($C484="B",INDEX(Batters[[#All],[EYE P]],MATCH(Table5[[#This Row],[PID]],Batters[[#All],[PID]],0)),INDEX(Table3[[#All],[VELO]],MATCH(Table5[[#This Row],[PID]],Table3[[#All],[PID]],0)))</f>
        <v>7</v>
      </c>
      <c r="P484" s="56">
        <f>IF($C484="B",INDEX(Batters[[#All],[K P]],MATCH(Table5[[#This Row],[PID]],Batters[[#All],[PID]],0)),INDEX(Table3[[#All],[STM]],MATCH(Table5[[#This Row],[PID]],Table3[[#All],[PID]],0)))</f>
        <v>3</v>
      </c>
      <c r="Q484" s="61">
        <f>IF($C484="B",INDEX(Batters[[#All],[Tot]],MATCH(Table5[[#This Row],[PID]],Batters[[#All],[PID]],0)),INDEX(Table3[[#All],[Tot]],MATCH(Table5[[#This Row],[PID]],Table3[[#All],[PID]],0)))</f>
        <v>45.033294940152757</v>
      </c>
      <c r="R484" s="52">
        <f>IF($C484="B",INDEX(Batters[[#All],[zScore]],MATCH(Table5[[#This Row],[PID]],Batters[[#All],[PID]],0)),INDEX(Table3[[#All],[zScore]],MATCH(Table5[[#This Row],[PID]],Table3[[#All],[PID]],0)))</f>
        <v>0.19983654454146768</v>
      </c>
      <c r="S484" s="58" t="str">
        <f>IF($C484="B",INDEX(Batters[[#All],[DEM]],MATCH(Table5[[#This Row],[PID]],Batters[[#All],[PID]],0)),INDEX(Table3[[#All],[DEM]],MATCH(Table5[[#This Row],[PID]],Table3[[#All],[PID]],0)))</f>
        <v>$65k</v>
      </c>
      <c r="T484" s="62">
        <f>IF($C484="B",INDEX(Batters[[#All],[Rnk]],MATCH(Table5[[#This Row],[PID]],Batters[[#All],[PID]],0)),INDEX(Table3[[#All],[Rnk]],MATCH(Table5[[#This Row],[PID]],Table3[[#All],[PID]],0)))</f>
        <v>203</v>
      </c>
      <c r="U484" s="68">
        <f>IF($C484="B",VLOOKUP($A484,Bat!$A$4:$BA$1621,47,FALSE),VLOOKUP($A484,Pit!$A$4:$BF$1557,56,FALSE))</f>
        <v>0</v>
      </c>
      <c r="V484" s="50">
        <f>IF($C484="B",VLOOKUP($A484,Bat!$A$4:$BA$1621,48,FALSE),VLOOKUP($A484,Pit!$A$4:$BF$1557,57,FALSE))</f>
        <v>0</v>
      </c>
      <c r="W484" s="50">
        <f>Table5[[#This Row],[posRnk]]+Table5[[#This Row],[zRnk]]+IF($W$3&lt;&gt;Table5[[#This Row],[Type]],50,0)</f>
        <v>721</v>
      </c>
      <c r="X484" s="51">
        <f>RANK(Table5[[#This Row],[zScore]],Table5[[#All],[zScore]])</f>
        <v>468</v>
      </c>
      <c r="Y484" s="50">
        <f>IFERROR(INDEX(DraftResults[[#All],[OVR]],MATCH(Table5[[#This Row],[PID]],DraftResults[[#All],[Player ID]],0)),"")</f>
        <v>480</v>
      </c>
      <c r="Z4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4" s="50">
        <f>IFERROR(INDEX(DraftResults[[#All],[Pick in Round]],MATCH(Table5[[#This Row],[PID]],DraftResults[[#All],[Player ID]],0)),"")</f>
        <v>22</v>
      </c>
      <c r="AB484" s="50" t="str">
        <f>IFERROR(INDEX(DraftResults[[#All],[Team Name]],MATCH(Table5[[#This Row],[PID]],DraftResults[[#All],[Player ID]],0)),"")</f>
        <v>Fargo Dinosaurs</v>
      </c>
      <c r="AC484" s="50">
        <f>IF(Table5[[#This Row],[Ovr]]="","",IF(Table5[[#This Row],[cmbList]]="","",Table5[[#This Row],[cmbList]]-Table5[[#This Row],[Ovr]]))</f>
        <v>241</v>
      </c>
      <c r="AD484" s="54" t="str">
        <f>IF(ISERROR(VLOOKUP($AB484&amp;"-"&amp;$E484&amp;" "&amp;F484,Bonuses!$B$1:$G$1006,4,FALSE)),"",INT(VLOOKUP($AB484&amp;"-"&amp;$E484&amp;" "&amp;$F484,Bonuses!$B$1:$G$1006,4,FALSE)))</f>
        <v/>
      </c>
      <c r="AE4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16.22 (480) - C Xun Shih</v>
      </c>
    </row>
    <row r="485" spans="1:31" s="50" customFormat="1" x14ac:dyDescent="0.25">
      <c r="A485" s="68">
        <v>20934</v>
      </c>
      <c r="B485" s="69">
        <f>COUNTIF(Table5[PID],A485)</f>
        <v>1</v>
      </c>
      <c r="C485" s="69" t="str">
        <f>IF(COUNTIF(Table3[[#All],[PID]],A485)&gt;0,"P","B")</f>
        <v>P</v>
      </c>
      <c r="D485" s="59" t="str">
        <f>IF($C485="B",INDEX(Batters[[#All],[POS]],MATCH(Table5[[#This Row],[PID]],Batters[[#All],[PID]],0)),INDEX(Table3[[#All],[POS]],MATCH(Table5[[#This Row],[PID]],Table3[[#All],[PID]],0)))</f>
        <v>SP</v>
      </c>
      <c r="E485" s="52" t="str">
        <f>IF($C485="B",INDEX(Batters[[#All],[First]],MATCH(Table5[[#This Row],[PID]],Batters[[#All],[PID]],0)),INDEX(Table3[[#All],[First]],MATCH(Table5[[#This Row],[PID]],Table3[[#All],[PID]],0)))</f>
        <v>Bill</v>
      </c>
      <c r="F485" s="55" t="str">
        <f>IF($C485="B",INDEX(Batters[[#All],[Last]],MATCH(A485,Batters[[#All],[PID]],0)),INDEX(Table3[[#All],[Last]],MATCH(A485,Table3[[#All],[PID]],0)))</f>
        <v>Harris</v>
      </c>
      <c r="G485" s="56">
        <f>IF($C485="B",INDEX(Batters[[#All],[Age]],MATCH(Table5[[#This Row],[PID]],Batters[[#All],[PID]],0)),INDEX(Table3[[#All],[Age]],MATCH(Table5[[#This Row],[PID]],Table3[[#All],[PID]],0)))</f>
        <v>17</v>
      </c>
      <c r="H485" s="52" t="str">
        <f>IF($C485="B",INDEX(Batters[[#All],[B]],MATCH(Table5[[#This Row],[PID]],Batters[[#All],[PID]],0)),INDEX(Table3[[#All],[B]],MATCH(Table5[[#This Row],[PID]],Table3[[#All],[PID]],0)))</f>
        <v>S</v>
      </c>
      <c r="I485" s="52" t="str">
        <f>IF($C485="B",INDEX(Batters[[#All],[T]],MATCH(Table5[[#This Row],[PID]],Batters[[#All],[PID]],0)),INDEX(Table3[[#All],[T]],MATCH(Table5[[#This Row],[PID]],Table3[[#All],[PID]],0)))</f>
        <v>R</v>
      </c>
      <c r="J485" s="71" t="str">
        <f>IF($C485="B",INDEX(Batters[[#All],[WE]],MATCH(Table5[[#This Row],[PID]],Batters[[#All],[PID]],0)),INDEX(Table3[[#All],[WE]],MATCH(Table5[[#This Row],[PID]],Table3[[#All],[PID]],0)))</f>
        <v>Normal</v>
      </c>
      <c r="K485" s="52" t="str">
        <f>IF($C485="B",INDEX(Batters[[#All],[INT]],MATCH(Table5[[#This Row],[PID]],Batters[[#All],[PID]],0)),INDEX(Table3[[#All],[INT]],MATCH(Table5[[#This Row],[PID]],Table3[[#All],[PID]],0)))</f>
        <v>High</v>
      </c>
      <c r="L485" s="60">
        <f>IF($C485="B",INDEX(Batters[[#All],[CON P]],MATCH(Table5[[#This Row],[PID]],Batters[[#All],[PID]],0)),INDEX(Table3[[#All],[STU P]],MATCH(Table5[[#This Row],[PID]],Table3[[#All],[PID]],0)))</f>
        <v>3</v>
      </c>
      <c r="M485" s="72">
        <f>IF($C485="B",INDEX(Batters[[#All],[GAP P]],MATCH(Table5[[#This Row],[PID]],Batters[[#All],[PID]],0)),INDEX(Table3[[#All],[MOV P]],MATCH(Table5[[#This Row],[PID]],Table3[[#All],[PID]],0)))</f>
        <v>4</v>
      </c>
      <c r="N485" s="72">
        <f>IF($C485="B",INDEX(Batters[[#All],[POW P]],MATCH(Table5[[#This Row],[PID]],Batters[[#All],[PID]],0)),INDEX(Table3[[#All],[CON P]],MATCH(Table5[[#This Row],[PID]],Table3[[#All],[PID]],0)))</f>
        <v>6</v>
      </c>
      <c r="O485" s="72" t="str">
        <f>IF($C485="B",INDEX(Batters[[#All],[EYE P]],MATCH(Table5[[#This Row],[PID]],Batters[[#All],[PID]],0)),INDEX(Table3[[#All],[VELO]],MATCH(Table5[[#This Row],[PID]],Table3[[#All],[PID]],0)))</f>
        <v>88-90 Mph</v>
      </c>
      <c r="P485" s="56">
        <f>IF($C485="B",INDEX(Batters[[#All],[K P]],MATCH(Table5[[#This Row],[PID]],Batters[[#All],[PID]],0)),INDEX(Table3[[#All],[STM]],MATCH(Table5[[#This Row],[PID]],Table3[[#All],[PID]],0)))</f>
        <v>7</v>
      </c>
      <c r="Q485" s="61">
        <f>IF($C485="B",INDEX(Batters[[#All],[Tot]],MATCH(Table5[[#This Row],[PID]],Batters[[#All],[PID]],0)),INDEX(Table3[[#All],[Tot]],MATCH(Table5[[#This Row],[PID]],Table3[[#All],[PID]],0)))</f>
        <v>53.223076435874091</v>
      </c>
      <c r="R485" s="52">
        <f>IF($C485="B",INDEX(Batters[[#All],[zScore]],MATCH(Table5[[#This Row],[PID]],Batters[[#All],[PID]],0)),INDEX(Table3[[#All],[zScore]],MATCH(Table5[[#This Row],[PID]],Table3[[#All],[PID]],0)))</f>
        <v>1.1544386610521649</v>
      </c>
      <c r="S485" s="78" t="str">
        <f>IF($C485="B",INDEX(Batters[[#All],[DEM]],MATCH(Table5[[#This Row],[PID]],Batters[[#All],[PID]],0)),INDEX(Table3[[#All],[DEM]],MATCH(Table5[[#This Row],[PID]],Table3[[#All],[PID]],0)))</f>
        <v>$85k</v>
      </c>
      <c r="T485" s="75">
        <f>IF($C485="B",INDEX(Batters[[#All],[Rnk]],MATCH(Table5[[#This Row],[PID]],Batters[[#All],[PID]],0)),INDEX(Table3[[#All],[Rnk]],MATCH(Table5[[#This Row],[PID]],Table3[[#All],[PID]],0)))</f>
        <v>120</v>
      </c>
      <c r="U485" s="68">
        <f>IF($C485="B",VLOOKUP($A485,Bat!$A$4:$BA$1621,47,FALSE),VLOOKUP($A485,Pit!$A$4:$BF$1557,56,FALSE))</f>
        <v>0</v>
      </c>
      <c r="V485" s="50">
        <f>IF($C485="B",VLOOKUP($A485,Bat!$A$4:$BA$1621,48,FALSE),VLOOKUP($A485,Pit!$A$4:$BF$1557,57,FALSE))</f>
        <v>0</v>
      </c>
      <c r="W485" s="69">
        <f>Table5[[#This Row],[posRnk]]+Table5[[#This Row],[zRnk]]+IF($W$3&lt;&gt;Table5[[#This Row],[Type]],50,0)</f>
        <v>367</v>
      </c>
      <c r="X485" s="73">
        <f>RANK(Table5[[#This Row],[zScore]],Table5[[#All],[zScore]])</f>
        <v>197</v>
      </c>
      <c r="Y485" s="69">
        <f>IFERROR(INDEX(DraftResults[[#All],[OVR]],MATCH(Table5[[#This Row],[PID]],DraftResults[[#All],[Player ID]],0)),"")</f>
        <v>481</v>
      </c>
      <c r="Z48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5" s="69">
        <f>IFERROR(INDEX(DraftResults[[#All],[Pick in Round]],MATCH(Table5[[#This Row],[PID]],DraftResults[[#All],[Player ID]],0)),"")</f>
        <v>23</v>
      </c>
      <c r="AB485" s="69" t="str">
        <f>IFERROR(INDEX(DraftResults[[#All],[Team Name]],MATCH(Table5[[#This Row],[PID]],DraftResults[[#All],[Player ID]],0)),"")</f>
        <v>Shin Seiki Evas</v>
      </c>
      <c r="AC485" s="69">
        <f>IF(Table5[[#This Row],[Ovr]]="","",IF(Table5[[#This Row],[cmbList]]="","",Table5[[#This Row],[cmbList]]-Table5[[#This Row],[Ovr]]))</f>
        <v>-114</v>
      </c>
      <c r="AD485" s="77" t="str">
        <f>IF(ISERROR(VLOOKUP($AB485&amp;"-"&amp;$E485&amp;" "&amp;F485,Bonuses!$B$1:$G$1006,4,FALSE)),"",INT(VLOOKUP($AB485&amp;"-"&amp;$E485&amp;" "&amp;$F485,Bonuses!$B$1:$G$1006,4,FALSE)))</f>
        <v/>
      </c>
      <c r="AE48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16.23 (481) - SP Bill Harris</v>
      </c>
    </row>
    <row r="486" spans="1:31" s="50" customFormat="1" x14ac:dyDescent="0.25">
      <c r="A486" s="68">
        <v>18376</v>
      </c>
      <c r="B486" s="69">
        <f>COUNTIF(Table5[PID],A486)</f>
        <v>1</v>
      </c>
      <c r="C486" s="69" t="str">
        <f>IF(COUNTIF(Table3[[#All],[PID]],A486)&gt;0,"P","B")</f>
        <v>P</v>
      </c>
      <c r="D486" s="59" t="str">
        <f>IF($C486="B",INDEX(Batters[[#All],[POS]],MATCH(Table5[[#This Row],[PID]],Batters[[#All],[PID]],0)),INDEX(Table3[[#All],[POS]],MATCH(Table5[[#This Row],[PID]],Table3[[#All],[PID]],0)))</f>
        <v>SP</v>
      </c>
      <c r="E486" s="52" t="str">
        <f>IF($C486="B",INDEX(Batters[[#All],[First]],MATCH(Table5[[#This Row],[PID]],Batters[[#All],[PID]],0)),INDEX(Table3[[#All],[First]],MATCH(Table5[[#This Row],[PID]],Table3[[#All],[PID]],0)))</f>
        <v>Masamichi</v>
      </c>
      <c r="F486" s="55" t="str">
        <f>IF($C486="B",INDEX(Batters[[#All],[Last]],MATCH(A486,Batters[[#All],[PID]],0)),INDEX(Table3[[#All],[Last]],MATCH(A486,Table3[[#All],[PID]],0)))</f>
        <v>Yoshida</v>
      </c>
      <c r="G486" s="56">
        <f>IF($C486="B",INDEX(Batters[[#All],[Age]],MATCH(Table5[[#This Row],[PID]],Batters[[#All],[PID]],0)),INDEX(Table3[[#All],[Age]],MATCH(Table5[[#This Row],[PID]],Table3[[#All],[PID]],0)))</f>
        <v>18</v>
      </c>
      <c r="H486" s="52" t="str">
        <f>IF($C486="B",INDEX(Batters[[#All],[B]],MATCH(Table5[[#This Row],[PID]],Batters[[#All],[PID]],0)),INDEX(Table3[[#All],[B]],MATCH(Table5[[#This Row],[PID]],Table3[[#All],[PID]],0)))</f>
        <v>S</v>
      </c>
      <c r="I486" s="52" t="str">
        <f>IF($C486="B",INDEX(Batters[[#All],[T]],MATCH(Table5[[#This Row],[PID]],Batters[[#All],[PID]],0)),INDEX(Table3[[#All],[T]],MATCH(Table5[[#This Row],[PID]],Table3[[#All],[PID]],0)))</f>
        <v>R</v>
      </c>
      <c r="J486" s="71" t="str">
        <f>IF($C486="B",INDEX(Batters[[#All],[WE]],MATCH(Table5[[#This Row],[PID]],Batters[[#All],[PID]],0)),INDEX(Table3[[#All],[WE]],MATCH(Table5[[#This Row],[PID]],Table3[[#All],[PID]],0)))</f>
        <v>Normal</v>
      </c>
      <c r="K486" s="52" t="str">
        <f>IF($C486="B",INDEX(Batters[[#All],[INT]],MATCH(Table5[[#This Row],[PID]],Batters[[#All],[PID]],0)),INDEX(Table3[[#All],[INT]],MATCH(Table5[[#This Row],[PID]],Table3[[#All],[PID]],0)))</f>
        <v>Normal</v>
      </c>
      <c r="L486" s="60">
        <f>IF($C486="B",INDEX(Batters[[#All],[CON P]],MATCH(Table5[[#This Row],[PID]],Batters[[#All],[PID]],0)),INDEX(Table3[[#All],[STU P]],MATCH(Table5[[#This Row],[PID]],Table3[[#All],[PID]],0)))</f>
        <v>5</v>
      </c>
      <c r="M486" s="72">
        <f>IF($C486="B",INDEX(Batters[[#All],[GAP P]],MATCH(Table5[[#This Row],[PID]],Batters[[#All],[PID]],0)),INDEX(Table3[[#All],[MOV P]],MATCH(Table5[[#This Row],[PID]],Table3[[#All],[PID]],0)))</f>
        <v>3</v>
      </c>
      <c r="N486" s="72">
        <f>IF($C486="B",INDEX(Batters[[#All],[POW P]],MATCH(Table5[[#This Row],[PID]],Batters[[#All],[PID]],0)),INDEX(Table3[[#All],[CON P]],MATCH(Table5[[#This Row],[PID]],Table3[[#All],[PID]],0)))</f>
        <v>4</v>
      </c>
      <c r="O486" s="72" t="str">
        <f>IF($C486="B",INDEX(Batters[[#All],[EYE P]],MATCH(Table5[[#This Row],[PID]],Batters[[#All],[PID]],0)),INDEX(Table3[[#All],[VELO]],MATCH(Table5[[#This Row],[PID]],Table3[[#All],[PID]],0)))</f>
        <v>92-94 Mph</v>
      </c>
      <c r="P486" s="56">
        <f>IF($C486="B",INDEX(Batters[[#All],[K P]],MATCH(Table5[[#This Row],[PID]],Batters[[#All],[PID]],0)),INDEX(Table3[[#All],[STM]],MATCH(Table5[[#This Row],[PID]],Table3[[#All],[PID]],0)))</f>
        <v>6</v>
      </c>
      <c r="Q486" s="61">
        <f>IF($C486="B",INDEX(Batters[[#All],[Tot]],MATCH(Table5[[#This Row],[PID]],Batters[[#All],[PID]],0)),INDEX(Table3[[#All],[Tot]],MATCH(Table5[[#This Row],[PID]],Table3[[#All],[PID]],0)))</f>
        <v>48.97575544261791</v>
      </c>
      <c r="R486" s="52">
        <f>IF($C486="B",INDEX(Batters[[#All],[zScore]],MATCH(Table5[[#This Row],[PID]],Batters[[#All],[PID]],0)),INDEX(Table3[[#All],[zScore]],MATCH(Table5[[#This Row],[PID]],Table3[[#All],[PID]],0)))</f>
        <v>0.87187088573959637</v>
      </c>
      <c r="S486" s="78" t="str">
        <f>IF($C486="B",INDEX(Batters[[#All],[DEM]],MATCH(Table5[[#This Row],[PID]],Batters[[#All],[PID]],0)),INDEX(Table3[[#All],[DEM]],MATCH(Table5[[#This Row],[PID]],Table3[[#All],[PID]],0)))</f>
        <v>$190k</v>
      </c>
      <c r="T486" s="75">
        <f>IF($C486="B",INDEX(Batters[[#All],[Rnk]],MATCH(Table5[[#This Row],[PID]],Batters[[#All],[PID]],0)),INDEX(Table3[[#All],[Rnk]],MATCH(Table5[[#This Row],[PID]],Table3[[#All],[PID]],0)))</f>
        <v>160</v>
      </c>
      <c r="U486" s="68">
        <f>IF($C486="B",VLOOKUP($A486,Bat!$A$4:$BA$1621,47,FALSE),VLOOKUP($A486,Pit!$A$4:$BF$1557,56,FALSE))</f>
        <v>0</v>
      </c>
      <c r="V486" s="50">
        <f>IF($C486="B",VLOOKUP($A486,Bat!$A$4:$BA$1621,48,FALSE),VLOOKUP($A486,Pit!$A$4:$BF$1557,57,FALSE))</f>
        <v>0</v>
      </c>
      <c r="W486" s="69">
        <f>Table5[[#This Row],[posRnk]]+Table5[[#This Row],[zRnk]]+IF($W$3&lt;&gt;Table5[[#This Row],[Type]],50,0)</f>
        <v>473</v>
      </c>
      <c r="X486" s="73">
        <f>RANK(Table5[[#This Row],[zScore]],Table5[[#All],[zScore]])</f>
        <v>263</v>
      </c>
      <c r="Y486" s="69">
        <f>IFERROR(INDEX(DraftResults[[#All],[OVR]],MATCH(Table5[[#This Row],[PID]],DraftResults[[#All],[Player ID]],0)),"")</f>
        <v>482</v>
      </c>
      <c r="Z4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6" s="69">
        <f>IFERROR(INDEX(DraftResults[[#All],[Pick in Round]],MATCH(Table5[[#This Row],[PID]],DraftResults[[#All],[Player ID]],0)),"")</f>
        <v>24</v>
      </c>
      <c r="AB486" s="69" t="str">
        <f>IFERROR(INDEX(DraftResults[[#All],[Team Name]],MATCH(Table5[[#This Row],[PID]],DraftResults[[#All],[Player ID]],0)),"")</f>
        <v>Aurora Borealis</v>
      </c>
      <c r="AC486" s="69">
        <f>IF(Table5[[#This Row],[Ovr]]="","",IF(Table5[[#This Row],[cmbList]]="","",Table5[[#This Row],[cmbList]]-Table5[[#This Row],[Ovr]]))</f>
        <v>-9</v>
      </c>
      <c r="AD486" s="77" t="str">
        <f>IF(ISERROR(VLOOKUP($AB486&amp;"-"&amp;$E486&amp;" "&amp;F486,Bonuses!$B$1:$G$1006,4,FALSE)),"",INT(VLOOKUP($AB486&amp;"-"&amp;$E486&amp;" "&amp;$F486,Bonuses!$B$1:$G$1006,4,FALSE)))</f>
        <v/>
      </c>
      <c r="AE4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16.24 (482) - SP Masamichi Yoshida</v>
      </c>
    </row>
    <row r="487" spans="1:31" s="50" customFormat="1" x14ac:dyDescent="0.25">
      <c r="A487" s="50">
        <v>18339</v>
      </c>
      <c r="B487" s="55">
        <f>COUNTIF(Table5[PID],A487)</f>
        <v>1</v>
      </c>
      <c r="C487" s="55" t="str">
        <f>IF(COUNTIF(Table3[[#All],[PID]],A487)&gt;0,"P","B")</f>
        <v>P</v>
      </c>
      <c r="D487" s="59" t="str">
        <f>IF($C487="B",INDEX(Batters[[#All],[POS]],MATCH(Table5[[#This Row],[PID]],Batters[[#All],[PID]],0)),INDEX(Table3[[#All],[POS]],MATCH(Table5[[#This Row],[PID]],Table3[[#All],[PID]],0)))</f>
        <v>RP</v>
      </c>
      <c r="E487" s="52" t="str">
        <f>IF($C487="B",INDEX(Batters[[#All],[First]],MATCH(Table5[[#This Row],[PID]],Batters[[#All],[PID]],0)),INDEX(Table3[[#All],[First]],MATCH(Table5[[#This Row],[PID]],Table3[[#All],[PID]],0)))</f>
        <v>Yoshiyuki</v>
      </c>
      <c r="F487" s="50" t="str">
        <f>IF($C487="B",INDEX(Batters[[#All],[Last]],MATCH(A487,Batters[[#All],[PID]],0)),INDEX(Table3[[#All],[Last]],MATCH(A487,Table3[[#All],[PID]],0)))</f>
        <v>Yokoyama</v>
      </c>
      <c r="G487" s="56">
        <f>IF($C487="B",INDEX(Batters[[#All],[Age]],MATCH(Table5[[#This Row],[PID]],Batters[[#All],[PID]],0)),INDEX(Table3[[#All],[Age]],MATCH(Table5[[#This Row],[PID]],Table3[[#All],[PID]],0)))</f>
        <v>18</v>
      </c>
      <c r="H487" s="52" t="str">
        <f>IF($C487="B",INDEX(Batters[[#All],[B]],MATCH(Table5[[#This Row],[PID]],Batters[[#All],[PID]],0)),INDEX(Table3[[#All],[B]],MATCH(Table5[[#This Row],[PID]],Table3[[#All],[PID]],0)))</f>
        <v>S</v>
      </c>
      <c r="I487" s="52" t="str">
        <f>IF($C487="B",INDEX(Batters[[#All],[T]],MATCH(Table5[[#This Row],[PID]],Batters[[#All],[PID]],0)),INDEX(Table3[[#All],[T]],MATCH(Table5[[#This Row],[PID]],Table3[[#All],[PID]],0)))</f>
        <v>R</v>
      </c>
      <c r="J487" s="52" t="str">
        <f>IF($C487="B",INDEX(Batters[[#All],[WE]],MATCH(Table5[[#This Row],[PID]],Batters[[#All],[PID]],0)),INDEX(Table3[[#All],[WE]],MATCH(Table5[[#This Row],[PID]],Table3[[#All],[PID]],0)))</f>
        <v>Normal</v>
      </c>
      <c r="K487" s="52" t="str">
        <f>IF($C487="B",INDEX(Batters[[#All],[INT]],MATCH(Table5[[#This Row],[PID]],Batters[[#All],[PID]],0)),INDEX(Table3[[#All],[INT]],MATCH(Table5[[#This Row],[PID]],Table3[[#All],[PID]],0)))</f>
        <v>Normal</v>
      </c>
      <c r="L487" s="60">
        <f>IF($C487="B",INDEX(Batters[[#All],[CON P]],MATCH(Table5[[#This Row],[PID]],Batters[[#All],[PID]],0)),INDEX(Table3[[#All],[STU P]],MATCH(Table5[[#This Row],[PID]],Table3[[#All],[PID]],0)))</f>
        <v>5</v>
      </c>
      <c r="M487" s="56">
        <f>IF($C487="B",INDEX(Batters[[#All],[GAP P]],MATCH(Table5[[#This Row],[PID]],Batters[[#All],[PID]],0)),INDEX(Table3[[#All],[MOV P]],MATCH(Table5[[#This Row],[PID]],Table3[[#All],[PID]],0)))</f>
        <v>5</v>
      </c>
      <c r="N487" s="56">
        <f>IF($C487="B",INDEX(Batters[[#All],[POW P]],MATCH(Table5[[#This Row],[PID]],Batters[[#All],[PID]],0)),INDEX(Table3[[#All],[CON P]],MATCH(Table5[[#This Row],[PID]],Table3[[#All],[PID]],0)))</f>
        <v>3</v>
      </c>
      <c r="O487" s="56" t="str">
        <f>IF($C487="B",INDEX(Batters[[#All],[EYE P]],MATCH(Table5[[#This Row],[PID]],Batters[[#All],[PID]],0)),INDEX(Table3[[#All],[VELO]],MATCH(Table5[[#This Row],[PID]],Table3[[#All],[PID]],0)))</f>
        <v>86-88 Mph</v>
      </c>
      <c r="P487" s="56">
        <f>IF($C487="B",INDEX(Batters[[#All],[K P]],MATCH(Table5[[#This Row],[PID]],Batters[[#All],[PID]],0)),INDEX(Table3[[#All],[STM]],MATCH(Table5[[#This Row],[PID]],Table3[[#All],[PID]],0)))</f>
        <v>6</v>
      </c>
      <c r="Q487" s="61">
        <f>IF($C487="B",INDEX(Batters[[#All],[Tot]],MATCH(Table5[[#This Row],[PID]],Batters[[#All],[PID]],0)),INDEX(Table3[[#All],[Tot]],MATCH(Table5[[#This Row],[PID]],Table3[[#All],[PID]],0)))</f>
        <v>51.370709393206646</v>
      </c>
      <c r="R487" s="52">
        <f>IF($C487="B",INDEX(Batters[[#All],[zScore]],MATCH(Table5[[#This Row],[PID]],Batters[[#All],[PID]],0)),INDEX(Table3[[#All],[zScore]],MATCH(Table5[[#This Row],[PID]],Table3[[#All],[PID]],0)))</f>
        <v>1.0312035123219565</v>
      </c>
      <c r="S487" s="58" t="str">
        <f>IF($C487="B",INDEX(Batters[[#All],[DEM]],MATCH(Table5[[#This Row],[PID]],Batters[[#All],[PID]],0)),INDEX(Table3[[#All],[DEM]],MATCH(Table5[[#This Row],[PID]],Table3[[#All],[PID]],0)))</f>
        <v>$75k</v>
      </c>
      <c r="T487" s="62">
        <f>IF($C487="B",INDEX(Batters[[#All],[Rnk]],MATCH(Table5[[#This Row],[PID]],Batters[[#All],[PID]],0)),INDEX(Table3[[#All],[Rnk]],MATCH(Table5[[#This Row],[PID]],Table3[[#All],[PID]],0)))</f>
        <v>135</v>
      </c>
      <c r="U487" s="68">
        <f>IF($C487="B",VLOOKUP($A487,Bat!$A$4:$BA$1621,47,FALSE),VLOOKUP($A487,Pit!$A$4:$BF$1557,56,FALSE))</f>
        <v>0</v>
      </c>
      <c r="V487" s="50">
        <f>IF($C487="B",VLOOKUP($A487,Bat!$A$4:$BA$1621,48,FALSE),VLOOKUP($A487,Pit!$A$4:$BF$1557,57,FALSE))</f>
        <v>0</v>
      </c>
      <c r="W487" s="50">
        <f>Table5[[#This Row],[posRnk]]+Table5[[#This Row],[zRnk]]+IF($W$3&lt;&gt;Table5[[#This Row],[Type]],50,0)</f>
        <v>407</v>
      </c>
      <c r="X487" s="51">
        <f>RANK(Table5[[#This Row],[zScore]],Table5[[#All],[zScore]])</f>
        <v>222</v>
      </c>
      <c r="Y487" s="50">
        <f>IFERROR(INDEX(DraftResults[[#All],[OVR]],MATCH(Table5[[#This Row],[PID]],DraftResults[[#All],[Player ID]],0)),"")</f>
        <v>483</v>
      </c>
      <c r="Z4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7" s="50">
        <f>IFERROR(INDEX(DraftResults[[#All],[Pick in Round]],MATCH(Table5[[#This Row],[PID]],DraftResults[[#All],[Player ID]],0)),"")</f>
        <v>25</v>
      </c>
      <c r="AB487" s="50" t="str">
        <f>IFERROR(INDEX(DraftResults[[#All],[Team Name]],MATCH(Table5[[#This Row],[PID]],DraftResults[[#All],[Player ID]],0)),"")</f>
        <v>Toyama Wind Dancers</v>
      </c>
      <c r="AC487" s="50">
        <f>IF(Table5[[#This Row],[Ovr]]="","",IF(Table5[[#This Row],[cmbList]]="","",Table5[[#This Row],[cmbList]]-Table5[[#This Row],[Ovr]]))</f>
        <v>-76</v>
      </c>
      <c r="AD487" s="54" t="str">
        <f>IF(ISERROR(VLOOKUP($AB487&amp;"-"&amp;$E487&amp;" "&amp;F487,Bonuses!$B$1:$G$1006,4,FALSE)),"",INT(VLOOKUP($AB487&amp;"-"&amp;$E487&amp;" "&amp;$F487,Bonuses!$B$1:$G$1006,4,FALSE)))</f>
        <v/>
      </c>
      <c r="AE4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16.25 (483) - RP Yoshiyuki Yokoyama</v>
      </c>
    </row>
    <row r="488" spans="1:31" s="50" customFormat="1" x14ac:dyDescent="0.25">
      <c r="A488" s="50">
        <v>18236</v>
      </c>
      <c r="B488" s="50">
        <f>COUNTIF(Table5[PID],A488)</f>
        <v>1</v>
      </c>
      <c r="C488" s="50" t="str">
        <f>IF(COUNTIF(Table3[[#All],[PID]],A488)&gt;0,"P","B")</f>
        <v>B</v>
      </c>
      <c r="D488" s="59" t="str">
        <f>IF($C488="B",INDEX(Batters[[#All],[POS]],MATCH(Table5[[#This Row],[PID]],Batters[[#All],[PID]],0)),INDEX(Table3[[#All],[POS]],MATCH(Table5[[#This Row],[PID]],Table3[[#All],[PID]],0)))</f>
        <v>SS</v>
      </c>
      <c r="E488" s="52" t="str">
        <f>IF($C488="B",INDEX(Batters[[#All],[First]],MATCH(Table5[[#This Row],[PID]],Batters[[#All],[PID]],0)),INDEX(Table3[[#All],[First]],MATCH(Table5[[#This Row],[PID]],Table3[[#All],[PID]],0)))</f>
        <v>Myles</v>
      </c>
      <c r="F488" s="50" t="str">
        <f>IF($C488="B",INDEX(Batters[[#All],[Last]],MATCH(A488,Batters[[#All],[PID]],0)),INDEX(Table3[[#All],[Last]],MATCH(A488,Table3[[#All],[PID]],0)))</f>
        <v>Weber</v>
      </c>
      <c r="G488" s="56">
        <f>IF($C488="B",INDEX(Batters[[#All],[Age]],MATCH(Table5[[#This Row],[PID]],Batters[[#All],[PID]],0)),INDEX(Table3[[#All],[Age]],MATCH(Table5[[#This Row],[PID]],Table3[[#All],[PID]],0)))</f>
        <v>18</v>
      </c>
      <c r="H488" s="52" t="str">
        <f>IF($C488="B",INDEX(Batters[[#All],[B]],MATCH(Table5[[#This Row],[PID]],Batters[[#All],[PID]],0)),INDEX(Table3[[#All],[B]],MATCH(Table5[[#This Row],[PID]],Table3[[#All],[PID]],0)))</f>
        <v>R</v>
      </c>
      <c r="I488" s="52" t="str">
        <f>IF($C488="B",INDEX(Batters[[#All],[T]],MATCH(Table5[[#This Row],[PID]],Batters[[#All],[PID]],0)),INDEX(Table3[[#All],[T]],MATCH(Table5[[#This Row],[PID]],Table3[[#All],[PID]],0)))</f>
        <v>R</v>
      </c>
      <c r="J488" s="52" t="str">
        <f>IF($C488="B",INDEX(Batters[[#All],[WE]],MATCH(Table5[[#This Row],[PID]],Batters[[#All],[PID]],0)),INDEX(Table3[[#All],[WE]],MATCH(Table5[[#This Row],[PID]],Table3[[#All],[PID]],0)))</f>
        <v>Low</v>
      </c>
      <c r="K488" s="52" t="str">
        <f>IF($C488="B",INDEX(Batters[[#All],[INT]],MATCH(Table5[[#This Row],[PID]],Batters[[#All],[PID]],0)),INDEX(Table3[[#All],[INT]],MATCH(Table5[[#This Row],[PID]],Table3[[#All],[PID]],0)))</f>
        <v>High</v>
      </c>
      <c r="L488" s="60">
        <f>IF($C488="B",INDEX(Batters[[#All],[CON P]],MATCH(Table5[[#This Row],[PID]],Batters[[#All],[PID]],0)),INDEX(Table3[[#All],[STU P]],MATCH(Table5[[#This Row],[PID]],Table3[[#All],[PID]],0)))</f>
        <v>3</v>
      </c>
      <c r="M488" s="56">
        <f>IF($C488="B",INDEX(Batters[[#All],[GAP P]],MATCH(Table5[[#This Row],[PID]],Batters[[#All],[PID]],0)),INDEX(Table3[[#All],[MOV P]],MATCH(Table5[[#This Row],[PID]],Table3[[#All],[PID]],0)))</f>
        <v>6</v>
      </c>
      <c r="N488" s="56">
        <f>IF($C488="B",INDEX(Batters[[#All],[POW P]],MATCH(Table5[[#This Row],[PID]],Batters[[#All],[PID]],0)),INDEX(Table3[[#All],[CON P]],MATCH(Table5[[#This Row],[PID]],Table3[[#All],[PID]],0)))</f>
        <v>4</v>
      </c>
      <c r="O488" s="56">
        <f>IF($C488="B",INDEX(Batters[[#All],[EYE P]],MATCH(Table5[[#This Row],[PID]],Batters[[#All],[PID]],0)),INDEX(Table3[[#All],[VELO]],MATCH(Table5[[#This Row],[PID]],Table3[[#All],[PID]],0)))</f>
        <v>5</v>
      </c>
      <c r="P488" s="56">
        <f>IF($C488="B",INDEX(Batters[[#All],[K P]],MATCH(Table5[[#This Row],[PID]],Batters[[#All],[PID]],0)),INDEX(Table3[[#All],[STM]],MATCH(Table5[[#This Row],[PID]],Table3[[#All],[PID]],0)))</f>
        <v>3</v>
      </c>
      <c r="Q488" s="61">
        <f>IF($C488="B",INDEX(Batters[[#All],[Tot]],MATCH(Table5[[#This Row],[PID]],Batters[[#All],[PID]],0)),INDEX(Table3[[#All],[Tot]],MATCH(Table5[[#This Row],[PID]],Table3[[#All],[PID]],0)))</f>
        <v>44.530092413035014</v>
      </c>
      <c r="R488" s="52">
        <f>IF($C488="B",INDEX(Batters[[#All],[zScore]],MATCH(Table5[[#This Row],[PID]],Batters[[#All],[PID]],0)),INDEX(Table3[[#All],[zScore]],MATCH(Table5[[#This Row],[PID]],Table3[[#All],[PID]],0)))</f>
        <v>8.8273142946049252E-2</v>
      </c>
      <c r="S488" s="58" t="str">
        <f>IF($C488="B",INDEX(Batters[[#All],[DEM]],MATCH(Table5[[#This Row],[PID]],Batters[[#All],[PID]],0)),INDEX(Table3[[#All],[DEM]],MATCH(Table5[[#This Row],[PID]],Table3[[#All],[PID]],0)))</f>
        <v>$200k</v>
      </c>
      <c r="T488" s="62">
        <f>IF($C488="B",INDEX(Batters[[#All],[Rnk]],MATCH(Table5[[#This Row],[PID]],Batters[[#All],[PID]],0)),INDEX(Table3[[#All],[Rnk]],MATCH(Table5[[#This Row],[PID]],Table3[[#All],[PID]],0)))</f>
        <v>225</v>
      </c>
      <c r="U488" s="68">
        <f>IF($C488="B",VLOOKUP($A488,Bat!$A$4:$BA$1621,47,FALSE),VLOOKUP($A488,Pit!$A$4:$BF$1557,56,FALSE))</f>
        <v>0</v>
      </c>
      <c r="V488" s="50">
        <f>IF($C488="B",VLOOKUP($A488,Bat!$A$4:$BA$1621,48,FALSE),VLOOKUP($A488,Pit!$A$4:$BF$1557,57,FALSE))</f>
        <v>0</v>
      </c>
      <c r="W488" s="50">
        <f>Table5[[#This Row],[posRnk]]+Table5[[#This Row],[zRnk]]+IF($W$3&lt;&gt;Table5[[#This Row],[Type]],50,0)</f>
        <v>791</v>
      </c>
      <c r="X488" s="51">
        <f>RANK(Table5[[#This Row],[zScore]],Table5[[#All],[zScore]])</f>
        <v>516</v>
      </c>
      <c r="Y488" s="50">
        <f>IFERROR(INDEX(DraftResults[[#All],[OVR]],MATCH(Table5[[#This Row],[PID]],DraftResults[[#All],[Player ID]],0)),"")</f>
        <v>484</v>
      </c>
      <c r="Z4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8" s="50">
        <f>IFERROR(INDEX(DraftResults[[#All],[Pick in Round]],MATCH(Table5[[#This Row],[PID]],DraftResults[[#All],[Player ID]],0)),"")</f>
        <v>26</v>
      </c>
      <c r="AB488" s="50" t="str">
        <f>IFERROR(INDEX(DraftResults[[#All],[Team Name]],MATCH(Table5[[#This Row],[PID]],DraftResults[[#All],[Player ID]],0)),"")</f>
        <v>Aurora Borealis</v>
      </c>
      <c r="AC488" s="50">
        <f>IF(Table5[[#This Row],[Ovr]]="","",IF(Table5[[#This Row],[cmbList]]="","",Table5[[#This Row],[cmbList]]-Table5[[#This Row],[Ovr]]))</f>
        <v>307</v>
      </c>
      <c r="AD488" s="54" t="str">
        <f>IF(ISERROR(VLOOKUP($AB488&amp;"-"&amp;$E488&amp;" "&amp;F488,Bonuses!$B$1:$G$1006,4,FALSE)),"",INT(VLOOKUP($AB488&amp;"-"&amp;$E488&amp;" "&amp;$F488,Bonuses!$B$1:$G$1006,4,FALSE)))</f>
        <v/>
      </c>
      <c r="AE4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16.26 (484) - SS Myles Weber</v>
      </c>
    </row>
    <row r="489" spans="1:31" s="50" customFormat="1" x14ac:dyDescent="0.25">
      <c r="A489" s="50">
        <v>20201</v>
      </c>
      <c r="B489" s="50">
        <f>COUNTIF(Table5[PID],A489)</f>
        <v>1</v>
      </c>
      <c r="C489" s="50" t="str">
        <f>IF(COUNTIF(Table3[[#All],[PID]],A489)&gt;0,"P","B")</f>
        <v>B</v>
      </c>
      <c r="D489" s="59" t="str">
        <f>IF($C489="B",INDEX(Batters[[#All],[POS]],MATCH(Table5[[#This Row],[PID]],Batters[[#All],[PID]],0)),INDEX(Table3[[#All],[POS]],MATCH(Table5[[#This Row],[PID]],Table3[[#All],[PID]],0)))</f>
        <v>RF</v>
      </c>
      <c r="E489" s="52" t="str">
        <f>IF($C489="B",INDEX(Batters[[#All],[First]],MATCH(Table5[[#This Row],[PID]],Batters[[#All],[PID]],0)),INDEX(Table3[[#All],[First]],MATCH(Table5[[#This Row],[PID]],Table3[[#All],[PID]],0)))</f>
        <v>Xun</v>
      </c>
      <c r="F489" s="50" t="str">
        <f>IF($C489="B",INDEX(Batters[[#All],[Last]],MATCH(A489,Batters[[#All],[PID]],0)),INDEX(Table3[[#All],[Last]],MATCH(A489,Table3[[#All],[PID]],0)))</f>
        <v>Zhou</v>
      </c>
      <c r="G489" s="56">
        <f>IF($C489="B",INDEX(Batters[[#All],[Age]],MATCH(Table5[[#This Row],[PID]],Batters[[#All],[PID]],0)),INDEX(Table3[[#All],[Age]],MATCH(Table5[[#This Row],[PID]],Table3[[#All],[PID]],0)))</f>
        <v>21</v>
      </c>
      <c r="H489" s="52" t="str">
        <f>IF($C489="B",INDEX(Batters[[#All],[B]],MATCH(Table5[[#This Row],[PID]],Batters[[#All],[PID]],0)),INDEX(Table3[[#All],[B]],MATCH(Table5[[#This Row],[PID]],Table3[[#All],[PID]],0)))</f>
        <v>R</v>
      </c>
      <c r="I489" s="52" t="str">
        <f>IF($C489="B",INDEX(Batters[[#All],[T]],MATCH(Table5[[#This Row],[PID]],Batters[[#All],[PID]],0)),INDEX(Table3[[#All],[T]],MATCH(Table5[[#This Row],[PID]],Table3[[#All],[PID]],0)))</f>
        <v>R</v>
      </c>
      <c r="J489" s="52" t="str">
        <f>IF($C489="B",INDEX(Batters[[#All],[WE]],MATCH(Table5[[#This Row],[PID]],Batters[[#All],[PID]],0)),INDEX(Table3[[#All],[WE]],MATCH(Table5[[#This Row],[PID]],Table3[[#All],[PID]],0)))</f>
        <v>Normal</v>
      </c>
      <c r="K489" s="52" t="str">
        <f>IF($C489="B",INDEX(Batters[[#All],[INT]],MATCH(Table5[[#This Row],[PID]],Batters[[#All],[PID]],0)),INDEX(Table3[[#All],[INT]],MATCH(Table5[[#This Row],[PID]],Table3[[#All],[PID]],0)))</f>
        <v>Normal</v>
      </c>
      <c r="L489" s="60">
        <f>IF($C489="B",INDEX(Batters[[#All],[CON P]],MATCH(Table5[[#This Row],[PID]],Batters[[#All],[PID]],0)),INDEX(Table3[[#All],[STU P]],MATCH(Table5[[#This Row],[PID]],Table3[[#All],[PID]],0)))</f>
        <v>4</v>
      </c>
      <c r="M489" s="56">
        <f>IF($C489="B",INDEX(Batters[[#All],[GAP P]],MATCH(Table5[[#This Row],[PID]],Batters[[#All],[PID]],0)),INDEX(Table3[[#All],[MOV P]],MATCH(Table5[[#This Row],[PID]],Table3[[#All],[PID]],0)))</f>
        <v>4</v>
      </c>
      <c r="N489" s="56">
        <f>IF($C489="B",INDEX(Batters[[#All],[POW P]],MATCH(Table5[[#This Row],[PID]],Batters[[#All],[PID]],0)),INDEX(Table3[[#All],[CON P]],MATCH(Table5[[#This Row],[PID]],Table3[[#All],[PID]],0)))</f>
        <v>4</v>
      </c>
      <c r="O489" s="56">
        <f>IF($C489="B",INDEX(Batters[[#All],[EYE P]],MATCH(Table5[[#This Row],[PID]],Batters[[#All],[PID]],0)),INDEX(Table3[[#All],[VELO]],MATCH(Table5[[#This Row],[PID]],Table3[[#All],[PID]],0)))</f>
        <v>6</v>
      </c>
      <c r="P489" s="56">
        <f>IF($C489="B",INDEX(Batters[[#All],[K P]],MATCH(Table5[[#This Row],[PID]],Batters[[#All],[PID]],0)),INDEX(Table3[[#All],[STM]],MATCH(Table5[[#This Row],[PID]],Table3[[#All],[PID]],0)))</f>
        <v>4</v>
      </c>
      <c r="Q489" s="61">
        <f>IF($C489="B",INDEX(Batters[[#All],[Tot]],MATCH(Table5[[#This Row],[PID]],Batters[[#All],[PID]],0)),INDEX(Table3[[#All],[Tot]],MATCH(Table5[[#This Row],[PID]],Table3[[#All],[PID]],0)))</f>
        <v>43.140983880803105</v>
      </c>
      <c r="R489" s="52">
        <f>IF($C489="B",INDEX(Batters[[#All],[zScore]],MATCH(Table5[[#This Row],[PID]],Batters[[#All],[PID]],0)),INDEX(Table3[[#All],[zScore]],MATCH(Table5[[#This Row],[PID]],Table3[[#All],[PID]],0)))</f>
        <v>-0.21970160815202847</v>
      </c>
      <c r="S489" s="58" t="str">
        <f>IF($C489="B",INDEX(Batters[[#All],[DEM]],MATCH(Table5[[#This Row],[PID]],Batters[[#All],[PID]],0)),INDEX(Table3[[#All],[DEM]],MATCH(Table5[[#This Row],[PID]],Table3[[#All],[PID]],0)))</f>
        <v>$20k</v>
      </c>
      <c r="T489" s="62">
        <f>IF($C489="B",INDEX(Batters[[#All],[Rnk]],MATCH(Table5[[#This Row],[PID]],Batters[[#All],[PID]],0)),INDEX(Table3[[#All],[Rnk]],MATCH(Table5[[#This Row],[PID]],Table3[[#All],[PID]],0)))</f>
        <v>289</v>
      </c>
      <c r="U489" s="68">
        <f>IF($C489="B",VLOOKUP($A489,Bat!$A$4:$BA$1621,47,FALSE),VLOOKUP($A489,Pit!$A$4:$BF$1557,56,FALSE))</f>
        <v>0</v>
      </c>
      <c r="V489" s="50">
        <f>IF($C489="B",VLOOKUP($A489,Bat!$A$4:$BA$1621,48,FALSE),VLOOKUP($A489,Pit!$A$4:$BF$1557,57,FALSE))</f>
        <v>0</v>
      </c>
      <c r="W489" s="50">
        <f>Table5[[#This Row],[posRnk]]+Table5[[#This Row],[zRnk]]+IF($W$3&lt;&gt;Table5[[#This Row],[Type]],50,0)</f>
        <v>1021</v>
      </c>
      <c r="X489" s="51">
        <f>RANK(Table5[[#This Row],[zScore]],Table5[[#All],[zScore]])</f>
        <v>682</v>
      </c>
      <c r="Y489" s="50">
        <f>IFERROR(INDEX(DraftResults[[#All],[OVR]],MATCH(Table5[[#This Row],[PID]],DraftResults[[#All],[Player ID]],0)),"")</f>
        <v>485</v>
      </c>
      <c r="Z4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89" s="50">
        <f>IFERROR(INDEX(DraftResults[[#All],[Pick in Round]],MATCH(Table5[[#This Row],[PID]],DraftResults[[#All],[Player ID]],0)),"")</f>
        <v>27</v>
      </c>
      <c r="AB489" s="50" t="str">
        <f>IFERROR(INDEX(DraftResults[[#All],[Team Name]],MATCH(Table5[[#This Row],[PID]],DraftResults[[#All],[Player ID]],0)),"")</f>
        <v>Neo-Tokyo Akira</v>
      </c>
      <c r="AC489" s="50">
        <f>IF(Table5[[#This Row],[Ovr]]="","",IF(Table5[[#This Row],[cmbList]]="","",Table5[[#This Row],[cmbList]]-Table5[[#This Row],[Ovr]]))</f>
        <v>536</v>
      </c>
      <c r="AD489" s="54" t="str">
        <f>IF(ISERROR(VLOOKUP($AB489&amp;"-"&amp;$E489&amp;" "&amp;F489,Bonuses!$B$1:$G$1006,4,FALSE)),"",INT(VLOOKUP($AB489&amp;"-"&amp;$E489&amp;" "&amp;$F489,Bonuses!$B$1:$G$1006,4,FALSE)))</f>
        <v/>
      </c>
      <c r="AE4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16.27 (485) - RF Xun Zhou</v>
      </c>
    </row>
    <row r="490" spans="1:31" s="50" customFormat="1" x14ac:dyDescent="0.25">
      <c r="A490" s="50">
        <v>18233</v>
      </c>
      <c r="B490" s="50">
        <f>COUNTIF(Table5[PID],A490)</f>
        <v>1</v>
      </c>
      <c r="C490" s="50" t="str">
        <f>IF(COUNTIF(Table3[[#All],[PID]],A490)&gt;0,"P","B")</f>
        <v>P</v>
      </c>
      <c r="D490" s="59" t="str">
        <f>IF($C490="B",INDEX(Batters[[#All],[POS]],MATCH(Table5[[#This Row],[PID]],Batters[[#All],[PID]],0)),INDEX(Table3[[#All],[POS]],MATCH(Table5[[#This Row],[PID]],Table3[[#All],[PID]],0)))</f>
        <v>RP</v>
      </c>
      <c r="E490" s="52" t="str">
        <f>IF($C490="B",INDEX(Batters[[#All],[First]],MATCH(Table5[[#This Row],[PID]],Batters[[#All],[PID]],0)),INDEX(Table3[[#All],[First]],MATCH(Table5[[#This Row],[PID]],Table3[[#All],[PID]],0)))</f>
        <v>Jerome</v>
      </c>
      <c r="F490" s="50" t="str">
        <f>IF($C490="B",INDEX(Batters[[#All],[Last]],MATCH(A490,Batters[[#All],[PID]],0)),INDEX(Table3[[#All],[Last]],MATCH(A490,Table3[[#All],[PID]],0)))</f>
        <v>Montero</v>
      </c>
      <c r="G490" s="56">
        <f>IF($C490="B",INDEX(Batters[[#All],[Age]],MATCH(Table5[[#This Row],[PID]],Batters[[#All],[PID]],0)),INDEX(Table3[[#All],[Age]],MATCH(Table5[[#This Row],[PID]],Table3[[#All],[PID]],0)))</f>
        <v>18</v>
      </c>
      <c r="H490" s="52" t="str">
        <f>IF($C490="B",INDEX(Batters[[#All],[B]],MATCH(Table5[[#This Row],[PID]],Batters[[#All],[PID]],0)),INDEX(Table3[[#All],[B]],MATCH(Table5[[#This Row],[PID]],Table3[[#All],[PID]],0)))</f>
        <v>R</v>
      </c>
      <c r="I490" s="52" t="str">
        <f>IF($C490="B",INDEX(Batters[[#All],[T]],MATCH(Table5[[#This Row],[PID]],Batters[[#All],[PID]],0)),INDEX(Table3[[#All],[T]],MATCH(Table5[[#This Row],[PID]],Table3[[#All],[PID]],0)))</f>
        <v>R</v>
      </c>
      <c r="J490" s="52" t="str">
        <f>IF($C490="B",INDEX(Batters[[#All],[WE]],MATCH(Table5[[#This Row],[PID]],Batters[[#All],[PID]],0)),INDEX(Table3[[#All],[WE]],MATCH(Table5[[#This Row],[PID]],Table3[[#All],[PID]],0)))</f>
        <v>Normal</v>
      </c>
      <c r="K490" s="52" t="str">
        <f>IF($C490="B",INDEX(Batters[[#All],[INT]],MATCH(Table5[[#This Row],[PID]],Batters[[#All],[PID]],0)),INDEX(Table3[[#All],[INT]],MATCH(Table5[[#This Row],[PID]],Table3[[#All],[PID]],0)))</f>
        <v>Normal</v>
      </c>
      <c r="L490" s="60">
        <f>IF($C490="B",INDEX(Batters[[#All],[CON P]],MATCH(Table5[[#This Row],[PID]],Batters[[#All],[PID]],0)),INDEX(Table3[[#All],[STU P]],MATCH(Table5[[#This Row],[PID]],Table3[[#All],[PID]],0)))</f>
        <v>3</v>
      </c>
      <c r="M490" s="56">
        <f>IF($C490="B",INDEX(Batters[[#All],[GAP P]],MATCH(Table5[[#This Row],[PID]],Batters[[#All],[PID]],0)),INDEX(Table3[[#All],[MOV P]],MATCH(Table5[[#This Row],[PID]],Table3[[#All],[PID]],0)))</f>
        <v>4</v>
      </c>
      <c r="N490" s="56">
        <f>IF($C490="B",INDEX(Batters[[#All],[POW P]],MATCH(Table5[[#This Row],[PID]],Batters[[#All],[PID]],0)),INDEX(Table3[[#All],[CON P]],MATCH(Table5[[#This Row],[PID]],Table3[[#All],[PID]],0)))</f>
        <v>5</v>
      </c>
      <c r="O490" s="56" t="str">
        <f>IF($C490="B",INDEX(Batters[[#All],[EYE P]],MATCH(Table5[[#This Row],[PID]],Batters[[#All],[PID]],0)),INDEX(Table3[[#All],[VELO]],MATCH(Table5[[#This Row],[PID]],Table3[[#All],[PID]],0)))</f>
        <v>87-89 Mph</v>
      </c>
      <c r="P490" s="56">
        <f>IF($C490="B",INDEX(Batters[[#All],[K P]],MATCH(Table5[[#This Row],[PID]],Batters[[#All],[PID]],0)),INDEX(Table3[[#All],[STM]],MATCH(Table5[[#This Row],[PID]],Table3[[#All],[PID]],0)))</f>
        <v>8</v>
      </c>
      <c r="Q490" s="61">
        <f>IF($C490="B",INDEX(Batters[[#All],[Tot]],MATCH(Table5[[#This Row],[PID]],Batters[[#All],[PID]],0)),INDEX(Table3[[#All],[Tot]],MATCH(Table5[[#This Row],[PID]],Table3[[#All],[PID]],0)))</f>
        <v>48.317139266482897</v>
      </c>
      <c r="R490" s="52">
        <f>IF($C490="B",INDEX(Batters[[#All],[zScore]],MATCH(Table5[[#This Row],[PID]],Batters[[#All],[PID]],0)),INDEX(Table3[[#All],[zScore]],MATCH(Table5[[#This Row],[PID]],Table3[[#All],[PID]],0)))</f>
        <v>0.82805415797853632</v>
      </c>
      <c r="S490" s="58" t="str">
        <f>IF($C490="B",INDEX(Batters[[#All],[DEM]],MATCH(Table5[[#This Row],[PID]],Batters[[#All],[PID]],0)),INDEX(Table3[[#All],[DEM]],MATCH(Table5[[#This Row],[PID]],Table3[[#All],[PID]],0)))</f>
        <v>$38k</v>
      </c>
      <c r="T490" s="62">
        <f>IF($C490="B",INDEX(Batters[[#All],[Rnk]],MATCH(Table5[[#This Row],[PID]],Batters[[#All],[PID]],0)),INDEX(Table3[[#All],[Rnk]],MATCH(Table5[[#This Row],[PID]],Table3[[#All],[PID]],0)))</f>
        <v>165</v>
      </c>
      <c r="U490" s="68">
        <f>IF($C490="B",VLOOKUP($A490,Bat!$A$4:$BA$1621,47,FALSE),VLOOKUP($A490,Pit!$A$4:$BF$1557,56,FALSE))</f>
        <v>0</v>
      </c>
      <c r="V490" s="50">
        <f>IF($C490="B",VLOOKUP($A490,Bat!$A$4:$BA$1621,48,FALSE),VLOOKUP($A490,Pit!$A$4:$BF$1557,57,FALSE))</f>
        <v>0</v>
      </c>
      <c r="W490" s="50">
        <f>Table5[[#This Row],[posRnk]]+Table5[[#This Row],[zRnk]]+IF($W$3&lt;&gt;Table5[[#This Row],[Type]],50,0)</f>
        <v>492</v>
      </c>
      <c r="X490" s="51">
        <f>RANK(Table5[[#This Row],[zScore]],Table5[[#All],[zScore]])</f>
        <v>277</v>
      </c>
      <c r="Y490" s="50">
        <f>IFERROR(INDEX(DraftResults[[#All],[OVR]],MATCH(Table5[[#This Row],[PID]],DraftResults[[#All],[Player ID]],0)),"")</f>
        <v>486</v>
      </c>
      <c r="Z4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90" s="50">
        <f>IFERROR(INDEX(DraftResults[[#All],[Pick in Round]],MATCH(Table5[[#This Row],[PID]],DraftResults[[#All],[Player ID]],0)),"")</f>
        <v>28</v>
      </c>
      <c r="AB490" s="50" t="str">
        <f>IFERROR(INDEX(DraftResults[[#All],[Team Name]],MATCH(Table5[[#This Row],[PID]],DraftResults[[#All],[Player ID]],0)),"")</f>
        <v>San Juan Coqui</v>
      </c>
      <c r="AC490" s="50">
        <f>IF(Table5[[#This Row],[Ovr]]="","",IF(Table5[[#This Row],[cmbList]]="","",Table5[[#This Row],[cmbList]]-Table5[[#This Row],[Ovr]]))</f>
        <v>6</v>
      </c>
      <c r="AD490" s="54" t="str">
        <f>IF(ISERROR(VLOOKUP($AB490&amp;"-"&amp;$E490&amp;" "&amp;F490,Bonuses!$B$1:$G$1006,4,FALSE)),"",INT(VLOOKUP($AB490&amp;"-"&amp;$E490&amp;" "&amp;$F490,Bonuses!$B$1:$G$1006,4,FALSE)))</f>
        <v/>
      </c>
      <c r="AE4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16.28 (486) - RP Jerome Montero</v>
      </c>
    </row>
    <row r="491" spans="1:31" s="50" customFormat="1" x14ac:dyDescent="0.25">
      <c r="A491" s="50">
        <v>18255</v>
      </c>
      <c r="B491" s="55">
        <f>COUNTIF(Table5[PID],A491)</f>
        <v>1</v>
      </c>
      <c r="C491" s="55" t="str">
        <f>IF(COUNTIF(Table3[[#All],[PID]],A491)&gt;0,"P","B")</f>
        <v>B</v>
      </c>
      <c r="D491" s="59" t="str">
        <f>IF($C491="B",INDEX(Batters[[#All],[POS]],MATCH(Table5[[#This Row],[PID]],Batters[[#All],[PID]],0)),INDEX(Table3[[#All],[POS]],MATCH(Table5[[#This Row],[PID]],Table3[[#All],[PID]],0)))</f>
        <v>3B</v>
      </c>
      <c r="E491" s="52" t="str">
        <f>IF($C491="B",INDEX(Batters[[#All],[First]],MATCH(Table5[[#This Row],[PID]],Batters[[#All],[PID]],0)),INDEX(Table3[[#All],[First]],MATCH(Table5[[#This Row],[PID]],Table3[[#All],[PID]],0)))</f>
        <v>Manuel</v>
      </c>
      <c r="F491" s="50" t="str">
        <f>IF($C491="B",INDEX(Batters[[#All],[Last]],MATCH(A491,Batters[[#All],[PID]],0)),INDEX(Table3[[#All],[Last]],MATCH(A491,Table3[[#All],[PID]],0)))</f>
        <v>Serna</v>
      </c>
      <c r="G491" s="56">
        <f>IF($C491="B",INDEX(Batters[[#All],[Age]],MATCH(Table5[[#This Row],[PID]],Batters[[#All],[PID]],0)),INDEX(Table3[[#All],[Age]],MATCH(Table5[[#This Row],[PID]],Table3[[#All],[PID]],0)))</f>
        <v>18</v>
      </c>
      <c r="H491" s="52" t="str">
        <f>IF($C491="B",INDEX(Batters[[#All],[B]],MATCH(Table5[[#This Row],[PID]],Batters[[#All],[PID]],0)),INDEX(Table3[[#All],[B]],MATCH(Table5[[#This Row],[PID]],Table3[[#All],[PID]],0)))</f>
        <v>R</v>
      </c>
      <c r="I491" s="52" t="str">
        <f>IF($C491="B",INDEX(Batters[[#All],[T]],MATCH(Table5[[#This Row],[PID]],Batters[[#All],[PID]],0)),INDEX(Table3[[#All],[T]],MATCH(Table5[[#This Row],[PID]],Table3[[#All],[PID]],0)))</f>
        <v>R</v>
      </c>
      <c r="J491" s="52" t="str">
        <f>IF($C491="B",INDEX(Batters[[#All],[WE]],MATCH(Table5[[#This Row],[PID]],Batters[[#All],[PID]],0)),INDEX(Table3[[#All],[WE]],MATCH(Table5[[#This Row],[PID]],Table3[[#All],[PID]],0)))</f>
        <v>High</v>
      </c>
      <c r="K491" s="52" t="str">
        <f>IF($C491="B",INDEX(Batters[[#All],[INT]],MATCH(Table5[[#This Row],[PID]],Batters[[#All],[PID]],0)),INDEX(Table3[[#All],[INT]],MATCH(Table5[[#This Row],[PID]],Table3[[#All],[PID]],0)))</f>
        <v>Normal</v>
      </c>
      <c r="L491" s="60">
        <f>IF($C491="B",INDEX(Batters[[#All],[CON P]],MATCH(Table5[[#This Row],[PID]],Batters[[#All],[PID]],0)),INDEX(Table3[[#All],[STU P]],MATCH(Table5[[#This Row],[PID]],Table3[[#All],[PID]],0)))</f>
        <v>2</v>
      </c>
      <c r="M491" s="56">
        <f>IF($C491="B",INDEX(Batters[[#All],[GAP P]],MATCH(Table5[[#This Row],[PID]],Batters[[#All],[PID]],0)),INDEX(Table3[[#All],[MOV P]],MATCH(Table5[[#This Row],[PID]],Table3[[#All],[PID]],0)))</f>
        <v>6</v>
      </c>
      <c r="N491" s="56">
        <f>IF($C491="B",INDEX(Batters[[#All],[POW P]],MATCH(Table5[[#This Row],[PID]],Batters[[#All],[PID]],0)),INDEX(Table3[[#All],[CON P]],MATCH(Table5[[#This Row],[PID]],Table3[[#All],[PID]],0)))</f>
        <v>6</v>
      </c>
      <c r="O491" s="56">
        <f>IF($C491="B",INDEX(Batters[[#All],[EYE P]],MATCH(Table5[[#This Row],[PID]],Batters[[#All],[PID]],0)),INDEX(Table3[[#All],[VELO]],MATCH(Table5[[#This Row],[PID]],Table3[[#All],[PID]],0)))</f>
        <v>5</v>
      </c>
      <c r="P491" s="56">
        <f>IF($C491="B",INDEX(Batters[[#All],[K P]],MATCH(Table5[[#This Row],[PID]],Batters[[#All],[PID]],0)),INDEX(Table3[[#All],[STM]],MATCH(Table5[[#This Row],[PID]],Table3[[#All],[PID]],0)))</f>
        <v>2</v>
      </c>
      <c r="Q491" s="61">
        <f>IF($C491="B",INDEX(Batters[[#All],[Tot]],MATCH(Table5[[#This Row],[PID]],Batters[[#All],[PID]],0)),INDEX(Table3[[#All],[Tot]],MATCH(Table5[[#This Row],[PID]],Table3[[#All],[PID]],0)))</f>
        <v>41.791958547742055</v>
      </c>
      <c r="R491" s="52">
        <f>IF($C491="B",INDEX(Batters[[#All],[zScore]],MATCH(Table5[[#This Row],[PID]],Batters[[#All],[PID]],0)),INDEX(Table3[[#All],[zScore]],MATCH(Table5[[#This Row],[PID]],Table3[[#All],[PID]],0)))</f>
        <v>-0.51878964305664543</v>
      </c>
      <c r="S491" s="58" t="str">
        <f>IF($C491="B",INDEX(Batters[[#All],[DEM]],MATCH(Table5[[#This Row],[PID]],Batters[[#All],[PID]],0)),INDEX(Table3[[#All],[DEM]],MATCH(Table5[[#This Row],[PID]],Table3[[#All],[PID]],0)))</f>
        <v>$190k</v>
      </c>
      <c r="T491" s="62">
        <f>IF($C491="B",INDEX(Batters[[#All],[Rnk]],MATCH(Table5[[#This Row],[PID]],Batters[[#All],[PID]],0)),INDEX(Table3[[#All],[Rnk]],MATCH(Table5[[#This Row],[PID]],Table3[[#All],[PID]],0)))</f>
        <v>340</v>
      </c>
      <c r="U491" s="68">
        <f>IF($C491="B",VLOOKUP($A491,Bat!$A$4:$BA$1621,47,FALSE),VLOOKUP($A491,Pit!$A$4:$BF$1557,56,FALSE))</f>
        <v>0</v>
      </c>
      <c r="V491" s="50">
        <f>IF($C491="B",VLOOKUP($A491,Bat!$A$4:$BA$1621,48,FALSE),VLOOKUP($A491,Pit!$A$4:$BF$1557,57,FALSE))</f>
        <v>0</v>
      </c>
      <c r="W491" s="50">
        <f>Table5[[#This Row],[posRnk]]+Table5[[#This Row],[zRnk]]+IF($W$3&lt;&gt;Table5[[#This Row],[Type]],50,0)</f>
        <v>1262</v>
      </c>
      <c r="X491" s="51">
        <f>RANK(Table5[[#This Row],[zScore]],Table5[[#All],[zScore]])</f>
        <v>872</v>
      </c>
      <c r="Y491" s="50">
        <f>IFERROR(INDEX(DraftResults[[#All],[OVR]],MATCH(Table5[[#This Row],[PID]],DraftResults[[#All],[Player ID]],0)),"")</f>
        <v>487</v>
      </c>
      <c r="Z4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91" s="50">
        <f>IFERROR(INDEX(DraftResults[[#All],[Pick in Round]],MATCH(Table5[[#This Row],[PID]],DraftResults[[#All],[Player ID]],0)),"")</f>
        <v>29</v>
      </c>
      <c r="AB491" s="50" t="str">
        <f>IFERROR(INDEX(DraftResults[[#All],[Team Name]],MATCH(Table5[[#This Row],[PID]],DraftResults[[#All],[Player ID]],0)),"")</f>
        <v>Havana Leones</v>
      </c>
      <c r="AC491" s="50">
        <f>IF(Table5[[#This Row],[Ovr]]="","",IF(Table5[[#This Row],[cmbList]]="","",Table5[[#This Row],[cmbList]]-Table5[[#This Row],[Ovr]]))</f>
        <v>775</v>
      </c>
      <c r="AD491" s="54" t="str">
        <f>IF(ISERROR(VLOOKUP($AB491&amp;"-"&amp;$E491&amp;" "&amp;F491,Bonuses!$B$1:$G$1006,4,FALSE)),"",INT(VLOOKUP($AB491&amp;"-"&amp;$E491&amp;" "&amp;$F491,Bonuses!$B$1:$G$1006,4,FALSE)))</f>
        <v/>
      </c>
      <c r="AE4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16.29 (487) - 3B Manuel Serna</v>
      </c>
    </row>
    <row r="492" spans="1:31" s="50" customFormat="1" x14ac:dyDescent="0.25">
      <c r="A492" s="50">
        <v>16926</v>
      </c>
      <c r="B492" s="50">
        <f>COUNTIF(Table5[PID],A492)</f>
        <v>1</v>
      </c>
      <c r="C492" s="50" t="str">
        <f>IF(COUNTIF(Table3[[#All],[PID]],A492)&gt;0,"P","B")</f>
        <v>B</v>
      </c>
      <c r="D492" s="59" t="str">
        <f>IF($C492="B",INDEX(Batters[[#All],[POS]],MATCH(Table5[[#This Row],[PID]],Batters[[#All],[PID]],0)),INDEX(Table3[[#All],[POS]],MATCH(Table5[[#This Row],[PID]],Table3[[#All],[PID]],0)))</f>
        <v>CF</v>
      </c>
      <c r="E492" s="52" t="str">
        <f>IF($C492="B",INDEX(Batters[[#All],[First]],MATCH(Table5[[#This Row],[PID]],Batters[[#All],[PID]],0)),INDEX(Table3[[#All],[First]],MATCH(Table5[[#This Row],[PID]],Table3[[#All],[PID]],0)))</f>
        <v>Don</v>
      </c>
      <c r="F492" s="50" t="str">
        <f>IF($C492="B",INDEX(Batters[[#All],[Last]],MATCH(A492,Batters[[#All],[PID]],0)),INDEX(Table3[[#All],[Last]],MATCH(A492,Table3[[#All],[PID]],0)))</f>
        <v>Washington</v>
      </c>
      <c r="G492" s="56">
        <f>IF($C492="B",INDEX(Batters[[#All],[Age]],MATCH(Table5[[#This Row],[PID]],Batters[[#All],[PID]],0)),INDEX(Table3[[#All],[Age]],MATCH(Table5[[#This Row],[PID]],Table3[[#All],[PID]],0)))</f>
        <v>21</v>
      </c>
      <c r="H492" s="52" t="str">
        <f>IF($C492="B",INDEX(Batters[[#All],[B]],MATCH(Table5[[#This Row],[PID]],Batters[[#All],[PID]],0)),INDEX(Table3[[#All],[B]],MATCH(Table5[[#This Row],[PID]],Table3[[#All],[PID]],0)))</f>
        <v>S</v>
      </c>
      <c r="I492" s="52" t="str">
        <f>IF($C492="B",INDEX(Batters[[#All],[T]],MATCH(Table5[[#This Row],[PID]],Batters[[#All],[PID]],0)),INDEX(Table3[[#All],[T]],MATCH(Table5[[#This Row],[PID]],Table3[[#All],[PID]],0)))</f>
        <v>R</v>
      </c>
      <c r="J492" s="52" t="str">
        <f>IF($C492="B",INDEX(Batters[[#All],[WE]],MATCH(Table5[[#This Row],[PID]],Batters[[#All],[PID]],0)),INDEX(Table3[[#All],[WE]],MATCH(Table5[[#This Row],[PID]],Table3[[#All],[PID]],0)))</f>
        <v>High</v>
      </c>
      <c r="K492" s="52" t="str">
        <f>IF($C492="B",INDEX(Batters[[#All],[INT]],MATCH(Table5[[#This Row],[PID]],Batters[[#All],[PID]],0)),INDEX(Table3[[#All],[INT]],MATCH(Table5[[#This Row],[PID]],Table3[[#All],[PID]],0)))</f>
        <v>Normal</v>
      </c>
      <c r="L492" s="60">
        <f>IF($C492="B",INDEX(Batters[[#All],[CON P]],MATCH(Table5[[#This Row],[PID]],Batters[[#All],[PID]],0)),INDEX(Table3[[#All],[STU P]],MATCH(Table5[[#This Row],[PID]],Table3[[#All],[PID]],0)))</f>
        <v>4</v>
      </c>
      <c r="M492" s="56">
        <f>IF($C492="B",INDEX(Batters[[#All],[GAP P]],MATCH(Table5[[#This Row],[PID]],Batters[[#All],[PID]],0)),INDEX(Table3[[#All],[MOV P]],MATCH(Table5[[#This Row],[PID]],Table3[[#All],[PID]],0)))</f>
        <v>4</v>
      </c>
      <c r="N492" s="56">
        <f>IF($C492="B",INDEX(Batters[[#All],[POW P]],MATCH(Table5[[#This Row],[PID]],Batters[[#All],[PID]],0)),INDEX(Table3[[#All],[CON P]],MATCH(Table5[[#This Row],[PID]],Table3[[#All],[PID]],0)))</f>
        <v>3</v>
      </c>
      <c r="O492" s="56">
        <f>IF($C492="B",INDEX(Batters[[#All],[EYE P]],MATCH(Table5[[#This Row],[PID]],Batters[[#All],[PID]],0)),INDEX(Table3[[#All],[VELO]],MATCH(Table5[[#This Row],[PID]],Table3[[#All],[PID]],0)))</f>
        <v>4</v>
      </c>
      <c r="P492" s="56">
        <f>IF($C492="B",INDEX(Batters[[#All],[K P]],MATCH(Table5[[#This Row],[PID]],Batters[[#All],[PID]],0)),INDEX(Table3[[#All],[STM]],MATCH(Table5[[#This Row],[PID]],Table3[[#All],[PID]],0)))</f>
        <v>5</v>
      </c>
      <c r="Q492" s="61">
        <f>IF($C492="B",INDEX(Batters[[#All],[Tot]],MATCH(Table5[[#This Row],[PID]],Batters[[#All],[PID]],0)),INDEX(Table3[[#All],[Tot]],MATCH(Table5[[#This Row],[PID]],Table3[[#All],[PID]],0)))</f>
        <v>41.621572585770018</v>
      </c>
      <c r="R492" s="52">
        <f>IF($C492="B",INDEX(Batters[[#All],[zScore]],MATCH(Table5[[#This Row],[PID]],Batters[[#All],[PID]],0)),INDEX(Table3[[#All],[zScore]],MATCH(Table5[[#This Row],[PID]],Table3[[#All],[PID]],0)))</f>
        <v>-0.55656536252806277</v>
      </c>
      <c r="S492" s="58" t="str">
        <f>IF($C492="B",INDEX(Batters[[#All],[DEM]],MATCH(Table5[[#This Row],[PID]],Batters[[#All],[PID]],0)),INDEX(Table3[[#All],[DEM]],MATCH(Table5[[#This Row],[PID]],Table3[[#All],[PID]],0)))</f>
        <v>-</v>
      </c>
      <c r="T492" s="62">
        <f>IF($C492="B",INDEX(Batters[[#All],[Rnk]],MATCH(Table5[[#This Row],[PID]],Batters[[#All],[PID]],0)),INDEX(Table3[[#All],[Rnk]],MATCH(Table5[[#This Row],[PID]],Table3[[#All],[PID]],0)))</f>
        <v>350</v>
      </c>
      <c r="U492" s="68">
        <f>IF($C492="B",VLOOKUP($A492,Bat!$A$4:$BA$1621,47,FALSE),VLOOKUP($A492,Pit!$A$4:$BF$1557,56,FALSE))</f>
        <v>0</v>
      </c>
      <c r="V492" s="50">
        <f>IF($C492="B",VLOOKUP($A492,Bat!$A$4:$BA$1621,48,FALSE),VLOOKUP($A492,Pit!$A$4:$BF$1557,57,FALSE))</f>
        <v>0</v>
      </c>
      <c r="W492" s="50">
        <f>Table5[[#This Row],[posRnk]]+Table5[[#This Row],[zRnk]]+IF($W$3&lt;&gt;Table5[[#This Row],[Type]],50,0)</f>
        <v>1295</v>
      </c>
      <c r="X492" s="51">
        <f>RANK(Table5[[#This Row],[zScore]],Table5[[#All],[zScore]])</f>
        <v>895</v>
      </c>
      <c r="Y492" s="50">
        <f>IFERROR(INDEX(DraftResults[[#All],[OVR]],MATCH(Table5[[#This Row],[PID]],DraftResults[[#All],[Player ID]],0)),"")</f>
        <v>488</v>
      </c>
      <c r="Z4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16</v>
      </c>
      <c r="AA492" s="50">
        <f>IFERROR(INDEX(DraftResults[[#All],[Pick in Round]],MATCH(Table5[[#This Row],[PID]],DraftResults[[#All],[Player ID]],0)),"")</f>
        <v>30</v>
      </c>
      <c r="AB492" s="50" t="str">
        <f>IFERROR(INDEX(DraftResults[[#All],[Team Name]],MATCH(Table5[[#This Row],[PID]],DraftResults[[#All],[Player ID]],0)),"")</f>
        <v>Florida Farstriders</v>
      </c>
      <c r="AC492" s="50">
        <f>IF(Table5[[#This Row],[Ovr]]="","",IF(Table5[[#This Row],[cmbList]]="","",Table5[[#This Row],[cmbList]]-Table5[[#This Row],[Ovr]]))</f>
        <v>807</v>
      </c>
      <c r="AD492" s="54" t="str">
        <f>IF(ISERROR(VLOOKUP($AB492&amp;"-"&amp;$E492&amp;" "&amp;F492,Bonuses!$B$1:$G$1006,4,FALSE)),"",INT(VLOOKUP($AB492&amp;"-"&amp;$E492&amp;" "&amp;$F492,Bonuses!$B$1:$G$1006,4,FALSE)))</f>
        <v/>
      </c>
      <c r="AE4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16.30 (488) - CF Don Washington</v>
      </c>
    </row>
    <row r="493" spans="1:31" s="50" customFormat="1" x14ac:dyDescent="0.25">
      <c r="A493" s="50">
        <v>18285</v>
      </c>
      <c r="B493" s="55">
        <f>COUNTIF(Table5[PID],A493)</f>
        <v>1</v>
      </c>
      <c r="C493" s="55" t="str">
        <f>IF(COUNTIF(Table3[[#All],[PID]],A493)&gt;0,"P","B")</f>
        <v>B</v>
      </c>
      <c r="D493" s="59" t="str">
        <f>IF($C493="B",INDEX(Batters[[#All],[POS]],MATCH(Table5[[#This Row],[PID]],Batters[[#All],[PID]],0)),INDEX(Table3[[#All],[POS]],MATCH(Table5[[#This Row],[PID]],Table3[[#All],[PID]],0)))</f>
        <v>C</v>
      </c>
      <c r="E493" s="52" t="str">
        <f>IF($C493="B",INDEX(Batters[[#All],[First]],MATCH(Table5[[#This Row],[PID]],Batters[[#All],[PID]],0)),INDEX(Table3[[#All],[First]],MATCH(Table5[[#This Row],[PID]],Table3[[#All],[PID]],0)))</f>
        <v>Hideki</v>
      </c>
      <c r="F493" s="50" t="str">
        <f>IF($C493="B",INDEX(Batters[[#All],[Last]],MATCH(A493,Batters[[#All],[PID]],0)),INDEX(Table3[[#All],[Last]],MATCH(A493,Table3[[#All],[PID]],0)))</f>
        <v>Ito</v>
      </c>
      <c r="G493" s="56">
        <f>IF($C493="B",INDEX(Batters[[#All],[Age]],MATCH(Table5[[#This Row],[PID]],Batters[[#All],[PID]],0)),INDEX(Table3[[#All],[Age]],MATCH(Table5[[#This Row],[PID]],Table3[[#All],[PID]],0)))</f>
        <v>21</v>
      </c>
      <c r="H493" s="52" t="str">
        <f>IF($C493="B",INDEX(Batters[[#All],[B]],MATCH(Table5[[#This Row],[PID]],Batters[[#All],[PID]],0)),INDEX(Table3[[#All],[B]],MATCH(Table5[[#This Row],[PID]],Table3[[#All],[PID]],0)))</f>
        <v>R</v>
      </c>
      <c r="I493" s="52" t="str">
        <f>IF($C493="B",INDEX(Batters[[#All],[T]],MATCH(Table5[[#This Row],[PID]],Batters[[#All],[PID]],0)),INDEX(Table3[[#All],[T]],MATCH(Table5[[#This Row],[PID]],Table3[[#All],[PID]],0)))</f>
        <v>R</v>
      </c>
      <c r="J493" s="52" t="str">
        <f>IF($C493="B",INDEX(Batters[[#All],[WE]],MATCH(Table5[[#This Row],[PID]],Batters[[#All],[PID]],0)),INDEX(Table3[[#All],[WE]],MATCH(Table5[[#This Row],[PID]],Table3[[#All],[PID]],0)))</f>
        <v>Normal</v>
      </c>
      <c r="K493" s="52" t="str">
        <f>IF($C493="B",INDEX(Batters[[#All],[INT]],MATCH(Table5[[#This Row],[PID]],Batters[[#All],[PID]],0)),INDEX(Table3[[#All],[INT]],MATCH(Table5[[#This Row],[PID]],Table3[[#All],[PID]],0)))</f>
        <v>Normal</v>
      </c>
      <c r="L493" s="60">
        <f>IF($C493="B",INDEX(Batters[[#All],[CON P]],MATCH(Table5[[#This Row],[PID]],Batters[[#All],[PID]],0)),INDEX(Table3[[#All],[STU P]],MATCH(Table5[[#This Row],[PID]],Table3[[#All],[PID]],0)))</f>
        <v>4</v>
      </c>
      <c r="M493" s="56">
        <f>IF($C493="B",INDEX(Batters[[#All],[GAP P]],MATCH(Table5[[#This Row],[PID]],Batters[[#All],[PID]],0)),INDEX(Table3[[#All],[MOV P]],MATCH(Table5[[#This Row],[PID]],Table3[[#All],[PID]],0)))</f>
        <v>4</v>
      </c>
      <c r="N493" s="56">
        <f>IF($C493="B",INDEX(Batters[[#All],[POW P]],MATCH(Table5[[#This Row],[PID]],Batters[[#All],[PID]],0)),INDEX(Table3[[#All],[CON P]],MATCH(Table5[[#This Row],[PID]],Table3[[#All],[PID]],0)))</f>
        <v>3</v>
      </c>
      <c r="O493" s="56">
        <f>IF($C493="B",INDEX(Batters[[#All],[EYE P]],MATCH(Table5[[#This Row],[PID]],Batters[[#All],[PID]],0)),INDEX(Table3[[#All],[VELO]],MATCH(Table5[[#This Row],[PID]],Table3[[#All],[PID]],0)))</f>
        <v>5</v>
      </c>
      <c r="P493" s="56">
        <f>IF($C493="B",INDEX(Batters[[#All],[K P]],MATCH(Table5[[#This Row],[PID]],Batters[[#All],[PID]],0)),INDEX(Table3[[#All],[STM]],MATCH(Table5[[#This Row],[PID]],Table3[[#All],[PID]],0)))</f>
        <v>4</v>
      </c>
      <c r="Q493" s="61">
        <f>IF($C493="B",INDEX(Batters[[#All],[Tot]],MATCH(Table5[[#This Row],[PID]],Batters[[#All],[PID]],0)),INDEX(Table3[[#All],[Tot]],MATCH(Table5[[#This Row],[PID]],Table3[[#All],[PID]],0)))</f>
        <v>41.088118701019077</v>
      </c>
      <c r="R493" s="52">
        <f>IF($C493="B",INDEX(Batters[[#All],[zScore]],MATCH(Table5[[#This Row],[PID]],Batters[[#All],[PID]],0)),INDEX(Table3[[#All],[zScore]],MATCH(Table5[[#This Row],[PID]],Table3[[#All],[PID]],0)))</f>
        <v>-0.67483569459096138</v>
      </c>
      <c r="S493" s="58" t="str">
        <f>IF($C493="B",INDEX(Batters[[#All],[DEM]],MATCH(Table5[[#This Row],[PID]],Batters[[#All],[PID]],0)),INDEX(Table3[[#All],[DEM]],MATCH(Table5[[#This Row],[PID]],Table3[[#All],[PID]],0)))</f>
        <v>-</v>
      </c>
      <c r="T493" s="62">
        <f>IF($C493="B",INDEX(Batters[[#All],[Rnk]],MATCH(Table5[[#This Row],[PID]],Batters[[#All],[PID]],0)),INDEX(Table3[[#All],[Rnk]],MATCH(Table5[[#This Row],[PID]],Table3[[#All],[PID]],0)))</f>
        <v>374</v>
      </c>
      <c r="U493" s="68">
        <f>IF($C493="B",VLOOKUP($A493,Bat!$A$4:$BA$1621,47,FALSE),VLOOKUP($A493,Pit!$A$4:$BF$1557,56,FALSE))</f>
        <v>0</v>
      </c>
      <c r="V493" s="50">
        <f>IF($C493="B",VLOOKUP($A493,Bat!$A$4:$BA$1621,48,FALSE),VLOOKUP($A493,Pit!$A$4:$BF$1557,57,FALSE))</f>
        <v>0</v>
      </c>
      <c r="W493" s="50">
        <f>Table5[[#This Row],[posRnk]]+Table5[[#This Row],[zRnk]]+IF($W$3&lt;&gt;Table5[[#This Row],[Type]],50,0)</f>
        <v>1390</v>
      </c>
      <c r="X493" s="51">
        <f>RANK(Table5[[#This Row],[zScore]],Table5[[#All],[zScore]])</f>
        <v>966</v>
      </c>
      <c r="Y493" s="50">
        <f>IFERROR(INDEX(DraftResults[[#All],[OVR]],MATCH(Table5[[#This Row],[PID]],DraftResults[[#All],[Player ID]],0)),"")</f>
        <v>489</v>
      </c>
      <c r="Z4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3" s="50">
        <f>IFERROR(INDEX(DraftResults[[#All],[Pick in Round]],MATCH(Table5[[#This Row],[PID]],DraftResults[[#All],[Player ID]],0)),"")</f>
        <v>1</v>
      </c>
      <c r="AB493" s="50" t="str">
        <f>IFERROR(INDEX(DraftResults[[#All],[Team Name]],MATCH(Table5[[#This Row],[PID]],DraftResults[[#All],[Player ID]],0)),"")</f>
        <v>Yuma Arroyos</v>
      </c>
      <c r="AC493" s="50">
        <f>IF(Table5[[#This Row],[Ovr]]="","",IF(Table5[[#This Row],[cmbList]]="","",Table5[[#This Row],[cmbList]]-Table5[[#This Row],[Ovr]]))</f>
        <v>901</v>
      </c>
      <c r="AD493" s="54" t="str">
        <f>IF(ISERROR(VLOOKUP($AB493&amp;"-"&amp;$E493&amp;" "&amp;F493,Bonuses!$B$1:$G$1006,4,FALSE)),"",INT(VLOOKUP($AB493&amp;"-"&amp;$E493&amp;" "&amp;$F493,Bonuses!$B$1:$G$1006,4,FALSE)))</f>
        <v/>
      </c>
      <c r="AE4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 (489) - C Hideki Ito</v>
      </c>
    </row>
    <row r="494" spans="1:31" s="50" customFormat="1" x14ac:dyDescent="0.25">
      <c r="A494" s="68">
        <v>18434</v>
      </c>
      <c r="B494" s="69">
        <f>COUNTIF(Table5[PID],A494)</f>
        <v>1</v>
      </c>
      <c r="C494" s="69" t="str">
        <f>IF(COUNTIF(Table3[[#All],[PID]],A494)&gt;0,"P","B")</f>
        <v>P</v>
      </c>
      <c r="D494" s="59" t="str">
        <f>IF($C494="B",INDEX(Batters[[#All],[POS]],MATCH(Table5[[#This Row],[PID]],Batters[[#All],[PID]],0)),INDEX(Table3[[#All],[POS]],MATCH(Table5[[#This Row],[PID]],Table3[[#All],[PID]],0)))</f>
        <v>SP</v>
      </c>
      <c r="E494" s="52" t="str">
        <f>IF($C494="B",INDEX(Batters[[#All],[First]],MATCH(Table5[[#This Row],[PID]],Batters[[#All],[PID]],0)),INDEX(Table3[[#All],[First]],MATCH(Table5[[#This Row],[PID]],Table3[[#All],[PID]],0)))</f>
        <v>Naozane</v>
      </c>
      <c r="F494" s="55" t="str">
        <f>IF($C494="B",INDEX(Batters[[#All],[Last]],MATCH(A494,Batters[[#All],[PID]],0)),INDEX(Table3[[#All],[Last]],MATCH(A494,Table3[[#All],[PID]],0)))</f>
        <v>Watanabe</v>
      </c>
      <c r="G494" s="56">
        <f>IF($C494="B",INDEX(Batters[[#All],[Age]],MATCH(Table5[[#This Row],[PID]],Batters[[#All],[PID]],0)),INDEX(Table3[[#All],[Age]],MATCH(Table5[[#This Row],[PID]],Table3[[#All],[PID]],0)))</f>
        <v>18</v>
      </c>
      <c r="H494" s="52" t="str">
        <f>IF($C494="B",INDEX(Batters[[#All],[B]],MATCH(Table5[[#This Row],[PID]],Batters[[#All],[PID]],0)),INDEX(Table3[[#All],[B]],MATCH(Table5[[#This Row],[PID]],Table3[[#All],[PID]],0)))</f>
        <v>R</v>
      </c>
      <c r="I494" s="52" t="str">
        <f>IF($C494="B",INDEX(Batters[[#All],[T]],MATCH(Table5[[#This Row],[PID]],Batters[[#All],[PID]],0)),INDEX(Table3[[#All],[T]],MATCH(Table5[[#This Row],[PID]],Table3[[#All],[PID]],0)))</f>
        <v>R</v>
      </c>
      <c r="J494" s="71" t="str">
        <f>IF($C494="B",INDEX(Batters[[#All],[WE]],MATCH(Table5[[#This Row],[PID]],Batters[[#All],[PID]],0)),INDEX(Table3[[#All],[WE]],MATCH(Table5[[#This Row],[PID]],Table3[[#All],[PID]],0)))</f>
        <v>Low</v>
      </c>
      <c r="K494" s="52" t="str">
        <f>IF($C494="B",INDEX(Batters[[#All],[INT]],MATCH(Table5[[#This Row],[PID]],Batters[[#All],[PID]],0)),INDEX(Table3[[#All],[INT]],MATCH(Table5[[#This Row],[PID]],Table3[[#All],[PID]],0)))</f>
        <v>Normal</v>
      </c>
      <c r="L494" s="60">
        <f>IF($C494="B",INDEX(Batters[[#All],[CON P]],MATCH(Table5[[#This Row],[PID]],Batters[[#All],[PID]],0)),INDEX(Table3[[#All],[STU P]],MATCH(Table5[[#This Row],[PID]],Table3[[#All],[PID]],0)))</f>
        <v>4</v>
      </c>
      <c r="M494" s="72">
        <f>IF($C494="B",INDEX(Batters[[#All],[GAP P]],MATCH(Table5[[#This Row],[PID]],Batters[[#All],[PID]],0)),INDEX(Table3[[#All],[MOV P]],MATCH(Table5[[#This Row],[PID]],Table3[[#All],[PID]],0)))</f>
        <v>3</v>
      </c>
      <c r="N494" s="72">
        <f>IF($C494="B",INDEX(Batters[[#All],[POW P]],MATCH(Table5[[#This Row],[PID]],Batters[[#All],[PID]],0)),INDEX(Table3[[#All],[CON P]],MATCH(Table5[[#This Row],[PID]],Table3[[#All],[PID]],0)))</f>
        <v>4</v>
      </c>
      <c r="O494" s="72" t="str">
        <f>IF($C494="B",INDEX(Batters[[#All],[EYE P]],MATCH(Table5[[#This Row],[PID]],Batters[[#All],[PID]],0)),INDEX(Table3[[#All],[VELO]],MATCH(Table5[[#This Row],[PID]],Table3[[#All],[PID]],0)))</f>
        <v>87-89 Mph</v>
      </c>
      <c r="P494" s="56">
        <f>IF($C494="B",INDEX(Batters[[#All],[K P]],MATCH(Table5[[#This Row],[PID]],Batters[[#All],[PID]],0)),INDEX(Table3[[#All],[STM]],MATCH(Table5[[#This Row],[PID]],Table3[[#All],[PID]],0)))</f>
        <v>7</v>
      </c>
      <c r="Q494" s="61">
        <f>IF($C494="B",INDEX(Batters[[#All],[Tot]],MATCH(Table5[[#This Row],[PID]],Batters[[#All],[PID]],0)),INDEX(Table3[[#All],[Tot]],MATCH(Table5[[#This Row],[PID]],Table3[[#All],[PID]],0)))</f>
        <v>44.165445955292036</v>
      </c>
      <c r="R494" s="52">
        <f>IF($C494="B",INDEX(Batters[[#All],[zScore]],MATCH(Table5[[#This Row],[PID]],Batters[[#All],[PID]],0)),INDEX(Table3[[#All],[zScore]],MATCH(Table5[[#This Row],[PID]],Table3[[#All],[PID]],0)))</f>
        <v>0.53446692007008534</v>
      </c>
      <c r="S494" s="78" t="str">
        <f>IF($C494="B",INDEX(Batters[[#All],[DEM]],MATCH(Table5[[#This Row],[PID]],Batters[[#All],[PID]],0)),INDEX(Table3[[#All],[DEM]],MATCH(Table5[[#This Row],[PID]],Table3[[#All],[PID]],0)))</f>
        <v>$75k</v>
      </c>
      <c r="T494" s="75">
        <f>IF($C494="B",INDEX(Batters[[#All],[Rnk]],MATCH(Table5[[#This Row],[PID]],Batters[[#All],[PID]],0)),INDEX(Table3[[#All],[Rnk]],MATCH(Table5[[#This Row],[PID]],Table3[[#All],[PID]],0)))</f>
        <v>210</v>
      </c>
      <c r="U494" s="68">
        <f>IF($C494="B",VLOOKUP($A494,Bat!$A$4:$BA$1621,47,FALSE),VLOOKUP($A494,Pit!$A$4:$BF$1557,56,FALSE))</f>
        <v>0</v>
      </c>
      <c r="V494" s="50">
        <f>IF($C494="B",VLOOKUP($A494,Bat!$A$4:$BA$1621,48,FALSE),VLOOKUP($A494,Pit!$A$4:$BF$1557,57,FALSE))</f>
        <v>0</v>
      </c>
      <c r="W494" s="69">
        <f>Table5[[#This Row],[posRnk]]+Table5[[#This Row],[zRnk]]+IF($W$3&lt;&gt;Table5[[#This Row],[Type]],50,0)</f>
        <v>619</v>
      </c>
      <c r="X494" s="73">
        <f>RANK(Table5[[#This Row],[zScore]],Table5[[#All],[zScore]])</f>
        <v>359</v>
      </c>
      <c r="Y494" s="69">
        <f>IFERROR(INDEX(DraftResults[[#All],[OVR]],MATCH(Table5[[#This Row],[PID]],DraftResults[[#All],[Player ID]],0)),"")</f>
        <v>490</v>
      </c>
      <c r="Z49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4" s="69">
        <f>IFERROR(INDEX(DraftResults[[#All],[Pick in Round]],MATCH(Table5[[#This Row],[PID]],DraftResults[[#All],[Player ID]],0)),"")</f>
        <v>2</v>
      </c>
      <c r="AB494" s="69" t="str">
        <f>IFERROR(INDEX(DraftResults[[#All],[Team Name]],MATCH(Table5[[#This Row],[PID]],DraftResults[[#All],[Player ID]],0)),"")</f>
        <v>Charleston Statesmen</v>
      </c>
      <c r="AC494" s="69">
        <f>IF(Table5[[#This Row],[Ovr]]="","",IF(Table5[[#This Row],[cmbList]]="","",Table5[[#This Row],[cmbList]]-Table5[[#This Row],[Ovr]]))</f>
        <v>129</v>
      </c>
      <c r="AD494" s="77" t="str">
        <f>IF(ISERROR(VLOOKUP($AB494&amp;"-"&amp;$E494&amp;" "&amp;F494,Bonuses!$B$1:$G$1006,4,FALSE)),"",INT(VLOOKUP($AB494&amp;"-"&amp;$E494&amp;" "&amp;$F494,Bonuses!$B$1:$G$1006,4,FALSE)))</f>
        <v/>
      </c>
      <c r="AE49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 (490) - SP Naozane Watanabe</v>
      </c>
    </row>
    <row r="495" spans="1:31" s="50" customFormat="1" x14ac:dyDescent="0.25">
      <c r="A495" s="50">
        <v>17794</v>
      </c>
      <c r="B495" s="50">
        <f>COUNTIF(Table5[PID],A495)</f>
        <v>1</v>
      </c>
      <c r="C495" s="50" t="str">
        <f>IF(COUNTIF(Table3[[#All],[PID]],A495)&gt;0,"P","B")</f>
        <v>P</v>
      </c>
      <c r="D495" s="59" t="str">
        <f>IF($C495="B",INDEX(Batters[[#All],[POS]],MATCH(Table5[[#This Row],[PID]],Batters[[#All],[PID]],0)),INDEX(Table3[[#All],[POS]],MATCH(Table5[[#This Row],[PID]],Table3[[#All],[PID]],0)))</f>
        <v>RP</v>
      </c>
      <c r="E495" s="52" t="str">
        <f>IF($C495="B",INDEX(Batters[[#All],[First]],MATCH(Table5[[#This Row],[PID]],Batters[[#All],[PID]],0)),INDEX(Table3[[#All],[First]],MATCH(Table5[[#This Row],[PID]],Table3[[#All],[PID]],0)))</f>
        <v>Juan</v>
      </c>
      <c r="F495" s="50" t="str">
        <f>IF($C495="B",INDEX(Batters[[#All],[Last]],MATCH(A495,Batters[[#All],[PID]],0)),INDEX(Table3[[#All],[Last]],MATCH(A495,Table3[[#All],[PID]],0)))</f>
        <v>Chávez</v>
      </c>
      <c r="G495" s="56">
        <f>IF($C495="B",INDEX(Batters[[#All],[Age]],MATCH(Table5[[#This Row],[PID]],Batters[[#All],[PID]],0)),INDEX(Table3[[#All],[Age]],MATCH(Table5[[#This Row],[PID]],Table3[[#All],[PID]],0)))</f>
        <v>21</v>
      </c>
      <c r="H495" s="52" t="str">
        <f>IF($C495="B",INDEX(Batters[[#All],[B]],MATCH(Table5[[#This Row],[PID]],Batters[[#All],[PID]],0)),INDEX(Table3[[#All],[B]],MATCH(Table5[[#This Row],[PID]],Table3[[#All],[PID]],0)))</f>
        <v>L</v>
      </c>
      <c r="I495" s="52" t="str">
        <f>IF($C495="B",INDEX(Batters[[#All],[T]],MATCH(Table5[[#This Row],[PID]],Batters[[#All],[PID]],0)),INDEX(Table3[[#All],[T]],MATCH(Table5[[#This Row],[PID]],Table3[[#All],[PID]],0)))</f>
        <v>R</v>
      </c>
      <c r="J495" s="52" t="str">
        <f>IF($C495="B",INDEX(Batters[[#All],[WE]],MATCH(Table5[[#This Row],[PID]],Batters[[#All],[PID]],0)),INDEX(Table3[[#All],[WE]],MATCH(Table5[[#This Row],[PID]],Table3[[#All],[PID]],0)))</f>
        <v>High</v>
      </c>
      <c r="K495" s="52" t="str">
        <f>IF($C495="B",INDEX(Batters[[#All],[INT]],MATCH(Table5[[#This Row],[PID]],Batters[[#All],[PID]],0)),INDEX(Table3[[#All],[INT]],MATCH(Table5[[#This Row],[PID]],Table3[[#All],[PID]],0)))</f>
        <v>High</v>
      </c>
      <c r="L495" s="60">
        <f>IF($C495="B",INDEX(Batters[[#All],[CON P]],MATCH(Table5[[#This Row],[PID]],Batters[[#All],[PID]],0)),INDEX(Table3[[#All],[STU P]],MATCH(Table5[[#This Row],[PID]],Table3[[#All],[PID]],0)))</f>
        <v>6</v>
      </c>
      <c r="M495" s="56">
        <f>IF($C495="B",INDEX(Batters[[#All],[GAP P]],MATCH(Table5[[#This Row],[PID]],Batters[[#All],[PID]],0)),INDEX(Table3[[#All],[MOV P]],MATCH(Table5[[#This Row],[PID]],Table3[[#All],[PID]],0)))</f>
        <v>2</v>
      </c>
      <c r="N495" s="56">
        <f>IF($C495="B",INDEX(Batters[[#All],[POW P]],MATCH(Table5[[#This Row],[PID]],Batters[[#All],[PID]],0)),INDEX(Table3[[#All],[CON P]],MATCH(Table5[[#This Row],[PID]],Table3[[#All],[PID]],0)))</f>
        <v>3</v>
      </c>
      <c r="O495" s="56" t="str">
        <f>IF($C495="B",INDEX(Batters[[#All],[EYE P]],MATCH(Table5[[#This Row],[PID]],Batters[[#All],[PID]],0)),INDEX(Table3[[#All],[VELO]],MATCH(Table5[[#This Row],[PID]],Table3[[#All],[PID]],0)))</f>
        <v>89-91 Mph</v>
      </c>
      <c r="P495" s="56">
        <f>IF($C495="B",INDEX(Batters[[#All],[K P]],MATCH(Table5[[#This Row],[PID]],Batters[[#All],[PID]],0)),INDEX(Table3[[#All],[STM]],MATCH(Table5[[#This Row],[PID]],Table3[[#All],[PID]],0)))</f>
        <v>2</v>
      </c>
      <c r="Q495" s="61">
        <f>IF($C495="B",INDEX(Batters[[#All],[Tot]],MATCH(Table5[[#This Row],[PID]],Batters[[#All],[PID]],0)),INDEX(Table3[[#All],[Tot]],MATCH(Table5[[#This Row],[PID]],Table3[[#All],[PID]],0)))</f>
        <v>30.934633324990365</v>
      </c>
      <c r="R495" s="52">
        <f>IF($C495="B",INDEX(Batters[[#All],[zScore]],MATCH(Table5[[#This Row],[PID]],Batters[[#All],[PID]],0)),INDEX(Table3[[#All],[zScore]],MATCH(Table5[[#This Row],[PID]],Table3[[#All],[PID]],0)))</f>
        <v>-0.32837739994793425</v>
      </c>
      <c r="S495" s="58" t="str">
        <f>IF($C495="B",INDEX(Batters[[#All],[DEM]],MATCH(Table5[[#This Row],[PID]],Batters[[#All],[PID]],0)),INDEX(Table3[[#All],[DEM]],MATCH(Table5[[#This Row],[PID]],Table3[[#All],[PID]],0)))</f>
        <v>-</v>
      </c>
      <c r="T495" s="62">
        <f>IF($C495="B",INDEX(Batters[[#All],[Rnk]],MATCH(Table5[[#This Row],[PID]],Batters[[#All],[PID]],0)),INDEX(Table3[[#All],[Rnk]],MATCH(Table5[[#This Row],[PID]],Table3[[#All],[PID]],0)))</f>
        <v>440</v>
      </c>
      <c r="U495" s="68">
        <f>IF($C495="B",VLOOKUP($A495,Bat!$A$4:$BA$1621,47,FALSE),VLOOKUP($A495,Pit!$A$4:$BF$1557,56,FALSE))</f>
        <v>0</v>
      </c>
      <c r="V495" s="50">
        <f>IF($C495="B",VLOOKUP($A495,Bat!$A$4:$BA$1621,48,FALSE),VLOOKUP($A495,Pit!$A$4:$BF$1557,57,FALSE))</f>
        <v>0</v>
      </c>
      <c r="W495" s="50">
        <f>Table5[[#This Row],[posRnk]]+Table5[[#This Row],[zRnk]]+IF($W$3&lt;&gt;Table5[[#This Row],[Type]],50,0)</f>
        <v>1237</v>
      </c>
      <c r="X495" s="51">
        <f>RANK(Table5[[#This Row],[zScore]],Table5[[#All],[zScore]])</f>
        <v>747</v>
      </c>
      <c r="Y495" s="50">
        <f>IFERROR(INDEX(DraftResults[[#All],[OVR]],MATCH(Table5[[#This Row],[PID]],DraftResults[[#All],[Player ID]],0)),"")</f>
        <v>491</v>
      </c>
      <c r="Z4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5" s="50">
        <f>IFERROR(INDEX(DraftResults[[#All],[Pick in Round]],MATCH(Table5[[#This Row],[PID]],DraftResults[[#All],[Player ID]],0)),"")</f>
        <v>3</v>
      </c>
      <c r="AB495" s="50" t="str">
        <f>IFERROR(INDEX(DraftResults[[#All],[Team Name]],MATCH(Table5[[#This Row],[PID]],DraftResults[[#All],[Player ID]],0)),"")</f>
        <v>New Orleans Trendsetters</v>
      </c>
      <c r="AC495" s="50">
        <f>IF(Table5[[#This Row],[Ovr]]="","",IF(Table5[[#This Row],[cmbList]]="","",Table5[[#This Row],[cmbList]]-Table5[[#This Row],[Ovr]]))</f>
        <v>746</v>
      </c>
      <c r="AD495" s="54" t="str">
        <f>IF(ISERROR(VLOOKUP($AB495&amp;"-"&amp;$E495&amp;" "&amp;F495,Bonuses!$B$1:$G$1006,4,FALSE)),"",INT(VLOOKUP($AB495&amp;"-"&amp;$E495&amp;" "&amp;$F495,Bonuses!$B$1:$G$1006,4,FALSE)))</f>
        <v/>
      </c>
      <c r="AE4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17.3 (491) - RP Juan Chávez</v>
      </c>
    </row>
    <row r="496" spans="1:31" s="50" customFormat="1" x14ac:dyDescent="0.25">
      <c r="A496" s="50">
        <v>18217</v>
      </c>
      <c r="B496" s="50">
        <f>COUNTIF(Table5[PID],A496)</f>
        <v>1</v>
      </c>
      <c r="C496" s="50" t="str">
        <f>IF(COUNTIF(Table3[[#All],[PID]],A496)&gt;0,"P","B")</f>
        <v>P</v>
      </c>
      <c r="D496" s="59" t="str">
        <f>IF($C496="B",INDEX(Batters[[#All],[POS]],MATCH(Table5[[#This Row],[PID]],Batters[[#All],[PID]],0)),INDEX(Table3[[#All],[POS]],MATCH(Table5[[#This Row],[PID]],Table3[[#All],[PID]],0)))</f>
        <v>CL</v>
      </c>
      <c r="E496" s="52" t="str">
        <f>IF($C496="B",INDEX(Batters[[#All],[First]],MATCH(Table5[[#This Row],[PID]],Batters[[#All],[PID]],0)),INDEX(Table3[[#All],[First]],MATCH(Table5[[#This Row],[PID]],Table3[[#All],[PID]],0)))</f>
        <v>Armando</v>
      </c>
      <c r="F496" s="50" t="str">
        <f>IF($C496="B",INDEX(Batters[[#All],[Last]],MATCH(A496,Batters[[#All],[PID]],0)),INDEX(Table3[[#All],[Last]],MATCH(A496,Table3[[#All],[PID]],0)))</f>
        <v>Gómez</v>
      </c>
      <c r="G496" s="56">
        <f>IF($C496="B",INDEX(Batters[[#All],[Age]],MATCH(Table5[[#This Row],[PID]],Batters[[#All],[PID]],0)),INDEX(Table3[[#All],[Age]],MATCH(Table5[[#This Row],[PID]],Table3[[#All],[PID]],0)))</f>
        <v>18</v>
      </c>
      <c r="H496" s="52" t="str">
        <f>IF($C496="B",INDEX(Batters[[#All],[B]],MATCH(Table5[[#This Row],[PID]],Batters[[#All],[PID]],0)),INDEX(Table3[[#All],[B]],MATCH(Table5[[#This Row],[PID]],Table3[[#All],[PID]],0)))</f>
        <v>L</v>
      </c>
      <c r="I496" s="52" t="str">
        <f>IF($C496="B",INDEX(Batters[[#All],[T]],MATCH(Table5[[#This Row],[PID]],Batters[[#All],[PID]],0)),INDEX(Table3[[#All],[T]],MATCH(Table5[[#This Row],[PID]],Table3[[#All],[PID]],0)))</f>
        <v>L</v>
      </c>
      <c r="J496" s="52" t="str">
        <f>IF($C496="B",INDEX(Batters[[#All],[WE]],MATCH(Table5[[#This Row],[PID]],Batters[[#All],[PID]],0)),INDEX(Table3[[#All],[WE]],MATCH(Table5[[#This Row],[PID]],Table3[[#All],[PID]],0)))</f>
        <v>Normal</v>
      </c>
      <c r="K496" s="52" t="str">
        <f>IF($C496="B",INDEX(Batters[[#All],[INT]],MATCH(Table5[[#This Row],[PID]],Batters[[#All],[PID]],0)),INDEX(Table3[[#All],[INT]],MATCH(Table5[[#This Row],[PID]],Table3[[#All],[PID]],0)))</f>
        <v>Normal</v>
      </c>
      <c r="L496" s="60">
        <f>IF($C496="B",INDEX(Batters[[#All],[CON P]],MATCH(Table5[[#This Row],[PID]],Batters[[#All],[PID]],0)),INDEX(Table3[[#All],[STU P]],MATCH(Table5[[#This Row],[PID]],Table3[[#All],[PID]],0)))</f>
        <v>5</v>
      </c>
      <c r="M496" s="56">
        <f>IF($C496="B",INDEX(Batters[[#All],[GAP P]],MATCH(Table5[[#This Row],[PID]],Batters[[#All],[PID]],0)),INDEX(Table3[[#All],[MOV P]],MATCH(Table5[[#This Row],[PID]],Table3[[#All],[PID]],0)))</f>
        <v>1</v>
      </c>
      <c r="N496" s="56">
        <f>IF($C496="B",INDEX(Batters[[#All],[POW P]],MATCH(Table5[[#This Row],[PID]],Batters[[#All],[PID]],0)),INDEX(Table3[[#All],[CON P]],MATCH(Table5[[#This Row],[PID]],Table3[[#All],[PID]],0)))</f>
        <v>5</v>
      </c>
      <c r="O496" s="56" t="str">
        <f>IF($C496="B",INDEX(Batters[[#All],[EYE P]],MATCH(Table5[[#This Row],[PID]],Batters[[#All],[PID]],0)),INDEX(Table3[[#All],[VELO]],MATCH(Table5[[#This Row],[PID]],Table3[[#All],[PID]],0)))</f>
        <v>88-90 Mph</v>
      </c>
      <c r="P496" s="56">
        <f>IF($C496="B",INDEX(Batters[[#All],[K P]],MATCH(Table5[[#This Row],[PID]],Batters[[#All],[PID]],0)),INDEX(Table3[[#All],[STM]],MATCH(Table5[[#This Row],[PID]],Table3[[#All],[PID]],0)))</f>
        <v>9</v>
      </c>
      <c r="Q496" s="61">
        <f>IF($C496="B",INDEX(Batters[[#All],[Tot]],MATCH(Table5[[#This Row],[PID]],Batters[[#All],[PID]],0)),INDEX(Table3[[#All],[Tot]],MATCH(Table5[[#This Row],[PID]],Table3[[#All],[PID]],0)))</f>
        <v>45.300864652858664</v>
      </c>
      <c r="R496" s="52">
        <f>IF($C496="B",INDEX(Batters[[#All],[zScore]],MATCH(Table5[[#This Row],[PID]],Batters[[#All],[PID]],0)),INDEX(Table3[[#All],[zScore]],MATCH(Table5[[#This Row],[PID]],Table3[[#All],[PID]],0)))</f>
        <v>0.6273860171300234</v>
      </c>
      <c r="S496" s="58" t="str">
        <f>IF($C496="B",INDEX(Batters[[#All],[DEM]],MATCH(Table5[[#This Row],[PID]],Batters[[#All],[PID]],0)),INDEX(Table3[[#All],[DEM]],MATCH(Table5[[#This Row],[PID]],Table3[[#All],[PID]],0)))</f>
        <v>$65k</v>
      </c>
      <c r="T496" s="62">
        <f>IF($C496="B",INDEX(Batters[[#All],[Rnk]],MATCH(Table5[[#This Row],[PID]],Batters[[#All],[PID]],0)),INDEX(Table3[[#All],[Rnk]],MATCH(Table5[[#This Row],[PID]],Table3[[#All],[PID]],0)))</f>
        <v>194</v>
      </c>
      <c r="U496" s="68">
        <f>IF($C496="B",VLOOKUP($A496,Bat!$A$4:$BA$1621,47,FALSE),VLOOKUP($A496,Pit!$A$4:$BF$1557,56,FALSE))</f>
        <v>0</v>
      </c>
      <c r="V496" s="50">
        <f>IF($C496="B",VLOOKUP($A496,Bat!$A$4:$BA$1621,48,FALSE),VLOOKUP($A496,Pit!$A$4:$BF$1557,57,FALSE))</f>
        <v>0</v>
      </c>
      <c r="W496" s="50">
        <f>Table5[[#This Row],[posRnk]]+Table5[[#This Row],[zRnk]]+IF($W$3&lt;&gt;Table5[[#This Row],[Type]],50,0)</f>
        <v>569</v>
      </c>
      <c r="X496" s="51">
        <f>RANK(Table5[[#This Row],[zScore]],Table5[[#All],[zScore]])</f>
        <v>325</v>
      </c>
      <c r="Y496" s="50">
        <f>IFERROR(INDEX(DraftResults[[#All],[OVR]],MATCH(Table5[[#This Row],[PID]],DraftResults[[#All],[Player ID]],0)),"")</f>
        <v>492</v>
      </c>
      <c r="Z4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6" s="50">
        <f>IFERROR(INDEX(DraftResults[[#All],[Pick in Round]],MATCH(Table5[[#This Row],[PID]],DraftResults[[#All],[Player ID]],0)),"")</f>
        <v>4</v>
      </c>
      <c r="AB496" s="50" t="str">
        <f>IFERROR(INDEX(DraftResults[[#All],[Team Name]],MATCH(Table5[[#This Row],[PID]],DraftResults[[#All],[Player ID]],0)),"")</f>
        <v>Tempe Knights</v>
      </c>
      <c r="AC496" s="50">
        <f>IF(Table5[[#This Row],[Ovr]]="","",IF(Table5[[#This Row],[cmbList]]="","",Table5[[#This Row],[cmbList]]-Table5[[#This Row],[Ovr]]))</f>
        <v>77</v>
      </c>
      <c r="AD496" s="54" t="str">
        <f>IF(ISERROR(VLOOKUP($AB496&amp;"-"&amp;$E496&amp;" "&amp;F496,Bonuses!$B$1:$G$1006,4,FALSE)),"",INT(VLOOKUP($AB496&amp;"-"&amp;$E496&amp;" "&amp;$F496,Bonuses!$B$1:$G$1006,4,FALSE)))</f>
        <v/>
      </c>
      <c r="AE4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17.4 (492) - CL Armando Gómez</v>
      </c>
    </row>
    <row r="497" spans="1:31" s="50" customFormat="1" x14ac:dyDescent="0.25">
      <c r="A497" s="68">
        <v>17799</v>
      </c>
      <c r="B497" s="69">
        <f>COUNTIF(Table5[PID],A497)</f>
        <v>1</v>
      </c>
      <c r="C497" s="69" t="str">
        <f>IF(COUNTIF(Table3[[#All],[PID]],A497)&gt;0,"P","B")</f>
        <v>P</v>
      </c>
      <c r="D497" s="59" t="str">
        <f>IF($C497="B",INDEX(Batters[[#All],[POS]],MATCH(Table5[[#This Row],[PID]],Batters[[#All],[PID]],0)),INDEX(Table3[[#All],[POS]],MATCH(Table5[[#This Row],[PID]],Table3[[#All],[PID]],0)))</f>
        <v>SP</v>
      </c>
      <c r="E497" s="52" t="str">
        <f>IF($C497="B",INDEX(Batters[[#All],[First]],MATCH(Table5[[#This Row],[PID]],Batters[[#All],[PID]],0)),INDEX(Table3[[#All],[First]],MATCH(Table5[[#This Row],[PID]],Table3[[#All],[PID]],0)))</f>
        <v>Tetsuhiko</v>
      </c>
      <c r="F497" s="55" t="str">
        <f>IF($C497="B",INDEX(Batters[[#All],[Last]],MATCH(A497,Batters[[#All],[PID]],0)),INDEX(Table3[[#All],[Last]],MATCH(A497,Table3[[#All],[PID]],0)))</f>
        <v>Nakamura</v>
      </c>
      <c r="G497" s="56">
        <f>IF($C497="B",INDEX(Batters[[#All],[Age]],MATCH(Table5[[#This Row],[PID]],Batters[[#All],[PID]],0)),INDEX(Table3[[#All],[Age]],MATCH(Table5[[#This Row],[PID]],Table3[[#All],[PID]],0)))</f>
        <v>21</v>
      </c>
      <c r="H497" s="52" t="str">
        <f>IF($C497="B",INDEX(Batters[[#All],[B]],MATCH(Table5[[#This Row],[PID]],Batters[[#All],[PID]],0)),INDEX(Table3[[#All],[B]],MATCH(Table5[[#This Row],[PID]],Table3[[#All],[PID]],0)))</f>
        <v>L</v>
      </c>
      <c r="I497" s="52" t="str">
        <f>IF($C497="B",INDEX(Batters[[#All],[T]],MATCH(Table5[[#This Row],[PID]],Batters[[#All],[PID]],0)),INDEX(Table3[[#All],[T]],MATCH(Table5[[#This Row],[PID]],Table3[[#All],[PID]],0)))</f>
        <v>L</v>
      </c>
      <c r="J497" s="71" t="str">
        <f>IF($C497="B",INDEX(Batters[[#All],[WE]],MATCH(Table5[[#This Row],[PID]],Batters[[#All],[PID]],0)),INDEX(Table3[[#All],[WE]],MATCH(Table5[[#This Row],[PID]],Table3[[#All],[PID]],0)))</f>
        <v>Normal</v>
      </c>
      <c r="K497" s="52" t="str">
        <f>IF($C497="B",INDEX(Batters[[#All],[INT]],MATCH(Table5[[#This Row],[PID]],Batters[[#All],[PID]],0)),INDEX(Table3[[#All],[INT]],MATCH(Table5[[#This Row],[PID]],Table3[[#All],[PID]],0)))</f>
        <v>Low</v>
      </c>
      <c r="L497" s="60">
        <f>IF($C497="B",INDEX(Batters[[#All],[CON P]],MATCH(Table5[[#This Row],[PID]],Batters[[#All],[PID]],0)),INDEX(Table3[[#All],[STU P]],MATCH(Table5[[#This Row],[PID]],Table3[[#All],[PID]],0)))</f>
        <v>5</v>
      </c>
      <c r="M497" s="72">
        <f>IF($C497="B",INDEX(Batters[[#All],[GAP P]],MATCH(Table5[[#This Row],[PID]],Batters[[#All],[PID]],0)),INDEX(Table3[[#All],[MOV P]],MATCH(Table5[[#This Row],[PID]],Table3[[#All],[PID]],0)))</f>
        <v>2</v>
      </c>
      <c r="N497" s="72">
        <f>IF($C497="B",INDEX(Batters[[#All],[POW P]],MATCH(Table5[[#This Row],[PID]],Batters[[#All],[PID]],0)),INDEX(Table3[[#All],[CON P]],MATCH(Table5[[#This Row],[PID]],Table3[[#All],[PID]],0)))</f>
        <v>3</v>
      </c>
      <c r="O497" s="72" t="str">
        <f>IF($C497="B",INDEX(Batters[[#All],[EYE P]],MATCH(Table5[[#This Row],[PID]],Batters[[#All],[PID]],0)),INDEX(Table3[[#All],[VELO]],MATCH(Table5[[#This Row],[PID]],Table3[[#All],[PID]],0)))</f>
        <v>93-95 Mph</v>
      </c>
      <c r="P497" s="56">
        <f>IF($C497="B",INDEX(Batters[[#All],[K P]],MATCH(Table5[[#This Row],[PID]],Batters[[#All],[PID]],0)),INDEX(Table3[[#All],[STM]],MATCH(Table5[[#This Row],[PID]],Table3[[#All],[PID]],0)))</f>
        <v>8</v>
      </c>
      <c r="Q497" s="61">
        <f>IF($C497="B",INDEX(Batters[[#All],[Tot]],MATCH(Table5[[#This Row],[PID]],Batters[[#All],[PID]],0)),INDEX(Table3[[#All],[Tot]],MATCH(Table5[[#This Row],[PID]],Table3[[#All],[PID]],0)))</f>
        <v>35.611655908735756</v>
      </c>
      <c r="R497" s="52">
        <f>IF($C497="B",INDEX(Batters[[#All],[zScore]],MATCH(Table5[[#This Row],[PID]],Batters[[#All],[PID]],0)),INDEX(Table3[[#All],[zScore]],MATCH(Table5[[#This Row],[PID]],Table3[[#All],[PID]],0)))</f>
        <v>-0.15015960074757556</v>
      </c>
      <c r="S497" s="78" t="str">
        <f>IF($C497="B",INDEX(Batters[[#All],[DEM]],MATCH(Table5[[#This Row],[PID]],Batters[[#All],[PID]],0)),INDEX(Table3[[#All],[DEM]],MATCH(Table5[[#This Row],[PID]],Table3[[#All],[PID]],0)))</f>
        <v>-</v>
      </c>
      <c r="T497" s="75">
        <f>IF($C497="B",INDEX(Batters[[#All],[Rnk]],MATCH(Table5[[#This Row],[PID]],Batters[[#All],[PID]],0)),INDEX(Table3[[#All],[Rnk]],MATCH(Table5[[#This Row],[PID]],Table3[[#All],[PID]],0)))</f>
        <v>360</v>
      </c>
      <c r="U497" s="68">
        <f>IF($C497="B",VLOOKUP($A497,Bat!$A$4:$BA$1621,47,FALSE),VLOOKUP($A497,Pit!$A$4:$BF$1557,56,FALSE))</f>
        <v>0</v>
      </c>
      <c r="V497" s="50">
        <f>IF($C497="B",VLOOKUP($A497,Bat!$A$4:$BA$1621,48,FALSE),VLOOKUP($A497,Pit!$A$4:$BF$1557,57,FALSE))</f>
        <v>0</v>
      </c>
      <c r="W497" s="69">
        <f>Table5[[#This Row],[posRnk]]+Table5[[#This Row],[zRnk]]+IF($W$3&lt;&gt;Table5[[#This Row],[Type]],50,0)</f>
        <v>1039</v>
      </c>
      <c r="X497" s="73">
        <f>RANK(Table5[[#This Row],[zScore]],Table5[[#All],[zScore]])</f>
        <v>629</v>
      </c>
      <c r="Y497" s="69">
        <f>IFERROR(INDEX(DraftResults[[#All],[OVR]],MATCH(Table5[[#This Row],[PID]],DraftResults[[#All],[Player ID]],0)),"")</f>
        <v>493</v>
      </c>
      <c r="Z49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7" s="69">
        <f>IFERROR(INDEX(DraftResults[[#All],[Pick in Round]],MATCH(Table5[[#This Row],[PID]],DraftResults[[#All],[Player ID]],0)),"")</f>
        <v>5</v>
      </c>
      <c r="AB497" s="69" t="str">
        <f>IFERROR(INDEX(DraftResults[[#All],[Team Name]],MATCH(Table5[[#This Row],[PID]],DraftResults[[#All],[Player ID]],0)),"")</f>
        <v>Okinawa Shisa</v>
      </c>
      <c r="AC497" s="69">
        <f>IF(Table5[[#This Row],[Ovr]]="","",IF(Table5[[#This Row],[cmbList]]="","",Table5[[#This Row],[cmbList]]-Table5[[#This Row],[Ovr]]))</f>
        <v>546</v>
      </c>
      <c r="AD497" s="77" t="str">
        <f>IF(ISERROR(VLOOKUP($AB497&amp;"-"&amp;$E497&amp;" "&amp;F497,Bonuses!$B$1:$G$1006,4,FALSE)),"",INT(VLOOKUP($AB497&amp;"-"&amp;$E497&amp;" "&amp;$F497,Bonuses!$B$1:$G$1006,4,FALSE)))</f>
        <v/>
      </c>
      <c r="AE49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17.5 (493) - SP Tetsuhiko Nakamura</v>
      </c>
    </row>
    <row r="498" spans="1:31" s="50" customFormat="1" x14ac:dyDescent="0.25">
      <c r="A498" s="50">
        <v>18115</v>
      </c>
      <c r="B498" s="50">
        <f>COUNTIF(Table5[PID],A498)</f>
        <v>1</v>
      </c>
      <c r="C498" s="50" t="str">
        <f>IF(COUNTIF(Table3[[#All],[PID]],A498)&gt;0,"P","B")</f>
        <v>B</v>
      </c>
      <c r="D498" s="59" t="str">
        <f>IF($C498="B",INDEX(Batters[[#All],[POS]],MATCH(Table5[[#This Row],[PID]],Batters[[#All],[PID]],0)),INDEX(Table3[[#All],[POS]],MATCH(Table5[[#This Row],[PID]],Table3[[#All],[PID]],0)))</f>
        <v>LF</v>
      </c>
      <c r="E498" s="52" t="str">
        <f>IF($C498="B",INDEX(Batters[[#All],[First]],MATCH(Table5[[#This Row],[PID]],Batters[[#All],[PID]],0)),INDEX(Table3[[#All],[First]],MATCH(Table5[[#This Row],[PID]],Table3[[#All],[PID]],0)))</f>
        <v>Jacob</v>
      </c>
      <c r="F498" s="50" t="str">
        <f>IF($C498="B",INDEX(Batters[[#All],[Last]],MATCH(A498,Batters[[#All],[PID]],0)),INDEX(Table3[[#All],[Last]],MATCH(A498,Table3[[#All],[PID]],0)))</f>
        <v>Williams</v>
      </c>
      <c r="G498" s="56">
        <f>IF($C498="B",INDEX(Batters[[#All],[Age]],MATCH(Table5[[#This Row],[PID]],Batters[[#All],[PID]],0)),INDEX(Table3[[#All],[Age]],MATCH(Table5[[#This Row],[PID]],Table3[[#All],[PID]],0)))</f>
        <v>21</v>
      </c>
      <c r="H498" s="52" t="str">
        <f>IF($C498="B",INDEX(Batters[[#All],[B]],MATCH(Table5[[#This Row],[PID]],Batters[[#All],[PID]],0)),INDEX(Table3[[#All],[B]],MATCH(Table5[[#This Row],[PID]],Table3[[#All],[PID]],0)))</f>
        <v>L</v>
      </c>
      <c r="I498" s="52" t="str">
        <f>IF($C498="B",INDEX(Batters[[#All],[T]],MATCH(Table5[[#This Row],[PID]],Batters[[#All],[PID]],0)),INDEX(Table3[[#All],[T]],MATCH(Table5[[#This Row],[PID]],Table3[[#All],[PID]],0)))</f>
        <v>L</v>
      </c>
      <c r="J498" s="52" t="str">
        <f>IF($C498="B",INDEX(Batters[[#All],[WE]],MATCH(Table5[[#This Row],[PID]],Batters[[#All],[PID]],0)),INDEX(Table3[[#All],[WE]],MATCH(Table5[[#This Row],[PID]],Table3[[#All],[PID]],0)))</f>
        <v>Normal</v>
      </c>
      <c r="K498" s="52" t="str">
        <f>IF($C498="B",INDEX(Batters[[#All],[INT]],MATCH(Table5[[#This Row],[PID]],Batters[[#All],[PID]],0)),INDEX(Table3[[#All],[INT]],MATCH(Table5[[#This Row],[PID]],Table3[[#All],[PID]],0)))</f>
        <v>Normal</v>
      </c>
      <c r="L498" s="60">
        <f>IF($C498="B",INDEX(Batters[[#All],[CON P]],MATCH(Table5[[#This Row],[PID]],Batters[[#All],[PID]],0)),INDEX(Table3[[#All],[STU P]],MATCH(Table5[[#This Row],[PID]],Table3[[#All],[PID]],0)))</f>
        <v>3</v>
      </c>
      <c r="M498" s="56">
        <f>IF($C498="B",INDEX(Batters[[#All],[GAP P]],MATCH(Table5[[#This Row],[PID]],Batters[[#All],[PID]],0)),INDEX(Table3[[#All],[MOV P]],MATCH(Table5[[#This Row],[PID]],Table3[[#All],[PID]],0)))</f>
        <v>5</v>
      </c>
      <c r="N498" s="56">
        <f>IF($C498="B",INDEX(Batters[[#All],[POW P]],MATCH(Table5[[#This Row],[PID]],Batters[[#All],[PID]],0)),INDEX(Table3[[#All],[CON P]],MATCH(Table5[[#This Row],[PID]],Table3[[#All],[PID]],0)))</f>
        <v>5</v>
      </c>
      <c r="O498" s="56">
        <f>IF($C498="B",INDEX(Batters[[#All],[EYE P]],MATCH(Table5[[#This Row],[PID]],Batters[[#All],[PID]],0)),INDEX(Table3[[#All],[VELO]],MATCH(Table5[[#This Row],[PID]],Table3[[#All],[PID]],0)))</f>
        <v>5</v>
      </c>
      <c r="P498" s="56">
        <f>IF($C498="B",INDEX(Batters[[#All],[K P]],MATCH(Table5[[#This Row],[PID]],Batters[[#All],[PID]],0)),INDEX(Table3[[#All],[STM]],MATCH(Table5[[#This Row],[PID]],Table3[[#All],[PID]],0)))</f>
        <v>3</v>
      </c>
      <c r="Q498" s="61">
        <f>IF($C498="B",INDEX(Batters[[#All],[Tot]],MATCH(Table5[[#This Row],[PID]],Batters[[#All],[PID]],0)),INDEX(Table3[[#All],[Tot]],MATCH(Table5[[#This Row],[PID]],Table3[[#All],[PID]],0)))</f>
        <v>39.472615428921962</v>
      </c>
      <c r="R498" s="52">
        <f>IF($C498="B",INDEX(Batters[[#All],[zScore]],MATCH(Table5[[#This Row],[PID]],Batters[[#All],[PID]],0)),INDEX(Table3[[#All],[zScore]],MATCH(Table5[[#This Row],[PID]],Table3[[#All],[PID]],0)))</f>
        <v>-1.033003689803575</v>
      </c>
      <c r="S498" s="58" t="str">
        <f>IF($C498="B",INDEX(Batters[[#All],[DEM]],MATCH(Table5[[#This Row],[PID]],Batters[[#All],[PID]],0)),INDEX(Table3[[#All],[DEM]],MATCH(Table5[[#This Row],[PID]],Table3[[#All],[PID]],0)))</f>
        <v>-</v>
      </c>
      <c r="T498" s="62">
        <f>IF($C498="B",INDEX(Batters[[#All],[Rnk]],MATCH(Table5[[#This Row],[PID]],Batters[[#All],[PID]],0)),INDEX(Table3[[#All],[Rnk]],MATCH(Table5[[#This Row],[PID]],Table3[[#All],[PID]],0)))</f>
        <v>446</v>
      </c>
      <c r="U498" s="68">
        <f>IF($C498="B",VLOOKUP($A498,Bat!$A$4:$BA$1621,47,FALSE),VLOOKUP($A498,Pit!$A$4:$BF$1557,56,FALSE))</f>
        <v>0</v>
      </c>
      <c r="V498" s="50">
        <f>IF($C498="B",VLOOKUP($A498,Bat!$A$4:$BA$1621,48,FALSE),VLOOKUP($A498,Pit!$A$4:$BF$1557,57,FALSE))</f>
        <v>0</v>
      </c>
      <c r="W498" s="50">
        <f>Table5[[#This Row],[posRnk]]+Table5[[#This Row],[zRnk]]+IF($W$3&lt;&gt;Table5[[#This Row],[Type]],50,0)</f>
        <v>1647</v>
      </c>
      <c r="X498" s="51">
        <f>RANK(Table5[[#This Row],[zScore]],Table5[[#All],[zScore]])</f>
        <v>1151</v>
      </c>
      <c r="Y498" s="50">
        <f>IFERROR(INDEX(DraftResults[[#All],[OVR]],MATCH(Table5[[#This Row],[PID]],DraftResults[[#All],[Player ID]],0)),"")</f>
        <v>494</v>
      </c>
      <c r="Z4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8" s="50">
        <f>IFERROR(INDEX(DraftResults[[#All],[Pick in Round]],MATCH(Table5[[#This Row],[PID]],DraftResults[[#All],[Player ID]],0)),"")</f>
        <v>6</v>
      </c>
      <c r="AB498" s="50" t="str">
        <f>IFERROR(INDEX(DraftResults[[#All],[Team Name]],MATCH(Table5[[#This Row],[PID]],DraftResults[[#All],[Player ID]],0)),"")</f>
        <v>Manchester Maulers</v>
      </c>
      <c r="AC498" s="50">
        <f>IF(Table5[[#This Row],[Ovr]]="","",IF(Table5[[#This Row],[cmbList]]="","",Table5[[#This Row],[cmbList]]-Table5[[#This Row],[Ovr]]))</f>
        <v>1153</v>
      </c>
      <c r="AD498" s="54" t="str">
        <f>IF(ISERROR(VLOOKUP($AB498&amp;"-"&amp;$E498&amp;" "&amp;F498,Bonuses!$B$1:$G$1006,4,FALSE)),"",INT(VLOOKUP($AB498&amp;"-"&amp;$E498&amp;" "&amp;$F498,Bonuses!$B$1:$G$1006,4,FALSE)))</f>
        <v/>
      </c>
      <c r="AE4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17.6 (494) - LF Jacob Williams</v>
      </c>
    </row>
    <row r="499" spans="1:31" s="50" customFormat="1" x14ac:dyDescent="0.25">
      <c r="A499" s="68">
        <v>17612</v>
      </c>
      <c r="B499" s="69">
        <f>COUNTIF(Table5[PID],A499)</f>
        <v>1</v>
      </c>
      <c r="C499" s="69" t="str">
        <f>IF(COUNTIF(Table3[[#All],[PID]],A499)&gt;0,"P","B")</f>
        <v>P</v>
      </c>
      <c r="D499" s="59" t="str">
        <f>IF($C499="B",INDEX(Batters[[#All],[POS]],MATCH(Table5[[#This Row],[PID]],Batters[[#All],[PID]],0)),INDEX(Table3[[#All],[POS]],MATCH(Table5[[#This Row],[PID]],Table3[[#All],[PID]],0)))</f>
        <v>SP</v>
      </c>
      <c r="E499" s="52" t="str">
        <f>IF($C499="B",INDEX(Batters[[#All],[First]],MATCH(Table5[[#This Row],[PID]],Batters[[#All],[PID]],0)),INDEX(Table3[[#All],[First]],MATCH(Table5[[#This Row],[PID]],Table3[[#All],[PID]],0)))</f>
        <v>Patrick</v>
      </c>
      <c r="F499" s="55" t="str">
        <f>IF($C499="B",INDEX(Batters[[#All],[Last]],MATCH(A499,Batters[[#All],[PID]],0)),INDEX(Table3[[#All],[Last]],MATCH(A499,Table3[[#All],[PID]],0)))</f>
        <v>Paige</v>
      </c>
      <c r="G499" s="56">
        <f>IF($C499="B",INDEX(Batters[[#All],[Age]],MATCH(Table5[[#This Row],[PID]],Batters[[#All],[PID]],0)),INDEX(Table3[[#All],[Age]],MATCH(Table5[[#This Row],[PID]],Table3[[#All],[PID]],0)))</f>
        <v>18</v>
      </c>
      <c r="H499" s="52" t="str">
        <f>IF($C499="B",INDEX(Batters[[#All],[B]],MATCH(Table5[[#This Row],[PID]],Batters[[#All],[PID]],0)),INDEX(Table3[[#All],[B]],MATCH(Table5[[#This Row],[PID]],Table3[[#All],[PID]],0)))</f>
        <v>L</v>
      </c>
      <c r="I499" s="52" t="str">
        <f>IF($C499="B",INDEX(Batters[[#All],[T]],MATCH(Table5[[#This Row],[PID]],Batters[[#All],[PID]],0)),INDEX(Table3[[#All],[T]],MATCH(Table5[[#This Row],[PID]],Table3[[#All],[PID]],0)))</f>
        <v>L</v>
      </c>
      <c r="J499" s="71" t="str">
        <f>IF($C499="B",INDEX(Batters[[#All],[WE]],MATCH(Table5[[#This Row],[PID]],Batters[[#All],[PID]],0)),INDEX(Table3[[#All],[WE]],MATCH(Table5[[#This Row],[PID]],Table3[[#All],[PID]],0)))</f>
        <v>Normal</v>
      </c>
      <c r="K499" s="52" t="str">
        <f>IF($C499="B",INDEX(Batters[[#All],[INT]],MATCH(Table5[[#This Row],[PID]],Batters[[#All],[PID]],0)),INDEX(Table3[[#All],[INT]],MATCH(Table5[[#This Row],[PID]],Table3[[#All],[PID]],0)))</f>
        <v>Normal</v>
      </c>
      <c r="L499" s="60">
        <f>IF($C499="B",INDEX(Batters[[#All],[CON P]],MATCH(Table5[[#This Row],[PID]],Batters[[#All],[PID]],0)),INDEX(Table3[[#All],[STU P]],MATCH(Table5[[#This Row],[PID]],Table3[[#All],[PID]],0)))</f>
        <v>5</v>
      </c>
      <c r="M499" s="72">
        <f>IF($C499="B",INDEX(Batters[[#All],[GAP P]],MATCH(Table5[[#This Row],[PID]],Batters[[#All],[PID]],0)),INDEX(Table3[[#All],[MOV P]],MATCH(Table5[[#This Row],[PID]],Table3[[#All],[PID]],0)))</f>
        <v>4</v>
      </c>
      <c r="N499" s="72">
        <f>IF($C499="B",INDEX(Batters[[#All],[POW P]],MATCH(Table5[[#This Row],[PID]],Batters[[#All],[PID]],0)),INDEX(Table3[[#All],[CON P]],MATCH(Table5[[#This Row],[PID]],Table3[[#All],[PID]],0)))</f>
        <v>3</v>
      </c>
      <c r="O499" s="72" t="str">
        <f>IF($C499="B",INDEX(Batters[[#All],[EYE P]],MATCH(Table5[[#This Row],[PID]],Batters[[#All],[PID]],0)),INDEX(Table3[[#All],[VELO]],MATCH(Table5[[#This Row],[PID]],Table3[[#All],[PID]],0)))</f>
        <v>87-89 Mph</v>
      </c>
      <c r="P499" s="56">
        <f>IF($C499="B",INDEX(Batters[[#All],[K P]],MATCH(Table5[[#This Row],[PID]],Batters[[#All],[PID]],0)),INDEX(Table3[[#All],[STM]],MATCH(Table5[[#This Row],[PID]],Table3[[#All],[PID]],0)))</f>
        <v>8</v>
      </c>
      <c r="Q499" s="61">
        <f>IF($C499="B",INDEX(Batters[[#All],[Tot]],MATCH(Table5[[#This Row],[PID]],Batters[[#All],[PID]],0)),INDEX(Table3[[#All],[Tot]],MATCH(Table5[[#This Row],[PID]],Table3[[#All],[PID]],0)))</f>
        <v>47.723031339783589</v>
      </c>
      <c r="R499" s="52">
        <f>IF($C499="B",INDEX(Batters[[#All],[zScore]],MATCH(Table5[[#This Row],[PID]],Batters[[#All],[PID]],0)),INDEX(Table3[[#All],[zScore]],MATCH(Table5[[#This Row],[PID]],Table3[[#All],[PID]],0)))</f>
        <v>0.78852906547680723</v>
      </c>
      <c r="S499" s="78" t="str">
        <f>IF($C499="B",INDEX(Batters[[#All],[DEM]],MATCH(Table5[[#This Row],[PID]],Batters[[#All],[PID]],0)),INDEX(Table3[[#All],[DEM]],MATCH(Table5[[#This Row],[PID]],Table3[[#All],[PID]],0)))</f>
        <v>$240k</v>
      </c>
      <c r="T499" s="75">
        <f>IF($C499="B",INDEX(Batters[[#All],[Rnk]],MATCH(Table5[[#This Row],[PID]],Batters[[#All],[PID]],0)),INDEX(Table3[[#All],[Rnk]],MATCH(Table5[[#This Row],[PID]],Table3[[#All],[PID]],0)))</f>
        <v>173</v>
      </c>
      <c r="U499" s="68">
        <f>IF($C499="B",VLOOKUP($A499,Bat!$A$4:$BA$1621,47,FALSE),VLOOKUP($A499,Pit!$A$4:$BF$1557,56,FALSE))</f>
        <v>0</v>
      </c>
      <c r="V499" s="50">
        <f>IF($C499="B",VLOOKUP($A499,Bat!$A$4:$BA$1621,48,FALSE),VLOOKUP($A499,Pit!$A$4:$BF$1557,57,FALSE))</f>
        <v>0</v>
      </c>
      <c r="W499" s="69">
        <f>Table5[[#This Row],[posRnk]]+Table5[[#This Row],[zRnk]]+IF($W$3&lt;&gt;Table5[[#This Row],[Type]],50,0)</f>
        <v>511</v>
      </c>
      <c r="X499" s="73">
        <f>RANK(Table5[[#This Row],[zScore]],Table5[[#All],[zScore]])</f>
        <v>288</v>
      </c>
      <c r="Y499" s="69">
        <f>IFERROR(INDEX(DraftResults[[#All],[OVR]],MATCH(Table5[[#This Row],[PID]],DraftResults[[#All],[Player ID]],0)),"")</f>
        <v>495</v>
      </c>
      <c r="Z4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499" s="69">
        <f>IFERROR(INDEX(DraftResults[[#All],[Pick in Round]],MATCH(Table5[[#This Row],[PID]],DraftResults[[#All],[Player ID]],0)),"")</f>
        <v>7</v>
      </c>
      <c r="AB499" s="69" t="str">
        <f>IFERROR(INDEX(DraftResults[[#All],[Team Name]],MATCH(Table5[[#This Row],[PID]],DraftResults[[#All],[Player ID]],0)),"")</f>
        <v>Niihama-shi Ghosts</v>
      </c>
      <c r="AC499" s="69">
        <f>IF(Table5[[#This Row],[Ovr]]="","",IF(Table5[[#This Row],[cmbList]]="","",Table5[[#This Row],[cmbList]]-Table5[[#This Row],[Ovr]]))</f>
        <v>16</v>
      </c>
      <c r="AD499" s="77" t="str">
        <f>IF(ISERROR(VLOOKUP($AB499&amp;"-"&amp;$E499&amp;" "&amp;F499,Bonuses!$B$1:$G$1006,4,FALSE)),"",INT(VLOOKUP($AB499&amp;"-"&amp;$E499&amp;" "&amp;$F499,Bonuses!$B$1:$G$1006,4,FALSE)))</f>
        <v/>
      </c>
      <c r="AE4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17.7 (495) - SP Patrick Paige</v>
      </c>
    </row>
    <row r="500" spans="1:31" s="50" customFormat="1" x14ac:dyDescent="0.25">
      <c r="A500" s="68">
        <v>18363</v>
      </c>
      <c r="B500" s="69">
        <f>COUNTIF(Table5[PID],A500)</f>
        <v>1</v>
      </c>
      <c r="C500" s="69" t="str">
        <f>IF(COUNTIF(Table3[[#All],[PID]],A500)&gt;0,"P","B")</f>
        <v>P</v>
      </c>
      <c r="D500" s="59" t="str">
        <f>IF($C500="B",INDEX(Batters[[#All],[POS]],MATCH(Table5[[#This Row],[PID]],Batters[[#All],[PID]],0)),INDEX(Table3[[#All],[POS]],MATCH(Table5[[#This Row],[PID]],Table3[[#All],[PID]],0)))</f>
        <v>SP</v>
      </c>
      <c r="E500" s="52" t="str">
        <f>IF($C500="B",INDEX(Batters[[#All],[First]],MATCH(Table5[[#This Row],[PID]],Batters[[#All],[PID]],0)),INDEX(Table3[[#All],[First]],MATCH(Table5[[#This Row],[PID]],Table3[[#All],[PID]],0)))</f>
        <v>Craig</v>
      </c>
      <c r="F500" s="55" t="str">
        <f>IF($C500="B",INDEX(Batters[[#All],[Last]],MATCH(A500,Batters[[#All],[PID]],0)),INDEX(Table3[[#All],[Last]],MATCH(A500,Table3[[#All],[PID]],0)))</f>
        <v>MacKinley</v>
      </c>
      <c r="G500" s="56">
        <f>IF($C500="B",INDEX(Batters[[#All],[Age]],MATCH(Table5[[#This Row],[PID]],Batters[[#All],[PID]],0)),INDEX(Table3[[#All],[Age]],MATCH(Table5[[#This Row],[PID]],Table3[[#All],[PID]],0)))</f>
        <v>18</v>
      </c>
      <c r="H500" s="52" t="str">
        <f>IF($C500="B",INDEX(Batters[[#All],[B]],MATCH(Table5[[#This Row],[PID]],Batters[[#All],[PID]],0)),INDEX(Table3[[#All],[B]],MATCH(Table5[[#This Row],[PID]],Table3[[#All],[PID]],0)))</f>
        <v>R</v>
      </c>
      <c r="I500" s="52" t="str">
        <f>IF($C500="B",INDEX(Batters[[#All],[T]],MATCH(Table5[[#This Row],[PID]],Batters[[#All],[PID]],0)),INDEX(Table3[[#All],[T]],MATCH(Table5[[#This Row],[PID]],Table3[[#All],[PID]],0)))</f>
        <v>R</v>
      </c>
      <c r="J500" s="71" t="str">
        <f>IF($C500="B",INDEX(Batters[[#All],[WE]],MATCH(Table5[[#This Row],[PID]],Batters[[#All],[PID]],0)),INDEX(Table3[[#All],[WE]],MATCH(Table5[[#This Row],[PID]],Table3[[#All],[PID]],0)))</f>
        <v>High</v>
      </c>
      <c r="K500" s="52" t="str">
        <f>IF($C500="B",INDEX(Batters[[#All],[INT]],MATCH(Table5[[#This Row],[PID]],Batters[[#All],[PID]],0)),INDEX(Table3[[#All],[INT]],MATCH(Table5[[#This Row],[PID]],Table3[[#All],[PID]],0)))</f>
        <v>Normal</v>
      </c>
      <c r="L500" s="60">
        <f>IF($C500="B",INDEX(Batters[[#All],[CON P]],MATCH(Table5[[#This Row],[PID]],Batters[[#All],[PID]],0)),INDEX(Table3[[#All],[STU P]],MATCH(Table5[[#This Row],[PID]],Table3[[#All],[PID]],0)))</f>
        <v>4</v>
      </c>
      <c r="M500" s="72">
        <f>IF($C500="B",INDEX(Batters[[#All],[GAP P]],MATCH(Table5[[#This Row],[PID]],Batters[[#All],[PID]],0)),INDEX(Table3[[#All],[MOV P]],MATCH(Table5[[#This Row],[PID]],Table3[[#All],[PID]],0)))</f>
        <v>4</v>
      </c>
      <c r="N500" s="72">
        <f>IF($C500="B",INDEX(Batters[[#All],[POW P]],MATCH(Table5[[#This Row],[PID]],Batters[[#All],[PID]],0)),INDEX(Table3[[#All],[CON P]],MATCH(Table5[[#This Row],[PID]],Table3[[#All],[PID]],0)))</f>
        <v>4</v>
      </c>
      <c r="O500" s="72" t="str">
        <f>IF($C500="B",INDEX(Batters[[#All],[EYE P]],MATCH(Table5[[#This Row],[PID]],Batters[[#All],[PID]],0)),INDEX(Table3[[#All],[VELO]],MATCH(Table5[[#This Row],[PID]],Table3[[#All],[PID]],0)))</f>
        <v>88-90 Mph</v>
      </c>
      <c r="P500" s="56">
        <f>IF($C500="B",INDEX(Batters[[#All],[K P]],MATCH(Table5[[#This Row],[PID]],Batters[[#All],[PID]],0)),INDEX(Table3[[#All],[STM]],MATCH(Table5[[#This Row],[PID]],Table3[[#All],[PID]],0)))</f>
        <v>9</v>
      </c>
      <c r="Q500" s="61">
        <f>IF($C500="B",INDEX(Batters[[#All],[Tot]],MATCH(Table5[[#This Row],[PID]],Batters[[#All],[PID]],0)),INDEX(Table3[[#All],[Tot]],MATCH(Table5[[#This Row],[PID]],Table3[[#All],[PID]],0)))</f>
        <v>47.472544397103967</v>
      </c>
      <c r="R500" s="52">
        <f>IF($C500="B",INDEX(Batters[[#All],[zScore]],MATCH(Table5[[#This Row],[PID]],Batters[[#All],[PID]],0)),INDEX(Table3[[#All],[zScore]],MATCH(Table5[[#This Row],[PID]],Table3[[#All],[PID]],0)))</f>
        <v>0.77186455195164394</v>
      </c>
      <c r="S500" s="78" t="str">
        <f>IF($C500="B",INDEX(Batters[[#All],[DEM]],MATCH(Table5[[#This Row],[PID]],Batters[[#All],[PID]],0)),INDEX(Table3[[#All],[DEM]],MATCH(Table5[[#This Row],[PID]],Table3[[#All],[PID]],0)))</f>
        <v>$190k</v>
      </c>
      <c r="T500" s="75">
        <f>IF($C500="B",INDEX(Batters[[#All],[Rnk]],MATCH(Table5[[#This Row],[PID]],Batters[[#All],[PID]],0)),INDEX(Table3[[#All],[Rnk]],MATCH(Table5[[#This Row],[PID]],Table3[[#All],[PID]],0)))</f>
        <v>178</v>
      </c>
      <c r="U500" s="68">
        <f>IF($C500="B",VLOOKUP($A500,Bat!$A$4:$BA$1621,47,FALSE),VLOOKUP($A500,Pit!$A$4:$BF$1557,56,FALSE))</f>
        <v>0</v>
      </c>
      <c r="V500" s="50">
        <f>IF($C500="B",VLOOKUP($A500,Bat!$A$4:$BA$1621,48,FALSE),VLOOKUP($A500,Pit!$A$4:$BF$1557,57,FALSE))</f>
        <v>0</v>
      </c>
      <c r="W500" s="69">
        <f>Table5[[#This Row],[posRnk]]+Table5[[#This Row],[zRnk]]+IF($W$3&lt;&gt;Table5[[#This Row],[Type]],50,0)</f>
        <v>521</v>
      </c>
      <c r="X500" s="73">
        <f>RANK(Table5[[#This Row],[zScore]],Table5[[#All],[zScore]])</f>
        <v>293</v>
      </c>
      <c r="Y500" s="69">
        <f>IFERROR(INDEX(DraftResults[[#All],[OVR]],MATCH(Table5[[#This Row],[PID]],DraftResults[[#All],[Player ID]],0)),"")</f>
        <v>496</v>
      </c>
      <c r="Z50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0" s="69">
        <f>IFERROR(INDEX(DraftResults[[#All],[Pick in Round]],MATCH(Table5[[#This Row],[PID]],DraftResults[[#All],[Player ID]],0)),"")</f>
        <v>8</v>
      </c>
      <c r="AB500" s="69" t="str">
        <f>IFERROR(INDEX(DraftResults[[#All],[Team Name]],MATCH(Table5[[#This Row],[PID]],DraftResults[[#All],[Player ID]],0)),"")</f>
        <v>London Underground</v>
      </c>
      <c r="AC500" s="69">
        <f>IF(Table5[[#This Row],[Ovr]]="","",IF(Table5[[#This Row],[cmbList]]="","",Table5[[#This Row],[cmbList]]-Table5[[#This Row],[Ovr]]))</f>
        <v>25</v>
      </c>
      <c r="AD500" s="77" t="str">
        <f>IF(ISERROR(VLOOKUP($AB500&amp;"-"&amp;$E500&amp;" "&amp;F500,Bonuses!$B$1:$G$1006,4,FALSE)),"",INT(VLOOKUP($AB500&amp;"-"&amp;$E500&amp;" "&amp;$F500,Bonuses!$B$1:$G$1006,4,FALSE)))</f>
        <v/>
      </c>
      <c r="AE50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17.8 (496) - SP Craig MacKinley</v>
      </c>
    </row>
    <row r="501" spans="1:31" s="50" customFormat="1" x14ac:dyDescent="0.25">
      <c r="A501" s="50">
        <v>20392</v>
      </c>
      <c r="B501" s="50">
        <f>COUNTIF(Table5[PID],A501)</f>
        <v>1</v>
      </c>
      <c r="C501" s="50" t="str">
        <f>IF(COUNTIF(Table3[[#All],[PID]],A501)&gt;0,"P","B")</f>
        <v>B</v>
      </c>
      <c r="D501" s="59" t="str">
        <f>IF($C501="B",INDEX(Batters[[#All],[POS]],MATCH(Table5[[#This Row],[PID]],Batters[[#All],[PID]],0)),INDEX(Table3[[#All],[POS]],MATCH(Table5[[#This Row],[PID]],Table3[[#All],[PID]],0)))</f>
        <v>3B</v>
      </c>
      <c r="E501" s="52" t="str">
        <f>IF($C501="B",INDEX(Batters[[#All],[First]],MATCH(Table5[[#This Row],[PID]],Batters[[#All],[PID]],0)),INDEX(Table3[[#All],[First]],MATCH(Table5[[#This Row],[PID]],Table3[[#All],[PID]],0)))</f>
        <v>Falley</v>
      </c>
      <c r="F501" s="50" t="str">
        <f>IF($C501="B",INDEX(Batters[[#All],[Last]],MATCH(A501,Batters[[#All],[PID]],0)),INDEX(Table3[[#All],[Last]],MATCH(A501,Table3[[#All],[PID]],0)))</f>
        <v>L'ami</v>
      </c>
      <c r="G501" s="56">
        <f>IF($C501="B",INDEX(Batters[[#All],[Age]],MATCH(Table5[[#This Row],[PID]],Batters[[#All],[PID]],0)),INDEX(Table3[[#All],[Age]],MATCH(Table5[[#This Row],[PID]],Table3[[#All],[PID]],0)))</f>
        <v>18</v>
      </c>
      <c r="H501" s="52" t="str">
        <f>IF($C501="B",INDEX(Batters[[#All],[B]],MATCH(Table5[[#This Row],[PID]],Batters[[#All],[PID]],0)),INDEX(Table3[[#All],[B]],MATCH(Table5[[#This Row],[PID]],Table3[[#All],[PID]],0)))</f>
        <v>R</v>
      </c>
      <c r="I501" s="52" t="str">
        <f>IF($C501="B",INDEX(Batters[[#All],[T]],MATCH(Table5[[#This Row],[PID]],Batters[[#All],[PID]],0)),INDEX(Table3[[#All],[T]],MATCH(Table5[[#This Row],[PID]],Table3[[#All],[PID]],0)))</f>
        <v>R</v>
      </c>
      <c r="J501" s="52" t="str">
        <f>IF($C501="B",INDEX(Batters[[#All],[WE]],MATCH(Table5[[#This Row],[PID]],Batters[[#All],[PID]],0)),INDEX(Table3[[#All],[WE]],MATCH(Table5[[#This Row],[PID]],Table3[[#All],[PID]],0)))</f>
        <v>High</v>
      </c>
      <c r="K501" s="52" t="str">
        <f>IF($C501="B",INDEX(Batters[[#All],[INT]],MATCH(Table5[[#This Row],[PID]],Batters[[#All],[PID]],0)),INDEX(Table3[[#All],[INT]],MATCH(Table5[[#This Row],[PID]],Table3[[#All],[PID]],0)))</f>
        <v>Normal</v>
      </c>
      <c r="L501" s="60">
        <f>IF($C501="B",INDEX(Batters[[#All],[CON P]],MATCH(Table5[[#This Row],[PID]],Batters[[#All],[PID]],0)),INDEX(Table3[[#All],[STU P]],MATCH(Table5[[#This Row],[PID]],Table3[[#All],[PID]],0)))</f>
        <v>3</v>
      </c>
      <c r="M501" s="56">
        <f>IF($C501="B",INDEX(Batters[[#All],[GAP P]],MATCH(Table5[[#This Row],[PID]],Batters[[#All],[PID]],0)),INDEX(Table3[[#All],[MOV P]],MATCH(Table5[[#This Row],[PID]],Table3[[#All],[PID]],0)))</f>
        <v>5</v>
      </c>
      <c r="N501" s="56">
        <f>IF($C501="B",INDEX(Batters[[#All],[POW P]],MATCH(Table5[[#This Row],[PID]],Batters[[#All],[PID]],0)),INDEX(Table3[[#All],[CON P]],MATCH(Table5[[#This Row],[PID]],Table3[[#All],[PID]],0)))</f>
        <v>6</v>
      </c>
      <c r="O501" s="56">
        <f>IF($C501="B",INDEX(Batters[[#All],[EYE P]],MATCH(Table5[[#This Row],[PID]],Batters[[#All],[PID]],0)),INDEX(Table3[[#All],[VELO]],MATCH(Table5[[#This Row],[PID]],Table3[[#All],[PID]],0)))</f>
        <v>6</v>
      </c>
      <c r="P501" s="56">
        <f>IF($C501="B",INDEX(Batters[[#All],[K P]],MATCH(Table5[[#This Row],[PID]],Batters[[#All],[PID]],0)),INDEX(Table3[[#All],[STM]],MATCH(Table5[[#This Row],[PID]],Table3[[#All],[PID]],0)))</f>
        <v>1</v>
      </c>
      <c r="Q501" s="61">
        <f>IF($C501="B",INDEX(Batters[[#All],[Tot]],MATCH(Table5[[#This Row],[PID]],Batters[[#All],[PID]],0)),INDEX(Table3[[#All],[Tot]],MATCH(Table5[[#This Row],[PID]],Table3[[#All],[PID]],0)))</f>
        <v>45.69099473379012</v>
      </c>
      <c r="R501" s="52">
        <f>IF($C501="B",INDEX(Batters[[#All],[zScore]],MATCH(Table5[[#This Row],[PID]],Batters[[#All],[PID]],0)),INDEX(Table3[[#All],[zScore]],MATCH(Table5[[#This Row],[PID]],Table3[[#All],[PID]],0)))</f>
        <v>0.34565303442888839</v>
      </c>
      <c r="S501" s="58" t="str">
        <f>IF($C501="B",INDEX(Batters[[#All],[DEM]],MATCH(Table5[[#This Row],[PID]],Batters[[#All],[PID]],0)),INDEX(Table3[[#All],[DEM]],MATCH(Table5[[#This Row],[PID]],Table3[[#All],[PID]],0)))</f>
        <v>$130k</v>
      </c>
      <c r="T501" s="62">
        <f>IF($C501="B",INDEX(Batters[[#All],[Rnk]],MATCH(Table5[[#This Row],[PID]],Batters[[#All],[PID]],0)),INDEX(Table3[[#All],[Rnk]],MATCH(Table5[[#This Row],[PID]],Table3[[#All],[PID]],0)))</f>
        <v>169</v>
      </c>
      <c r="U501" s="68">
        <f>IF($C501="B",VLOOKUP($A501,Bat!$A$4:$BA$1621,47,FALSE),VLOOKUP($A501,Pit!$A$4:$BF$1557,56,FALSE))</f>
        <v>0</v>
      </c>
      <c r="V501" s="50">
        <f>IF($C501="B",VLOOKUP($A501,Bat!$A$4:$BA$1621,48,FALSE),VLOOKUP($A501,Pit!$A$4:$BF$1557,57,FALSE))</f>
        <v>0</v>
      </c>
      <c r="W501" s="50">
        <f>Table5[[#This Row],[posRnk]]+Table5[[#This Row],[zRnk]]+IF($W$3&lt;&gt;Table5[[#This Row],[Type]],50,0)</f>
        <v>622</v>
      </c>
      <c r="X501" s="51">
        <f>RANK(Table5[[#This Row],[zScore]],Table5[[#All],[zScore]])</f>
        <v>403</v>
      </c>
      <c r="Y501" s="50">
        <f>IFERROR(INDEX(DraftResults[[#All],[OVR]],MATCH(Table5[[#This Row],[PID]],DraftResults[[#All],[Player ID]],0)),"")</f>
        <v>497</v>
      </c>
      <c r="Z5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1" s="50">
        <f>IFERROR(INDEX(DraftResults[[#All],[Pick in Round]],MATCH(Table5[[#This Row],[PID]],DraftResults[[#All],[Player ID]],0)),"")</f>
        <v>9</v>
      </c>
      <c r="AB501" s="50" t="str">
        <f>IFERROR(INDEX(DraftResults[[#All],[Team Name]],MATCH(Table5[[#This Row],[PID]],DraftResults[[#All],[Player ID]],0)),"")</f>
        <v>Scottish Claymores</v>
      </c>
      <c r="AC501" s="50">
        <f>IF(Table5[[#This Row],[Ovr]]="","",IF(Table5[[#This Row],[cmbList]]="","",Table5[[#This Row],[cmbList]]-Table5[[#This Row],[Ovr]]))</f>
        <v>125</v>
      </c>
      <c r="AD501" s="54" t="str">
        <f>IF(ISERROR(VLOOKUP($AB501&amp;"-"&amp;$E501&amp;" "&amp;F501,Bonuses!$B$1:$G$1006,4,FALSE)),"",INT(VLOOKUP($AB501&amp;"-"&amp;$E501&amp;" "&amp;$F501,Bonuses!$B$1:$G$1006,4,FALSE)))</f>
        <v/>
      </c>
      <c r="AE5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17.9 (497) - 3B Falley L'ami</v>
      </c>
    </row>
    <row r="502" spans="1:31" s="50" customFormat="1" x14ac:dyDescent="0.25">
      <c r="A502" s="68">
        <v>17823</v>
      </c>
      <c r="B502" s="69">
        <f>COUNTIF(Table5[PID],A502)</f>
        <v>1</v>
      </c>
      <c r="C502" s="69" t="str">
        <f>IF(COUNTIF(Table3[[#All],[PID]],A502)&gt;0,"P","B")</f>
        <v>P</v>
      </c>
      <c r="D502" s="59" t="str">
        <f>IF($C502="B",INDEX(Batters[[#All],[POS]],MATCH(Table5[[#This Row],[PID]],Batters[[#All],[PID]],0)),INDEX(Table3[[#All],[POS]],MATCH(Table5[[#This Row],[PID]],Table3[[#All],[PID]],0)))</f>
        <v>SP</v>
      </c>
      <c r="E502" s="52" t="str">
        <f>IF($C502="B",INDEX(Batters[[#All],[First]],MATCH(Table5[[#This Row],[PID]],Batters[[#All],[PID]],0)),INDEX(Table3[[#All],[First]],MATCH(Table5[[#This Row],[PID]],Table3[[#All],[PID]],0)))</f>
        <v>Craig</v>
      </c>
      <c r="F502" s="55" t="str">
        <f>IF($C502="B",INDEX(Batters[[#All],[Last]],MATCH(A502,Batters[[#All],[PID]],0)),INDEX(Table3[[#All],[Last]],MATCH(A502,Table3[[#All],[PID]],0)))</f>
        <v>MacGowing</v>
      </c>
      <c r="G502" s="56">
        <f>IF($C502="B",INDEX(Batters[[#All],[Age]],MATCH(Table5[[#This Row],[PID]],Batters[[#All],[PID]],0)),INDEX(Table3[[#All],[Age]],MATCH(Table5[[#This Row],[PID]],Table3[[#All],[PID]],0)))</f>
        <v>18</v>
      </c>
      <c r="H502" s="52" t="str">
        <f>IF($C502="B",INDEX(Batters[[#All],[B]],MATCH(Table5[[#This Row],[PID]],Batters[[#All],[PID]],0)),INDEX(Table3[[#All],[B]],MATCH(Table5[[#This Row],[PID]],Table3[[#All],[PID]],0)))</f>
        <v>L</v>
      </c>
      <c r="I502" s="52" t="str">
        <f>IF($C502="B",INDEX(Batters[[#All],[T]],MATCH(Table5[[#This Row],[PID]],Batters[[#All],[PID]],0)),INDEX(Table3[[#All],[T]],MATCH(Table5[[#This Row],[PID]],Table3[[#All],[PID]],0)))</f>
        <v>L</v>
      </c>
      <c r="J502" s="71" t="str">
        <f>IF($C502="B",INDEX(Batters[[#All],[WE]],MATCH(Table5[[#This Row],[PID]],Batters[[#All],[PID]],0)),INDEX(Table3[[#All],[WE]],MATCH(Table5[[#This Row],[PID]],Table3[[#All],[PID]],0)))</f>
        <v>Normal</v>
      </c>
      <c r="K502" s="52" t="str">
        <f>IF($C502="B",INDEX(Batters[[#All],[INT]],MATCH(Table5[[#This Row],[PID]],Batters[[#All],[PID]],0)),INDEX(Table3[[#All],[INT]],MATCH(Table5[[#This Row],[PID]],Table3[[#All],[PID]],0)))</f>
        <v>Normal</v>
      </c>
      <c r="L502" s="60">
        <f>IF($C502="B",INDEX(Batters[[#All],[CON P]],MATCH(Table5[[#This Row],[PID]],Batters[[#All],[PID]],0)),INDEX(Table3[[#All],[STU P]],MATCH(Table5[[#This Row],[PID]],Table3[[#All],[PID]],0)))</f>
        <v>5</v>
      </c>
      <c r="M502" s="72">
        <f>IF($C502="B",INDEX(Batters[[#All],[GAP P]],MATCH(Table5[[#This Row],[PID]],Batters[[#All],[PID]],0)),INDEX(Table3[[#All],[MOV P]],MATCH(Table5[[#This Row],[PID]],Table3[[#All],[PID]],0)))</f>
        <v>2</v>
      </c>
      <c r="N502" s="72">
        <f>IF($C502="B",INDEX(Batters[[#All],[POW P]],MATCH(Table5[[#This Row],[PID]],Batters[[#All],[PID]],0)),INDEX(Table3[[#All],[CON P]],MATCH(Table5[[#This Row],[PID]],Table3[[#All],[PID]],0)))</f>
        <v>4</v>
      </c>
      <c r="O502" s="72" t="str">
        <f>IF($C502="B",INDEX(Batters[[#All],[EYE P]],MATCH(Table5[[#This Row],[PID]],Batters[[#All],[PID]],0)),INDEX(Table3[[#All],[VELO]],MATCH(Table5[[#This Row],[PID]],Table3[[#All],[PID]],0)))</f>
        <v>91-93 Mph</v>
      </c>
      <c r="P502" s="56">
        <f>IF($C502="B",INDEX(Batters[[#All],[K P]],MATCH(Table5[[#This Row],[PID]],Batters[[#All],[PID]],0)),INDEX(Table3[[#All],[STM]],MATCH(Table5[[#This Row],[PID]],Table3[[#All],[PID]],0)))</f>
        <v>6</v>
      </c>
      <c r="Q502" s="61">
        <f>IF($C502="B",INDEX(Batters[[#All],[Tot]],MATCH(Table5[[#This Row],[PID]],Batters[[#All],[PID]],0)),INDEX(Table3[[#All],[Tot]],MATCH(Table5[[#This Row],[PID]],Table3[[#All],[PID]],0)))</f>
        <v>44.480084461851277</v>
      </c>
      <c r="R502" s="52">
        <f>IF($C502="B",INDEX(Batters[[#All],[zScore]],MATCH(Table5[[#This Row],[PID]],Batters[[#All],[PID]],0)),INDEX(Table3[[#All],[zScore]],MATCH(Table5[[#This Row],[PID]],Table3[[#All],[PID]],0)))</f>
        <v>0.57278076526376931</v>
      </c>
      <c r="S502" s="78" t="str">
        <f>IF($C502="B",INDEX(Batters[[#All],[DEM]],MATCH(Table5[[#This Row],[PID]],Batters[[#All],[PID]],0)),INDEX(Table3[[#All],[DEM]],MATCH(Table5[[#This Row],[PID]],Table3[[#All],[PID]],0)))</f>
        <v>$85k</v>
      </c>
      <c r="T502" s="75">
        <f>IF($C502="B",INDEX(Batters[[#All],[Rnk]],MATCH(Table5[[#This Row],[PID]],Batters[[#All],[PID]],0)),INDEX(Table3[[#All],[Rnk]],MATCH(Table5[[#This Row],[PID]],Table3[[#All],[PID]],0)))</f>
        <v>204</v>
      </c>
      <c r="U502" s="68">
        <f>IF($C502="B",VLOOKUP($A502,Bat!$A$4:$BA$1621,47,FALSE),VLOOKUP($A502,Pit!$A$4:$BF$1557,56,FALSE))</f>
        <v>0</v>
      </c>
      <c r="V502" s="50">
        <f>IF($C502="B",VLOOKUP($A502,Bat!$A$4:$BA$1621,48,FALSE),VLOOKUP($A502,Pit!$A$4:$BF$1557,57,FALSE))</f>
        <v>0</v>
      </c>
      <c r="W502" s="69">
        <f>Table5[[#This Row],[posRnk]]+Table5[[#This Row],[zRnk]]+IF($W$3&lt;&gt;Table5[[#This Row],[Type]],50,0)</f>
        <v>599</v>
      </c>
      <c r="X502" s="73">
        <f>RANK(Table5[[#This Row],[zScore]],Table5[[#All],[zScore]])</f>
        <v>345</v>
      </c>
      <c r="Y502" s="69">
        <f>IFERROR(INDEX(DraftResults[[#All],[OVR]],MATCH(Table5[[#This Row],[PID]],DraftResults[[#All],[Player ID]],0)),"")</f>
        <v>498</v>
      </c>
      <c r="Z50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2" s="69">
        <f>IFERROR(INDEX(DraftResults[[#All],[Pick in Round]],MATCH(Table5[[#This Row],[PID]],DraftResults[[#All],[Player ID]],0)),"")</f>
        <v>10</v>
      </c>
      <c r="AB502" s="69" t="str">
        <f>IFERROR(INDEX(DraftResults[[#All],[Team Name]],MATCH(Table5[[#This Row],[PID]],DraftResults[[#All],[Player ID]],0)),"")</f>
        <v>Hartford Harpoon</v>
      </c>
      <c r="AC502" s="69">
        <f>IF(Table5[[#This Row],[Ovr]]="","",IF(Table5[[#This Row],[cmbList]]="","",Table5[[#This Row],[cmbList]]-Table5[[#This Row],[Ovr]]))</f>
        <v>101</v>
      </c>
      <c r="AD502" s="77" t="str">
        <f>IF(ISERROR(VLOOKUP($AB502&amp;"-"&amp;$E502&amp;" "&amp;F502,Bonuses!$B$1:$G$1006,4,FALSE)),"",INT(VLOOKUP($AB502&amp;"-"&amp;$E502&amp;" "&amp;$F502,Bonuses!$B$1:$G$1006,4,FALSE)))</f>
        <v/>
      </c>
      <c r="AE50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17.10 (498) - SP Craig MacGowing</v>
      </c>
    </row>
    <row r="503" spans="1:31" s="50" customFormat="1" x14ac:dyDescent="0.25">
      <c r="A503" s="68">
        <v>18303</v>
      </c>
      <c r="B503" s="69">
        <f>COUNTIF(Table5[PID],A503)</f>
        <v>1</v>
      </c>
      <c r="C503" s="69" t="str">
        <f>IF(COUNTIF(Table3[[#All],[PID]],A503)&gt;0,"P","B")</f>
        <v>P</v>
      </c>
      <c r="D503" s="59" t="str">
        <f>IF($C503="B",INDEX(Batters[[#All],[POS]],MATCH(Table5[[#This Row],[PID]],Batters[[#All],[PID]],0)),INDEX(Table3[[#All],[POS]],MATCH(Table5[[#This Row],[PID]],Table3[[#All],[PID]],0)))</f>
        <v>SP</v>
      </c>
      <c r="E503" s="52" t="str">
        <f>IF($C503="B",INDEX(Batters[[#All],[First]],MATCH(Table5[[#This Row],[PID]],Batters[[#All],[PID]],0)),INDEX(Table3[[#All],[First]],MATCH(Table5[[#This Row],[PID]],Table3[[#All],[PID]],0)))</f>
        <v>Manuel</v>
      </c>
      <c r="F503" s="55" t="str">
        <f>IF($C503="B",INDEX(Batters[[#All],[Last]],MATCH(A503,Batters[[#All],[PID]],0)),INDEX(Table3[[#All],[Last]],MATCH(A503,Table3[[#All],[PID]],0)))</f>
        <v>Escobedo</v>
      </c>
      <c r="G503" s="56">
        <f>IF($C503="B",INDEX(Batters[[#All],[Age]],MATCH(Table5[[#This Row],[PID]],Batters[[#All],[PID]],0)),INDEX(Table3[[#All],[Age]],MATCH(Table5[[#This Row],[PID]],Table3[[#All],[PID]],0)))</f>
        <v>21</v>
      </c>
      <c r="H503" s="52" t="str">
        <f>IF($C503="B",INDEX(Batters[[#All],[B]],MATCH(Table5[[#This Row],[PID]],Batters[[#All],[PID]],0)),INDEX(Table3[[#All],[B]],MATCH(Table5[[#This Row],[PID]],Table3[[#All],[PID]],0)))</f>
        <v>R</v>
      </c>
      <c r="I503" s="52" t="str">
        <f>IF($C503="B",INDEX(Batters[[#All],[T]],MATCH(Table5[[#This Row],[PID]],Batters[[#All],[PID]],0)),INDEX(Table3[[#All],[T]],MATCH(Table5[[#This Row],[PID]],Table3[[#All],[PID]],0)))</f>
        <v>R</v>
      </c>
      <c r="J503" s="71" t="str">
        <f>IF($C503="B",INDEX(Batters[[#All],[WE]],MATCH(Table5[[#This Row],[PID]],Batters[[#All],[PID]],0)),INDEX(Table3[[#All],[WE]],MATCH(Table5[[#This Row],[PID]],Table3[[#All],[PID]],0)))</f>
        <v>Normal</v>
      </c>
      <c r="K503" s="52" t="str">
        <f>IF($C503="B",INDEX(Batters[[#All],[INT]],MATCH(Table5[[#This Row],[PID]],Batters[[#All],[PID]],0)),INDEX(Table3[[#All],[INT]],MATCH(Table5[[#This Row],[PID]],Table3[[#All],[PID]],0)))</f>
        <v>Normal</v>
      </c>
      <c r="L503" s="60">
        <f>IF($C503="B",INDEX(Batters[[#All],[CON P]],MATCH(Table5[[#This Row],[PID]],Batters[[#All],[PID]],0)),INDEX(Table3[[#All],[STU P]],MATCH(Table5[[#This Row],[PID]],Table3[[#All],[PID]],0)))</f>
        <v>4</v>
      </c>
      <c r="M503" s="72">
        <f>IF($C503="B",INDEX(Batters[[#All],[GAP P]],MATCH(Table5[[#This Row],[PID]],Batters[[#All],[PID]],0)),INDEX(Table3[[#All],[MOV P]],MATCH(Table5[[#This Row],[PID]],Table3[[#All],[PID]],0)))</f>
        <v>5</v>
      </c>
      <c r="N503" s="72">
        <f>IF($C503="B",INDEX(Batters[[#All],[POW P]],MATCH(Table5[[#This Row],[PID]],Batters[[#All],[PID]],0)),INDEX(Table3[[#All],[CON P]],MATCH(Table5[[#This Row],[PID]],Table3[[#All],[PID]],0)))</f>
        <v>4</v>
      </c>
      <c r="O503" s="72" t="str">
        <f>IF($C503="B",INDEX(Batters[[#All],[EYE P]],MATCH(Table5[[#This Row],[PID]],Batters[[#All],[PID]],0)),INDEX(Table3[[#All],[VELO]],MATCH(Table5[[#This Row],[PID]],Table3[[#All],[PID]],0)))</f>
        <v>88-90 Mph</v>
      </c>
      <c r="P503" s="56">
        <f>IF($C503="B",INDEX(Batters[[#All],[K P]],MATCH(Table5[[#This Row],[PID]],Batters[[#All],[PID]],0)),INDEX(Table3[[#All],[STM]],MATCH(Table5[[#This Row],[PID]],Table3[[#All],[PID]],0)))</f>
        <v>6</v>
      </c>
      <c r="Q503" s="61">
        <f>IF($C503="B",INDEX(Batters[[#All],[Tot]],MATCH(Table5[[#This Row],[PID]],Batters[[#All],[PID]],0)),INDEX(Table3[[#All],[Tot]],MATCH(Table5[[#This Row],[PID]],Table3[[#All],[PID]],0)))</f>
        <v>47.971690569205435</v>
      </c>
      <c r="R503" s="52">
        <f>IF($C503="B",INDEX(Batters[[#All],[zScore]],MATCH(Table5[[#This Row],[PID]],Batters[[#All],[PID]],0)),INDEX(Table3[[#All],[zScore]],MATCH(Table5[[#This Row],[PID]],Table3[[#All],[PID]],0)))</f>
        <v>0.80507198403187563</v>
      </c>
      <c r="S503" s="78" t="str">
        <f>IF($C503="B",INDEX(Batters[[#All],[DEM]],MATCH(Table5[[#This Row],[PID]],Batters[[#All],[PID]],0)),INDEX(Table3[[#All],[DEM]],MATCH(Table5[[#This Row],[PID]],Table3[[#All],[PID]],0)))</f>
        <v>$20k</v>
      </c>
      <c r="T503" s="75">
        <f>IF($C503="B",INDEX(Batters[[#All],[Rnk]],MATCH(Table5[[#This Row],[PID]],Batters[[#All],[PID]],0)),INDEX(Table3[[#All],[Rnk]],MATCH(Table5[[#This Row],[PID]],Table3[[#All],[PID]],0)))</f>
        <v>170</v>
      </c>
      <c r="U503" s="68">
        <f>IF($C503="B",VLOOKUP($A503,Bat!$A$4:$BA$1621,47,FALSE),VLOOKUP($A503,Pit!$A$4:$BF$1557,56,FALSE))</f>
        <v>0</v>
      </c>
      <c r="V503" s="50">
        <f>IF($C503="B",VLOOKUP($A503,Bat!$A$4:$BA$1621,48,FALSE),VLOOKUP($A503,Pit!$A$4:$BF$1557,57,FALSE))</f>
        <v>0</v>
      </c>
      <c r="W503" s="69">
        <f>Table5[[#This Row],[posRnk]]+Table5[[#This Row],[zRnk]]+IF($W$3&lt;&gt;Table5[[#This Row],[Type]],50,0)</f>
        <v>502</v>
      </c>
      <c r="X503" s="73">
        <f>RANK(Table5[[#This Row],[zScore]],Table5[[#All],[zScore]])</f>
        <v>282</v>
      </c>
      <c r="Y503" s="69">
        <f>IFERROR(INDEX(DraftResults[[#All],[OVR]],MATCH(Table5[[#This Row],[PID]],DraftResults[[#All],[Player ID]],0)),"")</f>
        <v>499</v>
      </c>
      <c r="Z50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3" s="69">
        <f>IFERROR(INDEX(DraftResults[[#All],[Pick in Round]],MATCH(Table5[[#This Row],[PID]],DraftResults[[#All],[Player ID]],0)),"")</f>
        <v>11</v>
      </c>
      <c r="AB503" s="69" t="str">
        <f>IFERROR(INDEX(DraftResults[[#All],[Team Name]],MATCH(Table5[[#This Row],[PID]],DraftResults[[#All],[Player ID]],0)),"")</f>
        <v>Duluth Warriors</v>
      </c>
      <c r="AC503" s="69">
        <f>IF(Table5[[#This Row],[Ovr]]="","",IF(Table5[[#This Row],[cmbList]]="","",Table5[[#This Row],[cmbList]]-Table5[[#This Row],[Ovr]]))</f>
        <v>3</v>
      </c>
      <c r="AD503" s="77" t="str">
        <f>IF(ISERROR(VLOOKUP($AB503&amp;"-"&amp;$E503&amp;" "&amp;F503,Bonuses!$B$1:$G$1006,4,FALSE)),"",INT(VLOOKUP($AB503&amp;"-"&amp;$E503&amp;" "&amp;$F503,Bonuses!$B$1:$G$1006,4,FALSE)))</f>
        <v/>
      </c>
      <c r="AE50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17.11 (499) - SP Manuel Escobedo</v>
      </c>
    </row>
    <row r="504" spans="1:31" s="50" customFormat="1" x14ac:dyDescent="0.25">
      <c r="A504" s="50">
        <v>17600</v>
      </c>
      <c r="B504" s="55">
        <f>COUNTIF(Table5[PID],A504)</f>
        <v>1</v>
      </c>
      <c r="C504" s="55" t="str">
        <f>IF(COUNTIF(Table3[[#All],[PID]],A504)&gt;0,"P","B")</f>
        <v>P</v>
      </c>
      <c r="D504" s="59" t="str">
        <f>IF($C504="B",INDEX(Batters[[#All],[POS]],MATCH(Table5[[#This Row],[PID]],Batters[[#All],[PID]],0)),INDEX(Table3[[#All],[POS]],MATCH(Table5[[#This Row],[PID]],Table3[[#All],[PID]],0)))</f>
        <v>RP</v>
      </c>
      <c r="E504" s="52" t="str">
        <f>IF($C504="B",INDEX(Batters[[#All],[First]],MATCH(Table5[[#This Row],[PID]],Batters[[#All],[PID]],0)),INDEX(Table3[[#All],[First]],MATCH(Table5[[#This Row],[PID]],Table3[[#All],[PID]],0)))</f>
        <v>Wade</v>
      </c>
      <c r="F504" s="50" t="str">
        <f>IF($C504="B",INDEX(Batters[[#All],[Last]],MATCH(A504,Batters[[#All],[PID]],0)),INDEX(Table3[[#All],[Last]],MATCH(A504,Table3[[#All],[PID]],0)))</f>
        <v>Fox</v>
      </c>
      <c r="G504" s="56">
        <f>IF($C504="B",INDEX(Batters[[#All],[Age]],MATCH(Table5[[#This Row],[PID]],Batters[[#All],[PID]],0)),INDEX(Table3[[#All],[Age]],MATCH(Table5[[#This Row],[PID]],Table3[[#All],[PID]],0)))</f>
        <v>18</v>
      </c>
      <c r="H504" s="52" t="str">
        <f>IF($C504="B",INDEX(Batters[[#All],[B]],MATCH(Table5[[#This Row],[PID]],Batters[[#All],[PID]],0)),INDEX(Table3[[#All],[B]],MATCH(Table5[[#This Row],[PID]],Table3[[#All],[PID]],0)))</f>
        <v>L</v>
      </c>
      <c r="I504" s="52" t="str">
        <f>IF($C504="B",INDEX(Batters[[#All],[T]],MATCH(Table5[[#This Row],[PID]],Batters[[#All],[PID]],0)),INDEX(Table3[[#All],[T]],MATCH(Table5[[#This Row],[PID]],Table3[[#All],[PID]],0)))</f>
        <v>L</v>
      </c>
      <c r="J504" s="52" t="str">
        <f>IF($C504="B",INDEX(Batters[[#All],[WE]],MATCH(Table5[[#This Row],[PID]],Batters[[#All],[PID]],0)),INDEX(Table3[[#All],[WE]],MATCH(Table5[[#This Row],[PID]],Table3[[#All],[PID]],0)))</f>
        <v>Low</v>
      </c>
      <c r="K504" s="52" t="str">
        <f>IF($C504="B",INDEX(Batters[[#All],[INT]],MATCH(Table5[[#This Row],[PID]],Batters[[#All],[PID]],0)),INDEX(Table3[[#All],[INT]],MATCH(Table5[[#This Row],[PID]],Table3[[#All],[PID]],0)))</f>
        <v>High</v>
      </c>
      <c r="L504" s="60">
        <f>IF($C504="B",INDEX(Batters[[#All],[CON P]],MATCH(Table5[[#This Row],[PID]],Batters[[#All],[PID]],0)),INDEX(Table3[[#All],[STU P]],MATCH(Table5[[#This Row],[PID]],Table3[[#All],[PID]],0)))</f>
        <v>5</v>
      </c>
      <c r="M504" s="56">
        <f>IF($C504="B",INDEX(Batters[[#All],[GAP P]],MATCH(Table5[[#This Row],[PID]],Batters[[#All],[PID]],0)),INDEX(Table3[[#All],[MOV P]],MATCH(Table5[[#This Row],[PID]],Table3[[#All],[PID]],0)))</f>
        <v>2</v>
      </c>
      <c r="N504" s="56">
        <f>IF($C504="B",INDEX(Batters[[#All],[POW P]],MATCH(Table5[[#This Row],[PID]],Batters[[#All],[PID]],0)),INDEX(Table3[[#All],[CON P]],MATCH(Table5[[#This Row],[PID]],Table3[[#All],[PID]],0)))</f>
        <v>2</v>
      </c>
      <c r="O504" s="56" t="str">
        <f>IF($C504="B",INDEX(Batters[[#All],[EYE P]],MATCH(Table5[[#This Row],[PID]],Batters[[#All],[PID]],0)),INDEX(Table3[[#All],[VELO]],MATCH(Table5[[#This Row],[PID]],Table3[[#All],[PID]],0)))</f>
        <v>89-91 Mph</v>
      </c>
      <c r="P504" s="56">
        <f>IF($C504="B",INDEX(Batters[[#All],[K P]],MATCH(Table5[[#This Row],[PID]],Batters[[#All],[PID]],0)),INDEX(Table3[[#All],[STM]],MATCH(Table5[[#This Row],[PID]],Table3[[#All],[PID]],0)))</f>
        <v>3</v>
      </c>
      <c r="Q504" s="61">
        <f>IF($C504="B",INDEX(Batters[[#All],[Tot]],MATCH(Table5[[#This Row],[PID]],Batters[[#All],[PID]],0)),INDEX(Table3[[#All],[Tot]],MATCH(Table5[[#This Row],[PID]],Table3[[#All],[PID]],0)))</f>
        <v>33.610875145080939</v>
      </c>
      <c r="R504" s="52">
        <f>IF($C504="B",INDEX(Batters[[#All],[zScore]],MATCH(Table5[[#This Row],[PID]],Batters[[#All],[PID]],0)),INDEX(Table3[[#All],[zScore]],MATCH(Table5[[#This Row],[PID]],Table3[[#All],[PID]],0)))</f>
        <v>-0.15033112124609729</v>
      </c>
      <c r="S504" s="58" t="str">
        <f>IF($C504="B",INDEX(Batters[[#All],[DEM]],MATCH(Table5[[#This Row],[PID]],Batters[[#All],[PID]],0)),INDEX(Table3[[#All],[DEM]],MATCH(Table5[[#This Row],[PID]],Table3[[#All],[PID]],0)))</f>
        <v>$65k</v>
      </c>
      <c r="T504" s="62">
        <f>IF($C504="B",INDEX(Batters[[#All],[Rnk]],MATCH(Table5[[#This Row],[PID]],Batters[[#All],[PID]],0)),INDEX(Table3[[#All],[Rnk]],MATCH(Table5[[#This Row],[PID]],Table3[[#All],[PID]],0)))</f>
        <v>361</v>
      </c>
      <c r="U504" s="68">
        <f>IF($C504="B",VLOOKUP($A504,Bat!$A$4:$BA$1621,47,FALSE),VLOOKUP($A504,Pit!$A$4:$BF$1557,56,FALSE))</f>
        <v>0</v>
      </c>
      <c r="V504" s="50">
        <f>IF($C504="B",VLOOKUP($A504,Bat!$A$4:$BA$1621,48,FALSE),VLOOKUP($A504,Pit!$A$4:$BF$1557,57,FALSE))</f>
        <v>0</v>
      </c>
      <c r="W504" s="50">
        <f>Table5[[#This Row],[posRnk]]+Table5[[#This Row],[zRnk]]+IF($W$3&lt;&gt;Table5[[#This Row],[Type]],50,0)</f>
        <v>1041</v>
      </c>
      <c r="X504" s="51">
        <f>RANK(Table5[[#This Row],[zScore]],Table5[[#All],[zScore]])</f>
        <v>630</v>
      </c>
      <c r="Y504" s="50">
        <f>IFERROR(INDEX(DraftResults[[#All],[OVR]],MATCH(Table5[[#This Row],[PID]],DraftResults[[#All],[Player ID]],0)),"")</f>
        <v>500</v>
      </c>
      <c r="Z5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4" s="50">
        <f>IFERROR(INDEX(DraftResults[[#All],[Pick in Round]],MATCH(Table5[[#This Row],[PID]],DraftResults[[#All],[Player ID]],0)),"")</f>
        <v>12</v>
      </c>
      <c r="AB504" s="50" t="str">
        <f>IFERROR(INDEX(DraftResults[[#All],[Team Name]],MATCH(Table5[[#This Row],[PID]],DraftResults[[#All],[Player ID]],0)),"")</f>
        <v>Palm Springs Codgers</v>
      </c>
      <c r="AC504" s="50">
        <f>IF(Table5[[#This Row],[Ovr]]="","",IF(Table5[[#This Row],[cmbList]]="","",Table5[[#This Row],[cmbList]]-Table5[[#This Row],[Ovr]]))</f>
        <v>541</v>
      </c>
      <c r="AD504" s="54" t="str">
        <f>IF(ISERROR(VLOOKUP($AB504&amp;"-"&amp;$E504&amp;" "&amp;F504,Bonuses!$B$1:$G$1006,4,FALSE)),"",INT(VLOOKUP($AB504&amp;"-"&amp;$E504&amp;" "&amp;$F504,Bonuses!$B$1:$G$1006,4,FALSE)))</f>
        <v/>
      </c>
      <c r="AE5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17.12 (500) - RP Wade Fox</v>
      </c>
    </row>
    <row r="505" spans="1:31" s="50" customFormat="1" x14ac:dyDescent="0.25">
      <c r="A505" s="50">
        <v>20872</v>
      </c>
      <c r="B505" s="55">
        <f>COUNTIF(Table5[PID],A505)</f>
        <v>1</v>
      </c>
      <c r="C505" s="55" t="str">
        <f>IF(COUNTIF(Table3[[#All],[PID]],A505)&gt;0,"P","B")</f>
        <v>B</v>
      </c>
      <c r="D505" s="59" t="str">
        <f>IF($C505="B",INDEX(Batters[[#All],[POS]],MATCH(Table5[[#This Row],[PID]],Batters[[#All],[PID]],0)),INDEX(Table3[[#All],[POS]],MATCH(Table5[[#This Row],[PID]],Table3[[#All],[PID]],0)))</f>
        <v>2B</v>
      </c>
      <c r="E505" s="52" t="str">
        <f>IF($C505="B",INDEX(Batters[[#All],[First]],MATCH(Table5[[#This Row],[PID]],Batters[[#All],[PID]],0)),INDEX(Table3[[#All],[First]],MATCH(Table5[[#This Row],[PID]],Table3[[#All],[PID]],0)))</f>
        <v>Rodney</v>
      </c>
      <c r="F505" s="50" t="str">
        <f>IF($C505="B",INDEX(Batters[[#All],[Last]],MATCH(A505,Batters[[#All],[PID]],0)),INDEX(Table3[[#All],[Last]],MATCH(A505,Table3[[#All],[PID]],0)))</f>
        <v>Davis</v>
      </c>
      <c r="G505" s="56">
        <f>IF($C505="B",INDEX(Batters[[#All],[Age]],MATCH(Table5[[#This Row],[PID]],Batters[[#All],[PID]],0)),INDEX(Table3[[#All],[Age]],MATCH(Table5[[#This Row],[PID]],Table3[[#All],[PID]],0)))</f>
        <v>18</v>
      </c>
      <c r="H505" s="52" t="str">
        <f>IF($C505="B",INDEX(Batters[[#All],[B]],MATCH(Table5[[#This Row],[PID]],Batters[[#All],[PID]],0)),INDEX(Table3[[#All],[B]],MATCH(Table5[[#This Row],[PID]],Table3[[#All],[PID]],0)))</f>
        <v>R</v>
      </c>
      <c r="I505" s="52" t="str">
        <f>IF($C505="B",INDEX(Batters[[#All],[T]],MATCH(Table5[[#This Row],[PID]],Batters[[#All],[PID]],0)),INDEX(Table3[[#All],[T]],MATCH(Table5[[#This Row],[PID]],Table3[[#All],[PID]],0)))</f>
        <v>R</v>
      </c>
      <c r="J505" s="52" t="str">
        <f>IF($C505="B",INDEX(Batters[[#All],[WE]],MATCH(Table5[[#This Row],[PID]],Batters[[#All],[PID]],0)),INDEX(Table3[[#All],[WE]],MATCH(Table5[[#This Row],[PID]],Table3[[#All],[PID]],0)))</f>
        <v>Normal</v>
      </c>
      <c r="K505" s="52" t="str">
        <f>IF($C505="B",INDEX(Batters[[#All],[INT]],MATCH(Table5[[#This Row],[PID]],Batters[[#All],[PID]],0)),INDEX(Table3[[#All],[INT]],MATCH(Table5[[#This Row],[PID]],Table3[[#All],[PID]],0)))</f>
        <v>Normal</v>
      </c>
      <c r="L505" s="60">
        <f>IF($C505="B",INDEX(Batters[[#All],[CON P]],MATCH(Table5[[#This Row],[PID]],Batters[[#All],[PID]],0)),INDEX(Table3[[#All],[STU P]],MATCH(Table5[[#This Row],[PID]],Table3[[#All],[PID]],0)))</f>
        <v>3</v>
      </c>
      <c r="M505" s="56">
        <f>IF($C505="B",INDEX(Batters[[#All],[GAP P]],MATCH(Table5[[#This Row],[PID]],Batters[[#All],[PID]],0)),INDEX(Table3[[#All],[MOV P]],MATCH(Table5[[#This Row],[PID]],Table3[[#All],[PID]],0)))</f>
        <v>5</v>
      </c>
      <c r="N505" s="56">
        <f>IF($C505="B",INDEX(Batters[[#All],[POW P]],MATCH(Table5[[#This Row],[PID]],Batters[[#All],[PID]],0)),INDEX(Table3[[#All],[CON P]],MATCH(Table5[[#This Row],[PID]],Table3[[#All],[PID]],0)))</f>
        <v>3</v>
      </c>
      <c r="O505" s="56">
        <f>IF($C505="B",INDEX(Batters[[#All],[EYE P]],MATCH(Table5[[#This Row],[PID]],Batters[[#All],[PID]],0)),INDEX(Table3[[#All],[VELO]],MATCH(Table5[[#This Row],[PID]],Table3[[#All],[PID]],0)))</f>
        <v>4</v>
      </c>
      <c r="P505" s="56">
        <f>IF($C505="B",INDEX(Batters[[#All],[K P]],MATCH(Table5[[#This Row],[PID]],Batters[[#All],[PID]],0)),INDEX(Table3[[#All],[STM]],MATCH(Table5[[#This Row],[PID]],Table3[[#All],[PID]],0)))</f>
        <v>3</v>
      </c>
      <c r="Q505" s="61">
        <f>IF($C505="B",INDEX(Batters[[#All],[Tot]],MATCH(Table5[[#This Row],[PID]],Batters[[#All],[PID]],0)),INDEX(Table3[[#All],[Tot]],MATCH(Table5[[#This Row],[PID]],Table3[[#All],[PID]],0)))</f>
        <v>41.835150374207821</v>
      </c>
      <c r="R505" s="52">
        <f>IF($C505="B",INDEX(Batters[[#All],[zScore]],MATCH(Table5[[#This Row],[PID]],Batters[[#All],[PID]],0)),INDEX(Table3[[#All],[zScore]],MATCH(Table5[[#This Row],[PID]],Table3[[#All],[PID]],0)))</f>
        <v>-0.5092137231795334</v>
      </c>
      <c r="S505" s="58" t="str">
        <f>IF($C505="B",INDEX(Batters[[#All],[DEM]],MATCH(Table5[[#This Row],[PID]],Batters[[#All],[PID]],0)),INDEX(Table3[[#All],[DEM]],MATCH(Table5[[#This Row],[PID]],Table3[[#All],[PID]],0)))</f>
        <v>$65k</v>
      </c>
      <c r="T505" s="62">
        <f>IF($C505="B",INDEX(Batters[[#All],[Rnk]],MATCH(Table5[[#This Row],[PID]],Batters[[#All],[PID]],0)),INDEX(Table3[[#All],[Rnk]],MATCH(Table5[[#This Row],[PID]],Table3[[#All],[PID]],0)))</f>
        <v>336</v>
      </c>
      <c r="U505" s="68">
        <f>IF($C505="B",VLOOKUP($A505,Bat!$A$4:$BA$1621,47,FALSE),VLOOKUP($A505,Pit!$A$4:$BF$1557,56,FALSE))</f>
        <v>0</v>
      </c>
      <c r="V505" s="50">
        <f>IF($C505="B",VLOOKUP($A505,Bat!$A$4:$BA$1621,48,FALSE),VLOOKUP($A505,Pit!$A$4:$BF$1557,57,FALSE))</f>
        <v>0</v>
      </c>
      <c r="W505" s="50">
        <f>Table5[[#This Row],[posRnk]]+Table5[[#This Row],[zRnk]]+IF($W$3&lt;&gt;Table5[[#This Row],[Type]],50,0)</f>
        <v>1251</v>
      </c>
      <c r="X505" s="51">
        <f>RANK(Table5[[#This Row],[zScore]],Table5[[#All],[zScore]])</f>
        <v>865</v>
      </c>
      <c r="Y505" s="50">
        <f>IFERROR(INDEX(DraftResults[[#All],[OVR]],MATCH(Table5[[#This Row],[PID]],DraftResults[[#All],[Player ID]],0)),"")</f>
        <v>501</v>
      </c>
      <c r="Z5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5" s="50">
        <f>IFERROR(INDEX(DraftResults[[#All],[Pick in Round]],MATCH(Table5[[#This Row],[PID]],DraftResults[[#All],[Player ID]],0)),"")</f>
        <v>13</v>
      </c>
      <c r="AB505" s="50" t="str">
        <f>IFERROR(INDEX(DraftResults[[#All],[Team Name]],MATCH(Table5[[#This Row],[PID]],DraftResults[[#All],[Player ID]],0)),"")</f>
        <v>Reno Zephyrs</v>
      </c>
      <c r="AC505" s="50">
        <f>IF(Table5[[#This Row],[Ovr]]="","",IF(Table5[[#This Row],[cmbList]]="","",Table5[[#This Row],[cmbList]]-Table5[[#This Row],[Ovr]]))</f>
        <v>750</v>
      </c>
      <c r="AD505" s="54" t="str">
        <f>IF(ISERROR(VLOOKUP($AB505&amp;"-"&amp;$E505&amp;" "&amp;F505,Bonuses!$B$1:$G$1006,4,FALSE)),"",INT(VLOOKUP($AB505&amp;"-"&amp;$E505&amp;" "&amp;$F505,Bonuses!$B$1:$G$1006,4,FALSE)))</f>
        <v/>
      </c>
      <c r="AE5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17.13 (501) - 2B Rodney Davis</v>
      </c>
    </row>
    <row r="506" spans="1:31" s="50" customFormat="1" x14ac:dyDescent="0.25">
      <c r="A506" s="68">
        <v>18300</v>
      </c>
      <c r="B506" s="69">
        <f>COUNTIF(Table5[PID],A506)</f>
        <v>1</v>
      </c>
      <c r="C506" s="69" t="str">
        <f>IF(COUNTIF(Table3[[#All],[PID]],A506)&gt;0,"P","B")</f>
        <v>P</v>
      </c>
      <c r="D506" s="59" t="str">
        <f>IF($C506="B",INDEX(Batters[[#All],[POS]],MATCH(Table5[[#This Row],[PID]],Batters[[#All],[PID]],0)),INDEX(Table3[[#All],[POS]],MATCH(Table5[[#This Row],[PID]],Table3[[#All],[PID]],0)))</f>
        <v>SP</v>
      </c>
      <c r="E506" s="52" t="str">
        <f>IF($C506="B",INDEX(Batters[[#All],[First]],MATCH(Table5[[#This Row],[PID]],Batters[[#All],[PID]],0)),INDEX(Table3[[#All],[First]],MATCH(Table5[[#This Row],[PID]],Table3[[#All],[PID]],0)))</f>
        <v>Arnold</v>
      </c>
      <c r="F506" s="55" t="str">
        <f>IF($C506="B",INDEX(Batters[[#All],[Last]],MATCH(A506,Batters[[#All],[PID]],0)),INDEX(Table3[[#All],[Last]],MATCH(A506,Table3[[#All],[PID]],0)))</f>
        <v>Carmody</v>
      </c>
      <c r="G506" s="56">
        <f>IF($C506="B",INDEX(Batters[[#All],[Age]],MATCH(Table5[[#This Row],[PID]],Batters[[#All],[PID]],0)),INDEX(Table3[[#All],[Age]],MATCH(Table5[[#This Row],[PID]],Table3[[#All],[PID]],0)))</f>
        <v>21</v>
      </c>
      <c r="H506" s="52" t="str">
        <f>IF($C506="B",INDEX(Batters[[#All],[B]],MATCH(Table5[[#This Row],[PID]],Batters[[#All],[PID]],0)),INDEX(Table3[[#All],[B]],MATCH(Table5[[#This Row],[PID]],Table3[[#All],[PID]],0)))</f>
        <v>L</v>
      </c>
      <c r="I506" s="52" t="str">
        <f>IF($C506="B",INDEX(Batters[[#All],[T]],MATCH(Table5[[#This Row],[PID]],Batters[[#All],[PID]],0)),INDEX(Table3[[#All],[T]],MATCH(Table5[[#This Row],[PID]],Table3[[#All],[PID]],0)))</f>
        <v>R</v>
      </c>
      <c r="J506" s="71" t="str">
        <f>IF($C506="B",INDEX(Batters[[#All],[WE]],MATCH(Table5[[#This Row],[PID]],Batters[[#All],[PID]],0)),INDEX(Table3[[#All],[WE]],MATCH(Table5[[#This Row],[PID]],Table3[[#All],[PID]],0)))</f>
        <v>Normal</v>
      </c>
      <c r="K506" s="52" t="str">
        <f>IF($C506="B",INDEX(Batters[[#All],[INT]],MATCH(Table5[[#This Row],[PID]],Batters[[#All],[PID]],0)),INDEX(Table3[[#All],[INT]],MATCH(Table5[[#This Row],[PID]],Table3[[#All],[PID]],0)))</f>
        <v>High</v>
      </c>
      <c r="L506" s="60">
        <f>IF($C506="B",INDEX(Batters[[#All],[CON P]],MATCH(Table5[[#This Row],[PID]],Batters[[#All],[PID]],0)),INDEX(Table3[[#All],[STU P]],MATCH(Table5[[#This Row],[PID]],Table3[[#All],[PID]],0)))</f>
        <v>5</v>
      </c>
      <c r="M506" s="72">
        <f>IF($C506="B",INDEX(Batters[[#All],[GAP P]],MATCH(Table5[[#This Row],[PID]],Batters[[#All],[PID]],0)),INDEX(Table3[[#All],[MOV P]],MATCH(Table5[[#This Row],[PID]],Table3[[#All],[PID]],0)))</f>
        <v>3</v>
      </c>
      <c r="N506" s="72">
        <f>IF($C506="B",INDEX(Batters[[#All],[POW P]],MATCH(Table5[[#This Row],[PID]],Batters[[#All],[PID]],0)),INDEX(Table3[[#All],[CON P]],MATCH(Table5[[#This Row],[PID]],Table3[[#All],[PID]],0)))</f>
        <v>4</v>
      </c>
      <c r="O506" s="72" t="str">
        <f>IF($C506="B",INDEX(Batters[[#All],[EYE P]],MATCH(Table5[[#This Row],[PID]],Batters[[#All],[PID]],0)),INDEX(Table3[[#All],[VELO]],MATCH(Table5[[#This Row],[PID]],Table3[[#All],[PID]],0)))</f>
        <v>92-94 Mph</v>
      </c>
      <c r="P506" s="56">
        <f>IF($C506="B",INDEX(Batters[[#All],[K P]],MATCH(Table5[[#This Row],[PID]],Batters[[#All],[PID]],0)),INDEX(Table3[[#All],[STM]],MATCH(Table5[[#This Row],[PID]],Table3[[#All],[PID]],0)))</f>
        <v>4</v>
      </c>
      <c r="Q506" s="61">
        <f>IF($C506="B",INDEX(Batters[[#All],[Tot]],MATCH(Table5[[#This Row],[PID]],Batters[[#All],[PID]],0)),INDEX(Table3[[#All],[Tot]],MATCH(Table5[[#This Row],[PID]],Table3[[#All],[PID]],0)))</f>
        <v>43.669873341615784</v>
      </c>
      <c r="R506" s="52">
        <f>IF($C506="B",INDEX(Batters[[#All],[zScore]],MATCH(Table5[[#This Row],[PID]],Batters[[#All],[PID]],0)),INDEX(Table3[[#All],[zScore]],MATCH(Table5[[#This Row],[PID]],Table3[[#All],[PID]],0)))</f>
        <v>0.51887865752527873</v>
      </c>
      <c r="S506" s="78" t="str">
        <f>IF($C506="B",INDEX(Batters[[#All],[DEM]],MATCH(Table5[[#This Row],[PID]],Batters[[#All],[PID]],0)),INDEX(Table3[[#All],[DEM]],MATCH(Table5[[#This Row],[PID]],Table3[[#All],[PID]],0)))</f>
        <v>-</v>
      </c>
      <c r="T506" s="75">
        <f>IF($C506="B",INDEX(Batters[[#All],[Rnk]],MATCH(Table5[[#This Row],[PID]],Batters[[#All],[PID]],0)),INDEX(Table3[[#All],[Rnk]],MATCH(Table5[[#This Row],[PID]],Table3[[#All],[PID]],0)))</f>
        <v>211</v>
      </c>
      <c r="U506" s="68">
        <f>IF($C506="B",VLOOKUP($A506,Bat!$A$4:$BA$1621,47,FALSE),VLOOKUP($A506,Pit!$A$4:$BF$1557,56,FALSE))</f>
        <v>0</v>
      </c>
      <c r="V506" s="50">
        <f>IF($C506="B",VLOOKUP($A506,Bat!$A$4:$BA$1621,48,FALSE),VLOOKUP($A506,Pit!$A$4:$BF$1557,57,FALSE))</f>
        <v>0</v>
      </c>
      <c r="W506" s="69">
        <f>Table5[[#This Row],[posRnk]]+Table5[[#This Row],[zRnk]]+IF($W$3&lt;&gt;Table5[[#This Row],[Type]],50,0)</f>
        <v>621</v>
      </c>
      <c r="X506" s="73">
        <f>RANK(Table5[[#This Row],[zScore]],Table5[[#All],[zScore]])</f>
        <v>360</v>
      </c>
      <c r="Y506" s="69">
        <f>IFERROR(INDEX(DraftResults[[#All],[OVR]],MATCH(Table5[[#This Row],[PID]],DraftResults[[#All],[Player ID]],0)),"")</f>
        <v>502</v>
      </c>
      <c r="Z50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6" s="69">
        <f>IFERROR(INDEX(DraftResults[[#All],[Pick in Round]],MATCH(Table5[[#This Row],[PID]],DraftResults[[#All],[Player ID]],0)),"")</f>
        <v>14</v>
      </c>
      <c r="AB506" s="69" t="str">
        <f>IFERROR(INDEX(DraftResults[[#All],[Team Name]],MATCH(Table5[[#This Row],[PID]],DraftResults[[#All],[Player ID]],0)),"")</f>
        <v>Arlington Bureaucrats</v>
      </c>
      <c r="AC506" s="69">
        <f>IF(Table5[[#This Row],[Ovr]]="","",IF(Table5[[#This Row],[cmbList]]="","",Table5[[#This Row],[cmbList]]-Table5[[#This Row],[Ovr]]))</f>
        <v>119</v>
      </c>
      <c r="AD506" s="77" t="str">
        <f>IF(ISERROR(VLOOKUP($AB506&amp;"-"&amp;$E506&amp;" "&amp;F506,Bonuses!$B$1:$G$1006,4,FALSE)),"",INT(VLOOKUP($AB506&amp;"-"&amp;$E506&amp;" "&amp;$F506,Bonuses!$B$1:$G$1006,4,FALSE)))</f>
        <v/>
      </c>
      <c r="AE50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17.14 (502) - SP Arnold Carmody</v>
      </c>
    </row>
    <row r="507" spans="1:31" s="50" customFormat="1" x14ac:dyDescent="0.25">
      <c r="A507" s="50">
        <v>12277</v>
      </c>
      <c r="B507" s="50">
        <f>COUNTIF(Table5[PID],A507)</f>
        <v>1</v>
      </c>
      <c r="C507" s="50" t="str">
        <f>IF(COUNTIF(Table3[[#All],[PID]],A507)&gt;0,"P","B")</f>
        <v>B</v>
      </c>
      <c r="D507" s="59" t="str">
        <f>IF($C507="B",INDEX(Batters[[#All],[POS]],MATCH(Table5[[#This Row],[PID]],Batters[[#All],[PID]],0)),INDEX(Table3[[#All],[POS]],MATCH(Table5[[#This Row],[PID]],Table3[[#All],[PID]],0)))</f>
        <v>3B</v>
      </c>
      <c r="E507" s="52" t="str">
        <f>IF($C507="B",INDEX(Batters[[#All],[First]],MATCH(Table5[[#This Row],[PID]],Batters[[#All],[PID]],0)),INDEX(Table3[[#All],[First]],MATCH(Table5[[#This Row],[PID]],Table3[[#All],[PID]],0)))</f>
        <v>Ronnie</v>
      </c>
      <c r="F507" s="50" t="str">
        <f>IF($C507="B",INDEX(Batters[[#All],[Last]],MATCH(A507,Batters[[#All],[PID]],0)),INDEX(Table3[[#All],[Last]],MATCH(A507,Table3[[#All],[PID]],0)))</f>
        <v>Gaylord</v>
      </c>
      <c r="G507" s="56">
        <f>IF($C507="B",INDEX(Batters[[#All],[Age]],MATCH(Table5[[#This Row],[PID]],Batters[[#All],[PID]],0)),INDEX(Table3[[#All],[Age]],MATCH(Table5[[#This Row],[PID]],Table3[[#All],[PID]],0)))</f>
        <v>18</v>
      </c>
      <c r="H507" s="52" t="str">
        <f>IF($C507="B",INDEX(Batters[[#All],[B]],MATCH(Table5[[#This Row],[PID]],Batters[[#All],[PID]],0)),INDEX(Table3[[#All],[B]],MATCH(Table5[[#This Row],[PID]],Table3[[#All],[PID]],0)))</f>
        <v>S</v>
      </c>
      <c r="I507" s="52" t="str">
        <f>IF($C507="B",INDEX(Batters[[#All],[T]],MATCH(Table5[[#This Row],[PID]],Batters[[#All],[PID]],0)),INDEX(Table3[[#All],[T]],MATCH(Table5[[#This Row],[PID]],Table3[[#All],[PID]],0)))</f>
        <v>R</v>
      </c>
      <c r="J507" s="52" t="str">
        <f>IF($C507="B",INDEX(Batters[[#All],[WE]],MATCH(Table5[[#This Row],[PID]],Batters[[#All],[PID]],0)),INDEX(Table3[[#All],[WE]],MATCH(Table5[[#This Row],[PID]],Table3[[#All],[PID]],0)))</f>
        <v>Normal</v>
      </c>
      <c r="K507" s="52" t="str">
        <f>IF($C507="B",INDEX(Batters[[#All],[INT]],MATCH(Table5[[#This Row],[PID]],Batters[[#All],[PID]],0)),INDEX(Table3[[#All],[INT]],MATCH(Table5[[#This Row],[PID]],Table3[[#All],[PID]],0)))</f>
        <v>Normal</v>
      </c>
      <c r="L507" s="60">
        <f>IF($C507="B",INDEX(Batters[[#All],[CON P]],MATCH(Table5[[#This Row],[PID]],Batters[[#All],[PID]],0)),INDEX(Table3[[#All],[STU P]],MATCH(Table5[[#This Row],[PID]],Table3[[#All],[PID]],0)))</f>
        <v>3</v>
      </c>
      <c r="M507" s="56">
        <f>IF($C507="B",INDEX(Batters[[#All],[GAP P]],MATCH(Table5[[#This Row],[PID]],Batters[[#All],[PID]],0)),INDEX(Table3[[#All],[MOV P]],MATCH(Table5[[#This Row],[PID]],Table3[[#All],[PID]],0)))</f>
        <v>6</v>
      </c>
      <c r="N507" s="56">
        <f>IF($C507="B",INDEX(Batters[[#All],[POW P]],MATCH(Table5[[#This Row],[PID]],Batters[[#All],[PID]],0)),INDEX(Table3[[#All],[CON P]],MATCH(Table5[[#This Row],[PID]],Table3[[#All],[PID]],0)))</f>
        <v>3</v>
      </c>
      <c r="O507" s="56">
        <f>IF($C507="B",INDEX(Batters[[#All],[EYE P]],MATCH(Table5[[#This Row],[PID]],Batters[[#All],[PID]],0)),INDEX(Table3[[#All],[VELO]],MATCH(Table5[[#This Row],[PID]],Table3[[#All],[PID]],0)))</f>
        <v>5</v>
      </c>
      <c r="P507" s="56">
        <f>IF($C507="B",INDEX(Batters[[#All],[K P]],MATCH(Table5[[#This Row],[PID]],Batters[[#All],[PID]],0)),INDEX(Table3[[#All],[STM]],MATCH(Table5[[#This Row],[PID]],Table3[[#All],[PID]],0)))</f>
        <v>3</v>
      </c>
      <c r="Q507" s="61">
        <f>IF($C507="B",INDEX(Batters[[#All],[Tot]],MATCH(Table5[[#This Row],[PID]],Batters[[#All],[PID]],0)),INDEX(Table3[[#All],[Tot]],MATCH(Table5[[#This Row],[PID]],Table3[[#All],[PID]],0)))</f>
        <v>43.36668781808153</v>
      </c>
      <c r="R507" s="52">
        <f>IF($C507="B",INDEX(Batters[[#All],[zScore]],MATCH(Table5[[#This Row],[PID]],Batters[[#All],[PID]],0)),INDEX(Table3[[#All],[zScore]],MATCH(Table5[[#This Row],[PID]],Table3[[#All],[PID]],0)))</f>
        <v>-0.16966151964037407</v>
      </c>
      <c r="S507" s="58" t="str">
        <f>IF($C507="B",INDEX(Batters[[#All],[DEM]],MATCH(Table5[[#This Row],[PID]],Batters[[#All],[PID]],0)),INDEX(Table3[[#All],[DEM]],MATCH(Table5[[#This Row],[PID]],Table3[[#All],[PID]],0)))</f>
        <v>$85k</v>
      </c>
      <c r="T507" s="62">
        <f>IF($C507="B",INDEX(Batters[[#All],[Rnk]],MATCH(Table5[[#This Row],[PID]],Batters[[#All],[PID]],0)),INDEX(Table3[[#All],[Rnk]],MATCH(Table5[[#This Row],[PID]],Table3[[#All],[PID]],0)))</f>
        <v>272</v>
      </c>
      <c r="U507" s="68">
        <f>IF($C507="B",VLOOKUP($A507,Bat!$A$4:$BA$1621,47,FALSE),VLOOKUP($A507,Pit!$A$4:$BF$1557,56,FALSE))</f>
        <v>0</v>
      </c>
      <c r="V507" s="50">
        <f>IF($C507="B",VLOOKUP($A507,Bat!$A$4:$BA$1621,48,FALSE),VLOOKUP($A507,Pit!$A$4:$BF$1557,57,FALSE))</f>
        <v>0</v>
      </c>
      <c r="W507" s="50">
        <f>Table5[[#This Row],[posRnk]]+Table5[[#This Row],[zRnk]]+IF($W$3&lt;&gt;Table5[[#This Row],[Type]],50,0)</f>
        <v>967</v>
      </c>
      <c r="X507" s="51">
        <f>RANK(Table5[[#This Row],[zScore]],Table5[[#All],[zScore]])</f>
        <v>645</v>
      </c>
      <c r="Y507" s="50">
        <f>IFERROR(INDEX(DraftResults[[#All],[OVR]],MATCH(Table5[[#This Row],[PID]],DraftResults[[#All],[Player ID]],0)),"")</f>
        <v>503</v>
      </c>
      <c r="Z5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7" s="50">
        <f>IFERROR(INDEX(DraftResults[[#All],[Pick in Round]],MATCH(Table5[[#This Row],[PID]],DraftResults[[#All],[Player ID]],0)),"")</f>
        <v>15</v>
      </c>
      <c r="AB507" s="50" t="str">
        <f>IFERROR(INDEX(DraftResults[[#All],[Team Name]],MATCH(Table5[[#This Row],[PID]],DraftResults[[#All],[Player ID]],0)),"")</f>
        <v>Kentucky Thoroughbreds</v>
      </c>
      <c r="AC507" s="50">
        <f>IF(Table5[[#This Row],[Ovr]]="","",IF(Table5[[#This Row],[cmbList]]="","",Table5[[#This Row],[cmbList]]-Table5[[#This Row],[Ovr]]))</f>
        <v>464</v>
      </c>
      <c r="AD507" s="54" t="str">
        <f>IF(ISERROR(VLOOKUP($AB507&amp;"-"&amp;$E507&amp;" "&amp;F507,Bonuses!$B$1:$G$1006,4,FALSE)),"",INT(VLOOKUP($AB507&amp;"-"&amp;$E507&amp;" "&amp;$F507,Bonuses!$B$1:$G$1006,4,FALSE)))</f>
        <v/>
      </c>
      <c r="AE5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17.15 (503) - 3B Ronnie Gaylord</v>
      </c>
    </row>
    <row r="508" spans="1:31" s="50" customFormat="1" x14ac:dyDescent="0.25">
      <c r="A508" s="50">
        <v>16948</v>
      </c>
      <c r="B508" s="55">
        <f>COUNTIF(Table5[PID],A508)</f>
        <v>1</v>
      </c>
      <c r="C508" s="55" t="str">
        <f>IF(COUNTIF(Table3[[#All],[PID]],A508)&gt;0,"P","B")</f>
        <v>B</v>
      </c>
      <c r="D508" s="59" t="str">
        <f>IF($C508="B",INDEX(Batters[[#All],[POS]],MATCH(Table5[[#This Row],[PID]],Batters[[#All],[PID]],0)),INDEX(Table3[[#All],[POS]],MATCH(Table5[[#This Row],[PID]],Table3[[#All],[PID]],0)))</f>
        <v>LF</v>
      </c>
      <c r="E508" s="52" t="str">
        <f>IF($C508="B",INDEX(Batters[[#All],[First]],MATCH(Table5[[#This Row],[PID]],Batters[[#All],[PID]],0)),INDEX(Table3[[#All],[First]],MATCH(Table5[[#This Row],[PID]],Table3[[#All],[PID]],0)))</f>
        <v>William</v>
      </c>
      <c r="F508" s="50" t="str">
        <f>IF($C508="B",INDEX(Batters[[#All],[Last]],MATCH(A508,Batters[[#All],[PID]],0)),INDEX(Table3[[#All],[Last]],MATCH(A508,Table3[[#All],[PID]],0)))</f>
        <v>Keller</v>
      </c>
      <c r="G508" s="56">
        <f>IF($C508="B",INDEX(Batters[[#All],[Age]],MATCH(Table5[[#This Row],[PID]],Batters[[#All],[PID]],0)),INDEX(Table3[[#All],[Age]],MATCH(Table5[[#This Row],[PID]],Table3[[#All],[PID]],0)))</f>
        <v>21</v>
      </c>
      <c r="H508" s="52" t="str">
        <f>IF($C508="B",INDEX(Batters[[#All],[B]],MATCH(Table5[[#This Row],[PID]],Batters[[#All],[PID]],0)),INDEX(Table3[[#All],[B]],MATCH(Table5[[#This Row],[PID]],Table3[[#All],[PID]],0)))</f>
        <v>L</v>
      </c>
      <c r="I508" s="52" t="str">
        <f>IF($C508="B",INDEX(Batters[[#All],[T]],MATCH(Table5[[#This Row],[PID]],Batters[[#All],[PID]],0)),INDEX(Table3[[#All],[T]],MATCH(Table5[[#This Row],[PID]],Table3[[#All],[PID]],0)))</f>
        <v>L</v>
      </c>
      <c r="J508" s="52" t="str">
        <f>IF($C508="B",INDEX(Batters[[#All],[WE]],MATCH(Table5[[#This Row],[PID]],Batters[[#All],[PID]],0)),INDEX(Table3[[#All],[WE]],MATCH(Table5[[#This Row],[PID]],Table3[[#All],[PID]],0)))</f>
        <v>Low</v>
      </c>
      <c r="K508" s="52" t="str">
        <f>IF($C508="B",INDEX(Batters[[#All],[INT]],MATCH(Table5[[#This Row],[PID]],Batters[[#All],[PID]],0)),INDEX(Table3[[#All],[INT]],MATCH(Table5[[#This Row],[PID]],Table3[[#All],[PID]],0)))</f>
        <v>Normal</v>
      </c>
      <c r="L508" s="60">
        <f>IF($C508="B",INDEX(Batters[[#All],[CON P]],MATCH(Table5[[#This Row],[PID]],Batters[[#All],[PID]],0)),INDEX(Table3[[#All],[STU P]],MATCH(Table5[[#This Row],[PID]],Table3[[#All],[PID]],0)))</f>
        <v>4</v>
      </c>
      <c r="M508" s="56">
        <f>IF($C508="B",INDEX(Batters[[#All],[GAP P]],MATCH(Table5[[#This Row],[PID]],Batters[[#All],[PID]],0)),INDEX(Table3[[#All],[MOV P]],MATCH(Table5[[#This Row],[PID]],Table3[[#All],[PID]],0)))</f>
        <v>5</v>
      </c>
      <c r="N508" s="56">
        <f>IF($C508="B",INDEX(Batters[[#All],[POW P]],MATCH(Table5[[#This Row],[PID]],Batters[[#All],[PID]],0)),INDEX(Table3[[#All],[CON P]],MATCH(Table5[[#This Row],[PID]],Table3[[#All],[PID]],0)))</f>
        <v>4</v>
      </c>
      <c r="O508" s="56">
        <f>IF($C508="B",INDEX(Batters[[#All],[EYE P]],MATCH(Table5[[#This Row],[PID]],Batters[[#All],[PID]],0)),INDEX(Table3[[#All],[VELO]],MATCH(Table5[[#This Row],[PID]],Table3[[#All],[PID]],0)))</f>
        <v>5</v>
      </c>
      <c r="P508" s="56">
        <f>IF($C508="B",INDEX(Batters[[#All],[K P]],MATCH(Table5[[#This Row],[PID]],Batters[[#All],[PID]],0)),INDEX(Table3[[#All],[STM]],MATCH(Table5[[#This Row],[PID]],Table3[[#All],[PID]],0)))</f>
        <v>4</v>
      </c>
      <c r="Q508" s="61">
        <f>IF($C508="B",INDEX(Batters[[#All],[Tot]],MATCH(Table5[[#This Row],[PID]],Batters[[#All],[PID]],0)),INDEX(Table3[[#All],[Tot]],MATCH(Table5[[#This Row],[PID]],Table3[[#All],[PID]],0)))</f>
        <v>42.518574130412475</v>
      </c>
      <c r="R508" s="52">
        <f>IF($C508="B",INDEX(Batters[[#All],[zScore]],MATCH(Table5[[#This Row],[PID]],Batters[[#All],[PID]],0)),INDEX(Table3[[#All],[zScore]],MATCH(Table5[[#This Row],[PID]],Table3[[#All],[PID]],0)))</f>
        <v>-0.35769405691309442</v>
      </c>
      <c r="S508" s="58" t="str">
        <f>IF($C508="B",INDEX(Batters[[#All],[DEM]],MATCH(Table5[[#This Row],[PID]],Batters[[#All],[PID]],0)),INDEX(Table3[[#All],[DEM]],MATCH(Table5[[#This Row],[PID]],Table3[[#All],[PID]],0)))</f>
        <v>-</v>
      </c>
      <c r="T508" s="62">
        <f>IF($C508="B",INDEX(Batters[[#All],[Rnk]],MATCH(Table5[[#This Row],[PID]],Batters[[#All],[PID]],0)),INDEX(Table3[[#All],[Rnk]],MATCH(Table5[[#This Row],[PID]],Table3[[#All],[PID]],0)))</f>
        <v>312</v>
      </c>
      <c r="U508" s="68">
        <f>IF($C508="B",VLOOKUP($A508,Bat!$A$4:$BA$1621,47,FALSE),VLOOKUP($A508,Pit!$A$4:$BF$1557,56,FALSE))</f>
        <v>0</v>
      </c>
      <c r="V508" s="50">
        <f>IF($C508="B",VLOOKUP($A508,Bat!$A$4:$BA$1621,48,FALSE),VLOOKUP($A508,Pit!$A$4:$BF$1557,57,FALSE))</f>
        <v>0</v>
      </c>
      <c r="W508" s="50">
        <f>Table5[[#This Row],[posRnk]]+Table5[[#This Row],[zRnk]]+IF($W$3&lt;&gt;Table5[[#This Row],[Type]],50,0)</f>
        <v>1129</v>
      </c>
      <c r="X508" s="51">
        <f>RANK(Table5[[#This Row],[zScore]],Table5[[#All],[zScore]])</f>
        <v>767</v>
      </c>
      <c r="Y508" s="50">
        <f>IFERROR(INDEX(DraftResults[[#All],[OVR]],MATCH(Table5[[#This Row],[PID]],DraftResults[[#All],[Player ID]],0)),"")</f>
        <v>504</v>
      </c>
      <c r="Z5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8" s="50">
        <f>IFERROR(INDEX(DraftResults[[#All],[Pick in Round]],MATCH(Table5[[#This Row],[PID]],DraftResults[[#All],[Player ID]],0)),"")</f>
        <v>16</v>
      </c>
      <c r="AB508" s="50" t="str">
        <f>IFERROR(INDEX(DraftResults[[#All],[Team Name]],MATCH(Table5[[#This Row],[PID]],DraftResults[[#All],[Player ID]],0)),"")</f>
        <v>San Antonio Calzones of Laredo</v>
      </c>
      <c r="AC508" s="50">
        <f>IF(Table5[[#This Row],[Ovr]]="","",IF(Table5[[#This Row],[cmbList]]="","",Table5[[#This Row],[cmbList]]-Table5[[#This Row],[Ovr]]))</f>
        <v>625</v>
      </c>
      <c r="AD508" s="54" t="str">
        <f>IF(ISERROR(VLOOKUP($AB508&amp;"-"&amp;$E508&amp;" "&amp;F508,Bonuses!$B$1:$G$1006,4,FALSE)),"",INT(VLOOKUP($AB508&amp;"-"&amp;$E508&amp;" "&amp;$F508,Bonuses!$B$1:$G$1006,4,FALSE)))</f>
        <v/>
      </c>
      <c r="AE5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17.16 (504) - LF William Keller</v>
      </c>
    </row>
    <row r="509" spans="1:31" s="50" customFormat="1" x14ac:dyDescent="0.25">
      <c r="A509" s="50">
        <v>18193</v>
      </c>
      <c r="B509" s="50">
        <f>COUNTIF(Table5[PID],A509)</f>
        <v>1</v>
      </c>
      <c r="C509" s="50" t="str">
        <f>IF(COUNTIF(Table3[[#All],[PID]],A509)&gt;0,"P","B")</f>
        <v>P</v>
      </c>
      <c r="D509" s="59" t="str">
        <f>IF($C509="B",INDEX(Batters[[#All],[POS]],MATCH(Table5[[#This Row],[PID]],Batters[[#All],[PID]],0)),INDEX(Table3[[#All],[POS]],MATCH(Table5[[#This Row],[PID]],Table3[[#All],[PID]],0)))</f>
        <v>RP</v>
      </c>
      <c r="E509" s="52" t="str">
        <f>IF($C509="B",INDEX(Batters[[#All],[First]],MATCH(Table5[[#This Row],[PID]],Batters[[#All],[PID]],0)),INDEX(Table3[[#All],[First]],MATCH(Table5[[#This Row],[PID]],Table3[[#All],[PID]],0)))</f>
        <v>Alex</v>
      </c>
      <c r="F509" s="50" t="str">
        <f>IF($C509="B",INDEX(Batters[[#All],[Last]],MATCH(A509,Batters[[#All],[PID]],0)),INDEX(Table3[[#All],[Last]],MATCH(A509,Table3[[#All],[PID]],0)))</f>
        <v>Davis</v>
      </c>
      <c r="G509" s="56">
        <f>IF($C509="B",INDEX(Batters[[#All],[Age]],MATCH(Table5[[#This Row],[PID]],Batters[[#All],[PID]],0)),INDEX(Table3[[#All],[Age]],MATCH(Table5[[#This Row],[PID]],Table3[[#All],[PID]],0)))</f>
        <v>18</v>
      </c>
      <c r="H509" s="52" t="str">
        <f>IF($C509="B",INDEX(Batters[[#All],[B]],MATCH(Table5[[#This Row],[PID]],Batters[[#All],[PID]],0)),INDEX(Table3[[#All],[B]],MATCH(Table5[[#This Row],[PID]],Table3[[#All],[PID]],0)))</f>
        <v>L</v>
      </c>
      <c r="I509" s="52" t="str">
        <f>IF($C509="B",INDEX(Batters[[#All],[T]],MATCH(Table5[[#This Row],[PID]],Batters[[#All],[PID]],0)),INDEX(Table3[[#All],[T]],MATCH(Table5[[#This Row],[PID]],Table3[[#All],[PID]],0)))</f>
        <v>L</v>
      </c>
      <c r="J509" s="52" t="str">
        <f>IF($C509="B",INDEX(Batters[[#All],[WE]],MATCH(Table5[[#This Row],[PID]],Batters[[#All],[PID]],0)),INDEX(Table3[[#All],[WE]],MATCH(Table5[[#This Row],[PID]],Table3[[#All],[PID]],0)))</f>
        <v>Normal</v>
      </c>
      <c r="K509" s="52" t="str">
        <f>IF($C509="B",INDEX(Batters[[#All],[INT]],MATCH(Table5[[#This Row],[PID]],Batters[[#All],[PID]],0)),INDEX(Table3[[#All],[INT]],MATCH(Table5[[#This Row],[PID]],Table3[[#All],[PID]],0)))</f>
        <v>Normal</v>
      </c>
      <c r="L509" s="60">
        <f>IF($C509="B",INDEX(Batters[[#All],[CON P]],MATCH(Table5[[#This Row],[PID]],Batters[[#All],[PID]],0)),INDEX(Table3[[#All],[STU P]],MATCH(Table5[[#This Row],[PID]],Table3[[#All],[PID]],0)))</f>
        <v>4</v>
      </c>
      <c r="M509" s="56">
        <f>IF($C509="B",INDEX(Batters[[#All],[GAP P]],MATCH(Table5[[#This Row],[PID]],Batters[[#All],[PID]],0)),INDEX(Table3[[#All],[MOV P]],MATCH(Table5[[#This Row],[PID]],Table3[[#All],[PID]],0)))</f>
        <v>3</v>
      </c>
      <c r="N509" s="56">
        <f>IF($C509="B",INDEX(Batters[[#All],[POW P]],MATCH(Table5[[#This Row],[PID]],Batters[[#All],[PID]],0)),INDEX(Table3[[#All],[CON P]],MATCH(Table5[[#This Row],[PID]],Table3[[#All],[PID]],0)))</f>
        <v>5</v>
      </c>
      <c r="O509" s="56" t="str">
        <f>IF($C509="B",INDEX(Batters[[#All],[EYE P]],MATCH(Table5[[#This Row],[PID]],Batters[[#All],[PID]],0)),INDEX(Table3[[#All],[VELO]],MATCH(Table5[[#This Row],[PID]],Table3[[#All],[PID]],0)))</f>
        <v>85-87 Mph</v>
      </c>
      <c r="P509" s="56">
        <f>IF($C509="B",INDEX(Batters[[#All],[K P]],MATCH(Table5[[#This Row],[PID]],Batters[[#All],[PID]],0)),INDEX(Table3[[#All],[STM]],MATCH(Table5[[#This Row],[PID]],Table3[[#All],[PID]],0)))</f>
        <v>9</v>
      </c>
      <c r="Q509" s="61">
        <f>IF($C509="B",INDEX(Batters[[#All],[Tot]],MATCH(Table5[[#This Row],[PID]],Batters[[#All],[PID]],0)),INDEX(Table3[[#All],[Tot]],MATCH(Table5[[#This Row],[PID]],Table3[[#All],[PID]],0)))</f>
        <v>48.212723505005251</v>
      </c>
      <c r="R509" s="52">
        <f>IF($C509="B",INDEX(Batters[[#All],[zScore]],MATCH(Table5[[#This Row],[PID]],Batters[[#All],[PID]],0)),INDEX(Table3[[#All],[zScore]],MATCH(Table5[[#This Row],[PID]],Table3[[#All],[PID]],0)))</f>
        <v>0.82110753692607685</v>
      </c>
      <c r="S509" s="58" t="str">
        <f>IF($C509="B",INDEX(Batters[[#All],[DEM]],MATCH(Table5[[#This Row],[PID]],Batters[[#All],[PID]],0)),INDEX(Table3[[#All],[DEM]],MATCH(Table5[[#This Row],[PID]],Table3[[#All],[PID]],0)))</f>
        <v>$65k</v>
      </c>
      <c r="T509" s="62">
        <f>IF($C509="B",INDEX(Batters[[#All],[Rnk]],MATCH(Table5[[#This Row],[PID]],Batters[[#All],[PID]],0)),INDEX(Table3[[#All],[Rnk]],MATCH(Table5[[#This Row],[PID]],Table3[[#All],[PID]],0)))</f>
        <v>166</v>
      </c>
      <c r="U509" s="68">
        <f>IF($C509="B",VLOOKUP($A509,Bat!$A$4:$BA$1621,47,FALSE),VLOOKUP($A509,Pit!$A$4:$BF$1557,56,FALSE))</f>
        <v>0</v>
      </c>
      <c r="V509" s="50">
        <f>IF($C509="B",VLOOKUP($A509,Bat!$A$4:$BA$1621,48,FALSE),VLOOKUP($A509,Pit!$A$4:$BF$1557,57,FALSE))</f>
        <v>0</v>
      </c>
      <c r="W509" s="50">
        <f>Table5[[#This Row],[posRnk]]+Table5[[#This Row],[zRnk]]+IF($W$3&lt;&gt;Table5[[#This Row],[Type]],50,0)</f>
        <v>494</v>
      </c>
      <c r="X509" s="51">
        <f>RANK(Table5[[#This Row],[zScore]],Table5[[#All],[zScore]])</f>
        <v>278</v>
      </c>
      <c r="Y509" s="50">
        <f>IFERROR(INDEX(DraftResults[[#All],[OVR]],MATCH(Table5[[#This Row],[PID]],DraftResults[[#All],[Player ID]],0)),"")</f>
        <v>505</v>
      </c>
      <c r="Z5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09" s="50">
        <f>IFERROR(INDEX(DraftResults[[#All],[Pick in Round]],MATCH(Table5[[#This Row],[PID]],DraftResults[[#All],[Player ID]],0)),"")</f>
        <v>17</v>
      </c>
      <c r="AB509" s="50" t="str">
        <f>IFERROR(INDEX(DraftResults[[#All],[Team Name]],MATCH(Table5[[#This Row],[PID]],DraftResults[[#All],[Player ID]],0)),"")</f>
        <v>Madison Malts</v>
      </c>
      <c r="AC509" s="50">
        <f>IF(Table5[[#This Row],[Ovr]]="","",IF(Table5[[#This Row],[cmbList]]="","",Table5[[#This Row],[cmbList]]-Table5[[#This Row],[Ovr]]))</f>
        <v>-11</v>
      </c>
      <c r="AD509" s="54" t="str">
        <f>IF(ISERROR(VLOOKUP($AB509&amp;"-"&amp;$E509&amp;" "&amp;F509,Bonuses!$B$1:$G$1006,4,FALSE)),"",INT(VLOOKUP($AB509&amp;"-"&amp;$E509&amp;" "&amp;$F509,Bonuses!$B$1:$G$1006,4,FALSE)))</f>
        <v/>
      </c>
      <c r="AE5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17.17 (505) - RP Alex Davis</v>
      </c>
    </row>
    <row r="510" spans="1:31" s="50" customFormat="1" x14ac:dyDescent="0.25">
      <c r="A510" s="50">
        <v>17774</v>
      </c>
      <c r="B510" s="50">
        <f>COUNTIF(Table5[PID],A510)</f>
        <v>1</v>
      </c>
      <c r="C510" s="50" t="str">
        <f>IF(COUNTIF(Table3[[#All],[PID]],A510)&gt;0,"P","B")</f>
        <v>B</v>
      </c>
      <c r="D510" s="59" t="str">
        <f>IF($C510="B",INDEX(Batters[[#All],[POS]],MATCH(Table5[[#This Row],[PID]],Batters[[#All],[PID]],0)),INDEX(Table3[[#All],[POS]],MATCH(Table5[[#This Row],[PID]],Table3[[#All],[PID]],0)))</f>
        <v>RF</v>
      </c>
      <c r="E510" s="52" t="str">
        <f>IF($C510="B",INDEX(Batters[[#All],[First]],MATCH(Table5[[#This Row],[PID]],Batters[[#All],[PID]],0)),INDEX(Table3[[#All],[First]],MATCH(Table5[[#This Row],[PID]],Table3[[#All],[PID]],0)))</f>
        <v>Yosai</v>
      </c>
      <c r="F510" s="50" t="str">
        <f>IF($C510="B",INDEX(Batters[[#All],[Last]],MATCH(A510,Batters[[#All],[PID]],0)),INDEX(Table3[[#All],[Last]],MATCH(A510,Table3[[#All],[PID]],0)))</f>
        <v>Yamasaki</v>
      </c>
      <c r="G510" s="56">
        <f>IF($C510="B",INDEX(Batters[[#All],[Age]],MATCH(Table5[[#This Row],[PID]],Batters[[#All],[PID]],0)),INDEX(Table3[[#All],[Age]],MATCH(Table5[[#This Row],[PID]],Table3[[#All],[PID]],0)))</f>
        <v>21</v>
      </c>
      <c r="H510" s="52" t="str">
        <f>IF($C510="B",INDEX(Batters[[#All],[B]],MATCH(Table5[[#This Row],[PID]],Batters[[#All],[PID]],0)),INDEX(Table3[[#All],[B]],MATCH(Table5[[#This Row],[PID]],Table3[[#All],[PID]],0)))</f>
        <v>L</v>
      </c>
      <c r="I510" s="52" t="str">
        <f>IF($C510="B",INDEX(Batters[[#All],[T]],MATCH(Table5[[#This Row],[PID]],Batters[[#All],[PID]],0)),INDEX(Table3[[#All],[T]],MATCH(Table5[[#This Row],[PID]],Table3[[#All],[PID]],0)))</f>
        <v>L</v>
      </c>
      <c r="J510" s="52" t="str">
        <f>IF($C510="B",INDEX(Batters[[#All],[WE]],MATCH(Table5[[#This Row],[PID]],Batters[[#All],[PID]],0)),INDEX(Table3[[#All],[WE]],MATCH(Table5[[#This Row],[PID]],Table3[[#All],[PID]],0)))</f>
        <v>Normal</v>
      </c>
      <c r="K510" s="52" t="str">
        <f>IF($C510="B",INDEX(Batters[[#All],[INT]],MATCH(Table5[[#This Row],[PID]],Batters[[#All],[PID]],0)),INDEX(Table3[[#All],[INT]],MATCH(Table5[[#This Row],[PID]],Table3[[#All],[PID]],0)))</f>
        <v>Low</v>
      </c>
      <c r="L510" s="60">
        <f>IF($C510="B",INDEX(Batters[[#All],[CON P]],MATCH(Table5[[#This Row],[PID]],Batters[[#All],[PID]],0)),INDEX(Table3[[#All],[STU P]],MATCH(Table5[[#This Row],[PID]],Table3[[#All],[PID]],0)))</f>
        <v>3</v>
      </c>
      <c r="M510" s="56">
        <f>IF($C510="B",INDEX(Batters[[#All],[GAP P]],MATCH(Table5[[#This Row],[PID]],Batters[[#All],[PID]],0)),INDEX(Table3[[#All],[MOV P]],MATCH(Table5[[#This Row],[PID]],Table3[[#All],[PID]],0)))</f>
        <v>4</v>
      </c>
      <c r="N510" s="56">
        <f>IF($C510="B",INDEX(Batters[[#All],[POW P]],MATCH(Table5[[#This Row],[PID]],Batters[[#All],[PID]],0)),INDEX(Table3[[#All],[CON P]],MATCH(Table5[[#This Row],[PID]],Table3[[#All],[PID]],0)))</f>
        <v>5</v>
      </c>
      <c r="O510" s="56">
        <f>IF($C510="B",INDEX(Batters[[#All],[EYE P]],MATCH(Table5[[#This Row],[PID]],Batters[[#All],[PID]],0)),INDEX(Table3[[#All],[VELO]],MATCH(Table5[[#This Row],[PID]],Table3[[#All],[PID]],0)))</f>
        <v>6</v>
      </c>
      <c r="P510" s="56">
        <f>IF($C510="B",INDEX(Batters[[#All],[K P]],MATCH(Table5[[#This Row],[PID]],Batters[[#All],[PID]],0)),INDEX(Table3[[#All],[STM]],MATCH(Table5[[#This Row],[PID]],Table3[[#All],[PID]],0)))</f>
        <v>3</v>
      </c>
      <c r="Q510" s="61">
        <f>IF($C510="B",INDEX(Batters[[#All],[Tot]],MATCH(Table5[[#This Row],[PID]],Batters[[#All],[PID]],0)),INDEX(Table3[[#All],[Tot]],MATCH(Table5[[#This Row],[PID]],Table3[[#All],[PID]],0)))</f>
        <v>40.469744806945826</v>
      </c>
      <c r="R510" s="52">
        <f>IF($C510="B",INDEX(Batters[[#All],[zScore]],MATCH(Table5[[#This Row],[PID]],Batters[[#All],[PID]],0)),INDEX(Table3[[#All],[zScore]],MATCH(Table5[[#This Row],[PID]],Table3[[#All],[PID]],0)))</f>
        <v>-0.81193336672660732</v>
      </c>
      <c r="S510" s="58" t="str">
        <f>IF($C510="B",INDEX(Batters[[#All],[DEM]],MATCH(Table5[[#This Row],[PID]],Batters[[#All],[PID]],0)),INDEX(Table3[[#All],[DEM]],MATCH(Table5[[#This Row],[PID]],Table3[[#All],[PID]],0)))</f>
        <v>$20k</v>
      </c>
      <c r="T510" s="62">
        <f>IF($C510="B",INDEX(Batters[[#All],[Rnk]],MATCH(Table5[[#This Row],[PID]],Batters[[#All],[PID]],0)),INDEX(Table3[[#All],[Rnk]],MATCH(Table5[[#This Row],[PID]],Table3[[#All],[PID]],0)))</f>
        <v>404</v>
      </c>
      <c r="U510" s="68">
        <f>IF($C510="B",VLOOKUP($A510,Bat!$A$4:$BA$1621,47,FALSE),VLOOKUP($A510,Pit!$A$4:$BF$1557,56,FALSE))</f>
        <v>0</v>
      </c>
      <c r="V510" s="50">
        <f>IF($C510="B",VLOOKUP($A510,Bat!$A$4:$BA$1621,48,FALSE),VLOOKUP($A510,Pit!$A$4:$BF$1557,57,FALSE))</f>
        <v>0</v>
      </c>
      <c r="W510" s="50">
        <f>Table5[[#This Row],[posRnk]]+Table5[[#This Row],[zRnk]]+IF($W$3&lt;&gt;Table5[[#This Row],[Type]],50,0)</f>
        <v>1504</v>
      </c>
      <c r="X510" s="51">
        <f>RANK(Table5[[#This Row],[zScore]],Table5[[#All],[zScore]])</f>
        <v>1050</v>
      </c>
      <c r="Y510" s="50">
        <f>IFERROR(INDEX(DraftResults[[#All],[OVR]],MATCH(Table5[[#This Row],[PID]],DraftResults[[#All],[Player ID]],0)),"")</f>
        <v>506</v>
      </c>
      <c r="Z5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0" s="50">
        <f>IFERROR(INDEX(DraftResults[[#All],[Pick in Round]],MATCH(Table5[[#This Row],[PID]],DraftResults[[#All],[Player ID]],0)),"")</f>
        <v>18</v>
      </c>
      <c r="AB510" s="50" t="str">
        <f>IFERROR(INDEX(DraftResults[[#All],[Team Name]],MATCH(Table5[[#This Row],[PID]],DraftResults[[#All],[Player ID]],0)),"")</f>
        <v>Bakersfield Bears</v>
      </c>
      <c r="AC510" s="50">
        <f>IF(Table5[[#This Row],[Ovr]]="","",IF(Table5[[#This Row],[cmbList]]="","",Table5[[#This Row],[cmbList]]-Table5[[#This Row],[Ovr]]))</f>
        <v>998</v>
      </c>
      <c r="AD510" s="54" t="str">
        <f>IF(ISERROR(VLOOKUP($AB510&amp;"-"&amp;$E510&amp;" "&amp;F510,Bonuses!$B$1:$G$1006,4,FALSE)),"",INT(VLOOKUP($AB510&amp;"-"&amp;$E510&amp;" "&amp;$F510,Bonuses!$B$1:$G$1006,4,FALSE)))</f>
        <v/>
      </c>
      <c r="AE5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17.18 (506) - RF Yosai Yamasaki</v>
      </c>
    </row>
    <row r="511" spans="1:31" s="50" customFormat="1" x14ac:dyDescent="0.25">
      <c r="A511" s="50">
        <v>21095</v>
      </c>
      <c r="B511" s="50">
        <f>COUNTIF(Table5[PID],A511)</f>
        <v>1</v>
      </c>
      <c r="C511" s="50" t="str">
        <f>IF(COUNTIF(Table3[[#All],[PID]],A511)&gt;0,"P","B")</f>
        <v>B</v>
      </c>
      <c r="D511" s="59" t="str">
        <f>IF($C511="B",INDEX(Batters[[#All],[POS]],MATCH(Table5[[#This Row],[PID]],Batters[[#All],[PID]],0)),INDEX(Table3[[#All],[POS]],MATCH(Table5[[#This Row],[PID]],Table3[[#All],[PID]],0)))</f>
        <v>CF</v>
      </c>
      <c r="E511" s="52" t="str">
        <f>IF($C511="B",INDEX(Batters[[#All],[First]],MATCH(Table5[[#This Row],[PID]],Batters[[#All],[PID]],0)),INDEX(Table3[[#All],[First]],MATCH(Table5[[#This Row],[PID]],Table3[[#All],[PID]],0)))</f>
        <v>David</v>
      </c>
      <c r="F511" s="50" t="str">
        <f>IF($C511="B",INDEX(Batters[[#All],[Last]],MATCH(A511,Batters[[#All],[PID]],0)),INDEX(Table3[[#All],[Last]],MATCH(A511,Table3[[#All],[PID]],0)))</f>
        <v>Morris</v>
      </c>
      <c r="G511" s="56">
        <f>IF($C511="B",INDEX(Batters[[#All],[Age]],MATCH(Table5[[#This Row],[PID]],Batters[[#All],[PID]],0)),INDEX(Table3[[#All],[Age]],MATCH(Table5[[#This Row],[PID]],Table3[[#All],[PID]],0)))</f>
        <v>16</v>
      </c>
      <c r="H511" s="52" t="str">
        <f>IF($C511="B",INDEX(Batters[[#All],[B]],MATCH(Table5[[#This Row],[PID]],Batters[[#All],[PID]],0)),INDEX(Table3[[#All],[B]],MATCH(Table5[[#This Row],[PID]],Table3[[#All],[PID]],0)))</f>
        <v>R</v>
      </c>
      <c r="I511" s="52" t="str">
        <f>IF($C511="B",INDEX(Batters[[#All],[T]],MATCH(Table5[[#This Row],[PID]],Batters[[#All],[PID]],0)),INDEX(Table3[[#All],[T]],MATCH(Table5[[#This Row],[PID]],Table3[[#All],[PID]],0)))</f>
        <v>R</v>
      </c>
      <c r="J511" s="52" t="str">
        <f>IF($C511="B",INDEX(Batters[[#All],[WE]],MATCH(Table5[[#This Row],[PID]],Batters[[#All],[PID]],0)),INDEX(Table3[[#All],[WE]],MATCH(Table5[[#This Row],[PID]],Table3[[#All],[PID]],0)))</f>
        <v>High</v>
      </c>
      <c r="K511" s="52" t="str">
        <f>IF($C511="B",INDEX(Batters[[#All],[INT]],MATCH(Table5[[#This Row],[PID]],Batters[[#All],[PID]],0)),INDEX(Table3[[#All],[INT]],MATCH(Table5[[#This Row],[PID]],Table3[[#All],[PID]],0)))</f>
        <v>Normal</v>
      </c>
      <c r="L511" s="60">
        <f>IF($C511="B",INDEX(Batters[[#All],[CON P]],MATCH(Table5[[#This Row],[PID]],Batters[[#All],[PID]],0)),INDEX(Table3[[#All],[STU P]],MATCH(Table5[[#This Row],[PID]],Table3[[#All],[PID]],0)))</f>
        <v>2</v>
      </c>
      <c r="M511" s="56">
        <f>IF($C511="B",INDEX(Batters[[#All],[GAP P]],MATCH(Table5[[#This Row],[PID]],Batters[[#All],[PID]],0)),INDEX(Table3[[#All],[MOV P]],MATCH(Table5[[#This Row],[PID]],Table3[[#All],[PID]],0)))</f>
        <v>4</v>
      </c>
      <c r="N511" s="56">
        <f>IF($C511="B",INDEX(Batters[[#All],[POW P]],MATCH(Table5[[#This Row],[PID]],Batters[[#All],[PID]],0)),INDEX(Table3[[#All],[CON P]],MATCH(Table5[[#This Row],[PID]],Table3[[#All],[PID]],0)))</f>
        <v>3</v>
      </c>
      <c r="O511" s="56">
        <f>IF($C511="B",INDEX(Batters[[#All],[EYE P]],MATCH(Table5[[#This Row],[PID]],Batters[[#All],[PID]],0)),INDEX(Table3[[#All],[VELO]],MATCH(Table5[[#This Row],[PID]],Table3[[#All],[PID]],0)))</f>
        <v>5</v>
      </c>
      <c r="P511" s="56">
        <f>IF($C511="B",INDEX(Batters[[#All],[K P]],MATCH(Table5[[#This Row],[PID]],Batters[[#All],[PID]],0)),INDEX(Table3[[#All],[STM]],MATCH(Table5[[#This Row],[PID]],Table3[[#All],[PID]],0)))</f>
        <v>2</v>
      </c>
      <c r="Q511" s="61">
        <f>IF($C511="B",INDEX(Batters[[#All],[Tot]],MATCH(Table5[[#This Row],[PID]],Batters[[#All],[PID]],0)),INDEX(Table3[[#All],[Tot]],MATCH(Table5[[#This Row],[PID]],Table3[[#All],[PID]],0)))</f>
        <v>38.423717928328884</v>
      </c>
      <c r="R511" s="52">
        <f>IF($C511="B",INDEX(Batters[[#All],[zScore]],MATCH(Table5[[#This Row],[PID]],Batters[[#All],[PID]],0)),INDEX(Table3[[#All],[zScore]],MATCH(Table5[[#This Row],[PID]],Table3[[#All],[PID]],0)))</f>
        <v>-1.2655513555741711</v>
      </c>
      <c r="S511" s="58" t="str">
        <f>IF($C511="B",INDEX(Batters[[#All],[DEM]],MATCH(Table5[[#This Row],[PID]],Batters[[#All],[PID]],0)),INDEX(Table3[[#All],[DEM]],MATCH(Table5[[#This Row],[PID]],Table3[[#All],[PID]],0)))</f>
        <v>$65k</v>
      </c>
      <c r="T511" s="62">
        <f>IF($C511="B",INDEX(Batters[[#All],[Rnk]],MATCH(Table5[[#This Row],[PID]],Batters[[#All],[PID]],0)),INDEX(Table3[[#All],[Rnk]],MATCH(Table5[[#This Row],[PID]],Table3[[#All],[PID]],0)))</f>
        <v>480</v>
      </c>
      <c r="U511" s="68">
        <f>IF($C511="B",VLOOKUP($A511,Bat!$A$4:$BA$1621,47,FALSE),VLOOKUP($A511,Pit!$A$4:$BF$1557,56,FALSE))</f>
        <v>0</v>
      </c>
      <c r="V511" s="50">
        <f>IF($C511="B",VLOOKUP($A511,Bat!$A$4:$BA$1621,48,FALSE),VLOOKUP($A511,Pit!$A$4:$BF$1557,57,FALSE))</f>
        <v>0</v>
      </c>
      <c r="W511" s="50">
        <f>Table5[[#This Row],[posRnk]]+Table5[[#This Row],[zRnk]]+IF($W$3&lt;&gt;Table5[[#This Row],[Type]],50,0)</f>
        <v>1758</v>
      </c>
      <c r="X511" s="51">
        <f>RANK(Table5[[#This Row],[zScore]],Table5[[#All],[zScore]])</f>
        <v>1228</v>
      </c>
      <c r="Y511" s="50">
        <f>IFERROR(INDEX(DraftResults[[#All],[OVR]],MATCH(Table5[[#This Row],[PID]],DraftResults[[#All],[Player ID]],0)),"")</f>
        <v>507</v>
      </c>
      <c r="Z5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1" s="50">
        <f>IFERROR(INDEX(DraftResults[[#All],[Pick in Round]],MATCH(Table5[[#This Row],[PID]],DraftResults[[#All],[Player ID]],0)),"")</f>
        <v>19</v>
      </c>
      <c r="AB511" s="50" t="str">
        <f>IFERROR(INDEX(DraftResults[[#All],[Team Name]],MATCH(Table5[[#This Row],[PID]],DraftResults[[#All],[Player ID]],0)),"")</f>
        <v>Kalamazoo Badgers</v>
      </c>
      <c r="AC511" s="50">
        <f>IF(Table5[[#This Row],[Ovr]]="","",IF(Table5[[#This Row],[cmbList]]="","",Table5[[#This Row],[cmbList]]-Table5[[#This Row],[Ovr]]))</f>
        <v>1251</v>
      </c>
      <c r="AD511" s="54" t="str">
        <f>IF(ISERROR(VLOOKUP($AB511&amp;"-"&amp;$E511&amp;" "&amp;F511,Bonuses!$B$1:$G$1006,4,FALSE)),"",INT(VLOOKUP($AB511&amp;"-"&amp;$E511&amp;" "&amp;$F511,Bonuses!$B$1:$G$1006,4,FALSE)))</f>
        <v/>
      </c>
      <c r="AE5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17.19 (507) - CF David Morris</v>
      </c>
    </row>
    <row r="512" spans="1:31" s="50" customFormat="1" x14ac:dyDescent="0.25">
      <c r="A512" s="68">
        <v>18207</v>
      </c>
      <c r="B512" s="69">
        <f>COUNTIF(Table5[PID],A512)</f>
        <v>1</v>
      </c>
      <c r="C512" s="69" t="str">
        <f>IF(COUNTIF(Table3[[#All],[PID]],A512)&gt;0,"P","B")</f>
        <v>P</v>
      </c>
      <c r="D512" s="59" t="str">
        <f>IF($C512="B",INDEX(Batters[[#All],[POS]],MATCH(Table5[[#This Row],[PID]],Batters[[#All],[PID]],0)),INDEX(Table3[[#All],[POS]],MATCH(Table5[[#This Row],[PID]],Table3[[#All],[PID]],0)))</f>
        <v>SP</v>
      </c>
      <c r="E512" s="52" t="str">
        <f>IF($C512="B",INDEX(Batters[[#All],[First]],MATCH(Table5[[#This Row],[PID]],Batters[[#All],[PID]],0)),INDEX(Table3[[#All],[First]],MATCH(Table5[[#This Row],[PID]],Table3[[#All],[PID]],0)))</f>
        <v>Domingo</v>
      </c>
      <c r="F512" s="55" t="str">
        <f>IF($C512="B",INDEX(Batters[[#All],[Last]],MATCH(A512,Batters[[#All],[PID]],0)),INDEX(Table3[[#All],[Last]],MATCH(A512,Table3[[#All],[PID]],0)))</f>
        <v>Vera</v>
      </c>
      <c r="G512" s="56">
        <f>IF($C512="B",INDEX(Batters[[#All],[Age]],MATCH(Table5[[#This Row],[PID]],Batters[[#All],[PID]],0)),INDEX(Table3[[#All],[Age]],MATCH(Table5[[#This Row],[PID]],Table3[[#All],[PID]],0)))</f>
        <v>18</v>
      </c>
      <c r="H512" s="52" t="str">
        <f>IF($C512="B",INDEX(Batters[[#All],[B]],MATCH(Table5[[#This Row],[PID]],Batters[[#All],[PID]],0)),INDEX(Table3[[#All],[B]],MATCH(Table5[[#This Row],[PID]],Table3[[#All],[PID]],0)))</f>
        <v>R</v>
      </c>
      <c r="I512" s="52" t="str">
        <f>IF($C512="B",INDEX(Batters[[#All],[T]],MATCH(Table5[[#This Row],[PID]],Batters[[#All],[PID]],0)),INDEX(Table3[[#All],[T]],MATCH(Table5[[#This Row],[PID]],Table3[[#All],[PID]],0)))</f>
        <v>R</v>
      </c>
      <c r="J512" s="71" t="str">
        <f>IF($C512="B",INDEX(Batters[[#All],[WE]],MATCH(Table5[[#This Row],[PID]],Batters[[#All],[PID]],0)),INDEX(Table3[[#All],[WE]],MATCH(Table5[[#This Row],[PID]],Table3[[#All],[PID]],0)))</f>
        <v>Normal</v>
      </c>
      <c r="K512" s="52" t="str">
        <f>IF($C512="B",INDEX(Batters[[#All],[INT]],MATCH(Table5[[#This Row],[PID]],Batters[[#All],[PID]],0)),INDEX(Table3[[#All],[INT]],MATCH(Table5[[#This Row],[PID]],Table3[[#All],[PID]],0)))</f>
        <v>Normal</v>
      </c>
      <c r="L512" s="60">
        <f>IF($C512="B",INDEX(Batters[[#All],[CON P]],MATCH(Table5[[#This Row],[PID]],Batters[[#All],[PID]],0)),INDEX(Table3[[#All],[STU P]],MATCH(Table5[[#This Row],[PID]],Table3[[#All],[PID]],0)))</f>
        <v>4</v>
      </c>
      <c r="M512" s="72">
        <f>IF($C512="B",INDEX(Batters[[#All],[GAP P]],MATCH(Table5[[#This Row],[PID]],Batters[[#All],[PID]],0)),INDEX(Table3[[#All],[MOV P]],MATCH(Table5[[#This Row],[PID]],Table3[[#All],[PID]],0)))</f>
        <v>3</v>
      </c>
      <c r="N512" s="72">
        <f>IF($C512="B",INDEX(Batters[[#All],[POW P]],MATCH(Table5[[#This Row],[PID]],Batters[[#All],[PID]],0)),INDEX(Table3[[#All],[CON P]],MATCH(Table5[[#This Row],[PID]],Table3[[#All],[PID]],0)))</f>
        <v>7</v>
      </c>
      <c r="O512" s="72" t="str">
        <f>IF($C512="B",INDEX(Batters[[#All],[EYE P]],MATCH(Table5[[#This Row],[PID]],Batters[[#All],[PID]],0)),INDEX(Table3[[#All],[VELO]],MATCH(Table5[[#This Row],[PID]],Table3[[#All],[PID]],0)))</f>
        <v>87-89 Mph</v>
      </c>
      <c r="P512" s="56">
        <f>IF($C512="B",INDEX(Batters[[#All],[K P]],MATCH(Table5[[#This Row],[PID]],Batters[[#All],[PID]],0)),INDEX(Table3[[#All],[STM]],MATCH(Table5[[#This Row],[PID]],Table3[[#All],[PID]],0)))</f>
        <v>6</v>
      </c>
      <c r="Q512" s="61">
        <f>IF($C512="B",INDEX(Batters[[#All],[Tot]],MATCH(Table5[[#This Row],[PID]],Batters[[#All],[PID]],0)),INDEX(Table3[[#All],[Tot]],MATCH(Table5[[#This Row],[PID]],Table3[[#All],[PID]],0)))</f>
        <v>57.610812920575192</v>
      </c>
      <c r="R512" s="52">
        <f>IF($C512="B",INDEX(Batters[[#All],[zScore]],MATCH(Table5[[#This Row],[PID]],Batters[[#All],[PID]],0)),INDEX(Table3[[#All],[zScore]],MATCH(Table5[[#This Row],[PID]],Table3[[#All],[PID]],0)))</f>
        <v>1.4463480644404101</v>
      </c>
      <c r="S512" s="78" t="str">
        <f>IF($C512="B",INDEX(Batters[[#All],[DEM]],MATCH(Table5[[#This Row],[PID]],Batters[[#All],[PID]],0)),INDEX(Table3[[#All],[DEM]],MATCH(Table5[[#This Row],[PID]],Table3[[#All],[PID]],0)))</f>
        <v>$200k</v>
      </c>
      <c r="T512" s="75">
        <f>IF($C512="B",INDEX(Batters[[#All],[Rnk]],MATCH(Table5[[#This Row],[PID]],Batters[[#All],[PID]],0)),INDEX(Table3[[#All],[Rnk]],MATCH(Table5[[#This Row],[PID]],Table3[[#All],[PID]],0)))</f>
        <v>81</v>
      </c>
      <c r="U512" s="68">
        <f>IF($C512="B",VLOOKUP($A512,Bat!$A$4:$BA$1621,47,FALSE),VLOOKUP($A512,Pit!$A$4:$BF$1557,56,FALSE))</f>
        <v>0</v>
      </c>
      <c r="V512" s="50">
        <f>IF($C512="B",VLOOKUP($A512,Bat!$A$4:$BA$1621,48,FALSE),VLOOKUP($A512,Pit!$A$4:$BF$1557,57,FALSE))</f>
        <v>0</v>
      </c>
      <c r="W512" s="69">
        <f>Table5[[#This Row],[posRnk]]+Table5[[#This Row],[zRnk]]+IF($W$3&lt;&gt;Table5[[#This Row],[Type]],50,0)</f>
        <v>260</v>
      </c>
      <c r="X512" s="73">
        <f>RANK(Table5[[#This Row],[zScore]],Table5[[#All],[zScore]])</f>
        <v>129</v>
      </c>
      <c r="Y512" s="69">
        <f>IFERROR(INDEX(DraftResults[[#All],[OVR]],MATCH(Table5[[#This Row],[PID]],DraftResults[[#All],[Player ID]],0)),"")</f>
        <v>508</v>
      </c>
      <c r="Z51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2" s="69">
        <f>IFERROR(INDEX(DraftResults[[#All],[Pick in Round]],MATCH(Table5[[#This Row],[PID]],DraftResults[[#All],[Player ID]],0)),"")</f>
        <v>20</v>
      </c>
      <c r="AB512" s="69" t="str">
        <f>IFERROR(INDEX(DraftResults[[#All],[Team Name]],MATCH(Table5[[#This Row],[PID]],DraftResults[[#All],[Player ID]],0)),"")</f>
        <v>Amsterdam Lions</v>
      </c>
      <c r="AC512" s="69">
        <f>IF(Table5[[#This Row],[Ovr]]="","",IF(Table5[[#This Row],[cmbList]]="","",Table5[[#This Row],[cmbList]]-Table5[[#This Row],[Ovr]]))</f>
        <v>-248</v>
      </c>
      <c r="AD512" s="77" t="str">
        <f>IF(ISERROR(VLOOKUP($AB512&amp;"-"&amp;$E512&amp;" "&amp;F512,Bonuses!$B$1:$G$1006,4,FALSE)),"",INT(VLOOKUP($AB512&amp;"-"&amp;$E512&amp;" "&amp;$F512,Bonuses!$B$1:$G$1006,4,FALSE)))</f>
        <v/>
      </c>
      <c r="AE51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17.20 (508) - SP Domingo Vera</v>
      </c>
    </row>
    <row r="513" spans="1:31" s="50" customFormat="1" x14ac:dyDescent="0.25">
      <c r="A513" s="68">
        <v>17563</v>
      </c>
      <c r="B513" s="69">
        <f>COUNTIF(Table5[PID],A513)</f>
        <v>1</v>
      </c>
      <c r="C513" s="69" t="str">
        <f>IF(COUNTIF(Table3[[#All],[PID]],A513)&gt;0,"P","B")</f>
        <v>P</v>
      </c>
      <c r="D513" s="59" t="str">
        <f>IF($C513="B",INDEX(Batters[[#All],[POS]],MATCH(Table5[[#This Row],[PID]],Batters[[#All],[PID]],0)),INDEX(Table3[[#All],[POS]],MATCH(Table5[[#This Row],[PID]],Table3[[#All],[PID]],0)))</f>
        <v>SP</v>
      </c>
      <c r="E513" s="52" t="str">
        <f>IF($C513="B",INDEX(Batters[[#All],[First]],MATCH(Table5[[#This Row],[PID]],Batters[[#All],[PID]],0)),INDEX(Table3[[#All],[First]],MATCH(Table5[[#This Row],[PID]],Table3[[#All],[PID]],0)))</f>
        <v>Gus</v>
      </c>
      <c r="F513" s="55" t="str">
        <f>IF($C513="B",INDEX(Batters[[#All],[Last]],MATCH(A513,Batters[[#All],[PID]],0)),INDEX(Table3[[#All],[Last]],MATCH(A513,Table3[[#All],[PID]],0)))</f>
        <v>Hebert</v>
      </c>
      <c r="G513" s="56">
        <f>IF($C513="B",INDEX(Batters[[#All],[Age]],MATCH(Table5[[#This Row],[PID]],Batters[[#All],[PID]],0)),INDEX(Table3[[#All],[Age]],MATCH(Table5[[#This Row],[PID]],Table3[[#All],[PID]],0)))</f>
        <v>18</v>
      </c>
      <c r="H513" s="52" t="str">
        <f>IF($C513="B",INDEX(Batters[[#All],[B]],MATCH(Table5[[#This Row],[PID]],Batters[[#All],[PID]],0)),INDEX(Table3[[#All],[B]],MATCH(Table5[[#This Row],[PID]],Table3[[#All],[PID]],0)))</f>
        <v>R</v>
      </c>
      <c r="I513" s="52" t="str">
        <f>IF($C513="B",INDEX(Batters[[#All],[T]],MATCH(Table5[[#This Row],[PID]],Batters[[#All],[PID]],0)),INDEX(Table3[[#All],[T]],MATCH(Table5[[#This Row],[PID]],Table3[[#All],[PID]],0)))</f>
        <v>R</v>
      </c>
      <c r="J513" s="71" t="str">
        <f>IF($C513="B",INDEX(Batters[[#All],[WE]],MATCH(Table5[[#This Row],[PID]],Batters[[#All],[PID]],0)),INDEX(Table3[[#All],[WE]],MATCH(Table5[[#This Row],[PID]],Table3[[#All],[PID]],0)))</f>
        <v>Normal</v>
      </c>
      <c r="K513" s="52" t="str">
        <f>IF($C513="B",INDEX(Batters[[#All],[INT]],MATCH(Table5[[#This Row],[PID]],Batters[[#All],[PID]],0)),INDEX(Table3[[#All],[INT]],MATCH(Table5[[#This Row],[PID]],Table3[[#All],[PID]],0)))</f>
        <v>Normal</v>
      </c>
      <c r="L513" s="60">
        <f>IF($C513="B",INDEX(Batters[[#All],[CON P]],MATCH(Table5[[#This Row],[PID]],Batters[[#All],[PID]],0)),INDEX(Table3[[#All],[STU P]],MATCH(Table5[[#This Row],[PID]],Table3[[#All],[PID]],0)))</f>
        <v>5</v>
      </c>
      <c r="M513" s="72">
        <f>IF($C513="B",INDEX(Batters[[#All],[GAP P]],MATCH(Table5[[#This Row],[PID]],Batters[[#All],[PID]],0)),INDEX(Table3[[#All],[MOV P]],MATCH(Table5[[#This Row],[PID]],Table3[[#All],[PID]],0)))</f>
        <v>3</v>
      </c>
      <c r="N513" s="72">
        <f>IF($C513="B",INDEX(Batters[[#All],[POW P]],MATCH(Table5[[#This Row],[PID]],Batters[[#All],[PID]],0)),INDEX(Table3[[#All],[CON P]],MATCH(Table5[[#This Row],[PID]],Table3[[#All],[PID]],0)))</f>
        <v>2</v>
      </c>
      <c r="O513" s="72" t="str">
        <f>IF($C513="B",INDEX(Batters[[#All],[EYE P]],MATCH(Table5[[#This Row],[PID]],Batters[[#All],[PID]],0)),INDEX(Table3[[#All],[VELO]],MATCH(Table5[[#This Row],[PID]],Table3[[#All],[PID]],0)))</f>
        <v>90-92 Mph</v>
      </c>
      <c r="P513" s="56">
        <f>IF($C513="B",INDEX(Batters[[#All],[K P]],MATCH(Table5[[#This Row],[PID]],Batters[[#All],[PID]],0)),INDEX(Table3[[#All],[STM]],MATCH(Table5[[#This Row],[PID]],Table3[[#All],[PID]],0)))</f>
        <v>9</v>
      </c>
      <c r="Q513" s="61">
        <f>IF($C513="B",INDEX(Batters[[#All],[Tot]],MATCH(Table5[[#This Row],[PID]],Batters[[#All],[PID]],0)),INDEX(Table3[[#All],[Tot]],MATCH(Table5[[#This Row],[PID]],Table3[[#All],[PID]],0)))</f>
        <v>39.867985690100269</v>
      </c>
      <c r="R513" s="52">
        <f>IF($C513="B",INDEX(Batters[[#All],[zScore]],MATCH(Table5[[#This Row],[PID]],Batters[[#All],[PID]],0)),INDEX(Table3[[#All],[zScore]],MATCH(Table5[[#This Row],[PID]],Table3[[#All],[PID]],0)))</f>
        <v>0.26594488176808867</v>
      </c>
      <c r="S513" s="78" t="str">
        <f>IF($C513="B",INDEX(Batters[[#All],[DEM]],MATCH(Table5[[#This Row],[PID]],Batters[[#All],[PID]],0)),INDEX(Table3[[#All],[DEM]],MATCH(Table5[[#This Row],[PID]],Table3[[#All],[PID]],0)))</f>
        <v>$130k</v>
      </c>
      <c r="T513" s="75">
        <f>IF($C513="B",INDEX(Batters[[#All],[Rnk]],MATCH(Table5[[#This Row],[PID]],Batters[[#All],[PID]],0)),INDEX(Table3[[#All],[Rnk]],MATCH(Table5[[#This Row],[PID]],Table3[[#All],[PID]],0)))</f>
        <v>249</v>
      </c>
      <c r="U513" s="68">
        <f>IF($C513="B",VLOOKUP($A513,Bat!$A$4:$BA$1621,47,FALSE),VLOOKUP($A513,Pit!$A$4:$BF$1557,56,FALSE))</f>
        <v>0</v>
      </c>
      <c r="V513" s="50">
        <f>IF($C513="B",VLOOKUP($A513,Bat!$A$4:$BA$1621,48,FALSE),VLOOKUP($A513,Pit!$A$4:$BF$1557,57,FALSE))</f>
        <v>0</v>
      </c>
      <c r="W513" s="69">
        <f>Table5[[#This Row],[posRnk]]+Table5[[#This Row],[zRnk]]+IF($W$3&lt;&gt;Table5[[#This Row],[Type]],50,0)</f>
        <v>730</v>
      </c>
      <c r="X513" s="73">
        <f>RANK(Table5[[#This Row],[zScore]],Table5[[#All],[zScore]])</f>
        <v>431</v>
      </c>
      <c r="Y513" s="69">
        <f>IFERROR(INDEX(DraftResults[[#All],[OVR]],MATCH(Table5[[#This Row],[PID]],DraftResults[[#All],[Player ID]],0)),"")</f>
        <v>509</v>
      </c>
      <c r="Z51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3" s="69">
        <f>IFERROR(INDEX(DraftResults[[#All],[Pick in Round]],MATCH(Table5[[#This Row],[PID]],DraftResults[[#All],[Player ID]],0)),"")</f>
        <v>21</v>
      </c>
      <c r="AB513" s="69" t="str">
        <f>IFERROR(INDEX(DraftResults[[#All],[Team Name]],MATCH(Table5[[#This Row],[PID]],DraftResults[[#All],[Player ID]],0)),"")</f>
        <v>Crystal Lake Sandgnats</v>
      </c>
      <c r="AC513" s="69">
        <f>IF(Table5[[#This Row],[Ovr]]="","",IF(Table5[[#This Row],[cmbList]]="","",Table5[[#This Row],[cmbList]]-Table5[[#This Row],[Ovr]]))</f>
        <v>221</v>
      </c>
      <c r="AD513" s="77" t="str">
        <f>IF(ISERROR(VLOOKUP($AB513&amp;"-"&amp;$E513&amp;" "&amp;F513,Bonuses!$B$1:$G$1006,4,FALSE)),"",INT(VLOOKUP($AB513&amp;"-"&amp;$E513&amp;" "&amp;$F513,Bonuses!$B$1:$G$1006,4,FALSE)))</f>
        <v/>
      </c>
      <c r="AE51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17.21 (509) - SP Gus Hebert</v>
      </c>
    </row>
    <row r="514" spans="1:31" s="50" customFormat="1" x14ac:dyDescent="0.25">
      <c r="A514" s="68">
        <v>17772</v>
      </c>
      <c r="B514" s="69">
        <f>COUNTIF(Table5[PID],A514)</f>
        <v>1</v>
      </c>
      <c r="C514" s="69" t="str">
        <f>IF(COUNTIF(Table3[[#All],[PID]],A514)&gt;0,"P","B")</f>
        <v>P</v>
      </c>
      <c r="D514" s="59" t="str">
        <f>IF($C514="B",INDEX(Batters[[#All],[POS]],MATCH(Table5[[#This Row],[PID]],Batters[[#All],[PID]],0)),INDEX(Table3[[#All],[POS]],MATCH(Table5[[#This Row],[PID]],Table3[[#All],[PID]],0)))</f>
        <v>SP</v>
      </c>
      <c r="E514" s="52" t="str">
        <f>IF($C514="B",INDEX(Batters[[#All],[First]],MATCH(Table5[[#This Row],[PID]],Batters[[#All],[PID]],0)),INDEX(Table3[[#All],[First]],MATCH(Table5[[#This Row],[PID]],Table3[[#All],[PID]],0)))</f>
        <v>Ryuzaburo</v>
      </c>
      <c r="F514" s="55" t="str">
        <f>IF($C514="B",INDEX(Batters[[#All],[Last]],MATCH(A514,Batters[[#All],[PID]],0)),INDEX(Table3[[#All],[Last]],MATCH(A514,Table3[[#All],[PID]],0)))</f>
        <v>Ine</v>
      </c>
      <c r="G514" s="56">
        <f>IF($C514="B",INDEX(Batters[[#All],[Age]],MATCH(Table5[[#This Row],[PID]],Batters[[#All],[PID]],0)),INDEX(Table3[[#All],[Age]],MATCH(Table5[[#This Row],[PID]],Table3[[#All],[PID]],0)))</f>
        <v>21</v>
      </c>
      <c r="H514" s="52" t="str">
        <f>IF($C514="B",INDEX(Batters[[#All],[B]],MATCH(Table5[[#This Row],[PID]],Batters[[#All],[PID]],0)),INDEX(Table3[[#All],[B]],MATCH(Table5[[#This Row],[PID]],Table3[[#All],[PID]],0)))</f>
        <v>L</v>
      </c>
      <c r="I514" s="52" t="str">
        <f>IF($C514="B",INDEX(Batters[[#All],[T]],MATCH(Table5[[#This Row],[PID]],Batters[[#All],[PID]],0)),INDEX(Table3[[#All],[T]],MATCH(Table5[[#This Row],[PID]],Table3[[#All],[PID]],0)))</f>
        <v>R</v>
      </c>
      <c r="J514" s="71" t="str">
        <f>IF($C514="B",INDEX(Batters[[#All],[WE]],MATCH(Table5[[#This Row],[PID]],Batters[[#All],[PID]],0)),INDEX(Table3[[#All],[WE]],MATCH(Table5[[#This Row],[PID]],Table3[[#All],[PID]],0)))</f>
        <v>Normal</v>
      </c>
      <c r="K514" s="52" t="str">
        <f>IF($C514="B",INDEX(Batters[[#All],[INT]],MATCH(Table5[[#This Row],[PID]],Batters[[#All],[PID]],0)),INDEX(Table3[[#All],[INT]],MATCH(Table5[[#This Row],[PID]],Table3[[#All],[PID]],0)))</f>
        <v>High</v>
      </c>
      <c r="L514" s="60">
        <f>IF($C514="B",INDEX(Batters[[#All],[CON P]],MATCH(Table5[[#This Row],[PID]],Batters[[#All],[PID]],0)),INDEX(Table3[[#All],[STU P]],MATCH(Table5[[#This Row],[PID]],Table3[[#All],[PID]],0)))</f>
        <v>5</v>
      </c>
      <c r="M514" s="72">
        <f>IF($C514="B",INDEX(Batters[[#All],[GAP P]],MATCH(Table5[[#This Row],[PID]],Batters[[#All],[PID]],0)),INDEX(Table3[[#All],[MOV P]],MATCH(Table5[[#This Row],[PID]],Table3[[#All],[PID]],0)))</f>
        <v>2</v>
      </c>
      <c r="N514" s="72">
        <f>IF($C514="B",INDEX(Batters[[#All],[POW P]],MATCH(Table5[[#This Row],[PID]],Batters[[#All],[PID]],0)),INDEX(Table3[[#All],[CON P]],MATCH(Table5[[#This Row],[PID]],Table3[[#All],[PID]],0)))</f>
        <v>2</v>
      </c>
      <c r="O514" s="72" t="str">
        <f>IF($C514="B",INDEX(Batters[[#All],[EYE P]],MATCH(Table5[[#This Row],[PID]],Batters[[#All],[PID]],0)),INDEX(Table3[[#All],[VELO]],MATCH(Table5[[#This Row],[PID]],Table3[[#All],[PID]],0)))</f>
        <v>96-98 Mph</v>
      </c>
      <c r="P514" s="56">
        <f>IF($C514="B",INDEX(Batters[[#All],[K P]],MATCH(Table5[[#This Row],[PID]],Batters[[#All],[PID]],0)),INDEX(Table3[[#All],[STM]],MATCH(Table5[[#This Row],[PID]],Table3[[#All],[PID]],0)))</f>
        <v>3</v>
      </c>
      <c r="Q514" s="61">
        <f>IF($C514="B",INDEX(Batters[[#All],[Tot]],MATCH(Table5[[#This Row],[PID]],Batters[[#All],[PID]],0)),INDEX(Table3[[#All],[Tot]],MATCH(Table5[[#This Row],[PID]],Table3[[#All],[PID]],0)))</f>
        <v>28.178602774502366</v>
      </c>
      <c r="R514" s="52">
        <f>IF($C514="B",INDEX(Batters[[#All],[zScore]],MATCH(Table5[[#This Row],[PID]],Batters[[#All],[PID]],0)),INDEX(Table3[[#All],[zScore]],MATCH(Table5[[#This Row],[PID]],Table3[[#All],[PID]],0)))</f>
        <v>-0.51173190095724741</v>
      </c>
      <c r="S514" s="78" t="str">
        <f>IF($C514="B",INDEX(Batters[[#All],[DEM]],MATCH(Table5[[#This Row],[PID]],Batters[[#All],[PID]],0)),INDEX(Table3[[#All],[DEM]],MATCH(Table5[[#This Row],[PID]],Table3[[#All],[PID]],0)))</f>
        <v>-</v>
      </c>
      <c r="T514" s="75">
        <f>IF($C514="B",INDEX(Batters[[#All],[Rnk]],MATCH(Table5[[#This Row],[PID]],Batters[[#All],[PID]],0)),INDEX(Table3[[#All],[Rnk]],MATCH(Table5[[#This Row],[PID]],Table3[[#All],[PID]],0)))</f>
        <v>529</v>
      </c>
      <c r="U514" s="68">
        <f>IF($C514="B",VLOOKUP($A514,Bat!$A$4:$BA$1621,47,FALSE),VLOOKUP($A514,Pit!$A$4:$BF$1557,56,FALSE))</f>
        <v>0</v>
      </c>
      <c r="V514" s="50">
        <f>IF($C514="B",VLOOKUP($A514,Bat!$A$4:$BA$1621,48,FALSE),VLOOKUP($A514,Pit!$A$4:$BF$1557,57,FALSE))</f>
        <v>0</v>
      </c>
      <c r="W514" s="69">
        <f>Table5[[#This Row],[posRnk]]+Table5[[#This Row],[zRnk]]+IF($W$3&lt;&gt;Table5[[#This Row],[Type]],50,0)</f>
        <v>1445</v>
      </c>
      <c r="X514" s="73">
        <f>RANK(Table5[[#This Row],[zScore]],Table5[[#All],[zScore]])</f>
        <v>866</v>
      </c>
      <c r="Y514" s="69">
        <f>IFERROR(INDEX(DraftResults[[#All],[OVR]],MATCH(Table5[[#This Row],[PID]],DraftResults[[#All],[Player ID]],0)),"")</f>
        <v>510</v>
      </c>
      <c r="Z51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4" s="69">
        <f>IFERROR(INDEX(DraftResults[[#All],[Pick in Round]],MATCH(Table5[[#This Row],[PID]],DraftResults[[#All],[Player ID]],0)),"")</f>
        <v>22</v>
      </c>
      <c r="AB514" s="69" t="str">
        <f>IFERROR(INDEX(DraftResults[[#All],[Team Name]],MATCH(Table5[[#This Row],[PID]],DraftResults[[#All],[Player ID]],0)),"")</f>
        <v>Fargo Dinosaurs</v>
      </c>
      <c r="AC514" s="69">
        <f>IF(Table5[[#This Row],[Ovr]]="","",IF(Table5[[#This Row],[cmbList]]="","",Table5[[#This Row],[cmbList]]-Table5[[#This Row],[Ovr]]))</f>
        <v>935</v>
      </c>
      <c r="AD514" s="77" t="str">
        <f>IF(ISERROR(VLOOKUP($AB514&amp;"-"&amp;$E514&amp;" "&amp;F514,Bonuses!$B$1:$G$1006,4,FALSE)),"",INT(VLOOKUP($AB514&amp;"-"&amp;$E514&amp;" "&amp;$F514,Bonuses!$B$1:$G$1006,4,FALSE)))</f>
        <v/>
      </c>
      <c r="AE51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17.22 (510) - SP Ryuzaburo Ine</v>
      </c>
    </row>
    <row r="515" spans="1:31" s="50" customFormat="1" x14ac:dyDescent="0.25">
      <c r="A515" s="50">
        <v>21024</v>
      </c>
      <c r="B515" s="50">
        <f>COUNTIF(Table5[PID],A515)</f>
        <v>1</v>
      </c>
      <c r="C515" s="50" t="str">
        <f>IF(COUNTIF(Table3[[#All],[PID]],A515)&gt;0,"P","B")</f>
        <v>B</v>
      </c>
      <c r="D515" s="59" t="str">
        <f>IF($C515="B",INDEX(Batters[[#All],[POS]],MATCH(Table5[[#This Row],[PID]],Batters[[#All],[PID]],0)),INDEX(Table3[[#All],[POS]],MATCH(Table5[[#This Row],[PID]],Table3[[#All],[PID]],0)))</f>
        <v>1B</v>
      </c>
      <c r="E515" s="52" t="str">
        <f>IF($C515="B",INDEX(Batters[[#All],[First]],MATCH(Table5[[#This Row],[PID]],Batters[[#All],[PID]],0)),INDEX(Table3[[#All],[First]],MATCH(Table5[[#This Row],[PID]],Table3[[#All],[PID]],0)))</f>
        <v>Flint</v>
      </c>
      <c r="F515" s="50" t="str">
        <f>IF($C515="B",INDEX(Batters[[#All],[Last]],MATCH(A515,Batters[[#All],[PID]],0)),INDEX(Table3[[#All],[Last]],MATCH(A515,Table3[[#All],[PID]],0)))</f>
        <v>Perry</v>
      </c>
      <c r="G515" s="56">
        <f>IF($C515="B",INDEX(Batters[[#All],[Age]],MATCH(Table5[[#This Row],[PID]],Batters[[#All],[PID]],0)),INDEX(Table3[[#All],[Age]],MATCH(Table5[[#This Row],[PID]],Table3[[#All],[PID]],0)))</f>
        <v>17</v>
      </c>
      <c r="H515" s="52" t="str">
        <f>IF($C515="B",INDEX(Batters[[#All],[B]],MATCH(Table5[[#This Row],[PID]],Batters[[#All],[PID]],0)),INDEX(Table3[[#All],[B]],MATCH(Table5[[#This Row],[PID]],Table3[[#All],[PID]],0)))</f>
        <v>R</v>
      </c>
      <c r="I515" s="52" t="str">
        <f>IF($C515="B",INDEX(Batters[[#All],[T]],MATCH(Table5[[#This Row],[PID]],Batters[[#All],[PID]],0)),INDEX(Table3[[#All],[T]],MATCH(Table5[[#This Row],[PID]],Table3[[#All],[PID]],0)))</f>
        <v>R</v>
      </c>
      <c r="J515" s="52" t="str">
        <f>IF($C515="B",INDEX(Batters[[#All],[WE]],MATCH(Table5[[#This Row],[PID]],Batters[[#All],[PID]],0)),INDEX(Table3[[#All],[WE]],MATCH(Table5[[#This Row],[PID]],Table3[[#All],[PID]],0)))</f>
        <v>Low</v>
      </c>
      <c r="K515" s="52" t="str">
        <f>IF($C515="B",INDEX(Batters[[#All],[INT]],MATCH(Table5[[#This Row],[PID]],Batters[[#All],[PID]],0)),INDEX(Table3[[#All],[INT]],MATCH(Table5[[#This Row],[PID]],Table3[[#All],[PID]],0)))</f>
        <v>Low</v>
      </c>
      <c r="L515" s="60">
        <f>IF($C515="B",INDEX(Batters[[#All],[CON P]],MATCH(Table5[[#This Row],[PID]],Batters[[#All],[PID]],0)),INDEX(Table3[[#All],[STU P]],MATCH(Table5[[#This Row],[PID]],Table3[[#All],[PID]],0)))</f>
        <v>2</v>
      </c>
      <c r="M515" s="56">
        <f>IF($C515="B",INDEX(Batters[[#All],[GAP P]],MATCH(Table5[[#This Row],[PID]],Batters[[#All],[PID]],0)),INDEX(Table3[[#All],[MOV P]],MATCH(Table5[[#This Row],[PID]],Table3[[#All],[PID]],0)))</f>
        <v>6</v>
      </c>
      <c r="N515" s="56">
        <f>IF($C515="B",INDEX(Batters[[#All],[POW P]],MATCH(Table5[[#This Row],[PID]],Batters[[#All],[PID]],0)),INDEX(Table3[[#All],[CON P]],MATCH(Table5[[#This Row],[PID]],Table3[[#All],[PID]],0)))</f>
        <v>6</v>
      </c>
      <c r="O515" s="56">
        <f>IF($C515="B",INDEX(Batters[[#All],[EYE P]],MATCH(Table5[[#This Row],[PID]],Batters[[#All],[PID]],0)),INDEX(Table3[[#All],[VELO]],MATCH(Table5[[#This Row],[PID]],Table3[[#All],[PID]],0)))</f>
        <v>5</v>
      </c>
      <c r="P515" s="56">
        <f>IF($C515="B",INDEX(Batters[[#All],[K P]],MATCH(Table5[[#This Row],[PID]],Batters[[#All],[PID]],0)),INDEX(Table3[[#All],[STM]],MATCH(Table5[[#This Row],[PID]],Table3[[#All],[PID]],0)))</f>
        <v>2</v>
      </c>
      <c r="Q515" s="61">
        <f>IF($C515="B",INDEX(Batters[[#All],[Tot]],MATCH(Table5[[#This Row],[PID]],Batters[[#All],[PID]],0)),INDEX(Table3[[#All],[Tot]],MATCH(Table5[[#This Row],[PID]],Table3[[#All],[PID]],0)))</f>
        <v>40.914341640107267</v>
      </c>
      <c r="R515" s="52">
        <f>IF($C515="B",INDEX(Batters[[#All],[zScore]],MATCH(Table5[[#This Row],[PID]],Batters[[#All],[PID]],0)),INDEX(Table3[[#All],[zScore]],MATCH(Table5[[#This Row],[PID]],Table3[[#All],[PID]],0)))</f>
        <v>-0.71336324361902781</v>
      </c>
      <c r="S515" s="58" t="str">
        <f>IF($C515="B",INDEX(Batters[[#All],[DEM]],MATCH(Table5[[#This Row],[PID]],Batters[[#All],[PID]],0)),INDEX(Table3[[#All],[DEM]],MATCH(Table5[[#This Row],[PID]],Table3[[#All],[PID]],0)))</f>
        <v>$75k</v>
      </c>
      <c r="T515" s="62">
        <f>IF($C515="B",INDEX(Batters[[#All],[Rnk]],MATCH(Table5[[#This Row],[PID]],Batters[[#All],[PID]],0)),INDEX(Table3[[#All],[Rnk]],MATCH(Table5[[#This Row],[PID]],Table3[[#All],[PID]],0)))</f>
        <v>384</v>
      </c>
      <c r="U515" s="68">
        <f>IF($C515="B",VLOOKUP($A515,Bat!$A$4:$BA$1621,47,FALSE),VLOOKUP($A515,Pit!$A$4:$BF$1557,56,FALSE))</f>
        <v>0</v>
      </c>
      <c r="V515" s="50">
        <f>IF($C515="B",VLOOKUP($A515,Bat!$A$4:$BA$1621,48,FALSE),VLOOKUP($A515,Pit!$A$4:$BF$1557,57,FALSE))</f>
        <v>0</v>
      </c>
      <c r="W515" s="50">
        <f>Table5[[#This Row],[posRnk]]+Table5[[#This Row],[zRnk]]+IF($W$3&lt;&gt;Table5[[#This Row],[Type]],50,0)</f>
        <v>1423</v>
      </c>
      <c r="X515" s="51">
        <f>RANK(Table5[[#This Row],[zScore]],Table5[[#All],[zScore]])</f>
        <v>989</v>
      </c>
      <c r="Y515" s="50">
        <f>IFERROR(INDEX(DraftResults[[#All],[OVR]],MATCH(Table5[[#This Row],[PID]],DraftResults[[#All],[Player ID]],0)),"")</f>
        <v>511</v>
      </c>
      <c r="Z5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5" s="50">
        <f>IFERROR(INDEX(DraftResults[[#All],[Pick in Round]],MATCH(Table5[[#This Row],[PID]],DraftResults[[#All],[Player ID]],0)),"")</f>
        <v>23</v>
      </c>
      <c r="AB515" s="50" t="str">
        <f>IFERROR(INDEX(DraftResults[[#All],[Team Name]],MATCH(Table5[[#This Row],[PID]],DraftResults[[#All],[Player ID]],0)),"")</f>
        <v>Shin Seiki Evas</v>
      </c>
      <c r="AC515" s="50">
        <f>IF(Table5[[#This Row],[Ovr]]="","",IF(Table5[[#This Row],[cmbList]]="","",Table5[[#This Row],[cmbList]]-Table5[[#This Row],[Ovr]]))</f>
        <v>912</v>
      </c>
      <c r="AD515" s="54" t="str">
        <f>IF(ISERROR(VLOOKUP($AB515&amp;"-"&amp;$E515&amp;" "&amp;F515,Bonuses!$B$1:$G$1006,4,FALSE)),"",INT(VLOOKUP($AB515&amp;"-"&amp;$E515&amp;" "&amp;$F515,Bonuses!$B$1:$G$1006,4,FALSE)))</f>
        <v/>
      </c>
      <c r="AE5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17.23 (511) - 1B Flint Perry</v>
      </c>
    </row>
    <row r="516" spans="1:31" s="50" customFormat="1" x14ac:dyDescent="0.25">
      <c r="A516" s="68">
        <v>18400</v>
      </c>
      <c r="B516" s="69">
        <f>COUNTIF(Table5[PID],A516)</f>
        <v>1</v>
      </c>
      <c r="C516" s="69" t="str">
        <f>IF(COUNTIF(Table3[[#All],[PID]],A516)&gt;0,"P","B")</f>
        <v>P</v>
      </c>
      <c r="D516" s="59" t="str">
        <f>IF($C516="B",INDEX(Batters[[#All],[POS]],MATCH(Table5[[#This Row],[PID]],Batters[[#All],[PID]],0)),INDEX(Table3[[#All],[POS]],MATCH(Table5[[#This Row],[PID]],Table3[[#All],[PID]],0)))</f>
        <v>SP</v>
      </c>
      <c r="E516" s="52" t="str">
        <f>IF($C516="B",INDEX(Batters[[#All],[First]],MATCH(Table5[[#This Row],[PID]],Batters[[#All],[PID]],0)),INDEX(Table3[[#All],[First]],MATCH(Table5[[#This Row],[PID]],Table3[[#All],[PID]],0)))</f>
        <v>Noriyori</v>
      </c>
      <c r="F516" s="55" t="str">
        <f>IF($C516="B",INDEX(Batters[[#All],[Last]],MATCH(A516,Batters[[#All],[PID]],0)),INDEX(Table3[[#All],[Last]],MATCH(A516,Table3[[#All],[PID]],0)))</f>
        <v>Takaki</v>
      </c>
      <c r="G516" s="56">
        <f>IF($C516="B",INDEX(Batters[[#All],[Age]],MATCH(Table5[[#This Row],[PID]],Batters[[#All],[PID]],0)),INDEX(Table3[[#All],[Age]],MATCH(Table5[[#This Row],[PID]],Table3[[#All],[PID]],0)))</f>
        <v>18</v>
      </c>
      <c r="H516" s="52" t="str">
        <f>IF($C516="B",INDEX(Batters[[#All],[B]],MATCH(Table5[[#This Row],[PID]],Batters[[#All],[PID]],0)),INDEX(Table3[[#All],[B]],MATCH(Table5[[#This Row],[PID]],Table3[[#All],[PID]],0)))</f>
        <v>L</v>
      </c>
      <c r="I516" s="52" t="str">
        <f>IF($C516="B",INDEX(Batters[[#All],[T]],MATCH(Table5[[#This Row],[PID]],Batters[[#All],[PID]],0)),INDEX(Table3[[#All],[T]],MATCH(Table5[[#This Row],[PID]],Table3[[#All],[PID]],0)))</f>
        <v>L</v>
      </c>
      <c r="J516" s="71" t="str">
        <f>IF($C516="B",INDEX(Batters[[#All],[WE]],MATCH(Table5[[#This Row],[PID]],Batters[[#All],[PID]],0)),INDEX(Table3[[#All],[WE]],MATCH(Table5[[#This Row],[PID]],Table3[[#All],[PID]],0)))</f>
        <v>Low</v>
      </c>
      <c r="K516" s="52" t="str">
        <f>IF($C516="B",INDEX(Batters[[#All],[INT]],MATCH(Table5[[#This Row],[PID]],Batters[[#All],[PID]],0)),INDEX(Table3[[#All],[INT]],MATCH(Table5[[#This Row],[PID]],Table3[[#All],[PID]],0)))</f>
        <v>Normal</v>
      </c>
      <c r="L516" s="60">
        <f>IF($C516="B",INDEX(Batters[[#All],[CON P]],MATCH(Table5[[#This Row],[PID]],Batters[[#All],[PID]],0)),INDEX(Table3[[#All],[STU P]],MATCH(Table5[[#This Row],[PID]],Table3[[#All],[PID]],0)))</f>
        <v>5</v>
      </c>
      <c r="M516" s="72">
        <f>IF($C516="B",INDEX(Batters[[#All],[GAP P]],MATCH(Table5[[#This Row],[PID]],Batters[[#All],[PID]],0)),INDEX(Table3[[#All],[MOV P]],MATCH(Table5[[#This Row],[PID]],Table3[[#All],[PID]],0)))</f>
        <v>2</v>
      </c>
      <c r="N516" s="72">
        <f>IF($C516="B",INDEX(Batters[[#All],[POW P]],MATCH(Table5[[#This Row],[PID]],Batters[[#All],[PID]],0)),INDEX(Table3[[#All],[CON P]],MATCH(Table5[[#This Row],[PID]],Table3[[#All],[PID]],0)))</f>
        <v>6</v>
      </c>
      <c r="O516" s="72" t="str">
        <f>IF($C516="B",INDEX(Batters[[#All],[EYE P]],MATCH(Table5[[#This Row],[PID]],Batters[[#All],[PID]],0)),INDEX(Table3[[#All],[VELO]],MATCH(Table5[[#This Row],[PID]],Table3[[#All],[PID]],0)))</f>
        <v>86-88 Mph</v>
      </c>
      <c r="P516" s="56">
        <f>IF($C516="B",INDEX(Batters[[#All],[K P]],MATCH(Table5[[#This Row],[PID]],Batters[[#All],[PID]],0)),INDEX(Table3[[#All],[STM]],MATCH(Table5[[#This Row],[PID]],Table3[[#All],[PID]],0)))</f>
        <v>3</v>
      </c>
      <c r="Q516" s="61">
        <f>IF($C516="B",INDEX(Batters[[#All],[Tot]],MATCH(Table5[[#This Row],[PID]],Batters[[#All],[PID]],0)),INDEX(Table3[[#All],[Tot]],MATCH(Table5[[#This Row],[PID]],Table3[[#All],[PID]],0)))</f>
        <v>49.679473335032526</v>
      </c>
      <c r="R516" s="52">
        <f>IF($C516="B",INDEX(Batters[[#All],[zScore]],MATCH(Table5[[#This Row],[PID]],Batters[[#All],[PID]],0)),INDEX(Table3[[#All],[zScore]],MATCH(Table5[[#This Row],[PID]],Table3[[#All],[PID]],0)))</f>
        <v>0.91868816176440704</v>
      </c>
      <c r="S516" s="78" t="str">
        <f>IF($C516="B",INDEX(Batters[[#All],[DEM]],MATCH(Table5[[#This Row],[PID]],Batters[[#All],[PID]],0)),INDEX(Table3[[#All],[DEM]],MATCH(Table5[[#This Row],[PID]],Table3[[#All],[PID]],0)))</f>
        <v>$90k</v>
      </c>
      <c r="T516" s="75">
        <f>IF($C516="B",INDEX(Batters[[#All],[Rnk]],MATCH(Table5[[#This Row],[PID]],Batters[[#All],[PID]],0)),INDEX(Table3[[#All],[Rnk]],MATCH(Table5[[#This Row],[PID]],Table3[[#All],[PID]],0)))</f>
        <v>150</v>
      </c>
      <c r="U516" s="68">
        <f>IF($C516="B",VLOOKUP($A516,Bat!$A$4:$BA$1621,47,FALSE),VLOOKUP($A516,Pit!$A$4:$BF$1557,56,FALSE))</f>
        <v>0</v>
      </c>
      <c r="V516" s="50">
        <f>IF($C516="B",VLOOKUP($A516,Bat!$A$4:$BA$1621,48,FALSE),VLOOKUP($A516,Pit!$A$4:$BF$1557,57,FALSE))</f>
        <v>0</v>
      </c>
      <c r="W516" s="69">
        <f>Table5[[#This Row],[posRnk]]+Table5[[#This Row],[zRnk]]+IF($W$3&lt;&gt;Table5[[#This Row],[Type]],50,0)</f>
        <v>449</v>
      </c>
      <c r="X516" s="73">
        <f>RANK(Table5[[#This Row],[zScore]],Table5[[#All],[zScore]])</f>
        <v>249</v>
      </c>
      <c r="Y516" s="69">
        <f>IFERROR(INDEX(DraftResults[[#All],[OVR]],MATCH(Table5[[#This Row],[PID]],DraftResults[[#All],[Player ID]],0)),"")</f>
        <v>512</v>
      </c>
      <c r="Z51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6" s="69">
        <f>IFERROR(INDEX(DraftResults[[#All],[Pick in Round]],MATCH(Table5[[#This Row],[PID]],DraftResults[[#All],[Player ID]],0)),"")</f>
        <v>24</v>
      </c>
      <c r="AB516" s="69" t="str">
        <f>IFERROR(INDEX(DraftResults[[#All],[Team Name]],MATCH(Table5[[#This Row],[PID]],DraftResults[[#All],[Player ID]],0)),"")</f>
        <v>Aurora Borealis</v>
      </c>
      <c r="AC516" s="69">
        <f>IF(Table5[[#This Row],[Ovr]]="","",IF(Table5[[#This Row],[cmbList]]="","",Table5[[#This Row],[cmbList]]-Table5[[#This Row],[Ovr]]))</f>
        <v>-63</v>
      </c>
      <c r="AD516" s="77" t="str">
        <f>IF(ISERROR(VLOOKUP($AB516&amp;"-"&amp;$E516&amp;" "&amp;F516,Bonuses!$B$1:$G$1006,4,FALSE)),"",INT(VLOOKUP($AB516&amp;"-"&amp;$E516&amp;" "&amp;$F516,Bonuses!$B$1:$G$1006,4,FALSE)))</f>
        <v/>
      </c>
      <c r="AE51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17.24 (512) - SP Noriyori Takaki</v>
      </c>
    </row>
    <row r="517" spans="1:31" s="50" customFormat="1" x14ac:dyDescent="0.25">
      <c r="A517" s="50">
        <v>17831</v>
      </c>
      <c r="B517" s="50">
        <f>COUNTIF(Table5[PID],A517)</f>
        <v>1</v>
      </c>
      <c r="C517" s="50" t="str">
        <f>IF(COUNTIF(Table3[[#All],[PID]],A517)&gt;0,"P","B")</f>
        <v>B</v>
      </c>
      <c r="D517" s="59" t="str">
        <f>IF($C517="B",INDEX(Batters[[#All],[POS]],MATCH(Table5[[#This Row],[PID]],Batters[[#All],[PID]],0)),INDEX(Table3[[#All],[POS]],MATCH(Table5[[#This Row],[PID]],Table3[[#All],[PID]],0)))</f>
        <v>C</v>
      </c>
      <c r="E517" s="52" t="str">
        <f>IF($C517="B",INDEX(Batters[[#All],[First]],MATCH(Table5[[#This Row],[PID]],Batters[[#All],[PID]],0)),INDEX(Table3[[#All],[First]],MATCH(Table5[[#This Row],[PID]],Table3[[#All],[PID]],0)))</f>
        <v>Toshimichi</v>
      </c>
      <c r="F517" s="50" t="str">
        <f>IF($C517="B",INDEX(Batters[[#All],[Last]],MATCH(A517,Batters[[#All],[PID]],0)),INDEX(Table3[[#All],[Last]],MATCH(A517,Table3[[#All],[PID]],0)))</f>
        <v>Ito</v>
      </c>
      <c r="G517" s="56">
        <f>IF($C517="B",INDEX(Batters[[#All],[Age]],MATCH(Table5[[#This Row],[PID]],Batters[[#All],[PID]],0)),INDEX(Table3[[#All],[Age]],MATCH(Table5[[#This Row],[PID]],Table3[[#All],[PID]],0)))</f>
        <v>18</v>
      </c>
      <c r="H517" s="52" t="str">
        <f>IF($C517="B",INDEX(Batters[[#All],[B]],MATCH(Table5[[#This Row],[PID]],Batters[[#All],[PID]],0)),INDEX(Table3[[#All],[B]],MATCH(Table5[[#This Row],[PID]],Table3[[#All],[PID]],0)))</f>
        <v>R</v>
      </c>
      <c r="I517" s="52" t="str">
        <f>IF($C517="B",INDEX(Batters[[#All],[T]],MATCH(Table5[[#This Row],[PID]],Batters[[#All],[PID]],0)),INDEX(Table3[[#All],[T]],MATCH(Table5[[#This Row],[PID]],Table3[[#All],[PID]],0)))</f>
        <v>R</v>
      </c>
      <c r="J517" s="52" t="str">
        <f>IF($C517="B",INDEX(Batters[[#All],[WE]],MATCH(Table5[[#This Row],[PID]],Batters[[#All],[PID]],0)),INDEX(Table3[[#All],[WE]],MATCH(Table5[[#This Row],[PID]],Table3[[#All],[PID]],0)))</f>
        <v>High</v>
      </c>
      <c r="K517" s="52" t="str">
        <f>IF($C517="B",INDEX(Batters[[#All],[INT]],MATCH(Table5[[#This Row],[PID]],Batters[[#All],[PID]],0)),INDEX(Table3[[#All],[INT]],MATCH(Table5[[#This Row],[PID]],Table3[[#All],[PID]],0)))</f>
        <v>Normal</v>
      </c>
      <c r="L517" s="60">
        <f>IF($C517="B",INDEX(Batters[[#All],[CON P]],MATCH(Table5[[#This Row],[PID]],Batters[[#All],[PID]],0)),INDEX(Table3[[#All],[STU P]],MATCH(Table5[[#This Row],[PID]],Table3[[#All],[PID]],0)))</f>
        <v>3</v>
      </c>
      <c r="M517" s="56">
        <f>IF($C517="B",INDEX(Batters[[#All],[GAP P]],MATCH(Table5[[#This Row],[PID]],Batters[[#All],[PID]],0)),INDEX(Table3[[#All],[MOV P]],MATCH(Table5[[#This Row],[PID]],Table3[[#All],[PID]],0)))</f>
        <v>4</v>
      </c>
      <c r="N517" s="56">
        <f>IF($C517="B",INDEX(Batters[[#All],[POW P]],MATCH(Table5[[#This Row],[PID]],Batters[[#All],[PID]],0)),INDEX(Table3[[#All],[CON P]],MATCH(Table5[[#This Row],[PID]],Table3[[#All],[PID]],0)))</f>
        <v>4</v>
      </c>
      <c r="O517" s="56">
        <f>IF($C517="B",INDEX(Batters[[#All],[EYE P]],MATCH(Table5[[#This Row],[PID]],Batters[[#All],[PID]],0)),INDEX(Table3[[#All],[VELO]],MATCH(Table5[[#This Row],[PID]],Table3[[#All],[PID]],0)))</f>
        <v>6</v>
      </c>
      <c r="P517" s="56">
        <f>IF($C517="B",INDEX(Batters[[#All],[K P]],MATCH(Table5[[#This Row],[PID]],Batters[[#All],[PID]],0)),INDEX(Table3[[#All],[STM]],MATCH(Table5[[#This Row],[PID]],Table3[[#All],[PID]],0)))</f>
        <v>3</v>
      </c>
      <c r="Q517" s="61">
        <f>IF($C517="B",INDEX(Batters[[#All],[Tot]],MATCH(Table5[[#This Row],[PID]],Batters[[#All],[PID]],0)),INDEX(Table3[[#All],[Tot]],MATCH(Table5[[#This Row],[PID]],Table3[[#All],[PID]],0)))</f>
        <v>45.109397247672568</v>
      </c>
      <c r="R517" s="52">
        <f>IF($C517="B",INDEX(Batters[[#All],[zScore]],MATCH(Table5[[#This Row],[PID]],Batters[[#All],[PID]],0)),INDEX(Table3[[#All],[zScore]],MATCH(Table5[[#This Row],[PID]],Table3[[#All],[PID]],0)))</f>
        <v>0.2167089405224682</v>
      </c>
      <c r="S517" s="58" t="str">
        <f>IF($C517="B",INDEX(Batters[[#All],[DEM]],MATCH(Table5[[#This Row],[PID]],Batters[[#All],[PID]],0)),INDEX(Table3[[#All],[DEM]],MATCH(Table5[[#This Row],[PID]],Table3[[#All],[PID]],0)))</f>
        <v>$65k</v>
      </c>
      <c r="T517" s="62">
        <f>IF($C517="B",INDEX(Batters[[#All],[Rnk]],MATCH(Table5[[#This Row],[PID]],Batters[[#All],[PID]],0)),INDEX(Table3[[#All],[Rnk]],MATCH(Table5[[#This Row],[PID]],Table3[[#All],[PID]],0)))</f>
        <v>196</v>
      </c>
      <c r="U517" s="68">
        <f>IF($C517="B",VLOOKUP($A517,Bat!$A$4:$BA$1621,47,FALSE),VLOOKUP($A517,Pit!$A$4:$BF$1557,56,FALSE))</f>
        <v>0</v>
      </c>
      <c r="V517" s="50">
        <f>IF($C517="B",VLOOKUP($A517,Bat!$A$4:$BA$1621,48,FALSE),VLOOKUP($A517,Pit!$A$4:$BF$1557,57,FALSE))</f>
        <v>0</v>
      </c>
      <c r="W517" s="50">
        <f>Table5[[#This Row],[posRnk]]+Table5[[#This Row],[zRnk]]+IF($W$3&lt;&gt;Table5[[#This Row],[Type]],50,0)</f>
        <v>702</v>
      </c>
      <c r="X517" s="51">
        <f>RANK(Table5[[#This Row],[zScore]],Table5[[#All],[zScore]])</f>
        <v>456</v>
      </c>
      <c r="Y517" s="50">
        <f>IFERROR(INDEX(DraftResults[[#All],[OVR]],MATCH(Table5[[#This Row],[PID]],DraftResults[[#All],[Player ID]],0)),"")</f>
        <v>513</v>
      </c>
      <c r="Z5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7" s="50">
        <f>IFERROR(INDEX(DraftResults[[#All],[Pick in Round]],MATCH(Table5[[#This Row],[PID]],DraftResults[[#All],[Player ID]],0)),"")</f>
        <v>25</v>
      </c>
      <c r="AB517" s="50" t="str">
        <f>IFERROR(INDEX(DraftResults[[#All],[Team Name]],MATCH(Table5[[#This Row],[PID]],DraftResults[[#All],[Player ID]],0)),"")</f>
        <v>Toyama Wind Dancers</v>
      </c>
      <c r="AC517" s="50">
        <f>IF(Table5[[#This Row],[Ovr]]="","",IF(Table5[[#This Row],[cmbList]]="","",Table5[[#This Row],[cmbList]]-Table5[[#This Row],[Ovr]]))</f>
        <v>189</v>
      </c>
      <c r="AD517" s="54" t="str">
        <f>IF(ISERROR(VLOOKUP($AB517&amp;"-"&amp;$E517&amp;" "&amp;F517,Bonuses!$B$1:$G$1006,4,FALSE)),"",INT(VLOOKUP($AB517&amp;"-"&amp;$E517&amp;" "&amp;$F517,Bonuses!$B$1:$G$1006,4,FALSE)))</f>
        <v/>
      </c>
      <c r="AE5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17.25 (513) - C Toshimichi Ito</v>
      </c>
    </row>
    <row r="518" spans="1:31" s="50" customFormat="1" x14ac:dyDescent="0.25">
      <c r="A518" s="50">
        <v>17579</v>
      </c>
      <c r="B518" s="50">
        <f>COUNTIF(Table5[PID],A518)</f>
        <v>1</v>
      </c>
      <c r="C518" s="50" t="str">
        <f>IF(COUNTIF(Table3[[#All],[PID]],A518)&gt;0,"P","B")</f>
        <v>B</v>
      </c>
      <c r="D518" s="59" t="str">
        <f>IF($C518="B",INDEX(Batters[[#All],[POS]],MATCH(Table5[[#This Row],[PID]],Batters[[#All],[PID]],0)),INDEX(Table3[[#All],[POS]],MATCH(Table5[[#This Row],[PID]],Table3[[#All],[PID]],0)))</f>
        <v>RF</v>
      </c>
      <c r="E518" s="52" t="str">
        <f>IF($C518="B",INDEX(Batters[[#All],[First]],MATCH(Table5[[#This Row],[PID]],Batters[[#All],[PID]],0)),INDEX(Table3[[#All],[First]],MATCH(Table5[[#This Row],[PID]],Table3[[#All],[PID]],0)))</f>
        <v>Jack</v>
      </c>
      <c r="F518" s="50" t="str">
        <f>IF($C518="B",INDEX(Batters[[#All],[Last]],MATCH(A518,Batters[[#All],[PID]],0)),INDEX(Table3[[#All],[Last]],MATCH(A518,Table3[[#All],[PID]],0)))</f>
        <v>Alirezam</v>
      </c>
      <c r="G518" s="56">
        <f>IF($C518="B",INDEX(Batters[[#All],[Age]],MATCH(Table5[[#This Row],[PID]],Batters[[#All],[PID]],0)),INDEX(Table3[[#All],[Age]],MATCH(Table5[[#This Row],[PID]],Table3[[#All],[PID]],0)))</f>
        <v>18</v>
      </c>
      <c r="H518" s="52" t="str">
        <f>IF($C518="B",INDEX(Batters[[#All],[B]],MATCH(Table5[[#This Row],[PID]],Batters[[#All],[PID]],0)),INDEX(Table3[[#All],[B]],MATCH(Table5[[#This Row],[PID]],Table3[[#All],[PID]],0)))</f>
        <v>L</v>
      </c>
      <c r="I518" s="52" t="str">
        <f>IF($C518="B",INDEX(Batters[[#All],[T]],MATCH(Table5[[#This Row],[PID]],Batters[[#All],[PID]],0)),INDEX(Table3[[#All],[T]],MATCH(Table5[[#This Row],[PID]],Table3[[#All],[PID]],0)))</f>
        <v>L</v>
      </c>
      <c r="J518" s="52" t="str">
        <f>IF($C518="B",INDEX(Batters[[#All],[WE]],MATCH(Table5[[#This Row],[PID]],Batters[[#All],[PID]],0)),INDEX(Table3[[#All],[WE]],MATCH(Table5[[#This Row],[PID]],Table3[[#All],[PID]],0)))</f>
        <v>Normal</v>
      </c>
      <c r="K518" s="52" t="str">
        <f>IF($C518="B",INDEX(Batters[[#All],[INT]],MATCH(Table5[[#This Row],[PID]],Batters[[#All],[PID]],0)),INDEX(Table3[[#All],[INT]],MATCH(Table5[[#This Row],[PID]],Table3[[#All],[PID]],0)))</f>
        <v>Normal</v>
      </c>
      <c r="L518" s="60">
        <f>IF($C518="B",INDEX(Batters[[#All],[CON P]],MATCH(Table5[[#This Row],[PID]],Batters[[#All],[PID]],0)),INDEX(Table3[[#All],[STU P]],MATCH(Table5[[#This Row],[PID]],Table3[[#All],[PID]],0)))</f>
        <v>4</v>
      </c>
      <c r="M518" s="56">
        <f>IF($C518="B",INDEX(Batters[[#All],[GAP P]],MATCH(Table5[[#This Row],[PID]],Batters[[#All],[PID]],0)),INDEX(Table3[[#All],[MOV P]],MATCH(Table5[[#This Row],[PID]],Table3[[#All],[PID]],0)))</f>
        <v>4</v>
      </c>
      <c r="N518" s="56">
        <f>IF($C518="B",INDEX(Batters[[#All],[POW P]],MATCH(Table5[[#This Row],[PID]],Batters[[#All],[PID]],0)),INDEX(Table3[[#All],[CON P]],MATCH(Table5[[#This Row],[PID]],Table3[[#All],[PID]],0)))</f>
        <v>2</v>
      </c>
      <c r="O518" s="56">
        <f>IF($C518="B",INDEX(Batters[[#All],[EYE P]],MATCH(Table5[[#This Row],[PID]],Batters[[#All],[PID]],0)),INDEX(Table3[[#All],[VELO]],MATCH(Table5[[#This Row],[PID]],Table3[[#All],[PID]],0)))</f>
        <v>4</v>
      </c>
      <c r="P518" s="56">
        <f>IF($C518="B",INDEX(Batters[[#All],[K P]],MATCH(Table5[[#This Row],[PID]],Batters[[#All],[PID]],0)),INDEX(Table3[[#All],[STM]],MATCH(Table5[[#This Row],[PID]],Table3[[#All],[PID]],0)))</f>
        <v>4</v>
      </c>
      <c r="Q518" s="61">
        <f>IF($C518="B",INDEX(Batters[[#All],[Tot]],MATCH(Table5[[#This Row],[PID]],Batters[[#All],[PID]],0)),INDEX(Table3[[#All],[Tot]],MATCH(Table5[[#This Row],[PID]],Table3[[#All],[PID]],0)))</f>
        <v>44.071454014771788</v>
      </c>
      <c r="R518" s="52">
        <f>IF($C518="B",INDEX(Batters[[#All],[zScore]],MATCH(Table5[[#This Row],[PID]],Batters[[#All],[PID]],0)),INDEX(Table3[[#All],[zScore]],MATCH(Table5[[#This Row],[PID]],Table3[[#All],[PID]],0)))</f>
        <v>-1.3410090056767505E-2</v>
      </c>
      <c r="S518" s="58" t="str">
        <f>IF($C518="B",INDEX(Batters[[#All],[DEM]],MATCH(Table5[[#This Row],[PID]],Batters[[#All],[PID]],0)),INDEX(Table3[[#All],[DEM]],MATCH(Table5[[#This Row],[PID]],Table3[[#All],[PID]],0)))</f>
        <v>$85k</v>
      </c>
      <c r="T518" s="62">
        <f>IF($C518="B",INDEX(Batters[[#All],[Rnk]],MATCH(Table5[[#This Row],[PID]],Batters[[#All],[PID]],0)),INDEX(Table3[[#All],[Rnk]],MATCH(Table5[[#This Row],[PID]],Table3[[#All],[PID]],0)))</f>
        <v>246</v>
      </c>
      <c r="U518" s="68">
        <f>IF($C518="B",VLOOKUP($A518,Bat!$A$4:$BA$1621,47,FALSE),VLOOKUP($A518,Pit!$A$4:$BF$1557,56,FALSE))</f>
        <v>0</v>
      </c>
      <c r="V518" s="50">
        <f>IF($C518="B",VLOOKUP($A518,Bat!$A$4:$BA$1621,48,FALSE),VLOOKUP($A518,Pit!$A$4:$BF$1557,57,FALSE))</f>
        <v>0</v>
      </c>
      <c r="W518" s="50">
        <f>Table5[[#This Row],[posRnk]]+Table5[[#This Row],[zRnk]]+IF($W$3&lt;&gt;Table5[[#This Row],[Type]],50,0)</f>
        <v>852</v>
      </c>
      <c r="X518" s="51">
        <f>RANK(Table5[[#This Row],[zScore]],Table5[[#All],[zScore]])</f>
        <v>556</v>
      </c>
      <c r="Y518" s="50">
        <f>IFERROR(INDEX(DraftResults[[#All],[OVR]],MATCH(Table5[[#This Row],[PID]],DraftResults[[#All],[Player ID]],0)),"")</f>
        <v>514</v>
      </c>
      <c r="Z5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8" s="50">
        <f>IFERROR(INDEX(DraftResults[[#All],[Pick in Round]],MATCH(Table5[[#This Row],[PID]],DraftResults[[#All],[Player ID]],0)),"")</f>
        <v>26</v>
      </c>
      <c r="AB518" s="50" t="str">
        <f>IFERROR(INDEX(DraftResults[[#All],[Team Name]],MATCH(Table5[[#This Row],[PID]],DraftResults[[#All],[Player ID]],0)),"")</f>
        <v>Aurora Borealis</v>
      </c>
      <c r="AC518" s="50">
        <f>IF(Table5[[#This Row],[Ovr]]="","",IF(Table5[[#This Row],[cmbList]]="","",Table5[[#This Row],[cmbList]]-Table5[[#This Row],[Ovr]]))</f>
        <v>338</v>
      </c>
      <c r="AD518" s="54" t="str">
        <f>IF(ISERROR(VLOOKUP($AB518&amp;"-"&amp;$E518&amp;" "&amp;F518,Bonuses!$B$1:$G$1006,4,FALSE)),"",INT(VLOOKUP($AB518&amp;"-"&amp;$E518&amp;" "&amp;$F518,Bonuses!$B$1:$G$1006,4,FALSE)))</f>
        <v/>
      </c>
      <c r="AE5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17.26 (514) - RF Jack Alirezam</v>
      </c>
    </row>
    <row r="519" spans="1:31" s="50" customFormat="1" x14ac:dyDescent="0.25">
      <c r="A519" s="50">
        <v>18245</v>
      </c>
      <c r="B519" s="50">
        <f>COUNTIF(Table5[PID],A519)</f>
        <v>1</v>
      </c>
      <c r="C519" s="50" t="str">
        <f>IF(COUNTIF(Table3[[#All],[PID]],A519)&gt;0,"P","B")</f>
        <v>P</v>
      </c>
      <c r="D519" s="59" t="str">
        <f>IF($C519="B",INDEX(Batters[[#All],[POS]],MATCH(Table5[[#This Row],[PID]],Batters[[#All],[PID]],0)),INDEX(Table3[[#All],[POS]],MATCH(Table5[[#This Row],[PID]],Table3[[#All],[PID]],0)))</f>
        <v>RP</v>
      </c>
      <c r="E519" s="52" t="str">
        <f>IF($C519="B",INDEX(Batters[[#All],[First]],MATCH(Table5[[#This Row],[PID]],Batters[[#All],[PID]],0)),INDEX(Table3[[#All],[First]],MATCH(Table5[[#This Row],[PID]],Table3[[#All],[PID]],0)))</f>
        <v>Tom</v>
      </c>
      <c r="F519" s="50" t="str">
        <f>IF($C519="B",INDEX(Batters[[#All],[Last]],MATCH(A519,Batters[[#All],[PID]],0)),INDEX(Table3[[#All],[Last]],MATCH(A519,Table3[[#All],[PID]],0)))</f>
        <v>Vélez</v>
      </c>
      <c r="G519" s="56">
        <f>IF($C519="B",INDEX(Batters[[#All],[Age]],MATCH(Table5[[#This Row],[PID]],Batters[[#All],[PID]],0)),INDEX(Table3[[#All],[Age]],MATCH(Table5[[#This Row],[PID]],Table3[[#All],[PID]],0)))</f>
        <v>18</v>
      </c>
      <c r="H519" s="52" t="str">
        <f>IF($C519="B",INDEX(Batters[[#All],[B]],MATCH(Table5[[#This Row],[PID]],Batters[[#All],[PID]],0)),INDEX(Table3[[#All],[B]],MATCH(Table5[[#This Row],[PID]],Table3[[#All],[PID]],0)))</f>
        <v>L</v>
      </c>
      <c r="I519" s="52" t="str">
        <f>IF($C519="B",INDEX(Batters[[#All],[T]],MATCH(Table5[[#This Row],[PID]],Batters[[#All],[PID]],0)),INDEX(Table3[[#All],[T]],MATCH(Table5[[#This Row],[PID]],Table3[[#All],[PID]],0)))</f>
        <v>L</v>
      </c>
      <c r="J519" s="52" t="str">
        <f>IF($C519="B",INDEX(Batters[[#All],[WE]],MATCH(Table5[[#This Row],[PID]],Batters[[#All],[PID]],0)),INDEX(Table3[[#All],[WE]],MATCH(Table5[[#This Row],[PID]],Table3[[#All],[PID]],0)))</f>
        <v>High</v>
      </c>
      <c r="K519" s="52" t="str">
        <f>IF($C519="B",INDEX(Batters[[#All],[INT]],MATCH(Table5[[#This Row],[PID]],Batters[[#All],[PID]],0)),INDEX(Table3[[#All],[INT]],MATCH(Table5[[#This Row],[PID]],Table3[[#All],[PID]],0)))</f>
        <v>Normal</v>
      </c>
      <c r="L519" s="60">
        <f>IF($C519="B",INDEX(Batters[[#All],[CON P]],MATCH(Table5[[#This Row],[PID]],Batters[[#All],[PID]],0)),INDEX(Table3[[#All],[STU P]],MATCH(Table5[[#This Row],[PID]],Table3[[#All],[PID]],0)))</f>
        <v>4</v>
      </c>
      <c r="M519" s="56">
        <f>IF($C519="B",INDEX(Batters[[#All],[GAP P]],MATCH(Table5[[#This Row],[PID]],Batters[[#All],[PID]],0)),INDEX(Table3[[#All],[MOV P]],MATCH(Table5[[#This Row],[PID]],Table3[[#All],[PID]],0)))</f>
        <v>1</v>
      </c>
      <c r="N519" s="56">
        <f>IF($C519="B",INDEX(Batters[[#All],[POW P]],MATCH(Table5[[#This Row],[PID]],Batters[[#All],[PID]],0)),INDEX(Table3[[#All],[CON P]],MATCH(Table5[[#This Row],[PID]],Table3[[#All],[PID]],0)))</f>
        <v>5</v>
      </c>
      <c r="O519" s="56" t="str">
        <f>IF($C519="B",INDEX(Batters[[#All],[EYE P]],MATCH(Table5[[#This Row],[PID]],Batters[[#All],[PID]],0)),INDEX(Table3[[#All],[VELO]],MATCH(Table5[[#This Row],[PID]],Table3[[#All],[PID]],0)))</f>
        <v>85-87 Mph</v>
      </c>
      <c r="P519" s="56">
        <f>IF($C519="B",INDEX(Batters[[#All],[K P]],MATCH(Table5[[#This Row],[PID]],Batters[[#All],[PID]],0)),INDEX(Table3[[#All],[STM]],MATCH(Table5[[#This Row],[PID]],Table3[[#All],[PID]],0)))</f>
        <v>8</v>
      </c>
      <c r="Q519" s="61">
        <f>IF($C519="B",INDEX(Batters[[#All],[Tot]],MATCH(Table5[[#This Row],[PID]],Batters[[#All],[PID]],0)),INDEX(Table3[[#All],[Tot]],MATCH(Table5[[#This Row],[PID]],Table3[[#All],[PID]],0)))</f>
        <v>41.095227162091717</v>
      </c>
      <c r="R519" s="52">
        <f>IF($C519="B",INDEX(Batters[[#All],[zScore]],MATCH(Table5[[#This Row],[PID]],Batters[[#All],[PID]],0)),INDEX(Table3[[#All],[zScore]],MATCH(Table5[[#This Row],[PID]],Table3[[#All],[PID]],0)))</f>
        <v>0.34759138154113495</v>
      </c>
      <c r="S519" s="58" t="str">
        <f>IF($C519="B",INDEX(Batters[[#All],[DEM]],MATCH(Table5[[#This Row],[PID]],Batters[[#All],[PID]],0)),INDEX(Table3[[#All],[DEM]],MATCH(Table5[[#This Row],[PID]],Table3[[#All],[PID]],0)))</f>
        <v>$65k</v>
      </c>
      <c r="T519" s="62">
        <f>IF($C519="B",INDEX(Batters[[#All],[Rnk]],MATCH(Table5[[#This Row],[PID]],Batters[[#All],[PID]],0)),INDEX(Table3[[#All],[Rnk]],MATCH(Table5[[#This Row],[PID]],Table3[[#All],[PID]],0)))</f>
        <v>233</v>
      </c>
      <c r="U519" s="68">
        <f>IF($C519="B",VLOOKUP($A519,Bat!$A$4:$BA$1621,47,FALSE),VLOOKUP($A519,Pit!$A$4:$BF$1557,56,FALSE))</f>
        <v>0</v>
      </c>
      <c r="V519" s="50">
        <f>IF($C519="B",VLOOKUP($A519,Bat!$A$4:$BA$1621,48,FALSE),VLOOKUP($A519,Pit!$A$4:$BF$1557,57,FALSE))</f>
        <v>0</v>
      </c>
      <c r="W519" s="50">
        <f>Table5[[#This Row],[posRnk]]+Table5[[#This Row],[zRnk]]+IF($W$3&lt;&gt;Table5[[#This Row],[Type]],50,0)</f>
        <v>683</v>
      </c>
      <c r="X519" s="51">
        <f>RANK(Table5[[#This Row],[zScore]],Table5[[#All],[zScore]])</f>
        <v>400</v>
      </c>
      <c r="Y519" s="50">
        <f>IFERROR(INDEX(DraftResults[[#All],[OVR]],MATCH(Table5[[#This Row],[PID]],DraftResults[[#All],[Player ID]],0)),"")</f>
        <v>515</v>
      </c>
      <c r="Z5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19" s="50">
        <f>IFERROR(INDEX(DraftResults[[#All],[Pick in Round]],MATCH(Table5[[#This Row],[PID]],DraftResults[[#All],[Player ID]],0)),"")</f>
        <v>27</v>
      </c>
      <c r="AB519" s="50" t="str">
        <f>IFERROR(INDEX(DraftResults[[#All],[Team Name]],MATCH(Table5[[#This Row],[PID]],DraftResults[[#All],[Player ID]],0)),"")</f>
        <v>Neo-Tokyo Akira</v>
      </c>
      <c r="AC519" s="50">
        <f>IF(Table5[[#This Row],[Ovr]]="","",IF(Table5[[#This Row],[cmbList]]="","",Table5[[#This Row],[cmbList]]-Table5[[#This Row],[Ovr]]))</f>
        <v>168</v>
      </c>
      <c r="AD519" s="54" t="str">
        <f>IF(ISERROR(VLOOKUP($AB519&amp;"-"&amp;$E519&amp;" "&amp;F519,Bonuses!$B$1:$G$1006,4,FALSE)),"",INT(VLOOKUP($AB519&amp;"-"&amp;$E519&amp;" "&amp;$F519,Bonuses!$B$1:$G$1006,4,FALSE)))</f>
        <v/>
      </c>
      <c r="AE5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17.27 (515) - RP Tom Vélez</v>
      </c>
    </row>
    <row r="520" spans="1:31" s="50" customFormat="1" x14ac:dyDescent="0.25">
      <c r="A520" s="68">
        <v>18350</v>
      </c>
      <c r="B520" s="69">
        <f>COUNTIF(Table5[PID],A520)</f>
        <v>1</v>
      </c>
      <c r="C520" s="69" t="str">
        <f>IF(COUNTIF(Table3[[#All],[PID]],A520)&gt;0,"P","B")</f>
        <v>P</v>
      </c>
      <c r="D520" s="59" t="str">
        <f>IF($C520="B",INDEX(Batters[[#All],[POS]],MATCH(Table5[[#This Row],[PID]],Batters[[#All],[PID]],0)),INDEX(Table3[[#All],[POS]],MATCH(Table5[[#This Row],[PID]],Table3[[#All],[PID]],0)))</f>
        <v>SP</v>
      </c>
      <c r="E520" s="52" t="str">
        <f>IF($C520="B",INDEX(Batters[[#All],[First]],MATCH(Table5[[#This Row],[PID]],Batters[[#All],[PID]],0)),INDEX(Table3[[#All],[First]],MATCH(Table5[[#This Row],[PID]],Table3[[#All],[PID]],0)))</f>
        <v>Max</v>
      </c>
      <c r="F520" s="55" t="str">
        <f>IF($C520="B",INDEX(Batters[[#All],[Last]],MATCH(A520,Batters[[#All],[PID]],0)),INDEX(Table3[[#All],[Last]],MATCH(A520,Table3[[#All],[PID]],0)))</f>
        <v>Kitchener</v>
      </c>
      <c r="G520" s="56">
        <f>IF($C520="B",INDEX(Batters[[#All],[Age]],MATCH(Table5[[#This Row],[PID]],Batters[[#All],[PID]],0)),INDEX(Table3[[#All],[Age]],MATCH(Table5[[#This Row],[PID]],Table3[[#All],[PID]],0)))</f>
        <v>18</v>
      </c>
      <c r="H520" s="52" t="str">
        <f>IF($C520="B",INDEX(Batters[[#All],[B]],MATCH(Table5[[#This Row],[PID]],Batters[[#All],[PID]],0)),INDEX(Table3[[#All],[B]],MATCH(Table5[[#This Row],[PID]],Table3[[#All],[PID]],0)))</f>
        <v>L</v>
      </c>
      <c r="I520" s="52" t="str">
        <f>IF($C520="B",INDEX(Batters[[#All],[T]],MATCH(Table5[[#This Row],[PID]],Batters[[#All],[PID]],0)),INDEX(Table3[[#All],[T]],MATCH(Table5[[#This Row],[PID]],Table3[[#All],[PID]],0)))</f>
        <v>L</v>
      </c>
      <c r="J520" s="71" t="str">
        <f>IF($C520="B",INDEX(Batters[[#All],[WE]],MATCH(Table5[[#This Row],[PID]],Batters[[#All],[PID]],0)),INDEX(Table3[[#All],[WE]],MATCH(Table5[[#This Row],[PID]],Table3[[#All],[PID]],0)))</f>
        <v>Low</v>
      </c>
      <c r="K520" s="52" t="str">
        <f>IF($C520="B",INDEX(Batters[[#All],[INT]],MATCH(Table5[[#This Row],[PID]],Batters[[#All],[PID]],0)),INDEX(Table3[[#All],[INT]],MATCH(Table5[[#This Row],[PID]],Table3[[#All],[PID]],0)))</f>
        <v>Normal</v>
      </c>
      <c r="L520" s="60">
        <f>IF($C520="B",INDEX(Batters[[#All],[CON P]],MATCH(Table5[[#This Row],[PID]],Batters[[#All],[PID]],0)),INDEX(Table3[[#All],[STU P]],MATCH(Table5[[#This Row],[PID]],Table3[[#All],[PID]],0)))</f>
        <v>3</v>
      </c>
      <c r="M520" s="72">
        <f>IF($C520="B",INDEX(Batters[[#All],[GAP P]],MATCH(Table5[[#This Row],[PID]],Batters[[#All],[PID]],0)),INDEX(Table3[[#All],[MOV P]],MATCH(Table5[[#This Row],[PID]],Table3[[#All],[PID]],0)))</f>
        <v>4</v>
      </c>
      <c r="N520" s="72">
        <f>IF($C520="B",INDEX(Batters[[#All],[POW P]],MATCH(Table5[[#This Row],[PID]],Batters[[#All],[PID]],0)),INDEX(Table3[[#All],[CON P]],MATCH(Table5[[#This Row],[PID]],Table3[[#All],[PID]],0)))</f>
        <v>3</v>
      </c>
      <c r="O520" s="72" t="str">
        <f>IF($C520="B",INDEX(Batters[[#All],[EYE P]],MATCH(Table5[[#This Row],[PID]],Batters[[#All],[PID]],0)),INDEX(Table3[[#All],[VELO]],MATCH(Table5[[#This Row],[PID]],Table3[[#All],[PID]],0)))</f>
        <v>86-88 Mph</v>
      </c>
      <c r="P520" s="56">
        <f>IF($C520="B",INDEX(Batters[[#All],[K P]],MATCH(Table5[[#This Row],[PID]],Batters[[#All],[PID]],0)),INDEX(Table3[[#All],[STM]],MATCH(Table5[[#This Row],[PID]],Table3[[#All],[PID]],0)))</f>
        <v>9</v>
      </c>
      <c r="Q520" s="61">
        <f>IF($C520="B",INDEX(Batters[[#All],[Tot]],MATCH(Table5[[#This Row],[PID]],Batters[[#All],[PID]],0)),INDEX(Table3[[#All],[Tot]],MATCH(Table5[[#This Row],[PID]],Table3[[#All],[PID]],0)))</f>
        <v>38.755741467567525</v>
      </c>
      <c r="R520" s="52">
        <f>IF($C520="B",INDEX(Batters[[#All],[zScore]],MATCH(Table5[[#This Row],[PID]],Batters[[#All],[PID]],0)),INDEX(Table3[[#All],[zScore]],MATCH(Table5[[#This Row],[PID]],Table3[[#All],[PID]],0)))</f>
        <v>6.5209334952701592E-2</v>
      </c>
      <c r="S520" s="78" t="str">
        <f>IF($C520="B",INDEX(Batters[[#All],[DEM]],MATCH(Table5[[#This Row],[PID]],Batters[[#All],[PID]],0)),INDEX(Table3[[#All],[DEM]],MATCH(Table5[[#This Row],[PID]],Table3[[#All],[PID]],0)))</f>
        <v>$100k</v>
      </c>
      <c r="T520" s="75">
        <f>IF($C520="B",INDEX(Batters[[#All],[Rnk]],MATCH(Table5[[#This Row],[PID]],Batters[[#All],[PID]],0)),INDEX(Table3[[#All],[Rnk]],MATCH(Table5[[#This Row],[PID]],Table3[[#All],[PID]],0)))</f>
        <v>295</v>
      </c>
      <c r="U520" s="68">
        <f>IF($C520="B",VLOOKUP($A520,Bat!$A$4:$BA$1621,47,FALSE),VLOOKUP($A520,Pit!$A$4:$BF$1557,56,FALSE))</f>
        <v>0</v>
      </c>
      <c r="V520" s="50">
        <f>IF($C520="B",VLOOKUP($A520,Bat!$A$4:$BA$1621,48,FALSE),VLOOKUP($A520,Pit!$A$4:$BF$1557,57,FALSE))</f>
        <v>0</v>
      </c>
      <c r="W520" s="69">
        <f>Table5[[#This Row],[posRnk]]+Table5[[#This Row],[zRnk]]+IF($W$3&lt;&gt;Table5[[#This Row],[Type]],50,0)</f>
        <v>868</v>
      </c>
      <c r="X520" s="73">
        <f>RANK(Table5[[#This Row],[zScore]],Table5[[#All],[zScore]])</f>
        <v>523</v>
      </c>
      <c r="Y520" s="69">
        <f>IFERROR(INDEX(DraftResults[[#All],[OVR]],MATCH(Table5[[#This Row],[PID]],DraftResults[[#All],[Player ID]],0)),"")</f>
        <v>516</v>
      </c>
      <c r="Z5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20" s="69">
        <f>IFERROR(INDEX(DraftResults[[#All],[Pick in Round]],MATCH(Table5[[#This Row],[PID]],DraftResults[[#All],[Player ID]],0)),"")</f>
        <v>28</v>
      </c>
      <c r="AB520" s="69" t="str">
        <f>IFERROR(INDEX(DraftResults[[#All],[Team Name]],MATCH(Table5[[#This Row],[PID]],DraftResults[[#All],[Player ID]],0)),"")</f>
        <v>San Juan Coqui</v>
      </c>
      <c r="AC520" s="69">
        <f>IF(Table5[[#This Row],[Ovr]]="","",IF(Table5[[#This Row],[cmbList]]="","",Table5[[#This Row],[cmbList]]-Table5[[#This Row],[Ovr]]))</f>
        <v>352</v>
      </c>
      <c r="AD520" s="77" t="str">
        <f>IF(ISERROR(VLOOKUP($AB520&amp;"-"&amp;$E520&amp;" "&amp;F520,Bonuses!$B$1:$G$1006,4,FALSE)),"",INT(VLOOKUP($AB520&amp;"-"&amp;$E520&amp;" "&amp;$F520,Bonuses!$B$1:$G$1006,4,FALSE)))</f>
        <v/>
      </c>
      <c r="AE5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17.28 (516) - SP Max Kitchener</v>
      </c>
    </row>
    <row r="521" spans="1:31" s="50" customFormat="1" x14ac:dyDescent="0.25">
      <c r="A521" s="50">
        <v>18127</v>
      </c>
      <c r="B521" s="50">
        <f>COUNTIF(Table5[PID],A521)</f>
        <v>1</v>
      </c>
      <c r="C521" s="50" t="str">
        <f>IF(COUNTIF(Table3[[#All],[PID]],A521)&gt;0,"P","B")</f>
        <v>B</v>
      </c>
      <c r="D521" s="59" t="str">
        <f>IF($C521="B",INDEX(Batters[[#All],[POS]],MATCH(Table5[[#This Row],[PID]],Batters[[#All],[PID]],0)),INDEX(Table3[[#All],[POS]],MATCH(Table5[[#This Row],[PID]],Table3[[#All],[PID]],0)))</f>
        <v>RF</v>
      </c>
      <c r="E521" s="52" t="str">
        <f>IF($C521="B",INDEX(Batters[[#All],[First]],MATCH(Table5[[#This Row],[PID]],Batters[[#All],[PID]],0)),INDEX(Table3[[#All],[First]],MATCH(Table5[[#This Row],[PID]],Table3[[#All],[PID]],0)))</f>
        <v>Casey</v>
      </c>
      <c r="F521" s="50" t="str">
        <f>IF($C521="B",INDEX(Batters[[#All],[Last]],MATCH(A521,Batters[[#All],[PID]],0)),INDEX(Table3[[#All],[Last]],MATCH(A521,Table3[[#All],[PID]],0)))</f>
        <v>Davis</v>
      </c>
      <c r="G521" s="56">
        <f>IF($C521="B",INDEX(Batters[[#All],[Age]],MATCH(Table5[[#This Row],[PID]],Batters[[#All],[PID]],0)),INDEX(Table3[[#All],[Age]],MATCH(Table5[[#This Row],[PID]],Table3[[#All],[PID]],0)))</f>
        <v>21</v>
      </c>
      <c r="H521" s="52" t="str">
        <f>IF($C521="B",INDEX(Batters[[#All],[B]],MATCH(Table5[[#This Row],[PID]],Batters[[#All],[PID]],0)),INDEX(Table3[[#All],[B]],MATCH(Table5[[#This Row],[PID]],Table3[[#All],[PID]],0)))</f>
        <v>R</v>
      </c>
      <c r="I521" s="52" t="str">
        <f>IF($C521="B",INDEX(Batters[[#All],[T]],MATCH(Table5[[#This Row],[PID]],Batters[[#All],[PID]],0)),INDEX(Table3[[#All],[T]],MATCH(Table5[[#This Row],[PID]],Table3[[#All],[PID]],0)))</f>
        <v>R</v>
      </c>
      <c r="J521" s="52" t="str">
        <f>IF($C521="B",INDEX(Batters[[#All],[WE]],MATCH(Table5[[#This Row],[PID]],Batters[[#All],[PID]],0)),INDEX(Table3[[#All],[WE]],MATCH(Table5[[#This Row],[PID]],Table3[[#All],[PID]],0)))</f>
        <v>Normal</v>
      </c>
      <c r="K521" s="52" t="str">
        <f>IF($C521="B",INDEX(Batters[[#All],[INT]],MATCH(Table5[[#This Row],[PID]],Batters[[#All],[PID]],0)),INDEX(Table3[[#All],[INT]],MATCH(Table5[[#This Row],[PID]],Table3[[#All],[PID]],0)))</f>
        <v>Normal</v>
      </c>
      <c r="L521" s="60">
        <f>IF($C521="B",INDEX(Batters[[#All],[CON P]],MATCH(Table5[[#This Row],[PID]],Batters[[#All],[PID]],0)),INDEX(Table3[[#All],[STU P]],MATCH(Table5[[#This Row],[PID]],Table3[[#All],[PID]],0)))</f>
        <v>4</v>
      </c>
      <c r="M521" s="56">
        <f>IF($C521="B",INDEX(Batters[[#All],[GAP P]],MATCH(Table5[[#This Row],[PID]],Batters[[#All],[PID]],0)),INDEX(Table3[[#All],[MOV P]],MATCH(Table5[[#This Row],[PID]],Table3[[#All],[PID]],0)))</f>
        <v>4</v>
      </c>
      <c r="N521" s="56">
        <f>IF($C521="B",INDEX(Batters[[#All],[POW P]],MATCH(Table5[[#This Row],[PID]],Batters[[#All],[PID]],0)),INDEX(Table3[[#All],[CON P]],MATCH(Table5[[#This Row],[PID]],Table3[[#All],[PID]],0)))</f>
        <v>4</v>
      </c>
      <c r="O521" s="56">
        <f>IF($C521="B",INDEX(Batters[[#All],[EYE P]],MATCH(Table5[[#This Row],[PID]],Batters[[#All],[PID]],0)),INDEX(Table3[[#All],[VELO]],MATCH(Table5[[#This Row],[PID]],Table3[[#All],[PID]],0)))</f>
        <v>5</v>
      </c>
      <c r="P521" s="56">
        <f>IF($C521="B",INDEX(Batters[[#All],[K P]],MATCH(Table5[[#This Row],[PID]],Batters[[#All],[PID]],0)),INDEX(Table3[[#All],[STM]],MATCH(Table5[[#This Row],[PID]],Table3[[#All],[PID]],0)))</f>
        <v>4</v>
      </c>
      <c r="Q521" s="61">
        <f>IF($C521="B",INDEX(Batters[[#All],[Tot]],MATCH(Table5[[#This Row],[PID]],Batters[[#All],[PID]],0)),INDEX(Table3[[#All],[Tot]],MATCH(Table5[[#This Row],[PID]],Table3[[#All],[PID]],0)))</f>
        <v>42.697495057723756</v>
      </c>
      <c r="R521" s="52">
        <f>IF($C521="B",INDEX(Batters[[#All],[zScore]],MATCH(Table5[[#This Row],[PID]],Batters[[#All],[PID]],0)),INDEX(Table3[[#All],[zScore]],MATCH(Table5[[#This Row],[PID]],Table3[[#All],[PID]],0)))</f>
        <v>-0.31802607793495519</v>
      </c>
      <c r="S521" s="58" t="str">
        <f>IF($C521="B",INDEX(Batters[[#All],[DEM]],MATCH(Table5[[#This Row],[PID]],Batters[[#All],[PID]],0)),INDEX(Table3[[#All],[DEM]],MATCH(Table5[[#This Row],[PID]],Table3[[#All],[PID]],0)))</f>
        <v>-</v>
      </c>
      <c r="T521" s="62">
        <f>IF($C521="B",INDEX(Batters[[#All],[Rnk]],MATCH(Table5[[#This Row],[PID]],Batters[[#All],[PID]],0)),INDEX(Table3[[#All],[Rnk]],MATCH(Table5[[#This Row],[PID]],Table3[[#All],[PID]],0)))</f>
        <v>305</v>
      </c>
      <c r="U521" s="68">
        <f>IF($C521="B",VLOOKUP($A521,Bat!$A$4:$BA$1621,47,FALSE),VLOOKUP($A521,Pit!$A$4:$BF$1557,56,FALSE))</f>
        <v>0</v>
      </c>
      <c r="V521" s="50">
        <f>IF($C521="B",VLOOKUP($A521,Bat!$A$4:$BA$1621,48,FALSE),VLOOKUP($A521,Pit!$A$4:$BF$1557,57,FALSE))</f>
        <v>0</v>
      </c>
      <c r="W521" s="50">
        <f>Table5[[#This Row],[posRnk]]+Table5[[#This Row],[zRnk]]+IF($W$3&lt;&gt;Table5[[#This Row],[Type]],50,0)</f>
        <v>1093</v>
      </c>
      <c r="X521" s="51">
        <f>RANK(Table5[[#This Row],[zScore]],Table5[[#All],[zScore]])</f>
        <v>738</v>
      </c>
      <c r="Y521" s="50">
        <f>IFERROR(INDEX(DraftResults[[#All],[OVR]],MATCH(Table5[[#This Row],[PID]],DraftResults[[#All],[Player ID]],0)),"")</f>
        <v>517</v>
      </c>
      <c r="Z5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21" s="50">
        <f>IFERROR(INDEX(DraftResults[[#All],[Pick in Round]],MATCH(Table5[[#This Row],[PID]],DraftResults[[#All],[Player ID]],0)),"")</f>
        <v>29</v>
      </c>
      <c r="AB521" s="50" t="str">
        <f>IFERROR(INDEX(DraftResults[[#All],[Team Name]],MATCH(Table5[[#This Row],[PID]],DraftResults[[#All],[Player ID]],0)),"")</f>
        <v>Havana Leones</v>
      </c>
      <c r="AC521" s="50">
        <f>IF(Table5[[#This Row],[Ovr]]="","",IF(Table5[[#This Row],[cmbList]]="","",Table5[[#This Row],[cmbList]]-Table5[[#This Row],[Ovr]]))</f>
        <v>576</v>
      </c>
      <c r="AD521" s="54" t="str">
        <f>IF(ISERROR(VLOOKUP($AB521&amp;"-"&amp;$E521&amp;" "&amp;F521,Bonuses!$B$1:$G$1006,4,FALSE)),"",INT(VLOOKUP($AB521&amp;"-"&amp;$E521&amp;" "&amp;$F521,Bonuses!$B$1:$G$1006,4,FALSE)))</f>
        <v/>
      </c>
      <c r="AE5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17.29 (517) - RF Casey Davis</v>
      </c>
    </row>
    <row r="522" spans="1:31" s="50" customFormat="1" x14ac:dyDescent="0.25">
      <c r="A522" s="50">
        <v>16919</v>
      </c>
      <c r="B522" s="50">
        <f>COUNTIF(Table5[PID],A522)</f>
        <v>1</v>
      </c>
      <c r="C522" s="50" t="str">
        <f>IF(COUNTIF(Table3[[#All],[PID]],A522)&gt;0,"P","B")</f>
        <v>B</v>
      </c>
      <c r="D522" s="59" t="str">
        <f>IF($C522="B",INDEX(Batters[[#All],[POS]],MATCH(Table5[[#This Row],[PID]],Batters[[#All],[PID]],0)),INDEX(Table3[[#All],[POS]],MATCH(Table5[[#This Row],[PID]],Table3[[#All],[PID]],0)))</f>
        <v>SS</v>
      </c>
      <c r="E522" s="52" t="str">
        <f>IF($C522="B",INDEX(Batters[[#All],[First]],MATCH(Table5[[#This Row],[PID]],Batters[[#All],[PID]],0)),INDEX(Table3[[#All],[First]],MATCH(Table5[[#This Row],[PID]],Table3[[#All],[PID]],0)))</f>
        <v>Ernest</v>
      </c>
      <c r="F522" s="50" t="str">
        <f>IF($C522="B",INDEX(Batters[[#All],[Last]],MATCH(A522,Batters[[#All],[PID]],0)),INDEX(Table3[[#All],[Last]],MATCH(A522,Table3[[#All],[PID]],0)))</f>
        <v>Everhart</v>
      </c>
      <c r="G522" s="56">
        <f>IF($C522="B",INDEX(Batters[[#All],[Age]],MATCH(Table5[[#This Row],[PID]],Batters[[#All],[PID]],0)),INDEX(Table3[[#All],[Age]],MATCH(Table5[[#This Row],[PID]],Table3[[#All],[PID]],0)))</f>
        <v>21</v>
      </c>
      <c r="H522" s="52" t="str">
        <f>IF($C522="B",INDEX(Batters[[#All],[B]],MATCH(Table5[[#This Row],[PID]],Batters[[#All],[PID]],0)),INDEX(Table3[[#All],[B]],MATCH(Table5[[#This Row],[PID]],Table3[[#All],[PID]],0)))</f>
        <v>S</v>
      </c>
      <c r="I522" s="52" t="str">
        <f>IF($C522="B",INDEX(Batters[[#All],[T]],MATCH(Table5[[#This Row],[PID]],Batters[[#All],[PID]],0)),INDEX(Table3[[#All],[T]],MATCH(Table5[[#This Row],[PID]],Table3[[#All],[PID]],0)))</f>
        <v>R</v>
      </c>
      <c r="J522" s="52" t="str">
        <f>IF($C522="B",INDEX(Batters[[#All],[WE]],MATCH(Table5[[#This Row],[PID]],Batters[[#All],[PID]],0)),INDEX(Table3[[#All],[WE]],MATCH(Table5[[#This Row],[PID]],Table3[[#All],[PID]],0)))</f>
        <v>Normal</v>
      </c>
      <c r="K522" s="52" t="str">
        <f>IF($C522="B",INDEX(Batters[[#All],[INT]],MATCH(Table5[[#This Row],[PID]],Batters[[#All],[PID]],0)),INDEX(Table3[[#All],[INT]],MATCH(Table5[[#This Row],[PID]],Table3[[#All],[PID]],0)))</f>
        <v>Normal</v>
      </c>
      <c r="L522" s="60">
        <f>IF($C522="B",INDEX(Batters[[#All],[CON P]],MATCH(Table5[[#This Row],[PID]],Batters[[#All],[PID]],0)),INDEX(Table3[[#All],[STU P]],MATCH(Table5[[#This Row],[PID]],Table3[[#All],[PID]],0)))</f>
        <v>3</v>
      </c>
      <c r="M522" s="56">
        <f>IF($C522="B",INDEX(Batters[[#All],[GAP P]],MATCH(Table5[[#This Row],[PID]],Batters[[#All],[PID]],0)),INDEX(Table3[[#All],[MOV P]],MATCH(Table5[[#This Row],[PID]],Table3[[#All],[PID]],0)))</f>
        <v>5</v>
      </c>
      <c r="N522" s="56">
        <f>IF($C522="B",INDEX(Batters[[#All],[POW P]],MATCH(Table5[[#This Row],[PID]],Batters[[#All],[PID]],0)),INDEX(Table3[[#All],[CON P]],MATCH(Table5[[#This Row],[PID]],Table3[[#All],[PID]],0)))</f>
        <v>4</v>
      </c>
      <c r="O522" s="56">
        <f>IF($C522="B",INDEX(Batters[[#All],[EYE P]],MATCH(Table5[[#This Row],[PID]],Batters[[#All],[PID]],0)),INDEX(Table3[[#All],[VELO]],MATCH(Table5[[#This Row],[PID]],Table3[[#All],[PID]],0)))</f>
        <v>4</v>
      </c>
      <c r="P522" s="56">
        <f>IF($C522="B",INDEX(Batters[[#All],[K P]],MATCH(Table5[[#This Row],[PID]],Batters[[#All],[PID]],0)),INDEX(Table3[[#All],[STM]],MATCH(Table5[[#This Row],[PID]],Table3[[#All],[PID]],0)))</f>
        <v>4</v>
      </c>
      <c r="Q522" s="61">
        <f>IF($C522="B",INDEX(Batters[[#All],[Tot]],MATCH(Table5[[#This Row],[PID]],Batters[[#All],[PID]],0)),INDEX(Table3[[#All],[Tot]],MATCH(Table5[[#This Row],[PID]],Table3[[#All],[PID]],0)))</f>
        <v>38.658390302615643</v>
      </c>
      <c r="R522" s="52">
        <f>IF($C522="B",INDEX(Batters[[#All],[zScore]],MATCH(Table5[[#This Row],[PID]],Batters[[#All],[PID]],0)),INDEX(Table3[[#All],[zScore]],MATCH(Table5[[#This Row],[PID]],Table3[[#All],[PID]],0)))</f>
        <v>-1.2135229039567608</v>
      </c>
      <c r="S522" s="58" t="str">
        <f>IF($C522="B",INDEX(Batters[[#All],[DEM]],MATCH(Table5[[#This Row],[PID]],Batters[[#All],[PID]],0)),INDEX(Table3[[#All],[DEM]],MATCH(Table5[[#This Row],[PID]],Table3[[#All],[PID]],0)))</f>
        <v>$20k</v>
      </c>
      <c r="T522" s="62">
        <f>IF($C522="B",INDEX(Batters[[#All],[Rnk]],MATCH(Table5[[#This Row],[PID]],Batters[[#All],[PID]],0)),INDEX(Table3[[#All],[Rnk]],MATCH(Table5[[#This Row],[PID]],Table3[[#All],[PID]],0)))</f>
        <v>467</v>
      </c>
      <c r="U522" s="68">
        <f>IF($C522="B",VLOOKUP($A522,Bat!$A$4:$BA$1621,47,FALSE),VLOOKUP($A522,Pit!$A$4:$BF$1557,56,FALSE))</f>
        <v>0</v>
      </c>
      <c r="V522" s="50">
        <f>IF($C522="B",VLOOKUP($A522,Bat!$A$4:$BA$1621,48,FALSE),VLOOKUP($A522,Pit!$A$4:$BF$1557,57,FALSE))</f>
        <v>0</v>
      </c>
      <c r="W522" s="50">
        <f>Table5[[#This Row],[posRnk]]+Table5[[#This Row],[zRnk]]+IF($W$3&lt;&gt;Table5[[#This Row],[Type]],50,0)</f>
        <v>1727</v>
      </c>
      <c r="X522" s="51">
        <f>RANK(Table5[[#This Row],[zScore]],Table5[[#All],[zScore]])</f>
        <v>1210</v>
      </c>
      <c r="Y522" s="50">
        <f>IFERROR(INDEX(DraftResults[[#All],[OVR]],MATCH(Table5[[#This Row],[PID]],DraftResults[[#All],[Player ID]],0)),"")</f>
        <v>518</v>
      </c>
      <c r="Z5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17</v>
      </c>
      <c r="AA522" s="50">
        <f>IFERROR(INDEX(DraftResults[[#All],[Pick in Round]],MATCH(Table5[[#This Row],[PID]],DraftResults[[#All],[Player ID]],0)),"")</f>
        <v>30</v>
      </c>
      <c r="AB522" s="50" t="str">
        <f>IFERROR(INDEX(DraftResults[[#All],[Team Name]],MATCH(Table5[[#This Row],[PID]],DraftResults[[#All],[Player ID]],0)),"")</f>
        <v>Florida Farstriders</v>
      </c>
      <c r="AC522" s="50">
        <f>IF(Table5[[#This Row],[Ovr]]="","",IF(Table5[[#This Row],[cmbList]]="","",Table5[[#This Row],[cmbList]]-Table5[[#This Row],[Ovr]]))</f>
        <v>1209</v>
      </c>
      <c r="AD522" s="54" t="str">
        <f>IF(ISERROR(VLOOKUP($AB522&amp;"-"&amp;$E522&amp;" "&amp;F522,Bonuses!$B$1:$G$1006,4,FALSE)),"",INT(VLOOKUP($AB522&amp;"-"&amp;$E522&amp;" "&amp;$F522,Bonuses!$B$1:$G$1006,4,FALSE)))</f>
        <v/>
      </c>
      <c r="AE5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17.30 (518) - SS Ernest Everhart</v>
      </c>
    </row>
    <row r="523" spans="1:31" s="50" customFormat="1" x14ac:dyDescent="0.25">
      <c r="A523" s="50">
        <v>20364</v>
      </c>
      <c r="B523" s="50">
        <f>COUNTIF(Table5[PID],A523)</f>
        <v>1</v>
      </c>
      <c r="C523" s="50" t="str">
        <f>IF(COUNTIF(Table3[[#All],[PID]],A523)&gt;0,"P","B")</f>
        <v>B</v>
      </c>
      <c r="D523" s="59" t="str">
        <f>IF($C523="B",INDEX(Batters[[#All],[POS]],MATCH(Table5[[#This Row],[PID]],Batters[[#All],[PID]],0)),INDEX(Table3[[#All],[POS]],MATCH(Table5[[#This Row],[PID]],Table3[[#All],[PID]],0)))</f>
        <v>C</v>
      </c>
      <c r="E523" s="52" t="str">
        <f>IF($C523="B",INDEX(Batters[[#All],[First]],MATCH(Table5[[#This Row],[PID]],Batters[[#All],[PID]],0)),INDEX(Table3[[#All],[First]],MATCH(Table5[[#This Row],[PID]],Table3[[#All],[PID]],0)))</f>
        <v>Ken</v>
      </c>
      <c r="F523" s="50" t="str">
        <f>IF($C523="B",INDEX(Batters[[#All],[Last]],MATCH(A523,Batters[[#All],[PID]],0)),INDEX(Table3[[#All],[Last]],MATCH(A523,Table3[[#All],[PID]],0)))</f>
        <v>Jones</v>
      </c>
      <c r="G523" s="56">
        <f>IF($C523="B",INDEX(Batters[[#All],[Age]],MATCH(Table5[[#This Row],[PID]],Batters[[#All],[PID]],0)),INDEX(Table3[[#All],[Age]],MATCH(Table5[[#This Row],[PID]],Table3[[#All],[PID]],0)))</f>
        <v>17</v>
      </c>
      <c r="H523" s="52" t="str">
        <f>IF($C523="B",INDEX(Batters[[#All],[B]],MATCH(Table5[[#This Row],[PID]],Batters[[#All],[PID]],0)),INDEX(Table3[[#All],[B]],MATCH(Table5[[#This Row],[PID]],Table3[[#All],[PID]],0)))</f>
        <v>R</v>
      </c>
      <c r="I523" s="52" t="str">
        <f>IF($C523="B",INDEX(Batters[[#All],[T]],MATCH(Table5[[#This Row],[PID]],Batters[[#All],[PID]],0)),INDEX(Table3[[#All],[T]],MATCH(Table5[[#This Row],[PID]],Table3[[#All],[PID]],0)))</f>
        <v>R</v>
      </c>
      <c r="J523" s="52" t="str">
        <f>IF($C523="B",INDEX(Batters[[#All],[WE]],MATCH(Table5[[#This Row],[PID]],Batters[[#All],[PID]],0)),INDEX(Table3[[#All],[WE]],MATCH(Table5[[#This Row],[PID]],Table3[[#All],[PID]],0)))</f>
        <v>High</v>
      </c>
      <c r="K523" s="52" t="str">
        <f>IF($C523="B",INDEX(Batters[[#All],[INT]],MATCH(Table5[[#This Row],[PID]],Batters[[#All],[PID]],0)),INDEX(Table3[[#All],[INT]],MATCH(Table5[[#This Row],[PID]],Table3[[#All],[PID]],0)))</f>
        <v>Normal</v>
      </c>
      <c r="L523" s="60">
        <f>IF($C523="B",INDEX(Batters[[#All],[CON P]],MATCH(Table5[[#This Row],[PID]],Batters[[#All],[PID]],0)),INDEX(Table3[[#All],[STU P]],MATCH(Table5[[#This Row],[PID]],Table3[[#All],[PID]],0)))</f>
        <v>2</v>
      </c>
      <c r="M523" s="56">
        <f>IF($C523="B",INDEX(Batters[[#All],[GAP P]],MATCH(Table5[[#This Row],[PID]],Batters[[#All],[PID]],0)),INDEX(Table3[[#All],[MOV P]],MATCH(Table5[[#This Row],[PID]],Table3[[#All],[PID]],0)))</f>
        <v>6</v>
      </c>
      <c r="N523" s="56">
        <f>IF($C523="B",INDEX(Batters[[#All],[POW P]],MATCH(Table5[[#This Row],[PID]],Batters[[#All],[PID]],0)),INDEX(Table3[[#All],[CON P]],MATCH(Table5[[#This Row],[PID]],Table3[[#All],[PID]],0)))</f>
        <v>7</v>
      </c>
      <c r="O523" s="56">
        <f>IF($C523="B",INDEX(Batters[[#All],[EYE P]],MATCH(Table5[[#This Row],[PID]],Batters[[#All],[PID]],0)),INDEX(Table3[[#All],[VELO]],MATCH(Table5[[#This Row],[PID]],Table3[[#All],[PID]],0)))</f>
        <v>6</v>
      </c>
      <c r="P523" s="56">
        <f>IF($C523="B",INDEX(Batters[[#All],[K P]],MATCH(Table5[[#This Row],[PID]],Batters[[#All],[PID]],0)),INDEX(Table3[[#All],[STM]],MATCH(Table5[[#This Row],[PID]],Table3[[#All],[PID]],0)))</f>
        <v>2</v>
      </c>
      <c r="Q523" s="61">
        <f>IF($C523="B",INDEX(Batters[[#All],[Tot]],MATCH(Table5[[#This Row],[PID]],Batters[[#All],[PID]],0)),INDEX(Table3[[#All],[Tot]],MATCH(Table5[[#This Row],[PID]],Table3[[#All],[PID]],0)))</f>
        <v>43.909977260874285</v>
      </c>
      <c r="R523" s="52">
        <f>IF($C523="B",INDEX(Batters[[#All],[zScore]],MATCH(Table5[[#This Row],[PID]],Batters[[#All],[PID]],0)),INDEX(Table3[[#All],[zScore]],MATCH(Table5[[#This Row],[PID]],Table3[[#All],[PID]],0)))</f>
        <v>-4.9210577877402829E-2</v>
      </c>
      <c r="S523" s="58" t="str">
        <f>IF($C523="B",INDEX(Batters[[#All],[DEM]],MATCH(Table5[[#This Row],[PID]],Batters[[#All],[PID]],0)),INDEX(Table3[[#All],[DEM]],MATCH(Table5[[#This Row],[PID]],Table3[[#All],[PID]],0)))</f>
        <v>$38k</v>
      </c>
      <c r="T523" s="62">
        <f>IF($C523="B",INDEX(Batters[[#All],[Rnk]],MATCH(Table5[[#This Row],[PID]],Batters[[#All],[PID]],0)),INDEX(Table3[[#All],[Rnk]],MATCH(Table5[[#This Row],[PID]],Table3[[#All],[PID]],0)))</f>
        <v>254</v>
      </c>
      <c r="U523" s="68">
        <f>IF($C523="B",VLOOKUP($A523,Bat!$A$4:$BA$1621,47,FALSE),VLOOKUP($A523,Pit!$A$4:$BF$1557,56,FALSE))</f>
        <v>0</v>
      </c>
      <c r="V523" s="50">
        <f>IF($C523="B",VLOOKUP($A523,Bat!$A$4:$BA$1621,48,FALSE),VLOOKUP($A523,Pit!$A$4:$BF$1557,57,FALSE))</f>
        <v>0</v>
      </c>
      <c r="W523" s="50">
        <f>Table5[[#This Row],[posRnk]]+Table5[[#This Row],[zRnk]]+IF($W$3&lt;&gt;Table5[[#This Row],[Type]],50,0)</f>
        <v>883</v>
      </c>
      <c r="X523" s="51">
        <f>RANK(Table5[[#This Row],[zScore]],Table5[[#All],[zScore]])</f>
        <v>579</v>
      </c>
      <c r="Y523" s="50">
        <f>IFERROR(INDEX(DraftResults[[#All],[OVR]],MATCH(Table5[[#This Row],[PID]],DraftResults[[#All],[Player ID]],0)),"")</f>
        <v>519</v>
      </c>
      <c r="Z5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3" s="50">
        <f>IFERROR(INDEX(DraftResults[[#All],[Pick in Round]],MATCH(Table5[[#This Row],[PID]],DraftResults[[#All],[Player ID]],0)),"")</f>
        <v>1</v>
      </c>
      <c r="AB523" s="50" t="str">
        <f>IFERROR(INDEX(DraftResults[[#All],[Team Name]],MATCH(Table5[[#This Row],[PID]],DraftResults[[#All],[Player ID]],0)),"")</f>
        <v>Yuma Arroyos</v>
      </c>
      <c r="AC523" s="50">
        <f>IF(Table5[[#This Row],[Ovr]]="","",IF(Table5[[#This Row],[cmbList]]="","",Table5[[#This Row],[cmbList]]-Table5[[#This Row],[Ovr]]))</f>
        <v>364</v>
      </c>
      <c r="AD523" s="54" t="str">
        <f>IF(ISERROR(VLOOKUP($AB523&amp;"-"&amp;$E523&amp;" "&amp;F523,Bonuses!$B$1:$G$1006,4,FALSE)),"",INT(VLOOKUP($AB523&amp;"-"&amp;$E523&amp;" "&amp;$F523,Bonuses!$B$1:$G$1006,4,FALSE)))</f>
        <v/>
      </c>
      <c r="AE5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 (519) - C Ken Jones</v>
      </c>
    </row>
    <row r="524" spans="1:31" s="50" customFormat="1" x14ac:dyDescent="0.25">
      <c r="A524" s="50">
        <v>20943</v>
      </c>
      <c r="B524" s="50">
        <f>COUNTIF(Table5[PID],A524)</f>
        <v>1</v>
      </c>
      <c r="C524" s="50" t="str">
        <f>IF(COUNTIF(Table3[[#All],[PID]],A524)&gt;0,"P","B")</f>
        <v>B</v>
      </c>
      <c r="D524" s="59" t="str">
        <f>IF($C524="B",INDEX(Batters[[#All],[POS]],MATCH(Table5[[#This Row],[PID]],Batters[[#All],[PID]],0)),INDEX(Table3[[#All],[POS]],MATCH(Table5[[#This Row],[PID]],Table3[[#All],[PID]],0)))</f>
        <v>SS</v>
      </c>
      <c r="E524" s="52" t="str">
        <f>IF($C524="B",INDEX(Batters[[#All],[First]],MATCH(Table5[[#This Row],[PID]],Batters[[#All],[PID]],0)),INDEX(Table3[[#All],[First]],MATCH(Table5[[#This Row],[PID]],Table3[[#All],[PID]],0)))</f>
        <v>Doug</v>
      </c>
      <c r="F524" s="50" t="str">
        <f>IF($C524="B",INDEX(Batters[[#All],[Last]],MATCH(A524,Batters[[#All],[PID]],0)),INDEX(Table3[[#All],[Last]],MATCH(A524,Table3[[#All],[PID]],0)))</f>
        <v>Hester</v>
      </c>
      <c r="G524" s="56">
        <f>IF($C524="B",INDEX(Batters[[#All],[Age]],MATCH(Table5[[#This Row],[PID]],Batters[[#All],[PID]],0)),INDEX(Table3[[#All],[Age]],MATCH(Table5[[#This Row],[PID]],Table3[[#All],[PID]],0)))</f>
        <v>17</v>
      </c>
      <c r="H524" s="52" t="str">
        <f>IF($C524="B",INDEX(Batters[[#All],[B]],MATCH(Table5[[#This Row],[PID]],Batters[[#All],[PID]],0)),INDEX(Table3[[#All],[B]],MATCH(Table5[[#This Row],[PID]],Table3[[#All],[PID]],0)))</f>
        <v>R</v>
      </c>
      <c r="I524" s="52" t="str">
        <f>IF($C524="B",INDEX(Batters[[#All],[T]],MATCH(Table5[[#This Row],[PID]],Batters[[#All],[PID]],0)),INDEX(Table3[[#All],[T]],MATCH(Table5[[#This Row],[PID]],Table3[[#All],[PID]],0)))</f>
        <v>R</v>
      </c>
      <c r="J524" s="52" t="str">
        <f>IF($C524="B",INDEX(Batters[[#All],[WE]],MATCH(Table5[[#This Row],[PID]],Batters[[#All],[PID]],0)),INDEX(Table3[[#All],[WE]],MATCH(Table5[[#This Row],[PID]],Table3[[#All],[PID]],0)))</f>
        <v>Normal</v>
      </c>
      <c r="K524" s="52" t="str">
        <f>IF($C524="B",INDEX(Batters[[#All],[INT]],MATCH(Table5[[#This Row],[PID]],Batters[[#All],[PID]],0)),INDEX(Table3[[#All],[INT]],MATCH(Table5[[#This Row],[PID]],Table3[[#All],[PID]],0)))</f>
        <v>Normal</v>
      </c>
      <c r="L524" s="60">
        <f>IF($C524="B",INDEX(Batters[[#All],[CON P]],MATCH(Table5[[#This Row],[PID]],Batters[[#All],[PID]],0)),INDEX(Table3[[#All],[STU P]],MATCH(Table5[[#This Row],[PID]],Table3[[#All],[PID]],0)))</f>
        <v>3</v>
      </c>
      <c r="M524" s="56">
        <f>IF($C524="B",INDEX(Batters[[#All],[GAP P]],MATCH(Table5[[#This Row],[PID]],Batters[[#All],[PID]],0)),INDEX(Table3[[#All],[MOV P]],MATCH(Table5[[#This Row],[PID]],Table3[[#All],[PID]],0)))</f>
        <v>6</v>
      </c>
      <c r="N524" s="56">
        <f>IF($C524="B",INDEX(Batters[[#All],[POW P]],MATCH(Table5[[#This Row],[PID]],Batters[[#All],[PID]],0)),INDEX(Table3[[#All],[CON P]],MATCH(Table5[[#This Row],[PID]],Table3[[#All],[PID]],0)))</f>
        <v>3</v>
      </c>
      <c r="O524" s="56">
        <f>IF($C524="B",INDEX(Batters[[#All],[EYE P]],MATCH(Table5[[#This Row],[PID]],Batters[[#All],[PID]],0)),INDEX(Table3[[#All],[VELO]],MATCH(Table5[[#This Row],[PID]],Table3[[#All],[PID]],0)))</f>
        <v>5</v>
      </c>
      <c r="P524" s="56">
        <f>IF($C524="B",INDEX(Batters[[#All],[K P]],MATCH(Table5[[#This Row],[PID]],Batters[[#All],[PID]],0)),INDEX(Table3[[#All],[STM]],MATCH(Table5[[#This Row],[PID]],Table3[[#All],[PID]],0)))</f>
        <v>4</v>
      </c>
      <c r="Q524" s="61">
        <f>IF($C524="B",INDEX(Batters[[#All],[Tot]],MATCH(Table5[[#This Row],[PID]],Batters[[#All],[PID]],0)),INDEX(Table3[[#All],[Tot]],MATCH(Table5[[#This Row],[PID]],Table3[[#All],[PID]],0)))</f>
        <v>43.346883895886535</v>
      </c>
      <c r="R524" s="52">
        <f>IF($C524="B",INDEX(Batters[[#All],[zScore]],MATCH(Table5[[#This Row],[PID]],Batters[[#All],[PID]],0)),INDEX(Table3[[#All],[zScore]],MATCH(Table5[[#This Row],[PID]],Table3[[#All],[PID]],0)))</f>
        <v>-0.17405218305309522</v>
      </c>
      <c r="S524" s="58" t="str">
        <f>IF($C524="B",INDEX(Batters[[#All],[DEM]],MATCH(Table5[[#This Row],[PID]],Batters[[#All],[PID]],0)),INDEX(Table3[[#All],[DEM]],MATCH(Table5[[#This Row],[PID]],Table3[[#All],[PID]],0)))</f>
        <v>$85k</v>
      </c>
      <c r="T524" s="62">
        <f>IF($C524="B",INDEX(Batters[[#All],[Rnk]],MATCH(Table5[[#This Row],[PID]],Batters[[#All],[PID]],0)),INDEX(Table3[[#All],[Rnk]],MATCH(Table5[[#This Row],[PID]],Table3[[#All],[PID]],0)))</f>
        <v>275</v>
      </c>
      <c r="U524" s="68">
        <f>IF($C524="B",VLOOKUP($A524,Bat!$A$4:$BA$1621,47,FALSE),VLOOKUP($A524,Pit!$A$4:$BF$1557,56,FALSE))</f>
        <v>0</v>
      </c>
      <c r="V524" s="50">
        <f>IF($C524="B",VLOOKUP($A524,Bat!$A$4:$BA$1621,48,FALSE),VLOOKUP($A524,Pit!$A$4:$BF$1557,57,FALSE))</f>
        <v>0</v>
      </c>
      <c r="W524" s="50">
        <f>Table5[[#This Row],[posRnk]]+Table5[[#This Row],[zRnk]]+IF($W$3&lt;&gt;Table5[[#This Row],[Type]],50,0)</f>
        <v>974</v>
      </c>
      <c r="X524" s="51">
        <f>RANK(Table5[[#This Row],[zScore]],Table5[[#All],[zScore]])</f>
        <v>649</v>
      </c>
      <c r="Y524" s="50">
        <f>IFERROR(INDEX(DraftResults[[#All],[OVR]],MATCH(Table5[[#This Row],[PID]],DraftResults[[#All],[Player ID]],0)),"")</f>
        <v>520</v>
      </c>
      <c r="Z5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4" s="50">
        <f>IFERROR(INDEX(DraftResults[[#All],[Pick in Round]],MATCH(Table5[[#This Row],[PID]],DraftResults[[#All],[Player ID]],0)),"")</f>
        <v>2</v>
      </c>
      <c r="AB524" s="50" t="str">
        <f>IFERROR(INDEX(DraftResults[[#All],[Team Name]],MATCH(Table5[[#This Row],[PID]],DraftResults[[#All],[Player ID]],0)),"")</f>
        <v>Charleston Statesmen</v>
      </c>
      <c r="AC524" s="50">
        <f>IF(Table5[[#This Row],[Ovr]]="","",IF(Table5[[#This Row],[cmbList]]="","",Table5[[#This Row],[cmbList]]-Table5[[#This Row],[Ovr]]))</f>
        <v>454</v>
      </c>
      <c r="AD524" s="54" t="str">
        <f>IF(ISERROR(VLOOKUP($AB524&amp;"-"&amp;$E524&amp;" "&amp;F524,Bonuses!$B$1:$G$1006,4,FALSE)),"",INT(VLOOKUP($AB524&amp;"-"&amp;$E524&amp;" "&amp;$F524,Bonuses!$B$1:$G$1006,4,FALSE)))</f>
        <v/>
      </c>
      <c r="AE5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 (520) - SS Doug Hester</v>
      </c>
    </row>
    <row r="525" spans="1:31" s="50" customFormat="1" x14ac:dyDescent="0.25">
      <c r="A525" s="50">
        <v>20314</v>
      </c>
      <c r="B525" s="50">
        <f>COUNTIF(Table5[PID],A525)</f>
        <v>1</v>
      </c>
      <c r="C525" s="50" t="str">
        <f>IF(COUNTIF(Table3[[#All],[PID]],A525)&gt;0,"P","B")</f>
        <v>B</v>
      </c>
      <c r="D525" s="59" t="str">
        <f>IF($C525="B",INDEX(Batters[[#All],[POS]],MATCH(Table5[[#This Row],[PID]],Batters[[#All],[PID]],0)),INDEX(Table3[[#All],[POS]],MATCH(Table5[[#This Row],[PID]],Table3[[#All],[PID]],0)))</f>
        <v>SS</v>
      </c>
      <c r="E525" s="52" t="str">
        <f>IF($C525="B",INDEX(Batters[[#All],[First]],MATCH(Table5[[#This Row],[PID]],Batters[[#All],[PID]],0)),INDEX(Table3[[#All],[First]],MATCH(Table5[[#This Row],[PID]],Table3[[#All],[PID]],0)))</f>
        <v>Ik-jun</v>
      </c>
      <c r="F525" s="50" t="str">
        <f>IF($C525="B",INDEX(Batters[[#All],[Last]],MATCH(A525,Batters[[#All],[PID]],0)),INDEX(Table3[[#All],[Last]],MATCH(A525,Table3[[#All],[PID]],0)))</f>
        <v>Ha</v>
      </c>
      <c r="G525" s="56">
        <f>IF($C525="B",INDEX(Batters[[#All],[Age]],MATCH(Table5[[#This Row],[PID]],Batters[[#All],[PID]],0)),INDEX(Table3[[#All],[Age]],MATCH(Table5[[#This Row],[PID]],Table3[[#All],[PID]],0)))</f>
        <v>17</v>
      </c>
      <c r="H525" s="52" t="str">
        <f>IF($C525="B",INDEX(Batters[[#All],[B]],MATCH(Table5[[#This Row],[PID]],Batters[[#All],[PID]],0)),INDEX(Table3[[#All],[B]],MATCH(Table5[[#This Row],[PID]],Table3[[#All],[PID]],0)))</f>
        <v>R</v>
      </c>
      <c r="I525" s="52" t="str">
        <f>IF($C525="B",INDEX(Batters[[#All],[T]],MATCH(Table5[[#This Row],[PID]],Batters[[#All],[PID]],0)),INDEX(Table3[[#All],[T]],MATCH(Table5[[#This Row],[PID]],Table3[[#All],[PID]],0)))</f>
        <v>R</v>
      </c>
      <c r="J525" s="52" t="str">
        <f>IF($C525="B",INDEX(Batters[[#All],[WE]],MATCH(Table5[[#This Row],[PID]],Batters[[#All],[PID]],0)),INDEX(Table3[[#All],[WE]],MATCH(Table5[[#This Row],[PID]],Table3[[#All],[PID]],0)))</f>
        <v>High</v>
      </c>
      <c r="K525" s="52" t="str">
        <f>IF($C525="B",INDEX(Batters[[#All],[INT]],MATCH(Table5[[#This Row],[PID]],Batters[[#All],[PID]],0)),INDEX(Table3[[#All],[INT]],MATCH(Table5[[#This Row],[PID]],Table3[[#All],[PID]],0)))</f>
        <v>Normal</v>
      </c>
      <c r="L525" s="60">
        <f>IF($C525="B",INDEX(Batters[[#All],[CON P]],MATCH(Table5[[#This Row],[PID]],Batters[[#All],[PID]],0)),INDEX(Table3[[#All],[STU P]],MATCH(Table5[[#This Row],[PID]],Table3[[#All],[PID]],0)))</f>
        <v>4</v>
      </c>
      <c r="M525" s="56">
        <f>IF($C525="B",INDEX(Batters[[#All],[GAP P]],MATCH(Table5[[#This Row],[PID]],Batters[[#All],[PID]],0)),INDEX(Table3[[#All],[MOV P]],MATCH(Table5[[#This Row],[PID]],Table3[[#All],[PID]],0)))</f>
        <v>4</v>
      </c>
      <c r="N525" s="56">
        <f>IF($C525="B",INDEX(Batters[[#All],[POW P]],MATCH(Table5[[#This Row],[PID]],Batters[[#All],[PID]],0)),INDEX(Table3[[#All],[CON P]],MATCH(Table5[[#This Row],[PID]],Table3[[#All],[PID]],0)))</f>
        <v>2</v>
      </c>
      <c r="O525" s="56">
        <f>IF($C525="B",INDEX(Batters[[#All],[EYE P]],MATCH(Table5[[#This Row],[PID]],Batters[[#All],[PID]],0)),INDEX(Table3[[#All],[VELO]],MATCH(Table5[[#This Row],[PID]],Table3[[#All],[PID]],0)))</f>
        <v>4</v>
      </c>
      <c r="P525" s="56">
        <f>IF($C525="B",INDEX(Batters[[#All],[K P]],MATCH(Table5[[#This Row],[PID]],Batters[[#All],[PID]],0)),INDEX(Table3[[#All],[STM]],MATCH(Table5[[#This Row],[PID]],Table3[[#All],[PID]],0)))</f>
        <v>6</v>
      </c>
      <c r="Q525" s="61">
        <f>IF($C525="B",INDEX(Batters[[#All],[Tot]],MATCH(Table5[[#This Row],[PID]],Batters[[#All],[PID]],0)),INDEX(Table3[[#All],[Tot]],MATCH(Table5[[#This Row],[PID]],Table3[[#All],[PID]],0)))</f>
        <v>45.19126134862308</v>
      </c>
      <c r="R525" s="52">
        <f>IF($C525="B",INDEX(Batters[[#All],[zScore]],MATCH(Table5[[#This Row],[PID]],Batters[[#All],[PID]],0)),INDEX(Table3[[#All],[zScore]],MATCH(Table5[[#This Row],[PID]],Table3[[#All],[PID]],0)))</f>
        <v>0.23485876505316411</v>
      </c>
      <c r="S525" s="58" t="str">
        <f>IF($C525="B",INDEX(Batters[[#All],[DEM]],MATCH(Table5[[#This Row],[PID]],Batters[[#All],[PID]],0)),INDEX(Table3[[#All],[DEM]],MATCH(Table5[[#This Row],[PID]],Table3[[#All],[PID]],0)))</f>
        <v>-</v>
      </c>
      <c r="T525" s="62">
        <f>IF($C525="B",INDEX(Batters[[#All],[Rnk]],MATCH(Table5[[#This Row],[PID]],Batters[[#All],[PID]],0)),INDEX(Table3[[#All],[Rnk]],MATCH(Table5[[#This Row],[PID]],Table3[[#All],[PID]],0)))</f>
        <v>192</v>
      </c>
      <c r="U525" s="68">
        <f>IF($C525="B",VLOOKUP($A525,Bat!$A$4:$BA$1621,47,FALSE),VLOOKUP($A525,Pit!$A$4:$BF$1557,56,FALSE))</f>
        <v>0</v>
      </c>
      <c r="V525" s="50">
        <f>IF($C525="B",VLOOKUP($A525,Bat!$A$4:$BA$1621,48,FALSE),VLOOKUP($A525,Pit!$A$4:$BF$1557,57,FALSE))</f>
        <v>0</v>
      </c>
      <c r="W525" s="50">
        <f>Table5[[#This Row],[posRnk]]+Table5[[#This Row],[zRnk]]+IF($W$3&lt;&gt;Table5[[#This Row],[Type]],50,0)</f>
        <v>688</v>
      </c>
      <c r="X525" s="51">
        <f>RANK(Table5[[#This Row],[zScore]],Table5[[#All],[zScore]])</f>
        <v>446</v>
      </c>
      <c r="Y525" s="50">
        <f>IFERROR(INDEX(DraftResults[[#All],[OVR]],MATCH(Table5[[#This Row],[PID]],DraftResults[[#All],[Player ID]],0)),"")</f>
        <v>521</v>
      </c>
      <c r="Z5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5" s="50">
        <f>IFERROR(INDEX(DraftResults[[#All],[Pick in Round]],MATCH(Table5[[#This Row],[PID]],DraftResults[[#All],[Player ID]],0)),"")</f>
        <v>3</v>
      </c>
      <c r="AB525" s="50" t="str">
        <f>IFERROR(INDEX(DraftResults[[#All],[Team Name]],MATCH(Table5[[#This Row],[PID]],DraftResults[[#All],[Player ID]],0)),"")</f>
        <v>New Orleans Trendsetters</v>
      </c>
      <c r="AC525" s="50">
        <f>IF(Table5[[#This Row],[Ovr]]="","",IF(Table5[[#This Row],[cmbList]]="","",Table5[[#This Row],[cmbList]]-Table5[[#This Row],[Ovr]]))</f>
        <v>167</v>
      </c>
      <c r="AD525" s="54" t="str">
        <f>IF(ISERROR(VLOOKUP($AB525&amp;"-"&amp;$E525&amp;" "&amp;F525,Bonuses!$B$1:$G$1006,4,FALSE)),"",INT(VLOOKUP($AB525&amp;"-"&amp;$E525&amp;" "&amp;$F525,Bonuses!$B$1:$G$1006,4,FALSE)))</f>
        <v/>
      </c>
      <c r="AE5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18.3 (521) - SS Ik-jun Ha</v>
      </c>
    </row>
    <row r="526" spans="1:31" s="50" customFormat="1" x14ac:dyDescent="0.25">
      <c r="A526" s="68">
        <v>18348</v>
      </c>
      <c r="B526" s="69">
        <f>COUNTIF(Table5[PID],A526)</f>
        <v>1</v>
      </c>
      <c r="C526" s="69" t="str">
        <f>IF(COUNTIF(Table3[[#All],[PID]],A526)&gt;0,"P","B")</f>
        <v>P</v>
      </c>
      <c r="D526" s="59" t="str">
        <f>IF($C526="B",INDEX(Batters[[#All],[POS]],MATCH(Table5[[#This Row],[PID]],Batters[[#All],[PID]],0)),INDEX(Table3[[#All],[POS]],MATCH(Table5[[#This Row],[PID]],Table3[[#All],[PID]],0)))</f>
        <v>SP</v>
      </c>
      <c r="E526" s="52" t="str">
        <f>IF($C526="B",INDEX(Batters[[#All],[First]],MATCH(Table5[[#This Row],[PID]],Batters[[#All],[PID]],0)),INDEX(Table3[[#All],[First]],MATCH(Table5[[#This Row],[PID]],Table3[[#All],[PID]],0)))</f>
        <v>Luis</v>
      </c>
      <c r="F526" s="55" t="str">
        <f>IF($C526="B",INDEX(Batters[[#All],[Last]],MATCH(A526,Batters[[#All],[PID]],0)),INDEX(Table3[[#All],[Last]],MATCH(A526,Table3[[#All],[PID]],0)))</f>
        <v>Ramírez</v>
      </c>
      <c r="G526" s="56">
        <f>IF($C526="B",INDEX(Batters[[#All],[Age]],MATCH(Table5[[#This Row],[PID]],Batters[[#All],[PID]],0)),INDEX(Table3[[#All],[Age]],MATCH(Table5[[#This Row],[PID]],Table3[[#All],[PID]],0)))</f>
        <v>18</v>
      </c>
      <c r="H526" s="52" t="str">
        <f>IF($C526="B",INDEX(Batters[[#All],[B]],MATCH(Table5[[#This Row],[PID]],Batters[[#All],[PID]],0)),INDEX(Table3[[#All],[B]],MATCH(Table5[[#This Row],[PID]],Table3[[#All],[PID]],0)))</f>
        <v>R</v>
      </c>
      <c r="I526" s="52" t="str">
        <f>IF($C526="B",INDEX(Batters[[#All],[T]],MATCH(Table5[[#This Row],[PID]],Batters[[#All],[PID]],0)),INDEX(Table3[[#All],[T]],MATCH(Table5[[#This Row],[PID]],Table3[[#All],[PID]],0)))</f>
        <v>L</v>
      </c>
      <c r="J526" s="71" t="str">
        <f>IF($C526="B",INDEX(Batters[[#All],[WE]],MATCH(Table5[[#This Row],[PID]],Batters[[#All],[PID]],0)),INDEX(Table3[[#All],[WE]],MATCH(Table5[[#This Row],[PID]],Table3[[#All],[PID]],0)))</f>
        <v>High</v>
      </c>
      <c r="K526" s="52" t="str">
        <f>IF($C526="B",INDEX(Batters[[#All],[INT]],MATCH(Table5[[#This Row],[PID]],Batters[[#All],[PID]],0)),INDEX(Table3[[#All],[INT]],MATCH(Table5[[#This Row],[PID]],Table3[[#All],[PID]],0)))</f>
        <v>Normal</v>
      </c>
      <c r="L526" s="60">
        <f>IF($C526="B",INDEX(Batters[[#All],[CON P]],MATCH(Table5[[#This Row],[PID]],Batters[[#All],[PID]],0)),INDEX(Table3[[#All],[STU P]],MATCH(Table5[[#This Row],[PID]],Table3[[#All],[PID]],0)))</f>
        <v>4</v>
      </c>
      <c r="M526" s="72">
        <f>IF($C526="B",INDEX(Batters[[#All],[GAP P]],MATCH(Table5[[#This Row],[PID]],Batters[[#All],[PID]],0)),INDEX(Table3[[#All],[MOV P]],MATCH(Table5[[#This Row],[PID]],Table3[[#All],[PID]],0)))</f>
        <v>2</v>
      </c>
      <c r="N526" s="72">
        <f>IF($C526="B",INDEX(Batters[[#All],[POW P]],MATCH(Table5[[#This Row],[PID]],Batters[[#All],[PID]],0)),INDEX(Table3[[#All],[CON P]],MATCH(Table5[[#This Row],[PID]],Table3[[#All],[PID]],0)))</f>
        <v>6</v>
      </c>
      <c r="O526" s="72" t="str">
        <f>IF($C526="B",INDEX(Batters[[#All],[EYE P]],MATCH(Table5[[#This Row],[PID]],Batters[[#All],[PID]],0)),INDEX(Table3[[#All],[VELO]],MATCH(Table5[[#This Row],[PID]],Table3[[#All],[PID]],0)))</f>
        <v>86-88 Mph</v>
      </c>
      <c r="P526" s="56">
        <f>IF($C526="B",INDEX(Batters[[#All],[K P]],MATCH(Table5[[#This Row],[PID]],Batters[[#All],[PID]],0)),INDEX(Table3[[#All],[STM]],MATCH(Table5[[#This Row],[PID]],Table3[[#All],[PID]],0)))</f>
        <v>9</v>
      </c>
      <c r="Q526" s="61">
        <f>IF($C526="B",INDEX(Batters[[#All],[Tot]],MATCH(Table5[[#This Row],[PID]],Batters[[#All],[PID]],0)),INDEX(Table3[[#All],[Tot]],MATCH(Table5[[#This Row],[PID]],Table3[[#All],[PID]],0)))</f>
        <v>49.449652555412577</v>
      </c>
      <c r="R526" s="52">
        <f>IF($C526="B",INDEX(Batters[[#All],[zScore]],MATCH(Table5[[#This Row],[PID]],Batters[[#All],[PID]],0)),INDEX(Table3[[#All],[zScore]],MATCH(Table5[[#This Row],[PID]],Table3[[#All],[PID]],0)))</f>
        <v>0.90339853648745727</v>
      </c>
      <c r="S526" s="78" t="str">
        <f>IF($C526="B",INDEX(Batters[[#All],[DEM]],MATCH(Table5[[#This Row],[PID]],Batters[[#All],[PID]],0)),INDEX(Table3[[#All],[DEM]],MATCH(Table5[[#This Row],[PID]],Table3[[#All],[PID]],0)))</f>
        <v>$65k</v>
      </c>
      <c r="T526" s="75">
        <f>IF($C526="B",INDEX(Batters[[#All],[Rnk]],MATCH(Table5[[#This Row],[PID]],Batters[[#All],[PID]],0)),INDEX(Table3[[#All],[Rnk]],MATCH(Table5[[#This Row],[PID]],Table3[[#All],[PID]],0)))</f>
        <v>154</v>
      </c>
      <c r="U526" s="68">
        <f>IF($C526="B",VLOOKUP($A526,Bat!$A$4:$BA$1621,47,FALSE),VLOOKUP($A526,Pit!$A$4:$BF$1557,56,FALSE))</f>
        <v>0</v>
      </c>
      <c r="V526" s="50">
        <f>IF($C526="B",VLOOKUP($A526,Bat!$A$4:$BA$1621,48,FALSE),VLOOKUP($A526,Pit!$A$4:$BF$1557,57,FALSE))</f>
        <v>0</v>
      </c>
      <c r="W526" s="69">
        <f>Table5[[#This Row],[posRnk]]+Table5[[#This Row],[zRnk]]+IF($W$3&lt;&gt;Table5[[#This Row],[Type]],50,0)</f>
        <v>458</v>
      </c>
      <c r="X526" s="73">
        <f>RANK(Table5[[#This Row],[zScore]],Table5[[#All],[zScore]])</f>
        <v>254</v>
      </c>
      <c r="Y526" s="69">
        <f>IFERROR(INDEX(DraftResults[[#All],[OVR]],MATCH(Table5[[#This Row],[PID]],DraftResults[[#All],[Player ID]],0)),"")</f>
        <v>522</v>
      </c>
      <c r="Z52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6" s="69">
        <f>IFERROR(INDEX(DraftResults[[#All],[Pick in Round]],MATCH(Table5[[#This Row],[PID]],DraftResults[[#All],[Player ID]],0)),"")</f>
        <v>4</v>
      </c>
      <c r="AB526" s="69" t="str">
        <f>IFERROR(INDEX(DraftResults[[#All],[Team Name]],MATCH(Table5[[#This Row],[PID]],DraftResults[[#All],[Player ID]],0)),"")</f>
        <v>Tempe Knights</v>
      </c>
      <c r="AC526" s="69">
        <f>IF(Table5[[#This Row],[Ovr]]="","",IF(Table5[[#This Row],[cmbList]]="","",Table5[[#This Row],[cmbList]]-Table5[[#This Row],[Ovr]]))</f>
        <v>-64</v>
      </c>
      <c r="AD526" s="77" t="str">
        <f>IF(ISERROR(VLOOKUP($AB526&amp;"-"&amp;$E526&amp;" "&amp;F526,Bonuses!$B$1:$G$1006,4,FALSE)),"",INT(VLOOKUP($AB526&amp;"-"&amp;$E526&amp;" "&amp;$F526,Bonuses!$B$1:$G$1006,4,FALSE)))</f>
        <v/>
      </c>
      <c r="AE52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18.4 (522) - SP Luis Ramírez</v>
      </c>
    </row>
    <row r="527" spans="1:31" s="50" customFormat="1" x14ac:dyDescent="0.25">
      <c r="A527" s="50">
        <v>20249</v>
      </c>
      <c r="B527" s="50">
        <f>COUNTIF(Table5[PID],A527)</f>
        <v>1</v>
      </c>
      <c r="C527" s="50" t="str">
        <f>IF(COUNTIF(Table3[[#All],[PID]],A527)&gt;0,"P","B")</f>
        <v>B</v>
      </c>
      <c r="D527" s="59" t="str">
        <f>IF($C527="B",INDEX(Batters[[#All],[POS]],MATCH(Table5[[#This Row],[PID]],Batters[[#All],[PID]],0)),INDEX(Table3[[#All],[POS]],MATCH(Table5[[#This Row],[PID]],Table3[[#All],[PID]],0)))</f>
        <v>1B</v>
      </c>
      <c r="E527" s="52" t="str">
        <f>IF($C527="B",INDEX(Batters[[#All],[First]],MATCH(Table5[[#This Row],[PID]],Batters[[#All],[PID]],0)),INDEX(Table3[[#All],[First]],MATCH(Table5[[#This Row],[PID]],Table3[[#All],[PID]],0)))</f>
        <v>Harry</v>
      </c>
      <c r="F527" s="50" t="str">
        <f>IF($C527="B",INDEX(Batters[[#All],[Last]],MATCH(A527,Batters[[#All],[PID]],0)),INDEX(Table3[[#All],[Last]],MATCH(A527,Table3[[#All],[PID]],0)))</f>
        <v>Penton</v>
      </c>
      <c r="G527" s="56">
        <f>IF($C527="B",INDEX(Batters[[#All],[Age]],MATCH(Table5[[#This Row],[PID]],Batters[[#All],[PID]],0)),INDEX(Table3[[#All],[Age]],MATCH(Table5[[#This Row],[PID]],Table3[[#All],[PID]],0)))</f>
        <v>21</v>
      </c>
      <c r="H527" s="52" t="str">
        <f>IF($C527="B",INDEX(Batters[[#All],[B]],MATCH(Table5[[#This Row],[PID]],Batters[[#All],[PID]],0)),INDEX(Table3[[#All],[B]],MATCH(Table5[[#This Row],[PID]],Table3[[#All],[PID]],0)))</f>
        <v>R</v>
      </c>
      <c r="I527" s="52" t="str">
        <f>IF($C527="B",INDEX(Batters[[#All],[T]],MATCH(Table5[[#This Row],[PID]],Batters[[#All],[PID]],0)),INDEX(Table3[[#All],[T]],MATCH(Table5[[#This Row],[PID]],Table3[[#All],[PID]],0)))</f>
        <v>R</v>
      </c>
      <c r="J527" s="52" t="str">
        <f>IF($C527="B",INDEX(Batters[[#All],[WE]],MATCH(Table5[[#This Row],[PID]],Batters[[#All],[PID]],0)),INDEX(Table3[[#All],[WE]],MATCH(Table5[[#This Row],[PID]],Table3[[#All],[PID]],0)))</f>
        <v>Low</v>
      </c>
      <c r="K527" s="52" t="str">
        <f>IF($C527="B",INDEX(Batters[[#All],[INT]],MATCH(Table5[[#This Row],[PID]],Batters[[#All],[PID]],0)),INDEX(Table3[[#All],[INT]],MATCH(Table5[[#This Row],[PID]],Table3[[#All],[PID]],0)))</f>
        <v>Normal</v>
      </c>
      <c r="L527" s="60">
        <f>IF($C527="B",INDEX(Batters[[#All],[CON P]],MATCH(Table5[[#This Row],[PID]],Batters[[#All],[PID]],0)),INDEX(Table3[[#All],[STU P]],MATCH(Table5[[#This Row],[PID]],Table3[[#All],[PID]],0)))</f>
        <v>3</v>
      </c>
      <c r="M527" s="56">
        <f>IF($C527="B",INDEX(Batters[[#All],[GAP P]],MATCH(Table5[[#This Row],[PID]],Batters[[#All],[PID]],0)),INDEX(Table3[[#All],[MOV P]],MATCH(Table5[[#This Row],[PID]],Table3[[#All],[PID]],0)))</f>
        <v>8</v>
      </c>
      <c r="N527" s="56">
        <f>IF($C527="B",INDEX(Batters[[#All],[POW P]],MATCH(Table5[[#This Row],[PID]],Batters[[#All],[PID]],0)),INDEX(Table3[[#All],[CON P]],MATCH(Table5[[#This Row],[PID]],Table3[[#All],[PID]],0)))</f>
        <v>5</v>
      </c>
      <c r="O527" s="56">
        <f>IF($C527="B",INDEX(Batters[[#All],[EYE P]],MATCH(Table5[[#This Row],[PID]],Batters[[#All],[PID]],0)),INDEX(Table3[[#All],[VELO]],MATCH(Table5[[#This Row],[PID]],Table3[[#All],[PID]],0)))</f>
        <v>5</v>
      </c>
      <c r="P527" s="56">
        <f>IF($C527="B",INDEX(Batters[[#All],[K P]],MATCH(Table5[[#This Row],[PID]],Batters[[#All],[PID]],0)),INDEX(Table3[[#All],[STM]],MATCH(Table5[[#This Row],[PID]],Table3[[#All],[PID]],0)))</f>
        <v>3</v>
      </c>
      <c r="Q527" s="61">
        <f>IF($C527="B",INDEX(Batters[[#All],[Tot]],MATCH(Table5[[#This Row],[PID]],Batters[[#All],[PID]],0)),INDEX(Table3[[#All],[Tot]],MATCH(Table5[[#This Row],[PID]],Table3[[#All],[PID]],0)))</f>
        <v>41.699686568101804</v>
      </c>
      <c r="R527" s="52">
        <f>IF($C527="B",INDEX(Batters[[#All],[zScore]],MATCH(Table5[[#This Row],[PID]],Batters[[#All],[PID]],0)),INDEX(Table3[[#All],[zScore]],MATCH(Table5[[#This Row],[PID]],Table3[[#All],[PID]],0)))</f>
        <v>-0.53924696464358768</v>
      </c>
      <c r="S527" s="58" t="str">
        <f>IF($C527="B",INDEX(Batters[[#All],[DEM]],MATCH(Table5[[#This Row],[PID]],Batters[[#All],[PID]],0)),INDEX(Table3[[#All],[DEM]],MATCH(Table5[[#This Row],[PID]],Table3[[#All],[PID]],0)))</f>
        <v>-</v>
      </c>
      <c r="T527" s="62">
        <f>IF($C527="B",INDEX(Batters[[#All],[Rnk]],MATCH(Table5[[#This Row],[PID]],Batters[[#All],[PID]],0)),INDEX(Table3[[#All],[Rnk]],MATCH(Table5[[#This Row],[PID]],Table3[[#All],[PID]],0)))</f>
        <v>344</v>
      </c>
      <c r="U527" s="68">
        <f>IF($C527="B",VLOOKUP($A527,Bat!$A$4:$BA$1621,47,FALSE),VLOOKUP($A527,Pit!$A$4:$BF$1557,56,FALSE))</f>
        <v>0</v>
      </c>
      <c r="V527" s="50">
        <f>IF($C527="B",VLOOKUP($A527,Bat!$A$4:$BA$1621,48,FALSE),VLOOKUP($A527,Pit!$A$4:$BF$1557,57,FALSE))</f>
        <v>0</v>
      </c>
      <c r="W527" s="50">
        <f>Table5[[#This Row],[posRnk]]+Table5[[#This Row],[zRnk]]+IF($W$3&lt;&gt;Table5[[#This Row],[Type]],50,0)</f>
        <v>1276</v>
      </c>
      <c r="X527" s="51">
        <f>RANK(Table5[[#This Row],[zScore]],Table5[[#All],[zScore]])</f>
        <v>882</v>
      </c>
      <c r="Y527" s="50">
        <f>IFERROR(INDEX(DraftResults[[#All],[OVR]],MATCH(Table5[[#This Row],[PID]],DraftResults[[#All],[Player ID]],0)),"")</f>
        <v>523</v>
      </c>
      <c r="Z5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7" s="50">
        <f>IFERROR(INDEX(DraftResults[[#All],[Pick in Round]],MATCH(Table5[[#This Row],[PID]],DraftResults[[#All],[Player ID]],0)),"")</f>
        <v>5</v>
      </c>
      <c r="AB527" s="50" t="str">
        <f>IFERROR(INDEX(DraftResults[[#All],[Team Name]],MATCH(Table5[[#This Row],[PID]],DraftResults[[#All],[Player ID]],0)),"")</f>
        <v>Okinawa Shisa</v>
      </c>
      <c r="AC527" s="50">
        <f>IF(Table5[[#This Row],[Ovr]]="","",IF(Table5[[#This Row],[cmbList]]="","",Table5[[#This Row],[cmbList]]-Table5[[#This Row],[Ovr]]))</f>
        <v>753</v>
      </c>
      <c r="AD527" s="54" t="str">
        <f>IF(ISERROR(VLOOKUP($AB527&amp;"-"&amp;$E527&amp;" "&amp;F527,Bonuses!$B$1:$G$1006,4,FALSE)),"",INT(VLOOKUP($AB527&amp;"-"&amp;$E527&amp;" "&amp;$F527,Bonuses!$B$1:$G$1006,4,FALSE)))</f>
        <v/>
      </c>
      <c r="AE5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18.5 (523) - 1B Harry Penton</v>
      </c>
    </row>
    <row r="528" spans="1:31" s="50" customFormat="1" x14ac:dyDescent="0.25">
      <c r="A528" s="50">
        <v>20232</v>
      </c>
      <c r="B528" s="50">
        <f>COUNTIF(Table5[PID],A528)</f>
        <v>1</v>
      </c>
      <c r="C528" s="50" t="str">
        <f>IF(COUNTIF(Table3[[#All],[PID]],A528)&gt;0,"P","B")</f>
        <v>B</v>
      </c>
      <c r="D528" s="59" t="str">
        <f>IF($C528="B",INDEX(Batters[[#All],[POS]],MATCH(Table5[[#This Row],[PID]],Batters[[#All],[PID]],0)),INDEX(Table3[[#All],[POS]],MATCH(Table5[[#This Row],[PID]],Table3[[#All],[PID]],0)))</f>
        <v>3B</v>
      </c>
      <c r="E528" s="52" t="str">
        <f>IF($C528="B",INDEX(Batters[[#All],[First]],MATCH(Table5[[#This Row],[PID]],Batters[[#All],[PID]],0)),INDEX(Table3[[#All],[First]],MATCH(Table5[[#This Row],[PID]],Table3[[#All],[PID]],0)))</f>
        <v>Scott</v>
      </c>
      <c r="F528" s="50" t="str">
        <f>IF($C528="B",INDEX(Batters[[#All],[Last]],MATCH(A528,Batters[[#All],[PID]],0)),INDEX(Table3[[#All],[Last]],MATCH(A528,Table3[[#All],[PID]],0)))</f>
        <v>Graves</v>
      </c>
      <c r="G528" s="56">
        <f>IF($C528="B",INDEX(Batters[[#All],[Age]],MATCH(Table5[[#This Row],[PID]],Batters[[#All],[PID]],0)),INDEX(Table3[[#All],[Age]],MATCH(Table5[[#This Row],[PID]],Table3[[#All],[PID]],0)))</f>
        <v>21</v>
      </c>
      <c r="H528" s="52" t="str">
        <f>IF($C528="B",INDEX(Batters[[#All],[B]],MATCH(Table5[[#This Row],[PID]],Batters[[#All],[PID]],0)),INDEX(Table3[[#All],[B]],MATCH(Table5[[#This Row],[PID]],Table3[[#All],[PID]],0)))</f>
        <v>R</v>
      </c>
      <c r="I528" s="52" t="str">
        <f>IF($C528="B",INDEX(Batters[[#All],[T]],MATCH(Table5[[#This Row],[PID]],Batters[[#All],[PID]],0)),INDEX(Table3[[#All],[T]],MATCH(Table5[[#This Row],[PID]],Table3[[#All],[PID]],0)))</f>
        <v>R</v>
      </c>
      <c r="J528" s="52" t="str">
        <f>IF($C528="B",INDEX(Batters[[#All],[WE]],MATCH(Table5[[#This Row],[PID]],Batters[[#All],[PID]],0)),INDEX(Table3[[#All],[WE]],MATCH(Table5[[#This Row],[PID]],Table3[[#All],[PID]],0)))</f>
        <v>Normal</v>
      </c>
      <c r="K528" s="52" t="str">
        <f>IF($C528="B",INDEX(Batters[[#All],[INT]],MATCH(Table5[[#This Row],[PID]],Batters[[#All],[PID]],0)),INDEX(Table3[[#All],[INT]],MATCH(Table5[[#This Row],[PID]],Table3[[#All],[PID]],0)))</f>
        <v>Normal</v>
      </c>
      <c r="L528" s="60">
        <f>IF($C528="B",INDEX(Batters[[#All],[CON P]],MATCH(Table5[[#This Row],[PID]],Batters[[#All],[PID]],0)),INDEX(Table3[[#All],[STU P]],MATCH(Table5[[#This Row],[PID]],Table3[[#All],[PID]],0)))</f>
        <v>4</v>
      </c>
      <c r="M528" s="56">
        <f>IF($C528="B",INDEX(Batters[[#All],[GAP P]],MATCH(Table5[[#This Row],[PID]],Batters[[#All],[PID]],0)),INDEX(Table3[[#All],[MOV P]],MATCH(Table5[[#This Row],[PID]],Table3[[#All],[PID]],0)))</f>
        <v>4</v>
      </c>
      <c r="N528" s="56">
        <f>IF($C528="B",INDEX(Batters[[#All],[POW P]],MATCH(Table5[[#This Row],[PID]],Batters[[#All],[PID]],0)),INDEX(Table3[[#All],[CON P]],MATCH(Table5[[#This Row],[PID]],Table3[[#All],[PID]],0)))</f>
        <v>3</v>
      </c>
      <c r="O528" s="56">
        <f>IF($C528="B",INDEX(Batters[[#All],[EYE P]],MATCH(Table5[[#This Row],[PID]],Batters[[#All],[PID]],0)),INDEX(Table3[[#All],[VELO]],MATCH(Table5[[#This Row],[PID]],Table3[[#All],[PID]],0)))</f>
        <v>6</v>
      </c>
      <c r="P528" s="56">
        <f>IF($C528="B",INDEX(Batters[[#All],[K P]],MATCH(Table5[[#This Row],[PID]],Batters[[#All],[PID]],0)),INDEX(Table3[[#All],[STM]],MATCH(Table5[[#This Row],[PID]],Table3[[#All],[PID]],0)))</f>
        <v>5</v>
      </c>
      <c r="Q528" s="61">
        <f>IF($C528="B",INDEX(Batters[[#All],[Tot]],MATCH(Table5[[#This Row],[PID]],Batters[[#All],[PID]],0)),INDEX(Table3[[#All],[Tot]],MATCH(Table5[[#This Row],[PID]],Table3[[#All],[PID]],0)))</f>
        <v>43.23354965226487</v>
      </c>
      <c r="R528" s="52">
        <f>IF($C528="B",INDEX(Batters[[#All],[zScore]],MATCH(Table5[[#This Row],[PID]],Batters[[#All],[PID]],0)),INDEX(Table3[[#All],[zScore]],MATCH(Table5[[#This Row],[PID]],Table3[[#All],[PID]],0)))</f>
        <v>-0.19917915093240854</v>
      </c>
      <c r="S528" s="58" t="str">
        <f>IF($C528="B",INDEX(Batters[[#All],[DEM]],MATCH(Table5[[#This Row],[PID]],Batters[[#All],[PID]],0)),INDEX(Table3[[#All],[DEM]],MATCH(Table5[[#This Row],[PID]],Table3[[#All],[PID]],0)))</f>
        <v>-</v>
      </c>
      <c r="T528" s="62">
        <f>IF($C528="B",INDEX(Batters[[#All],[Rnk]],MATCH(Table5[[#This Row],[PID]],Batters[[#All],[PID]],0)),INDEX(Table3[[#All],[Rnk]],MATCH(Table5[[#This Row],[PID]],Table3[[#All],[PID]],0)))</f>
        <v>283</v>
      </c>
      <c r="U528" s="68">
        <f>IF($C528="B",VLOOKUP($A528,Bat!$A$4:$BA$1621,47,FALSE),VLOOKUP($A528,Pit!$A$4:$BF$1557,56,FALSE))</f>
        <v>0</v>
      </c>
      <c r="V528" s="50">
        <f>IF($C528="B",VLOOKUP($A528,Bat!$A$4:$BA$1621,48,FALSE),VLOOKUP($A528,Pit!$A$4:$BF$1557,57,FALSE))</f>
        <v>0</v>
      </c>
      <c r="W528" s="50">
        <f>Table5[[#This Row],[posRnk]]+Table5[[#This Row],[zRnk]]+IF($W$3&lt;&gt;Table5[[#This Row],[Type]],50,0)</f>
        <v>1001</v>
      </c>
      <c r="X528" s="51">
        <f>RANK(Table5[[#This Row],[zScore]],Table5[[#All],[zScore]])</f>
        <v>668</v>
      </c>
      <c r="Y528" s="50">
        <f>IFERROR(INDEX(DraftResults[[#All],[OVR]],MATCH(Table5[[#This Row],[PID]],DraftResults[[#All],[Player ID]],0)),"")</f>
        <v>524</v>
      </c>
      <c r="Z5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8" s="50">
        <f>IFERROR(INDEX(DraftResults[[#All],[Pick in Round]],MATCH(Table5[[#This Row],[PID]],DraftResults[[#All],[Player ID]],0)),"")</f>
        <v>6</v>
      </c>
      <c r="AB528" s="50" t="str">
        <f>IFERROR(INDEX(DraftResults[[#All],[Team Name]],MATCH(Table5[[#This Row],[PID]],DraftResults[[#All],[Player ID]],0)),"")</f>
        <v>Manchester Maulers</v>
      </c>
      <c r="AC528" s="50">
        <f>IF(Table5[[#This Row],[Ovr]]="","",IF(Table5[[#This Row],[cmbList]]="","",Table5[[#This Row],[cmbList]]-Table5[[#This Row],[Ovr]]))</f>
        <v>477</v>
      </c>
      <c r="AD528" s="54" t="str">
        <f>IF(ISERROR(VLOOKUP($AB528&amp;"-"&amp;$E528&amp;" "&amp;F528,Bonuses!$B$1:$G$1006,4,FALSE)),"",INT(VLOOKUP($AB528&amp;"-"&amp;$E528&amp;" "&amp;$F528,Bonuses!$B$1:$G$1006,4,FALSE)))</f>
        <v/>
      </c>
      <c r="AE5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18.6 (524) - 3B Scott Graves</v>
      </c>
    </row>
    <row r="529" spans="1:31" s="50" customFormat="1" x14ac:dyDescent="0.25">
      <c r="A529" s="68">
        <v>18410</v>
      </c>
      <c r="B529" s="69">
        <f>COUNTIF(Table5[PID],A529)</f>
        <v>1</v>
      </c>
      <c r="C529" s="69" t="str">
        <f>IF(COUNTIF(Table3[[#All],[PID]],A529)&gt;0,"P","B")</f>
        <v>P</v>
      </c>
      <c r="D529" s="59" t="str">
        <f>IF($C529="B",INDEX(Batters[[#All],[POS]],MATCH(Table5[[#This Row],[PID]],Batters[[#All],[PID]],0)),INDEX(Table3[[#All],[POS]],MATCH(Table5[[#This Row],[PID]],Table3[[#All],[PID]],0)))</f>
        <v>SP</v>
      </c>
      <c r="E529" s="52" t="str">
        <f>IF($C529="B",INDEX(Batters[[#All],[First]],MATCH(Table5[[#This Row],[PID]],Batters[[#All],[PID]],0)),INDEX(Table3[[#All],[First]],MATCH(Table5[[#This Row],[PID]],Table3[[#All],[PID]],0)))</f>
        <v>Paul</v>
      </c>
      <c r="F529" s="55" t="str">
        <f>IF($C529="B",INDEX(Batters[[#All],[Last]],MATCH(A529,Batters[[#All],[PID]],0)),INDEX(Table3[[#All],[Last]],MATCH(A529,Table3[[#All],[PID]],0)))</f>
        <v>Mews</v>
      </c>
      <c r="G529" s="56">
        <f>IF($C529="B",INDEX(Batters[[#All],[Age]],MATCH(Table5[[#This Row],[PID]],Batters[[#All],[PID]],0)),INDEX(Table3[[#All],[Age]],MATCH(Table5[[#This Row],[PID]],Table3[[#All],[PID]],0)))</f>
        <v>18</v>
      </c>
      <c r="H529" s="52" t="str">
        <f>IF($C529="B",INDEX(Batters[[#All],[B]],MATCH(Table5[[#This Row],[PID]],Batters[[#All],[PID]],0)),INDEX(Table3[[#All],[B]],MATCH(Table5[[#This Row],[PID]],Table3[[#All],[PID]],0)))</f>
        <v>L</v>
      </c>
      <c r="I529" s="52" t="str">
        <f>IF($C529="B",INDEX(Batters[[#All],[T]],MATCH(Table5[[#This Row],[PID]],Batters[[#All],[PID]],0)),INDEX(Table3[[#All],[T]],MATCH(Table5[[#This Row],[PID]],Table3[[#All],[PID]],0)))</f>
        <v>L</v>
      </c>
      <c r="J529" s="71" t="str">
        <f>IF($C529="B",INDEX(Batters[[#All],[WE]],MATCH(Table5[[#This Row],[PID]],Batters[[#All],[PID]],0)),INDEX(Table3[[#All],[WE]],MATCH(Table5[[#This Row],[PID]],Table3[[#All],[PID]],0)))</f>
        <v>Low</v>
      </c>
      <c r="K529" s="52" t="str">
        <f>IF($C529="B",INDEX(Batters[[#All],[INT]],MATCH(Table5[[#This Row],[PID]],Batters[[#All],[PID]],0)),INDEX(Table3[[#All],[INT]],MATCH(Table5[[#This Row],[PID]],Table3[[#All],[PID]],0)))</f>
        <v>Normal</v>
      </c>
      <c r="L529" s="60">
        <f>IF($C529="B",INDEX(Batters[[#All],[CON P]],MATCH(Table5[[#This Row],[PID]],Batters[[#All],[PID]],0)),INDEX(Table3[[#All],[STU P]],MATCH(Table5[[#This Row],[PID]],Table3[[#All],[PID]],0)))</f>
        <v>4</v>
      </c>
      <c r="M529" s="72">
        <f>IF($C529="B",INDEX(Batters[[#All],[GAP P]],MATCH(Table5[[#This Row],[PID]],Batters[[#All],[PID]],0)),INDEX(Table3[[#All],[MOV P]],MATCH(Table5[[#This Row],[PID]],Table3[[#All],[PID]],0)))</f>
        <v>5</v>
      </c>
      <c r="N529" s="72">
        <f>IF($C529="B",INDEX(Batters[[#All],[POW P]],MATCH(Table5[[#This Row],[PID]],Batters[[#All],[PID]],0)),INDEX(Table3[[#All],[CON P]],MATCH(Table5[[#This Row],[PID]],Table3[[#All],[PID]],0)))</f>
        <v>3</v>
      </c>
      <c r="O529" s="72" t="str">
        <f>IF($C529="B",INDEX(Batters[[#All],[EYE P]],MATCH(Table5[[#This Row],[PID]],Batters[[#All],[PID]],0)),INDEX(Table3[[#All],[VELO]],MATCH(Table5[[#This Row],[PID]],Table3[[#All],[PID]],0)))</f>
        <v>93-95 Mph</v>
      </c>
      <c r="P529" s="56">
        <f>IF($C529="B",INDEX(Batters[[#All],[K P]],MATCH(Table5[[#This Row],[PID]],Batters[[#All],[PID]],0)),INDEX(Table3[[#All],[STM]],MATCH(Table5[[#This Row],[PID]],Table3[[#All],[PID]],0)))</f>
        <v>8</v>
      </c>
      <c r="Q529" s="61">
        <f>IF($C529="B",INDEX(Batters[[#All],[Tot]],MATCH(Table5[[#This Row],[PID]],Batters[[#All],[PID]],0)),INDEX(Table3[[#All],[Tot]],MATCH(Table5[[#This Row],[PID]],Table3[[#All],[PID]],0)))</f>
        <v>48.846260381048793</v>
      </c>
      <c r="R529" s="52">
        <f>IF($C529="B",INDEX(Batters[[#All],[zScore]],MATCH(Table5[[#This Row],[PID]],Batters[[#All],[PID]],0)),INDEX(Table3[[#All],[zScore]],MATCH(Table5[[#This Row],[PID]],Table3[[#All],[PID]],0)))</f>
        <v>0.8632557771759517</v>
      </c>
      <c r="S529" s="78" t="str">
        <f>IF($C529="B",INDEX(Batters[[#All],[DEM]],MATCH(Table5[[#This Row],[PID]],Batters[[#All],[PID]],0)),INDEX(Table3[[#All],[DEM]],MATCH(Table5[[#This Row],[PID]],Table3[[#All],[PID]],0)))</f>
        <v>$200k</v>
      </c>
      <c r="T529" s="75">
        <f>IF($C529="B",INDEX(Batters[[#All],[Rnk]],MATCH(Table5[[#This Row],[PID]],Batters[[#All],[PID]],0)),INDEX(Table3[[#All],[Rnk]],MATCH(Table5[[#This Row],[PID]],Table3[[#All],[PID]],0)))</f>
        <v>162</v>
      </c>
      <c r="U529" s="68">
        <f>IF($C529="B",VLOOKUP($A529,Bat!$A$4:$BA$1621,47,FALSE),VLOOKUP($A529,Pit!$A$4:$BF$1557,56,FALSE))</f>
        <v>0</v>
      </c>
      <c r="V529" s="50">
        <f>IF($C529="B",VLOOKUP($A529,Bat!$A$4:$BA$1621,48,FALSE),VLOOKUP($A529,Pit!$A$4:$BF$1557,57,FALSE))</f>
        <v>0</v>
      </c>
      <c r="W529" s="69">
        <f>Table5[[#This Row],[posRnk]]+Table5[[#This Row],[zRnk]]+IF($W$3&lt;&gt;Table5[[#This Row],[Type]],50,0)</f>
        <v>479</v>
      </c>
      <c r="X529" s="73">
        <f>RANK(Table5[[#This Row],[zScore]],Table5[[#All],[zScore]])</f>
        <v>267</v>
      </c>
      <c r="Y529" s="69">
        <f>IFERROR(INDEX(DraftResults[[#All],[OVR]],MATCH(Table5[[#This Row],[PID]],DraftResults[[#All],[Player ID]],0)),"")</f>
        <v>525</v>
      </c>
      <c r="Z52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29" s="69">
        <f>IFERROR(INDEX(DraftResults[[#All],[Pick in Round]],MATCH(Table5[[#This Row],[PID]],DraftResults[[#All],[Player ID]],0)),"")</f>
        <v>7</v>
      </c>
      <c r="AB529" s="69" t="str">
        <f>IFERROR(INDEX(DraftResults[[#All],[Team Name]],MATCH(Table5[[#This Row],[PID]],DraftResults[[#All],[Player ID]],0)),"")</f>
        <v>Niihama-shi Ghosts</v>
      </c>
      <c r="AC529" s="69">
        <f>IF(Table5[[#This Row],[Ovr]]="","",IF(Table5[[#This Row],[cmbList]]="","",Table5[[#This Row],[cmbList]]-Table5[[#This Row],[Ovr]]))</f>
        <v>-46</v>
      </c>
      <c r="AD529" s="77" t="str">
        <f>IF(ISERROR(VLOOKUP($AB529&amp;"-"&amp;$E529&amp;" "&amp;F529,Bonuses!$B$1:$G$1006,4,FALSE)),"",INT(VLOOKUP($AB529&amp;"-"&amp;$E529&amp;" "&amp;$F529,Bonuses!$B$1:$G$1006,4,FALSE)))</f>
        <v/>
      </c>
      <c r="AE52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18.7 (525) - SP Paul Mews</v>
      </c>
    </row>
    <row r="530" spans="1:31" s="50" customFormat="1" x14ac:dyDescent="0.25">
      <c r="A530" s="68">
        <v>13003</v>
      </c>
      <c r="B530" s="69">
        <f>COUNTIF(Table5[PID],A530)</f>
        <v>1</v>
      </c>
      <c r="C530" s="69" t="str">
        <f>IF(COUNTIF(Table3[[#All],[PID]],A530)&gt;0,"P","B")</f>
        <v>P</v>
      </c>
      <c r="D530" s="59" t="str">
        <f>IF($C530="B",INDEX(Batters[[#All],[POS]],MATCH(Table5[[#This Row],[PID]],Batters[[#All],[PID]],0)),INDEX(Table3[[#All],[POS]],MATCH(Table5[[#This Row],[PID]],Table3[[#All],[PID]],0)))</f>
        <v>SP</v>
      </c>
      <c r="E530" s="52" t="str">
        <f>IF($C530="B",INDEX(Batters[[#All],[First]],MATCH(Table5[[#This Row],[PID]],Batters[[#All],[PID]],0)),INDEX(Table3[[#All],[First]],MATCH(Table5[[#This Row],[PID]],Table3[[#All],[PID]],0)))</f>
        <v>Jesús</v>
      </c>
      <c r="F530" s="55" t="str">
        <f>IF($C530="B",INDEX(Batters[[#All],[Last]],MATCH(A530,Batters[[#All],[PID]],0)),INDEX(Table3[[#All],[Last]],MATCH(A530,Table3[[#All],[PID]],0)))</f>
        <v>Oliveira</v>
      </c>
      <c r="G530" s="56">
        <f>IF($C530="B",INDEX(Batters[[#All],[Age]],MATCH(Table5[[#This Row],[PID]],Batters[[#All],[PID]],0)),INDEX(Table3[[#All],[Age]],MATCH(Table5[[#This Row],[PID]],Table3[[#All],[PID]],0)))</f>
        <v>18</v>
      </c>
      <c r="H530" s="52" t="str">
        <f>IF($C530="B",INDEX(Batters[[#All],[B]],MATCH(Table5[[#This Row],[PID]],Batters[[#All],[PID]],0)),INDEX(Table3[[#All],[B]],MATCH(Table5[[#This Row],[PID]],Table3[[#All],[PID]],0)))</f>
        <v>R</v>
      </c>
      <c r="I530" s="52" t="str">
        <f>IF($C530="B",INDEX(Batters[[#All],[T]],MATCH(Table5[[#This Row],[PID]],Batters[[#All],[PID]],0)),INDEX(Table3[[#All],[T]],MATCH(Table5[[#This Row],[PID]],Table3[[#All],[PID]],0)))</f>
        <v>R</v>
      </c>
      <c r="J530" s="71" t="str">
        <f>IF($C530="B",INDEX(Batters[[#All],[WE]],MATCH(Table5[[#This Row],[PID]],Batters[[#All],[PID]],0)),INDEX(Table3[[#All],[WE]],MATCH(Table5[[#This Row],[PID]],Table3[[#All],[PID]],0)))</f>
        <v>Normal</v>
      </c>
      <c r="K530" s="52" t="str">
        <f>IF($C530="B",INDEX(Batters[[#All],[INT]],MATCH(Table5[[#This Row],[PID]],Batters[[#All],[PID]],0)),INDEX(Table3[[#All],[INT]],MATCH(Table5[[#This Row],[PID]],Table3[[#All],[PID]],0)))</f>
        <v>High</v>
      </c>
      <c r="L530" s="60">
        <f>IF($C530="B",INDEX(Batters[[#All],[CON P]],MATCH(Table5[[#This Row],[PID]],Batters[[#All],[PID]],0)),INDEX(Table3[[#All],[STU P]],MATCH(Table5[[#This Row],[PID]],Table3[[#All],[PID]],0)))</f>
        <v>4</v>
      </c>
      <c r="M530" s="72">
        <f>IF($C530="B",INDEX(Batters[[#All],[GAP P]],MATCH(Table5[[#This Row],[PID]],Batters[[#All],[PID]],0)),INDEX(Table3[[#All],[MOV P]],MATCH(Table5[[#This Row],[PID]],Table3[[#All],[PID]],0)))</f>
        <v>2</v>
      </c>
      <c r="N530" s="72">
        <f>IF($C530="B",INDEX(Batters[[#All],[POW P]],MATCH(Table5[[#This Row],[PID]],Batters[[#All],[PID]],0)),INDEX(Table3[[#All],[CON P]],MATCH(Table5[[#This Row],[PID]],Table3[[#All],[PID]],0)))</f>
        <v>4</v>
      </c>
      <c r="O530" s="72" t="str">
        <f>IF($C530="B",INDEX(Batters[[#All],[EYE P]],MATCH(Table5[[#This Row],[PID]],Batters[[#All],[PID]],0)),INDEX(Table3[[#All],[VELO]],MATCH(Table5[[#This Row],[PID]],Table3[[#All],[PID]],0)))</f>
        <v>91-93 Mph</v>
      </c>
      <c r="P530" s="56">
        <f>IF($C530="B",INDEX(Batters[[#All],[K P]],MATCH(Table5[[#This Row],[PID]],Batters[[#All],[PID]],0)),INDEX(Table3[[#All],[STM]],MATCH(Table5[[#This Row],[PID]],Table3[[#All],[PID]],0)))</f>
        <v>8</v>
      </c>
      <c r="Q530" s="61">
        <f>IF($C530="B",INDEX(Batters[[#All],[Tot]],MATCH(Table5[[#This Row],[PID]],Batters[[#All],[PID]],0)),INDEX(Table3[[#All],[Tot]],MATCH(Table5[[#This Row],[PID]],Table3[[#All],[PID]],0)))</f>
        <v>40.808347513480115</v>
      </c>
      <c r="R530" s="52">
        <f>IF($C530="B",INDEX(Batters[[#All],[zScore]],MATCH(Table5[[#This Row],[PID]],Batters[[#All],[PID]],0)),INDEX(Table3[[#All],[zScore]],MATCH(Table5[[#This Row],[PID]],Table3[[#All],[PID]],0)))</f>
        <v>0.32850571690233271</v>
      </c>
      <c r="S530" s="78" t="str">
        <f>IF($C530="B",INDEX(Batters[[#All],[DEM]],MATCH(Table5[[#This Row],[PID]],Batters[[#All],[PID]],0)),INDEX(Table3[[#All],[DEM]],MATCH(Table5[[#This Row],[PID]],Table3[[#All],[PID]],0)))</f>
        <v>$75k</v>
      </c>
      <c r="T530" s="75">
        <f>IF($C530="B",INDEX(Batters[[#All],[Rnk]],MATCH(Table5[[#This Row],[PID]],Batters[[#All],[PID]],0)),INDEX(Table3[[#All],[Rnk]],MATCH(Table5[[#This Row],[PID]],Table3[[#All],[PID]],0)))</f>
        <v>237</v>
      </c>
      <c r="U530" s="68">
        <f>IF($C530="B",VLOOKUP($A530,Bat!$A$4:$BA$1621,47,FALSE),VLOOKUP($A530,Pit!$A$4:$BF$1557,56,FALSE))</f>
        <v>0</v>
      </c>
      <c r="V530" s="50">
        <f>IF($C530="B",VLOOKUP($A530,Bat!$A$4:$BA$1621,48,FALSE),VLOOKUP($A530,Pit!$A$4:$BF$1557,57,FALSE))</f>
        <v>0</v>
      </c>
      <c r="W530" s="69">
        <f>Table5[[#This Row],[posRnk]]+Table5[[#This Row],[zRnk]]+IF($W$3&lt;&gt;Table5[[#This Row],[Type]],50,0)</f>
        <v>696</v>
      </c>
      <c r="X530" s="73">
        <f>RANK(Table5[[#This Row],[zScore]],Table5[[#All],[zScore]])</f>
        <v>409</v>
      </c>
      <c r="Y530" s="69">
        <f>IFERROR(INDEX(DraftResults[[#All],[OVR]],MATCH(Table5[[#This Row],[PID]],DraftResults[[#All],[Player ID]],0)),"")</f>
        <v>526</v>
      </c>
      <c r="Z53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0" s="69">
        <f>IFERROR(INDEX(DraftResults[[#All],[Pick in Round]],MATCH(Table5[[#This Row],[PID]],DraftResults[[#All],[Player ID]],0)),"")</f>
        <v>8</v>
      </c>
      <c r="AB530" s="69" t="str">
        <f>IFERROR(INDEX(DraftResults[[#All],[Team Name]],MATCH(Table5[[#This Row],[PID]],DraftResults[[#All],[Player ID]],0)),"")</f>
        <v>London Underground</v>
      </c>
      <c r="AC530" s="69">
        <f>IF(Table5[[#This Row],[Ovr]]="","",IF(Table5[[#This Row],[cmbList]]="","",Table5[[#This Row],[cmbList]]-Table5[[#This Row],[Ovr]]))</f>
        <v>170</v>
      </c>
      <c r="AD530" s="77" t="str">
        <f>IF(ISERROR(VLOOKUP($AB530&amp;"-"&amp;$E530&amp;" "&amp;F530,Bonuses!$B$1:$G$1006,4,FALSE)),"",INT(VLOOKUP($AB530&amp;"-"&amp;$E530&amp;" "&amp;$F530,Bonuses!$B$1:$G$1006,4,FALSE)))</f>
        <v/>
      </c>
      <c r="AE53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18.8 (526) - SP Jesús Oliveira</v>
      </c>
    </row>
    <row r="531" spans="1:31" s="50" customFormat="1" x14ac:dyDescent="0.25">
      <c r="A531" s="50">
        <v>21067</v>
      </c>
      <c r="B531" s="50">
        <f>COUNTIF(Table5[PID],A531)</f>
        <v>1</v>
      </c>
      <c r="C531" s="50" t="str">
        <f>IF(COUNTIF(Table3[[#All],[PID]],A531)&gt;0,"P","B")</f>
        <v>B</v>
      </c>
      <c r="D531" s="59" t="str">
        <f>IF($C531="B",INDEX(Batters[[#All],[POS]],MATCH(Table5[[#This Row],[PID]],Batters[[#All],[PID]],0)),INDEX(Table3[[#All],[POS]],MATCH(Table5[[#This Row],[PID]],Table3[[#All],[PID]],0)))</f>
        <v>3B</v>
      </c>
      <c r="E531" s="52" t="str">
        <f>IF($C531="B",INDEX(Batters[[#All],[First]],MATCH(Table5[[#This Row],[PID]],Batters[[#All],[PID]],0)),INDEX(Table3[[#All],[First]],MATCH(Table5[[#This Row],[PID]],Table3[[#All],[PID]],0)))</f>
        <v>Jesús</v>
      </c>
      <c r="F531" s="50" t="str">
        <f>IF($C531="B",INDEX(Batters[[#All],[Last]],MATCH(A531,Batters[[#All],[PID]],0)),INDEX(Table3[[#All],[Last]],MATCH(A531,Table3[[#All],[PID]],0)))</f>
        <v>Torres</v>
      </c>
      <c r="G531" s="56">
        <f>IF($C531="B",INDEX(Batters[[#All],[Age]],MATCH(Table5[[#This Row],[PID]],Batters[[#All],[PID]],0)),INDEX(Table3[[#All],[Age]],MATCH(Table5[[#This Row],[PID]],Table3[[#All],[PID]],0)))</f>
        <v>17</v>
      </c>
      <c r="H531" s="52" t="str">
        <f>IF($C531="B",INDEX(Batters[[#All],[B]],MATCH(Table5[[#This Row],[PID]],Batters[[#All],[PID]],0)),INDEX(Table3[[#All],[B]],MATCH(Table5[[#This Row],[PID]],Table3[[#All],[PID]],0)))</f>
        <v>S</v>
      </c>
      <c r="I531" s="52" t="str">
        <f>IF($C531="B",INDEX(Batters[[#All],[T]],MATCH(Table5[[#This Row],[PID]],Batters[[#All],[PID]],0)),INDEX(Table3[[#All],[T]],MATCH(Table5[[#This Row],[PID]],Table3[[#All],[PID]],0)))</f>
        <v>R</v>
      </c>
      <c r="J531" s="52" t="str">
        <f>IF($C531="B",INDEX(Batters[[#All],[WE]],MATCH(Table5[[#This Row],[PID]],Batters[[#All],[PID]],0)),INDEX(Table3[[#All],[WE]],MATCH(Table5[[#This Row],[PID]],Table3[[#All],[PID]],0)))</f>
        <v>High</v>
      </c>
      <c r="K531" s="52" t="str">
        <f>IF($C531="B",INDEX(Batters[[#All],[INT]],MATCH(Table5[[#This Row],[PID]],Batters[[#All],[PID]],0)),INDEX(Table3[[#All],[INT]],MATCH(Table5[[#This Row],[PID]],Table3[[#All],[PID]],0)))</f>
        <v>Normal</v>
      </c>
      <c r="L531" s="60">
        <f>IF($C531="B",INDEX(Batters[[#All],[CON P]],MATCH(Table5[[#This Row],[PID]],Batters[[#All],[PID]],0)),INDEX(Table3[[#All],[STU P]],MATCH(Table5[[#This Row],[PID]],Table3[[#All],[PID]],0)))</f>
        <v>3</v>
      </c>
      <c r="M531" s="56">
        <f>IF($C531="B",INDEX(Batters[[#All],[GAP P]],MATCH(Table5[[#This Row],[PID]],Batters[[#All],[PID]],0)),INDEX(Table3[[#All],[MOV P]],MATCH(Table5[[#This Row],[PID]],Table3[[#All],[PID]],0)))</f>
        <v>3</v>
      </c>
      <c r="N531" s="56">
        <f>IF($C531="B",INDEX(Batters[[#All],[POW P]],MATCH(Table5[[#This Row],[PID]],Batters[[#All],[PID]],0)),INDEX(Table3[[#All],[CON P]],MATCH(Table5[[#This Row],[PID]],Table3[[#All],[PID]],0)))</f>
        <v>5</v>
      </c>
      <c r="O531" s="56">
        <f>IF($C531="B",INDEX(Batters[[#All],[EYE P]],MATCH(Table5[[#This Row],[PID]],Batters[[#All],[PID]],0)),INDEX(Table3[[#All],[VELO]],MATCH(Table5[[#This Row],[PID]],Table3[[#All],[PID]],0)))</f>
        <v>6</v>
      </c>
      <c r="P531" s="56">
        <f>IF($C531="B",INDEX(Batters[[#All],[K P]],MATCH(Table5[[#This Row],[PID]],Batters[[#All],[PID]],0)),INDEX(Table3[[#All],[STM]],MATCH(Table5[[#This Row],[PID]],Table3[[#All],[PID]],0)))</f>
        <v>4</v>
      </c>
      <c r="Q531" s="61">
        <f>IF($C531="B",INDEX(Batters[[#All],[Tot]],MATCH(Table5[[#This Row],[PID]],Batters[[#All],[PID]],0)),INDEX(Table3[[#All],[Tot]],MATCH(Table5[[#This Row],[PID]],Table3[[#All],[PID]],0)))</f>
        <v>44.87361269833994</v>
      </c>
      <c r="R531" s="52">
        <f>IF($C531="B",INDEX(Batters[[#All],[zScore]],MATCH(Table5[[#This Row],[PID]],Batters[[#All],[PID]],0)),INDEX(Table3[[#All],[zScore]],MATCH(Table5[[#This Row],[PID]],Table3[[#All],[PID]],0)))</f>
        <v>0.16443391217978323</v>
      </c>
      <c r="S531" s="58" t="str">
        <f>IF($C531="B",INDEX(Batters[[#All],[DEM]],MATCH(Table5[[#This Row],[PID]],Batters[[#All],[PID]],0)),INDEX(Table3[[#All],[DEM]],MATCH(Table5[[#This Row],[PID]],Table3[[#All],[PID]],0)))</f>
        <v>$65k</v>
      </c>
      <c r="T531" s="62">
        <f>IF($C531="B",INDEX(Batters[[#All],[Rnk]],MATCH(Table5[[#This Row],[PID]],Batters[[#All],[PID]],0)),INDEX(Table3[[#All],[Rnk]],MATCH(Table5[[#This Row],[PID]],Table3[[#All],[PID]],0)))</f>
        <v>211</v>
      </c>
      <c r="U531" s="68">
        <f>IF($C531="B",VLOOKUP($A531,Bat!$A$4:$BA$1621,47,FALSE),VLOOKUP($A531,Pit!$A$4:$BF$1557,56,FALSE))</f>
        <v>0</v>
      </c>
      <c r="V531" s="50">
        <f>IF($C531="B",VLOOKUP($A531,Bat!$A$4:$BA$1621,48,FALSE),VLOOKUP($A531,Pit!$A$4:$BF$1557,57,FALSE))</f>
        <v>0</v>
      </c>
      <c r="W531" s="50">
        <f>Table5[[#This Row],[posRnk]]+Table5[[#This Row],[zRnk]]+IF($W$3&lt;&gt;Table5[[#This Row],[Type]],50,0)</f>
        <v>745</v>
      </c>
      <c r="X531" s="51">
        <f>RANK(Table5[[#This Row],[zScore]],Table5[[#All],[zScore]])</f>
        <v>484</v>
      </c>
      <c r="Y531" s="50">
        <f>IFERROR(INDEX(DraftResults[[#All],[OVR]],MATCH(Table5[[#This Row],[PID]],DraftResults[[#All],[Player ID]],0)),"")</f>
        <v>527</v>
      </c>
      <c r="Z5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1" s="50">
        <f>IFERROR(INDEX(DraftResults[[#All],[Pick in Round]],MATCH(Table5[[#This Row],[PID]],DraftResults[[#All],[Player ID]],0)),"")</f>
        <v>9</v>
      </c>
      <c r="AB531" s="50" t="str">
        <f>IFERROR(INDEX(DraftResults[[#All],[Team Name]],MATCH(Table5[[#This Row],[PID]],DraftResults[[#All],[Player ID]],0)),"")</f>
        <v>Scottish Claymores</v>
      </c>
      <c r="AC531" s="50">
        <f>IF(Table5[[#This Row],[Ovr]]="","",IF(Table5[[#This Row],[cmbList]]="","",Table5[[#This Row],[cmbList]]-Table5[[#This Row],[Ovr]]))</f>
        <v>218</v>
      </c>
      <c r="AD531" s="54" t="str">
        <f>IF(ISERROR(VLOOKUP($AB531&amp;"-"&amp;$E531&amp;" "&amp;F531,Bonuses!$B$1:$G$1006,4,FALSE)),"",INT(VLOOKUP($AB531&amp;"-"&amp;$E531&amp;" "&amp;$F531,Bonuses!$B$1:$G$1006,4,FALSE)))</f>
        <v/>
      </c>
      <c r="AE5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18.9 (527) - 3B Jesús Torres</v>
      </c>
    </row>
    <row r="532" spans="1:31" s="50" customFormat="1" x14ac:dyDescent="0.25">
      <c r="A532" s="50">
        <v>20494</v>
      </c>
      <c r="B532" s="50">
        <f>COUNTIF(Table5[PID],A532)</f>
        <v>1</v>
      </c>
      <c r="C532" s="50" t="str">
        <f>IF(COUNTIF(Table3[[#All],[PID]],A532)&gt;0,"P","B")</f>
        <v>B</v>
      </c>
      <c r="D532" s="59" t="str">
        <f>IF($C532="B",INDEX(Batters[[#All],[POS]],MATCH(Table5[[#This Row],[PID]],Batters[[#All],[PID]],0)),INDEX(Table3[[#All],[POS]],MATCH(Table5[[#This Row],[PID]],Table3[[#All],[PID]],0)))</f>
        <v>LF</v>
      </c>
      <c r="E532" s="52" t="str">
        <f>IF($C532="B",INDEX(Batters[[#All],[First]],MATCH(Table5[[#This Row],[PID]],Batters[[#All],[PID]],0)),INDEX(Table3[[#All],[First]],MATCH(Table5[[#This Row],[PID]],Table3[[#All],[PID]],0)))</f>
        <v>Guus</v>
      </c>
      <c r="F532" s="50" t="str">
        <f>IF($C532="B",INDEX(Batters[[#All],[Last]],MATCH(A532,Batters[[#All],[PID]],0)),INDEX(Table3[[#All],[Last]],MATCH(A532,Table3[[#All],[PID]],0)))</f>
        <v>Wichers</v>
      </c>
      <c r="G532" s="56">
        <f>IF($C532="B",INDEX(Batters[[#All],[Age]],MATCH(Table5[[#This Row],[PID]],Batters[[#All],[PID]],0)),INDEX(Table3[[#All],[Age]],MATCH(Table5[[#This Row],[PID]],Table3[[#All],[PID]],0)))</f>
        <v>17</v>
      </c>
      <c r="H532" s="52" t="str">
        <f>IF($C532="B",INDEX(Batters[[#All],[B]],MATCH(Table5[[#This Row],[PID]],Batters[[#All],[PID]],0)),INDEX(Table3[[#All],[B]],MATCH(Table5[[#This Row],[PID]],Table3[[#All],[PID]],0)))</f>
        <v>L</v>
      </c>
      <c r="I532" s="52" t="str">
        <f>IF($C532="B",INDEX(Batters[[#All],[T]],MATCH(Table5[[#This Row],[PID]],Batters[[#All],[PID]],0)),INDEX(Table3[[#All],[T]],MATCH(Table5[[#This Row],[PID]],Table3[[#All],[PID]],0)))</f>
        <v>R</v>
      </c>
      <c r="J532" s="52" t="str">
        <f>IF($C532="B",INDEX(Batters[[#All],[WE]],MATCH(Table5[[#This Row],[PID]],Batters[[#All],[PID]],0)),INDEX(Table3[[#All],[WE]],MATCH(Table5[[#This Row],[PID]],Table3[[#All],[PID]],0)))</f>
        <v>Normal</v>
      </c>
      <c r="K532" s="52" t="str">
        <f>IF($C532="B",INDEX(Batters[[#All],[INT]],MATCH(Table5[[#This Row],[PID]],Batters[[#All],[PID]],0)),INDEX(Table3[[#All],[INT]],MATCH(Table5[[#This Row],[PID]],Table3[[#All],[PID]],0)))</f>
        <v>Normal</v>
      </c>
      <c r="L532" s="60">
        <f>IF($C532="B",INDEX(Batters[[#All],[CON P]],MATCH(Table5[[#This Row],[PID]],Batters[[#All],[PID]],0)),INDEX(Table3[[#All],[STU P]],MATCH(Table5[[#This Row],[PID]],Table3[[#All],[PID]],0)))</f>
        <v>3</v>
      </c>
      <c r="M532" s="56">
        <f>IF($C532="B",INDEX(Batters[[#All],[GAP P]],MATCH(Table5[[#This Row],[PID]],Batters[[#All],[PID]],0)),INDEX(Table3[[#All],[MOV P]],MATCH(Table5[[#This Row],[PID]],Table3[[#All],[PID]],0)))</f>
        <v>5</v>
      </c>
      <c r="N532" s="56">
        <f>IF($C532="B",INDEX(Batters[[#All],[POW P]],MATCH(Table5[[#This Row],[PID]],Batters[[#All],[PID]],0)),INDEX(Table3[[#All],[CON P]],MATCH(Table5[[#This Row],[PID]],Table3[[#All],[PID]],0)))</f>
        <v>5</v>
      </c>
      <c r="O532" s="56">
        <f>IF($C532="B",INDEX(Batters[[#All],[EYE P]],MATCH(Table5[[#This Row],[PID]],Batters[[#All],[PID]],0)),INDEX(Table3[[#All],[VELO]],MATCH(Table5[[#This Row],[PID]],Table3[[#All],[PID]],0)))</f>
        <v>7</v>
      </c>
      <c r="P532" s="56">
        <f>IF($C532="B",INDEX(Batters[[#All],[K P]],MATCH(Table5[[#This Row],[PID]],Batters[[#All],[PID]],0)),INDEX(Table3[[#All],[STM]],MATCH(Table5[[#This Row],[PID]],Table3[[#All],[PID]],0)))</f>
        <v>4</v>
      </c>
      <c r="Q532" s="61">
        <f>IF($C532="B",INDEX(Batters[[#All],[Tot]],MATCH(Table5[[#This Row],[PID]],Batters[[#All],[PID]],0)),INDEX(Table3[[#All],[Tot]],MATCH(Table5[[#This Row],[PID]],Table3[[#All],[PID]],0)))</f>
        <v>46.907055123612594</v>
      </c>
      <c r="R532" s="52">
        <f>IF($C532="B",INDEX(Batters[[#All],[zScore]],MATCH(Table5[[#This Row],[PID]],Batters[[#All],[PID]],0)),INDEX(Table3[[#All],[zScore]],MATCH(Table5[[#This Row],[PID]],Table3[[#All],[PID]],0)))</f>
        <v>0.61526184265790806</v>
      </c>
      <c r="S532" s="58" t="str">
        <f>IF($C532="B",INDEX(Batters[[#All],[DEM]],MATCH(Table5[[#This Row],[PID]],Batters[[#All],[PID]],0)),INDEX(Table3[[#All],[DEM]],MATCH(Table5[[#This Row],[PID]],Table3[[#All],[PID]],0)))</f>
        <v>$70k</v>
      </c>
      <c r="T532" s="62">
        <f>IF($C532="B",INDEX(Batters[[#All],[Rnk]],MATCH(Table5[[#This Row],[PID]],Batters[[#All],[PID]],0)),INDEX(Table3[[#All],[Rnk]],MATCH(Table5[[#This Row],[PID]],Table3[[#All],[PID]],0)))</f>
        <v>134</v>
      </c>
      <c r="U532" s="68">
        <f>IF($C532="B",VLOOKUP($A532,Bat!$A$4:$BA$1621,47,FALSE),VLOOKUP($A532,Pit!$A$4:$BF$1557,56,FALSE))</f>
        <v>0</v>
      </c>
      <c r="V532" s="50">
        <f>IF($C532="B",VLOOKUP($A532,Bat!$A$4:$BA$1621,48,FALSE),VLOOKUP($A532,Pit!$A$4:$BF$1557,57,FALSE))</f>
        <v>0</v>
      </c>
      <c r="W532" s="50">
        <f>Table5[[#This Row],[posRnk]]+Table5[[#This Row],[zRnk]]+IF($W$3&lt;&gt;Table5[[#This Row],[Type]],50,0)</f>
        <v>515</v>
      </c>
      <c r="X532" s="51">
        <f>RANK(Table5[[#This Row],[zScore]],Table5[[#All],[zScore]])</f>
        <v>331</v>
      </c>
      <c r="Y532" s="50">
        <f>IFERROR(INDEX(DraftResults[[#All],[OVR]],MATCH(Table5[[#This Row],[PID]],DraftResults[[#All],[Player ID]],0)),"")</f>
        <v>528</v>
      </c>
      <c r="Z5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2" s="50">
        <f>IFERROR(INDEX(DraftResults[[#All],[Pick in Round]],MATCH(Table5[[#This Row],[PID]],DraftResults[[#All],[Player ID]],0)),"")</f>
        <v>10</v>
      </c>
      <c r="AB532" s="50" t="str">
        <f>IFERROR(INDEX(DraftResults[[#All],[Team Name]],MATCH(Table5[[#This Row],[PID]],DraftResults[[#All],[Player ID]],0)),"")</f>
        <v>Hartford Harpoon</v>
      </c>
      <c r="AC532" s="50">
        <f>IF(Table5[[#This Row],[Ovr]]="","",IF(Table5[[#This Row],[cmbList]]="","",Table5[[#This Row],[cmbList]]-Table5[[#This Row],[Ovr]]))</f>
        <v>-13</v>
      </c>
      <c r="AD532" s="54" t="str">
        <f>IF(ISERROR(VLOOKUP($AB532&amp;"-"&amp;$E532&amp;" "&amp;F532,Bonuses!$B$1:$G$1006,4,FALSE)),"",INT(VLOOKUP($AB532&amp;"-"&amp;$E532&amp;" "&amp;$F532,Bonuses!$B$1:$G$1006,4,FALSE)))</f>
        <v/>
      </c>
      <c r="AE5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18.10 (528) - LF Guus Wichers</v>
      </c>
    </row>
    <row r="533" spans="1:31" s="50" customFormat="1" x14ac:dyDescent="0.25">
      <c r="A533" s="50">
        <v>17624</v>
      </c>
      <c r="B533" s="50">
        <f>COUNTIF(Table5[PID],A533)</f>
        <v>1</v>
      </c>
      <c r="C533" s="50" t="str">
        <f>IF(COUNTIF(Table3[[#All],[PID]],A533)&gt;0,"P","B")</f>
        <v>P</v>
      </c>
      <c r="D533" s="59" t="str">
        <f>IF($C533="B",INDEX(Batters[[#All],[POS]],MATCH(Table5[[#This Row],[PID]],Batters[[#All],[PID]],0)),INDEX(Table3[[#All],[POS]],MATCH(Table5[[#This Row],[PID]],Table3[[#All],[PID]],0)))</f>
        <v>RP</v>
      </c>
      <c r="E533" s="52" t="str">
        <f>IF($C533="B",INDEX(Batters[[#All],[First]],MATCH(Table5[[#This Row],[PID]],Batters[[#All],[PID]],0)),INDEX(Table3[[#All],[First]],MATCH(Table5[[#This Row],[PID]],Table3[[#All],[PID]],0)))</f>
        <v>Tim</v>
      </c>
      <c r="F533" s="50" t="str">
        <f>IF($C533="B",INDEX(Batters[[#All],[Last]],MATCH(A533,Batters[[#All],[PID]],0)),INDEX(Table3[[#All],[Last]],MATCH(A533,Table3[[#All],[PID]],0)))</f>
        <v>Riley</v>
      </c>
      <c r="G533" s="56">
        <f>IF($C533="B",INDEX(Batters[[#All],[Age]],MATCH(Table5[[#This Row],[PID]],Batters[[#All],[PID]],0)),INDEX(Table3[[#All],[Age]],MATCH(Table5[[#This Row],[PID]],Table3[[#All],[PID]],0)))</f>
        <v>18</v>
      </c>
      <c r="H533" s="52" t="str">
        <f>IF($C533="B",INDEX(Batters[[#All],[B]],MATCH(Table5[[#This Row],[PID]],Batters[[#All],[PID]],0)),INDEX(Table3[[#All],[B]],MATCH(Table5[[#This Row],[PID]],Table3[[#All],[PID]],0)))</f>
        <v>L</v>
      </c>
      <c r="I533" s="52" t="str">
        <f>IF($C533="B",INDEX(Batters[[#All],[T]],MATCH(Table5[[#This Row],[PID]],Batters[[#All],[PID]],0)),INDEX(Table3[[#All],[T]],MATCH(Table5[[#This Row],[PID]],Table3[[#All],[PID]],0)))</f>
        <v>L</v>
      </c>
      <c r="J533" s="52" t="str">
        <f>IF($C533="B",INDEX(Batters[[#All],[WE]],MATCH(Table5[[#This Row],[PID]],Batters[[#All],[PID]],0)),INDEX(Table3[[#All],[WE]],MATCH(Table5[[#This Row],[PID]],Table3[[#All],[PID]],0)))</f>
        <v>Low</v>
      </c>
      <c r="K533" s="52" t="str">
        <f>IF($C533="B",INDEX(Batters[[#All],[INT]],MATCH(Table5[[#This Row],[PID]],Batters[[#All],[PID]],0)),INDEX(Table3[[#All],[INT]],MATCH(Table5[[#This Row],[PID]],Table3[[#All],[PID]],0)))</f>
        <v>Low</v>
      </c>
      <c r="L533" s="60">
        <f>IF($C533="B",INDEX(Batters[[#All],[CON P]],MATCH(Table5[[#This Row],[PID]],Batters[[#All],[PID]],0)),INDEX(Table3[[#All],[STU P]],MATCH(Table5[[#This Row],[PID]],Table3[[#All],[PID]],0)))</f>
        <v>5</v>
      </c>
      <c r="M533" s="56">
        <f>IF($C533="B",INDEX(Batters[[#All],[GAP P]],MATCH(Table5[[#This Row],[PID]],Batters[[#All],[PID]],0)),INDEX(Table3[[#All],[MOV P]],MATCH(Table5[[#This Row],[PID]],Table3[[#All],[PID]],0)))</f>
        <v>2</v>
      </c>
      <c r="N533" s="56">
        <f>IF($C533="B",INDEX(Batters[[#All],[POW P]],MATCH(Table5[[#This Row],[PID]],Batters[[#All],[PID]],0)),INDEX(Table3[[#All],[CON P]],MATCH(Table5[[#This Row],[PID]],Table3[[#All],[PID]],0)))</f>
        <v>3</v>
      </c>
      <c r="O533" s="56" t="str">
        <f>IF($C533="B",INDEX(Batters[[#All],[EYE P]],MATCH(Table5[[#This Row],[PID]],Batters[[#All],[PID]],0)),INDEX(Table3[[#All],[VELO]],MATCH(Table5[[#This Row],[PID]],Table3[[#All],[PID]],0)))</f>
        <v>93-95 Mph</v>
      </c>
      <c r="P533" s="56">
        <f>IF($C533="B",INDEX(Batters[[#All],[K P]],MATCH(Table5[[#This Row],[PID]],Batters[[#All],[PID]],0)),INDEX(Table3[[#All],[STM]],MATCH(Table5[[#This Row],[PID]],Table3[[#All],[PID]],0)))</f>
        <v>8</v>
      </c>
      <c r="Q533" s="61">
        <f>IF($C533="B",INDEX(Batters[[#All],[Tot]],MATCH(Table5[[#This Row],[PID]],Batters[[#All],[PID]],0)),INDEX(Table3[[#All],[Tot]],MATCH(Table5[[#This Row],[PID]],Table3[[#All],[PID]],0)))</f>
        <v>38.774155908735757</v>
      </c>
      <c r="R533" s="52">
        <f>IF($C533="B",INDEX(Batters[[#All],[zScore]],MATCH(Table5[[#This Row],[PID]],Batters[[#All],[PID]],0)),INDEX(Table3[[#All],[zScore]],MATCH(Table5[[#This Row],[PID]],Table3[[#All],[PID]],0)))</f>
        <v>0.19317405790486838</v>
      </c>
      <c r="S533" s="58" t="str">
        <f>IF($C533="B",INDEX(Batters[[#All],[DEM]],MATCH(Table5[[#This Row],[PID]],Batters[[#All],[PID]],0)),INDEX(Table3[[#All],[DEM]],MATCH(Table5[[#This Row],[PID]],Table3[[#All],[PID]],0)))</f>
        <v>$65k</v>
      </c>
      <c r="T533" s="62">
        <f>IF($C533="B",INDEX(Batters[[#All],[Rnk]],MATCH(Table5[[#This Row],[PID]],Batters[[#All],[PID]],0)),INDEX(Table3[[#All],[Rnk]],MATCH(Table5[[#This Row],[PID]],Table3[[#All],[PID]],0)))</f>
        <v>266</v>
      </c>
      <c r="U533" s="68">
        <f>IF($C533="B",VLOOKUP($A533,Bat!$A$4:$BA$1621,47,FALSE),VLOOKUP($A533,Pit!$A$4:$BF$1557,56,FALSE))</f>
        <v>0</v>
      </c>
      <c r="V533" s="50">
        <f>IF($C533="B",VLOOKUP($A533,Bat!$A$4:$BA$1621,48,FALSE),VLOOKUP($A533,Pit!$A$4:$BF$1557,57,FALSE))</f>
        <v>0</v>
      </c>
      <c r="W533" s="50">
        <f>Table5[[#This Row],[posRnk]]+Table5[[#This Row],[zRnk]]+IF($W$3&lt;&gt;Table5[[#This Row],[Type]],50,0)</f>
        <v>789</v>
      </c>
      <c r="X533" s="51">
        <f>RANK(Table5[[#This Row],[zScore]],Table5[[#All],[zScore]])</f>
        <v>473</v>
      </c>
      <c r="Y533" s="50">
        <f>IFERROR(INDEX(DraftResults[[#All],[OVR]],MATCH(Table5[[#This Row],[PID]],DraftResults[[#All],[Player ID]],0)),"")</f>
        <v>529</v>
      </c>
      <c r="Z5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3" s="50">
        <f>IFERROR(INDEX(DraftResults[[#All],[Pick in Round]],MATCH(Table5[[#This Row],[PID]],DraftResults[[#All],[Player ID]],0)),"")</f>
        <v>11</v>
      </c>
      <c r="AB533" s="50" t="str">
        <f>IFERROR(INDEX(DraftResults[[#All],[Team Name]],MATCH(Table5[[#This Row],[PID]],DraftResults[[#All],[Player ID]],0)),"")</f>
        <v>Duluth Warriors</v>
      </c>
      <c r="AC533" s="50">
        <f>IF(Table5[[#This Row],[Ovr]]="","",IF(Table5[[#This Row],[cmbList]]="","",Table5[[#This Row],[cmbList]]-Table5[[#This Row],[Ovr]]))</f>
        <v>260</v>
      </c>
      <c r="AD533" s="54" t="str">
        <f>IF(ISERROR(VLOOKUP($AB533&amp;"-"&amp;$E533&amp;" "&amp;F533,Bonuses!$B$1:$G$1006,4,FALSE)),"",INT(VLOOKUP($AB533&amp;"-"&amp;$E533&amp;" "&amp;$F533,Bonuses!$B$1:$G$1006,4,FALSE)))</f>
        <v/>
      </c>
      <c r="AE5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18.11 (529) - RP Tim Riley</v>
      </c>
    </row>
    <row r="534" spans="1:31" s="50" customFormat="1" x14ac:dyDescent="0.25">
      <c r="A534" s="68">
        <v>20237</v>
      </c>
      <c r="B534" s="69">
        <f>COUNTIF(Table5[PID],A534)</f>
        <v>1</v>
      </c>
      <c r="C534" s="69" t="str">
        <f>IF(COUNTIF(Table3[[#All],[PID]],A534)&gt;0,"P","B")</f>
        <v>P</v>
      </c>
      <c r="D534" s="59" t="str">
        <f>IF($C534="B",INDEX(Batters[[#All],[POS]],MATCH(Table5[[#This Row],[PID]],Batters[[#All],[PID]],0)),INDEX(Table3[[#All],[POS]],MATCH(Table5[[#This Row],[PID]],Table3[[#All],[PID]],0)))</f>
        <v>SP</v>
      </c>
      <c r="E534" s="52" t="str">
        <f>IF($C534="B",INDEX(Batters[[#All],[First]],MATCH(Table5[[#This Row],[PID]],Batters[[#All],[PID]],0)),INDEX(Table3[[#All],[First]],MATCH(Table5[[#This Row],[PID]],Table3[[#All],[PID]],0)))</f>
        <v>Eddie</v>
      </c>
      <c r="F534" s="55" t="str">
        <f>IF($C534="B",INDEX(Batters[[#All],[Last]],MATCH(A534,Batters[[#All],[PID]],0)),INDEX(Table3[[#All],[Last]],MATCH(A534,Table3[[#All],[PID]],0)))</f>
        <v>Russell</v>
      </c>
      <c r="G534" s="56">
        <f>IF($C534="B",INDEX(Batters[[#All],[Age]],MATCH(Table5[[#This Row],[PID]],Batters[[#All],[PID]],0)),INDEX(Table3[[#All],[Age]],MATCH(Table5[[#This Row],[PID]],Table3[[#All],[PID]],0)))</f>
        <v>21</v>
      </c>
      <c r="H534" s="52" t="str">
        <f>IF($C534="B",INDEX(Batters[[#All],[B]],MATCH(Table5[[#This Row],[PID]],Batters[[#All],[PID]],0)),INDEX(Table3[[#All],[B]],MATCH(Table5[[#This Row],[PID]],Table3[[#All],[PID]],0)))</f>
        <v>R</v>
      </c>
      <c r="I534" s="52" t="str">
        <f>IF($C534="B",INDEX(Batters[[#All],[T]],MATCH(Table5[[#This Row],[PID]],Batters[[#All],[PID]],0)),INDEX(Table3[[#All],[T]],MATCH(Table5[[#This Row],[PID]],Table3[[#All],[PID]],0)))</f>
        <v>R</v>
      </c>
      <c r="J534" s="71" t="str">
        <f>IF($C534="B",INDEX(Batters[[#All],[WE]],MATCH(Table5[[#This Row],[PID]],Batters[[#All],[PID]],0)),INDEX(Table3[[#All],[WE]],MATCH(Table5[[#This Row],[PID]],Table3[[#All],[PID]],0)))</f>
        <v>Normal</v>
      </c>
      <c r="K534" s="52" t="str">
        <f>IF($C534="B",INDEX(Batters[[#All],[INT]],MATCH(Table5[[#This Row],[PID]],Batters[[#All],[PID]],0)),INDEX(Table3[[#All],[INT]],MATCH(Table5[[#This Row],[PID]],Table3[[#All],[PID]],0)))</f>
        <v>Normal</v>
      </c>
      <c r="L534" s="60">
        <f>IF($C534="B",INDEX(Batters[[#All],[CON P]],MATCH(Table5[[#This Row],[PID]],Batters[[#All],[PID]],0)),INDEX(Table3[[#All],[STU P]],MATCH(Table5[[#This Row],[PID]],Table3[[#All],[PID]],0)))</f>
        <v>6</v>
      </c>
      <c r="M534" s="72">
        <f>IF($C534="B",INDEX(Batters[[#All],[GAP P]],MATCH(Table5[[#This Row],[PID]],Batters[[#All],[PID]],0)),INDEX(Table3[[#All],[MOV P]],MATCH(Table5[[#This Row],[PID]],Table3[[#All],[PID]],0)))</f>
        <v>2</v>
      </c>
      <c r="N534" s="72">
        <f>IF($C534="B",INDEX(Batters[[#All],[POW P]],MATCH(Table5[[#This Row],[PID]],Batters[[#All],[PID]],0)),INDEX(Table3[[#All],[CON P]],MATCH(Table5[[#This Row],[PID]],Table3[[#All],[PID]],0)))</f>
        <v>3</v>
      </c>
      <c r="O534" s="72" t="str">
        <f>IF($C534="B",INDEX(Batters[[#All],[EYE P]],MATCH(Table5[[#This Row],[PID]],Batters[[#All],[PID]],0)),INDEX(Table3[[#All],[VELO]],MATCH(Table5[[#This Row],[PID]],Table3[[#All],[PID]],0)))</f>
        <v>93-95 Mph</v>
      </c>
      <c r="P534" s="56">
        <f>IF($C534="B",INDEX(Batters[[#All],[K P]],MATCH(Table5[[#This Row],[PID]],Batters[[#All],[PID]],0)),INDEX(Table3[[#All],[STM]],MATCH(Table5[[#This Row],[PID]],Table3[[#All],[PID]],0)))</f>
        <v>5</v>
      </c>
      <c r="Q534" s="61">
        <f>IF($C534="B",INDEX(Batters[[#All],[Tot]],MATCH(Table5[[#This Row],[PID]],Batters[[#All],[PID]],0)),INDEX(Table3[[#All],[Tot]],MATCH(Table5[[#This Row],[PID]],Table3[[#All],[PID]],0)))</f>
        <v>39.86932753813074</v>
      </c>
      <c r="R534" s="52">
        <f>IF($C534="B",INDEX(Batters[[#All],[zScore]],MATCH(Table5[[#This Row],[PID]],Batters[[#All],[PID]],0)),INDEX(Table3[[#All],[zScore]],MATCH(Table5[[#This Row],[PID]],Table3[[#All],[PID]],0)))</f>
        <v>0.26603415286706605</v>
      </c>
      <c r="S534" s="78" t="str">
        <f>IF($C534="B",INDEX(Batters[[#All],[DEM]],MATCH(Table5[[#This Row],[PID]],Batters[[#All],[PID]],0)),INDEX(Table3[[#All],[DEM]],MATCH(Table5[[#This Row],[PID]],Table3[[#All],[PID]],0)))</f>
        <v>-</v>
      </c>
      <c r="T534" s="75">
        <f>IF($C534="B",INDEX(Batters[[#All],[Rnk]],MATCH(Table5[[#This Row],[PID]],Batters[[#All],[PID]],0)),INDEX(Table3[[#All],[Rnk]],MATCH(Table5[[#This Row],[PID]],Table3[[#All],[PID]],0)))</f>
        <v>248</v>
      </c>
      <c r="U534" s="68">
        <f>IF($C534="B",VLOOKUP($A534,Bat!$A$4:$BA$1621,47,FALSE),VLOOKUP($A534,Pit!$A$4:$BF$1557,56,FALSE))</f>
        <v>0</v>
      </c>
      <c r="V534" s="50">
        <f>IF($C534="B",VLOOKUP($A534,Bat!$A$4:$BA$1621,48,FALSE),VLOOKUP($A534,Pit!$A$4:$BF$1557,57,FALSE))</f>
        <v>0</v>
      </c>
      <c r="W534" s="69">
        <f>Table5[[#This Row],[posRnk]]+Table5[[#This Row],[zRnk]]+IF($W$3&lt;&gt;Table5[[#This Row],[Type]],50,0)</f>
        <v>728</v>
      </c>
      <c r="X534" s="73">
        <f>RANK(Table5[[#This Row],[zScore]],Table5[[#All],[zScore]])</f>
        <v>430</v>
      </c>
      <c r="Y534" s="69">
        <f>IFERROR(INDEX(DraftResults[[#All],[OVR]],MATCH(Table5[[#This Row],[PID]],DraftResults[[#All],[Player ID]],0)),"")</f>
        <v>530</v>
      </c>
      <c r="Z53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4" s="69">
        <f>IFERROR(INDEX(DraftResults[[#All],[Pick in Round]],MATCH(Table5[[#This Row],[PID]],DraftResults[[#All],[Player ID]],0)),"")</f>
        <v>12</v>
      </c>
      <c r="AB534" s="69" t="str">
        <f>IFERROR(INDEX(DraftResults[[#All],[Team Name]],MATCH(Table5[[#This Row],[PID]],DraftResults[[#All],[Player ID]],0)),"")</f>
        <v>Palm Springs Codgers</v>
      </c>
      <c r="AC534" s="69">
        <f>IF(Table5[[#This Row],[Ovr]]="","",IF(Table5[[#This Row],[cmbList]]="","",Table5[[#This Row],[cmbList]]-Table5[[#This Row],[Ovr]]))</f>
        <v>198</v>
      </c>
      <c r="AD534" s="77" t="str">
        <f>IF(ISERROR(VLOOKUP($AB534&amp;"-"&amp;$E534&amp;" "&amp;F534,Bonuses!$B$1:$G$1006,4,FALSE)),"",INT(VLOOKUP($AB534&amp;"-"&amp;$E534&amp;" "&amp;$F534,Bonuses!$B$1:$G$1006,4,FALSE)))</f>
        <v/>
      </c>
      <c r="AE53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18.12 (530) - SP Eddie Russell</v>
      </c>
    </row>
    <row r="535" spans="1:31" s="50" customFormat="1" x14ac:dyDescent="0.25">
      <c r="A535" s="50">
        <v>17040</v>
      </c>
      <c r="B535" s="50">
        <f>COUNTIF(Table5[PID],A535)</f>
        <v>1</v>
      </c>
      <c r="C535" s="50" t="str">
        <f>IF(COUNTIF(Table3[[#All],[PID]],A535)&gt;0,"P","B")</f>
        <v>B</v>
      </c>
      <c r="D535" s="59" t="str">
        <f>IF($C535="B",INDEX(Batters[[#All],[POS]],MATCH(Table5[[#This Row],[PID]],Batters[[#All],[PID]],0)),INDEX(Table3[[#All],[POS]],MATCH(Table5[[#This Row],[PID]],Table3[[#All],[PID]],0)))</f>
        <v>2B</v>
      </c>
      <c r="E535" s="52" t="str">
        <f>IF($C535="B",INDEX(Batters[[#All],[First]],MATCH(Table5[[#This Row],[PID]],Batters[[#All],[PID]],0)),INDEX(Table3[[#All],[First]],MATCH(Table5[[#This Row],[PID]],Table3[[#All],[PID]],0)))</f>
        <v>Declan</v>
      </c>
      <c r="F535" s="50" t="str">
        <f>IF($C535="B",INDEX(Batters[[#All],[Last]],MATCH(A535,Batters[[#All],[PID]],0)),INDEX(Table3[[#All],[Last]],MATCH(A535,Table3[[#All],[PID]],0)))</f>
        <v>Fletcher</v>
      </c>
      <c r="G535" s="56">
        <f>IF($C535="B",INDEX(Batters[[#All],[Age]],MATCH(Table5[[#This Row],[PID]],Batters[[#All],[PID]],0)),INDEX(Table3[[#All],[Age]],MATCH(Table5[[#This Row],[PID]],Table3[[#All],[PID]],0)))</f>
        <v>21</v>
      </c>
      <c r="H535" s="52" t="str">
        <f>IF($C535="B",INDEX(Batters[[#All],[B]],MATCH(Table5[[#This Row],[PID]],Batters[[#All],[PID]],0)),INDEX(Table3[[#All],[B]],MATCH(Table5[[#This Row],[PID]],Table3[[#All],[PID]],0)))</f>
        <v>R</v>
      </c>
      <c r="I535" s="52" t="str">
        <f>IF($C535="B",INDEX(Batters[[#All],[T]],MATCH(Table5[[#This Row],[PID]],Batters[[#All],[PID]],0)),INDEX(Table3[[#All],[T]],MATCH(Table5[[#This Row],[PID]],Table3[[#All],[PID]],0)))</f>
        <v>R</v>
      </c>
      <c r="J535" s="52" t="str">
        <f>IF($C535="B",INDEX(Batters[[#All],[WE]],MATCH(Table5[[#This Row],[PID]],Batters[[#All],[PID]],0)),INDEX(Table3[[#All],[WE]],MATCH(Table5[[#This Row],[PID]],Table3[[#All],[PID]],0)))</f>
        <v>Low</v>
      </c>
      <c r="K535" s="52" t="str">
        <f>IF($C535="B",INDEX(Batters[[#All],[INT]],MATCH(Table5[[#This Row],[PID]],Batters[[#All],[PID]],0)),INDEX(Table3[[#All],[INT]],MATCH(Table5[[#This Row],[PID]],Table3[[#All],[PID]],0)))</f>
        <v>Low</v>
      </c>
      <c r="L535" s="60">
        <f>IF($C535="B",INDEX(Batters[[#All],[CON P]],MATCH(Table5[[#This Row],[PID]],Batters[[#All],[PID]],0)),INDEX(Table3[[#All],[STU P]],MATCH(Table5[[#This Row],[PID]],Table3[[#All],[PID]],0)))</f>
        <v>3</v>
      </c>
      <c r="M535" s="56">
        <f>IF($C535="B",INDEX(Batters[[#All],[GAP P]],MATCH(Table5[[#This Row],[PID]],Batters[[#All],[PID]],0)),INDEX(Table3[[#All],[MOV P]],MATCH(Table5[[#This Row],[PID]],Table3[[#All],[PID]],0)))</f>
        <v>4</v>
      </c>
      <c r="N535" s="56">
        <f>IF($C535="B",INDEX(Batters[[#All],[POW P]],MATCH(Table5[[#This Row],[PID]],Batters[[#All],[PID]],0)),INDEX(Table3[[#All],[CON P]],MATCH(Table5[[#This Row],[PID]],Table3[[#All],[PID]],0)))</f>
        <v>3</v>
      </c>
      <c r="O535" s="56">
        <f>IF($C535="B",INDEX(Batters[[#All],[EYE P]],MATCH(Table5[[#This Row],[PID]],Batters[[#All],[PID]],0)),INDEX(Table3[[#All],[VELO]],MATCH(Table5[[#This Row],[PID]],Table3[[#All],[PID]],0)))</f>
        <v>5</v>
      </c>
      <c r="P535" s="56">
        <f>IF($C535="B",INDEX(Batters[[#All],[K P]],MATCH(Table5[[#This Row],[PID]],Batters[[#All],[PID]],0)),INDEX(Table3[[#All],[STM]],MATCH(Table5[[#This Row],[PID]],Table3[[#All],[PID]],0)))</f>
        <v>2</v>
      </c>
      <c r="Q535" s="61">
        <f>IF($C535="B",INDEX(Batters[[#All],[Tot]],MATCH(Table5[[#This Row],[PID]],Batters[[#All],[PID]],0)),INDEX(Table3[[#All],[Tot]],MATCH(Table5[[#This Row],[PID]],Table3[[#All],[PID]],0)))</f>
        <v>36.241798239057132</v>
      </c>
      <c r="R535" s="52">
        <f>IF($C535="B",INDEX(Batters[[#All],[zScore]],MATCH(Table5[[#This Row],[PID]],Batters[[#All],[PID]],0)),INDEX(Table3[[#All],[zScore]],MATCH(Table5[[#This Row],[PID]],Table3[[#All],[PID]],0)))</f>
        <v>-1.7492976990940581</v>
      </c>
      <c r="S535" s="58" t="str">
        <f>IF($C535="B",INDEX(Batters[[#All],[DEM]],MATCH(Table5[[#This Row],[PID]],Batters[[#All],[PID]],0)),INDEX(Table3[[#All],[DEM]],MATCH(Table5[[#This Row],[PID]],Table3[[#All],[PID]],0)))</f>
        <v>$20k</v>
      </c>
      <c r="T535" s="62">
        <f>IF($C535="B",INDEX(Batters[[#All],[Rnk]],MATCH(Table5[[#This Row],[PID]],Batters[[#All],[PID]],0)),INDEX(Table3[[#All],[Rnk]],MATCH(Table5[[#This Row],[PID]],Table3[[#All],[PID]],0)))</f>
        <v>587</v>
      </c>
      <c r="U535" s="68">
        <f>IF($C535="B",VLOOKUP($A535,Bat!$A$4:$BA$1621,47,FALSE),VLOOKUP($A535,Pit!$A$4:$BF$1557,56,FALSE))</f>
        <v>0</v>
      </c>
      <c r="V535" s="50">
        <f>IF($C535="B",VLOOKUP($A535,Bat!$A$4:$BA$1621,48,FALSE),VLOOKUP($A535,Pit!$A$4:$BF$1557,57,FALSE))</f>
        <v>0</v>
      </c>
      <c r="W535" s="50">
        <f>Table5[[#This Row],[posRnk]]+Table5[[#This Row],[zRnk]]+IF($W$3&lt;&gt;Table5[[#This Row],[Type]],50,0)</f>
        <v>2001</v>
      </c>
      <c r="X535" s="51">
        <f>RANK(Table5[[#This Row],[zScore]],Table5[[#All],[zScore]])</f>
        <v>1364</v>
      </c>
      <c r="Y535" s="50">
        <f>IFERROR(INDEX(DraftResults[[#All],[OVR]],MATCH(Table5[[#This Row],[PID]],DraftResults[[#All],[Player ID]],0)),"")</f>
        <v>531</v>
      </c>
      <c r="Z5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5" s="50">
        <f>IFERROR(INDEX(DraftResults[[#All],[Pick in Round]],MATCH(Table5[[#This Row],[PID]],DraftResults[[#All],[Player ID]],0)),"")</f>
        <v>13</v>
      </c>
      <c r="AB535" s="50" t="str">
        <f>IFERROR(INDEX(DraftResults[[#All],[Team Name]],MATCH(Table5[[#This Row],[PID]],DraftResults[[#All],[Player ID]],0)),"")</f>
        <v>Reno Zephyrs</v>
      </c>
      <c r="AC535" s="50">
        <f>IF(Table5[[#This Row],[Ovr]]="","",IF(Table5[[#This Row],[cmbList]]="","",Table5[[#This Row],[cmbList]]-Table5[[#This Row],[Ovr]]))</f>
        <v>1470</v>
      </c>
      <c r="AD535" s="54" t="str">
        <f>IF(ISERROR(VLOOKUP($AB535&amp;"-"&amp;$E535&amp;" "&amp;F535,Bonuses!$B$1:$G$1006,4,FALSE)),"",INT(VLOOKUP($AB535&amp;"-"&amp;$E535&amp;" "&amp;$F535,Bonuses!$B$1:$G$1006,4,FALSE)))</f>
        <v/>
      </c>
      <c r="AE5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18.13 (531) - 2B Declan Fletcher</v>
      </c>
    </row>
    <row r="536" spans="1:31" s="50" customFormat="1" x14ac:dyDescent="0.25">
      <c r="A536" s="68">
        <v>18204</v>
      </c>
      <c r="B536" s="69">
        <f>COUNTIF(Table5[PID],A536)</f>
        <v>1</v>
      </c>
      <c r="C536" s="69" t="str">
        <f>IF(COUNTIF(Table3[[#All],[PID]],A536)&gt;0,"P","B")</f>
        <v>P</v>
      </c>
      <c r="D536" s="59" t="str">
        <f>IF($C536="B",INDEX(Batters[[#All],[POS]],MATCH(Table5[[#This Row],[PID]],Batters[[#All],[PID]],0)),INDEX(Table3[[#All],[POS]],MATCH(Table5[[#This Row],[PID]],Table3[[#All],[PID]],0)))</f>
        <v>SP</v>
      </c>
      <c r="E536" s="52" t="str">
        <f>IF($C536="B",INDEX(Batters[[#All],[First]],MATCH(Table5[[#This Row],[PID]],Batters[[#All],[PID]],0)),INDEX(Table3[[#All],[First]],MATCH(Table5[[#This Row],[PID]],Table3[[#All],[PID]],0)))</f>
        <v>Gerald</v>
      </c>
      <c r="F536" s="55" t="str">
        <f>IF($C536="B",INDEX(Batters[[#All],[Last]],MATCH(A536,Batters[[#All],[PID]],0)),INDEX(Table3[[#All],[Last]],MATCH(A536,Table3[[#All],[PID]],0)))</f>
        <v>Helwig</v>
      </c>
      <c r="G536" s="56">
        <f>IF($C536="B",INDEX(Batters[[#All],[Age]],MATCH(Table5[[#This Row],[PID]],Batters[[#All],[PID]],0)),INDEX(Table3[[#All],[Age]],MATCH(Table5[[#This Row],[PID]],Table3[[#All],[PID]],0)))</f>
        <v>18</v>
      </c>
      <c r="H536" s="52" t="str">
        <f>IF($C536="B",INDEX(Batters[[#All],[B]],MATCH(Table5[[#This Row],[PID]],Batters[[#All],[PID]],0)),INDEX(Table3[[#All],[B]],MATCH(Table5[[#This Row],[PID]],Table3[[#All],[PID]],0)))</f>
        <v>R</v>
      </c>
      <c r="I536" s="52" t="str">
        <f>IF($C536="B",INDEX(Batters[[#All],[T]],MATCH(Table5[[#This Row],[PID]],Batters[[#All],[PID]],0)),INDEX(Table3[[#All],[T]],MATCH(Table5[[#This Row],[PID]],Table3[[#All],[PID]],0)))</f>
        <v>L</v>
      </c>
      <c r="J536" s="71" t="str">
        <f>IF($C536="B",INDEX(Batters[[#All],[WE]],MATCH(Table5[[#This Row],[PID]],Batters[[#All],[PID]],0)),INDEX(Table3[[#All],[WE]],MATCH(Table5[[#This Row],[PID]],Table3[[#All],[PID]],0)))</f>
        <v>Low</v>
      </c>
      <c r="K536" s="52" t="str">
        <f>IF($C536="B",INDEX(Batters[[#All],[INT]],MATCH(Table5[[#This Row],[PID]],Batters[[#All],[PID]],0)),INDEX(Table3[[#All],[INT]],MATCH(Table5[[#This Row],[PID]],Table3[[#All],[PID]],0)))</f>
        <v>Normal</v>
      </c>
      <c r="L536" s="60">
        <f>IF($C536="B",INDEX(Batters[[#All],[CON P]],MATCH(Table5[[#This Row],[PID]],Batters[[#All],[PID]],0)),INDEX(Table3[[#All],[STU P]],MATCH(Table5[[#This Row],[PID]],Table3[[#All],[PID]],0)))</f>
        <v>5</v>
      </c>
      <c r="M536" s="72">
        <f>IF($C536="B",INDEX(Batters[[#All],[GAP P]],MATCH(Table5[[#This Row],[PID]],Batters[[#All],[PID]],0)),INDEX(Table3[[#All],[MOV P]],MATCH(Table5[[#This Row],[PID]],Table3[[#All],[PID]],0)))</f>
        <v>3</v>
      </c>
      <c r="N536" s="72">
        <f>IF($C536="B",INDEX(Batters[[#All],[POW P]],MATCH(Table5[[#This Row],[PID]],Batters[[#All],[PID]],0)),INDEX(Table3[[#All],[CON P]],MATCH(Table5[[#This Row],[PID]],Table3[[#All],[PID]],0)))</f>
        <v>2</v>
      </c>
      <c r="O536" s="72" t="str">
        <f>IF($C536="B",INDEX(Batters[[#All],[EYE P]],MATCH(Table5[[#This Row],[PID]],Batters[[#All],[PID]],0)),INDEX(Table3[[#All],[VELO]],MATCH(Table5[[#This Row],[PID]],Table3[[#All],[PID]],0)))</f>
        <v>87-89 Mph</v>
      </c>
      <c r="P536" s="56">
        <f>IF($C536="B",INDEX(Batters[[#All],[K P]],MATCH(Table5[[#This Row],[PID]],Batters[[#All],[PID]],0)),INDEX(Table3[[#All],[STM]],MATCH(Table5[[#This Row],[PID]],Table3[[#All],[PID]],0)))</f>
        <v>6</v>
      </c>
      <c r="Q536" s="61">
        <f>IF($C536="B",INDEX(Batters[[#All],[Tot]],MATCH(Table5[[#This Row],[PID]],Batters[[#All],[PID]],0)),INDEX(Table3[[#All],[Tot]],MATCH(Table5[[#This Row],[PID]],Table3[[#All],[PID]],0)))</f>
        <v>39.871286047847761</v>
      </c>
      <c r="R536" s="52">
        <f>IF($C536="B",INDEX(Batters[[#All],[zScore]],MATCH(Table5[[#This Row],[PID]],Batters[[#All],[PID]],0)),INDEX(Table3[[#All],[zScore]],MATCH(Table5[[#This Row],[PID]],Table3[[#All],[PID]],0)))</f>
        <v>0.26616444952572343</v>
      </c>
      <c r="S536" s="78" t="str">
        <f>IF($C536="B",INDEX(Batters[[#All],[DEM]],MATCH(Table5[[#This Row],[PID]],Batters[[#All],[PID]],0)),INDEX(Table3[[#All],[DEM]],MATCH(Table5[[#This Row],[PID]],Table3[[#All],[PID]],0)))</f>
        <v>$200k</v>
      </c>
      <c r="T536" s="75">
        <f>IF($C536="B",INDEX(Batters[[#All],[Rnk]],MATCH(Table5[[#This Row],[PID]],Batters[[#All],[PID]],0)),INDEX(Table3[[#All],[Rnk]],MATCH(Table5[[#This Row],[PID]],Table3[[#All],[PID]],0)))</f>
        <v>247</v>
      </c>
      <c r="U536" s="68">
        <f>IF($C536="B",VLOOKUP($A536,Bat!$A$4:$BA$1621,47,FALSE),VLOOKUP($A536,Pit!$A$4:$BF$1557,56,FALSE))</f>
        <v>0</v>
      </c>
      <c r="V536" s="50">
        <f>IF($C536="B",VLOOKUP($A536,Bat!$A$4:$BA$1621,48,FALSE),VLOOKUP($A536,Pit!$A$4:$BF$1557,57,FALSE))</f>
        <v>0</v>
      </c>
      <c r="W536" s="69">
        <f>Table5[[#This Row],[posRnk]]+Table5[[#This Row],[zRnk]]+IF($W$3&lt;&gt;Table5[[#This Row],[Type]],50,0)</f>
        <v>726</v>
      </c>
      <c r="X536" s="73">
        <f>RANK(Table5[[#This Row],[zScore]],Table5[[#All],[zScore]])</f>
        <v>429</v>
      </c>
      <c r="Y536" s="69">
        <f>IFERROR(INDEX(DraftResults[[#All],[OVR]],MATCH(Table5[[#This Row],[PID]],DraftResults[[#All],[Player ID]],0)),"")</f>
        <v>532</v>
      </c>
      <c r="Z53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6" s="69">
        <f>IFERROR(INDEX(DraftResults[[#All],[Pick in Round]],MATCH(Table5[[#This Row],[PID]],DraftResults[[#All],[Player ID]],0)),"")</f>
        <v>14</v>
      </c>
      <c r="AB536" s="69" t="str">
        <f>IFERROR(INDEX(DraftResults[[#All],[Team Name]],MATCH(Table5[[#This Row],[PID]],DraftResults[[#All],[Player ID]],0)),"")</f>
        <v>Arlington Bureaucrats</v>
      </c>
      <c r="AC536" s="69">
        <f>IF(Table5[[#This Row],[Ovr]]="","",IF(Table5[[#This Row],[cmbList]]="","",Table5[[#This Row],[cmbList]]-Table5[[#This Row],[Ovr]]))</f>
        <v>194</v>
      </c>
      <c r="AD536" s="77" t="str">
        <f>IF(ISERROR(VLOOKUP($AB536&amp;"-"&amp;$E536&amp;" "&amp;F536,Bonuses!$B$1:$G$1006,4,FALSE)),"",INT(VLOOKUP($AB536&amp;"-"&amp;$E536&amp;" "&amp;$F536,Bonuses!$B$1:$G$1006,4,FALSE)))</f>
        <v/>
      </c>
      <c r="AE53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18.14 (532) - SP Gerald Helwig</v>
      </c>
    </row>
    <row r="537" spans="1:31" s="50" customFormat="1" x14ac:dyDescent="0.25">
      <c r="A537" s="50">
        <v>18020</v>
      </c>
      <c r="B537" s="50">
        <f>COUNTIF(Table5[PID],A537)</f>
        <v>1</v>
      </c>
      <c r="C537" s="50" t="str">
        <f>IF(COUNTIF(Table3[[#All],[PID]],A537)&gt;0,"P","B")</f>
        <v>B</v>
      </c>
      <c r="D537" s="59" t="str">
        <f>IF($C537="B",INDEX(Batters[[#All],[POS]],MATCH(Table5[[#This Row],[PID]],Batters[[#All],[PID]],0)),INDEX(Table3[[#All],[POS]],MATCH(Table5[[#This Row],[PID]],Table3[[#All],[PID]],0)))</f>
        <v>3B</v>
      </c>
      <c r="E537" s="52" t="str">
        <f>IF($C537="B",INDEX(Batters[[#All],[First]],MATCH(Table5[[#This Row],[PID]],Batters[[#All],[PID]],0)),INDEX(Table3[[#All],[First]],MATCH(Table5[[#This Row],[PID]],Table3[[#All],[PID]],0)))</f>
        <v>Dane</v>
      </c>
      <c r="F537" s="50" t="str">
        <f>IF($C537="B",INDEX(Batters[[#All],[Last]],MATCH(A537,Batters[[#All],[PID]],0)),INDEX(Table3[[#All],[Last]],MATCH(A537,Table3[[#All],[PID]],0)))</f>
        <v>Porcell</v>
      </c>
      <c r="G537" s="56">
        <f>IF($C537="B",INDEX(Batters[[#All],[Age]],MATCH(Table5[[#This Row],[PID]],Batters[[#All],[PID]],0)),INDEX(Table3[[#All],[Age]],MATCH(Table5[[#This Row],[PID]],Table3[[#All],[PID]],0)))</f>
        <v>21</v>
      </c>
      <c r="H537" s="52" t="str">
        <f>IF($C537="B",INDEX(Batters[[#All],[B]],MATCH(Table5[[#This Row],[PID]],Batters[[#All],[PID]],0)),INDEX(Table3[[#All],[B]],MATCH(Table5[[#This Row],[PID]],Table3[[#All],[PID]],0)))</f>
        <v>R</v>
      </c>
      <c r="I537" s="52" t="str">
        <f>IF($C537="B",INDEX(Batters[[#All],[T]],MATCH(Table5[[#This Row],[PID]],Batters[[#All],[PID]],0)),INDEX(Table3[[#All],[T]],MATCH(Table5[[#This Row],[PID]],Table3[[#All],[PID]],0)))</f>
        <v>R</v>
      </c>
      <c r="J537" s="52" t="str">
        <f>IF($C537="B",INDEX(Batters[[#All],[WE]],MATCH(Table5[[#This Row],[PID]],Batters[[#All],[PID]],0)),INDEX(Table3[[#All],[WE]],MATCH(Table5[[#This Row],[PID]],Table3[[#All],[PID]],0)))</f>
        <v>Low</v>
      </c>
      <c r="K537" s="52" t="str">
        <f>IF($C537="B",INDEX(Batters[[#All],[INT]],MATCH(Table5[[#This Row],[PID]],Batters[[#All],[PID]],0)),INDEX(Table3[[#All],[INT]],MATCH(Table5[[#This Row],[PID]],Table3[[#All],[PID]],0)))</f>
        <v>Low</v>
      </c>
      <c r="L537" s="60">
        <f>IF($C537="B",INDEX(Batters[[#All],[CON P]],MATCH(Table5[[#This Row],[PID]],Batters[[#All],[PID]],0)),INDEX(Table3[[#All],[STU P]],MATCH(Table5[[#This Row],[PID]],Table3[[#All],[PID]],0)))</f>
        <v>3</v>
      </c>
      <c r="M537" s="56">
        <f>IF($C537="B",INDEX(Batters[[#All],[GAP P]],MATCH(Table5[[#This Row],[PID]],Batters[[#All],[PID]],0)),INDEX(Table3[[#All],[MOV P]],MATCH(Table5[[#This Row],[PID]],Table3[[#All],[PID]],0)))</f>
        <v>3</v>
      </c>
      <c r="N537" s="56">
        <f>IF($C537="B",INDEX(Batters[[#All],[POW P]],MATCH(Table5[[#This Row],[PID]],Batters[[#All],[PID]],0)),INDEX(Table3[[#All],[CON P]],MATCH(Table5[[#This Row],[PID]],Table3[[#All],[PID]],0)))</f>
        <v>4</v>
      </c>
      <c r="O537" s="56">
        <f>IF($C537="B",INDEX(Batters[[#All],[EYE P]],MATCH(Table5[[#This Row],[PID]],Batters[[#All],[PID]],0)),INDEX(Table3[[#All],[VELO]],MATCH(Table5[[#This Row],[PID]],Table3[[#All],[PID]],0)))</f>
        <v>5</v>
      </c>
      <c r="P537" s="56">
        <f>IF($C537="B",INDEX(Batters[[#All],[K P]],MATCH(Table5[[#This Row],[PID]],Batters[[#All],[PID]],0)),INDEX(Table3[[#All],[STM]],MATCH(Table5[[#This Row],[PID]],Table3[[#All],[PID]],0)))</f>
        <v>3</v>
      </c>
      <c r="Q537" s="61">
        <f>IF($C537="B",INDEX(Batters[[#All],[Tot]],MATCH(Table5[[#This Row],[PID]],Batters[[#All],[PID]],0)),INDEX(Table3[[#All],[Tot]],MATCH(Table5[[#This Row],[PID]],Table3[[#All],[PID]],0)))</f>
        <v>37.011193137132196</v>
      </c>
      <c r="R537" s="52">
        <f>IF($C537="B",INDEX(Batters[[#All],[zScore]],MATCH(Table5[[#This Row],[PID]],Batters[[#All],[PID]],0)),INDEX(Table3[[#All],[zScore]],MATCH(Table5[[#This Row],[PID]],Table3[[#All],[PID]],0)))</f>
        <v>-1.5787176495639617</v>
      </c>
      <c r="S537" s="58" t="str">
        <f>IF($C537="B",INDEX(Batters[[#All],[DEM]],MATCH(Table5[[#This Row],[PID]],Batters[[#All],[PID]],0)),INDEX(Table3[[#All],[DEM]],MATCH(Table5[[#This Row],[PID]],Table3[[#All],[PID]],0)))</f>
        <v>-</v>
      </c>
      <c r="T537" s="62">
        <f>IF($C537="B",INDEX(Batters[[#All],[Rnk]],MATCH(Table5[[#This Row],[PID]],Batters[[#All],[PID]],0)),INDEX(Table3[[#All],[Rnk]],MATCH(Table5[[#This Row],[PID]],Table3[[#All],[PID]],0)))</f>
        <v>552</v>
      </c>
      <c r="U537" s="68">
        <f>IF($C537="B",VLOOKUP($A537,Bat!$A$4:$BA$1621,47,FALSE),VLOOKUP($A537,Pit!$A$4:$BF$1557,56,FALSE))</f>
        <v>0</v>
      </c>
      <c r="V537" s="50">
        <f>IF($C537="B",VLOOKUP($A537,Bat!$A$4:$BA$1621,48,FALSE),VLOOKUP($A537,Pit!$A$4:$BF$1557,57,FALSE))</f>
        <v>0</v>
      </c>
      <c r="W537" s="50">
        <f>Table5[[#This Row],[posRnk]]+Table5[[#This Row],[zRnk]]+IF($W$3&lt;&gt;Table5[[#This Row],[Type]],50,0)</f>
        <v>1925</v>
      </c>
      <c r="X537" s="51">
        <f>RANK(Table5[[#This Row],[zScore]],Table5[[#All],[zScore]])</f>
        <v>1323</v>
      </c>
      <c r="Y537" s="50">
        <f>IFERROR(INDEX(DraftResults[[#All],[OVR]],MATCH(Table5[[#This Row],[PID]],DraftResults[[#All],[Player ID]],0)),"")</f>
        <v>533</v>
      </c>
      <c r="Z5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7" s="50">
        <f>IFERROR(INDEX(DraftResults[[#All],[Pick in Round]],MATCH(Table5[[#This Row],[PID]],DraftResults[[#All],[Player ID]],0)),"")</f>
        <v>15</v>
      </c>
      <c r="AB537" s="50" t="str">
        <f>IFERROR(INDEX(DraftResults[[#All],[Team Name]],MATCH(Table5[[#This Row],[PID]],DraftResults[[#All],[Player ID]],0)),"")</f>
        <v>Kentucky Thoroughbreds</v>
      </c>
      <c r="AC537" s="50">
        <f>IF(Table5[[#This Row],[Ovr]]="","",IF(Table5[[#This Row],[cmbList]]="","",Table5[[#This Row],[cmbList]]-Table5[[#This Row],[Ovr]]))</f>
        <v>1392</v>
      </c>
      <c r="AD537" s="54" t="str">
        <f>IF(ISERROR(VLOOKUP($AB537&amp;"-"&amp;$E537&amp;" "&amp;F537,Bonuses!$B$1:$G$1006,4,FALSE)),"",INT(VLOOKUP($AB537&amp;"-"&amp;$E537&amp;" "&amp;$F537,Bonuses!$B$1:$G$1006,4,FALSE)))</f>
        <v/>
      </c>
      <c r="AE5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18.15 (533) - 3B Dane Porcell</v>
      </c>
    </row>
    <row r="538" spans="1:31" s="50" customFormat="1" x14ac:dyDescent="0.25">
      <c r="A538" s="50">
        <v>18453</v>
      </c>
      <c r="B538" s="55">
        <f>COUNTIF(Table5[PID],A538)</f>
        <v>1</v>
      </c>
      <c r="C538" s="55" t="str">
        <f>IF(COUNTIF(Table3[[#All],[PID]],A538)&gt;0,"P","B")</f>
        <v>B</v>
      </c>
      <c r="D538" s="59" t="str">
        <f>IF($C538="B",INDEX(Batters[[#All],[POS]],MATCH(Table5[[#This Row],[PID]],Batters[[#All],[PID]],0)),INDEX(Table3[[#All],[POS]],MATCH(Table5[[#This Row],[PID]],Table3[[#All],[PID]],0)))</f>
        <v>1B</v>
      </c>
      <c r="E538" s="52" t="str">
        <f>IF($C538="B",INDEX(Batters[[#All],[First]],MATCH(Table5[[#This Row],[PID]],Batters[[#All],[PID]],0)),INDEX(Table3[[#All],[First]],MATCH(Table5[[#This Row],[PID]],Table3[[#All],[PID]],0)))</f>
        <v>Shinsaku</v>
      </c>
      <c r="F538" s="50" t="str">
        <f>IF($C538="B",INDEX(Batters[[#All],[Last]],MATCH(A538,Batters[[#All],[PID]],0)),INDEX(Table3[[#All],[Last]],MATCH(A538,Table3[[#All],[PID]],0)))</f>
        <v>Chikafuji</v>
      </c>
      <c r="G538" s="56">
        <f>IF($C538="B",INDEX(Batters[[#All],[Age]],MATCH(Table5[[#This Row],[PID]],Batters[[#All],[PID]],0)),INDEX(Table3[[#All],[Age]],MATCH(Table5[[#This Row],[PID]],Table3[[#All],[PID]],0)))</f>
        <v>18</v>
      </c>
      <c r="H538" s="52" t="str">
        <f>IF($C538="B",INDEX(Batters[[#All],[B]],MATCH(Table5[[#This Row],[PID]],Batters[[#All],[PID]],0)),INDEX(Table3[[#All],[B]],MATCH(Table5[[#This Row],[PID]],Table3[[#All],[PID]],0)))</f>
        <v>R</v>
      </c>
      <c r="I538" s="52" t="str">
        <f>IF($C538="B",INDEX(Batters[[#All],[T]],MATCH(Table5[[#This Row],[PID]],Batters[[#All],[PID]],0)),INDEX(Table3[[#All],[T]],MATCH(Table5[[#This Row],[PID]],Table3[[#All],[PID]],0)))</f>
        <v>R</v>
      </c>
      <c r="J538" s="52" t="str">
        <f>IF($C538="B",INDEX(Batters[[#All],[WE]],MATCH(Table5[[#This Row],[PID]],Batters[[#All],[PID]],0)),INDEX(Table3[[#All],[WE]],MATCH(Table5[[#This Row],[PID]],Table3[[#All],[PID]],0)))</f>
        <v>Normal</v>
      </c>
      <c r="K538" s="52" t="str">
        <f>IF($C538="B",INDEX(Batters[[#All],[INT]],MATCH(Table5[[#This Row],[PID]],Batters[[#All],[PID]],0)),INDEX(Table3[[#All],[INT]],MATCH(Table5[[#This Row],[PID]],Table3[[#All],[PID]],0)))</f>
        <v>Normal</v>
      </c>
      <c r="L538" s="60">
        <f>IF($C538="B",INDEX(Batters[[#All],[CON P]],MATCH(Table5[[#This Row],[PID]],Batters[[#All],[PID]],0)),INDEX(Table3[[#All],[STU P]],MATCH(Table5[[#This Row],[PID]],Table3[[#All],[PID]],0)))</f>
        <v>4</v>
      </c>
      <c r="M538" s="56">
        <f>IF($C538="B",INDEX(Batters[[#All],[GAP P]],MATCH(Table5[[#This Row],[PID]],Batters[[#All],[PID]],0)),INDEX(Table3[[#All],[MOV P]],MATCH(Table5[[#This Row],[PID]],Table3[[#All],[PID]],0)))</f>
        <v>4</v>
      </c>
      <c r="N538" s="56">
        <f>IF($C538="B",INDEX(Batters[[#All],[POW P]],MATCH(Table5[[#This Row],[PID]],Batters[[#All],[PID]],0)),INDEX(Table3[[#All],[CON P]],MATCH(Table5[[#This Row],[PID]],Table3[[#All],[PID]],0)))</f>
        <v>5</v>
      </c>
      <c r="O538" s="56">
        <f>IF($C538="B",INDEX(Batters[[#All],[EYE P]],MATCH(Table5[[#This Row],[PID]],Batters[[#All],[PID]],0)),INDEX(Table3[[#All],[VELO]],MATCH(Table5[[#This Row],[PID]],Table3[[#All],[PID]],0)))</f>
        <v>6</v>
      </c>
      <c r="P538" s="56">
        <f>IF($C538="B",INDEX(Batters[[#All],[K P]],MATCH(Table5[[#This Row],[PID]],Batters[[#All],[PID]],0)),INDEX(Table3[[#All],[STM]],MATCH(Table5[[#This Row],[PID]],Table3[[#All],[PID]],0)))</f>
        <v>4</v>
      </c>
      <c r="Q538" s="61">
        <f>IF($C538="B",INDEX(Batters[[#All],[Tot]],MATCH(Table5[[#This Row],[PID]],Batters[[#All],[PID]],0)),INDEX(Table3[[#All],[Tot]],MATCH(Table5[[#This Row],[PID]],Table3[[#All],[PID]],0)))</f>
        <v>49.079384380561699</v>
      </c>
      <c r="R538" s="52">
        <f>IF($C538="B",INDEX(Batters[[#All],[zScore]],MATCH(Table5[[#This Row],[PID]],Batters[[#All],[PID]],0)),INDEX(Table3[[#All],[zScore]],MATCH(Table5[[#This Row],[PID]],Table3[[#All],[PID]],0)))</f>
        <v>1.096881922506558</v>
      </c>
      <c r="S538" s="58" t="str">
        <f>IF($C538="B",INDEX(Batters[[#All],[DEM]],MATCH(Table5[[#This Row],[PID]],Batters[[#All],[PID]],0)),INDEX(Table3[[#All],[DEM]],MATCH(Table5[[#This Row],[PID]],Table3[[#All],[PID]],0)))</f>
        <v>$110k</v>
      </c>
      <c r="T538" s="62">
        <f>IF($C538="B",INDEX(Batters[[#All],[Rnk]],MATCH(Table5[[#This Row],[PID]],Batters[[#All],[PID]],0)),INDEX(Table3[[#All],[Rnk]],MATCH(Table5[[#This Row],[PID]],Table3[[#All],[PID]],0)))</f>
        <v>84</v>
      </c>
      <c r="U538" s="68">
        <f>IF($C538="B",VLOOKUP($A538,Bat!$A$4:$BA$1621,47,FALSE),VLOOKUP($A538,Pit!$A$4:$BF$1557,56,FALSE))</f>
        <v>0</v>
      </c>
      <c r="V538" s="50">
        <f>IF($C538="B",VLOOKUP($A538,Bat!$A$4:$BA$1621,48,FALSE),VLOOKUP($A538,Pit!$A$4:$BF$1557,57,FALSE))</f>
        <v>0</v>
      </c>
      <c r="W538" s="50">
        <f>Table5[[#This Row],[posRnk]]+Table5[[#This Row],[zRnk]]+IF($W$3&lt;&gt;Table5[[#This Row],[Type]],50,0)</f>
        <v>344</v>
      </c>
      <c r="X538" s="51">
        <f>RANK(Table5[[#This Row],[zScore]],Table5[[#All],[zScore]])</f>
        <v>210</v>
      </c>
      <c r="Y538" s="50">
        <f>IFERROR(INDEX(DraftResults[[#All],[OVR]],MATCH(Table5[[#This Row],[PID]],DraftResults[[#All],[Player ID]],0)),"")</f>
        <v>534</v>
      </c>
      <c r="Z5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8" s="50">
        <f>IFERROR(INDEX(DraftResults[[#All],[Pick in Round]],MATCH(Table5[[#This Row],[PID]],DraftResults[[#All],[Player ID]],0)),"")</f>
        <v>16</v>
      </c>
      <c r="AB538" s="50" t="str">
        <f>IFERROR(INDEX(DraftResults[[#All],[Team Name]],MATCH(Table5[[#This Row],[PID]],DraftResults[[#All],[Player ID]],0)),"")</f>
        <v>San Antonio Calzones of Laredo</v>
      </c>
      <c r="AC538" s="50">
        <f>IF(Table5[[#This Row],[Ovr]]="","",IF(Table5[[#This Row],[cmbList]]="","",Table5[[#This Row],[cmbList]]-Table5[[#This Row],[Ovr]]))</f>
        <v>-190</v>
      </c>
      <c r="AD538" s="54" t="str">
        <f>IF(ISERROR(VLOOKUP($AB538&amp;"-"&amp;$E538&amp;" "&amp;F538,Bonuses!$B$1:$G$1006,4,FALSE)),"",INT(VLOOKUP($AB538&amp;"-"&amp;$E538&amp;" "&amp;$F538,Bonuses!$B$1:$G$1006,4,FALSE)))</f>
        <v/>
      </c>
      <c r="AE5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18.16 (534) - 1B Shinsaku Chikafuji</v>
      </c>
    </row>
    <row r="539" spans="1:31" s="50" customFormat="1" x14ac:dyDescent="0.25">
      <c r="A539" s="50">
        <v>20196</v>
      </c>
      <c r="B539" s="55">
        <f>COUNTIF(Table5[PID],A539)</f>
        <v>1</v>
      </c>
      <c r="C539" s="55" t="str">
        <f>IF(COUNTIF(Table3[[#All],[PID]],A539)&gt;0,"P","B")</f>
        <v>B</v>
      </c>
      <c r="D539" s="59" t="str">
        <f>IF($C539="B",INDEX(Batters[[#All],[POS]],MATCH(Table5[[#This Row],[PID]],Batters[[#All],[PID]],0)),INDEX(Table3[[#All],[POS]],MATCH(Table5[[#This Row],[PID]],Table3[[#All],[PID]],0)))</f>
        <v>C</v>
      </c>
      <c r="E539" s="52" t="str">
        <f>IF($C539="B",INDEX(Batters[[#All],[First]],MATCH(Table5[[#This Row],[PID]],Batters[[#All],[PID]],0)),INDEX(Table3[[#All],[First]],MATCH(Table5[[#This Row],[PID]],Table3[[#All],[PID]],0)))</f>
        <v>Allen</v>
      </c>
      <c r="F539" s="50" t="str">
        <f>IF($C539="B",INDEX(Batters[[#All],[Last]],MATCH(A539,Batters[[#All],[PID]],0)),INDEX(Table3[[#All],[Last]],MATCH(A539,Table3[[#All],[PID]],0)))</f>
        <v>Gaynon</v>
      </c>
      <c r="G539" s="56">
        <f>IF($C539="B",INDEX(Batters[[#All],[Age]],MATCH(Table5[[#This Row],[PID]],Batters[[#All],[PID]],0)),INDEX(Table3[[#All],[Age]],MATCH(Table5[[#This Row],[PID]],Table3[[#All],[PID]],0)))</f>
        <v>21</v>
      </c>
      <c r="H539" s="52" t="str">
        <f>IF($C539="B",INDEX(Batters[[#All],[B]],MATCH(Table5[[#This Row],[PID]],Batters[[#All],[PID]],0)),INDEX(Table3[[#All],[B]],MATCH(Table5[[#This Row],[PID]],Table3[[#All],[PID]],0)))</f>
        <v>R</v>
      </c>
      <c r="I539" s="52" t="str">
        <f>IF($C539="B",INDEX(Batters[[#All],[T]],MATCH(Table5[[#This Row],[PID]],Batters[[#All],[PID]],0)),INDEX(Table3[[#All],[T]],MATCH(Table5[[#This Row],[PID]],Table3[[#All],[PID]],0)))</f>
        <v>R</v>
      </c>
      <c r="J539" s="52" t="str">
        <f>IF($C539="B",INDEX(Batters[[#All],[WE]],MATCH(Table5[[#This Row],[PID]],Batters[[#All],[PID]],0)),INDEX(Table3[[#All],[WE]],MATCH(Table5[[#This Row],[PID]],Table3[[#All],[PID]],0)))</f>
        <v>High</v>
      </c>
      <c r="K539" s="52" t="str">
        <f>IF($C539="B",INDEX(Batters[[#All],[INT]],MATCH(Table5[[#This Row],[PID]],Batters[[#All],[PID]],0)),INDEX(Table3[[#All],[INT]],MATCH(Table5[[#This Row],[PID]],Table3[[#All],[PID]],0)))</f>
        <v>Normal</v>
      </c>
      <c r="L539" s="60">
        <f>IF($C539="B",INDEX(Batters[[#All],[CON P]],MATCH(Table5[[#This Row],[PID]],Batters[[#All],[PID]],0)),INDEX(Table3[[#All],[STU P]],MATCH(Table5[[#This Row],[PID]],Table3[[#All],[PID]],0)))</f>
        <v>2</v>
      </c>
      <c r="M539" s="56">
        <f>IF($C539="B",INDEX(Batters[[#All],[GAP P]],MATCH(Table5[[#This Row],[PID]],Batters[[#All],[PID]],0)),INDEX(Table3[[#All],[MOV P]],MATCH(Table5[[#This Row],[PID]],Table3[[#All],[PID]],0)))</f>
        <v>3</v>
      </c>
      <c r="N539" s="56">
        <f>IF($C539="B",INDEX(Batters[[#All],[POW P]],MATCH(Table5[[#This Row],[PID]],Batters[[#All],[PID]],0)),INDEX(Table3[[#All],[CON P]],MATCH(Table5[[#This Row],[PID]],Table3[[#All],[PID]],0)))</f>
        <v>4</v>
      </c>
      <c r="O539" s="56">
        <f>IF($C539="B",INDEX(Batters[[#All],[EYE P]],MATCH(Table5[[#This Row],[PID]],Batters[[#All],[PID]],0)),INDEX(Table3[[#All],[VELO]],MATCH(Table5[[#This Row],[PID]],Table3[[#All],[PID]],0)))</f>
        <v>5</v>
      </c>
      <c r="P539" s="56">
        <f>IF($C539="B",INDEX(Batters[[#All],[K P]],MATCH(Table5[[#This Row],[PID]],Batters[[#All],[PID]],0)),INDEX(Table3[[#All],[STM]],MATCH(Table5[[#This Row],[PID]],Table3[[#All],[PID]],0)))</f>
        <v>3</v>
      </c>
      <c r="Q539" s="61">
        <f>IF($C539="B",INDEX(Batters[[#All],[Tot]],MATCH(Table5[[#This Row],[PID]],Batters[[#All],[PID]],0)),INDEX(Table3[[#All],[Tot]],MATCH(Table5[[#This Row],[PID]],Table3[[#All],[PID]],0)))</f>
        <v>34.57698313802814</v>
      </c>
      <c r="R539" s="52">
        <f>IF($C539="B",INDEX(Batters[[#All],[zScore]],MATCH(Table5[[#This Row],[PID]],Batters[[#All],[PID]],0)),INDEX(Table3[[#All],[zScore]],MATCH(Table5[[#This Row],[PID]],Table3[[#All],[PID]],0)))</f>
        <v>-2.1183984600978985</v>
      </c>
      <c r="S539" s="58" t="str">
        <f>IF($C539="B",INDEX(Batters[[#All],[DEM]],MATCH(Table5[[#This Row],[PID]],Batters[[#All],[PID]],0)),INDEX(Table3[[#All],[DEM]],MATCH(Table5[[#This Row],[PID]],Table3[[#All],[PID]],0)))</f>
        <v>$20k</v>
      </c>
      <c r="T539" s="62">
        <f>IF($C539="B",INDEX(Batters[[#All],[Rnk]],MATCH(Table5[[#This Row],[PID]],Batters[[#All],[PID]],0)),INDEX(Table3[[#All],[Rnk]],MATCH(Table5[[#This Row],[PID]],Table3[[#All],[PID]],0)))</f>
        <v>653</v>
      </c>
      <c r="U539" s="68">
        <f>IF($C539="B",VLOOKUP($A539,Bat!$A$4:$BA$1621,47,FALSE),VLOOKUP($A539,Pit!$A$4:$BF$1557,56,FALSE))</f>
        <v>0</v>
      </c>
      <c r="V539" s="50">
        <f>IF($C539="B",VLOOKUP($A539,Bat!$A$4:$BA$1621,48,FALSE),VLOOKUP($A539,Pit!$A$4:$BF$1557,57,FALSE))</f>
        <v>0</v>
      </c>
      <c r="W539" s="50">
        <f>Table5[[#This Row],[posRnk]]+Table5[[#This Row],[zRnk]]+IF($W$3&lt;&gt;Table5[[#This Row],[Type]],50,0)</f>
        <v>2134</v>
      </c>
      <c r="X539" s="51">
        <f>RANK(Table5[[#This Row],[zScore]],Table5[[#All],[zScore]])</f>
        <v>1431</v>
      </c>
      <c r="Y539" s="50">
        <f>IFERROR(INDEX(DraftResults[[#All],[OVR]],MATCH(Table5[[#This Row],[PID]],DraftResults[[#All],[Player ID]],0)),"")</f>
        <v>535</v>
      </c>
      <c r="Z5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39" s="50">
        <f>IFERROR(INDEX(DraftResults[[#All],[Pick in Round]],MATCH(Table5[[#This Row],[PID]],DraftResults[[#All],[Player ID]],0)),"")</f>
        <v>17</v>
      </c>
      <c r="AB539" s="50" t="str">
        <f>IFERROR(INDEX(DraftResults[[#All],[Team Name]],MATCH(Table5[[#This Row],[PID]],DraftResults[[#All],[Player ID]],0)),"")</f>
        <v>Madison Malts</v>
      </c>
      <c r="AC539" s="50">
        <f>IF(Table5[[#This Row],[Ovr]]="","",IF(Table5[[#This Row],[cmbList]]="","",Table5[[#This Row],[cmbList]]-Table5[[#This Row],[Ovr]]))</f>
        <v>1599</v>
      </c>
      <c r="AD539" s="54" t="str">
        <f>IF(ISERROR(VLOOKUP($AB539&amp;"-"&amp;$E539&amp;" "&amp;F539,Bonuses!$B$1:$G$1006,4,FALSE)),"",INT(VLOOKUP($AB539&amp;"-"&amp;$E539&amp;" "&amp;$F539,Bonuses!$B$1:$G$1006,4,FALSE)))</f>
        <v/>
      </c>
      <c r="AE5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18.17 (535) - C Allen Gaynon</v>
      </c>
    </row>
    <row r="540" spans="1:31" s="50" customFormat="1" x14ac:dyDescent="0.25">
      <c r="A540" s="50">
        <v>18031</v>
      </c>
      <c r="B540" s="50">
        <f>COUNTIF(Table5[PID],A540)</f>
        <v>1</v>
      </c>
      <c r="C540" s="50" t="str">
        <f>IF(COUNTIF(Table3[[#All],[PID]],A540)&gt;0,"P","B")</f>
        <v>P</v>
      </c>
      <c r="D540" s="59" t="str">
        <f>IF($C540="B",INDEX(Batters[[#All],[POS]],MATCH(Table5[[#This Row],[PID]],Batters[[#All],[PID]],0)),INDEX(Table3[[#All],[POS]],MATCH(Table5[[#This Row],[PID]],Table3[[#All],[PID]],0)))</f>
        <v>RP</v>
      </c>
      <c r="E540" s="52" t="str">
        <f>IF($C540="B",INDEX(Batters[[#All],[First]],MATCH(Table5[[#This Row],[PID]],Batters[[#All],[PID]],0)),INDEX(Table3[[#All],[First]],MATCH(Table5[[#This Row],[PID]],Table3[[#All],[PID]],0)))</f>
        <v>Dave</v>
      </c>
      <c r="F540" s="50" t="str">
        <f>IF($C540="B",INDEX(Batters[[#All],[Last]],MATCH(A540,Batters[[#All],[PID]],0)),INDEX(Table3[[#All],[Last]],MATCH(A540,Table3[[#All],[PID]],0)))</f>
        <v>Gibson</v>
      </c>
      <c r="G540" s="56">
        <f>IF($C540="B",INDEX(Batters[[#All],[Age]],MATCH(Table5[[#This Row],[PID]],Batters[[#All],[PID]],0)),INDEX(Table3[[#All],[Age]],MATCH(Table5[[#This Row],[PID]],Table3[[#All],[PID]],0)))</f>
        <v>21</v>
      </c>
      <c r="H540" s="52" t="str">
        <f>IF($C540="B",INDEX(Batters[[#All],[B]],MATCH(Table5[[#This Row],[PID]],Batters[[#All],[PID]],0)),INDEX(Table3[[#All],[B]],MATCH(Table5[[#This Row],[PID]],Table3[[#All],[PID]],0)))</f>
        <v>R</v>
      </c>
      <c r="I540" s="52" t="str">
        <f>IF($C540="B",INDEX(Batters[[#All],[T]],MATCH(Table5[[#This Row],[PID]],Batters[[#All],[PID]],0)),INDEX(Table3[[#All],[T]],MATCH(Table5[[#This Row],[PID]],Table3[[#All],[PID]],0)))</f>
        <v>R</v>
      </c>
      <c r="J540" s="52" t="str">
        <f>IF($C540="B",INDEX(Batters[[#All],[WE]],MATCH(Table5[[#This Row],[PID]],Batters[[#All],[PID]],0)),INDEX(Table3[[#All],[WE]],MATCH(Table5[[#This Row],[PID]],Table3[[#All],[PID]],0)))</f>
        <v>Normal</v>
      </c>
      <c r="K540" s="52" t="str">
        <f>IF($C540="B",INDEX(Batters[[#All],[INT]],MATCH(Table5[[#This Row],[PID]],Batters[[#All],[PID]],0)),INDEX(Table3[[#All],[INT]],MATCH(Table5[[#This Row],[PID]],Table3[[#All],[PID]],0)))</f>
        <v>Normal</v>
      </c>
      <c r="L540" s="60">
        <f>IF($C540="B",INDEX(Batters[[#All],[CON P]],MATCH(Table5[[#This Row],[PID]],Batters[[#All],[PID]],0)),INDEX(Table3[[#All],[STU P]],MATCH(Table5[[#This Row],[PID]],Table3[[#All],[PID]],0)))</f>
        <v>4</v>
      </c>
      <c r="M540" s="56">
        <f>IF($C540="B",INDEX(Batters[[#All],[GAP P]],MATCH(Table5[[#This Row],[PID]],Batters[[#All],[PID]],0)),INDEX(Table3[[#All],[MOV P]],MATCH(Table5[[#This Row],[PID]],Table3[[#All],[PID]],0)))</f>
        <v>1</v>
      </c>
      <c r="N540" s="56">
        <f>IF($C540="B",INDEX(Batters[[#All],[POW P]],MATCH(Table5[[#This Row],[PID]],Batters[[#All],[PID]],0)),INDEX(Table3[[#All],[CON P]],MATCH(Table5[[#This Row],[PID]],Table3[[#All],[PID]],0)))</f>
        <v>4</v>
      </c>
      <c r="O540" s="56" t="str">
        <f>IF($C540="B",INDEX(Batters[[#All],[EYE P]],MATCH(Table5[[#This Row],[PID]],Batters[[#All],[PID]],0)),INDEX(Table3[[#All],[VELO]],MATCH(Table5[[#This Row],[PID]],Table3[[#All],[PID]],0)))</f>
        <v>91-93 Mph</v>
      </c>
      <c r="P540" s="56">
        <f>IF($C540="B",INDEX(Batters[[#All],[K P]],MATCH(Table5[[#This Row],[PID]],Batters[[#All],[PID]],0)),INDEX(Table3[[#All],[STM]],MATCH(Table5[[#This Row],[PID]],Table3[[#All],[PID]],0)))</f>
        <v>9</v>
      </c>
      <c r="Q540" s="61">
        <f>IF($C540="B",INDEX(Batters[[#All],[Tot]],MATCH(Table5[[#This Row],[PID]],Batters[[#All],[PID]],0)),INDEX(Table3[[#All],[Tot]],MATCH(Table5[[#This Row],[PID]],Table3[[#All],[PID]],0)))</f>
        <v>31.623029219705639</v>
      </c>
      <c r="R540" s="52">
        <f>IF($C540="B",INDEX(Batters[[#All],[zScore]],MATCH(Table5[[#This Row],[PID]],Batters[[#All],[PID]],0)),INDEX(Table3[[#All],[zScore]],MATCH(Table5[[#This Row],[PID]],Table3[[#All],[PID]],0)))</f>
        <v>-0.28257947301638064</v>
      </c>
      <c r="S540" s="58" t="str">
        <f>IF($C540="B",INDEX(Batters[[#All],[DEM]],MATCH(Table5[[#This Row],[PID]],Batters[[#All],[PID]],0)),INDEX(Table3[[#All],[DEM]],MATCH(Table5[[#This Row],[PID]],Table3[[#All],[PID]],0)))</f>
        <v>-</v>
      </c>
      <c r="T540" s="62">
        <f>IF($C540="B",INDEX(Batters[[#All],[Rnk]],MATCH(Table5[[#This Row],[PID]],Batters[[#All],[PID]],0)),INDEX(Table3[[#All],[Rnk]],MATCH(Table5[[#This Row],[PID]],Table3[[#All],[PID]],0)))</f>
        <v>419</v>
      </c>
      <c r="U540" s="68">
        <f>IF($C540="B",VLOOKUP($A540,Bat!$A$4:$BA$1621,47,FALSE),VLOOKUP($A540,Pit!$A$4:$BF$1557,56,FALSE))</f>
        <v>0</v>
      </c>
      <c r="V540" s="50">
        <f>IF($C540="B",VLOOKUP($A540,Bat!$A$4:$BA$1621,48,FALSE),VLOOKUP($A540,Pit!$A$4:$BF$1557,57,FALSE))</f>
        <v>0</v>
      </c>
      <c r="W540" s="50">
        <f>Table5[[#This Row],[posRnk]]+Table5[[#This Row],[zRnk]]+IF($W$3&lt;&gt;Table5[[#This Row],[Type]],50,0)</f>
        <v>1185</v>
      </c>
      <c r="X540" s="51">
        <f>RANK(Table5[[#This Row],[zScore]],Table5[[#All],[zScore]])</f>
        <v>716</v>
      </c>
      <c r="Y540" s="50">
        <f>IFERROR(INDEX(DraftResults[[#All],[OVR]],MATCH(Table5[[#This Row],[PID]],DraftResults[[#All],[Player ID]],0)),"")</f>
        <v>536</v>
      </c>
      <c r="Z5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0" s="50">
        <f>IFERROR(INDEX(DraftResults[[#All],[Pick in Round]],MATCH(Table5[[#This Row],[PID]],DraftResults[[#All],[Player ID]],0)),"")</f>
        <v>18</v>
      </c>
      <c r="AB540" s="50" t="str">
        <f>IFERROR(INDEX(DraftResults[[#All],[Team Name]],MATCH(Table5[[#This Row],[PID]],DraftResults[[#All],[Player ID]],0)),"")</f>
        <v>Bakersfield Bears</v>
      </c>
      <c r="AC540" s="50">
        <f>IF(Table5[[#This Row],[Ovr]]="","",IF(Table5[[#This Row],[cmbList]]="","",Table5[[#This Row],[cmbList]]-Table5[[#This Row],[Ovr]]))</f>
        <v>649</v>
      </c>
      <c r="AD540" s="54" t="str">
        <f>IF(ISERROR(VLOOKUP($AB540&amp;"-"&amp;$E540&amp;" "&amp;F540,Bonuses!$B$1:$G$1006,4,FALSE)),"",INT(VLOOKUP($AB540&amp;"-"&amp;$E540&amp;" "&amp;$F540,Bonuses!$B$1:$G$1006,4,FALSE)))</f>
        <v/>
      </c>
      <c r="AE5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18.18 (536) - RP Dave Gibson</v>
      </c>
    </row>
    <row r="541" spans="1:31" s="50" customFormat="1" x14ac:dyDescent="0.25">
      <c r="A541" s="68">
        <v>18365</v>
      </c>
      <c r="B541" s="69">
        <f>COUNTIF(Table5[PID],A541)</f>
        <v>1</v>
      </c>
      <c r="C541" s="69" t="str">
        <f>IF(COUNTIF(Table3[[#All],[PID]],A541)&gt;0,"P","B")</f>
        <v>P</v>
      </c>
      <c r="D541" s="59" t="str">
        <f>IF($C541="B",INDEX(Batters[[#All],[POS]],MATCH(Table5[[#This Row],[PID]],Batters[[#All],[PID]],0)),INDEX(Table3[[#All],[POS]],MATCH(Table5[[#This Row],[PID]],Table3[[#All],[PID]],0)))</f>
        <v>SP</v>
      </c>
      <c r="E541" s="52" t="str">
        <f>IF($C541="B",INDEX(Batters[[#All],[First]],MATCH(Table5[[#This Row],[PID]],Batters[[#All],[PID]],0)),INDEX(Table3[[#All],[First]],MATCH(Table5[[#This Row],[PID]],Table3[[#All],[PID]],0)))</f>
        <v>Aidan</v>
      </c>
      <c r="F541" s="55" t="str">
        <f>IF($C541="B",INDEX(Batters[[#All],[Last]],MATCH(A541,Batters[[#All],[PID]],0)),INDEX(Table3[[#All],[Last]],MATCH(A541,Table3[[#All],[PID]],0)))</f>
        <v>Mitchell</v>
      </c>
      <c r="G541" s="56">
        <f>IF($C541="B",INDEX(Batters[[#All],[Age]],MATCH(Table5[[#This Row],[PID]],Batters[[#All],[PID]],0)),INDEX(Table3[[#All],[Age]],MATCH(Table5[[#This Row],[PID]],Table3[[#All],[PID]],0)))</f>
        <v>18</v>
      </c>
      <c r="H541" s="52" t="str">
        <f>IF($C541="B",INDEX(Batters[[#All],[B]],MATCH(Table5[[#This Row],[PID]],Batters[[#All],[PID]],0)),INDEX(Table3[[#All],[B]],MATCH(Table5[[#This Row],[PID]],Table3[[#All],[PID]],0)))</f>
        <v>R</v>
      </c>
      <c r="I541" s="52" t="str">
        <f>IF($C541="B",INDEX(Batters[[#All],[T]],MATCH(Table5[[#This Row],[PID]],Batters[[#All],[PID]],0)),INDEX(Table3[[#All],[T]],MATCH(Table5[[#This Row],[PID]],Table3[[#All],[PID]],0)))</f>
        <v>R</v>
      </c>
      <c r="J541" s="71" t="str">
        <f>IF($C541="B",INDEX(Batters[[#All],[WE]],MATCH(Table5[[#This Row],[PID]],Batters[[#All],[PID]],0)),INDEX(Table3[[#All],[WE]],MATCH(Table5[[#This Row],[PID]],Table3[[#All],[PID]],0)))</f>
        <v>Low</v>
      </c>
      <c r="K541" s="52" t="str">
        <f>IF($C541="B",INDEX(Batters[[#All],[INT]],MATCH(Table5[[#This Row],[PID]],Batters[[#All],[PID]],0)),INDEX(Table3[[#All],[INT]],MATCH(Table5[[#This Row],[PID]],Table3[[#All],[PID]],0)))</f>
        <v>Normal</v>
      </c>
      <c r="L541" s="60">
        <f>IF($C541="B",INDEX(Batters[[#All],[CON P]],MATCH(Table5[[#This Row],[PID]],Batters[[#All],[PID]],0)),INDEX(Table3[[#All],[STU P]],MATCH(Table5[[#This Row],[PID]],Table3[[#All],[PID]],0)))</f>
        <v>4</v>
      </c>
      <c r="M541" s="72">
        <f>IF($C541="B",INDEX(Batters[[#All],[GAP P]],MATCH(Table5[[#This Row],[PID]],Batters[[#All],[PID]],0)),INDEX(Table3[[#All],[MOV P]],MATCH(Table5[[#This Row],[PID]],Table3[[#All],[PID]],0)))</f>
        <v>3</v>
      </c>
      <c r="N541" s="72">
        <f>IF($C541="B",INDEX(Batters[[#All],[POW P]],MATCH(Table5[[#This Row],[PID]],Batters[[#All],[PID]],0)),INDEX(Table3[[#All],[CON P]],MATCH(Table5[[#This Row],[PID]],Table3[[#All],[PID]],0)))</f>
        <v>4</v>
      </c>
      <c r="O541" s="72" t="str">
        <f>IF($C541="B",INDEX(Batters[[#All],[EYE P]],MATCH(Table5[[#This Row],[PID]],Batters[[#All],[PID]],0)),INDEX(Table3[[#All],[VELO]],MATCH(Table5[[#This Row],[PID]],Table3[[#All],[PID]],0)))</f>
        <v>89-91 Mph</v>
      </c>
      <c r="P541" s="56">
        <f>IF($C541="B",INDEX(Batters[[#All],[K P]],MATCH(Table5[[#This Row],[PID]],Batters[[#All],[PID]],0)),INDEX(Table3[[#All],[STM]],MATCH(Table5[[#This Row],[PID]],Table3[[#All],[PID]],0)))</f>
        <v>9</v>
      </c>
      <c r="Q541" s="61">
        <f>IF($C541="B",INDEX(Batters[[#All],[Tot]],MATCH(Table5[[#This Row],[PID]],Batters[[#All],[PID]],0)),INDEX(Table3[[#All],[Tot]],MATCH(Table5[[#This Row],[PID]],Table3[[#All],[PID]],0)))</f>
        <v>44.015445955292037</v>
      </c>
      <c r="R541" s="52">
        <f>IF($C541="B",INDEX(Batters[[#All],[zScore]],MATCH(Table5[[#This Row],[PID]],Batters[[#All],[PID]],0)),INDEX(Table3[[#All],[zScore]],MATCH(Table5[[#This Row],[PID]],Table3[[#All],[PID]],0)))</f>
        <v>0.54186907544059337</v>
      </c>
      <c r="S541" s="78" t="str">
        <f>IF($C541="B",INDEX(Batters[[#All],[DEM]],MATCH(Table5[[#This Row],[PID]],Batters[[#All],[PID]],0)),INDEX(Table3[[#All],[DEM]],MATCH(Table5[[#This Row],[PID]],Table3[[#All],[PID]],0)))</f>
        <v>$38k</v>
      </c>
      <c r="T541" s="75">
        <f>IF($C541="B",INDEX(Batters[[#All],[Rnk]],MATCH(Table5[[#This Row],[PID]],Batters[[#All],[PID]],0)),INDEX(Table3[[#All],[Rnk]],MATCH(Table5[[#This Row],[PID]],Table3[[#All],[PID]],0)))</f>
        <v>207</v>
      </c>
      <c r="U541" s="68">
        <f>IF($C541="B",VLOOKUP($A541,Bat!$A$4:$BA$1621,47,FALSE),VLOOKUP($A541,Pit!$A$4:$BF$1557,56,FALSE))</f>
        <v>0</v>
      </c>
      <c r="V541" s="50">
        <f>IF($C541="B",VLOOKUP($A541,Bat!$A$4:$BA$1621,48,FALSE),VLOOKUP($A541,Pit!$A$4:$BF$1557,57,FALSE))</f>
        <v>0</v>
      </c>
      <c r="W541" s="69">
        <f>Table5[[#This Row],[posRnk]]+Table5[[#This Row],[zRnk]]+IF($W$3&lt;&gt;Table5[[#This Row],[Type]],50,0)</f>
        <v>611</v>
      </c>
      <c r="X541" s="73">
        <f>RANK(Table5[[#This Row],[zScore]],Table5[[#All],[zScore]])</f>
        <v>354</v>
      </c>
      <c r="Y541" s="69">
        <f>IFERROR(INDEX(DraftResults[[#All],[OVR]],MATCH(Table5[[#This Row],[PID]],DraftResults[[#All],[Player ID]],0)),"")</f>
        <v>537</v>
      </c>
      <c r="Z54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1" s="69">
        <f>IFERROR(INDEX(DraftResults[[#All],[Pick in Round]],MATCH(Table5[[#This Row],[PID]],DraftResults[[#All],[Player ID]],0)),"")</f>
        <v>19</v>
      </c>
      <c r="AB541" s="69" t="str">
        <f>IFERROR(INDEX(DraftResults[[#All],[Team Name]],MATCH(Table5[[#This Row],[PID]],DraftResults[[#All],[Player ID]],0)),"")</f>
        <v>Kalamazoo Badgers</v>
      </c>
      <c r="AC541" s="69">
        <f>IF(Table5[[#This Row],[Ovr]]="","",IF(Table5[[#This Row],[cmbList]]="","",Table5[[#This Row],[cmbList]]-Table5[[#This Row],[Ovr]]))</f>
        <v>74</v>
      </c>
      <c r="AD541" s="77" t="str">
        <f>IF(ISERROR(VLOOKUP($AB541&amp;"-"&amp;$E541&amp;" "&amp;F541,Bonuses!$B$1:$G$1006,4,FALSE)),"",INT(VLOOKUP($AB541&amp;"-"&amp;$E541&amp;" "&amp;$F541,Bonuses!$B$1:$G$1006,4,FALSE)))</f>
        <v/>
      </c>
      <c r="AE54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18.19 (537) - SP Aidan Mitchell</v>
      </c>
    </row>
    <row r="542" spans="1:31" s="50" customFormat="1" x14ac:dyDescent="0.25">
      <c r="A542" s="50">
        <v>18416</v>
      </c>
      <c r="B542" s="50">
        <f>COUNTIF(Table5[PID],A542)</f>
        <v>1</v>
      </c>
      <c r="C542" s="50" t="str">
        <f>IF(COUNTIF(Table3[[#All],[PID]],A542)&gt;0,"P","B")</f>
        <v>B</v>
      </c>
      <c r="D542" s="59" t="str">
        <f>IF($C542="B",INDEX(Batters[[#All],[POS]],MATCH(Table5[[#This Row],[PID]],Batters[[#All],[PID]],0)),INDEX(Table3[[#All],[POS]],MATCH(Table5[[#This Row],[PID]],Table3[[#All],[PID]],0)))</f>
        <v>LF</v>
      </c>
      <c r="E542" s="52" t="str">
        <f>IF($C542="B",INDEX(Batters[[#All],[First]],MATCH(Table5[[#This Row],[PID]],Batters[[#All],[PID]],0)),INDEX(Table3[[#All],[First]],MATCH(Table5[[#This Row],[PID]],Table3[[#All],[PID]],0)))</f>
        <v>Cameron</v>
      </c>
      <c r="F542" s="50" t="str">
        <f>IF($C542="B",INDEX(Batters[[#All],[Last]],MATCH(A542,Batters[[#All],[PID]],0)),INDEX(Table3[[#All],[Last]],MATCH(A542,Table3[[#All],[PID]],0)))</f>
        <v>Mcclung</v>
      </c>
      <c r="G542" s="56">
        <f>IF($C542="B",INDEX(Batters[[#All],[Age]],MATCH(Table5[[#This Row],[PID]],Batters[[#All],[PID]],0)),INDEX(Table3[[#All],[Age]],MATCH(Table5[[#This Row],[PID]],Table3[[#All],[PID]],0)))</f>
        <v>18</v>
      </c>
      <c r="H542" s="52" t="str">
        <f>IF($C542="B",INDEX(Batters[[#All],[B]],MATCH(Table5[[#This Row],[PID]],Batters[[#All],[PID]],0)),INDEX(Table3[[#All],[B]],MATCH(Table5[[#This Row],[PID]],Table3[[#All],[PID]],0)))</f>
        <v>R</v>
      </c>
      <c r="I542" s="52" t="str">
        <f>IF($C542="B",INDEX(Batters[[#All],[T]],MATCH(Table5[[#This Row],[PID]],Batters[[#All],[PID]],0)),INDEX(Table3[[#All],[T]],MATCH(Table5[[#This Row],[PID]],Table3[[#All],[PID]],0)))</f>
        <v>R</v>
      </c>
      <c r="J542" s="52" t="str">
        <f>IF($C542="B",INDEX(Batters[[#All],[WE]],MATCH(Table5[[#This Row],[PID]],Batters[[#All],[PID]],0)),INDEX(Table3[[#All],[WE]],MATCH(Table5[[#This Row],[PID]],Table3[[#All],[PID]],0)))</f>
        <v>Normal</v>
      </c>
      <c r="K542" s="52" t="str">
        <f>IF($C542="B",INDEX(Batters[[#All],[INT]],MATCH(Table5[[#This Row],[PID]],Batters[[#All],[PID]],0)),INDEX(Table3[[#All],[INT]],MATCH(Table5[[#This Row],[PID]],Table3[[#All],[PID]],0)))</f>
        <v>Normal</v>
      </c>
      <c r="L542" s="60">
        <f>IF($C542="B",INDEX(Batters[[#All],[CON P]],MATCH(Table5[[#This Row],[PID]],Batters[[#All],[PID]],0)),INDEX(Table3[[#All],[STU P]],MATCH(Table5[[#This Row],[PID]],Table3[[#All],[PID]],0)))</f>
        <v>4</v>
      </c>
      <c r="M542" s="56">
        <f>IF($C542="B",INDEX(Batters[[#All],[GAP P]],MATCH(Table5[[#This Row],[PID]],Batters[[#All],[PID]],0)),INDEX(Table3[[#All],[MOV P]],MATCH(Table5[[#This Row],[PID]],Table3[[#All],[PID]],0)))</f>
        <v>4</v>
      </c>
      <c r="N542" s="56">
        <f>IF($C542="B",INDEX(Batters[[#All],[POW P]],MATCH(Table5[[#This Row],[PID]],Batters[[#All],[PID]],0)),INDEX(Table3[[#All],[CON P]],MATCH(Table5[[#This Row],[PID]],Table3[[#All],[PID]],0)))</f>
        <v>5</v>
      </c>
      <c r="O542" s="56">
        <f>IF($C542="B",INDEX(Batters[[#All],[EYE P]],MATCH(Table5[[#This Row],[PID]],Batters[[#All],[PID]],0)),INDEX(Table3[[#All],[VELO]],MATCH(Table5[[#This Row],[PID]],Table3[[#All],[PID]],0)))</f>
        <v>5</v>
      </c>
      <c r="P542" s="56">
        <f>IF($C542="B",INDEX(Batters[[#All],[K P]],MATCH(Table5[[#This Row],[PID]],Batters[[#All],[PID]],0)),INDEX(Table3[[#All],[STM]],MATCH(Table5[[#This Row],[PID]],Table3[[#All],[PID]],0)))</f>
        <v>4</v>
      </c>
      <c r="Q542" s="61">
        <f>IF($C542="B",INDEX(Batters[[#All],[Tot]],MATCH(Table5[[#This Row],[PID]],Batters[[#All],[PID]],0)),INDEX(Table3[[#All],[Tot]],MATCH(Table5[[#This Row],[PID]],Table3[[#All],[PID]],0)))</f>
        <v>48.00286978044673</v>
      </c>
      <c r="R542" s="52">
        <f>IF($C542="B",INDEX(Batters[[#All],[zScore]],MATCH(Table5[[#This Row],[PID]],Batters[[#All],[PID]],0)),INDEX(Table3[[#All],[zScore]],MATCH(Table5[[#This Row],[PID]],Table3[[#All],[PID]],0)))</f>
        <v>0.85821135909769086</v>
      </c>
      <c r="S542" s="58" t="str">
        <f>IF($C542="B",INDEX(Batters[[#All],[DEM]],MATCH(Table5[[#This Row],[PID]],Batters[[#All],[PID]],0)),INDEX(Table3[[#All],[DEM]],MATCH(Table5[[#This Row],[PID]],Table3[[#All],[PID]],0)))</f>
        <v>$65k</v>
      </c>
      <c r="T542" s="62">
        <f>IF($C542="B",INDEX(Batters[[#All],[Rnk]],MATCH(Table5[[#This Row],[PID]],Batters[[#All],[PID]],0)),INDEX(Table3[[#All],[Rnk]],MATCH(Table5[[#This Row],[PID]],Table3[[#All],[PID]],0)))</f>
        <v>107</v>
      </c>
      <c r="U542" s="68">
        <f>IF($C542="B",VLOOKUP($A542,Bat!$A$4:$BA$1621,47,FALSE),VLOOKUP($A542,Pit!$A$4:$BF$1557,56,FALSE))</f>
        <v>0</v>
      </c>
      <c r="V542" s="50">
        <f>IF($C542="B",VLOOKUP($A542,Bat!$A$4:$BA$1621,48,FALSE),VLOOKUP($A542,Pit!$A$4:$BF$1557,57,FALSE))</f>
        <v>0</v>
      </c>
      <c r="W542" s="50">
        <f>Table5[[#This Row],[posRnk]]+Table5[[#This Row],[zRnk]]+IF($W$3&lt;&gt;Table5[[#This Row],[Type]],50,0)</f>
        <v>426</v>
      </c>
      <c r="X542" s="51">
        <f>RANK(Table5[[#This Row],[zScore]],Table5[[#All],[zScore]])</f>
        <v>269</v>
      </c>
      <c r="Y542" s="50">
        <f>IFERROR(INDEX(DraftResults[[#All],[OVR]],MATCH(Table5[[#This Row],[PID]],DraftResults[[#All],[Player ID]],0)),"")</f>
        <v>538</v>
      </c>
      <c r="Z5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2" s="50">
        <f>IFERROR(INDEX(DraftResults[[#All],[Pick in Round]],MATCH(Table5[[#This Row],[PID]],DraftResults[[#All],[Player ID]],0)),"")</f>
        <v>20</v>
      </c>
      <c r="AB542" s="50" t="str">
        <f>IFERROR(INDEX(DraftResults[[#All],[Team Name]],MATCH(Table5[[#This Row],[PID]],DraftResults[[#All],[Player ID]],0)),"")</f>
        <v>Amsterdam Lions</v>
      </c>
      <c r="AC542" s="50">
        <f>IF(Table5[[#This Row],[Ovr]]="","",IF(Table5[[#This Row],[cmbList]]="","",Table5[[#This Row],[cmbList]]-Table5[[#This Row],[Ovr]]))</f>
        <v>-112</v>
      </c>
      <c r="AD542" s="54" t="str">
        <f>IF(ISERROR(VLOOKUP($AB542&amp;"-"&amp;$E542&amp;" "&amp;F542,Bonuses!$B$1:$G$1006,4,FALSE)),"",INT(VLOOKUP($AB542&amp;"-"&amp;$E542&amp;" "&amp;$F542,Bonuses!$B$1:$G$1006,4,FALSE)))</f>
        <v/>
      </c>
      <c r="AE5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18.20 (538) - LF Cameron Mcclung</v>
      </c>
    </row>
    <row r="543" spans="1:31" s="50" customFormat="1" x14ac:dyDescent="0.25">
      <c r="A543" s="68">
        <v>8665</v>
      </c>
      <c r="B543" s="69">
        <f>COUNTIF(Table5[PID],A543)</f>
        <v>1</v>
      </c>
      <c r="C543" s="69" t="str">
        <f>IF(COUNTIF(Table3[[#All],[PID]],A543)&gt;0,"P","B")</f>
        <v>P</v>
      </c>
      <c r="D543" s="59" t="str">
        <f>IF($C543="B",INDEX(Batters[[#All],[POS]],MATCH(Table5[[#This Row],[PID]],Batters[[#All],[PID]],0)),INDEX(Table3[[#All],[POS]],MATCH(Table5[[#This Row],[PID]],Table3[[#All],[PID]],0)))</f>
        <v>SP</v>
      </c>
      <c r="E543" s="52" t="str">
        <f>IF($C543="B",INDEX(Batters[[#All],[First]],MATCH(Table5[[#This Row],[PID]],Batters[[#All],[PID]],0)),INDEX(Table3[[#All],[First]],MATCH(Table5[[#This Row],[PID]],Table3[[#All],[PID]],0)))</f>
        <v>Doug</v>
      </c>
      <c r="F543" s="55" t="str">
        <f>IF($C543="B",INDEX(Batters[[#All],[Last]],MATCH(A543,Batters[[#All],[PID]],0)),INDEX(Table3[[#All],[Last]],MATCH(A543,Table3[[#All],[PID]],0)))</f>
        <v>Kurz</v>
      </c>
      <c r="G543" s="56">
        <f>IF($C543="B",INDEX(Batters[[#All],[Age]],MATCH(Table5[[#This Row],[PID]],Batters[[#All],[PID]],0)),INDEX(Table3[[#All],[Age]],MATCH(Table5[[#This Row],[PID]],Table3[[#All],[PID]],0)))</f>
        <v>18</v>
      </c>
      <c r="H543" s="52" t="str">
        <f>IF($C543="B",INDEX(Batters[[#All],[B]],MATCH(Table5[[#This Row],[PID]],Batters[[#All],[PID]],0)),INDEX(Table3[[#All],[B]],MATCH(Table5[[#This Row],[PID]],Table3[[#All],[PID]],0)))</f>
        <v>R</v>
      </c>
      <c r="I543" s="52" t="str">
        <f>IF($C543="B",INDEX(Batters[[#All],[T]],MATCH(Table5[[#This Row],[PID]],Batters[[#All],[PID]],0)),INDEX(Table3[[#All],[T]],MATCH(Table5[[#This Row],[PID]],Table3[[#All],[PID]],0)))</f>
        <v>L</v>
      </c>
      <c r="J543" s="71" t="str">
        <f>IF($C543="B",INDEX(Batters[[#All],[WE]],MATCH(Table5[[#This Row],[PID]],Batters[[#All],[PID]],0)),INDEX(Table3[[#All],[WE]],MATCH(Table5[[#This Row],[PID]],Table3[[#All],[PID]],0)))</f>
        <v>Normal</v>
      </c>
      <c r="K543" s="52" t="str">
        <f>IF($C543="B",INDEX(Batters[[#All],[INT]],MATCH(Table5[[#This Row],[PID]],Batters[[#All],[PID]],0)),INDEX(Table3[[#All],[INT]],MATCH(Table5[[#This Row],[PID]],Table3[[#All],[PID]],0)))</f>
        <v>Normal</v>
      </c>
      <c r="L543" s="60">
        <f>IF($C543="B",INDEX(Batters[[#All],[CON P]],MATCH(Table5[[#This Row],[PID]],Batters[[#All],[PID]],0)),INDEX(Table3[[#All],[STU P]],MATCH(Table5[[#This Row],[PID]],Table3[[#All],[PID]],0)))</f>
        <v>5</v>
      </c>
      <c r="M543" s="72">
        <f>IF($C543="B",INDEX(Batters[[#All],[GAP P]],MATCH(Table5[[#This Row],[PID]],Batters[[#All],[PID]],0)),INDEX(Table3[[#All],[MOV P]],MATCH(Table5[[#This Row],[PID]],Table3[[#All],[PID]],0)))</f>
        <v>4</v>
      </c>
      <c r="N543" s="72">
        <f>IF($C543="B",INDEX(Batters[[#All],[POW P]],MATCH(Table5[[#This Row],[PID]],Batters[[#All],[PID]],0)),INDEX(Table3[[#All],[CON P]],MATCH(Table5[[#This Row],[PID]],Table3[[#All],[PID]],0)))</f>
        <v>3</v>
      </c>
      <c r="O543" s="72" t="str">
        <f>IF($C543="B",INDEX(Batters[[#All],[EYE P]],MATCH(Table5[[#This Row],[PID]],Batters[[#All],[PID]],0)),INDEX(Table3[[#All],[VELO]],MATCH(Table5[[#This Row],[PID]],Table3[[#All],[PID]],0)))</f>
        <v>94-96 Mph</v>
      </c>
      <c r="P543" s="56">
        <f>IF($C543="B",INDEX(Batters[[#All],[K P]],MATCH(Table5[[#This Row],[PID]],Batters[[#All],[PID]],0)),INDEX(Table3[[#All],[STM]],MATCH(Table5[[#This Row],[PID]],Table3[[#All],[PID]],0)))</f>
        <v>3</v>
      </c>
      <c r="Q543" s="61">
        <f>IF($C543="B",INDEX(Batters[[#All],[Tot]],MATCH(Table5[[#This Row],[PID]],Batters[[#All],[PID]],0)),INDEX(Table3[[#All],[Tot]],MATCH(Table5[[#This Row],[PID]],Table3[[#All],[PID]],0)))</f>
        <v>46.01928040256243</v>
      </c>
      <c r="R543" s="52">
        <f>IF($C543="B",INDEX(Batters[[#All],[zScore]],MATCH(Table5[[#This Row],[PID]],Batters[[#All],[PID]],0)),INDEX(Table3[[#All],[zScore]],MATCH(Table5[[#This Row],[PID]],Table3[[#All],[PID]],0)))</f>
        <v>0.56275961485940718</v>
      </c>
      <c r="S543" s="78" t="str">
        <f>IF($C543="B",INDEX(Batters[[#All],[DEM]],MATCH(Table5[[#This Row],[PID]],Batters[[#All],[PID]],0)),INDEX(Table3[[#All],[DEM]],MATCH(Table5[[#This Row],[PID]],Table3[[#All],[PID]],0)))</f>
        <v>$65k</v>
      </c>
      <c r="T543" s="75">
        <f>IF($C543="B",INDEX(Batters[[#All],[Rnk]],MATCH(Table5[[#This Row],[PID]],Batters[[#All],[PID]],0)),INDEX(Table3[[#All],[Rnk]],MATCH(Table5[[#This Row],[PID]],Table3[[#All],[PID]],0)))</f>
        <v>205</v>
      </c>
      <c r="U543" s="68">
        <f>IF($C543="B",VLOOKUP($A543,Bat!$A$4:$BA$1621,47,FALSE),VLOOKUP($A543,Pit!$A$4:$BF$1557,56,FALSE))</f>
        <v>0</v>
      </c>
      <c r="V543" s="50">
        <f>IF($C543="B",VLOOKUP($A543,Bat!$A$4:$BA$1621,48,FALSE),VLOOKUP($A543,Pit!$A$4:$BF$1557,57,FALSE))</f>
        <v>0</v>
      </c>
      <c r="W543" s="69">
        <f>Table5[[#This Row],[posRnk]]+Table5[[#This Row],[zRnk]]+IF($W$3&lt;&gt;Table5[[#This Row],[Type]],50,0)</f>
        <v>603</v>
      </c>
      <c r="X543" s="73">
        <f>RANK(Table5[[#This Row],[zScore]],Table5[[#All],[zScore]])</f>
        <v>348</v>
      </c>
      <c r="Y543" s="69">
        <f>IFERROR(INDEX(DraftResults[[#All],[OVR]],MATCH(Table5[[#This Row],[PID]],DraftResults[[#All],[Player ID]],0)),"")</f>
        <v>539</v>
      </c>
      <c r="Z54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3" s="69">
        <f>IFERROR(INDEX(DraftResults[[#All],[Pick in Round]],MATCH(Table5[[#This Row],[PID]],DraftResults[[#All],[Player ID]],0)),"")</f>
        <v>21</v>
      </c>
      <c r="AB543" s="69" t="str">
        <f>IFERROR(INDEX(DraftResults[[#All],[Team Name]],MATCH(Table5[[#This Row],[PID]],DraftResults[[#All],[Player ID]],0)),"")</f>
        <v>Crystal Lake Sandgnats</v>
      </c>
      <c r="AC543" s="69">
        <f>IF(Table5[[#This Row],[Ovr]]="","",IF(Table5[[#This Row],[cmbList]]="","",Table5[[#This Row],[cmbList]]-Table5[[#This Row],[Ovr]]))</f>
        <v>64</v>
      </c>
      <c r="AD543" s="77" t="str">
        <f>IF(ISERROR(VLOOKUP($AB543&amp;"-"&amp;$E543&amp;" "&amp;F543,Bonuses!$B$1:$G$1006,4,FALSE)),"",INT(VLOOKUP($AB543&amp;"-"&amp;$E543&amp;" "&amp;$F543,Bonuses!$B$1:$G$1006,4,FALSE)))</f>
        <v/>
      </c>
      <c r="AE54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18.21 (539) - SP Doug Kurz</v>
      </c>
    </row>
    <row r="544" spans="1:31" s="50" customFormat="1" x14ac:dyDescent="0.25">
      <c r="A544" s="50">
        <v>20655</v>
      </c>
      <c r="B544" s="50">
        <f>COUNTIF(Table5[PID],A544)</f>
        <v>1</v>
      </c>
      <c r="C544" s="50" t="str">
        <f>IF(COUNTIF(Table3[[#All],[PID]],A544)&gt;0,"P","B")</f>
        <v>P</v>
      </c>
      <c r="D544" s="59" t="str">
        <f>IF($C544="B",INDEX(Batters[[#All],[POS]],MATCH(Table5[[#This Row],[PID]],Batters[[#All],[PID]],0)),INDEX(Table3[[#All],[POS]],MATCH(Table5[[#This Row],[PID]],Table3[[#All],[PID]],0)))</f>
        <v>RP</v>
      </c>
      <c r="E544" s="52" t="str">
        <f>IF($C544="B",INDEX(Batters[[#All],[First]],MATCH(Table5[[#This Row],[PID]],Batters[[#All],[PID]],0)),INDEX(Table3[[#All],[First]],MATCH(Table5[[#This Row],[PID]],Table3[[#All],[PID]],0)))</f>
        <v>Min-yul</v>
      </c>
      <c r="F544" s="50" t="str">
        <f>IF($C544="B",INDEX(Batters[[#All],[Last]],MATCH(A544,Batters[[#All],[PID]],0)),INDEX(Table3[[#All],[Last]],MATCH(A544,Table3[[#All],[PID]],0)))</f>
        <v>Pak</v>
      </c>
      <c r="G544" s="56">
        <f>IF($C544="B",INDEX(Batters[[#All],[Age]],MATCH(Table5[[#This Row],[PID]],Batters[[#All],[PID]],0)),INDEX(Table3[[#All],[Age]],MATCH(Table5[[#This Row],[PID]],Table3[[#All],[PID]],0)))</f>
        <v>17</v>
      </c>
      <c r="H544" s="52" t="str">
        <f>IF($C544="B",INDEX(Batters[[#All],[B]],MATCH(Table5[[#This Row],[PID]],Batters[[#All],[PID]],0)),INDEX(Table3[[#All],[B]],MATCH(Table5[[#This Row],[PID]],Table3[[#All],[PID]],0)))</f>
        <v>L</v>
      </c>
      <c r="I544" s="52" t="str">
        <f>IF($C544="B",INDEX(Batters[[#All],[T]],MATCH(Table5[[#This Row],[PID]],Batters[[#All],[PID]],0)),INDEX(Table3[[#All],[T]],MATCH(Table5[[#This Row],[PID]],Table3[[#All],[PID]],0)))</f>
        <v>L</v>
      </c>
      <c r="J544" s="52" t="str">
        <f>IF($C544="B",INDEX(Batters[[#All],[WE]],MATCH(Table5[[#This Row],[PID]],Batters[[#All],[PID]],0)),INDEX(Table3[[#All],[WE]],MATCH(Table5[[#This Row],[PID]],Table3[[#All],[PID]],0)))</f>
        <v>High</v>
      </c>
      <c r="K544" s="52" t="str">
        <f>IF($C544="B",INDEX(Batters[[#All],[INT]],MATCH(Table5[[#This Row],[PID]],Batters[[#All],[PID]],0)),INDEX(Table3[[#All],[INT]],MATCH(Table5[[#This Row],[PID]],Table3[[#All],[PID]],0)))</f>
        <v>Normal</v>
      </c>
      <c r="L544" s="60">
        <f>IF($C544="B",INDEX(Batters[[#All],[CON P]],MATCH(Table5[[#This Row],[PID]],Batters[[#All],[PID]],0)),INDEX(Table3[[#All],[STU P]],MATCH(Table5[[#This Row],[PID]],Table3[[#All],[PID]],0)))</f>
        <v>5</v>
      </c>
      <c r="M544" s="56">
        <f>IF($C544="B",INDEX(Batters[[#All],[GAP P]],MATCH(Table5[[#This Row],[PID]],Batters[[#All],[PID]],0)),INDEX(Table3[[#All],[MOV P]],MATCH(Table5[[#This Row],[PID]],Table3[[#All],[PID]],0)))</f>
        <v>2</v>
      </c>
      <c r="N544" s="56">
        <f>IF($C544="B",INDEX(Batters[[#All],[POW P]],MATCH(Table5[[#This Row],[PID]],Batters[[#All],[PID]],0)),INDEX(Table3[[#All],[CON P]],MATCH(Table5[[#This Row],[PID]],Table3[[#All],[PID]],0)))</f>
        <v>3</v>
      </c>
      <c r="O544" s="56" t="str">
        <f>IF($C544="B",INDEX(Batters[[#All],[EYE P]],MATCH(Table5[[#This Row],[PID]],Batters[[#All],[PID]],0)),INDEX(Table3[[#All],[VELO]],MATCH(Table5[[#This Row],[PID]],Table3[[#All],[PID]],0)))</f>
        <v>87-89 Mph</v>
      </c>
      <c r="P544" s="56">
        <f>IF($C544="B",INDEX(Batters[[#All],[K P]],MATCH(Table5[[#This Row],[PID]],Batters[[#All],[PID]],0)),INDEX(Table3[[#All],[STM]],MATCH(Table5[[#This Row],[PID]],Table3[[#All],[PID]],0)))</f>
        <v>3</v>
      </c>
      <c r="Q544" s="61">
        <f>IF($C544="B",INDEX(Batters[[#All],[Tot]],MATCH(Table5[[#This Row],[PID]],Batters[[#All],[PID]],0)),INDEX(Table3[[#All],[Tot]],MATCH(Table5[[#This Row],[PID]],Table3[[#All],[PID]],0)))</f>
        <v>33.076957251765791</v>
      </c>
      <c r="R544" s="52">
        <f>IF($C544="B",INDEX(Batters[[#All],[zScore]],MATCH(Table5[[#This Row],[PID]],Batters[[#All],[PID]],0)),INDEX(Table3[[#All],[zScore]],MATCH(Table5[[#This Row],[PID]],Table3[[#All],[PID]],0)))</f>
        <v>-0.18585186280370039</v>
      </c>
      <c r="S544" s="58" t="str">
        <f>IF($C544="B",INDEX(Batters[[#All],[DEM]],MATCH(Table5[[#This Row],[PID]],Batters[[#All],[PID]],0)),INDEX(Table3[[#All],[DEM]],MATCH(Table5[[#This Row],[PID]],Table3[[#All],[PID]],0)))</f>
        <v>$65k</v>
      </c>
      <c r="T544" s="62">
        <f>IF($C544="B",INDEX(Batters[[#All],[Rnk]],MATCH(Table5[[#This Row],[PID]],Batters[[#All],[PID]],0)),INDEX(Table3[[#All],[Rnk]],MATCH(Table5[[#This Row],[PID]],Table3[[#All],[PID]],0)))</f>
        <v>379</v>
      </c>
      <c r="U544" s="68">
        <f>IF($C544="B",VLOOKUP($A544,Bat!$A$4:$BA$1621,47,FALSE),VLOOKUP($A544,Pit!$A$4:$BF$1557,56,FALSE))</f>
        <v>0</v>
      </c>
      <c r="V544" s="50">
        <f>IF($C544="B",VLOOKUP($A544,Bat!$A$4:$BA$1621,48,FALSE),VLOOKUP($A544,Pit!$A$4:$BF$1557,57,FALSE))</f>
        <v>0</v>
      </c>
      <c r="W544" s="50">
        <f>Table5[[#This Row],[posRnk]]+Table5[[#This Row],[zRnk]]+IF($W$3&lt;&gt;Table5[[#This Row],[Type]],50,0)</f>
        <v>1088</v>
      </c>
      <c r="X544" s="51">
        <f>RANK(Table5[[#This Row],[zScore]],Table5[[#All],[zScore]])</f>
        <v>659</v>
      </c>
      <c r="Y544" s="50">
        <f>IFERROR(INDEX(DraftResults[[#All],[OVR]],MATCH(Table5[[#This Row],[PID]],DraftResults[[#All],[Player ID]],0)),"")</f>
        <v>540</v>
      </c>
      <c r="Z5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4" s="50">
        <f>IFERROR(INDEX(DraftResults[[#All],[Pick in Round]],MATCH(Table5[[#This Row],[PID]],DraftResults[[#All],[Player ID]],0)),"")</f>
        <v>22</v>
      </c>
      <c r="AB544" s="50" t="str">
        <f>IFERROR(INDEX(DraftResults[[#All],[Team Name]],MATCH(Table5[[#This Row],[PID]],DraftResults[[#All],[Player ID]],0)),"")</f>
        <v>Fargo Dinosaurs</v>
      </c>
      <c r="AC544" s="50">
        <f>IF(Table5[[#This Row],[Ovr]]="","",IF(Table5[[#This Row],[cmbList]]="","",Table5[[#This Row],[cmbList]]-Table5[[#This Row],[Ovr]]))</f>
        <v>548</v>
      </c>
      <c r="AD544" s="54" t="str">
        <f>IF(ISERROR(VLOOKUP($AB544&amp;"-"&amp;$E544&amp;" "&amp;F544,Bonuses!$B$1:$G$1006,4,FALSE)),"",INT(VLOOKUP($AB544&amp;"-"&amp;$E544&amp;" "&amp;$F544,Bonuses!$B$1:$G$1006,4,FALSE)))</f>
        <v/>
      </c>
      <c r="AE5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18.22 (540) - RP Min-yul Pak</v>
      </c>
    </row>
    <row r="545" spans="1:31" s="50" customFormat="1" x14ac:dyDescent="0.25">
      <c r="A545" s="50">
        <v>17812</v>
      </c>
      <c r="B545" s="50">
        <f>COUNTIF(Table5[PID],A545)</f>
        <v>1</v>
      </c>
      <c r="C545" s="50" t="str">
        <f>IF(COUNTIF(Table3[[#All],[PID]],A545)&gt;0,"P","B")</f>
        <v>P</v>
      </c>
      <c r="D545" s="59" t="str">
        <f>IF($C545="B",INDEX(Batters[[#All],[POS]],MATCH(Table5[[#This Row],[PID]],Batters[[#All],[PID]],0)),INDEX(Table3[[#All],[POS]],MATCH(Table5[[#This Row],[PID]],Table3[[#All],[PID]],0)))</f>
        <v>RP</v>
      </c>
      <c r="E545" s="52" t="str">
        <f>IF($C545="B",INDEX(Batters[[#All],[First]],MATCH(Table5[[#This Row],[PID]],Batters[[#All],[PID]],0)),INDEX(Table3[[#All],[First]],MATCH(Table5[[#This Row],[PID]],Table3[[#All],[PID]],0)))</f>
        <v>Júlio</v>
      </c>
      <c r="F545" s="50" t="str">
        <f>IF($C545="B",INDEX(Batters[[#All],[Last]],MATCH(A545,Batters[[#All],[PID]],0)),INDEX(Table3[[#All],[Last]],MATCH(A545,Table3[[#All],[PID]],0)))</f>
        <v>Rodríguez</v>
      </c>
      <c r="G545" s="56">
        <f>IF($C545="B",INDEX(Batters[[#All],[Age]],MATCH(Table5[[#This Row],[PID]],Batters[[#All],[PID]],0)),INDEX(Table3[[#All],[Age]],MATCH(Table5[[#This Row],[PID]],Table3[[#All],[PID]],0)))</f>
        <v>21</v>
      </c>
      <c r="H545" s="52" t="str">
        <f>IF($C545="B",INDEX(Batters[[#All],[B]],MATCH(Table5[[#This Row],[PID]],Batters[[#All],[PID]],0)),INDEX(Table3[[#All],[B]],MATCH(Table5[[#This Row],[PID]],Table3[[#All],[PID]],0)))</f>
        <v>S</v>
      </c>
      <c r="I545" s="52" t="str">
        <f>IF($C545="B",INDEX(Batters[[#All],[T]],MATCH(Table5[[#This Row],[PID]],Batters[[#All],[PID]],0)),INDEX(Table3[[#All],[T]],MATCH(Table5[[#This Row],[PID]],Table3[[#All],[PID]],0)))</f>
        <v>R</v>
      </c>
      <c r="J545" s="52" t="str">
        <f>IF($C545="B",INDEX(Batters[[#All],[WE]],MATCH(Table5[[#This Row],[PID]],Batters[[#All],[PID]],0)),INDEX(Table3[[#All],[WE]],MATCH(Table5[[#This Row],[PID]],Table3[[#All],[PID]],0)))</f>
        <v>Low</v>
      </c>
      <c r="K545" s="52" t="str">
        <f>IF($C545="B",INDEX(Batters[[#All],[INT]],MATCH(Table5[[#This Row],[PID]],Batters[[#All],[PID]],0)),INDEX(Table3[[#All],[INT]],MATCH(Table5[[#This Row],[PID]],Table3[[#All],[PID]],0)))</f>
        <v>Normal</v>
      </c>
      <c r="L545" s="60">
        <f>IF($C545="B",INDEX(Batters[[#All],[CON P]],MATCH(Table5[[#This Row],[PID]],Batters[[#All],[PID]],0)),INDEX(Table3[[#All],[STU P]],MATCH(Table5[[#This Row],[PID]],Table3[[#All],[PID]],0)))</f>
        <v>4</v>
      </c>
      <c r="M545" s="56">
        <f>IF($C545="B",INDEX(Batters[[#All],[GAP P]],MATCH(Table5[[#This Row],[PID]],Batters[[#All],[PID]],0)),INDEX(Table3[[#All],[MOV P]],MATCH(Table5[[#This Row],[PID]],Table3[[#All],[PID]],0)))</f>
        <v>1</v>
      </c>
      <c r="N545" s="56">
        <f>IF($C545="B",INDEX(Batters[[#All],[POW P]],MATCH(Table5[[#This Row],[PID]],Batters[[#All],[PID]],0)),INDEX(Table3[[#All],[CON P]],MATCH(Table5[[#This Row],[PID]],Table3[[#All],[PID]],0)))</f>
        <v>3</v>
      </c>
      <c r="O545" s="56" t="str">
        <f>IF($C545="B",INDEX(Batters[[#All],[EYE P]],MATCH(Table5[[#This Row],[PID]],Batters[[#All],[PID]],0)),INDEX(Table3[[#All],[VELO]],MATCH(Table5[[#This Row],[PID]],Table3[[#All],[PID]],0)))</f>
        <v>88-90 Mph</v>
      </c>
      <c r="P545" s="56">
        <f>IF($C545="B",INDEX(Batters[[#All],[K P]],MATCH(Table5[[#This Row],[PID]],Batters[[#All],[PID]],0)),INDEX(Table3[[#All],[STM]],MATCH(Table5[[#This Row],[PID]],Table3[[#All],[PID]],0)))</f>
        <v>10</v>
      </c>
      <c r="Q545" s="61">
        <f>IF($C545="B",INDEX(Batters[[#All],[Tot]],MATCH(Table5[[#This Row],[PID]],Batters[[#All],[PID]],0)),INDEX(Table3[[#All],[Tot]],MATCH(Table5[[#This Row],[PID]],Table3[[#All],[PID]],0)))</f>
        <v>25.839020276736086</v>
      </c>
      <c r="R545" s="52">
        <f>IF($C545="B",INDEX(Batters[[#All],[zScore]],MATCH(Table5[[#This Row],[PID]],Batters[[#All],[PID]],0)),INDEX(Table3[[#All],[zScore]],MATCH(Table5[[#This Row],[PID]],Table3[[#All],[PID]],0)))</f>
        <v>-0.66738074939693626</v>
      </c>
      <c r="S545" s="58" t="str">
        <f>IF($C545="B",INDEX(Batters[[#All],[DEM]],MATCH(Table5[[#This Row],[PID]],Batters[[#All],[PID]],0)),INDEX(Table3[[#All],[DEM]],MATCH(Table5[[#This Row],[PID]],Table3[[#All],[PID]],0)))</f>
        <v>-</v>
      </c>
      <c r="T545" s="62">
        <f>IF($C545="B",INDEX(Batters[[#All],[Rnk]],MATCH(Table5[[#This Row],[PID]],Batters[[#All],[PID]],0)),INDEX(Table3[[#All],[Rnk]],MATCH(Table5[[#This Row],[PID]],Table3[[#All],[PID]],0)))</f>
        <v>589</v>
      </c>
      <c r="U545" s="68">
        <f>IF($C545="B",VLOOKUP($A545,Bat!$A$4:$BA$1621,47,FALSE),VLOOKUP($A545,Pit!$A$4:$BF$1557,56,FALSE))</f>
        <v>0</v>
      </c>
      <c r="V545" s="50">
        <f>IF($C545="B",VLOOKUP($A545,Bat!$A$4:$BA$1621,48,FALSE),VLOOKUP($A545,Pit!$A$4:$BF$1557,57,FALSE))</f>
        <v>0</v>
      </c>
      <c r="W545" s="50">
        <f>Table5[[#This Row],[posRnk]]+Table5[[#This Row],[zRnk]]+IF($W$3&lt;&gt;Table5[[#This Row],[Type]],50,0)</f>
        <v>1601</v>
      </c>
      <c r="X545" s="51">
        <f>RANK(Table5[[#This Row],[zScore]],Table5[[#All],[zScore]])</f>
        <v>962</v>
      </c>
      <c r="Y545" s="50">
        <f>IFERROR(INDEX(DraftResults[[#All],[OVR]],MATCH(Table5[[#This Row],[PID]],DraftResults[[#All],[Player ID]],0)),"")</f>
        <v>541</v>
      </c>
      <c r="Z5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5" s="50">
        <f>IFERROR(INDEX(DraftResults[[#All],[Pick in Round]],MATCH(Table5[[#This Row],[PID]],DraftResults[[#All],[Player ID]],0)),"")</f>
        <v>23</v>
      </c>
      <c r="AB545" s="50" t="str">
        <f>IFERROR(INDEX(DraftResults[[#All],[Team Name]],MATCH(Table5[[#This Row],[PID]],DraftResults[[#All],[Player ID]],0)),"")</f>
        <v>Shin Seiki Evas</v>
      </c>
      <c r="AC545" s="50">
        <f>IF(Table5[[#This Row],[Ovr]]="","",IF(Table5[[#This Row],[cmbList]]="","",Table5[[#This Row],[cmbList]]-Table5[[#This Row],[Ovr]]))</f>
        <v>1060</v>
      </c>
      <c r="AD545" s="54" t="str">
        <f>IF(ISERROR(VLOOKUP($AB545&amp;"-"&amp;$E545&amp;" "&amp;F545,Bonuses!$B$1:$G$1006,4,FALSE)),"",INT(VLOOKUP($AB545&amp;"-"&amp;$E545&amp;" "&amp;$F545,Bonuses!$B$1:$G$1006,4,FALSE)))</f>
        <v/>
      </c>
      <c r="AE5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18.23 (541) - RP Júlio Rodríguez</v>
      </c>
    </row>
    <row r="546" spans="1:31" s="50" customFormat="1" x14ac:dyDescent="0.25">
      <c r="A546" s="50">
        <v>20984</v>
      </c>
      <c r="B546" s="50">
        <f>COUNTIF(Table5[PID],A546)</f>
        <v>1</v>
      </c>
      <c r="C546" s="50" t="str">
        <f>IF(COUNTIF(Table3[[#All],[PID]],A546)&gt;0,"P","B")</f>
        <v>P</v>
      </c>
      <c r="D546" s="59" t="str">
        <f>IF($C546="B",INDEX(Batters[[#All],[POS]],MATCH(Table5[[#This Row],[PID]],Batters[[#All],[PID]],0)),INDEX(Table3[[#All],[POS]],MATCH(Table5[[#This Row],[PID]],Table3[[#All],[PID]],0)))</f>
        <v>RP</v>
      </c>
      <c r="E546" s="52" t="str">
        <f>IF($C546="B",INDEX(Batters[[#All],[First]],MATCH(Table5[[#This Row],[PID]],Batters[[#All],[PID]],0)),INDEX(Table3[[#All],[First]],MATCH(Table5[[#This Row],[PID]],Table3[[#All],[PID]],0)))</f>
        <v>Norm</v>
      </c>
      <c r="F546" s="50" t="str">
        <f>IF($C546="B",INDEX(Batters[[#All],[Last]],MATCH(A546,Batters[[#All],[PID]],0)),INDEX(Table3[[#All],[Last]],MATCH(A546,Table3[[#All],[PID]],0)))</f>
        <v>Kennedy</v>
      </c>
      <c r="G546" s="56">
        <f>IF($C546="B",INDEX(Batters[[#All],[Age]],MATCH(Table5[[#This Row],[PID]],Batters[[#All],[PID]],0)),INDEX(Table3[[#All],[Age]],MATCH(Table5[[#This Row],[PID]],Table3[[#All],[PID]],0)))</f>
        <v>18</v>
      </c>
      <c r="H546" s="52" t="str">
        <f>IF($C546="B",INDEX(Batters[[#All],[B]],MATCH(Table5[[#This Row],[PID]],Batters[[#All],[PID]],0)),INDEX(Table3[[#All],[B]],MATCH(Table5[[#This Row],[PID]],Table3[[#All],[PID]],0)))</f>
        <v>S</v>
      </c>
      <c r="I546" s="52" t="str">
        <f>IF($C546="B",INDEX(Batters[[#All],[T]],MATCH(Table5[[#This Row],[PID]],Batters[[#All],[PID]],0)),INDEX(Table3[[#All],[T]],MATCH(Table5[[#This Row],[PID]],Table3[[#All],[PID]],0)))</f>
        <v>R</v>
      </c>
      <c r="J546" s="52" t="str">
        <f>IF($C546="B",INDEX(Batters[[#All],[WE]],MATCH(Table5[[#This Row],[PID]],Batters[[#All],[PID]],0)),INDEX(Table3[[#All],[WE]],MATCH(Table5[[#This Row],[PID]],Table3[[#All],[PID]],0)))</f>
        <v>Normal</v>
      </c>
      <c r="K546" s="52" t="str">
        <f>IF($C546="B",INDEX(Batters[[#All],[INT]],MATCH(Table5[[#This Row],[PID]],Batters[[#All],[PID]],0)),INDEX(Table3[[#All],[INT]],MATCH(Table5[[#This Row],[PID]],Table3[[#All],[PID]],0)))</f>
        <v>Normal</v>
      </c>
      <c r="L546" s="60">
        <f>IF($C546="B",INDEX(Batters[[#All],[CON P]],MATCH(Table5[[#This Row],[PID]],Batters[[#All],[PID]],0)),INDEX(Table3[[#All],[STU P]],MATCH(Table5[[#This Row],[PID]],Table3[[#All],[PID]],0)))</f>
        <v>6</v>
      </c>
      <c r="M546" s="56">
        <f>IF($C546="B",INDEX(Batters[[#All],[GAP P]],MATCH(Table5[[#This Row],[PID]],Batters[[#All],[PID]],0)),INDEX(Table3[[#All],[MOV P]],MATCH(Table5[[#This Row],[PID]],Table3[[#All],[PID]],0)))</f>
        <v>2</v>
      </c>
      <c r="N546" s="56">
        <f>IF($C546="B",INDEX(Batters[[#All],[POW P]],MATCH(Table5[[#This Row],[PID]],Batters[[#All],[PID]],0)),INDEX(Table3[[#All],[CON P]],MATCH(Table5[[#This Row],[PID]],Table3[[#All],[PID]],0)))</f>
        <v>4</v>
      </c>
      <c r="O546" s="56" t="str">
        <f>IF($C546="B",INDEX(Batters[[#All],[EYE P]],MATCH(Table5[[#This Row],[PID]],Batters[[#All],[PID]],0)),INDEX(Table3[[#All],[VELO]],MATCH(Table5[[#This Row],[PID]],Table3[[#All],[PID]],0)))</f>
        <v>89-91 Mph</v>
      </c>
      <c r="P546" s="56">
        <f>IF($C546="B",INDEX(Batters[[#All],[K P]],MATCH(Table5[[#This Row],[PID]],Batters[[#All],[PID]],0)),INDEX(Table3[[#All],[STM]],MATCH(Table5[[#This Row],[PID]],Table3[[#All],[PID]],0)))</f>
        <v>1</v>
      </c>
      <c r="Q546" s="61">
        <f>IF($C546="B",INDEX(Batters[[#All],[Tot]],MATCH(Table5[[#This Row],[PID]],Batters[[#All],[PID]],0)),INDEX(Table3[[#All],[Tot]],MATCH(Table5[[#This Row],[PID]],Table3[[#All],[PID]],0)))</f>
        <v>40.893191820811438</v>
      </c>
      <c r="R546" s="52">
        <f>IF($C546="B",INDEX(Batters[[#All],[zScore]],MATCH(Table5[[#This Row],[PID]],Batters[[#All],[PID]],0)),INDEX(Table3[[#All],[zScore]],MATCH(Table5[[#This Row],[PID]],Table3[[#All],[PID]],0)))</f>
        <v>0.33415027901774941</v>
      </c>
      <c r="S546" s="58" t="str">
        <f>IF($C546="B",INDEX(Batters[[#All],[DEM]],MATCH(Table5[[#This Row],[PID]],Batters[[#All],[PID]],0)),INDEX(Table3[[#All],[DEM]],MATCH(Table5[[#This Row],[PID]],Table3[[#All],[PID]],0)))</f>
        <v>$95k</v>
      </c>
      <c r="T546" s="62">
        <f>IF($C546="B",INDEX(Batters[[#All],[Rnk]],MATCH(Table5[[#This Row],[PID]],Batters[[#All],[PID]],0)),INDEX(Table3[[#All],[Rnk]],MATCH(Table5[[#This Row],[PID]],Table3[[#All],[PID]],0)))</f>
        <v>236</v>
      </c>
      <c r="U546" s="68">
        <f>IF($C546="B",VLOOKUP($A546,Bat!$A$4:$BA$1621,47,FALSE),VLOOKUP($A546,Pit!$A$4:$BF$1557,56,FALSE))</f>
        <v>0</v>
      </c>
      <c r="V546" s="50">
        <f>IF($C546="B",VLOOKUP($A546,Bat!$A$4:$BA$1621,48,FALSE),VLOOKUP($A546,Pit!$A$4:$BF$1557,57,FALSE))</f>
        <v>0</v>
      </c>
      <c r="W546" s="50">
        <f>Table5[[#This Row],[posRnk]]+Table5[[#This Row],[zRnk]]+IF($W$3&lt;&gt;Table5[[#This Row],[Type]],50,0)</f>
        <v>692</v>
      </c>
      <c r="X546" s="51">
        <f>RANK(Table5[[#This Row],[zScore]],Table5[[#All],[zScore]])</f>
        <v>406</v>
      </c>
      <c r="Y546" s="50">
        <f>IFERROR(INDEX(DraftResults[[#All],[OVR]],MATCH(Table5[[#This Row],[PID]],DraftResults[[#All],[Player ID]],0)),"")</f>
        <v>542</v>
      </c>
      <c r="Z5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6" s="50">
        <f>IFERROR(INDEX(DraftResults[[#All],[Pick in Round]],MATCH(Table5[[#This Row],[PID]],DraftResults[[#All],[Player ID]],0)),"")</f>
        <v>24</v>
      </c>
      <c r="AB546" s="50" t="str">
        <f>IFERROR(INDEX(DraftResults[[#All],[Team Name]],MATCH(Table5[[#This Row],[PID]],DraftResults[[#All],[Player ID]],0)),"")</f>
        <v>Aurora Borealis</v>
      </c>
      <c r="AC546" s="50">
        <f>IF(Table5[[#This Row],[Ovr]]="","",IF(Table5[[#This Row],[cmbList]]="","",Table5[[#This Row],[cmbList]]-Table5[[#This Row],[Ovr]]))</f>
        <v>150</v>
      </c>
      <c r="AD546" s="54" t="str">
        <f>IF(ISERROR(VLOOKUP($AB546&amp;"-"&amp;$E546&amp;" "&amp;F546,Bonuses!$B$1:$G$1006,4,FALSE)),"",INT(VLOOKUP($AB546&amp;"-"&amp;$E546&amp;" "&amp;$F546,Bonuses!$B$1:$G$1006,4,FALSE)))</f>
        <v/>
      </c>
      <c r="AE5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18.24 (542) - RP Norm Kennedy</v>
      </c>
    </row>
    <row r="547" spans="1:31" s="50" customFormat="1" x14ac:dyDescent="0.25">
      <c r="A547" s="50">
        <v>21025</v>
      </c>
      <c r="B547" s="50">
        <f>COUNTIF(Table5[PID],A547)</f>
        <v>1</v>
      </c>
      <c r="C547" s="50" t="str">
        <f>IF(COUNTIF(Table3[[#All],[PID]],A547)&gt;0,"P","B")</f>
        <v>P</v>
      </c>
      <c r="D547" s="59" t="str">
        <f>IF($C547="B",INDEX(Batters[[#All],[POS]],MATCH(Table5[[#This Row],[PID]],Batters[[#All],[PID]],0)),INDEX(Table3[[#All],[POS]],MATCH(Table5[[#This Row],[PID]],Table3[[#All],[PID]],0)))</f>
        <v>RP</v>
      </c>
      <c r="E547" s="52" t="str">
        <f>IF($C547="B",INDEX(Batters[[#All],[First]],MATCH(Table5[[#This Row],[PID]],Batters[[#All],[PID]],0)),INDEX(Table3[[#All],[First]],MATCH(Table5[[#This Row],[PID]],Table3[[#All],[PID]],0)))</f>
        <v>António</v>
      </c>
      <c r="F547" s="50" t="str">
        <f>IF($C547="B",INDEX(Batters[[#All],[Last]],MATCH(A547,Batters[[#All],[PID]],0)),INDEX(Table3[[#All],[Last]],MATCH(A547,Table3[[#All],[PID]],0)))</f>
        <v>García</v>
      </c>
      <c r="G547" s="56">
        <f>IF($C547="B",INDEX(Batters[[#All],[Age]],MATCH(Table5[[#This Row],[PID]],Batters[[#All],[PID]],0)),INDEX(Table3[[#All],[Age]],MATCH(Table5[[#This Row],[PID]],Table3[[#All],[PID]],0)))</f>
        <v>17</v>
      </c>
      <c r="H547" s="52" t="str">
        <f>IF($C547="B",INDEX(Batters[[#All],[B]],MATCH(Table5[[#This Row],[PID]],Batters[[#All],[PID]],0)),INDEX(Table3[[#All],[B]],MATCH(Table5[[#This Row],[PID]],Table3[[#All],[PID]],0)))</f>
        <v>R</v>
      </c>
      <c r="I547" s="52" t="str">
        <f>IF($C547="B",INDEX(Batters[[#All],[T]],MATCH(Table5[[#This Row],[PID]],Batters[[#All],[PID]],0)),INDEX(Table3[[#All],[T]],MATCH(Table5[[#This Row],[PID]],Table3[[#All],[PID]],0)))</f>
        <v>R</v>
      </c>
      <c r="J547" s="52" t="str">
        <f>IF($C547="B",INDEX(Batters[[#All],[WE]],MATCH(Table5[[#This Row],[PID]],Batters[[#All],[PID]],0)),INDEX(Table3[[#All],[WE]],MATCH(Table5[[#This Row],[PID]],Table3[[#All],[PID]],0)))</f>
        <v>Low</v>
      </c>
      <c r="K547" s="52" t="str">
        <f>IF($C547="B",INDEX(Batters[[#All],[INT]],MATCH(Table5[[#This Row],[PID]],Batters[[#All],[PID]],0)),INDEX(Table3[[#All],[INT]],MATCH(Table5[[#This Row],[PID]],Table3[[#All],[PID]],0)))</f>
        <v>Normal</v>
      </c>
      <c r="L547" s="60">
        <f>IF($C547="B",INDEX(Batters[[#All],[CON P]],MATCH(Table5[[#This Row],[PID]],Batters[[#All],[PID]],0)),INDEX(Table3[[#All],[STU P]],MATCH(Table5[[#This Row],[PID]],Table3[[#All],[PID]],0)))</f>
        <v>6</v>
      </c>
      <c r="M547" s="56">
        <f>IF($C547="B",INDEX(Batters[[#All],[GAP P]],MATCH(Table5[[#This Row],[PID]],Batters[[#All],[PID]],0)),INDEX(Table3[[#All],[MOV P]],MATCH(Table5[[#This Row],[PID]],Table3[[#All],[PID]],0)))</f>
        <v>1</v>
      </c>
      <c r="N547" s="56">
        <f>IF($C547="B",INDEX(Batters[[#All],[POW P]],MATCH(Table5[[#This Row],[PID]],Batters[[#All],[PID]],0)),INDEX(Table3[[#All],[CON P]],MATCH(Table5[[#This Row],[PID]],Table3[[#All],[PID]],0)))</f>
        <v>4</v>
      </c>
      <c r="O547" s="56" t="str">
        <f>IF($C547="B",INDEX(Batters[[#All],[EYE P]],MATCH(Table5[[#This Row],[PID]],Batters[[#All],[PID]],0)),INDEX(Table3[[#All],[VELO]],MATCH(Table5[[#This Row],[PID]],Table3[[#All],[PID]],0)))</f>
        <v>92-94 Mph</v>
      </c>
      <c r="P547" s="56">
        <f>IF($C547="B",INDEX(Batters[[#All],[K P]],MATCH(Table5[[#This Row],[PID]],Batters[[#All],[PID]],0)),INDEX(Table3[[#All],[STM]],MATCH(Table5[[#This Row],[PID]],Table3[[#All],[PID]],0)))</f>
        <v>5</v>
      </c>
      <c r="Q547" s="61">
        <f>IF($C547="B",INDEX(Batters[[#All],[Tot]],MATCH(Table5[[#This Row],[PID]],Batters[[#All],[PID]],0)),INDEX(Table3[[#All],[Tot]],MATCH(Table5[[#This Row],[PID]],Table3[[#All],[PID]],0)))</f>
        <v>44.277537634690219</v>
      </c>
      <c r="R547" s="52">
        <f>IF($C547="B",INDEX(Batters[[#All],[zScore]],MATCH(Table5[[#This Row],[PID]],Batters[[#All],[PID]],0)),INDEX(Table3[[#All],[zScore]],MATCH(Table5[[#This Row],[PID]],Table3[[#All],[PID]],0)))</f>
        <v>0.55930563436634173</v>
      </c>
      <c r="S547" s="58" t="str">
        <f>IF($C547="B",INDEX(Batters[[#All],[DEM]],MATCH(Table5[[#This Row],[PID]],Batters[[#All],[PID]],0)),INDEX(Table3[[#All],[DEM]],MATCH(Table5[[#This Row],[PID]],Table3[[#All],[PID]],0)))</f>
        <v>$65k</v>
      </c>
      <c r="T547" s="62">
        <f>IF($C547="B",INDEX(Batters[[#All],[Rnk]],MATCH(Table5[[#This Row],[PID]],Batters[[#All],[PID]],0)),INDEX(Table3[[#All],[Rnk]],MATCH(Table5[[#This Row],[PID]],Table3[[#All],[PID]],0)))</f>
        <v>206</v>
      </c>
      <c r="U547" s="68">
        <f>IF($C547="B",VLOOKUP($A547,Bat!$A$4:$BA$1621,47,FALSE),VLOOKUP($A547,Pit!$A$4:$BF$1557,56,FALSE))</f>
        <v>0</v>
      </c>
      <c r="V547" s="50">
        <f>IF($C547="B",VLOOKUP($A547,Bat!$A$4:$BA$1621,48,FALSE),VLOOKUP($A547,Pit!$A$4:$BF$1557,57,FALSE))</f>
        <v>0</v>
      </c>
      <c r="W547" s="50">
        <f>Table5[[#This Row],[posRnk]]+Table5[[#This Row],[zRnk]]+IF($W$3&lt;&gt;Table5[[#This Row],[Type]],50,0)</f>
        <v>606</v>
      </c>
      <c r="X547" s="51">
        <f>RANK(Table5[[#This Row],[zScore]],Table5[[#All],[zScore]])</f>
        <v>350</v>
      </c>
      <c r="Y547" s="50">
        <f>IFERROR(INDEX(DraftResults[[#All],[OVR]],MATCH(Table5[[#This Row],[PID]],DraftResults[[#All],[Player ID]],0)),"")</f>
        <v>543</v>
      </c>
      <c r="Z5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7" s="50">
        <f>IFERROR(INDEX(DraftResults[[#All],[Pick in Round]],MATCH(Table5[[#This Row],[PID]],DraftResults[[#All],[Player ID]],0)),"")</f>
        <v>25</v>
      </c>
      <c r="AB547" s="50" t="str">
        <f>IFERROR(INDEX(DraftResults[[#All],[Team Name]],MATCH(Table5[[#This Row],[PID]],DraftResults[[#All],[Player ID]],0)),"")</f>
        <v>Toyama Wind Dancers</v>
      </c>
      <c r="AC547" s="50">
        <f>IF(Table5[[#This Row],[Ovr]]="","",IF(Table5[[#This Row],[cmbList]]="","",Table5[[#This Row],[cmbList]]-Table5[[#This Row],[Ovr]]))</f>
        <v>63</v>
      </c>
      <c r="AD547" s="54" t="str">
        <f>IF(ISERROR(VLOOKUP($AB547&amp;"-"&amp;$E547&amp;" "&amp;F547,Bonuses!$B$1:$G$1006,4,FALSE)),"",INT(VLOOKUP($AB547&amp;"-"&amp;$E547&amp;" "&amp;$F547,Bonuses!$B$1:$G$1006,4,FALSE)))</f>
        <v/>
      </c>
      <c r="AE5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18.25 (543) - RP António García</v>
      </c>
    </row>
    <row r="548" spans="1:31" s="50" customFormat="1" x14ac:dyDescent="0.25">
      <c r="A548" s="50">
        <v>20506</v>
      </c>
      <c r="B548" s="50">
        <f>COUNTIF(Table5[PID],A548)</f>
        <v>1</v>
      </c>
      <c r="C548" s="50" t="str">
        <f>IF(COUNTIF(Table3[[#All],[PID]],A548)&gt;0,"P","B")</f>
        <v>P</v>
      </c>
      <c r="D548" s="59" t="str">
        <f>IF($C548="B",INDEX(Batters[[#All],[POS]],MATCH(Table5[[#This Row],[PID]],Batters[[#All],[PID]],0)),INDEX(Table3[[#All],[POS]],MATCH(Table5[[#This Row],[PID]],Table3[[#All],[PID]],0)))</f>
        <v>RP</v>
      </c>
      <c r="E548" s="52" t="str">
        <f>IF($C548="B",INDEX(Batters[[#All],[First]],MATCH(Table5[[#This Row],[PID]],Batters[[#All],[PID]],0)),INDEX(Table3[[#All],[First]],MATCH(Table5[[#This Row],[PID]],Table3[[#All],[PID]],0)))</f>
        <v>Raph</v>
      </c>
      <c r="F548" s="50" t="str">
        <f>IF($C548="B",INDEX(Batters[[#All],[Last]],MATCH(A548,Batters[[#All],[PID]],0)),INDEX(Table3[[#All],[Last]],MATCH(A548,Table3[[#All],[PID]],0)))</f>
        <v>Ebalan</v>
      </c>
      <c r="G548" s="56">
        <f>IF($C548="B",INDEX(Batters[[#All],[Age]],MATCH(Table5[[#This Row],[PID]],Batters[[#All],[PID]],0)),INDEX(Table3[[#All],[Age]],MATCH(Table5[[#This Row],[PID]],Table3[[#All],[PID]],0)))</f>
        <v>18</v>
      </c>
      <c r="H548" s="52" t="str">
        <f>IF($C548="B",INDEX(Batters[[#All],[B]],MATCH(Table5[[#This Row],[PID]],Batters[[#All],[PID]],0)),INDEX(Table3[[#All],[B]],MATCH(Table5[[#This Row],[PID]],Table3[[#All],[PID]],0)))</f>
        <v>R</v>
      </c>
      <c r="I548" s="52" t="str">
        <f>IF($C548="B",INDEX(Batters[[#All],[T]],MATCH(Table5[[#This Row],[PID]],Batters[[#All],[PID]],0)),INDEX(Table3[[#All],[T]],MATCH(Table5[[#This Row],[PID]],Table3[[#All],[PID]],0)))</f>
        <v>R</v>
      </c>
      <c r="J548" s="52" t="str">
        <f>IF($C548="B",INDEX(Batters[[#All],[WE]],MATCH(Table5[[#This Row],[PID]],Batters[[#All],[PID]],0)),INDEX(Table3[[#All],[WE]],MATCH(Table5[[#This Row],[PID]],Table3[[#All],[PID]],0)))</f>
        <v>Normal</v>
      </c>
      <c r="K548" s="52" t="str">
        <f>IF($C548="B",INDEX(Batters[[#All],[INT]],MATCH(Table5[[#This Row],[PID]],Batters[[#All],[PID]],0)),INDEX(Table3[[#All],[INT]],MATCH(Table5[[#This Row],[PID]],Table3[[#All],[PID]],0)))</f>
        <v>Normal</v>
      </c>
      <c r="L548" s="60">
        <f>IF($C548="B",INDEX(Batters[[#All],[CON P]],MATCH(Table5[[#This Row],[PID]],Batters[[#All],[PID]],0)),INDEX(Table3[[#All],[STU P]],MATCH(Table5[[#This Row],[PID]],Table3[[#All],[PID]],0)))</f>
        <v>6</v>
      </c>
      <c r="M548" s="56">
        <f>IF($C548="B",INDEX(Batters[[#All],[GAP P]],MATCH(Table5[[#This Row],[PID]],Batters[[#All],[PID]],0)),INDEX(Table3[[#All],[MOV P]],MATCH(Table5[[#This Row],[PID]],Table3[[#All],[PID]],0)))</f>
        <v>2</v>
      </c>
      <c r="N548" s="56">
        <f>IF($C548="B",INDEX(Batters[[#All],[POW P]],MATCH(Table5[[#This Row],[PID]],Batters[[#All],[PID]],0)),INDEX(Table3[[#All],[CON P]],MATCH(Table5[[#This Row],[PID]],Table3[[#All],[PID]],0)))</f>
        <v>3</v>
      </c>
      <c r="O548" s="56" t="str">
        <f>IF($C548="B",INDEX(Batters[[#All],[EYE P]],MATCH(Table5[[#This Row],[PID]],Batters[[#All],[PID]],0)),INDEX(Table3[[#All],[VELO]],MATCH(Table5[[#This Row],[PID]],Table3[[#All],[PID]],0)))</f>
        <v>91-93 Mph</v>
      </c>
      <c r="P548" s="56">
        <f>IF($C548="B",INDEX(Batters[[#All],[K P]],MATCH(Table5[[#This Row],[PID]],Batters[[#All],[PID]],0)),INDEX(Table3[[#All],[STM]],MATCH(Table5[[#This Row],[PID]],Table3[[#All],[PID]],0)))</f>
        <v>1</v>
      </c>
      <c r="Q548" s="61">
        <f>IF($C548="B",INDEX(Batters[[#All],[Tot]],MATCH(Table5[[#This Row],[PID]],Batters[[#All],[PID]],0)),INDEX(Table3[[#All],[Tot]],MATCH(Table5[[#This Row],[PID]],Table3[[#All],[PID]],0)))</f>
        <v>36.476092417440086</v>
      </c>
      <c r="R548" s="52">
        <f>IF($C548="B",INDEX(Batters[[#All],[zScore]],MATCH(Table5[[#This Row],[PID]],Batters[[#All],[PID]],0)),INDEX(Table3[[#All],[zScore]],MATCH(Table5[[#This Row],[PID]],Table3[[#All],[PID]],0)))</f>
        <v>4.0287405520108177E-2</v>
      </c>
      <c r="S548" s="58" t="str">
        <f>IF($C548="B",INDEX(Batters[[#All],[DEM]],MATCH(Table5[[#This Row],[PID]],Batters[[#All],[PID]],0)),INDEX(Table3[[#All],[DEM]],MATCH(Table5[[#This Row],[PID]],Table3[[#All],[PID]],0)))</f>
        <v>$38k</v>
      </c>
      <c r="T548" s="62">
        <f>IF($C548="B",INDEX(Batters[[#All],[Rnk]],MATCH(Table5[[#This Row],[PID]],Batters[[#All],[PID]],0)),INDEX(Table3[[#All],[Rnk]],MATCH(Table5[[#This Row],[PID]],Table3[[#All],[PID]],0)))</f>
        <v>301</v>
      </c>
      <c r="U548" s="68">
        <f>IF($C548="B",VLOOKUP($A548,Bat!$A$4:$BA$1621,47,FALSE),VLOOKUP($A548,Pit!$A$4:$BF$1557,56,FALSE))</f>
        <v>0</v>
      </c>
      <c r="V548" s="50">
        <f>IF($C548="B",VLOOKUP($A548,Bat!$A$4:$BA$1621,48,FALSE),VLOOKUP($A548,Pit!$A$4:$BF$1557,57,FALSE))</f>
        <v>0</v>
      </c>
      <c r="W548" s="50">
        <f>Table5[[#This Row],[posRnk]]+Table5[[#This Row],[zRnk]]+IF($W$3&lt;&gt;Table5[[#This Row],[Type]],50,0)</f>
        <v>886</v>
      </c>
      <c r="X548" s="51">
        <f>RANK(Table5[[#This Row],[zScore]],Table5[[#All],[zScore]])</f>
        <v>535</v>
      </c>
      <c r="Y548" s="50">
        <f>IFERROR(INDEX(DraftResults[[#All],[OVR]],MATCH(Table5[[#This Row],[PID]],DraftResults[[#All],[Player ID]],0)),"")</f>
        <v>544</v>
      </c>
      <c r="Z5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8" s="50">
        <f>IFERROR(INDEX(DraftResults[[#All],[Pick in Round]],MATCH(Table5[[#This Row],[PID]],DraftResults[[#All],[Player ID]],0)),"")</f>
        <v>26</v>
      </c>
      <c r="AB548" s="50" t="str">
        <f>IFERROR(INDEX(DraftResults[[#All],[Team Name]],MATCH(Table5[[#This Row],[PID]],DraftResults[[#All],[Player ID]],0)),"")</f>
        <v>Aurora Borealis</v>
      </c>
      <c r="AC548" s="50">
        <f>IF(Table5[[#This Row],[Ovr]]="","",IF(Table5[[#This Row],[cmbList]]="","",Table5[[#This Row],[cmbList]]-Table5[[#This Row],[Ovr]]))</f>
        <v>342</v>
      </c>
      <c r="AD548" s="54" t="str">
        <f>IF(ISERROR(VLOOKUP($AB548&amp;"-"&amp;$E548&amp;" "&amp;F548,Bonuses!$B$1:$G$1006,4,FALSE)),"",INT(VLOOKUP($AB548&amp;"-"&amp;$E548&amp;" "&amp;$F548,Bonuses!$B$1:$G$1006,4,FALSE)))</f>
        <v/>
      </c>
      <c r="AE5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18.26 (544) - RP Raph Ebalan</v>
      </c>
    </row>
    <row r="549" spans="1:31" s="50" customFormat="1" x14ac:dyDescent="0.25">
      <c r="A549" s="68">
        <v>18199</v>
      </c>
      <c r="B549" s="69">
        <f>COUNTIF(Table5[PID],A549)</f>
        <v>1</v>
      </c>
      <c r="C549" s="69" t="str">
        <f>IF(COUNTIF(Table3[[#All],[PID]],A549)&gt;0,"P","B")</f>
        <v>P</v>
      </c>
      <c r="D549" s="59" t="str">
        <f>IF($C549="B",INDEX(Batters[[#All],[POS]],MATCH(Table5[[#This Row],[PID]],Batters[[#All],[PID]],0)),INDEX(Table3[[#All],[POS]],MATCH(Table5[[#This Row],[PID]],Table3[[#All],[PID]],0)))</f>
        <v>SP</v>
      </c>
      <c r="E549" s="52" t="str">
        <f>IF($C549="B",INDEX(Batters[[#All],[First]],MATCH(Table5[[#This Row],[PID]],Batters[[#All],[PID]],0)),INDEX(Table3[[#All],[First]],MATCH(Table5[[#This Row],[PID]],Table3[[#All],[PID]],0)))</f>
        <v>António</v>
      </c>
      <c r="F549" s="55" t="str">
        <f>IF($C549="B",INDEX(Batters[[#All],[Last]],MATCH(A549,Batters[[#All],[PID]],0)),INDEX(Table3[[#All],[Last]],MATCH(A549,Table3[[#All],[PID]],0)))</f>
        <v>Ramos</v>
      </c>
      <c r="G549" s="56">
        <f>IF($C549="B",INDEX(Batters[[#All],[Age]],MATCH(Table5[[#This Row],[PID]],Batters[[#All],[PID]],0)),INDEX(Table3[[#All],[Age]],MATCH(Table5[[#This Row],[PID]],Table3[[#All],[PID]],0)))</f>
        <v>18</v>
      </c>
      <c r="H549" s="52" t="str">
        <f>IF($C549="B",INDEX(Batters[[#All],[B]],MATCH(Table5[[#This Row],[PID]],Batters[[#All],[PID]],0)),INDEX(Table3[[#All],[B]],MATCH(Table5[[#This Row],[PID]],Table3[[#All],[PID]],0)))</f>
        <v>L</v>
      </c>
      <c r="I549" s="52" t="str">
        <f>IF($C549="B",INDEX(Batters[[#All],[T]],MATCH(Table5[[#This Row],[PID]],Batters[[#All],[PID]],0)),INDEX(Table3[[#All],[T]],MATCH(Table5[[#This Row],[PID]],Table3[[#All],[PID]],0)))</f>
        <v>L</v>
      </c>
      <c r="J549" s="71" t="str">
        <f>IF($C549="B",INDEX(Batters[[#All],[WE]],MATCH(Table5[[#This Row],[PID]],Batters[[#All],[PID]],0)),INDEX(Table3[[#All],[WE]],MATCH(Table5[[#This Row],[PID]],Table3[[#All],[PID]],0)))</f>
        <v>Normal</v>
      </c>
      <c r="K549" s="52" t="str">
        <f>IF($C549="B",INDEX(Batters[[#All],[INT]],MATCH(Table5[[#This Row],[PID]],Batters[[#All],[PID]],0)),INDEX(Table3[[#All],[INT]],MATCH(Table5[[#This Row],[PID]],Table3[[#All],[PID]],0)))</f>
        <v>Normal</v>
      </c>
      <c r="L549" s="60">
        <f>IF($C549="B",INDEX(Batters[[#All],[CON P]],MATCH(Table5[[#This Row],[PID]],Batters[[#All],[PID]],0)),INDEX(Table3[[#All],[STU P]],MATCH(Table5[[#This Row],[PID]],Table3[[#All],[PID]],0)))</f>
        <v>3</v>
      </c>
      <c r="M549" s="72">
        <f>IF($C549="B",INDEX(Batters[[#All],[GAP P]],MATCH(Table5[[#This Row],[PID]],Batters[[#All],[PID]],0)),INDEX(Table3[[#All],[MOV P]],MATCH(Table5[[#This Row],[PID]],Table3[[#All],[PID]],0)))</f>
        <v>3</v>
      </c>
      <c r="N549" s="72">
        <f>IF($C549="B",INDEX(Batters[[#All],[POW P]],MATCH(Table5[[#This Row],[PID]],Batters[[#All],[PID]],0)),INDEX(Table3[[#All],[CON P]],MATCH(Table5[[#This Row],[PID]],Table3[[#All],[PID]],0)))</f>
        <v>5</v>
      </c>
      <c r="O549" s="72" t="str">
        <f>IF($C549="B",INDEX(Batters[[#All],[EYE P]],MATCH(Table5[[#This Row],[PID]],Batters[[#All],[PID]],0)),INDEX(Table3[[#All],[VELO]],MATCH(Table5[[#This Row],[PID]],Table3[[#All],[PID]],0)))</f>
        <v>86-88 Mph</v>
      </c>
      <c r="P549" s="56">
        <f>IF($C549="B",INDEX(Batters[[#All],[K P]],MATCH(Table5[[#This Row],[PID]],Batters[[#All],[PID]],0)),INDEX(Table3[[#All],[STM]],MATCH(Table5[[#This Row],[PID]],Table3[[#All],[PID]],0)))</f>
        <v>10</v>
      </c>
      <c r="Q549" s="61">
        <f>IF($C549="B",INDEX(Batters[[#All],[Tot]],MATCH(Table5[[#This Row],[PID]],Batters[[#All],[PID]],0)),INDEX(Table3[[#All],[Tot]],MATCH(Table5[[#This Row],[PID]],Table3[[#All],[PID]],0)))</f>
        <v>43.326088339330958</v>
      </c>
      <c r="R549" s="52">
        <f>IF($C549="B",INDEX(Batters[[#All],[zScore]],MATCH(Table5[[#This Row],[PID]],Batters[[#All],[PID]],0)),INDEX(Table3[[#All],[zScore]],MATCH(Table5[[#This Row],[PID]],Table3[[#All],[PID]],0)))</f>
        <v>0.49600716666417116</v>
      </c>
      <c r="S549" s="78" t="str">
        <f>IF($C549="B",INDEX(Batters[[#All],[DEM]],MATCH(Table5[[#This Row],[PID]],Batters[[#All],[PID]],0)),INDEX(Table3[[#All],[DEM]],MATCH(Table5[[#This Row],[PID]],Table3[[#All],[PID]],0)))</f>
        <v>$65k</v>
      </c>
      <c r="T549" s="75">
        <f>IF($C549="B",INDEX(Batters[[#All],[Rnk]],MATCH(Table5[[#This Row],[PID]],Batters[[#All],[PID]],0)),INDEX(Table3[[#All],[Rnk]],MATCH(Table5[[#This Row],[PID]],Table3[[#All],[PID]],0)))</f>
        <v>216</v>
      </c>
      <c r="U549" s="68">
        <f>IF($C549="B",VLOOKUP($A549,Bat!$A$4:$BA$1621,47,FALSE),VLOOKUP($A549,Pit!$A$4:$BF$1557,56,FALSE))</f>
        <v>0</v>
      </c>
      <c r="V549" s="50">
        <f>IF($C549="B",VLOOKUP($A549,Bat!$A$4:$BA$1621,48,FALSE),VLOOKUP($A549,Pit!$A$4:$BF$1557,57,FALSE))</f>
        <v>0</v>
      </c>
      <c r="W549" s="69">
        <f>Table5[[#This Row],[posRnk]]+Table5[[#This Row],[zRnk]]+IF($W$3&lt;&gt;Table5[[#This Row],[Type]],50,0)</f>
        <v>634</v>
      </c>
      <c r="X549" s="73">
        <f>RANK(Table5[[#This Row],[zScore]],Table5[[#All],[zScore]])</f>
        <v>368</v>
      </c>
      <c r="Y549" s="69">
        <f>IFERROR(INDEX(DraftResults[[#All],[OVR]],MATCH(Table5[[#This Row],[PID]],DraftResults[[#All],[Player ID]],0)),"")</f>
        <v>545</v>
      </c>
      <c r="Z54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49" s="69">
        <f>IFERROR(INDEX(DraftResults[[#All],[Pick in Round]],MATCH(Table5[[#This Row],[PID]],DraftResults[[#All],[Player ID]],0)),"")</f>
        <v>27</v>
      </c>
      <c r="AB549" s="69" t="str">
        <f>IFERROR(INDEX(DraftResults[[#All],[Team Name]],MATCH(Table5[[#This Row],[PID]],DraftResults[[#All],[Player ID]],0)),"")</f>
        <v>Neo-Tokyo Akira</v>
      </c>
      <c r="AC549" s="69">
        <f>IF(Table5[[#This Row],[Ovr]]="","",IF(Table5[[#This Row],[cmbList]]="","",Table5[[#This Row],[cmbList]]-Table5[[#This Row],[Ovr]]))</f>
        <v>89</v>
      </c>
      <c r="AD549" s="77" t="str">
        <f>IF(ISERROR(VLOOKUP($AB549&amp;"-"&amp;$E549&amp;" "&amp;F549,Bonuses!$B$1:$G$1006,4,FALSE)),"",INT(VLOOKUP($AB549&amp;"-"&amp;$E549&amp;" "&amp;$F549,Bonuses!$B$1:$G$1006,4,FALSE)))</f>
        <v/>
      </c>
      <c r="AE54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18.27 (545) - SP António Ramos</v>
      </c>
    </row>
    <row r="550" spans="1:31" s="50" customFormat="1" x14ac:dyDescent="0.25">
      <c r="A550" s="50">
        <v>17862</v>
      </c>
      <c r="B550" s="50">
        <f>COUNTIF(Table5[PID],A550)</f>
        <v>1</v>
      </c>
      <c r="C550" s="50" t="str">
        <f>IF(COUNTIF(Table3[[#All],[PID]],A550)&gt;0,"P","B")</f>
        <v>B</v>
      </c>
      <c r="D550" s="59" t="str">
        <f>IF($C550="B",INDEX(Batters[[#All],[POS]],MATCH(Table5[[#This Row],[PID]],Batters[[#All],[PID]],0)),INDEX(Table3[[#All],[POS]],MATCH(Table5[[#This Row],[PID]],Table3[[#All],[PID]],0)))</f>
        <v>LF</v>
      </c>
      <c r="E550" s="52" t="str">
        <f>IF($C550="B",INDEX(Batters[[#All],[First]],MATCH(Table5[[#This Row],[PID]],Batters[[#All],[PID]],0)),INDEX(Table3[[#All],[First]],MATCH(Table5[[#This Row],[PID]],Table3[[#All],[PID]],0)))</f>
        <v>Okakura</v>
      </c>
      <c r="F550" s="50" t="str">
        <f>IF($C550="B",INDEX(Batters[[#All],[Last]],MATCH(A550,Batters[[#All],[PID]],0)),INDEX(Table3[[#All],[Last]],MATCH(A550,Table3[[#All],[PID]],0)))</f>
        <v>Hashimoto</v>
      </c>
      <c r="G550" s="56">
        <f>IF($C550="B",INDEX(Batters[[#All],[Age]],MATCH(Table5[[#This Row],[PID]],Batters[[#All],[PID]],0)),INDEX(Table3[[#All],[Age]],MATCH(Table5[[#This Row],[PID]],Table3[[#All],[PID]],0)))</f>
        <v>18</v>
      </c>
      <c r="H550" s="52" t="str">
        <f>IF($C550="B",INDEX(Batters[[#All],[B]],MATCH(Table5[[#This Row],[PID]],Batters[[#All],[PID]],0)),INDEX(Table3[[#All],[B]],MATCH(Table5[[#This Row],[PID]],Table3[[#All],[PID]],0)))</f>
        <v>L</v>
      </c>
      <c r="I550" s="52" t="str">
        <f>IF($C550="B",INDEX(Batters[[#All],[T]],MATCH(Table5[[#This Row],[PID]],Batters[[#All],[PID]],0)),INDEX(Table3[[#All],[T]],MATCH(Table5[[#This Row],[PID]],Table3[[#All],[PID]],0)))</f>
        <v>L</v>
      </c>
      <c r="J550" s="52" t="str">
        <f>IF($C550="B",INDEX(Batters[[#All],[WE]],MATCH(Table5[[#This Row],[PID]],Batters[[#All],[PID]],0)),INDEX(Table3[[#All],[WE]],MATCH(Table5[[#This Row],[PID]],Table3[[#All],[PID]],0)))</f>
        <v>Low</v>
      </c>
      <c r="K550" s="52" t="str">
        <f>IF($C550="B",INDEX(Batters[[#All],[INT]],MATCH(Table5[[#This Row],[PID]],Batters[[#All],[PID]],0)),INDEX(Table3[[#All],[INT]],MATCH(Table5[[#This Row],[PID]],Table3[[#All],[PID]],0)))</f>
        <v>Normal</v>
      </c>
      <c r="L550" s="60">
        <f>IF($C550="B",INDEX(Batters[[#All],[CON P]],MATCH(Table5[[#This Row],[PID]],Batters[[#All],[PID]],0)),INDEX(Table3[[#All],[STU P]],MATCH(Table5[[#This Row],[PID]],Table3[[#All],[PID]],0)))</f>
        <v>4</v>
      </c>
      <c r="M550" s="56">
        <f>IF($C550="B",INDEX(Batters[[#All],[GAP P]],MATCH(Table5[[#This Row],[PID]],Batters[[#All],[PID]],0)),INDEX(Table3[[#All],[MOV P]],MATCH(Table5[[#This Row],[PID]],Table3[[#All],[PID]],0)))</f>
        <v>3</v>
      </c>
      <c r="N550" s="56">
        <f>IF($C550="B",INDEX(Batters[[#All],[POW P]],MATCH(Table5[[#This Row],[PID]],Batters[[#All],[PID]],0)),INDEX(Table3[[#All],[CON P]],MATCH(Table5[[#This Row],[PID]],Table3[[#All],[PID]],0)))</f>
        <v>4</v>
      </c>
      <c r="O550" s="56">
        <f>IF($C550="B",INDEX(Batters[[#All],[EYE P]],MATCH(Table5[[#This Row],[PID]],Batters[[#All],[PID]],0)),INDEX(Table3[[#All],[VELO]],MATCH(Table5[[#This Row],[PID]],Table3[[#All],[PID]],0)))</f>
        <v>3</v>
      </c>
      <c r="P550" s="56">
        <f>IF($C550="B",INDEX(Batters[[#All],[K P]],MATCH(Table5[[#This Row],[PID]],Batters[[#All],[PID]],0)),INDEX(Table3[[#All],[STM]],MATCH(Table5[[#This Row],[PID]],Table3[[#All],[PID]],0)))</f>
        <v>5</v>
      </c>
      <c r="Q550" s="61">
        <f>IF($C550="B",INDEX(Batters[[#All],[Tot]],MATCH(Table5[[#This Row],[PID]],Batters[[#All],[PID]],0)),INDEX(Table3[[#All],[Tot]],MATCH(Table5[[#This Row],[PID]],Table3[[#All],[PID]],0)))</f>
        <v>44.889226126944351</v>
      </c>
      <c r="R550" s="52">
        <f>IF($C550="B",INDEX(Batters[[#All],[zScore]],MATCH(Table5[[#This Row],[PID]],Batters[[#All],[PID]],0)),INDEX(Table3[[#All],[zScore]],MATCH(Table5[[#This Row],[PID]],Table3[[#All],[PID]],0)))</f>
        <v>0.16789551483836385</v>
      </c>
      <c r="S550" s="58" t="str">
        <f>IF($C550="B",INDEX(Batters[[#All],[DEM]],MATCH(Table5[[#This Row],[PID]],Batters[[#All],[PID]],0)),INDEX(Table3[[#All],[DEM]],MATCH(Table5[[#This Row],[PID]],Table3[[#All],[PID]],0)))</f>
        <v>$65k</v>
      </c>
      <c r="T550" s="62">
        <f>IF($C550="B",INDEX(Batters[[#All],[Rnk]],MATCH(Table5[[#This Row],[PID]],Batters[[#All],[PID]],0)),INDEX(Table3[[#All],[Rnk]],MATCH(Table5[[#This Row],[PID]],Table3[[#All],[PID]],0)))</f>
        <v>210</v>
      </c>
      <c r="U550" s="68">
        <f>IF($C550="B",VLOOKUP($A550,Bat!$A$4:$BA$1621,47,FALSE),VLOOKUP($A550,Pit!$A$4:$BF$1557,56,FALSE))</f>
        <v>0</v>
      </c>
      <c r="V550" s="50">
        <f>IF($C550="B",VLOOKUP($A550,Bat!$A$4:$BA$1621,48,FALSE),VLOOKUP($A550,Pit!$A$4:$BF$1557,57,FALSE))</f>
        <v>0</v>
      </c>
      <c r="W550" s="50">
        <f>Table5[[#This Row],[posRnk]]+Table5[[#This Row],[zRnk]]+IF($W$3&lt;&gt;Table5[[#This Row],[Type]],50,0)</f>
        <v>743</v>
      </c>
      <c r="X550" s="51">
        <f>RANK(Table5[[#This Row],[zScore]],Table5[[#All],[zScore]])</f>
        <v>483</v>
      </c>
      <c r="Y550" s="50">
        <f>IFERROR(INDEX(DraftResults[[#All],[OVR]],MATCH(Table5[[#This Row],[PID]],DraftResults[[#All],[Player ID]],0)),"")</f>
        <v>546</v>
      </c>
      <c r="Z5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50" s="50">
        <f>IFERROR(INDEX(DraftResults[[#All],[Pick in Round]],MATCH(Table5[[#This Row],[PID]],DraftResults[[#All],[Player ID]],0)),"")</f>
        <v>28</v>
      </c>
      <c r="AB550" s="50" t="str">
        <f>IFERROR(INDEX(DraftResults[[#All],[Team Name]],MATCH(Table5[[#This Row],[PID]],DraftResults[[#All],[Player ID]],0)),"")</f>
        <v>San Juan Coqui</v>
      </c>
      <c r="AC550" s="50">
        <f>IF(Table5[[#This Row],[Ovr]]="","",IF(Table5[[#This Row],[cmbList]]="","",Table5[[#This Row],[cmbList]]-Table5[[#This Row],[Ovr]]))</f>
        <v>197</v>
      </c>
      <c r="AD550" s="54" t="str">
        <f>IF(ISERROR(VLOOKUP($AB550&amp;"-"&amp;$E550&amp;" "&amp;F550,Bonuses!$B$1:$G$1006,4,FALSE)),"",INT(VLOOKUP($AB550&amp;"-"&amp;$E550&amp;" "&amp;$F550,Bonuses!$B$1:$G$1006,4,FALSE)))</f>
        <v/>
      </c>
      <c r="AE5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18.28 (546) - LF Okakura Hashimoto</v>
      </c>
    </row>
    <row r="551" spans="1:31" s="50" customFormat="1" x14ac:dyDescent="0.25">
      <c r="A551" s="50">
        <v>18121</v>
      </c>
      <c r="B551" s="50">
        <f>COUNTIF(Table5[PID],A551)</f>
        <v>1</v>
      </c>
      <c r="C551" s="50" t="str">
        <f>IF(COUNTIF(Table3[[#All],[PID]],A551)&gt;0,"P","B")</f>
        <v>B</v>
      </c>
      <c r="D551" s="59" t="str">
        <f>IF($C551="B",INDEX(Batters[[#All],[POS]],MATCH(Table5[[#This Row],[PID]],Batters[[#All],[PID]],0)),INDEX(Table3[[#All],[POS]],MATCH(Table5[[#This Row],[PID]],Table3[[#All],[PID]],0)))</f>
        <v>CF</v>
      </c>
      <c r="E551" s="52" t="str">
        <f>IF($C551="B",INDEX(Batters[[#All],[First]],MATCH(Table5[[#This Row],[PID]],Batters[[#All],[PID]],0)),INDEX(Table3[[#All],[First]],MATCH(Table5[[#This Row],[PID]],Table3[[#All],[PID]],0)))</f>
        <v>Joseph</v>
      </c>
      <c r="F551" s="50" t="str">
        <f>IF($C551="B",INDEX(Batters[[#All],[Last]],MATCH(A551,Batters[[#All],[PID]],0)),INDEX(Table3[[#All],[Last]],MATCH(A551,Table3[[#All],[PID]],0)))</f>
        <v>Godfrey</v>
      </c>
      <c r="G551" s="56">
        <f>IF($C551="B",INDEX(Batters[[#All],[Age]],MATCH(Table5[[#This Row],[PID]],Batters[[#All],[PID]],0)),INDEX(Table3[[#All],[Age]],MATCH(Table5[[#This Row],[PID]],Table3[[#All],[PID]],0)))</f>
        <v>21</v>
      </c>
      <c r="H551" s="52" t="str">
        <f>IF($C551="B",INDEX(Batters[[#All],[B]],MATCH(Table5[[#This Row],[PID]],Batters[[#All],[PID]],0)),INDEX(Table3[[#All],[B]],MATCH(Table5[[#This Row],[PID]],Table3[[#All],[PID]],0)))</f>
        <v>L</v>
      </c>
      <c r="I551" s="52" t="str">
        <f>IF($C551="B",INDEX(Batters[[#All],[T]],MATCH(Table5[[#This Row],[PID]],Batters[[#All],[PID]],0)),INDEX(Table3[[#All],[T]],MATCH(Table5[[#This Row],[PID]],Table3[[#All],[PID]],0)))</f>
        <v>R</v>
      </c>
      <c r="J551" s="52" t="str">
        <f>IF($C551="B",INDEX(Batters[[#All],[WE]],MATCH(Table5[[#This Row],[PID]],Batters[[#All],[PID]],0)),INDEX(Table3[[#All],[WE]],MATCH(Table5[[#This Row],[PID]],Table3[[#All],[PID]],0)))</f>
        <v>Normal</v>
      </c>
      <c r="K551" s="52" t="str">
        <f>IF($C551="B",INDEX(Batters[[#All],[INT]],MATCH(Table5[[#This Row],[PID]],Batters[[#All],[PID]],0)),INDEX(Table3[[#All],[INT]],MATCH(Table5[[#This Row],[PID]],Table3[[#All],[PID]],0)))</f>
        <v>High</v>
      </c>
      <c r="L551" s="60">
        <f>IF($C551="B",INDEX(Batters[[#All],[CON P]],MATCH(Table5[[#This Row],[PID]],Batters[[#All],[PID]],0)),INDEX(Table3[[#All],[STU P]],MATCH(Table5[[#This Row],[PID]],Table3[[#All],[PID]],0)))</f>
        <v>3</v>
      </c>
      <c r="M551" s="56">
        <f>IF($C551="B",INDEX(Batters[[#All],[GAP P]],MATCH(Table5[[#This Row],[PID]],Batters[[#All],[PID]],0)),INDEX(Table3[[#All],[MOV P]],MATCH(Table5[[#This Row],[PID]],Table3[[#All],[PID]],0)))</f>
        <v>4</v>
      </c>
      <c r="N551" s="56">
        <f>IF($C551="B",INDEX(Batters[[#All],[POW P]],MATCH(Table5[[#This Row],[PID]],Batters[[#All],[PID]],0)),INDEX(Table3[[#All],[CON P]],MATCH(Table5[[#This Row],[PID]],Table3[[#All],[PID]],0)))</f>
        <v>4</v>
      </c>
      <c r="O551" s="56">
        <f>IF($C551="B",INDEX(Batters[[#All],[EYE P]],MATCH(Table5[[#This Row],[PID]],Batters[[#All],[PID]],0)),INDEX(Table3[[#All],[VELO]],MATCH(Table5[[#This Row],[PID]],Table3[[#All],[PID]],0)))</f>
        <v>5</v>
      </c>
      <c r="P551" s="56">
        <f>IF($C551="B",INDEX(Batters[[#All],[K P]],MATCH(Table5[[#This Row],[PID]],Batters[[#All],[PID]],0)),INDEX(Table3[[#All],[STM]],MATCH(Table5[[#This Row],[PID]],Table3[[#All],[PID]],0)))</f>
        <v>3</v>
      </c>
      <c r="Q551" s="61">
        <f>IF($C551="B",INDEX(Batters[[#All],[Tot]],MATCH(Table5[[#This Row],[PID]],Batters[[#All],[PID]],0)),INDEX(Table3[[#All],[Tot]],MATCH(Table5[[#This Row],[PID]],Table3[[#All],[PID]],0)))</f>
        <v>39.087521323543079</v>
      </c>
      <c r="R551" s="52">
        <f>IF($C551="B",INDEX(Batters[[#All],[zScore]],MATCH(Table5[[#This Row],[PID]],Batters[[#All],[PID]],0)),INDEX(Table3[[#All],[zScore]],MATCH(Table5[[#This Row],[PID]],Table3[[#All],[PID]],0)))</f>
        <v>-1.118381655960649</v>
      </c>
      <c r="S551" s="58" t="str">
        <f>IF($C551="B",INDEX(Batters[[#All],[DEM]],MATCH(Table5[[#This Row],[PID]],Batters[[#All],[PID]],0)),INDEX(Table3[[#All],[DEM]],MATCH(Table5[[#This Row],[PID]],Table3[[#All],[PID]],0)))</f>
        <v>-</v>
      </c>
      <c r="T551" s="62">
        <f>IF($C551="B",INDEX(Batters[[#All],[Rnk]],MATCH(Table5[[#This Row],[PID]],Batters[[#All],[PID]],0)),INDEX(Table3[[#All],[Rnk]],MATCH(Table5[[#This Row],[PID]],Table3[[#All],[PID]],0)))</f>
        <v>459</v>
      </c>
      <c r="U551" s="68">
        <f>IF($C551="B",VLOOKUP($A551,Bat!$A$4:$BA$1621,47,FALSE),VLOOKUP($A551,Pit!$A$4:$BF$1557,56,FALSE))</f>
        <v>0</v>
      </c>
      <c r="V551" s="50">
        <f>IF($C551="B",VLOOKUP($A551,Bat!$A$4:$BA$1621,48,FALSE),VLOOKUP($A551,Pit!$A$4:$BF$1557,57,FALSE))</f>
        <v>0</v>
      </c>
      <c r="W551" s="50">
        <f>Table5[[#This Row],[posRnk]]+Table5[[#This Row],[zRnk]]+IF($W$3&lt;&gt;Table5[[#This Row],[Type]],50,0)</f>
        <v>1694</v>
      </c>
      <c r="X551" s="51">
        <f>RANK(Table5[[#This Row],[zScore]],Table5[[#All],[zScore]])</f>
        <v>1185</v>
      </c>
      <c r="Y551" s="50">
        <f>IFERROR(INDEX(DraftResults[[#All],[OVR]],MATCH(Table5[[#This Row],[PID]],DraftResults[[#All],[Player ID]],0)),"")</f>
        <v>547</v>
      </c>
      <c r="Z5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51" s="50">
        <f>IFERROR(INDEX(DraftResults[[#All],[Pick in Round]],MATCH(Table5[[#This Row],[PID]],DraftResults[[#All],[Player ID]],0)),"")</f>
        <v>29</v>
      </c>
      <c r="AB551" s="50" t="str">
        <f>IFERROR(INDEX(DraftResults[[#All],[Team Name]],MATCH(Table5[[#This Row],[PID]],DraftResults[[#All],[Player ID]],0)),"")</f>
        <v>Havana Leones</v>
      </c>
      <c r="AC551" s="50">
        <f>IF(Table5[[#This Row],[Ovr]]="","",IF(Table5[[#This Row],[cmbList]]="","",Table5[[#This Row],[cmbList]]-Table5[[#This Row],[Ovr]]))</f>
        <v>1147</v>
      </c>
      <c r="AD551" s="54" t="str">
        <f>IF(ISERROR(VLOOKUP($AB551&amp;"-"&amp;$E551&amp;" "&amp;F551,Bonuses!$B$1:$G$1006,4,FALSE)),"",INT(VLOOKUP($AB551&amp;"-"&amp;$E551&amp;" "&amp;$F551,Bonuses!$B$1:$G$1006,4,FALSE)))</f>
        <v/>
      </c>
      <c r="AE5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18.29 (547) - CF Joseph Godfrey</v>
      </c>
    </row>
    <row r="552" spans="1:31" s="50" customFormat="1" x14ac:dyDescent="0.25">
      <c r="A552" s="50">
        <v>17592</v>
      </c>
      <c r="B552" s="50">
        <f>COUNTIF(Table5[PID],A552)</f>
        <v>1</v>
      </c>
      <c r="C552" s="50" t="str">
        <f>IF(COUNTIF(Table3[[#All],[PID]],A552)&gt;0,"P","B")</f>
        <v>P</v>
      </c>
      <c r="D552" s="59" t="str">
        <f>IF($C552="B",INDEX(Batters[[#All],[POS]],MATCH(Table5[[#This Row],[PID]],Batters[[#All],[PID]],0)),INDEX(Table3[[#All],[POS]],MATCH(Table5[[#This Row],[PID]],Table3[[#All],[PID]],0)))</f>
        <v>RP</v>
      </c>
      <c r="E552" s="52" t="str">
        <f>IF($C552="B",INDEX(Batters[[#All],[First]],MATCH(Table5[[#This Row],[PID]],Batters[[#All],[PID]],0)),INDEX(Table3[[#All],[First]],MATCH(Table5[[#This Row],[PID]],Table3[[#All],[PID]],0)))</f>
        <v>Paul</v>
      </c>
      <c r="F552" s="50" t="str">
        <f>IF($C552="B",INDEX(Batters[[#All],[Last]],MATCH(A552,Batters[[#All],[PID]],0)),INDEX(Table3[[#All],[Last]],MATCH(A552,Table3[[#All],[PID]],0)))</f>
        <v>Dickey</v>
      </c>
      <c r="G552" s="56">
        <f>IF($C552="B",INDEX(Batters[[#All],[Age]],MATCH(Table5[[#This Row],[PID]],Batters[[#All],[PID]],0)),INDEX(Table3[[#All],[Age]],MATCH(Table5[[#This Row],[PID]],Table3[[#All],[PID]],0)))</f>
        <v>18</v>
      </c>
      <c r="H552" s="52" t="str">
        <f>IF($C552="B",INDEX(Batters[[#All],[B]],MATCH(Table5[[#This Row],[PID]],Batters[[#All],[PID]],0)),INDEX(Table3[[#All],[B]],MATCH(Table5[[#This Row],[PID]],Table3[[#All],[PID]],0)))</f>
        <v>R</v>
      </c>
      <c r="I552" s="52" t="str">
        <f>IF($C552="B",INDEX(Batters[[#All],[T]],MATCH(Table5[[#This Row],[PID]],Batters[[#All],[PID]],0)),INDEX(Table3[[#All],[T]],MATCH(Table5[[#This Row],[PID]],Table3[[#All],[PID]],0)))</f>
        <v>R</v>
      </c>
      <c r="J552" s="52" t="str">
        <f>IF($C552="B",INDEX(Batters[[#All],[WE]],MATCH(Table5[[#This Row],[PID]],Batters[[#All],[PID]],0)),INDEX(Table3[[#All],[WE]],MATCH(Table5[[#This Row],[PID]],Table3[[#All],[PID]],0)))</f>
        <v>High</v>
      </c>
      <c r="K552" s="52" t="str">
        <f>IF($C552="B",INDEX(Batters[[#All],[INT]],MATCH(Table5[[#This Row],[PID]],Batters[[#All],[PID]],0)),INDEX(Table3[[#All],[INT]],MATCH(Table5[[#This Row],[PID]],Table3[[#All],[PID]],0)))</f>
        <v>Normal</v>
      </c>
      <c r="L552" s="60">
        <f>IF($C552="B",INDEX(Batters[[#All],[CON P]],MATCH(Table5[[#This Row],[PID]],Batters[[#All],[PID]],0)),INDEX(Table3[[#All],[STU P]],MATCH(Table5[[#This Row],[PID]],Table3[[#All],[PID]],0)))</f>
        <v>5</v>
      </c>
      <c r="M552" s="56">
        <f>IF($C552="B",INDEX(Batters[[#All],[GAP P]],MATCH(Table5[[#This Row],[PID]],Batters[[#All],[PID]],0)),INDEX(Table3[[#All],[MOV P]],MATCH(Table5[[#This Row],[PID]],Table3[[#All],[PID]],0)))</f>
        <v>1</v>
      </c>
      <c r="N552" s="56">
        <f>IF($C552="B",INDEX(Batters[[#All],[POW P]],MATCH(Table5[[#This Row],[PID]],Batters[[#All],[PID]],0)),INDEX(Table3[[#All],[CON P]],MATCH(Table5[[#This Row],[PID]],Table3[[#All],[PID]],0)))</f>
        <v>3</v>
      </c>
      <c r="O552" s="56" t="str">
        <f>IF($C552="B",INDEX(Batters[[#All],[EYE P]],MATCH(Table5[[#This Row],[PID]],Batters[[#All],[PID]],0)),INDEX(Table3[[#All],[VELO]],MATCH(Table5[[#This Row],[PID]],Table3[[#All],[PID]],0)))</f>
        <v>91-93 Mph</v>
      </c>
      <c r="P552" s="56">
        <f>IF($C552="B",INDEX(Batters[[#All],[K P]],MATCH(Table5[[#This Row],[PID]],Batters[[#All],[PID]],0)),INDEX(Table3[[#All],[STM]],MATCH(Table5[[#This Row],[PID]],Table3[[#All],[PID]],0)))</f>
        <v>6</v>
      </c>
      <c r="Q552" s="61">
        <f>IF($C552="B",INDEX(Batters[[#All],[Tot]],MATCH(Table5[[#This Row],[PID]],Batters[[#All],[PID]],0)),INDEX(Table3[[#All],[Tot]],MATCH(Table5[[#This Row],[PID]],Table3[[#All],[PID]],0)))</f>
        <v>36.355805768706176</v>
      </c>
      <c r="R552" s="52">
        <f>IF($C552="B",INDEX(Batters[[#All],[zScore]],MATCH(Table5[[#This Row],[PID]],Batters[[#All],[PID]],0)),INDEX(Table3[[#All],[zScore]],MATCH(Table5[[#This Row],[PID]],Table3[[#All],[PID]],0)))</f>
        <v>3.2284918590932708E-2</v>
      </c>
      <c r="S552" s="58" t="str">
        <f>IF($C552="B",INDEX(Batters[[#All],[DEM]],MATCH(Table5[[#This Row],[PID]],Batters[[#All],[PID]],0)),INDEX(Table3[[#All],[DEM]],MATCH(Table5[[#This Row],[PID]],Table3[[#All],[PID]],0)))</f>
        <v>$65k</v>
      </c>
      <c r="T552" s="62">
        <f>IF($C552="B",INDEX(Batters[[#All],[Rnk]],MATCH(Table5[[#This Row],[PID]],Batters[[#All],[PID]],0)),INDEX(Table3[[#All],[Rnk]],MATCH(Table5[[#This Row],[PID]],Table3[[#All],[PID]],0)))</f>
        <v>302</v>
      </c>
      <c r="U552" s="68">
        <f>IF($C552="B",VLOOKUP($A552,Bat!$A$4:$BA$1621,47,FALSE),VLOOKUP($A552,Pit!$A$4:$BF$1557,56,FALSE))</f>
        <v>0</v>
      </c>
      <c r="V552" s="50">
        <f>IF($C552="B",VLOOKUP($A552,Bat!$A$4:$BA$1621,48,FALSE),VLOOKUP($A552,Pit!$A$4:$BF$1557,57,FALSE))</f>
        <v>0</v>
      </c>
      <c r="W552" s="50">
        <f>Table5[[#This Row],[posRnk]]+Table5[[#This Row],[zRnk]]+IF($W$3&lt;&gt;Table5[[#This Row],[Type]],50,0)</f>
        <v>891</v>
      </c>
      <c r="X552" s="51">
        <f>RANK(Table5[[#This Row],[zScore]],Table5[[#All],[zScore]])</f>
        <v>539</v>
      </c>
      <c r="Y552" s="50">
        <f>IFERROR(INDEX(DraftResults[[#All],[OVR]],MATCH(Table5[[#This Row],[PID]],DraftResults[[#All],[Player ID]],0)),"")</f>
        <v>548</v>
      </c>
      <c r="Z5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18</v>
      </c>
      <c r="AA552" s="50">
        <f>IFERROR(INDEX(DraftResults[[#All],[Pick in Round]],MATCH(Table5[[#This Row],[PID]],DraftResults[[#All],[Player ID]],0)),"")</f>
        <v>30</v>
      </c>
      <c r="AB552" s="50" t="str">
        <f>IFERROR(INDEX(DraftResults[[#All],[Team Name]],MATCH(Table5[[#This Row],[PID]],DraftResults[[#All],[Player ID]],0)),"")</f>
        <v>Florida Farstriders</v>
      </c>
      <c r="AC552" s="50">
        <f>IF(Table5[[#This Row],[Ovr]]="","",IF(Table5[[#This Row],[cmbList]]="","",Table5[[#This Row],[cmbList]]-Table5[[#This Row],[Ovr]]))</f>
        <v>343</v>
      </c>
      <c r="AD552" s="54" t="str">
        <f>IF(ISERROR(VLOOKUP($AB552&amp;"-"&amp;$E552&amp;" "&amp;F552,Bonuses!$B$1:$G$1006,4,FALSE)),"",INT(VLOOKUP($AB552&amp;"-"&amp;$E552&amp;" "&amp;$F552,Bonuses!$B$1:$G$1006,4,FALSE)))</f>
        <v/>
      </c>
      <c r="AE5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18.30 (548) - RP Paul Dickey</v>
      </c>
    </row>
    <row r="553" spans="1:31" s="50" customFormat="1" x14ac:dyDescent="0.25">
      <c r="A553" s="50">
        <v>18151</v>
      </c>
      <c r="B553" s="50">
        <f>COUNTIF(Table5[PID],A553)</f>
        <v>1</v>
      </c>
      <c r="C553" s="50" t="str">
        <f>IF(COUNTIF(Table3[[#All],[PID]],A553)&gt;0,"P","B")</f>
        <v>B</v>
      </c>
      <c r="D553" s="59" t="str">
        <f>IF($C553="B",INDEX(Batters[[#All],[POS]],MATCH(Table5[[#This Row],[PID]],Batters[[#All],[PID]],0)),INDEX(Table3[[#All],[POS]],MATCH(Table5[[#This Row],[PID]],Table3[[#All],[PID]],0)))</f>
        <v>2B</v>
      </c>
      <c r="E553" s="52" t="str">
        <f>IF($C553="B",INDEX(Batters[[#All],[First]],MATCH(Table5[[#This Row],[PID]],Batters[[#All],[PID]],0)),INDEX(Table3[[#All],[First]],MATCH(Table5[[#This Row],[PID]],Table3[[#All],[PID]],0)))</f>
        <v>Todd</v>
      </c>
      <c r="F553" s="50" t="str">
        <f>IF($C553="B",INDEX(Batters[[#All],[Last]],MATCH(A553,Batters[[#All],[PID]],0)),INDEX(Table3[[#All],[Last]],MATCH(A553,Table3[[#All],[PID]],0)))</f>
        <v>Martin</v>
      </c>
      <c r="G553" s="56">
        <f>IF($C553="B",INDEX(Batters[[#All],[Age]],MATCH(Table5[[#This Row],[PID]],Batters[[#All],[PID]],0)),INDEX(Table3[[#All],[Age]],MATCH(Table5[[#This Row],[PID]],Table3[[#All],[PID]],0)))</f>
        <v>21</v>
      </c>
      <c r="H553" s="52" t="str">
        <f>IF($C553="B",INDEX(Batters[[#All],[B]],MATCH(Table5[[#This Row],[PID]],Batters[[#All],[PID]],0)),INDEX(Table3[[#All],[B]],MATCH(Table5[[#This Row],[PID]],Table3[[#All],[PID]],0)))</f>
        <v>R</v>
      </c>
      <c r="I553" s="52" t="str">
        <f>IF($C553="B",INDEX(Batters[[#All],[T]],MATCH(Table5[[#This Row],[PID]],Batters[[#All],[PID]],0)),INDEX(Table3[[#All],[T]],MATCH(Table5[[#This Row],[PID]],Table3[[#All],[PID]],0)))</f>
        <v>R</v>
      </c>
      <c r="J553" s="52" t="str">
        <f>IF($C553="B",INDEX(Batters[[#All],[WE]],MATCH(Table5[[#This Row],[PID]],Batters[[#All],[PID]],0)),INDEX(Table3[[#All],[WE]],MATCH(Table5[[#This Row],[PID]],Table3[[#All],[PID]],0)))</f>
        <v>Low</v>
      </c>
      <c r="K553" s="52" t="str">
        <f>IF($C553="B",INDEX(Batters[[#All],[INT]],MATCH(Table5[[#This Row],[PID]],Batters[[#All],[PID]],0)),INDEX(Table3[[#All],[INT]],MATCH(Table5[[#This Row],[PID]],Table3[[#All],[PID]],0)))</f>
        <v>Normal</v>
      </c>
      <c r="L553" s="60">
        <f>IF($C553="B",INDEX(Batters[[#All],[CON P]],MATCH(Table5[[#This Row],[PID]],Batters[[#All],[PID]],0)),INDEX(Table3[[#All],[STU P]],MATCH(Table5[[#This Row],[PID]],Table3[[#All],[PID]],0)))</f>
        <v>3</v>
      </c>
      <c r="M553" s="56">
        <f>IF($C553="B",INDEX(Batters[[#All],[GAP P]],MATCH(Table5[[#This Row],[PID]],Batters[[#All],[PID]],0)),INDEX(Table3[[#All],[MOV P]],MATCH(Table5[[#This Row],[PID]],Table3[[#All],[PID]],0)))</f>
        <v>4</v>
      </c>
      <c r="N553" s="56">
        <f>IF($C553="B",INDEX(Batters[[#All],[POW P]],MATCH(Table5[[#This Row],[PID]],Batters[[#All],[PID]],0)),INDEX(Table3[[#All],[CON P]],MATCH(Table5[[#This Row],[PID]],Table3[[#All],[PID]],0)))</f>
        <v>3</v>
      </c>
      <c r="O553" s="56">
        <f>IF($C553="B",INDEX(Batters[[#All],[EYE P]],MATCH(Table5[[#This Row],[PID]],Batters[[#All],[PID]],0)),INDEX(Table3[[#All],[VELO]],MATCH(Table5[[#This Row],[PID]],Table3[[#All],[PID]],0)))</f>
        <v>5</v>
      </c>
      <c r="P553" s="56">
        <f>IF($C553="B",INDEX(Batters[[#All],[K P]],MATCH(Table5[[#This Row],[PID]],Batters[[#All],[PID]],0)),INDEX(Table3[[#All],[STM]],MATCH(Table5[[#This Row],[PID]],Table3[[#All],[PID]],0)))</f>
        <v>3</v>
      </c>
      <c r="Q553" s="61">
        <f>IF($C553="B",INDEX(Batters[[#All],[Tot]],MATCH(Table5[[#This Row],[PID]],Batters[[#All],[PID]],0)),INDEX(Table3[[#All],[Tot]],MATCH(Table5[[#This Row],[PID]],Table3[[#All],[PID]],0)))</f>
        <v>38.074918201130785</v>
      </c>
      <c r="R553" s="52">
        <f>IF($C553="B",INDEX(Batters[[#All],[zScore]],MATCH(Table5[[#This Row],[PID]],Batters[[#All],[PID]],0)),INDEX(Table3[[#All],[zScore]],MATCH(Table5[[#This Row],[PID]],Table3[[#All],[PID]],0)))</f>
        <v>-1.3428826127613367</v>
      </c>
      <c r="S553" s="58" t="str">
        <f>IF($C553="B",INDEX(Batters[[#All],[DEM]],MATCH(Table5[[#This Row],[PID]],Batters[[#All],[PID]],0)),INDEX(Table3[[#All],[DEM]],MATCH(Table5[[#This Row],[PID]],Table3[[#All],[PID]],0)))</f>
        <v>-</v>
      </c>
      <c r="T553" s="62">
        <f>IF($C553="B",INDEX(Batters[[#All],[Rnk]],MATCH(Table5[[#This Row],[PID]],Batters[[#All],[PID]],0)),INDEX(Table3[[#All],[Rnk]],MATCH(Table5[[#This Row],[PID]],Table3[[#All],[PID]],0)))</f>
        <v>499</v>
      </c>
      <c r="U553" s="68">
        <f>IF($C553="B",VLOOKUP($A553,Bat!$A$4:$BA$1621,47,FALSE),VLOOKUP($A553,Pit!$A$4:$BF$1557,56,FALSE))</f>
        <v>0</v>
      </c>
      <c r="V553" s="50">
        <f>IF($C553="B",VLOOKUP($A553,Bat!$A$4:$BA$1621,48,FALSE),VLOOKUP($A553,Pit!$A$4:$BF$1557,57,FALSE))</f>
        <v>0</v>
      </c>
      <c r="W553" s="50">
        <f>Table5[[#This Row],[posRnk]]+Table5[[#This Row],[zRnk]]+IF($W$3&lt;&gt;Table5[[#This Row],[Type]],50,0)</f>
        <v>1808</v>
      </c>
      <c r="X553" s="51">
        <f>RANK(Table5[[#This Row],[zScore]],Table5[[#All],[zScore]])</f>
        <v>1259</v>
      </c>
      <c r="Y553" s="50">
        <f>IFERROR(INDEX(DraftResults[[#All],[OVR]],MATCH(Table5[[#This Row],[PID]],DraftResults[[#All],[Player ID]],0)),"")</f>
        <v>549</v>
      </c>
      <c r="Z5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3" s="50">
        <f>IFERROR(INDEX(DraftResults[[#All],[Pick in Round]],MATCH(Table5[[#This Row],[PID]],DraftResults[[#All],[Player ID]],0)),"")</f>
        <v>1</v>
      </c>
      <c r="AB553" s="50" t="str">
        <f>IFERROR(INDEX(DraftResults[[#All],[Team Name]],MATCH(Table5[[#This Row],[PID]],DraftResults[[#All],[Player ID]],0)),"")</f>
        <v>Yuma Arroyos</v>
      </c>
      <c r="AC553" s="50">
        <f>IF(Table5[[#This Row],[Ovr]]="","",IF(Table5[[#This Row],[cmbList]]="","",Table5[[#This Row],[cmbList]]-Table5[[#This Row],[Ovr]]))</f>
        <v>1259</v>
      </c>
      <c r="AD553" s="54" t="str">
        <f>IF(ISERROR(VLOOKUP($AB553&amp;"-"&amp;$E553&amp;" "&amp;F553,Bonuses!$B$1:$G$1006,4,FALSE)),"",INT(VLOOKUP($AB553&amp;"-"&amp;$E553&amp;" "&amp;$F553,Bonuses!$B$1:$G$1006,4,FALSE)))</f>
        <v/>
      </c>
      <c r="AE5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 (549) - 2B Todd Martin</v>
      </c>
    </row>
    <row r="554" spans="1:31" s="50" customFormat="1" x14ac:dyDescent="0.25">
      <c r="A554" s="50">
        <v>20799</v>
      </c>
      <c r="B554" s="50">
        <f>COUNTIF(Table5[PID],A554)</f>
        <v>1</v>
      </c>
      <c r="C554" s="50" t="str">
        <f>IF(COUNTIF(Table3[[#All],[PID]],A554)&gt;0,"P","B")</f>
        <v>B</v>
      </c>
      <c r="D554" s="59" t="str">
        <f>IF($C554="B",INDEX(Batters[[#All],[POS]],MATCH(Table5[[#This Row],[PID]],Batters[[#All],[PID]],0)),INDEX(Table3[[#All],[POS]],MATCH(Table5[[#This Row],[PID]],Table3[[#All],[PID]],0)))</f>
        <v>3B</v>
      </c>
      <c r="E554" s="52" t="str">
        <f>IF($C554="B",INDEX(Batters[[#All],[First]],MATCH(Table5[[#This Row],[PID]],Batters[[#All],[PID]],0)),INDEX(Table3[[#All],[First]],MATCH(Table5[[#This Row],[PID]],Table3[[#All],[PID]],0)))</f>
        <v>Donald</v>
      </c>
      <c r="F554" s="50" t="str">
        <f>IF($C554="B",INDEX(Batters[[#All],[Last]],MATCH(A554,Batters[[#All],[PID]],0)),INDEX(Table3[[#All],[Last]],MATCH(A554,Table3[[#All],[PID]],0)))</f>
        <v>Lara</v>
      </c>
      <c r="G554" s="56">
        <f>IF($C554="B",INDEX(Batters[[#All],[Age]],MATCH(Table5[[#This Row],[PID]],Batters[[#All],[PID]],0)),INDEX(Table3[[#All],[Age]],MATCH(Table5[[#This Row],[PID]],Table3[[#All],[PID]],0)))</f>
        <v>17</v>
      </c>
      <c r="H554" s="52" t="str">
        <f>IF($C554="B",INDEX(Batters[[#All],[B]],MATCH(Table5[[#This Row],[PID]],Batters[[#All],[PID]],0)),INDEX(Table3[[#All],[B]],MATCH(Table5[[#This Row],[PID]],Table3[[#All],[PID]],0)))</f>
        <v>R</v>
      </c>
      <c r="I554" s="52" t="str">
        <f>IF($C554="B",INDEX(Batters[[#All],[T]],MATCH(Table5[[#This Row],[PID]],Batters[[#All],[PID]],0)),INDEX(Table3[[#All],[T]],MATCH(Table5[[#This Row],[PID]],Table3[[#All],[PID]],0)))</f>
        <v>R</v>
      </c>
      <c r="J554" s="52" t="str">
        <f>IF($C554="B",INDEX(Batters[[#All],[WE]],MATCH(Table5[[#This Row],[PID]],Batters[[#All],[PID]],0)),INDEX(Table3[[#All],[WE]],MATCH(Table5[[#This Row],[PID]],Table3[[#All],[PID]],0)))</f>
        <v>Low</v>
      </c>
      <c r="K554" s="52" t="str">
        <f>IF($C554="B",INDEX(Batters[[#All],[INT]],MATCH(Table5[[#This Row],[PID]],Batters[[#All],[PID]],0)),INDEX(Table3[[#All],[INT]],MATCH(Table5[[#This Row],[PID]],Table3[[#All],[PID]],0)))</f>
        <v>Low</v>
      </c>
      <c r="L554" s="60">
        <f>IF($C554="B",INDEX(Batters[[#All],[CON P]],MATCH(Table5[[#This Row],[PID]],Batters[[#All],[PID]],0)),INDEX(Table3[[#All],[STU P]],MATCH(Table5[[#This Row],[PID]],Table3[[#All],[PID]],0)))</f>
        <v>4</v>
      </c>
      <c r="M554" s="56">
        <f>IF($C554="B",INDEX(Batters[[#All],[GAP P]],MATCH(Table5[[#This Row],[PID]],Batters[[#All],[PID]],0)),INDEX(Table3[[#All],[MOV P]],MATCH(Table5[[#This Row],[PID]],Table3[[#All],[PID]],0)))</f>
        <v>3</v>
      </c>
      <c r="N554" s="56">
        <f>IF($C554="B",INDEX(Batters[[#All],[POW P]],MATCH(Table5[[#This Row],[PID]],Batters[[#All],[PID]],0)),INDEX(Table3[[#All],[CON P]],MATCH(Table5[[#This Row],[PID]],Table3[[#All],[PID]],0)))</f>
        <v>3</v>
      </c>
      <c r="O554" s="56">
        <f>IF($C554="B",INDEX(Batters[[#All],[EYE P]],MATCH(Table5[[#This Row],[PID]],Batters[[#All],[PID]],0)),INDEX(Table3[[#All],[VELO]],MATCH(Table5[[#This Row],[PID]],Table3[[#All],[PID]],0)))</f>
        <v>4</v>
      </c>
      <c r="P554" s="56">
        <f>IF($C554="B",INDEX(Batters[[#All],[K P]],MATCH(Table5[[#This Row],[PID]],Batters[[#All],[PID]],0)),INDEX(Table3[[#All],[STM]],MATCH(Table5[[#This Row],[PID]],Table3[[#All],[PID]],0)))</f>
        <v>5</v>
      </c>
      <c r="Q554" s="61">
        <f>IF($C554="B",INDEX(Batters[[#All],[Tot]],MATCH(Table5[[#This Row],[PID]],Batters[[#All],[PID]],0)),INDEX(Table3[[#All],[Tot]],MATCH(Table5[[#This Row],[PID]],Table3[[#All],[PID]],0)))</f>
        <v>44.177973753773458</v>
      </c>
      <c r="R554" s="52">
        <f>IF($C554="B",INDEX(Batters[[#All],[zScore]],MATCH(Table5[[#This Row],[PID]],Batters[[#All],[PID]],0)),INDEX(Table3[[#All],[zScore]],MATCH(Table5[[#This Row],[PID]],Table3[[#All],[PID]],0)))</f>
        <v>1.0206056086516348E-2</v>
      </c>
      <c r="S554" s="58" t="str">
        <f>IF($C554="B",INDEX(Batters[[#All],[DEM]],MATCH(Table5[[#This Row],[PID]],Batters[[#All],[PID]],0)),INDEX(Table3[[#All],[DEM]],MATCH(Table5[[#This Row],[PID]],Table3[[#All],[PID]],0)))</f>
        <v>$80k</v>
      </c>
      <c r="T554" s="62">
        <f>IF($C554="B",INDEX(Batters[[#All],[Rnk]],MATCH(Table5[[#This Row],[PID]],Batters[[#All],[PID]],0)),INDEX(Table3[[#All],[Rnk]],MATCH(Table5[[#This Row],[PID]],Table3[[#All],[PID]],0)))</f>
        <v>243</v>
      </c>
      <c r="U554" s="68">
        <f>IF($C554="B",VLOOKUP($A554,Bat!$A$4:$BA$1621,47,FALSE),VLOOKUP($A554,Pit!$A$4:$BF$1557,56,FALSE))</f>
        <v>0</v>
      </c>
      <c r="V554" s="50">
        <f>IF($C554="B",VLOOKUP($A554,Bat!$A$4:$BA$1621,48,FALSE),VLOOKUP($A554,Pit!$A$4:$BF$1557,57,FALSE))</f>
        <v>0</v>
      </c>
      <c r="W554" s="50">
        <f>Table5[[#This Row],[posRnk]]+Table5[[#This Row],[zRnk]]+IF($W$3&lt;&gt;Table5[[#This Row],[Type]],50,0)</f>
        <v>840</v>
      </c>
      <c r="X554" s="51">
        <f>RANK(Table5[[#This Row],[zScore]],Table5[[#All],[zScore]])</f>
        <v>547</v>
      </c>
      <c r="Y554" s="50">
        <f>IFERROR(INDEX(DraftResults[[#All],[OVR]],MATCH(Table5[[#This Row],[PID]],DraftResults[[#All],[Player ID]],0)),"")</f>
        <v>550</v>
      </c>
      <c r="Z5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4" s="50">
        <f>IFERROR(INDEX(DraftResults[[#All],[Pick in Round]],MATCH(Table5[[#This Row],[PID]],DraftResults[[#All],[Player ID]],0)),"")</f>
        <v>2</v>
      </c>
      <c r="AB554" s="50" t="str">
        <f>IFERROR(INDEX(DraftResults[[#All],[Team Name]],MATCH(Table5[[#This Row],[PID]],DraftResults[[#All],[Player ID]],0)),"")</f>
        <v>Charleston Statesmen</v>
      </c>
      <c r="AC554" s="50">
        <f>IF(Table5[[#This Row],[Ovr]]="","",IF(Table5[[#This Row],[cmbList]]="","",Table5[[#This Row],[cmbList]]-Table5[[#This Row],[Ovr]]))</f>
        <v>290</v>
      </c>
      <c r="AD554" s="54" t="str">
        <f>IF(ISERROR(VLOOKUP($AB554&amp;"-"&amp;$E554&amp;" "&amp;F554,Bonuses!$B$1:$G$1006,4,FALSE)),"",INT(VLOOKUP($AB554&amp;"-"&amp;$E554&amp;" "&amp;$F554,Bonuses!$B$1:$G$1006,4,FALSE)))</f>
        <v/>
      </c>
      <c r="AE5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 (550) - 3B Donald Lara</v>
      </c>
    </row>
    <row r="555" spans="1:31" s="50" customFormat="1" x14ac:dyDescent="0.25">
      <c r="A555" s="50">
        <v>18106</v>
      </c>
      <c r="B555" s="50">
        <f>COUNTIF(Table5[PID],A555)</f>
        <v>1</v>
      </c>
      <c r="C555" s="50" t="str">
        <f>IF(COUNTIF(Table3[[#All],[PID]],A555)&gt;0,"P","B")</f>
        <v>B</v>
      </c>
      <c r="D555" s="59" t="str">
        <f>IF($C555="B",INDEX(Batters[[#All],[POS]],MATCH(Table5[[#This Row],[PID]],Batters[[#All],[PID]],0)),INDEX(Table3[[#All],[POS]],MATCH(Table5[[#This Row],[PID]],Table3[[#All],[PID]],0)))</f>
        <v>1B</v>
      </c>
      <c r="E555" s="52" t="str">
        <f>IF($C555="B",INDEX(Batters[[#All],[First]],MATCH(Table5[[#This Row],[PID]],Batters[[#All],[PID]],0)),INDEX(Table3[[#All],[First]],MATCH(Table5[[#This Row],[PID]],Table3[[#All],[PID]],0)))</f>
        <v>Jack</v>
      </c>
      <c r="F555" s="50" t="str">
        <f>IF($C555="B",INDEX(Batters[[#All],[Last]],MATCH(A555,Batters[[#All],[PID]],0)),INDEX(Table3[[#All],[Last]],MATCH(A555,Table3[[#All],[PID]],0)))</f>
        <v>Gates</v>
      </c>
      <c r="G555" s="56">
        <f>IF($C555="B",INDEX(Batters[[#All],[Age]],MATCH(Table5[[#This Row],[PID]],Batters[[#All],[PID]],0)),INDEX(Table3[[#All],[Age]],MATCH(Table5[[#This Row],[PID]],Table3[[#All],[PID]],0)))</f>
        <v>21</v>
      </c>
      <c r="H555" s="52" t="str">
        <f>IF($C555="B",INDEX(Batters[[#All],[B]],MATCH(Table5[[#This Row],[PID]],Batters[[#All],[PID]],0)),INDEX(Table3[[#All],[B]],MATCH(Table5[[#This Row],[PID]],Table3[[#All],[PID]],0)))</f>
        <v>R</v>
      </c>
      <c r="I555" s="52" t="str">
        <f>IF($C555="B",INDEX(Batters[[#All],[T]],MATCH(Table5[[#This Row],[PID]],Batters[[#All],[PID]],0)),INDEX(Table3[[#All],[T]],MATCH(Table5[[#This Row],[PID]],Table3[[#All],[PID]],0)))</f>
        <v>R</v>
      </c>
      <c r="J555" s="52" t="str">
        <f>IF($C555="B",INDEX(Batters[[#All],[WE]],MATCH(Table5[[#This Row],[PID]],Batters[[#All],[PID]],0)),INDEX(Table3[[#All],[WE]],MATCH(Table5[[#This Row],[PID]],Table3[[#All],[PID]],0)))</f>
        <v>Low</v>
      </c>
      <c r="K555" s="52" t="str">
        <f>IF($C555="B",INDEX(Batters[[#All],[INT]],MATCH(Table5[[#This Row],[PID]],Batters[[#All],[PID]],0)),INDEX(Table3[[#All],[INT]],MATCH(Table5[[#This Row],[PID]],Table3[[#All],[PID]],0)))</f>
        <v>Normal</v>
      </c>
      <c r="L555" s="60">
        <f>IF($C555="B",INDEX(Batters[[#All],[CON P]],MATCH(Table5[[#This Row],[PID]],Batters[[#All],[PID]],0)),INDEX(Table3[[#All],[STU P]],MATCH(Table5[[#This Row],[PID]],Table3[[#All],[PID]],0)))</f>
        <v>4</v>
      </c>
      <c r="M555" s="56">
        <f>IF($C555="B",INDEX(Batters[[#All],[GAP P]],MATCH(Table5[[#This Row],[PID]],Batters[[#All],[PID]],0)),INDEX(Table3[[#All],[MOV P]],MATCH(Table5[[#This Row],[PID]],Table3[[#All],[PID]],0)))</f>
        <v>6</v>
      </c>
      <c r="N555" s="56">
        <f>IF($C555="B",INDEX(Batters[[#All],[POW P]],MATCH(Table5[[#This Row],[PID]],Batters[[#All],[PID]],0)),INDEX(Table3[[#All],[CON P]],MATCH(Table5[[#This Row],[PID]],Table3[[#All],[PID]],0)))</f>
        <v>4</v>
      </c>
      <c r="O555" s="56">
        <f>IF($C555="B",INDEX(Batters[[#All],[EYE P]],MATCH(Table5[[#This Row],[PID]],Batters[[#All],[PID]],0)),INDEX(Table3[[#All],[VELO]],MATCH(Table5[[#This Row],[PID]],Table3[[#All],[PID]],0)))</f>
        <v>7</v>
      </c>
      <c r="P555" s="56">
        <f>IF($C555="B",INDEX(Batters[[#All],[K P]],MATCH(Table5[[#This Row],[PID]],Batters[[#All],[PID]],0)),INDEX(Table3[[#All],[STM]],MATCH(Table5[[#This Row],[PID]],Table3[[#All],[PID]],0)))</f>
        <v>4</v>
      </c>
      <c r="Q555" s="61">
        <f>IF($C555="B",INDEX(Batters[[#All],[Tot]],MATCH(Table5[[#This Row],[PID]],Batters[[#All],[PID]],0)),INDEX(Table3[[#All],[Tot]],MATCH(Table5[[#This Row],[PID]],Table3[[#All],[PID]],0)))</f>
        <v>45.145007632784662</v>
      </c>
      <c r="R555" s="52">
        <f>IF($C555="B",INDEX(Batters[[#All],[zScore]],MATCH(Table5[[#This Row],[PID]],Batters[[#All],[PID]],0)),INDEX(Table3[[#All],[zScore]],MATCH(Table5[[#This Row],[PID]],Table3[[#All],[PID]],0)))</f>
        <v>0.22460400360568361</v>
      </c>
      <c r="S555" s="58" t="str">
        <f>IF($C555="B",INDEX(Batters[[#All],[DEM]],MATCH(Table5[[#This Row],[PID]],Batters[[#All],[PID]],0)),INDEX(Table3[[#All],[DEM]],MATCH(Table5[[#This Row],[PID]],Table3[[#All],[PID]],0)))</f>
        <v>-</v>
      </c>
      <c r="T555" s="62">
        <f>IF($C555="B",INDEX(Batters[[#All],[Rnk]],MATCH(Table5[[#This Row],[PID]],Batters[[#All],[PID]],0)),INDEX(Table3[[#All],[Rnk]],MATCH(Table5[[#This Row],[PID]],Table3[[#All],[PID]],0)))</f>
        <v>194</v>
      </c>
      <c r="U555" s="68">
        <f>IF($C555="B",VLOOKUP($A555,Bat!$A$4:$BA$1621,47,FALSE),VLOOKUP($A555,Pit!$A$4:$BF$1557,56,FALSE))</f>
        <v>0</v>
      </c>
      <c r="V555" s="50">
        <f>IF($C555="B",VLOOKUP($A555,Bat!$A$4:$BA$1621,48,FALSE),VLOOKUP($A555,Pit!$A$4:$BF$1557,57,FALSE))</f>
        <v>0</v>
      </c>
      <c r="W555" s="50">
        <f>Table5[[#This Row],[posRnk]]+Table5[[#This Row],[zRnk]]+IF($W$3&lt;&gt;Table5[[#This Row],[Type]],50,0)</f>
        <v>696</v>
      </c>
      <c r="X555" s="51">
        <f>RANK(Table5[[#This Row],[zScore]],Table5[[#All],[zScore]])</f>
        <v>452</v>
      </c>
      <c r="Y555" s="50">
        <f>IFERROR(INDEX(DraftResults[[#All],[OVR]],MATCH(Table5[[#This Row],[PID]],DraftResults[[#All],[Player ID]],0)),"")</f>
        <v>551</v>
      </c>
      <c r="Z5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5" s="50">
        <f>IFERROR(INDEX(DraftResults[[#All],[Pick in Round]],MATCH(Table5[[#This Row],[PID]],DraftResults[[#All],[Player ID]],0)),"")</f>
        <v>3</v>
      </c>
      <c r="AB555" s="50" t="str">
        <f>IFERROR(INDEX(DraftResults[[#All],[Team Name]],MATCH(Table5[[#This Row],[PID]],DraftResults[[#All],[Player ID]],0)),"")</f>
        <v>New Orleans Trendsetters</v>
      </c>
      <c r="AC555" s="50">
        <f>IF(Table5[[#This Row],[Ovr]]="","",IF(Table5[[#This Row],[cmbList]]="","",Table5[[#This Row],[cmbList]]-Table5[[#This Row],[Ovr]]))</f>
        <v>145</v>
      </c>
      <c r="AD555" s="54" t="str">
        <f>IF(ISERROR(VLOOKUP($AB555&amp;"-"&amp;$E555&amp;" "&amp;F555,Bonuses!$B$1:$G$1006,4,FALSE)),"",INT(VLOOKUP($AB555&amp;"-"&amp;$E555&amp;" "&amp;$F555,Bonuses!$B$1:$G$1006,4,FALSE)))</f>
        <v/>
      </c>
      <c r="AE5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19.3 (551) - 1B Jack Gates</v>
      </c>
    </row>
    <row r="556" spans="1:31" s="50" customFormat="1" x14ac:dyDescent="0.25">
      <c r="A556" s="68">
        <v>17979</v>
      </c>
      <c r="B556" s="69">
        <f>COUNTIF(Table5[PID],A556)</f>
        <v>1</v>
      </c>
      <c r="C556" s="69" t="str">
        <f>IF(COUNTIF(Table3[[#All],[PID]],A556)&gt;0,"P","B")</f>
        <v>P</v>
      </c>
      <c r="D556" s="59" t="str">
        <f>IF($C556="B",INDEX(Batters[[#All],[POS]],MATCH(Table5[[#This Row],[PID]],Batters[[#All],[PID]],0)),INDEX(Table3[[#All],[POS]],MATCH(Table5[[#This Row],[PID]],Table3[[#All],[PID]],0)))</f>
        <v>SP</v>
      </c>
      <c r="E556" s="52" t="str">
        <f>IF($C556="B",INDEX(Batters[[#All],[First]],MATCH(Table5[[#This Row],[PID]],Batters[[#All],[PID]],0)),INDEX(Table3[[#All],[First]],MATCH(Table5[[#This Row],[PID]],Table3[[#All],[PID]],0)))</f>
        <v>Javier</v>
      </c>
      <c r="F556" s="55" t="str">
        <f>IF($C556="B",INDEX(Batters[[#All],[Last]],MATCH(A556,Batters[[#All],[PID]],0)),INDEX(Table3[[#All],[Last]],MATCH(A556,Table3[[#All],[PID]],0)))</f>
        <v>Tovar</v>
      </c>
      <c r="G556" s="56">
        <f>IF($C556="B",INDEX(Batters[[#All],[Age]],MATCH(Table5[[#This Row],[PID]],Batters[[#All],[PID]],0)),INDEX(Table3[[#All],[Age]],MATCH(Table5[[#This Row],[PID]],Table3[[#All],[PID]],0)))</f>
        <v>21</v>
      </c>
      <c r="H556" s="52" t="str">
        <f>IF($C556="B",INDEX(Batters[[#All],[B]],MATCH(Table5[[#This Row],[PID]],Batters[[#All],[PID]],0)),INDEX(Table3[[#All],[B]],MATCH(Table5[[#This Row],[PID]],Table3[[#All],[PID]],0)))</f>
        <v>R</v>
      </c>
      <c r="I556" s="52" t="str">
        <f>IF($C556="B",INDEX(Batters[[#All],[T]],MATCH(Table5[[#This Row],[PID]],Batters[[#All],[PID]],0)),INDEX(Table3[[#All],[T]],MATCH(Table5[[#This Row],[PID]],Table3[[#All],[PID]],0)))</f>
        <v>R</v>
      </c>
      <c r="J556" s="71" t="str">
        <f>IF($C556="B",INDEX(Batters[[#All],[WE]],MATCH(Table5[[#This Row],[PID]],Batters[[#All],[PID]],0)),INDEX(Table3[[#All],[WE]],MATCH(Table5[[#This Row],[PID]],Table3[[#All],[PID]],0)))</f>
        <v>Normal</v>
      </c>
      <c r="K556" s="52" t="str">
        <f>IF($C556="B",INDEX(Batters[[#All],[INT]],MATCH(Table5[[#This Row],[PID]],Batters[[#All],[PID]],0)),INDEX(Table3[[#All],[INT]],MATCH(Table5[[#This Row],[PID]],Table3[[#All],[PID]],0)))</f>
        <v>Normal</v>
      </c>
      <c r="L556" s="60">
        <f>IF($C556="B",INDEX(Batters[[#All],[CON P]],MATCH(Table5[[#This Row],[PID]],Batters[[#All],[PID]],0)),INDEX(Table3[[#All],[STU P]],MATCH(Table5[[#This Row],[PID]],Table3[[#All],[PID]],0)))</f>
        <v>4</v>
      </c>
      <c r="M556" s="72">
        <f>IF($C556="B",INDEX(Batters[[#All],[GAP P]],MATCH(Table5[[#This Row],[PID]],Batters[[#All],[PID]],0)),INDEX(Table3[[#All],[MOV P]],MATCH(Table5[[#This Row],[PID]],Table3[[#All],[PID]],0)))</f>
        <v>2</v>
      </c>
      <c r="N556" s="72">
        <f>IF($C556="B",INDEX(Batters[[#All],[POW P]],MATCH(Table5[[#This Row],[PID]],Batters[[#All],[PID]],0)),INDEX(Table3[[#All],[CON P]],MATCH(Table5[[#This Row],[PID]],Table3[[#All],[PID]],0)))</f>
        <v>3</v>
      </c>
      <c r="O556" s="72" t="str">
        <f>IF($C556="B",INDEX(Batters[[#All],[EYE P]],MATCH(Table5[[#This Row],[PID]],Batters[[#All],[PID]],0)),INDEX(Table3[[#All],[VELO]],MATCH(Table5[[#This Row],[PID]],Table3[[#All],[PID]],0)))</f>
        <v>91-93 Mph</v>
      </c>
      <c r="P556" s="56">
        <f>IF($C556="B",INDEX(Batters[[#All],[K P]],MATCH(Table5[[#This Row],[PID]],Batters[[#All],[PID]],0)),INDEX(Table3[[#All],[STM]],MATCH(Table5[[#This Row],[PID]],Table3[[#All],[PID]],0)))</f>
        <v>9</v>
      </c>
      <c r="Q556" s="61">
        <f>IF($C556="B",INDEX(Batters[[#All],[Tot]],MATCH(Table5[[#This Row],[PID]],Batters[[#All],[PID]],0)),INDEX(Table3[[#All],[Tot]],MATCH(Table5[[#This Row],[PID]],Table3[[#All],[PID]],0)))</f>
        <v>32.03827683541239</v>
      </c>
      <c r="R556" s="52">
        <f>IF($C556="B",INDEX(Batters[[#All],[zScore]],MATCH(Table5[[#This Row],[PID]],Batters[[#All],[PID]],0)),INDEX(Table3[[#All],[zScore]],MATCH(Table5[[#This Row],[PID]],Table3[[#All],[PID]],0)))</f>
        <v>-0.34308493620967928</v>
      </c>
      <c r="S556" s="78" t="str">
        <f>IF($C556="B",INDEX(Batters[[#All],[DEM]],MATCH(Table5[[#This Row],[PID]],Batters[[#All],[PID]],0)),INDEX(Table3[[#All],[DEM]],MATCH(Table5[[#This Row],[PID]],Table3[[#All],[PID]],0)))</f>
        <v>-</v>
      </c>
      <c r="T556" s="75">
        <f>IF($C556="B",INDEX(Batters[[#All],[Rnk]],MATCH(Table5[[#This Row],[PID]],Batters[[#All],[PID]],0)),INDEX(Table3[[#All],[Rnk]],MATCH(Table5[[#This Row],[PID]],Table3[[#All],[PID]],0)))</f>
        <v>446</v>
      </c>
      <c r="U556" s="68">
        <f>IF($C556="B",VLOOKUP($A556,Bat!$A$4:$BA$1621,47,FALSE),VLOOKUP($A556,Pit!$A$4:$BF$1557,56,FALSE))</f>
        <v>0</v>
      </c>
      <c r="V556" s="50">
        <f>IF($C556="B",VLOOKUP($A556,Bat!$A$4:$BA$1621,48,FALSE),VLOOKUP($A556,Pit!$A$4:$BF$1557,57,FALSE))</f>
        <v>0</v>
      </c>
      <c r="W556" s="69">
        <f>Table5[[#This Row],[posRnk]]+Table5[[#This Row],[zRnk]]+IF($W$3&lt;&gt;Table5[[#This Row],[Type]],50,0)</f>
        <v>1252</v>
      </c>
      <c r="X556" s="73">
        <f>RANK(Table5[[#This Row],[zScore]],Table5[[#All],[zScore]])</f>
        <v>756</v>
      </c>
      <c r="Y556" s="69">
        <f>IFERROR(INDEX(DraftResults[[#All],[OVR]],MATCH(Table5[[#This Row],[PID]],DraftResults[[#All],[Player ID]],0)),"")</f>
        <v>552</v>
      </c>
      <c r="Z5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6" s="69">
        <f>IFERROR(INDEX(DraftResults[[#All],[Pick in Round]],MATCH(Table5[[#This Row],[PID]],DraftResults[[#All],[Player ID]],0)),"")</f>
        <v>4</v>
      </c>
      <c r="AB556" s="69" t="str">
        <f>IFERROR(INDEX(DraftResults[[#All],[Team Name]],MATCH(Table5[[#This Row],[PID]],DraftResults[[#All],[Player ID]],0)),"")</f>
        <v>Tempe Knights</v>
      </c>
      <c r="AC556" s="69">
        <f>IF(Table5[[#This Row],[Ovr]]="","",IF(Table5[[#This Row],[cmbList]]="","",Table5[[#This Row],[cmbList]]-Table5[[#This Row],[Ovr]]))</f>
        <v>700</v>
      </c>
      <c r="AD556" s="77" t="str">
        <f>IF(ISERROR(VLOOKUP($AB556&amp;"-"&amp;$E556&amp;" "&amp;F556,Bonuses!$B$1:$G$1006,4,FALSE)),"",INT(VLOOKUP($AB556&amp;"-"&amp;$E556&amp;" "&amp;$F556,Bonuses!$B$1:$G$1006,4,FALSE)))</f>
        <v/>
      </c>
      <c r="AE5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19.4 (552) - SP Javier Tovar</v>
      </c>
    </row>
    <row r="557" spans="1:31" s="50" customFormat="1" x14ac:dyDescent="0.25">
      <c r="A557" s="50">
        <v>20824</v>
      </c>
      <c r="B557" s="50">
        <f>COUNTIF(Table5[PID],A557)</f>
        <v>1</v>
      </c>
      <c r="C557" s="50" t="str">
        <f>IF(COUNTIF(Table3[[#All],[PID]],A557)&gt;0,"P","B")</f>
        <v>B</v>
      </c>
      <c r="D557" s="59" t="str">
        <f>IF($C557="B",INDEX(Batters[[#All],[POS]],MATCH(Table5[[#This Row],[PID]],Batters[[#All],[PID]],0)),INDEX(Table3[[#All],[POS]],MATCH(Table5[[#This Row],[PID]],Table3[[#All],[PID]],0)))</f>
        <v>LF</v>
      </c>
      <c r="E557" s="52" t="str">
        <f>IF($C557="B",INDEX(Batters[[#All],[First]],MATCH(Table5[[#This Row],[PID]],Batters[[#All],[PID]],0)),INDEX(Table3[[#All],[First]],MATCH(Table5[[#This Row],[PID]],Table3[[#All],[PID]],0)))</f>
        <v>Ryan</v>
      </c>
      <c r="F557" s="50" t="str">
        <f>IF($C557="B",INDEX(Batters[[#All],[Last]],MATCH(A557,Batters[[#All],[PID]],0)),INDEX(Table3[[#All],[Last]],MATCH(A557,Table3[[#All],[PID]],0)))</f>
        <v>Watts</v>
      </c>
      <c r="G557" s="56">
        <f>IF($C557="B",INDEX(Batters[[#All],[Age]],MATCH(Table5[[#This Row],[PID]],Batters[[#All],[PID]],0)),INDEX(Table3[[#All],[Age]],MATCH(Table5[[#This Row],[PID]],Table3[[#All],[PID]],0)))</f>
        <v>17</v>
      </c>
      <c r="H557" s="52" t="str">
        <f>IF($C557="B",INDEX(Batters[[#All],[B]],MATCH(Table5[[#This Row],[PID]],Batters[[#All],[PID]],0)),INDEX(Table3[[#All],[B]],MATCH(Table5[[#This Row],[PID]],Table3[[#All],[PID]],0)))</f>
        <v>S</v>
      </c>
      <c r="I557" s="52" t="str">
        <f>IF($C557="B",INDEX(Batters[[#All],[T]],MATCH(Table5[[#This Row],[PID]],Batters[[#All],[PID]],0)),INDEX(Table3[[#All],[T]],MATCH(Table5[[#This Row],[PID]],Table3[[#All],[PID]],0)))</f>
        <v>L</v>
      </c>
      <c r="J557" s="52" t="str">
        <f>IF($C557="B",INDEX(Batters[[#All],[WE]],MATCH(Table5[[#This Row],[PID]],Batters[[#All],[PID]],0)),INDEX(Table3[[#All],[WE]],MATCH(Table5[[#This Row],[PID]],Table3[[#All],[PID]],0)))</f>
        <v>Low</v>
      </c>
      <c r="K557" s="52" t="str">
        <f>IF($C557="B",INDEX(Batters[[#All],[INT]],MATCH(Table5[[#This Row],[PID]],Batters[[#All],[PID]],0)),INDEX(Table3[[#All],[INT]],MATCH(Table5[[#This Row],[PID]],Table3[[#All],[PID]],0)))</f>
        <v>Normal</v>
      </c>
      <c r="L557" s="60">
        <f>IF($C557="B",INDEX(Batters[[#All],[CON P]],MATCH(Table5[[#This Row],[PID]],Batters[[#All],[PID]],0)),INDEX(Table3[[#All],[STU P]],MATCH(Table5[[#This Row],[PID]],Table3[[#All],[PID]],0)))</f>
        <v>3</v>
      </c>
      <c r="M557" s="56">
        <f>IF($C557="B",INDEX(Batters[[#All],[GAP P]],MATCH(Table5[[#This Row],[PID]],Batters[[#All],[PID]],0)),INDEX(Table3[[#All],[MOV P]],MATCH(Table5[[#This Row],[PID]],Table3[[#All],[PID]],0)))</f>
        <v>3</v>
      </c>
      <c r="N557" s="56">
        <f>IF($C557="B",INDEX(Batters[[#All],[POW P]],MATCH(Table5[[#This Row],[PID]],Batters[[#All],[PID]],0)),INDEX(Table3[[#All],[CON P]],MATCH(Table5[[#This Row],[PID]],Table3[[#All],[PID]],0)))</f>
        <v>7</v>
      </c>
      <c r="O557" s="56">
        <f>IF($C557="B",INDEX(Batters[[#All],[EYE P]],MATCH(Table5[[#This Row],[PID]],Batters[[#All],[PID]],0)),INDEX(Table3[[#All],[VELO]],MATCH(Table5[[#This Row],[PID]],Table3[[#All],[PID]],0)))</f>
        <v>7</v>
      </c>
      <c r="P557" s="56">
        <f>IF($C557="B",INDEX(Batters[[#All],[K P]],MATCH(Table5[[#This Row],[PID]],Batters[[#All],[PID]],0)),INDEX(Table3[[#All],[STM]],MATCH(Table5[[#This Row],[PID]],Table3[[#All],[PID]],0)))</f>
        <v>2</v>
      </c>
      <c r="Q557" s="61">
        <f>IF($C557="B",INDEX(Batters[[#All],[Tot]],MATCH(Table5[[#This Row],[PID]],Batters[[#All],[PID]],0)),INDEX(Table3[[#All],[Tot]],MATCH(Table5[[#This Row],[PID]],Table3[[#All],[PID]],0)))</f>
        <v>46.55818381548761</v>
      </c>
      <c r="R557" s="52">
        <f>IF($C557="B",INDEX(Batters[[#All],[zScore]],MATCH(Table5[[#This Row],[PID]],Batters[[#All],[PID]],0)),INDEX(Table3[[#All],[zScore]],MATCH(Table5[[#This Row],[PID]],Table3[[#All],[PID]],0)))</f>
        <v>0.53791471549540981</v>
      </c>
      <c r="S557" s="58" t="str">
        <f>IF($C557="B",INDEX(Batters[[#All],[DEM]],MATCH(Table5[[#This Row],[PID]],Batters[[#All],[PID]],0)),INDEX(Table3[[#All],[DEM]],MATCH(Table5[[#This Row],[PID]],Table3[[#All],[PID]],0)))</f>
        <v>$38k</v>
      </c>
      <c r="T557" s="62">
        <f>IF($C557="B",INDEX(Batters[[#All],[Rnk]],MATCH(Table5[[#This Row],[PID]],Batters[[#All],[PID]],0)),INDEX(Table3[[#All],[Rnk]],MATCH(Table5[[#This Row],[PID]],Table3[[#All],[PID]],0)))</f>
        <v>149</v>
      </c>
      <c r="U557" s="68">
        <f>IF($C557="B",VLOOKUP($A557,Bat!$A$4:$BA$1621,47,FALSE),VLOOKUP($A557,Pit!$A$4:$BF$1557,56,FALSE))</f>
        <v>0</v>
      </c>
      <c r="V557" s="50">
        <f>IF($C557="B",VLOOKUP($A557,Bat!$A$4:$BA$1621,48,FALSE),VLOOKUP($A557,Pit!$A$4:$BF$1557,57,FALSE))</f>
        <v>0</v>
      </c>
      <c r="W557" s="50">
        <f>Table5[[#This Row],[posRnk]]+Table5[[#This Row],[zRnk]]+IF($W$3&lt;&gt;Table5[[#This Row],[Type]],50,0)</f>
        <v>556</v>
      </c>
      <c r="X557" s="51">
        <f>RANK(Table5[[#This Row],[zScore]],Table5[[#All],[zScore]])</f>
        <v>357</v>
      </c>
      <c r="Y557" s="50">
        <f>IFERROR(INDEX(DraftResults[[#All],[OVR]],MATCH(Table5[[#This Row],[PID]],DraftResults[[#All],[Player ID]],0)),"")</f>
        <v>553</v>
      </c>
      <c r="Z5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7" s="50">
        <f>IFERROR(INDEX(DraftResults[[#All],[Pick in Round]],MATCH(Table5[[#This Row],[PID]],DraftResults[[#All],[Player ID]],0)),"")</f>
        <v>5</v>
      </c>
      <c r="AB557" s="50" t="str">
        <f>IFERROR(INDEX(DraftResults[[#All],[Team Name]],MATCH(Table5[[#This Row],[PID]],DraftResults[[#All],[Player ID]],0)),"")</f>
        <v>Okinawa Shisa</v>
      </c>
      <c r="AC557" s="50">
        <f>IF(Table5[[#This Row],[Ovr]]="","",IF(Table5[[#This Row],[cmbList]]="","",Table5[[#This Row],[cmbList]]-Table5[[#This Row],[Ovr]]))</f>
        <v>3</v>
      </c>
      <c r="AD557" s="54" t="str">
        <f>IF(ISERROR(VLOOKUP($AB557&amp;"-"&amp;$E557&amp;" "&amp;F557,Bonuses!$B$1:$G$1006,4,FALSE)),"",INT(VLOOKUP($AB557&amp;"-"&amp;$E557&amp;" "&amp;$F557,Bonuses!$B$1:$G$1006,4,FALSE)))</f>
        <v/>
      </c>
      <c r="AE5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19.5 (553) - LF Ryan Watts</v>
      </c>
    </row>
    <row r="558" spans="1:31" s="50" customFormat="1" x14ac:dyDescent="0.25">
      <c r="A558" s="50">
        <v>20548</v>
      </c>
      <c r="B558" s="50">
        <f>COUNTIF(Table5[PID],A558)</f>
        <v>1</v>
      </c>
      <c r="C558" s="50" t="str">
        <f>IF(COUNTIF(Table3[[#All],[PID]],A558)&gt;0,"P","B")</f>
        <v>B</v>
      </c>
      <c r="D558" s="59" t="str">
        <f>IF($C558="B",INDEX(Batters[[#All],[POS]],MATCH(Table5[[#This Row],[PID]],Batters[[#All],[PID]],0)),INDEX(Table3[[#All],[POS]],MATCH(Table5[[#This Row],[PID]],Table3[[#All],[PID]],0)))</f>
        <v>LF</v>
      </c>
      <c r="E558" s="52" t="str">
        <f>IF($C558="B",INDEX(Batters[[#All],[First]],MATCH(Table5[[#This Row],[PID]],Batters[[#All],[PID]],0)),INDEX(Table3[[#All],[First]],MATCH(Table5[[#This Row],[PID]],Table3[[#All],[PID]],0)))</f>
        <v>Rodney</v>
      </c>
      <c r="F558" s="50" t="str">
        <f>IF($C558="B",INDEX(Batters[[#All],[Last]],MATCH(A558,Batters[[#All],[PID]],0)),INDEX(Table3[[#All],[Last]],MATCH(A558,Table3[[#All],[PID]],0)))</f>
        <v>Voigt</v>
      </c>
      <c r="G558" s="56">
        <f>IF($C558="B",INDEX(Batters[[#All],[Age]],MATCH(Table5[[#This Row],[PID]],Batters[[#All],[PID]],0)),INDEX(Table3[[#All],[Age]],MATCH(Table5[[#This Row],[PID]],Table3[[#All],[PID]],0)))</f>
        <v>17</v>
      </c>
      <c r="H558" s="52" t="str">
        <f>IF($C558="B",INDEX(Batters[[#All],[B]],MATCH(Table5[[#This Row],[PID]],Batters[[#All],[PID]],0)),INDEX(Table3[[#All],[B]],MATCH(Table5[[#This Row],[PID]],Table3[[#All],[PID]],0)))</f>
        <v>R</v>
      </c>
      <c r="I558" s="52" t="str">
        <f>IF($C558="B",INDEX(Batters[[#All],[T]],MATCH(Table5[[#This Row],[PID]],Batters[[#All],[PID]],0)),INDEX(Table3[[#All],[T]],MATCH(Table5[[#This Row],[PID]],Table3[[#All],[PID]],0)))</f>
        <v>R</v>
      </c>
      <c r="J558" s="52" t="str">
        <f>IF($C558="B",INDEX(Batters[[#All],[WE]],MATCH(Table5[[#This Row],[PID]],Batters[[#All],[PID]],0)),INDEX(Table3[[#All],[WE]],MATCH(Table5[[#This Row],[PID]],Table3[[#All],[PID]],0)))</f>
        <v>High</v>
      </c>
      <c r="K558" s="52" t="str">
        <f>IF($C558="B",INDEX(Batters[[#All],[INT]],MATCH(Table5[[#This Row],[PID]],Batters[[#All],[PID]],0)),INDEX(Table3[[#All],[INT]],MATCH(Table5[[#This Row],[PID]],Table3[[#All],[PID]],0)))</f>
        <v>Low</v>
      </c>
      <c r="L558" s="60">
        <f>IF($C558="B",INDEX(Batters[[#All],[CON P]],MATCH(Table5[[#This Row],[PID]],Batters[[#All],[PID]],0)),INDEX(Table3[[#All],[STU P]],MATCH(Table5[[#This Row],[PID]],Table3[[#All],[PID]],0)))</f>
        <v>3</v>
      </c>
      <c r="M558" s="56">
        <f>IF($C558="B",INDEX(Batters[[#All],[GAP P]],MATCH(Table5[[#This Row],[PID]],Batters[[#All],[PID]],0)),INDEX(Table3[[#All],[MOV P]],MATCH(Table5[[#This Row],[PID]],Table3[[#All],[PID]],0)))</f>
        <v>4</v>
      </c>
      <c r="N558" s="56">
        <f>IF($C558="B",INDEX(Batters[[#All],[POW P]],MATCH(Table5[[#This Row],[PID]],Batters[[#All],[PID]],0)),INDEX(Table3[[#All],[CON P]],MATCH(Table5[[#This Row],[PID]],Table3[[#All],[PID]],0)))</f>
        <v>4</v>
      </c>
      <c r="O558" s="56">
        <f>IF($C558="B",INDEX(Batters[[#All],[EYE P]],MATCH(Table5[[#This Row],[PID]],Batters[[#All],[PID]],0)),INDEX(Table3[[#All],[VELO]],MATCH(Table5[[#This Row],[PID]],Table3[[#All],[PID]],0)))</f>
        <v>6</v>
      </c>
      <c r="P558" s="56">
        <f>IF($C558="B",INDEX(Batters[[#All],[K P]],MATCH(Table5[[#This Row],[PID]],Batters[[#All],[PID]],0)),INDEX(Table3[[#All],[STM]],MATCH(Table5[[#This Row],[PID]],Table3[[#All],[PID]],0)))</f>
        <v>3</v>
      </c>
      <c r="Q558" s="61">
        <f>IF($C558="B",INDEX(Batters[[#All],[Tot]],MATCH(Table5[[#This Row],[PID]],Batters[[#All],[PID]],0)),INDEX(Table3[[#All],[Tot]],MATCH(Table5[[#This Row],[PID]],Table3[[#All],[PID]],0)))</f>
        <v>44.248447006704453</v>
      </c>
      <c r="R558" s="52">
        <f>IF($C558="B",INDEX(Batters[[#All],[zScore]],MATCH(Table5[[#This Row],[PID]],Batters[[#All],[PID]],0)),INDEX(Table3[[#All],[zScore]],MATCH(Table5[[#This Row],[PID]],Table3[[#All],[PID]],0)))</f>
        <v>2.5830452616298547E-2</v>
      </c>
      <c r="S558" s="58" t="str">
        <f>IF($C558="B",INDEX(Batters[[#All],[DEM]],MATCH(Table5[[#This Row],[PID]],Batters[[#All],[PID]],0)),INDEX(Table3[[#All],[DEM]],MATCH(Table5[[#This Row],[PID]],Table3[[#All],[PID]],0)))</f>
        <v>$65k</v>
      </c>
      <c r="T558" s="62">
        <f>IF($C558="B",INDEX(Batters[[#All],[Rnk]],MATCH(Table5[[#This Row],[PID]],Batters[[#All],[PID]],0)),INDEX(Table3[[#All],[Rnk]],MATCH(Table5[[#This Row],[PID]],Table3[[#All],[PID]],0)))</f>
        <v>239</v>
      </c>
      <c r="U558" s="68">
        <f>IF($C558="B",VLOOKUP($A558,Bat!$A$4:$BA$1621,47,FALSE),VLOOKUP($A558,Pit!$A$4:$BF$1557,56,FALSE))</f>
        <v>0</v>
      </c>
      <c r="V558" s="50">
        <f>IF($C558="B",VLOOKUP($A558,Bat!$A$4:$BA$1621,48,FALSE),VLOOKUP($A558,Pit!$A$4:$BF$1557,57,FALSE))</f>
        <v>0</v>
      </c>
      <c r="W558" s="50">
        <f>Table5[[#This Row],[posRnk]]+Table5[[#This Row],[zRnk]]+IF($W$3&lt;&gt;Table5[[#This Row],[Type]],50,0)</f>
        <v>830</v>
      </c>
      <c r="X558" s="51">
        <f>RANK(Table5[[#This Row],[zScore]],Table5[[#All],[zScore]])</f>
        <v>541</v>
      </c>
      <c r="Y558" s="50">
        <f>IFERROR(INDEX(DraftResults[[#All],[OVR]],MATCH(Table5[[#This Row],[PID]],DraftResults[[#All],[Player ID]],0)),"")</f>
        <v>554</v>
      </c>
      <c r="Z5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8" s="50">
        <f>IFERROR(INDEX(DraftResults[[#All],[Pick in Round]],MATCH(Table5[[#This Row],[PID]],DraftResults[[#All],[Player ID]],0)),"")</f>
        <v>6</v>
      </c>
      <c r="AB558" s="50" t="str">
        <f>IFERROR(INDEX(DraftResults[[#All],[Team Name]],MATCH(Table5[[#This Row],[PID]],DraftResults[[#All],[Player ID]],0)),"")</f>
        <v>Manchester Maulers</v>
      </c>
      <c r="AC558" s="50">
        <f>IF(Table5[[#This Row],[Ovr]]="","",IF(Table5[[#This Row],[cmbList]]="","",Table5[[#This Row],[cmbList]]-Table5[[#This Row],[Ovr]]))</f>
        <v>276</v>
      </c>
      <c r="AD558" s="54" t="str">
        <f>IF(ISERROR(VLOOKUP($AB558&amp;"-"&amp;$E558&amp;" "&amp;F558,Bonuses!$B$1:$G$1006,4,FALSE)),"",INT(VLOOKUP($AB558&amp;"-"&amp;$E558&amp;" "&amp;$F558,Bonuses!$B$1:$G$1006,4,FALSE)))</f>
        <v/>
      </c>
      <c r="AE5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19.6 (554) - LF Rodney Voigt</v>
      </c>
    </row>
    <row r="559" spans="1:31" s="50" customFormat="1" x14ac:dyDescent="0.25">
      <c r="A559" s="50">
        <v>20446</v>
      </c>
      <c r="B559" s="55">
        <f>COUNTIF(Table5[PID],A559)</f>
        <v>1</v>
      </c>
      <c r="C559" s="55" t="str">
        <f>IF(COUNTIF(Table3[[#All],[PID]],A559)&gt;0,"P","B")</f>
        <v>B</v>
      </c>
      <c r="D559" s="59" t="str">
        <f>IF($C559="B",INDEX(Batters[[#All],[POS]],MATCH(Table5[[#This Row],[PID]],Batters[[#All],[PID]],0)),INDEX(Table3[[#All],[POS]],MATCH(Table5[[#This Row],[PID]],Table3[[#All],[PID]],0)))</f>
        <v>RF</v>
      </c>
      <c r="E559" s="52" t="str">
        <f>IF($C559="B",INDEX(Batters[[#All],[First]],MATCH(Table5[[#This Row],[PID]],Batters[[#All],[PID]],0)),INDEX(Table3[[#All],[First]],MATCH(Table5[[#This Row],[PID]],Table3[[#All],[PID]],0)))</f>
        <v>Wei-hong</v>
      </c>
      <c r="F559" s="50" t="str">
        <f>IF($C559="B",INDEX(Batters[[#All],[Last]],MATCH(A559,Batters[[#All],[PID]],0)),INDEX(Table3[[#All],[Last]],MATCH(A559,Table3[[#All],[PID]],0)))</f>
        <v>Tse</v>
      </c>
      <c r="G559" s="56">
        <f>IF($C559="B",INDEX(Batters[[#All],[Age]],MATCH(Table5[[#This Row],[PID]],Batters[[#All],[PID]],0)),INDEX(Table3[[#All],[Age]],MATCH(Table5[[#This Row],[PID]],Table3[[#All],[PID]],0)))</f>
        <v>17</v>
      </c>
      <c r="H559" s="52" t="str">
        <f>IF($C559="B",INDEX(Batters[[#All],[B]],MATCH(Table5[[#This Row],[PID]],Batters[[#All],[PID]],0)),INDEX(Table3[[#All],[B]],MATCH(Table5[[#This Row],[PID]],Table3[[#All],[PID]],0)))</f>
        <v>R</v>
      </c>
      <c r="I559" s="52" t="str">
        <f>IF($C559="B",INDEX(Batters[[#All],[T]],MATCH(Table5[[#This Row],[PID]],Batters[[#All],[PID]],0)),INDEX(Table3[[#All],[T]],MATCH(Table5[[#This Row],[PID]],Table3[[#All],[PID]],0)))</f>
        <v>L</v>
      </c>
      <c r="J559" s="52" t="str">
        <f>IF($C559="B",INDEX(Batters[[#All],[WE]],MATCH(Table5[[#This Row],[PID]],Batters[[#All],[PID]],0)),INDEX(Table3[[#All],[WE]],MATCH(Table5[[#This Row],[PID]],Table3[[#All],[PID]],0)))</f>
        <v>Normal</v>
      </c>
      <c r="K559" s="52" t="str">
        <f>IF($C559="B",INDEX(Batters[[#All],[INT]],MATCH(Table5[[#This Row],[PID]],Batters[[#All],[PID]],0)),INDEX(Table3[[#All],[INT]],MATCH(Table5[[#This Row],[PID]],Table3[[#All],[PID]],0)))</f>
        <v>Normal</v>
      </c>
      <c r="L559" s="60">
        <f>IF($C559="B",INDEX(Batters[[#All],[CON P]],MATCH(Table5[[#This Row],[PID]],Batters[[#All],[PID]],0)),INDEX(Table3[[#All],[STU P]],MATCH(Table5[[#This Row],[PID]],Table3[[#All],[PID]],0)))</f>
        <v>3</v>
      </c>
      <c r="M559" s="56">
        <f>IF($C559="B",INDEX(Batters[[#All],[GAP P]],MATCH(Table5[[#This Row],[PID]],Batters[[#All],[PID]],0)),INDEX(Table3[[#All],[MOV P]],MATCH(Table5[[#This Row],[PID]],Table3[[#All],[PID]],0)))</f>
        <v>4</v>
      </c>
      <c r="N559" s="56">
        <f>IF($C559="B",INDEX(Batters[[#All],[POW P]],MATCH(Table5[[#This Row],[PID]],Batters[[#All],[PID]],0)),INDEX(Table3[[#All],[CON P]],MATCH(Table5[[#This Row],[PID]],Table3[[#All],[PID]],0)))</f>
        <v>4</v>
      </c>
      <c r="O559" s="56">
        <f>IF($C559="B",INDEX(Batters[[#All],[EYE P]],MATCH(Table5[[#This Row],[PID]],Batters[[#All],[PID]],0)),INDEX(Table3[[#All],[VELO]],MATCH(Table5[[#This Row],[PID]],Table3[[#All],[PID]],0)))</f>
        <v>6</v>
      </c>
      <c r="P559" s="56">
        <f>IF($C559="B",INDEX(Batters[[#All],[K P]],MATCH(Table5[[#This Row],[PID]],Batters[[#All],[PID]],0)),INDEX(Table3[[#All],[STM]],MATCH(Table5[[#This Row],[PID]],Table3[[#All],[PID]],0)))</f>
        <v>4</v>
      </c>
      <c r="Q559" s="61">
        <f>IF($C559="B",INDEX(Batters[[#All],[Tot]],MATCH(Table5[[#This Row],[PID]],Batters[[#All],[PID]],0)),INDEX(Table3[[#All],[Tot]],MATCH(Table5[[#This Row],[PID]],Table3[[#All],[PID]],0)))</f>
        <v>44.711976417842784</v>
      </c>
      <c r="R559" s="52">
        <f>IF($C559="B",INDEX(Batters[[#All],[zScore]],MATCH(Table5[[#This Row],[PID]],Batters[[#All],[PID]],0)),INDEX(Table3[[#All],[zScore]],MATCH(Table5[[#This Row],[PID]],Table3[[#All],[PID]],0)))</f>
        <v>0.12859805623370513</v>
      </c>
      <c r="S559" s="58" t="str">
        <f>IF($C559="B",INDEX(Batters[[#All],[DEM]],MATCH(Table5[[#This Row],[PID]],Batters[[#All],[PID]],0)),INDEX(Table3[[#All],[DEM]],MATCH(Table5[[#This Row],[PID]],Table3[[#All],[PID]],0)))</f>
        <v>$38k</v>
      </c>
      <c r="T559" s="62">
        <f>IF($C559="B",INDEX(Batters[[#All],[Rnk]],MATCH(Table5[[#This Row],[PID]],Batters[[#All],[PID]],0)),INDEX(Table3[[#All],[Rnk]],MATCH(Table5[[#This Row],[PID]],Table3[[#All],[PID]],0)))</f>
        <v>217</v>
      </c>
      <c r="U559" s="68">
        <f>IF($C559="B",VLOOKUP($A559,Bat!$A$4:$BA$1621,47,FALSE),VLOOKUP($A559,Pit!$A$4:$BF$1557,56,FALSE))</f>
        <v>0</v>
      </c>
      <c r="V559" s="50">
        <f>IF($C559="B",VLOOKUP($A559,Bat!$A$4:$BA$1621,48,FALSE),VLOOKUP($A559,Pit!$A$4:$BF$1557,57,FALSE))</f>
        <v>0</v>
      </c>
      <c r="W559" s="50">
        <f>Table5[[#This Row],[posRnk]]+Table5[[#This Row],[zRnk]]+IF($W$3&lt;&gt;Table5[[#This Row],[Type]],50,0)</f>
        <v>764</v>
      </c>
      <c r="X559" s="51">
        <f>RANK(Table5[[#This Row],[zScore]],Table5[[#All],[zScore]])</f>
        <v>497</v>
      </c>
      <c r="Y559" s="50">
        <f>IFERROR(INDEX(DraftResults[[#All],[OVR]],MATCH(Table5[[#This Row],[PID]],DraftResults[[#All],[Player ID]],0)),"")</f>
        <v>555</v>
      </c>
      <c r="Z5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59" s="50">
        <f>IFERROR(INDEX(DraftResults[[#All],[Pick in Round]],MATCH(Table5[[#This Row],[PID]],DraftResults[[#All],[Player ID]],0)),"")</f>
        <v>7</v>
      </c>
      <c r="AB559" s="50" t="str">
        <f>IFERROR(INDEX(DraftResults[[#All],[Team Name]],MATCH(Table5[[#This Row],[PID]],DraftResults[[#All],[Player ID]],0)),"")</f>
        <v>Niihama-shi Ghosts</v>
      </c>
      <c r="AC559" s="50">
        <f>IF(Table5[[#This Row],[Ovr]]="","",IF(Table5[[#This Row],[cmbList]]="","",Table5[[#This Row],[cmbList]]-Table5[[#This Row],[Ovr]]))</f>
        <v>209</v>
      </c>
      <c r="AD559" s="54" t="str">
        <f>IF(ISERROR(VLOOKUP($AB559&amp;"-"&amp;$E559&amp;" "&amp;F559,Bonuses!$B$1:$G$1006,4,FALSE)),"",INT(VLOOKUP($AB559&amp;"-"&amp;$E559&amp;" "&amp;$F559,Bonuses!$B$1:$G$1006,4,FALSE)))</f>
        <v/>
      </c>
      <c r="AE5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19.7 (555) - RF Wei-hong Tse</v>
      </c>
    </row>
    <row r="560" spans="1:31" s="50" customFormat="1" x14ac:dyDescent="0.25">
      <c r="A560" s="50">
        <v>5217</v>
      </c>
      <c r="B560" s="50">
        <f>COUNTIF(Table5[PID],A560)</f>
        <v>1</v>
      </c>
      <c r="C560" s="50" t="str">
        <f>IF(COUNTIF(Table3[[#All],[PID]],A560)&gt;0,"P","B")</f>
        <v>P</v>
      </c>
      <c r="D560" s="59" t="str">
        <f>IF($C560="B",INDEX(Batters[[#All],[POS]],MATCH(Table5[[#This Row],[PID]],Batters[[#All],[PID]],0)),INDEX(Table3[[#All],[POS]],MATCH(Table5[[#This Row],[PID]],Table3[[#All],[PID]],0)))</f>
        <v>RP</v>
      </c>
      <c r="E560" s="52" t="str">
        <f>IF($C560="B",INDEX(Batters[[#All],[First]],MATCH(Table5[[#This Row],[PID]],Batters[[#All],[PID]],0)),INDEX(Table3[[#All],[First]],MATCH(Table5[[#This Row],[PID]],Table3[[#All],[PID]],0)))</f>
        <v>Ted</v>
      </c>
      <c r="F560" s="50" t="str">
        <f>IF($C560="B",INDEX(Batters[[#All],[Last]],MATCH(A560,Batters[[#All],[PID]],0)),INDEX(Table3[[#All],[Last]],MATCH(A560,Table3[[#All],[PID]],0)))</f>
        <v>Lynch</v>
      </c>
      <c r="G560" s="56">
        <f>IF($C560="B",INDEX(Batters[[#All],[Age]],MATCH(Table5[[#This Row],[PID]],Batters[[#All],[PID]],0)),INDEX(Table3[[#All],[Age]],MATCH(Table5[[#This Row],[PID]],Table3[[#All],[PID]],0)))</f>
        <v>21</v>
      </c>
      <c r="H560" s="52" t="str">
        <f>IF($C560="B",INDEX(Batters[[#All],[B]],MATCH(Table5[[#This Row],[PID]],Batters[[#All],[PID]],0)),INDEX(Table3[[#All],[B]],MATCH(Table5[[#This Row],[PID]],Table3[[#All],[PID]],0)))</f>
        <v>R</v>
      </c>
      <c r="I560" s="52" t="str">
        <f>IF($C560="B",INDEX(Batters[[#All],[T]],MATCH(Table5[[#This Row],[PID]],Batters[[#All],[PID]],0)),INDEX(Table3[[#All],[T]],MATCH(Table5[[#This Row],[PID]],Table3[[#All],[PID]],0)))</f>
        <v>R</v>
      </c>
      <c r="J560" s="52" t="str">
        <f>IF($C560="B",INDEX(Batters[[#All],[WE]],MATCH(Table5[[#This Row],[PID]],Batters[[#All],[PID]],0)),INDEX(Table3[[#All],[WE]],MATCH(Table5[[#This Row],[PID]],Table3[[#All],[PID]],0)))</f>
        <v>Normal</v>
      </c>
      <c r="K560" s="52" t="str">
        <f>IF($C560="B",INDEX(Batters[[#All],[INT]],MATCH(Table5[[#This Row],[PID]],Batters[[#All],[PID]],0)),INDEX(Table3[[#All],[INT]],MATCH(Table5[[#This Row],[PID]],Table3[[#All],[PID]],0)))</f>
        <v>Normal</v>
      </c>
      <c r="L560" s="60">
        <f>IF($C560="B",INDEX(Batters[[#All],[CON P]],MATCH(Table5[[#This Row],[PID]],Batters[[#All],[PID]],0)),INDEX(Table3[[#All],[STU P]],MATCH(Table5[[#This Row],[PID]],Table3[[#All],[PID]],0)))</f>
        <v>4</v>
      </c>
      <c r="M560" s="56">
        <f>IF($C560="B",INDEX(Batters[[#All],[GAP P]],MATCH(Table5[[#This Row],[PID]],Batters[[#All],[PID]],0)),INDEX(Table3[[#All],[MOV P]],MATCH(Table5[[#This Row],[PID]],Table3[[#All],[PID]],0)))</f>
        <v>2</v>
      </c>
      <c r="N560" s="56">
        <f>IF($C560="B",INDEX(Batters[[#All],[POW P]],MATCH(Table5[[#This Row],[PID]],Batters[[#All],[PID]],0)),INDEX(Table3[[#All],[CON P]],MATCH(Table5[[#This Row],[PID]],Table3[[#All],[PID]],0)))</f>
        <v>3</v>
      </c>
      <c r="O560" s="56" t="str">
        <f>IF($C560="B",INDEX(Batters[[#All],[EYE P]],MATCH(Table5[[#This Row],[PID]],Batters[[#All],[PID]],0)),INDEX(Table3[[#All],[VELO]],MATCH(Table5[[#This Row],[PID]],Table3[[#All],[PID]],0)))</f>
        <v>86-88 Mph</v>
      </c>
      <c r="P560" s="56">
        <f>IF($C560="B",INDEX(Batters[[#All],[K P]],MATCH(Table5[[#This Row],[PID]],Batters[[#All],[PID]],0)),INDEX(Table3[[#All],[STM]],MATCH(Table5[[#This Row],[PID]],Table3[[#All],[PID]],0)))</f>
        <v>10</v>
      </c>
      <c r="Q560" s="61">
        <f>IF($C560="B",INDEX(Batters[[#All],[Tot]],MATCH(Table5[[#This Row],[PID]],Batters[[#All],[PID]],0)),INDEX(Table3[[#All],[Tot]],MATCH(Table5[[#This Row],[PID]],Table3[[#All],[PID]],0)))</f>
        <v>30.766339382778003</v>
      </c>
      <c r="R560" s="52">
        <f>IF($C560="B",INDEX(Batters[[#All],[zScore]],MATCH(Table5[[#This Row],[PID]],Batters[[#All],[PID]],0)),INDEX(Table3[[#All],[zScore]],MATCH(Table5[[#This Row],[PID]],Table3[[#All],[PID]],0)))</f>
        <v>-0.33957373875186148</v>
      </c>
      <c r="S560" s="58" t="str">
        <f>IF($C560="B",INDEX(Batters[[#All],[DEM]],MATCH(Table5[[#This Row],[PID]],Batters[[#All],[PID]],0)),INDEX(Table3[[#All],[DEM]],MATCH(Table5[[#This Row],[PID]],Table3[[#All],[PID]],0)))</f>
        <v>$20k</v>
      </c>
      <c r="T560" s="62">
        <f>IF($C560="B",INDEX(Batters[[#All],[Rnk]],MATCH(Table5[[#This Row],[PID]],Batters[[#All],[PID]],0)),INDEX(Table3[[#All],[Rnk]],MATCH(Table5[[#This Row],[PID]],Table3[[#All],[PID]],0)))</f>
        <v>443</v>
      </c>
      <c r="U560" s="68">
        <f>IF($C560="B",VLOOKUP($A560,Bat!$A$4:$BA$1621,47,FALSE),VLOOKUP($A560,Pit!$A$4:$BF$1557,56,FALSE))</f>
        <v>0</v>
      </c>
      <c r="V560" s="50">
        <f>IF($C560="B",VLOOKUP($A560,Bat!$A$4:$BA$1621,48,FALSE),VLOOKUP($A560,Pit!$A$4:$BF$1557,57,FALSE))</f>
        <v>0</v>
      </c>
      <c r="W560" s="50">
        <f>Table5[[#This Row],[posRnk]]+Table5[[#This Row],[zRnk]]+IF($W$3&lt;&gt;Table5[[#This Row],[Type]],50,0)</f>
        <v>1246</v>
      </c>
      <c r="X560" s="51">
        <f>RANK(Table5[[#This Row],[zScore]],Table5[[#All],[zScore]])</f>
        <v>753</v>
      </c>
      <c r="Y560" s="50">
        <f>IFERROR(INDEX(DraftResults[[#All],[OVR]],MATCH(Table5[[#This Row],[PID]],DraftResults[[#All],[Player ID]],0)),"")</f>
        <v>556</v>
      </c>
      <c r="Z5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0" s="50">
        <f>IFERROR(INDEX(DraftResults[[#All],[Pick in Round]],MATCH(Table5[[#This Row],[PID]],DraftResults[[#All],[Player ID]],0)),"")</f>
        <v>8</v>
      </c>
      <c r="AB560" s="50" t="str">
        <f>IFERROR(INDEX(DraftResults[[#All],[Team Name]],MATCH(Table5[[#This Row],[PID]],DraftResults[[#All],[Player ID]],0)),"")</f>
        <v>London Underground</v>
      </c>
      <c r="AC560" s="50">
        <f>IF(Table5[[#This Row],[Ovr]]="","",IF(Table5[[#This Row],[cmbList]]="","",Table5[[#This Row],[cmbList]]-Table5[[#This Row],[Ovr]]))</f>
        <v>690</v>
      </c>
      <c r="AD560" s="54" t="str">
        <f>IF(ISERROR(VLOOKUP($AB560&amp;"-"&amp;$E560&amp;" "&amp;F560,Bonuses!$B$1:$G$1006,4,FALSE)),"",INT(VLOOKUP($AB560&amp;"-"&amp;$E560&amp;" "&amp;$F560,Bonuses!$B$1:$G$1006,4,FALSE)))</f>
        <v/>
      </c>
      <c r="AE5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19.8 (556) - RP Ted Lynch</v>
      </c>
    </row>
    <row r="561" spans="1:31" s="50" customFormat="1" x14ac:dyDescent="0.25">
      <c r="A561" s="50">
        <v>20619</v>
      </c>
      <c r="B561" s="50">
        <f>COUNTIF(Table5[PID],A561)</f>
        <v>1</v>
      </c>
      <c r="C561" s="50" t="str">
        <f>IF(COUNTIF(Table3[[#All],[PID]],A561)&gt;0,"P","B")</f>
        <v>B</v>
      </c>
      <c r="D561" s="59" t="str">
        <f>IF($C561="B",INDEX(Batters[[#All],[POS]],MATCH(Table5[[#This Row],[PID]],Batters[[#All],[PID]],0)),INDEX(Table3[[#All],[POS]],MATCH(Table5[[#This Row],[PID]],Table3[[#All],[PID]],0)))</f>
        <v>RF</v>
      </c>
      <c r="E561" s="52" t="str">
        <f>IF($C561="B",INDEX(Batters[[#All],[First]],MATCH(Table5[[#This Row],[PID]],Batters[[#All],[PID]],0)),INDEX(Table3[[#All],[First]],MATCH(Table5[[#This Row],[PID]],Table3[[#All],[PID]],0)))</f>
        <v>Bang</v>
      </c>
      <c r="F561" s="50" t="str">
        <f>IF($C561="B",INDEX(Batters[[#All],[Last]],MATCH(A561,Batters[[#All],[PID]],0)),INDEX(Table3[[#All],[Last]],MATCH(A561,Table3[[#All],[PID]],0)))</f>
        <v>Dong</v>
      </c>
      <c r="G561" s="56">
        <f>IF($C561="B",INDEX(Batters[[#All],[Age]],MATCH(Table5[[#This Row],[PID]],Batters[[#All],[PID]],0)),INDEX(Table3[[#All],[Age]],MATCH(Table5[[#This Row],[PID]],Table3[[#All],[PID]],0)))</f>
        <v>18</v>
      </c>
      <c r="H561" s="52" t="str">
        <f>IF($C561="B",INDEX(Batters[[#All],[B]],MATCH(Table5[[#This Row],[PID]],Batters[[#All],[PID]],0)),INDEX(Table3[[#All],[B]],MATCH(Table5[[#This Row],[PID]],Table3[[#All],[PID]],0)))</f>
        <v>R</v>
      </c>
      <c r="I561" s="52" t="str">
        <f>IF($C561="B",INDEX(Batters[[#All],[T]],MATCH(Table5[[#This Row],[PID]],Batters[[#All],[PID]],0)),INDEX(Table3[[#All],[T]],MATCH(Table5[[#This Row],[PID]],Table3[[#All],[PID]],0)))</f>
        <v>R</v>
      </c>
      <c r="J561" s="52" t="str">
        <f>IF($C561="B",INDEX(Batters[[#All],[WE]],MATCH(Table5[[#This Row],[PID]],Batters[[#All],[PID]],0)),INDEX(Table3[[#All],[WE]],MATCH(Table5[[#This Row],[PID]],Table3[[#All],[PID]],0)))</f>
        <v>High</v>
      </c>
      <c r="K561" s="52" t="str">
        <f>IF($C561="B",INDEX(Batters[[#All],[INT]],MATCH(Table5[[#This Row],[PID]],Batters[[#All],[PID]],0)),INDEX(Table3[[#All],[INT]],MATCH(Table5[[#This Row],[PID]],Table3[[#All],[PID]],0)))</f>
        <v>Normal</v>
      </c>
      <c r="L561" s="60">
        <f>IF($C561="B",INDEX(Batters[[#All],[CON P]],MATCH(Table5[[#This Row],[PID]],Batters[[#All],[PID]],0)),INDEX(Table3[[#All],[STU P]],MATCH(Table5[[#This Row],[PID]],Table3[[#All],[PID]],0)))</f>
        <v>3</v>
      </c>
      <c r="M561" s="56">
        <f>IF($C561="B",INDEX(Batters[[#All],[GAP P]],MATCH(Table5[[#This Row],[PID]],Batters[[#All],[PID]],0)),INDEX(Table3[[#All],[MOV P]],MATCH(Table5[[#This Row],[PID]],Table3[[#All],[PID]],0)))</f>
        <v>5</v>
      </c>
      <c r="N561" s="56">
        <f>IF($C561="B",INDEX(Batters[[#All],[POW P]],MATCH(Table5[[#This Row],[PID]],Batters[[#All],[PID]],0)),INDEX(Table3[[#All],[CON P]],MATCH(Table5[[#This Row],[PID]],Table3[[#All],[PID]],0)))</f>
        <v>4</v>
      </c>
      <c r="O561" s="56">
        <f>IF($C561="B",INDEX(Batters[[#All],[EYE P]],MATCH(Table5[[#This Row],[PID]],Batters[[#All],[PID]],0)),INDEX(Table3[[#All],[VELO]],MATCH(Table5[[#This Row],[PID]],Table3[[#All],[PID]],0)))</f>
        <v>6</v>
      </c>
      <c r="P561" s="56">
        <f>IF($C561="B",INDEX(Batters[[#All],[K P]],MATCH(Table5[[#This Row],[PID]],Batters[[#All],[PID]],0)),INDEX(Table3[[#All],[STM]],MATCH(Table5[[#This Row],[PID]],Table3[[#All],[PID]],0)))</f>
        <v>3</v>
      </c>
      <c r="Q561" s="61">
        <f>IF($C561="B",INDEX(Batters[[#All],[Tot]],MATCH(Table5[[#This Row],[PID]],Batters[[#All],[PID]],0)),INDEX(Table3[[#All],[Tot]],MATCH(Table5[[#This Row],[PID]],Table3[[#All],[PID]],0)))</f>
        <v>44.649604883424097</v>
      </c>
      <c r="R561" s="52">
        <f>IF($C561="B",INDEX(Batters[[#All],[zScore]],MATCH(Table5[[#This Row],[PID]],Batters[[#All],[PID]],0)),INDEX(Table3[[#All],[zScore]],MATCH(Table5[[#This Row],[PID]],Table3[[#All],[PID]],0)))</f>
        <v>0.11476986546063625</v>
      </c>
      <c r="S561" s="58" t="str">
        <f>IF($C561="B",INDEX(Batters[[#All],[DEM]],MATCH(Table5[[#This Row],[PID]],Batters[[#All],[PID]],0)),INDEX(Table3[[#All],[DEM]],MATCH(Table5[[#This Row],[PID]],Table3[[#All],[PID]],0)))</f>
        <v>$65k</v>
      </c>
      <c r="T561" s="62">
        <f>IF($C561="B",INDEX(Batters[[#All],[Rnk]],MATCH(Table5[[#This Row],[PID]],Batters[[#All],[PID]],0)),INDEX(Table3[[#All],[Rnk]],MATCH(Table5[[#This Row],[PID]],Table3[[#All],[PID]],0)))</f>
        <v>221</v>
      </c>
      <c r="U561" s="68">
        <f>IF($C561="B",VLOOKUP($A561,Bat!$A$4:$BA$1621,47,FALSE),VLOOKUP($A561,Pit!$A$4:$BF$1557,56,FALSE))</f>
        <v>0</v>
      </c>
      <c r="V561" s="50">
        <f>IF($C561="B",VLOOKUP($A561,Bat!$A$4:$BA$1621,48,FALSE),VLOOKUP($A561,Pit!$A$4:$BF$1557,57,FALSE))</f>
        <v>0</v>
      </c>
      <c r="W561" s="50">
        <f>Table5[[#This Row],[posRnk]]+Table5[[#This Row],[zRnk]]+IF($W$3&lt;&gt;Table5[[#This Row],[Type]],50,0)</f>
        <v>775</v>
      </c>
      <c r="X561" s="51">
        <f>RANK(Table5[[#This Row],[zScore]],Table5[[#All],[zScore]])</f>
        <v>504</v>
      </c>
      <c r="Y561" s="50">
        <f>IFERROR(INDEX(DraftResults[[#All],[OVR]],MATCH(Table5[[#This Row],[PID]],DraftResults[[#All],[Player ID]],0)),"")</f>
        <v>557</v>
      </c>
      <c r="Z5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1" s="50">
        <f>IFERROR(INDEX(DraftResults[[#All],[Pick in Round]],MATCH(Table5[[#This Row],[PID]],DraftResults[[#All],[Player ID]],0)),"")</f>
        <v>9</v>
      </c>
      <c r="AB561" s="50" t="str">
        <f>IFERROR(INDEX(DraftResults[[#All],[Team Name]],MATCH(Table5[[#This Row],[PID]],DraftResults[[#All],[Player ID]],0)),"")</f>
        <v>Scottish Claymores</v>
      </c>
      <c r="AC561" s="50">
        <f>IF(Table5[[#This Row],[Ovr]]="","",IF(Table5[[#This Row],[cmbList]]="","",Table5[[#This Row],[cmbList]]-Table5[[#This Row],[Ovr]]))</f>
        <v>218</v>
      </c>
      <c r="AD561" s="54" t="str">
        <f>IF(ISERROR(VLOOKUP($AB561&amp;"-"&amp;$E561&amp;" "&amp;F561,Bonuses!$B$1:$G$1006,4,FALSE)),"",INT(VLOOKUP($AB561&amp;"-"&amp;$E561&amp;" "&amp;$F561,Bonuses!$B$1:$G$1006,4,FALSE)))</f>
        <v/>
      </c>
      <c r="AE5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19.9 (557) - RF Bang Dong</v>
      </c>
    </row>
    <row r="562" spans="1:31" s="50" customFormat="1" x14ac:dyDescent="0.25">
      <c r="A562" s="68">
        <v>20184</v>
      </c>
      <c r="B562" s="69">
        <f>COUNTIF(Table5[PID],A562)</f>
        <v>1</v>
      </c>
      <c r="C562" s="69" t="str">
        <f>IF(COUNTIF(Table3[[#All],[PID]],A562)&gt;0,"P","B")</f>
        <v>P</v>
      </c>
      <c r="D562" s="59" t="str">
        <f>IF($C562="B",INDEX(Batters[[#All],[POS]],MATCH(Table5[[#This Row],[PID]],Batters[[#All],[PID]],0)),INDEX(Table3[[#All],[POS]],MATCH(Table5[[#This Row],[PID]],Table3[[#All],[PID]],0)))</f>
        <v>SP</v>
      </c>
      <c r="E562" s="52" t="str">
        <f>IF($C562="B",INDEX(Batters[[#All],[First]],MATCH(Table5[[#This Row],[PID]],Batters[[#All],[PID]],0)),INDEX(Table3[[#All],[First]],MATCH(Table5[[#This Row],[PID]],Table3[[#All],[PID]],0)))</f>
        <v>Li</v>
      </c>
      <c r="F562" s="55" t="str">
        <f>IF($C562="B",INDEX(Batters[[#All],[Last]],MATCH(A562,Batters[[#All],[PID]],0)),INDEX(Table3[[#All],[Last]],MATCH(A562,Table3[[#All],[PID]],0)))</f>
        <v>Chambers</v>
      </c>
      <c r="G562" s="56">
        <f>IF($C562="B",INDEX(Batters[[#All],[Age]],MATCH(Table5[[#This Row],[PID]],Batters[[#All],[PID]],0)),INDEX(Table3[[#All],[Age]],MATCH(Table5[[#This Row],[PID]],Table3[[#All],[PID]],0)))</f>
        <v>21</v>
      </c>
      <c r="H562" s="52" t="str">
        <f>IF($C562="B",INDEX(Batters[[#All],[B]],MATCH(Table5[[#This Row],[PID]],Batters[[#All],[PID]],0)),INDEX(Table3[[#All],[B]],MATCH(Table5[[#This Row],[PID]],Table3[[#All],[PID]],0)))</f>
        <v>L</v>
      </c>
      <c r="I562" s="52" t="str">
        <f>IF($C562="B",INDEX(Batters[[#All],[T]],MATCH(Table5[[#This Row],[PID]],Batters[[#All],[PID]],0)),INDEX(Table3[[#All],[T]],MATCH(Table5[[#This Row],[PID]],Table3[[#All],[PID]],0)))</f>
        <v>L</v>
      </c>
      <c r="J562" s="71" t="str">
        <f>IF($C562="B",INDEX(Batters[[#All],[WE]],MATCH(Table5[[#This Row],[PID]],Batters[[#All],[PID]],0)),INDEX(Table3[[#All],[WE]],MATCH(Table5[[#This Row],[PID]],Table3[[#All],[PID]],0)))</f>
        <v>Low</v>
      </c>
      <c r="K562" s="52" t="str">
        <f>IF($C562="B",INDEX(Batters[[#All],[INT]],MATCH(Table5[[#This Row],[PID]],Batters[[#All],[PID]],0)),INDEX(Table3[[#All],[INT]],MATCH(Table5[[#This Row],[PID]],Table3[[#All],[PID]],0)))</f>
        <v>Normal</v>
      </c>
      <c r="L562" s="60">
        <f>IF($C562="B",INDEX(Batters[[#All],[CON P]],MATCH(Table5[[#This Row],[PID]],Batters[[#All],[PID]],0)),INDEX(Table3[[#All],[STU P]],MATCH(Table5[[#This Row],[PID]],Table3[[#All],[PID]],0)))</f>
        <v>5</v>
      </c>
      <c r="M562" s="72">
        <f>IF($C562="B",INDEX(Batters[[#All],[GAP P]],MATCH(Table5[[#This Row],[PID]],Batters[[#All],[PID]],0)),INDEX(Table3[[#All],[MOV P]],MATCH(Table5[[#This Row],[PID]],Table3[[#All],[PID]],0)))</f>
        <v>1</v>
      </c>
      <c r="N562" s="72">
        <f>IF($C562="B",INDEX(Batters[[#All],[POW P]],MATCH(Table5[[#This Row],[PID]],Batters[[#All],[PID]],0)),INDEX(Table3[[#All],[CON P]],MATCH(Table5[[#This Row],[PID]],Table3[[#All],[PID]],0)))</f>
        <v>2</v>
      </c>
      <c r="O562" s="72" t="str">
        <f>IF($C562="B",INDEX(Batters[[#All],[EYE P]],MATCH(Table5[[#This Row],[PID]],Batters[[#All],[PID]],0)),INDEX(Table3[[#All],[VELO]],MATCH(Table5[[#This Row],[PID]],Table3[[#All],[PID]],0)))</f>
        <v>92-94 Mph</v>
      </c>
      <c r="P562" s="56">
        <f>IF($C562="B",INDEX(Batters[[#All],[K P]],MATCH(Table5[[#This Row],[PID]],Batters[[#All],[PID]],0)),INDEX(Table3[[#All],[STM]],MATCH(Table5[[#This Row],[PID]],Table3[[#All],[PID]],0)))</f>
        <v>9</v>
      </c>
      <c r="Q562" s="61">
        <f>IF($C562="B",INDEX(Batters[[#All],[Tot]],MATCH(Table5[[#This Row],[PID]],Batters[[#All],[PID]],0)),INDEX(Table3[[#All],[Tot]],MATCH(Table5[[#This Row],[PID]],Table3[[#All],[PID]],0)))</f>
        <v>26.039507219415711</v>
      </c>
      <c r="R562" s="52">
        <f>IF($C562="B",INDEX(Batters[[#All],[zScore]],MATCH(Table5[[#This Row],[PID]],Batters[[#All],[PID]],0)),INDEX(Table3[[#All],[zScore]],MATCH(Table5[[#This Row],[PID]],Table3[[#All],[PID]],0)))</f>
        <v>-0.65404265946633067</v>
      </c>
      <c r="S562" s="78" t="str">
        <f>IF($C562="B",INDEX(Batters[[#All],[DEM]],MATCH(Table5[[#This Row],[PID]],Batters[[#All],[PID]],0)),INDEX(Table3[[#All],[DEM]],MATCH(Table5[[#This Row],[PID]],Table3[[#All],[PID]],0)))</f>
        <v>$20k</v>
      </c>
      <c r="T562" s="75">
        <f>IF($C562="B",INDEX(Batters[[#All],[Rnk]],MATCH(Table5[[#This Row],[PID]],Batters[[#All],[PID]],0)),INDEX(Table3[[#All],[Rnk]],MATCH(Table5[[#This Row],[PID]],Table3[[#All],[PID]],0)))</f>
        <v>585</v>
      </c>
      <c r="U562" s="68">
        <f>IF($C562="B",VLOOKUP($A562,Bat!$A$4:$BA$1621,47,FALSE),VLOOKUP($A562,Pit!$A$4:$BF$1557,56,FALSE))</f>
        <v>0</v>
      </c>
      <c r="V562" s="50">
        <f>IF($C562="B",VLOOKUP($A562,Bat!$A$4:$BA$1621,48,FALSE),VLOOKUP($A562,Pit!$A$4:$BF$1557,57,FALSE))</f>
        <v>0</v>
      </c>
      <c r="W562" s="69">
        <f>Table5[[#This Row],[posRnk]]+Table5[[#This Row],[zRnk]]+IF($W$3&lt;&gt;Table5[[#This Row],[Type]],50,0)</f>
        <v>1586</v>
      </c>
      <c r="X562" s="73">
        <f>RANK(Table5[[#This Row],[zScore]],Table5[[#All],[zScore]])</f>
        <v>951</v>
      </c>
      <c r="Y562" s="69">
        <f>IFERROR(INDEX(DraftResults[[#All],[OVR]],MATCH(Table5[[#This Row],[PID]],DraftResults[[#All],[Player ID]],0)),"")</f>
        <v>558</v>
      </c>
      <c r="Z56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2" s="69">
        <f>IFERROR(INDEX(DraftResults[[#All],[Pick in Round]],MATCH(Table5[[#This Row],[PID]],DraftResults[[#All],[Player ID]],0)),"")</f>
        <v>10</v>
      </c>
      <c r="AB562" s="69" t="str">
        <f>IFERROR(INDEX(DraftResults[[#All],[Team Name]],MATCH(Table5[[#This Row],[PID]],DraftResults[[#All],[Player ID]],0)),"")</f>
        <v>Hartford Harpoon</v>
      </c>
      <c r="AC562" s="69">
        <f>IF(Table5[[#This Row],[Ovr]]="","",IF(Table5[[#This Row],[cmbList]]="","",Table5[[#This Row],[cmbList]]-Table5[[#This Row],[Ovr]]))</f>
        <v>1028</v>
      </c>
      <c r="AD562" s="77" t="str">
        <f>IF(ISERROR(VLOOKUP($AB562&amp;"-"&amp;$E562&amp;" "&amp;F562,Bonuses!$B$1:$G$1006,4,FALSE)),"",INT(VLOOKUP($AB562&amp;"-"&amp;$E562&amp;" "&amp;$F562,Bonuses!$B$1:$G$1006,4,FALSE)))</f>
        <v/>
      </c>
      <c r="AE56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19.10 (558) - SP Li Chambers</v>
      </c>
    </row>
    <row r="563" spans="1:31" s="50" customFormat="1" x14ac:dyDescent="0.25">
      <c r="A563" s="68">
        <v>21053</v>
      </c>
      <c r="B563" s="69">
        <f>COUNTIF(Table5[PID],A563)</f>
        <v>1</v>
      </c>
      <c r="C563" s="69" t="str">
        <f>IF(COUNTIF(Table3[[#All],[PID]],A563)&gt;0,"P","B")</f>
        <v>P</v>
      </c>
      <c r="D563" s="59" t="str">
        <f>IF($C563="B",INDEX(Batters[[#All],[POS]],MATCH(Table5[[#This Row],[PID]],Batters[[#All],[PID]],0)),INDEX(Table3[[#All],[POS]],MATCH(Table5[[#This Row],[PID]],Table3[[#All],[PID]],0)))</f>
        <v>SP</v>
      </c>
      <c r="E563" s="52" t="str">
        <f>IF($C563="B",INDEX(Batters[[#All],[First]],MATCH(Table5[[#This Row],[PID]],Batters[[#All],[PID]],0)),INDEX(Table3[[#All],[First]],MATCH(Table5[[#This Row],[PID]],Table3[[#All],[PID]],0)))</f>
        <v>Zane</v>
      </c>
      <c r="F563" s="55" t="str">
        <f>IF($C563="B",INDEX(Batters[[#All],[Last]],MATCH(A563,Batters[[#All],[PID]],0)),INDEX(Table3[[#All],[Last]],MATCH(A563,Table3[[#All],[PID]],0)))</f>
        <v>Steele</v>
      </c>
      <c r="G563" s="56">
        <f>IF($C563="B",INDEX(Batters[[#All],[Age]],MATCH(Table5[[#This Row],[PID]],Batters[[#All],[PID]],0)),INDEX(Table3[[#All],[Age]],MATCH(Table5[[#This Row],[PID]],Table3[[#All],[PID]],0)))</f>
        <v>16</v>
      </c>
      <c r="H563" s="52" t="str">
        <f>IF($C563="B",INDEX(Batters[[#All],[B]],MATCH(Table5[[#This Row],[PID]],Batters[[#All],[PID]],0)),INDEX(Table3[[#All],[B]],MATCH(Table5[[#This Row],[PID]],Table3[[#All],[PID]],0)))</f>
        <v>L</v>
      </c>
      <c r="I563" s="52" t="str">
        <f>IF($C563="B",INDEX(Batters[[#All],[T]],MATCH(Table5[[#This Row],[PID]],Batters[[#All],[PID]],0)),INDEX(Table3[[#All],[T]],MATCH(Table5[[#This Row],[PID]],Table3[[#All],[PID]],0)))</f>
        <v>L</v>
      </c>
      <c r="J563" s="71" t="str">
        <f>IF($C563="B",INDEX(Batters[[#All],[WE]],MATCH(Table5[[#This Row],[PID]],Batters[[#All],[PID]],0)),INDEX(Table3[[#All],[WE]],MATCH(Table5[[#This Row],[PID]],Table3[[#All],[PID]],0)))</f>
        <v>Low</v>
      </c>
      <c r="K563" s="52" t="str">
        <f>IF($C563="B",INDEX(Batters[[#All],[INT]],MATCH(Table5[[#This Row],[PID]],Batters[[#All],[PID]],0)),INDEX(Table3[[#All],[INT]],MATCH(Table5[[#This Row],[PID]],Table3[[#All],[PID]],0)))</f>
        <v>Normal</v>
      </c>
      <c r="L563" s="60">
        <f>IF($C563="B",INDEX(Batters[[#All],[CON P]],MATCH(Table5[[#This Row],[PID]],Batters[[#All],[PID]],0)),INDEX(Table3[[#All],[STU P]],MATCH(Table5[[#This Row],[PID]],Table3[[#All],[PID]],0)))</f>
        <v>4</v>
      </c>
      <c r="M563" s="72">
        <f>IF($C563="B",INDEX(Batters[[#All],[GAP P]],MATCH(Table5[[#This Row],[PID]],Batters[[#All],[PID]],0)),INDEX(Table3[[#All],[MOV P]],MATCH(Table5[[#This Row],[PID]],Table3[[#All],[PID]],0)))</f>
        <v>2</v>
      </c>
      <c r="N563" s="72">
        <f>IF($C563="B",INDEX(Batters[[#All],[POW P]],MATCH(Table5[[#This Row],[PID]],Batters[[#All],[PID]],0)),INDEX(Table3[[#All],[CON P]],MATCH(Table5[[#This Row],[PID]],Table3[[#All],[PID]],0)))</f>
        <v>4</v>
      </c>
      <c r="O563" s="72" t="str">
        <f>IF($C563="B",INDEX(Batters[[#All],[EYE P]],MATCH(Table5[[#This Row],[PID]],Batters[[#All],[PID]],0)),INDEX(Table3[[#All],[VELO]],MATCH(Table5[[#This Row],[PID]],Table3[[#All],[PID]],0)))</f>
        <v>89-91 Mph</v>
      </c>
      <c r="P563" s="56">
        <f>IF($C563="B",INDEX(Batters[[#All],[K P]],MATCH(Table5[[#This Row],[PID]],Batters[[#All],[PID]],0)),INDEX(Table3[[#All],[STM]],MATCH(Table5[[#This Row],[PID]],Table3[[#All],[PID]],0)))</f>
        <v>10</v>
      </c>
      <c r="Q563" s="61">
        <f>IF($C563="B",INDEX(Batters[[#All],[Tot]],MATCH(Table5[[#This Row],[PID]],Batters[[#All],[PID]],0)),INDEX(Table3[[#All],[Tot]],MATCH(Table5[[#This Row],[PID]],Table3[[#All],[PID]],0)))</f>
        <v>38.669261170194098</v>
      </c>
      <c r="R563" s="52">
        <f>IF($C563="B",INDEX(Batters[[#All],[zScore]],MATCH(Table5[[#This Row],[PID]],Batters[[#All],[PID]],0)),INDEX(Table3[[#All],[zScore]],MATCH(Table5[[#This Row],[PID]],Table3[[#All],[PID]],0)))</f>
        <v>0.13674943852587132</v>
      </c>
      <c r="S563" s="78" t="str">
        <f>IF($C563="B",INDEX(Batters[[#All],[DEM]],MATCH(Table5[[#This Row],[PID]],Batters[[#All],[PID]],0)),INDEX(Table3[[#All],[DEM]],MATCH(Table5[[#This Row],[PID]],Table3[[#All],[PID]],0)))</f>
        <v>$38k</v>
      </c>
      <c r="T563" s="75">
        <f>IF($C563="B",INDEX(Batters[[#All],[Rnk]],MATCH(Table5[[#This Row],[PID]],Batters[[#All],[PID]],0)),INDEX(Table3[[#All],[Rnk]],MATCH(Table5[[#This Row],[PID]],Table3[[#All],[PID]],0)))</f>
        <v>280</v>
      </c>
      <c r="U563" s="68">
        <f>IF($C563="B",VLOOKUP($A563,Bat!$A$4:$BA$1621,47,FALSE),VLOOKUP($A563,Pit!$A$4:$BF$1557,56,FALSE))</f>
        <v>0</v>
      </c>
      <c r="V563" s="50">
        <f>IF($C563="B",VLOOKUP($A563,Bat!$A$4:$BA$1621,48,FALSE),VLOOKUP($A563,Pit!$A$4:$BF$1557,57,FALSE))</f>
        <v>0</v>
      </c>
      <c r="W563" s="69">
        <f>Table5[[#This Row],[posRnk]]+Table5[[#This Row],[zRnk]]+IF($W$3&lt;&gt;Table5[[#This Row],[Type]],50,0)</f>
        <v>825</v>
      </c>
      <c r="X563" s="73">
        <f>RANK(Table5[[#This Row],[zScore]],Table5[[#All],[zScore]])</f>
        <v>495</v>
      </c>
      <c r="Y563" s="69">
        <f>IFERROR(INDEX(DraftResults[[#All],[OVR]],MATCH(Table5[[#This Row],[PID]],DraftResults[[#All],[Player ID]],0)),"")</f>
        <v>559</v>
      </c>
      <c r="Z56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3" s="69">
        <f>IFERROR(INDEX(DraftResults[[#All],[Pick in Round]],MATCH(Table5[[#This Row],[PID]],DraftResults[[#All],[Player ID]],0)),"")</f>
        <v>11</v>
      </c>
      <c r="AB563" s="69" t="str">
        <f>IFERROR(INDEX(DraftResults[[#All],[Team Name]],MATCH(Table5[[#This Row],[PID]],DraftResults[[#All],[Player ID]],0)),"")</f>
        <v>Duluth Warriors</v>
      </c>
      <c r="AC563" s="69">
        <f>IF(Table5[[#This Row],[Ovr]]="","",IF(Table5[[#This Row],[cmbList]]="","",Table5[[#This Row],[cmbList]]-Table5[[#This Row],[Ovr]]))</f>
        <v>266</v>
      </c>
      <c r="AD563" s="77" t="str">
        <f>IF(ISERROR(VLOOKUP($AB563&amp;"-"&amp;$E563&amp;" "&amp;F563,Bonuses!$B$1:$G$1006,4,FALSE)),"",INT(VLOOKUP($AB563&amp;"-"&amp;$E563&amp;" "&amp;$F563,Bonuses!$B$1:$G$1006,4,FALSE)))</f>
        <v/>
      </c>
      <c r="AE56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19.11 (559) - SP Zane Steele</v>
      </c>
    </row>
    <row r="564" spans="1:31" s="50" customFormat="1" x14ac:dyDescent="0.25">
      <c r="A564" s="50">
        <v>17580</v>
      </c>
      <c r="B564" s="50">
        <f>COUNTIF(Table5[PID],A564)</f>
        <v>1</v>
      </c>
      <c r="C564" s="50" t="str">
        <f>IF(COUNTIF(Table3[[#All],[PID]],A564)&gt;0,"P","B")</f>
        <v>B</v>
      </c>
      <c r="D564" s="59" t="str">
        <f>IF($C564="B",INDEX(Batters[[#All],[POS]],MATCH(Table5[[#This Row],[PID]],Batters[[#All],[PID]],0)),INDEX(Table3[[#All],[POS]],MATCH(Table5[[#This Row],[PID]],Table3[[#All],[PID]],0)))</f>
        <v>LF</v>
      </c>
      <c r="E564" s="52" t="str">
        <f>IF($C564="B",INDEX(Batters[[#All],[First]],MATCH(Table5[[#This Row],[PID]],Batters[[#All],[PID]],0)),INDEX(Table3[[#All],[First]],MATCH(Table5[[#This Row],[PID]],Table3[[#All],[PID]],0)))</f>
        <v>Steve</v>
      </c>
      <c r="F564" s="50" t="str">
        <f>IF($C564="B",INDEX(Batters[[#All],[Last]],MATCH(A564,Batters[[#All],[PID]],0)),INDEX(Table3[[#All],[Last]],MATCH(A564,Table3[[#All],[PID]],0)))</f>
        <v>Pryor</v>
      </c>
      <c r="G564" s="56">
        <f>IF($C564="B",INDEX(Batters[[#All],[Age]],MATCH(Table5[[#This Row],[PID]],Batters[[#All],[PID]],0)),INDEX(Table3[[#All],[Age]],MATCH(Table5[[#This Row],[PID]],Table3[[#All],[PID]],0)))</f>
        <v>18</v>
      </c>
      <c r="H564" s="52" t="str">
        <f>IF($C564="B",INDEX(Batters[[#All],[B]],MATCH(Table5[[#This Row],[PID]],Batters[[#All],[PID]],0)),INDEX(Table3[[#All],[B]],MATCH(Table5[[#This Row],[PID]],Table3[[#All],[PID]],0)))</f>
        <v>R</v>
      </c>
      <c r="I564" s="52" t="str">
        <f>IF($C564="B",INDEX(Batters[[#All],[T]],MATCH(Table5[[#This Row],[PID]],Batters[[#All],[PID]],0)),INDEX(Table3[[#All],[T]],MATCH(Table5[[#This Row],[PID]],Table3[[#All],[PID]],0)))</f>
        <v>R</v>
      </c>
      <c r="J564" s="52" t="str">
        <f>IF($C564="B",INDEX(Batters[[#All],[WE]],MATCH(Table5[[#This Row],[PID]],Batters[[#All],[PID]],0)),INDEX(Table3[[#All],[WE]],MATCH(Table5[[#This Row],[PID]],Table3[[#All],[PID]],0)))</f>
        <v>Normal</v>
      </c>
      <c r="K564" s="52" t="str">
        <f>IF($C564="B",INDEX(Batters[[#All],[INT]],MATCH(Table5[[#This Row],[PID]],Batters[[#All],[PID]],0)),INDEX(Table3[[#All],[INT]],MATCH(Table5[[#This Row],[PID]],Table3[[#All],[PID]],0)))</f>
        <v>Normal</v>
      </c>
      <c r="L564" s="60">
        <f>IF($C564="B",INDEX(Batters[[#All],[CON P]],MATCH(Table5[[#This Row],[PID]],Batters[[#All],[PID]],0)),INDEX(Table3[[#All],[STU P]],MATCH(Table5[[#This Row],[PID]],Table3[[#All],[PID]],0)))</f>
        <v>3</v>
      </c>
      <c r="M564" s="56">
        <f>IF($C564="B",INDEX(Batters[[#All],[GAP P]],MATCH(Table5[[#This Row],[PID]],Batters[[#All],[PID]],0)),INDEX(Table3[[#All],[MOV P]],MATCH(Table5[[#This Row],[PID]],Table3[[#All],[PID]],0)))</f>
        <v>4</v>
      </c>
      <c r="N564" s="56">
        <f>IF($C564="B",INDEX(Batters[[#All],[POW P]],MATCH(Table5[[#This Row],[PID]],Batters[[#All],[PID]],0)),INDEX(Table3[[#All],[CON P]],MATCH(Table5[[#This Row],[PID]],Table3[[#All],[PID]],0)))</f>
        <v>5</v>
      </c>
      <c r="O564" s="56">
        <f>IF($C564="B",INDEX(Batters[[#All],[EYE P]],MATCH(Table5[[#This Row],[PID]],Batters[[#All],[PID]],0)),INDEX(Table3[[#All],[VELO]],MATCH(Table5[[#This Row],[PID]],Table3[[#All],[PID]],0)))</f>
        <v>5</v>
      </c>
      <c r="P564" s="56">
        <f>IF($C564="B",INDEX(Batters[[#All],[K P]],MATCH(Table5[[#This Row],[PID]],Batters[[#All],[PID]],0)),INDEX(Table3[[#All],[STM]],MATCH(Table5[[#This Row],[PID]],Table3[[#All],[PID]],0)))</f>
        <v>3</v>
      </c>
      <c r="Q564" s="61">
        <f>IF($C564="B",INDEX(Batters[[#All],[Tot]],MATCH(Table5[[#This Row],[PID]],Batters[[#All],[PID]],0)),INDEX(Table3[[#All],[Tot]],MATCH(Table5[[#This Row],[PID]],Table3[[#All],[PID]],0)))</f>
        <v>43.620649620843452</v>
      </c>
      <c r="R564" s="52">
        <f>IF($C564="B",INDEX(Batters[[#All],[zScore]],MATCH(Table5[[#This Row],[PID]],Batters[[#All],[PID]],0)),INDEX(Table3[[#All],[zScore]],MATCH(Table5[[#This Row],[PID]],Table3[[#All],[PID]],0)))</f>
        <v>-0.11335647134558453</v>
      </c>
      <c r="S564" s="58" t="str">
        <f>IF($C564="B",INDEX(Batters[[#All],[DEM]],MATCH(Table5[[#This Row],[PID]],Batters[[#All],[PID]],0)),INDEX(Table3[[#All],[DEM]],MATCH(Table5[[#This Row],[PID]],Table3[[#All],[PID]],0)))</f>
        <v>$65k</v>
      </c>
      <c r="T564" s="62">
        <f>IF($C564="B",INDEX(Batters[[#All],[Rnk]],MATCH(Table5[[#This Row],[PID]],Batters[[#All],[PID]],0)),INDEX(Table3[[#All],[Rnk]],MATCH(Table5[[#This Row],[PID]],Table3[[#All],[PID]],0)))</f>
        <v>262</v>
      </c>
      <c r="U564" s="68">
        <f>IF($C564="B",VLOOKUP($A564,Bat!$A$4:$BA$1621,47,FALSE),VLOOKUP($A564,Pit!$A$4:$BF$1557,56,FALSE))</f>
        <v>0</v>
      </c>
      <c r="V564" s="50">
        <f>IF($C564="B",VLOOKUP($A564,Bat!$A$4:$BA$1621,48,FALSE),VLOOKUP($A564,Pit!$A$4:$BF$1557,57,FALSE))</f>
        <v>0</v>
      </c>
      <c r="W564" s="50">
        <f>Table5[[#This Row],[posRnk]]+Table5[[#This Row],[zRnk]]+IF($W$3&lt;&gt;Table5[[#This Row],[Type]],50,0)</f>
        <v>917</v>
      </c>
      <c r="X564" s="51">
        <f>RANK(Table5[[#This Row],[zScore]],Table5[[#All],[zScore]])</f>
        <v>605</v>
      </c>
      <c r="Y564" s="50">
        <f>IFERROR(INDEX(DraftResults[[#All],[OVR]],MATCH(Table5[[#This Row],[PID]],DraftResults[[#All],[Player ID]],0)),"")</f>
        <v>560</v>
      </c>
      <c r="Z5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4" s="50">
        <f>IFERROR(INDEX(DraftResults[[#All],[Pick in Round]],MATCH(Table5[[#This Row],[PID]],DraftResults[[#All],[Player ID]],0)),"")</f>
        <v>12</v>
      </c>
      <c r="AB564" s="50" t="str">
        <f>IFERROR(INDEX(DraftResults[[#All],[Team Name]],MATCH(Table5[[#This Row],[PID]],DraftResults[[#All],[Player ID]],0)),"")</f>
        <v>Palm Springs Codgers</v>
      </c>
      <c r="AC564" s="50">
        <f>IF(Table5[[#This Row],[Ovr]]="","",IF(Table5[[#This Row],[cmbList]]="","",Table5[[#This Row],[cmbList]]-Table5[[#This Row],[Ovr]]))</f>
        <v>357</v>
      </c>
      <c r="AD564" s="54" t="str">
        <f>IF(ISERROR(VLOOKUP($AB564&amp;"-"&amp;$E564&amp;" "&amp;F564,Bonuses!$B$1:$G$1006,4,FALSE)),"",INT(VLOOKUP($AB564&amp;"-"&amp;$E564&amp;" "&amp;$F564,Bonuses!$B$1:$G$1006,4,FALSE)))</f>
        <v/>
      </c>
      <c r="AE5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19.12 (560) - LF Steve Pryor</v>
      </c>
    </row>
    <row r="565" spans="1:31" s="50" customFormat="1" x14ac:dyDescent="0.25">
      <c r="A565" s="50">
        <v>17858</v>
      </c>
      <c r="B565" s="50">
        <f>COUNTIF(Table5[PID],A565)</f>
        <v>1</v>
      </c>
      <c r="C565" s="50" t="str">
        <f>IF(COUNTIF(Table3[[#All],[PID]],A565)&gt;0,"P","B")</f>
        <v>P</v>
      </c>
      <c r="D565" s="59" t="str">
        <f>IF($C565="B",INDEX(Batters[[#All],[POS]],MATCH(Table5[[#This Row],[PID]],Batters[[#All],[PID]],0)),INDEX(Table3[[#All],[POS]],MATCH(Table5[[#This Row],[PID]],Table3[[#All],[PID]],0)))</f>
        <v>RP</v>
      </c>
      <c r="E565" s="52" t="str">
        <f>IF($C565="B",INDEX(Batters[[#All],[First]],MATCH(Table5[[#This Row],[PID]],Batters[[#All],[PID]],0)),INDEX(Table3[[#All],[First]],MATCH(Table5[[#This Row],[PID]],Table3[[#All],[PID]],0)))</f>
        <v>Nathan</v>
      </c>
      <c r="F565" s="50" t="str">
        <f>IF($C565="B",INDEX(Batters[[#All],[Last]],MATCH(A565,Batters[[#All],[PID]],0)),INDEX(Table3[[#All],[Last]],MATCH(A565,Table3[[#All],[PID]],0)))</f>
        <v>MacRuer</v>
      </c>
      <c r="G565" s="56">
        <f>IF($C565="B",INDEX(Batters[[#All],[Age]],MATCH(Table5[[#This Row],[PID]],Batters[[#All],[PID]],0)),INDEX(Table3[[#All],[Age]],MATCH(Table5[[#This Row],[PID]],Table3[[#All],[PID]],0)))</f>
        <v>18</v>
      </c>
      <c r="H565" s="52" t="str">
        <f>IF($C565="B",INDEX(Batters[[#All],[B]],MATCH(Table5[[#This Row],[PID]],Batters[[#All],[PID]],0)),INDEX(Table3[[#All],[B]],MATCH(Table5[[#This Row],[PID]],Table3[[#All],[PID]],0)))</f>
        <v>R</v>
      </c>
      <c r="I565" s="52" t="str">
        <f>IF($C565="B",INDEX(Batters[[#All],[T]],MATCH(Table5[[#This Row],[PID]],Batters[[#All],[PID]],0)),INDEX(Table3[[#All],[T]],MATCH(Table5[[#This Row],[PID]],Table3[[#All],[PID]],0)))</f>
        <v>R</v>
      </c>
      <c r="J565" s="52" t="str">
        <f>IF($C565="B",INDEX(Batters[[#All],[WE]],MATCH(Table5[[#This Row],[PID]],Batters[[#All],[PID]],0)),INDEX(Table3[[#All],[WE]],MATCH(Table5[[#This Row],[PID]],Table3[[#All],[PID]],0)))</f>
        <v>High</v>
      </c>
      <c r="K565" s="52" t="str">
        <f>IF($C565="B",INDEX(Batters[[#All],[INT]],MATCH(Table5[[#This Row],[PID]],Batters[[#All],[PID]],0)),INDEX(Table3[[#All],[INT]],MATCH(Table5[[#This Row],[PID]],Table3[[#All],[PID]],0)))</f>
        <v>High</v>
      </c>
      <c r="L565" s="60">
        <f>IF($C565="B",INDEX(Batters[[#All],[CON P]],MATCH(Table5[[#This Row],[PID]],Batters[[#All],[PID]],0)),INDEX(Table3[[#All],[STU P]],MATCH(Table5[[#This Row],[PID]],Table3[[#All],[PID]],0)))</f>
        <v>6</v>
      </c>
      <c r="M565" s="56">
        <f>IF($C565="B",INDEX(Batters[[#All],[GAP P]],MATCH(Table5[[#This Row],[PID]],Batters[[#All],[PID]],0)),INDEX(Table3[[#All],[MOV P]],MATCH(Table5[[#This Row],[PID]],Table3[[#All],[PID]],0)))</f>
        <v>1</v>
      </c>
      <c r="N565" s="56">
        <f>IF($C565="B",INDEX(Batters[[#All],[POW P]],MATCH(Table5[[#This Row],[PID]],Batters[[#All],[PID]],0)),INDEX(Table3[[#All],[CON P]],MATCH(Table5[[#This Row],[PID]],Table3[[#All],[PID]],0)))</f>
        <v>3</v>
      </c>
      <c r="O565" s="56" t="str">
        <f>IF($C565="B",INDEX(Batters[[#All],[EYE P]],MATCH(Table5[[#This Row],[PID]],Batters[[#All],[PID]],0)),INDEX(Table3[[#All],[VELO]],MATCH(Table5[[#This Row],[PID]],Table3[[#All],[PID]],0)))</f>
        <v>91-93 Mph</v>
      </c>
      <c r="P565" s="56">
        <f>IF($C565="B",INDEX(Batters[[#All],[K P]],MATCH(Table5[[#This Row],[PID]],Batters[[#All],[PID]],0)),INDEX(Table3[[#All],[STM]],MATCH(Table5[[#This Row],[PID]],Table3[[#All],[PID]],0)))</f>
        <v>5</v>
      </c>
      <c r="Q565" s="61">
        <f>IF($C565="B",INDEX(Batters[[#All],[Tot]],MATCH(Table5[[#This Row],[PID]],Batters[[#All],[PID]],0)),INDEX(Table3[[#All],[Tot]],MATCH(Table5[[#This Row],[PID]],Table3[[#All],[PID]],0)))</f>
        <v>40.452286596635062</v>
      </c>
      <c r="R565" s="52">
        <f>IF($C565="B",INDEX(Batters[[#All],[zScore]],MATCH(Table5[[#This Row],[PID]],Batters[[#All],[PID]],0)),INDEX(Table3[[#All],[zScore]],MATCH(Table5[[#This Row],[PID]],Table3[[#All],[PID]],0)))</f>
        <v>0.18142217712183401</v>
      </c>
      <c r="S565" s="58" t="str">
        <f>IF($C565="B",INDEX(Batters[[#All],[DEM]],MATCH(Table5[[#This Row],[PID]],Batters[[#All],[PID]],0)),INDEX(Table3[[#All],[DEM]],MATCH(Table5[[#This Row],[PID]],Table3[[#All],[PID]],0)))</f>
        <v>$95k</v>
      </c>
      <c r="T565" s="62">
        <f>IF($C565="B",INDEX(Batters[[#All],[Rnk]],MATCH(Table5[[#This Row],[PID]],Batters[[#All],[PID]],0)),INDEX(Table3[[#All],[Rnk]],MATCH(Table5[[#This Row],[PID]],Table3[[#All],[PID]],0)))</f>
        <v>271</v>
      </c>
      <c r="U565" s="68">
        <f>IF($C565="B",VLOOKUP($A565,Bat!$A$4:$BA$1621,47,FALSE),VLOOKUP($A565,Pit!$A$4:$BF$1557,56,FALSE))</f>
        <v>0</v>
      </c>
      <c r="V565" s="50">
        <f>IF($C565="B",VLOOKUP($A565,Bat!$A$4:$BA$1621,48,FALSE),VLOOKUP($A565,Pit!$A$4:$BF$1557,57,FALSE))</f>
        <v>0</v>
      </c>
      <c r="W565" s="50">
        <f>Table5[[#This Row],[posRnk]]+Table5[[#This Row],[zRnk]]+IF($W$3&lt;&gt;Table5[[#This Row],[Type]],50,0)</f>
        <v>800</v>
      </c>
      <c r="X565" s="51">
        <f>RANK(Table5[[#This Row],[zScore]],Table5[[#All],[zScore]])</f>
        <v>479</v>
      </c>
      <c r="Y565" s="50">
        <f>IFERROR(INDEX(DraftResults[[#All],[OVR]],MATCH(Table5[[#This Row],[PID]],DraftResults[[#All],[Player ID]],0)),"")</f>
        <v>561</v>
      </c>
      <c r="Z5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5" s="50">
        <f>IFERROR(INDEX(DraftResults[[#All],[Pick in Round]],MATCH(Table5[[#This Row],[PID]],DraftResults[[#All],[Player ID]],0)),"")</f>
        <v>13</v>
      </c>
      <c r="AB565" s="50" t="str">
        <f>IFERROR(INDEX(DraftResults[[#All],[Team Name]],MATCH(Table5[[#This Row],[PID]],DraftResults[[#All],[Player ID]],0)),"")</f>
        <v>Crystal Lake Sandgnats</v>
      </c>
      <c r="AC565" s="50">
        <f>IF(Table5[[#This Row],[Ovr]]="","",IF(Table5[[#This Row],[cmbList]]="","",Table5[[#This Row],[cmbList]]-Table5[[#This Row],[Ovr]]))</f>
        <v>239</v>
      </c>
      <c r="AD565" s="54" t="str">
        <f>IF(ISERROR(VLOOKUP($AB565&amp;"-"&amp;$E565&amp;" "&amp;F565,Bonuses!$B$1:$G$1006,4,FALSE)),"",INT(VLOOKUP($AB565&amp;"-"&amp;$E565&amp;" "&amp;$F565,Bonuses!$B$1:$G$1006,4,FALSE)))</f>
        <v/>
      </c>
      <c r="AE5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19.13 (561) - RP Nathan MacRuer</v>
      </c>
    </row>
    <row r="566" spans="1:31" s="50" customFormat="1" x14ac:dyDescent="0.25">
      <c r="A566" s="68">
        <v>18369</v>
      </c>
      <c r="B566" s="69">
        <f>COUNTIF(Table5[PID],A566)</f>
        <v>1</v>
      </c>
      <c r="C566" s="69" t="str">
        <f>IF(COUNTIF(Table3[[#All],[PID]],A566)&gt;0,"P","B")</f>
        <v>P</v>
      </c>
      <c r="D566" s="59" t="str">
        <f>IF($C566="B",INDEX(Batters[[#All],[POS]],MATCH(Table5[[#This Row],[PID]],Batters[[#All],[PID]],0)),INDEX(Table3[[#All],[POS]],MATCH(Table5[[#This Row],[PID]],Table3[[#All],[PID]],0)))</f>
        <v>SP</v>
      </c>
      <c r="E566" s="52" t="str">
        <f>IF($C566="B",INDEX(Batters[[#All],[First]],MATCH(Table5[[#This Row],[PID]],Batters[[#All],[PID]],0)),INDEX(Table3[[#All],[First]],MATCH(Table5[[#This Row],[PID]],Table3[[#All],[PID]],0)))</f>
        <v>Ludovico</v>
      </c>
      <c r="F566" s="55" t="str">
        <f>IF($C566="B",INDEX(Batters[[#All],[Last]],MATCH(A566,Batters[[#All],[PID]],0)),INDEX(Table3[[#All],[Last]],MATCH(A566,Table3[[#All],[PID]],0)))</f>
        <v>Lugo</v>
      </c>
      <c r="G566" s="56">
        <f>IF($C566="B",INDEX(Batters[[#All],[Age]],MATCH(Table5[[#This Row],[PID]],Batters[[#All],[PID]],0)),INDEX(Table3[[#All],[Age]],MATCH(Table5[[#This Row],[PID]],Table3[[#All],[PID]],0)))</f>
        <v>18</v>
      </c>
      <c r="H566" s="52" t="str">
        <f>IF($C566="B",INDEX(Batters[[#All],[B]],MATCH(Table5[[#This Row],[PID]],Batters[[#All],[PID]],0)),INDEX(Table3[[#All],[B]],MATCH(Table5[[#This Row],[PID]],Table3[[#All],[PID]],0)))</f>
        <v>R</v>
      </c>
      <c r="I566" s="52" t="str">
        <f>IF($C566="B",INDEX(Batters[[#All],[T]],MATCH(Table5[[#This Row],[PID]],Batters[[#All],[PID]],0)),INDEX(Table3[[#All],[T]],MATCH(Table5[[#This Row],[PID]],Table3[[#All],[PID]],0)))</f>
        <v>L</v>
      </c>
      <c r="J566" s="71" t="str">
        <f>IF($C566="B",INDEX(Batters[[#All],[WE]],MATCH(Table5[[#This Row],[PID]],Batters[[#All],[PID]],0)),INDEX(Table3[[#All],[WE]],MATCH(Table5[[#This Row],[PID]],Table3[[#All],[PID]],0)))</f>
        <v>High</v>
      </c>
      <c r="K566" s="52" t="str">
        <f>IF($C566="B",INDEX(Batters[[#All],[INT]],MATCH(Table5[[#This Row],[PID]],Batters[[#All],[PID]],0)),INDEX(Table3[[#All],[INT]],MATCH(Table5[[#This Row],[PID]],Table3[[#All],[PID]],0)))</f>
        <v>Normal</v>
      </c>
      <c r="L566" s="60">
        <f>IF($C566="B",INDEX(Batters[[#All],[CON P]],MATCH(Table5[[#This Row],[PID]],Batters[[#All],[PID]],0)),INDEX(Table3[[#All],[STU P]],MATCH(Table5[[#This Row],[PID]],Table3[[#All],[PID]],0)))</f>
        <v>4</v>
      </c>
      <c r="M566" s="72">
        <f>IF($C566="B",INDEX(Batters[[#All],[GAP P]],MATCH(Table5[[#This Row],[PID]],Batters[[#All],[PID]],0)),INDEX(Table3[[#All],[MOV P]],MATCH(Table5[[#This Row],[PID]],Table3[[#All],[PID]],0)))</f>
        <v>2</v>
      </c>
      <c r="N566" s="72">
        <f>IF($C566="B",INDEX(Batters[[#All],[POW P]],MATCH(Table5[[#This Row],[PID]],Batters[[#All],[PID]],0)),INDEX(Table3[[#All],[CON P]],MATCH(Table5[[#This Row],[PID]],Table3[[#All],[PID]],0)))</f>
        <v>6</v>
      </c>
      <c r="O566" s="72" t="str">
        <f>IF($C566="B",INDEX(Batters[[#All],[EYE P]],MATCH(Table5[[#This Row],[PID]],Batters[[#All],[PID]],0)),INDEX(Table3[[#All],[VELO]],MATCH(Table5[[#This Row],[PID]],Table3[[#All],[PID]],0)))</f>
        <v>89-91 Mph</v>
      </c>
      <c r="P566" s="56">
        <f>IF($C566="B",INDEX(Batters[[#All],[K P]],MATCH(Table5[[#This Row],[PID]],Batters[[#All],[PID]],0)),INDEX(Table3[[#All],[STM]],MATCH(Table5[[#This Row],[PID]],Table3[[#All],[PID]],0)))</f>
        <v>7</v>
      </c>
      <c r="Q566" s="61">
        <f>IF($C566="B",INDEX(Batters[[#All],[Tot]],MATCH(Table5[[#This Row],[PID]],Batters[[#All],[PID]],0)),INDEX(Table3[[#All],[Tot]],MATCH(Table5[[#This Row],[PID]],Table3[[#All],[PID]],0)))</f>
        <v>49.848098382066169</v>
      </c>
      <c r="R566" s="52">
        <f>IF($C566="B",INDEX(Batters[[#All],[zScore]],MATCH(Table5[[#This Row],[PID]],Batters[[#All],[PID]],0)),INDEX(Table3[[#All],[zScore]],MATCH(Table5[[#This Row],[PID]],Table3[[#All],[PID]],0)))</f>
        <v>0.92990652846612998</v>
      </c>
      <c r="S566" s="78" t="str">
        <f>IF($C566="B",INDEX(Batters[[#All],[DEM]],MATCH(Table5[[#This Row],[PID]],Batters[[#All],[PID]],0)),INDEX(Table3[[#All],[DEM]],MATCH(Table5[[#This Row],[PID]],Table3[[#All],[PID]],0)))</f>
        <v>$190k</v>
      </c>
      <c r="T566" s="75">
        <f>IF($C566="B",INDEX(Batters[[#All],[Rnk]],MATCH(Table5[[#This Row],[PID]],Batters[[#All],[PID]],0)),INDEX(Table3[[#All],[Rnk]],MATCH(Table5[[#This Row],[PID]],Table3[[#All],[PID]],0)))</f>
        <v>148</v>
      </c>
      <c r="U566" s="68">
        <f>IF($C566="B",VLOOKUP($A566,Bat!$A$4:$BA$1621,47,FALSE),VLOOKUP($A566,Pit!$A$4:$BF$1557,56,FALSE))</f>
        <v>0</v>
      </c>
      <c r="V566" s="50">
        <f>IF($C566="B",VLOOKUP($A566,Bat!$A$4:$BA$1621,48,FALSE),VLOOKUP($A566,Pit!$A$4:$BF$1557,57,FALSE))</f>
        <v>0</v>
      </c>
      <c r="W566" s="69">
        <f>Table5[[#This Row],[posRnk]]+Table5[[#This Row],[zRnk]]+IF($W$3&lt;&gt;Table5[[#This Row],[Type]],50,0)</f>
        <v>443</v>
      </c>
      <c r="X566" s="73">
        <f>RANK(Table5[[#This Row],[zScore]],Table5[[#All],[zScore]])</f>
        <v>245</v>
      </c>
      <c r="Y566" s="69">
        <f>IFERROR(INDEX(DraftResults[[#All],[OVR]],MATCH(Table5[[#This Row],[PID]],DraftResults[[#All],[Player ID]],0)),"")</f>
        <v>562</v>
      </c>
      <c r="Z56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6" s="69">
        <f>IFERROR(INDEX(DraftResults[[#All],[Pick in Round]],MATCH(Table5[[#This Row],[PID]],DraftResults[[#All],[Player ID]],0)),"")</f>
        <v>14</v>
      </c>
      <c r="AB566" s="69" t="str">
        <f>IFERROR(INDEX(DraftResults[[#All],[Team Name]],MATCH(Table5[[#This Row],[PID]],DraftResults[[#All],[Player ID]],0)),"")</f>
        <v>Arlington Bureaucrats</v>
      </c>
      <c r="AC566" s="69">
        <f>IF(Table5[[#This Row],[Ovr]]="","",IF(Table5[[#This Row],[cmbList]]="","",Table5[[#This Row],[cmbList]]-Table5[[#This Row],[Ovr]]))</f>
        <v>-119</v>
      </c>
      <c r="AD566" s="77" t="str">
        <f>IF(ISERROR(VLOOKUP($AB566&amp;"-"&amp;$E566&amp;" "&amp;F566,Bonuses!$B$1:$G$1006,4,FALSE)),"",INT(VLOOKUP($AB566&amp;"-"&amp;$E566&amp;" "&amp;$F566,Bonuses!$B$1:$G$1006,4,FALSE)))</f>
        <v/>
      </c>
      <c r="AE56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19.14 (562) - SP Ludovico Lugo</v>
      </c>
    </row>
    <row r="567" spans="1:31" s="50" customFormat="1" x14ac:dyDescent="0.25">
      <c r="A567" s="68">
        <v>21077</v>
      </c>
      <c r="B567" s="69">
        <f>COUNTIF(Table5[PID],A567)</f>
        <v>1</v>
      </c>
      <c r="C567" s="69" t="str">
        <f>IF(COUNTIF(Table3[[#All],[PID]],A567)&gt;0,"P","B")</f>
        <v>P</v>
      </c>
      <c r="D567" s="59" t="str">
        <f>IF($C567="B",INDEX(Batters[[#All],[POS]],MATCH(Table5[[#This Row],[PID]],Batters[[#All],[PID]],0)),INDEX(Table3[[#All],[POS]],MATCH(Table5[[#This Row],[PID]],Table3[[#All],[PID]],0)))</f>
        <v>SP</v>
      </c>
      <c r="E567" s="52" t="str">
        <f>IF($C567="B",INDEX(Batters[[#All],[First]],MATCH(Table5[[#This Row],[PID]],Batters[[#All],[PID]],0)),INDEX(Table3[[#All],[First]],MATCH(Table5[[#This Row],[PID]],Table3[[#All],[PID]],0)))</f>
        <v>Quinn</v>
      </c>
      <c r="F567" s="55" t="str">
        <f>IF($C567="B",INDEX(Batters[[#All],[Last]],MATCH(A567,Batters[[#All],[PID]],0)),INDEX(Table3[[#All],[Last]],MATCH(A567,Table3[[#All],[PID]],0)))</f>
        <v>Tomlinson</v>
      </c>
      <c r="G567" s="56">
        <f>IF($C567="B",INDEX(Batters[[#All],[Age]],MATCH(Table5[[#This Row],[PID]],Batters[[#All],[PID]],0)),INDEX(Table3[[#All],[Age]],MATCH(Table5[[#This Row],[PID]],Table3[[#All],[PID]],0)))</f>
        <v>17</v>
      </c>
      <c r="H567" s="52" t="str">
        <f>IF($C567="B",INDEX(Batters[[#All],[B]],MATCH(Table5[[#This Row],[PID]],Batters[[#All],[PID]],0)),INDEX(Table3[[#All],[B]],MATCH(Table5[[#This Row],[PID]],Table3[[#All],[PID]],0)))</f>
        <v>L</v>
      </c>
      <c r="I567" s="52" t="str">
        <f>IF($C567="B",INDEX(Batters[[#All],[T]],MATCH(Table5[[#This Row],[PID]],Batters[[#All],[PID]],0)),INDEX(Table3[[#All],[T]],MATCH(Table5[[#This Row],[PID]],Table3[[#All],[PID]],0)))</f>
        <v>R</v>
      </c>
      <c r="J567" s="71" t="str">
        <f>IF($C567="B",INDEX(Batters[[#All],[WE]],MATCH(Table5[[#This Row],[PID]],Batters[[#All],[PID]],0)),INDEX(Table3[[#All],[WE]],MATCH(Table5[[#This Row],[PID]],Table3[[#All],[PID]],0)))</f>
        <v>Low</v>
      </c>
      <c r="K567" s="52" t="str">
        <f>IF($C567="B",INDEX(Batters[[#All],[INT]],MATCH(Table5[[#This Row],[PID]],Batters[[#All],[PID]],0)),INDEX(Table3[[#All],[INT]],MATCH(Table5[[#This Row],[PID]],Table3[[#All],[PID]],0)))</f>
        <v>Normal</v>
      </c>
      <c r="L567" s="60">
        <f>IF($C567="B",INDEX(Batters[[#All],[CON P]],MATCH(Table5[[#This Row],[PID]],Batters[[#All],[PID]],0)),INDEX(Table3[[#All],[STU P]],MATCH(Table5[[#This Row],[PID]],Table3[[#All],[PID]],0)))</f>
        <v>4</v>
      </c>
      <c r="M567" s="72">
        <f>IF($C567="B",INDEX(Batters[[#All],[GAP P]],MATCH(Table5[[#This Row],[PID]],Batters[[#All],[PID]],0)),INDEX(Table3[[#All],[MOV P]],MATCH(Table5[[#This Row],[PID]],Table3[[#All],[PID]],0)))</f>
        <v>2</v>
      </c>
      <c r="N567" s="72">
        <f>IF($C567="B",INDEX(Batters[[#All],[POW P]],MATCH(Table5[[#This Row],[PID]],Batters[[#All],[PID]],0)),INDEX(Table3[[#All],[CON P]],MATCH(Table5[[#This Row],[PID]],Table3[[#All],[PID]],0)))</f>
        <v>4</v>
      </c>
      <c r="O567" s="72" t="str">
        <f>IF($C567="B",INDEX(Batters[[#All],[EYE P]],MATCH(Table5[[#This Row],[PID]],Batters[[#All],[PID]],0)),INDEX(Table3[[#All],[VELO]],MATCH(Table5[[#This Row],[PID]],Table3[[#All],[PID]],0)))</f>
        <v>90-92 Mph</v>
      </c>
      <c r="P567" s="56">
        <f>IF($C567="B",INDEX(Batters[[#All],[K P]],MATCH(Table5[[#This Row],[PID]],Batters[[#All],[PID]],0)),INDEX(Table3[[#All],[STM]],MATCH(Table5[[#This Row],[PID]],Table3[[#All],[PID]],0)))</f>
        <v>10</v>
      </c>
      <c r="Q567" s="61">
        <f>IF($C567="B",INDEX(Batters[[#All],[Tot]],MATCH(Table5[[#This Row],[PID]],Batters[[#All],[PID]],0)),INDEX(Table3[[#All],[Tot]],MATCH(Table5[[#This Row],[PID]],Table3[[#All],[PID]],0)))</f>
        <v>39.545749891592763</v>
      </c>
      <c r="R567" s="52">
        <f>IF($C567="B",INDEX(Batters[[#All],[zScore]],MATCH(Table5[[#This Row],[PID]],Batters[[#All],[PID]],0)),INDEX(Table3[[#All],[zScore]],MATCH(Table5[[#This Row],[PID]],Table3[[#All],[PID]],0)))</f>
        <v>0.20017432333355592</v>
      </c>
      <c r="S567" s="78" t="str">
        <f>IF($C567="B",INDEX(Batters[[#All],[DEM]],MATCH(Table5[[#This Row],[PID]],Batters[[#All],[PID]],0)),INDEX(Table3[[#All],[DEM]],MATCH(Table5[[#This Row],[PID]],Table3[[#All],[PID]],0)))</f>
        <v>$75k</v>
      </c>
      <c r="T567" s="75">
        <f>IF($C567="B",INDEX(Batters[[#All],[Rnk]],MATCH(Table5[[#This Row],[PID]],Batters[[#All],[PID]],0)),INDEX(Table3[[#All],[Rnk]],MATCH(Table5[[#This Row],[PID]],Table3[[#All],[PID]],0)))</f>
        <v>265</v>
      </c>
      <c r="U567" s="68">
        <f>IF($C567="B",VLOOKUP($A567,Bat!$A$4:$BA$1621,47,FALSE),VLOOKUP($A567,Pit!$A$4:$BF$1557,56,FALSE))</f>
        <v>0</v>
      </c>
      <c r="V567" s="50">
        <f>IF($C567="B",VLOOKUP($A567,Bat!$A$4:$BA$1621,48,FALSE),VLOOKUP($A567,Pit!$A$4:$BF$1557,57,FALSE))</f>
        <v>0</v>
      </c>
      <c r="W567" s="69">
        <f>Table5[[#This Row],[posRnk]]+Table5[[#This Row],[zRnk]]+IF($W$3&lt;&gt;Table5[[#This Row],[Type]],50,0)</f>
        <v>782</v>
      </c>
      <c r="X567" s="73">
        <f>RANK(Table5[[#This Row],[zScore]],Table5[[#All],[zScore]])</f>
        <v>467</v>
      </c>
      <c r="Y567" s="69">
        <f>IFERROR(INDEX(DraftResults[[#All],[OVR]],MATCH(Table5[[#This Row],[PID]],DraftResults[[#All],[Player ID]],0)),"")</f>
        <v>563</v>
      </c>
      <c r="Z56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7" s="69">
        <f>IFERROR(INDEX(DraftResults[[#All],[Pick in Round]],MATCH(Table5[[#This Row],[PID]],DraftResults[[#All],[Player ID]],0)),"")</f>
        <v>15</v>
      </c>
      <c r="AB567" s="69" t="str">
        <f>IFERROR(INDEX(DraftResults[[#All],[Team Name]],MATCH(Table5[[#This Row],[PID]],DraftResults[[#All],[Player ID]],0)),"")</f>
        <v>Kentucky Thoroughbreds</v>
      </c>
      <c r="AC567" s="69">
        <f>IF(Table5[[#This Row],[Ovr]]="","",IF(Table5[[#This Row],[cmbList]]="","",Table5[[#This Row],[cmbList]]-Table5[[#This Row],[Ovr]]))</f>
        <v>219</v>
      </c>
      <c r="AD567" s="77" t="str">
        <f>IF(ISERROR(VLOOKUP($AB567&amp;"-"&amp;$E567&amp;" "&amp;F567,Bonuses!$B$1:$G$1006,4,FALSE)),"",INT(VLOOKUP($AB567&amp;"-"&amp;$E567&amp;" "&amp;$F567,Bonuses!$B$1:$G$1006,4,FALSE)))</f>
        <v/>
      </c>
      <c r="AE56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19.15 (563) - SP Quinn Tomlinson</v>
      </c>
    </row>
    <row r="568" spans="1:31" s="50" customFormat="1" x14ac:dyDescent="0.25">
      <c r="A568" s="68">
        <v>20503</v>
      </c>
      <c r="B568" s="69">
        <f>COUNTIF(Table5[PID],A568)</f>
        <v>1</v>
      </c>
      <c r="C568" s="69" t="str">
        <f>IF(COUNTIF(Table3[[#All],[PID]],A568)&gt;0,"P","B")</f>
        <v>P</v>
      </c>
      <c r="D568" s="59" t="str">
        <f>IF($C568="B",INDEX(Batters[[#All],[POS]],MATCH(Table5[[#This Row],[PID]],Batters[[#All],[PID]],0)),INDEX(Table3[[#All],[POS]],MATCH(Table5[[#This Row],[PID]],Table3[[#All],[PID]],0)))</f>
        <v>SP</v>
      </c>
      <c r="E568" s="52" t="str">
        <f>IF($C568="B",INDEX(Batters[[#All],[First]],MATCH(Table5[[#This Row],[PID]],Batters[[#All],[PID]],0)),INDEX(Table3[[#All],[First]],MATCH(Table5[[#This Row],[PID]],Table3[[#All],[PID]],0)))</f>
        <v>Malibok</v>
      </c>
      <c r="F568" s="55" t="str">
        <f>IF($C568="B",INDEX(Batters[[#All],[Last]],MATCH(A568,Batters[[#All],[PID]],0)),INDEX(Table3[[#All],[Last]],MATCH(A568,Table3[[#All],[PID]],0)))</f>
        <v>Belgica</v>
      </c>
      <c r="G568" s="56">
        <f>IF($C568="B",INDEX(Batters[[#All],[Age]],MATCH(Table5[[#This Row],[PID]],Batters[[#All],[PID]],0)),INDEX(Table3[[#All],[Age]],MATCH(Table5[[#This Row],[PID]],Table3[[#All],[PID]],0)))</f>
        <v>16</v>
      </c>
      <c r="H568" s="52" t="str">
        <f>IF($C568="B",INDEX(Batters[[#All],[B]],MATCH(Table5[[#This Row],[PID]],Batters[[#All],[PID]],0)),INDEX(Table3[[#All],[B]],MATCH(Table5[[#This Row],[PID]],Table3[[#All],[PID]],0)))</f>
        <v>S</v>
      </c>
      <c r="I568" s="52" t="str">
        <f>IF($C568="B",INDEX(Batters[[#All],[T]],MATCH(Table5[[#This Row],[PID]],Batters[[#All],[PID]],0)),INDEX(Table3[[#All],[T]],MATCH(Table5[[#This Row],[PID]],Table3[[#All],[PID]],0)))</f>
        <v>R</v>
      </c>
      <c r="J568" s="71" t="str">
        <f>IF($C568="B",INDEX(Batters[[#All],[WE]],MATCH(Table5[[#This Row],[PID]],Batters[[#All],[PID]],0)),INDEX(Table3[[#All],[WE]],MATCH(Table5[[#This Row],[PID]],Table3[[#All],[PID]],0)))</f>
        <v>Normal</v>
      </c>
      <c r="K568" s="52" t="str">
        <f>IF($C568="B",INDEX(Batters[[#All],[INT]],MATCH(Table5[[#This Row],[PID]],Batters[[#All],[PID]],0)),INDEX(Table3[[#All],[INT]],MATCH(Table5[[#This Row],[PID]],Table3[[#All],[PID]],0)))</f>
        <v>Low</v>
      </c>
      <c r="L568" s="60">
        <f>IF($C568="B",INDEX(Batters[[#All],[CON P]],MATCH(Table5[[#This Row],[PID]],Batters[[#All],[PID]],0)),INDEX(Table3[[#All],[STU P]],MATCH(Table5[[#This Row],[PID]],Table3[[#All],[PID]],0)))</f>
        <v>4</v>
      </c>
      <c r="M568" s="72">
        <f>IF($C568="B",INDEX(Batters[[#All],[GAP P]],MATCH(Table5[[#This Row],[PID]],Batters[[#All],[PID]],0)),INDEX(Table3[[#All],[MOV P]],MATCH(Table5[[#This Row],[PID]],Table3[[#All],[PID]],0)))</f>
        <v>2</v>
      </c>
      <c r="N568" s="72">
        <f>IF($C568="B",INDEX(Batters[[#All],[POW P]],MATCH(Table5[[#This Row],[PID]],Batters[[#All],[PID]],0)),INDEX(Table3[[#All],[CON P]],MATCH(Table5[[#This Row],[PID]],Table3[[#All],[PID]],0)))</f>
        <v>4</v>
      </c>
      <c r="O568" s="72" t="str">
        <f>IF($C568="B",INDEX(Batters[[#All],[EYE P]],MATCH(Table5[[#This Row],[PID]],Batters[[#All],[PID]],0)),INDEX(Table3[[#All],[VELO]],MATCH(Table5[[#This Row],[PID]],Table3[[#All],[PID]],0)))</f>
        <v>87-89 Mph</v>
      </c>
      <c r="P568" s="56">
        <f>IF($C568="B",INDEX(Batters[[#All],[K P]],MATCH(Table5[[#This Row],[PID]],Batters[[#All],[PID]],0)),INDEX(Table3[[#All],[STM]],MATCH(Table5[[#This Row],[PID]],Table3[[#All],[PID]],0)))</f>
        <v>10</v>
      </c>
      <c r="Q568" s="61">
        <f>IF($C568="B",INDEX(Batters[[#All],[Tot]],MATCH(Table5[[#This Row],[PID]],Batters[[#All],[PID]],0)),INDEX(Table3[[#All],[Tot]],MATCH(Table5[[#This Row],[PID]],Table3[[#All],[PID]],0)))</f>
        <v>39.308199435095929</v>
      </c>
      <c r="R568" s="52">
        <f>IF($C568="B",INDEX(Batters[[#All],[zScore]],MATCH(Table5[[#This Row],[PID]],Batters[[#All],[PID]],0)),INDEX(Table3[[#All],[zScore]],MATCH(Table5[[#This Row],[PID]],Table3[[#All],[PID]],0)))</f>
        <v>0.22870315763697591</v>
      </c>
      <c r="S568" s="78" t="str">
        <f>IF($C568="B",INDEX(Batters[[#All],[DEM]],MATCH(Table5[[#This Row],[PID]],Batters[[#All],[PID]],0)),INDEX(Table3[[#All],[DEM]],MATCH(Table5[[#This Row],[PID]],Table3[[#All],[PID]],0)))</f>
        <v>$95k</v>
      </c>
      <c r="T568" s="75">
        <f>IF($C568="B",INDEX(Batters[[#All],[Rnk]],MATCH(Table5[[#This Row],[PID]],Batters[[#All],[PID]],0)),INDEX(Table3[[#All],[Rnk]],MATCH(Table5[[#This Row],[PID]],Table3[[#All],[PID]],0)))</f>
        <v>256</v>
      </c>
      <c r="U568" s="68">
        <f>IF($C568="B",VLOOKUP($A568,Bat!$A$4:$BA$1621,47,FALSE),VLOOKUP($A568,Pit!$A$4:$BF$1557,56,FALSE))</f>
        <v>0</v>
      </c>
      <c r="V568" s="50">
        <f>IF($C568="B",VLOOKUP($A568,Bat!$A$4:$BA$1621,48,FALSE),VLOOKUP($A568,Pit!$A$4:$BF$1557,57,FALSE))</f>
        <v>0</v>
      </c>
      <c r="W568" s="69">
        <f>Table5[[#This Row],[posRnk]]+Table5[[#This Row],[zRnk]]+IF($W$3&lt;&gt;Table5[[#This Row],[Type]],50,0)</f>
        <v>754</v>
      </c>
      <c r="X568" s="73">
        <f>RANK(Table5[[#This Row],[zScore]],Table5[[#All],[zScore]])</f>
        <v>448</v>
      </c>
      <c r="Y568" s="69">
        <f>IFERROR(INDEX(DraftResults[[#All],[OVR]],MATCH(Table5[[#This Row],[PID]],DraftResults[[#All],[Player ID]],0)),"")</f>
        <v>564</v>
      </c>
      <c r="Z56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8" s="69">
        <f>IFERROR(INDEX(DraftResults[[#All],[Pick in Round]],MATCH(Table5[[#This Row],[PID]],DraftResults[[#All],[Player ID]],0)),"")</f>
        <v>16</v>
      </c>
      <c r="AB568" s="69" t="str">
        <f>IFERROR(INDEX(DraftResults[[#All],[Team Name]],MATCH(Table5[[#This Row],[PID]],DraftResults[[#All],[Player ID]],0)),"")</f>
        <v>San Antonio Calzones of Laredo</v>
      </c>
      <c r="AC568" s="69">
        <f>IF(Table5[[#This Row],[Ovr]]="","",IF(Table5[[#This Row],[cmbList]]="","",Table5[[#This Row],[cmbList]]-Table5[[#This Row],[Ovr]]))</f>
        <v>190</v>
      </c>
      <c r="AD568" s="77" t="str">
        <f>IF(ISERROR(VLOOKUP($AB568&amp;"-"&amp;$E568&amp;" "&amp;F568,Bonuses!$B$1:$G$1006,4,FALSE)),"",INT(VLOOKUP($AB568&amp;"-"&amp;$E568&amp;" "&amp;$F568,Bonuses!$B$1:$G$1006,4,FALSE)))</f>
        <v/>
      </c>
      <c r="AE56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19.16 (564) - SP Malibok Belgica</v>
      </c>
    </row>
    <row r="569" spans="1:31" s="50" customFormat="1" x14ac:dyDescent="0.25">
      <c r="A569" s="50">
        <v>17978</v>
      </c>
      <c r="B569" s="55">
        <f>COUNTIF(Table5[PID],A569)</f>
        <v>1</v>
      </c>
      <c r="C569" s="55" t="str">
        <f>IF(COUNTIF(Table3[[#All],[PID]],A569)&gt;0,"P","B")</f>
        <v>B</v>
      </c>
      <c r="D569" s="59" t="str">
        <f>IF($C569="B",INDEX(Batters[[#All],[POS]],MATCH(Table5[[#This Row],[PID]],Batters[[#All],[PID]],0)),INDEX(Table3[[#All],[POS]],MATCH(Table5[[#This Row],[PID]],Table3[[#All],[PID]],0)))</f>
        <v>SS</v>
      </c>
      <c r="E569" s="52" t="str">
        <f>IF($C569="B",INDEX(Batters[[#All],[First]],MATCH(Table5[[#This Row],[PID]],Batters[[#All],[PID]],0)),INDEX(Table3[[#All],[First]],MATCH(Table5[[#This Row],[PID]],Table3[[#All],[PID]],0)))</f>
        <v>Andrés</v>
      </c>
      <c r="F569" s="50" t="str">
        <f>IF($C569="B",INDEX(Batters[[#All],[Last]],MATCH(A569,Batters[[#All],[PID]],0)),INDEX(Table3[[#All],[Last]],MATCH(A569,Table3[[#All],[PID]],0)))</f>
        <v>Díaz</v>
      </c>
      <c r="G569" s="56">
        <f>IF($C569="B",INDEX(Batters[[#All],[Age]],MATCH(Table5[[#This Row],[PID]],Batters[[#All],[PID]],0)),INDEX(Table3[[#All],[Age]],MATCH(Table5[[#This Row],[PID]],Table3[[#All],[PID]],0)))</f>
        <v>21</v>
      </c>
      <c r="H569" s="52" t="str">
        <f>IF($C569="B",INDEX(Batters[[#All],[B]],MATCH(Table5[[#This Row],[PID]],Batters[[#All],[PID]],0)),INDEX(Table3[[#All],[B]],MATCH(Table5[[#This Row],[PID]],Table3[[#All],[PID]],0)))</f>
        <v>L</v>
      </c>
      <c r="I569" s="52" t="str">
        <f>IF($C569="B",INDEX(Batters[[#All],[T]],MATCH(Table5[[#This Row],[PID]],Batters[[#All],[PID]],0)),INDEX(Table3[[#All],[T]],MATCH(Table5[[#This Row],[PID]],Table3[[#All],[PID]],0)))</f>
        <v>R</v>
      </c>
      <c r="J569" s="52" t="str">
        <f>IF($C569="B",INDEX(Batters[[#All],[WE]],MATCH(Table5[[#This Row],[PID]],Batters[[#All],[PID]],0)),INDEX(Table3[[#All],[WE]],MATCH(Table5[[#This Row],[PID]],Table3[[#All],[PID]],0)))</f>
        <v>Low</v>
      </c>
      <c r="K569" s="52" t="str">
        <f>IF($C569="B",INDEX(Batters[[#All],[INT]],MATCH(Table5[[#This Row],[PID]],Batters[[#All],[PID]],0)),INDEX(Table3[[#All],[INT]],MATCH(Table5[[#This Row],[PID]],Table3[[#All],[PID]],0)))</f>
        <v>Normal</v>
      </c>
      <c r="L569" s="60">
        <f>IF($C569="B",INDEX(Batters[[#All],[CON P]],MATCH(Table5[[#This Row],[PID]],Batters[[#All],[PID]],0)),INDEX(Table3[[#All],[STU P]],MATCH(Table5[[#This Row],[PID]],Table3[[#All],[PID]],0)))</f>
        <v>4</v>
      </c>
      <c r="M569" s="56">
        <f>IF($C569="B",INDEX(Batters[[#All],[GAP P]],MATCH(Table5[[#This Row],[PID]],Batters[[#All],[PID]],0)),INDEX(Table3[[#All],[MOV P]],MATCH(Table5[[#This Row],[PID]],Table3[[#All],[PID]],0)))</f>
        <v>4</v>
      </c>
      <c r="N569" s="56">
        <f>IF($C569="B",INDEX(Batters[[#All],[POW P]],MATCH(Table5[[#This Row],[PID]],Batters[[#All],[PID]],0)),INDEX(Table3[[#All],[CON P]],MATCH(Table5[[#This Row],[PID]],Table3[[#All],[PID]],0)))</f>
        <v>2</v>
      </c>
      <c r="O569" s="56">
        <f>IF($C569="B",INDEX(Batters[[#All],[EYE P]],MATCH(Table5[[#This Row],[PID]],Batters[[#All],[PID]],0)),INDEX(Table3[[#All],[VELO]],MATCH(Table5[[#This Row],[PID]],Table3[[#All],[PID]],0)))</f>
        <v>4</v>
      </c>
      <c r="P569" s="56">
        <f>IF($C569="B",INDEX(Batters[[#All],[K P]],MATCH(Table5[[#This Row],[PID]],Batters[[#All],[PID]],0)),INDEX(Table3[[#All],[STM]],MATCH(Table5[[#This Row],[PID]],Table3[[#All],[PID]],0)))</f>
        <v>4</v>
      </c>
      <c r="Q569" s="61">
        <f>IF($C569="B",INDEX(Batters[[#All],[Tot]],MATCH(Table5[[#This Row],[PID]],Batters[[#All],[PID]],0)),INDEX(Table3[[#All],[Tot]],MATCH(Table5[[#This Row],[PID]],Table3[[#All],[PID]],0)))</f>
        <v>40.326894163298462</v>
      </c>
      <c r="R569" s="52">
        <f>IF($C569="B",INDEX(Batters[[#All],[zScore]],MATCH(Table5[[#This Row],[PID]],Batters[[#All],[PID]],0)),INDEX(Table3[[#All],[zScore]],MATCH(Table5[[#This Row],[PID]],Table3[[#All],[PID]],0)))</f>
        <v>-0.84360432000396601</v>
      </c>
      <c r="S569" s="58" t="str">
        <f>IF($C569="B",INDEX(Batters[[#All],[DEM]],MATCH(Table5[[#This Row],[PID]],Batters[[#All],[PID]],0)),INDEX(Table3[[#All],[DEM]],MATCH(Table5[[#This Row],[PID]],Table3[[#All],[PID]],0)))</f>
        <v>-</v>
      </c>
      <c r="T569" s="62">
        <f>IF($C569="B",INDEX(Batters[[#All],[Rnk]],MATCH(Table5[[#This Row],[PID]],Batters[[#All],[PID]],0)),INDEX(Table3[[#All],[Rnk]],MATCH(Table5[[#This Row],[PID]],Table3[[#All],[PID]],0)))</f>
        <v>413</v>
      </c>
      <c r="U569" s="68">
        <f>IF($C569="B",VLOOKUP($A569,Bat!$A$4:$BA$1621,47,FALSE),VLOOKUP($A569,Pit!$A$4:$BF$1557,56,FALSE))</f>
        <v>0</v>
      </c>
      <c r="V569" s="50">
        <f>IF($C569="B",VLOOKUP($A569,Bat!$A$4:$BA$1621,48,FALSE),VLOOKUP($A569,Pit!$A$4:$BF$1557,57,FALSE))</f>
        <v>0</v>
      </c>
      <c r="W569" s="50">
        <f>Table5[[#This Row],[posRnk]]+Table5[[#This Row],[zRnk]]+IF($W$3&lt;&gt;Table5[[#This Row],[Type]],50,0)</f>
        <v>1534</v>
      </c>
      <c r="X569" s="51">
        <f>RANK(Table5[[#This Row],[zScore]],Table5[[#All],[zScore]])</f>
        <v>1071</v>
      </c>
      <c r="Y569" s="50">
        <f>IFERROR(INDEX(DraftResults[[#All],[OVR]],MATCH(Table5[[#This Row],[PID]],DraftResults[[#All],[Player ID]],0)),"")</f>
        <v>565</v>
      </c>
      <c r="Z5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69" s="50">
        <f>IFERROR(INDEX(DraftResults[[#All],[Pick in Round]],MATCH(Table5[[#This Row],[PID]],DraftResults[[#All],[Player ID]],0)),"")</f>
        <v>17</v>
      </c>
      <c r="AB569" s="50" t="str">
        <f>IFERROR(INDEX(DraftResults[[#All],[Team Name]],MATCH(Table5[[#This Row],[PID]],DraftResults[[#All],[Player ID]],0)),"")</f>
        <v>Madison Malts</v>
      </c>
      <c r="AC569" s="50">
        <f>IF(Table5[[#This Row],[Ovr]]="","",IF(Table5[[#This Row],[cmbList]]="","",Table5[[#This Row],[cmbList]]-Table5[[#This Row],[Ovr]]))</f>
        <v>969</v>
      </c>
      <c r="AD569" s="54" t="str">
        <f>IF(ISERROR(VLOOKUP($AB569&amp;"-"&amp;$E569&amp;" "&amp;F569,Bonuses!$B$1:$G$1006,4,FALSE)),"",INT(VLOOKUP($AB569&amp;"-"&amp;$E569&amp;" "&amp;$F569,Bonuses!$B$1:$G$1006,4,FALSE)))</f>
        <v/>
      </c>
      <c r="AE5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19.17 (565) - SS Andrés Díaz</v>
      </c>
    </row>
    <row r="570" spans="1:31" s="50" customFormat="1" x14ac:dyDescent="0.25">
      <c r="A570" s="50">
        <v>17584</v>
      </c>
      <c r="B570" s="50">
        <f>COUNTIF(Table5[PID],A570)</f>
        <v>1</v>
      </c>
      <c r="C570" s="50" t="str">
        <f>IF(COUNTIF(Table3[[#All],[PID]],A570)&gt;0,"P","B")</f>
        <v>B</v>
      </c>
      <c r="D570" s="59" t="str">
        <f>IF($C570="B",INDEX(Batters[[#All],[POS]],MATCH(Table5[[#This Row],[PID]],Batters[[#All],[PID]],0)),INDEX(Table3[[#All],[POS]],MATCH(Table5[[#This Row],[PID]],Table3[[#All],[PID]],0)))</f>
        <v>LF</v>
      </c>
      <c r="E570" s="52" t="str">
        <f>IF($C570="B",INDEX(Batters[[#All],[First]],MATCH(Table5[[#This Row],[PID]],Batters[[#All],[PID]],0)),INDEX(Table3[[#All],[First]],MATCH(Table5[[#This Row],[PID]],Table3[[#All],[PID]],0)))</f>
        <v>Dan</v>
      </c>
      <c r="F570" s="50" t="str">
        <f>IF($C570="B",INDEX(Batters[[#All],[Last]],MATCH(A570,Batters[[#All],[PID]],0)),INDEX(Table3[[#All],[Last]],MATCH(A570,Table3[[#All],[PID]],0)))</f>
        <v>Simmons</v>
      </c>
      <c r="G570" s="56">
        <f>IF($C570="B",INDEX(Batters[[#All],[Age]],MATCH(Table5[[#This Row],[PID]],Batters[[#All],[PID]],0)),INDEX(Table3[[#All],[Age]],MATCH(Table5[[#This Row],[PID]],Table3[[#All],[PID]],0)))</f>
        <v>18</v>
      </c>
      <c r="H570" s="52" t="str">
        <f>IF($C570="B",INDEX(Batters[[#All],[B]],MATCH(Table5[[#This Row],[PID]],Batters[[#All],[PID]],0)),INDEX(Table3[[#All],[B]],MATCH(Table5[[#This Row],[PID]],Table3[[#All],[PID]],0)))</f>
        <v>L</v>
      </c>
      <c r="I570" s="52" t="str">
        <f>IF($C570="B",INDEX(Batters[[#All],[T]],MATCH(Table5[[#This Row],[PID]],Batters[[#All],[PID]],0)),INDEX(Table3[[#All],[T]],MATCH(Table5[[#This Row],[PID]],Table3[[#All],[PID]],0)))</f>
        <v>L</v>
      </c>
      <c r="J570" s="52" t="str">
        <f>IF($C570="B",INDEX(Batters[[#All],[WE]],MATCH(Table5[[#This Row],[PID]],Batters[[#All],[PID]],0)),INDEX(Table3[[#All],[WE]],MATCH(Table5[[#This Row],[PID]],Table3[[#All],[PID]],0)))</f>
        <v>Normal</v>
      </c>
      <c r="K570" s="52" t="str">
        <f>IF($C570="B",INDEX(Batters[[#All],[INT]],MATCH(Table5[[#This Row],[PID]],Batters[[#All],[PID]],0)),INDEX(Table3[[#All],[INT]],MATCH(Table5[[#This Row],[PID]],Table3[[#All],[PID]],0)))</f>
        <v>Normal</v>
      </c>
      <c r="L570" s="60">
        <f>IF($C570="B",INDEX(Batters[[#All],[CON P]],MATCH(Table5[[#This Row],[PID]],Batters[[#All],[PID]],0)),INDEX(Table3[[#All],[STU P]],MATCH(Table5[[#This Row],[PID]],Table3[[#All],[PID]],0)))</f>
        <v>3</v>
      </c>
      <c r="M570" s="56">
        <f>IF($C570="B",INDEX(Batters[[#All],[GAP P]],MATCH(Table5[[#This Row],[PID]],Batters[[#All],[PID]],0)),INDEX(Table3[[#All],[MOV P]],MATCH(Table5[[#This Row],[PID]],Table3[[#All],[PID]],0)))</f>
        <v>4</v>
      </c>
      <c r="N570" s="56">
        <f>IF($C570="B",INDEX(Batters[[#All],[POW P]],MATCH(Table5[[#This Row],[PID]],Batters[[#All],[PID]],0)),INDEX(Table3[[#All],[CON P]],MATCH(Table5[[#This Row],[PID]],Table3[[#All],[PID]],0)))</f>
        <v>5</v>
      </c>
      <c r="O570" s="56">
        <f>IF($C570="B",INDEX(Batters[[#All],[EYE P]],MATCH(Table5[[#This Row],[PID]],Batters[[#All],[PID]],0)),INDEX(Table3[[#All],[VELO]],MATCH(Table5[[#This Row],[PID]],Table3[[#All],[PID]],0)))</f>
        <v>4</v>
      </c>
      <c r="P570" s="56">
        <f>IF($C570="B",INDEX(Batters[[#All],[K P]],MATCH(Table5[[#This Row],[PID]],Batters[[#All],[PID]],0)),INDEX(Table3[[#All],[STM]],MATCH(Table5[[#This Row],[PID]],Table3[[#All],[PID]],0)))</f>
        <v>3</v>
      </c>
      <c r="Q570" s="61">
        <f>IF($C570="B",INDEX(Batters[[#All],[Tot]],MATCH(Table5[[#This Row],[PID]],Batters[[#All],[PID]],0)),INDEX(Table3[[#All],[Tot]],MATCH(Table5[[#This Row],[PID]],Table3[[#All],[PID]],0)))</f>
        <v>43.210801687395147</v>
      </c>
      <c r="R570" s="52">
        <f>IF($C570="B",INDEX(Batters[[#All],[zScore]],MATCH(Table5[[#This Row],[PID]],Batters[[#All],[PID]],0)),INDEX(Table3[[#All],[zScore]],MATCH(Table5[[#This Row],[PID]],Table3[[#All],[PID]],0)))</f>
        <v>-0.20422252850599831</v>
      </c>
      <c r="S570" s="58" t="str">
        <f>IF($C570="B",INDEX(Batters[[#All],[DEM]],MATCH(Table5[[#This Row],[PID]],Batters[[#All],[PID]],0)),INDEX(Table3[[#All],[DEM]],MATCH(Table5[[#This Row],[PID]],Table3[[#All],[PID]],0)))</f>
        <v>$38k</v>
      </c>
      <c r="T570" s="62">
        <f>IF($C570="B",INDEX(Batters[[#All],[Rnk]],MATCH(Table5[[#This Row],[PID]],Batters[[#All],[PID]],0)),INDEX(Table3[[#All],[Rnk]],MATCH(Table5[[#This Row],[PID]],Table3[[#All],[PID]],0)))</f>
        <v>284</v>
      </c>
      <c r="U570" s="68">
        <f>IF($C570="B",VLOOKUP($A570,Bat!$A$4:$BA$1621,47,FALSE),VLOOKUP($A570,Pit!$A$4:$BF$1557,56,FALSE))</f>
        <v>0</v>
      </c>
      <c r="V570" s="50">
        <f>IF($C570="B",VLOOKUP($A570,Bat!$A$4:$BA$1621,48,FALSE),VLOOKUP($A570,Pit!$A$4:$BF$1557,57,FALSE))</f>
        <v>0</v>
      </c>
      <c r="W570" s="50">
        <f>Table5[[#This Row],[posRnk]]+Table5[[#This Row],[zRnk]]+IF($W$3&lt;&gt;Table5[[#This Row],[Type]],50,0)</f>
        <v>1005</v>
      </c>
      <c r="X570" s="51">
        <f>RANK(Table5[[#This Row],[zScore]],Table5[[#All],[zScore]])</f>
        <v>671</v>
      </c>
      <c r="Y570" s="50">
        <f>IFERROR(INDEX(DraftResults[[#All],[OVR]],MATCH(Table5[[#This Row],[PID]],DraftResults[[#All],[Player ID]],0)),"")</f>
        <v>566</v>
      </c>
      <c r="Z5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0" s="50">
        <f>IFERROR(INDEX(DraftResults[[#All],[Pick in Round]],MATCH(Table5[[#This Row],[PID]],DraftResults[[#All],[Player ID]],0)),"")</f>
        <v>18</v>
      </c>
      <c r="AB570" s="50" t="str">
        <f>IFERROR(INDEX(DraftResults[[#All],[Team Name]],MATCH(Table5[[#This Row],[PID]],DraftResults[[#All],[Player ID]],0)),"")</f>
        <v>Bakersfield Bears</v>
      </c>
      <c r="AC570" s="50">
        <f>IF(Table5[[#This Row],[Ovr]]="","",IF(Table5[[#This Row],[cmbList]]="","",Table5[[#This Row],[cmbList]]-Table5[[#This Row],[Ovr]]))</f>
        <v>439</v>
      </c>
      <c r="AD570" s="54" t="str">
        <f>IF(ISERROR(VLOOKUP($AB570&amp;"-"&amp;$E570&amp;" "&amp;F570,Bonuses!$B$1:$G$1006,4,FALSE)),"",INT(VLOOKUP($AB570&amp;"-"&amp;$E570&amp;" "&amp;$F570,Bonuses!$B$1:$G$1006,4,FALSE)))</f>
        <v/>
      </c>
      <c r="AE5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19.18 (566) - LF Dan Simmons</v>
      </c>
    </row>
    <row r="571" spans="1:31" s="50" customFormat="1" x14ac:dyDescent="0.25">
      <c r="A571" s="50">
        <v>20815</v>
      </c>
      <c r="B571" s="50">
        <f>COUNTIF(Table5[PID],A571)</f>
        <v>1</v>
      </c>
      <c r="C571" s="50" t="str">
        <f>IF(COUNTIF(Table3[[#All],[PID]],A571)&gt;0,"P","B")</f>
        <v>B</v>
      </c>
      <c r="D571" s="59" t="str">
        <f>IF($C571="B",INDEX(Batters[[#All],[POS]],MATCH(Table5[[#This Row],[PID]],Batters[[#All],[PID]],0)),INDEX(Table3[[#All],[POS]],MATCH(Table5[[#This Row],[PID]],Table3[[#All],[PID]],0)))</f>
        <v>1B</v>
      </c>
      <c r="E571" s="52" t="str">
        <f>IF($C571="B",INDEX(Batters[[#All],[First]],MATCH(Table5[[#This Row],[PID]],Batters[[#All],[PID]],0)),INDEX(Table3[[#All],[First]],MATCH(Table5[[#This Row],[PID]],Table3[[#All],[PID]],0)))</f>
        <v>Carlos</v>
      </c>
      <c r="F571" s="50" t="str">
        <f>IF($C571="B",INDEX(Batters[[#All],[Last]],MATCH(A571,Batters[[#All],[PID]],0)),INDEX(Table3[[#All],[Last]],MATCH(A571,Table3[[#All],[PID]],0)))</f>
        <v>Ramírez</v>
      </c>
      <c r="G571" s="56">
        <f>IF($C571="B",INDEX(Batters[[#All],[Age]],MATCH(Table5[[#This Row],[PID]],Batters[[#All],[PID]],0)),INDEX(Table3[[#All],[Age]],MATCH(Table5[[#This Row],[PID]],Table3[[#All],[PID]],0)))</f>
        <v>17</v>
      </c>
      <c r="H571" s="52" t="str">
        <f>IF($C571="B",INDEX(Batters[[#All],[B]],MATCH(Table5[[#This Row],[PID]],Batters[[#All],[PID]],0)),INDEX(Table3[[#All],[B]],MATCH(Table5[[#This Row],[PID]],Table3[[#All],[PID]],0)))</f>
        <v>S</v>
      </c>
      <c r="I571" s="52" t="str">
        <f>IF($C571="B",INDEX(Batters[[#All],[T]],MATCH(Table5[[#This Row],[PID]],Batters[[#All],[PID]],0)),INDEX(Table3[[#All],[T]],MATCH(Table5[[#This Row],[PID]],Table3[[#All],[PID]],0)))</f>
        <v>L</v>
      </c>
      <c r="J571" s="52" t="str">
        <f>IF($C571="B",INDEX(Batters[[#All],[WE]],MATCH(Table5[[#This Row],[PID]],Batters[[#All],[PID]],0)),INDEX(Table3[[#All],[WE]],MATCH(Table5[[#This Row],[PID]],Table3[[#All],[PID]],0)))</f>
        <v>Normal</v>
      </c>
      <c r="K571" s="52" t="str">
        <f>IF($C571="B",INDEX(Batters[[#All],[INT]],MATCH(Table5[[#This Row],[PID]],Batters[[#All],[PID]],0)),INDEX(Table3[[#All],[INT]],MATCH(Table5[[#This Row],[PID]],Table3[[#All],[PID]],0)))</f>
        <v>High</v>
      </c>
      <c r="L571" s="60">
        <f>IF($C571="B",INDEX(Batters[[#All],[CON P]],MATCH(Table5[[#This Row],[PID]],Batters[[#All],[PID]],0)),INDEX(Table3[[#All],[STU P]],MATCH(Table5[[#This Row],[PID]],Table3[[#All],[PID]],0)))</f>
        <v>3</v>
      </c>
      <c r="M571" s="56">
        <f>IF($C571="B",INDEX(Batters[[#All],[GAP P]],MATCH(Table5[[#This Row],[PID]],Batters[[#All],[PID]],0)),INDEX(Table3[[#All],[MOV P]],MATCH(Table5[[#This Row],[PID]],Table3[[#All],[PID]],0)))</f>
        <v>4</v>
      </c>
      <c r="N571" s="56">
        <f>IF($C571="B",INDEX(Batters[[#All],[POW P]],MATCH(Table5[[#This Row],[PID]],Batters[[#All],[PID]],0)),INDEX(Table3[[#All],[CON P]],MATCH(Table5[[#This Row],[PID]],Table3[[#All],[PID]],0)))</f>
        <v>6</v>
      </c>
      <c r="O571" s="56">
        <f>IF($C571="B",INDEX(Batters[[#All],[EYE P]],MATCH(Table5[[#This Row],[PID]],Batters[[#All],[PID]],0)),INDEX(Table3[[#All],[VELO]],MATCH(Table5[[#This Row],[PID]],Table3[[#All],[PID]],0)))</f>
        <v>5</v>
      </c>
      <c r="P571" s="56">
        <f>IF($C571="B",INDEX(Batters[[#All],[K P]],MATCH(Table5[[#This Row],[PID]],Batters[[#All],[PID]],0)),INDEX(Table3[[#All],[STM]],MATCH(Table5[[#This Row],[PID]],Table3[[#All],[PID]],0)))</f>
        <v>4</v>
      </c>
      <c r="Q571" s="61">
        <f>IF($C571="B",INDEX(Batters[[#All],[Tot]],MATCH(Table5[[#This Row],[PID]],Batters[[#All],[PID]],0)),INDEX(Table3[[#All],[Tot]],MATCH(Table5[[#This Row],[PID]],Table3[[#All],[PID]],0)))</f>
        <v>45.414860731338621</v>
      </c>
      <c r="R571" s="52">
        <f>IF($C571="B",INDEX(Batters[[#All],[zScore]],MATCH(Table5[[#This Row],[PID]],Batters[[#All],[PID]],0)),INDEX(Table3[[#All],[zScore]],MATCH(Table5[[#This Row],[PID]],Table3[[#All],[PID]],0)))</f>
        <v>0.28443225959275859</v>
      </c>
      <c r="S571" s="58" t="str">
        <f>IF($C571="B",INDEX(Batters[[#All],[DEM]],MATCH(Table5[[#This Row],[PID]],Batters[[#All],[PID]],0)),INDEX(Table3[[#All],[DEM]],MATCH(Table5[[#This Row],[PID]],Table3[[#All],[PID]],0)))</f>
        <v>-</v>
      </c>
      <c r="T571" s="62">
        <f>IF($C571="B",INDEX(Batters[[#All],[Rnk]],MATCH(Table5[[#This Row],[PID]],Batters[[#All],[PID]],0)),INDEX(Table3[[#All],[Rnk]],MATCH(Table5[[#This Row],[PID]],Table3[[#All],[PID]],0)))</f>
        <v>178</v>
      </c>
      <c r="U571" s="68">
        <f>IF($C571="B",VLOOKUP($A571,Bat!$A$4:$BA$1621,47,FALSE),VLOOKUP($A571,Pit!$A$4:$BF$1557,56,FALSE))</f>
        <v>0</v>
      </c>
      <c r="V571" s="50">
        <f>IF($C571="B",VLOOKUP($A571,Bat!$A$4:$BA$1621,48,FALSE),VLOOKUP($A571,Pit!$A$4:$BF$1557,57,FALSE))</f>
        <v>0</v>
      </c>
      <c r="W571" s="50">
        <f>Table5[[#This Row],[posRnk]]+Table5[[#This Row],[zRnk]]+IF($W$3&lt;&gt;Table5[[#This Row],[Type]],50,0)</f>
        <v>650</v>
      </c>
      <c r="X571" s="51">
        <f>RANK(Table5[[#This Row],[zScore]],Table5[[#All],[zScore]])</f>
        <v>422</v>
      </c>
      <c r="Y571" s="50">
        <f>IFERROR(INDEX(DraftResults[[#All],[OVR]],MATCH(Table5[[#This Row],[PID]],DraftResults[[#All],[Player ID]],0)),"")</f>
        <v>567</v>
      </c>
      <c r="Z5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1" s="50">
        <f>IFERROR(INDEX(DraftResults[[#All],[Pick in Round]],MATCH(Table5[[#This Row],[PID]],DraftResults[[#All],[Player ID]],0)),"")</f>
        <v>19</v>
      </c>
      <c r="AB571" s="50" t="str">
        <f>IFERROR(INDEX(DraftResults[[#All],[Team Name]],MATCH(Table5[[#This Row],[PID]],DraftResults[[#All],[Player ID]],0)),"")</f>
        <v>Kalamazoo Badgers</v>
      </c>
      <c r="AC571" s="50">
        <f>IF(Table5[[#This Row],[Ovr]]="","",IF(Table5[[#This Row],[cmbList]]="","",Table5[[#This Row],[cmbList]]-Table5[[#This Row],[Ovr]]))</f>
        <v>83</v>
      </c>
      <c r="AD571" s="54" t="str">
        <f>IF(ISERROR(VLOOKUP($AB571&amp;"-"&amp;$E571&amp;" "&amp;F571,Bonuses!$B$1:$G$1006,4,FALSE)),"",INT(VLOOKUP($AB571&amp;"-"&amp;$E571&amp;" "&amp;$F571,Bonuses!$B$1:$G$1006,4,FALSE)))</f>
        <v/>
      </c>
      <c r="AE5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19.19 (567) - 1B Carlos Ramírez</v>
      </c>
    </row>
    <row r="572" spans="1:31" s="50" customFormat="1" x14ac:dyDescent="0.25">
      <c r="A572" s="68">
        <v>12202</v>
      </c>
      <c r="B572" s="69">
        <f>COUNTIF(Table5[PID],A572)</f>
        <v>1</v>
      </c>
      <c r="C572" s="69" t="str">
        <f>IF(COUNTIF(Table3[[#All],[PID]],A572)&gt;0,"P","B")</f>
        <v>P</v>
      </c>
      <c r="D572" s="59" t="str">
        <f>IF($C572="B",INDEX(Batters[[#All],[POS]],MATCH(Table5[[#This Row],[PID]],Batters[[#All],[PID]],0)),INDEX(Table3[[#All],[POS]],MATCH(Table5[[#This Row],[PID]],Table3[[#All],[PID]],0)))</f>
        <v>SP</v>
      </c>
      <c r="E572" s="52" t="str">
        <f>IF($C572="B",INDEX(Batters[[#All],[First]],MATCH(Table5[[#This Row],[PID]],Batters[[#All],[PID]],0)),INDEX(Table3[[#All],[First]],MATCH(Table5[[#This Row],[PID]],Table3[[#All],[PID]],0)))</f>
        <v>Ryan</v>
      </c>
      <c r="F572" s="55" t="str">
        <f>IF($C572="B",INDEX(Batters[[#All],[Last]],MATCH(A572,Batters[[#All],[PID]],0)),INDEX(Table3[[#All],[Last]],MATCH(A572,Table3[[#All],[PID]],0)))</f>
        <v>Cook</v>
      </c>
      <c r="G572" s="56">
        <f>IF($C572="B",INDEX(Batters[[#All],[Age]],MATCH(Table5[[#This Row],[PID]],Batters[[#All],[PID]],0)),INDEX(Table3[[#All],[Age]],MATCH(Table5[[#This Row],[PID]],Table3[[#All],[PID]],0)))</f>
        <v>18</v>
      </c>
      <c r="H572" s="52" t="str">
        <f>IF($C572="B",INDEX(Batters[[#All],[B]],MATCH(Table5[[#This Row],[PID]],Batters[[#All],[PID]],0)),INDEX(Table3[[#All],[B]],MATCH(Table5[[#This Row],[PID]],Table3[[#All],[PID]],0)))</f>
        <v>R</v>
      </c>
      <c r="I572" s="52" t="str">
        <f>IF($C572="B",INDEX(Batters[[#All],[T]],MATCH(Table5[[#This Row],[PID]],Batters[[#All],[PID]],0)),INDEX(Table3[[#All],[T]],MATCH(Table5[[#This Row],[PID]],Table3[[#All],[PID]],0)))</f>
        <v>R</v>
      </c>
      <c r="J572" s="71" t="str">
        <f>IF($C572="B",INDEX(Batters[[#All],[WE]],MATCH(Table5[[#This Row],[PID]],Batters[[#All],[PID]],0)),INDEX(Table3[[#All],[WE]],MATCH(Table5[[#This Row],[PID]],Table3[[#All],[PID]],0)))</f>
        <v>High</v>
      </c>
      <c r="K572" s="52" t="str">
        <f>IF($C572="B",INDEX(Batters[[#All],[INT]],MATCH(Table5[[#This Row],[PID]],Batters[[#All],[PID]],0)),INDEX(Table3[[#All],[INT]],MATCH(Table5[[#This Row],[PID]],Table3[[#All],[PID]],0)))</f>
        <v>Low</v>
      </c>
      <c r="L572" s="60">
        <f>IF($C572="B",INDEX(Batters[[#All],[CON P]],MATCH(Table5[[#This Row],[PID]],Batters[[#All],[PID]],0)),INDEX(Table3[[#All],[STU P]],MATCH(Table5[[#This Row],[PID]],Table3[[#All],[PID]],0)))</f>
        <v>5</v>
      </c>
      <c r="M572" s="72">
        <f>IF($C572="B",INDEX(Batters[[#All],[GAP P]],MATCH(Table5[[#This Row],[PID]],Batters[[#All],[PID]],0)),INDEX(Table3[[#All],[MOV P]],MATCH(Table5[[#This Row],[PID]],Table3[[#All],[PID]],0)))</f>
        <v>3</v>
      </c>
      <c r="N572" s="72">
        <f>IF($C572="B",INDEX(Batters[[#All],[POW P]],MATCH(Table5[[#This Row],[PID]],Batters[[#All],[PID]],0)),INDEX(Table3[[#All],[CON P]],MATCH(Table5[[#This Row],[PID]],Table3[[#All],[PID]],0)))</f>
        <v>5</v>
      </c>
      <c r="O572" s="72" t="str">
        <f>IF($C572="B",INDEX(Batters[[#All],[EYE P]],MATCH(Table5[[#This Row],[PID]],Batters[[#All],[PID]],0)),INDEX(Table3[[#All],[VELO]],MATCH(Table5[[#This Row],[PID]],Table3[[#All],[PID]],0)))</f>
        <v>93-95 Mph</v>
      </c>
      <c r="P572" s="56">
        <f>IF($C572="B",INDEX(Batters[[#All],[K P]],MATCH(Table5[[#This Row],[PID]],Batters[[#All],[PID]],0)),INDEX(Table3[[#All],[STM]],MATCH(Table5[[#This Row],[PID]],Table3[[#All],[PID]],0)))</f>
        <v>6</v>
      </c>
      <c r="Q572" s="61">
        <f>IF($C572="B",INDEX(Batters[[#All],[Tot]],MATCH(Table5[[#This Row],[PID]],Batters[[#All],[PID]],0)),INDEX(Table3[[#All],[Tot]],MATCH(Table5[[#This Row],[PID]],Table3[[#All],[PID]],0)))</f>
        <v>53.084324248036097</v>
      </c>
      <c r="R572" s="52">
        <f>IF($C572="B",INDEX(Batters[[#All],[zScore]],MATCH(Table5[[#This Row],[PID]],Batters[[#All],[PID]],0)),INDEX(Table3[[#All],[zScore]],MATCH(Table5[[#This Row],[PID]],Table3[[#All],[PID]],0)))</f>
        <v>1.1452076900237482</v>
      </c>
      <c r="S572" s="78" t="str">
        <f>IF($C572="B",INDEX(Batters[[#All],[DEM]],MATCH(Table5[[#This Row],[PID]],Batters[[#All],[PID]],0)),INDEX(Table3[[#All],[DEM]],MATCH(Table5[[#This Row],[PID]],Table3[[#All],[PID]],0)))</f>
        <v>$200k</v>
      </c>
      <c r="T572" s="75">
        <f>IF($C572="B",INDEX(Batters[[#All],[Rnk]],MATCH(Table5[[#This Row],[PID]],Batters[[#All],[PID]],0)),INDEX(Table3[[#All],[Rnk]],MATCH(Table5[[#This Row],[PID]],Table3[[#All],[PID]],0)))</f>
        <v>121</v>
      </c>
      <c r="U572" s="68">
        <f>IF($C572="B",VLOOKUP($A572,Bat!$A$4:$BA$1621,47,FALSE),VLOOKUP($A572,Pit!$A$4:$BF$1557,56,FALSE))</f>
        <v>0</v>
      </c>
      <c r="V572" s="50">
        <f>IF($C572="B",VLOOKUP($A572,Bat!$A$4:$BA$1621,48,FALSE),VLOOKUP($A572,Pit!$A$4:$BF$1557,57,FALSE))</f>
        <v>0</v>
      </c>
      <c r="W572" s="69">
        <f>Table5[[#This Row],[posRnk]]+Table5[[#This Row],[zRnk]]+IF($W$3&lt;&gt;Table5[[#This Row],[Type]],50,0)</f>
        <v>370</v>
      </c>
      <c r="X572" s="73">
        <f>RANK(Table5[[#This Row],[zScore]],Table5[[#All],[zScore]])</f>
        <v>199</v>
      </c>
      <c r="Y572" s="69">
        <f>IFERROR(INDEX(DraftResults[[#All],[OVR]],MATCH(Table5[[#This Row],[PID]],DraftResults[[#All],[Player ID]],0)),"")</f>
        <v>568</v>
      </c>
      <c r="Z57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2" s="69">
        <f>IFERROR(INDEX(DraftResults[[#All],[Pick in Round]],MATCH(Table5[[#This Row],[PID]],DraftResults[[#All],[Player ID]],0)),"")</f>
        <v>20</v>
      </c>
      <c r="AB572" s="69" t="str">
        <f>IFERROR(INDEX(DraftResults[[#All],[Team Name]],MATCH(Table5[[#This Row],[PID]],DraftResults[[#All],[Player ID]],0)),"")</f>
        <v>Amsterdam Lions</v>
      </c>
      <c r="AC572" s="69">
        <f>IF(Table5[[#This Row],[Ovr]]="","",IF(Table5[[#This Row],[cmbList]]="","",Table5[[#This Row],[cmbList]]-Table5[[#This Row],[Ovr]]))</f>
        <v>-198</v>
      </c>
      <c r="AD572" s="77" t="str">
        <f>IF(ISERROR(VLOOKUP($AB572&amp;"-"&amp;$E572&amp;" "&amp;F572,Bonuses!$B$1:$G$1006,4,FALSE)),"",INT(VLOOKUP($AB572&amp;"-"&amp;$E572&amp;" "&amp;$F572,Bonuses!$B$1:$G$1006,4,FALSE)))</f>
        <v/>
      </c>
      <c r="AE57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19.20 (568) - SP Ryan Cook</v>
      </c>
    </row>
    <row r="573" spans="1:31" s="50" customFormat="1" x14ac:dyDescent="0.25">
      <c r="A573" s="50">
        <v>20858</v>
      </c>
      <c r="B573" s="55">
        <f>COUNTIF(Table5[PID],A573)</f>
        <v>1</v>
      </c>
      <c r="C573" s="55" t="str">
        <f>IF(COUNTIF(Table3[[#All],[PID]],A573)&gt;0,"P","B")</f>
        <v>B</v>
      </c>
      <c r="D573" s="59" t="str">
        <f>IF($C573="B",INDEX(Batters[[#All],[POS]],MATCH(Table5[[#This Row],[PID]],Batters[[#All],[PID]],0)),INDEX(Table3[[#All],[POS]],MATCH(Table5[[#This Row],[PID]],Table3[[#All],[PID]],0)))</f>
        <v>2B</v>
      </c>
      <c r="E573" s="52" t="str">
        <f>IF($C573="B",INDEX(Batters[[#All],[First]],MATCH(Table5[[#This Row],[PID]],Batters[[#All],[PID]],0)),INDEX(Table3[[#All],[First]],MATCH(Table5[[#This Row],[PID]],Table3[[#All],[PID]],0)))</f>
        <v>William</v>
      </c>
      <c r="F573" s="50" t="str">
        <f>IF($C573="B",INDEX(Batters[[#All],[Last]],MATCH(A573,Batters[[#All],[PID]],0)),INDEX(Table3[[#All],[Last]],MATCH(A573,Table3[[#All],[PID]],0)))</f>
        <v>McElyea</v>
      </c>
      <c r="G573" s="56">
        <f>IF($C573="B",INDEX(Batters[[#All],[Age]],MATCH(Table5[[#This Row],[PID]],Batters[[#All],[PID]],0)),INDEX(Table3[[#All],[Age]],MATCH(Table5[[#This Row],[PID]],Table3[[#All],[PID]],0)))</f>
        <v>18</v>
      </c>
      <c r="H573" s="52" t="str">
        <f>IF($C573="B",INDEX(Batters[[#All],[B]],MATCH(Table5[[#This Row],[PID]],Batters[[#All],[PID]],0)),INDEX(Table3[[#All],[B]],MATCH(Table5[[#This Row],[PID]],Table3[[#All],[PID]],0)))</f>
        <v>R</v>
      </c>
      <c r="I573" s="52" t="str">
        <f>IF($C573="B",INDEX(Batters[[#All],[T]],MATCH(Table5[[#This Row],[PID]],Batters[[#All],[PID]],0)),INDEX(Table3[[#All],[T]],MATCH(Table5[[#This Row],[PID]],Table3[[#All],[PID]],0)))</f>
        <v>R</v>
      </c>
      <c r="J573" s="52" t="str">
        <f>IF($C573="B",INDEX(Batters[[#All],[WE]],MATCH(Table5[[#This Row],[PID]],Batters[[#All],[PID]],0)),INDEX(Table3[[#All],[WE]],MATCH(Table5[[#This Row],[PID]],Table3[[#All],[PID]],0)))</f>
        <v>Low</v>
      </c>
      <c r="K573" s="52" t="str">
        <f>IF($C573="B",INDEX(Batters[[#All],[INT]],MATCH(Table5[[#This Row],[PID]],Batters[[#All],[PID]],0)),INDEX(Table3[[#All],[INT]],MATCH(Table5[[#This Row],[PID]],Table3[[#All],[PID]],0)))</f>
        <v>Normal</v>
      </c>
      <c r="L573" s="60">
        <f>IF($C573="B",INDEX(Batters[[#All],[CON P]],MATCH(Table5[[#This Row],[PID]],Batters[[#All],[PID]],0)),INDEX(Table3[[#All],[STU P]],MATCH(Table5[[#This Row],[PID]],Table3[[#All],[PID]],0)))</f>
        <v>3</v>
      </c>
      <c r="M573" s="56">
        <f>IF($C573="B",INDEX(Batters[[#All],[GAP P]],MATCH(Table5[[#This Row],[PID]],Batters[[#All],[PID]],0)),INDEX(Table3[[#All],[MOV P]],MATCH(Table5[[#This Row],[PID]],Table3[[#All],[PID]],0)))</f>
        <v>8</v>
      </c>
      <c r="N573" s="56">
        <f>IF($C573="B",INDEX(Batters[[#All],[POW P]],MATCH(Table5[[#This Row],[PID]],Batters[[#All],[PID]],0)),INDEX(Table3[[#All],[CON P]],MATCH(Table5[[#This Row],[PID]],Table3[[#All],[PID]],0)))</f>
        <v>2</v>
      </c>
      <c r="O573" s="56">
        <f>IF($C573="B",INDEX(Batters[[#All],[EYE P]],MATCH(Table5[[#This Row],[PID]],Batters[[#All],[PID]],0)),INDEX(Table3[[#All],[VELO]],MATCH(Table5[[#This Row],[PID]],Table3[[#All],[PID]],0)))</f>
        <v>7</v>
      </c>
      <c r="P573" s="56">
        <f>IF($C573="B",INDEX(Batters[[#All],[K P]],MATCH(Table5[[#This Row],[PID]],Batters[[#All],[PID]],0)),INDEX(Table3[[#All],[STM]],MATCH(Table5[[#This Row],[PID]],Table3[[#All],[PID]],0)))</f>
        <v>3</v>
      </c>
      <c r="Q573" s="61">
        <f>IF($C573="B",INDEX(Batters[[#All],[Tot]],MATCH(Table5[[#This Row],[PID]],Batters[[#All],[PID]],0)),INDEX(Table3[[#All],[Tot]],MATCH(Table5[[#This Row],[PID]],Table3[[#All],[PID]],0)))</f>
        <v>45.625294843463948</v>
      </c>
      <c r="R573" s="52">
        <f>IF($C573="B",INDEX(Batters[[#All],[zScore]],MATCH(Table5[[#This Row],[PID]],Batters[[#All],[PID]],0)),INDEX(Table3[[#All],[zScore]],MATCH(Table5[[#This Row],[PID]],Table3[[#All],[PID]],0)))</f>
        <v>0.33108692465353218</v>
      </c>
      <c r="S573" s="58" t="str">
        <f>IF($C573="B",INDEX(Batters[[#All],[DEM]],MATCH(Table5[[#This Row],[PID]],Batters[[#All],[PID]],0)),INDEX(Table3[[#All],[DEM]],MATCH(Table5[[#This Row],[PID]],Table3[[#All],[PID]],0)))</f>
        <v>$1.9m</v>
      </c>
      <c r="T573" s="62">
        <f>IF($C573="B",INDEX(Batters[[#All],[Rnk]],MATCH(Table5[[#This Row],[PID]],Batters[[#All],[PID]],0)),INDEX(Table3[[#All],[Rnk]],MATCH(Table5[[#This Row],[PID]],Table3[[#All],[PID]],0)))</f>
        <v>171</v>
      </c>
      <c r="U573" s="68">
        <f>IF($C573="B",VLOOKUP($A573,Bat!$A$4:$BA$1621,47,FALSE),VLOOKUP($A573,Pit!$A$4:$BF$1557,56,FALSE))</f>
        <v>0</v>
      </c>
      <c r="V573" s="50">
        <f>IF($C573="B",VLOOKUP($A573,Bat!$A$4:$BA$1621,48,FALSE),VLOOKUP($A573,Pit!$A$4:$BF$1557,57,FALSE))</f>
        <v>0</v>
      </c>
      <c r="W573" s="50">
        <f>Table5[[#This Row],[posRnk]]+Table5[[#This Row],[zRnk]]+IF($W$3&lt;&gt;Table5[[#This Row],[Type]],50,0)</f>
        <v>628</v>
      </c>
      <c r="X573" s="51">
        <f>RANK(Table5[[#This Row],[zScore]],Table5[[#All],[zScore]])</f>
        <v>407</v>
      </c>
      <c r="Y573" s="50">
        <f>IFERROR(INDEX(DraftResults[[#All],[OVR]],MATCH(Table5[[#This Row],[PID]],DraftResults[[#All],[Player ID]],0)),"")</f>
        <v>569</v>
      </c>
      <c r="Z5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3" s="50">
        <f>IFERROR(INDEX(DraftResults[[#All],[Pick in Round]],MATCH(Table5[[#This Row],[PID]],DraftResults[[#All],[Player ID]],0)),"")</f>
        <v>21</v>
      </c>
      <c r="AB573" s="50" t="str">
        <f>IFERROR(INDEX(DraftResults[[#All],[Team Name]],MATCH(Table5[[#This Row],[PID]],DraftResults[[#All],[Player ID]],0)),"")</f>
        <v>Reno Zephyrs</v>
      </c>
      <c r="AC573" s="50">
        <f>IF(Table5[[#This Row],[Ovr]]="","",IF(Table5[[#This Row],[cmbList]]="","",Table5[[#This Row],[cmbList]]-Table5[[#This Row],[Ovr]]))</f>
        <v>59</v>
      </c>
      <c r="AD573" s="54" t="str">
        <f>IF(ISERROR(VLOOKUP($AB573&amp;"-"&amp;$E573&amp;" "&amp;F573,Bonuses!$B$1:$G$1006,4,FALSE)),"",INT(VLOOKUP($AB573&amp;"-"&amp;$E573&amp;" "&amp;$F573,Bonuses!$B$1:$G$1006,4,FALSE)))</f>
        <v/>
      </c>
      <c r="AE5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19.21 (569) - 2B William McElyea</v>
      </c>
    </row>
    <row r="574" spans="1:31" s="50" customFormat="1" x14ac:dyDescent="0.25">
      <c r="A574" s="68">
        <v>13020</v>
      </c>
      <c r="B574" s="69">
        <f>COUNTIF(Table5[PID],A574)</f>
        <v>1</v>
      </c>
      <c r="C574" s="69" t="str">
        <f>IF(COUNTIF(Table3[[#All],[PID]],A574)&gt;0,"P","B")</f>
        <v>P</v>
      </c>
      <c r="D574" s="59" t="str">
        <f>IF($C574="B",INDEX(Batters[[#All],[POS]],MATCH(Table5[[#This Row],[PID]],Batters[[#All],[PID]],0)),INDEX(Table3[[#All],[POS]],MATCH(Table5[[#This Row],[PID]],Table3[[#All],[PID]],0)))</f>
        <v>SP</v>
      </c>
      <c r="E574" s="52" t="str">
        <f>IF($C574="B",INDEX(Batters[[#All],[First]],MATCH(Table5[[#This Row],[PID]],Batters[[#All],[PID]],0)),INDEX(Table3[[#All],[First]],MATCH(Table5[[#This Row],[PID]],Table3[[#All],[PID]],0)))</f>
        <v>Ray</v>
      </c>
      <c r="F574" s="55" t="str">
        <f>IF($C574="B",INDEX(Batters[[#All],[Last]],MATCH(A574,Batters[[#All],[PID]],0)),INDEX(Table3[[#All],[Last]],MATCH(A574,Table3[[#All],[PID]],0)))</f>
        <v>Pérez</v>
      </c>
      <c r="G574" s="56">
        <f>IF($C574="B",INDEX(Batters[[#All],[Age]],MATCH(Table5[[#This Row],[PID]],Batters[[#All],[PID]],0)),INDEX(Table3[[#All],[Age]],MATCH(Table5[[#This Row],[PID]],Table3[[#All],[PID]],0)))</f>
        <v>21</v>
      </c>
      <c r="H574" s="52" t="str">
        <f>IF($C574="B",INDEX(Batters[[#All],[B]],MATCH(Table5[[#This Row],[PID]],Batters[[#All],[PID]],0)),INDEX(Table3[[#All],[B]],MATCH(Table5[[#This Row],[PID]],Table3[[#All],[PID]],0)))</f>
        <v>R</v>
      </c>
      <c r="I574" s="52" t="str">
        <f>IF($C574="B",INDEX(Batters[[#All],[T]],MATCH(Table5[[#This Row],[PID]],Batters[[#All],[PID]],0)),INDEX(Table3[[#All],[T]],MATCH(Table5[[#This Row],[PID]],Table3[[#All],[PID]],0)))</f>
        <v>R</v>
      </c>
      <c r="J574" s="71" t="str">
        <f>IF($C574="B",INDEX(Batters[[#All],[WE]],MATCH(Table5[[#This Row],[PID]],Batters[[#All],[PID]],0)),INDEX(Table3[[#All],[WE]],MATCH(Table5[[#This Row],[PID]],Table3[[#All],[PID]],0)))</f>
        <v>Low</v>
      </c>
      <c r="K574" s="52" t="str">
        <f>IF($C574="B",INDEX(Batters[[#All],[INT]],MATCH(Table5[[#This Row],[PID]],Batters[[#All],[PID]],0)),INDEX(Table3[[#All],[INT]],MATCH(Table5[[#This Row],[PID]],Table3[[#All],[PID]],0)))</f>
        <v>Normal</v>
      </c>
      <c r="L574" s="60">
        <f>IF($C574="B",INDEX(Batters[[#All],[CON P]],MATCH(Table5[[#This Row],[PID]],Batters[[#All],[PID]],0)),INDEX(Table3[[#All],[STU P]],MATCH(Table5[[#This Row],[PID]],Table3[[#All],[PID]],0)))</f>
        <v>4</v>
      </c>
      <c r="M574" s="72">
        <f>IF($C574="B",INDEX(Batters[[#All],[GAP P]],MATCH(Table5[[#This Row],[PID]],Batters[[#All],[PID]],0)),INDEX(Table3[[#All],[MOV P]],MATCH(Table5[[#This Row],[PID]],Table3[[#All],[PID]],0)))</f>
        <v>3</v>
      </c>
      <c r="N574" s="72">
        <f>IF($C574="B",INDEX(Batters[[#All],[POW P]],MATCH(Table5[[#This Row],[PID]],Batters[[#All],[PID]],0)),INDEX(Table3[[#All],[CON P]],MATCH(Table5[[#This Row],[PID]],Table3[[#All],[PID]],0)))</f>
        <v>3</v>
      </c>
      <c r="O574" s="72" t="str">
        <f>IF($C574="B",INDEX(Batters[[#All],[EYE P]],MATCH(Table5[[#This Row],[PID]],Batters[[#All],[PID]],0)),INDEX(Table3[[#All],[VELO]],MATCH(Table5[[#This Row],[PID]],Table3[[#All],[PID]],0)))</f>
        <v>87-89 Mph</v>
      </c>
      <c r="P574" s="56">
        <f>IF($C574="B",INDEX(Batters[[#All],[K P]],MATCH(Table5[[#This Row],[PID]],Batters[[#All],[PID]],0)),INDEX(Table3[[#All],[STM]],MATCH(Table5[[#This Row],[PID]],Table3[[#All],[PID]],0)))</f>
        <v>7</v>
      </c>
      <c r="Q574" s="61">
        <f>IF($C574="B",INDEX(Batters[[#All],[Tot]],MATCH(Table5[[#This Row],[PID]],Batters[[#All],[PID]],0)),INDEX(Table3[[#All],[Tot]],MATCH(Table5[[#This Row],[PID]],Table3[[#All],[PID]],0)))</f>
        <v>34.270570520999001</v>
      </c>
      <c r="R574" s="52">
        <f>IF($C574="B",INDEX(Batters[[#All],[zScore]],MATCH(Table5[[#This Row],[PID]],Batters[[#All],[PID]],0)),INDEX(Table3[[#All],[zScore]],MATCH(Table5[[#This Row],[PID]],Table3[[#All],[PID]],0)))</f>
        <v>-0.10644259597260568</v>
      </c>
      <c r="S574" s="78" t="str">
        <f>IF($C574="B",INDEX(Batters[[#All],[DEM]],MATCH(Table5[[#This Row],[PID]],Batters[[#All],[PID]],0)),INDEX(Table3[[#All],[DEM]],MATCH(Table5[[#This Row],[PID]],Table3[[#All],[PID]],0)))</f>
        <v>$20k</v>
      </c>
      <c r="T574" s="75">
        <f>IF($C574="B",INDEX(Batters[[#All],[Rnk]],MATCH(Table5[[#This Row],[PID]],Batters[[#All],[PID]],0)),INDEX(Table3[[#All],[Rnk]],MATCH(Table5[[#This Row],[PID]],Table3[[#All],[PID]],0)))</f>
        <v>343</v>
      </c>
      <c r="U574" s="68">
        <f>IF($C574="B",VLOOKUP($A574,Bat!$A$4:$BA$1621,47,FALSE),VLOOKUP($A574,Pit!$A$4:$BF$1557,56,FALSE))</f>
        <v>0</v>
      </c>
      <c r="V574" s="50">
        <f>IF($C574="B",VLOOKUP($A574,Bat!$A$4:$BA$1621,48,FALSE),VLOOKUP($A574,Pit!$A$4:$BF$1557,57,FALSE))</f>
        <v>0</v>
      </c>
      <c r="W574" s="69">
        <f>Table5[[#This Row],[posRnk]]+Table5[[#This Row],[zRnk]]+IF($W$3&lt;&gt;Table5[[#This Row],[Type]],50,0)</f>
        <v>995</v>
      </c>
      <c r="X574" s="73">
        <f>RANK(Table5[[#This Row],[zScore]],Table5[[#All],[zScore]])</f>
        <v>602</v>
      </c>
      <c r="Y574" s="69">
        <f>IFERROR(INDEX(DraftResults[[#All],[OVR]],MATCH(Table5[[#This Row],[PID]],DraftResults[[#All],[Player ID]],0)),"")</f>
        <v>570</v>
      </c>
      <c r="Z57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4" s="69">
        <f>IFERROR(INDEX(DraftResults[[#All],[Pick in Round]],MATCH(Table5[[#This Row],[PID]],DraftResults[[#All],[Player ID]],0)),"")</f>
        <v>22</v>
      </c>
      <c r="AB574" s="69" t="str">
        <f>IFERROR(INDEX(DraftResults[[#All],[Team Name]],MATCH(Table5[[#This Row],[PID]],DraftResults[[#All],[Player ID]],0)),"")</f>
        <v>Fargo Dinosaurs</v>
      </c>
      <c r="AC574" s="69">
        <f>IF(Table5[[#This Row],[Ovr]]="","",IF(Table5[[#This Row],[cmbList]]="","",Table5[[#This Row],[cmbList]]-Table5[[#This Row],[Ovr]]))</f>
        <v>425</v>
      </c>
      <c r="AD574" s="77" t="str">
        <f>IF(ISERROR(VLOOKUP($AB574&amp;"-"&amp;$E574&amp;" "&amp;F574,Bonuses!$B$1:$G$1006,4,FALSE)),"",INT(VLOOKUP($AB574&amp;"-"&amp;$E574&amp;" "&amp;$F574,Bonuses!$B$1:$G$1006,4,FALSE)))</f>
        <v/>
      </c>
      <c r="AE57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19.22 (570) - SP Ray Pérez</v>
      </c>
    </row>
    <row r="575" spans="1:31" s="50" customFormat="1" x14ac:dyDescent="0.25">
      <c r="A575" s="50">
        <v>20899</v>
      </c>
      <c r="B575" s="50">
        <f>COUNTIF(Table5[PID],A575)</f>
        <v>1</v>
      </c>
      <c r="C575" s="50" t="str">
        <f>IF(COUNTIF(Table3[[#All],[PID]],A575)&gt;0,"P","B")</f>
        <v>B</v>
      </c>
      <c r="D575" s="59" t="str">
        <f>IF($C575="B",INDEX(Batters[[#All],[POS]],MATCH(Table5[[#This Row],[PID]],Batters[[#All],[PID]],0)),INDEX(Table3[[#All],[POS]],MATCH(Table5[[#This Row],[PID]],Table3[[#All],[PID]],0)))</f>
        <v>LF</v>
      </c>
      <c r="E575" s="52" t="str">
        <f>IF($C575="B",INDEX(Batters[[#All],[First]],MATCH(Table5[[#This Row],[PID]],Batters[[#All],[PID]],0)),INDEX(Table3[[#All],[First]],MATCH(Table5[[#This Row],[PID]],Table3[[#All],[PID]],0)))</f>
        <v>Brian</v>
      </c>
      <c r="F575" s="50" t="str">
        <f>IF($C575="B",INDEX(Batters[[#All],[Last]],MATCH(A575,Batters[[#All],[PID]],0)),INDEX(Table3[[#All],[Last]],MATCH(A575,Table3[[#All],[PID]],0)))</f>
        <v>Burlingame</v>
      </c>
      <c r="G575" s="56">
        <f>IF($C575="B",INDEX(Batters[[#All],[Age]],MATCH(Table5[[#This Row],[PID]],Batters[[#All],[PID]],0)),INDEX(Table3[[#All],[Age]],MATCH(Table5[[#This Row],[PID]],Table3[[#All],[PID]],0)))</f>
        <v>18</v>
      </c>
      <c r="H575" s="52" t="str">
        <f>IF($C575="B",INDEX(Batters[[#All],[B]],MATCH(Table5[[#This Row],[PID]],Batters[[#All],[PID]],0)),INDEX(Table3[[#All],[B]],MATCH(Table5[[#This Row],[PID]],Table3[[#All],[PID]],0)))</f>
        <v>S</v>
      </c>
      <c r="I575" s="52" t="str">
        <f>IF($C575="B",INDEX(Batters[[#All],[T]],MATCH(Table5[[#This Row],[PID]],Batters[[#All],[PID]],0)),INDEX(Table3[[#All],[T]],MATCH(Table5[[#This Row],[PID]],Table3[[#All],[PID]],0)))</f>
        <v>R</v>
      </c>
      <c r="J575" s="52" t="str">
        <f>IF($C575="B",INDEX(Batters[[#All],[WE]],MATCH(Table5[[#This Row],[PID]],Batters[[#All],[PID]],0)),INDEX(Table3[[#All],[WE]],MATCH(Table5[[#This Row],[PID]],Table3[[#All],[PID]],0)))</f>
        <v>High</v>
      </c>
      <c r="K575" s="52" t="str">
        <f>IF($C575="B",INDEX(Batters[[#All],[INT]],MATCH(Table5[[#This Row],[PID]],Batters[[#All],[PID]],0)),INDEX(Table3[[#All],[INT]],MATCH(Table5[[#This Row],[PID]],Table3[[#All],[PID]],0)))</f>
        <v>Normal</v>
      </c>
      <c r="L575" s="60">
        <f>IF($C575="B",INDEX(Batters[[#All],[CON P]],MATCH(Table5[[#This Row],[PID]],Batters[[#All],[PID]],0)),INDEX(Table3[[#All],[STU P]],MATCH(Table5[[#This Row],[PID]],Table3[[#All],[PID]],0)))</f>
        <v>3</v>
      </c>
      <c r="M575" s="56">
        <f>IF($C575="B",INDEX(Batters[[#All],[GAP P]],MATCH(Table5[[#This Row],[PID]],Batters[[#All],[PID]],0)),INDEX(Table3[[#All],[MOV P]],MATCH(Table5[[#This Row],[PID]],Table3[[#All],[PID]],0)))</f>
        <v>5</v>
      </c>
      <c r="N575" s="56">
        <f>IF($C575="B",INDEX(Batters[[#All],[POW P]],MATCH(Table5[[#This Row],[PID]],Batters[[#All],[PID]],0)),INDEX(Table3[[#All],[CON P]],MATCH(Table5[[#This Row],[PID]],Table3[[#All],[PID]],0)))</f>
        <v>4</v>
      </c>
      <c r="O575" s="56">
        <f>IF($C575="B",INDEX(Batters[[#All],[EYE P]],MATCH(Table5[[#This Row],[PID]],Batters[[#All],[PID]],0)),INDEX(Table3[[#All],[VELO]],MATCH(Table5[[#This Row],[PID]],Table3[[#All],[PID]],0)))</f>
        <v>5</v>
      </c>
      <c r="P575" s="56">
        <f>IF($C575="B",INDEX(Batters[[#All],[K P]],MATCH(Table5[[#This Row],[PID]],Batters[[#All],[PID]],0)),INDEX(Table3[[#All],[STM]],MATCH(Table5[[#This Row],[PID]],Table3[[#All],[PID]],0)))</f>
        <v>3</v>
      </c>
      <c r="Q575" s="61">
        <f>IF($C575="B",INDEX(Batters[[#All],[Tot]],MATCH(Table5[[#This Row],[PID]],Batters[[#All],[PID]],0)),INDEX(Table3[[#All],[Tot]],MATCH(Table5[[#This Row],[PID]],Table3[[#All],[PID]],0)))</f>
        <v>43.550707190943911</v>
      </c>
      <c r="R575" s="52">
        <f>IF($C575="B",INDEX(Batters[[#All],[zScore]],MATCH(Table5[[#This Row],[PID]],Batters[[#All],[PID]],0)),INDEX(Table3[[#All],[zScore]],MATCH(Table5[[#This Row],[PID]],Table3[[#All],[PID]],0)))</f>
        <v>-0.12886318082126269</v>
      </c>
      <c r="S575" s="58" t="str">
        <f>IF($C575="B",INDEX(Batters[[#All],[DEM]],MATCH(Table5[[#This Row],[PID]],Batters[[#All],[PID]],0)),INDEX(Table3[[#All],[DEM]],MATCH(Table5[[#This Row],[PID]],Table3[[#All],[PID]],0)))</f>
        <v>$70k</v>
      </c>
      <c r="T575" s="62">
        <f>IF($C575="B",INDEX(Batters[[#All],[Rnk]],MATCH(Table5[[#This Row],[PID]],Batters[[#All],[PID]],0)),INDEX(Table3[[#All],[Rnk]],MATCH(Table5[[#This Row],[PID]],Table3[[#All],[PID]],0)))</f>
        <v>266</v>
      </c>
      <c r="U575" s="68">
        <f>IF($C575="B",VLOOKUP($A575,Bat!$A$4:$BA$1621,47,FALSE),VLOOKUP($A575,Pit!$A$4:$BF$1557,56,FALSE))</f>
        <v>0</v>
      </c>
      <c r="V575" s="50">
        <f>IF($C575="B",VLOOKUP($A575,Bat!$A$4:$BA$1621,48,FALSE),VLOOKUP($A575,Pit!$A$4:$BF$1557,57,FALSE))</f>
        <v>0</v>
      </c>
      <c r="W575" s="50">
        <f>Table5[[#This Row],[posRnk]]+Table5[[#This Row],[zRnk]]+IF($W$3&lt;&gt;Table5[[#This Row],[Type]],50,0)</f>
        <v>936</v>
      </c>
      <c r="X575" s="51">
        <f>RANK(Table5[[#This Row],[zScore]],Table5[[#All],[zScore]])</f>
        <v>620</v>
      </c>
      <c r="Y575" s="50">
        <f>IFERROR(INDEX(DraftResults[[#All],[OVR]],MATCH(Table5[[#This Row],[PID]],DraftResults[[#All],[Player ID]],0)),"")</f>
        <v>571</v>
      </c>
      <c r="Z5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5" s="50">
        <f>IFERROR(INDEX(DraftResults[[#All],[Pick in Round]],MATCH(Table5[[#This Row],[PID]],DraftResults[[#All],[Player ID]],0)),"")</f>
        <v>23</v>
      </c>
      <c r="AB575" s="50" t="str">
        <f>IFERROR(INDEX(DraftResults[[#All],[Team Name]],MATCH(Table5[[#This Row],[PID]],DraftResults[[#All],[Player ID]],0)),"")</f>
        <v>Shin Seiki Evas</v>
      </c>
      <c r="AC575" s="50">
        <f>IF(Table5[[#This Row],[Ovr]]="","",IF(Table5[[#This Row],[cmbList]]="","",Table5[[#This Row],[cmbList]]-Table5[[#This Row],[Ovr]]))</f>
        <v>365</v>
      </c>
      <c r="AD575" s="54" t="str">
        <f>IF(ISERROR(VLOOKUP($AB575&amp;"-"&amp;$E575&amp;" "&amp;F575,Bonuses!$B$1:$G$1006,4,FALSE)),"",INT(VLOOKUP($AB575&amp;"-"&amp;$E575&amp;" "&amp;$F575,Bonuses!$B$1:$G$1006,4,FALSE)))</f>
        <v/>
      </c>
      <c r="AE5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19.23 (571) - LF Brian Burlingame</v>
      </c>
    </row>
    <row r="576" spans="1:31" s="50" customFormat="1" x14ac:dyDescent="0.25">
      <c r="A576" s="50">
        <v>18083</v>
      </c>
      <c r="B576" s="50">
        <f>COUNTIF(Table5[PID],A576)</f>
        <v>1</v>
      </c>
      <c r="C576" s="50" t="str">
        <f>IF(COUNTIF(Table3[[#All],[PID]],A576)&gt;0,"P","B")</f>
        <v>B</v>
      </c>
      <c r="D576" s="59" t="str">
        <f>IF($C576="B",INDEX(Batters[[#All],[POS]],MATCH(Table5[[#This Row],[PID]],Batters[[#All],[PID]],0)),INDEX(Table3[[#All],[POS]],MATCH(Table5[[#This Row],[PID]],Table3[[#All],[PID]],0)))</f>
        <v>RF</v>
      </c>
      <c r="E576" s="52" t="str">
        <f>IF($C576="B",INDEX(Batters[[#All],[First]],MATCH(Table5[[#This Row],[PID]],Batters[[#All],[PID]],0)),INDEX(Table3[[#All],[First]],MATCH(Table5[[#This Row],[PID]],Table3[[#All],[PID]],0)))</f>
        <v>Valentín</v>
      </c>
      <c r="F576" s="50" t="str">
        <f>IF($C576="B",INDEX(Batters[[#All],[Last]],MATCH(A576,Batters[[#All],[PID]],0)),INDEX(Table3[[#All],[Last]],MATCH(A576,Table3[[#All],[PID]],0)))</f>
        <v>Silva</v>
      </c>
      <c r="G576" s="56">
        <f>IF($C576="B",INDEX(Batters[[#All],[Age]],MATCH(Table5[[#This Row],[PID]],Batters[[#All],[PID]],0)),INDEX(Table3[[#All],[Age]],MATCH(Table5[[#This Row],[PID]],Table3[[#All],[PID]],0)))</f>
        <v>21</v>
      </c>
      <c r="H576" s="52" t="str">
        <f>IF($C576="B",INDEX(Batters[[#All],[B]],MATCH(Table5[[#This Row],[PID]],Batters[[#All],[PID]],0)),INDEX(Table3[[#All],[B]],MATCH(Table5[[#This Row],[PID]],Table3[[#All],[PID]],0)))</f>
        <v>S</v>
      </c>
      <c r="I576" s="52" t="str">
        <f>IF($C576="B",INDEX(Batters[[#All],[T]],MATCH(Table5[[#This Row],[PID]],Batters[[#All],[PID]],0)),INDEX(Table3[[#All],[T]],MATCH(Table5[[#This Row],[PID]],Table3[[#All],[PID]],0)))</f>
        <v>R</v>
      </c>
      <c r="J576" s="52" t="str">
        <f>IF($C576="B",INDEX(Batters[[#All],[WE]],MATCH(Table5[[#This Row],[PID]],Batters[[#All],[PID]],0)),INDEX(Table3[[#All],[WE]],MATCH(Table5[[#This Row],[PID]],Table3[[#All],[PID]],0)))</f>
        <v>High</v>
      </c>
      <c r="K576" s="52" t="str">
        <f>IF($C576="B",INDEX(Batters[[#All],[INT]],MATCH(Table5[[#This Row],[PID]],Batters[[#All],[PID]],0)),INDEX(Table3[[#All],[INT]],MATCH(Table5[[#This Row],[PID]],Table3[[#All],[PID]],0)))</f>
        <v>Normal</v>
      </c>
      <c r="L576" s="60">
        <f>IF($C576="B",INDEX(Batters[[#All],[CON P]],MATCH(Table5[[#This Row],[PID]],Batters[[#All],[PID]],0)),INDEX(Table3[[#All],[STU P]],MATCH(Table5[[#This Row],[PID]],Table3[[#All],[PID]],0)))</f>
        <v>3</v>
      </c>
      <c r="M576" s="56">
        <f>IF($C576="B",INDEX(Batters[[#All],[GAP P]],MATCH(Table5[[#This Row],[PID]],Batters[[#All],[PID]],0)),INDEX(Table3[[#All],[MOV P]],MATCH(Table5[[#This Row],[PID]],Table3[[#All],[PID]],0)))</f>
        <v>3</v>
      </c>
      <c r="N576" s="56">
        <f>IF($C576="B",INDEX(Batters[[#All],[POW P]],MATCH(Table5[[#This Row],[PID]],Batters[[#All],[PID]],0)),INDEX(Table3[[#All],[CON P]],MATCH(Table5[[#This Row],[PID]],Table3[[#All],[PID]],0)))</f>
        <v>5</v>
      </c>
      <c r="O576" s="56">
        <f>IF($C576="B",INDEX(Batters[[#All],[EYE P]],MATCH(Table5[[#This Row],[PID]],Batters[[#All],[PID]],0)),INDEX(Table3[[#All],[VELO]],MATCH(Table5[[#This Row],[PID]],Table3[[#All],[PID]],0)))</f>
        <v>4</v>
      </c>
      <c r="P576" s="56">
        <f>IF($C576="B",INDEX(Batters[[#All],[K P]],MATCH(Table5[[#This Row],[PID]],Batters[[#All],[PID]],0)),INDEX(Table3[[#All],[STM]],MATCH(Table5[[#This Row],[PID]],Table3[[#All],[PID]],0)))</f>
        <v>2</v>
      </c>
      <c r="Q576" s="61">
        <f>IF($C576="B",INDEX(Batters[[#All],[Tot]],MATCH(Table5[[#This Row],[PID]],Batters[[#All],[PID]],0)),INDEX(Table3[[#All],[Tot]],MATCH(Table5[[#This Row],[PID]],Table3[[#All],[PID]],0)))</f>
        <v>38.53085906348452</v>
      </c>
      <c r="R576" s="52">
        <f>IF($C576="B",INDEX(Batters[[#All],[zScore]],MATCH(Table5[[#This Row],[PID]],Batters[[#All],[PID]],0)),INDEX(Table3[[#All],[zScore]],MATCH(Table5[[#This Row],[PID]],Table3[[#All],[PID]],0)))</f>
        <v>-1.2417974417033046</v>
      </c>
      <c r="S576" s="58" t="str">
        <f>IF($C576="B",INDEX(Batters[[#All],[DEM]],MATCH(Table5[[#This Row],[PID]],Batters[[#All],[PID]],0)),INDEX(Table3[[#All],[DEM]],MATCH(Table5[[#This Row],[PID]],Table3[[#All],[PID]],0)))</f>
        <v>-</v>
      </c>
      <c r="T576" s="62">
        <f>IF($C576="B",INDEX(Batters[[#All],[Rnk]],MATCH(Table5[[#This Row],[PID]],Batters[[#All],[PID]],0)),INDEX(Table3[[#All],[Rnk]],MATCH(Table5[[#This Row],[PID]],Table3[[#All],[PID]],0)))</f>
        <v>473</v>
      </c>
      <c r="U576" s="68">
        <f>IF($C576="B",VLOOKUP($A576,Bat!$A$4:$BA$1621,47,FALSE),VLOOKUP($A576,Pit!$A$4:$BF$1557,56,FALSE))</f>
        <v>0</v>
      </c>
      <c r="V576" s="50">
        <f>IF($C576="B",VLOOKUP($A576,Bat!$A$4:$BA$1621,48,FALSE),VLOOKUP($A576,Pit!$A$4:$BF$1557,57,FALSE))</f>
        <v>0</v>
      </c>
      <c r="W576" s="50">
        <f>Table5[[#This Row],[posRnk]]+Table5[[#This Row],[zRnk]]+IF($W$3&lt;&gt;Table5[[#This Row],[Type]],50,0)</f>
        <v>1743</v>
      </c>
      <c r="X576" s="51">
        <f>RANK(Table5[[#This Row],[zScore]],Table5[[#All],[zScore]])</f>
        <v>1220</v>
      </c>
      <c r="Y576" s="50">
        <f>IFERROR(INDEX(DraftResults[[#All],[OVR]],MATCH(Table5[[#This Row],[PID]],DraftResults[[#All],[Player ID]],0)),"")</f>
        <v>572</v>
      </c>
      <c r="Z5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6" s="50">
        <f>IFERROR(INDEX(DraftResults[[#All],[Pick in Round]],MATCH(Table5[[#This Row],[PID]],DraftResults[[#All],[Player ID]],0)),"")</f>
        <v>24</v>
      </c>
      <c r="AB576" s="50" t="str">
        <f>IFERROR(INDEX(DraftResults[[#All],[Team Name]],MATCH(Table5[[#This Row],[PID]],DraftResults[[#All],[Player ID]],0)),"")</f>
        <v>Aurora Borealis</v>
      </c>
      <c r="AC576" s="50">
        <f>IF(Table5[[#This Row],[Ovr]]="","",IF(Table5[[#This Row],[cmbList]]="","",Table5[[#This Row],[cmbList]]-Table5[[#This Row],[Ovr]]))</f>
        <v>1171</v>
      </c>
      <c r="AD576" s="54" t="str">
        <f>IF(ISERROR(VLOOKUP($AB576&amp;"-"&amp;$E576&amp;" "&amp;F576,Bonuses!$B$1:$G$1006,4,FALSE)),"",INT(VLOOKUP($AB576&amp;"-"&amp;$E576&amp;" "&amp;$F576,Bonuses!$B$1:$G$1006,4,FALSE)))</f>
        <v/>
      </c>
      <c r="AE5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19.24 (572) - RF Valentín Silva</v>
      </c>
    </row>
    <row r="577" spans="1:31" s="50" customFormat="1" x14ac:dyDescent="0.25">
      <c r="A577" s="50">
        <v>14426</v>
      </c>
      <c r="B577" s="50">
        <f>COUNTIF(Table5[PID],A577)</f>
        <v>1</v>
      </c>
      <c r="C577" s="50" t="str">
        <f>IF(COUNTIF(Table3[[#All],[PID]],A577)&gt;0,"P","B")</f>
        <v>B</v>
      </c>
      <c r="D577" s="59" t="str">
        <f>IF($C577="B",INDEX(Batters[[#All],[POS]],MATCH(Table5[[#This Row],[PID]],Batters[[#All],[PID]],0)),INDEX(Table3[[#All],[POS]],MATCH(Table5[[#This Row],[PID]],Table3[[#All],[PID]],0)))</f>
        <v>1B</v>
      </c>
      <c r="E577" s="52" t="str">
        <f>IF($C577="B",INDEX(Batters[[#All],[First]],MATCH(Table5[[#This Row],[PID]],Batters[[#All],[PID]],0)),INDEX(Table3[[#All],[First]],MATCH(Table5[[#This Row],[PID]],Table3[[#All],[PID]],0)))</f>
        <v>Shigekazu</v>
      </c>
      <c r="F577" s="50" t="str">
        <f>IF($C577="B",INDEX(Batters[[#All],[Last]],MATCH(A577,Batters[[#All],[PID]],0)),INDEX(Table3[[#All],[Last]],MATCH(A577,Table3[[#All],[PID]],0)))</f>
        <v>Yamaguchi</v>
      </c>
      <c r="G577" s="56">
        <f>IF($C577="B",INDEX(Batters[[#All],[Age]],MATCH(Table5[[#This Row],[PID]],Batters[[#All],[PID]],0)),INDEX(Table3[[#All],[Age]],MATCH(Table5[[#This Row],[PID]],Table3[[#All],[PID]],0)))</f>
        <v>22</v>
      </c>
      <c r="H577" s="52" t="str">
        <f>IF($C577="B",INDEX(Batters[[#All],[B]],MATCH(Table5[[#This Row],[PID]],Batters[[#All],[PID]],0)),INDEX(Table3[[#All],[B]],MATCH(Table5[[#This Row],[PID]],Table3[[#All],[PID]],0)))</f>
        <v>L</v>
      </c>
      <c r="I577" s="52" t="str">
        <f>IF($C577="B",INDEX(Batters[[#All],[T]],MATCH(Table5[[#This Row],[PID]],Batters[[#All],[PID]],0)),INDEX(Table3[[#All],[T]],MATCH(Table5[[#This Row],[PID]],Table3[[#All],[PID]],0)))</f>
        <v>L</v>
      </c>
      <c r="J577" s="52" t="str">
        <f>IF($C577="B",INDEX(Batters[[#All],[WE]],MATCH(Table5[[#This Row],[PID]],Batters[[#All],[PID]],0)),INDEX(Table3[[#All],[WE]],MATCH(Table5[[#This Row],[PID]],Table3[[#All],[PID]],0)))</f>
        <v>Normal</v>
      </c>
      <c r="K577" s="52" t="str">
        <f>IF($C577="B",INDEX(Batters[[#All],[INT]],MATCH(Table5[[#This Row],[PID]],Batters[[#All],[PID]],0)),INDEX(Table3[[#All],[INT]],MATCH(Table5[[#This Row],[PID]],Table3[[#All],[PID]],0)))</f>
        <v>High</v>
      </c>
      <c r="L577" s="60">
        <f>IF($C577="B",INDEX(Batters[[#All],[CON P]],MATCH(Table5[[#This Row],[PID]],Batters[[#All],[PID]],0)),INDEX(Table3[[#All],[STU P]],MATCH(Table5[[#This Row],[PID]],Table3[[#All],[PID]],0)))</f>
        <v>5</v>
      </c>
      <c r="M577" s="56">
        <f>IF($C577="B",INDEX(Batters[[#All],[GAP P]],MATCH(Table5[[#This Row],[PID]],Batters[[#All],[PID]],0)),INDEX(Table3[[#All],[MOV P]],MATCH(Table5[[#This Row],[PID]],Table3[[#All],[PID]],0)))</f>
        <v>2</v>
      </c>
      <c r="N577" s="56">
        <f>IF($C577="B",INDEX(Batters[[#All],[POW P]],MATCH(Table5[[#This Row],[PID]],Batters[[#All],[PID]],0)),INDEX(Table3[[#All],[CON P]],MATCH(Table5[[#This Row],[PID]],Table3[[#All],[PID]],0)))</f>
        <v>2</v>
      </c>
      <c r="O577" s="56">
        <f>IF($C577="B",INDEX(Batters[[#All],[EYE P]],MATCH(Table5[[#This Row],[PID]],Batters[[#All],[PID]],0)),INDEX(Table3[[#All],[VELO]],MATCH(Table5[[#This Row],[PID]],Table3[[#All],[PID]],0)))</f>
        <v>1</v>
      </c>
      <c r="P577" s="56">
        <f>IF($C577="B",INDEX(Batters[[#All],[K P]],MATCH(Table5[[#This Row],[PID]],Batters[[#All],[PID]],0)),INDEX(Table3[[#All],[STM]],MATCH(Table5[[#This Row],[PID]],Table3[[#All],[PID]],0)))</f>
        <v>5</v>
      </c>
      <c r="Q577" s="61">
        <f>IF($C577="B",INDEX(Batters[[#All],[Tot]],MATCH(Table5[[#This Row],[PID]],Batters[[#All],[PID]],0)),INDEX(Table3[[#All],[Tot]],MATCH(Table5[[#This Row],[PID]],Table3[[#All],[PID]],0)))</f>
        <v>39.178292972314239</v>
      </c>
      <c r="R577" s="52">
        <f>IF($C577="B",INDEX(Batters[[#All],[zScore]],MATCH(Table5[[#This Row],[PID]],Batters[[#All],[PID]],0)),INDEX(Table3[[#All],[zScore]],MATCH(Table5[[#This Row],[PID]],Table3[[#All],[PID]],0)))</f>
        <v>-1.09825696786868</v>
      </c>
      <c r="S577" s="58" t="str">
        <f>IF($C577="B",INDEX(Batters[[#All],[DEM]],MATCH(Table5[[#This Row],[PID]],Batters[[#All],[PID]],0)),INDEX(Table3[[#All],[DEM]],MATCH(Table5[[#This Row],[PID]],Table3[[#All],[PID]],0)))</f>
        <v>-</v>
      </c>
      <c r="T577" s="62">
        <f>IF($C577="B",INDEX(Batters[[#All],[Rnk]],MATCH(Table5[[#This Row],[PID]],Batters[[#All],[PID]],0)),INDEX(Table3[[#All],[Rnk]],MATCH(Table5[[#This Row],[PID]],Table3[[#All],[PID]],0)))</f>
        <v>455</v>
      </c>
      <c r="U577" s="68">
        <f>IF($C577="B",VLOOKUP($A577,Bat!$A$4:$BA$1621,47,FALSE),VLOOKUP($A577,Pit!$A$4:$BF$1557,56,FALSE))</f>
        <v>0</v>
      </c>
      <c r="V577" s="50">
        <f>IF($C577="B",VLOOKUP($A577,Bat!$A$4:$BA$1621,48,FALSE),VLOOKUP($A577,Pit!$A$4:$BF$1557,57,FALSE))</f>
        <v>0</v>
      </c>
      <c r="W577" s="50">
        <f>Table5[[#This Row],[posRnk]]+Table5[[#This Row],[zRnk]]+IF($W$3&lt;&gt;Table5[[#This Row],[Type]],50,0)</f>
        <v>1683</v>
      </c>
      <c r="X577" s="51">
        <f>RANK(Table5[[#This Row],[zScore]],Table5[[#All],[zScore]])</f>
        <v>1178</v>
      </c>
      <c r="Y577" s="50">
        <f>IFERROR(INDEX(DraftResults[[#All],[OVR]],MATCH(Table5[[#This Row],[PID]],DraftResults[[#All],[Player ID]],0)),"")</f>
        <v>573</v>
      </c>
      <c r="Z5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7" s="50">
        <f>IFERROR(INDEX(DraftResults[[#All],[Pick in Round]],MATCH(Table5[[#This Row],[PID]],DraftResults[[#All],[Player ID]],0)),"")</f>
        <v>25</v>
      </c>
      <c r="AB577" s="50" t="str">
        <f>IFERROR(INDEX(DraftResults[[#All],[Team Name]],MATCH(Table5[[#This Row],[PID]],DraftResults[[#All],[Player ID]],0)),"")</f>
        <v>Toyama Wind Dancers</v>
      </c>
      <c r="AC577" s="50">
        <f>IF(Table5[[#This Row],[Ovr]]="","",IF(Table5[[#This Row],[cmbList]]="","",Table5[[#This Row],[cmbList]]-Table5[[#This Row],[Ovr]]))</f>
        <v>1110</v>
      </c>
      <c r="AD577" s="54" t="str">
        <f>IF(ISERROR(VLOOKUP($AB577&amp;"-"&amp;$E577&amp;" "&amp;F577,Bonuses!$B$1:$G$1006,4,FALSE)),"",INT(VLOOKUP($AB577&amp;"-"&amp;$E577&amp;" "&amp;$F577,Bonuses!$B$1:$G$1006,4,FALSE)))</f>
        <v/>
      </c>
      <c r="AE5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19.25 (573) - 1B Shigekazu Yamaguchi</v>
      </c>
    </row>
    <row r="578" spans="1:31" s="50" customFormat="1" x14ac:dyDescent="0.25">
      <c r="A578" s="50">
        <v>17762</v>
      </c>
      <c r="B578" s="50">
        <f>COUNTIF(Table5[PID],A578)</f>
        <v>1</v>
      </c>
      <c r="C578" s="50" t="str">
        <f>IF(COUNTIF(Table3[[#All],[PID]],A578)&gt;0,"P","B")</f>
        <v>P</v>
      </c>
      <c r="D578" s="59" t="str">
        <f>IF($C578="B",INDEX(Batters[[#All],[POS]],MATCH(Table5[[#This Row],[PID]],Batters[[#All],[PID]],0)),INDEX(Table3[[#All],[POS]],MATCH(Table5[[#This Row],[PID]],Table3[[#All],[PID]],0)))</f>
        <v>CL</v>
      </c>
      <c r="E578" s="52" t="str">
        <f>IF($C578="B",INDEX(Batters[[#All],[First]],MATCH(Table5[[#This Row],[PID]],Batters[[#All],[PID]],0)),INDEX(Table3[[#All],[First]],MATCH(Table5[[#This Row],[PID]],Table3[[#All],[PID]],0)))</f>
        <v>Ricardo</v>
      </c>
      <c r="F578" s="50" t="str">
        <f>IF($C578="B",INDEX(Batters[[#All],[Last]],MATCH(A578,Batters[[#All],[PID]],0)),INDEX(Table3[[#All],[Last]],MATCH(A578,Table3[[#All],[PID]],0)))</f>
        <v>Vagas</v>
      </c>
      <c r="G578" s="56">
        <f>IF($C578="B",INDEX(Batters[[#All],[Age]],MATCH(Table5[[#This Row],[PID]],Batters[[#All],[PID]],0)),INDEX(Table3[[#All],[Age]],MATCH(Table5[[#This Row],[PID]],Table3[[#All],[PID]],0)))</f>
        <v>21</v>
      </c>
      <c r="H578" s="52" t="str">
        <f>IF($C578="B",INDEX(Batters[[#All],[B]],MATCH(Table5[[#This Row],[PID]],Batters[[#All],[PID]],0)),INDEX(Table3[[#All],[B]],MATCH(Table5[[#This Row],[PID]],Table3[[#All],[PID]],0)))</f>
        <v>S</v>
      </c>
      <c r="I578" s="52" t="str">
        <f>IF($C578="B",INDEX(Batters[[#All],[T]],MATCH(Table5[[#This Row],[PID]],Batters[[#All],[PID]],0)),INDEX(Table3[[#All],[T]],MATCH(Table5[[#This Row],[PID]],Table3[[#All],[PID]],0)))</f>
        <v>R</v>
      </c>
      <c r="J578" s="52" t="str">
        <f>IF($C578="B",INDEX(Batters[[#All],[WE]],MATCH(Table5[[#This Row],[PID]],Batters[[#All],[PID]],0)),INDEX(Table3[[#All],[WE]],MATCH(Table5[[#This Row],[PID]],Table3[[#All],[PID]],0)))</f>
        <v>Low</v>
      </c>
      <c r="K578" s="52" t="str">
        <f>IF($C578="B",INDEX(Batters[[#All],[INT]],MATCH(Table5[[#This Row],[PID]],Batters[[#All],[PID]],0)),INDEX(Table3[[#All],[INT]],MATCH(Table5[[#This Row],[PID]],Table3[[#All],[PID]],0)))</f>
        <v>Low</v>
      </c>
      <c r="L578" s="60">
        <f>IF($C578="B",INDEX(Batters[[#All],[CON P]],MATCH(Table5[[#This Row],[PID]],Batters[[#All],[PID]],0)),INDEX(Table3[[#All],[STU P]],MATCH(Table5[[#This Row],[PID]],Table3[[#All],[PID]],0)))</f>
        <v>6</v>
      </c>
      <c r="M578" s="56">
        <f>IF($C578="B",INDEX(Batters[[#All],[GAP P]],MATCH(Table5[[#This Row],[PID]],Batters[[#All],[PID]],0)),INDEX(Table3[[#All],[MOV P]],MATCH(Table5[[#This Row],[PID]],Table3[[#All],[PID]],0)))</f>
        <v>4</v>
      </c>
      <c r="N578" s="56">
        <f>IF($C578="B",INDEX(Batters[[#All],[POW P]],MATCH(Table5[[#This Row],[PID]],Batters[[#All],[PID]],0)),INDEX(Table3[[#All],[CON P]],MATCH(Table5[[#This Row],[PID]],Table3[[#All],[PID]],0)))</f>
        <v>2</v>
      </c>
      <c r="O578" s="56" t="str">
        <f>IF($C578="B",INDEX(Batters[[#All],[EYE P]],MATCH(Table5[[#This Row],[PID]],Batters[[#All],[PID]],0)),INDEX(Table3[[#All],[VELO]],MATCH(Table5[[#This Row],[PID]],Table3[[#All],[PID]],0)))</f>
        <v>95-97 Mph</v>
      </c>
      <c r="P578" s="56">
        <f>IF($C578="B",INDEX(Batters[[#All],[K P]],MATCH(Table5[[#This Row],[PID]],Batters[[#All],[PID]],0)),INDEX(Table3[[#All],[STM]],MATCH(Table5[[#This Row],[PID]],Table3[[#All],[PID]],0)))</f>
        <v>3</v>
      </c>
      <c r="Q578" s="61">
        <f>IF($C578="B",INDEX(Batters[[#All],[Tot]],MATCH(Table5[[#This Row],[PID]],Batters[[#All],[PID]],0)),INDEX(Table3[[#All],[Tot]],MATCH(Table5[[#This Row],[PID]],Table3[[#All],[PID]],0)))</f>
        <v>37.704190858519596</v>
      </c>
      <c r="R578" s="52">
        <f>IF($C578="B",INDEX(Batters[[#All],[zScore]],MATCH(Table5[[#This Row],[PID]],Batters[[#All],[PID]],0)),INDEX(Table3[[#All],[zScore]],MATCH(Table5[[#This Row],[PID]],Table3[[#All],[PID]],0)))</f>
        <v>0.12199091813704115</v>
      </c>
      <c r="S578" s="58" t="str">
        <f>IF($C578="B",INDEX(Batters[[#All],[DEM]],MATCH(Table5[[#This Row],[PID]],Batters[[#All],[PID]],0)),INDEX(Table3[[#All],[DEM]],MATCH(Table5[[#This Row],[PID]],Table3[[#All],[PID]],0)))</f>
        <v>-</v>
      </c>
      <c r="T578" s="62">
        <f>IF($C578="B",INDEX(Batters[[#All],[Rnk]],MATCH(Table5[[#This Row],[PID]],Batters[[#All],[PID]],0)),INDEX(Table3[[#All],[Rnk]],MATCH(Table5[[#This Row],[PID]],Table3[[#All],[PID]],0)))</f>
        <v>282</v>
      </c>
      <c r="U578" s="68">
        <f>IF($C578="B",VLOOKUP($A578,Bat!$A$4:$BA$1621,47,FALSE),VLOOKUP($A578,Pit!$A$4:$BF$1557,56,FALSE))</f>
        <v>0</v>
      </c>
      <c r="V578" s="50">
        <f>IF($C578="B",VLOOKUP($A578,Bat!$A$4:$BA$1621,48,FALSE),VLOOKUP($A578,Pit!$A$4:$BF$1557,57,FALSE))</f>
        <v>0</v>
      </c>
      <c r="W578" s="50">
        <f>Table5[[#This Row],[posRnk]]+Table5[[#This Row],[zRnk]]+IF($W$3&lt;&gt;Table5[[#This Row],[Type]],50,0)</f>
        <v>832</v>
      </c>
      <c r="X578" s="51">
        <f>RANK(Table5[[#This Row],[zScore]],Table5[[#All],[zScore]])</f>
        <v>500</v>
      </c>
      <c r="Y578" s="50">
        <f>IFERROR(INDEX(DraftResults[[#All],[OVR]],MATCH(Table5[[#This Row],[PID]],DraftResults[[#All],[Player ID]],0)),"")</f>
        <v>574</v>
      </c>
      <c r="Z5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8" s="50">
        <f>IFERROR(INDEX(DraftResults[[#All],[Pick in Round]],MATCH(Table5[[#This Row],[PID]],DraftResults[[#All],[Player ID]],0)),"")</f>
        <v>26</v>
      </c>
      <c r="AB578" s="50" t="str">
        <f>IFERROR(INDEX(DraftResults[[#All],[Team Name]],MATCH(Table5[[#This Row],[PID]],DraftResults[[#All],[Player ID]],0)),"")</f>
        <v>Aurora Borealis</v>
      </c>
      <c r="AC578" s="50">
        <f>IF(Table5[[#This Row],[Ovr]]="","",IF(Table5[[#This Row],[cmbList]]="","",Table5[[#This Row],[cmbList]]-Table5[[#This Row],[Ovr]]))</f>
        <v>258</v>
      </c>
      <c r="AD578" s="54" t="str">
        <f>IF(ISERROR(VLOOKUP($AB578&amp;"-"&amp;$E578&amp;" "&amp;F578,Bonuses!$B$1:$G$1006,4,FALSE)),"",INT(VLOOKUP($AB578&amp;"-"&amp;$E578&amp;" "&amp;$F578,Bonuses!$B$1:$G$1006,4,FALSE)))</f>
        <v/>
      </c>
      <c r="AE5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19.26 (574) - CL Ricardo Vagas</v>
      </c>
    </row>
    <row r="579" spans="1:31" s="50" customFormat="1" x14ac:dyDescent="0.25">
      <c r="A579" s="68">
        <v>21000</v>
      </c>
      <c r="B579" s="69">
        <f>COUNTIF(Table5[PID],A579)</f>
        <v>1</v>
      </c>
      <c r="C579" s="69" t="str">
        <f>IF(COUNTIF(Table3[[#All],[PID]],A579)&gt;0,"P","B")</f>
        <v>P</v>
      </c>
      <c r="D579" s="59" t="str">
        <f>IF($C579="B",INDEX(Batters[[#All],[POS]],MATCH(Table5[[#This Row],[PID]],Batters[[#All],[PID]],0)),INDEX(Table3[[#All],[POS]],MATCH(Table5[[#This Row],[PID]],Table3[[#All],[PID]],0)))</f>
        <v>SP</v>
      </c>
      <c r="E579" s="52" t="str">
        <f>IF($C579="B",INDEX(Batters[[#All],[First]],MATCH(Table5[[#This Row],[PID]],Batters[[#All],[PID]],0)),INDEX(Table3[[#All],[First]],MATCH(Table5[[#This Row],[PID]],Table3[[#All],[PID]],0)))</f>
        <v>Wesley</v>
      </c>
      <c r="F579" s="55" t="str">
        <f>IF($C579="B",INDEX(Batters[[#All],[Last]],MATCH(A579,Batters[[#All],[PID]],0)),INDEX(Table3[[#All],[Last]],MATCH(A579,Table3[[#All],[PID]],0)))</f>
        <v>MacKinley</v>
      </c>
      <c r="G579" s="56">
        <f>IF($C579="B",INDEX(Batters[[#All],[Age]],MATCH(Table5[[#This Row],[PID]],Batters[[#All],[PID]],0)),INDEX(Table3[[#All],[Age]],MATCH(Table5[[#This Row],[PID]],Table3[[#All],[PID]],0)))</f>
        <v>17</v>
      </c>
      <c r="H579" s="52" t="str">
        <f>IF($C579="B",INDEX(Batters[[#All],[B]],MATCH(Table5[[#This Row],[PID]],Batters[[#All],[PID]],0)),INDEX(Table3[[#All],[B]],MATCH(Table5[[#This Row],[PID]],Table3[[#All],[PID]],0)))</f>
        <v>R</v>
      </c>
      <c r="I579" s="52" t="str">
        <f>IF($C579="B",INDEX(Batters[[#All],[T]],MATCH(Table5[[#This Row],[PID]],Batters[[#All],[PID]],0)),INDEX(Table3[[#All],[T]],MATCH(Table5[[#This Row],[PID]],Table3[[#All],[PID]],0)))</f>
        <v>R</v>
      </c>
      <c r="J579" s="71" t="str">
        <f>IF($C579="B",INDEX(Batters[[#All],[WE]],MATCH(Table5[[#This Row],[PID]],Batters[[#All],[PID]],0)),INDEX(Table3[[#All],[WE]],MATCH(Table5[[#This Row],[PID]],Table3[[#All],[PID]],0)))</f>
        <v>Normal</v>
      </c>
      <c r="K579" s="52" t="str">
        <f>IF($C579="B",INDEX(Batters[[#All],[INT]],MATCH(Table5[[#This Row],[PID]],Batters[[#All],[PID]],0)),INDEX(Table3[[#All],[INT]],MATCH(Table5[[#This Row],[PID]],Table3[[#All],[PID]],0)))</f>
        <v>Normal</v>
      </c>
      <c r="L579" s="60">
        <f>IF($C579="B",INDEX(Batters[[#All],[CON P]],MATCH(Table5[[#This Row],[PID]],Batters[[#All],[PID]],0)),INDEX(Table3[[#All],[STU P]],MATCH(Table5[[#This Row],[PID]],Table3[[#All],[PID]],0)))</f>
        <v>4</v>
      </c>
      <c r="M579" s="72">
        <f>IF($C579="B",INDEX(Batters[[#All],[GAP P]],MATCH(Table5[[#This Row],[PID]],Batters[[#All],[PID]],0)),INDEX(Table3[[#All],[MOV P]],MATCH(Table5[[#This Row],[PID]],Table3[[#All],[PID]],0)))</f>
        <v>1</v>
      </c>
      <c r="N579" s="72">
        <f>IF($C579="B",INDEX(Batters[[#All],[POW P]],MATCH(Table5[[#This Row],[PID]],Batters[[#All],[PID]],0)),INDEX(Table3[[#All],[CON P]],MATCH(Table5[[#This Row],[PID]],Table3[[#All],[PID]],0)))</f>
        <v>4</v>
      </c>
      <c r="O579" s="72" t="str">
        <f>IF($C579="B",INDEX(Batters[[#All],[EYE P]],MATCH(Table5[[#This Row],[PID]],Batters[[#All],[PID]],0)),INDEX(Table3[[#All],[VELO]],MATCH(Table5[[#This Row],[PID]],Table3[[#All],[PID]],0)))</f>
        <v>88-90 Mph</v>
      </c>
      <c r="P579" s="56">
        <f>IF($C579="B",INDEX(Batters[[#All],[K P]],MATCH(Table5[[#This Row],[PID]],Batters[[#All],[PID]],0)),INDEX(Table3[[#All],[STM]],MATCH(Table5[[#This Row],[PID]],Table3[[#All],[PID]],0)))</f>
        <v>9</v>
      </c>
      <c r="Q579" s="61">
        <f>IF($C579="B",INDEX(Batters[[#All],[Tot]],MATCH(Table5[[#This Row],[PID]],Batters[[#All],[PID]],0)),INDEX(Table3[[#All],[Tot]],MATCH(Table5[[#This Row],[PID]],Table3[[#All],[PID]],0)))</f>
        <v>36.560626841592985</v>
      </c>
      <c r="R579" s="52">
        <f>IF($C579="B",INDEX(Batters[[#All],[zScore]],MATCH(Table5[[#This Row],[PID]],Batters[[#All],[PID]],0)),INDEX(Table3[[#All],[zScore]],MATCH(Table5[[#This Row],[PID]],Table3[[#All],[PID]],0)))</f>
        <v>4.5911351581199543E-2</v>
      </c>
      <c r="S579" s="78" t="str">
        <f>IF($C579="B",INDEX(Batters[[#All],[DEM]],MATCH(Table5[[#This Row],[PID]],Batters[[#All],[PID]],0)),INDEX(Table3[[#All],[DEM]],MATCH(Table5[[#This Row],[PID]],Table3[[#All],[PID]],0)))</f>
        <v>$75k</v>
      </c>
      <c r="T579" s="75">
        <f>IF($C579="B",INDEX(Batters[[#All],[Rnk]],MATCH(Table5[[#This Row],[PID]],Batters[[#All],[PID]],0)),INDEX(Table3[[#All],[Rnk]],MATCH(Table5[[#This Row],[PID]],Table3[[#All],[PID]],0)))</f>
        <v>300</v>
      </c>
      <c r="U579" s="68">
        <f>IF($C579="B",VLOOKUP($A579,Bat!$A$4:$BA$1621,47,FALSE),VLOOKUP($A579,Pit!$A$4:$BF$1557,56,FALSE))</f>
        <v>0</v>
      </c>
      <c r="V579" s="50">
        <f>IF($C579="B",VLOOKUP($A579,Bat!$A$4:$BA$1621,48,FALSE),VLOOKUP($A579,Pit!$A$4:$BF$1557,57,FALSE))</f>
        <v>0</v>
      </c>
      <c r="W579" s="69">
        <f>Table5[[#This Row],[posRnk]]+Table5[[#This Row],[zRnk]]+IF($W$3&lt;&gt;Table5[[#This Row],[Type]],50,0)</f>
        <v>882</v>
      </c>
      <c r="X579" s="73">
        <f>RANK(Table5[[#This Row],[zScore]],Table5[[#All],[zScore]])</f>
        <v>532</v>
      </c>
      <c r="Y579" s="69">
        <f>IFERROR(INDEX(DraftResults[[#All],[OVR]],MATCH(Table5[[#This Row],[PID]],DraftResults[[#All],[Player ID]],0)),"")</f>
        <v>575</v>
      </c>
      <c r="Z57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79" s="69">
        <f>IFERROR(INDEX(DraftResults[[#All],[Pick in Round]],MATCH(Table5[[#This Row],[PID]],DraftResults[[#All],[Player ID]],0)),"")</f>
        <v>27</v>
      </c>
      <c r="AB579" s="69" t="str">
        <f>IFERROR(INDEX(DraftResults[[#All],[Team Name]],MATCH(Table5[[#This Row],[PID]],DraftResults[[#All],[Player ID]],0)),"")</f>
        <v>Neo-Tokyo Akira</v>
      </c>
      <c r="AC579" s="69">
        <f>IF(Table5[[#This Row],[Ovr]]="","",IF(Table5[[#This Row],[cmbList]]="","",Table5[[#This Row],[cmbList]]-Table5[[#This Row],[Ovr]]))</f>
        <v>307</v>
      </c>
      <c r="AD579" s="77" t="str">
        <f>IF(ISERROR(VLOOKUP($AB579&amp;"-"&amp;$E579&amp;" "&amp;F579,Bonuses!$B$1:$G$1006,4,FALSE)),"",INT(VLOOKUP($AB579&amp;"-"&amp;$E579&amp;" "&amp;$F579,Bonuses!$B$1:$G$1006,4,FALSE)))</f>
        <v/>
      </c>
      <c r="AE57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19.27 (575) - SP Wesley MacKinley</v>
      </c>
    </row>
    <row r="580" spans="1:31" s="50" customFormat="1" x14ac:dyDescent="0.25">
      <c r="A580" s="50">
        <v>18137</v>
      </c>
      <c r="B580" s="50">
        <f>COUNTIF(Table5[PID],A580)</f>
        <v>1</v>
      </c>
      <c r="C580" s="50" t="str">
        <f>IF(COUNTIF(Table3[[#All],[PID]],A580)&gt;0,"P","B")</f>
        <v>B</v>
      </c>
      <c r="D580" s="59" t="str">
        <f>IF($C580="B",INDEX(Batters[[#All],[POS]],MATCH(Table5[[#This Row],[PID]],Batters[[#All],[PID]],0)),INDEX(Table3[[#All],[POS]],MATCH(Table5[[#This Row],[PID]],Table3[[#All],[PID]],0)))</f>
        <v>CF</v>
      </c>
      <c r="E580" s="52" t="str">
        <f>IF($C580="B",INDEX(Batters[[#All],[First]],MATCH(Table5[[#This Row],[PID]],Batters[[#All],[PID]],0)),INDEX(Table3[[#All],[First]],MATCH(Table5[[#This Row],[PID]],Table3[[#All],[PID]],0)))</f>
        <v>Cy</v>
      </c>
      <c r="F580" s="50" t="str">
        <f>IF($C580="B",INDEX(Batters[[#All],[Last]],MATCH(A580,Batters[[#All],[PID]],0)),INDEX(Table3[[#All],[Last]],MATCH(A580,Table3[[#All],[PID]],0)))</f>
        <v>Turner</v>
      </c>
      <c r="G580" s="56">
        <f>IF($C580="B",INDEX(Batters[[#All],[Age]],MATCH(Table5[[#This Row],[PID]],Batters[[#All],[PID]],0)),INDEX(Table3[[#All],[Age]],MATCH(Table5[[#This Row],[PID]],Table3[[#All],[PID]],0)))</f>
        <v>21</v>
      </c>
      <c r="H580" s="52" t="str">
        <f>IF($C580="B",INDEX(Batters[[#All],[B]],MATCH(Table5[[#This Row],[PID]],Batters[[#All],[PID]],0)),INDEX(Table3[[#All],[B]],MATCH(Table5[[#This Row],[PID]],Table3[[#All],[PID]],0)))</f>
        <v>L</v>
      </c>
      <c r="I580" s="52" t="str">
        <f>IF($C580="B",INDEX(Batters[[#All],[T]],MATCH(Table5[[#This Row],[PID]],Batters[[#All],[PID]],0)),INDEX(Table3[[#All],[T]],MATCH(Table5[[#This Row],[PID]],Table3[[#All],[PID]],0)))</f>
        <v>L</v>
      </c>
      <c r="J580" s="52" t="str">
        <f>IF($C580="B",INDEX(Batters[[#All],[WE]],MATCH(Table5[[#This Row],[PID]],Batters[[#All],[PID]],0)),INDEX(Table3[[#All],[WE]],MATCH(Table5[[#This Row],[PID]],Table3[[#All],[PID]],0)))</f>
        <v>High</v>
      </c>
      <c r="K580" s="52" t="str">
        <f>IF($C580="B",INDEX(Batters[[#All],[INT]],MATCH(Table5[[#This Row],[PID]],Batters[[#All],[PID]],0)),INDEX(Table3[[#All],[INT]],MATCH(Table5[[#This Row],[PID]],Table3[[#All],[PID]],0)))</f>
        <v>Normal</v>
      </c>
      <c r="L580" s="60">
        <f>IF($C580="B",INDEX(Batters[[#All],[CON P]],MATCH(Table5[[#This Row],[PID]],Batters[[#All],[PID]],0)),INDEX(Table3[[#All],[STU P]],MATCH(Table5[[#This Row],[PID]],Table3[[#All],[PID]],0)))</f>
        <v>3</v>
      </c>
      <c r="M580" s="56">
        <f>IF($C580="B",INDEX(Batters[[#All],[GAP P]],MATCH(Table5[[#This Row],[PID]],Batters[[#All],[PID]],0)),INDEX(Table3[[#All],[MOV P]],MATCH(Table5[[#This Row],[PID]],Table3[[#All],[PID]],0)))</f>
        <v>4</v>
      </c>
      <c r="N580" s="56">
        <f>IF($C580="B",INDEX(Batters[[#All],[POW P]],MATCH(Table5[[#This Row],[PID]],Batters[[#All],[PID]],0)),INDEX(Table3[[#All],[CON P]],MATCH(Table5[[#This Row],[PID]],Table3[[#All],[PID]],0)))</f>
        <v>2</v>
      </c>
      <c r="O580" s="56">
        <f>IF($C580="B",INDEX(Batters[[#All],[EYE P]],MATCH(Table5[[#This Row],[PID]],Batters[[#All],[PID]],0)),INDEX(Table3[[#All],[VELO]],MATCH(Table5[[#This Row],[PID]],Table3[[#All],[PID]],0)))</f>
        <v>5</v>
      </c>
      <c r="P580" s="56">
        <f>IF($C580="B",INDEX(Batters[[#All],[K P]],MATCH(Table5[[#This Row],[PID]],Batters[[#All],[PID]],0)),INDEX(Table3[[#All],[STM]],MATCH(Table5[[#This Row],[PID]],Table3[[#All],[PID]],0)))</f>
        <v>4</v>
      </c>
      <c r="Q580" s="61">
        <f>IF($C580="B",INDEX(Batters[[#All],[Tot]],MATCH(Table5[[#This Row],[PID]],Batters[[#All],[PID]],0)),INDEX(Table3[[#All],[Tot]],MATCH(Table5[[#This Row],[PID]],Table3[[#All],[PID]],0)))</f>
        <v>38.183816478694411</v>
      </c>
      <c r="R580" s="52">
        <f>IF($C580="B",INDEX(Batters[[#All],[zScore]],MATCH(Table5[[#This Row],[PID]],Batters[[#All],[PID]],0)),INDEX(Table3[[#All],[zScore]],MATCH(Table5[[#This Row],[PID]],Table3[[#All],[PID]],0)))</f>
        <v>-1.3187391285414387</v>
      </c>
      <c r="S580" s="58" t="str">
        <f>IF($C580="B",INDEX(Batters[[#All],[DEM]],MATCH(Table5[[#This Row],[PID]],Batters[[#All],[PID]],0)),INDEX(Table3[[#All],[DEM]],MATCH(Table5[[#This Row],[PID]],Table3[[#All],[PID]],0)))</f>
        <v>-</v>
      </c>
      <c r="T580" s="62">
        <f>IF($C580="B",INDEX(Batters[[#All],[Rnk]],MATCH(Table5[[#This Row],[PID]],Batters[[#All],[PID]],0)),INDEX(Table3[[#All],[Rnk]],MATCH(Table5[[#This Row],[PID]],Table3[[#All],[PID]],0)))</f>
        <v>492</v>
      </c>
      <c r="U580" s="68">
        <f>IF($C580="B",VLOOKUP($A580,Bat!$A$4:$BA$1621,47,FALSE),VLOOKUP($A580,Pit!$A$4:$BF$1557,56,FALSE))</f>
        <v>0</v>
      </c>
      <c r="V580" s="50">
        <f>IF($C580="B",VLOOKUP($A580,Bat!$A$4:$BA$1621,48,FALSE),VLOOKUP($A580,Pit!$A$4:$BF$1557,57,FALSE))</f>
        <v>0</v>
      </c>
      <c r="W580" s="50">
        <f>Table5[[#This Row],[posRnk]]+Table5[[#This Row],[zRnk]]+IF($W$3&lt;&gt;Table5[[#This Row],[Type]],50,0)</f>
        <v>1790</v>
      </c>
      <c r="X580" s="51">
        <f>RANK(Table5[[#This Row],[zScore]],Table5[[#All],[zScore]])</f>
        <v>1248</v>
      </c>
      <c r="Y580" s="50">
        <f>IFERROR(INDEX(DraftResults[[#All],[OVR]],MATCH(Table5[[#This Row],[PID]],DraftResults[[#All],[Player ID]],0)),"")</f>
        <v>576</v>
      </c>
      <c r="Z5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80" s="50">
        <f>IFERROR(INDEX(DraftResults[[#All],[Pick in Round]],MATCH(Table5[[#This Row],[PID]],DraftResults[[#All],[Player ID]],0)),"")</f>
        <v>28</v>
      </c>
      <c r="AB580" s="50" t="str">
        <f>IFERROR(INDEX(DraftResults[[#All],[Team Name]],MATCH(Table5[[#This Row],[PID]],DraftResults[[#All],[Player ID]],0)),"")</f>
        <v>San Juan Coqui</v>
      </c>
      <c r="AC580" s="50">
        <f>IF(Table5[[#This Row],[Ovr]]="","",IF(Table5[[#This Row],[cmbList]]="","",Table5[[#This Row],[cmbList]]-Table5[[#This Row],[Ovr]]))</f>
        <v>1214</v>
      </c>
      <c r="AD580" s="54" t="str">
        <f>IF(ISERROR(VLOOKUP($AB580&amp;"-"&amp;$E580&amp;" "&amp;F580,Bonuses!$B$1:$G$1006,4,FALSE)),"",INT(VLOOKUP($AB580&amp;"-"&amp;$E580&amp;" "&amp;$F580,Bonuses!$B$1:$G$1006,4,FALSE)))</f>
        <v/>
      </c>
      <c r="AE5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19.28 (576) - CF Cy Turner</v>
      </c>
    </row>
    <row r="581" spans="1:31" s="50" customFormat="1" x14ac:dyDescent="0.25">
      <c r="A581" s="50">
        <v>17768</v>
      </c>
      <c r="B581" s="50">
        <f>COUNTIF(Table5[PID],A581)</f>
        <v>1</v>
      </c>
      <c r="C581" s="50" t="str">
        <f>IF(COUNTIF(Table3[[#All],[PID]],A581)&gt;0,"P","B")</f>
        <v>B</v>
      </c>
      <c r="D581" s="59" t="str">
        <f>IF($C581="B",INDEX(Batters[[#All],[POS]],MATCH(Table5[[#This Row],[PID]],Batters[[#All],[PID]],0)),INDEX(Table3[[#All],[POS]],MATCH(Table5[[#This Row],[PID]],Table3[[#All],[PID]],0)))</f>
        <v>SS</v>
      </c>
      <c r="E581" s="52" t="str">
        <f>IF($C581="B",INDEX(Batters[[#All],[First]],MATCH(Table5[[#This Row],[PID]],Batters[[#All],[PID]],0)),INDEX(Table3[[#All],[First]],MATCH(Table5[[#This Row],[PID]],Table3[[#All],[PID]],0)))</f>
        <v>Evan</v>
      </c>
      <c r="F581" s="50" t="str">
        <f>IF($C581="B",INDEX(Batters[[#All],[Last]],MATCH(A581,Batters[[#All],[PID]],0)),INDEX(Table3[[#All],[Last]],MATCH(A581,Table3[[#All],[PID]],0)))</f>
        <v>Snelleman</v>
      </c>
      <c r="G581" s="56">
        <f>IF($C581="B",INDEX(Batters[[#All],[Age]],MATCH(Table5[[#This Row],[PID]],Batters[[#All],[PID]],0)),INDEX(Table3[[#All],[Age]],MATCH(Table5[[#This Row],[PID]],Table3[[#All],[PID]],0)))</f>
        <v>21</v>
      </c>
      <c r="H581" s="52" t="str">
        <f>IF($C581="B",INDEX(Batters[[#All],[B]],MATCH(Table5[[#This Row],[PID]],Batters[[#All],[PID]],0)),INDEX(Table3[[#All],[B]],MATCH(Table5[[#This Row],[PID]],Table3[[#All],[PID]],0)))</f>
        <v>R</v>
      </c>
      <c r="I581" s="52" t="str">
        <f>IF($C581="B",INDEX(Batters[[#All],[T]],MATCH(Table5[[#This Row],[PID]],Batters[[#All],[PID]],0)),INDEX(Table3[[#All],[T]],MATCH(Table5[[#This Row],[PID]],Table3[[#All],[PID]],0)))</f>
        <v>R</v>
      </c>
      <c r="J581" s="52" t="str">
        <f>IF($C581="B",INDEX(Batters[[#All],[WE]],MATCH(Table5[[#This Row],[PID]],Batters[[#All],[PID]],0)),INDEX(Table3[[#All],[WE]],MATCH(Table5[[#This Row],[PID]],Table3[[#All],[PID]],0)))</f>
        <v>Normal</v>
      </c>
      <c r="K581" s="52" t="str">
        <f>IF($C581="B",INDEX(Batters[[#All],[INT]],MATCH(Table5[[#This Row],[PID]],Batters[[#All],[PID]],0)),INDEX(Table3[[#All],[INT]],MATCH(Table5[[#This Row],[PID]],Table3[[#All],[PID]],0)))</f>
        <v>Normal</v>
      </c>
      <c r="L581" s="60">
        <f>IF($C581="B",INDEX(Batters[[#All],[CON P]],MATCH(Table5[[#This Row],[PID]],Batters[[#All],[PID]],0)),INDEX(Table3[[#All],[STU P]],MATCH(Table5[[#This Row],[PID]],Table3[[#All],[PID]],0)))</f>
        <v>3</v>
      </c>
      <c r="M581" s="56">
        <f>IF($C581="B",INDEX(Batters[[#All],[GAP P]],MATCH(Table5[[#This Row],[PID]],Batters[[#All],[PID]],0)),INDEX(Table3[[#All],[MOV P]],MATCH(Table5[[#This Row],[PID]],Table3[[#All],[PID]],0)))</f>
        <v>5</v>
      </c>
      <c r="N581" s="56">
        <f>IF($C581="B",INDEX(Batters[[#All],[POW P]],MATCH(Table5[[#This Row],[PID]],Batters[[#All],[PID]],0)),INDEX(Table3[[#All],[CON P]],MATCH(Table5[[#This Row],[PID]],Table3[[#All],[PID]],0)))</f>
        <v>2</v>
      </c>
      <c r="O581" s="56">
        <f>IF($C581="B",INDEX(Batters[[#All],[EYE P]],MATCH(Table5[[#This Row],[PID]],Batters[[#All],[PID]],0)),INDEX(Table3[[#All],[VELO]],MATCH(Table5[[#This Row],[PID]],Table3[[#All],[PID]],0)))</f>
        <v>5</v>
      </c>
      <c r="P581" s="56">
        <f>IF($C581="B",INDEX(Batters[[#All],[K P]],MATCH(Table5[[#This Row],[PID]],Batters[[#All],[PID]],0)),INDEX(Table3[[#All],[STM]],MATCH(Table5[[#This Row],[PID]],Table3[[#All],[PID]],0)))</f>
        <v>3</v>
      </c>
      <c r="Q581" s="61">
        <f>IF($C581="B",INDEX(Batters[[#All],[Tot]],MATCH(Table5[[#This Row],[PID]],Batters[[#All],[PID]],0)),INDEX(Table3[[#All],[Tot]],MATCH(Table5[[#This Row],[PID]],Table3[[#All],[PID]],0)))</f>
        <v>37.757565494935072</v>
      </c>
      <c r="R581" s="52">
        <f>IF($C581="B",INDEX(Batters[[#All],[zScore]],MATCH(Table5[[#This Row],[PID]],Batters[[#All],[PID]],0)),INDEX(Table3[[#All],[zScore]],MATCH(Table5[[#This Row],[PID]],Table3[[#All],[PID]],0)))</f>
        <v>-1.4132418528301389</v>
      </c>
      <c r="S581" s="58" t="str">
        <f>IF($C581="B",INDEX(Batters[[#All],[DEM]],MATCH(Table5[[#This Row],[PID]],Batters[[#All],[PID]],0)),INDEX(Table3[[#All],[DEM]],MATCH(Table5[[#This Row],[PID]],Table3[[#All],[PID]],0)))</f>
        <v>$20k</v>
      </c>
      <c r="T581" s="62">
        <f>IF($C581="B",INDEX(Batters[[#All],[Rnk]],MATCH(Table5[[#This Row],[PID]],Batters[[#All],[PID]],0)),INDEX(Table3[[#All],[Rnk]],MATCH(Table5[[#This Row],[PID]],Table3[[#All],[PID]],0)))</f>
        <v>518</v>
      </c>
      <c r="U581" s="68">
        <f>IF($C581="B",VLOOKUP($A581,Bat!$A$4:$BA$1621,47,FALSE),VLOOKUP($A581,Pit!$A$4:$BF$1557,56,FALSE))</f>
        <v>0</v>
      </c>
      <c r="V581" s="50">
        <f>IF($C581="B",VLOOKUP($A581,Bat!$A$4:$BA$1621,48,FALSE),VLOOKUP($A581,Pit!$A$4:$BF$1557,57,FALSE))</f>
        <v>0</v>
      </c>
      <c r="W581" s="50">
        <f>Table5[[#This Row],[posRnk]]+Table5[[#This Row],[zRnk]]+IF($W$3&lt;&gt;Table5[[#This Row],[Type]],50,0)</f>
        <v>1852</v>
      </c>
      <c r="X581" s="51">
        <f>RANK(Table5[[#This Row],[zScore]],Table5[[#All],[zScore]])</f>
        <v>1284</v>
      </c>
      <c r="Y581" s="50">
        <f>IFERROR(INDEX(DraftResults[[#All],[OVR]],MATCH(Table5[[#This Row],[PID]],DraftResults[[#All],[Player ID]],0)),"")</f>
        <v>577</v>
      </c>
      <c r="Z5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81" s="50">
        <f>IFERROR(INDEX(DraftResults[[#All],[Pick in Round]],MATCH(Table5[[#This Row],[PID]],DraftResults[[#All],[Player ID]],0)),"")</f>
        <v>29</v>
      </c>
      <c r="AB581" s="50" t="str">
        <f>IFERROR(INDEX(DraftResults[[#All],[Team Name]],MATCH(Table5[[#This Row],[PID]],DraftResults[[#All],[Player ID]],0)),"")</f>
        <v>Havana Leones</v>
      </c>
      <c r="AC581" s="50">
        <f>IF(Table5[[#This Row],[Ovr]]="","",IF(Table5[[#This Row],[cmbList]]="","",Table5[[#This Row],[cmbList]]-Table5[[#This Row],[Ovr]]))</f>
        <v>1275</v>
      </c>
      <c r="AD581" s="54" t="str">
        <f>IF(ISERROR(VLOOKUP($AB581&amp;"-"&amp;$E581&amp;" "&amp;F581,Bonuses!$B$1:$G$1006,4,FALSE)),"",INT(VLOOKUP($AB581&amp;"-"&amp;$E581&amp;" "&amp;$F581,Bonuses!$B$1:$G$1006,4,FALSE)))</f>
        <v/>
      </c>
      <c r="AE5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19.29 (577) - SS Evan Snelleman</v>
      </c>
    </row>
    <row r="582" spans="1:31" s="50" customFormat="1" x14ac:dyDescent="0.25">
      <c r="A582" s="50">
        <v>17803</v>
      </c>
      <c r="B582" s="50">
        <f>COUNTIF(Table5[PID],A582)</f>
        <v>1</v>
      </c>
      <c r="C582" s="50" t="str">
        <f>IF(COUNTIF(Table3[[#All],[PID]],A582)&gt;0,"P","B")</f>
        <v>B</v>
      </c>
      <c r="D582" s="59" t="str">
        <f>IF($C582="B",INDEX(Batters[[#All],[POS]],MATCH(Table5[[#This Row],[PID]],Batters[[#All],[PID]],0)),INDEX(Table3[[#All],[POS]],MATCH(Table5[[#This Row],[PID]],Table3[[#All],[PID]],0)))</f>
        <v>CF</v>
      </c>
      <c r="E582" s="52" t="str">
        <f>IF($C582="B",INDEX(Batters[[#All],[First]],MATCH(Table5[[#This Row],[PID]],Batters[[#All],[PID]],0)),INDEX(Table3[[#All],[First]],MATCH(Table5[[#This Row],[PID]],Table3[[#All],[PID]],0)))</f>
        <v>Xander</v>
      </c>
      <c r="F582" s="50" t="str">
        <f>IF($C582="B",INDEX(Batters[[#All],[Last]],MATCH(A582,Batters[[#All],[PID]],0)),INDEX(Table3[[#All],[Last]],MATCH(A582,Table3[[#All],[PID]],0)))</f>
        <v>Toxopeus</v>
      </c>
      <c r="G582" s="56">
        <f>IF($C582="B",INDEX(Batters[[#All],[Age]],MATCH(Table5[[#This Row],[PID]],Batters[[#All],[PID]],0)),INDEX(Table3[[#All],[Age]],MATCH(Table5[[#This Row],[PID]],Table3[[#All],[PID]],0)))</f>
        <v>21</v>
      </c>
      <c r="H582" s="52" t="str">
        <f>IF($C582="B",INDEX(Batters[[#All],[B]],MATCH(Table5[[#This Row],[PID]],Batters[[#All],[PID]],0)),INDEX(Table3[[#All],[B]],MATCH(Table5[[#This Row],[PID]],Table3[[#All],[PID]],0)))</f>
        <v>R</v>
      </c>
      <c r="I582" s="52" t="str">
        <f>IF($C582="B",INDEX(Batters[[#All],[T]],MATCH(Table5[[#This Row],[PID]],Batters[[#All],[PID]],0)),INDEX(Table3[[#All],[T]],MATCH(Table5[[#This Row],[PID]],Table3[[#All],[PID]],0)))</f>
        <v>R</v>
      </c>
      <c r="J582" s="52" t="str">
        <f>IF($C582="B",INDEX(Batters[[#All],[WE]],MATCH(Table5[[#This Row],[PID]],Batters[[#All],[PID]],0)),INDEX(Table3[[#All],[WE]],MATCH(Table5[[#This Row],[PID]],Table3[[#All],[PID]],0)))</f>
        <v>Normal</v>
      </c>
      <c r="K582" s="52" t="str">
        <f>IF($C582="B",INDEX(Batters[[#All],[INT]],MATCH(Table5[[#This Row],[PID]],Batters[[#All],[PID]],0)),INDEX(Table3[[#All],[INT]],MATCH(Table5[[#This Row],[PID]],Table3[[#All],[PID]],0)))</f>
        <v>Normal</v>
      </c>
      <c r="L582" s="60">
        <f>IF($C582="B",INDEX(Batters[[#All],[CON P]],MATCH(Table5[[#This Row],[PID]],Batters[[#All],[PID]],0)),INDEX(Table3[[#All],[STU P]],MATCH(Table5[[#This Row],[PID]],Table3[[#All],[PID]],0)))</f>
        <v>3</v>
      </c>
      <c r="M582" s="56">
        <f>IF($C582="B",INDEX(Batters[[#All],[GAP P]],MATCH(Table5[[#This Row],[PID]],Batters[[#All],[PID]],0)),INDEX(Table3[[#All],[MOV P]],MATCH(Table5[[#This Row],[PID]],Table3[[#All],[PID]],0)))</f>
        <v>5</v>
      </c>
      <c r="N582" s="56">
        <f>IF($C582="B",INDEX(Batters[[#All],[POW P]],MATCH(Table5[[#This Row],[PID]],Batters[[#All],[PID]],0)),INDEX(Table3[[#All],[CON P]],MATCH(Table5[[#This Row],[PID]],Table3[[#All],[PID]],0)))</f>
        <v>3</v>
      </c>
      <c r="O582" s="56">
        <f>IF($C582="B",INDEX(Batters[[#All],[EYE P]],MATCH(Table5[[#This Row],[PID]],Batters[[#All],[PID]],0)),INDEX(Table3[[#All],[VELO]],MATCH(Table5[[#This Row],[PID]],Table3[[#All],[PID]],0)))</f>
        <v>5</v>
      </c>
      <c r="P582" s="56">
        <f>IF($C582="B",INDEX(Batters[[#All],[K P]],MATCH(Table5[[#This Row],[PID]],Batters[[#All],[PID]],0)),INDEX(Table3[[#All],[STM]],MATCH(Table5[[#This Row],[PID]],Table3[[#All],[PID]],0)))</f>
        <v>3</v>
      </c>
      <c r="Q582" s="61">
        <f>IF($C582="B",INDEX(Batters[[#All],[Tot]],MATCH(Table5[[#This Row],[PID]],Batters[[#All],[PID]],0)),INDEX(Table3[[#All],[Tot]],MATCH(Table5[[#This Row],[PID]],Table3[[#All],[PID]],0)))</f>
        <v>38.304303423221896</v>
      </c>
      <c r="R582" s="52">
        <f>IF($C582="B",INDEX(Batters[[#All],[zScore]],MATCH(Table5[[#This Row],[PID]],Batters[[#All],[PID]],0)),INDEX(Table3[[#All],[zScore]],MATCH(Table5[[#This Row],[PID]],Table3[[#All],[PID]],0)))</f>
        <v>-1.2920263585235339</v>
      </c>
      <c r="S582" s="58" t="str">
        <f>IF($C582="B",INDEX(Batters[[#All],[DEM]],MATCH(Table5[[#This Row],[PID]],Batters[[#All],[PID]],0)),INDEX(Table3[[#All],[DEM]],MATCH(Table5[[#This Row],[PID]],Table3[[#All],[PID]],0)))</f>
        <v>-</v>
      </c>
      <c r="T582" s="62">
        <f>IF($C582="B",INDEX(Batters[[#All],[Rnk]],MATCH(Table5[[#This Row],[PID]],Batters[[#All],[PID]],0)),INDEX(Table3[[#All],[Rnk]],MATCH(Table5[[#This Row],[PID]],Table3[[#All],[PID]],0)))</f>
        <v>484</v>
      </c>
      <c r="U582" s="68">
        <f>IF($C582="B",VLOOKUP($A582,Bat!$A$4:$BA$1621,47,FALSE),VLOOKUP($A582,Pit!$A$4:$BF$1557,56,FALSE))</f>
        <v>0</v>
      </c>
      <c r="V582" s="50">
        <f>IF($C582="B",VLOOKUP($A582,Bat!$A$4:$BA$1621,48,FALSE),VLOOKUP($A582,Pit!$A$4:$BF$1557,57,FALSE))</f>
        <v>0</v>
      </c>
      <c r="W582" s="50">
        <f>Table5[[#This Row],[posRnk]]+Table5[[#This Row],[zRnk]]+IF($W$3&lt;&gt;Table5[[#This Row],[Type]],50,0)</f>
        <v>1772</v>
      </c>
      <c r="X582" s="51">
        <f>RANK(Table5[[#This Row],[zScore]],Table5[[#All],[zScore]])</f>
        <v>1238</v>
      </c>
      <c r="Y582" s="50">
        <f>IFERROR(INDEX(DraftResults[[#All],[OVR]],MATCH(Table5[[#This Row],[PID]],DraftResults[[#All],[Player ID]],0)),"")</f>
        <v>578</v>
      </c>
      <c r="Z5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19</v>
      </c>
      <c r="AA582" s="50">
        <f>IFERROR(INDEX(DraftResults[[#All],[Pick in Round]],MATCH(Table5[[#This Row],[PID]],DraftResults[[#All],[Player ID]],0)),"")</f>
        <v>30</v>
      </c>
      <c r="AB582" s="50" t="str">
        <f>IFERROR(INDEX(DraftResults[[#All],[Team Name]],MATCH(Table5[[#This Row],[PID]],DraftResults[[#All],[Player ID]],0)),"")</f>
        <v>Florida Farstriders</v>
      </c>
      <c r="AC582" s="50">
        <f>IF(Table5[[#This Row],[Ovr]]="","",IF(Table5[[#This Row],[cmbList]]="","",Table5[[#This Row],[cmbList]]-Table5[[#This Row],[Ovr]]))</f>
        <v>1194</v>
      </c>
      <c r="AD582" s="54" t="str">
        <f>IF(ISERROR(VLOOKUP($AB582&amp;"-"&amp;$E582&amp;" "&amp;F582,Bonuses!$B$1:$G$1006,4,FALSE)),"",INT(VLOOKUP($AB582&amp;"-"&amp;$E582&amp;" "&amp;$F582,Bonuses!$B$1:$G$1006,4,FALSE)))</f>
        <v/>
      </c>
      <c r="AE5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19.30 (578) - CF Xander Toxopeus</v>
      </c>
    </row>
    <row r="583" spans="1:31" s="50" customFormat="1" x14ac:dyDescent="0.25">
      <c r="A583" s="50">
        <v>20391</v>
      </c>
      <c r="B583" s="55">
        <f>COUNTIF(Table5[PID],A583)</f>
        <v>1</v>
      </c>
      <c r="C583" s="55" t="str">
        <f>IF(COUNTIF(Table3[[#All],[PID]],A583)&gt;0,"P","B")</f>
        <v>B</v>
      </c>
      <c r="D583" s="59" t="str">
        <f>IF($C583="B",INDEX(Batters[[#All],[POS]],MATCH(Table5[[#This Row],[PID]],Batters[[#All],[PID]],0)),INDEX(Table3[[#All],[POS]],MATCH(Table5[[#This Row],[PID]],Table3[[#All],[PID]],0)))</f>
        <v>2B</v>
      </c>
      <c r="E583" s="52" t="str">
        <f>IF($C583="B",INDEX(Batters[[#All],[First]],MATCH(Table5[[#This Row],[PID]],Batters[[#All],[PID]],0)),INDEX(Table3[[#All],[First]],MATCH(Table5[[#This Row],[PID]],Table3[[#All],[PID]],0)))</f>
        <v>Donny</v>
      </c>
      <c r="F583" s="50" t="str">
        <f>IF($C583="B",INDEX(Batters[[#All],[Last]],MATCH(A583,Batters[[#All],[PID]],0)),INDEX(Table3[[#All],[Last]],MATCH(A583,Table3[[#All],[PID]],0)))</f>
        <v>McKillilea</v>
      </c>
      <c r="G583" s="56">
        <f>IF($C583="B",INDEX(Batters[[#All],[Age]],MATCH(Table5[[#This Row],[PID]],Batters[[#All],[PID]],0)),INDEX(Table3[[#All],[Age]],MATCH(Table5[[#This Row],[PID]],Table3[[#All],[PID]],0)))</f>
        <v>18</v>
      </c>
      <c r="H583" s="52" t="str">
        <f>IF($C583="B",INDEX(Batters[[#All],[B]],MATCH(Table5[[#This Row],[PID]],Batters[[#All],[PID]],0)),INDEX(Table3[[#All],[B]],MATCH(Table5[[#This Row],[PID]],Table3[[#All],[PID]],0)))</f>
        <v>R</v>
      </c>
      <c r="I583" s="52" t="str">
        <f>IF($C583="B",INDEX(Batters[[#All],[T]],MATCH(Table5[[#This Row],[PID]],Batters[[#All],[PID]],0)),INDEX(Table3[[#All],[T]],MATCH(Table5[[#This Row],[PID]],Table3[[#All],[PID]],0)))</f>
        <v>R</v>
      </c>
      <c r="J583" s="52" t="str">
        <f>IF($C583="B",INDEX(Batters[[#All],[WE]],MATCH(Table5[[#This Row],[PID]],Batters[[#All],[PID]],0)),INDEX(Table3[[#All],[WE]],MATCH(Table5[[#This Row],[PID]],Table3[[#All],[PID]],0)))</f>
        <v>Normal</v>
      </c>
      <c r="K583" s="52" t="str">
        <f>IF($C583="B",INDEX(Batters[[#All],[INT]],MATCH(Table5[[#This Row],[PID]],Batters[[#All],[PID]],0)),INDEX(Table3[[#All],[INT]],MATCH(Table5[[#This Row],[PID]],Table3[[#All],[PID]],0)))</f>
        <v>Normal</v>
      </c>
      <c r="L583" s="60">
        <f>IF($C583="B",INDEX(Batters[[#All],[CON P]],MATCH(Table5[[#This Row],[PID]],Batters[[#All],[PID]],0)),INDEX(Table3[[#All],[STU P]],MATCH(Table5[[#This Row],[PID]],Table3[[#All],[PID]],0)))</f>
        <v>3</v>
      </c>
      <c r="M583" s="56">
        <f>IF($C583="B",INDEX(Batters[[#All],[GAP P]],MATCH(Table5[[#This Row],[PID]],Batters[[#All],[PID]],0)),INDEX(Table3[[#All],[MOV P]],MATCH(Table5[[#This Row],[PID]],Table3[[#All],[PID]],0)))</f>
        <v>5</v>
      </c>
      <c r="N583" s="56">
        <f>IF($C583="B",INDEX(Batters[[#All],[POW P]],MATCH(Table5[[#This Row],[PID]],Batters[[#All],[PID]],0)),INDEX(Table3[[#All],[CON P]],MATCH(Table5[[#This Row],[PID]],Table3[[#All],[PID]],0)))</f>
        <v>4</v>
      </c>
      <c r="O583" s="56">
        <f>IF($C583="B",INDEX(Batters[[#All],[EYE P]],MATCH(Table5[[#This Row],[PID]],Batters[[#All],[PID]],0)),INDEX(Table3[[#All],[VELO]],MATCH(Table5[[#This Row],[PID]],Table3[[#All],[PID]],0)))</f>
        <v>6</v>
      </c>
      <c r="P583" s="56">
        <f>IF($C583="B",INDEX(Batters[[#All],[K P]],MATCH(Table5[[#This Row],[PID]],Batters[[#All],[PID]],0)),INDEX(Table3[[#All],[STM]],MATCH(Table5[[#This Row],[PID]],Table3[[#All],[PID]],0)))</f>
        <v>3</v>
      </c>
      <c r="Q583" s="61">
        <f>IF($C583="B",INDEX(Batters[[#All],[Tot]],MATCH(Table5[[#This Row],[PID]],Batters[[#All],[PID]],0)),INDEX(Table3[[#All],[Tot]],MATCH(Table5[[#This Row],[PID]],Table3[[#All],[PID]],0)))</f>
        <v>44.349604883424092</v>
      </c>
      <c r="R583" s="52">
        <f>IF($C583="B",INDEX(Batters[[#All],[zScore]],MATCH(Table5[[#This Row],[PID]],Batters[[#All],[PID]],0)),INDEX(Table3[[#All],[zScore]],MATCH(Table5[[#This Row],[PID]],Table3[[#All],[PID]],0)))</f>
        <v>4.8257837648831028E-2</v>
      </c>
      <c r="S583" s="58" t="str">
        <f>IF($C583="B",INDEX(Batters[[#All],[DEM]],MATCH(Table5[[#This Row],[PID]],Batters[[#All],[PID]],0)),INDEX(Table3[[#All],[DEM]],MATCH(Table5[[#This Row],[PID]],Table3[[#All],[PID]],0)))</f>
        <v>$38k</v>
      </c>
      <c r="T583" s="62">
        <f>IF($C583="B",INDEX(Batters[[#All],[Rnk]],MATCH(Table5[[#This Row],[PID]],Batters[[#All],[PID]],0)),INDEX(Table3[[#All],[Rnk]],MATCH(Table5[[#This Row],[PID]],Table3[[#All],[PID]],0)))</f>
        <v>232</v>
      </c>
      <c r="U583" s="68">
        <f>IF($C583="B",VLOOKUP($A583,Bat!$A$4:$BA$1621,47,FALSE),VLOOKUP($A583,Pit!$A$4:$BF$1557,56,FALSE))</f>
        <v>0</v>
      </c>
      <c r="V583" s="50">
        <f>IF($C583="B",VLOOKUP($A583,Bat!$A$4:$BA$1621,48,FALSE),VLOOKUP($A583,Pit!$A$4:$BF$1557,57,FALSE))</f>
        <v>0</v>
      </c>
      <c r="W583" s="50">
        <f>Table5[[#This Row],[posRnk]]+Table5[[#This Row],[zRnk]]+IF($W$3&lt;&gt;Table5[[#This Row],[Type]],50,0)</f>
        <v>813</v>
      </c>
      <c r="X583" s="51">
        <f>RANK(Table5[[#This Row],[zScore]],Table5[[#All],[zScore]])</f>
        <v>531</v>
      </c>
      <c r="Y583" s="50">
        <f>IFERROR(INDEX(DraftResults[[#All],[OVR]],MATCH(Table5[[#This Row],[PID]],DraftResults[[#All],[Player ID]],0)),"")</f>
        <v>579</v>
      </c>
      <c r="Z5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3" s="50">
        <f>IFERROR(INDEX(DraftResults[[#All],[Pick in Round]],MATCH(Table5[[#This Row],[PID]],DraftResults[[#All],[Player ID]],0)),"")</f>
        <v>1</v>
      </c>
      <c r="AB583" s="50" t="str">
        <f>IFERROR(INDEX(DraftResults[[#All],[Team Name]],MATCH(Table5[[#This Row],[PID]],DraftResults[[#All],[Player ID]],0)),"")</f>
        <v>Yuma Arroyos</v>
      </c>
      <c r="AC583" s="50">
        <f>IF(Table5[[#This Row],[Ovr]]="","",IF(Table5[[#This Row],[cmbList]]="","",Table5[[#This Row],[cmbList]]-Table5[[#This Row],[Ovr]]))</f>
        <v>234</v>
      </c>
      <c r="AD583" s="54" t="str">
        <f>IF(ISERROR(VLOOKUP($AB583&amp;"-"&amp;$E583&amp;" "&amp;F583,Bonuses!$B$1:$G$1006,4,FALSE)),"",INT(VLOOKUP($AB583&amp;"-"&amp;$E583&amp;" "&amp;$F583,Bonuses!$B$1:$G$1006,4,FALSE)))</f>
        <v/>
      </c>
      <c r="AE5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 (579) - 2B Donny McKillilea</v>
      </c>
    </row>
    <row r="584" spans="1:31" s="50" customFormat="1" x14ac:dyDescent="0.25">
      <c r="A584" s="50">
        <v>21091</v>
      </c>
      <c r="B584" s="50">
        <f>COUNTIF(Table5[PID],A584)</f>
        <v>1</v>
      </c>
      <c r="C584" s="50" t="str">
        <f>IF(COUNTIF(Table3[[#All],[PID]],A584)&gt;0,"P","B")</f>
        <v>B</v>
      </c>
      <c r="D584" s="59" t="str">
        <f>IF($C584="B",INDEX(Batters[[#All],[POS]],MATCH(Table5[[#This Row],[PID]],Batters[[#All],[PID]],0)),INDEX(Table3[[#All],[POS]],MATCH(Table5[[#This Row],[PID]],Table3[[#All],[PID]],0)))</f>
        <v>2B</v>
      </c>
      <c r="E584" s="52" t="str">
        <f>IF($C584="B",INDEX(Batters[[#All],[First]],MATCH(Table5[[#This Row],[PID]],Batters[[#All],[PID]],0)),INDEX(Table3[[#All],[First]],MATCH(Table5[[#This Row],[PID]],Table3[[#All],[PID]],0)))</f>
        <v>Scott</v>
      </c>
      <c r="F584" s="50" t="str">
        <f>IF($C584="B",INDEX(Batters[[#All],[Last]],MATCH(A584,Batters[[#All],[PID]],0)),INDEX(Table3[[#All],[Last]],MATCH(A584,Table3[[#All],[PID]],0)))</f>
        <v>Rodgers</v>
      </c>
      <c r="G584" s="56">
        <f>IF($C584="B",INDEX(Batters[[#All],[Age]],MATCH(Table5[[#This Row],[PID]],Batters[[#All],[PID]],0)),INDEX(Table3[[#All],[Age]],MATCH(Table5[[#This Row],[PID]],Table3[[#All],[PID]],0)))</f>
        <v>18</v>
      </c>
      <c r="H584" s="52" t="str">
        <f>IF($C584="B",INDEX(Batters[[#All],[B]],MATCH(Table5[[#This Row],[PID]],Batters[[#All],[PID]],0)),INDEX(Table3[[#All],[B]],MATCH(Table5[[#This Row],[PID]],Table3[[#All],[PID]],0)))</f>
        <v>R</v>
      </c>
      <c r="I584" s="52" t="str">
        <f>IF($C584="B",INDEX(Batters[[#All],[T]],MATCH(Table5[[#This Row],[PID]],Batters[[#All],[PID]],0)),INDEX(Table3[[#All],[T]],MATCH(Table5[[#This Row],[PID]],Table3[[#All],[PID]],0)))</f>
        <v>R</v>
      </c>
      <c r="J584" s="52" t="str">
        <f>IF($C584="B",INDEX(Batters[[#All],[WE]],MATCH(Table5[[#This Row],[PID]],Batters[[#All],[PID]],0)),INDEX(Table3[[#All],[WE]],MATCH(Table5[[#This Row],[PID]],Table3[[#All],[PID]],0)))</f>
        <v>Normal</v>
      </c>
      <c r="K584" s="52" t="str">
        <f>IF($C584="B",INDEX(Batters[[#All],[INT]],MATCH(Table5[[#This Row],[PID]],Batters[[#All],[PID]],0)),INDEX(Table3[[#All],[INT]],MATCH(Table5[[#This Row],[PID]],Table3[[#All],[PID]],0)))</f>
        <v>Normal</v>
      </c>
      <c r="L584" s="60">
        <f>IF($C584="B",INDEX(Batters[[#All],[CON P]],MATCH(Table5[[#This Row],[PID]],Batters[[#All],[PID]],0)),INDEX(Table3[[#All],[STU P]],MATCH(Table5[[#This Row],[PID]],Table3[[#All],[PID]],0)))</f>
        <v>3</v>
      </c>
      <c r="M584" s="56">
        <f>IF($C584="B",INDEX(Batters[[#All],[GAP P]],MATCH(Table5[[#This Row],[PID]],Batters[[#All],[PID]],0)),INDEX(Table3[[#All],[MOV P]],MATCH(Table5[[#This Row],[PID]],Table3[[#All],[PID]],0)))</f>
        <v>4</v>
      </c>
      <c r="N584" s="56">
        <f>IF($C584="B",INDEX(Batters[[#All],[POW P]],MATCH(Table5[[#This Row],[PID]],Batters[[#All],[PID]],0)),INDEX(Table3[[#All],[CON P]],MATCH(Table5[[#This Row],[PID]],Table3[[#All],[PID]],0)))</f>
        <v>2</v>
      </c>
      <c r="O584" s="56">
        <f>IF($C584="B",INDEX(Batters[[#All],[EYE P]],MATCH(Table5[[#This Row],[PID]],Batters[[#All],[PID]],0)),INDEX(Table3[[#All],[VELO]],MATCH(Table5[[#This Row],[PID]],Table3[[#All],[PID]],0)))</f>
        <v>4</v>
      </c>
      <c r="P584" s="56">
        <f>IF($C584="B",INDEX(Batters[[#All],[K P]],MATCH(Table5[[#This Row],[PID]],Batters[[#All],[PID]],0)),INDEX(Table3[[#All],[STM]],MATCH(Table5[[#This Row],[PID]],Table3[[#All],[PID]],0)))</f>
        <v>6</v>
      </c>
      <c r="Q584" s="61">
        <f>IF($C584="B",INDEX(Batters[[#All],[Tot]],MATCH(Table5[[#This Row],[PID]],Batters[[#All],[PID]],0)),INDEX(Table3[[#All],[Tot]],MATCH(Table5[[#This Row],[PID]],Table3[[#All],[PID]],0)))</f>
        <v>40.994509469283031</v>
      </c>
      <c r="R584" s="52">
        <f>IF($C584="B",INDEX(Batters[[#All],[zScore]],MATCH(Table5[[#This Row],[PID]],Batters[[#All],[PID]],0)),INDEX(Table3[[#All],[zScore]],MATCH(Table5[[#This Row],[PID]],Table3[[#All],[PID]],0)))</f>
        <v>-0.69558949400652648</v>
      </c>
      <c r="S584" s="58" t="str">
        <f>IF($C584="B",INDEX(Batters[[#All],[DEM]],MATCH(Table5[[#This Row],[PID]],Batters[[#All],[PID]],0)),INDEX(Table3[[#All],[DEM]],MATCH(Table5[[#This Row],[PID]],Table3[[#All],[PID]],0)))</f>
        <v>$38k</v>
      </c>
      <c r="T584" s="62">
        <f>IF($C584="B",INDEX(Batters[[#All],[Rnk]],MATCH(Table5[[#This Row],[PID]],Batters[[#All],[PID]],0)),INDEX(Table3[[#All],[Rnk]],MATCH(Table5[[#This Row],[PID]],Table3[[#All],[PID]],0)))</f>
        <v>382</v>
      </c>
      <c r="U584" s="68">
        <f>IF($C584="B",VLOOKUP($A584,Bat!$A$4:$BA$1621,47,FALSE),VLOOKUP($A584,Pit!$A$4:$BF$1557,56,FALSE))</f>
        <v>0</v>
      </c>
      <c r="V584" s="50">
        <f>IF($C584="B",VLOOKUP($A584,Bat!$A$4:$BA$1621,48,FALSE),VLOOKUP($A584,Pit!$A$4:$BF$1557,57,FALSE))</f>
        <v>0</v>
      </c>
      <c r="W584" s="50">
        <f>Table5[[#This Row],[posRnk]]+Table5[[#This Row],[zRnk]]+IF($W$3&lt;&gt;Table5[[#This Row],[Type]],50,0)</f>
        <v>1413</v>
      </c>
      <c r="X584" s="51">
        <f>RANK(Table5[[#This Row],[zScore]],Table5[[#All],[zScore]])</f>
        <v>981</v>
      </c>
      <c r="Y584" s="50">
        <f>IFERROR(INDEX(DraftResults[[#All],[OVR]],MATCH(Table5[[#This Row],[PID]],DraftResults[[#All],[Player ID]],0)),"")</f>
        <v>580</v>
      </c>
      <c r="Z5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4" s="50">
        <f>IFERROR(INDEX(DraftResults[[#All],[Pick in Round]],MATCH(Table5[[#This Row],[PID]],DraftResults[[#All],[Player ID]],0)),"")</f>
        <v>2</v>
      </c>
      <c r="AB584" s="50" t="str">
        <f>IFERROR(INDEX(DraftResults[[#All],[Team Name]],MATCH(Table5[[#This Row],[PID]],DraftResults[[#All],[Player ID]],0)),"")</f>
        <v>Charleston Statesmen</v>
      </c>
      <c r="AC584" s="50">
        <f>IF(Table5[[#This Row],[Ovr]]="","",IF(Table5[[#This Row],[cmbList]]="","",Table5[[#This Row],[cmbList]]-Table5[[#This Row],[Ovr]]))</f>
        <v>833</v>
      </c>
      <c r="AD584" s="54" t="str">
        <f>IF(ISERROR(VLOOKUP($AB584&amp;"-"&amp;$E584&amp;" "&amp;F584,Bonuses!$B$1:$G$1006,4,FALSE)),"",INT(VLOOKUP($AB584&amp;"-"&amp;$E584&amp;" "&amp;$F584,Bonuses!$B$1:$G$1006,4,FALSE)))</f>
        <v/>
      </c>
      <c r="AE5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 (580) - 2B Scott Rodgers</v>
      </c>
    </row>
    <row r="585" spans="1:31" s="50" customFormat="1" x14ac:dyDescent="0.25">
      <c r="A585" s="68">
        <v>11852</v>
      </c>
      <c r="B585" s="69">
        <f>COUNTIF(Table5[PID],A585)</f>
        <v>1</v>
      </c>
      <c r="C585" s="69" t="str">
        <f>IF(COUNTIF(Table3[[#All],[PID]],A585)&gt;0,"P","B")</f>
        <v>P</v>
      </c>
      <c r="D585" s="59" t="str">
        <f>IF($C585="B",INDEX(Batters[[#All],[POS]],MATCH(Table5[[#This Row],[PID]],Batters[[#All],[PID]],0)),INDEX(Table3[[#All],[POS]],MATCH(Table5[[#This Row],[PID]],Table3[[#All],[PID]],0)))</f>
        <v>SP</v>
      </c>
      <c r="E585" s="52" t="str">
        <f>IF($C585="B",INDEX(Batters[[#All],[First]],MATCH(Table5[[#This Row],[PID]],Batters[[#All],[PID]],0)),INDEX(Table3[[#All],[First]],MATCH(Table5[[#This Row],[PID]],Table3[[#All],[PID]],0)))</f>
        <v>Manolito</v>
      </c>
      <c r="F585" s="55" t="str">
        <f>IF($C585="B",INDEX(Batters[[#All],[Last]],MATCH(A585,Batters[[#All],[PID]],0)),INDEX(Table3[[#All],[Last]],MATCH(A585,Table3[[#All],[PID]],0)))</f>
        <v>Díaz</v>
      </c>
      <c r="G585" s="56">
        <f>IF($C585="B",INDEX(Batters[[#All],[Age]],MATCH(Table5[[#This Row],[PID]],Batters[[#All],[PID]],0)),INDEX(Table3[[#All],[Age]],MATCH(Table5[[#This Row],[PID]],Table3[[#All],[PID]],0)))</f>
        <v>22</v>
      </c>
      <c r="H585" s="52" t="str">
        <f>IF($C585="B",INDEX(Batters[[#All],[B]],MATCH(Table5[[#This Row],[PID]],Batters[[#All],[PID]],0)),INDEX(Table3[[#All],[B]],MATCH(Table5[[#This Row],[PID]],Table3[[#All],[PID]],0)))</f>
        <v>L</v>
      </c>
      <c r="I585" s="52" t="str">
        <f>IF($C585="B",INDEX(Batters[[#All],[T]],MATCH(Table5[[#This Row],[PID]],Batters[[#All],[PID]],0)),INDEX(Table3[[#All],[T]],MATCH(Table5[[#This Row],[PID]],Table3[[#All],[PID]],0)))</f>
        <v>R</v>
      </c>
      <c r="J585" s="71" t="str">
        <f>IF($C585="B",INDEX(Batters[[#All],[WE]],MATCH(Table5[[#This Row],[PID]],Batters[[#All],[PID]],0)),INDEX(Table3[[#All],[WE]],MATCH(Table5[[#This Row],[PID]],Table3[[#All],[PID]],0)))</f>
        <v>High</v>
      </c>
      <c r="K585" s="52" t="str">
        <f>IF($C585="B",INDEX(Batters[[#All],[INT]],MATCH(Table5[[#This Row],[PID]],Batters[[#All],[PID]],0)),INDEX(Table3[[#All],[INT]],MATCH(Table5[[#This Row],[PID]],Table3[[#All],[PID]],0)))</f>
        <v>Normal</v>
      </c>
      <c r="L585" s="60">
        <f>IF($C585="B",INDEX(Batters[[#All],[CON P]],MATCH(Table5[[#This Row],[PID]],Batters[[#All],[PID]],0)),INDEX(Table3[[#All],[STU P]],MATCH(Table5[[#This Row],[PID]],Table3[[#All],[PID]],0)))</f>
        <v>4</v>
      </c>
      <c r="M585" s="72">
        <f>IF($C585="B",INDEX(Batters[[#All],[GAP P]],MATCH(Table5[[#This Row],[PID]],Batters[[#All],[PID]],0)),INDEX(Table3[[#All],[MOV P]],MATCH(Table5[[#This Row],[PID]],Table3[[#All],[PID]],0)))</f>
        <v>2</v>
      </c>
      <c r="N585" s="72">
        <f>IF($C585="B",INDEX(Batters[[#All],[POW P]],MATCH(Table5[[#This Row],[PID]],Batters[[#All],[PID]],0)),INDEX(Table3[[#All],[CON P]],MATCH(Table5[[#This Row],[PID]],Table3[[#All],[PID]],0)))</f>
        <v>2</v>
      </c>
      <c r="O585" s="72" t="str">
        <f>IF($C585="B",INDEX(Batters[[#All],[EYE P]],MATCH(Table5[[#This Row],[PID]],Batters[[#All],[PID]],0)),INDEX(Table3[[#All],[VELO]],MATCH(Table5[[#This Row],[PID]],Table3[[#All],[PID]],0)))</f>
        <v>90-92 Mph</v>
      </c>
      <c r="P585" s="56">
        <f>IF($C585="B",INDEX(Batters[[#All],[K P]],MATCH(Table5[[#This Row],[PID]],Batters[[#All],[PID]],0)),INDEX(Table3[[#All],[STM]],MATCH(Table5[[#This Row],[PID]],Table3[[#All],[PID]],0)))</f>
        <v>7</v>
      </c>
      <c r="Q585" s="61">
        <f>IF($C585="B",INDEX(Batters[[#All],[Tot]],MATCH(Table5[[#This Row],[PID]],Batters[[#All],[PID]],0)),INDEX(Table3[[#All],[Tot]],MATCH(Table5[[#This Row],[PID]],Table3[[#All],[PID]],0)))</f>
        <v>24.427927249428347</v>
      </c>
      <c r="R585" s="52">
        <f>IF($C585="B",INDEX(Batters[[#All],[zScore]],MATCH(Table5[[#This Row],[PID]],Batters[[#All],[PID]],0)),INDEX(Table3[[#All],[zScore]],MATCH(Table5[[#This Row],[PID]],Table3[[#All],[PID]],0)))</f>
        <v>-0.76125861219998814</v>
      </c>
      <c r="S585" s="78" t="str">
        <f>IF($C585="B",INDEX(Batters[[#All],[DEM]],MATCH(Table5[[#This Row],[PID]],Batters[[#All],[PID]],0)),INDEX(Table3[[#All],[DEM]],MATCH(Table5[[#This Row],[PID]],Table3[[#All],[PID]],0)))</f>
        <v>-</v>
      </c>
      <c r="T585" s="75">
        <f>IF($C585="B",INDEX(Batters[[#All],[Rnk]],MATCH(Table5[[#This Row],[PID]],Batters[[#All],[PID]],0)),INDEX(Table3[[#All],[Rnk]],MATCH(Table5[[#This Row],[PID]],Table3[[#All],[PID]],0)))</f>
        <v>624</v>
      </c>
      <c r="U585" s="68">
        <f>IF($C585="B",VLOOKUP($A585,Bat!$A$4:$BA$1621,47,FALSE),VLOOKUP($A585,Pit!$A$4:$BF$1557,56,FALSE))</f>
        <v>0</v>
      </c>
      <c r="V585" s="50">
        <f>IF($C585="B",VLOOKUP($A585,Bat!$A$4:$BA$1621,48,FALSE),VLOOKUP($A585,Pit!$A$4:$BF$1557,57,FALSE))</f>
        <v>0</v>
      </c>
      <c r="W585" s="69">
        <f>Table5[[#This Row],[posRnk]]+Table5[[#This Row],[zRnk]]+IF($W$3&lt;&gt;Table5[[#This Row],[Type]],50,0)</f>
        <v>1691</v>
      </c>
      <c r="X585" s="73">
        <f>RANK(Table5[[#This Row],[zScore]],Table5[[#All],[zScore]])</f>
        <v>1017</v>
      </c>
      <c r="Y585" s="69">
        <f>IFERROR(INDEX(DraftResults[[#All],[OVR]],MATCH(Table5[[#This Row],[PID]],DraftResults[[#All],[Player ID]],0)),"")</f>
        <v>581</v>
      </c>
      <c r="Z58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5" s="69">
        <f>IFERROR(INDEX(DraftResults[[#All],[Pick in Round]],MATCH(Table5[[#This Row],[PID]],DraftResults[[#All],[Player ID]],0)),"")</f>
        <v>3</v>
      </c>
      <c r="AB585" s="69" t="str">
        <f>IFERROR(INDEX(DraftResults[[#All],[Team Name]],MATCH(Table5[[#This Row],[PID]],DraftResults[[#All],[Player ID]],0)),"")</f>
        <v>New Orleans Trendsetters</v>
      </c>
      <c r="AC585" s="69">
        <f>IF(Table5[[#This Row],[Ovr]]="","",IF(Table5[[#This Row],[cmbList]]="","",Table5[[#This Row],[cmbList]]-Table5[[#This Row],[Ovr]]))</f>
        <v>1110</v>
      </c>
      <c r="AD585" s="77" t="str">
        <f>IF(ISERROR(VLOOKUP($AB585&amp;"-"&amp;$E585&amp;" "&amp;F585,Bonuses!$B$1:$G$1006,4,FALSE)),"",INT(VLOOKUP($AB585&amp;"-"&amp;$E585&amp;" "&amp;$F585,Bonuses!$B$1:$G$1006,4,FALSE)))</f>
        <v/>
      </c>
      <c r="AE58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20.3 (581) - SP Manolito Díaz</v>
      </c>
    </row>
    <row r="586" spans="1:31" s="50" customFormat="1" x14ac:dyDescent="0.25">
      <c r="A586" s="50">
        <v>20993</v>
      </c>
      <c r="B586" s="50">
        <f>COUNTIF(Table5[PID],A586)</f>
        <v>1</v>
      </c>
      <c r="C586" s="50" t="str">
        <f>IF(COUNTIF(Table3[[#All],[PID]],A586)&gt;0,"P","B")</f>
        <v>B</v>
      </c>
      <c r="D586" s="59" t="str">
        <f>IF($C586="B",INDEX(Batters[[#All],[POS]],MATCH(Table5[[#This Row],[PID]],Batters[[#All],[PID]],0)),INDEX(Table3[[#All],[POS]],MATCH(Table5[[#This Row],[PID]],Table3[[#All],[PID]],0)))</f>
        <v>SS</v>
      </c>
      <c r="E586" s="52" t="str">
        <f>IF($C586="B",INDEX(Batters[[#All],[First]],MATCH(Table5[[#This Row],[PID]],Batters[[#All],[PID]],0)),INDEX(Table3[[#All],[First]],MATCH(Table5[[#This Row],[PID]],Table3[[#All],[PID]],0)))</f>
        <v>John</v>
      </c>
      <c r="F586" s="50" t="str">
        <f>IF($C586="B",INDEX(Batters[[#All],[Last]],MATCH(A586,Batters[[#All],[PID]],0)),INDEX(Table3[[#All],[Last]],MATCH(A586,Table3[[#All],[PID]],0)))</f>
        <v>Reed</v>
      </c>
      <c r="G586" s="56">
        <f>IF($C586="B",INDEX(Batters[[#All],[Age]],MATCH(Table5[[#This Row],[PID]],Batters[[#All],[PID]],0)),INDEX(Table3[[#All],[Age]],MATCH(Table5[[#This Row],[PID]],Table3[[#All],[PID]],0)))</f>
        <v>18</v>
      </c>
      <c r="H586" s="52" t="str">
        <f>IF($C586="B",INDEX(Batters[[#All],[B]],MATCH(Table5[[#This Row],[PID]],Batters[[#All],[PID]],0)),INDEX(Table3[[#All],[B]],MATCH(Table5[[#This Row],[PID]],Table3[[#All],[PID]],0)))</f>
        <v>R</v>
      </c>
      <c r="I586" s="52" t="str">
        <f>IF($C586="B",INDEX(Batters[[#All],[T]],MATCH(Table5[[#This Row],[PID]],Batters[[#All],[PID]],0)),INDEX(Table3[[#All],[T]],MATCH(Table5[[#This Row],[PID]],Table3[[#All],[PID]],0)))</f>
        <v>R</v>
      </c>
      <c r="J586" s="52" t="str">
        <f>IF($C586="B",INDEX(Batters[[#All],[WE]],MATCH(Table5[[#This Row],[PID]],Batters[[#All],[PID]],0)),INDEX(Table3[[#All],[WE]],MATCH(Table5[[#This Row],[PID]],Table3[[#All],[PID]],0)))</f>
        <v>High</v>
      </c>
      <c r="K586" s="52" t="str">
        <f>IF($C586="B",INDEX(Batters[[#All],[INT]],MATCH(Table5[[#This Row],[PID]],Batters[[#All],[PID]],0)),INDEX(Table3[[#All],[INT]],MATCH(Table5[[#This Row],[PID]],Table3[[#All],[PID]],0)))</f>
        <v>Normal</v>
      </c>
      <c r="L586" s="60">
        <f>IF($C586="B",INDEX(Batters[[#All],[CON P]],MATCH(Table5[[#This Row],[PID]],Batters[[#All],[PID]],0)),INDEX(Table3[[#All],[STU P]],MATCH(Table5[[#This Row],[PID]],Table3[[#All],[PID]],0)))</f>
        <v>2</v>
      </c>
      <c r="M586" s="56">
        <f>IF($C586="B",INDEX(Batters[[#All],[GAP P]],MATCH(Table5[[#This Row],[PID]],Batters[[#All],[PID]],0)),INDEX(Table3[[#All],[MOV P]],MATCH(Table5[[#This Row],[PID]],Table3[[#All],[PID]],0)))</f>
        <v>5</v>
      </c>
      <c r="N586" s="56">
        <f>IF($C586="B",INDEX(Batters[[#All],[POW P]],MATCH(Table5[[#This Row],[PID]],Batters[[#All],[PID]],0)),INDEX(Table3[[#All],[CON P]],MATCH(Table5[[#This Row],[PID]],Table3[[#All],[PID]],0)))</f>
        <v>3</v>
      </c>
      <c r="O586" s="56">
        <f>IF($C586="B",INDEX(Batters[[#All],[EYE P]],MATCH(Table5[[#This Row],[PID]],Batters[[#All],[PID]],0)),INDEX(Table3[[#All],[VELO]],MATCH(Table5[[#This Row],[PID]],Table3[[#All],[PID]],0)))</f>
        <v>6</v>
      </c>
      <c r="P586" s="56">
        <f>IF($C586="B",INDEX(Batters[[#All],[K P]],MATCH(Table5[[#This Row],[PID]],Batters[[#All],[PID]],0)),INDEX(Table3[[#All],[STM]],MATCH(Table5[[#This Row],[PID]],Table3[[#All],[PID]],0)))</f>
        <v>3</v>
      </c>
      <c r="Q586" s="61">
        <f>IF($C586="B",INDEX(Batters[[#All],[Tot]],MATCH(Table5[[#This Row],[PID]],Batters[[#All],[PID]],0)),INDEX(Table3[[#All],[Tot]],MATCH(Table5[[#This Row],[PID]],Table3[[#All],[PID]],0)))</f>
        <v>40.651480495006624</v>
      </c>
      <c r="R586" s="52">
        <f>IF($C586="B",INDEX(Batters[[#All],[zScore]],MATCH(Table5[[#This Row],[PID]],Batters[[#All],[PID]],0)),INDEX(Table3[[#All],[zScore]],MATCH(Table5[[#This Row],[PID]],Table3[[#All],[PID]],0)))</f>
        <v>-0.77164133626428355</v>
      </c>
      <c r="S586" s="58" t="str">
        <f>IF($C586="B",INDEX(Batters[[#All],[DEM]],MATCH(Table5[[#This Row],[PID]],Batters[[#All],[PID]],0)),INDEX(Table3[[#All],[DEM]],MATCH(Table5[[#This Row],[PID]],Table3[[#All],[PID]],0)))</f>
        <v>$80k</v>
      </c>
      <c r="T586" s="62">
        <f>IF($C586="B",INDEX(Batters[[#All],[Rnk]],MATCH(Table5[[#This Row],[PID]],Batters[[#All],[PID]],0)),INDEX(Table3[[#All],[Rnk]],MATCH(Table5[[#This Row],[PID]],Table3[[#All],[PID]],0)))</f>
        <v>396</v>
      </c>
      <c r="U586" s="68">
        <f>IF($C586="B",VLOOKUP($A586,Bat!$A$4:$BA$1621,47,FALSE),VLOOKUP($A586,Pit!$A$4:$BF$1557,56,FALSE))</f>
        <v>0</v>
      </c>
      <c r="V586" s="50">
        <f>IF($C586="B",VLOOKUP($A586,Bat!$A$4:$BA$1621,48,FALSE),VLOOKUP($A586,Pit!$A$4:$BF$1557,57,FALSE))</f>
        <v>0</v>
      </c>
      <c r="W586" s="50">
        <f>Table5[[#This Row],[posRnk]]+Table5[[#This Row],[zRnk]]+IF($W$3&lt;&gt;Table5[[#This Row],[Type]],50,0)</f>
        <v>1472</v>
      </c>
      <c r="X586" s="51">
        <f>RANK(Table5[[#This Row],[zScore]],Table5[[#All],[zScore]])</f>
        <v>1026</v>
      </c>
      <c r="Y586" s="50">
        <f>IFERROR(INDEX(DraftResults[[#All],[OVR]],MATCH(Table5[[#This Row],[PID]],DraftResults[[#All],[Player ID]],0)),"")</f>
        <v>582</v>
      </c>
      <c r="Z5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6" s="50">
        <f>IFERROR(INDEX(DraftResults[[#All],[Pick in Round]],MATCH(Table5[[#This Row],[PID]],DraftResults[[#All],[Player ID]],0)),"")</f>
        <v>4</v>
      </c>
      <c r="AB586" s="50" t="str">
        <f>IFERROR(INDEX(DraftResults[[#All],[Team Name]],MATCH(Table5[[#This Row],[PID]],DraftResults[[#All],[Player ID]],0)),"")</f>
        <v>Tempe Knights</v>
      </c>
      <c r="AC586" s="50">
        <f>IF(Table5[[#This Row],[Ovr]]="","",IF(Table5[[#This Row],[cmbList]]="","",Table5[[#This Row],[cmbList]]-Table5[[#This Row],[Ovr]]))</f>
        <v>890</v>
      </c>
      <c r="AD586" s="54" t="str">
        <f>IF(ISERROR(VLOOKUP($AB586&amp;"-"&amp;$E586&amp;" "&amp;F586,Bonuses!$B$1:$G$1006,4,FALSE)),"",INT(VLOOKUP($AB586&amp;"-"&amp;$E586&amp;" "&amp;$F586,Bonuses!$B$1:$G$1006,4,FALSE)))</f>
        <v/>
      </c>
      <c r="AE5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20.4 (582) - SS John Reed</v>
      </c>
    </row>
    <row r="587" spans="1:31" s="50" customFormat="1" x14ac:dyDescent="0.25">
      <c r="A587" s="68">
        <v>17967</v>
      </c>
      <c r="B587" s="69">
        <f>COUNTIF(Table5[PID],A587)</f>
        <v>1</v>
      </c>
      <c r="C587" s="69" t="str">
        <f>IF(COUNTIF(Table3[[#All],[PID]],A587)&gt;0,"P","B")</f>
        <v>P</v>
      </c>
      <c r="D587" s="59" t="str">
        <f>IF($C587="B",INDEX(Batters[[#All],[POS]],MATCH(Table5[[#This Row],[PID]],Batters[[#All],[PID]],0)),INDEX(Table3[[#All],[POS]],MATCH(Table5[[#This Row],[PID]],Table3[[#All],[PID]],0)))</f>
        <v>SP</v>
      </c>
      <c r="E587" s="52" t="str">
        <f>IF($C587="B",INDEX(Batters[[#All],[First]],MATCH(Table5[[#This Row],[PID]],Batters[[#All],[PID]],0)),INDEX(Table3[[#All],[First]],MATCH(Table5[[#This Row],[PID]],Table3[[#All],[PID]],0)))</f>
        <v>Albert</v>
      </c>
      <c r="F587" s="55" t="str">
        <f>IF($C587="B",INDEX(Batters[[#All],[Last]],MATCH(A587,Batters[[#All],[PID]],0)),INDEX(Table3[[#All],[Last]],MATCH(A587,Table3[[#All],[PID]],0)))</f>
        <v>Pérez</v>
      </c>
      <c r="G587" s="56">
        <f>IF($C587="B",INDEX(Batters[[#All],[Age]],MATCH(Table5[[#This Row],[PID]],Batters[[#All],[PID]],0)),INDEX(Table3[[#All],[Age]],MATCH(Table5[[#This Row],[PID]],Table3[[#All],[PID]],0)))</f>
        <v>21</v>
      </c>
      <c r="H587" s="52" t="str">
        <f>IF($C587="B",INDEX(Batters[[#All],[B]],MATCH(Table5[[#This Row],[PID]],Batters[[#All],[PID]],0)),INDEX(Table3[[#All],[B]],MATCH(Table5[[#This Row],[PID]],Table3[[#All],[PID]],0)))</f>
        <v>L</v>
      </c>
      <c r="I587" s="52" t="str">
        <f>IF($C587="B",INDEX(Batters[[#All],[T]],MATCH(Table5[[#This Row],[PID]],Batters[[#All],[PID]],0)),INDEX(Table3[[#All],[T]],MATCH(Table5[[#This Row],[PID]],Table3[[#All],[PID]],0)))</f>
        <v>L</v>
      </c>
      <c r="J587" s="71" t="str">
        <f>IF($C587="B",INDEX(Batters[[#All],[WE]],MATCH(Table5[[#This Row],[PID]],Batters[[#All],[PID]],0)),INDEX(Table3[[#All],[WE]],MATCH(Table5[[#This Row],[PID]],Table3[[#All],[PID]],0)))</f>
        <v>Normal</v>
      </c>
      <c r="K587" s="52" t="str">
        <f>IF($C587="B",INDEX(Batters[[#All],[INT]],MATCH(Table5[[#This Row],[PID]],Batters[[#All],[PID]],0)),INDEX(Table3[[#All],[INT]],MATCH(Table5[[#This Row],[PID]],Table3[[#All],[PID]],0)))</f>
        <v>Normal</v>
      </c>
      <c r="L587" s="60">
        <f>IF($C587="B",INDEX(Batters[[#All],[CON P]],MATCH(Table5[[#This Row],[PID]],Batters[[#All],[PID]],0)),INDEX(Table3[[#All],[STU P]],MATCH(Table5[[#This Row],[PID]],Table3[[#All],[PID]],0)))</f>
        <v>4</v>
      </c>
      <c r="M587" s="72">
        <f>IF($C587="B",INDEX(Batters[[#All],[GAP P]],MATCH(Table5[[#This Row],[PID]],Batters[[#All],[PID]],0)),INDEX(Table3[[#All],[MOV P]],MATCH(Table5[[#This Row],[PID]],Table3[[#All],[PID]],0)))</f>
        <v>2</v>
      </c>
      <c r="N587" s="72">
        <f>IF($C587="B",INDEX(Batters[[#All],[POW P]],MATCH(Table5[[#This Row],[PID]],Batters[[#All],[PID]],0)),INDEX(Table3[[#All],[CON P]],MATCH(Table5[[#This Row],[PID]],Table3[[#All],[PID]],0)))</f>
        <v>3</v>
      </c>
      <c r="O587" s="72" t="str">
        <f>IF($C587="B",INDEX(Batters[[#All],[EYE P]],MATCH(Table5[[#This Row],[PID]],Batters[[#All],[PID]],0)),INDEX(Table3[[#All],[VELO]],MATCH(Table5[[#This Row],[PID]],Table3[[#All],[PID]],0)))</f>
        <v>91-93 Mph</v>
      </c>
      <c r="P587" s="56">
        <f>IF($C587="B",INDEX(Batters[[#All],[K P]],MATCH(Table5[[#This Row],[PID]],Batters[[#All],[PID]],0)),INDEX(Table3[[#All],[STM]],MATCH(Table5[[#This Row],[PID]],Table3[[#All],[PID]],0)))</f>
        <v>8</v>
      </c>
      <c r="Q587" s="61">
        <f>IF($C587="B",INDEX(Batters[[#All],[Tot]],MATCH(Table5[[#This Row],[PID]],Batters[[#All],[PID]],0)),INDEX(Table3[[#All],[Tot]],MATCH(Table5[[#This Row],[PID]],Table3[[#All],[PID]],0)))</f>
        <v>29.749338570510552</v>
      </c>
      <c r="R587" s="52">
        <f>IF($C587="B",INDEX(Batters[[#All],[zScore]],MATCH(Table5[[#This Row],[PID]],Batters[[#All],[PID]],0)),INDEX(Table3[[#All],[zScore]],MATCH(Table5[[#This Row],[PID]],Table3[[#All],[PID]],0)))</f>
        <v>-0.40723324870408134</v>
      </c>
      <c r="S587" s="78" t="str">
        <f>IF($C587="B",INDEX(Batters[[#All],[DEM]],MATCH(Table5[[#This Row],[PID]],Batters[[#All],[PID]],0)),INDEX(Table3[[#All],[DEM]],MATCH(Table5[[#This Row],[PID]],Table3[[#All],[PID]],0)))</f>
        <v>-</v>
      </c>
      <c r="T587" s="75">
        <f>IF($C587="B",INDEX(Batters[[#All],[Rnk]],MATCH(Table5[[#This Row],[PID]],Batters[[#All],[PID]],0)),INDEX(Table3[[#All],[Rnk]],MATCH(Table5[[#This Row],[PID]],Table3[[#All],[PID]],0)))</f>
        <v>473</v>
      </c>
      <c r="U587" s="68">
        <f>IF($C587="B",VLOOKUP($A587,Bat!$A$4:$BA$1621,47,FALSE),VLOOKUP($A587,Pit!$A$4:$BF$1557,56,FALSE))</f>
        <v>0</v>
      </c>
      <c r="V587" s="50">
        <f>IF($C587="B",VLOOKUP($A587,Bat!$A$4:$BA$1621,48,FALSE),VLOOKUP($A587,Pit!$A$4:$BF$1557,57,FALSE))</f>
        <v>0</v>
      </c>
      <c r="W587" s="69">
        <f>Table5[[#This Row],[posRnk]]+Table5[[#This Row],[zRnk]]+IF($W$3&lt;&gt;Table5[[#This Row],[Type]],50,0)</f>
        <v>1319</v>
      </c>
      <c r="X587" s="73">
        <f>RANK(Table5[[#This Row],[zScore]],Table5[[#All],[zScore]])</f>
        <v>796</v>
      </c>
      <c r="Y587" s="69">
        <f>IFERROR(INDEX(DraftResults[[#All],[OVR]],MATCH(Table5[[#This Row],[PID]],DraftResults[[#All],[Player ID]],0)),"")</f>
        <v>583</v>
      </c>
      <c r="Z58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7" s="69">
        <f>IFERROR(INDEX(DraftResults[[#All],[Pick in Round]],MATCH(Table5[[#This Row],[PID]],DraftResults[[#All],[Player ID]],0)),"")</f>
        <v>5</v>
      </c>
      <c r="AB587" s="69" t="str">
        <f>IFERROR(INDEX(DraftResults[[#All],[Team Name]],MATCH(Table5[[#This Row],[PID]],DraftResults[[#All],[Player ID]],0)),"")</f>
        <v>Okinawa Shisa</v>
      </c>
      <c r="AC587" s="69">
        <f>IF(Table5[[#This Row],[Ovr]]="","",IF(Table5[[#This Row],[cmbList]]="","",Table5[[#This Row],[cmbList]]-Table5[[#This Row],[Ovr]]))</f>
        <v>736</v>
      </c>
      <c r="AD587" s="77" t="str">
        <f>IF(ISERROR(VLOOKUP($AB587&amp;"-"&amp;$E587&amp;" "&amp;F587,Bonuses!$B$1:$G$1006,4,FALSE)),"",INT(VLOOKUP($AB587&amp;"-"&amp;$E587&amp;" "&amp;$F587,Bonuses!$B$1:$G$1006,4,FALSE)))</f>
        <v/>
      </c>
      <c r="AE58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20.5 (583) - SP Albert Pérez</v>
      </c>
    </row>
    <row r="588" spans="1:31" s="50" customFormat="1" x14ac:dyDescent="0.25">
      <c r="A588" s="68">
        <v>17817</v>
      </c>
      <c r="B588" s="69">
        <f>COUNTIF(Table5[PID],A588)</f>
        <v>1</v>
      </c>
      <c r="C588" s="69" t="str">
        <f>IF(COUNTIF(Table3[[#All],[PID]],A588)&gt;0,"P","B")</f>
        <v>P</v>
      </c>
      <c r="D588" s="59" t="str">
        <f>IF($C588="B",INDEX(Batters[[#All],[POS]],MATCH(Table5[[#This Row],[PID]],Batters[[#All],[PID]],0)),INDEX(Table3[[#All],[POS]],MATCH(Table5[[#This Row],[PID]],Table3[[#All],[PID]],0)))</f>
        <v>SP</v>
      </c>
      <c r="E588" s="52" t="str">
        <f>IF($C588="B",INDEX(Batters[[#All],[First]],MATCH(Table5[[#This Row],[PID]],Batters[[#All],[PID]],0)),INDEX(Table3[[#All],[First]],MATCH(Table5[[#This Row],[PID]],Table3[[#All],[PID]],0)))</f>
        <v>Scott</v>
      </c>
      <c r="F588" s="55" t="str">
        <f>IF($C588="B",INDEX(Batters[[#All],[Last]],MATCH(A588,Batters[[#All],[PID]],0)),INDEX(Table3[[#All],[Last]],MATCH(A588,Table3[[#All],[PID]],0)))</f>
        <v>Begley</v>
      </c>
      <c r="G588" s="56">
        <f>IF($C588="B",INDEX(Batters[[#All],[Age]],MATCH(Table5[[#This Row],[PID]],Batters[[#All],[PID]],0)),INDEX(Table3[[#All],[Age]],MATCH(Table5[[#This Row],[PID]],Table3[[#All],[PID]],0)))</f>
        <v>21</v>
      </c>
      <c r="H588" s="52" t="str">
        <f>IF($C588="B",INDEX(Batters[[#All],[B]],MATCH(Table5[[#This Row],[PID]],Batters[[#All],[PID]],0)),INDEX(Table3[[#All],[B]],MATCH(Table5[[#This Row],[PID]],Table3[[#All],[PID]],0)))</f>
        <v>L</v>
      </c>
      <c r="I588" s="52" t="str">
        <f>IF($C588="B",INDEX(Batters[[#All],[T]],MATCH(Table5[[#This Row],[PID]],Batters[[#All],[PID]],0)),INDEX(Table3[[#All],[T]],MATCH(Table5[[#This Row],[PID]],Table3[[#All],[PID]],0)))</f>
        <v>L</v>
      </c>
      <c r="J588" s="71" t="str">
        <f>IF($C588="B",INDEX(Batters[[#All],[WE]],MATCH(Table5[[#This Row],[PID]],Batters[[#All],[PID]],0)),INDEX(Table3[[#All],[WE]],MATCH(Table5[[#This Row],[PID]],Table3[[#All],[PID]],0)))</f>
        <v>Low</v>
      </c>
      <c r="K588" s="52" t="str">
        <f>IF($C588="B",INDEX(Batters[[#All],[INT]],MATCH(Table5[[#This Row],[PID]],Batters[[#All],[PID]],0)),INDEX(Table3[[#All],[INT]],MATCH(Table5[[#This Row],[PID]],Table3[[#All],[PID]],0)))</f>
        <v>Normal</v>
      </c>
      <c r="L588" s="60">
        <f>IF($C588="B",INDEX(Batters[[#All],[CON P]],MATCH(Table5[[#This Row],[PID]],Batters[[#All],[PID]],0)),INDEX(Table3[[#All],[STU P]],MATCH(Table5[[#This Row],[PID]],Table3[[#All],[PID]],0)))</f>
        <v>4</v>
      </c>
      <c r="M588" s="72">
        <f>IF($C588="B",INDEX(Batters[[#All],[GAP P]],MATCH(Table5[[#This Row],[PID]],Batters[[#All],[PID]],0)),INDEX(Table3[[#All],[MOV P]],MATCH(Table5[[#This Row],[PID]],Table3[[#All],[PID]],0)))</f>
        <v>3</v>
      </c>
      <c r="N588" s="72">
        <f>IF($C588="B",INDEX(Batters[[#All],[POW P]],MATCH(Table5[[#This Row],[PID]],Batters[[#All],[PID]],0)),INDEX(Table3[[#All],[CON P]],MATCH(Table5[[#This Row],[PID]],Table3[[#All],[PID]],0)))</f>
        <v>4</v>
      </c>
      <c r="O588" s="72" t="str">
        <f>IF($C588="B",INDEX(Batters[[#All],[EYE P]],MATCH(Table5[[#This Row],[PID]],Batters[[#All],[PID]],0)),INDEX(Table3[[#All],[VELO]],MATCH(Table5[[#This Row],[PID]],Table3[[#All],[PID]],0)))</f>
        <v>87-89 Mph</v>
      </c>
      <c r="P588" s="56">
        <f>IF($C588="B",INDEX(Batters[[#All],[K P]],MATCH(Table5[[#This Row],[PID]],Batters[[#All],[PID]],0)),INDEX(Table3[[#All],[STM]],MATCH(Table5[[#This Row],[PID]],Table3[[#All],[PID]],0)))</f>
        <v>8</v>
      </c>
      <c r="Q588" s="61">
        <f>IF($C588="B",INDEX(Batters[[#All],[Tot]],MATCH(Table5[[#This Row],[PID]],Batters[[#All],[PID]],0)),INDEX(Table3[[#All],[Tot]],MATCH(Table5[[#This Row],[PID]],Table3[[#All],[PID]],0)))</f>
        <v>38.29178659830653</v>
      </c>
      <c r="R588" s="52">
        <f>IF($C588="B",INDEX(Batters[[#All],[zScore]],MATCH(Table5[[#This Row],[PID]],Batters[[#All],[PID]],0)),INDEX(Table3[[#All],[zScore]],MATCH(Table5[[#This Row],[PID]],Table3[[#All],[PID]],0)))</f>
        <v>0.16108276479482031</v>
      </c>
      <c r="S588" s="78" t="str">
        <f>IF($C588="B",INDEX(Batters[[#All],[DEM]],MATCH(Table5[[#This Row],[PID]],Batters[[#All],[PID]],0)),INDEX(Table3[[#All],[DEM]],MATCH(Table5[[#This Row],[PID]],Table3[[#All],[PID]],0)))</f>
        <v>-</v>
      </c>
      <c r="T588" s="75">
        <f>IF($C588="B",INDEX(Batters[[#All],[Rnk]],MATCH(Table5[[#This Row],[PID]],Batters[[#All],[PID]],0)),INDEX(Table3[[#All],[Rnk]],MATCH(Table5[[#This Row],[PID]],Table3[[#All],[PID]],0)))</f>
        <v>275</v>
      </c>
      <c r="U588" s="68">
        <f>IF($C588="B",VLOOKUP($A588,Bat!$A$4:$BA$1621,47,FALSE),VLOOKUP($A588,Pit!$A$4:$BF$1557,56,FALSE))</f>
        <v>0</v>
      </c>
      <c r="V588" s="50">
        <f>IF($C588="B",VLOOKUP($A588,Bat!$A$4:$BA$1621,48,FALSE),VLOOKUP($A588,Pit!$A$4:$BF$1557,57,FALSE))</f>
        <v>0</v>
      </c>
      <c r="W588" s="69">
        <f>Table5[[#This Row],[posRnk]]+Table5[[#This Row],[zRnk]]+IF($W$3&lt;&gt;Table5[[#This Row],[Type]],50,0)</f>
        <v>812</v>
      </c>
      <c r="X588" s="73">
        <f>RANK(Table5[[#This Row],[zScore]],Table5[[#All],[zScore]])</f>
        <v>487</v>
      </c>
      <c r="Y588" s="69">
        <f>IFERROR(INDEX(DraftResults[[#All],[OVR]],MATCH(Table5[[#This Row],[PID]],DraftResults[[#All],[Player ID]],0)),"")</f>
        <v>584</v>
      </c>
      <c r="Z58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8" s="69">
        <f>IFERROR(INDEX(DraftResults[[#All],[Pick in Round]],MATCH(Table5[[#This Row],[PID]],DraftResults[[#All],[Player ID]],0)),"")</f>
        <v>6</v>
      </c>
      <c r="AB588" s="69" t="str">
        <f>IFERROR(INDEX(DraftResults[[#All],[Team Name]],MATCH(Table5[[#This Row],[PID]],DraftResults[[#All],[Player ID]],0)),"")</f>
        <v>Manchester Maulers</v>
      </c>
      <c r="AC588" s="69">
        <f>IF(Table5[[#This Row],[Ovr]]="","",IF(Table5[[#This Row],[cmbList]]="","",Table5[[#This Row],[cmbList]]-Table5[[#This Row],[Ovr]]))</f>
        <v>228</v>
      </c>
      <c r="AD588" s="77" t="str">
        <f>IF(ISERROR(VLOOKUP($AB588&amp;"-"&amp;$E588&amp;" "&amp;F588,Bonuses!$B$1:$G$1006,4,FALSE)),"",INT(VLOOKUP($AB588&amp;"-"&amp;$E588&amp;" "&amp;$F588,Bonuses!$B$1:$G$1006,4,FALSE)))</f>
        <v/>
      </c>
      <c r="AE58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20.6 (584) - SP Scott Begley</v>
      </c>
    </row>
    <row r="589" spans="1:31" s="50" customFormat="1" x14ac:dyDescent="0.25">
      <c r="A589" s="68">
        <v>17578</v>
      </c>
      <c r="B589" s="69">
        <f>COUNTIF(Table5[PID],A589)</f>
        <v>1</v>
      </c>
      <c r="C589" s="69" t="str">
        <f>IF(COUNTIF(Table3[[#All],[PID]],A589)&gt;0,"P","B")</f>
        <v>P</v>
      </c>
      <c r="D589" s="59" t="str">
        <f>IF($C589="B",INDEX(Batters[[#All],[POS]],MATCH(Table5[[#This Row],[PID]],Batters[[#All],[PID]],0)),INDEX(Table3[[#All],[POS]],MATCH(Table5[[#This Row],[PID]],Table3[[#All],[PID]],0)))</f>
        <v>SP</v>
      </c>
      <c r="E589" s="52" t="str">
        <f>IF($C589="B",INDEX(Batters[[#All],[First]],MATCH(Table5[[#This Row],[PID]],Batters[[#All],[PID]],0)),INDEX(Table3[[#All],[First]],MATCH(Table5[[#This Row],[PID]],Table3[[#All],[PID]],0)))</f>
        <v>Drew</v>
      </c>
      <c r="F589" s="55" t="str">
        <f>IF($C589="B",INDEX(Batters[[#All],[Last]],MATCH(A589,Batters[[#All],[PID]],0)),INDEX(Table3[[#All],[Last]],MATCH(A589,Table3[[#All],[PID]],0)))</f>
        <v>Stephenson</v>
      </c>
      <c r="G589" s="56">
        <f>IF($C589="B",INDEX(Batters[[#All],[Age]],MATCH(Table5[[#This Row],[PID]],Batters[[#All],[PID]],0)),INDEX(Table3[[#All],[Age]],MATCH(Table5[[#This Row],[PID]],Table3[[#All],[PID]],0)))</f>
        <v>18</v>
      </c>
      <c r="H589" s="52" t="str">
        <f>IF($C589="B",INDEX(Batters[[#All],[B]],MATCH(Table5[[#This Row],[PID]],Batters[[#All],[PID]],0)),INDEX(Table3[[#All],[B]],MATCH(Table5[[#This Row],[PID]],Table3[[#All],[PID]],0)))</f>
        <v>L</v>
      </c>
      <c r="I589" s="52" t="str">
        <f>IF($C589="B",INDEX(Batters[[#All],[T]],MATCH(Table5[[#This Row],[PID]],Batters[[#All],[PID]],0)),INDEX(Table3[[#All],[T]],MATCH(Table5[[#This Row],[PID]],Table3[[#All],[PID]],0)))</f>
        <v>L</v>
      </c>
      <c r="J589" s="71" t="str">
        <f>IF($C589="B",INDEX(Batters[[#All],[WE]],MATCH(Table5[[#This Row],[PID]],Batters[[#All],[PID]],0)),INDEX(Table3[[#All],[WE]],MATCH(Table5[[#This Row],[PID]],Table3[[#All],[PID]],0)))</f>
        <v>Low</v>
      </c>
      <c r="K589" s="52" t="str">
        <f>IF($C589="B",INDEX(Batters[[#All],[INT]],MATCH(Table5[[#This Row],[PID]],Batters[[#All],[PID]],0)),INDEX(Table3[[#All],[INT]],MATCH(Table5[[#This Row],[PID]],Table3[[#All],[PID]],0)))</f>
        <v>Low</v>
      </c>
      <c r="L589" s="60">
        <f>IF($C589="B",INDEX(Batters[[#All],[CON P]],MATCH(Table5[[#This Row],[PID]],Batters[[#All],[PID]],0)),INDEX(Table3[[#All],[STU P]],MATCH(Table5[[#This Row],[PID]],Table3[[#All],[PID]],0)))</f>
        <v>4</v>
      </c>
      <c r="M589" s="72">
        <f>IF($C589="B",INDEX(Batters[[#All],[GAP P]],MATCH(Table5[[#This Row],[PID]],Batters[[#All],[PID]],0)),INDEX(Table3[[#All],[MOV P]],MATCH(Table5[[#This Row],[PID]],Table3[[#All],[PID]],0)))</f>
        <v>2</v>
      </c>
      <c r="N589" s="72">
        <f>IF($C589="B",INDEX(Batters[[#All],[POW P]],MATCH(Table5[[#This Row],[PID]],Batters[[#All],[PID]],0)),INDEX(Table3[[#All],[CON P]],MATCH(Table5[[#This Row],[PID]],Table3[[#All],[PID]],0)))</f>
        <v>3</v>
      </c>
      <c r="O589" s="72" t="str">
        <f>IF($C589="B",INDEX(Batters[[#All],[EYE P]],MATCH(Table5[[#This Row],[PID]],Batters[[#All],[PID]],0)),INDEX(Table3[[#All],[VELO]],MATCH(Table5[[#This Row],[PID]],Table3[[#All],[PID]],0)))</f>
        <v>92-94 Mph</v>
      </c>
      <c r="P589" s="56">
        <f>IF($C589="B",INDEX(Batters[[#All],[K P]],MATCH(Table5[[#This Row],[PID]],Batters[[#All],[PID]],0)),INDEX(Table3[[#All],[STM]],MATCH(Table5[[#This Row],[PID]],Table3[[#All],[PID]],0)))</f>
        <v>8</v>
      </c>
      <c r="Q589" s="61">
        <f>IF($C589="B",INDEX(Batters[[#All],[Tot]],MATCH(Table5[[#This Row],[PID]],Batters[[#All],[PID]],0)),INDEX(Table3[[#All],[Tot]],MATCH(Table5[[#This Row],[PID]],Table3[[#All],[PID]],0)))</f>
        <v>35.450874457299726</v>
      </c>
      <c r="R589" s="52">
        <f>IF($C589="B",INDEX(Batters[[#All],[zScore]],MATCH(Table5[[#This Row],[PID]],Batters[[#All],[PID]],0)),INDEX(Table3[[#All],[zScore]],MATCH(Table5[[#This Row],[PID]],Table3[[#All],[PID]],0)))</f>
        <v>-9.61409587472076E-2</v>
      </c>
      <c r="S589" s="78" t="str">
        <f>IF($C589="B",INDEX(Batters[[#All],[DEM]],MATCH(Table5[[#This Row],[PID]],Batters[[#All],[PID]],0)),INDEX(Table3[[#All],[DEM]],MATCH(Table5[[#This Row],[PID]],Table3[[#All],[PID]],0)))</f>
        <v>$80k</v>
      </c>
      <c r="T589" s="75">
        <f>IF($C589="B",INDEX(Batters[[#All],[Rnk]],MATCH(Table5[[#This Row],[PID]],Batters[[#All],[PID]],0)),INDEX(Table3[[#All],[Rnk]],MATCH(Table5[[#This Row],[PID]],Table3[[#All],[PID]],0)))</f>
        <v>338</v>
      </c>
      <c r="U589" s="68">
        <f>IF($C589="B",VLOOKUP($A589,Bat!$A$4:$BA$1621,47,FALSE),VLOOKUP($A589,Pit!$A$4:$BF$1557,56,FALSE))</f>
        <v>0</v>
      </c>
      <c r="V589" s="50">
        <f>IF($C589="B",VLOOKUP($A589,Bat!$A$4:$BA$1621,48,FALSE),VLOOKUP($A589,Pit!$A$4:$BF$1557,57,FALSE))</f>
        <v>0</v>
      </c>
      <c r="W589" s="69">
        <f>Table5[[#This Row],[posRnk]]+Table5[[#This Row],[zRnk]]+IF($W$3&lt;&gt;Table5[[#This Row],[Type]],50,0)</f>
        <v>985</v>
      </c>
      <c r="X589" s="73">
        <f>RANK(Table5[[#This Row],[zScore]],Table5[[#All],[zScore]])</f>
        <v>597</v>
      </c>
      <c r="Y589" s="69">
        <f>IFERROR(INDEX(DraftResults[[#All],[OVR]],MATCH(Table5[[#This Row],[PID]],DraftResults[[#All],[Player ID]],0)),"")</f>
        <v>585</v>
      </c>
      <c r="Z58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89" s="69">
        <f>IFERROR(INDEX(DraftResults[[#All],[Pick in Round]],MATCH(Table5[[#This Row],[PID]],DraftResults[[#All],[Player ID]],0)),"")</f>
        <v>7</v>
      </c>
      <c r="AB589" s="69" t="str">
        <f>IFERROR(INDEX(DraftResults[[#All],[Team Name]],MATCH(Table5[[#This Row],[PID]],DraftResults[[#All],[Player ID]],0)),"")</f>
        <v>Niihama-shi Ghosts</v>
      </c>
      <c r="AC589" s="69">
        <f>IF(Table5[[#This Row],[Ovr]]="","",IF(Table5[[#This Row],[cmbList]]="","",Table5[[#This Row],[cmbList]]-Table5[[#This Row],[Ovr]]))</f>
        <v>400</v>
      </c>
      <c r="AD589" s="77" t="str">
        <f>IF(ISERROR(VLOOKUP($AB589&amp;"-"&amp;$E589&amp;" "&amp;F589,Bonuses!$B$1:$G$1006,4,FALSE)),"",INT(VLOOKUP($AB589&amp;"-"&amp;$E589&amp;" "&amp;$F589,Bonuses!$B$1:$G$1006,4,FALSE)))</f>
        <v/>
      </c>
      <c r="AE58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20.7 (585) - SP Drew Stephenson</v>
      </c>
    </row>
    <row r="590" spans="1:31" s="50" customFormat="1" x14ac:dyDescent="0.25">
      <c r="A590" s="68">
        <v>20240</v>
      </c>
      <c r="B590" s="69">
        <f>COUNTIF(Table5[PID],A590)</f>
        <v>1</v>
      </c>
      <c r="C590" s="69" t="str">
        <f>IF(COUNTIF(Table3[[#All],[PID]],A590)&gt;0,"P","B")</f>
        <v>P</v>
      </c>
      <c r="D590" s="59" t="str">
        <f>IF($C590="B",INDEX(Batters[[#All],[POS]],MATCH(Table5[[#This Row],[PID]],Batters[[#All],[PID]],0)),INDEX(Table3[[#All],[POS]],MATCH(Table5[[#This Row],[PID]],Table3[[#All],[PID]],0)))</f>
        <v>SP</v>
      </c>
      <c r="E590" s="52" t="str">
        <f>IF($C590="B",INDEX(Batters[[#All],[First]],MATCH(Table5[[#This Row],[PID]],Batters[[#All],[PID]],0)),INDEX(Table3[[#All],[First]],MATCH(Table5[[#This Row],[PID]],Table3[[#All],[PID]],0)))</f>
        <v>Todd</v>
      </c>
      <c r="F590" s="55" t="str">
        <f>IF($C590="B",INDEX(Batters[[#All],[Last]],MATCH(A590,Batters[[#All],[PID]],0)),INDEX(Table3[[#All],[Last]],MATCH(A590,Table3[[#All],[PID]],0)))</f>
        <v>Stockley</v>
      </c>
      <c r="G590" s="56">
        <f>IF($C590="B",INDEX(Batters[[#All],[Age]],MATCH(Table5[[#This Row],[PID]],Batters[[#All],[PID]],0)),INDEX(Table3[[#All],[Age]],MATCH(Table5[[#This Row],[PID]],Table3[[#All],[PID]],0)))</f>
        <v>22</v>
      </c>
      <c r="H590" s="52" t="str">
        <f>IF($C590="B",INDEX(Batters[[#All],[B]],MATCH(Table5[[#This Row],[PID]],Batters[[#All],[PID]],0)),INDEX(Table3[[#All],[B]],MATCH(Table5[[#This Row],[PID]],Table3[[#All],[PID]],0)))</f>
        <v>R</v>
      </c>
      <c r="I590" s="52" t="str">
        <f>IF($C590="B",INDEX(Batters[[#All],[T]],MATCH(Table5[[#This Row],[PID]],Batters[[#All],[PID]],0)),INDEX(Table3[[#All],[T]],MATCH(Table5[[#This Row],[PID]],Table3[[#All],[PID]],0)))</f>
        <v>R</v>
      </c>
      <c r="J590" s="71" t="str">
        <f>IF($C590="B",INDEX(Batters[[#All],[WE]],MATCH(Table5[[#This Row],[PID]],Batters[[#All],[PID]],0)),INDEX(Table3[[#All],[WE]],MATCH(Table5[[#This Row],[PID]],Table3[[#All],[PID]],0)))</f>
        <v>Low</v>
      </c>
      <c r="K590" s="52" t="str">
        <f>IF($C590="B",INDEX(Batters[[#All],[INT]],MATCH(Table5[[#This Row],[PID]],Batters[[#All],[PID]],0)),INDEX(Table3[[#All],[INT]],MATCH(Table5[[#This Row],[PID]],Table3[[#All],[PID]],0)))</f>
        <v>Normal</v>
      </c>
      <c r="L590" s="60">
        <f>IF($C590="B",INDEX(Batters[[#All],[CON P]],MATCH(Table5[[#This Row],[PID]],Batters[[#All],[PID]],0)),INDEX(Table3[[#All],[STU P]],MATCH(Table5[[#This Row],[PID]],Table3[[#All],[PID]],0)))</f>
        <v>4</v>
      </c>
      <c r="M590" s="72">
        <f>IF($C590="B",INDEX(Batters[[#All],[GAP P]],MATCH(Table5[[#This Row],[PID]],Batters[[#All],[PID]],0)),INDEX(Table3[[#All],[MOV P]],MATCH(Table5[[#This Row],[PID]],Table3[[#All],[PID]],0)))</f>
        <v>2</v>
      </c>
      <c r="N590" s="72">
        <f>IF($C590="B",INDEX(Batters[[#All],[POW P]],MATCH(Table5[[#This Row],[PID]],Batters[[#All],[PID]],0)),INDEX(Table3[[#All],[CON P]],MATCH(Table5[[#This Row],[PID]],Table3[[#All],[PID]],0)))</f>
        <v>3</v>
      </c>
      <c r="O590" s="72" t="str">
        <f>IF($C590="B",INDEX(Batters[[#All],[EYE P]],MATCH(Table5[[#This Row],[PID]],Batters[[#All],[PID]],0)),INDEX(Table3[[#All],[VELO]],MATCH(Table5[[#This Row],[PID]],Table3[[#All],[PID]],0)))</f>
        <v>91-93 Mph</v>
      </c>
      <c r="P590" s="56">
        <f>IF($C590="B",INDEX(Batters[[#All],[K P]],MATCH(Table5[[#This Row],[PID]],Batters[[#All],[PID]],0)),INDEX(Table3[[#All],[STM]],MATCH(Table5[[#This Row],[PID]],Table3[[#All],[PID]],0)))</f>
        <v>9</v>
      </c>
      <c r="Q590" s="61">
        <f>IF($C590="B",INDEX(Batters[[#All],[Tot]],MATCH(Table5[[#This Row],[PID]],Batters[[#All],[PID]],0)),INDEX(Table3[[#All],[Tot]],MATCH(Table5[[#This Row],[PID]],Table3[[#All],[PID]],0)))</f>
        <v>29.338276835412387</v>
      </c>
      <c r="R590" s="52">
        <f>IF($C590="B",INDEX(Batters[[#All],[zScore]],MATCH(Table5[[#This Row],[PID]],Batters[[#All],[PID]],0)),INDEX(Table3[[#All],[zScore]],MATCH(Table5[[#This Row],[PID]],Table3[[#All],[PID]],0)))</f>
        <v>-0.53846359288820356</v>
      </c>
      <c r="S590" s="78" t="str">
        <f>IF($C590="B",INDEX(Batters[[#All],[DEM]],MATCH(Table5[[#This Row],[PID]],Batters[[#All],[PID]],0)),INDEX(Table3[[#All],[DEM]],MATCH(Table5[[#This Row],[PID]],Table3[[#All],[PID]],0)))</f>
        <v>-</v>
      </c>
      <c r="T590" s="75">
        <f>IF($C590="B",INDEX(Batters[[#All],[Rnk]],MATCH(Table5[[#This Row],[PID]],Batters[[#All],[PID]],0)),INDEX(Table3[[#All],[Rnk]],MATCH(Table5[[#This Row],[PID]],Table3[[#All],[PID]],0)))</f>
        <v>537</v>
      </c>
      <c r="U590" s="68">
        <f>IF($C590="B",VLOOKUP($A590,Bat!$A$4:$BA$1621,47,FALSE),VLOOKUP($A590,Pit!$A$4:$BF$1557,56,FALSE))</f>
        <v>0</v>
      </c>
      <c r="V590" s="50">
        <f>IF($C590="B",VLOOKUP($A590,Bat!$A$4:$BA$1621,48,FALSE),VLOOKUP($A590,Pit!$A$4:$BF$1557,57,FALSE))</f>
        <v>0</v>
      </c>
      <c r="W590" s="69">
        <f>Table5[[#This Row],[posRnk]]+Table5[[#This Row],[zRnk]]+IF($W$3&lt;&gt;Table5[[#This Row],[Type]],50,0)</f>
        <v>1468</v>
      </c>
      <c r="X590" s="73">
        <f>RANK(Table5[[#This Row],[zScore]],Table5[[#All],[zScore]])</f>
        <v>881</v>
      </c>
      <c r="Y590" s="69">
        <f>IFERROR(INDEX(DraftResults[[#All],[OVR]],MATCH(Table5[[#This Row],[PID]],DraftResults[[#All],[Player ID]],0)),"")</f>
        <v>586</v>
      </c>
      <c r="Z59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0" s="69">
        <f>IFERROR(INDEX(DraftResults[[#All],[Pick in Round]],MATCH(Table5[[#This Row],[PID]],DraftResults[[#All],[Player ID]],0)),"")</f>
        <v>8</v>
      </c>
      <c r="AB590" s="69" t="str">
        <f>IFERROR(INDEX(DraftResults[[#All],[Team Name]],MATCH(Table5[[#This Row],[PID]],DraftResults[[#All],[Player ID]],0)),"")</f>
        <v>London Underground</v>
      </c>
      <c r="AC590" s="69">
        <f>IF(Table5[[#This Row],[Ovr]]="","",IF(Table5[[#This Row],[cmbList]]="","",Table5[[#This Row],[cmbList]]-Table5[[#This Row],[Ovr]]))</f>
        <v>882</v>
      </c>
      <c r="AD590" s="77" t="str">
        <f>IF(ISERROR(VLOOKUP($AB590&amp;"-"&amp;$E590&amp;" "&amp;F590,Bonuses!$B$1:$G$1006,4,FALSE)),"",INT(VLOOKUP($AB590&amp;"-"&amp;$E590&amp;" "&amp;$F590,Bonuses!$B$1:$G$1006,4,FALSE)))</f>
        <v/>
      </c>
      <c r="AE59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20.8 (586) - SP Todd Stockley</v>
      </c>
    </row>
    <row r="591" spans="1:31" s="50" customFormat="1" x14ac:dyDescent="0.25">
      <c r="A591" s="68">
        <v>18353</v>
      </c>
      <c r="B591" s="69">
        <f>COUNTIF(Table5[PID],A591)</f>
        <v>1</v>
      </c>
      <c r="C591" s="69" t="str">
        <f>IF(COUNTIF(Table3[[#All],[PID]],A591)&gt;0,"P","B")</f>
        <v>P</v>
      </c>
      <c r="D591" s="59" t="str">
        <f>IF($C591="B",INDEX(Batters[[#All],[POS]],MATCH(Table5[[#This Row],[PID]],Batters[[#All],[PID]],0)),INDEX(Table3[[#All],[POS]],MATCH(Table5[[#This Row],[PID]],Table3[[#All],[PID]],0)))</f>
        <v>SP</v>
      </c>
      <c r="E591" s="52" t="str">
        <f>IF($C591="B",INDEX(Batters[[#All],[First]],MATCH(Table5[[#This Row],[PID]],Batters[[#All],[PID]],0)),INDEX(Table3[[#All],[First]],MATCH(Table5[[#This Row],[PID]],Table3[[#All],[PID]],0)))</f>
        <v>Masayuki</v>
      </c>
      <c r="F591" s="55" t="str">
        <f>IF($C591="B",INDEX(Batters[[#All],[Last]],MATCH(A591,Batters[[#All],[PID]],0)),INDEX(Table3[[#All],[Last]],MATCH(A591,Table3[[#All],[PID]],0)))</f>
        <v>Tashima</v>
      </c>
      <c r="G591" s="56">
        <f>IF($C591="B",INDEX(Batters[[#All],[Age]],MATCH(Table5[[#This Row],[PID]],Batters[[#All],[PID]],0)),INDEX(Table3[[#All],[Age]],MATCH(Table5[[#This Row],[PID]],Table3[[#All],[PID]],0)))</f>
        <v>18</v>
      </c>
      <c r="H591" s="52" t="str">
        <f>IF($C591="B",INDEX(Batters[[#All],[B]],MATCH(Table5[[#This Row],[PID]],Batters[[#All],[PID]],0)),INDEX(Table3[[#All],[B]],MATCH(Table5[[#This Row],[PID]],Table3[[#All],[PID]],0)))</f>
        <v>S</v>
      </c>
      <c r="I591" s="52" t="str">
        <f>IF($C591="B",INDEX(Batters[[#All],[T]],MATCH(Table5[[#This Row],[PID]],Batters[[#All],[PID]],0)),INDEX(Table3[[#All],[T]],MATCH(Table5[[#This Row],[PID]],Table3[[#All],[PID]],0)))</f>
        <v>R</v>
      </c>
      <c r="J591" s="71" t="str">
        <f>IF($C591="B",INDEX(Batters[[#All],[WE]],MATCH(Table5[[#This Row],[PID]],Batters[[#All],[PID]],0)),INDEX(Table3[[#All],[WE]],MATCH(Table5[[#This Row],[PID]],Table3[[#All],[PID]],0)))</f>
        <v>High</v>
      </c>
      <c r="K591" s="52" t="str">
        <f>IF($C591="B",INDEX(Batters[[#All],[INT]],MATCH(Table5[[#This Row],[PID]],Batters[[#All],[PID]],0)),INDEX(Table3[[#All],[INT]],MATCH(Table5[[#This Row],[PID]],Table3[[#All],[PID]],0)))</f>
        <v>Normal</v>
      </c>
      <c r="L591" s="60">
        <f>IF($C591="B",INDEX(Batters[[#All],[CON P]],MATCH(Table5[[#This Row],[PID]],Batters[[#All],[PID]],0)),INDEX(Table3[[#All],[STU P]],MATCH(Table5[[#This Row],[PID]],Table3[[#All],[PID]],0)))</f>
        <v>4</v>
      </c>
      <c r="M591" s="72">
        <f>IF($C591="B",INDEX(Batters[[#All],[GAP P]],MATCH(Table5[[#This Row],[PID]],Batters[[#All],[PID]],0)),INDEX(Table3[[#All],[MOV P]],MATCH(Table5[[#This Row],[PID]],Table3[[#All],[PID]],0)))</f>
        <v>4</v>
      </c>
      <c r="N591" s="72">
        <f>IF($C591="B",INDEX(Batters[[#All],[POW P]],MATCH(Table5[[#This Row],[PID]],Batters[[#All],[PID]],0)),INDEX(Table3[[#All],[CON P]],MATCH(Table5[[#This Row],[PID]],Table3[[#All],[PID]],0)))</f>
        <v>5</v>
      </c>
      <c r="O591" s="72" t="str">
        <f>IF($C591="B",INDEX(Batters[[#All],[EYE P]],MATCH(Table5[[#This Row],[PID]],Batters[[#All],[PID]],0)),INDEX(Table3[[#All],[VELO]],MATCH(Table5[[#This Row],[PID]],Table3[[#All],[PID]],0)))</f>
        <v>87-89 Mph</v>
      </c>
      <c r="P591" s="56">
        <f>IF($C591="B",INDEX(Batters[[#All],[K P]],MATCH(Table5[[#This Row],[PID]],Batters[[#All],[PID]],0)),INDEX(Table3[[#All],[STM]],MATCH(Table5[[#This Row],[PID]],Table3[[#All],[PID]],0)))</f>
        <v>5</v>
      </c>
      <c r="Q591" s="61">
        <f>IF($C591="B",INDEX(Batters[[#All],[Tot]],MATCH(Table5[[#This Row],[PID]],Batters[[#All],[PID]],0)),INDEX(Table3[[#All],[Tot]],MATCH(Table5[[#This Row],[PID]],Table3[[#All],[PID]],0)))</f>
        <v>51.58723182523152</v>
      </c>
      <c r="R591" s="52">
        <f>IF($C591="B",INDEX(Batters[[#All],[zScore]],MATCH(Table5[[#This Row],[PID]],Batters[[#All],[PID]],0)),INDEX(Table3[[#All],[zScore]],MATCH(Table5[[#This Row],[PID]],Table3[[#All],[PID]],0)))</f>
        <v>1.0456084188547285</v>
      </c>
      <c r="S591" s="78" t="str">
        <f>IF($C591="B",INDEX(Batters[[#All],[DEM]],MATCH(Table5[[#This Row],[PID]],Batters[[#All],[PID]],0)),INDEX(Table3[[#All],[DEM]],MATCH(Table5[[#This Row],[PID]],Table3[[#All],[PID]],0)))</f>
        <v>$200k</v>
      </c>
      <c r="T591" s="75">
        <f>IF($C591="B",INDEX(Batters[[#All],[Rnk]],MATCH(Table5[[#This Row],[PID]],Batters[[#All],[PID]],0)),INDEX(Table3[[#All],[Rnk]],MATCH(Table5[[#This Row],[PID]],Table3[[#All],[PID]],0)))</f>
        <v>133</v>
      </c>
      <c r="U591" s="68">
        <f>IF($C591="B",VLOOKUP($A591,Bat!$A$4:$BA$1621,47,FALSE),VLOOKUP($A591,Pit!$A$4:$BF$1557,56,FALSE))</f>
        <v>0</v>
      </c>
      <c r="V591" s="50">
        <f>IF($C591="B",VLOOKUP($A591,Bat!$A$4:$BA$1621,48,FALSE),VLOOKUP($A591,Pit!$A$4:$BF$1557,57,FALSE))</f>
        <v>0</v>
      </c>
      <c r="W591" s="69">
        <f>Table5[[#This Row],[posRnk]]+Table5[[#This Row],[zRnk]]+IF($W$3&lt;&gt;Table5[[#This Row],[Type]],50,0)</f>
        <v>402</v>
      </c>
      <c r="X591" s="73">
        <f>RANK(Table5[[#This Row],[zScore]],Table5[[#All],[zScore]])</f>
        <v>219</v>
      </c>
      <c r="Y591" s="69">
        <f>IFERROR(INDEX(DraftResults[[#All],[OVR]],MATCH(Table5[[#This Row],[PID]],DraftResults[[#All],[Player ID]],0)),"")</f>
        <v>587</v>
      </c>
      <c r="Z59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1" s="69">
        <f>IFERROR(INDEX(DraftResults[[#All],[Pick in Round]],MATCH(Table5[[#This Row],[PID]],DraftResults[[#All],[Player ID]],0)),"")</f>
        <v>9</v>
      </c>
      <c r="AB591" s="69" t="str">
        <f>IFERROR(INDEX(DraftResults[[#All],[Team Name]],MATCH(Table5[[#This Row],[PID]],DraftResults[[#All],[Player ID]],0)),"")</f>
        <v>Scottish Claymores</v>
      </c>
      <c r="AC591" s="69">
        <f>IF(Table5[[#This Row],[Ovr]]="","",IF(Table5[[#This Row],[cmbList]]="","",Table5[[#This Row],[cmbList]]-Table5[[#This Row],[Ovr]]))</f>
        <v>-185</v>
      </c>
      <c r="AD591" s="77" t="str">
        <f>IF(ISERROR(VLOOKUP($AB591&amp;"-"&amp;$E591&amp;" "&amp;F591,Bonuses!$B$1:$G$1006,4,FALSE)),"",INT(VLOOKUP($AB591&amp;"-"&amp;$E591&amp;" "&amp;$F591,Bonuses!$B$1:$G$1006,4,FALSE)))</f>
        <v/>
      </c>
      <c r="AE59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20.9 (587) - SP Masayuki Tashima</v>
      </c>
    </row>
    <row r="592" spans="1:31" s="50" customFormat="1" x14ac:dyDescent="0.25">
      <c r="A592" s="50">
        <v>18317</v>
      </c>
      <c r="B592" s="50">
        <f>COUNTIF(Table5[PID],A592)</f>
        <v>1</v>
      </c>
      <c r="C592" s="50" t="str">
        <f>IF(COUNTIF(Table3[[#All],[PID]],A592)&gt;0,"P","B")</f>
        <v>B</v>
      </c>
      <c r="D592" s="59" t="str">
        <f>IF($C592="B",INDEX(Batters[[#All],[POS]],MATCH(Table5[[#This Row],[PID]],Batters[[#All],[PID]],0)),INDEX(Table3[[#All],[POS]],MATCH(Table5[[#This Row],[PID]],Table3[[#All],[PID]],0)))</f>
        <v>LF</v>
      </c>
      <c r="E592" s="52" t="str">
        <f>IF($C592="B",INDEX(Batters[[#All],[First]],MATCH(Table5[[#This Row],[PID]],Batters[[#All],[PID]],0)),INDEX(Table3[[#All],[First]],MATCH(Table5[[#This Row],[PID]],Table3[[#All],[PID]],0)))</f>
        <v>Kieran</v>
      </c>
      <c r="F592" s="50" t="str">
        <f>IF($C592="B",INDEX(Batters[[#All],[Last]],MATCH(A592,Batters[[#All],[PID]],0)),INDEX(Table3[[#All],[Last]],MATCH(A592,Table3[[#All],[PID]],0)))</f>
        <v>Stickells</v>
      </c>
      <c r="G592" s="56">
        <f>IF($C592="B",INDEX(Batters[[#All],[Age]],MATCH(Table5[[#This Row],[PID]],Batters[[#All],[PID]],0)),INDEX(Table3[[#All],[Age]],MATCH(Table5[[#This Row],[PID]],Table3[[#All],[PID]],0)))</f>
        <v>21</v>
      </c>
      <c r="H592" s="52" t="str">
        <f>IF($C592="B",INDEX(Batters[[#All],[B]],MATCH(Table5[[#This Row],[PID]],Batters[[#All],[PID]],0)),INDEX(Table3[[#All],[B]],MATCH(Table5[[#This Row],[PID]],Table3[[#All],[PID]],0)))</f>
        <v>S</v>
      </c>
      <c r="I592" s="52" t="str">
        <f>IF($C592="B",INDEX(Batters[[#All],[T]],MATCH(Table5[[#This Row],[PID]],Batters[[#All],[PID]],0)),INDEX(Table3[[#All],[T]],MATCH(Table5[[#This Row],[PID]],Table3[[#All],[PID]],0)))</f>
        <v>L</v>
      </c>
      <c r="J592" s="52" t="str">
        <f>IF($C592="B",INDEX(Batters[[#All],[WE]],MATCH(Table5[[#This Row],[PID]],Batters[[#All],[PID]],0)),INDEX(Table3[[#All],[WE]],MATCH(Table5[[#This Row],[PID]],Table3[[#All],[PID]],0)))</f>
        <v>Normal</v>
      </c>
      <c r="K592" s="52" t="str">
        <f>IF($C592="B",INDEX(Batters[[#All],[INT]],MATCH(Table5[[#This Row],[PID]],Batters[[#All],[PID]],0)),INDEX(Table3[[#All],[INT]],MATCH(Table5[[#This Row],[PID]],Table3[[#All],[PID]],0)))</f>
        <v>High</v>
      </c>
      <c r="L592" s="60">
        <f>IF($C592="B",INDEX(Batters[[#All],[CON P]],MATCH(Table5[[#This Row],[PID]],Batters[[#All],[PID]],0)),INDEX(Table3[[#All],[STU P]],MATCH(Table5[[#This Row],[PID]],Table3[[#All],[PID]],0)))</f>
        <v>3</v>
      </c>
      <c r="M592" s="56">
        <f>IF($C592="B",INDEX(Batters[[#All],[GAP P]],MATCH(Table5[[#This Row],[PID]],Batters[[#All],[PID]],0)),INDEX(Table3[[#All],[MOV P]],MATCH(Table5[[#This Row],[PID]],Table3[[#All],[PID]],0)))</f>
        <v>4</v>
      </c>
      <c r="N592" s="56">
        <f>IF($C592="B",INDEX(Batters[[#All],[POW P]],MATCH(Table5[[#This Row],[PID]],Batters[[#All],[PID]],0)),INDEX(Table3[[#All],[CON P]],MATCH(Table5[[#This Row],[PID]],Table3[[#All],[PID]],0)))</f>
        <v>3</v>
      </c>
      <c r="O592" s="56">
        <f>IF($C592="B",INDEX(Batters[[#All],[EYE P]],MATCH(Table5[[#This Row],[PID]],Batters[[#All],[PID]],0)),INDEX(Table3[[#All],[VELO]],MATCH(Table5[[#This Row],[PID]],Table3[[#All],[PID]],0)))</f>
        <v>6</v>
      </c>
      <c r="P592" s="56">
        <f>IF($C592="B",INDEX(Batters[[#All],[K P]],MATCH(Table5[[#This Row],[PID]],Batters[[#All],[PID]],0)),INDEX(Table3[[#All],[STM]],MATCH(Table5[[#This Row],[PID]],Table3[[#All],[PID]],0)))</f>
        <v>3</v>
      </c>
      <c r="Q592" s="61">
        <f>IF($C592="B",INDEX(Batters[[#All],[Tot]],MATCH(Table5[[#This Row],[PID]],Batters[[#All],[PID]],0)),INDEX(Table3[[#All],[Tot]],MATCH(Table5[[#This Row],[PID]],Table3[[#All],[PID]],0)))</f>
        <v>38.264708271667395</v>
      </c>
      <c r="R592" s="52">
        <f>IF($C592="B",INDEX(Batters[[#All],[zScore]],MATCH(Table5[[#This Row],[PID]],Batters[[#All],[PID]],0)),INDEX(Table3[[#All],[zScore]],MATCH(Table5[[#This Row],[PID]],Table3[[#All],[PID]],0)))</f>
        <v>-1.3008048712615525</v>
      </c>
      <c r="S592" s="58" t="str">
        <f>IF($C592="B",INDEX(Batters[[#All],[DEM]],MATCH(Table5[[#This Row],[PID]],Batters[[#All],[PID]],0)),INDEX(Table3[[#All],[DEM]],MATCH(Table5[[#This Row],[PID]],Table3[[#All],[PID]],0)))</f>
        <v>-</v>
      </c>
      <c r="T592" s="62">
        <f>IF($C592="B",INDEX(Batters[[#All],[Rnk]],MATCH(Table5[[#This Row],[PID]],Batters[[#All],[PID]],0)),INDEX(Table3[[#All],[Rnk]],MATCH(Table5[[#This Row],[PID]],Table3[[#All],[PID]],0)))</f>
        <v>487</v>
      </c>
      <c r="U592" s="68">
        <f>IF($C592="B",VLOOKUP($A592,Bat!$A$4:$BA$1621,47,FALSE),VLOOKUP($A592,Pit!$A$4:$BF$1557,56,FALSE))</f>
        <v>0</v>
      </c>
      <c r="V592" s="50">
        <f>IF($C592="B",VLOOKUP($A592,Bat!$A$4:$BA$1621,48,FALSE),VLOOKUP($A592,Pit!$A$4:$BF$1557,57,FALSE))</f>
        <v>0</v>
      </c>
      <c r="W592" s="50">
        <f>Table5[[#This Row],[posRnk]]+Table5[[#This Row],[zRnk]]+IF($W$3&lt;&gt;Table5[[#This Row],[Type]],50,0)</f>
        <v>1778</v>
      </c>
      <c r="X592" s="51">
        <f>RANK(Table5[[#This Row],[zScore]],Table5[[#All],[zScore]])</f>
        <v>1241</v>
      </c>
      <c r="Y592" s="50">
        <f>IFERROR(INDEX(DraftResults[[#All],[OVR]],MATCH(Table5[[#This Row],[PID]],DraftResults[[#All],[Player ID]],0)),"")</f>
        <v>588</v>
      </c>
      <c r="Z5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2" s="50">
        <f>IFERROR(INDEX(DraftResults[[#All],[Pick in Round]],MATCH(Table5[[#This Row],[PID]],DraftResults[[#All],[Player ID]],0)),"")</f>
        <v>10</v>
      </c>
      <c r="AB592" s="50" t="str">
        <f>IFERROR(INDEX(DraftResults[[#All],[Team Name]],MATCH(Table5[[#This Row],[PID]],DraftResults[[#All],[Player ID]],0)),"")</f>
        <v>Hartford Harpoon</v>
      </c>
      <c r="AC592" s="50">
        <f>IF(Table5[[#This Row],[Ovr]]="","",IF(Table5[[#This Row],[cmbList]]="","",Table5[[#This Row],[cmbList]]-Table5[[#This Row],[Ovr]]))</f>
        <v>1190</v>
      </c>
      <c r="AD592" s="54" t="str">
        <f>IF(ISERROR(VLOOKUP($AB592&amp;"-"&amp;$E592&amp;" "&amp;F592,Bonuses!$B$1:$G$1006,4,FALSE)),"",INT(VLOOKUP($AB592&amp;"-"&amp;$E592&amp;" "&amp;$F592,Bonuses!$B$1:$G$1006,4,FALSE)))</f>
        <v/>
      </c>
      <c r="AE5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20.10 (588) - LF Kieran Stickells</v>
      </c>
    </row>
    <row r="593" spans="1:31" s="50" customFormat="1" x14ac:dyDescent="0.25">
      <c r="A593" s="50">
        <v>15085</v>
      </c>
      <c r="B593" s="50">
        <f>COUNTIF(Table5[PID],A593)</f>
        <v>1</v>
      </c>
      <c r="C593" s="50" t="str">
        <f>IF(COUNTIF(Table3[[#All],[PID]],A593)&gt;0,"P","B")</f>
        <v>B</v>
      </c>
      <c r="D593" s="59" t="str">
        <f>IF($C593="B",INDEX(Batters[[#All],[POS]],MATCH(Table5[[#This Row],[PID]],Batters[[#All],[PID]],0)),INDEX(Table3[[#All],[POS]],MATCH(Table5[[#This Row],[PID]],Table3[[#All],[PID]],0)))</f>
        <v>3B</v>
      </c>
      <c r="E593" s="52" t="str">
        <f>IF($C593="B",INDEX(Batters[[#All],[First]],MATCH(Table5[[#This Row],[PID]],Batters[[#All],[PID]],0)),INDEX(Table3[[#All],[First]],MATCH(Table5[[#This Row],[PID]],Table3[[#All],[PID]],0)))</f>
        <v>José</v>
      </c>
      <c r="F593" s="50" t="str">
        <f>IF($C593="B",INDEX(Batters[[#All],[Last]],MATCH(A593,Batters[[#All],[PID]],0)),INDEX(Table3[[#All],[Last]],MATCH(A593,Table3[[#All],[PID]],0)))</f>
        <v>Torres</v>
      </c>
      <c r="G593" s="56">
        <f>IF($C593="B",INDEX(Batters[[#All],[Age]],MATCH(Table5[[#This Row],[PID]],Batters[[#All],[PID]],0)),INDEX(Table3[[#All],[Age]],MATCH(Table5[[#This Row],[PID]],Table3[[#All],[PID]],0)))</f>
        <v>22</v>
      </c>
      <c r="H593" s="52" t="str">
        <f>IF($C593="B",INDEX(Batters[[#All],[B]],MATCH(Table5[[#This Row],[PID]],Batters[[#All],[PID]],0)),INDEX(Table3[[#All],[B]],MATCH(Table5[[#This Row],[PID]],Table3[[#All],[PID]],0)))</f>
        <v>R</v>
      </c>
      <c r="I593" s="52" t="str">
        <f>IF($C593="B",INDEX(Batters[[#All],[T]],MATCH(Table5[[#This Row],[PID]],Batters[[#All],[PID]],0)),INDEX(Table3[[#All],[T]],MATCH(Table5[[#This Row],[PID]],Table3[[#All],[PID]],0)))</f>
        <v>R</v>
      </c>
      <c r="J593" s="52" t="str">
        <f>IF($C593="B",INDEX(Batters[[#All],[WE]],MATCH(Table5[[#This Row],[PID]],Batters[[#All],[PID]],0)),INDEX(Table3[[#All],[WE]],MATCH(Table5[[#This Row],[PID]],Table3[[#All],[PID]],0)))</f>
        <v>Low</v>
      </c>
      <c r="K593" s="52" t="str">
        <f>IF($C593="B",INDEX(Batters[[#All],[INT]],MATCH(Table5[[#This Row],[PID]],Batters[[#All],[PID]],0)),INDEX(Table3[[#All],[INT]],MATCH(Table5[[#This Row],[PID]],Table3[[#All],[PID]],0)))</f>
        <v>Normal</v>
      </c>
      <c r="L593" s="60">
        <f>IF($C593="B",INDEX(Batters[[#All],[CON P]],MATCH(Table5[[#This Row],[PID]],Batters[[#All],[PID]],0)),INDEX(Table3[[#All],[STU P]],MATCH(Table5[[#This Row],[PID]],Table3[[#All],[PID]],0)))</f>
        <v>3</v>
      </c>
      <c r="M593" s="56">
        <f>IF($C593="B",INDEX(Batters[[#All],[GAP P]],MATCH(Table5[[#This Row],[PID]],Batters[[#All],[PID]],0)),INDEX(Table3[[#All],[MOV P]],MATCH(Table5[[#This Row],[PID]],Table3[[#All],[PID]],0)))</f>
        <v>4</v>
      </c>
      <c r="N593" s="56">
        <f>IF($C593="B",INDEX(Batters[[#All],[POW P]],MATCH(Table5[[#This Row],[PID]],Batters[[#All],[PID]],0)),INDEX(Table3[[#All],[CON P]],MATCH(Table5[[#This Row],[PID]],Table3[[#All],[PID]],0)))</f>
        <v>3</v>
      </c>
      <c r="O593" s="56">
        <f>IF($C593="B",INDEX(Batters[[#All],[EYE P]],MATCH(Table5[[#This Row],[PID]],Batters[[#All],[PID]],0)),INDEX(Table3[[#All],[VELO]],MATCH(Table5[[#This Row],[PID]],Table3[[#All],[PID]],0)))</f>
        <v>5</v>
      </c>
      <c r="P593" s="56">
        <f>IF($C593="B",INDEX(Batters[[#All],[K P]],MATCH(Table5[[#This Row],[PID]],Batters[[#All],[PID]],0)),INDEX(Table3[[#All],[STM]],MATCH(Table5[[#This Row],[PID]],Table3[[#All],[PID]],0)))</f>
        <v>3</v>
      </c>
      <c r="Q593" s="61">
        <f>IF($C593="B",INDEX(Batters[[#All],[Tot]],MATCH(Table5[[#This Row],[PID]],Batters[[#All],[PID]],0)),INDEX(Table3[[#All],[Tot]],MATCH(Table5[[#This Row],[PID]],Table3[[#All],[PID]],0)))</f>
        <v>36.390783395256257</v>
      </c>
      <c r="R593" s="52">
        <f>IF($C593="B",INDEX(Batters[[#All],[zScore]],MATCH(Table5[[#This Row],[PID]],Batters[[#All],[PID]],0)),INDEX(Table3[[#All],[zScore]],MATCH(Table5[[#This Row],[PID]],Table3[[#All],[PID]],0)))</f>
        <v>-1.7162666829185176</v>
      </c>
      <c r="S593" s="58" t="str">
        <f>IF($C593="B",INDEX(Batters[[#All],[DEM]],MATCH(Table5[[#This Row],[PID]],Batters[[#All],[PID]],0)),INDEX(Table3[[#All],[DEM]],MATCH(Table5[[#This Row],[PID]],Table3[[#All],[PID]],0)))</f>
        <v>-</v>
      </c>
      <c r="T593" s="62">
        <f>IF($C593="B",INDEX(Batters[[#All],[Rnk]],MATCH(Table5[[#This Row],[PID]],Batters[[#All],[PID]],0)),INDEX(Table3[[#All],[Rnk]],MATCH(Table5[[#This Row],[PID]],Table3[[#All],[PID]],0)))</f>
        <v>581</v>
      </c>
      <c r="U593" s="68">
        <f>IF($C593="B",VLOOKUP($A593,Bat!$A$4:$BA$1621,47,FALSE),VLOOKUP($A593,Pit!$A$4:$BF$1557,56,FALSE))</f>
        <v>0</v>
      </c>
      <c r="V593" s="50">
        <f>IF($C593="B",VLOOKUP($A593,Bat!$A$4:$BA$1621,48,FALSE),VLOOKUP($A593,Pit!$A$4:$BF$1557,57,FALSE))</f>
        <v>0</v>
      </c>
      <c r="W593" s="50">
        <f>Table5[[#This Row],[posRnk]]+Table5[[#This Row],[zRnk]]+IF($W$3&lt;&gt;Table5[[#This Row],[Type]],50,0)</f>
        <v>1989</v>
      </c>
      <c r="X593" s="51">
        <f>RANK(Table5[[#This Row],[zScore]],Table5[[#All],[zScore]])</f>
        <v>1358</v>
      </c>
      <c r="Y593" s="50">
        <f>IFERROR(INDEX(DraftResults[[#All],[OVR]],MATCH(Table5[[#This Row],[PID]],DraftResults[[#All],[Player ID]],0)),"")</f>
        <v>589</v>
      </c>
      <c r="Z5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3" s="50">
        <f>IFERROR(INDEX(DraftResults[[#All],[Pick in Round]],MATCH(Table5[[#This Row],[PID]],DraftResults[[#All],[Player ID]],0)),"")</f>
        <v>11</v>
      </c>
      <c r="AB593" s="50" t="str">
        <f>IFERROR(INDEX(DraftResults[[#All],[Team Name]],MATCH(Table5[[#This Row],[PID]],DraftResults[[#All],[Player ID]],0)),"")</f>
        <v>Duluth Warriors</v>
      </c>
      <c r="AC593" s="50">
        <f>IF(Table5[[#This Row],[Ovr]]="","",IF(Table5[[#This Row],[cmbList]]="","",Table5[[#This Row],[cmbList]]-Table5[[#This Row],[Ovr]]))</f>
        <v>1400</v>
      </c>
      <c r="AD593" s="54" t="str">
        <f>IF(ISERROR(VLOOKUP($AB593&amp;"-"&amp;$E593&amp;" "&amp;F593,Bonuses!$B$1:$G$1006,4,FALSE)),"",INT(VLOOKUP($AB593&amp;"-"&amp;$E593&amp;" "&amp;$F593,Bonuses!$B$1:$G$1006,4,FALSE)))</f>
        <v/>
      </c>
      <c r="AE5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20.11 (589) - 3B José Torres</v>
      </c>
    </row>
    <row r="594" spans="1:31" s="50" customFormat="1" x14ac:dyDescent="0.25">
      <c r="A594" s="50">
        <v>17852</v>
      </c>
      <c r="B594" s="55">
        <f>COUNTIF(Table5[PID],A594)</f>
        <v>1</v>
      </c>
      <c r="C594" s="55" t="str">
        <f>IF(COUNTIF(Table3[[#All],[PID]],A594)&gt;0,"P","B")</f>
        <v>B</v>
      </c>
      <c r="D594" s="59" t="str">
        <f>IF($C594="B",INDEX(Batters[[#All],[POS]],MATCH(Table5[[#This Row],[PID]],Batters[[#All],[PID]],0)),INDEX(Table3[[#All],[POS]],MATCH(Table5[[#This Row],[PID]],Table3[[#All],[PID]],0)))</f>
        <v>3B</v>
      </c>
      <c r="E594" s="52" t="str">
        <f>IF($C594="B",INDEX(Batters[[#All],[First]],MATCH(Table5[[#This Row],[PID]],Batters[[#All],[PID]],0)),INDEX(Table3[[#All],[First]],MATCH(Table5[[#This Row],[PID]],Table3[[#All],[PID]],0)))</f>
        <v>Kata</v>
      </c>
      <c r="F594" s="50" t="str">
        <f>IF($C594="B",INDEX(Batters[[#All],[Last]],MATCH(A594,Batters[[#All],[PID]],0)),INDEX(Table3[[#All],[Last]],MATCH(A594,Table3[[#All],[PID]],0)))</f>
        <v>Noguchi</v>
      </c>
      <c r="G594" s="56">
        <f>IF($C594="B",INDEX(Batters[[#All],[Age]],MATCH(Table5[[#This Row],[PID]],Batters[[#All],[PID]],0)),INDEX(Table3[[#All],[Age]],MATCH(Table5[[#This Row],[PID]],Table3[[#All],[PID]],0)))</f>
        <v>18</v>
      </c>
      <c r="H594" s="52" t="str">
        <f>IF($C594="B",INDEX(Batters[[#All],[B]],MATCH(Table5[[#This Row],[PID]],Batters[[#All],[PID]],0)),INDEX(Table3[[#All],[B]],MATCH(Table5[[#This Row],[PID]],Table3[[#All],[PID]],0)))</f>
        <v>R</v>
      </c>
      <c r="I594" s="52" t="str">
        <f>IF($C594="B",INDEX(Batters[[#All],[T]],MATCH(Table5[[#This Row],[PID]],Batters[[#All],[PID]],0)),INDEX(Table3[[#All],[T]],MATCH(Table5[[#This Row],[PID]],Table3[[#All],[PID]],0)))</f>
        <v>R</v>
      </c>
      <c r="J594" s="52" t="str">
        <f>IF($C594="B",INDEX(Batters[[#All],[WE]],MATCH(Table5[[#This Row],[PID]],Batters[[#All],[PID]],0)),INDEX(Table3[[#All],[WE]],MATCH(Table5[[#This Row],[PID]],Table3[[#All],[PID]],0)))</f>
        <v>Normal</v>
      </c>
      <c r="K594" s="52" t="str">
        <f>IF($C594="B",INDEX(Batters[[#All],[INT]],MATCH(Table5[[#This Row],[PID]],Batters[[#All],[PID]],0)),INDEX(Table3[[#All],[INT]],MATCH(Table5[[#This Row],[PID]],Table3[[#All],[PID]],0)))</f>
        <v>High</v>
      </c>
      <c r="L594" s="60">
        <f>IF($C594="B",INDEX(Batters[[#All],[CON P]],MATCH(Table5[[#This Row],[PID]],Batters[[#All],[PID]],0)),INDEX(Table3[[#All],[STU P]],MATCH(Table5[[#This Row],[PID]],Table3[[#All],[PID]],0)))</f>
        <v>2</v>
      </c>
      <c r="M594" s="56">
        <f>IF($C594="B",INDEX(Batters[[#All],[GAP P]],MATCH(Table5[[#This Row],[PID]],Batters[[#All],[PID]],0)),INDEX(Table3[[#All],[MOV P]],MATCH(Table5[[#This Row],[PID]],Table3[[#All],[PID]],0)))</f>
        <v>3</v>
      </c>
      <c r="N594" s="56">
        <f>IF($C594="B",INDEX(Batters[[#All],[POW P]],MATCH(Table5[[#This Row],[PID]],Batters[[#All],[PID]],0)),INDEX(Table3[[#All],[CON P]],MATCH(Table5[[#This Row],[PID]],Table3[[#All],[PID]],0)))</f>
        <v>3</v>
      </c>
      <c r="O594" s="56">
        <f>IF($C594="B",INDEX(Batters[[#All],[EYE P]],MATCH(Table5[[#This Row],[PID]],Batters[[#All],[PID]],0)),INDEX(Table3[[#All],[VELO]],MATCH(Table5[[#This Row],[PID]],Table3[[#All],[PID]],0)))</f>
        <v>4</v>
      </c>
      <c r="P594" s="56">
        <f>IF($C594="B",INDEX(Batters[[#All],[K P]],MATCH(Table5[[#This Row],[PID]],Batters[[#All],[PID]],0)),INDEX(Table3[[#All],[STM]],MATCH(Table5[[#This Row],[PID]],Table3[[#All],[PID]],0)))</f>
        <v>3</v>
      </c>
      <c r="Q594" s="61">
        <f>IF($C594="B",INDEX(Batters[[#All],[Tot]],MATCH(Table5[[#This Row],[PID]],Batters[[#All],[PID]],0)),INDEX(Table3[[#All],[Tot]],MATCH(Table5[[#This Row],[PID]],Table3[[#All],[PID]],0)))</f>
        <v>36.367270574298303</v>
      </c>
      <c r="R594" s="52">
        <f>IF($C594="B",INDEX(Batters[[#All],[zScore]],MATCH(Table5[[#This Row],[PID]],Batters[[#All],[PID]],0)),INDEX(Table3[[#All],[zScore]],MATCH(Table5[[#This Row],[PID]],Table3[[#All],[PID]],0)))</f>
        <v>-1.7214796342568155</v>
      </c>
      <c r="S594" s="58" t="str">
        <f>IF($C594="B",INDEX(Batters[[#All],[DEM]],MATCH(Table5[[#This Row],[PID]],Batters[[#All],[PID]],0)),INDEX(Table3[[#All],[DEM]],MATCH(Table5[[#This Row],[PID]],Table3[[#All],[PID]],0)))</f>
        <v>$2.2m</v>
      </c>
      <c r="T594" s="62">
        <f>IF($C594="B",INDEX(Batters[[#All],[Rnk]],MATCH(Table5[[#This Row],[PID]],Batters[[#All],[PID]],0)),INDEX(Table3[[#All],[Rnk]],MATCH(Table5[[#This Row],[PID]],Table3[[#All],[PID]],0)))</f>
        <v>583</v>
      </c>
      <c r="U594" s="68">
        <f>IF($C594="B",VLOOKUP($A594,Bat!$A$4:$BA$1621,47,FALSE),VLOOKUP($A594,Pit!$A$4:$BF$1557,56,FALSE))</f>
        <v>0</v>
      </c>
      <c r="V594" s="50">
        <f>IF($C594="B",VLOOKUP($A594,Bat!$A$4:$BA$1621,48,FALSE),VLOOKUP($A594,Pit!$A$4:$BF$1557,57,FALSE))</f>
        <v>0</v>
      </c>
      <c r="W594" s="50">
        <f>Table5[[#This Row],[posRnk]]+Table5[[#This Row],[zRnk]]+IF($W$3&lt;&gt;Table5[[#This Row],[Type]],50,0)</f>
        <v>1993</v>
      </c>
      <c r="X594" s="51">
        <f>RANK(Table5[[#This Row],[zScore]],Table5[[#All],[zScore]])</f>
        <v>1360</v>
      </c>
      <c r="Y594" s="50">
        <f>IFERROR(INDEX(DraftResults[[#All],[OVR]],MATCH(Table5[[#This Row],[PID]],DraftResults[[#All],[Player ID]],0)),"")</f>
        <v>590</v>
      </c>
      <c r="Z5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4" s="50">
        <f>IFERROR(INDEX(DraftResults[[#All],[Pick in Round]],MATCH(Table5[[#This Row],[PID]],DraftResults[[#All],[Player ID]],0)),"")</f>
        <v>12</v>
      </c>
      <c r="AB594" s="50" t="str">
        <f>IFERROR(INDEX(DraftResults[[#All],[Team Name]],MATCH(Table5[[#This Row],[PID]],DraftResults[[#All],[Player ID]],0)),"")</f>
        <v>Palm Springs Codgers</v>
      </c>
      <c r="AC594" s="50">
        <f>IF(Table5[[#This Row],[Ovr]]="","",IF(Table5[[#This Row],[cmbList]]="","",Table5[[#This Row],[cmbList]]-Table5[[#This Row],[Ovr]]))</f>
        <v>1403</v>
      </c>
      <c r="AD594" s="54" t="str">
        <f>IF(ISERROR(VLOOKUP($AB594&amp;"-"&amp;$E594&amp;" "&amp;F594,Bonuses!$B$1:$G$1006,4,FALSE)),"",INT(VLOOKUP($AB594&amp;"-"&amp;$E594&amp;" "&amp;$F594,Bonuses!$B$1:$G$1006,4,FALSE)))</f>
        <v/>
      </c>
      <c r="AE5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20.12 (590) - 3B Kata Noguchi</v>
      </c>
    </row>
    <row r="595" spans="1:31" s="50" customFormat="1" x14ac:dyDescent="0.25">
      <c r="A595" s="50">
        <v>21038</v>
      </c>
      <c r="B595" s="50">
        <f>COUNTIF(Table5[PID],A595)</f>
        <v>1</v>
      </c>
      <c r="C595" s="50" t="str">
        <f>IF(COUNTIF(Table3[[#All],[PID]],A595)&gt;0,"P","B")</f>
        <v>B</v>
      </c>
      <c r="D595" s="59" t="str">
        <f>IF($C595="B",INDEX(Batters[[#All],[POS]],MATCH(Table5[[#This Row],[PID]],Batters[[#All],[PID]],0)),INDEX(Table3[[#All],[POS]],MATCH(Table5[[#This Row],[PID]],Table3[[#All],[PID]],0)))</f>
        <v>C</v>
      </c>
      <c r="E595" s="52" t="str">
        <f>IF($C595="B",INDEX(Batters[[#All],[First]],MATCH(Table5[[#This Row],[PID]],Batters[[#All],[PID]],0)),INDEX(Table3[[#All],[First]],MATCH(Table5[[#This Row],[PID]],Table3[[#All],[PID]],0)))</f>
        <v>Norman</v>
      </c>
      <c r="F595" s="50" t="str">
        <f>IF($C595="B",INDEX(Batters[[#All],[Last]],MATCH(A595,Batters[[#All],[PID]],0)),INDEX(Table3[[#All],[Last]],MATCH(A595,Table3[[#All],[PID]],0)))</f>
        <v>Key</v>
      </c>
      <c r="G595" s="56">
        <f>IF($C595="B",INDEX(Batters[[#All],[Age]],MATCH(Table5[[#This Row],[PID]],Batters[[#All],[PID]],0)),INDEX(Table3[[#All],[Age]],MATCH(Table5[[#This Row],[PID]],Table3[[#All],[PID]],0)))</f>
        <v>18</v>
      </c>
      <c r="H595" s="52" t="str">
        <f>IF($C595="B",INDEX(Batters[[#All],[B]],MATCH(Table5[[#This Row],[PID]],Batters[[#All],[PID]],0)),INDEX(Table3[[#All],[B]],MATCH(Table5[[#This Row],[PID]],Table3[[#All],[PID]],0)))</f>
        <v>R</v>
      </c>
      <c r="I595" s="52" t="str">
        <f>IF($C595="B",INDEX(Batters[[#All],[T]],MATCH(Table5[[#This Row],[PID]],Batters[[#All],[PID]],0)),INDEX(Table3[[#All],[T]],MATCH(Table5[[#This Row],[PID]],Table3[[#All],[PID]],0)))</f>
        <v>R</v>
      </c>
      <c r="J595" s="52" t="str">
        <f>IF($C595="B",INDEX(Batters[[#All],[WE]],MATCH(Table5[[#This Row],[PID]],Batters[[#All],[PID]],0)),INDEX(Table3[[#All],[WE]],MATCH(Table5[[#This Row],[PID]],Table3[[#All],[PID]],0)))</f>
        <v>High</v>
      </c>
      <c r="K595" s="52" t="str">
        <f>IF($C595="B",INDEX(Batters[[#All],[INT]],MATCH(Table5[[#This Row],[PID]],Batters[[#All],[PID]],0)),INDEX(Table3[[#All],[INT]],MATCH(Table5[[#This Row],[PID]],Table3[[#All],[PID]],0)))</f>
        <v>Normal</v>
      </c>
      <c r="L595" s="60">
        <f>IF($C595="B",INDEX(Batters[[#All],[CON P]],MATCH(Table5[[#This Row],[PID]],Batters[[#All],[PID]],0)),INDEX(Table3[[#All],[STU P]],MATCH(Table5[[#This Row],[PID]],Table3[[#All],[PID]],0)))</f>
        <v>2</v>
      </c>
      <c r="M595" s="56">
        <f>IF($C595="B",INDEX(Batters[[#All],[GAP P]],MATCH(Table5[[#This Row],[PID]],Batters[[#All],[PID]],0)),INDEX(Table3[[#All],[MOV P]],MATCH(Table5[[#This Row],[PID]],Table3[[#All],[PID]],0)))</f>
        <v>7</v>
      </c>
      <c r="N595" s="56">
        <f>IF($C595="B",INDEX(Batters[[#All],[POW P]],MATCH(Table5[[#This Row],[PID]],Batters[[#All],[PID]],0)),INDEX(Table3[[#All],[CON P]],MATCH(Table5[[#This Row],[PID]],Table3[[#All],[PID]],0)))</f>
        <v>3</v>
      </c>
      <c r="O595" s="56">
        <f>IF($C595="B",INDEX(Batters[[#All],[EYE P]],MATCH(Table5[[#This Row],[PID]],Batters[[#All],[PID]],0)),INDEX(Table3[[#All],[VELO]],MATCH(Table5[[#This Row],[PID]],Table3[[#All],[PID]],0)))</f>
        <v>5</v>
      </c>
      <c r="P595" s="56">
        <f>IF($C595="B",INDEX(Batters[[#All],[K P]],MATCH(Table5[[#This Row],[PID]],Batters[[#All],[PID]],0)),INDEX(Table3[[#All],[STM]],MATCH(Table5[[#This Row],[PID]],Table3[[#All],[PID]],0)))</f>
        <v>3</v>
      </c>
      <c r="Q595" s="61">
        <f>IF($C595="B",INDEX(Batters[[#All],[Tot]],MATCH(Table5[[#This Row],[PID]],Batters[[#All],[PID]],0)),INDEX(Table3[[#All],[Tot]],MATCH(Table5[[#This Row],[PID]],Table3[[#All],[PID]],0)))</f>
        <v>41.163842327035745</v>
      </c>
      <c r="R595" s="52">
        <f>IF($C595="B",INDEX(Batters[[#All],[zScore]],MATCH(Table5[[#This Row],[PID]],Batters[[#All],[PID]],0)),INDEX(Table3[[#All],[zScore]],MATCH(Table5[[#This Row],[PID]],Table3[[#All],[PID]],0)))</f>
        <v>-0.65804725485885718</v>
      </c>
      <c r="S595" s="58" t="str">
        <f>IF($C595="B",INDEX(Batters[[#All],[DEM]],MATCH(Table5[[#This Row],[PID]],Batters[[#All],[PID]],0)),INDEX(Table3[[#All],[DEM]],MATCH(Table5[[#This Row],[PID]],Table3[[#All],[PID]],0)))</f>
        <v>$70k</v>
      </c>
      <c r="T595" s="62">
        <f>IF($C595="B",INDEX(Batters[[#All],[Rnk]],MATCH(Table5[[#This Row],[PID]],Batters[[#All],[PID]],0)),INDEX(Table3[[#All],[Rnk]],MATCH(Table5[[#This Row],[PID]],Table3[[#All],[PID]],0)))</f>
        <v>368</v>
      </c>
      <c r="U595" s="68">
        <f>IF($C595="B",VLOOKUP($A595,Bat!$A$4:$BA$1621,47,FALSE),VLOOKUP($A595,Pit!$A$4:$BF$1557,56,FALSE))</f>
        <v>0</v>
      </c>
      <c r="V595" s="50">
        <f>IF($C595="B",VLOOKUP($A595,Bat!$A$4:$BA$1621,48,FALSE),VLOOKUP($A595,Pit!$A$4:$BF$1557,57,FALSE))</f>
        <v>0</v>
      </c>
      <c r="W595" s="50">
        <f>Table5[[#This Row],[posRnk]]+Table5[[#This Row],[zRnk]]+IF($W$3&lt;&gt;Table5[[#This Row],[Type]],50,0)</f>
        <v>1373</v>
      </c>
      <c r="X595" s="51">
        <f>RANK(Table5[[#This Row],[zScore]],Table5[[#All],[zScore]])</f>
        <v>955</v>
      </c>
      <c r="Y595" s="50">
        <f>IFERROR(INDEX(DraftResults[[#All],[OVR]],MATCH(Table5[[#This Row],[PID]],DraftResults[[#All],[Player ID]],0)),"")</f>
        <v>591</v>
      </c>
      <c r="Z5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5" s="50">
        <f>IFERROR(INDEX(DraftResults[[#All],[Pick in Round]],MATCH(Table5[[#This Row],[PID]],DraftResults[[#All],[Player ID]],0)),"")</f>
        <v>13</v>
      </c>
      <c r="AB595" s="50" t="str">
        <f>IFERROR(INDEX(DraftResults[[#All],[Team Name]],MATCH(Table5[[#This Row],[PID]],DraftResults[[#All],[Player ID]],0)),"")</f>
        <v>Reno Zephyrs</v>
      </c>
      <c r="AC595" s="50">
        <f>IF(Table5[[#This Row],[Ovr]]="","",IF(Table5[[#This Row],[cmbList]]="","",Table5[[#This Row],[cmbList]]-Table5[[#This Row],[Ovr]]))</f>
        <v>782</v>
      </c>
      <c r="AD595" s="54" t="str">
        <f>IF(ISERROR(VLOOKUP($AB595&amp;"-"&amp;$E595&amp;" "&amp;F595,Bonuses!$B$1:$G$1006,4,FALSE)),"",INT(VLOOKUP($AB595&amp;"-"&amp;$E595&amp;" "&amp;$F595,Bonuses!$B$1:$G$1006,4,FALSE)))</f>
        <v/>
      </c>
      <c r="AE5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20.13 (591) - C Norman Key</v>
      </c>
    </row>
    <row r="596" spans="1:31" s="50" customFormat="1" x14ac:dyDescent="0.25">
      <c r="A596" s="68">
        <v>18188</v>
      </c>
      <c r="B596" s="69">
        <f>COUNTIF(Table5[PID],A596)</f>
        <v>1</v>
      </c>
      <c r="C596" s="69" t="str">
        <f>IF(COUNTIF(Table3[[#All],[PID]],A596)&gt;0,"P","B")</f>
        <v>P</v>
      </c>
      <c r="D596" s="59" t="str">
        <f>IF($C596="B",INDEX(Batters[[#All],[POS]],MATCH(Table5[[#This Row],[PID]],Batters[[#All],[PID]],0)),INDEX(Table3[[#All],[POS]],MATCH(Table5[[#This Row],[PID]],Table3[[#All],[PID]],0)))</f>
        <v>SP</v>
      </c>
      <c r="E596" s="52" t="str">
        <f>IF($C596="B",INDEX(Batters[[#All],[First]],MATCH(Table5[[#This Row],[PID]],Batters[[#All],[PID]],0)),INDEX(Table3[[#All],[First]],MATCH(Table5[[#This Row],[PID]],Table3[[#All],[PID]],0)))</f>
        <v>Kurt</v>
      </c>
      <c r="F596" s="55" t="str">
        <f>IF($C596="B",INDEX(Batters[[#All],[Last]],MATCH(A596,Batters[[#All],[PID]],0)),INDEX(Table3[[#All],[Last]],MATCH(A596,Table3[[#All],[PID]],0)))</f>
        <v>McKinney</v>
      </c>
      <c r="G596" s="56">
        <f>IF($C596="B",INDEX(Batters[[#All],[Age]],MATCH(Table5[[#This Row],[PID]],Batters[[#All],[PID]],0)),INDEX(Table3[[#All],[Age]],MATCH(Table5[[#This Row],[PID]],Table3[[#All],[PID]],0)))</f>
        <v>18</v>
      </c>
      <c r="H596" s="52" t="str">
        <f>IF($C596="B",INDEX(Batters[[#All],[B]],MATCH(Table5[[#This Row],[PID]],Batters[[#All],[PID]],0)),INDEX(Table3[[#All],[B]],MATCH(Table5[[#This Row],[PID]],Table3[[#All],[PID]],0)))</f>
        <v>R</v>
      </c>
      <c r="I596" s="52" t="str">
        <f>IF($C596="B",INDEX(Batters[[#All],[T]],MATCH(Table5[[#This Row],[PID]],Batters[[#All],[PID]],0)),INDEX(Table3[[#All],[T]],MATCH(Table5[[#This Row],[PID]],Table3[[#All],[PID]],0)))</f>
        <v>R</v>
      </c>
      <c r="J596" s="71" t="str">
        <f>IF($C596="B",INDEX(Batters[[#All],[WE]],MATCH(Table5[[#This Row],[PID]],Batters[[#All],[PID]],0)),INDEX(Table3[[#All],[WE]],MATCH(Table5[[#This Row],[PID]],Table3[[#All],[PID]],0)))</f>
        <v>Normal</v>
      </c>
      <c r="K596" s="52" t="str">
        <f>IF($C596="B",INDEX(Batters[[#All],[INT]],MATCH(Table5[[#This Row],[PID]],Batters[[#All],[PID]],0)),INDEX(Table3[[#All],[INT]],MATCH(Table5[[#This Row],[PID]],Table3[[#All],[PID]],0)))</f>
        <v>Normal</v>
      </c>
      <c r="L596" s="60">
        <f>IF($C596="B",INDEX(Batters[[#All],[CON P]],MATCH(Table5[[#This Row],[PID]],Batters[[#All],[PID]],0)),INDEX(Table3[[#All],[STU P]],MATCH(Table5[[#This Row],[PID]],Table3[[#All],[PID]],0)))</f>
        <v>4</v>
      </c>
      <c r="M596" s="72">
        <f>IF($C596="B",INDEX(Batters[[#All],[GAP P]],MATCH(Table5[[#This Row],[PID]],Batters[[#All],[PID]],0)),INDEX(Table3[[#All],[MOV P]],MATCH(Table5[[#This Row],[PID]],Table3[[#All],[PID]],0)))</f>
        <v>2</v>
      </c>
      <c r="N596" s="72">
        <f>IF($C596="B",INDEX(Batters[[#All],[POW P]],MATCH(Table5[[#This Row],[PID]],Batters[[#All],[PID]],0)),INDEX(Table3[[#All],[CON P]],MATCH(Table5[[#This Row],[PID]],Table3[[#All],[PID]],0)))</f>
        <v>4</v>
      </c>
      <c r="O596" s="72" t="str">
        <f>IF($C596="B",INDEX(Batters[[#All],[EYE P]],MATCH(Table5[[#This Row],[PID]],Batters[[#All],[PID]],0)),INDEX(Table3[[#All],[VELO]],MATCH(Table5[[#This Row],[PID]],Table3[[#All],[PID]],0)))</f>
        <v>91-93 Mph</v>
      </c>
      <c r="P596" s="56">
        <f>IF($C596="B",INDEX(Batters[[#All],[K P]],MATCH(Table5[[#This Row],[PID]],Batters[[#All],[PID]],0)),INDEX(Table3[[#All],[STM]],MATCH(Table5[[#This Row],[PID]],Table3[[#All],[PID]],0)))</f>
        <v>5</v>
      </c>
      <c r="Q596" s="61">
        <f>IF($C596="B",INDEX(Batters[[#All],[Tot]],MATCH(Table5[[#This Row],[PID]],Batters[[#All],[PID]],0)),INDEX(Table3[[#All],[Tot]],MATCH(Table5[[#This Row],[PID]],Table3[[#All],[PID]],0)))</f>
        <v>40.79563882564311</v>
      </c>
      <c r="R596" s="52">
        <f>IF($C596="B",INDEX(Batters[[#All],[zScore]],MATCH(Table5[[#This Row],[PID]],Batters[[#All],[PID]],0)),INDEX(Table3[[#All],[zScore]],MATCH(Table5[[#This Row],[PID]],Table3[[#All],[PID]],0)))</f>
        <v>0.32766022732079497</v>
      </c>
      <c r="S596" s="78" t="str">
        <f>IF($C596="B",INDEX(Batters[[#All],[DEM]],MATCH(Table5[[#This Row],[PID]],Batters[[#All],[PID]],0)),INDEX(Table3[[#All],[DEM]],MATCH(Table5[[#This Row],[PID]],Table3[[#All],[PID]],0)))</f>
        <v>$65k</v>
      </c>
      <c r="T596" s="75">
        <f>IF($C596="B",INDEX(Batters[[#All],[Rnk]],MATCH(Table5[[#This Row],[PID]],Batters[[#All],[PID]],0)),INDEX(Table3[[#All],[Rnk]],MATCH(Table5[[#This Row],[PID]],Table3[[#All],[PID]],0)))</f>
        <v>238</v>
      </c>
      <c r="U596" s="68">
        <f>IF($C596="B",VLOOKUP($A596,Bat!$A$4:$BA$1621,47,FALSE),VLOOKUP($A596,Pit!$A$4:$BF$1557,56,FALSE))</f>
        <v>0</v>
      </c>
      <c r="V596" s="50">
        <f>IF($C596="B",VLOOKUP($A596,Bat!$A$4:$BA$1621,48,FALSE),VLOOKUP($A596,Pit!$A$4:$BF$1557,57,FALSE))</f>
        <v>0</v>
      </c>
      <c r="W596" s="69">
        <f>Table5[[#This Row],[posRnk]]+Table5[[#This Row],[zRnk]]+IF($W$3&lt;&gt;Table5[[#This Row],[Type]],50,0)</f>
        <v>698</v>
      </c>
      <c r="X596" s="73">
        <f>RANK(Table5[[#This Row],[zScore]],Table5[[#All],[zScore]])</f>
        <v>410</v>
      </c>
      <c r="Y596" s="69">
        <f>IFERROR(INDEX(DraftResults[[#All],[OVR]],MATCH(Table5[[#This Row],[PID]],DraftResults[[#All],[Player ID]],0)),"")</f>
        <v>592</v>
      </c>
      <c r="Z5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6" s="69">
        <f>IFERROR(INDEX(DraftResults[[#All],[Pick in Round]],MATCH(Table5[[#This Row],[PID]],DraftResults[[#All],[Player ID]],0)),"")</f>
        <v>14</v>
      </c>
      <c r="AB596" s="69" t="str">
        <f>IFERROR(INDEX(DraftResults[[#All],[Team Name]],MATCH(Table5[[#This Row],[PID]],DraftResults[[#All],[Player ID]],0)),"")</f>
        <v>Arlington Bureaucrats</v>
      </c>
      <c r="AC596" s="69">
        <f>IF(Table5[[#This Row],[Ovr]]="","",IF(Table5[[#This Row],[cmbList]]="","",Table5[[#This Row],[cmbList]]-Table5[[#This Row],[Ovr]]))</f>
        <v>106</v>
      </c>
      <c r="AD596" s="77" t="str">
        <f>IF(ISERROR(VLOOKUP($AB596&amp;"-"&amp;$E596&amp;" "&amp;F596,Bonuses!$B$1:$G$1006,4,FALSE)),"",INT(VLOOKUP($AB596&amp;"-"&amp;$E596&amp;" "&amp;$F596,Bonuses!$B$1:$G$1006,4,FALSE)))</f>
        <v/>
      </c>
      <c r="AE5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20.14 (592) - SP Kurt McKinney</v>
      </c>
    </row>
    <row r="597" spans="1:31" s="50" customFormat="1" x14ac:dyDescent="0.25">
      <c r="A597" s="50">
        <v>18179</v>
      </c>
      <c r="B597" s="50">
        <f>COUNTIF(Table5[PID],A597)</f>
        <v>1</v>
      </c>
      <c r="C597" s="50" t="str">
        <f>IF(COUNTIF(Table3[[#All],[PID]],A597)&gt;0,"P","B")</f>
        <v>B</v>
      </c>
      <c r="D597" s="59" t="str">
        <f>IF($C597="B",INDEX(Batters[[#All],[POS]],MATCH(Table5[[#This Row],[PID]],Batters[[#All],[PID]],0)),INDEX(Table3[[#All],[POS]],MATCH(Table5[[#This Row],[PID]],Table3[[#All],[PID]],0)))</f>
        <v>2B</v>
      </c>
      <c r="E597" s="52" t="str">
        <f>IF($C597="B",INDEX(Batters[[#All],[First]],MATCH(Table5[[#This Row],[PID]],Batters[[#All],[PID]],0)),INDEX(Table3[[#All],[First]],MATCH(Table5[[#This Row],[PID]],Table3[[#All],[PID]],0)))</f>
        <v>Paul</v>
      </c>
      <c r="F597" s="50" t="str">
        <f>IF($C597="B",INDEX(Batters[[#All],[Last]],MATCH(A597,Batters[[#All],[PID]],0)),INDEX(Table3[[#All],[Last]],MATCH(A597,Table3[[#All],[PID]],0)))</f>
        <v>Norman</v>
      </c>
      <c r="G597" s="56">
        <f>IF($C597="B",INDEX(Batters[[#All],[Age]],MATCH(Table5[[#This Row],[PID]],Batters[[#All],[PID]],0)),INDEX(Table3[[#All],[Age]],MATCH(Table5[[#This Row],[PID]],Table3[[#All],[PID]],0)))</f>
        <v>18</v>
      </c>
      <c r="H597" s="52" t="str">
        <f>IF($C597="B",INDEX(Batters[[#All],[B]],MATCH(Table5[[#This Row],[PID]],Batters[[#All],[PID]],0)),INDEX(Table3[[#All],[B]],MATCH(Table5[[#This Row],[PID]],Table3[[#All],[PID]],0)))</f>
        <v>R</v>
      </c>
      <c r="I597" s="52" t="str">
        <f>IF($C597="B",INDEX(Batters[[#All],[T]],MATCH(Table5[[#This Row],[PID]],Batters[[#All],[PID]],0)),INDEX(Table3[[#All],[T]],MATCH(Table5[[#This Row],[PID]],Table3[[#All],[PID]],0)))</f>
        <v>R</v>
      </c>
      <c r="J597" s="52" t="str">
        <f>IF($C597="B",INDEX(Batters[[#All],[WE]],MATCH(Table5[[#This Row],[PID]],Batters[[#All],[PID]],0)),INDEX(Table3[[#All],[WE]],MATCH(Table5[[#This Row],[PID]],Table3[[#All],[PID]],0)))</f>
        <v>Normal</v>
      </c>
      <c r="K597" s="52" t="str">
        <f>IF($C597="B",INDEX(Batters[[#All],[INT]],MATCH(Table5[[#This Row],[PID]],Batters[[#All],[PID]],0)),INDEX(Table3[[#All],[INT]],MATCH(Table5[[#This Row],[PID]],Table3[[#All],[PID]],0)))</f>
        <v>Low</v>
      </c>
      <c r="L597" s="60">
        <f>IF($C597="B",INDEX(Batters[[#All],[CON P]],MATCH(Table5[[#This Row],[PID]],Batters[[#All],[PID]],0)),INDEX(Table3[[#All],[STU P]],MATCH(Table5[[#This Row],[PID]],Table3[[#All],[PID]],0)))</f>
        <v>3</v>
      </c>
      <c r="M597" s="56">
        <f>IF($C597="B",INDEX(Batters[[#All],[GAP P]],MATCH(Table5[[#This Row],[PID]],Batters[[#All],[PID]],0)),INDEX(Table3[[#All],[MOV P]],MATCH(Table5[[#This Row],[PID]],Table3[[#All],[PID]],0)))</f>
        <v>6</v>
      </c>
      <c r="N597" s="56">
        <f>IF($C597="B",INDEX(Batters[[#All],[POW P]],MATCH(Table5[[#This Row],[PID]],Batters[[#All],[PID]],0)),INDEX(Table3[[#All],[CON P]],MATCH(Table5[[#This Row],[PID]],Table3[[#All],[PID]],0)))</f>
        <v>4</v>
      </c>
      <c r="O597" s="56">
        <f>IF($C597="B",INDEX(Batters[[#All],[EYE P]],MATCH(Table5[[#This Row],[PID]],Batters[[#All],[PID]],0)),INDEX(Table3[[#All],[VELO]],MATCH(Table5[[#This Row],[PID]],Table3[[#All],[PID]],0)))</f>
        <v>5</v>
      </c>
      <c r="P597" s="56">
        <f>IF($C597="B",INDEX(Batters[[#All],[K P]],MATCH(Table5[[#This Row],[PID]],Batters[[#All],[PID]],0)),INDEX(Table3[[#All],[STM]],MATCH(Table5[[#This Row],[PID]],Table3[[#All],[PID]],0)))</f>
        <v>3</v>
      </c>
      <c r="Q597" s="61">
        <f>IF($C597="B",INDEX(Batters[[#All],[Tot]],MATCH(Table5[[#This Row],[PID]],Batters[[#All],[PID]],0)),INDEX(Table3[[#All],[Tot]],MATCH(Table5[[#This Row],[PID]],Table3[[#All],[PID]],0)))</f>
        <v>43.554454791367391</v>
      </c>
      <c r="R597" s="52">
        <f>IF($C597="B",INDEX(Batters[[#All],[zScore]],MATCH(Table5[[#This Row],[PID]],Batters[[#All],[PID]],0)),INDEX(Table3[[#All],[zScore]],MATCH(Table5[[#This Row],[PID]],Table3[[#All],[PID]],0)))</f>
        <v>-0.12803231247594915</v>
      </c>
      <c r="S597" s="58" t="str">
        <f>IF($C597="B",INDEX(Batters[[#All],[DEM]],MATCH(Table5[[#This Row],[PID]],Batters[[#All],[PID]],0)),INDEX(Table3[[#All],[DEM]],MATCH(Table5[[#This Row],[PID]],Table3[[#All],[PID]],0)))</f>
        <v>$38k</v>
      </c>
      <c r="T597" s="62">
        <f>IF($C597="B",INDEX(Batters[[#All],[Rnk]],MATCH(Table5[[#This Row],[PID]],Batters[[#All],[PID]],0)),INDEX(Table3[[#All],[Rnk]],MATCH(Table5[[#This Row],[PID]],Table3[[#All],[PID]],0)))</f>
        <v>265</v>
      </c>
      <c r="U597" s="68">
        <f>IF($C597="B",VLOOKUP($A597,Bat!$A$4:$BA$1621,47,FALSE),VLOOKUP($A597,Pit!$A$4:$BF$1557,56,FALSE))</f>
        <v>0</v>
      </c>
      <c r="V597" s="50">
        <f>IF($C597="B",VLOOKUP($A597,Bat!$A$4:$BA$1621,48,FALSE),VLOOKUP($A597,Pit!$A$4:$BF$1557,57,FALSE))</f>
        <v>0</v>
      </c>
      <c r="W597" s="50">
        <f>Table5[[#This Row],[posRnk]]+Table5[[#This Row],[zRnk]]+IF($W$3&lt;&gt;Table5[[#This Row],[Type]],50,0)</f>
        <v>934</v>
      </c>
      <c r="X597" s="51">
        <f>RANK(Table5[[#This Row],[zScore]],Table5[[#All],[zScore]])</f>
        <v>619</v>
      </c>
      <c r="Y597" s="50">
        <f>IFERROR(INDEX(DraftResults[[#All],[OVR]],MATCH(Table5[[#This Row],[PID]],DraftResults[[#All],[Player ID]],0)),"")</f>
        <v>593</v>
      </c>
      <c r="Z5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7" s="50">
        <f>IFERROR(INDEX(DraftResults[[#All],[Pick in Round]],MATCH(Table5[[#This Row],[PID]],DraftResults[[#All],[Player ID]],0)),"")</f>
        <v>15</v>
      </c>
      <c r="AB597" s="50" t="str">
        <f>IFERROR(INDEX(DraftResults[[#All],[Team Name]],MATCH(Table5[[#This Row],[PID]],DraftResults[[#All],[Player ID]],0)),"")</f>
        <v>Kentucky Thoroughbreds</v>
      </c>
      <c r="AC597" s="50">
        <f>IF(Table5[[#This Row],[Ovr]]="","",IF(Table5[[#This Row],[cmbList]]="","",Table5[[#This Row],[cmbList]]-Table5[[#This Row],[Ovr]]))</f>
        <v>341</v>
      </c>
      <c r="AD597" s="54" t="str">
        <f>IF(ISERROR(VLOOKUP($AB597&amp;"-"&amp;$E597&amp;" "&amp;F597,Bonuses!$B$1:$G$1006,4,FALSE)),"",INT(VLOOKUP($AB597&amp;"-"&amp;$E597&amp;" "&amp;$F597,Bonuses!$B$1:$G$1006,4,FALSE)))</f>
        <v/>
      </c>
      <c r="AE5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20.15 (593) - 2B Paul Norman</v>
      </c>
    </row>
    <row r="598" spans="1:31" s="50" customFormat="1" x14ac:dyDescent="0.25">
      <c r="A598" s="50">
        <v>20944</v>
      </c>
      <c r="B598" s="50">
        <f>COUNTIF(Table5[PID],A598)</f>
        <v>1</v>
      </c>
      <c r="C598" s="50" t="str">
        <f>IF(COUNTIF(Table3[[#All],[PID]],A598)&gt;0,"P","B")</f>
        <v>B</v>
      </c>
      <c r="D598" s="59" t="str">
        <f>IF($C598="B",INDEX(Batters[[#All],[POS]],MATCH(Table5[[#This Row],[PID]],Batters[[#All],[PID]],0)),INDEX(Table3[[#All],[POS]],MATCH(Table5[[#This Row],[PID]],Table3[[#All],[PID]],0)))</f>
        <v>RF</v>
      </c>
      <c r="E598" s="52" t="str">
        <f>IF($C598="B",INDEX(Batters[[#All],[First]],MATCH(Table5[[#This Row],[PID]],Batters[[#All],[PID]],0)),INDEX(Table3[[#All],[First]],MATCH(Table5[[#This Row],[PID]],Table3[[#All],[PID]],0)))</f>
        <v>Vincent</v>
      </c>
      <c r="F598" s="50" t="str">
        <f>IF($C598="B",INDEX(Batters[[#All],[Last]],MATCH(A598,Batters[[#All],[PID]],0)),INDEX(Table3[[#All],[Last]],MATCH(A598,Table3[[#All],[PID]],0)))</f>
        <v>Rogers</v>
      </c>
      <c r="G598" s="56">
        <f>IF($C598="B",INDEX(Batters[[#All],[Age]],MATCH(Table5[[#This Row],[PID]],Batters[[#All],[PID]],0)),INDEX(Table3[[#All],[Age]],MATCH(Table5[[#This Row],[PID]],Table3[[#All],[PID]],0)))</f>
        <v>18</v>
      </c>
      <c r="H598" s="52" t="str">
        <f>IF($C598="B",INDEX(Batters[[#All],[B]],MATCH(Table5[[#This Row],[PID]],Batters[[#All],[PID]],0)),INDEX(Table3[[#All],[B]],MATCH(Table5[[#This Row],[PID]],Table3[[#All],[PID]],0)))</f>
        <v>R</v>
      </c>
      <c r="I598" s="52" t="str">
        <f>IF($C598="B",INDEX(Batters[[#All],[T]],MATCH(Table5[[#This Row],[PID]],Batters[[#All],[PID]],0)),INDEX(Table3[[#All],[T]],MATCH(Table5[[#This Row],[PID]],Table3[[#All],[PID]],0)))</f>
        <v>R</v>
      </c>
      <c r="J598" s="52" t="str">
        <f>IF($C598="B",INDEX(Batters[[#All],[WE]],MATCH(Table5[[#This Row],[PID]],Batters[[#All],[PID]],0)),INDEX(Table3[[#All],[WE]],MATCH(Table5[[#This Row],[PID]],Table3[[#All],[PID]],0)))</f>
        <v>Normal</v>
      </c>
      <c r="K598" s="52" t="str">
        <f>IF($C598="B",INDEX(Batters[[#All],[INT]],MATCH(Table5[[#This Row],[PID]],Batters[[#All],[PID]],0)),INDEX(Table3[[#All],[INT]],MATCH(Table5[[#This Row],[PID]],Table3[[#All],[PID]],0)))</f>
        <v>Normal</v>
      </c>
      <c r="L598" s="60">
        <f>IF($C598="B",INDEX(Batters[[#All],[CON P]],MATCH(Table5[[#This Row],[PID]],Batters[[#All],[PID]],0)),INDEX(Table3[[#All],[STU P]],MATCH(Table5[[#This Row],[PID]],Table3[[#All],[PID]],0)))</f>
        <v>3</v>
      </c>
      <c r="M598" s="56">
        <f>IF($C598="B",INDEX(Batters[[#All],[GAP P]],MATCH(Table5[[#This Row],[PID]],Batters[[#All],[PID]],0)),INDEX(Table3[[#All],[MOV P]],MATCH(Table5[[#This Row],[PID]],Table3[[#All],[PID]],0)))</f>
        <v>6</v>
      </c>
      <c r="N598" s="56">
        <f>IF($C598="B",INDEX(Batters[[#All],[POW P]],MATCH(Table5[[#This Row],[PID]],Batters[[#All],[PID]],0)),INDEX(Table3[[#All],[CON P]],MATCH(Table5[[#This Row],[PID]],Table3[[#All],[PID]],0)))</f>
        <v>4</v>
      </c>
      <c r="O598" s="56">
        <f>IF($C598="B",INDEX(Batters[[#All],[EYE P]],MATCH(Table5[[#This Row],[PID]],Batters[[#All],[PID]],0)),INDEX(Table3[[#All],[VELO]],MATCH(Table5[[#This Row],[PID]],Table3[[#All],[PID]],0)))</f>
        <v>5</v>
      </c>
      <c r="P598" s="56">
        <f>IF($C598="B",INDEX(Batters[[#All],[K P]],MATCH(Table5[[#This Row],[PID]],Batters[[#All],[PID]],0)),INDEX(Table3[[#All],[STM]],MATCH(Table5[[#This Row],[PID]],Table3[[#All],[PID]],0)))</f>
        <v>3</v>
      </c>
      <c r="Q598" s="61">
        <f>IF($C598="B",INDEX(Batters[[#All],[Tot]],MATCH(Table5[[#This Row],[PID]],Batters[[#All],[PID]],0)),INDEX(Table3[[#All],[Tot]],MATCH(Table5[[#This Row],[PID]],Table3[[#All],[PID]],0)))</f>
        <v>44.030092413035014</v>
      </c>
      <c r="R598" s="52">
        <f>IF($C598="B",INDEX(Batters[[#All],[zScore]],MATCH(Table5[[#This Row],[PID]],Batters[[#All],[PID]],0)),INDEX(Table3[[#All],[zScore]],MATCH(Table5[[#This Row],[PID]],Table3[[#All],[PID]],0)))</f>
        <v>-2.2580236740291207E-2</v>
      </c>
      <c r="S598" s="58" t="str">
        <f>IF($C598="B",INDEX(Batters[[#All],[DEM]],MATCH(Table5[[#This Row],[PID]],Batters[[#All],[PID]],0)),INDEX(Table3[[#All],[DEM]],MATCH(Table5[[#This Row],[PID]],Table3[[#All],[PID]],0)))</f>
        <v>$65k</v>
      </c>
      <c r="T598" s="62">
        <f>IF($C598="B",INDEX(Batters[[#All],[Rnk]],MATCH(Table5[[#This Row],[PID]],Batters[[#All],[PID]],0)),INDEX(Table3[[#All],[Rnk]],MATCH(Table5[[#This Row],[PID]],Table3[[#All],[PID]],0)))</f>
        <v>248</v>
      </c>
      <c r="U598" s="68">
        <f>IF($C598="B",VLOOKUP($A598,Bat!$A$4:$BA$1621,47,FALSE),VLOOKUP($A598,Pit!$A$4:$BF$1557,56,FALSE))</f>
        <v>0</v>
      </c>
      <c r="V598" s="50">
        <f>IF($C598="B",VLOOKUP($A598,Bat!$A$4:$BA$1621,48,FALSE),VLOOKUP($A598,Pit!$A$4:$BF$1557,57,FALSE))</f>
        <v>0</v>
      </c>
      <c r="W598" s="50">
        <f>Table5[[#This Row],[posRnk]]+Table5[[#This Row],[zRnk]]+IF($W$3&lt;&gt;Table5[[#This Row],[Type]],50,0)</f>
        <v>861</v>
      </c>
      <c r="X598" s="51">
        <f>RANK(Table5[[#This Row],[zScore]],Table5[[#All],[zScore]])</f>
        <v>563</v>
      </c>
      <c r="Y598" s="50">
        <f>IFERROR(INDEX(DraftResults[[#All],[OVR]],MATCH(Table5[[#This Row],[PID]],DraftResults[[#All],[Player ID]],0)),"")</f>
        <v>594</v>
      </c>
      <c r="Z5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8" s="50">
        <f>IFERROR(INDEX(DraftResults[[#All],[Pick in Round]],MATCH(Table5[[#This Row],[PID]],DraftResults[[#All],[Player ID]],0)),"")</f>
        <v>16</v>
      </c>
      <c r="AB598" s="50" t="str">
        <f>IFERROR(INDEX(DraftResults[[#All],[Team Name]],MATCH(Table5[[#This Row],[PID]],DraftResults[[#All],[Player ID]],0)),"")</f>
        <v>San Antonio Calzones of Laredo</v>
      </c>
      <c r="AC598" s="50">
        <f>IF(Table5[[#This Row],[Ovr]]="","",IF(Table5[[#This Row],[cmbList]]="","",Table5[[#This Row],[cmbList]]-Table5[[#This Row],[Ovr]]))</f>
        <v>267</v>
      </c>
      <c r="AD598" s="54" t="str">
        <f>IF(ISERROR(VLOOKUP($AB598&amp;"-"&amp;$E598&amp;" "&amp;F598,Bonuses!$B$1:$G$1006,4,FALSE)),"",INT(VLOOKUP($AB598&amp;"-"&amp;$E598&amp;" "&amp;$F598,Bonuses!$B$1:$G$1006,4,FALSE)))</f>
        <v/>
      </c>
      <c r="AE5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20.16 (594) - RF Vincent Rogers</v>
      </c>
    </row>
    <row r="599" spans="1:31" s="50" customFormat="1" x14ac:dyDescent="0.25">
      <c r="A599" s="50">
        <v>20722</v>
      </c>
      <c r="B599" s="50">
        <f>COUNTIF(Table5[PID],A599)</f>
        <v>1</v>
      </c>
      <c r="C599" s="50" t="str">
        <f>IF(COUNTIF(Table3[[#All],[PID]],A599)&gt;0,"P","B")</f>
        <v>B</v>
      </c>
      <c r="D599" s="59" t="str">
        <f>IF($C599="B",INDEX(Batters[[#All],[POS]],MATCH(Table5[[#This Row],[PID]],Batters[[#All],[PID]],0)),INDEX(Table3[[#All],[POS]],MATCH(Table5[[#This Row],[PID]],Table3[[#All],[PID]],0)))</f>
        <v>SS</v>
      </c>
      <c r="E599" s="52" t="str">
        <f>IF($C599="B",INDEX(Batters[[#All],[First]],MATCH(Table5[[#This Row],[PID]],Batters[[#All],[PID]],0)),INDEX(Table3[[#All],[First]],MATCH(Table5[[#This Row],[PID]],Table3[[#All],[PID]],0)))</f>
        <v>Andy</v>
      </c>
      <c r="F599" s="50" t="str">
        <f>IF($C599="B",INDEX(Batters[[#All],[Last]],MATCH(A599,Batters[[#All],[PID]],0)),INDEX(Table3[[#All],[Last]],MATCH(A599,Table3[[#All],[PID]],0)))</f>
        <v>Walker</v>
      </c>
      <c r="G599" s="56">
        <f>IF($C599="B",INDEX(Batters[[#All],[Age]],MATCH(Table5[[#This Row],[PID]],Batters[[#All],[PID]],0)),INDEX(Table3[[#All],[Age]],MATCH(Table5[[#This Row],[PID]],Table3[[#All],[PID]],0)))</f>
        <v>18</v>
      </c>
      <c r="H599" s="52" t="str">
        <f>IF($C599="B",INDEX(Batters[[#All],[B]],MATCH(Table5[[#This Row],[PID]],Batters[[#All],[PID]],0)),INDEX(Table3[[#All],[B]],MATCH(Table5[[#This Row],[PID]],Table3[[#All],[PID]],0)))</f>
        <v>R</v>
      </c>
      <c r="I599" s="52" t="str">
        <f>IF($C599="B",INDEX(Batters[[#All],[T]],MATCH(Table5[[#This Row],[PID]],Batters[[#All],[PID]],0)),INDEX(Table3[[#All],[T]],MATCH(Table5[[#This Row],[PID]],Table3[[#All],[PID]],0)))</f>
        <v>R</v>
      </c>
      <c r="J599" s="52" t="str">
        <f>IF($C599="B",INDEX(Batters[[#All],[WE]],MATCH(Table5[[#This Row],[PID]],Batters[[#All],[PID]],0)),INDEX(Table3[[#All],[WE]],MATCH(Table5[[#This Row],[PID]],Table3[[#All],[PID]],0)))</f>
        <v>High</v>
      </c>
      <c r="K599" s="52" t="str">
        <f>IF($C599="B",INDEX(Batters[[#All],[INT]],MATCH(Table5[[#This Row],[PID]],Batters[[#All],[PID]],0)),INDEX(Table3[[#All],[INT]],MATCH(Table5[[#This Row],[PID]],Table3[[#All],[PID]],0)))</f>
        <v>Normal</v>
      </c>
      <c r="L599" s="60">
        <f>IF($C599="B",INDEX(Batters[[#All],[CON P]],MATCH(Table5[[#This Row],[PID]],Batters[[#All],[PID]],0)),INDEX(Table3[[#All],[STU P]],MATCH(Table5[[#This Row],[PID]],Table3[[#All],[PID]],0)))</f>
        <v>3</v>
      </c>
      <c r="M599" s="56">
        <f>IF($C599="B",INDEX(Batters[[#All],[GAP P]],MATCH(Table5[[#This Row],[PID]],Batters[[#All],[PID]],0)),INDEX(Table3[[#All],[MOV P]],MATCH(Table5[[#This Row],[PID]],Table3[[#All],[PID]],0)))</f>
        <v>5</v>
      </c>
      <c r="N599" s="56">
        <f>IF($C599="B",INDEX(Batters[[#All],[POW P]],MATCH(Table5[[#This Row],[PID]],Batters[[#All],[PID]],0)),INDEX(Table3[[#All],[CON P]],MATCH(Table5[[#This Row],[PID]],Table3[[#All],[PID]],0)))</f>
        <v>5</v>
      </c>
      <c r="O599" s="56">
        <f>IF($C599="B",INDEX(Batters[[#All],[EYE P]],MATCH(Table5[[#This Row],[PID]],Batters[[#All],[PID]],0)),INDEX(Table3[[#All],[VELO]],MATCH(Table5[[#This Row],[PID]],Table3[[#All],[PID]],0)))</f>
        <v>7</v>
      </c>
      <c r="P599" s="56">
        <f>IF($C599="B",INDEX(Batters[[#All],[K P]],MATCH(Table5[[#This Row],[PID]],Batters[[#All],[PID]],0)),INDEX(Table3[[#All],[STM]],MATCH(Table5[[#This Row],[PID]],Table3[[#All],[PID]],0)))</f>
        <v>3</v>
      </c>
      <c r="Q599" s="61">
        <f>IF($C599="B",INDEX(Batters[[#All],[Tot]],MATCH(Table5[[#This Row],[PID]],Batters[[#All],[PID]],0)),INDEX(Table3[[#All],[Tot]],MATCH(Table5[[#This Row],[PID]],Table3[[#All],[PID]],0)))</f>
        <v>46.70433928649976</v>
      </c>
      <c r="R599" s="52">
        <f>IF($C599="B",INDEX(Batters[[#All],[zScore]],MATCH(Table5[[#This Row],[PID]],Batters[[#All],[PID]],0)),INDEX(Table3[[#All],[zScore]],MATCH(Table5[[#This Row],[PID]],Table3[[#All],[PID]],0)))</f>
        <v>0.57031837133810148</v>
      </c>
      <c r="S599" s="58" t="str">
        <f>IF($C599="B",INDEX(Batters[[#All],[DEM]],MATCH(Table5[[#This Row],[PID]],Batters[[#All],[PID]],0)),INDEX(Table3[[#All],[DEM]],MATCH(Table5[[#This Row],[PID]],Table3[[#All],[PID]],0)))</f>
        <v>$190k</v>
      </c>
      <c r="T599" s="62">
        <f>IF($C599="B",INDEX(Batters[[#All],[Rnk]],MATCH(Table5[[#This Row],[PID]],Batters[[#All],[PID]],0)),INDEX(Table3[[#All],[Rnk]],MATCH(Table5[[#This Row],[PID]],Table3[[#All],[PID]],0)))</f>
        <v>143</v>
      </c>
      <c r="U599" s="68">
        <f>IF($C599="B",VLOOKUP($A599,Bat!$A$4:$BA$1621,47,FALSE),VLOOKUP($A599,Pit!$A$4:$BF$1557,56,FALSE))</f>
        <v>0</v>
      </c>
      <c r="V599" s="50">
        <f>IF($C599="B",VLOOKUP($A599,Bat!$A$4:$BA$1621,48,FALSE),VLOOKUP($A599,Pit!$A$4:$BF$1557,57,FALSE))</f>
        <v>0</v>
      </c>
      <c r="W599" s="50">
        <f>Table5[[#This Row],[posRnk]]+Table5[[#This Row],[zRnk]]+IF($W$3&lt;&gt;Table5[[#This Row],[Type]],50,0)</f>
        <v>540</v>
      </c>
      <c r="X599" s="51">
        <f>RANK(Table5[[#This Row],[zScore]],Table5[[#All],[zScore]])</f>
        <v>347</v>
      </c>
      <c r="Y599" s="50">
        <f>IFERROR(INDEX(DraftResults[[#All],[OVR]],MATCH(Table5[[#This Row],[PID]],DraftResults[[#All],[Player ID]],0)),"")</f>
        <v>595</v>
      </c>
      <c r="Z5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599" s="50">
        <f>IFERROR(INDEX(DraftResults[[#All],[Pick in Round]],MATCH(Table5[[#This Row],[PID]],DraftResults[[#All],[Player ID]],0)),"")</f>
        <v>17</v>
      </c>
      <c r="AB599" s="50" t="str">
        <f>IFERROR(INDEX(DraftResults[[#All],[Team Name]],MATCH(Table5[[#This Row],[PID]],DraftResults[[#All],[Player ID]],0)),"")</f>
        <v>Madison Malts</v>
      </c>
      <c r="AC599" s="50">
        <f>IF(Table5[[#This Row],[Ovr]]="","",IF(Table5[[#This Row],[cmbList]]="","",Table5[[#This Row],[cmbList]]-Table5[[#This Row],[Ovr]]))</f>
        <v>-55</v>
      </c>
      <c r="AD599" s="54" t="str">
        <f>IF(ISERROR(VLOOKUP($AB599&amp;"-"&amp;$E599&amp;" "&amp;F599,Bonuses!$B$1:$G$1006,4,FALSE)),"",INT(VLOOKUP($AB599&amp;"-"&amp;$E599&amp;" "&amp;$F599,Bonuses!$B$1:$G$1006,4,FALSE)))</f>
        <v/>
      </c>
      <c r="AE5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20.17 (595) - SS Andy Walker</v>
      </c>
    </row>
    <row r="600" spans="1:31" s="50" customFormat="1" x14ac:dyDescent="0.25">
      <c r="A600" s="50">
        <v>21016</v>
      </c>
      <c r="B600" s="50">
        <f>COUNTIF(Table5[PID],A600)</f>
        <v>1</v>
      </c>
      <c r="C600" s="50" t="str">
        <f>IF(COUNTIF(Table3[[#All],[PID]],A600)&gt;0,"P","B")</f>
        <v>B</v>
      </c>
      <c r="D600" s="59" t="str">
        <f>IF($C600="B",INDEX(Batters[[#All],[POS]],MATCH(Table5[[#This Row],[PID]],Batters[[#All],[PID]],0)),INDEX(Table3[[#All],[POS]],MATCH(Table5[[#This Row],[PID]],Table3[[#All],[PID]],0)))</f>
        <v>2B</v>
      </c>
      <c r="E600" s="52" t="str">
        <f>IF($C600="B",INDEX(Batters[[#All],[First]],MATCH(Table5[[#This Row],[PID]],Batters[[#All],[PID]],0)),INDEX(Table3[[#All],[First]],MATCH(Table5[[#This Row],[PID]],Table3[[#All],[PID]],0)))</f>
        <v>Colin</v>
      </c>
      <c r="F600" s="50" t="str">
        <f>IF($C600="B",INDEX(Batters[[#All],[Last]],MATCH(A600,Batters[[#All],[PID]],0)),INDEX(Table3[[#All],[Last]],MATCH(A600,Table3[[#All],[PID]],0)))</f>
        <v>Popham</v>
      </c>
      <c r="G600" s="56">
        <f>IF($C600="B",INDEX(Batters[[#All],[Age]],MATCH(Table5[[#This Row],[PID]],Batters[[#All],[PID]],0)),INDEX(Table3[[#All],[Age]],MATCH(Table5[[#This Row],[PID]],Table3[[#All],[PID]],0)))</f>
        <v>17</v>
      </c>
      <c r="H600" s="52" t="str">
        <f>IF($C600="B",INDEX(Batters[[#All],[B]],MATCH(Table5[[#This Row],[PID]],Batters[[#All],[PID]],0)),INDEX(Table3[[#All],[B]],MATCH(Table5[[#This Row],[PID]],Table3[[#All],[PID]],0)))</f>
        <v>R</v>
      </c>
      <c r="I600" s="52" t="str">
        <f>IF($C600="B",INDEX(Batters[[#All],[T]],MATCH(Table5[[#This Row],[PID]],Batters[[#All],[PID]],0)),INDEX(Table3[[#All],[T]],MATCH(Table5[[#This Row],[PID]],Table3[[#All],[PID]],0)))</f>
        <v>R</v>
      </c>
      <c r="J600" s="52" t="str">
        <f>IF($C600="B",INDEX(Batters[[#All],[WE]],MATCH(Table5[[#This Row],[PID]],Batters[[#All],[PID]],0)),INDEX(Table3[[#All],[WE]],MATCH(Table5[[#This Row],[PID]],Table3[[#All],[PID]],0)))</f>
        <v>Low</v>
      </c>
      <c r="K600" s="52" t="str">
        <f>IF($C600="B",INDEX(Batters[[#All],[INT]],MATCH(Table5[[#This Row],[PID]],Batters[[#All],[PID]],0)),INDEX(Table3[[#All],[INT]],MATCH(Table5[[#This Row],[PID]],Table3[[#All],[PID]],0)))</f>
        <v>Normal</v>
      </c>
      <c r="L600" s="60">
        <f>IF($C600="B",INDEX(Batters[[#All],[CON P]],MATCH(Table5[[#This Row],[PID]],Batters[[#All],[PID]],0)),INDEX(Table3[[#All],[STU P]],MATCH(Table5[[#This Row],[PID]],Table3[[#All],[PID]],0)))</f>
        <v>4</v>
      </c>
      <c r="M600" s="56">
        <f>IF($C600="B",INDEX(Batters[[#All],[GAP P]],MATCH(Table5[[#This Row],[PID]],Batters[[#All],[PID]],0)),INDEX(Table3[[#All],[MOV P]],MATCH(Table5[[#This Row],[PID]],Table3[[#All],[PID]],0)))</f>
        <v>4</v>
      </c>
      <c r="N600" s="56">
        <f>IF($C600="B",INDEX(Batters[[#All],[POW P]],MATCH(Table5[[#This Row],[PID]],Batters[[#All],[PID]],0)),INDEX(Table3[[#All],[CON P]],MATCH(Table5[[#This Row],[PID]],Table3[[#All],[PID]],0)))</f>
        <v>2</v>
      </c>
      <c r="O600" s="56">
        <f>IF($C600="B",INDEX(Batters[[#All],[EYE P]],MATCH(Table5[[#This Row],[PID]],Batters[[#All],[PID]],0)),INDEX(Table3[[#All],[VELO]],MATCH(Table5[[#This Row],[PID]],Table3[[#All],[PID]],0)))</f>
        <v>7</v>
      </c>
      <c r="P600" s="56">
        <f>IF($C600="B",INDEX(Batters[[#All],[K P]],MATCH(Table5[[#This Row],[PID]],Batters[[#All],[PID]],0)),INDEX(Table3[[#All],[STM]],MATCH(Table5[[#This Row],[PID]],Table3[[#All],[PID]],0)))</f>
        <v>4</v>
      </c>
      <c r="Q600" s="61">
        <f>IF($C600="B",INDEX(Batters[[#All],[Tot]],MATCH(Table5[[#This Row],[PID]],Batters[[#All],[PID]],0)),INDEX(Table3[[#All],[Tot]],MATCH(Table5[[#This Row],[PID]],Table3[[#All],[PID]],0)))</f>
        <v>46.857379046413826</v>
      </c>
      <c r="R600" s="52">
        <f>IF($C600="B",INDEX(Batters[[#All],[zScore]],MATCH(Table5[[#This Row],[PID]],Batters[[#All],[PID]],0)),INDEX(Table3[[#All],[zScore]],MATCH(Table5[[#This Row],[PID]],Table3[[#All],[PID]],0)))</f>
        <v>0.60424832056382216</v>
      </c>
      <c r="S600" s="58" t="str">
        <f>IF($C600="B",INDEX(Batters[[#All],[DEM]],MATCH(Table5[[#This Row],[PID]],Batters[[#All],[PID]],0)),INDEX(Table3[[#All],[DEM]],MATCH(Table5[[#This Row],[PID]],Table3[[#All],[PID]],0)))</f>
        <v>$65k</v>
      </c>
      <c r="T600" s="62">
        <f>IF($C600="B",INDEX(Batters[[#All],[Rnk]],MATCH(Table5[[#This Row],[PID]],Batters[[#All],[PID]],0)),INDEX(Table3[[#All],[Rnk]],MATCH(Table5[[#This Row],[PID]],Table3[[#All],[PID]],0)))</f>
        <v>137</v>
      </c>
      <c r="U600" s="68">
        <f>IF($C600="B",VLOOKUP($A600,Bat!$A$4:$BA$1621,47,FALSE),VLOOKUP($A600,Pit!$A$4:$BF$1557,56,FALSE))</f>
        <v>0</v>
      </c>
      <c r="V600" s="50">
        <f>IF($C600="B",VLOOKUP($A600,Bat!$A$4:$BA$1621,48,FALSE),VLOOKUP($A600,Pit!$A$4:$BF$1557,57,FALSE))</f>
        <v>0</v>
      </c>
      <c r="W600" s="50">
        <f>Table5[[#This Row],[posRnk]]+Table5[[#This Row],[zRnk]]+IF($W$3&lt;&gt;Table5[[#This Row],[Type]],50,0)</f>
        <v>523</v>
      </c>
      <c r="X600" s="51">
        <f>RANK(Table5[[#This Row],[zScore]],Table5[[#All],[zScore]])</f>
        <v>336</v>
      </c>
      <c r="Y600" s="50">
        <f>IFERROR(INDEX(DraftResults[[#All],[OVR]],MATCH(Table5[[#This Row],[PID]],DraftResults[[#All],[Player ID]],0)),"")</f>
        <v>596</v>
      </c>
      <c r="Z6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0" s="50">
        <f>IFERROR(INDEX(DraftResults[[#All],[Pick in Round]],MATCH(Table5[[#This Row],[PID]],DraftResults[[#All],[Player ID]],0)),"")</f>
        <v>18</v>
      </c>
      <c r="AB600" s="50" t="str">
        <f>IFERROR(INDEX(DraftResults[[#All],[Team Name]],MATCH(Table5[[#This Row],[PID]],DraftResults[[#All],[Player ID]],0)),"")</f>
        <v>Bakersfield Bears</v>
      </c>
      <c r="AC600" s="50">
        <f>IF(Table5[[#This Row],[Ovr]]="","",IF(Table5[[#This Row],[cmbList]]="","",Table5[[#This Row],[cmbList]]-Table5[[#This Row],[Ovr]]))</f>
        <v>-73</v>
      </c>
      <c r="AD600" s="54" t="str">
        <f>IF(ISERROR(VLOOKUP($AB600&amp;"-"&amp;$E600&amp;" "&amp;F600,Bonuses!$B$1:$G$1006,4,FALSE)),"",INT(VLOOKUP($AB600&amp;"-"&amp;$E600&amp;" "&amp;$F600,Bonuses!$B$1:$G$1006,4,FALSE)))</f>
        <v/>
      </c>
      <c r="AE6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20.18 (596) - 2B Colin Popham</v>
      </c>
    </row>
    <row r="601" spans="1:31" s="50" customFormat="1" x14ac:dyDescent="0.25">
      <c r="A601" s="50">
        <v>17884</v>
      </c>
      <c r="B601" s="50">
        <f>COUNTIF(Table5[PID],A601)</f>
        <v>1</v>
      </c>
      <c r="C601" s="50" t="str">
        <f>IF(COUNTIF(Table3[[#All],[PID]],A601)&gt;0,"P","B")</f>
        <v>P</v>
      </c>
      <c r="D601" s="59" t="str">
        <f>IF($C601="B",INDEX(Batters[[#All],[POS]],MATCH(Table5[[#This Row],[PID]],Batters[[#All],[PID]],0)),INDEX(Table3[[#All],[POS]],MATCH(Table5[[#This Row],[PID]],Table3[[#All],[PID]],0)))</f>
        <v>RP</v>
      </c>
      <c r="E601" s="52" t="str">
        <f>IF($C601="B",INDEX(Batters[[#All],[First]],MATCH(Table5[[#This Row],[PID]],Batters[[#All],[PID]],0)),INDEX(Table3[[#All],[First]],MATCH(Table5[[#This Row],[PID]],Table3[[#All],[PID]],0)))</f>
        <v>Rintaro</v>
      </c>
      <c r="F601" s="50" t="str">
        <f>IF($C601="B",INDEX(Batters[[#All],[Last]],MATCH(A601,Batters[[#All],[PID]],0)),INDEX(Table3[[#All],[Last]],MATCH(A601,Table3[[#All],[PID]],0)))</f>
        <v>Harada</v>
      </c>
      <c r="G601" s="56">
        <f>IF($C601="B",INDEX(Batters[[#All],[Age]],MATCH(Table5[[#This Row],[PID]],Batters[[#All],[PID]],0)),INDEX(Table3[[#All],[Age]],MATCH(Table5[[#This Row],[PID]],Table3[[#All],[PID]],0)))</f>
        <v>18</v>
      </c>
      <c r="H601" s="52" t="str">
        <f>IF($C601="B",INDEX(Batters[[#All],[B]],MATCH(Table5[[#This Row],[PID]],Batters[[#All],[PID]],0)),INDEX(Table3[[#All],[B]],MATCH(Table5[[#This Row],[PID]],Table3[[#All],[PID]],0)))</f>
        <v>L</v>
      </c>
      <c r="I601" s="52" t="str">
        <f>IF($C601="B",INDEX(Batters[[#All],[T]],MATCH(Table5[[#This Row],[PID]],Batters[[#All],[PID]],0)),INDEX(Table3[[#All],[T]],MATCH(Table5[[#This Row],[PID]],Table3[[#All],[PID]],0)))</f>
        <v>R</v>
      </c>
      <c r="J601" s="52" t="str">
        <f>IF($C601="B",INDEX(Batters[[#All],[WE]],MATCH(Table5[[#This Row],[PID]],Batters[[#All],[PID]],0)),INDEX(Table3[[#All],[WE]],MATCH(Table5[[#This Row],[PID]],Table3[[#All],[PID]],0)))</f>
        <v>Normal</v>
      </c>
      <c r="K601" s="52" t="str">
        <f>IF($C601="B",INDEX(Batters[[#All],[INT]],MATCH(Table5[[#This Row],[PID]],Batters[[#All],[PID]],0)),INDEX(Table3[[#All],[INT]],MATCH(Table5[[#This Row],[PID]],Table3[[#All],[PID]],0)))</f>
        <v>Normal</v>
      </c>
      <c r="L601" s="60">
        <f>IF($C601="B",INDEX(Batters[[#All],[CON P]],MATCH(Table5[[#This Row],[PID]],Batters[[#All],[PID]],0)),INDEX(Table3[[#All],[STU P]],MATCH(Table5[[#This Row],[PID]],Table3[[#All],[PID]],0)))</f>
        <v>5</v>
      </c>
      <c r="M601" s="56">
        <f>IF($C601="B",INDEX(Batters[[#All],[GAP P]],MATCH(Table5[[#This Row],[PID]],Batters[[#All],[PID]],0)),INDEX(Table3[[#All],[MOV P]],MATCH(Table5[[#This Row],[PID]],Table3[[#All],[PID]],0)))</f>
        <v>2</v>
      </c>
      <c r="N601" s="56">
        <f>IF($C601="B",INDEX(Batters[[#All],[POW P]],MATCH(Table5[[#This Row],[PID]],Batters[[#All],[PID]],0)),INDEX(Table3[[#All],[CON P]],MATCH(Table5[[#This Row],[PID]],Table3[[#All],[PID]],0)))</f>
        <v>4</v>
      </c>
      <c r="O601" s="56" t="str">
        <f>IF($C601="B",INDEX(Batters[[#All],[EYE P]],MATCH(Table5[[#This Row],[PID]],Batters[[#All],[PID]],0)),INDEX(Table3[[#All],[VELO]],MATCH(Table5[[#This Row],[PID]],Table3[[#All],[PID]],0)))</f>
        <v>90-92 Mph</v>
      </c>
      <c r="P601" s="56">
        <f>IF($C601="B",INDEX(Batters[[#All],[K P]],MATCH(Table5[[#This Row],[PID]],Batters[[#All],[PID]],0)),INDEX(Table3[[#All],[STM]],MATCH(Table5[[#This Row],[PID]],Table3[[#All],[PID]],0)))</f>
        <v>6</v>
      </c>
      <c r="Q601" s="61">
        <f>IF($C601="B",INDEX(Batters[[#All],[Tot]],MATCH(Table5[[#This Row],[PID]],Batters[[#All],[PID]],0)),INDEX(Table3[[#All],[Tot]],MATCH(Table5[[#This Row],[PID]],Table3[[#All],[PID]],0)))</f>
        <v>44.591975277147412</v>
      </c>
      <c r="R601" s="52">
        <f>IF($C601="B",INDEX(Batters[[#All],[zScore]],MATCH(Table5[[#This Row],[PID]],Batters[[#All],[PID]],0)),INDEX(Table3[[#All],[zScore]],MATCH(Table5[[#This Row],[PID]],Table3[[#All],[PID]],0)))</f>
        <v>0.58022469022407697</v>
      </c>
      <c r="S601" s="58" t="str">
        <f>IF($C601="B",INDEX(Batters[[#All],[DEM]],MATCH(Table5[[#This Row],[PID]],Batters[[#All],[PID]],0)),INDEX(Table3[[#All],[DEM]],MATCH(Table5[[#This Row],[PID]],Table3[[#All],[PID]],0)))</f>
        <v>$110k</v>
      </c>
      <c r="T601" s="62">
        <f>IF($C601="B",INDEX(Batters[[#All],[Rnk]],MATCH(Table5[[#This Row],[PID]],Batters[[#All],[PID]],0)),INDEX(Table3[[#All],[Rnk]],MATCH(Table5[[#This Row],[PID]],Table3[[#All],[PID]],0)))</f>
        <v>203</v>
      </c>
      <c r="U601" s="68">
        <f>IF($C601="B",VLOOKUP($A601,Bat!$A$4:$BA$1621,47,FALSE),VLOOKUP($A601,Pit!$A$4:$BF$1557,56,FALSE))</f>
        <v>0</v>
      </c>
      <c r="V601" s="50">
        <f>IF($C601="B",VLOOKUP($A601,Bat!$A$4:$BA$1621,48,FALSE),VLOOKUP($A601,Pit!$A$4:$BF$1557,57,FALSE))</f>
        <v>0</v>
      </c>
      <c r="W601" s="50">
        <f>Table5[[#This Row],[posRnk]]+Table5[[#This Row],[zRnk]]+IF($W$3&lt;&gt;Table5[[#This Row],[Type]],50,0)</f>
        <v>595</v>
      </c>
      <c r="X601" s="51">
        <f>RANK(Table5[[#This Row],[zScore]],Table5[[#All],[zScore]])</f>
        <v>342</v>
      </c>
      <c r="Y601" s="50">
        <f>IFERROR(INDEX(DraftResults[[#All],[OVR]],MATCH(Table5[[#This Row],[PID]],DraftResults[[#All],[Player ID]],0)),"")</f>
        <v>597</v>
      </c>
      <c r="Z6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1" s="50">
        <f>IFERROR(INDEX(DraftResults[[#All],[Pick in Round]],MATCH(Table5[[#This Row],[PID]],DraftResults[[#All],[Player ID]],0)),"")</f>
        <v>19</v>
      </c>
      <c r="AB601" s="50" t="str">
        <f>IFERROR(INDEX(DraftResults[[#All],[Team Name]],MATCH(Table5[[#This Row],[PID]],DraftResults[[#All],[Player ID]],0)),"")</f>
        <v>Kalamazoo Badgers</v>
      </c>
      <c r="AC601" s="50">
        <f>IF(Table5[[#This Row],[Ovr]]="","",IF(Table5[[#This Row],[cmbList]]="","",Table5[[#This Row],[cmbList]]-Table5[[#This Row],[Ovr]]))</f>
        <v>-2</v>
      </c>
      <c r="AD601" s="54" t="str">
        <f>IF(ISERROR(VLOOKUP($AB601&amp;"-"&amp;$E601&amp;" "&amp;F601,Bonuses!$B$1:$G$1006,4,FALSE)),"",INT(VLOOKUP($AB601&amp;"-"&amp;$E601&amp;" "&amp;$F601,Bonuses!$B$1:$G$1006,4,FALSE)))</f>
        <v/>
      </c>
      <c r="AE6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20.19 (597) - RP Rintaro Harada</v>
      </c>
    </row>
    <row r="602" spans="1:31" s="50" customFormat="1" x14ac:dyDescent="0.25">
      <c r="A602" s="50">
        <v>18357</v>
      </c>
      <c r="B602" s="50">
        <f>COUNTIF(Table5[PID],A602)</f>
        <v>1</v>
      </c>
      <c r="C602" s="50" t="str">
        <f>IF(COUNTIF(Table3[[#All],[PID]],A602)&gt;0,"P","B")</f>
        <v>B</v>
      </c>
      <c r="D602" s="59" t="str">
        <f>IF($C602="B",INDEX(Batters[[#All],[POS]],MATCH(Table5[[#This Row],[PID]],Batters[[#All],[PID]],0)),INDEX(Table3[[#All],[POS]],MATCH(Table5[[#This Row],[PID]],Table3[[#All],[PID]],0)))</f>
        <v>RF</v>
      </c>
      <c r="E602" s="52" t="str">
        <f>IF($C602="B",INDEX(Batters[[#All],[First]],MATCH(Table5[[#This Row],[PID]],Batters[[#All],[PID]],0)),INDEX(Table3[[#All],[First]],MATCH(Table5[[#This Row],[PID]],Table3[[#All],[PID]],0)))</f>
        <v>Rafael</v>
      </c>
      <c r="F602" s="50" t="str">
        <f>IF($C602="B",INDEX(Batters[[#All],[Last]],MATCH(A602,Batters[[#All],[PID]],0)),INDEX(Table3[[#All],[Last]],MATCH(A602,Table3[[#All],[PID]],0)))</f>
        <v>Trevino</v>
      </c>
      <c r="G602" s="56">
        <f>IF($C602="B",INDEX(Batters[[#All],[Age]],MATCH(Table5[[#This Row],[PID]],Batters[[#All],[PID]],0)),INDEX(Table3[[#All],[Age]],MATCH(Table5[[#This Row],[PID]],Table3[[#All],[PID]],0)))</f>
        <v>18</v>
      </c>
      <c r="H602" s="52" t="str">
        <f>IF($C602="B",INDEX(Batters[[#All],[B]],MATCH(Table5[[#This Row],[PID]],Batters[[#All],[PID]],0)),INDEX(Table3[[#All],[B]],MATCH(Table5[[#This Row],[PID]],Table3[[#All],[PID]],0)))</f>
        <v>R</v>
      </c>
      <c r="I602" s="52" t="str">
        <f>IF($C602="B",INDEX(Batters[[#All],[T]],MATCH(Table5[[#This Row],[PID]],Batters[[#All],[PID]],0)),INDEX(Table3[[#All],[T]],MATCH(Table5[[#This Row],[PID]],Table3[[#All],[PID]],0)))</f>
        <v>R</v>
      </c>
      <c r="J602" s="52" t="str">
        <f>IF($C602="B",INDEX(Batters[[#All],[WE]],MATCH(Table5[[#This Row],[PID]],Batters[[#All],[PID]],0)),INDEX(Table3[[#All],[WE]],MATCH(Table5[[#This Row],[PID]],Table3[[#All],[PID]],0)))</f>
        <v>High</v>
      </c>
      <c r="K602" s="52" t="str">
        <f>IF($C602="B",INDEX(Batters[[#All],[INT]],MATCH(Table5[[#This Row],[PID]],Batters[[#All],[PID]],0)),INDEX(Table3[[#All],[INT]],MATCH(Table5[[#This Row],[PID]],Table3[[#All],[PID]],0)))</f>
        <v>Normal</v>
      </c>
      <c r="L602" s="60">
        <f>IF($C602="B",INDEX(Batters[[#All],[CON P]],MATCH(Table5[[#This Row],[PID]],Batters[[#All],[PID]],0)),INDEX(Table3[[#All],[STU P]],MATCH(Table5[[#This Row],[PID]],Table3[[#All],[PID]],0)))</f>
        <v>4</v>
      </c>
      <c r="M602" s="56">
        <f>IF($C602="B",INDEX(Batters[[#All],[GAP P]],MATCH(Table5[[#This Row],[PID]],Batters[[#All],[PID]],0)),INDEX(Table3[[#All],[MOV P]],MATCH(Table5[[#This Row],[PID]],Table3[[#All],[PID]],0)))</f>
        <v>3</v>
      </c>
      <c r="N602" s="56">
        <f>IF($C602="B",INDEX(Batters[[#All],[POW P]],MATCH(Table5[[#This Row],[PID]],Batters[[#All],[PID]],0)),INDEX(Table3[[#All],[CON P]],MATCH(Table5[[#This Row],[PID]],Table3[[#All],[PID]],0)))</f>
        <v>2</v>
      </c>
      <c r="O602" s="56">
        <f>IF($C602="B",INDEX(Batters[[#All],[EYE P]],MATCH(Table5[[#This Row],[PID]],Batters[[#All],[PID]],0)),INDEX(Table3[[#All],[VELO]],MATCH(Table5[[#This Row],[PID]],Table3[[#All],[PID]],0)))</f>
        <v>7</v>
      </c>
      <c r="P602" s="56">
        <f>IF($C602="B",INDEX(Batters[[#All],[K P]],MATCH(Table5[[#This Row],[PID]],Batters[[#All],[PID]],0)),INDEX(Table3[[#All],[STM]],MATCH(Table5[[#This Row],[PID]],Table3[[#All],[PID]],0)))</f>
        <v>5</v>
      </c>
      <c r="Q602" s="61">
        <f>IF($C602="B",INDEX(Batters[[#All],[Tot]],MATCH(Table5[[#This Row],[PID]],Batters[[#All],[PID]],0)),INDEX(Table3[[#All],[Tot]],MATCH(Table5[[#This Row],[PID]],Table3[[#All],[PID]],0)))</f>
        <v>47.202142831395406</v>
      </c>
      <c r="R602" s="52">
        <f>IF($C602="B",INDEX(Batters[[#All],[zScore]],MATCH(Table5[[#This Row],[PID]],Batters[[#All],[PID]],0)),INDEX(Table3[[#All],[zScore]],MATCH(Table5[[#This Row],[PID]],Table3[[#All],[PID]],0)))</f>
        <v>0.68068478208114813</v>
      </c>
      <c r="S602" s="58" t="str">
        <f>IF($C602="B",INDEX(Batters[[#All],[DEM]],MATCH(Table5[[#This Row],[PID]],Batters[[#All],[PID]],0)),INDEX(Table3[[#All],[DEM]],MATCH(Table5[[#This Row],[PID]],Table3[[#All],[PID]],0)))</f>
        <v>$75k</v>
      </c>
      <c r="T602" s="62">
        <f>IF($C602="B",INDEX(Batters[[#All],[Rnk]],MATCH(Table5[[#This Row],[PID]],Batters[[#All],[PID]],0)),INDEX(Table3[[#All],[Rnk]],MATCH(Table5[[#This Row],[PID]],Table3[[#All],[PID]],0)))</f>
        <v>122</v>
      </c>
      <c r="U602" s="68">
        <f>IF($C602="B",VLOOKUP($A602,Bat!$A$4:$BA$1621,47,FALSE),VLOOKUP($A602,Pit!$A$4:$BF$1557,56,FALSE))</f>
        <v>0</v>
      </c>
      <c r="V602" s="50">
        <f>IF($C602="B",VLOOKUP($A602,Bat!$A$4:$BA$1621,48,FALSE),VLOOKUP($A602,Pit!$A$4:$BF$1557,57,FALSE))</f>
        <v>0</v>
      </c>
      <c r="W602" s="50">
        <f>Table5[[#This Row],[posRnk]]+Table5[[#This Row],[zRnk]]+IF($W$3&lt;&gt;Table5[[#This Row],[Type]],50,0)</f>
        <v>484</v>
      </c>
      <c r="X602" s="51">
        <f>RANK(Table5[[#This Row],[zScore]],Table5[[#All],[zScore]])</f>
        <v>312</v>
      </c>
      <c r="Y602" s="50">
        <f>IFERROR(INDEX(DraftResults[[#All],[OVR]],MATCH(Table5[[#This Row],[PID]],DraftResults[[#All],[Player ID]],0)),"")</f>
        <v>598</v>
      </c>
      <c r="Z6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2" s="50">
        <f>IFERROR(INDEX(DraftResults[[#All],[Pick in Round]],MATCH(Table5[[#This Row],[PID]],DraftResults[[#All],[Player ID]],0)),"")</f>
        <v>20</v>
      </c>
      <c r="AB602" s="50" t="str">
        <f>IFERROR(INDEX(DraftResults[[#All],[Team Name]],MATCH(Table5[[#This Row],[PID]],DraftResults[[#All],[Player ID]],0)),"")</f>
        <v>Amsterdam Lions</v>
      </c>
      <c r="AC602" s="50">
        <f>IF(Table5[[#This Row],[Ovr]]="","",IF(Table5[[#This Row],[cmbList]]="","",Table5[[#This Row],[cmbList]]-Table5[[#This Row],[Ovr]]))</f>
        <v>-114</v>
      </c>
      <c r="AD602" s="54" t="str">
        <f>IF(ISERROR(VLOOKUP($AB602&amp;"-"&amp;$E602&amp;" "&amp;F602,Bonuses!$B$1:$G$1006,4,FALSE)),"",INT(VLOOKUP($AB602&amp;"-"&amp;$E602&amp;" "&amp;$F602,Bonuses!$B$1:$G$1006,4,FALSE)))</f>
        <v/>
      </c>
      <c r="AE6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20.20 (598) - RF Rafael Trevino</v>
      </c>
    </row>
    <row r="603" spans="1:31" s="50" customFormat="1" x14ac:dyDescent="0.25">
      <c r="A603" s="50">
        <v>20585</v>
      </c>
      <c r="B603" s="50">
        <f>COUNTIF(Table5[PID],A603)</f>
        <v>1</v>
      </c>
      <c r="C603" s="50" t="str">
        <f>IF(COUNTIF(Table3[[#All],[PID]],A603)&gt;0,"P","B")</f>
        <v>P</v>
      </c>
      <c r="D603" s="59" t="str">
        <f>IF($C603="B",INDEX(Batters[[#All],[POS]],MATCH(Table5[[#This Row],[PID]],Batters[[#All],[PID]],0)),INDEX(Table3[[#All],[POS]],MATCH(Table5[[#This Row],[PID]],Table3[[#All],[PID]],0)))</f>
        <v>RP</v>
      </c>
      <c r="E603" s="52" t="str">
        <f>IF($C603="B",INDEX(Batters[[#All],[First]],MATCH(Table5[[#This Row],[PID]],Batters[[#All],[PID]],0)),INDEX(Table3[[#All],[First]],MATCH(Table5[[#This Row],[PID]],Table3[[#All],[PID]],0)))</f>
        <v>Wu-han</v>
      </c>
      <c r="F603" s="50" t="str">
        <f>IF($C603="B",INDEX(Batters[[#All],[Last]],MATCH(A603,Batters[[#All],[PID]],0)),INDEX(Table3[[#All],[Last]],MATCH(A603,Table3[[#All],[PID]],0)))</f>
        <v>Won</v>
      </c>
      <c r="G603" s="56">
        <f>IF($C603="B",INDEX(Batters[[#All],[Age]],MATCH(Table5[[#This Row],[PID]],Batters[[#All],[PID]],0)),INDEX(Table3[[#All],[Age]],MATCH(Table5[[#This Row],[PID]],Table3[[#All],[PID]],0)))</f>
        <v>18</v>
      </c>
      <c r="H603" s="52" t="str">
        <f>IF($C603="B",INDEX(Batters[[#All],[B]],MATCH(Table5[[#This Row],[PID]],Batters[[#All],[PID]],0)),INDEX(Table3[[#All],[B]],MATCH(Table5[[#This Row],[PID]],Table3[[#All],[PID]],0)))</f>
        <v>L</v>
      </c>
      <c r="I603" s="52" t="str">
        <f>IF($C603="B",INDEX(Batters[[#All],[T]],MATCH(Table5[[#This Row],[PID]],Batters[[#All],[PID]],0)),INDEX(Table3[[#All],[T]],MATCH(Table5[[#This Row],[PID]],Table3[[#All],[PID]],0)))</f>
        <v>L</v>
      </c>
      <c r="J603" s="52" t="str">
        <f>IF($C603="B",INDEX(Batters[[#All],[WE]],MATCH(Table5[[#This Row],[PID]],Batters[[#All],[PID]],0)),INDEX(Table3[[#All],[WE]],MATCH(Table5[[#This Row],[PID]],Table3[[#All],[PID]],0)))</f>
        <v>Low</v>
      </c>
      <c r="K603" s="52" t="str">
        <f>IF($C603="B",INDEX(Batters[[#All],[INT]],MATCH(Table5[[#This Row],[PID]],Batters[[#All],[PID]],0)),INDEX(Table3[[#All],[INT]],MATCH(Table5[[#This Row],[PID]],Table3[[#All],[PID]],0)))</f>
        <v>Normal</v>
      </c>
      <c r="L603" s="60">
        <f>IF($C603="B",INDEX(Batters[[#All],[CON P]],MATCH(Table5[[#This Row],[PID]],Batters[[#All],[PID]],0)),INDEX(Table3[[#All],[STU P]],MATCH(Table5[[#This Row],[PID]],Table3[[#All],[PID]],0)))</f>
        <v>4</v>
      </c>
      <c r="M603" s="56">
        <f>IF($C603="B",INDEX(Batters[[#All],[GAP P]],MATCH(Table5[[#This Row],[PID]],Batters[[#All],[PID]],0)),INDEX(Table3[[#All],[MOV P]],MATCH(Table5[[#This Row],[PID]],Table3[[#All],[PID]],0)))</f>
        <v>1</v>
      </c>
      <c r="N603" s="56">
        <f>IF($C603="B",INDEX(Batters[[#All],[POW P]],MATCH(Table5[[#This Row],[PID]],Batters[[#All],[PID]],0)),INDEX(Table3[[#All],[CON P]],MATCH(Table5[[#This Row],[PID]],Table3[[#All],[PID]],0)))</f>
        <v>2</v>
      </c>
      <c r="O603" s="56" t="str">
        <f>IF($C603="B",INDEX(Batters[[#All],[EYE P]],MATCH(Table5[[#This Row],[PID]],Batters[[#All],[PID]],0)),INDEX(Table3[[#All],[VELO]],MATCH(Table5[[#This Row],[PID]],Table3[[#All],[PID]],0)))</f>
        <v>86-88 Mph</v>
      </c>
      <c r="P603" s="56">
        <f>IF($C603="B",INDEX(Batters[[#All],[K P]],MATCH(Table5[[#This Row],[PID]],Batters[[#All],[PID]],0)),INDEX(Table3[[#All],[STM]],MATCH(Table5[[#This Row],[PID]],Table3[[#All],[PID]],0)))</f>
        <v>6</v>
      </c>
      <c r="Q603" s="61">
        <f>IF($C603="B",INDEX(Batters[[#All],[Tot]],MATCH(Table5[[#This Row],[PID]],Batters[[#All],[PID]],0)),INDEX(Table3[[#All],[Tot]],MATCH(Table5[[#This Row],[PID]],Table3[[#All],[PID]],0)))</f>
        <v>27.299557707586033</v>
      </c>
      <c r="R603" s="52">
        <f>IF($C603="B",INDEX(Batters[[#All],[zScore]],MATCH(Table5[[#This Row],[PID]],Batters[[#All],[PID]],0)),INDEX(Table3[[#All],[zScore]],MATCH(Table5[[#This Row],[PID]],Table3[[#All],[PID]],0)))</f>
        <v>-0.68599033531025</v>
      </c>
      <c r="S603" s="58" t="str">
        <f>IF($C603="B",INDEX(Batters[[#All],[DEM]],MATCH(Table5[[#This Row],[PID]],Batters[[#All],[PID]],0)),INDEX(Table3[[#All],[DEM]],MATCH(Table5[[#This Row],[PID]],Table3[[#All],[PID]],0)))</f>
        <v>$75k</v>
      </c>
      <c r="T603" s="62">
        <f>IF($C603="B",INDEX(Batters[[#All],[Rnk]],MATCH(Table5[[#This Row],[PID]],Batters[[#All],[PID]],0)),INDEX(Table3[[#All],[Rnk]],MATCH(Table5[[#This Row],[PID]],Table3[[#All],[PID]],0)))</f>
        <v>597</v>
      </c>
      <c r="U603" s="68">
        <f>IF($C603="B",VLOOKUP($A603,Bat!$A$4:$BA$1621,47,FALSE),VLOOKUP($A603,Pit!$A$4:$BF$1557,56,FALSE))</f>
        <v>0</v>
      </c>
      <c r="V603" s="50">
        <f>IF($C603="B",VLOOKUP($A603,Bat!$A$4:$BA$1621,48,FALSE),VLOOKUP($A603,Pit!$A$4:$BF$1557,57,FALSE))</f>
        <v>0</v>
      </c>
      <c r="W603" s="50">
        <f>Table5[[#This Row],[posRnk]]+Table5[[#This Row],[zRnk]]+IF($W$3&lt;&gt;Table5[[#This Row],[Type]],50,0)</f>
        <v>1623</v>
      </c>
      <c r="X603" s="51">
        <f>RANK(Table5[[#This Row],[zScore]],Table5[[#All],[zScore]])</f>
        <v>976</v>
      </c>
      <c r="Y603" s="50">
        <f>IFERROR(INDEX(DraftResults[[#All],[OVR]],MATCH(Table5[[#This Row],[PID]],DraftResults[[#All],[Player ID]],0)),"")</f>
        <v>599</v>
      </c>
      <c r="Z6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3" s="50">
        <f>IFERROR(INDEX(DraftResults[[#All],[Pick in Round]],MATCH(Table5[[#This Row],[PID]],DraftResults[[#All],[Player ID]],0)),"")</f>
        <v>21</v>
      </c>
      <c r="AB603" s="50" t="str">
        <f>IFERROR(INDEX(DraftResults[[#All],[Team Name]],MATCH(Table5[[#This Row],[PID]],DraftResults[[#All],[Player ID]],0)),"")</f>
        <v>Crystal Lake Sandgnats</v>
      </c>
      <c r="AC603" s="50">
        <f>IF(Table5[[#This Row],[Ovr]]="","",IF(Table5[[#This Row],[cmbList]]="","",Table5[[#This Row],[cmbList]]-Table5[[#This Row],[Ovr]]))</f>
        <v>1024</v>
      </c>
      <c r="AD603" s="54" t="str">
        <f>IF(ISERROR(VLOOKUP($AB603&amp;"-"&amp;$E603&amp;" "&amp;F603,Bonuses!$B$1:$G$1006,4,FALSE)),"",INT(VLOOKUP($AB603&amp;"-"&amp;$E603&amp;" "&amp;$F603,Bonuses!$B$1:$G$1006,4,FALSE)))</f>
        <v/>
      </c>
      <c r="AE6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20.21 (599) - RP Wu-han Won</v>
      </c>
    </row>
    <row r="604" spans="1:31" s="50" customFormat="1" x14ac:dyDescent="0.25">
      <c r="A604" s="50">
        <v>17805</v>
      </c>
      <c r="B604" s="50">
        <f>COUNTIF(Table5[PID],A604)</f>
        <v>1</v>
      </c>
      <c r="C604" s="50" t="str">
        <f>IF(COUNTIF(Table3[[#All],[PID]],A604)&gt;0,"P","B")</f>
        <v>P</v>
      </c>
      <c r="D604" s="59" t="str">
        <f>IF($C604="B",INDEX(Batters[[#All],[POS]],MATCH(Table5[[#This Row],[PID]],Batters[[#All],[PID]],0)),INDEX(Table3[[#All],[POS]],MATCH(Table5[[#This Row],[PID]],Table3[[#All],[PID]],0)))</f>
        <v>RP</v>
      </c>
      <c r="E604" s="52" t="str">
        <f>IF($C604="B",INDEX(Batters[[#All],[First]],MATCH(Table5[[#This Row],[PID]],Batters[[#All],[PID]],0)),INDEX(Table3[[#All],[First]],MATCH(Table5[[#This Row],[PID]],Table3[[#All],[PID]],0)))</f>
        <v>Roald</v>
      </c>
      <c r="F604" s="50" t="str">
        <f>IF($C604="B",INDEX(Batters[[#All],[Last]],MATCH(A604,Batters[[#All],[PID]],0)),INDEX(Table3[[#All],[Last]],MATCH(A604,Table3[[#All],[PID]],0)))</f>
        <v>van Ginderen</v>
      </c>
      <c r="G604" s="56">
        <f>IF($C604="B",INDEX(Batters[[#All],[Age]],MATCH(Table5[[#This Row],[PID]],Batters[[#All],[PID]],0)),INDEX(Table3[[#All],[Age]],MATCH(Table5[[#This Row],[PID]],Table3[[#All],[PID]],0)))</f>
        <v>21</v>
      </c>
      <c r="H604" s="52" t="str">
        <f>IF($C604="B",INDEX(Batters[[#All],[B]],MATCH(Table5[[#This Row],[PID]],Batters[[#All],[PID]],0)),INDEX(Table3[[#All],[B]],MATCH(Table5[[#This Row],[PID]],Table3[[#All],[PID]],0)))</f>
        <v>R</v>
      </c>
      <c r="I604" s="52" t="str">
        <f>IF($C604="B",INDEX(Batters[[#All],[T]],MATCH(Table5[[#This Row],[PID]],Batters[[#All],[PID]],0)),INDEX(Table3[[#All],[T]],MATCH(Table5[[#This Row],[PID]],Table3[[#All],[PID]],0)))</f>
        <v>R</v>
      </c>
      <c r="J604" s="52" t="str">
        <f>IF($C604="B",INDEX(Batters[[#All],[WE]],MATCH(Table5[[#This Row],[PID]],Batters[[#All],[PID]],0)),INDEX(Table3[[#All],[WE]],MATCH(Table5[[#This Row],[PID]],Table3[[#All],[PID]],0)))</f>
        <v>Low</v>
      </c>
      <c r="K604" s="52" t="str">
        <f>IF($C604="B",INDEX(Batters[[#All],[INT]],MATCH(Table5[[#This Row],[PID]],Batters[[#All],[PID]],0)),INDEX(Table3[[#All],[INT]],MATCH(Table5[[#This Row],[PID]],Table3[[#All],[PID]],0)))</f>
        <v>Normal</v>
      </c>
      <c r="L604" s="60">
        <f>IF($C604="B",INDEX(Batters[[#All],[CON P]],MATCH(Table5[[#This Row],[PID]],Batters[[#All],[PID]],0)),INDEX(Table3[[#All],[STU P]],MATCH(Table5[[#This Row],[PID]],Table3[[#All],[PID]],0)))</f>
        <v>6</v>
      </c>
      <c r="M604" s="56">
        <f>IF($C604="B",INDEX(Batters[[#All],[GAP P]],MATCH(Table5[[#This Row],[PID]],Batters[[#All],[PID]],0)),INDEX(Table3[[#All],[MOV P]],MATCH(Table5[[#This Row],[PID]],Table3[[#All],[PID]],0)))</f>
        <v>1</v>
      </c>
      <c r="N604" s="56">
        <f>IF($C604="B",INDEX(Batters[[#All],[POW P]],MATCH(Table5[[#This Row],[PID]],Batters[[#All],[PID]],0)),INDEX(Table3[[#All],[CON P]],MATCH(Table5[[#This Row],[PID]],Table3[[#All],[PID]],0)))</f>
        <v>3</v>
      </c>
      <c r="O604" s="56" t="str">
        <f>IF($C604="B",INDEX(Batters[[#All],[EYE P]],MATCH(Table5[[#This Row],[PID]],Batters[[#All],[PID]],0)),INDEX(Table3[[#All],[VELO]],MATCH(Table5[[#This Row],[PID]],Table3[[#All],[PID]],0)))</f>
        <v>94-96 Mph</v>
      </c>
      <c r="P604" s="56">
        <f>IF($C604="B",INDEX(Batters[[#All],[K P]],MATCH(Table5[[#This Row],[PID]],Batters[[#All],[PID]],0)),INDEX(Table3[[#All],[STM]],MATCH(Table5[[#This Row],[PID]],Table3[[#All],[PID]],0)))</f>
        <v>7</v>
      </c>
      <c r="Q604" s="61">
        <f>IF($C604="B",INDEX(Batters[[#All],[Tot]],MATCH(Table5[[#This Row],[PID]],Batters[[#All],[PID]],0)),INDEX(Table3[[#All],[Tot]],MATCH(Table5[[#This Row],[PID]],Table3[[#All],[PID]],0)))</f>
        <v>33.908826094013897</v>
      </c>
      <c r="R604" s="52">
        <f>IF($C604="B",INDEX(Batters[[#All],[zScore]],MATCH(Table5[[#This Row],[PID]],Batters[[#All],[PID]],0)),INDEX(Table3[[#All],[zScore]],MATCH(Table5[[#This Row],[PID]],Table3[[#All],[PID]],0)))</f>
        <v>-0.207727380136875</v>
      </c>
      <c r="S604" s="58" t="str">
        <f>IF($C604="B",INDEX(Batters[[#All],[DEM]],MATCH(Table5[[#This Row],[PID]],Batters[[#All],[PID]],0)),INDEX(Table3[[#All],[DEM]],MATCH(Table5[[#This Row],[PID]],Table3[[#All],[PID]],0)))</f>
        <v>-</v>
      </c>
      <c r="T604" s="62">
        <f>IF($C604="B",INDEX(Batters[[#All],[Rnk]],MATCH(Table5[[#This Row],[PID]],Batters[[#All],[PID]],0)),INDEX(Table3[[#All],[Rnk]],MATCH(Table5[[#This Row],[PID]],Table3[[#All],[PID]],0)))</f>
        <v>390</v>
      </c>
      <c r="U604" s="68">
        <f>IF($C604="B",VLOOKUP($A604,Bat!$A$4:$BA$1621,47,FALSE),VLOOKUP($A604,Pit!$A$4:$BF$1557,56,FALSE))</f>
        <v>0</v>
      </c>
      <c r="V604" s="50">
        <f>IF($C604="B",VLOOKUP($A604,Bat!$A$4:$BA$1621,48,FALSE),VLOOKUP($A604,Pit!$A$4:$BF$1557,57,FALSE))</f>
        <v>0</v>
      </c>
      <c r="W604" s="50">
        <f>Table5[[#This Row],[posRnk]]+Table5[[#This Row],[zRnk]]+IF($W$3&lt;&gt;Table5[[#This Row],[Type]],50,0)</f>
        <v>1114</v>
      </c>
      <c r="X604" s="51">
        <f>RANK(Table5[[#This Row],[zScore]],Table5[[#All],[zScore]])</f>
        <v>674</v>
      </c>
      <c r="Y604" s="50">
        <f>IFERROR(INDEX(DraftResults[[#All],[OVR]],MATCH(Table5[[#This Row],[PID]],DraftResults[[#All],[Player ID]],0)),"")</f>
        <v>600</v>
      </c>
      <c r="Z6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4" s="50">
        <f>IFERROR(INDEX(DraftResults[[#All],[Pick in Round]],MATCH(Table5[[#This Row],[PID]],DraftResults[[#All],[Player ID]],0)),"")</f>
        <v>22</v>
      </c>
      <c r="AB604" s="50" t="str">
        <f>IFERROR(INDEX(DraftResults[[#All],[Team Name]],MATCH(Table5[[#This Row],[PID]],DraftResults[[#All],[Player ID]],0)),"")</f>
        <v>Fargo Dinosaurs</v>
      </c>
      <c r="AC604" s="50">
        <f>IF(Table5[[#This Row],[Ovr]]="","",IF(Table5[[#This Row],[cmbList]]="","",Table5[[#This Row],[cmbList]]-Table5[[#This Row],[Ovr]]))</f>
        <v>514</v>
      </c>
      <c r="AD604" s="54" t="str">
        <f>IF(ISERROR(VLOOKUP($AB604&amp;"-"&amp;$E604&amp;" "&amp;F604,Bonuses!$B$1:$G$1006,4,FALSE)),"",INT(VLOOKUP($AB604&amp;"-"&amp;$E604&amp;" "&amp;$F604,Bonuses!$B$1:$G$1006,4,FALSE)))</f>
        <v/>
      </c>
      <c r="AE6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20.22 (600) - RP Roald van Ginderen</v>
      </c>
    </row>
    <row r="605" spans="1:31" s="50" customFormat="1" x14ac:dyDescent="0.25">
      <c r="A605" s="50">
        <v>20675</v>
      </c>
      <c r="B605" s="50">
        <f>COUNTIF(Table5[PID],A605)</f>
        <v>1</v>
      </c>
      <c r="C605" s="50" t="str">
        <f>IF(COUNTIF(Table3[[#All],[PID]],A605)&gt;0,"P","B")</f>
        <v>P</v>
      </c>
      <c r="D605" s="59" t="str">
        <f>IF($C605="B",INDEX(Batters[[#All],[POS]],MATCH(Table5[[#This Row],[PID]],Batters[[#All],[PID]],0)),INDEX(Table3[[#All],[POS]],MATCH(Table5[[#This Row],[PID]],Table3[[#All],[PID]],0)))</f>
        <v>RP</v>
      </c>
      <c r="E605" s="52" t="str">
        <f>IF($C605="B",INDEX(Batters[[#All],[First]],MATCH(Table5[[#This Row],[PID]],Batters[[#All],[PID]],0)),INDEX(Table3[[#All],[First]],MATCH(Table5[[#This Row],[PID]],Table3[[#All],[PID]],0)))</f>
        <v>Wu-jiang</v>
      </c>
      <c r="F605" s="50" t="str">
        <f>IF($C605="B",INDEX(Batters[[#All],[Last]],MATCH(A605,Batters[[#All],[PID]],0)),INDEX(Table3[[#All],[Last]],MATCH(A605,Table3[[#All],[PID]],0)))</f>
        <v>Lan</v>
      </c>
      <c r="G605" s="56">
        <f>IF($C605="B",INDEX(Batters[[#All],[Age]],MATCH(Table5[[#This Row],[PID]],Batters[[#All],[PID]],0)),INDEX(Table3[[#All],[Age]],MATCH(Table5[[#This Row],[PID]],Table3[[#All],[PID]],0)))</f>
        <v>18</v>
      </c>
      <c r="H605" s="52" t="str">
        <f>IF($C605="B",INDEX(Batters[[#All],[B]],MATCH(Table5[[#This Row],[PID]],Batters[[#All],[PID]],0)),INDEX(Table3[[#All],[B]],MATCH(Table5[[#This Row],[PID]],Table3[[#All],[PID]],0)))</f>
        <v>L</v>
      </c>
      <c r="I605" s="52" t="str">
        <f>IF($C605="B",INDEX(Batters[[#All],[T]],MATCH(Table5[[#This Row],[PID]],Batters[[#All],[PID]],0)),INDEX(Table3[[#All],[T]],MATCH(Table5[[#This Row],[PID]],Table3[[#All],[PID]],0)))</f>
        <v>L</v>
      </c>
      <c r="J605" s="52" t="str">
        <f>IF($C605="B",INDEX(Batters[[#All],[WE]],MATCH(Table5[[#This Row],[PID]],Batters[[#All],[PID]],0)),INDEX(Table3[[#All],[WE]],MATCH(Table5[[#This Row],[PID]],Table3[[#All],[PID]],0)))</f>
        <v>Normal</v>
      </c>
      <c r="K605" s="52" t="str">
        <f>IF($C605="B",INDEX(Batters[[#All],[INT]],MATCH(Table5[[#This Row],[PID]],Batters[[#All],[PID]],0)),INDEX(Table3[[#All],[INT]],MATCH(Table5[[#This Row],[PID]],Table3[[#All],[PID]],0)))</f>
        <v>Normal</v>
      </c>
      <c r="L605" s="60">
        <f>IF($C605="B",INDEX(Batters[[#All],[CON P]],MATCH(Table5[[#This Row],[PID]],Batters[[#All],[PID]],0)),INDEX(Table3[[#All],[STU P]],MATCH(Table5[[#This Row],[PID]],Table3[[#All],[PID]],0)))</f>
        <v>5</v>
      </c>
      <c r="M605" s="56">
        <f>IF($C605="B",INDEX(Batters[[#All],[GAP P]],MATCH(Table5[[#This Row],[PID]],Batters[[#All],[PID]],0)),INDEX(Table3[[#All],[MOV P]],MATCH(Table5[[#This Row],[PID]],Table3[[#All],[PID]],0)))</f>
        <v>1</v>
      </c>
      <c r="N605" s="56">
        <f>IF($C605="B",INDEX(Batters[[#All],[POW P]],MATCH(Table5[[#This Row],[PID]],Batters[[#All],[PID]],0)),INDEX(Table3[[#All],[CON P]],MATCH(Table5[[#This Row],[PID]],Table3[[#All],[PID]],0)))</f>
        <v>3</v>
      </c>
      <c r="O605" s="56" t="str">
        <f>IF($C605="B",INDEX(Batters[[#All],[EYE P]],MATCH(Table5[[#This Row],[PID]],Batters[[#All],[PID]],0)),INDEX(Table3[[#All],[VELO]],MATCH(Table5[[#This Row],[PID]],Table3[[#All],[PID]],0)))</f>
        <v>88-90 Mph</v>
      </c>
      <c r="P605" s="56">
        <f>IF($C605="B",INDEX(Batters[[#All],[K P]],MATCH(Table5[[#This Row],[PID]],Batters[[#All],[PID]],0)),INDEX(Table3[[#All],[STM]],MATCH(Table5[[#This Row],[PID]],Table3[[#All],[PID]],0)))</f>
        <v>9</v>
      </c>
      <c r="Q605" s="61">
        <f>IF($C605="B",INDEX(Batters[[#All],[Tot]],MATCH(Table5[[#This Row],[PID]],Batters[[#All],[PID]],0)),INDEX(Table3[[#All],[Tot]],MATCH(Table5[[#This Row],[PID]],Table3[[#All],[PID]],0)))</f>
        <v>35.646980275596079</v>
      </c>
      <c r="R605" s="52">
        <f>IF($C605="B",INDEX(Batters[[#All],[zScore]],MATCH(Table5[[#This Row],[PID]],Batters[[#All],[PID]],0)),INDEX(Table3[[#All],[zScore]],MATCH(Table5[[#This Row],[PID]],Table3[[#All],[PID]],0)))</f>
        <v>-1.4872158303178543E-2</v>
      </c>
      <c r="S605" s="58" t="str">
        <f>IF($C605="B",INDEX(Batters[[#All],[DEM]],MATCH(Table5[[#This Row],[PID]],Batters[[#All],[PID]],0)),INDEX(Table3[[#All],[DEM]],MATCH(Table5[[#This Row],[PID]],Table3[[#All],[PID]],0)))</f>
        <v>$70k</v>
      </c>
      <c r="T605" s="62">
        <f>IF($C605="B",INDEX(Batters[[#All],[Rnk]],MATCH(Table5[[#This Row],[PID]],Batters[[#All],[PID]],0)),INDEX(Table3[[#All],[Rnk]],MATCH(Table5[[#This Row],[PID]],Table3[[#All],[PID]],0)))</f>
        <v>314</v>
      </c>
      <c r="U605" s="68">
        <f>IF($C605="B",VLOOKUP($A605,Bat!$A$4:$BA$1621,47,FALSE),VLOOKUP($A605,Pit!$A$4:$BF$1557,56,FALSE))</f>
        <v>0</v>
      </c>
      <c r="V605" s="50">
        <f>IF($C605="B",VLOOKUP($A605,Bat!$A$4:$BA$1621,48,FALSE),VLOOKUP($A605,Pit!$A$4:$BF$1557,57,FALSE))</f>
        <v>0</v>
      </c>
      <c r="W605" s="50">
        <f>Table5[[#This Row],[posRnk]]+Table5[[#This Row],[zRnk]]+IF($W$3&lt;&gt;Table5[[#This Row],[Type]],50,0)</f>
        <v>924</v>
      </c>
      <c r="X605" s="51">
        <f>RANK(Table5[[#This Row],[zScore]],Table5[[#All],[zScore]])</f>
        <v>560</v>
      </c>
      <c r="Y605" s="50">
        <f>IFERROR(INDEX(DraftResults[[#All],[OVR]],MATCH(Table5[[#This Row],[PID]],DraftResults[[#All],[Player ID]],0)),"")</f>
        <v>601</v>
      </c>
      <c r="Z6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5" s="50">
        <f>IFERROR(INDEX(DraftResults[[#All],[Pick in Round]],MATCH(Table5[[#This Row],[PID]],DraftResults[[#All],[Player ID]],0)),"")</f>
        <v>23</v>
      </c>
      <c r="AB605" s="50" t="str">
        <f>IFERROR(INDEX(DraftResults[[#All],[Team Name]],MATCH(Table5[[#This Row],[PID]],DraftResults[[#All],[Player ID]],0)),"")</f>
        <v>Shin Seiki Evas</v>
      </c>
      <c r="AC605" s="50">
        <f>IF(Table5[[#This Row],[Ovr]]="","",IF(Table5[[#This Row],[cmbList]]="","",Table5[[#This Row],[cmbList]]-Table5[[#This Row],[Ovr]]))</f>
        <v>323</v>
      </c>
      <c r="AD605" s="54" t="str">
        <f>IF(ISERROR(VLOOKUP($AB605&amp;"-"&amp;$E605&amp;" "&amp;F605,Bonuses!$B$1:$G$1006,4,FALSE)),"",INT(VLOOKUP($AB605&amp;"-"&amp;$E605&amp;" "&amp;$F605,Bonuses!$B$1:$G$1006,4,FALSE)))</f>
        <v/>
      </c>
      <c r="AE6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20.23 (601) - RP Wu-jiang Lan</v>
      </c>
    </row>
    <row r="606" spans="1:31" s="50" customFormat="1" x14ac:dyDescent="0.25">
      <c r="A606" s="50">
        <v>20204</v>
      </c>
      <c r="B606" s="55">
        <f>COUNTIF(Table5[PID],A606)</f>
        <v>1</v>
      </c>
      <c r="C606" s="55" t="str">
        <f>IF(COUNTIF(Table3[[#All],[PID]],A606)&gt;0,"P","B")</f>
        <v>B</v>
      </c>
      <c r="D606" s="59" t="str">
        <f>IF($C606="B",INDEX(Batters[[#All],[POS]],MATCH(Table5[[#This Row],[PID]],Batters[[#All],[PID]],0)),INDEX(Table3[[#All],[POS]],MATCH(Table5[[#This Row],[PID]],Table3[[#All],[PID]],0)))</f>
        <v>3B</v>
      </c>
      <c r="E606" s="52" t="str">
        <f>IF($C606="B",INDEX(Batters[[#All],[First]],MATCH(Table5[[#This Row],[PID]],Batters[[#All],[PID]],0)),INDEX(Table3[[#All],[First]],MATCH(Table5[[#This Row],[PID]],Table3[[#All],[PID]],0)))</f>
        <v>Allen</v>
      </c>
      <c r="F606" s="50" t="str">
        <f>IF($C606="B",INDEX(Batters[[#All],[Last]],MATCH(A606,Batters[[#All],[PID]],0)),INDEX(Table3[[#All],[Last]],MATCH(A606,Table3[[#All],[PID]],0)))</f>
        <v>Brown</v>
      </c>
      <c r="G606" s="56">
        <f>IF($C606="B",INDEX(Batters[[#All],[Age]],MATCH(Table5[[#This Row],[PID]],Batters[[#All],[PID]],0)),INDEX(Table3[[#All],[Age]],MATCH(Table5[[#This Row],[PID]],Table3[[#All],[PID]],0)))</f>
        <v>22</v>
      </c>
      <c r="H606" s="52" t="str">
        <f>IF($C606="B",INDEX(Batters[[#All],[B]],MATCH(Table5[[#This Row],[PID]],Batters[[#All],[PID]],0)),INDEX(Table3[[#All],[B]],MATCH(Table5[[#This Row],[PID]],Table3[[#All],[PID]],0)))</f>
        <v>L</v>
      </c>
      <c r="I606" s="52" t="str">
        <f>IF($C606="B",INDEX(Batters[[#All],[T]],MATCH(Table5[[#This Row],[PID]],Batters[[#All],[PID]],0)),INDEX(Table3[[#All],[T]],MATCH(Table5[[#This Row],[PID]],Table3[[#All],[PID]],0)))</f>
        <v>R</v>
      </c>
      <c r="J606" s="52" t="str">
        <f>IF($C606="B",INDEX(Batters[[#All],[WE]],MATCH(Table5[[#This Row],[PID]],Batters[[#All],[PID]],0)),INDEX(Table3[[#All],[WE]],MATCH(Table5[[#This Row],[PID]],Table3[[#All],[PID]],0)))</f>
        <v>Normal</v>
      </c>
      <c r="K606" s="52" t="str">
        <f>IF($C606="B",INDEX(Batters[[#All],[INT]],MATCH(Table5[[#This Row],[PID]],Batters[[#All],[PID]],0)),INDEX(Table3[[#All],[INT]],MATCH(Table5[[#This Row],[PID]],Table3[[#All],[PID]],0)))</f>
        <v>Normal</v>
      </c>
      <c r="L606" s="60">
        <f>IF($C606="B",INDEX(Batters[[#All],[CON P]],MATCH(Table5[[#This Row],[PID]],Batters[[#All],[PID]],0)),INDEX(Table3[[#All],[STU P]],MATCH(Table5[[#This Row],[PID]],Table3[[#All],[PID]],0)))</f>
        <v>3</v>
      </c>
      <c r="M606" s="56">
        <f>IF($C606="B",INDEX(Batters[[#All],[GAP P]],MATCH(Table5[[#This Row],[PID]],Batters[[#All],[PID]],0)),INDEX(Table3[[#All],[MOV P]],MATCH(Table5[[#This Row],[PID]],Table3[[#All],[PID]],0)))</f>
        <v>4</v>
      </c>
      <c r="N606" s="56">
        <f>IF($C606="B",INDEX(Batters[[#All],[POW P]],MATCH(Table5[[#This Row],[PID]],Batters[[#All],[PID]],0)),INDEX(Table3[[#All],[CON P]],MATCH(Table5[[#This Row],[PID]],Table3[[#All],[PID]],0)))</f>
        <v>3</v>
      </c>
      <c r="O606" s="56">
        <f>IF($C606="B",INDEX(Batters[[#All],[EYE P]],MATCH(Table5[[#This Row],[PID]],Batters[[#All],[PID]],0)),INDEX(Table3[[#All],[VELO]],MATCH(Table5[[#This Row],[PID]],Table3[[#All],[PID]],0)))</f>
        <v>5</v>
      </c>
      <c r="P606" s="56">
        <f>IF($C606="B",INDEX(Batters[[#All],[K P]],MATCH(Table5[[#This Row],[PID]],Batters[[#All],[PID]],0)),INDEX(Table3[[#All],[STM]],MATCH(Table5[[#This Row],[PID]],Table3[[#All],[PID]],0)))</f>
        <v>4</v>
      </c>
      <c r="Q606" s="61">
        <f>IF($C606="B",INDEX(Batters[[#All],[Tot]],MATCH(Table5[[#This Row],[PID]],Batters[[#All],[PID]],0)),INDEX(Table3[[#All],[Tot]],MATCH(Table5[[#This Row],[PID]],Table3[[#All],[PID]],0)))</f>
        <v>38.434088728986552</v>
      </c>
      <c r="R606" s="52">
        <f>IF($C606="B",INDEX(Batters[[#All],[zScore]],MATCH(Table5[[#This Row],[PID]],Batters[[#All],[PID]],0)),INDEX(Table3[[#All],[zScore]],MATCH(Table5[[#This Row],[PID]],Table3[[#All],[PID]],0)))</f>
        <v>-1.2632520789682595</v>
      </c>
      <c r="S606" s="58" t="str">
        <f>IF($C606="B",INDEX(Batters[[#All],[DEM]],MATCH(Table5[[#This Row],[PID]],Batters[[#All],[PID]],0)),INDEX(Table3[[#All],[DEM]],MATCH(Table5[[#This Row],[PID]],Table3[[#All],[PID]],0)))</f>
        <v>-</v>
      </c>
      <c r="T606" s="62">
        <f>IF($C606="B",INDEX(Batters[[#All],[Rnk]],MATCH(Table5[[#This Row],[PID]],Batters[[#All],[PID]],0)),INDEX(Table3[[#All],[Rnk]],MATCH(Table5[[#This Row],[PID]],Table3[[#All],[PID]],0)))</f>
        <v>478</v>
      </c>
      <c r="U606" s="68">
        <f>IF($C606="B",VLOOKUP($A606,Bat!$A$4:$BA$1621,47,FALSE),VLOOKUP($A606,Pit!$A$4:$BF$1557,56,FALSE))</f>
        <v>0</v>
      </c>
      <c r="V606" s="50">
        <f>IF($C606="B",VLOOKUP($A606,Bat!$A$4:$BA$1621,48,FALSE),VLOOKUP($A606,Pit!$A$4:$BF$1557,57,FALSE))</f>
        <v>0</v>
      </c>
      <c r="W606" s="50">
        <f>Table5[[#This Row],[posRnk]]+Table5[[#This Row],[zRnk]]+IF($W$3&lt;&gt;Table5[[#This Row],[Type]],50,0)</f>
        <v>1754</v>
      </c>
      <c r="X606" s="51">
        <f>RANK(Table5[[#This Row],[zScore]],Table5[[#All],[zScore]])</f>
        <v>1226</v>
      </c>
      <c r="Y606" s="50">
        <f>IFERROR(INDEX(DraftResults[[#All],[OVR]],MATCH(Table5[[#This Row],[PID]],DraftResults[[#All],[Player ID]],0)),"")</f>
        <v>602</v>
      </c>
      <c r="Z6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6" s="50">
        <f>IFERROR(INDEX(DraftResults[[#All],[Pick in Round]],MATCH(Table5[[#This Row],[PID]],DraftResults[[#All],[Player ID]],0)),"")</f>
        <v>24</v>
      </c>
      <c r="AB606" s="50" t="str">
        <f>IFERROR(INDEX(DraftResults[[#All],[Team Name]],MATCH(Table5[[#This Row],[PID]],DraftResults[[#All],[Player ID]],0)),"")</f>
        <v>Aurora Borealis</v>
      </c>
      <c r="AC606" s="50">
        <f>IF(Table5[[#This Row],[Ovr]]="","",IF(Table5[[#This Row],[cmbList]]="","",Table5[[#This Row],[cmbList]]-Table5[[#This Row],[Ovr]]))</f>
        <v>1152</v>
      </c>
      <c r="AD606" s="54" t="str">
        <f>IF(ISERROR(VLOOKUP($AB606&amp;"-"&amp;$E606&amp;" "&amp;F606,Bonuses!$B$1:$G$1006,4,FALSE)),"",INT(VLOOKUP($AB606&amp;"-"&amp;$E606&amp;" "&amp;$F606,Bonuses!$B$1:$G$1006,4,FALSE)))</f>
        <v/>
      </c>
      <c r="AE6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20.24 (602) - 3B Allen Brown</v>
      </c>
    </row>
    <row r="607" spans="1:31" s="50" customFormat="1" x14ac:dyDescent="0.25">
      <c r="A607" s="50">
        <v>17787</v>
      </c>
      <c r="B607" s="50">
        <f>COUNTIF(Table5[PID],A607)</f>
        <v>1</v>
      </c>
      <c r="C607" s="50" t="str">
        <f>IF(COUNTIF(Table3[[#All],[PID]],A607)&gt;0,"P","B")</f>
        <v>P</v>
      </c>
      <c r="D607" s="59" t="str">
        <f>IF($C607="B",INDEX(Batters[[#All],[POS]],MATCH(Table5[[#This Row],[PID]],Batters[[#All],[PID]],0)),INDEX(Table3[[#All],[POS]],MATCH(Table5[[#This Row],[PID]],Table3[[#All],[PID]],0)))</f>
        <v>RP</v>
      </c>
      <c r="E607" s="52" t="str">
        <f>IF($C607="B",INDEX(Batters[[#All],[First]],MATCH(Table5[[#This Row],[PID]],Batters[[#All],[PID]],0)),INDEX(Table3[[#All],[First]],MATCH(Table5[[#This Row],[PID]],Table3[[#All],[PID]],0)))</f>
        <v>Iemitsu</v>
      </c>
      <c r="F607" s="50" t="str">
        <f>IF($C607="B",INDEX(Batters[[#All],[Last]],MATCH(A607,Batters[[#All],[PID]],0)),INDEX(Table3[[#All],[Last]],MATCH(A607,Table3[[#All],[PID]],0)))</f>
        <v>Kamida</v>
      </c>
      <c r="G607" s="56">
        <f>IF($C607="B",INDEX(Batters[[#All],[Age]],MATCH(Table5[[#This Row],[PID]],Batters[[#All],[PID]],0)),INDEX(Table3[[#All],[Age]],MATCH(Table5[[#This Row],[PID]],Table3[[#All],[PID]],0)))</f>
        <v>21</v>
      </c>
      <c r="H607" s="52" t="str">
        <f>IF($C607="B",INDEX(Batters[[#All],[B]],MATCH(Table5[[#This Row],[PID]],Batters[[#All],[PID]],0)),INDEX(Table3[[#All],[B]],MATCH(Table5[[#This Row],[PID]],Table3[[#All],[PID]],0)))</f>
        <v>R</v>
      </c>
      <c r="I607" s="52" t="str">
        <f>IF($C607="B",INDEX(Batters[[#All],[T]],MATCH(Table5[[#This Row],[PID]],Batters[[#All],[PID]],0)),INDEX(Table3[[#All],[T]],MATCH(Table5[[#This Row],[PID]],Table3[[#All],[PID]],0)))</f>
        <v>R</v>
      </c>
      <c r="J607" s="52" t="str">
        <f>IF($C607="B",INDEX(Batters[[#All],[WE]],MATCH(Table5[[#This Row],[PID]],Batters[[#All],[PID]],0)),INDEX(Table3[[#All],[WE]],MATCH(Table5[[#This Row],[PID]],Table3[[#All],[PID]],0)))</f>
        <v>High</v>
      </c>
      <c r="K607" s="52" t="str">
        <f>IF($C607="B",INDEX(Batters[[#All],[INT]],MATCH(Table5[[#This Row],[PID]],Batters[[#All],[PID]],0)),INDEX(Table3[[#All],[INT]],MATCH(Table5[[#This Row],[PID]],Table3[[#All],[PID]],0)))</f>
        <v>Normal</v>
      </c>
      <c r="L607" s="60">
        <f>IF($C607="B",INDEX(Batters[[#All],[CON P]],MATCH(Table5[[#This Row],[PID]],Batters[[#All],[PID]],0)),INDEX(Table3[[#All],[STU P]],MATCH(Table5[[#This Row],[PID]],Table3[[#All],[PID]],0)))</f>
        <v>5</v>
      </c>
      <c r="M607" s="56">
        <f>IF($C607="B",INDEX(Batters[[#All],[GAP P]],MATCH(Table5[[#This Row],[PID]],Batters[[#All],[PID]],0)),INDEX(Table3[[#All],[MOV P]],MATCH(Table5[[#This Row],[PID]],Table3[[#All],[PID]],0)))</f>
        <v>1</v>
      </c>
      <c r="N607" s="56">
        <f>IF($C607="B",INDEX(Batters[[#All],[POW P]],MATCH(Table5[[#This Row],[PID]],Batters[[#All],[PID]],0)),INDEX(Table3[[#All],[CON P]],MATCH(Table5[[#This Row],[PID]],Table3[[#All],[PID]],0)))</f>
        <v>4</v>
      </c>
      <c r="O607" s="56" t="str">
        <f>IF($C607="B",INDEX(Batters[[#All],[EYE P]],MATCH(Table5[[#This Row],[PID]],Batters[[#All],[PID]],0)),INDEX(Table3[[#All],[VELO]],MATCH(Table5[[#This Row],[PID]],Table3[[#All],[PID]],0)))</f>
        <v>93-95 Mph</v>
      </c>
      <c r="P607" s="56">
        <f>IF($C607="B",INDEX(Batters[[#All],[K P]],MATCH(Table5[[#This Row],[PID]],Batters[[#All],[PID]],0)),INDEX(Table3[[#All],[STM]],MATCH(Table5[[#This Row],[PID]],Table3[[#All],[PID]],0)))</f>
        <v>3</v>
      </c>
      <c r="Q607" s="61">
        <f>IF($C607="B",INDEX(Batters[[#All],[Tot]],MATCH(Table5[[#This Row],[PID]],Batters[[#All],[PID]],0)),INDEX(Table3[[#All],[Tot]],MATCH(Table5[[#This Row],[PID]],Table3[[#All],[PID]],0)))</f>
        <v>33.45023563295269</v>
      </c>
      <c r="R607" s="52">
        <f>IF($C607="B",INDEX(Batters[[#All],[zScore]],MATCH(Table5[[#This Row],[PID]],Batters[[#All],[PID]],0)),INDEX(Table3[[#All],[zScore]],MATCH(Table5[[#This Row],[PID]],Table3[[#All],[PID]],0)))</f>
        <v>-0.16101822251333081</v>
      </c>
      <c r="S607" s="58" t="str">
        <f>IF($C607="B",INDEX(Batters[[#All],[DEM]],MATCH(Table5[[#This Row],[PID]],Batters[[#All],[PID]],0)),INDEX(Table3[[#All],[DEM]],MATCH(Table5[[#This Row],[PID]],Table3[[#All],[PID]],0)))</f>
        <v>-</v>
      </c>
      <c r="T607" s="62">
        <f>IF($C607="B",INDEX(Batters[[#All],[Rnk]],MATCH(Table5[[#This Row],[PID]],Batters[[#All],[PID]],0)),INDEX(Table3[[#All],[Rnk]],MATCH(Table5[[#This Row],[PID]],Table3[[#All],[PID]],0)))</f>
        <v>367</v>
      </c>
      <c r="U607" s="68">
        <f>IF($C607="B",VLOOKUP($A607,Bat!$A$4:$BA$1621,47,FALSE),VLOOKUP($A607,Pit!$A$4:$BF$1557,56,FALSE))</f>
        <v>0</v>
      </c>
      <c r="V607" s="50">
        <f>IF($C607="B",VLOOKUP($A607,Bat!$A$4:$BA$1621,48,FALSE),VLOOKUP($A607,Pit!$A$4:$BF$1557,57,FALSE))</f>
        <v>0</v>
      </c>
      <c r="W607" s="50">
        <f>Table5[[#This Row],[posRnk]]+Table5[[#This Row],[zRnk]]+IF($W$3&lt;&gt;Table5[[#This Row],[Type]],50,0)</f>
        <v>1054</v>
      </c>
      <c r="X607" s="51">
        <f>RANK(Table5[[#This Row],[zScore]],Table5[[#All],[zScore]])</f>
        <v>637</v>
      </c>
      <c r="Y607" s="50">
        <f>IFERROR(INDEX(DraftResults[[#All],[OVR]],MATCH(Table5[[#This Row],[PID]],DraftResults[[#All],[Player ID]],0)),"")</f>
        <v>603</v>
      </c>
      <c r="Z6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7" s="50">
        <f>IFERROR(INDEX(DraftResults[[#All],[Pick in Round]],MATCH(Table5[[#This Row],[PID]],DraftResults[[#All],[Player ID]],0)),"")</f>
        <v>25</v>
      </c>
      <c r="AB607" s="50" t="str">
        <f>IFERROR(INDEX(DraftResults[[#All],[Team Name]],MATCH(Table5[[#This Row],[PID]],DraftResults[[#All],[Player ID]],0)),"")</f>
        <v>Toyama Wind Dancers</v>
      </c>
      <c r="AC607" s="50">
        <f>IF(Table5[[#This Row],[Ovr]]="","",IF(Table5[[#This Row],[cmbList]]="","",Table5[[#This Row],[cmbList]]-Table5[[#This Row],[Ovr]]))</f>
        <v>451</v>
      </c>
      <c r="AD607" s="54" t="str">
        <f>IF(ISERROR(VLOOKUP($AB607&amp;"-"&amp;$E607&amp;" "&amp;F607,Bonuses!$B$1:$G$1006,4,FALSE)),"",INT(VLOOKUP($AB607&amp;"-"&amp;$E607&amp;" "&amp;$F607,Bonuses!$B$1:$G$1006,4,FALSE)))</f>
        <v/>
      </c>
      <c r="AE6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20.25 (603) - RP Iemitsu Kamida</v>
      </c>
    </row>
    <row r="608" spans="1:31" s="50" customFormat="1" x14ac:dyDescent="0.25">
      <c r="A608" s="50">
        <v>17822</v>
      </c>
      <c r="B608" s="50">
        <f>COUNTIF(Table5[PID],A608)</f>
        <v>1</v>
      </c>
      <c r="C608" s="50" t="str">
        <f>IF(COUNTIF(Table3[[#All],[PID]],A608)&gt;0,"P","B")</f>
        <v>B</v>
      </c>
      <c r="D608" s="59" t="str">
        <f>IF($C608="B",INDEX(Batters[[#All],[POS]],MATCH(Table5[[#This Row],[PID]],Batters[[#All],[PID]],0)),INDEX(Table3[[#All],[POS]],MATCH(Table5[[#This Row],[PID]],Table3[[#All],[PID]],0)))</f>
        <v>2B</v>
      </c>
      <c r="E608" s="52" t="str">
        <f>IF($C608="B",INDEX(Batters[[#All],[First]],MATCH(Table5[[#This Row],[PID]],Batters[[#All],[PID]],0)),INDEX(Table3[[#All],[First]],MATCH(Table5[[#This Row],[PID]],Table3[[#All],[PID]],0)))</f>
        <v>Reuben</v>
      </c>
      <c r="F608" s="50" t="str">
        <f>IF($C608="B",INDEX(Batters[[#All],[Last]],MATCH(A608,Batters[[#All],[PID]],0)),INDEX(Table3[[#All],[Last]],MATCH(A608,Table3[[#All],[PID]],0)))</f>
        <v>Ubbens</v>
      </c>
      <c r="G608" s="56">
        <f>IF($C608="B",INDEX(Batters[[#All],[Age]],MATCH(Table5[[#This Row],[PID]],Batters[[#All],[PID]],0)),INDEX(Table3[[#All],[Age]],MATCH(Table5[[#This Row],[PID]],Table3[[#All],[PID]],0)))</f>
        <v>18</v>
      </c>
      <c r="H608" s="52" t="str">
        <f>IF($C608="B",INDEX(Batters[[#All],[B]],MATCH(Table5[[#This Row],[PID]],Batters[[#All],[PID]],0)),INDEX(Table3[[#All],[B]],MATCH(Table5[[#This Row],[PID]],Table3[[#All],[PID]],0)))</f>
        <v>R</v>
      </c>
      <c r="I608" s="52" t="str">
        <f>IF($C608="B",INDEX(Batters[[#All],[T]],MATCH(Table5[[#This Row],[PID]],Batters[[#All],[PID]],0)),INDEX(Table3[[#All],[T]],MATCH(Table5[[#This Row],[PID]],Table3[[#All],[PID]],0)))</f>
        <v>R</v>
      </c>
      <c r="J608" s="52" t="str">
        <f>IF($C608="B",INDEX(Batters[[#All],[WE]],MATCH(Table5[[#This Row],[PID]],Batters[[#All],[PID]],0)),INDEX(Table3[[#All],[WE]],MATCH(Table5[[#This Row],[PID]],Table3[[#All],[PID]],0)))</f>
        <v>High</v>
      </c>
      <c r="K608" s="52" t="str">
        <f>IF($C608="B",INDEX(Batters[[#All],[INT]],MATCH(Table5[[#This Row],[PID]],Batters[[#All],[PID]],0)),INDEX(Table3[[#All],[INT]],MATCH(Table5[[#This Row],[PID]],Table3[[#All],[PID]],0)))</f>
        <v>High</v>
      </c>
      <c r="L608" s="60">
        <f>IF($C608="B",INDEX(Batters[[#All],[CON P]],MATCH(Table5[[#This Row],[PID]],Batters[[#All],[PID]],0)),INDEX(Table3[[#All],[STU P]],MATCH(Table5[[#This Row],[PID]],Table3[[#All],[PID]],0)))</f>
        <v>3</v>
      </c>
      <c r="M608" s="56">
        <f>IF($C608="B",INDEX(Batters[[#All],[GAP P]],MATCH(Table5[[#This Row],[PID]],Batters[[#All],[PID]],0)),INDEX(Table3[[#All],[MOV P]],MATCH(Table5[[#This Row],[PID]],Table3[[#All],[PID]],0)))</f>
        <v>3</v>
      </c>
      <c r="N608" s="56">
        <f>IF($C608="B",INDEX(Batters[[#All],[POW P]],MATCH(Table5[[#This Row],[PID]],Batters[[#All],[PID]],0)),INDEX(Table3[[#All],[CON P]],MATCH(Table5[[#This Row],[PID]],Table3[[#All],[PID]],0)))</f>
        <v>2</v>
      </c>
      <c r="O608" s="56">
        <f>IF($C608="B",INDEX(Batters[[#All],[EYE P]],MATCH(Table5[[#This Row],[PID]],Batters[[#All],[PID]],0)),INDEX(Table3[[#All],[VELO]],MATCH(Table5[[#This Row],[PID]],Table3[[#All],[PID]],0)))</f>
        <v>2</v>
      </c>
      <c r="P608" s="56">
        <f>IF($C608="B",INDEX(Batters[[#All],[K P]],MATCH(Table5[[#This Row],[PID]],Batters[[#All],[PID]],0)),INDEX(Table3[[#All],[STM]],MATCH(Table5[[#This Row],[PID]],Table3[[#All],[PID]],0)))</f>
        <v>5</v>
      </c>
      <c r="Q608" s="61">
        <f>IF($C608="B",INDEX(Batters[[#All],[Tot]],MATCH(Table5[[#This Row],[PID]],Batters[[#All],[PID]],0)),INDEX(Table3[[#All],[Tot]],MATCH(Table5[[#This Row],[PID]],Table3[[#All],[PID]],0)))</f>
        <v>38.577567269805357</v>
      </c>
      <c r="R608" s="52">
        <f>IF($C608="B",INDEX(Batters[[#All],[zScore]],MATCH(Table5[[#This Row],[PID]],Batters[[#All],[PID]],0)),INDEX(Table3[[#All],[zScore]],MATCH(Table5[[#This Row],[PID]],Table3[[#All],[PID]],0)))</f>
        <v>-1.2314419166438013</v>
      </c>
      <c r="S608" s="58" t="str">
        <f>IF($C608="B",INDEX(Batters[[#All],[DEM]],MATCH(Table5[[#This Row],[PID]],Batters[[#All],[PID]],0)),INDEX(Table3[[#All],[DEM]],MATCH(Table5[[#This Row],[PID]],Table3[[#All],[PID]],0)))</f>
        <v>$65k</v>
      </c>
      <c r="T608" s="62">
        <f>IF($C608="B",INDEX(Batters[[#All],[Rnk]],MATCH(Table5[[#This Row],[PID]],Batters[[#All],[PID]],0)),INDEX(Table3[[#All],[Rnk]],MATCH(Table5[[#This Row],[PID]],Table3[[#All],[PID]],0)))</f>
        <v>472</v>
      </c>
      <c r="U608" s="68">
        <f>IF($C608="B",VLOOKUP($A608,Bat!$A$4:$BA$1621,47,FALSE),VLOOKUP($A608,Pit!$A$4:$BF$1557,56,FALSE))</f>
        <v>0</v>
      </c>
      <c r="V608" s="50">
        <f>IF($C608="B",VLOOKUP($A608,Bat!$A$4:$BA$1621,48,FALSE),VLOOKUP($A608,Pit!$A$4:$BF$1557,57,FALSE))</f>
        <v>0</v>
      </c>
      <c r="W608" s="50">
        <f>Table5[[#This Row],[posRnk]]+Table5[[#This Row],[zRnk]]+IF($W$3&lt;&gt;Table5[[#This Row],[Type]],50,0)</f>
        <v>1740</v>
      </c>
      <c r="X608" s="51">
        <f>RANK(Table5[[#This Row],[zScore]],Table5[[#All],[zScore]])</f>
        <v>1218</v>
      </c>
      <c r="Y608" s="50">
        <f>IFERROR(INDEX(DraftResults[[#All],[OVR]],MATCH(Table5[[#This Row],[PID]],DraftResults[[#All],[Player ID]],0)),"")</f>
        <v>604</v>
      </c>
      <c r="Z6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8" s="50">
        <f>IFERROR(INDEX(DraftResults[[#All],[Pick in Round]],MATCH(Table5[[#This Row],[PID]],DraftResults[[#All],[Player ID]],0)),"")</f>
        <v>26</v>
      </c>
      <c r="AB608" s="50" t="str">
        <f>IFERROR(INDEX(DraftResults[[#All],[Team Name]],MATCH(Table5[[#This Row],[PID]],DraftResults[[#All],[Player ID]],0)),"")</f>
        <v>Aurora Borealis</v>
      </c>
      <c r="AC608" s="50">
        <f>IF(Table5[[#This Row],[Ovr]]="","",IF(Table5[[#This Row],[cmbList]]="","",Table5[[#This Row],[cmbList]]-Table5[[#This Row],[Ovr]]))</f>
        <v>1136</v>
      </c>
      <c r="AD608" s="54" t="str">
        <f>IF(ISERROR(VLOOKUP($AB608&amp;"-"&amp;$E608&amp;" "&amp;F608,Bonuses!$B$1:$G$1006,4,FALSE)),"",INT(VLOOKUP($AB608&amp;"-"&amp;$E608&amp;" "&amp;$F608,Bonuses!$B$1:$G$1006,4,FALSE)))</f>
        <v/>
      </c>
      <c r="AE6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20.26 (604) - 2B Reuben Ubbens</v>
      </c>
    </row>
    <row r="609" spans="1:31" s="50" customFormat="1" x14ac:dyDescent="0.25">
      <c r="A609" s="50">
        <v>15038</v>
      </c>
      <c r="B609" s="50">
        <f>COUNTIF(Table5[PID],A609)</f>
        <v>1</v>
      </c>
      <c r="C609" s="50" t="str">
        <f>IF(COUNTIF(Table3[[#All],[PID]],A609)&gt;0,"P","B")</f>
        <v>B</v>
      </c>
      <c r="D609" s="59" t="str">
        <f>IF($C609="B",INDEX(Batters[[#All],[POS]],MATCH(Table5[[#This Row],[PID]],Batters[[#All],[PID]],0)),INDEX(Table3[[#All],[POS]],MATCH(Table5[[#This Row],[PID]],Table3[[#All],[PID]],0)))</f>
        <v>RF</v>
      </c>
      <c r="E609" s="52" t="str">
        <f>IF($C609="B",INDEX(Batters[[#All],[First]],MATCH(Table5[[#This Row],[PID]],Batters[[#All],[PID]],0)),INDEX(Table3[[#All],[First]],MATCH(Table5[[#This Row],[PID]],Table3[[#All],[PID]],0)))</f>
        <v>Isei</v>
      </c>
      <c r="F609" s="50" t="str">
        <f>IF($C609="B",INDEX(Batters[[#All],[Last]],MATCH(A609,Batters[[#All],[PID]],0)),INDEX(Table3[[#All],[Last]],MATCH(A609,Table3[[#All],[PID]],0)))</f>
        <v>Sato</v>
      </c>
      <c r="G609" s="56">
        <f>IF($C609="B",INDEX(Batters[[#All],[Age]],MATCH(Table5[[#This Row],[PID]],Batters[[#All],[PID]],0)),INDEX(Table3[[#All],[Age]],MATCH(Table5[[#This Row],[PID]],Table3[[#All],[PID]],0)))</f>
        <v>21</v>
      </c>
      <c r="H609" s="52" t="str">
        <f>IF($C609="B",INDEX(Batters[[#All],[B]],MATCH(Table5[[#This Row],[PID]],Batters[[#All],[PID]],0)),INDEX(Table3[[#All],[B]],MATCH(Table5[[#This Row],[PID]],Table3[[#All],[PID]],0)))</f>
        <v>R</v>
      </c>
      <c r="I609" s="52" t="str">
        <f>IF($C609="B",INDEX(Batters[[#All],[T]],MATCH(Table5[[#This Row],[PID]],Batters[[#All],[PID]],0)),INDEX(Table3[[#All],[T]],MATCH(Table5[[#This Row],[PID]],Table3[[#All],[PID]],0)))</f>
        <v>R</v>
      </c>
      <c r="J609" s="52" t="str">
        <f>IF($C609="B",INDEX(Batters[[#All],[WE]],MATCH(Table5[[#This Row],[PID]],Batters[[#All],[PID]],0)),INDEX(Table3[[#All],[WE]],MATCH(Table5[[#This Row],[PID]],Table3[[#All],[PID]],0)))</f>
        <v>Low</v>
      </c>
      <c r="K609" s="52" t="str">
        <f>IF($C609="B",INDEX(Batters[[#All],[INT]],MATCH(Table5[[#This Row],[PID]],Batters[[#All],[PID]],0)),INDEX(Table3[[#All],[INT]],MATCH(Table5[[#This Row],[PID]],Table3[[#All],[PID]],0)))</f>
        <v>High</v>
      </c>
      <c r="L609" s="60">
        <f>IF($C609="B",INDEX(Batters[[#All],[CON P]],MATCH(Table5[[#This Row],[PID]],Batters[[#All],[PID]],0)),INDEX(Table3[[#All],[STU P]],MATCH(Table5[[#This Row],[PID]],Table3[[#All],[PID]],0)))</f>
        <v>3</v>
      </c>
      <c r="M609" s="56">
        <f>IF($C609="B",INDEX(Batters[[#All],[GAP P]],MATCH(Table5[[#This Row],[PID]],Batters[[#All],[PID]],0)),INDEX(Table3[[#All],[MOV P]],MATCH(Table5[[#This Row],[PID]],Table3[[#All],[PID]],0)))</f>
        <v>3</v>
      </c>
      <c r="N609" s="56">
        <f>IF($C609="B",INDEX(Batters[[#All],[POW P]],MATCH(Table5[[#This Row],[PID]],Batters[[#All],[PID]],0)),INDEX(Table3[[#All],[CON P]],MATCH(Table5[[#This Row],[PID]],Table3[[#All],[PID]],0)))</f>
        <v>4</v>
      </c>
      <c r="O609" s="56">
        <f>IF($C609="B",INDEX(Batters[[#All],[EYE P]],MATCH(Table5[[#This Row],[PID]],Batters[[#All],[PID]],0)),INDEX(Table3[[#All],[VELO]],MATCH(Table5[[#This Row],[PID]],Table3[[#All],[PID]],0)))</f>
        <v>6</v>
      </c>
      <c r="P609" s="56">
        <f>IF($C609="B",INDEX(Batters[[#All],[K P]],MATCH(Table5[[#This Row],[PID]],Batters[[#All],[PID]],0)),INDEX(Table3[[#All],[STM]],MATCH(Table5[[#This Row],[PID]],Table3[[#All],[PID]],0)))</f>
        <v>3</v>
      </c>
      <c r="Q609" s="61">
        <f>IF($C609="B",INDEX(Batters[[#All],[Tot]],MATCH(Table5[[#This Row],[PID]],Batters[[#All],[PID]],0)),INDEX(Table3[[#All],[Tot]],MATCH(Table5[[#This Row],[PID]],Table3[[#All],[PID]],0)))</f>
        <v>38.155319002215322</v>
      </c>
      <c r="R609" s="52">
        <f>IF($C609="B",INDEX(Batters[[#All],[zScore]],MATCH(Table5[[#This Row],[PID]],Batters[[#All],[PID]],0)),INDEX(Table3[[#All],[zScore]],MATCH(Table5[[#This Row],[PID]],Table3[[#All],[PID]],0)))</f>
        <v>-1.3250572117019166</v>
      </c>
      <c r="S609" s="58" t="str">
        <f>IF($C609="B",INDEX(Batters[[#All],[DEM]],MATCH(Table5[[#This Row],[PID]],Batters[[#All],[PID]],0)),INDEX(Table3[[#All],[DEM]],MATCH(Table5[[#This Row],[PID]],Table3[[#All],[PID]],0)))</f>
        <v>-</v>
      </c>
      <c r="T609" s="62">
        <f>IF($C609="B",INDEX(Batters[[#All],[Rnk]],MATCH(Table5[[#This Row],[PID]],Batters[[#All],[PID]],0)),INDEX(Table3[[#All],[Rnk]],MATCH(Table5[[#This Row],[PID]],Table3[[#All],[PID]],0)))</f>
        <v>496</v>
      </c>
      <c r="U609" s="68">
        <f>IF($C609="B",VLOOKUP($A609,Bat!$A$4:$BA$1621,47,FALSE),VLOOKUP($A609,Pit!$A$4:$BF$1557,56,FALSE))</f>
        <v>0</v>
      </c>
      <c r="V609" s="50">
        <f>IF($C609="B",VLOOKUP($A609,Bat!$A$4:$BA$1621,48,FALSE),VLOOKUP($A609,Pit!$A$4:$BF$1557,57,FALSE))</f>
        <v>0</v>
      </c>
      <c r="W609" s="50">
        <f>Table5[[#This Row],[posRnk]]+Table5[[#This Row],[zRnk]]+IF($W$3&lt;&gt;Table5[[#This Row],[Type]],50,0)</f>
        <v>1800</v>
      </c>
      <c r="X609" s="51">
        <f>RANK(Table5[[#This Row],[zScore]],Table5[[#All],[zScore]])</f>
        <v>1254</v>
      </c>
      <c r="Y609" s="50">
        <f>IFERROR(INDEX(DraftResults[[#All],[OVR]],MATCH(Table5[[#This Row],[PID]],DraftResults[[#All],[Player ID]],0)),"")</f>
        <v>605</v>
      </c>
      <c r="Z6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09" s="50">
        <f>IFERROR(INDEX(DraftResults[[#All],[Pick in Round]],MATCH(Table5[[#This Row],[PID]],DraftResults[[#All],[Player ID]],0)),"")</f>
        <v>27</v>
      </c>
      <c r="AB609" s="50" t="str">
        <f>IFERROR(INDEX(DraftResults[[#All],[Team Name]],MATCH(Table5[[#This Row],[PID]],DraftResults[[#All],[Player ID]],0)),"")</f>
        <v>Neo-Tokyo Akira</v>
      </c>
      <c r="AC609" s="50">
        <f>IF(Table5[[#This Row],[Ovr]]="","",IF(Table5[[#This Row],[cmbList]]="","",Table5[[#This Row],[cmbList]]-Table5[[#This Row],[Ovr]]))</f>
        <v>1195</v>
      </c>
      <c r="AD609" s="54" t="str">
        <f>IF(ISERROR(VLOOKUP($AB609&amp;"-"&amp;$E609&amp;" "&amp;F609,Bonuses!$B$1:$G$1006,4,FALSE)),"",INT(VLOOKUP($AB609&amp;"-"&amp;$E609&amp;" "&amp;$F609,Bonuses!$B$1:$G$1006,4,FALSE)))</f>
        <v/>
      </c>
      <c r="AE6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20.27 (605) - RF Isei Sato</v>
      </c>
    </row>
    <row r="610" spans="1:31" s="50" customFormat="1" x14ac:dyDescent="0.25">
      <c r="A610" s="50">
        <v>20279</v>
      </c>
      <c r="B610" s="50">
        <f>COUNTIF(Table5[PID],A610)</f>
        <v>1</v>
      </c>
      <c r="C610" s="50" t="str">
        <f>IF(COUNTIF(Table3[[#All],[PID]],A610)&gt;0,"P","B")</f>
        <v>B</v>
      </c>
      <c r="D610" s="59" t="str">
        <f>IF($C610="B",INDEX(Batters[[#All],[POS]],MATCH(Table5[[#This Row],[PID]],Batters[[#All],[PID]],0)),INDEX(Table3[[#All],[POS]],MATCH(Table5[[#This Row],[PID]],Table3[[#All],[PID]],0)))</f>
        <v>C</v>
      </c>
      <c r="E610" s="52" t="str">
        <f>IF($C610="B",INDEX(Batters[[#All],[First]],MATCH(Table5[[#This Row],[PID]],Batters[[#All],[PID]],0)),INDEX(Table3[[#All],[First]],MATCH(Table5[[#This Row],[PID]],Table3[[#All],[PID]],0)))</f>
        <v>Wu-han</v>
      </c>
      <c r="F610" s="50" t="str">
        <f>IF($C610="B",INDEX(Batters[[#All],[Last]],MATCH(A610,Batters[[#All],[PID]],0)),INDEX(Table3[[#All],[Last]],MATCH(A610,Table3[[#All],[PID]],0)))</f>
        <v>Sen</v>
      </c>
      <c r="G610" s="56">
        <f>IF($C610="B",INDEX(Batters[[#All],[Age]],MATCH(Table5[[#This Row],[PID]],Batters[[#All],[PID]],0)),INDEX(Table3[[#All],[Age]],MATCH(Table5[[#This Row],[PID]],Table3[[#All],[PID]],0)))</f>
        <v>21</v>
      </c>
      <c r="H610" s="52" t="str">
        <f>IF($C610="B",INDEX(Batters[[#All],[B]],MATCH(Table5[[#This Row],[PID]],Batters[[#All],[PID]],0)),INDEX(Table3[[#All],[B]],MATCH(Table5[[#This Row],[PID]],Table3[[#All],[PID]],0)))</f>
        <v>R</v>
      </c>
      <c r="I610" s="52" t="str">
        <f>IF($C610="B",INDEX(Batters[[#All],[T]],MATCH(Table5[[#This Row],[PID]],Batters[[#All],[PID]],0)),INDEX(Table3[[#All],[T]],MATCH(Table5[[#This Row],[PID]],Table3[[#All],[PID]],0)))</f>
        <v>R</v>
      </c>
      <c r="J610" s="52" t="str">
        <f>IF($C610="B",INDEX(Batters[[#All],[WE]],MATCH(Table5[[#This Row],[PID]],Batters[[#All],[PID]],0)),INDEX(Table3[[#All],[WE]],MATCH(Table5[[#This Row],[PID]],Table3[[#All],[PID]],0)))</f>
        <v>Low</v>
      </c>
      <c r="K610" s="52" t="str">
        <f>IF($C610="B",INDEX(Batters[[#All],[INT]],MATCH(Table5[[#This Row],[PID]],Batters[[#All],[PID]],0)),INDEX(Table3[[#All],[INT]],MATCH(Table5[[#This Row],[PID]],Table3[[#All],[PID]],0)))</f>
        <v>Normal</v>
      </c>
      <c r="L610" s="60">
        <f>IF($C610="B",INDEX(Batters[[#All],[CON P]],MATCH(Table5[[#This Row],[PID]],Batters[[#All],[PID]],0)),INDEX(Table3[[#All],[STU P]],MATCH(Table5[[#This Row],[PID]],Table3[[#All],[PID]],0)))</f>
        <v>3</v>
      </c>
      <c r="M610" s="56">
        <f>IF($C610="B",INDEX(Batters[[#All],[GAP P]],MATCH(Table5[[#This Row],[PID]],Batters[[#All],[PID]],0)),INDEX(Table3[[#All],[MOV P]],MATCH(Table5[[#This Row],[PID]],Table3[[#All],[PID]],0)))</f>
        <v>3</v>
      </c>
      <c r="N610" s="56">
        <f>IF($C610="B",INDEX(Batters[[#All],[POW P]],MATCH(Table5[[#This Row],[PID]],Batters[[#All],[PID]],0)),INDEX(Table3[[#All],[CON P]],MATCH(Table5[[#This Row],[PID]],Table3[[#All],[PID]],0)))</f>
        <v>4</v>
      </c>
      <c r="O610" s="56">
        <f>IF($C610="B",INDEX(Batters[[#All],[EYE P]],MATCH(Table5[[#This Row],[PID]],Batters[[#All],[PID]],0)),INDEX(Table3[[#All],[VELO]],MATCH(Table5[[#This Row],[PID]],Table3[[#All],[PID]],0)))</f>
        <v>7</v>
      </c>
      <c r="P610" s="56">
        <f>IF($C610="B",INDEX(Batters[[#All],[K P]],MATCH(Table5[[#This Row],[PID]],Batters[[#All],[PID]],0)),INDEX(Table3[[#All],[STM]],MATCH(Table5[[#This Row],[PID]],Table3[[#All],[PID]],0)))</f>
        <v>2</v>
      </c>
      <c r="Q610" s="61">
        <f>IF($C610="B",INDEX(Batters[[#All],[Tot]],MATCH(Table5[[#This Row],[PID]],Batters[[#All],[PID]],0)),INDEX(Table3[[#All],[Tot]],MATCH(Table5[[#This Row],[PID]],Table3[[#All],[PID]],0)))</f>
        <v>38.424351261924272</v>
      </c>
      <c r="R610" s="52">
        <f>IF($C610="B",INDEX(Batters[[#All],[zScore]],MATCH(Table5[[#This Row],[PID]],Batters[[#All],[PID]],0)),INDEX(Table3[[#All],[zScore]],MATCH(Table5[[#This Row],[PID]],Table3[[#All],[PID]],0)))</f>
        <v>-1.2654109412351358</v>
      </c>
      <c r="S610" s="58" t="str">
        <f>IF($C610="B",INDEX(Batters[[#All],[DEM]],MATCH(Table5[[#This Row],[PID]],Batters[[#All],[PID]],0)),INDEX(Table3[[#All],[DEM]],MATCH(Table5[[#This Row],[PID]],Table3[[#All],[PID]],0)))</f>
        <v>-</v>
      </c>
      <c r="T610" s="62">
        <f>IF($C610="B",INDEX(Batters[[#All],[Rnk]],MATCH(Table5[[#This Row],[PID]],Batters[[#All],[PID]],0)),INDEX(Table3[[#All],[Rnk]],MATCH(Table5[[#This Row],[PID]],Table3[[#All],[PID]],0)))</f>
        <v>479</v>
      </c>
      <c r="U610" s="68">
        <f>IF($C610="B",VLOOKUP($A610,Bat!$A$4:$BA$1621,47,FALSE),VLOOKUP($A610,Pit!$A$4:$BF$1557,56,FALSE))</f>
        <v>0</v>
      </c>
      <c r="V610" s="50">
        <f>IF($C610="B",VLOOKUP($A610,Bat!$A$4:$BA$1621,48,FALSE),VLOOKUP($A610,Pit!$A$4:$BF$1557,57,FALSE))</f>
        <v>0</v>
      </c>
      <c r="W610" s="50">
        <f>Table5[[#This Row],[posRnk]]+Table5[[#This Row],[zRnk]]+IF($W$3&lt;&gt;Table5[[#This Row],[Type]],50,0)</f>
        <v>1756</v>
      </c>
      <c r="X610" s="51">
        <f>RANK(Table5[[#This Row],[zScore]],Table5[[#All],[zScore]])</f>
        <v>1227</v>
      </c>
      <c r="Y610" s="50">
        <f>IFERROR(INDEX(DraftResults[[#All],[OVR]],MATCH(Table5[[#This Row],[PID]],DraftResults[[#All],[Player ID]],0)),"")</f>
        <v>606</v>
      </c>
      <c r="Z6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10" s="50">
        <f>IFERROR(INDEX(DraftResults[[#All],[Pick in Round]],MATCH(Table5[[#This Row],[PID]],DraftResults[[#All],[Player ID]],0)),"")</f>
        <v>28</v>
      </c>
      <c r="AB610" s="50" t="str">
        <f>IFERROR(INDEX(DraftResults[[#All],[Team Name]],MATCH(Table5[[#This Row],[PID]],DraftResults[[#All],[Player ID]],0)),"")</f>
        <v>San Juan Coqui</v>
      </c>
      <c r="AC610" s="50">
        <f>IF(Table5[[#This Row],[Ovr]]="","",IF(Table5[[#This Row],[cmbList]]="","",Table5[[#This Row],[cmbList]]-Table5[[#This Row],[Ovr]]))</f>
        <v>1150</v>
      </c>
      <c r="AD610" s="54" t="str">
        <f>IF(ISERROR(VLOOKUP($AB610&amp;"-"&amp;$E610&amp;" "&amp;F610,Bonuses!$B$1:$G$1006,4,FALSE)),"",INT(VLOOKUP($AB610&amp;"-"&amp;$E610&amp;" "&amp;$F610,Bonuses!$B$1:$G$1006,4,FALSE)))</f>
        <v/>
      </c>
      <c r="AE6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20.28 (606) - C Wu-han Sen</v>
      </c>
    </row>
    <row r="611" spans="1:31" s="50" customFormat="1" x14ac:dyDescent="0.25">
      <c r="A611" s="50">
        <v>18109</v>
      </c>
      <c r="B611" s="50">
        <f>COUNTIF(Table5[PID],A611)</f>
        <v>1</v>
      </c>
      <c r="C611" s="50" t="str">
        <f>IF(COUNTIF(Table3[[#All],[PID]],A611)&gt;0,"P","B")</f>
        <v>P</v>
      </c>
      <c r="D611" s="59" t="str">
        <f>IF($C611="B",INDEX(Batters[[#All],[POS]],MATCH(Table5[[#This Row],[PID]],Batters[[#All],[PID]],0)),INDEX(Table3[[#All],[POS]],MATCH(Table5[[#This Row],[PID]],Table3[[#All],[PID]],0)))</f>
        <v>RP</v>
      </c>
      <c r="E611" s="52" t="str">
        <f>IF($C611="B",INDEX(Batters[[#All],[First]],MATCH(Table5[[#This Row],[PID]],Batters[[#All],[PID]],0)),INDEX(Table3[[#All],[First]],MATCH(Table5[[#This Row],[PID]],Table3[[#All],[PID]],0)))</f>
        <v>Rusty</v>
      </c>
      <c r="F611" s="50" t="str">
        <f>IF($C611="B",INDEX(Batters[[#All],[Last]],MATCH(A611,Batters[[#All],[PID]],0)),INDEX(Table3[[#All],[Last]],MATCH(A611,Table3[[#All],[PID]],0)))</f>
        <v>Knight</v>
      </c>
      <c r="G611" s="56">
        <f>IF($C611="B",INDEX(Batters[[#All],[Age]],MATCH(Table5[[#This Row],[PID]],Batters[[#All],[PID]],0)),INDEX(Table3[[#All],[Age]],MATCH(Table5[[#This Row],[PID]],Table3[[#All],[PID]],0)))</f>
        <v>21</v>
      </c>
      <c r="H611" s="52" t="str">
        <f>IF($C611="B",INDEX(Batters[[#All],[B]],MATCH(Table5[[#This Row],[PID]],Batters[[#All],[PID]],0)),INDEX(Table3[[#All],[B]],MATCH(Table5[[#This Row],[PID]],Table3[[#All],[PID]],0)))</f>
        <v>S</v>
      </c>
      <c r="I611" s="52" t="str">
        <f>IF($C611="B",INDEX(Batters[[#All],[T]],MATCH(Table5[[#This Row],[PID]],Batters[[#All],[PID]],0)),INDEX(Table3[[#All],[T]],MATCH(Table5[[#This Row],[PID]],Table3[[#All],[PID]],0)))</f>
        <v>R</v>
      </c>
      <c r="J611" s="52" t="str">
        <f>IF($C611="B",INDEX(Batters[[#All],[WE]],MATCH(Table5[[#This Row],[PID]],Batters[[#All],[PID]],0)),INDEX(Table3[[#All],[WE]],MATCH(Table5[[#This Row],[PID]],Table3[[#All],[PID]],0)))</f>
        <v>High</v>
      </c>
      <c r="K611" s="52" t="str">
        <f>IF($C611="B",INDEX(Batters[[#All],[INT]],MATCH(Table5[[#This Row],[PID]],Batters[[#All],[PID]],0)),INDEX(Table3[[#All],[INT]],MATCH(Table5[[#This Row],[PID]],Table3[[#All],[PID]],0)))</f>
        <v>Normal</v>
      </c>
      <c r="L611" s="60">
        <f>IF($C611="B",INDEX(Batters[[#All],[CON P]],MATCH(Table5[[#This Row],[PID]],Batters[[#All],[PID]],0)),INDEX(Table3[[#All],[STU P]],MATCH(Table5[[#This Row],[PID]],Table3[[#All],[PID]],0)))</f>
        <v>5</v>
      </c>
      <c r="M611" s="56">
        <f>IF($C611="B",INDEX(Batters[[#All],[GAP P]],MATCH(Table5[[#This Row],[PID]],Batters[[#All],[PID]],0)),INDEX(Table3[[#All],[MOV P]],MATCH(Table5[[#This Row],[PID]],Table3[[#All],[PID]],0)))</f>
        <v>3</v>
      </c>
      <c r="N611" s="56">
        <f>IF($C611="B",INDEX(Batters[[#All],[POW P]],MATCH(Table5[[#This Row],[PID]],Batters[[#All],[PID]],0)),INDEX(Table3[[#All],[CON P]],MATCH(Table5[[#This Row],[PID]],Table3[[#All],[PID]],0)))</f>
        <v>4</v>
      </c>
      <c r="O611" s="56" t="str">
        <f>IF($C611="B",INDEX(Batters[[#All],[EYE P]],MATCH(Table5[[#This Row],[PID]],Batters[[#All],[PID]],0)),INDEX(Table3[[#All],[VELO]],MATCH(Table5[[#This Row],[PID]],Table3[[#All],[PID]],0)))</f>
        <v>92-94 Mph</v>
      </c>
      <c r="P611" s="56">
        <f>IF($C611="B",INDEX(Batters[[#All],[K P]],MATCH(Table5[[#This Row],[PID]],Batters[[#All],[PID]],0)),INDEX(Table3[[#All],[STM]],MATCH(Table5[[#This Row],[PID]],Table3[[#All],[PID]],0)))</f>
        <v>2</v>
      </c>
      <c r="Q611" s="61">
        <f>IF($C611="B",INDEX(Batters[[#All],[Tot]],MATCH(Table5[[#This Row],[PID]],Batters[[#All],[PID]],0)),INDEX(Table3[[#All],[Tot]],MATCH(Table5[[#This Row],[PID]],Table3[[#All],[PID]],0)))</f>
        <v>42.819250618964936</v>
      </c>
      <c r="R611" s="52">
        <f>IF($C611="B",INDEX(Batters[[#All],[zScore]],MATCH(Table5[[#This Row],[PID]],Batters[[#All],[PID]],0)),INDEX(Table3[[#All],[zScore]],MATCH(Table5[[#This Row],[PID]],Table3[[#All],[PID]],0)))</f>
        <v>0.46228802763142174</v>
      </c>
      <c r="S611" s="58" t="str">
        <f>IF($C611="B",INDEX(Batters[[#All],[DEM]],MATCH(Table5[[#This Row],[PID]],Batters[[#All],[PID]],0)),INDEX(Table3[[#All],[DEM]],MATCH(Table5[[#This Row],[PID]],Table3[[#All],[PID]],0)))</f>
        <v>-</v>
      </c>
      <c r="T611" s="62">
        <f>IF($C611="B",INDEX(Batters[[#All],[Rnk]],MATCH(Table5[[#This Row],[PID]],Batters[[#All],[PID]],0)),INDEX(Table3[[#All],[Rnk]],MATCH(Table5[[#This Row],[PID]],Table3[[#All],[PID]],0)))</f>
        <v>221</v>
      </c>
      <c r="U611" s="68">
        <f>IF($C611="B",VLOOKUP($A611,Bat!$A$4:$BA$1621,47,FALSE),VLOOKUP($A611,Pit!$A$4:$BF$1557,56,FALSE))</f>
        <v>0</v>
      </c>
      <c r="V611" s="50">
        <f>IF($C611="B",VLOOKUP($A611,Bat!$A$4:$BA$1621,48,FALSE),VLOOKUP($A611,Pit!$A$4:$BF$1557,57,FALSE))</f>
        <v>0</v>
      </c>
      <c r="W611" s="50">
        <f>Table5[[#This Row],[posRnk]]+Table5[[#This Row],[zRnk]]+IF($W$3&lt;&gt;Table5[[#This Row],[Type]],50,0)</f>
        <v>648</v>
      </c>
      <c r="X611" s="51">
        <f>RANK(Table5[[#This Row],[zScore]],Table5[[#All],[zScore]])</f>
        <v>377</v>
      </c>
      <c r="Y611" s="50">
        <f>IFERROR(INDEX(DraftResults[[#All],[OVR]],MATCH(Table5[[#This Row],[PID]],DraftResults[[#All],[Player ID]],0)),"")</f>
        <v>607</v>
      </c>
      <c r="Z6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11" s="50">
        <f>IFERROR(INDEX(DraftResults[[#All],[Pick in Round]],MATCH(Table5[[#This Row],[PID]],DraftResults[[#All],[Player ID]],0)),"")</f>
        <v>29</v>
      </c>
      <c r="AB611" s="50" t="str">
        <f>IFERROR(INDEX(DraftResults[[#All],[Team Name]],MATCH(Table5[[#This Row],[PID]],DraftResults[[#All],[Player ID]],0)),"")</f>
        <v>Havana Leones</v>
      </c>
      <c r="AC611" s="50">
        <f>IF(Table5[[#This Row],[Ovr]]="","",IF(Table5[[#This Row],[cmbList]]="","",Table5[[#This Row],[cmbList]]-Table5[[#This Row],[Ovr]]))</f>
        <v>41</v>
      </c>
      <c r="AD611" s="54" t="str">
        <f>IF(ISERROR(VLOOKUP($AB611&amp;"-"&amp;$E611&amp;" "&amp;F611,Bonuses!$B$1:$G$1006,4,FALSE)),"",INT(VLOOKUP($AB611&amp;"-"&amp;$E611&amp;" "&amp;$F611,Bonuses!$B$1:$G$1006,4,FALSE)))</f>
        <v/>
      </c>
      <c r="AE6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20.29 (607) - RP Rusty Knight</v>
      </c>
    </row>
    <row r="612" spans="1:31" s="50" customFormat="1" x14ac:dyDescent="0.25">
      <c r="A612" s="50">
        <v>18378</v>
      </c>
      <c r="B612" s="50">
        <f>COUNTIF(Table5[PID],A612)</f>
        <v>1</v>
      </c>
      <c r="C612" s="50" t="str">
        <f>IF(COUNTIF(Table3[[#All],[PID]],A612)&gt;0,"P","B")</f>
        <v>B</v>
      </c>
      <c r="D612" s="59" t="str">
        <f>IF($C612="B",INDEX(Batters[[#All],[POS]],MATCH(Table5[[#This Row],[PID]],Batters[[#All],[PID]],0)),INDEX(Table3[[#All],[POS]],MATCH(Table5[[#This Row],[PID]],Table3[[#All],[PID]],0)))</f>
        <v>3B</v>
      </c>
      <c r="E612" s="52" t="str">
        <f>IF($C612="B",INDEX(Batters[[#All],[First]],MATCH(Table5[[#This Row],[PID]],Batters[[#All],[PID]],0)),INDEX(Table3[[#All],[First]],MATCH(Table5[[#This Row],[PID]],Table3[[#All],[PID]],0)))</f>
        <v>Jeff</v>
      </c>
      <c r="F612" s="50" t="str">
        <f>IF($C612="B",INDEX(Batters[[#All],[Last]],MATCH(A612,Batters[[#All],[PID]],0)),INDEX(Table3[[#All],[Last]],MATCH(A612,Table3[[#All],[PID]],0)))</f>
        <v>Freake</v>
      </c>
      <c r="G612" s="56">
        <f>IF($C612="B",INDEX(Batters[[#All],[Age]],MATCH(Table5[[#This Row],[PID]],Batters[[#All],[PID]],0)),INDEX(Table3[[#All],[Age]],MATCH(Table5[[#This Row],[PID]],Table3[[#All],[PID]],0)))</f>
        <v>18</v>
      </c>
      <c r="H612" s="52" t="str">
        <f>IF($C612="B",INDEX(Batters[[#All],[B]],MATCH(Table5[[#This Row],[PID]],Batters[[#All],[PID]],0)),INDEX(Table3[[#All],[B]],MATCH(Table5[[#This Row],[PID]],Table3[[#All],[PID]],0)))</f>
        <v>R</v>
      </c>
      <c r="I612" s="52" t="str">
        <f>IF($C612="B",INDEX(Batters[[#All],[T]],MATCH(Table5[[#This Row],[PID]],Batters[[#All],[PID]],0)),INDEX(Table3[[#All],[T]],MATCH(Table5[[#This Row],[PID]],Table3[[#All],[PID]],0)))</f>
        <v>R</v>
      </c>
      <c r="J612" s="52" t="str">
        <f>IF($C612="B",INDEX(Batters[[#All],[WE]],MATCH(Table5[[#This Row],[PID]],Batters[[#All],[PID]],0)),INDEX(Table3[[#All],[WE]],MATCH(Table5[[#This Row],[PID]],Table3[[#All],[PID]],0)))</f>
        <v>Low</v>
      </c>
      <c r="K612" s="52" t="str">
        <f>IF($C612="B",INDEX(Batters[[#All],[INT]],MATCH(Table5[[#This Row],[PID]],Batters[[#All],[PID]],0)),INDEX(Table3[[#All],[INT]],MATCH(Table5[[#This Row],[PID]],Table3[[#All],[PID]],0)))</f>
        <v>Normal</v>
      </c>
      <c r="L612" s="60">
        <f>IF($C612="B",INDEX(Batters[[#All],[CON P]],MATCH(Table5[[#This Row],[PID]],Batters[[#All],[PID]],0)),INDEX(Table3[[#All],[STU P]],MATCH(Table5[[#This Row],[PID]],Table3[[#All],[PID]],0)))</f>
        <v>3</v>
      </c>
      <c r="M612" s="56">
        <f>IF($C612="B",INDEX(Batters[[#All],[GAP P]],MATCH(Table5[[#This Row],[PID]],Batters[[#All],[PID]],0)),INDEX(Table3[[#All],[MOV P]],MATCH(Table5[[#This Row],[PID]],Table3[[#All],[PID]],0)))</f>
        <v>5</v>
      </c>
      <c r="N612" s="56">
        <f>IF($C612="B",INDEX(Batters[[#All],[POW P]],MATCH(Table5[[#This Row],[PID]],Batters[[#All],[PID]],0)),INDEX(Table3[[#All],[CON P]],MATCH(Table5[[#This Row],[PID]],Table3[[#All],[PID]],0)))</f>
        <v>5</v>
      </c>
      <c r="O612" s="56">
        <f>IF($C612="B",INDEX(Batters[[#All],[EYE P]],MATCH(Table5[[#This Row],[PID]],Batters[[#All],[PID]],0)),INDEX(Table3[[#All],[VELO]],MATCH(Table5[[#This Row],[PID]],Table3[[#All],[PID]],0)))</f>
        <v>5</v>
      </c>
      <c r="P612" s="56">
        <f>IF($C612="B",INDEX(Batters[[#All],[K P]],MATCH(Table5[[#This Row],[PID]],Batters[[#All],[PID]],0)),INDEX(Table3[[#All],[STM]],MATCH(Table5[[#This Row],[PID]],Table3[[#All],[PID]],0)))</f>
        <v>3</v>
      </c>
      <c r="Q612" s="61">
        <f>IF($C612="B",INDEX(Batters[[#All],[Tot]],MATCH(Table5[[#This Row],[PID]],Batters[[#All],[PID]],0)),INDEX(Table3[[#All],[Tot]],MATCH(Table5[[#This Row],[PID]],Table3[[#All],[PID]],0)))</f>
        <v>43.955751268633108</v>
      </c>
      <c r="R612" s="52">
        <f>IF($C612="B",INDEX(Batters[[#All],[zScore]],MATCH(Table5[[#This Row],[PID]],Batters[[#All],[PID]],0)),INDEX(Table3[[#All],[zScore]],MATCH(Table5[[#This Row],[PID]],Table3[[#All],[PID]],0)))</f>
        <v>-3.9062170953694297E-2</v>
      </c>
      <c r="S612" s="58" t="str">
        <f>IF($C612="B",INDEX(Batters[[#All],[DEM]],MATCH(Table5[[#This Row],[PID]],Batters[[#All],[PID]],0)),INDEX(Table3[[#All],[DEM]],MATCH(Table5[[#This Row],[PID]],Table3[[#All],[PID]],0)))</f>
        <v>$2.4m</v>
      </c>
      <c r="T612" s="62">
        <f>IF($C612="B",INDEX(Batters[[#All],[Rnk]],MATCH(Table5[[#This Row],[PID]],Batters[[#All],[PID]],0)),INDEX(Table3[[#All],[Rnk]],MATCH(Table5[[#This Row],[PID]],Table3[[#All],[PID]],0)))</f>
        <v>252</v>
      </c>
      <c r="U612" s="68">
        <f>IF($C612="B",VLOOKUP($A612,Bat!$A$4:$BA$1621,47,FALSE),VLOOKUP($A612,Pit!$A$4:$BF$1557,56,FALSE))</f>
        <v>0</v>
      </c>
      <c r="V612" s="50">
        <f>IF($C612="B",VLOOKUP($A612,Bat!$A$4:$BA$1621,48,FALSE),VLOOKUP($A612,Pit!$A$4:$BF$1557,57,FALSE))</f>
        <v>0</v>
      </c>
      <c r="W612" s="50">
        <f>Table5[[#This Row],[posRnk]]+Table5[[#This Row],[zRnk]]+IF($W$3&lt;&gt;Table5[[#This Row],[Type]],50,0)</f>
        <v>874</v>
      </c>
      <c r="X612" s="51">
        <f>RANK(Table5[[#This Row],[zScore]],Table5[[#All],[zScore]])</f>
        <v>572</v>
      </c>
      <c r="Y612" s="50">
        <f>IFERROR(INDEX(DraftResults[[#All],[OVR]],MATCH(Table5[[#This Row],[PID]],DraftResults[[#All],[Player ID]],0)),"")</f>
        <v>608</v>
      </c>
      <c r="Z6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>20</v>
      </c>
      <c r="AA612" s="50">
        <f>IFERROR(INDEX(DraftResults[[#All],[Pick in Round]],MATCH(Table5[[#This Row],[PID]],DraftResults[[#All],[Player ID]],0)),"")</f>
        <v>30</v>
      </c>
      <c r="AB612" s="50" t="str">
        <f>IFERROR(INDEX(DraftResults[[#All],[Team Name]],MATCH(Table5[[#This Row],[PID]],DraftResults[[#All],[Player ID]],0)),"")</f>
        <v>Florida Farstriders</v>
      </c>
      <c r="AC612" s="50">
        <f>IF(Table5[[#This Row],[Ovr]]="","",IF(Table5[[#This Row],[cmbList]]="","",Table5[[#This Row],[cmbList]]-Table5[[#This Row],[Ovr]]))</f>
        <v>266</v>
      </c>
      <c r="AD612" s="54" t="str">
        <f>IF(ISERROR(VLOOKUP($AB612&amp;"-"&amp;$E612&amp;" "&amp;F612,Bonuses!$B$1:$G$1006,4,FALSE)),"",INT(VLOOKUP($AB612&amp;"-"&amp;$E612&amp;" "&amp;$F612,Bonuses!$B$1:$G$1006,4,FALSE)))</f>
        <v/>
      </c>
      <c r="AE6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>20.30 (608) - 3B Jeff Freake</v>
      </c>
    </row>
    <row r="613" spans="1:31" s="50" customFormat="1" x14ac:dyDescent="0.25">
      <c r="A613" s="50">
        <v>18190</v>
      </c>
      <c r="B613" s="50">
        <f>COUNTIF(Table5[PID],A613)</f>
        <v>1</v>
      </c>
      <c r="C613" s="50" t="str">
        <f>IF(COUNTIF(Table3[[#All],[PID]],A613)&gt;0,"P","B")</f>
        <v>P</v>
      </c>
      <c r="D613" s="59" t="str">
        <f>IF($C613="B",INDEX(Batters[[#All],[POS]],MATCH(Table5[[#This Row],[PID]],Batters[[#All],[PID]],0)),INDEX(Table3[[#All],[POS]],MATCH(Table5[[#This Row],[PID]],Table3[[#All],[PID]],0)))</f>
        <v>RP</v>
      </c>
      <c r="E613" s="52" t="str">
        <f>IF($C613="B",INDEX(Batters[[#All],[First]],MATCH(Table5[[#This Row],[PID]],Batters[[#All],[PID]],0)),INDEX(Table3[[#All],[First]],MATCH(Table5[[#This Row],[PID]],Table3[[#All],[PID]],0)))</f>
        <v>Javier</v>
      </c>
      <c r="F613" s="50" t="str">
        <f>IF($C613="B",INDEX(Batters[[#All],[Last]],MATCH(A613,Batters[[#All],[PID]],0)),INDEX(Table3[[#All],[Last]],MATCH(A613,Table3[[#All],[PID]],0)))</f>
        <v>Cruz</v>
      </c>
      <c r="G613" s="56">
        <f>IF($C613="B",INDEX(Batters[[#All],[Age]],MATCH(Table5[[#This Row],[PID]],Batters[[#All],[PID]],0)),INDEX(Table3[[#All],[Age]],MATCH(Table5[[#This Row],[PID]],Table3[[#All],[PID]],0)))</f>
        <v>18</v>
      </c>
      <c r="H613" s="52" t="str">
        <f>IF($C613="B",INDEX(Batters[[#All],[B]],MATCH(Table5[[#This Row],[PID]],Batters[[#All],[PID]],0)),INDEX(Table3[[#All],[B]],MATCH(Table5[[#This Row],[PID]],Table3[[#All],[PID]],0)))</f>
        <v>R</v>
      </c>
      <c r="I613" s="52" t="str">
        <f>IF($C613="B",INDEX(Batters[[#All],[T]],MATCH(Table5[[#This Row],[PID]],Batters[[#All],[PID]],0)),INDEX(Table3[[#All],[T]],MATCH(Table5[[#This Row],[PID]],Table3[[#All],[PID]],0)))</f>
        <v>R</v>
      </c>
      <c r="J613" s="52" t="str">
        <f>IF($C613="B",INDEX(Batters[[#All],[WE]],MATCH(Table5[[#This Row],[PID]],Batters[[#All],[PID]],0)),INDEX(Table3[[#All],[WE]],MATCH(Table5[[#This Row],[PID]],Table3[[#All],[PID]],0)))</f>
        <v>Normal</v>
      </c>
      <c r="K613" s="52" t="str">
        <f>IF($C613="B",INDEX(Batters[[#All],[INT]],MATCH(Table5[[#This Row],[PID]],Batters[[#All],[PID]],0)),INDEX(Table3[[#All],[INT]],MATCH(Table5[[#This Row],[PID]],Table3[[#All],[PID]],0)))</f>
        <v>Normal</v>
      </c>
      <c r="L613" s="60">
        <f>IF($C613="B",INDEX(Batters[[#All],[CON P]],MATCH(Table5[[#This Row],[PID]],Batters[[#All],[PID]],0)),INDEX(Table3[[#All],[STU P]],MATCH(Table5[[#This Row],[PID]],Table3[[#All],[PID]],0)))</f>
        <v>3</v>
      </c>
      <c r="M613" s="56">
        <f>IF($C613="B",INDEX(Batters[[#All],[GAP P]],MATCH(Table5[[#This Row],[PID]],Batters[[#All],[PID]],0)),INDEX(Table3[[#All],[MOV P]],MATCH(Table5[[#This Row],[PID]],Table3[[#All],[PID]],0)))</f>
        <v>2</v>
      </c>
      <c r="N613" s="56">
        <f>IF($C613="B",INDEX(Batters[[#All],[POW P]],MATCH(Table5[[#This Row],[PID]],Batters[[#All],[PID]],0)),INDEX(Table3[[#All],[CON P]],MATCH(Table5[[#This Row],[PID]],Table3[[#All],[PID]],0)))</f>
        <v>7</v>
      </c>
      <c r="O613" s="56" t="str">
        <f>IF($C613="B",INDEX(Batters[[#All],[EYE P]],MATCH(Table5[[#This Row],[PID]],Batters[[#All],[PID]],0)),INDEX(Table3[[#All],[VELO]],MATCH(Table5[[#This Row],[PID]],Table3[[#All],[PID]],0)))</f>
        <v>84-86 Mph</v>
      </c>
      <c r="P613" s="56">
        <f>IF($C613="B",INDEX(Batters[[#All],[K P]],MATCH(Table5[[#This Row],[PID]],Batters[[#All],[PID]],0)),INDEX(Table3[[#All],[STM]],MATCH(Table5[[#This Row],[PID]],Table3[[#All],[PID]],0)))</f>
        <v>6</v>
      </c>
      <c r="Q613" s="61">
        <f>IF($C613="B",INDEX(Batters[[#All],[Tot]],MATCH(Table5[[#This Row],[PID]],Batters[[#All],[PID]],0)),INDEX(Table3[[#All],[Tot]],MATCH(Table5[[#This Row],[PID]],Table3[[#All],[PID]],0)))</f>
        <v>49.106197260034207</v>
      </c>
      <c r="R613" s="52">
        <f>IF($C613="B",INDEX(Batters[[#All],[zScore]],MATCH(Table5[[#This Row],[PID]],Batters[[#All],[PID]],0)),INDEX(Table3[[#All],[zScore]],MATCH(Table5[[#This Row],[PID]],Table3[[#All],[PID]],0)))</f>
        <v>0.88054898052300812</v>
      </c>
      <c r="S613" s="58" t="str">
        <f>IF($C613="B",INDEX(Batters[[#All],[DEM]],MATCH(Table5[[#This Row],[PID]],Batters[[#All],[PID]],0)),INDEX(Table3[[#All],[DEM]],MATCH(Table5[[#This Row],[PID]],Table3[[#All],[PID]],0)))</f>
        <v>$85k</v>
      </c>
      <c r="T613" s="62">
        <f>IF($C613="B",INDEX(Batters[[#All],[Rnk]],MATCH(Table5[[#This Row],[PID]],Batters[[#All],[PID]],0)),INDEX(Table3[[#All],[Rnk]],MATCH(Table5[[#This Row],[PID]],Table3[[#All],[PID]],0)))</f>
        <v>157</v>
      </c>
      <c r="U613" s="68">
        <f>IF($C613="B",VLOOKUP($A613,Bat!$A$4:$BA$1621,47,FALSE),VLOOKUP($A613,Pit!$A$4:$BF$1557,56,FALSE))</f>
        <v>0</v>
      </c>
      <c r="V613" s="50">
        <f>IF($C613="B",VLOOKUP($A613,Bat!$A$4:$BA$1621,48,FALSE),VLOOKUP($A613,Pit!$A$4:$BF$1557,57,FALSE))</f>
        <v>0</v>
      </c>
      <c r="W613" s="50">
        <f>Table5[[#This Row],[posRnk]]+Table5[[#This Row],[zRnk]]+IF($W$3&lt;&gt;Table5[[#This Row],[Type]],50,0)</f>
        <v>466</v>
      </c>
      <c r="X613" s="51">
        <f>RANK(Table5[[#This Row],[zScore]],Table5[[#All],[zScore]])</f>
        <v>259</v>
      </c>
      <c r="Y613" s="50" t="str">
        <f>IFERROR(INDEX(DraftResults[[#All],[OVR]],MATCH(Table5[[#This Row],[PID]],DraftResults[[#All],[Player ID]],0)),"")</f>
        <v/>
      </c>
      <c r="Z6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3" s="50" t="str">
        <f>IFERROR(INDEX(DraftResults[[#All],[Pick in Round]],MATCH(Table5[[#This Row],[PID]],DraftResults[[#All],[Player ID]],0)),"")</f>
        <v/>
      </c>
      <c r="AB613" s="50" t="str">
        <f>IFERROR(INDEX(DraftResults[[#All],[Team Name]],MATCH(Table5[[#This Row],[PID]],DraftResults[[#All],[Player ID]],0)),"")</f>
        <v/>
      </c>
      <c r="AC613" s="50" t="str">
        <f>IF(Table5[[#This Row],[Ovr]]="","",IF(Table5[[#This Row],[cmbList]]="","",Table5[[#This Row],[cmbList]]-Table5[[#This Row],[Ovr]]))</f>
        <v/>
      </c>
      <c r="AD613" s="54" t="str">
        <f>IF(ISERROR(VLOOKUP($AB613&amp;"-"&amp;$E613&amp;" "&amp;F613,Bonuses!$B$1:$G$1006,4,FALSE)),"",INT(VLOOKUP($AB613&amp;"-"&amp;$E613&amp;" "&amp;$F613,Bonuses!$B$1:$G$1006,4,FALSE)))</f>
        <v/>
      </c>
      <c r="AE6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4" spans="1:31" s="50" customFormat="1" x14ac:dyDescent="0.25">
      <c r="A614" s="50">
        <v>18234</v>
      </c>
      <c r="B614" s="50">
        <f>COUNTIF(Table5[PID],A614)</f>
        <v>1</v>
      </c>
      <c r="C614" s="50" t="str">
        <f>IF(COUNTIF(Table3[[#All],[PID]],A614)&gt;0,"P","B")</f>
        <v>P</v>
      </c>
      <c r="D614" s="59" t="str">
        <f>IF($C614="B",INDEX(Batters[[#All],[POS]],MATCH(Table5[[#This Row],[PID]],Batters[[#All],[PID]],0)),INDEX(Table3[[#All],[POS]],MATCH(Table5[[#This Row],[PID]],Table3[[#All],[PID]],0)))</f>
        <v>RP</v>
      </c>
      <c r="E614" s="52" t="str">
        <f>IF($C614="B",INDEX(Batters[[#All],[First]],MATCH(Table5[[#This Row],[PID]],Batters[[#All],[PID]],0)),INDEX(Table3[[#All],[First]],MATCH(Table5[[#This Row],[PID]],Table3[[#All],[PID]],0)))</f>
        <v>Edward</v>
      </c>
      <c r="F614" s="50" t="str">
        <f>IF($C614="B",INDEX(Batters[[#All],[Last]],MATCH(A614,Batters[[#All],[PID]],0)),INDEX(Table3[[#All],[Last]],MATCH(A614,Table3[[#All],[PID]],0)))</f>
        <v>Velásquez</v>
      </c>
      <c r="G614" s="56">
        <f>IF($C614="B",INDEX(Batters[[#All],[Age]],MATCH(Table5[[#This Row],[PID]],Batters[[#All],[PID]],0)),INDEX(Table3[[#All],[Age]],MATCH(Table5[[#This Row],[PID]],Table3[[#All],[PID]],0)))</f>
        <v>18</v>
      </c>
      <c r="H614" s="52" t="str">
        <f>IF($C614="B",INDEX(Batters[[#All],[B]],MATCH(Table5[[#This Row],[PID]],Batters[[#All],[PID]],0)),INDEX(Table3[[#All],[B]],MATCH(Table5[[#This Row],[PID]],Table3[[#All],[PID]],0)))</f>
        <v>L</v>
      </c>
      <c r="I614" s="52" t="str">
        <f>IF($C614="B",INDEX(Batters[[#All],[T]],MATCH(Table5[[#This Row],[PID]],Batters[[#All],[PID]],0)),INDEX(Table3[[#All],[T]],MATCH(Table5[[#This Row],[PID]],Table3[[#All],[PID]],0)))</f>
        <v>L</v>
      </c>
      <c r="J614" s="52" t="str">
        <f>IF($C614="B",INDEX(Batters[[#All],[WE]],MATCH(Table5[[#This Row],[PID]],Batters[[#All],[PID]],0)),INDEX(Table3[[#All],[WE]],MATCH(Table5[[#This Row],[PID]],Table3[[#All],[PID]],0)))</f>
        <v>Low</v>
      </c>
      <c r="K614" s="52" t="str">
        <f>IF($C614="B",INDEX(Batters[[#All],[INT]],MATCH(Table5[[#This Row],[PID]],Batters[[#All],[PID]],0)),INDEX(Table3[[#All],[INT]],MATCH(Table5[[#This Row],[PID]],Table3[[#All],[PID]],0)))</f>
        <v>Normal</v>
      </c>
      <c r="L614" s="60">
        <f>IF($C614="B",INDEX(Batters[[#All],[CON P]],MATCH(Table5[[#This Row],[PID]],Batters[[#All],[PID]],0)),INDEX(Table3[[#All],[STU P]],MATCH(Table5[[#This Row],[PID]],Table3[[#All],[PID]],0)))</f>
        <v>5</v>
      </c>
      <c r="M614" s="56">
        <f>IF($C614="B",INDEX(Batters[[#All],[GAP P]],MATCH(Table5[[#This Row],[PID]],Batters[[#All],[PID]],0)),INDEX(Table3[[#All],[MOV P]],MATCH(Table5[[#This Row],[PID]],Table3[[#All],[PID]],0)))</f>
        <v>2</v>
      </c>
      <c r="N614" s="56">
        <f>IF($C614="B",INDEX(Batters[[#All],[POW P]],MATCH(Table5[[#This Row],[PID]],Batters[[#All],[PID]],0)),INDEX(Table3[[#All],[CON P]],MATCH(Table5[[#This Row],[PID]],Table3[[#All],[PID]],0)))</f>
        <v>5</v>
      </c>
      <c r="O614" s="56" t="str">
        <f>IF($C614="B",INDEX(Batters[[#All],[EYE P]],MATCH(Table5[[#This Row],[PID]],Batters[[#All],[PID]],0)),INDEX(Table3[[#All],[VELO]],MATCH(Table5[[#This Row],[PID]],Table3[[#All],[PID]],0)))</f>
        <v>89-91 Mph</v>
      </c>
      <c r="P614" s="56">
        <f>IF($C614="B",INDEX(Batters[[#All],[K P]],MATCH(Table5[[#This Row],[PID]],Batters[[#All],[PID]],0)),INDEX(Table3[[#All],[STM]],MATCH(Table5[[#This Row],[PID]],Table3[[#All],[PID]],0)))</f>
        <v>6</v>
      </c>
      <c r="Q614" s="61">
        <f>IF($C614="B",INDEX(Batters[[#All],[Tot]],MATCH(Table5[[#This Row],[PID]],Batters[[#All],[PID]],0)),INDEX(Table3[[#All],[Tot]],MATCH(Table5[[#This Row],[PID]],Table3[[#All],[PID]],0)))</f>
        <v>48.905335499906428</v>
      </c>
      <c r="R614" s="52">
        <f>IF($C614="B",INDEX(Batters[[#All],[zScore]],MATCH(Table5[[#This Row],[PID]],Batters[[#All],[PID]],0)),INDEX(Table3[[#All],[zScore]],MATCH(Table5[[#This Row],[PID]],Table3[[#All],[PID]],0)))</f>
        <v>0.86718595456033865</v>
      </c>
      <c r="S614" s="58" t="str">
        <f>IF($C614="B",INDEX(Batters[[#All],[DEM]],MATCH(Table5[[#This Row],[PID]],Batters[[#All],[PID]],0)),INDEX(Table3[[#All],[DEM]],MATCH(Table5[[#This Row],[PID]],Table3[[#All],[PID]],0)))</f>
        <v>$100k</v>
      </c>
      <c r="T614" s="62">
        <f>IF($C614="B",INDEX(Batters[[#All],[Rnk]],MATCH(Table5[[#This Row],[PID]],Batters[[#All],[PID]],0)),INDEX(Table3[[#All],[Rnk]],MATCH(Table5[[#This Row],[PID]],Table3[[#All],[PID]],0)))</f>
        <v>161</v>
      </c>
      <c r="U614" s="68">
        <f>IF($C614="B",VLOOKUP($A614,Bat!$A$4:$BA$1621,47,FALSE),VLOOKUP($A614,Pit!$A$4:$BF$1557,56,FALSE))</f>
        <v>0</v>
      </c>
      <c r="V614" s="50">
        <f>IF($C614="B",VLOOKUP($A614,Bat!$A$4:$BA$1621,48,FALSE),VLOOKUP($A614,Pit!$A$4:$BF$1557,57,FALSE))</f>
        <v>0</v>
      </c>
      <c r="W614" s="50">
        <f>Table5[[#This Row],[posRnk]]+Table5[[#This Row],[zRnk]]+IF($W$3&lt;&gt;Table5[[#This Row],[Type]],50,0)</f>
        <v>476</v>
      </c>
      <c r="X614" s="51">
        <f>RANK(Table5[[#This Row],[zScore]],Table5[[#All],[zScore]])</f>
        <v>265</v>
      </c>
      <c r="Y614" s="50" t="str">
        <f>IFERROR(INDEX(DraftResults[[#All],[OVR]],MATCH(Table5[[#This Row],[PID]],DraftResults[[#All],[Player ID]],0)),"")</f>
        <v/>
      </c>
      <c r="Z6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4" s="50" t="str">
        <f>IFERROR(INDEX(DraftResults[[#All],[Pick in Round]],MATCH(Table5[[#This Row],[PID]],DraftResults[[#All],[Player ID]],0)),"")</f>
        <v/>
      </c>
      <c r="AB614" s="50" t="str">
        <f>IFERROR(INDEX(DraftResults[[#All],[Team Name]],MATCH(Table5[[#This Row],[PID]],DraftResults[[#All],[Player ID]],0)),"")</f>
        <v/>
      </c>
      <c r="AC614" s="50" t="str">
        <f>IF(Table5[[#This Row],[Ovr]]="","",IF(Table5[[#This Row],[cmbList]]="","",Table5[[#This Row],[cmbList]]-Table5[[#This Row],[Ovr]]))</f>
        <v/>
      </c>
      <c r="AD614" s="54" t="str">
        <f>IF(ISERROR(VLOOKUP($AB614&amp;"-"&amp;$E614&amp;" "&amp;F614,Bonuses!$B$1:$G$1006,4,FALSE)),"",INT(VLOOKUP($AB614&amp;"-"&amp;$E614&amp;" "&amp;$F614,Bonuses!$B$1:$G$1006,4,FALSE)))</f>
        <v/>
      </c>
      <c r="AE6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5" spans="1:31" s="50" customFormat="1" x14ac:dyDescent="0.25">
      <c r="A615" s="68">
        <v>18382</v>
      </c>
      <c r="B615" s="69">
        <f>COUNTIF(Table5[PID],A615)</f>
        <v>1</v>
      </c>
      <c r="C615" s="69" t="str">
        <f>IF(COUNTIF(Table3[[#All],[PID]],A615)&gt;0,"P","B")</f>
        <v>P</v>
      </c>
      <c r="D615" s="59" t="str">
        <f>IF($C615="B",INDEX(Batters[[#All],[POS]],MATCH(Table5[[#This Row],[PID]],Batters[[#All],[PID]],0)),INDEX(Table3[[#All],[POS]],MATCH(Table5[[#This Row],[PID]],Table3[[#All],[PID]],0)))</f>
        <v>SP</v>
      </c>
      <c r="E615" s="52" t="str">
        <f>IF($C615="B",INDEX(Batters[[#All],[First]],MATCH(Table5[[#This Row],[PID]],Batters[[#All],[PID]],0)),INDEX(Table3[[#All],[First]],MATCH(Table5[[#This Row],[PID]],Table3[[#All],[PID]],0)))</f>
        <v>Kazuhiro</v>
      </c>
      <c r="F615" s="55" t="str">
        <f>IF($C615="B",INDEX(Batters[[#All],[Last]],MATCH(A615,Batters[[#All],[PID]],0)),INDEX(Table3[[#All],[Last]],MATCH(A615,Table3[[#All],[PID]],0)))</f>
        <v>Kanno</v>
      </c>
      <c r="G615" s="56">
        <f>IF($C615="B",INDEX(Batters[[#All],[Age]],MATCH(Table5[[#This Row],[PID]],Batters[[#All],[PID]],0)),INDEX(Table3[[#All],[Age]],MATCH(Table5[[#This Row],[PID]],Table3[[#All],[PID]],0)))</f>
        <v>18</v>
      </c>
      <c r="H615" s="52" t="str">
        <f>IF($C615="B",INDEX(Batters[[#All],[B]],MATCH(Table5[[#This Row],[PID]],Batters[[#All],[PID]],0)),INDEX(Table3[[#All],[B]],MATCH(Table5[[#This Row],[PID]],Table3[[#All],[PID]],0)))</f>
        <v>R</v>
      </c>
      <c r="I615" s="52" t="str">
        <f>IF($C615="B",INDEX(Batters[[#All],[T]],MATCH(Table5[[#This Row],[PID]],Batters[[#All],[PID]],0)),INDEX(Table3[[#All],[T]],MATCH(Table5[[#This Row],[PID]],Table3[[#All],[PID]],0)))</f>
        <v>R</v>
      </c>
      <c r="J615" s="71" t="str">
        <f>IF($C615="B",INDEX(Batters[[#All],[WE]],MATCH(Table5[[#This Row],[PID]],Batters[[#All],[PID]],0)),INDEX(Table3[[#All],[WE]],MATCH(Table5[[#This Row],[PID]],Table3[[#All],[PID]],0)))</f>
        <v>Normal</v>
      </c>
      <c r="K615" s="52" t="str">
        <f>IF($C615="B",INDEX(Batters[[#All],[INT]],MATCH(Table5[[#This Row],[PID]],Batters[[#All],[PID]],0)),INDEX(Table3[[#All],[INT]],MATCH(Table5[[#This Row],[PID]],Table3[[#All],[PID]],0)))</f>
        <v>Normal</v>
      </c>
      <c r="L615" s="60">
        <f>IF($C615="B",INDEX(Batters[[#All],[CON P]],MATCH(Table5[[#This Row],[PID]],Batters[[#All],[PID]],0)),INDEX(Table3[[#All],[STU P]],MATCH(Table5[[#This Row],[PID]],Table3[[#All],[PID]],0)))</f>
        <v>3</v>
      </c>
      <c r="M615" s="72">
        <f>IF($C615="B",INDEX(Batters[[#All],[GAP P]],MATCH(Table5[[#This Row],[PID]],Batters[[#All],[PID]],0)),INDEX(Table3[[#All],[MOV P]],MATCH(Table5[[#This Row],[PID]],Table3[[#All],[PID]],0)))</f>
        <v>5</v>
      </c>
      <c r="N615" s="72">
        <f>IF($C615="B",INDEX(Batters[[#All],[POW P]],MATCH(Table5[[#This Row],[PID]],Batters[[#All],[PID]],0)),INDEX(Table3[[#All],[CON P]],MATCH(Table5[[#This Row],[PID]],Table3[[#All],[PID]],0)))</f>
        <v>4</v>
      </c>
      <c r="O615" s="72" t="str">
        <f>IF($C615="B",INDEX(Batters[[#All],[EYE P]],MATCH(Table5[[#This Row],[PID]],Batters[[#All],[PID]],0)),INDEX(Table3[[#All],[VELO]],MATCH(Table5[[#This Row],[PID]],Table3[[#All],[PID]],0)))</f>
        <v>89-91 Mph</v>
      </c>
      <c r="P615" s="56">
        <f>IF($C615="B",INDEX(Batters[[#All],[K P]],MATCH(Table5[[#This Row],[PID]],Batters[[#All],[PID]],0)),INDEX(Table3[[#All],[STM]],MATCH(Table5[[#This Row],[PID]],Table3[[#All],[PID]],0)))</f>
        <v>6</v>
      </c>
      <c r="Q615" s="61">
        <f>IF($C615="B",INDEX(Batters[[#All],[Tot]],MATCH(Table5[[#This Row],[PID]],Batters[[#All],[PID]],0)),INDEX(Table3[[#All],[Tot]],MATCH(Table5[[#This Row],[PID]],Table3[[#All],[PID]],0)))</f>
        <v>46.117739912236161</v>
      </c>
      <c r="R615" s="52">
        <f>IF($C615="B",INDEX(Batters[[#All],[zScore]],MATCH(Table5[[#This Row],[PID]],Batters[[#All],[PID]],0)),INDEX(Table3[[#All],[zScore]],MATCH(Table5[[#This Row],[PID]],Table3[[#All],[PID]],0)))</f>
        <v>0.68173147986210159</v>
      </c>
      <c r="S615" s="78" t="str">
        <f>IF($C615="B",INDEX(Batters[[#All],[DEM]],MATCH(Table5[[#This Row],[PID]],Batters[[#All],[PID]],0)),INDEX(Table3[[#All],[DEM]],MATCH(Table5[[#This Row],[PID]],Table3[[#All],[PID]],0)))</f>
        <v>$190k</v>
      </c>
      <c r="T615" s="75">
        <f>IF($C615="B",INDEX(Batters[[#All],[Rnk]],MATCH(Table5[[#This Row],[PID]],Batters[[#All],[PID]],0)),INDEX(Table3[[#All],[Rnk]],MATCH(Table5[[#This Row],[PID]],Table3[[#All],[PID]],0)))</f>
        <v>190</v>
      </c>
      <c r="U615" s="68">
        <f>IF($C615="B",VLOOKUP($A615,Bat!$A$4:$BA$1621,47,FALSE),VLOOKUP($A615,Pit!$A$4:$BF$1557,56,FALSE))</f>
        <v>0</v>
      </c>
      <c r="V615" s="50">
        <f>IF($C615="B",VLOOKUP($A615,Bat!$A$4:$BA$1621,48,FALSE),VLOOKUP($A615,Pit!$A$4:$BF$1557,57,FALSE))</f>
        <v>0</v>
      </c>
      <c r="W615" s="69">
        <f>Table5[[#This Row],[posRnk]]+Table5[[#This Row],[zRnk]]+IF($W$3&lt;&gt;Table5[[#This Row],[Type]],50,0)</f>
        <v>551</v>
      </c>
      <c r="X615" s="73">
        <f>RANK(Table5[[#This Row],[zScore]],Table5[[#All],[zScore]])</f>
        <v>311</v>
      </c>
      <c r="Y615" s="69" t="str">
        <f>IFERROR(INDEX(DraftResults[[#All],[OVR]],MATCH(Table5[[#This Row],[PID]],DraftResults[[#All],[Player ID]],0)),"")</f>
        <v/>
      </c>
      <c r="Z61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5" s="69" t="str">
        <f>IFERROR(INDEX(DraftResults[[#All],[Pick in Round]],MATCH(Table5[[#This Row],[PID]],DraftResults[[#All],[Player ID]],0)),"")</f>
        <v/>
      </c>
      <c r="AB615" s="69" t="str">
        <f>IFERROR(INDEX(DraftResults[[#All],[Team Name]],MATCH(Table5[[#This Row],[PID]],DraftResults[[#All],[Player ID]],0)),"")</f>
        <v/>
      </c>
      <c r="AC615" s="69" t="str">
        <f>IF(Table5[[#This Row],[Ovr]]="","",IF(Table5[[#This Row],[cmbList]]="","",Table5[[#This Row],[cmbList]]-Table5[[#This Row],[Ovr]]))</f>
        <v/>
      </c>
      <c r="AD615" s="77" t="str">
        <f>IF(ISERROR(VLOOKUP($AB615&amp;"-"&amp;$E615&amp;" "&amp;F615,Bonuses!$B$1:$G$1006,4,FALSE)),"",INT(VLOOKUP($AB615&amp;"-"&amp;$E615&amp;" "&amp;$F615,Bonuses!$B$1:$G$1006,4,FALSE)))</f>
        <v/>
      </c>
      <c r="AE61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6" spans="1:31" s="50" customFormat="1" x14ac:dyDescent="0.25">
      <c r="A616" s="68">
        <v>18352</v>
      </c>
      <c r="B616" s="69">
        <f>COUNTIF(Table5[PID],A616)</f>
        <v>1</v>
      </c>
      <c r="C616" s="69" t="str">
        <f>IF(COUNTIF(Table3[[#All],[PID]],A616)&gt;0,"P","B")</f>
        <v>P</v>
      </c>
      <c r="D616" s="59" t="str">
        <f>IF($C616="B",INDEX(Batters[[#All],[POS]],MATCH(Table5[[#This Row],[PID]],Batters[[#All],[PID]],0)),INDEX(Table3[[#All],[POS]],MATCH(Table5[[#This Row],[PID]],Table3[[#All],[PID]],0)))</f>
        <v>SP</v>
      </c>
      <c r="E616" s="52" t="str">
        <f>IF($C616="B",INDEX(Batters[[#All],[First]],MATCH(Table5[[#This Row],[PID]],Batters[[#All],[PID]],0)),INDEX(Table3[[#All],[First]],MATCH(Table5[[#This Row],[PID]],Table3[[#All],[PID]],0)))</f>
        <v>Salvador</v>
      </c>
      <c r="F616" s="55" t="str">
        <f>IF($C616="B",INDEX(Batters[[#All],[Last]],MATCH(A616,Batters[[#All],[PID]],0)),INDEX(Table3[[#All],[Last]],MATCH(A616,Table3[[#All],[PID]],0)))</f>
        <v>Soto</v>
      </c>
      <c r="G616" s="56">
        <f>IF($C616="B",INDEX(Batters[[#All],[Age]],MATCH(Table5[[#This Row],[PID]],Batters[[#All],[PID]],0)),INDEX(Table3[[#All],[Age]],MATCH(Table5[[#This Row],[PID]],Table3[[#All],[PID]],0)))</f>
        <v>18</v>
      </c>
      <c r="H616" s="52" t="str">
        <f>IF($C616="B",INDEX(Batters[[#All],[B]],MATCH(Table5[[#This Row],[PID]],Batters[[#All],[PID]],0)),INDEX(Table3[[#All],[B]],MATCH(Table5[[#This Row],[PID]],Table3[[#All],[PID]],0)))</f>
        <v>S</v>
      </c>
      <c r="I616" s="52" t="str">
        <f>IF($C616="B",INDEX(Batters[[#All],[T]],MATCH(Table5[[#This Row],[PID]],Batters[[#All],[PID]],0)),INDEX(Table3[[#All],[T]],MATCH(Table5[[#This Row],[PID]],Table3[[#All],[PID]],0)))</f>
        <v>R</v>
      </c>
      <c r="J616" s="71" t="str">
        <f>IF($C616="B",INDEX(Batters[[#All],[WE]],MATCH(Table5[[#This Row],[PID]],Batters[[#All],[PID]],0)),INDEX(Table3[[#All],[WE]],MATCH(Table5[[#This Row],[PID]],Table3[[#All],[PID]],0)))</f>
        <v>Low</v>
      </c>
      <c r="K616" s="52" t="str">
        <f>IF($C616="B",INDEX(Batters[[#All],[INT]],MATCH(Table5[[#This Row],[PID]],Batters[[#All],[PID]],0)),INDEX(Table3[[#All],[INT]],MATCH(Table5[[#This Row],[PID]],Table3[[#All],[PID]],0)))</f>
        <v>Normal</v>
      </c>
      <c r="L616" s="60">
        <f>IF($C616="B",INDEX(Batters[[#All],[CON P]],MATCH(Table5[[#This Row],[PID]],Batters[[#All],[PID]],0)),INDEX(Table3[[#All],[STU P]],MATCH(Table5[[#This Row],[PID]],Table3[[#All],[PID]],0)))</f>
        <v>4</v>
      </c>
      <c r="M616" s="72">
        <f>IF($C616="B",INDEX(Batters[[#All],[GAP P]],MATCH(Table5[[#This Row],[PID]],Batters[[#All],[PID]],0)),INDEX(Table3[[#All],[MOV P]],MATCH(Table5[[#This Row],[PID]],Table3[[#All],[PID]],0)))</f>
        <v>2</v>
      </c>
      <c r="N616" s="72">
        <f>IF($C616="B",INDEX(Batters[[#All],[POW P]],MATCH(Table5[[#This Row],[PID]],Batters[[#All],[PID]],0)),INDEX(Table3[[#All],[CON P]],MATCH(Table5[[#This Row],[PID]],Table3[[#All],[PID]],0)))</f>
        <v>5</v>
      </c>
      <c r="O616" s="72" t="str">
        <f>IF($C616="B",INDEX(Batters[[#All],[EYE P]],MATCH(Table5[[#This Row],[PID]],Batters[[#All],[PID]],0)),INDEX(Table3[[#All],[VELO]],MATCH(Table5[[#This Row],[PID]],Table3[[#All],[PID]],0)))</f>
        <v>88-90 Mph</v>
      </c>
      <c r="P616" s="56">
        <f>IF($C616="B",INDEX(Batters[[#All],[K P]],MATCH(Table5[[#This Row],[PID]],Batters[[#All],[PID]],0)),INDEX(Table3[[#All],[STM]],MATCH(Table5[[#This Row],[PID]],Table3[[#All],[PID]],0)))</f>
        <v>6</v>
      </c>
      <c r="Q616" s="61">
        <f>IF($C616="B",INDEX(Batters[[#All],[Tot]],MATCH(Table5[[#This Row],[PID]],Batters[[#All],[PID]],0)),INDEX(Table3[[#All],[Tot]],MATCH(Table5[[#This Row],[PID]],Table3[[#All],[PID]],0)))</f>
        <v>45.268142374078806</v>
      </c>
      <c r="R616" s="52">
        <f>IF($C616="B",INDEX(Batters[[#All],[zScore]],MATCH(Table5[[#This Row],[PID]],Batters[[#All],[PID]],0)),INDEX(Table3[[#All],[zScore]],MATCH(Table5[[#This Row],[PID]],Table3[[#All],[PID]],0)))</f>
        <v>0.62520905392600301</v>
      </c>
      <c r="S616" s="78" t="str">
        <f>IF($C616="B",INDEX(Batters[[#All],[DEM]],MATCH(Table5[[#This Row],[PID]],Batters[[#All],[PID]],0)),INDEX(Table3[[#All],[DEM]],MATCH(Table5[[#This Row],[PID]],Table3[[#All],[PID]],0)))</f>
        <v>$75k</v>
      </c>
      <c r="T616" s="75">
        <f>IF($C616="B",INDEX(Batters[[#All],[Rnk]],MATCH(Table5[[#This Row],[PID]],Batters[[#All],[PID]],0)),INDEX(Table3[[#All],[Rnk]],MATCH(Table5[[#This Row],[PID]],Table3[[#All],[PID]],0)))</f>
        <v>195</v>
      </c>
      <c r="U616" s="68">
        <f>IF($C616="B",VLOOKUP($A616,Bat!$A$4:$BA$1621,47,FALSE),VLOOKUP($A616,Pit!$A$4:$BF$1557,56,FALSE))</f>
        <v>0</v>
      </c>
      <c r="V616" s="50">
        <f>IF($C616="B",VLOOKUP($A616,Bat!$A$4:$BA$1621,48,FALSE),VLOOKUP($A616,Pit!$A$4:$BF$1557,57,FALSE))</f>
        <v>0</v>
      </c>
      <c r="W616" s="69">
        <f>Table5[[#This Row],[posRnk]]+Table5[[#This Row],[zRnk]]+IF($W$3&lt;&gt;Table5[[#This Row],[Type]],50,0)</f>
        <v>571</v>
      </c>
      <c r="X616" s="73">
        <f>RANK(Table5[[#This Row],[zScore]],Table5[[#All],[zScore]])</f>
        <v>326</v>
      </c>
      <c r="Y616" s="69" t="str">
        <f>IFERROR(INDEX(DraftResults[[#All],[OVR]],MATCH(Table5[[#This Row],[PID]],DraftResults[[#All],[Player ID]],0)),"")</f>
        <v/>
      </c>
      <c r="Z61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6" s="69" t="str">
        <f>IFERROR(INDEX(DraftResults[[#All],[Pick in Round]],MATCH(Table5[[#This Row],[PID]],DraftResults[[#All],[Player ID]],0)),"")</f>
        <v/>
      </c>
      <c r="AB616" s="69" t="str">
        <f>IFERROR(INDEX(DraftResults[[#All],[Team Name]],MATCH(Table5[[#This Row],[PID]],DraftResults[[#All],[Player ID]],0)),"")</f>
        <v/>
      </c>
      <c r="AC616" s="69" t="str">
        <f>IF(Table5[[#This Row],[Ovr]]="","",IF(Table5[[#This Row],[cmbList]]="","",Table5[[#This Row],[cmbList]]-Table5[[#This Row],[Ovr]]))</f>
        <v/>
      </c>
      <c r="AD616" s="77" t="str">
        <f>IF(ISERROR(VLOOKUP($AB616&amp;"-"&amp;$E616&amp;" "&amp;F616,Bonuses!$B$1:$G$1006,4,FALSE)),"",INT(VLOOKUP($AB616&amp;"-"&amp;$E616&amp;" "&amp;$F616,Bonuses!$B$1:$G$1006,4,FALSE)))</f>
        <v/>
      </c>
      <c r="AE61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7" spans="1:31" s="50" customFormat="1" x14ac:dyDescent="0.25">
      <c r="A617" s="68">
        <v>20296</v>
      </c>
      <c r="B617" s="69">
        <f>COUNTIF(Table5[PID],A617)</f>
        <v>1</v>
      </c>
      <c r="C617" s="69" t="str">
        <f>IF(COUNTIF(Table3[[#All],[PID]],A617)&gt;0,"P","B")</f>
        <v>P</v>
      </c>
      <c r="D617" s="59" t="str">
        <f>IF($C617="B",INDEX(Batters[[#All],[POS]],MATCH(Table5[[#This Row],[PID]],Batters[[#All],[PID]],0)),INDEX(Table3[[#All],[POS]],MATCH(Table5[[#This Row],[PID]],Table3[[#All],[PID]],0)))</f>
        <v>SP</v>
      </c>
      <c r="E617" s="52" t="str">
        <f>IF($C617="B",INDEX(Batters[[#All],[First]],MATCH(Table5[[#This Row],[PID]],Batters[[#All],[PID]],0)),INDEX(Table3[[#All],[First]],MATCH(Table5[[#This Row],[PID]],Table3[[#All],[PID]],0)))</f>
        <v>Myung-hwan</v>
      </c>
      <c r="F617" s="55" t="str">
        <f>IF($C617="B",INDEX(Batters[[#All],[Last]],MATCH(A617,Batters[[#All],[PID]],0)),INDEX(Table3[[#All],[Last]],MATCH(A617,Table3[[#All],[PID]],0)))</f>
        <v>Pak</v>
      </c>
      <c r="G617" s="56">
        <f>IF($C617="B",INDEX(Batters[[#All],[Age]],MATCH(Table5[[#This Row],[PID]],Batters[[#All],[PID]],0)),INDEX(Table3[[#All],[Age]],MATCH(Table5[[#This Row],[PID]],Table3[[#All],[PID]],0)))</f>
        <v>18</v>
      </c>
      <c r="H617" s="52" t="str">
        <f>IF($C617="B",INDEX(Batters[[#All],[B]],MATCH(Table5[[#This Row],[PID]],Batters[[#All],[PID]],0)),INDEX(Table3[[#All],[B]],MATCH(Table5[[#This Row],[PID]],Table3[[#All],[PID]],0)))</f>
        <v>R</v>
      </c>
      <c r="I617" s="52" t="str">
        <f>IF($C617="B",INDEX(Batters[[#All],[T]],MATCH(Table5[[#This Row],[PID]],Batters[[#All],[PID]],0)),INDEX(Table3[[#All],[T]],MATCH(Table5[[#This Row],[PID]],Table3[[#All],[PID]],0)))</f>
        <v>R</v>
      </c>
      <c r="J617" s="71" t="str">
        <f>IF($C617="B",INDEX(Batters[[#All],[WE]],MATCH(Table5[[#This Row],[PID]],Batters[[#All],[PID]],0)),INDEX(Table3[[#All],[WE]],MATCH(Table5[[#This Row],[PID]],Table3[[#All],[PID]],0)))</f>
        <v>Normal</v>
      </c>
      <c r="K617" s="52" t="str">
        <f>IF($C617="B",INDEX(Batters[[#All],[INT]],MATCH(Table5[[#This Row],[PID]],Batters[[#All],[PID]],0)),INDEX(Table3[[#All],[INT]],MATCH(Table5[[#This Row],[PID]],Table3[[#All],[PID]],0)))</f>
        <v>Normal</v>
      </c>
      <c r="L617" s="60">
        <f>IF($C617="B",INDEX(Batters[[#All],[CON P]],MATCH(Table5[[#This Row],[PID]],Batters[[#All],[PID]],0)),INDEX(Table3[[#All],[STU P]],MATCH(Table5[[#This Row],[PID]],Table3[[#All],[PID]],0)))</f>
        <v>5</v>
      </c>
      <c r="M617" s="72">
        <f>IF($C617="B",INDEX(Batters[[#All],[GAP P]],MATCH(Table5[[#This Row],[PID]],Batters[[#All],[PID]],0)),INDEX(Table3[[#All],[MOV P]],MATCH(Table5[[#This Row],[PID]],Table3[[#All],[PID]],0)))</f>
        <v>2</v>
      </c>
      <c r="N617" s="72">
        <f>IF($C617="B",INDEX(Batters[[#All],[POW P]],MATCH(Table5[[#This Row],[PID]],Batters[[#All],[PID]],0)),INDEX(Table3[[#All],[CON P]],MATCH(Table5[[#This Row],[PID]],Table3[[#All],[PID]],0)))</f>
        <v>4</v>
      </c>
      <c r="O617" s="72" t="str">
        <f>IF($C617="B",INDEX(Batters[[#All],[EYE P]],MATCH(Table5[[#This Row],[PID]],Batters[[#All],[PID]],0)),INDEX(Table3[[#All],[VELO]],MATCH(Table5[[#This Row],[PID]],Table3[[#All],[PID]],0)))</f>
        <v>90-92 Mph</v>
      </c>
      <c r="P617" s="56">
        <f>IF($C617="B",INDEX(Batters[[#All],[K P]],MATCH(Table5[[#This Row],[PID]],Batters[[#All],[PID]],0)),INDEX(Table3[[#All],[STM]],MATCH(Table5[[#This Row],[PID]],Table3[[#All],[PID]],0)))</f>
        <v>6</v>
      </c>
      <c r="Q617" s="61">
        <f>IF($C617="B",INDEX(Batters[[#All],[Tot]],MATCH(Table5[[#This Row],[PID]],Batters[[#All],[PID]],0)),INDEX(Table3[[#All],[Tot]],MATCH(Table5[[#This Row],[PID]],Table3[[#All],[PID]],0)))</f>
        <v>45.117584461851273</v>
      </c>
      <c r="R617" s="52">
        <f>IF($C617="B",INDEX(Batters[[#All],[zScore]],MATCH(Table5[[#This Row],[PID]],Batters[[#All],[PID]],0)),INDEX(Table3[[#All],[zScore]],MATCH(Table5[[#This Row],[PID]],Table3[[#All],[PID]],0)))</f>
        <v>0.61519266609438217</v>
      </c>
      <c r="S617" s="78" t="str">
        <f>IF($C617="B",INDEX(Batters[[#All],[DEM]],MATCH(Table5[[#This Row],[PID]],Batters[[#All],[PID]],0)),INDEX(Table3[[#All],[DEM]],MATCH(Table5[[#This Row],[PID]],Table3[[#All],[PID]],0)))</f>
        <v>$65k</v>
      </c>
      <c r="T617" s="75">
        <f>IF($C617="B",INDEX(Batters[[#All],[Rnk]],MATCH(Table5[[#This Row],[PID]],Batters[[#All],[PID]],0)),INDEX(Table3[[#All],[Rnk]],MATCH(Table5[[#This Row],[PID]],Table3[[#All],[PID]],0)))</f>
        <v>198</v>
      </c>
      <c r="U617" s="68">
        <f>IF($C617="B",VLOOKUP($A617,Bat!$A$4:$BA$1621,47,FALSE),VLOOKUP($A617,Pit!$A$4:$BF$1557,56,FALSE))</f>
        <v>0</v>
      </c>
      <c r="V617" s="50">
        <f>IF($C617="B",VLOOKUP($A617,Bat!$A$4:$BA$1621,48,FALSE),VLOOKUP($A617,Pit!$A$4:$BF$1557,57,FALSE))</f>
        <v>0</v>
      </c>
      <c r="W617" s="69">
        <f>Table5[[#This Row],[posRnk]]+Table5[[#This Row],[zRnk]]+IF($W$3&lt;&gt;Table5[[#This Row],[Type]],50,0)</f>
        <v>580</v>
      </c>
      <c r="X617" s="73">
        <f>RANK(Table5[[#This Row],[zScore]],Table5[[#All],[zScore]])</f>
        <v>332</v>
      </c>
      <c r="Y617" s="69" t="str">
        <f>IFERROR(INDEX(DraftResults[[#All],[OVR]],MATCH(Table5[[#This Row],[PID]],DraftResults[[#All],[Player ID]],0)),"")</f>
        <v/>
      </c>
      <c r="Z61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7" s="69" t="str">
        <f>IFERROR(INDEX(DraftResults[[#All],[Pick in Round]],MATCH(Table5[[#This Row],[PID]],DraftResults[[#All],[Player ID]],0)),"")</f>
        <v/>
      </c>
      <c r="AB617" s="69" t="str">
        <f>IFERROR(INDEX(DraftResults[[#All],[Team Name]],MATCH(Table5[[#This Row],[PID]],DraftResults[[#All],[Player ID]],0)),"")</f>
        <v/>
      </c>
      <c r="AC617" s="69" t="str">
        <f>IF(Table5[[#This Row],[Ovr]]="","",IF(Table5[[#This Row],[cmbList]]="","",Table5[[#This Row],[cmbList]]-Table5[[#This Row],[Ovr]]))</f>
        <v/>
      </c>
      <c r="AD617" s="77" t="str">
        <f>IF(ISERROR(VLOOKUP($AB617&amp;"-"&amp;$E617&amp;" "&amp;F617,Bonuses!$B$1:$G$1006,4,FALSE)),"",INT(VLOOKUP($AB617&amp;"-"&amp;$E617&amp;" "&amp;$F617,Bonuses!$B$1:$G$1006,4,FALSE)))</f>
        <v/>
      </c>
      <c r="AE61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8" spans="1:31" s="50" customFormat="1" x14ac:dyDescent="0.25">
      <c r="A618" s="50">
        <v>18275</v>
      </c>
      <c r="B618" s="50">
        <f>COUNTIF(Table5[PID],A618)</f>
        <v>1</v>
      </c>
      <c r="C618" s="50" t="str">
        <f>IF(COUNTIF(Table3[[#All],[PID]],A618)&gt;0,"P","B")</f>
        <v>P</v>
      </c>
      <c r="D618" s="59" t="str">
        <f>IF($C618="B",INDEX(Batters[[#All],[POS]],MATCH(Table5[[#This Row],[PID]],Batters[[#All],[PID]],0)),INDEX(Table3[[#All],[POS]],MATCH(Table5[[#This Row],[PID]],Table3[[#All],[PID]],0)))</f>
        <v>RP</v>
      </c>
      <c r="E618" s="52" t="str">
        <f>IF($C618="B",INDEX(Batters[[#All],[First]],MATCH(Table5[[#This Row],[PID]],Batters[[#All],[PID]],0)),INDEX(Table3[[#All],[First]],MATCH(Table5[[#This Row],[PID]],Table3[[#All],[PID]],0)))</f>
        <v>Jeff</v>
      </c>
      <c r="F618" s="50" t="str">
        <f>IF($C618="B",INDEX(Batters[[#All],[Last]],MATCH(A618,Batters[[#All],[PID]],0)),INDEX(Table3[[#All],[Last]],MATCH(A618,Table3[[#All],[PID]],0)))</f>
        <v>Webb</v>
      </c>
      <c r="G618" s="56">
        <f>IF($C618="B",INDEX(Batters[[#All],[Age]],MATCH(Table5[[#This Row],[PID]],Batters[[#All],[PID]],0)),INDEX(Table3[[#All],[Age]],MATCH(Table5[[#This Row],[PID]],Table3[[#All],[PID]],0)))</f>
        <v>18</v>
      </c>
      <c r="H618" s="52" t="str">
        <f>IF($C618="B",INDEX(Batters[[#All],[B]],MATCH(Table5[[#This Row],[PID]],Batters[[#All],[PID]],0)),INDEX(Table3[[#All],[B]],MATCH(Table5[[#This Row],[PID]],Table3[[#All],[PID]],0)))</f>
        <v>R</v>
      </c>
      <c r="I618" s="52" t="str">
        <f>IF($C618="B",INDEX(Batters[[#All],[T]],MATCH(Table5[[#This Row],[PID]],Batters[[#All],[PID]],0)),INDEX(Table3[[#All],[T]],MATCH(Table5[[#This Row],[PID]],Table3[[#All],[PID]],0)))</f>
        <v>R</v>
      </c>
      <c r="J618" s="52" t="str">
        <f>IF($C618="B",INDEX(Batters[[#All],[WE]],MATCH(Table5[[#This Row],[PID]],Batters[[#All],[PID]],0)),INDEX(Table3[[#All],[WE]],MATCH(Table5[[#This Row],[PID]],Table3[[#All],[PID]],0)))</f>
        <v>Low</v>
      </c>
      <c r="K618" s="52" t="str">
        <f>IF($C618="B",INDEX(Batters[[#All],[INT]],MATCH(Table5[[#This Row],[PID]],Batters[[#All],[PID]],0)),INDEX(Table3[[#All],[INT]],MATCH(Table5[[#This Row],[PID]],Table3[[#All],[PID]],0)))</f>
        <v>High</v>
      </c>
      <c r="L618" s="60">
        <f>IF($C618="B",INDEX(Batters[[#All],[CON P]],MATCH(Table5[[#This Row],[PID]],Batters[[#All],[PID]],0)),INDEX(Table3[[#All],[STU P]],MATCH(Table5[[#This Row],[PID]],Table3[[#All],[PID]],0)))</f>
        <v>4</v>
      </c>
      <c r="M618" s="56">
        <f>IF($C618="B",INDEX(Batters[[#All],[GAP P]],MATCH(Table5[[#This Row],[PID]],Batters[[#All],[PID]],0)),INDEX(Table3[[#All],[MOV P]],MATCH(Table5[[#This Row],[PID]],Table3[[#All],[PID]],0)))</f>
        <v>5</v>
      </c>
      <c r="N618" s="56">
        <f>IF($C618="B",INDEX(Batters[[#All],[POW P]],MATCH(Table5[[#This Row],[PID]],Batters[[#All],[PID]],0)),INDEX(Table3[[#All],[CON P]],MATCH(Table5[[#This Row],[PID]],Table3[[#All],[PID]],0)))</f>
        <v>3</v>
      </c>
      <c r="O618" s="56" t="str">
        <f>IF($C618="B",INDEX(Batters[[#All],[EYE P]],MATCH(Table5[[#This Row],[PID]],Batters[[#All],[PID]],0)),INDEX(Table3[[#All],[VELO]],MATCH(Table5[[#This Row],[PID]],Table3[[#All],[PID]],0)))</f>
        <v>85-87 Mph</v>
      </c>
      <c r="P618" s="56">
        <f>IF($C618="B",INDEX(Batters[[#All],[K P]],MATCH(Table5[[#This Row],[PID]],Batters[[#All],[PID]],0)),INDEX(Table3[[#All],[STM]],MATCH(Table5[[#This Row],[PID]],Table3[[#All],[PID]],0)))</f>
        <v>6</v>
      </c>
      <c r="Q618" s="61">
        <f>IF($C618="B",INDEX(Batters[[#All],[Tot]],MATCH(Table5[[#This Row],[PID]],Batters[[#All],[PID]],0)),INDEX(Table3[[#All],[Tot]],MATCH(Table5[[#This Row],[PID]],Table3[[#All],[PID]],0)))</f>
        <v>45.262361038808884</v>
      </c>
      <c r="R618" s="52">
        <f>IF($C618="B",INDEX(Batters[[#All],[zScore]],MATCH(Table5[[#This Row],[PID]],Batters[[#All],[PID]],0)),INDEX(Table3[[#All],[zScore]],MATCH(Table5[[#This Row],[PID]],Table3[[#All],[PID]],0)))</f>
        <v>0.61384239988783817</v>
      </c>
      <c r="S618" s="58" t="str">
        <f>IF($C618="B",INDEX(Batters[[#All],[DEM]],MATCH(Table5[[#This Row],[PID]],Batters[[#All],[PID]],0)),INDEX(Table3[[#All],[DEM]],MATCH(Table5[[#This Row],[PID]],Table3[[#All],[PID]],0)))</f>
        <v>$75k</v>
      </c>
      <c r="T618" s="62">
        <f>IF($C618="B",INDEX(Batters[[#All],[Rnk]],MATCH(Table5[[#This Row],[PID]],Batters[[#All],[PID]],0)),INDEX(Table3[[#All],[Rnk]],MATCH(Table5[[#This Row],[PID]],Table3[[#All],[PID]],0)))</f>
        <v>199</v>
      </c>
      <c r="U618" s="68">
        <f>IF($C618="B",VLOOKUP($A618,Bat!$A$4:$BA$1621,47,FALSE),VLOOKUP($A618,Pit!$A$4:$BF$1557,56,FALSE))</f>
        <v>0</v>
      </c>
      <c r="V618" s="50">
        <f>IF($C618="B",VLOOKUP($A618,Bat!$A$4:$BA$1621,48,FALSE),VLOOKUP($A618,Pit!$A$4:$BF$1557,57,FALSE))</f>
        <v>0</v>
      </c>
      <c r="W618" s="50">
        <f>Table5[[#This Row],[posRnk]]+Table5[[#This Row],[zRnk]]+IF($W$3&lt;&gt;Table5[[#This Row],[Type]],50,0)</f>
        <v>582</v>
      </c>
      <c r="X618" s="51">
        <f>RANK(Table5[[#This Row],[zScore]],Table5[[#All],[zScore]])</f>
        <v>333</v>
      </c>
      <c r="Y618" s="50" t="str">
        <f>IFERROR(INDEX(DraftResults[[#All],[OVR]],MATCH(Table5[[#This Row],[PID]],DraftResults[[#All],[Player ID]],0)),"")</f>
        <v/>
      </c>
      <c r="Z6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8" s="50" t="str">
        <f>IFERROR(INDEX(DraftResults[[#All],[Pick in Round]],MATCH(Table5[[#This Row],[PID]],DraftResults[[#All],[Player ID]],0)),"")</f>
        <v/>
      </c>
      <c r="AB618" s="50" t="str">
        <f>IFERROR(INDEX(DraftResults[[#All],[Team Name]],MATCH(Table5[[#This Row],[PID]],DraftResults[[#All],[Player ID]],0)),"")</f>
        <v/>
      </c>
      <c r="AC618" s="50" t="str">
        <f>IF(Table5[[#This Row],[Ovr]]="","",IF(Table5[[#This Row],[cmbList]]="","",Table5[[#This Row],[cmbList]]-Table5[[#This Row],[Ovr]]))</f>
        <v/>
      </c>
      <c r="AD618" s="54" t="str">
        <f>IF(ISERROR(VLOOKUP($AB618&amp;"-"&amp;$E618&amp;" "&amp;F618,Bonuses!$B$1:$G$1006,4,FALSE)),"",INT(VLOOKUP($AB618&amp;"-"&amp;$E618&amp;" "&amp;$F618,Bonuses!$B$1:$G$1006,4,FALSE)))</f>
        <v/>
      </c>
      <c r="AE6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19" spans="1:31" s="50" customFormat="1" x14ac:dyDescent="0.25">
      <c r="A619" s="50">
        <v>18181</v>
      </c>
      <c r="B619" s="50">
        <f>COUNTIF(Table5[PID],A619)</f>
        <v>1</v>
      </c>
      <c r="C619" s="50" t="str">
        <f>IF(COUNTIF(Table3[[#All],[PID]],A619)&gt;0,"P","B")</f>
        <v>P</v>
      </c>
      <c r="D619" s="59" t="str">
        <f>IF($C619="B",INDEX(Batters[[#All],[POS]],MATCH(Table5[[#This Row],[PID]],Batters[[#All],[PID]],0)),INDEX(Table3[[#All],[POS]],MATCH(Table5[[#This Row],[PID]],Table3[[#All],[PID]],0)))</f>
        <v>RP</v>
      </c>
      <c r="E619" s="52" t="str">
        <f>IF($C619="B",INDEX(Batters[[#All],[First]],MATCH(Table5[[#This Row],[PID]],Batters[[#All],[PID]],0)),INDEX(Table3[[#All],[First]],MATCH(Table5[[#This Row],[PID]],Table3[[#All],[PID]],0)))</f>
        <v>Ian</v>
      </c>
      <c r="F619" s="50" t="str">
        <f>IF($C619="B",INDEX(Batters[[#All],[Last]],MATCH(A619,Batters[[#All],[PID]],0)),INDEX(Table3[[#All],[Last]],MATCH(A619,Table3[[#All],[PID]],0)))</f>
        <v>Gutiérrez</v>
      </c>
      <c r="G619" s="56">
        <f>IF($C619="B",INDEX(Batters[[#All],[Age]],MATCH(Table5[[#This Row],[PID]],Batters[[#All],[PID]],0)),INDEX(Table3[[#All],[Age]],MATCH(Table5[[#This Row],[PID]],Table3[[#All],[PID]],0)))</f>
        <v>18</v>
      </c>
      <c r="H619" s="52" t="str">
        <f>IF($C619="B",INDEX(Batters[[#All],[B]],MATCH(Table5[[#This Row],[PID]],Batters[[#All],[PID]],0)),INDEX(Table3[[#All],[B]],MATCH(Table5[[#This Row],[PID]],Table3[[#All],[PID]],0)))</f>
        <v>R</v>
      </c>
      <c r="I619" s="52" t="str">
        <f>IF($C619="B",INDEX(Batters[[#All],[T]],MATCH(Table5[[#This Row],[PID]],Batters[[#All],[PID]],0)),INDEX(Table3[[#All],[T]],MATCH(Table5[[#This Row],[PID]],Table3[[#All],[PID]],0)))</f>
        <v>R</v>
      </c>
      <c r="J619" s="52" t="str">
        <f>IF($C619="B",INDEX(Batters[[#All],[WE]],MATCH(Table5[[#This Row],[PID]],Batters[[#All],[PID]],0)),INDEX(Table3[[#All],[WE]],MATCH(Table5[[#This Row],[PID]],Table3[[#All],[PID]],0)))</f>
        <v>Normal</v>
      </c>
      <c r="K619" s="52" t="str">
        <f>IF($C619="B",INDEX(Batters[[#All],[INT]],MATCH(Table5[[#This Row],[PID]],Batters[[#All],[PID]],0)),INDEX(Table3[[#All],[INT]],MATCH(Table5[[#This Row],[PID]],Table3[[#All],[PID]],0)))</f>
        <v>Normal</v>
      </c>
      <c r="L619" s="60">
        <f>IF($C619="B",INDEX(Batters[[#All],[CON P]],MATCH(Table5[[#This Row],[PID]],Batters[[#All],[PID]],0)),INDEX(Table3[[#All],[STU P]],MATCH(Table5[[#This Row],[PID]],Table3[[#All],[PID]],0)))</f>
        <v>5</v>
      </c>
      <c r="M619" s="56">
        <f>IF($C619="B",INDEX(Batters[[#All],[GAP P]],MATCH(Table5[[#This Row],[PID]],Batters[[#All],[PID]],0)),INDEX(Table3[[#All],[MOV P]],MATCH(Table5[[#This Row],[PID]],Table3[[#All],[PID]],0)))</f>
        <v>2</v>
      </c>
      <c r="N619" s="56">
        <f>IF($C619="B",INDEX(Batters[[#All],[POW P]],MATCH(Table5[[#This Row],[PID]],Batters[[#All],[PID]],0)),INDEX(Table3[[#All],[CON P]],MATCH(Table5[[#This Row],[PID]],Table3[[#All],[PID]],0)))</f>
        <v>4</v>
      </c>
      <c r="O619" s="56" t="str">
        <f>IF($C619="B",INDEX(Batters[[#All],[EYE P]],MATCH(Table5[[#This Row],[PID]],Batters[[#All],[PID]],0)),INDEX(Table3[[#All],[VELO]],MATCH(Table5[[#This Row],[PID]],Table3[[#All],[PID]],0)))</f>
        <v>89-91 Mph</v>
      </c>
      <c r="P619" s="56">
        <f>IF($C619="B",INDEX(Batters[[#All],[K P]],MATCH(Table5[[#This Row],[PID]],Batters[[#All],[PID]],0)),INDEX(Table3[[#All],[STM]],MATCH(Table5[[#This Row],[PID]],Table3[[#All],[PID]],0)))</f>
        <v>5</v>
      </c>
      <c r="Q619" s="61">
        <f>IF($C619="B",INDEX(Batters[[#All],[Tot]],MATCH(Table5[[#This Row],[PID]],Batters[[#All],[PID]],0)),INDEX(Table3[[#All],[Tot]],MATCH(Table5[[#This Row],[PID]],Table3[[#All],[PID]],0)))</f>
        <v>44.677336972231828</v>
      </c>
      <c r="R619" s="52">
        <f>IF($C619="B",INDEX(Batters[[#All],[zScore]],MATCH(Table5[[#This Row],[PID]],Batters[[#All],[PID]],0)),INDEX(Table3[[#All],[zScore]],MATCH(Table5[[#This Row],[PID]],Table3[[#All],[PID]],0)))</f>
        <v>0.58590367335608218</v>
      </c>
      <c r="S619" s="58" t="str">
        <f>IF($C619="B",INDEX(Batters[[#All],[DEM]],MATCH(Table5[[#This Row],[PID]],Batters[[#All],[PID]],0)),INDEX(Table3[[#All],[DEM]],MATCH(Table5[[#This Row],[PID]],Table3[[#All],[PID]],0)))</f>
        <v>$65k</v>
      </c>
      <c r="T619" s="62">
        <f>IF($C619="B",INDEX(Batters[[#All],[Rnk]],MATCH(Table5[[#This Row],[PID]],Batters[[#All],[PID]],0)),INDEX(Table3[[#All],[Rnk]],MATCH(Table5[[#This Row],[PID]],Table3[[#All],[PID]],0)))</f>
        <v>200</v>
      </c>
      <c r="U619" s="68">
        <f>IF($C619="B",VLOOKUP($A619,Bat!$A$4:$BA$1621,47,FALSE),VLOOKUP($A619,Pit!$A$4:$BF$1557,56,FALSE))</f>
        <v>0</v>
      </c>
      <c r="V619" s="50">
        <f>IF($C619="B",VLOOKUP($A619,Bat!$A$4:$BA$1621,48,FALSE),VLOOKUP($A619,Pit!$A$4:$BF$1557,57,FALSE))</f>
        <v>0</v>
      </c>
      <c r="W619" s="50">
        <f>Table5[[#This Row],[posRnk]]+Table5[[#This Row],[zRnk]]+IF($W$3&lt;&gt;Table5[[#This Row],[Type]],50,0)</f>
        <v>588</v>
      </c>
      <c r="X619" s="51">
        <f>RANK(Table5[[#This Row],[zScore]],Table5[[#All],[zScore]])</f>
        <v>338</v>
      </c>
      <c r="Y619" s="50" t="str">
        <f>IFERROR(INDEX(DraftResults[[#All],[OVR]],MATCH(Table5[[#This Row],[PID]],DraftResults[[#All],[Player ID]],0)),"")</f>
        <v/>
      </c>
      <c r="Z6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19" s="50" t="str">
        <f>IFERROR(INDEX(DraftResults[[#All],[Pick in Round]],MATCH(Table5[[#This Row],[PID]],DraftResults[[#All],[Player ID]],0)),"")</f>
        <v/>
      </c>
      <c r="AB619" s="50" t="str">
        <f>IFERROR(INDEX(DraftResults[[#All],[Team Name]],MATCH(Table5[[#This Row],[PID]],DraftResults[[#All],[Player ID]],0)),"")</f>
        <v/>
      </c>
      <c r="AC619" s="50" t="str">
        <f>IF(Table5[[#This Row],[Ovr]]="","",IF(Table5[[#This Row],[cmbList]]="","",Table5[[#This Row],[cmbList]]-Table5[[#This Row],[Ovr]]))</f>
        <v/>
      </c>
      <c r="AD619" s="54" t="str">
        <f>IF(ISERROR(VLOOKUP($AB619&amp;"-"&amp;$E619&amp;" "&amp;F619,Bonuses!$B$1:$G$1006,4,FALSE)),"",INT(VLOOKUP($AB619&amp;"-"&amp;$E619&amp;" "&amp;$F619,Bonuses!$B$1:$G$1006,4,FALSE)))</f>
        <v/>
      </c>
      <c r="AE6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0" spans="1:31" s="50" customFormat="1" x14ac:dyDescent="0.25">
      <c r="A620" s="50">
        <v>18228</v>
      </c>
      <c r="B620" s="55">
        <f>COUNTIF(Table5[PID],A620)</f>
        <v>1</v>
      </c>
      <c r="C620" s="55" t="str">
        <f>IF(COUNTIF(Table3[[#All],[PID]],A620)&gt;0,"P","B")</f>
        <v>B</v>
      </c>
      <c r="D620" s="59" t="str">
        <f>IF($C620="B",INDEX(Batters[[#All],[POS]],MATCH(Table5[[#This Row],[PID]],Batters[[#All],[PID]],0)),INDEX(Table3[[#All],[POS]],MATCH(Table5[[#This Row],[PID]],Table3[[#All],[PID]],0)))</f>
        <v>1B</v>
      </c>
      <c r="E620" s="52" t="str">
        <f>IF($C620="B",INDEX(Batters[[#All],[First]],MATCH(Table5[[#This Row],[PID]],Batters[[#All],[PID]],0)),INDEX(Table3[[#All],[First]],MATCH(Table5[[#This Row],[PID]],Table3[[#All],[PID]],0)))</f>
        <v>Al</v>
      </c>
      <c r="F620" s="50" t="str">
        <f>IF($C620="B",INDEX(Batters[[#All],[Last]],MATCH(A620,Batters[[#All],[PID]],0)),INDEX(Table3[[#All],[Last]],MATCH(A620,Table3[[#All],[PID]],0)))</f>
        <v>Williams</v>
      </c>
      <c r="G620" s="56">
        <f>IF($C620="B",INDEX(Batters[[#All],[Age]],MATCH(Table5[[#This Row],[PID]],Batters[[#All],[PID]],0)),INDEX(Table3[[#All],[Age]],MATCH(Table5[[#This Row],[PID]],Table3[[#All],[PID]],0)))</f>
        <v>18</v>
      </c>
      <c r="H620" s="52" t="str">
        <f>IF($C620="B",INDEX(Batters[[#All],[B]],MATCH(Table5[[#This Row],[PID]],Batters[[#All],[PID]],0)),INDEX(Table3[[#All],[B]],MATCH(Table5[[#This Row],[PID]],Table3[[#All],[PID]],0)))</f>
        <v>R</v>
      </c>
      <c r="I620" s="52" t="str">
        <f>IF($C620="B",INDEX(Batters[[#All],[T]],MATCH(Table5[[#This Row],[PID]],Batters[[#All],[PID]],0)),INDEX(Table3[[#All],[T]],MATCH(Table5[[#This Row],[PID]],Table3[[#All],[PID]],0)))</f>
        <v>R</v>
      </c>
      <c r="J620" s="52" t="str">
        <f>IF($C620="B",INDEX(Batters[[#All],[WE]],MATCH(Table5[[#This Row],[PID]],Batters[[#All],[PID]],0)),INDEX(Table3[[#All],[WE]],MATCH(Table5[[#This Row],[PID]],Table3[[#All],[PID]],0)))</f>
        <v>High</v>
      </c>
      <c r="K620" s="52" t="str">
        <f>IF($C620="B",INDEX(Batters[[#All],[INT]],MATCH(Table5[[#This Row],[PID]],Batters[[#All],[PID]],0)),INDEX(Table3[[#All],[INT]],MATCH(Table5[[#This Row],[PID]],Table3[[#All],[PID]],0)))</f>
        <v>Normal</v>
      </c>
      <c r="L620" s="60">
        <f>IF($C620="B",INDEX(Batters[[#All],[CON P]],MATCH(Table5[[#This Row],[PID]],Batters[[#All],[PID]],0)),INDEX(Table3[[#All],[STU P]],MATCH(Table5[[#This Row],[PID]],Table3[[#All],[PID]],0)))</f>
        <v>4</v>
      </c>
      <c r="M620" s="56">
        <f>IF($C620="B",INDEX(Batters[[#All],[GAP P]],MATCH(Table5[[#This Row],[PID]],Batters[[#All],[PID]],0)),INDEX(Table3[[#All],[MOV P]],MATCH(Table5[[#This Row],[PID]],Table3[[#All],[PID]],0)))</f>
        <v>3</v>
      </c>
      <c r="N620" s="56">
        <f>IF($C620="B",INDEX(Batters[[#All],[POW P]],MATCH(Table5[[#This Row],[PID]],Batters[[#All],[PID]],0)),INDEX(Table3[[#All],[CON P]],MATCH(Table5[[#This Row],[PID]],Table3[[#All],[PID]],0)))</f>
        <v>5</v>
      </c>
      <c r="O620" s="56">
        <f>IF($C620="B",INDEX(Batters[[#All],[EYE P]],MATCH(Table5[[#This Row],[PID]],Batters[[#All],[PID]],0)),INDEX(Table3[[#All],[VELO]],MATCH(Table5[[#This Row],[PID]],Table3[[#All],[PID]],0)))</f>
        <v>4</v>
      </c>
      <c r="P620" s="56">
        <f>IF($C620="B",INDEX(Batters[[#All],[K P]],MATCH(Table5[[#This Row],[PID]],Batters[[#All],[PID]],0)),INDEX(Table3[[#All],[STM]],MATCH(Table5[[#This Row],[PID]],Table3[[#All],[PID]],0)))</f>
        <v>4</v>
      </c>
      <c r="Q620" s="61">
        <f>IF($C620="B",INDEX(Batters[[#All],[Tot]],MATCH(Table5[[#This Row],[PID]],Batters[[#All],[PID]],0)),INDEX(Table3[[#All],[Tot]],MATCH(Table5[[#This Row],[PID]],Table3[[#All],[PID]],0)))</f>
        <v>46.774586865875428</v>
      </c>
      <c r="R620" s="52">
        <f>IF($C620="B",INDEX(Batters[[#All],[zScore]],MATCH(Table5[[#This Row],[PID]],Batters[[#All],[PID]],0)),INDEX(Table3[[#All],[zScore]],MATCH(Table5[[#This Row],[PID]],Table3[[#All],[PID]],0)))</f>
        <v>0.58589273451525592</v>
      </c>
      <c r="S620" s="58" t="str">
        <f>IF($C620="B",INDEX(Batters[[#All],[DEM]],MATCH(Table5[[#This Row],[PID]],Batters[[#All],[PID]],0)),INDEX(Table3[[#All],[DEM]],MATCH(Table5[[#This Row],[PID]],Table3[[#All],[PID]],0)))</f>
        <v>-</v>
      </c>
      <c r="T620" s="62">
        <f>IF($C620="B",INDEX(Batters[[#All],[Rnk]],MATCH(Table5[[#This Row],[PID]],Batters[[#All],[PID]],0)),INDEX(Table3[[#All],[Rnk]],MATCH(Table5[[#This Row],[PID]],Table3[[#All],[PID]],0)))</f>
        <v>139</v>
      </c>
      <c r="U620" s="68">
        <f>IF($C620="B",VLOOKUP($A620,Bat!$A$4:$BA$1621,47,FALSE),VLOOKUP($A620,Pit!$A$4:$BF$1557,56,FALSE))</f>
        <v>0</v>
      </c>
      <c r="V620" s="50">
        <f>IF($C620="B",VLOOKUP($A620,Bat!$A$4:$BA$1621,48,FALSE),VLOOKUP($A620,Pit!$A$4:$BF$1557,57,FALSE))</f>
        <v>0</v>
      </c>
      <c r="W620" s="50">
        <f>Table5[[#This Row],[posRnk]]+Table5[[#This Row],[zRnk]]+IF($W$3&lt;&gt;Table5[[#This Row],[Type]],50,0)</f>
        <v>528</v>
      </c>
      <c r="X620" s="51">
        <f>RANK(Table5[[#This Row],[zScore]],Table5[[#All],[zScore]])</f>
        <v>339</v>
      </c>
      <c r="Y620" s="50" t="str">
        <f>IFERROR(INDEX(DraftResults[[#All],[OVR]],MATCH(Table5[[#This Row],[PID]],DraftResults[[#All],[Player ID]],0)),"")</f>
        <v/>
      </c>
      <c r="Z6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0" s="50" t="str">
        <f>IFERROR(INDEX(DraftResults[[#All],[Pick in Round]],MATCH(Table5[[#This Row],[PID]],DraftResults[[#All],[Player ID]],0)),"")</f>
        <v/>
      </c>
      <c r="AB620" s="50" t="str">
        <f>IFERROR(INDEX(DraftResults[[#All],[Team Name]],MATCH(Table5[[#This Row],[PID]],DraftResults[[#All],[Player ID]],0)),"")</f>
        <v/>
      </c>
      <c r="AC620" s="50" t="str">
        <f>IF(Table5[[#This Row],[Ovr]]="","",IF(Table5[[#This Row],[cmbList]]="","",Table5[[#This Row],[cmbList]]-Table5[[#This Row],[Ovr]]))</f>
        <v/>
      </c>
      <c r="AD620" s="54" t="str">
        <f>IF(ISERROR(VLOOKUP($AB620&amp;"-"&amp;$E620&amp;" "&amp;F620,Bonuses!$B$1:$G$1006,4,FALSE)),"",INT(VLOOKUP($AB620&amp;"-"&amp;$E620&amp;" "&amp;$F620,Bonuses!$B$1:$G$1006,4,FALSE)))</f>
        <v/>
      </c>
      <c r="AE6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1" spans="1:31" s="50" customFormat="1" x14ac:dyDescent="0.25">
      <c r="A621" s="68">
        <v>18241</v>
      </c>
      <c r="B621" s="69">
        <f>COUNTIF(Table5[PID],A621)</f>
        <v>1</v>
      </c>
      <c r="C621" s="69" t="str">
        <f>IF(COUNTIF(Table3[[#All],[PID]],A621)&gt;0,"P","B")</f>
        <v>P</v>
      </c>
      <c r="D621" s="59" t="str">
        <f>IF($C621="B",INDEX(Batters[[#All],[POS]],MATCH(Table5[[#This Row],[PID]],Batters[[#All],[PID]],0)),INDEX(Table3[[#All],[POS]],MATCH(Table5[[#This Row],[PID]],Table3[[#All],[PID]],0)))</f>
        <v>SP</v>
      </c>
      <c r="E621" s="52" t="str">
        <f>IF($C621="B",INDEX(Batters[[#All],[First]],MATCH(Table5[[#This Row],[PID]],Batters[[#All],[PID]],0)),INDEX(Table3[[#All],[First]],MATCH(Table5[[#This Row],[PID]],Table3[[#All],[PID]],0)))</f>
        <v>Chris</v>
      </c>
      <c r="F621" s="55" t="str">
        <f>IF($C621="B",INDEX(Batters[[#All],[Last]],MATCH(A621,Batters[[#All],[PID]],0)),INDEX(Table3[[#All],[Last]],MATCH(A621,Table3[[#All],[PID]],0)))</f>
        <v>Thompson</v>
      </c>
      <c r="G621" s="56">
        <f>IF($C621="B",INDEX(Batters[[#All],[Age]],MATCH(Table5[[#This Row],[PID]],Batters[[#All],[PID]],0)),INDEX(Table3[[#All],[Age]],MATCH(Table5[[#This Row],[PID]],Table3[[#All],[PID]],0)))</f>
        <v>18</v>
      </c>
      <c r="H621" s="52" t="str">
        <f>IF($C621="B",INDEX(Batters[[#All],[B]],MATCH(Table5[[#This Row],[PID]],Batters[[#All],[PID]],0)),INDEX(Table3[[#All],[B]],MATCH(Table5[[#This Row],[PID]],Table3[[#All],[PID]],0)))</f>
        <v>L</v>
      </c>
      <c r="I621" s="52" t="str">
        <f>IF($C621="B",INDEX(Batters[[#All],[T]],MATCH(Table5[[#This Row],[PID]],Batters[[#All],[PID]],0)),INDEX(Table3[[#All],[T]],MATCH(Table5[[#This Row],[PID]],Table3[[#All],[PID]],0)))</f>
        <v>L</v>
      </c>
      <c r="J621" s="71" t="str">
        <f>IF($C621="B",INDEX(Batters[[#All],[WE]],MATCH(Table5[[#This Row],[PID]],Batters[[#All],[PID]],0)),INDEX(Table3[[#All],[WE]],MATCH(Table5[[#This Row],[PID]],Table3[[#All],[PID]],0)))</f>
        <v>High</v>
      </c>
      <c r="K621" s="52" t="str">
        <f>IF($C621="B",INDEX(Batters[[#All],[INT]],MATCH(Table5[[#This Row],[PID]],Batters[[#All],[PID]],0)),INDEX(Table3[[#All],[INT]],MATCH(Table5[[#This Row],[PID]],Table3[[#All],[PID]],0)))</f>
        <v>Normal</v>
      </c>
      <c r="L621" s="60">
        <f>IF($C621="B",INDEX(Batters[[#All],[CON P]],MATCH(Table5[[#This Row],[PID]],Batters[[#All],[PID]],0)),INDEX(Table3[[#All],[STU P]],MATCH(Table5[[#This Row],[PID]],Table3[[#All],[PID]],0)))</f>
        <v>4</v>
      </c>
      <c r="M621" s="72">
        <f>IF($C621="B",INDEX(Batters[[#All],[GAP P]],MATCH(Table5[[#This Row],[PID]],Batters[[#All],[PID]],0)),INDEX(Table3[[#All],[MOV P]],MATCH(Table5[[#This Row],[PID]],Table3[[#All],[PID]],0)))</f>
        <v>2</v>
      </c>
      <c r="N621" s="72">
        <f>IF($C621="B",INDEX(Batters[[#All],[POW P]],MATCH(Table5[[#This Row],[PID]],Batters[[#All],[PID]],0)),INDEX(Table3[[#All],[CON P]],MATCH(Table5[[#This Row],[PID]],Table3[[#All],[PID]],0)))</f>
        <v>5</v>
      </c>
      <c r="O621" s="72" t="str">
        <f>IF($C621="B",INDEX(Batters[[#All],[EYE P]],MATCH(Table5[[#This Row],[PID]],Batters[[#All],[PID]],0)),INDEX(Table3[[#All],[VELO]],MATCH(Table5[[#This Row],[PID]],Table3[[#All],[PID]],0)))</f>
        <v>86-88 Mph</v>
      </c>
      <c r="P621" s="56">
        <f>IF($C621="B",INDEX(Batters[[#All],[K P]],MATCH(Table5[[#This Row],[PID]],Batters[[#All],[PID]],0)),INDEX(Table3[[#All],[STM]],MATCH(Table5[[#This Row],[PID]],Table3[[#All],[PID]],0)))</f>
        <v>8</v>
      </c>
      <c r="Q621" s="61">
        <f>IF($C621="B",INDEX(Batters[[#All],[Tot]],MATCH(Table5[[#This Row],[PID]],Batters[[#All],[PID]],0)),INDEX(Table3[[#All],[Tot]],MATCH(Table5[[#This Row],[PID]],Table3[[#All],[PID]],0)))</f>
        <v>44.799520892834195</v>
      </c>
      <c r="R621" s="52">
        <f>IF($C621="B",INDEX(Batters[[#All],[zScore]],MATCH(Table5[[#This Row],[PID]],Batters[[#All],[PID]],0)),INDEX(Table3[[#All],[zScore]],MATCH(Table5[[#This Row],[PID]],Table3[[#All],[PID]],0)))</f>
        <v>0.58035014582212463</v>
      </c>
      <c r="S621" s="78" t="str">
        <f>IF($C621="B",INDEX(Batters[[#All],[DEM]],MATCH(Table5[[#This Row],[PID]],Batters[[#All],[PID]],0)),INDEX(Table3[[#All],[DEM]],MATCH(Table5[[#This Row],[PID]],Table3[[#All],[PID]],0)))</f>
        <v>$190k</v>
      </c>
      <c r="T621" s="75">
        <f>IF($C621="B",INDEX(Batters[[#All],[Rnk]],MATCH(Table5[[#This Row],[PID]],Batters[[#All],[PID]],0)),INDEX(Table3[[#All],[Rnk]],MATCH(Table5[[#This Row],[PID]],Table3[[#All],[PID]],0)))</f>
        <v>202</v>
      </c>
      <c r="U621" s="68">
        <f>IF($C621="B",VLOOKUP($A621,Bat!$A$4:$BA$1621,47,FALSE),VLOOKUP($A621,Pit!$A$4:$BF$1557,56,FALSE))</f>
        <v>0</v>
      </c>
      <c r="V621" s="50">
        <f>IF($C621="B",VLOOKUP($A621,Bat!$A$4:$BA$1621,48,FALSE),VLOOKUP($A621,Pit!$A$4:$BF$1557,57,FALSE))</f>
        <v>0</v>
      </c>
      <c r="W621" s="69">
        <f>Table5[[#This Row],[posRnk]]+Table5[[#This Row],[zRnk]]+IF($W$3&lt;&gt;Table5[[#This Row],[Type]],50,0)</f>
        <v>593</v>
      </c>
      <c r="X621" s="73">
        <f>RANK(Table5[[#This Row],[zScore]],Table5[[#All],[zScore]])</f>
        <v>341</v>
      </c>
      <c r="Y621" s="69" t="str">
        <f>IFERROR(INDEX(DraftResults[[#All],[OVR]],MATCH(Table5[[#This Row],[PID]],DraftResults[[#All],[Player ID]],0)),"")</f>
        <v/>
      </c>
      <c r="Z62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1" s="69" t="str">
        <f>IFERROR(INDEX(DraftResults[[#All],[Pick in Round]],MATCH(Table5[[#This Row],[PID]],DraftResults[[#All],[Player ID]],0)),"")</f>
        <v/>
      </c>
      <c r="AB621" s="69" t="str">
        <f>IFERROR(INDEX(DraftResults[[#All],[Team Name]],MATCH(Table5[[#This Row],[PID]],DraftResults[[#All],[Player ID]],0)),"")</f>
        <v/>
      </c>
      <c r="AC621" s="69" t="str">
        <f>IF(Table5[[#This Row],[Ovr]]="","",IF(Table5[[#This Row],[cmbList]]="","",Table5[[#This Row],[cmbList]]-Table5[[#This Row],[Ovr]]))</f>
        <v/>
      </c>
      <c r="AD621" s="77" t="str">
        <f>IF(ISERROR(VLOOKUP($AB621&amp;"-"&amp;$E621&amp;" "&amp;F621,Bonuses!$B$1:$G$1006,4,FALSE)),"",INT(VLOOKUP($AB621&amp;"-"&amp;$E621&amp;" "&amp;$F621,Bonuses!$B$1:$G$1006,4,FALSE)))</f>
        <v/>
      </c>
      <c r="AE62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2" spans="1:31" s="50" customFormat="1" x14ac:dyDescent="0.25">
      <c r="A622" s="50">
        <v>18447</v>
      </c>
      <c r="B622" s="50">
        <f>COUNTIF(Table5[PID],A622)</f>
        <v>1</v>
      </c>
      <c r="C622" s="50" t="str">
        <f>IF(COUNTIF(Table3[[#All],[PID]],A622)&gt;0,"P","B")</f>
        <v>B</v>
      </c>
      <c r="D622" s="59" t="str">
        <f>IF($C622="B",INDEX(Batters[[#All],[POS]],MATCH(Table5[[#This Row],[PID]],Batters[[#All],[PID]],0)),INDEX(Table3[[#All],[POS]],MATCH(Table5[[#This Row],[PID]],Table3[[#All],[PID]],0)))</f>
        <v>1B</v>
      </c>
      <c r="E622" s="52" t="str">
        <f>IF($C622="B",INDEX(Batters[[#All],[First]],MATCH(Table5[[#This Row],[PID]],Batters[[#All],[PID]],0)),INDEX(Table3[[#All],[First]],MATCH(Table5[[#This Row],[PID]],Table3[[#All],[PID]],0)))</f>
        <v>Steve</v>
      </c>
      <c r="F622" s="50" t="str">
        <f>IF($C622="B",INDEX(Batters[[#All],[Last]],MATCH(A622,Batters[[#All],[PID]],0)),INDEX(Table3[[#All],[Last]],MATCH(A622,Table3[[#All],[PID]],0)))</f>
        <v>Hickson</v>
      </c>
      <c r="G622" s="56">
        <f>IF($C622="B",INDEX(Batters[[#All],[Age]],MATCH(Table5[[#This Row],[PID]],Batters[[#All],[PID]],0)),INDEX(Table3[[#All],[Age]],MATCH(Table5[[#This Row],[PID]],Table3[[#All],[PID]],0)))</f>
        <v>18</v>
      </c>
      <c r="H622" s="52" t="str">
        <f>IF($C622="B",INDEX(Batters[[#All],[B]],MATCH(Table5[[#This Row],[PID]],Batters[[#All],[PID]],0)),INDEX(Table3[[#All],[B]],MATCH(Table5[[#This Row],[PID]],Table3[[#All],[PID]],0)))</f>
        <v>L</v>
      </c>
      <c r="I622" s="52" t="str">
        <f>IF($C622="B",INDEX(Batters[[#All],[T]],MATCH(Table5[[#This Row],[PID]],Batters[[#All],[PID]],0)),INDEX(Table3[[#All],[T]],MATCH(Table5[[#This Row],[PID]],Table3[[#All],[PID]],0)))</f>
        <v>R</v>
      </c>
      <c r="J622" s="52" t="str">
        <f>IF($C622="B",INDEX(Batters[[#All],[WE]],MATCH(Table5[[#This Row],[PID]],Batters[[#All],[PID]],0)),INDEX(Table3[[#All],[WE]],MATCH(Table5[[#This Row],[PID]],Table3[[#All],[PID]],0)))</f>
        <v>Normal</v>
      </c>
      <c r="K622" s="52" t="str">
        <f>IF($C622="B",INDEX(Batters[[#All],[INT]],MATCH(Table5[[#This Row],[PID]],Batters[[#All],[PID]],0)),INDEX(Table3[[#All],[INT]],MATCH(Table5[[#This Row],[PID]],Table3[[#All],[PID]],0)))</f>
        <v>Low</v>
      </c>
      <c r="L622" s="60">
        <f>IF($C622="B",INDEX(Batters[[#All],[CON P]],MATCH(Table5[[#This Row],[PID]],Batters[[#All],[PID]],0)),INDEX(Table3[[#All],[STU P]],MATCH(Table5[[#This Row],[PID]],Table3[[#All],[PID]],0)))</f>
        <v>4</v>
      </c>
      <c r="M622" s="56">
        <f>IF($C622="B",INDEX(Batters[[#All],[GAP P]],MATCH(Table5[[#This Row],[PID]],Batters[[#All],[PID]],0)),INDEX(Table3[[#All],[MOV P]],MATCH(Table5[[#This Row],[PID]],Table3[[#All],[PID]],0)))</f>
        <v>4</v>
      </c>
      <c r="N622" s="56">
        <f>IF($C622="B",INDEX(Batters[[#All],[POW P]],MATCH(Table5[[#This Row],[PID]],Batters[[#All],[PID]],0)),INDEX(Table3[[#All],[CON P]],MATCH(Table5[[#This Row],[PID]],Table3[[#All],[PID]],0)))</f>
        <v>4</v>
      </c>
      <c r="O622" s="56">
        <f>IF($C622="B",INDEX(Batters[[#All],[EYE P]],MATCH(Table5[[#This Row],[PID]],Batters[[#All],[PID]],0)),INDEX(Table3[[#All],[VELO]],MATCH(Table5[[#This Row],[PID]],Table3[[#All],[PID]],0)))</f>
        <v>5</v>
      </c>
      <c r="P622" s="56">
        <f>IF($C622="B",INDEX(Batters[[#All],[K P]],MATCH(Table5[[#This Row],[PID]],Batters[[#All],[PID]],0)),INDEX(Table3[[#All],[STM]],MATCH(Table5[[#This Row],[PID]],Table3[[#All],[PID]],0)))</f>
        <v>4</v>
      </c>
      <c r="Q622" s="61">
        <f>IF($C622="B",INDEX(Batters[[#All],[Tot]],MATCH(Table5[[#This Row],[PID]],Batters[[#All],[PID]],0)),INDEX(Table3[[#All],[Tot]],MATCH(Table5[[#This Row],[PID]],Table3[[#All],[PID]],0)))</f>
        <v>46.721110331376828</v>
      </c>
      <c r="R622" s="52">
        <f>IF($C622="B",INDEX(Batters[[#All],[zScore]],MATCH(Table5[[#This Row],[PID]],Batters[[#All],[PID]],0)),INDEX(Table3[[#All],[zScore]],MATCH(Table5[[#This Row],[PID]],Table3[[#All],[PID]],0)))</f>
        <v>0.57403662534908995</v>
      </c>
      <c r="S622" s="58" t="str">
        <f>IF($C622="B",INDEX(Batters[[#All],[DEM]],MATCH(Table5[[#This Row],[PID]],Batters[[#All],[PID]],0)),INDEX(Table3[[#All],[DEM]],MATCH(Table5[[#This Row],[PID]],Table3[[#All],[PID]],0)))</f>
        <v>$75k</v>
      </c>
      <c r="T622" s="62">
        <f>IF($C622="B",INDEX(Batters[[#All],[Rnk]],MATCH(Table5[[#This Row],[PID]],Batters[[#All],[PID]],0)),INDEX(Table3[[#All],[Rnk]],MATCH(Table5[[#This Row],[PID]],Table3[[#All],[PID]],0)))</f>
        <v>140</v>
      </c>
      <c r="U622" s="68">
        <f>IF($C622="B",VLOOKUP($A622,Bat!$A$4:$BA$1621,47,FALSE),VLOOKUP($A622,Pit!$A$4:$BF$1557,56,FALSE))</f>
        <v>0</v>
      </c>
      <c r="V622" s="50">
        <f>IF($C622="B",VLOOKUP($A622,Bat!$A$4:$BA$1621,48,FALSE),VLOOKUP($A622,Pit!$A$4:$BF$1557,57,FALSE))</f>
        <v>0</v>
      </c>
      <c r="W622" s="50">
        <f>Table5[[#This Row],[posRnk]]+Table5[[#This Row],[zRnk]]+IF($W$3&lt;&gt;Table5[[#This Row],[Type]],50,0)</f>
        <v>533</v>
      </c>
      <c r="X622" s="51">
        <f>RANK(Table5[[#This Row],[zScore]],Table5[[#All],[zScore]])</f>
        <v>343</v>
      </c>
      <c r="Y622" s="50" t="str">
        <f>IFERROR(INDEX(DraftResults[[#All],[OVR]],MATCH(Table5[[#This Row],[PID]],DraftResults[[#All],[Player ID]],0)),"")</f>
        <v/>
      </c>
      <c r="Z6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2" s="50" t="str">
        <f>IFERROR(INDEX(DraftResults[[#All],[Pick in Round]],MATCH(Table5[[#This Row],[PID]],DraftResults[[#All],[Player ID]],0)),"")</f>
        <v/>
      </c>
      <c r="AB622" s="50" t="str">
        <f>IFERROR(INDEX(DraftResults[[#All],[Team Name]],MATCH(Table5[[#This Row],[PID]],DraftResults[[#All],[Player ID]],0)),"")</f>
        <v/>
      </c>
      <c r="AC622" s="50" t="str">
        <f>IF(Table5[[#This Row],[Ovr]]="","",IF(Table5[[#This Row],[cmbList]]="","",Table5[[#This Row],[cmbList]]-Table5[[#This Row],[Ovr]]))</f>
        <v/>
      </c>
      <c r="AD622" s="54" t="str">
        <f>IF(ISERROR(VLOOKUP($AB622&amp;"-"&amp;$E622&amp;" "&amp;F622,Bonuses!$B$1:$G$1006,4,FALSE)),"",INT(VLOOKUP($AB622&amp;"-"&amp;$E622&amp;" "&amp;$F622,Bonuses!$B$1:$G$1006,4,FALSE)))</f>
        <v/>
      </c>
      <c r="AE6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3" spans="1:31" s="50" customFormat="1" x14ac:dyDescent="0.25">
      <c r="A623" s="50">
        <v>18324</v>
      </c>
      <c r="B623" s="50">
        <f>COUNTIF(Table5[PID],A623)</f>
        <v>1</v>
      </c>
      <c r="C623" s="50" t="str">
        <f>IF(COUNTIF(Table3[[#All],[PID]],A623)&gt;0,"P","B")</f>
        <v>P</v>
      </c>
      <c r="D623" s="59" t="str">
        <f>IF($C623="B",INDEX(Batters[[#All],[POS]],MATCH(Table5[[#This Row],[PID]],Batters[[#All],[PID]],0)),INDEX(Table3[[#All],[POS]],MATCH(Table5[[#This Row],[PID]],Table3[[#All],[PID]],0)))</f>
        <v>RP</v>
      </c>
      <c r="E623" s="52" t="str">
        <f>IF($C623="B",INDEX(Batters[[#All],[First]],MATCH(Table5[[#This Row],[PID]],Batters[[#All],[PID]],0)),INDEX(Table3[[#All],[First]],MATCH(Table5[[#This Row],[PID]],Table3[[#All],[PID]],0)))</f>
        <v>Manuel</v>
      </c>
      <c r="F623" s="50" t="str">
        <f>IF($C623="B",INDEX(Batters[[#All],[Last]],MATCH(A623,Batters[[#All],[PID]],0)),INDEX(Table3[[#All],[Last]],MATCH(A623,Table3[[#All],[PID]],0)))</f>
        <v>Miranda</v>
      </c>
      <c r="G623" s="56">
        <f>IF($C623="B",INDEX(Batters[[#All],[Age]],MATCH(Table5[[#This Row],[PID]],Batters[[#All],[PID]],0)),INDEX(Table3[[#All],[Age]],MATCH(Table5[[#This Row],[PID]],Table3[[#All],[PID]],0)))</f>
        <v>21</v>
      </c>
      <c r="H623" s="52" t="str">
        <f>IF($C623="B",INDEX(Batters[[#All],[B]],MATCH(Table5[[#This Row],[PID]],Batters[[#All],[PID]],0)),INDEX(Table3[[#All],[B]],MATCH(Table5[[#This Row],[PID]],Table3[[#All],[PID]],0)))</f>
        <v>S</v>
      </c>
      <c r="I623" s="52" t="str">
        <f>IF($C623="B",INDEX(Batters[[#All],[T]],MATCH(Table5[[#This Row],[PID]],Batters[[#All],[PID]],0)),INDEX(Table3[[#All],[T]],MATCH(Table5[[#This Row],[PID]],Table3[[#All],[PID]],0)))</f>
        <v>R</v>
      </c>
      <c r="J623" s="52" t="str">
        <f>IF($C623="B",INDEX(Batters[[#All],[WE]],MATCH(Table5[[#This Row],[PID]],Batters[[#All],[PID]],0)),INDEX(Table3[[#All],[WE]],MATCH(Table5[[#This Row],[PID]],Table3[[#All],[PID]],0)))</f>
        <v>Normal</v>
      </c>
      <c r="K623" s="52" t="str">
        <f>IF($C623="B",INDEX(Batters[[#All],[INT]],MATCH(Table5[[#This Row],[PID]],Batters[[#All],[PID]],0)),INDEX(Table3[[#All],[INT]],MATCH(Table5[[#This Row],[PID]],Table3[[#All],[PID]],0)))</f>
        <v>Normal</v>
      </c>
      <c r="L623" s="60">
        <f>IF($C623="B",INDEX(Batters[[#All],[CON P]],MATCH(Table5[[#This Row],[PID]],Batters[[#All],[PID]],0)),INDEX(Table3[[#All],[STU P]],MATCH(Table5[[#This Row],[PID]],Table3[[#All],[PID]],0)))</f>
        <v>4</v>
      </c>
      <c r="M623" s="56">
        <f>IF($C623="B",INDEX(Batters[[#All],[GAP P]],MATCH(Table5[[#This Row],[PID]],Batters[[#All],[PID]],0)),INDEX(Table3[[#All],[MOV P]],MATCH(Table5[[#This Row],[PID]],Table3[[#All],[PID]],0)))</f>
        <v>4</v>
      </c>
      <c r="N623" s="56">
        <f>IF($C623="B",INDEX(Batters[[#All],[POW P]],MATCH(Table5[[#This Row],[PID]],Batters[[#All],[PID]],0)),INDEX(Table3[[#All],[CON P]],MATCH(Table5[[#This Row],[PID]],Table3[[#All],[PID]],0)))</f>
        <v>5</v>
      </c>
      <c r="O623" s="56" t="str">
        <f>IF($C623="B",INDEX(Batters[[#All],[EYE P]],MATCH(Table5[[#This Row],[PID]],Batters[[#All],[PID]],0)),INDEX(Table3[[#All],[VELO]],MATCH(Table5[[#This Row],[PID]],Table3[[#All],[PID]],0)))</f>
        <v>89-91 Mph</v>
      </c>
      <c r="P623" s="56">
        <f>IF($C623="B",INDEX(Batters[[#All],[K P]],MATCH(Table5[[#This Row],[PID]],Batters[[#All],[PID]],0)),INDEX(Table3[[#All],[STM]],MATCH(Table5[[#This Row],[PID]],Table3[[#All],[PID]],0)))</f>
        <v>1</v>
      </c>
      <c r="Q623" s="61">
        <f>IF($C623="B",INDEX(Batters[[#All],[Tot]],MATCH(Table5[[#This Row],[PID]],Batters[[#All],[PID]],0)),INDEX(Table3[[#All],[Tot]],MATCH(Table5[[#This Row],[PID]],Table3[[#All],[PID]],0)))</f>
        <v>43.987663569262338</v>
      </c>
      <c r="R623" s="52">
        <f>IF($C623="B",INDEX(Batters[[#All],[zScore]],MATCH(Table5[[#This Row],[PID]],Batters[[#All],[PID]],0)),INDEX(Table3[[#All],[zScore]],MATCH(Table5[[#This Row],[PID]],Table3[[#All],[PID]],0)))</f>
        <v>0.54002075575254727</v>
      </c>
      <c r="S623" s="58" t="str">
        <f>IF($C623="B",INDEX(Batters[[#All],[DEM]],MATCH(Table5[[#This Row],[PID]],Batters[[#All],[PID]],0)),INDEX(Table3[[#All],[DEM]],MATCH(Table5[[#This Row],[PID]],Table3[[#All],[PID]],0)))</f>
        <v>-</v>
      </c>
      <c r="T623" s="62">
        <f>IF($C623="B",INDEX(Batters[[#All],[Rnk]],MATCH(Table5[[#This Row],[PID]],Batters[[#All],[PID]],0)),INDEX(Table3[[#All],[Rnk]],MATCH(Table5[[#This Row],[PID]],Table3[[#All],[PID]],0)))</f>
        <v>208</v>
      </c>
      <c r="U623" s="68">
        <f>IF($C623="B",VLOOKUP($A623,Bat!$A$4:$BA$1621,47,FALSE),VLOOKUP($A623,Pit!$A$4:$BF$1557,56,FALSE))</f>
        <v>0</v>
      </c>
      <c r="V623" s="50">
        <f>IF($C623="B",VLOOKUP($A623,Bat!$A$4:$BA$1621,48,FALSE),VLOOKUP($A623,Pit!$A$4:$BF$1557,57,FALSE))</f>
        <v>0</v>
      </c>
      <c r="W623" s="50">
        <f>Table5[[#This Row],[posRnk]]+Table5[[#This Row],[zRnk]]+IF($W$3&lt;&gt;Table5[[#This Row],[Type]],50,0)</f>
        <v>613</v>
      </c>
      <c r="X623" s="51">
        <f>RANK(Table5[[#This Row],[zScore]],Table5[[#All],[zScore]])</f>
        <v>355</v>
      </c>
      <c r="Y623" s="50" t="str">
        <f>IFERROR(INDEX(DraftResults[[#All],[OVR]],MATCH(Table5[[#This Row],[PID]],DraftResults[[#All],[Player ID]],0)),"")</f>
        <v/>
      </c>
      <c r="Z6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3" s="50" t="str">
        <f>IFERROR(INDEX(DraftResults[[#All],[Pick in Round]],MATCH(Table5[[#This Row],[PID]],DraftResults[[#All],[Player ID]],0)),"")</f>
        <v/>
      </c>
      <c r="AB623" s="50" t="str">
        <f>IFERROR(INDEX(DraftResults[[#All],[Team Name]],MATCH(Table5[[#This Row],[PID]],DraftResults[[#All],[Player ID]],0)),"")</f>
        <v/>
      </c>
      <c r="AC623" s="50" t="str">
        <f>IF(Table5[[#This Row],[Ovr]]="","",IF(Table5[[#This Row],[cmbList]]="","",Table5[[#This Row],[cmbList]]-Table5[[#This Row],[Ovr]]))</f>
        <v/>
      </c>
      <c r="AD623" s="54" t="str">
        <f>IF(ISERROR(VLOOKUP($AB623&amp;"-"&amp;$E623&amp;" "&amp;F623,Bonuses!$B$1:$G$1006,4,FALSE)),"",INT(VLOOKUP($AB623&amp;"-"&amp;$E623&amp;" "&amp;$F623,Bonuses!$B$1:$G$1006,4,FALSE)))</f>
        <v/>
      </c>
      <c r="AE6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4" spans="1:31" s="50" customFormat="1" x14ac:dyDescent="0.25">
      <c r="A624" s="50">
        <v>20666</v>
      </c>
      <c r="B624" s="55">
        <f>COUNTIF(Table5[PID],A624)</f>
        <v>1</v>
      </c>
      <c r="C624" s="55" t="str">
        <f>IF(COUNTIF(Table3[[#All],[PID]],A624)&gt;0,"P","B")</f>
        <v>B</v>
      </c>
      <c r="D624" s="59" t="str">
        <f>IF($C624="B",INDEX(Batters[[#All],[POS]],MATCH(Table5[[#This Row],[PID]],Batters[[#All],[PID]],0)),INDEX(Table3[[#All],[POS]],MATCH(Table5[[#This Row],[PID]],Table3[[#All],[PID]],0)))</f>
        <v>2B</v>
      </c>
      <c r="E624" s="52" t="str">
        <f>IF($C624="B",INDEX(Batters[[#All],[First]],MATCH(Table5[[#This Row],[PID]],Batters[[#All],[PID]],0)),INDEX(Table3[[#All],[First]],MATCH(Table5[[#This Row],[PID]],Table3[[#All],[PID]],0)))</f>
        <v>Micah</v>
      </c>
      <c r="F624" s="50" t="str">
        <f>IF($C624="B",INDEX(Batters[[#All],[Last]],MATCH(A624,Batters[[#All],[PID]],0)),INDEX(Table3[[#All],[Last]],MATCH(A624,Table3[[#All],[PID]],0)))</f>
        <v>Humby</v>
      </c>
      <c r="G624" s="56">
        <f>IF($C624="B",INDEX(Batters[[#All],[Age]],MATCH(Table5[[#This Row],[PID]],Batters[[#All],[PID]],0)),INDEX(Table3[[#All],[Age]],MATCH(Table5[[#This Row],[PID]],Table3[[#All],[PID]],0)))</f>
        <v>16</v>
      </c>
      <c r="H624" s="52" t="str">
        <f>IF($C624="B",INDEX(Batters[[#All],[B]],MATCH(Table5[[#This Row],[PID]],Batters[[#All],[PID]],0)),INDEX(Table3[[#All],[B]],MATCH(Table5[[#This Row],[PID]],Table3[[#All],[PID]],0)))</f>
        <v>R</v>
      </c>
      <c r="I624" s="52" t="str">
        <f>IF($C624="B",INDEX(Batters[[#All],[T]],MATCH(Table5[[#This Row],[PID]],Batters[[#All],[PID]],0)),INDEX(Table3[[#All],[T]],MATCH(Table5[[#This Row],[PID]],Table3[[#All],[PID]],0)))</f>
        <v>R</v>
      </c>
      <c r="J624" s="52" t="str">
        <f>IF($C624="B",INDEX(Batters[[#All],[WE]],MATCH(Table5[[#This Row],[PID]],Batters[[#All],[PID]],0)),INDEX(Table3[[#All],[WE]],MATCH(Table5[[#This Row],[PID]],Table3[[#All],[PID]],0)))</f>
        <v>Normal</v>
      </c>
      <c r="K624" s="52" t="str">
        <f>IF($C624="B",INDEX(Batters[[#All],[INT]],MATCH(Table5[[#This Row],[PID]],Batters[[#All],[PID]],0)),INDEX(Table3[[#All],[INT]],MATCH(Table5[[#This Row],[PID]],Table3[[#All],[PID]],0)))</f>
        <v>Normal</v>
      </c>
      <c r="L624" s="60">
        <f>IF($C624="B",INDEX(Batters[[#All],[CON P]],MATCH(Table5[[#This Row],[PID]],Batters[[#All],[PID]],0)),INDEX(Table3[[#All],[STU P]],MATCH(Table5[[#This Row],[PID]],Table3[[#All],[PID]],0)))</f>
        <v>4</v>
      </c>
      <c r="M624" s="56">
        <f>IF($C624="B",INDEX(Batters[[#All],[GAP P]],MATCH(Table5[[#This Row],[PID]],Batters[[#All],[PID]],0)),INDEX(Table3[[#All],[MOV P]],MATCH(Table5[[#This Row],[PID]],Table3[[#All],[PID]],0)))</f>
        <v>4</v>
      </c>
      <c r="N624" s="56">
        <f>IF($C624="B",INDEX(Batters[[#All],[POW P]],MATCH(Table5[[#This Row],[PID]],Batters[[#All],[PID]],0)),INDEX(Table3[[#All],[CON P]],MATCH(Table5[[#This Row],[PID]],Table3[[#All],[PID]],0)))</f>
        <v>2</v>
      </c>
      <c r="O624" s="56">
        <f>IF($C624="B",INDEX(Batters[[#All],[EYE P]],MATCH(Table5[[#This Row],[PID]],Batters[[#All],[PID]],0)),INDEX(Table3[[#All],[VELO]],MATCH(Table5[[#This Row],[PID]],Table3[[#All],[PID]],0)))</f>
        <v>6</v>
      </c>
      <c r="P624" s="56">
        <f>IF($C624="B",INDEX(Batters[[#All],[K P]],MATCH(Table5[[#This Row],[PID]],Batters[[#All],[PID]],0)),INDEX(Table3[[#All],[STM]],MATCH(Table5[[#This Row],[PID]],Table3[[#All],[PID]],0)))</f>
        <v>5</v>
      </c>
      <c r="Q624" s="61">
        <f>IF($C624="B",INDEX(Batters[[#All],[Tot]],MATCH(Table5[[#This Row],[PID]],Batters[[#All],[PID]],0)),INDEX(Table3[[#All],[Tot]],MATCH(Table5[[#This Row],[PID]],Table3[[#All],[PID]],0)))</f>
        <v>46.561060524103858</v>
      </c>
      <c r="R624" s="52">
        <f>IF($C624="B",INDEX(Batters[[#All],[zScore]],MATCH(Table5[[#This Row],[PID]],Batters[[#All],[PID]],0)),INDEX(Table3[[#All],[zScore]],MATCH(Table5[[#This Row],[PID]],Table3[[#All],[PID]],0)))</f>
        <v>0.53855250124037779</v>
      </c>
      <c r="S624" s="58" t="str">
        <f>IF($C624="B",INDEX(Batters[[#All],[DEM]],MATCH(Table5[[#This Row],[PID]],Batters[[#All],[PID]],0)),INDEX(Table3[[#All],[DEM]],MATCH(Table5[[#This Row],[PID]],Table3[[#All],[PID]],0)))</f>
        <v>$38k</v>
      </c>
      <c r="T624" s="62">
        <f>IF($C624="B",INDEX(Batters[[#All],[Rnk]],MATCH(Table5[[#This Row],[PID]],Batters[[#All],[PID]],0)),INDEX(Table3[[#All],[Rnk]],MATCH(Table5[[#This Row],[PID]],Table3[[#All],[PID]],0)))</f>
        <v>148</v>
      </c>
      <c r="U624" s="68">
        <f>IF($C624="B",VLOOKUP($A624,Bat!$A$4:$BA$1621,47,FALSE),VLOOKUP($A624,Pit!$A$4:$BF$1557,56,FALSE))</f>
        <v>0</v>
      </c>
      <c r="V624" s="50">
        <f>IF($C624="B",VLOOKUP($A624,Bat!$A$4:$BA$1621,48,FALSE),VLOOKUP($A624,Pit!$A$4:$BF$1557,57,FALSE))</f>
        <v>0</v>
      </c>
      <c r="W624" s="50">
        <f>Table5[[#This Row],[posRnk]]+Table5[[#This Row],[zRnk]]+IF($W$3&lt;&gt;Table5[[#This Row],[Type]],50,0)</f>
        <v>554</v>
      </c>
      <c r="X624" s="51">
        <f>RANK(Table5[[#This Row],[zScore]],Table5[[#All],[zScore]])</f>
        <v>356</v>
      </c>
      <c r="Y624" s="50" t="str">
        <f>IFERROR(INDEX(DraftResults[[#All],[OVR]],MATCH(Table5[[#This Row],[PID]],DraftResults[[#All],[Player ID]],0)),"")</f>
        <v/>
      </c>
      <c r="Z6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4" s="50" t="str">
        <f>IFERROR(INDEX(DraftResults[[#All],[Pick in Round]],MATCH(Table5[[#This Row],[PID]],DraftResults[[#All],[Player ID]],0)),"")</f>
        <v/>
      </c>
      <c r="AB624" s="50" t="str">
        <f>IFERROR(INDEX(DraftResults[[#All],[Team Name]],MATCH(Table5[[#This Row],[PID]],DraftResults[[#All],[Player ID]],0)),"")</f>
        <v/>
      </c>
      <c r="AC624" s="50" t="str">
        <f>IF(Table5[[#This Row],[Ovr]]="","",IF(Table5[[#This Row],[cmbList]]="","",Table5[[#This Row],[cmbList]]-Table5[[#This Row],[Ovr]]))</f>
        <v/>
      </c>
      <c r="AD624" s="54" t="str">
        <f>IF(ISERROR(VLOOKUP($AB624&amp;"-"&amp;$E624&amp;" "&amp;F624,Bonuses!$B$1:$G$1006,4,FALSE)),"",INT(VLOOKUP($AB624&amp;"-"&amp;$E624&amp;" "&amp;$F624,Bonuses!$B$1:$G$1006,4,FALSE)))</f>
        <v/>
      </c>
      <c r="AE6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5" spans="1:31" s="50" customFormat="1" x14ac:dyDescent="0.25">
      <c r="A625" s="50">
        <v>18270</v>
      </c>
      <c r="B625" s="50">
        <f>COUNTIF(Table5[PID],A625)</f>
        <v>1</v>
      </c>
      <c r="C625" s="50" t="str">
        <f>IF(COUNTIF(Table3[[#All],[PID]],A625)&gt;0,"P","B")</f>
        <v>P</v>
      </c>
      <c r="D625" s="59" t="str">
        <f>IF($C625="B",INDEX(Batters[[#All],[POS]],MATCH(Table5[[#This Row],[PID]],Batters[[#All],[PID]],0)),INDEX(Table3[[#All],[POS]],MATCH(Table5[[#This Row],[PID]],Table3[[#All],[PID]],0)))</f>
        <v>RP</v>
      </c>
      <c r="E625" s="52" t="str">
        <f>IF($C625="B",INDEX(Batters[[#All],[First]],MATCH(Table5[[#This Row],[PID]],Batters[[#All],[PID]],0)),INDEX(Table3[[#All],[First]],MATCH(Table5[[#This Row],[PID]],Table3[[#All],[PID]],0)))</f>
        <v>Ernesto</v>
      </c>
      <c r="F625" s="50" t="str">
        <f>IF($C625="B",INDEX(Batters[[#All],[Last]],MATCH(A625,Batters[[#All],[PID]],0)),INDEX(Table3[[#All],[Last]],MATCH(A625,Table3[[#All],[PID]],0)))</f>
        <v>Pérez</v>
      </c>
      <c r="G625" s="56">
        <f>IF($C625="B",INDEX(Batters[[#All],[Age]],MATCH(Table5[[#This Row],[PID]],Batters[[#All],[PID]],0)),INDEX(Table3[[#All],[Age]],MATCH(Table5[[#This Row],[PID]],Table3[[#All],[PID]],0)))</f>
        <v>18</v>
      </c>
      <c r="H625" s="52" t="str">
        <f>IF($C625="B",INDEX(Batters[[#All],[B]],MATCH(Table5[[#This Row],[PID]],Batters[[#All],[PID]],0)),INDEX(Table3[[#All],[B]],MATCH(Table5[[#This Row],[PID]],Table3[[#All],[PID]],0)))</f>
        <v>R</v>
      </c>
      <c r="I625" s="52" t="str">
        <f>IF($C625="B",INDEX(Batters[[#All],[T]],MATCH(Table5[[#This Row],[PID]],Batters[[#All],[PID]],0)),INDEX(Table3[[#All],[T]],MATCH(Table5[[#This Row],[PID]],Table3[[#All],[PID]],0)))</f>
        <v>R</v>
      </c>
      <c r="J625" s="52" t="str">
        <f>IF($C625="B",INDEX(Batters[[#All],[WE]],MATCH(Table5[[#This Row],[PID]],Batters[[#All],[PID]],0)),INDEX(Table3[[#All],[WE]],MATCH(Table5[[#This Row],[PID]],Table3[[#All],[PID]],0)))</f>
        <v>High</v>
      </c>
      <c r="K625" s="52" t="str">
        <f>IF($C625="B",INDEX(Batters[[#All],[INT]],MATCH(Table5[[#This Row],[PID]],Batters[[#All],[PID]],0)),INDEX(Table3[[#All],[INT]],MATCH(Table5[[#This Row],[PID]],Table3[[#All],[PID]],0)))</f>
        <v>Normal</v>
      </c>
      <c r="L625" s="60">
        <f>IF($C625="B",INDEX(Batters[[#All],[CON P]],MATCH(Table5[[#This Row],[PID]],Batters[[#All],[PID]],0)),INDEX(Table3[[#All],[STU P]],MATCH(Table5[[#This Row],[PID]],Table3[[#All],[PID]],0)))</f>
        <v>3</v>
      </c>
      <c r="M625" s="56">
        <f>IF($C625="B",INDEX(Batters[[#All],[GAP P]],MATCH(Table5[[#This Row],[PID]],Batters[[#All],[PID]],0)),INDEX(Table3[[#All],[MOV P]],MATCH(Table5[[#This Row],[PID]],Table3[[#All],[PID]],0)))</f>
        <v>3</v>
      </c>
      <c r="N625" s="56">
        <f>IF($C625="B",INDEX(Batters[[#All],[POW P]],MATCH(Table5[[#This Row],[PID]],Batters[[#All],[PID]],0)),INDEX(Table3[[#All],[CON P]],MATCH(Table5[[#This Row],[PID]],Table3[[#All],[PID]],0)))</f>
        <v>5</v>
      </c>
      <c r="O625" s="56" t="str">
        <f>IF($C625="B",INDEX(Batters[[#All],[EYE P]],MATCH(Table5[[#This Row],[PID]],Batters[[#All],[PID]],0)),INDEX(Table3[[#All],[VELO]],MATCH(Table5[[#This Row],[PID]],Table3[[#All],[PID]],0)))</f>
        <v>88-90 Mph</v>
      </c>
      <c r="P625" s="56">
        <f>IF($C625="B",INDEX(Batters[[#All],[K P]],MATCH(Table5[[#This Row],[PID]],Batters[[#All],[PID]],0)),INDEX(Table3[[#All],[STM]],MATCH(Table5[[#This Row],[PID]],Table3[[#All],[PID]],0)))</f>
        <v>8</v>
      </c>
      <c r="Q625" s="61">
        <f>IF($C625="B",INDEX(Batters[[#All],[Tot]],MATCH(Table5[[#This Row],[PID]],Batters[[#All],[PID]],0)),INDEX(Table3[[#All],[Tot]],MATCH(Table5[[#This Row],[PID]],Table3[[#All],[PID]],0)))</f>
        <v>43.558504937881786</v>
      </c>
      <c r="R625" s="52">
        <f>IF($C625="B",INDEX(Batters[[#All],[zScore]],MATCH(Table5[[#This Row],[PID]],Batters[[#All],[PID]],0)),INDEX(Table3[[#All],[zScore]],MATCH(Table5[[#This Row],[PID]],Table3[[#All],[PID]],0)))</f>
        <v>0.51146948780789836</v>
      </c>
      <c r="S625" s="58" t="str">
        <f>IF($C625="B",INDEX(Batters[[#All],[DEM]],MATCH(Table5[[#This Row],[PID]],Batters[[#All],[PID]],0)),INDEX(Table3[[#All],[DEM]],MATCH(Table5[[#This Row],[PID]],Table3[[#All],[PID]],0)))</f>
        <v>$75k</v>
      </c>
      <c r="T625" s="62">
        <f>IF($C625="B",INDEX(Batters[[#All],[Rnk]],MATCH(Table5[[#This Row],[PID]],Batters[[#All],[PID]],0)),INDEX(Table3[[#All],[Rnk]],MATCH(Table5[[#This Row],[PID]],Table3[[#All],[PID]],0)))</f>
        <v>215</v>
      </c>
      <c r="U625" s="68">
        <f>IF($C625="B",VLOOKUP($A625,Bat!$A$4:$BA$1621,47,FALSE),VLOOKUP($A625,Pit!$A$4:$BF$1557,56,FALSE))</f>
        <v>0</v>
      </c>
      <c r="V625" s="50">
        <f>IF($C625="B",VLOOKUP($A625,Bat!$A$4:$BA$1621,48,FALSE),VLOOKUP($A625,Pit!$A$4:$BF$1557,57,FALSE))</f>
        <v>0</v>
      </c>
      <c r="W625" s="50">
        <f>Table5[[#This Row],[posRnk]]+Table5[[#This Row],[zRnk]]+IF($W$3&lt;&gt;Table5[[#This Row],[Type]],50,0)</f>
        <v>629</v>
      </c>
      <c r="X625" s="51">
        <f>RANK(Table5[[#This Row],[zScore]],Table5[[#All],[zScore]])</f>
        <v>364</v>
      </c>
      <c r="Y625" s="50" t="str">
        <f>IFERROR(INDEX(DraftResults[[#All],[OVR]],MATCH(Table5[[#This Row],[PID]],DraftResults[[#All],[Player ID]],0)),"")</f>
        <v/>
      </c>
      <c r="Z6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5" s="50" t="str">
        <f>IFERROR(INDEX(DraftResults[[#All],[Pick in Round]],MATCH(Table5[[#This Row],[PID]],DraftResults[[#All],[Player ID]],0)),"")</f>
        <v/>
      </c>
      <c r="AB625" s="50" t="str">
        <f>IFERROR(INDEX(DraftResults[[#All],[Team Name]],MATCH(Table5[[#This Row],[PID]],DraftResults[[#All],[Player ID]],0)),"")</f>
        <v/>
      </c>
      <c r="AC625" s="50" t="str">
        <f>IF(Table5[[#This Row],[Ovr]]="","",IF(Table5[[#This Row],[cmbList]]="","",Table5[[#This Row],[cmbList]]-Table5[[#This Row],[Ovr]]))</f>
        <v/>
      </c>
      <c r="AD625" s="54" t="str">
        <f>IF(ISERROR(VLOOKUP($AB625&amp;"-"&amp;$E625&amp;" "&amp;F625,Bonuses!$B$1:$G$1006,4,FALSE)),"",INT(VLOOKUP($AB625&amp;"-"&amp;$E625&amp;" "&amp;$F625,Bonuses!$B$1:$G$1006,4,FALSE)))</f>
        <v/>
      </c>
      <c r="AE6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6" spans="1:31" s="50" customFormat="1" x14ac:dyDescent="0.25">
      <c r="A626" s="50">
        <v>13677</v>
      </c>
      <c r="B626" s="50">
        <f>COUNTIF(Table5[PID],A626)</f>
        <v>1</v>
      </c>
      <c r="C626" s="50" t="str">
        <f>IF(COUNTIF(Table3[[#All],[PID]],A626)&gt;0,"P","B")</f>
        <v>P</v>
      </c>
      <c r="D626" s="59" t="str">
        <f>IF($C626="B",INDEX(Batters[[#All],[POS]],MATCH(Table5[[#This Row],[PID]],Batters[[#All],[PID]],0)),INDEX(Table3[[#All],[POS]],MATCH(Table5[[#This Row],[PID]],Table3[[#All],[PID]],0)))</f>
        <v>CL</v>
      </c>
      <c r="E626" s="52" t="str">
        <f>IF($C626="B",INDEX(Batters[[#All],[First]],MATCH(Table5[[#This Row],[PID]],Batters[[#All],[PID]],0)),INDEX(Table3[[#All],[First]],MATCH(Table5[[#This Row],[PID]],Table3[[#All],[PID]],0)))</f>
        <v>Dave</v>
      </c>
      <c r="F626" s="50" t="str">
        <f>IF($C626="B",INDEX(Batters[[#All],[Last]],MATCH(A626,Batters[[#All],[PID]],0)),INDEX(Table3[[#All],[Last]],MATCH(A626,Table3[[#All],[PID]],0)))</f>
        <v>Dundee</v>
      </c>
      <c r="G626" s="56">
        <f>IF($C626="B",INDEX(Batters[[#All],[Age]],MATCH(Table5[[#This Row],[PID]],Batters[[#All],[PID]],0)),INDEX(Table3[[#All],[Age]],MATCH(Table5[[#This Row],[PID]],Table3[[#All],[PID]],0)))</f>
        <v>18</v>
      </c>
      <c r="H626" s="52" t="str">
        <f>IF($C626="B",INDEX(Batters[[#All],[B]],MATCH(Table5[[#This Row],[PID]],Batters[[#All],[PID]],0)),INDEX(Table3[[#All],[B]],MATCH(Table5[[#This Row],[PID]],Table3[[#All],[PID]],0)))</f>
        <v>L</v>
      </c>
      <c r="I626" s="52" t="str">
        <f>IF($C626="B",INDEX(Batters[[#All],[T]],MATCH(Table5[[#This Row],[PID]],Batters[[#All],[PID]],0)),INDEX(Table3[[#All],[T]],MATCH(Table5[[#This Row],[PID]],Table3[[#All],[PID]],0)))</f>
        <v>L</v>
      </c>
      <c r="J626" s="52" t="str">
        <f>IF($C626="B",INDEX(Batters[[#All],[WE]],MATCH(Table5[[#This Row],[PID]],Batters[[#All],[PID]],0)),INDEX(Table3[[#All],[WE]],MATCH(Table5[[#This Row],[PID]],Table3[[#All],[PID]],0)))</f>
        <v>High</v>
      </c>
      <c r="K626" s="52" t="str">
        <f>IF($C626="B",INDEX(Batters[[#All],[INT]],MATCH(Table5[[#This Row],[PID]],Batters[[#All],[PID]],0)),INDEX(Table3[[#All],[INT]],MATCH(Table5[[#This Row],[PID]],Table3[[#All],[PID]],0)))</f>
        <v>Normal</v>
      </c>
      <c r="L626" s="60">
        <f>IF($C626="B",INDEX(Batters[[#All],[CON P]],MATCH(Table5[[#This Row],[PID]],Batters[[#All],[PID]],0)),INDEX(Table3[[#All],[STU P]],MATCH(Table5[[#This Row],[PID]],Table3[[#All],[PID]],0)))</f>
        <v>4</v>
      </c>
      <c r="M626" s="56">
        <f>IF($C626="B",INDEX(Batters[[#All],[GAP P]],MATCH(Table5[[#This Row],[PID]],Batters[[#All],[PID]],0)),INDEX(Table3[[#All],[MOV P]],MATCH(Table5[[#This Row],[PID]],Table3[[#All],[PID]],0)))</f>
        <v>4</v>
      </c>
      <c r="N626" s="56">
        <f>IF($C626="B",INDEX(Batters[[#All],[POW P]],MATCH(Table5[[#This Row],[PID]],Batters[[#All],[PID]],0)),INDEX(Table3[[#All],[CON P]],MATCH(Table5[[#This Row],[PID]],Table3[[#All],[PID]],0)))</f>
        <v>3</v>
      </c>
      <c r="O626" s="56" t="str">
        <f>IF($C626="B",INDEX(Batters[[#All],[EYE P]],MATCH(Table5[[#This Row],[PID]],Batters[[#All],[PID]],0)),INDEX(Table3[[#All],[VELO]],MATCH(Table5[[#This Row],[PID]],Table3[[#All],[PID]],0)))</f>
        <v>86-88 Mph</v>
      </c>
      <c r="P626" s="56">
        <f>IF($C626="B",INDEX(Batters[[#All],[K P]],MATCH(Table5[[#This Row],[PID]],Batters[[#All],[PID]],0)),INDEX(Table3[[#All],[STM]],MATCH(Table5[[#This Row],[PID]],Table3[[#All],[PID]],0)))</f>
        <v>6</v>
      </c>
      <c r="Q626" s="61">
        <f>IF($C626="B",INDEX(Batters[[#All],[Tot]],MATCH(Table5[[#This Row],[PID]],Batters[[#All],[PID]],0)),INDEX(Table3[[#All],[Tot]],MATCH(Table5[[#This Row],[PID]],Table3[[#All],[PID]],0)))</f>
        <v>43.249800991942109</v>
      </c>
      <c r="R626" s="52">
        <f>IF($C626="B",INDEX(Batters[[#All],[zScore]],MATCH(Table5[[#This Row],[PID]],Batters[[#All],[PID]],0)),INDEX(Table3[[#All],[zScore]],MATCH(Table5[[#This Row],[PID]],Table3[[#All],[PID]],0)))</f>
        <v>0.49093188601776111</v>
      </c>
      <c r="S626" s="58" t="str">
        <f>IF($C626="B",INDEX(Batters[[#All],[DEM]],MATCH(Table5[[#This Row],[PID]],Batters[[#All],[PID]],0)),INDEX(Table3[[#All],[DEM]],MATCH(Table5[[#This Row],[PID]],Table3[[#All],[PID]],0)))</f>
        <v>$65k</v>
      </c>
      <c r="T626" s="62">
        <f>IF($C626="B",INDEX(Batters[[#All],[Rnk]],MATCH(Table5[[#This Row],[PID]],Batters[[#All],[PID]],0)),INDEX(Table3[[#All],[Rnk]],MATCH(Table5[[#This Row],[PID]],Table3[[#All],[PID]],0)))</f>
        <v>217</v>
      </c>
      <c r="U626" s="68">
        <f>IF($C626="B",VLOOKUP($A626,Bat!$A$4:$BA$1621,47,FALSE),VLOOKUP($A626,Pit!$A$4:$BF$1557,56,FALSE))</f>
        <v>0</v>
      </c>
      <c r="V626" s="50">
        <f>IF($C626="B",VLOOKUP($A626,Bat!$A$4:$BA$1621,48,FALSE),VLOOKUP($A626,Pit!$A$4:$BF$1557,57,FALSE))</f>
        <v>0</v>
      </c>
      <c r="W626" s="50">
        <f>Table5[[#This Row],[posRnk]]+Table5[[#This Row],[zRnk]]+IF($W$3&lt;&gt;Table5[[#This Row],[Type]],50,0)</f>
        <v>636</v>
      </c>
      <c r="X626" s="51">
        <f>RANK(Table5[[#This Row],[zScore]],Table5[[#All],[zScore]])</f>
        <v>369</v>
      </c>
      <c r="Y626" s="50" t="str">
        <f>IFERROR(INDEX(DraftResults[[#All],[OVR]],MATCH(Table5[[#This Row],[PID]],DraftResults[[#All],[Player ID]],0)),"")</f>
        <v/>
      </c>
      <c r="Z6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6" s="50" t="str">
        <f>IFERROR(INDEX(DraftResults[[#All],[Pick in Round]],MATCH(Table5[[#This Row],[PID]],DraftResults[[#All],[Player ID]],0)),"")</f>
        <v/>
      </c>
      <c r="AB626" s="50" t="str">
        <f>IFERROR(INDEX(DraftResults[[#All],[Team Name]],MATCH(Table5[[#This Row],[PID]],DraftResults[[#All],[Player ID]],0)),"")</f>
        <v/>
      </c>
      <c r="AC626" s="50" t="str">
        <f>IF(Table5[[#This Row],[Ovr]]="","",IF(Table5[[#This Row],[cmbList]]="","",Table5[[#This Row],[cmbList]]-Table5[[#This Row],[Ovr]]))</f>
        <v/>
      </c>
      <c r="AD626" s="54" t="str">
        <f>IF(ISERROR(VLOOKUP($AB626&amp;"-"&amp;$E626&amp;" "&amp;F626,Bonuses!$B$1:$G$1006,4,FALSE)),"",INT(VLOOKUP($AB626&amp;"-"&amp;$E626&amp;" "&amp;$F626,Bonuses!$B$1:$G$1006,4,FALSE)))</f>
        <v/>
      </c>
      <c r="AE6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7" spans="1:31" s="50" customFormat="1" x14ac:dyDescent="0.25">
      <c r="A627" s="50">
        <v>14569</v>
      </c>
      <c r="B627" s="50">
        <f>COUNTIF(Table5[PID],A627)</f>
        <v>1</v>
      </c>
      <c r="C627" s="50" t="str">
        <f>IF(COUNTIF(Table3[[#All],[PID]],A627)&gt;0,"P","B")</f>
        <v>P</v>
      </c>
      <c r="D627" s="59" t="str">
        <f>IF($C627="B",INDEX(Batters[[#All],[POS]],MATCH(Table5[[#This Row],[PID]],Batters[[#All],[PID]],0)),INDEX(Table3[[#All],[POS]],MATCH(Table5[[#This Row],[PID]],Table3[[#All],[PID]],0)))</f>
        <v>RP</v>
      </c>
      <c r="E627" s="52" t="str">
        <f>IF($C627="B",INDEX(Batters[[#All],[First]],MATCH(Table5[[#This Row],[PID]],Batters[[#All],[PID]],0)),INDEX(Table3[[#All],[First]],MATCH(Table5[[#This Row],[PID]],Table3[[#All],[PID]],0)))</f>
        <v>Ryan</v>
      </c>
      <c r="F627" s="50" t="str">
        <f>IF($C627="B",INDEX(Batters[[#All],[Last]],MATCH(A627,Batters[[#All],[PID]],0)),INDEX(Table3[[#All],[Last]],MATCH(A627,Table3[[#All],[PID]],0)))</f>
        <v>Lauder</v>
      </c>
      <c r="G627" s="56">
        <f>IF($C627="B",INDEX(Batters[[#All],[Age]],MATCH(Table5[[#This Row],[PID]],Batters[[#All],[PID]],0)),INDEX(Table3[[#All],[Age]],MATCH(Table5[[#This Row],[PID]],Table3[[#All],[PID]],0)))</f>
        <v>18</v>
      </c>
      <c r="H627" s="52" t="str">
        <f>IF($C627="B",INDEX(Batters[[#All],[B]],MATCH(Table5[[#This Row],[PID]],Batters[[#All],[PID]],0)),INDEX(Table3[[#All],[B]],MATCH(Table5[[#This Row],[PID]],Table3[[#All],[PID]],0)))</f>
        <v>L</v>
      </c>
      <c r="I627" s="52" t="str">
        <f>IF($C627="B",INDEX(Batters[[#All],[T]],MATCH(Table5[[#This Row],[PID]],Batters[[#All],[PID]],0)),INDEX(Table3[[#All],[T]],MATCH(Table5[[#This Row],[PID]],Table3[[#All],[PID]],0)))</f>
        <v>L</v>
      </c>
      <c r="J627" s="52" t="str">
        <f>IF($C627="B",INDEX(Batters[[#All],[WE]],MATCH(Table5[[#This Row],[PID]],Batters[[#All],[PID]],0)),INDEX(Table3[[#All],[WE]],MATCH(Table5[[#This Row],[PID]],Table3[[#All],[PID]],0)))</f>
        <v>Normal</v>
      </c>
      <c r="K627" s="52" t="str">
        <f>IF($C627="B",INDEX(Batters[[#All],[INT]],MATCH(Table5[[#This Row],[PID]],Batters[[#All],[PID]],0)),INDEX(Table3[[#All],[INT]],MATCH(Table5[[#This Row],[PID]],Table3[[#All],[PID]],0)))</f>
        <v>Normal</v>
      </c>
      <c r="L627" s="60">
        <f>IF($C627="B",INDEX(Batters[[#All],[CON P]],MATCH(Table5[[#This Row],[PID]],Batters[[#All],[PID]],0)),INDEX(Table3[[#All],[STU P]],MATCH(Table5[[#This Row],[PID]],Table3[[#All],[PID]],0)))</f>
        <v>4</v>
      </c>
      <c r="M627" s="56">
        <f>IF($C627="B",INDEX(Batters[[#All],[GAP P]],MATCH(Table5[[#This Row],[PID]],Batters[[#All],[PID]],0)),INDEX(Table3[[#All],[MOV P]],MATCH(Table5[[#This Row],[PID]],Table3[[#All],[PID]],0)))</f>
        <v>4</v>
      </c>
      <c r="N627" s="56">
        <f>IF($C627="B",INDEX(Batters[[#All],[POW P]],MATCH(Table5[[#This Row],[PID]],Batters[[#All],[PID]],0)),INDEX(Table3[[#All],[CON P]],MATCH(Table5[[#This Row],[PID]],Table3[[#All],[PID]],0)))</f>
        <v>3</v>
      </c>
      <c r="O627" s="56" t="str">
        <f>IF($C627="B",INDEX(Batters[[#All],[EYE P]],MATCH(Table5[[#This Row],[PID]],Batters[[#All],[PID]],0)),INDEX(Table3[[#All],[VELO]],MATCH(Table5[[#This Row],[PID]],Table3[[#All],[PID]],0)))</f>
        <v>86-88 Mph</v>
      </c>
      <c r="P627" s="56">
        <f>IF($C627="B",INDEX(Batters[[#All],[K P]],MATCH(Table5[[#This Row],[PID]],Batters[[#All],[PID]],0)),INDEX(Table3[[#All],[STM]],MATCH(Table5[[#This Row],[PID]],Table3[[#All],[PID]],0)))</f>
        <v>7</v>
      </c>
      <c r="Q627" s="61">
        <f>IF($C627="B",INDEX(Batters[[#All],[Tot]],MATCH(Table5[[#This Row],[PID]],Batters[[#All],[PID]],0)),INDEX(Table3[[#All],[Tot]],MATCH(Table5[[#This Row],[PID]],Table3[[#All],[PID]],0)))</f>
        <v>43.229735958776857</v>
      </c>
      <c r="R627" s="52">
        <f>IF($C627="B",INDEX(Batters[[#All],[zScore]],MATCH(Table5[[#This Row],[PID]],Batters[[#All],[PID]],0)),INDEX(Table3[[#All],[zScore]],MATCH(Table5[[#This Row],[PID]],Table3[[#All],[PID]],0)))</f>
        <v>0.48959699002283147</v>
      </c>
      <c r="S627" s="58" t="str">
        <f>IF($C627="B",INDEX(Batters[[#All],[DEM]],MATCH(Table5[[#This Row],[PID]],Batters[[#All],[PID]],0)),INDEX(Table3[[#All],[DEM]],MATCH(Table5[[#This Row],[PID]],Table3[[#All],[PID]],0)))</f>
        <v>$65k</v>
      </c>
      <c r="T627" s="62">
        <f>IF($C627="B",INDEX(Batters[[#All],[Rnk]],MATCH(Table5[[#This Row],[PID]],Batters[[#All],[PID]],0)),INDEX(Table3[[#All],[Rnk]],MATCH(Table5[[#This Row],[PID]],Table3[[#All],[PID]],0)))</f>
        <v>219</v>
      </c>
      <c r="U627" s="68">
        <f>IF($C627="B",VLOOKUP($A627,Bat!$A$4:$BA$1621,47,FALSE),VLOOKUP($A627,Pit!$A$4:$BF$1557,56,FALSE))</f>
        <v>0</v>
      </c>
      <c r="V627" s="50">
        <f>IF($C627="B",VLOOKUP($A627,Bat!$A$4:$BA$1621,48,FALSE),VLOOKUP($A627,Pit!$A$4:$BF$1557,57,FALSE))</f>
        <v>0</v>
      </c>
      <c r="W627" s="50">
        <f>Table5[[#This Row],[posRnk]]+Table5[[#This Row],[zRnk]]+IF($W$3&lt;&gt;Table5[[#This Row],[Type]],50,0)</f>
        <v>640</v>
      </c>
      <c r="X627" s="51">
        <f>RANK(Table5[[#This Row],[zScore]],Table5[[#All],[zScore]])</f>
        <v>371</v>
      </c>
      <c r="Y627" s="50" t="str">
        <f>IFERROR(INDEX(DraftResults[[#All],[OVR]],MATCH(Table5[[#This Row],[PID]],DraftResults[[#All],[Player ID]],0)),"")</f>
        <v/>
      </c>
      <c r="Z6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7" s="50" t="str">
        <f>IFERROR(INDEX(DraftResults[[#All],[Pick in Round]],MATCH(Table5[[#This Row],[PID]],DraftResults[[#All],[Player ID]],0)),"")</f>
        <v/>
      </c>
      <c r="AB627" s="50" t="str">
        <f>IFERROR(INDEX(DraftResults[[#All],[Team Name]],MATCH(Table5[[#This Row],[PID]],DraftResults[[#All],[Player ID]],0)),"")</f>
        <v/>
      </c>
      <c r="AC627" s="50" t="str">
        <f>IF(Table5[[#This Row],[Ovr]]="","",IF(Table5[[#This Row],[cmbList]]="","",Table5[[#This Row],[cmbList]]-Table5[[#This Row],[Ovr]]))</f>
        <v/>
      </c>
      <c r="AD627" s="54" t="str">
        <f>IF(ISERROR(VLOOKUP($AB627&amp;"-"&amp;$E627&amp;" "&amp;F627,Bonuses!$B$1:$G$1006,4,FALSE)),"",INT(VLOOKUP($AB627&amp;"-"&amp;$E627&amp;" "&amp;$F627,Bonuses!$B$1:$G$1006,4,FALSE)))</f>
        <v/>
      </c>
      <c r="AE6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8" spans="1:31" s="50" customFormat="1" x14ac:dyDescent="0.25">
      <c r="A628" s="50">
        <v>20746</v>
      </c>
      <c r="B628" s="50">
        <f>COUNTIF(Table5[PID],A628)</f>
        <v>1</v>
      </c>
      <c r="C628" s="50" t="str">
        <f>IF(COUNTIF(Table3[[#All],[PID]],A628)&gt;0,"P","B")</f>
        <v>B</v>
      </c>
      <c r="D628" s="59" t="str">
        <f>IF($C628="B",INDEX(Batters[[#All],[POS]],MATCH(Table5[[#This Row],[PID]],Batters[[#All],[PID]],0)),INDEX(Table3[[#All],[POS]],MATCH(Table5[[#This Row],[PID]],Table3[[#All],[PID]],0)))</f>
        <v>1B</v>
      </c>
      <c r="E628" s="52" t="str">
        <f>IF($C628="B",INDEX(Batters[[#All],[First]],MATCH(Table5[[#This Row],[PID]],Batters[[#All],[PID]],0)),INDEX(Table3[[#All],[First]],MATCH(Table5[[#This Row],[PID]],Table3[[#All],[PID]],0)))</f>
        <v>Cory</v>
      </c>
      <c r="F628" s="50" t="str">
        <f>IF($C628="B",INDEX(Batters[[#All],[Last]],MATCH(A628,Batters[[#All],[PID]],0)),INDEX(Table3[[#All],[Last]],MATCH(A628,Table3[[#All],[PID]],0)))</f>
        <v>Watson</v>
      </c>
      <c r="G628" s="56">
        <f>IF($C628="B",INDEX(Batters[[#All],[Age]],MATCH(Table5[[#This Row],[PID]],Batters[[#All],[PID]],0)),INDEX(Table3[[#All],[Age]],MATCH(Table5[[#This Row],[PID]],Table3[[#All],[PID]],0)))</f>
        <v>16</v>
      </c>
      <c r="H628" s="52" t="str">
        <f>IF($C628="B",INDEX(Batters[[#All],[B]],MATCH(Table5[[#This Row],[PID]],Batters[[#All],[PID]],0)),INDEX(Table3[[#All],[B]],MATCH(Table5[[#This Row],[PID]],Table3[[#All],[PID]],0)))</f>
        <v>R</v>
      </c>
      <c r="I628" s="52" t="str">
        <f>IF($C628="B",INDEX(Batters[[#All],[T]],MATCH(Table5[[#This Row],[PID]],Batters[[#All],[PID]],0)),INDEX(Table3[[#All],[T]],MATCH(Table5[[#This Row],[PID]],Table3[[#All],[PID]],0)))</f>
        <v>L</v>
      </c>
      <c r="J628" s="52" t="str">
        <f>IF($C628="B",INDEX(Batters[[#All],[WE]],MATCH(Table5[[#This Row],[PID]],Batters[[#All],[PID]],0)),INDEX(Table3[[#All],[WE]],MATCH(Table5[[#This Row],[PID]],Table3[[#All],[PID]],0)))</f>
        <v>High</v>
      </c>
      <c r="K628" s="52" t="str">
        <f>IF($C628="B",INDEX(Batters[[#All],[INT]],MATCH(Table5[[#This Row],[PID]],Batters[[#All],[PID]],0)),INDEX(Table3[[#All],[INT]],MATCH(Table5[[#This Row],[PID]],Table3[[#All],[PID]],0)))</f>
        <v>Low</v>
      </c>
      <c r="L628" s="60">
        <f>IF($C628="B",INDEX(Batters[[#All],[CON P]],MATCH(Table5[[#This Row],[PID]],Batters[[#All],[PID]],0)),INDEX(Table3[[#All],[STU P]],MATCH(Table5[[#This Row],[PID]],Table3[[#All],[PID]],0)))</f>
        <v>4</v>
      </c>
      <c r="M628" s="56">
        <f>IF($C628="B",INDEX(Batters[[#All],[GAP P]],MATCH(Table5[[#This Row],[PID]],Batters[[#All],[PID]],0)),INDEX(Table3[[#All],[MOV P]],MATCH(Table5[[#This Row],[PID]],Table3[[#All],[PID]],0)))</f>
        <v>4</v>
      </c>
      <c r="N628" s="56">
        <f>IF($C628="B",INDEX(Batters[[#All],[POW P]],MATCH(Table5[[#This Row],[PID]],Batters[[#All],[PID]],0)),INDEX(Table3[[#All],[CON P]],MATCH(Table5[[#This Row],[PID]],Table3[[#All],[PID]],0)))</f>
        <v>3</v>
      </c>
      <c r="O628" s="56">
        <f>IF($C628="B",INDEX(Batters[[#All],[EYE P]],MATCH(Table5[[#This Row],[PID]],Batters[[#All],[PID]],0)),INDEX(Table3[[#All],[VELO]],MATCH(Table5[[#This Row],[PID]],Table3[[#All],[PID]],0)))</f>
        <v>5</v>
      </c>
      <c r="P628" s="56">
        <f>IF($C628="B",INDEX(Batters[[#All],[K P]],MATCH(Table5[[#This Row],[PID]],Batters[[#All],[PID]],0)),INDEX(Table3[[#All],[STM]],MATCH(Table5[[#This Row],[PID]],Table3[[#All],[PID]],0)))</f>
        <v>5</v>
      </c>
      <c r="Q628" s="61">
        <f>IF($C628="B",INDEX(Batters[[#All],[Tot]],MATCH(Table5[[#This Row],[PID]],Batters[[#All],[PID]],0)),INDEX(Table3[[#All],[Tot]],MATCH(Table5[[#This Row],[PID]],Table3[[#All],[PID]],0)))</f>
        <v>46.317206909312873</v>
      </c>
      <c r="R628" s="52">
        <f>IF($C628="B",INDEX(Batters[[#All],[zScore]],MATCH(Table5[[#This Row],[PID]],Batters[[#All],[PID]],0)),INDEX(Table3[[#All],[zScore]],MATCH(Table5[[#This Row],[PID]],Table3[[#All],[PID]],0)))</f>
        <v>0.48448850654375436</v>
      </c>
      <c r="S628" s="58" t="str">
        <f>IF($C628="B",INDEX(Batters[[#All],[DEM]],MATCH(Table5[[#This Row],[PID]],Batters[[#All],[PID]],0)),INDEX(Table3[[#All],[DEM]],MATCH(Table5[[#This Row],[PID]],Table3[[#All],[PID]],0)))</f>
        <v>$70k</v>
      </c>
      <c r="T628" s="62">
        <f>IF($C628="B",INDEX(Batters[[#All],[Rnk]],MATCH(Table5[[#This Row],[PID]],Batters[[#All],[PID]],0)),INDEX(Table3[[#All],[Rnk]],MATCH(Table5[[#This Row],[PID]],Table3[[#All],[PID]],0)))</f>
        <v>154</v>
      </c>
      <c r="U628" s="68">
        <f>IF($C628="B",VLOOKUP($A628,Bat!$A$4:$BA$1621,47,FALSE),VLOOKUP($A628,Pit!$A$4:$BF$1557,56,FALSE))</f>
        <v>0</v>
      </c>
      <c r="V628" s="50">
        <f>IF($C628="B",VLOOKUP($A628,Bat!$A$4:$BA$1621,48,FALSE),VLOOKUP($A628,Pit!$A$4:$BF$1557,57,FALSE))</f>
        <v>0</v>
      </c>
      <c r="W628" s="50">
        <f>Table5[[#This Row],[posRnk]]+Table5[[#This Row],[zRnk]]+IF($W$3&lt;&gt;Table5[[#This Row],[Type]],50,0)</f>
        <v>577</v>
      </c>
      <c r="X628" s="51">
        <f>RANK(Table5[[#This Row],[zScore]],Table5[[#All],[zScore]])</f>
        <v>373</v>
      </c>
      <c r="Y628" s="50" t="str">
        <f>IFERROR(INDEX(DraftResults[[#All],[OVR]],MATCH(Table5[[#This Row],[PID]],DraftResults[[#All],[Player ID]],0)),"")</f>
        <v/>
      </c>
      <c r="Z6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8" s="50" t="str">
        <f>IFERROR(INDEX(DraftResults[[#All],[Pick in Round]],MATCH(Table5[[#This Row],[PID]],DraftResults[[#All],[Player ID]],0)),"")</f>
        <v/>
      </c>
      <c r="AB628" s="50" t="str">
        <f>IFERROR(INDEX(DraftResults[[#All],[Team Name]],MATCH(Table5[[#This Row],[PID]],DraftResults[[#All],[Player ID]],0)),"")</f>
        <v/>
      </c>
      <c r="AC628" s="50" t="str">
        <f>IF(Table5[[#This Row],[Ovr]]="","",IF(Table5[[#This Row],[cmbList]]="","",Table5[[#This Row],[cmbList]]-Table5[[#This Row],[Ovr]]))</f>
        <v/>
      </c>
      <c r="AD628" s="54" t="str">
        <f>IF(ISERROR(VLOOKUP($AB628&amp;"-"&amp;$E628&amp;" "&amp;F628,Bonuses!$B$1:$G$1006,4,FALSE)),"",INT(VLOOKUP($AB628&amp;"-"&amp;$E628&amp;" "&amp;$F628,Bonuses!$B$1:$G$1006,4,FALSE)))</f>
        <v/>
      </c>
      <c r="AE6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29" spans="1:31" s="50" customFormat="1" x14ac:dyDescent="0.25">
      <c r="A629" s="50">
        <v>18224</v>
      </c>
      <c r="B629" s="50">
        <f>COUNTIF(Table5[PID],A629)</f>
        <v>1</v>
      </c>
      <c r="C629" s="50" t="str">
        <f>IF(COUNTIF(Table3[[#All],[PID]],A629)&gt;0,"P","B")</f>
        <v>B</v>
      </c>
      <c r="D629" s="59" t="str">
        <f>IF($C629="B",INDEX(Batters[[#All],[POS]],MATCH(Table5[[#This Row],[PID]],Batters[[#All],[PID]],0)),INDEX(Table3[[#All],[POS]],MATCH(Table5[[#This Row],[PID]],Table3[[#All],[PID]],0)))</f>
        <v>RF</v>
      </c>
      <c r="E629" s="52" t="str">
        <f>IF($C629="B",INDEX(Batters[[#All],[First]],MATCH(Table5[[#This Row],[PID]],Batters[[#All],[PID]],0)),INDEX(Table3[[#All],[First]],MATCH(Table5[[#This Row],[PID]],Table3[[#All],[PID]],0)))</f>
        <v>Dean</v>
      </c>
      <c r="F629" s="50" t="str">
        <f>IF($C629="B",INDEX(Batters[[#All],[Last]],MATCH(A629,Batters[[#All],[PID]],0)),INDEX(Table3[[#All],[Last]],MATCH(A629,Table3[[#All],[PID]],0)))</f>
        <v>Zavala</v>
      </c>
      <c r="G629" s="56">
        <f>IF($C629="B",INDEX(Batters[[#All],[Age]],MATCH(Table5[[#This Row],[PID]],Batters[[#All],[PID]],0)),INDEX(Table3[[#All],[Age]],MATCH(Table5[[#This Row],[PID]],Table3[[#All],[PID]],0)))</f>
        <v>18</v>
      </c>
      <c r="H629" s="52" t="str">
        <f>IF($C629="B",INDEX(Batters[[#All],[B]],MATCH(Table5[[#This Row],[PID]],Batters[[#All],[PID]],0)),INDEX(Table3[[#All],[B]],MATCH(Table5[[#This Row],[PID]],Table3[[#All],[PID]],0)))</f>
        <v>L</v>
      </c>
      <c r="I629" s="52" t="str">
        <f>IF($C629="B",INDEX(Batters[[#All],[T]],MATCH(Table5[[#This Row],[PID]],Batters[[#All],[PID]],0)),INDEX(Table3[[#All],[T]],MATCH(Table5[[#This Row],[PID]],Table3[[#All],[PID]],0)))</f>
        <v>L</v>
      </c>
      <c r="J629" s="52" t="str">
        <f>IF($C629="B",INDEX(Batters[[#All],[WE]],MATCH(Table5[[#This Row],[PID]],Batters[[#All],[PID]],0)),INDEX(Table3[[#All],[WE]],MATCH(Table5[[#This Row],[PID]],Table3[[#All],[PID]],0)))</f>
        <v>Normal</v>
      </c>
      <c r="K629" s="52" t="str">
        <f>IF($C629="B",INDEX(Batters[[#All],[INT]],MATCH(Table5[[#This Row],[PID]],Batters[[#All],[PID]],0)),INDEX(Table3[[#All],[INT]],MATCH(Table5[[#This Row],[PID]],Table3[[#All],[PID]],0)))</f>
        <v>Low</v>
      </c>
      <c r="L629" s="60">
        <f>IF($C629="B",INDEX(Batters[[#All],[CON P]],MATCH(Table5[[#This Row],[PID]],Batters[[#All],[PID]],0)),INDEX(Table3[[#All],[STU P]],MATCH(Table5[[#This Row],[PID]],Table3[[#All],[PID]],0)))</f>
        <v>4</v>
      </c>
      <c r="M629" s="56">
        <f>IF($C629="B",INDEX(Batters[[#All],[GAP P]],MATCH(Table5[[#This Row],[PID]],Batters[[#All],[PID]],0)),INDEX(Table3[[#All],[MOV P]],MATCH(Table5[[#This Row],[PID]],Table3[[#All],[PID]],0)))</f>
        <v>5</v>
      </c>
      <c r="N629" s="56">
        <f>IF($C629="B",INDEX(Batters[[#All],[POW P]],MATCH(Table5[[#This Row],[PID]],Batters[[#All],[PID]],0)),INDEX(Table3[[#All],[CON P]],MATCH(Table5[[#This Row],[PID]],Table3[[#All],[PID]],0)))</f>
        <v>3</v>
      </c>
      <c r="O629" s="56">
        <f>IF($C629="B",INDEX(Batters[[#All],[EYE P]],MATCH(Table5[[#This Row],[PID]],Batters[[#All],[PID]],0)),INDEX(Table3[[#All],[VELO]],MATCH(Table5[[#This Row],[PID]],Table3[[#All],[PID]],0)))</f>
        <v>5</v>
      </c>
      <c r="P629" s="56">
        <f>IF($C629="B",INDEX(Batters[[#All],[K P]],MATCH(Table5[[#This Row],[PID]],Batters[[#All],[PID]],0)),INDEX(Table3[[#All],[STM]],MATCH(Table5[[#This Row],[PID]],Table3[[#All],[PID]],0)))</f>
        <v>4</v>
      </c>
      <c r="Q629" s="61">
        <f>IF($C629="B",INDEX(Batters[[#All],[Tot]],MATCH(Table5[[#This Row],[PID]],Batters[[#All],[PID]],0)),INDEX(Table3[[#All],[Tot]],MATCH(Table5[[#This Row],[PID]],Table3[[#All],[PID]],0)))</f>
        <v>46.299729386932313</v>
      </c>
      <c r="R629" s="52">
        <f>IF($C629="B",INDEX(Batters[[#All],[zScore]],MATCH(Table5[[#This Row],[PID]],Batters[[#All],[PID]],0)),INDEX(Table3[[#All],[zScore]],MATCH(Table5[[#This Row],[PID]],Table3[[#All],[PID]],0)))</f>
        <v>0.48061362169489696</v>
      </c>
      <c r="S629" s="58" t="str">
        <f>IF($C629="B",INDEX(Batters[[#All],[DEM]],MATCH(Table5[[#This Row],[PID]],Batters[[#All],[PID]],0)),INDEX(Table3[[#All],[DEM]],MATCH(Table5[[#This Row],[PID]],Table3[[#All],[PID]],0)))</f>
        <v>$65k</v>
      </c>
      <c r="T629" s="62">
        <f>IF($C629="B",INDEX(Batters[[#All],[Rnk]],MATCH(Table5[[#This Row],[PID]],Batters[[#All],[PID]],0)),INDEX(Table3[[#All],[Rnk]],MATCH(Table5[[#This Row],[PID]],Table3[[#All],[PID]],0)))</f>
        <v>155</v>
      </c>
      <c r="U629" s="68">
        <f>IF($C629="B",VLOOKUP($A629,Bat!$A$4:$BA$1621,47,FALSE),VLOOKUP($A629,Pit!$A$4:$BF$1557,56,FALSE))</f>
        <v>0</v>
      </c>
      <c r="V629" s="50">
        <f>IF($C629="B",VLOOKUP($A629,Bat!$A$4:$BA$1621,48,FALSE),VLOOKUP($A629,Pit!$A$4:$BF$1557,57,FALSE))</f>
        <v>0</v>
      </c>
      <c r="W629" s="50">
        <f>Table5[[#This Row],[posRnk]]+Table5[[#This Row],[zRnk]]+IF($W$3&lt;&gt;Table5[[#This Row],[Type]],50,0)</f>
        <v>579</v>
      </c>
      <c r="X629" s="51">
        <f>RANK(Table5[[#This Row],[zScore]],Table5[[#All],[zScore]])</f>
        <v>374</v>
      </c>
      <c r="Y629" s="50" t="str">
        <f>IFERROR(INDEX(DraftResults[[#All],[OVR]],MATCH(Table5[[#This Row],[PID]],DraftResults[[#All],[Player ID]],0)),"")</f>
        <v/>
      </c>
      <c r="Z6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29" s="50" t="str">
        <f>IFERROR(INDEX(DraftResults[[#All],[Pick in Round]],MATCH(Table5[[#This Row],[PID]],DraftResults[[#All],[Player ID]],0)),"")</f>
        <v/>
      </c>
      <c r="AB629" s="50" t="str">
        <f>IFERROR(INDEX(DraftResults[[#All],[Team Name]],MATCH(Table5[[#This Row],[PID]],DraftResults[[#All],[Player ID]],0)),"")</f>
        <v/>
      </c>
      <c r="AC629" s="50" t="str">
        <f>IF(Table5[[#This Row],[Ovr]]="","",IF(Table5[[#This Row],[cmbList]]="","",Table5[[#This Row],[cmbList]]-Table5[[#This Row],[Ovr]]))</f>
        <v/>
      </c>
      <c r="AD629" s="54" t="str">
        <f>IF(ISERROR(VLOOKUP($AB629&amp;"-"&amp;$E629&amp;" "&amp;F629,Bonuses!$B$1:$G$1006,4,FALSE)),"",INT(VLOOKUP($AB629&amp;"-"&amp;$E629&amp;" "&amp;$F629,Bonuses!$B$1:$G$1006,4,FALSE)))</f>
        <v/>
      </c>
      <c r="AE6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0" spans="1:31" s="50" customFormat="1" x14ac:dyDescent="0.25">
      <c r="A630" s="50">
        <v>18191</v>
      </c>
      <c r="B630" s="50">
        <f>COUNTIF(Table5[PID],A630)</f>
        <v>1</v>
      </c>
      <c r="C630" s="50" t="str">
        <f>IF(COUNTIF(Table3[[#All],[PID]],A630)&gt;0,"P","B")</f>
        <v>P</v>
      </c>
      <c r="D630" s="59" t="str">
        <f>IF($C630="B",INDEX(Batters[[#All],[POS]],MATCH(Table5[[#This Row],[PID]],Batters[[#All],[PID]],0)),INDEX(Table3[[#All],[POS]],MATCH(Table5[[#This Row],[PID]],Table3[[#All],[PID]],0)))</f>
        <v>CL</v>
      </c>
      <c r="E630" s="52" t="str">
        <f>IF($C630="B",INDEX(Batters[[#All],[First]],MATCH(Table5[[#This Row],[PID]],Batters[[#All],[PID]],0)),INDEX(Table3[[#All],[First]],MATCH(Table5[[#This Row],[PID]],Table3[[#All],[PID]],0)))</f>
        <v>William</v>
      </c>
      <c r="F630" s="50" t="str">
        <f>IF($C630="B",INDEX(Batters[[#All],[Last]],MATCH(A630,Batters[[#All],[PID]],0)),INDEX(Table3[[#All],[Last]],MATCH(A630,Table3[[#All],[PID]],0)))</f>
        <v>Smith</v>
      </c>
      <c r="G630" s="56">
        <f>IF($C630="B",INDEX(Batters[[#All],[Age]],MATCH(Table5[[#This Row],[PID]],Batters[[#All],[PID]],0)),INDEX(Table3[[#All],[Age]],MATCH(Table5[[#This Row],[PID]],Table3[[#All],[PID]],0)))</f>
        <v>18</v>
      </c>
      <c r="H630" s="52" t="str">
        <f>IF($C630="B",INDEX(Batters[[#All],[B]],MATCH(Table5[[#This Row],[PID]],Batters[[#All],[PID]],0)),INDEX(Table3[[#All],[B]],MATCH(Table5[[#This Row],[PID]],Table3[[#All],[PID]],0)))</f>
        <v>R</v>
      </c>
      <c r="I630" s="52" t="str">
        <f>IF($C630="B",INDEX(Batters[[#All],[T]],MATCH(Table5[[#This Row],[PID]],Batters[[#All],[PID]],0)),INDEX(Table3[[#All],[T]],MATCH(Table5[[#This Row],[PID]],Table3[[#All],[PID]],0)))</f>
        <v>R</v>
      </c>
      <c r="J630" s="52" t="str">
        <f>IF($C630="B",INDEX(Batters[[#All],[WE]],MATCH(Table5[[#This Row],[PID]],Batters[[#All],[PID]],0)),INDEX(Table3[[#All],[WE]],MATCH(Table5[[#This Row],[PID]],Table3[[#All],[PID]],0)))</f>
        <v>Low</v>
      </c>
      <c r="K630" s="52" t="str">
        <f>IF($C630="B",INDEX(Batters[[#All],[INT]],MATCH(Table5[[#This Row],[PID]],Batters[[#All],[PID]],0)),INDEX(Table3[[#All],[INT]],MATCH(Table5[[#This Row],[PID]],Table3[[#All],[PID]],0)))</f>
        <v>Normal</v>
      </c>
      <c r="L630" s="60">
        <f>IF($C630="B",INDEX(Batters[[#All],[CON P]],MATCH(Table5[[#This Row],[PID]],Batters[[#All],[PID]],0)),INDEX(Table3[[#All],[STU P]],MATCH(Table5[[#This Row],[PID]],Table3[[#All],[PID]],0)))</f>
        <v>5</v>
      </c>
      <c r="M630" s="56">
        <f>IF($C630="B",INDEX(Batters[[#All],[GAP P]],MATCH(Table5[[#This Row],[PID]],Batters[[#All],[PID]],0)),INDEX(Table3[[#All],[MOV P]],MATCH(Table5[[#This Row],[PID]],Table3[[#All],[PID]],0)))</f>
        <v>3</v>
      </c>
      <c r="N630" s="56">
        <f>IF($C630="B",INDEX(Batters[[#All],[POW P]],MATCH(Table5[[#This Row],[PID]],Batters[[#All],[PID]],0)),INDEX(Table3[[#All],[CON P]],MATCH(Table5[[#This Row],[PID]],Table3[[#All],[PID]],0)))</f>
        <v>3</v>
      </c>
      <c r="O630" s="56" t="str">
        <f>IF($C630="B",INDEX(Batters[[#All],[EYE P]],MATCH(Table5[[#This Row],[PID]],Batters[[#All],[PID]],0)),INDEX(Table3[[#All],[VELO]],MATCH(Table5[[#This Row],[PID]],Table3[[#All],[PID]],0)))</f>
        <v>91-93 Mph</v>
      </c>
      <c r="P630" s="56">
        <f>IF($C630="B",INDEX(Batters[[#All],[K P]],MATCH(Table5[[#This Row],[PID]],Batters[[#All],[PID]],0)),INDEX(Table3[[#All],[STM]],MATCH(Table5[[#This Row],[PID]],Table3[[#All],[PID]],0)))</f>
        <v>5</v>
      </c>
      <c r="Q630" s="61">
        <f>IF($C630="B",INDEX(Batters[[#All],[Tot]],MATCH(Table5[[#This Row],[PID]],Batters[[#All],[PID]],0)),INDEX(Table3[[#All],[Tot]],MATCH(Table5[[#This Row],[PID]],Table3[[#All],[PID]],0)))</f>
        <v>43.4157518941822</v>
      </c>
      <c r="R630" s="52">
        <f>IF($C630="B",INDEX(Batters[[#All],[zScore]],MATCH(Table5[[#This Row],[PID]],Batters[[#All],[PID]],0)),INDEX(Table3[[#All],[zScore]],MATCH(Table5[[#This Row],[PID]],Table3[[#All],[PID]],0)))</f>
        <v>0.48021720948508273</v>
      </c>
      <c r="S630" s="58" t="str">
        <f>IF($C630="B",INDEX(Batters[[#All],[DEM]],MATCH(Table5[[#This Row],[PID]],Batters[[#All],[PID]],0)),INDEX(Table3[[#All],[DEM]],MATCH(Table5[[#This Row],[PID]],Table3[[#All],[PID]],0)))</f>
        <v>$70k</v>
      </c>
      <c r="T630" s="62">
        <f>IF($C630="B",INDEX(Batters[[#All],[Rnk]],MATCH(Table5[[#This Row],[PID]],Batters[[#All],[PID]],0)),INDEX(Table3[[#All],[Rnk]],MATCH(Table5[[#This Row],[PID]],Table3[[#All],[PID]],0)))</f>
        <v>220</v>
      </c>
      <c r="U630" s="68">
        <f>IF($C630="B",VLOOKUP($A630,Bat!$A$4:$BA$1621,47,FALSE),VLOOKUP($A630,Pit!$A$4:$BF$1557,56,FALSE))</f>
        <v>0</v>
      </c>
      <c r="V630" s="50">
        <f>IF($C630="B",VLOOKUP($A630,Bat!$A$4:$BA$1621,48,FALSE),VLOOKUP($A630,Pit!$A$4:$BF$1557,57,FALSE))</f>
        <v>0</v>
      </c>
      <c r="W630" s="50">
        <f>Table5[[#This Row],[posRnk]]+Table5[[#This Row],[zRnk]]+IF($W$3&lt;&gt;Table5[[#This Row],[Type]],50,0)</f>
        <v>645</v>
      </c>
      <c r="X630" s="51">
        <f>RANK(Table5[[#This Row],[zScore]],Table5[[#All],[zScore]])</f>
        <v>375</v>
      </c>
      <c r="Y630" s="50" t="str">
        <f>IFERROR(INDEX(DraftResults[[#All],[OVR]],MATCH(Table5[[#This Row],[PID]],DraftResults[[#All],[Player ID]],0)),"")</f>
        <v/>
      </c>
      <c r="Z6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0" s="50" t="str">
        <f>IFERROR(INDEX(DraftResults[[#All],[Pick in Round]],MATCH(Table5[[#This Row],[PID]],DraftResults[[#All],[Player ID]],0)),"")</f>
        <v/>
      </c>
      <c r="AB630" s="50" t="str">
        <f>IFERROR(INDEX(DraftResults[[#All],[Team Name]],MATCH(Table5[[#This Row],[PID]],DraftResults[[#All],[Player ID]],0)),"")</f>
        <v/>
      </c>
      <c r="AC630" s="50" t="str">
        <f>IF(Table5[[#This Row],[Ovr]]="","",IF(Table5[[#This Row],[cmbList]]="","",Table5[[#This Row],[cmbList]]-Table5[[#This Row],[Ovr]]))</f>
        <v/>
      </c>
      <c r="AD630" s="54" t="str">
        <f>IF(ISERROR(VLOOKUP($AB630&amp;"-"&amp;$E630&amp;" "&amp;F630,Bonuses!$B$1:$G$1006,4,FALSE)),"",INT(VLOOKUP($AB630&amp;"-"&amp;$E630&amp;" "&amp;$F630,Bonuses!$B$1:$G$1006,4,FALSE)))</f>
        <v/>
      </c>
      <c r="AE6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1" spans="1:31" s="50" customFormat="1" x14ac:dyDescent="0.25">
      <c r="A631" s="50">
        <v>18450</v>
      </c>
      <c r="B631" s="50">
        <f>COUNTIF(Table5[PID],A631)</f>
        <v>1</v>
      </c>
      <c r="C631" s="50" t="str">
        <f>IF(COUNTIF(Table3[[#All],[PID]],A631)&gt;0,"P","B")</f>
        <v>P</v>
      </c>
      <c r="D631" s="59" t="str">
        <f>IF($C631="B",INDEX(Batters[[#All],[POS]],MATCH(Table5[[#This Row],[PID]],Batters[[#All],[PID]],0)),INDEX(Table3[[#All],[POS]],MATCH(Table5[[#This Row],[PID]],Table3[[#All],[PID]],0)))</f>
        <v>RP</v>
      </c>
      <c r="E631" s="52" t="str">
        <f>IF($C631="B",INDEX(Batters[[#All],[First]],MATCH(Table5[[#This Row],[PID]],Batters[[#All],[PID]],0)),INDEX(Table3[[#All],[First]],MATCH(Table5[[#This Row],[PID]],Table3[[#All],[PID]],0)))</f>
        <v>Yatsuhiro</v>
      </c>
      <c r="F631" s="50" t="str">
        <f>IF($C631="B",INDEX(Batters[[#All],[Last]],MATCH(A631,Batters[[#All],[PID]],0)),INDEX(Table3[[#All],[Last]],MATCH(A631,Table3[[#All],[PID]],0)))</f>
        <v>Nakamura</v>
      </c>
      <c r="G631" s="56">
        <f>IF($C631="B",INDEX(Batters[[#All],[Age]],MATCH(Table5[[#This Row],[PID]],Batters[[#All],[PID]],0)),INDEX(Table3[[#All],[Age]],MATCH(Table5[[#This Row],[PID]],Table3[[#All],[PID]],0)))</f>
        <v>18</v>
      </c>
      <c r="H631" s="52" t="str">
        <f>IF($C631="B",INDEX(Batters[[#All],[B]],MATCH(Table5[[#This Row],[PID]],Batters[[#All],[PID]],0)),INDEX(Table3[[#All],[B]],MATCH(Table5[[#This Row],[PID]],Table3[[#All],[PID]],0)))</f>
        <v>R</v>
      </c>
      <c r="I631" s="52" t="str">
        <f>IF($C631="B",INDEX(Batters[[#All],[T]],MATCH(Table5[[#This Row],[PID]],Batters[[#All],[PID]],0)),INDEX(Table3[[#All],[T]],MATCH(Table5[[#This Row],[PID]],Table3[[#All],[PID]],0)))</f>
        <v>R</v>
      </c>
      <c r="J631" s="52" t="str">
        <f>IF($C631="B",INDEX(Batters[[#All],[WE]],MATCH(Table5[[#This Row],[PID]],Batters[[#All],[PID]],0)),INDEX(Table3[[#All],[WE]],MATCH(Table5[[#This Row],[PID]],Table3[[#All],[PID]],0)))</f>
        <v>High</v>
      </c>
      <c r="K631" s="52" t="str">
        <f>IF($C631="B",INDEX(Batters[[#All],[INT]],MATCH(Table5[[#This Row],[PID]],Batters[[#All],[PID]],0)),INDEX(Table3[[#All],[INT]],MATCH(Table5[[#This Row],[PID]],Table3[[#All],[PID]],0)))</f>
        <v>Normal</v>
      </c>
      <c r="L631" s="60">
        <f>IF($C631="B",INDEX(Batters[[#All],[CON P]],MATCH(Table5[[#This Row],[PID]],Batters[[#All],[PID]],0)),INDEX(Table3[[#All],[STU P]],MATCH(Table5[[#This Row],[PID]],Table3[[#All],[PID]],0)))</f>
        <v>4</v>
      </c>
      <c r="M631" s="56">
        <f>IF($C631="B",INDEX(Batters[[#All],[GAP P]],MATCH(Table5[[#This Row],[PID]],Batters[[#All],[PID]],0)),INDEX(Table3[[#All],[MOV P]],MATCH(Table5[[#This Row],[PID]],Table3[[#All],[PID]],0)))</f>
        <v>2</v>
      </c>
      <c r="N631" s="56">
        <f>IF($C631="B",INDEX(Batters[[#All],[POW P]],MATCH(Table5[[#This Row],[PID]],Batters[[#All],[PID]],0)),INDEX(Table3[[#All],[CON P]],MATCH(Table5[[#This Row],[PID]],Table3[[#All],[PID]],0)))</f>
        <v>5</v>
      </c>
      <c r="O631" s="56" t="str">
        <f>IF($C631="B",INDEX(Batters[[#All],[EYE P]],MATCH(Table5[[#This Row],[PID]],Batters[[#All],[PID]],0)),INDEX(Table3[[#All],[VELO]],MATCH(Table5[[#This Row],[PID]],Table3[[#All],[PID]],0)))</f>
        <v>86-88 Mph</v>
      </c>
      <c r="P631" s="56">
        <f>IF($C631="B",INDEX(Batters[[#All],[K P]],MATCH(Table5[[#This Row],[PID]],Batters[[#All],[PID]],0)),INDEX(Table3[[#All],[STM]],MATCH(Table5[[#This Row],[PID]],Table3[[#All],[PID]],0)))</f>
        <v>4</v>
      </c>
      <c r="Q631" s="61">
        <f>IF($C631="B",INDEX(Batters[[#All],[Tot]],MATCH(Table5[[#This Row],[PID]],Batters[[#All],[PID]],0)),INDEX(Table3[[#All],[Tot]],MATCH(Table5[[#This Row],[PID]],Table3[[#All],[PID]],0)))</f>
        <v>42.576550494439161</v>
      </c>
      <c r="R631" s="52">
        <f>IF($C631="B",INDEX(Batters[[#All],[zScore]],MATCH(Table5[[#This Row],[PID]],Batters[[#All],[PID]],0)),INDEX(Table3[[#All],[zScore]],MATCH(Table5[[#This Row],[PID]],Table3[[#All],[PID]],0)))</f>
        <v>0.44614155921892812</v>
      </c>
      <c r="S631" s="58" t="str">
        <f>IF($C631="B",INDEX(Batters[[#All],[DEM]],MATCH(Table5[[#This Row],[PID]],Batters[[#All],[PID]],0)),INDEX(Table3[[#All],[DEM]],MATCH(Table5[[#This Row],[PID]],Table3[[#All],[PID]],0)))</f>
        <v>$90k</v>
      </c>
      <c r="T631" s="62">
        <f>IF($C631="B",INDEX(Batters[[#All],[Rnk]],MATCH(Table5[[#This Row],[PID]],Batters[[#All],[PID]],0)),INDEX(Table3[[#All],[Rnk]],MATCH(Table5[[#This Row],[PID]],Table3[[#All],[PID]],0)))</f>
        <v>224</v>
      </c>
      <c r="U631" s="68">
        <f>IF($C631="B",VLOOKUP($A631,Bat!$A$4:$BA$1621,47,FALSE),VLOOKUP($A631,Pit!$A$4:$BF$1557,56,FALSE))</f>
        <v>0</v>
      </c>
      <c r="V631" s="50">
        <f>IF($C631="B",VLOOKUP($A631,Bat!$A$4:$BA$1621,48,FALSE),VLOOKUP($A631,Pit!$A$4:$BF$1557,57,FALSE))</f>
        <v>0</v>
      </c>
      <c r="W631" s="50">
        <f>Table5[[#This Row],[posRnk]]+Table5[[#This Row],[zRnk]]+IF($W$3&lt;&gt;Table5[[#This Row],[Type]],50,0)</f>
        <v>655</v>
      </c>
      <c r="X631" s="51">
        <f>RANK(Table5[[#This Row],[zScore]],Table5[[#All],[zScore]])</f>
        <v>381</v>
      </c>
      <c r="Y631" s="50" t="str">
        <f>IFERROR(INDEX(DraftResults[[#All],[OVR]],MATCH(Table5[[#This Row],[PID]],DraftResults[[#All],[Player ID]],0)),"")</f>
        <v/>
      </c>
      <c r="Z6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1" s="50" t="str">
        <f>IFERROR(INDEX(DraftResults[[#All],[Pick in Round]],MATCH(Table5[[#This Row],[PID]],DraftResults[[#All],[Player ID]],0)),"")</f>
        <v/>
      </c>
      <c r="AB631" s="50" t="str">
        <f>IFERROR(INDEX(DraftResults[[#All],[Team Name]],MATCH(Table5[[#This Row],[PID]],DraftResults[[#All],[Player ID]],0)),"")</f>
        <v/>
      </c>
      <c r="AC631" s="50" t="str">
        <f>IF(Table5[[#This Row],[Ovr]]="","",IF(Table5[[#This Row],[cmbList]]="","",Table5[[#This Row],[cmbList]]-Table5[[#This Row],[Ovr]]))</f>
        <v/>
      </c>
      <c r="AD631" s="54" t="str">
        <f>IF(ISERROR(VLOOKUP($AB631&amp;"-"&amp;$E631&amp;" "&amp;F631,Bonuses!$B$1:$G$1006,4,FALSE)),"",INT(VLOOKUP($AB631&amp;"-"&amp;$E631&amp;" "&amp;$F631,Bonuses!$B$1:$G$1006,4,FALSE)))</f>
        <v/>
      </c>
      <c r="AE6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2" spans="1:31" s="50" customFormat="1" x14ac:dyDescent="0.25">
      <c r="A632" s="50">
        <v>18368</v>
      </c>
      <c r="B632" s="50">
        <f>COUNTIF(Table5[PID],A632)</f>
        <v>1</v>
      </c>
      <c r="C632" s="50" t="str">
        <f>IF(COUNTIF(Table3[[#All],[PID]],A632)&gt;0,"P","B")</f>
        <v>P</v>
      </c>
      <c r="D632" s="59" t="str">
        <f>IF($C632="B",INDEX(Batters[[#All],[POS]],MATCH(Table5[[#This Row],[PID]],Batters[[#All],[PID]],0)),INDEX(Table3[[#All],[POS]],MATCH(Table5[[#This Row],[PID]],Table3[[#All],[PID]],0)))</f>
        <v>RP</v>
      </c>
      <c r="E632" s="52" t="str">
        <f>IF($C632="B",INDEX(Batters[[#All],[First]],MATCH(Table5[[#This Row],[PID]],Batters[[#All],[PID]],0)),INDEX(Table3[[#All],[First]],MATCH(Table5[[#This Row],[PID]],Table3[[#All],[PID]],0)))</f>
        <v>Kunisada</v>
      </c>
      <c r="F632" s="50" t="str">
        <f>IF($C632="B",INDEX(Batters[[#All],[Last]],MATCH(A632,Batters[[#All],[PID]],0)),INDEX(Table3[[#All],[Last]],MATCH(A632,Table3[[#All],[PID]],0)))</f>
        <v>Nakada</v>
      </c>
      <c r="G632" s="56">
        <f>IF($C632="B",INDEX(Batters[[#All],[Age]],MATCH(Table5[[#This Row],[PID]],Batters[[#All],[PID]],0)),INDEX(Table3[[#All],[Age]],MATCH(Table5[[#This Row],[PID]],Table3[[#All],[PID]],0)))</f>
        <v>18</v>
      </c>
      <c r="H632" s="52" t="str">
        <f>IF($C632="B",INDEX(Batters[[#All],[B]],MATCH(Table5[[#This Row],[PID]],Batters[[#All],[PID]],0)),INDEX(Table3[[#All],[B]],MATCH(Table5[[#This Row],[PID]],Table3[[#All],[PID]],0)))</f>
        <v>R</v>
      </c>
      <c r="I632" s="52" t="str">
        <f>IF($C632="B",INDEX(Batters[[#All],[T]],MATCH(Table5[[#This Row],[PID]],Batters[[#All],[PID]],0)),INDEX(Table3[[#All],[T]],MATCH(Table5[[#This Row],[PID]],Table3[[#All],[PID]],0)))</f>
        <v>R</v>
      </c>
      <c r="J632" s="52" t="str">
        <f>IF($C632="B",INDEX(Batters[[#All],[WE]],MATCH(Table5[[#This Row],[PID]],Batters[[#All],[PID]],0)),INDEX(Table3[[#All],[WE]],MATCH(Table5[[#This Row],[PID]],Table3[[#All],[PID]],0)))</f>
        <v>Normal</v>
      </c>
      <c r="K632" s="52" t="str">
        <f>IF($C632="B",INDEX(Batters[[#All],[INT]],MATCH(Table5[[#This Row],[PID]],Batters[[#All],[PID]],0)),INDEX(Table3[[#All],[INT]],MATCH(Table5[[#This Row],[PID]],Table3[[#All],[PID]],0)))</f>
        <v>Normal</v>
      </c>
      <c r="L632" s="60">
        <f>IF($C632="B",INDEX(Batters[[#All],[CON P]],MATCH(Table5[[#This Row],[PID]],Batters[[#All],[PID]],0)),INDEX(Table3[[#All],[STU P]],MATCH(Table5[[#This Row],[PID]],Table3[[#All],[PID]],0)))</f>
        <v>4</v>
      </c>
      <c r="M632" s="56">
        <f>IF($C632="B",INDEX(Batters[[#All],[GAP P]],MATCH(Table5[[#This Row],[PID]],Batters[[#All],[PID]],0)),INDEX(Table3[[#All],[MOV P]],MATCH(Table5[[#This Row],[PID]],Table3[[#All],[PID]],0)))</f>
        <v>4</v>
      </c>
      <c r="N632" s="56">
        <f>IF($C632="B",INDEX(Batters[[#All],[POW P]],MATCH(Table5[[#This Row],[PID]],Batters[[#All],[PID]],0)),INDEX(Table3[[#All],[CON P]],MATCH(Table5[[#This Row],[PID]],Table3[[#All],[PID]],0)))</f>
        <v>3</v>
      </c>
      <c r="O632" s="56" t="str">
        <f>IF($C632="B",INDEX(Batters[[#All],[EYE P]],MATCH(Table5[[#This Row],[PID]],Batters[[#All],[PID]],0)),INDEX(Table3[[#All],[VELO]],MATCH(Table5[[#This Row],[PID]],Table3[[#All],[PID]],0)))</f>
        <v>89-91 Mph</v>
      </c>
      <c r="P632" s="56">
        <f>IF($C632="B",INDEX(Batters[[#All],[K P]],MATCH(Table5[[#This Row],[PID]],Batters[[#All],[PID]],0)),INDEX(Table3[[#All],[STM]],MATCH(Table5[[#This Row],[PID]],Table3[[#All],[PID]],0)))</f>
        <v>6</v>
      </c>
      <c r="Q632" s="61">
        <f>IF($C632="B",INDEX(Batters[[#All],[Tot]],MATCH(Table5[[#This Row],[PID]],Batters[[#All],[PID]],0)),INDEX(Table3[[#All],[Tot]],MATCH(Table5[[#This Row],[PID]],Table3[[#All],[PID]],0)))</f>
        <v>42.549548721343264</v>
      </c>
      <c r="R632" s="52">
        <f>IF($C632="B",INDEX(Batters[[#All],[zScore]],MATCH(Table5[[#This Row],[PID]],Batters[[#All],[PID]],0)),INDEX(Table3[[#All],[zScore]],MATCH(Table5[[#This Row],[PID]],Table3[[#All],[PID]],0)))</f>
        <v>0.44434517251650635</v>
      </c>
      <c r="S632" s="58" t="str">
        <f>IF($C632="B",INDEX(Batters[[#All],[DEM]],MATCH(Table5[[#This Row],[PID]],Batters[[#All],[PID]],0)),INDEX(Table3[[#All],[DEM]],MATCH(Table5[[#This Row],[PID]],Table3[[#All],[PID]],0)))</f>
        <v>$65k</v>
      </c>
      <c r="T632" s="62">
        <f>IF($C632="B",INDEX(Batters[[#All],[Rnk]],MATCH(Table5[[#This Row],[PID]],Batters[[#All],[PID]],0)),INDEX(Table3[[#All],[Rnk]],MATCH(Table5[[#This Row],[PID]],Table3[[#All],[PID]],0)))</f>
        <v>225</v>
      </c>
      <c r="U632" s="68">
        <f>IF($C632="B",VLOOKUP($A632,Bat!$A$4:$BA$1621,47,FALSE),VLOOKUP($A632,Pit!$A$4:$BF$1557,56,FALSE))</f>
        <v>0</v>
      </c>
      <c r="V632" s="50">
        <f>IF($C632="B",VLOOKUP($A632,Bat!$A$4:$BA$1621,48,FALSE),VLOOKUP($A632,Pit!$A$4:$BF$1557,57,FALSE))</f>
        <v>0</v>
      </c>
      <c r="W632" s="50">
        <f>Table5[[#This Row],[posRnk]]+Table5[[#This Row],[zRnk]]+IF($W$3&lt;&gt;Table5[[#This Row],[Type]],50,0)</f>
        <v>658</v>
      </c>
      <c r="X632" s="51">
        <f>RANK(Table5[[#This Row],[zScore]],Table5[[#All],[zScore]])</f>
        <v>383</v>
      </c>
      <c r="Y632" s="50" t="str">
        <f>IFERROR(INDEX(DraftResults[[#All],[OVR]],MATCH(Table5[[#This Row],[PID]],DraftResults[[#All],[Player ID]],0)),"")</f>
        <v/>
      </c>
      <c r="Z6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2" s="50" t="str">
        <f>IFERROR(INDEX(DraftResults[[#All],[Pick in Round]],MATCH(Table5[[#This Row],[PID]],DraftResults[[#All],[Player ID]],0)),"")</f>
        <v/>
      </c>
      <c r="AB632" s="50" t="str">
        <f>IFERROR(INDEX(DraftResults[[#All],[Team Name]],MATCH(Table5[[#This Row],[PID]],DraftResults[[#All],[Player ID]],0)),"")</f>
        <v/>
      </c>
      <c r="AC632" s="50" t="str">
        <f>IF(Table5[[#This Row],[Ovr]]="","",IF(Table5[[#This Row],[cmbList]]="","",Table5[[#This Row],[cmbList]]-Table5[[#This Row],[Ovr]]))</f>
        <v/>
      </c>
      <c r="AD632" s="54" t="str">
        <f>IF(ISERROR(VLOOKUP($AB632&amp;"-"&amp;$E632&amp;" "&amp;F632,Bonuses!$B$1:$G$1006,4,FALSE)),"",INT(VLOOKUP($AB632&amp;"-"&amp;$E632&amp;" "&amp;$F632,Bonuses!$B$1:$G$1006,4,FALSE)))</f>
        <v/>
      </c>
      <c r="AE6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3" spans="1:31" s="50" customFormat="1" x14ac:dyDescent="0.25">
      <c r="A633" s="50">
        <v>18394</v>
      </c>
      <c r="B633" s="50">
        <f>COUNTIF(Table5[PID],A633)</f>
        <v>1</v>
      </c>
      <c r="C633" s="50" t="str">
        <f>IF(COUNTIF(Table3[[#All],[PID]],A633)&gt;0,"P","B")</f>
        <v>P</v>
      </c>
      <c r="D633" s="59" t="str">
        <f>IF($C633="B",INDEX(Batters[[#All],[POS]],MATCH(Table5[[#This Row],[PID]],Batters[[#All],[PID]],0)),INDEX(Table3[[#All],[POS]],MATCH(Table5[[#This Row],[PID]],Table3[[#All],[PID]],0)))</f>
        <v>RP</v>
      </c>
      <c r="E633" s="52" t="str">
        <f>IF($C633="B",INDEX(Batters[[#All],[First]],MATCH(Table5[[#This Row],[PID]],Batters[[#All],[PID]],0)),INDEX(Table3[[#All],[First]],MATCH(Table5[[#This Row],[PID]],Table3[[#All],[PID]],0)))</f>
        <v>Mo</v>
      </c>
      <c r="F633" s="50" t="str">
        <f>IF($C633="B",INDEX(Batters[[#All],[Last]],MATCH(A633,Batters[[#All],[PID]],0)),INDEX(Table3[[#All],[Last]],MATCH(A633,Table3[[#All],[PID]],0)))</f>
        <v>Petch</v>
      </c>
      <c r="G633" s="56">
        <f>IF($C633="B",INDEX(Batters[[#All],[Age]],MATCH(Table5[[#This Row],[PID]],Batters[[#All],[PID]],0)),INDEX(Table3[[#All],[Age]],MATCH(Table5[[#This Row],[PID]],Table3[[#All],[PID]],0)))</f>
        <v>18</v>
      </c>
      <c r="H633" s="52" t="str">
        <f>IF($C633="B",INDEX(Batters[[#All],[B]],MATCH(Table5[[#This Row],[PID]],Batters[[#All],[PID]],0)),INDEX(Table3[[#All],[B]],MATCH(Table5[[#This Row],[PID]],Table3[[#All],[PID]],0)))</f>
        <v>R</v>
      </c>
      <c r="I633" s="52" t="str">
        <f>IF($C633="B",INDEX(Batters[[#All],[T]],MATCH(Table5[[#This Row],[PID]],Batters[[#All],[PID]],0)),INDEX(Table3[[#All],[T]],MATCH(Table5[[#This Row],[PID]],Table3[[#All],[PID]],0)))</f>
        <v>R</v>
      </c>
      <c r="J633" s="52" t="str">
        <f>IF($C633="B",INDEX(Batters[[#All],[WE]],MATCH(Table5[[#This Row],[PID]],Batters[[#All],[PID]],0)),INDEX(Table3[[#All],[WE]],MATCH(Table5[[#This Row],[PID]],Table3[[#All],[PID]],0)))</f>
        <v>Normal</v>
      </c>
      <c r="K633" s="52" t="str">
        <f>IF($C633="B",INDEX(Batters[[#All],[INT]],MATCH(Table5[[#This Row],[PID]],Batters[[#All],[PID]],0)),INDEX(Table3[[#All],[INT]],MATCH(Table5[[#This Row],[PID]],Table3[[#All],[PID]],0)))</f>
        <v>Normal</v>
      </c>
      <c r="L633" s="60">
        <f>IF($C633="B",INDEX(Batters[[#All],[CON P]],MATCH(Table5[[#This Row],[PID]],Batters[[#All],[PID]],0)),INDEX(Table3[[#All],[STU P]],MATCH(Table5[[#This Row],[PID]],Table3[[#All],[PID]],0)))</f>
        <v>4</v>
      </c>
      <c r="M633" s="56">
        <f>IF($C633="B",INDEX(Batters[[#All],[GAP P]],MATCH(Table5[[#This Row],[PID]],Batters[[#All],[PID]],0)),INDEX(Table3[[#All],[MOV P]],MATCH(Table5[[#This Row],[PID]],Table3[[#All],[PID]],0)))</f>
        <v>4</v>
      </c>
      <c r="N633" s="56">
        <f>IF($C633="B",INDEX(Batters[[#All],[POW P]],MATCH(Table5[[#This Row],[PID]],Batters[[#All],[PID]],0)),INDEX(Table3[[#All],[CON P]],MATCH(Table5[[#This Row],[PID]],Table3[[#All],[PID]],0)))</f>
        <v>3</v>
      </c>
      <c r="O633" s="56" t="str">
        <f>IF($C633="B",INDEX(Batters[[#All],[EYE P]],MATCH(Table5[[#This Row],[PID]],Batters[[#All],[PID]],0)),INDEX(Table3[[#All],[VELO]],MATCH(Table5[[#This Row],[PID]],Table3[[#All],[PID]],0)))</f>
        <v>89-91 Mph</v>
      </c>
      <c r="P633" s="56">
        <f>IF($C633="B",INDEX(Batters[[#All],[K P]],MATCH(Table5[[#This Row],[PID]],Batters[[#All],[PID]],0)),INDEX(Table3[[#All],[STM]],MATCH(Table5[[#This Row],[PID]],Table3[[#All],[PID]],0)))</f>
        <v>7</v>
      </c>
      <c r="Q633" s="61">
        <f>IF($C633="B",INDEX(Batters[[#All],[Tot]],MATCH(Table5[[#This Row],[PID]],Batters[[#All],[PID]],0)),INDEX(Table3[[#All],[Tot]],MATCH(Table5[[#This Row],[PID]],Table3[[#All],[PID]],0)))</f>
        <v>42.268143114501953</v>
      </c>
      <c r="R633" s="52">
        <f>IF($C633="B",INDEX(Batters[[#All],[zScore]],MATCH(Table5[[#This Row],[PID]],Batters[[#All],[PID]],0)),INDEX(Table3[[#All],[zScore]],MATCH(Table5[[#This Row],[PID]],Table3[[#All],[PID]],0)))</f>
        <v>0.42562368751174995</v>
      </c>
      <c r="S633" s="58" t="str">
        <f>IF($C633="B",INDEX(Batters[[#All],[DEM]],MATCH(Table5[[#This Row],[PID]],Batters[[#All],[PID]],0)),INDEX(Table3[[#All],[DEM]],MATCH(Table5[[#This Row],[PID]],Table3[[#All],[PID]],0)))</f>
        <v>$2.4m</v>
      </c>
      <c r="T633" s="62">
        <f>IF($C633="B",INDEX(Batters[[#All],[Rnk]],MATCH(Table5[[#This Row],[PID]],Batters[[#All],[PID]],0)),INDEX(Table3[[#All],[Rnk]],MATCH(Table5[[#This Row],[PID]],Table3[[#All],[PID]],0)))</f>
        <v>226</v>
      </c>
      <c r="U633" s="68">
        <f>IF($C633="B",VLOOKUP($A633,Bat!$A$4:$BA$1621,47,FALSE),VLOOKUP($A633,Pit!$A$4:$BF$1557,56,FALSE))</f>
        <v>0</v>
      </c>
      <c r="V633" s="50">
        <f>IF($C633="B",VLOOKUP($A633,Bat!$A$4:$BA$1621,48,FALSE),VLOOKUP($A633,Pit!$A$4:$BF$1557,57,FALSE))</f>
        <v>0</v>
      </c>
      <c r="W633" s="50">
        <f>Table5[[#This Row],[posRnk]]+Table5[[#This Row],[zRnk]]+IF($W$3&lt;&gt;Table5[[#This Row],[Type]],50,0)</f>
        <v>662</v>
      </c>
      <c r="X633" s="51">
        <f>RANK(Table5[[#This Row],[zScore]],Table5[[#All],[zScore]])</f>
        <v>386</v>
      </c>
      <c r="Y633" s="50" t="str">
        <f>IFERROR(INDEX(DraftResults[[#All],[OVR]],MATCH(Table5[[#This Row],[PID]],DraftResults[[#All],[Player ID]],0)),"")</f>
        <v/>
      </c>
      <c r="Z6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3" s="50" t="str">
        <f>IFERROR(INDEX(DraftResults[[#All],[Pick in Round]],MATCH(Table5[[#This Row],[PID]],DraftResults[[#All],[Player ID]],0)),"")</f>
        <v/>
      </c>
      <c r="AB633" s="50" t="str">
        <f>IFERROR(INDEX(DraftResults[[#All],[Team Name]],MATCH(Table5[[#This Row],[PID]],DraftResults[[#All],[Player ID]],0)),"")</f>
        <v/>
      </c>
      <c r="AC633" s="50" t="str">
        <f>IF(Table5[[#This Row],[Ovr]]="","",IF(Table5[[#This Row],[cmbList]]="","",Table5[[#This Row],[cmbList]]-Table5[[#This Row],[Ovr]]))</f>
        <v/>
      </c>
      <c r="AD633" s="54" t="str">
        <f>IF(ISERROR(VLOOKUP($AB633&amp;"-"&amp;$E633&amp;" "&amp;F633,Bonuses!$B$1:$G$1006,4,FALSE)),"",INT(VLOOKUP($AB633&amp;"-"&amp;$E633&amp;" "&amp;$F633,Bonuses!$B$1:$G$1006,4,FALSE)))</f>
        <v/>
      </c>
      <c r="AE6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4" spans="1:31" s="50" customFormat="1" x14ac:dyDescent="0.25">
      <c r="A634" s="50">
        <v>20343</v>
      </c>
      <c r="B634" s="50">
        <f>COUNTIF(Table5[PID],A634)</f>
        <v>1</v>
      </c>
      <c r="C634" s="50" t="str">
        <f>IF(COUNTIF(Table3[[#All],[PID]],A634)&gt;0,"P","B")</f>
        <v>B</v>
      </c>
      <c r="D634" s="59" t="str">
        <f>IF($C634="B",INDEX(Batters[[#All],[POS]],MATCH(Table5[[#This Row],[PID]],Batters[[#All],[PID]],0)),INDEX(Table3[[#All],[POS]],MATCH(Table5[[#This Row],[PID]],Table3[[#All],[PID]],0)))</f>
        <v>SS</v>
      </c>
      <c r="E634" s="52" t="str">
        <f>IF($C634="B",INDEX(Batters[[#All],[First]],MATCH(Table5[[#This Row],[PID]],Batters[[#All],[PID]],0)),INDEX(Table3[[#All],[First]],MATCH(Table5[[#This Row],[PID]],Table3[[#All],[PID]],0)))</f>
        <v>Cameron</v>
      </c>
      <c r="F634" s="50" t="str">
        <f>IF($C634="B",INDEX(Batters[[#All],[Last]],MATCH(A634,Batters[[#All],[PID]],0)),INDEX(Table3[[#All],[Last]],MATCH(A634,Table3[[#All],[PID]],0)))</f>
        <v>Wang</v>
      </c>
      <c r="G634" s="56">
        <f>IF($C634="B",INDEX(Batters[[#All],[Age]],MATCH(Table5[[#This Row],[PID]],Batters[[#All],[PID]],0)),INDEX(Table3[[#All],[Age]],MATCH(Table5[[#This Row],[PID]],Table3[[#All],[PID]],0)))</f>
        <v>17</v>
      </c>
      <c r="H634" s="52" t="str">
        <f>IF($C634="B",INDEX(Batters[[#All],[B]],MATCH(Table5[[#This Row],[PID]],Batters[[#All],[PID]],0)),INDEX(Table3[[#All],[B]],MATCH(Table5[[#This Row],[PID]],Table3[[#All],[PID]],0)))</f>
        <v>R</v>
      </c>
      <c r="I634" s="52" t="str">
        <f>IF($C634="B",INDEX(Batters[[#All],[T]],MATCH(Table5[[#This Row],[PID]],Batters[[#All],[PID]],0)),INDEX(Table3[[#All],[T]],MATCH(Table5[[#This Row],[PID]],Table3[[#All],[PID]],0)))</f>
        <v>R</v>
      </c>
      <c r="J634" s="52" t="str">
        <f>IF($C634="B",INDEX(Batters[[#All],[WE]],MATCH(Table5[[#This Row],[PID]],Batters[[#All],[PID]],0)),INDEX(Table3[[#All],[WE]],MATCH(Table5[[#This Row],[PID]],Table3[[#All],[PID]],0)))</f>
        <v>Low</v>
      </c>
      <c r="K634" s="52" t="str">
        <f>IF($C634="B",INDEX(Batters[[#All],[INT]],MATCH(Table5[[#This Row],[PID]],Batters[[#All],[PID]],0)),INDEX(Table3[[#All],[INT]],MATCH(Table5[[#This Row],[PID]],Table3[[#All],[PID]],0)))</f>
        <v>High</v>
      </c>
      <c r="L634" s="60">
        <f>IF($C634="B",INDEX(Batters[[#All],[CON P]],MATCH(Table5[[#This Row],[PID]],Batters[[#All],[PID]],0)),INDEX(Table3[[#All],[STU P]],MATCH(Table5[[#This Row],[PID]],Table3[[#All],[PID]],0)))</f>
        <v>4</v>
      </c>
      <c r="M634" s="56">
        <f>IF($C634="B",INDEX(Batters[[#All],[GAP P]],MATCH(Table5[[#This Row],[PID]],Batters[[#All],[PID]],0)),INDEX(Table3[[#All],[MOV P]],MATCH(Table5[[#This Row],[PID]],Table3[[#All],[PID]],0)))</f>
        <v>4</v>
      </c>
      <c r="N634" s="56">
        <f>IF($C634="B",INDEX(Batters[[#All],[POW P]],MATCH(Table5[[#This Row],[PID]],Batters[[#All],[PID]],0)),INDEX(Table3[[#All],[CON P]],MATCH(Table5[[#This Row],[PID]],Table3[[#All],[PID]],0)))</f>
        <v>3</v>
      </c>
      <c r="O634" s="56">
        <f>IF($C634="B",INDEX(Batters[[#All],[EYE P]],MATCH(Table5[[#This Row],[PID]],Batters[[#All],[PID]],0)),INDEX(Table3[[#All],[VELO]],MATCH(Table5[[#This Row],[PID]],Table3[[#All],[PID]],0)))</f>
        <v>5</v>
      </c>
      <c r="P634" s="56">
        <f>IF($C634="B",INDEX(Batters[[#All],[K P]],MATCH(Table5[[#This Row],[PID]],Batters[[#All],[PID]],0)),INDEX(Table3[[#All],[STM]],MATCH(Table5[[#This Row],[PID]],Table3[[#All],[PID]],0)))</f>
        <v>4</v>
      </c>
      <c r="Q634" s="61">
        <f>IF($C634="B",INDEX(Batters[[#All],[Tot]],MATCH(Table5[[#This Row],[PID]],Batters[[#All],[PID]],0)),INDEX(Table3[[#All],[Tot]],MATCH(Table5[[#This Row],[PID]],Table3[[#All],[PID]],0)))</f>
        <v>45.992116819469743</v>
      </c>
      <c r="R634" s="52">
        <f>IF($C634="B",INDEX(Batters[[#All],[zScore]],MATCH(Table5[[#This Row],[PID]],Batters[[#All],[PID]],0)),INDEX(Table3[[#All],[zScore]],MATCH(Table5[[#This Row],[PID]],Table3[[#All],[PID]],0)))</f>
        <v>0.41241383622046035</v>
      </c>
      <c r="S634" s="58" t="str">
        <f>IF($C634="B",INDEX(Batters[[#All],[DEM]],MATCH(Table5[[#This Row],[PID]],Batters[[#All],[PID]],0)),INDEX(Table3[[#All],[DEM]],MATCH(Table5[[#This Row],[PID]],Table3[[#All],[PID]],0)))</f>
        <v>$65k</v>
      </c>
      <c r="T634" s="62">
        <f>IF($C634="B",INDEX(Batters[[#All],[Rnk]],MATCH(Table5[[#This Row],[PID]],Batters[[#All],[PID]],0)),INDEX(Table3[[#All],[Rnk]],MATCH(Table5[[#This Row],[PID]],Table3[[#All],[PID]],0)))</f>
        <v>161</v>
      </c>
      <c r="U634" s="68">
        <f>IF($C634="B",VLOOKUP($A634,Bat!$A$4:$BA$1621,47,FALSE),VLOOKUP($A634,Pit!$A$4:$BF$1557,56,FALSE))</f>
        <v>0</v>
      </c>
      <c r="V634" s="50">
        <f>IF($C634="B",VLOOKUP($A634,Bat!$A$4:$BA$1621,48,FALSE),VLOOKUP($A634,Pit!$A$4:$BF$1557,57,FALSE))</f>
        <v>0</v>
      </c>
      <c r="W634" s="50">
        <f>Table5[[#This Row],[posRnk]]+Table5[[#This Row],[zRnk]]+IF($W$3&lt;&gt;Table5[[#This Row],[Type]],50,0)</f>
        <v>599</v>
      </c>
      <c r="X634" s="51">
        <f>RANK(Table5[[#This Row],[zScore]],Table5[[#All],[zScore]])</f>
        <v>388</v>
      </c>
      <c r="Y634" s="50" t="str">
        <f>IFERROR(INDEX(DraftResults[[#All],[OVR]],MATCH(Table5[[#This Row],[PID]],DraftResults[[#All],[Player ID]],0)),"")</f>
        <v/>
      </c>
      <c r="Z6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4" s="50" t="str">
        <f>IFERROR(INDEX(DraftResults[[#All],[Pick in Round]],MATCH(Table5[[#This Row],[PID]],DraftResults[[#All],[Player ID]],0)),"")</f>
        <v/>
      </c>
      <c r="AB634" s="50" t="str">
        <f>IFERROR(INDEX(DraftResults[[#All],[Team Name]],MATCH(Table5[[#This Row],[PID]],DraftResults[[#All],[Player ID]],0)),"")</f>
        <v/>
      </c>
      <c r="AC634" s="50" t="str">
        <f>IF(Table5[[#This Row],[Ovr]]="","",IF(Table5[[#This Row],[cmbList]]="","",Table5[[#This Row],[cmbList]]-Table5[[#This Row],[Ovr]]))</f>
        <v/>
      </c>
      <c r="AD634" s="54" t="str">
        <f>IF(ISERROR(VLOOKUP($AB634&amp;"-"&amp;$E634&amp;" "&amp;F634,Bonuses!$B$1:$G$1006,4,FALSE)),"",INT(VLOOKUP($AB634&amp;"-"&amp;$E634&amp;" "&amp;$F634,Bonuses!$B$1:$G$1006,4,FALSE)))</f>
        <v/>
      </c>
      <c r="AE6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5" spans="1:31" s="50" customFormat="1" x14ac:dyDescent="0.25">
      <c r="A635" s="50">
        <v>20435</v>
      </c>
      <c r="B635" s="50">
        <f>COUNTIF(Table5[PID],A635)</f>
        <v>1</v>
      </c>
      <c r="C635" s="50" t="str">
        <f>IF(COUNTIF(Table3[[#All],[PID]],A635)&gt;0,"P","B")</f>
        <v>P</v>
      </c>
      <c r="D635" s="59" t="str">
        <f>IF($C635="B",INDEX(Batters[[#All],[POS]],MATCH(Table5[[#This Row],[PID]],Batters[[#All],[PID]],0)),INDEX(Table3[[#All],[POS]],MATCH(Table5[[#This Row],[PID]],Table3[[#All],[PID]],0)))</f>
        <v>RP</v>
      </c>
      <c r="E635" s="52" t="str">
        <f>IF($C635="B",INDEX(Batters[[#All],[First]],MATCH(Table5[[#This Row],[PID]],Batters[[#All],[PID]],0)),INDEX(Table3[[#All],[First]],MATCH(Table5[[#This Row],[PID]],Table3[[#All],[PID]],0)))</f>
        <v>Hiang-ta</v>
      </c>
      <c r="F635" s="50" t="str">
        <f>IF($C635="B",INDEX(Batters[[#All],[Last]],MATCH(A635,Batters[[#All],[PID]],0)),INDEX(Table3[[#All],[Last]],MATCH(A635,Table3[[#All],[PID]],0)))</f>
        <v>Mai</v>
      </c>
      <c r="G635" s="56">
        <f>IF($C635="B",INDEX(Batters[[#All],[Age]],MATCH(Table5[[#This Row],[PID]],Batters[[#All],[PID]],0)),INDEX(Table3[[#All],[Age]],MATCH(Table5[[#This Row],[PID]],Table3[[#All],[PID]],0)))</f>
        <v>18</v>
      </c>
      <c r="H635" s="52" t="str">
        <f>IF($C635="B",INDEX(Batters[[#All],[B]],MATCH(Table5[[#This Row],[PID]],Batters[[#All],[PID]],0)),INDEX(Table3[[#All],[B]],MATCH(Table5[[#This Row],[PID]],Table3[[#All],[PID]],0)))</f>
        <v>S</v>
      </c>
      <c r="I635" s="52" t="str">
        <f>IF($C635="B",INDEX(Batters[[#All],[T]],MATCH(Table5[[#This Row],[PID]],Batters[[#All],[PID]],0)),INDEX(Table3[[#All],[T]],MATCH(Table5[[#This Row],[PID]],Table3[[#All],[PID]],0)))</f>
        <v>R</v>
      </c>
      <c r="J635" s="52" t="str">
        <f>IF($C635="B",INDEX(Batters[[#All],[WE]],MATCH(Table5[[#This Row],[PID]],Batters[[#All],[PID]],0)),INDEX(Table3[[#All],[WE]],MATCH(Table5[[#This Row],[PID]],Table3[[#All],[PID]],0)))</f>
        <v>Low</v>
      </c>
      <c r="K635" s="52" t="str">
        <f>IF($C635="B",INDEX(Batters[[#All],[INT]],MATCH(Table5[[#This Row],[PID]],Batters[[#All],[PID]],0)),INDEX(Table3[[#All],[INT]],MATCH(Table5[[#This Row],[PID]],Table3[[#All],[PID]],0)))</f>
        <v>Low</v>
      </c>
      <c r="L635" s="60">
        <f>IF($C635="B",INDEX(Batters[[#All],[CON P]],MATCH(Table5[[#This Row],[PID]],Batters[[#All],[PID]],0)),INDEX(Table3[[#All],[STU P]],MATCH(Table5[[#This Row],[PID]],Table3[[#All],[PID]],0)))</f>
        <v>5</v>
      </c>
      <c r="M635" s="56">
        <f>IF($C635="B",INDEX(Batters[[#All],[GAP P]],MATCH(Table5[[#This Row],[PID]],Batters[[#All],[PID]],0)),INDEX(Table3[[#All],[MOV P]],MATCH(Table5[[#This Row],[PID]],Table3[[#All],[PID]],0)))</f>
        <v>3</v>
      </c>
      <c r="N635" s="56">
        <f>IF($C635="B",INDEX(Batters[[#All],[POW P]],MATCH(Table5[[#This Row],[PID]],Batters[[#All],[PID]],0)),INDEX(Table3[[#All],[CON P]],MATCH(Table5[[#This Row],[PID]],Table3[[#All],[PID]],0)))</f>
        <v>3</v>
      </c>
      <c r="O635" s="56" t="str">
        <f>IF($C635="B",INDEX(Batters[[#All],[EYE P]],MATCH(Table5[[#This Row],[PID]],Batters[[#All],[PID]],0)),INDEX(Table3[[#All],[VELO]],MATCH(Table5[[#This Row],[PID]],Table3[[#All],[PID]],0)))</f>
        <v>89-91 Mph</v>
      </c>
      <c r="P635" s="56">
        <f>IF($C635="B",INDEX(Batters[[#All],[K P]],MATCH(Table5[[#This Row],[PID]],Batters[[#All],[PID]],0)),INDEX(Table3[[#All],[STM]],MATCH(Table5[[#This Row],[PID]],Table3[[#All],[PID]],0)))</f>
        <v>1</v>
      </c>
      <c r="Q635" s="61">
        <f>IF($C635="B",INDEX(Batters[[#All],[Tot]],MATCH(Table5[[#This Row],[PID]],Batters[[#All],[PID]],0)),INDEX(Table3[[#All],[Tot]],MATCH(Table5[[#This Row],[PID]],Table3[[#All],[PID]],0)))</f>
        <v>41.365159863936839</v>
      </c>
      <c r="R635" s="52">
        <f>IF($C635="B",INDEX(Batters[[#All],[zScore]],MATCH(Table5[[#This Row],[PID]],Batters[[#All],[PID]],0)),INDEX(Table3[[#All],[zScore]],MATCH(Table5[[#This Row],[PID]],Table3[[#All],[PID]],0)))</f>
        <v>0.36554959170834239</v>
      </c>
      <c r="S635" s="58" t="str">
        <f>IF($C635="B",INDEX(Batters[[#All],[DEM]],MATCH(Table5[[#This Row],[PID]],Batters[[#All],[PID]],0)),INDEX(Table3[[#All],[DEM]],MATCH(Table5[[#This Row],[PID]],Table3[[#All],[PID]],0)))</f>
        <v>$70k</v>
      </c>
      <c r="T635" s="62">
        <f>IF($C635="B",INDEX(Batters[[#All],[Rnk]],MATCH(Table5[[#This Row],[PID]],Batters[[#All],[PID]],0)),INDEX(Table3[[#All],[Rnk]],MATCH(Table5[[#This Row],[PID]],Table3[[#All],[PID]],0)))</f>
        <v>232</v>
      </c>
      <c r="U635" s="68">
        <f>IF($C635="B",VLOOKUP($A635,Bat!$A$4:$BA$1621,47,FALSE),VLOOKUP($A635,Pit!$A$4:$BF$1557,56,FALSE))</f>
        <v>0</v>
      </c>
      <c r="V635" s="50">
        <f>IF($C635="B",VLOOKUP($A635,Bat!$A$4:$BA$1621,48,FALSE),VLOOKUP($A635,Pit!$A$4:$BF$1557,57,FALSE))</f>
        <v>0</v>
      </c>
      <c r="W635" s="50">
        <f>Table5[[#This Row],[posRnk]]+Table5[[#This Row],[zRnk]]+IF($W$3&lt;&gt;Table5[[#This Row],[Type]],50,0)</f>
        <v>678</v>
      </c>
      <c r="X635" s="51">
        <f>RANK(Table5[[#This Row],[zScore]],Table5[[#All],[zScore]])</f>
        <v>396</v>
      </c>
      <c r="Y635" s="50" t="str">
        <f>IFERROR(INDEX(DraftResults[[#All],[OVR]],MATCH(Table5[[#This Row],[PID]],DraftResults[[#All],[Player ID]],0)),"")</f>
        <v/>
      </c>
      <c r="Z6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5" s="50" t="str">
        <f>IFERROR(INDEX(DraftResults[[#All],[Pick in Round]],MATCH(Table5[[#This Row],[PID]],DraftResults[[#All],[Player ID]],0)),"")</f>
        <v/>
      </c>
      <c r="AB635" s="50" t="str">
        <f>IFERROR(INDEX(DraftResults[[#All],[Team Name]],MATCH(Table5[[#This Row],[PID]],DraftResults[[#All],[Player ID]],0)),"")</f>
        <v/>
      </c>
      <c r="AC635" s="50" t="str">
        <f>IF(Table5[[#This Row],[Ovr]]="","",IF(Table5[[#This Row],[cmbList]]="","",Table5[[#This Row],[cmbList]]-Table5[[#This Row],[Ovr]]))</f>
        <v/>
      </c>
      <c r="AD635" s="54" t="str">
        <f>IF(ISERROR(VLOOKUP($AB635&amp;"-"&amp;$E635&amp;" "&amp;F635,Bonuses!$B$1:$G$1006,4,FALSE)),"",INT(VLOOKUP($AB635&amp;"-"&amp;$E635&amp;" "&amp;$F635,Bonuses!$B$1:$G$1006,4,FALSE)))</f>
        <v/>
      </c>
      <c r="AE6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6" spans="1:31" s="50" customFormat="1" x14ac:dyDescent="0.25">
      <c r="A636" s="68">
        <v>18328</v>
      </c>
      <c r="B636" s="69">
        <f>COUNTIF(Table5[PID],A636)</f>
        <v>1</v>
      </c>
      <c r="C636" s="69" t="str">
        <f>IF(COUNTIF(Table3[[#All],[PID]],A636)&gt;0,"P","B")</f>
        <v>P</v>
      </c>
      <c r="D636" s="59" t="str">
        <f>IF($C636="B",INDEX(Batters[[#All],[POS]],MATCH(Table5[[#This Row],[PID]],Batters[[#All],[PID]],0)),INDEX(Table3[[#All],[POS]],MATCH(Table5[[#This Row],[PID]],Table3[[#All],[PID]],0)))</f>
        <v>SP</v>
      </c>
      <c r="E636" s="52" t="str">
        <f>IF($C636="B",INDEX(Batters[[#All],[First]],MATCH(Table5[[#This Row],[PID]],Batters[[#All],[PID]],0)),INDEX(Table3[[#All],[First]],MATCH(Table5[[#This Row],[PID]],Table3[[#All],[PID]],0)))</f>
        <v>Richard</v>
      </c>
      <c r="F636" s="55" t="str">
        <f>IF($C636="B",INDEX(Batters[[#All],[Last]],MATCH(A636,Batters[[#All],[PID]],0)),INDEX(Table3[[#All],[Last]],MATCH(A636,Table3[[#All],[PID]],0)))</f>
        <v>Lawman</v>
      </c>
      <c r="G636" s="56">
        <f>IF($C636="B",INDEX(Batters[[#All],[Age]],MATCH(Table5[[#This Row],[PID]],Batters[[#All],[PID]],0)),INDEX(Table3[[#All],[Age]],MATCH(Table5[[#This Row],[PID]],Table3[[#All],[PID]],0)))</f>
        <v>18</v>
      </c>
      <c r="H636" s="52" t="str">
        <f>IF($C636="B",INDEX(Batters[[#All],[B]],MATCH(Table5[[#This Row],[PID]],Batters[[#All],[PID]],0)),INDEX(Table3[[#All],[B]],MATCH(Table5[[#This Row],[PID]],Table3[[#All],[PID]],0)))</f>
        <v>R</v>
      </c>
      <c r="I636" s="52" t="str">
        <f>IF($C636="B",INDEX(Batters[[#All],[T]],MATCH(Table5[[#This Row],[PID]],Batters[[#All],[PID]],0)),INDEX(Table3[[#All],[T]],MATCH(Table5[[#This Row],[PID]],Table3[[#All],[PID]],0)))</f>
        <v>R</v>
      </c>
      <c r="J636" s="71" t="str">
        <f>IF($C636="B",INDEX(Batters[[#All],[WE]],MATCH(Table5[[#This Row],[PID]],Batters[[#All],[PID]],0)),INDEX(Table3[[#All],[WE]],MATCH(Table5[[#This Row],[PID]],Table3[[#All],[PID]],0)))</f>
        <v>Normal</v>
      </c>
      <c r="K636" s="52" t="str">
        <f>IF($C636="B",INDEX(Batters[[#All],[INT]],MATCH(Table5[[#This Row],[PID]],Batters[[#All],[PID]],0)),INDEX(Table3[[#All],[INT]],MATCH(Table5[[#This Row],[PID]],Table3[[#All],[PID]],0)))</f>
        <v>Low</v>
      </c>
      <c r="L636" s="60">
        <f>IF($C636="B",INDEX(Batters[[#All],[CON P]],MATCH(Table5[[#This Row],[PID]],Batters[[#All],[PID]],0)),INDEX(Table3[[#All],[STU P]],MATCH(Table5[[#This Row],[PID]],Table3[[#All],[PID]],0)))</f>
        <v>4</v>
      </c>
      <c r="M636" s="72">
        <f>IF($C636="B",INDEX(Batters[[#All],[GAP P]],MATCH(Table5[[#This Row],[PID]],Batters[[#All],[PID]],0)),INDEX(Table3[[#All],[MOV P]],MATCH(Table5[[#This Row],[PID]],Table3[[#All],[PID]],0)))</f>
        <v>2</v>
      </c>
      <c r="N636" s="72">
        <f>IF($C636="B",INDEX(Batters[[#All],[POW P]],MATCH(Table5[[#This Row],[PID]],Batters[[#All],[PID]],0)),INDEX(Table3[[#All],[CON P]],MATCH(Table5[[#This Row],[PID]],Table3[[#All],[PID]],0)))</f>
        <v>4</v>
      </c>
      <c r="O636" s="72" t="str">
        <f>IF($C636="B",INDEX(Batters[[#All],[EYE P]],MATCH(Table5[[#This Row],[PID]],Batters[[#All],[PID]],0)),INDEX(Table3[[#All],[VELO]],MATCH(Table5[[#This Row],[PID]],Table3[[#All],[PID]],0)))</f>
        <v>88-90 Mph</v>
      </c>
      <c r="P636" s="56">
        <f>IF($C636="B",INDEX(Batters[[#All],[K P]],MATCH(Table5[[#This Row],[PID]],Batters[[#All],[PID]],0)),INDEX(Table3[[#All],[STM]],MATCH(Table5[[#This Row],[PID]],Table3[[#All],[PID]],0)))</f>
        <v>6</v>
      </c>
      <c r="Q636" s="61">
        <f>IF($C636="B",INDEX(Batters[[#All],[Tot]],MATCH(Table5[[#This Row],[PID]],Batters[[#All],[PID]],0)),INDEX(Table3[[#All],[Tot]],MATCH(Table5[[#This Row],[PID]],Table3[[#All],[PID]],0)))</f>
        <v>41.068356144302946</v>
      </c>
      <c r="R636" s="52">
        <f>IF($C636="B",INDEX(Batters[[#All],[zScore]],MATCH(Table5[[#This Row],[PID]],Batters[[#All],[PID]],0)),INDEX(Table3[[#All],[zScore]],MATCH(Table5[[#This Row],[PID]],Table3[[#All],[PID]],0)))</f>
        <v>0.34580369378948789</v>
      </c>
      <c r="S636" s="78" t="str">
        <f>IF($C636="B",INDEX(Batters[[#All],[DEM]],MATCH(Table5[[#This Row],[PID]],Batters[[#All],[PID]],0)),INDEX(Table3[[#All],[DEM]],MATCH(Table5[[#This Row],[PID]],Table3[[#All],[PID]],0)))</f>
        <v>$65k</v>
      </c>
      <c r="T636" s="75">
        <f>IF($C636="B",INDEX(Batters[[#All],[Rnk]],MATCH(Table5[[#This Row],[PID]],Batters[[#All],[PID]],0)),INDEX(Table3[[#All],[Rnk]],MATCH(Table5[[#This Row],[PID]],Table3[[#All],[PID]],0)))</f>
        <v>234</v>
      </c>
      <c r="U636" s="68">
        <f>IF($C636="B",VLOOKUP($A636,Bat!$A$4:$BA$1621,47,FALSE),VLOOKUP($A636,Pit!$A$4:$BF$1557,56,FALSE))</f>
        <v>0</v>
      </c>
      <c r="V636" s="50">
        <f>IF($C636="B",VLOOKUP($A636,Bat!$A$4:$BA$1621,48,FALSE),VLOOKUP($A636,Pit!$A$4:$BF$1557,57,FALSE))</f>
        <v>0</v>
      </c>
      <c r="W636" s="69">
        <f>Table5[[#This Row],[posRnk]]+Table5[[#This Row],[zRnk]]+IF($W$3&lt;&gt;Table5[[#This Row],[Type]],50,0)</f>
        <v>686</v>
      </c>
      <c r="X636" s="73">
        <f>RANK(Table5[[#This Row],[zScore]],Table5[[#All],[zScore]])</f>
        <v>402</v>
      </c>
      <c r="Y636" s="69" t="str">
        <f>IFERROR(INDEX(DraftResults[[#All],[OVR]],MATCH(Table5[[#This Row],[PID]],DraftResults[[#All],[Player ID]],0)),"")</f>
        <v/>
      </c>
      <c r="Z63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6" s="69" t="str">
        <f>IFERROR(INDEX(DraftResults[[#All],[Pick in Round]],MATCH(Table5[[#This Row],[PID]],DraftResults[[#All],[Player ID]],0)),"")</f>
        <v/>
      </c>
      <c r="AB636" s="69" t="str">
        <f>IFERROR(INDEX(DraftResults[[#All],[Team Name]],MATCH(Table5[[#This Row],[PID]],DraftResults[[#All],[Player ID]],0)),"")</f>
        <v/>
      </c>
      <c r="AC636" s="69" t="str">
        <f>IF(Table5[[#This Row],[Ovr]]="","",IF(Table5[[#This Row],[cmbList]]="","",Table5[[#This Row],[cmbList]]-Table5[[#This Row],[Ovr]]))</f>
        <v/>
      </c>
      <c r="AD636" s="77" t="str">
        <f>IF(ISERROR(VLOOKUP($AB636&amp;"-"&amp;$E636&amp;" "&amp;F636,Bonuses!$B$1:$G$1006,4,FALSE)),"",INT(VLOOKUP($AB636&amp;"-"&amp;$E636&amp;" "&amp;$F636,Bonuses!$B$1:$G$1006,4,FALSE)))</f>
        <v/>
      </c>
      <c r="AE63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7" spans="1:31" s="50" customFormat="1" x14ac:dyDescent="0.25">
      <c r="A637" s="50">
        <v>20355</v>
      </c>
      <c r="B637" s="50">
        <f>COUNTIF(Table5[PID],A637)</f>
        <v>1</v>
      </c>
      <c r="C637" s="50" t="str">
        <f>IF(COUNTIF(Table3[[#All],[PID]],A637)&gt;0,"P","B")</f>
        <v>P</v>
      </c>
      <c r="D637" s="59" t="str">
        <f>IF($C637="B",INDEX(Batters[[#All],[POS]],MATCH(Table5[[#This Row],[PID]],Batters[[#All],[PID]],0)),INDEX(Table3[[#All],[POS]],MATCH(Table5[[#This Row],[PID]],Table3[[#All],[PID]],0)))</f>
        <v>RP</v>
      </c>
      <c r="E637" s="52" t="str">
        <f>IF($C637="B",INDEX(Batters[[#All],[First]],MATCH(Table5[[#This Row],[PID]],Batters[[#All],[PID]],0)),INDEX(Table3[[#All],[First]],MATCH(Table5[[#This Row],[PID]],Table3[[#All],[PID]],0)))</f>
        <v>Doug</v>
      </c>
      <c r="F637" s="50" t="str">
        <f>IF($C637="B",INDEX(Batters[[#All],[Last]],MATCH(A637,Batters[[#All],[PID]],0)),INDEX(Table3[[#All],[Last]],MATCH(A637,Table3[[#All],[PID]],0)))</f>
        <v>Fuller</v>
      </c>
      <c r="G637" s="56">
        <f>IF($C637="B",INDEX(Batters[[#All],[Age]],MATCH(Table5[[#This Row],[PID]],Batters[[#All],[PID]],0)),INDEX(Table3[[#All],[Age]],MATCH(Table5[[#This Row],[PID]],Table3[[#All],[PID]],0)))</f>
        <v>18</v>
      </c>
      <c r="H637" s="52" t="str">
        <f>IF($C637="B",INDEX(Batters[[#All],[B]],MATCH(Table5[[#This Row],[PID]],Batters[[#All],[PID]],0)),INDEX(Table3[[#All],[B]],MATCH(Table5[[#This Row],[PID]],Table3[[#All],[PID]],0)))</f>
        <v>L</v>
      </c>
      <c r="I637" s="52" t="str">
        <f>IF($C637="B",INDEX(Batters[[#All],[T]],MATCH(Table5[[#This Row],[PID]],Batters[[#All],[PID]],0)),INDEX(Table3[[#All],[T]],MATCH(Table5[[#This Row],[PID]],Table3[[#All],[PID]],0)))</f>
        <v>L</v>
      </c>
      <c r="J637" s="52" t="str">
        <f>IF($C637="B",INDEX(Batters[[#All],[WE]],MATCH(Table5[[#This Row],[PID]],Batters[[#All],[PID]],0)),INDEX(Table3[[#All],[WE]],MATCH(Table5[[#This Row],[PID]],Table3[[#All],[PID]],0)))</f>
        <v>Low</v>
      </c>
      <c r="K637" s="52" t="str">
        <f>IF($C637="B",INDEX(Batters[[#All],[INT]],MATCH(Table5[[#This Row],[PID]],Batters[[#All],[PID]],0)),INDEX(Table3[[#All],[INT]],MATCH(Table5[[#This Row],[PID]],Table3[[#All],[PID]],0)))</f>
        <v>Normal</v>
      </c>
      <c r="L637" s="60">
        <f>IF($C637="B",INDEX(Batters[[#All],[CON P]],MATCH(Table5[[#This Row],[PID]],Batters[[#All],[PID]],0)),INDEX(Table3[[#All],[STU P]],MATCH(Table5[[#This Row],[PID]],Table3[[#All],[PID]],0)))</f>
        <v>5</v>
      </c>
      <c r="M637" s="56">
        <f>IF($C637="B",INDEX(Batters[[#All],[GAP P]],MATCH(Table5[[#This Row],[PID]],Batters[[#All],[PID]],0)),INDEX(Table3[[#All],[MOV P]],MATCH(Table5[[#This Row],[PID]],Table3[[#All],[PID]],0)))</f>
        <v>2</v>
      </c>
      <c r="N637" s="56">
        <f>IF($C637="B",INDEX(Batters[[#All],[POW P]],MATCH(Table5[[#This Row],[PID]],Batters[[#All],[PID]],0)),INDEX(Table3[[#All],[CON P]],MATCH(Table5[[#This Row],[PID]],Table3[[#All],[PID]],0)))</f>
        <v>4</v>
      </c>
      <c r="O637" s="56" t="str">
        <f>IF($C637="B",INDEX(Batters[[#All],[EYE P]],MATCH(Table5[[#This Row],[PID]],Batters[[#All],[PID]],0)),INDEX(Table3[[#All],[VELO]],MATCH(Table5[[#This Row],[PID]],Table3[[#All],[PID]],0)))</f>
        <v>88-90 Mph</v>
      </c>
      <c r="P637" s="56">
        <f>IF($C637="B",INDEX(Batters[[#All],[K P]],MATCH(Table5[[#This Row],[PID]],Batters[[#All],[PID]],0)),INDEX(Table3[[#All],[STM]],MATCH(Table5[[#This Row],[PID]],Table3[[#All],[PID]],0)))</f>
        <v>1</v>
      </c>
      <c r="Q637" s="61">
        <f>IF($C637="B",INDEX(Batters[[#All],[Tot]],MATCH(Table5[[#This Row],[PID]],Batters[[#All],[PID]],0)),INDEX(Table3[[#All],[Tot]],MATCH(Table5[[#This Row],[PID]],Table3[[#All],[PID]],0)))</f>
        <v>42.55604800679388</v>
      </c>
      <c r="R637" s="52">
        <f>IF($C637="B",INDEX(Batters[[#All],[zScore]],MATCH(Table5[[#This Row],[PID]],Batters[[#All],[PID]],0)),INDEX(Table3[[#All],[zScore]],MATCH(Table5[[#This Row],[PID]],Table3[[#All],[PID]],0)))</f>
        <v>0.32552921473106788</v>
      </c>
      <c r="S637" s="58" t="str">
        <f>IF($C637="B",INDEX(Batters[[#All],[DEM]],MATCH(Table5[[#This Row],[PID]],Batters[[#All],[PID]],0)),INDEX(Table3[[#All],[DEM]],MATCH(Table5[[#This Row],[PID]],Table3[[#All],[PID]],0)))</f>
        <v>$65k</v>
      </c>
      <c r="T637" s="62">
        <f>IF($C637="B",INDEX(Batters[[#All],[Rnk]],MATCH(Table5[[#This Row],[PID]],Batters[[#All],[PID]],0)),INDEX(Table3[[#All],[Rnk]],MATCH(Table5[[#This Row],[PID]],Table3[[#All],[PID]],0)))</f>
        <v>239</v>
      </c>
      <c r="U637" s="68">
        <f>IF($C637="B",VLOOKUP($A637,Bat!$A$4:$BA$1621,47,FALSE),VLOOKUP($A637,Pit!$A$4:$BF$1557,56,FALSE))</f>
        <v>0</v>
      </c>
      <c r="V637" s="50">
        <f>IF($C637="B",VLOOKUP($A637,Bat!$A$4:$BA$1621,48,FALSE),VLOOKUP($A637,Pit!$A$4:$BF$1557,57,FALSE))</f>
        <v>0</v>
      </c>
      <c r="W637" s="50">
        <f>Table5[[#This Row],[posRnk]]+Table5[[#This Row],[zRnk]]+IF($W$3&lt;&gt;Table5[[#This Row],[Type]],50,0)</f>
        <v>700</v>
      </c>
      <c r="X637" s="51">
        <f>RANK(Table5[[#This Row],[zScore]],Table5[[#All],[zScore]])</f>
        <v>411</v>
      </c>
      <c r="Y637" s="50" t="str">
        <f>IFERROR(INDEX(DraftResults[[#All],[OVR]],MATCH(Table5[[#This Row],[PID]],DraftResults[[#All],[Player ID]],0)),"")</f>
        <v/>
      </c>
      <c r="Z6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7" s="50" t="str">
        <f>IFERROR(INDEX(DraftResults[[#All],[Pick in Round]],MATCH(Table5[[#This Row],[PID]],DraftResults[[#All],[Player ID]],0)),"")</f>
        <v/>
      </c>
      <c r="AB637" s="50" t="str">
        <f>IFERROR(INDEX(DraftResults[[#All],[Team Name]],MATCH(Table5[[#This Row],[PID]],DraftResults[[#All],[Player ID]],0)),"")</f>
        <v/>
      </c>
      <c r="AC637" s="50" t="str">
        <f>IF(Table5[[#This Row],[Ovr]]="","",IF(Table5[[#This Row],[cmbList]]="","",Table5[[#This Row],[cmbList]]-Table5[[#This Row],[Ovr]]))</f>
        <v/>
      </c>
      <c r="AD637" s="54" t="str">
        <f>IF(ISERROR(VLOOKUP($AB637&amp;"-"&amp;$E637&amp;" "&amp;F637,Bonuses!$B$1:$G$1006,4,FALSE)),"",INT(VLOOKUP($AB637&amp;"-"&amp;$E637&amp;" "&amp;$F637,Bonuses!$B$1:$G$1006,4,FALSE)))</f>
        <v/>
      </c>
      <c r="AE6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8" spans="1:31" s="50" customFormat="1" x14ac:dyDescent="0.25">
      <c r="A638" s="68">
        <v>18095</v>
      </c>
      <c r="B638" s="69">
        <f>COUNTIF(Table5[PID],A638)</f>
        <v>1</v>
      </c>
      <c r="C638" s="69" t="str">
        <f>IF(COUNTIF(Table3[[#All],[PID]],A638)&gt;0,"P","B")</f>
        <v>P</v>
      </c>
      <c r="D638" s="59" t="str">
        <f>IF($C638="B",INDEX(Batters[[#All],[POS]],MATCH(Table5[[#This Row],[PID]],Batters[[#All],[PID]],0)),INDEX(Table3[[#All],[POS]],MATCH(Table5[[#This Row],[PID]],Table3[[#All],[PID]],0)))</f>
        <v>SP</v>
      </c>
      <c r="E638" s="52" t="str">
        <f>IF($C638="B",INDEX(Batters[[#All],[First]],MATCH(Table5[[#This Row],[PID]],Batters[[#All],[PID]],0)),INDEX(Table3[[#All],[First]],MATCH(Table5[[#This Row],[PID]],Table3[[#All],[PID]],0)))</f>
        <v>Justin</v>
      </c>
      <c r="F638" s="55" t="str">
        <f>IF($C638="B",INDEX(Batters[[#All],[Last]],MATCH(A638,Batters[[#All],[PID]],0)),INDEX(Table3[[#All],[Last]],MATCH(A638,Table3[[#All],[PID]],0)))</f>
        <v>Daniels</v>
      </c>
      <c r="G638" s="56">
        <f>IF($C638="B",INDEX(Batters[[#All],[Age]],MATCH(Table5[[#This Row],[PID]],Batters[[#All],[PID]],0)),INDEX(Table3[[#All],[Age]],MATCH(Table5[[#This Row],[PID]],Table3[[#All],[PID]],0)))</f>
        <v>21</v>
      </c>
      <c r="H638" s="52" t="str">
        <f>IF($C638="B",INDEX(Batters[[#All],[B]],MATCH(Table5[[#This Row],[PID]],Batters[[#All],[PID]],0)),INDEX(Table3[[#All],[B]],MATCH(Table5[[#This Row],[PID]],Table3[[#All],[PID]],0)))</f>
        <v>R</v>
      </c>
      <c r="I638" s="52" t="str">
        <f>IF($C638="B",INDEX(Batters[[#All],[T]],MATCH(Table5[[#This Row],[PID]],Batters[[#All],[PID]],0)),INDEX(Table3[[#All],[T]],MATCH(Table5[[#This Row],[PID]],Table3[[#All],[PID]],0)))</f>
        <v>R</v>
      </c>
      <c r="J638" s="71" t="str">
        <f>IF($C638="B",INDEX(Batters[[#All],[WE]],MATCH(Table5[[#This Row],[PID]],Batters[[#All],[PID]],0)),INDEX(Table3[[#All],[WE]],MATCH(Table5[[#This Row],[PID]],Table3[[#All],[PID]],0)))</f>
        <v>Normal</v>
      </c>
      <c r="K638" s="52" t="str">
        <f>IF($C638="B",INDEX(Batters[[#All],[INT]],MATCH(Table5[[#This Row],[PID]],Batters[[#All],[PID]],0)),INDEX(Table3[[#All],[INT]],MATCH(Table5[[#This Row],[PID]],Table3[[#All],[PID]],0)))</f>
        <v>Normal</v>
      </c>
      <c r="L638" s="60">
        <f>IF($C638="B",INDEX(Batters[[#All],[CON P]],MATCH(Table5[[#This Row],[PID]],Batters[[#All],[PID]],0)),INDEX(Table3[[#All],[STU P]],MATCH(Table5[[#This Row],[PID]],Table3[[#All],[PID]],0)))</f>
        <v>5</v>
      </c>
      <c r="M638" s="72">
        <f>IF($C638="B",INDEX(Batters[[#All],[GAP P]],MATCH(Table5[[#This Row],[PID]],Batters[[#All],[PID]],0)),INDEX(Table3[[#All],[MOV P]],MATCH(Table5[[#This Row],[PID]],Table3[[#All],[PID]],0)))</f>
        <v>3</v>
      </c>
      <c r="N638" s="72">
        <f>IF($C638="B",INDEX(Batters[[#All],[POW P]],MATCH(Table5[[#This Row],[PID]],Batters[[#All],[PID]],0)),INDEX(Table3[[#All],[CON P]],MATCH(Table5[[#This Row],[PID]],Table3[[#All],[PID]],0)))</f>
        <v>3</v>
      </c>
      <c r="O638" s="72" t="str">
        <f>IF($C638="B",INDEX(Batters[[#All],[EYE P]],MATCH(Table5[[#This Row],[PID]],Batters[[#All],[PID]],0)),INDEX(Table3[[#All],[VELO]],MATCH(Table5[[#This Row],[PID]],Table3[[#All],[PID]],0)))</f>
        <v>93-95 Mph</v>
      </c>
      <c r="P638" s="56">
        <f>IF($C638="B",INDEX(Batters[[#All],[K P]],MATCH(Table5[[#This Row],[PID]],Batters[[#All],[PID]],0)),INDEX(Table3[[#All],[STM]],MATCH(Table5[[#This Row],[PID]],Table3[[#All],[PID]],0)))</f>
        <v>6</v>
      </c>
      <c r="Q638" s="61">
        <f>IF($C638="B",INDEX(Batters[[#All],[Tot]],MATCH(Table5[[#This Row],[PID]],Batters[[#All],[PID]],0)),INDEX(Table3[[#All],[Tot]],MATCH(Table5[[#This Row],[PID]],Table3[[#All],[PID]],0)))</f>
        <v>40.530985764676821</v>
      </c>
      <c r="R638" s="52">
        <f>IF($C638="B",INDEX(Batters[[#All],[zScore]],MATCH(Table5[[#This Row],[PID]],Batters[[#All],[PID]],0)),INDEX(Table3[[#All],[zScore]],MATCH(Table5[[#This Row],[PID]],Table3[[#All],[PID]],0)))</f>
        <v>0.31005326359339036</v>
      </c>
      <c r="S638" s="78" t="str">
        <f>IF($C638="B",INDEX(Batters[[#All],[DEM]],MATCH(Table5[[#This Row],[PID]],Batters[[#All],[PID]],0)),INDEX(Table3[[#All],[DEM]],MATCH(Table5[[#This Row],[PID]],Table3[[#All],[PID]],0)))</f>
        <v>$20k</v>
      </c>
      <c r="T638" s="75">
        <f>IF($C638="B",INDEX(Batters[[#All],[Rnk]],MATCH(Table5[[#This Row],[PID]],Batters[[#All],[PID]],0)),INDEX(Table3[[#All],[Rnk]],MATCH(Table5[[#This Row],[PID]],Table3[[#All],[PID]],0)))</f>
        <v>241</v>
      </c>
      <c r="U638" s="68">
        <f>IF($C638="B",VLOOKUP($A638,Bat!$A$4:$BA$1621,47,FALSE),VLOOKUP($A638,Pit!$A$4:$BF$1557,56,FALSE))</f>
        <v>0</v>
      </c>
      <c r="V638" s="50">
        <f>IF($C638="B",VLOOKUP($A638,Bat!$A$4:$BA$1621,48,FALSE),VLOOKUP($A638,Pit!$A$4:$BF$1557,57,FALSE))</f>
        <v>0</v>
      </c>
      <c r="W638" s="69">
        <f>Table5[[#This Row],[posRnk]]+Table5[[#This Row],[zRnk]]+IF($W$3&lt;&gt;Table5[[#This Row],[Type]],50,0)</f>
        <v>706</v>
      </c>
      <c r="X638" s="73">
        <f>RANK(Table5[[#This Row],[zScore]],Table5[[#All],[zScore]])</f>
        <v>415</v>
      </c>
      <c r="Y638" s="69" t="str">
        <f>IFERROR(INDEX(DraftResults[[#All],[OVR]],MATCH(Table5[[#This Row],[PID]],DraftResults[[#All],[Player ID]],0)),"")</f>
        <v/>
      </c>
      <c r="Z63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8" s="69" t="str">
        <f>IFERROR(INDEX(DraftResults[[#All],[Pick in Round]],MATCH(Table5[[#This Row],[PID]],DraftResults[[#All],[Player ID]],0)),"")</f>
        <v/>
      </c>
      <c r="AB638" s="69" t="str">
        <f>IFERROR(INDEX(DraftResults[[#All],[Team Name]],MATCH(Table5[[#This Row],[PID]],DraftResults[[#All],[Player ID]],0)),"")</f>
        <v/>
      </c>
      <c r="AC638" s="69" t="str">
        <f>IF(Table5[[#This Row],[Ovr]]="","",IF(Table5[[#This Row],[cmbList]]="","",Table5[[#This Row],[cmbList]]-Table5[[#This Row],[Ovr]]))</f>
        <v/>
      </c>
      <c r="AD638" s="77" t="str">
        <f>IF(ISERROR(VLOOKUP($AB638&amp;"-"&amp;$E638&amp;" "&amp;F638,Bonuses!$B$1:$G$1006,4,FALSE)),"",INT(VLOOKUP($AB638&amp;"-"&amp;$E638&amp;" "&amp;$F638,Bonuses!$B$1:$G$1006,4,FALSE)))</f>
        <v/>
      </c>
      <c r="AE63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39" spans="1:31" s="50" customFormat="1" x14ac:dyDescent="0.25">
      <c r="A639" s="68">
        <v>20782</v>
      </c>
      <c r="B639" s="69">
        <f>COUNTIF(Table5[PID],A639)</f>
        <v>1</v>
      </c>
      <c r="C639" s="69" t="str">
        <f>IF(COUNTIF(Table3[[#All],[PID]],A639)&gt;0,"P","B")</f>
        <v>P</v>
      </c>
      <c r="D639" s="59" t="str">
        <f>IF($C639="B",INDEX(Batters[[#All],[POS]],MATCH(Table5[[#This Row],[PID]],Batters[[#All],[PID]],0)),INDEX(Table3[[#All],[POS]],MATCH(Table5[[#This Row],[PID]],Table3[[#All],[PID]],0)))</f>
        <v>SP</v>
      </c>
      <c r="E639" s="52" t="str">
        <f>IF($C639="B",INDEX(Batters[[#All],[First]],MATCH(Table5[[#This Row],[PID]],Batters[[#All],[PID]],0)),INDEX(Table3[[#All],[First]],MATCH(Table5[[#This Row],[PID]],Table3[[#All],[PID]],0)))</f>
        <v>Karl</v>
      </c>
      <c r="F639" s="55" t="str">
        <f>IF($C639="B",INDEX(Batters[[#All],[Last]],MATCH(A639,Batters[[#All],[PID]],0)),INDEX(Table3[[#All],[Last]],MATCH(A639,Table3[[#All],[PID]],0)))</f>
        <v>Gonzáles</v>
      </c>
      <c r="G639" s="56">
        <f>IF($C639="B",INDEX(Batters[[#All],[Age]],MATCH(Table5[[#This Row],[PID]],Batters[[#All],[PID]],0)),INDEX(Table3[[#All],[Age]],MATCH(Table5[[#This Row],[PID]],Table3[[#All],[PID]],0)))</f>
        <v>18</v>
      </c>
      <c r="H639" s="52" t="str">
        <f>IF($C639="B",INDEX(Batters[[#All],[B]],MATCH(Table5[[#This Row],[PID]],Batters[[#All],[PID]],0)),INDEX(Table3[[#All],[B]],MATCH(Table5[[#This Row],[PID]],Table3[[#All],[PID]],0)))</f>
        <v>R</v>
      </c>
      <c r="I639" s="52" t="str">
        <f>IF($C639="B",INDEX(Batters[[#All],[T]],MATCH(Table5[[#This Row],[PID]],Batters[[#All],[PID]],0)),INDEX(Table3[[#All],[T]],MATCH(Table5[[#This Row],[PID]],Table3[[#All],[PID]],0)))</f>
        <v>R</v>
      </c>
      <c r="J639" s="71" t="str">
        <f>IF($C639="B",INDEX(Batters[[#All],[WE]],MATCH(Table5[[#This Row],[PID]],Batters[[#All],[PID]],0)),INDEX(Table3[[#All],[WE]],MATCH(Table5[[#This Row],[PID]],Table3[[#All],[PID]],0)))</f>
        <v>Normal</v>
      </c>
      <c r="K639" s="52" t="str">
        <f>IF($C639="B",INDEX(Batters[[#All],[INT]],MATCH(Table5[[#This Row],[PID]],Batters[[#All],[PID]],0)),INDEX(Table3[[#All],[INT]],MATCH(Table5[[#This Row],[PID]],Table3[[#All],[PID]],0)))</f>
        <v>Normal</v>
      </c>
      <c r="L639" s="60">
        <f>IF($C639="B",INDEX(Batters[[#All],[CON P]],MATCH(Table5[[#This Row],[PID]],Batters[[#All],[PID]],0)),INDEX(Table3[[#All],[STU P]],MATCH(Table5[[#This Row],[PID]],Table3[[#All],[PID]],0)))</f>
        <v>4</v>
      </c>
      <c r="M639" s="72">
        <f>IF($C639="B",INDEX(Batters[[#All],[GAP P]],MATCH(Table5[[#This Row],[PID]],Batters[[#All],[PID]],0)),INDEX(Table3[[#All],[MOV P]],MATCH(Table5[[#This Row],[PID]],Table3[[#All],[PID]],0)))</f>
        <v>3</v>
      </c>
      <c r="N639" s="72">
        <f>IF($C639="B",INDEX(Batters[[#All],[POW P]],MATCH(Table5[[#This Row],[PID]],Batters[[#All],[PID]],0)),INDEX(Table3[[#All],[CON P]],MATCH(Table5[[#This Row],[PID]],Table3[[#All],[PID]],0)))</f>
        <v>3</v>
      </c>
      <c r="O639" s="72" t="str">
        <f>IF($C639="B",INDEX(Batters[[#All],[EYE P]],MATCH(Table5[[#This Row],[PID]],Batters[[#All],[PID]],0)),INDEX(Table3[[#All],[VELO]],MATCH(Table5[[#This Row],[PID]],Table3[[#All],[PID]],0)))</f>
        <v>88-90 Mph</v>
      </c>
      <c r="P639" s="56">
        <f>IF($C639="B",INDEX(Batters[[#All],[K P]],MATCH(Table5[[#This Row],[PID]],Batters[[#All],[PID]],0)),INDEX(Table3[[#All],[STM]],MATCH(Table5[[#This Row],[PID]],Table3[[#All],[PID]],0)))</f>
        <v>6</v>
      </c>
      <c r="Q639" s="61">
        <f>IF($C639="B",INDEX(Batters[[#All],[Tot]],MATCH(Table5[[#This Row],[PID]],Batters[[#All],[PID]],0)),INDEX(Table3[[#All],[Tot]],MATCH(Table5[[#This Row],[PID]],Table3[[#All],[PID]],0)))</f>
        <v>39.881306257974032</v>
      </c>
      <c r="R639" s="52">
        <f>IF($C639="B",INDEX(Batters[[#All],[zScore]],MATCH(Table5[[#This Row],[PID]],Batters[[#All],[PID]],0)),INDEX(Table3[[#All],[zScore]],MATCH(Table5[[#This Row],[PID]],Table3[[#All],[PID]],0)))</f>
        <v>0.26683107879345253</v>
      </c>
      <c r="S639" s="78" t="str">
        <f>IF($C639="B",INDEX(Batters[[#All],[DEM]],MATCH(Table5[[#This Row],[PID]],Batters[[#All],[PID]],0)),INDEX(Table3[[#All],[DEM]],MATCH(Table5[[#This Row],[PID]],Table3[[#All],[PID]],0)))</f>
        <v>$75k</v>
      </c>
      <c r="T639" s="75">
        <f>IF($C639="B",INDEX(Batters[[#All],[Rnk]],MATCH(Table5[[#This Row],[PID]],Batters[[#All],[PID]],0)),INDEX(Table3[[#All],[Rnk]],MATCH(Table5[[#This Row],[PID]],Table3[[#All],[PID]],0)))</f>
        <v>246</v>
      </c>
      <c r="U639" s="68">
        <f>IF($C639="B",VLOOKUP($A639,Bat!$A$4:$BA$1621,47,FALSE),VLOOKUP($A639,Pit!$A$4:$BF$1557,56,FALSE))</f>
        <v>0</v>
      </c>
      <c r="V639" s="50">
        <f>IF($C639="B",VLOOKUP($A639,Bat!$A$4:$BA$1621,48,FALSE),VLOOKUP($A639,Pit!$A$4:$BF$1557,57,FALSE))</f>
        <v>0</v>
      </c>
      <c r="W639" s="69">
        <f>Table5[[#This Row],[posRnk]]+Table5[[#This Row],[zRnk]]+IF($W$3&lt;&gt;Table5[[#This Row],[Type]],50,0)</f>
        <v>724</v>
      </c>
      <c r="X639" s="73">
        <f>RANK(Table5[[#This Row],[zScore]],Table5[[#All],[zScore]])</f>
        <v>428</v>
      </c>
      <c r="Y639" s="69" t="str">
        <f>IFERROR(INDEX(DraftResults[[#All],[OVR]],MATCH(Table5[[#This Row],[PID]],DraftResults[[#All],[Player ID]],0)),"")</f>
        <v/>
      </c>
      <c r="Z63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39" s="69" t="str">
        <f>IFERROR(INDEX(DraftResults[[#All],[Pick in Round]],MATCH(Table5[[#This Row],[PID]],DraftResults[[#All],[Player ID]],0)),"")</f>
        <v/>
      </c>
      <c r="AB639" s="69" t="str">
        <f>IFERROR(INDEX(DraftResults[[#All],[Team Name]],MATCH(Table5[[#This Row],[PID]],DraftResults[[#All],[Player ID]],0)),"")</f>
        <v/>
      </c>
      <c r="AC639" s="69" t="str">
        <f>IF(Table5[[#This Row],[Ovr]]="","",IF(Table5[[#This Row],[cmbList]]="","",Table5[[#This Row],[cmbList]]-Table5[[#This Row],[Ovr]]))</f>
        <v/>
      </c>
      <c r="AD639" s="77" t="str">
        <f>IF(ISERROR(VLOOKUP($AB639&amp;"-"&amp;$E639&amp;" "&amp;F639,Bonuses!$B$1:$G$1006,4,FALSE)),"",INT(VLOOKUP($AB639&amp;"-"&amp;$E639&amp;" "&amp;$F639,Bonuses!$B$1:$G$1006,4,FALSE)))</f>
        <v/>
      </c>
      <c r="AE63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0" spans="1:31" s="50" customFormat="1" x14ac:dyDescent="0.25">
      <c r="A640" s="50">
        <v>17832</v>
      </c>
      <c r="B640" s="50">
        <f>COUNTIF(Table5[PID],A640)</f>
        <v>1</v>
      </c>
      <c r="C640" s="50" t="str">
        <f>IF(COUNTIF(Table3[[#All],[PID]],A640)&gt;0,"P","B")</f>
        <v>B</v>
      </c>
      <c r="D640" s="59" t="str">
        <f>IF($C640="B",INDEX(Batters[[#All],[POS]],MATCH(Table5[[#This Row],[PID]],Batters[[#All],[PID]],0)),INDEX(Table3[[#All],[POS]],MATCH(Table5[[#This Row],[PID]],Table3[[#All],[PID]],0)))</f>
        <v>LF</v>
      </c>
      <c r="E640" s="52" t="str">
        <f>IF($C640="B",INDEX(Batters[[#All],[First]],MATCH(Table5[[#This Row],[PID]],Batters[[#All],[PID]],0)),INDEX(Table3[[#All],[First]],MATCH(Table5[[#This Row],[PID]],Table3[[#All],[PID]],0)))</f>
        <v>Okakura</v>
      </c>
      <c r="F640" s="50" t="str">
        <f>IF($C640="B",INDEX(Batters[[#All],[Last]],MATCH(A640,Batters[[#All],[PID]],0)),INDEX(Table3[[#All],[Last]],MATCH(A640,Table3[[#All],[PID]],0)))</f>
        <v>Oshima</v>
      </c>
      <c r="G640" s="56">
        <f>IF($C640="B",INDEX(Batters[[#All],[Age]],MATCH(Table5[[#This Row],[PID]],Batters[[#All],[PID]],0)),INDEX(Table3[[#All],[Age]],MATCH(Table5[[#This Row],[PID]],Table3[[#All],[PID]],0)))</f>
        <v>18</v>
      </c>
      <c r="H640" s="52" t="str">
        <f>IF($C640="B",INDEX(Batters[[#All],[B]],MATCH(Table5[[#This Row],[PID]],Batters[[#All],[PID]],0)),INDEX(Table3[[#All],[B]],MATCH(Table5[[#This Row],[PID]],Table3[[#All],[PID]],0)))</f>
        <v>R</v>
      </c>
      <c r="I640" s="52" t="str">
        <f>IF($C640="B",INDEX(Batters[[#All],[T]],MATCH(Table5[[#This Row],[PID]],Batters[[#All],[PID]],0)),INDEX(Table3[[#All],[T]],MATCH(Table5[[#This Row],[PID]],Table3[[#All],[PID]],0)))</f>
        <v>R</v>
      </c>
      <c r="J640" s="52" t="str">
        <f>IF($C640="B",INDEX(Batters[[#All],[WE]],MATCH(Table5[[#This Row],[PID]],Batters[[#All],[PID]],0)),INDEX(Table3[[#All],[WE]],MATCH(Table5[[#This Row],[PID]],Table3[[#All],[PID]],0)))</f>
        <v>High</v>
      </c>
      <c r="K640" s="52" t="str">
        <f>IF($C640="B",INDEX(Batters[[#All],[INT]],MATCH(Table5[[#This Row],[PID]],Batters[[#All],[PID]],0)),INDEX(Table3[[#All],[INT]],MATCH(Table5[[#This Row],[PID]],Table3[[#All],[PID]],0)))</f>
        <v>High</v>
      </c>
      <c r="L640" s="60">
        <f>IF($C640="B",INDEX(Batters[[#All],[CON P]],MATCH(Table5[[#This Row],[PID]],Batters[[#All],[PID]],0)),INDEX(Table3[[#All],[STU P]],MATCH(Table5[[#This Row],[PID]],Table3[[#All],[PID]],0)))</f>
        <v>4</v>
      </c>
      <c r="M640" s="56">
        <f>IF($C640="B",INDEX(Batters[[#All],[GAP P]],MATCH(Table5[[#This Row],[PID]],Batters[[#All],[PID]],0)),INDEX(Table3[[#All],[MOV P]],MATCH(Table5[[#This Row],[PID]],Table3[[#All],[PID]],0)))</f>
        <v>5</v>
      </c>
      <c r="N640" s="56">
        <f>IF($C640="B",INDEX(Batters[[#All],[POW P]],MATCH(Table5[[#This Row],[PID]],Batters[[#All],[PID]],0)),INDEX(Table3[[#All],[CON P]],MATCH(Table5[[#This Row],[PID]],Table3[[#All],[PID]],0)))</f>
        <v>2</v>
      </c>
      <c r="O640" s="56">
        <f>IF($C640="B",INDEX(Batters[[#All],[EYE P]],MATCH(Table5[[#This Row],[PID]],Batters[[#All],[PID]],0)),INDEX(Table3[[#All],[VELO]],MATCH(Table5[[#This Row],[PID]],Table3[[#All],[PID]],0)))</f>
        <v>4</v>
      </c>
      <c r="P640" s="56">
        <f>IF($C640="B",INDEX(Batters[[#All],[K P]],MATCH(Table5[[#This Row],[PID]],Batters[[#All],[PID]],0)),INDEX(Table3[[#All],[STM]],MATCH(Table5[[#This Row],[PID]],Table3[[#All],[PID]],0)))</f>
        <v>4</v>
      </c>
      <c r="Q640" s="61">
        <f>IF($C640="B",INDEX(Batters[[#All],[Tot]],MATCH(Table5[[#This Row],[PID]],Batters[[#All],[PID]],0)),INDEX(Table3[[#All],[Tot]],MATCH(Table5[[#This Row],[PID]],Table3[[#All],[PID]],0)))</f>
        <v>45.284172570196233</v>
      </c>
      <c r="R640" s="52">
        <f>IF($C640="B",INDEX(Batters[[#All],[zScore]],MATCH(Table5[[#This Row],[PID]],Batters[[#All],[PID]],0)),INDEX(Table3[[#All],[zScore]],MATCH(Table5[[#This Row],[PID]],Table3[[#All],[PID]],0)))</f>
        <v>0.25545781089750508</v>
      </c>
      <c r="S640" s="58" t="str">
        <f>IF($C640="B",INDEX(Batters[[#All],[DEM]],MATCH(Table5[[#This Row],[PID]],Batters[[#All],[PID]],0)),INDEX(Table3[[#All],[DEM]],MATCH(Table5[[#This Row],[PID]],Table3[[#All],[PID]],0)))</f>
        <v>$80k</v>
      </c>
      <c r="T640" s="62">
        <f>IF($C640="B",INDEX(Batters[[#All],[Rnk]],MATCH(Table5[[#This Row],[PID]],Batters[[#All],[PID]],0)),INDEX(Table3[[#All],[Rnk]],MATCH(Table5[[#This Row],[PID]],Table3[[#All],[PID]],0)))</f>
        <v>185</v>
      </c>
      <c r="U640" s="68">
        <f>IF($C640="B",VLOOKUP($A640,Bat!$A$4:$BA$1621,47,FALSE),VLOOKUP($A640,Pit!$A$4:$BF$1557,56,FALSE))</f>
        <v>0</v>
      </c>
      <c r="V640" s="50">
        <f>IF($C640="B",VLOOKUP($A640,Bat!$A$4:$BA$1621,48,FALSE),VLOOKUP($A640,Pit!$A$4:$BF$1557,57,FALSE))</f>
        <v>0</v>
      </c>
      <c r="W640" s="50">
        <f>Table5[[#This Row],[posRnk]]+Table5[[#This Row],[zRnk]]+IF($W$3&lt;&gt;Table5[[#This Row],[Type]],50,0)</f>
        <v>670</v>
      </c>
      <c r="X640" s="51">
        <f>RANK(Table5[[#This Row],[zScore]],Table5[[#All],[zScore]])</f>
        <v>435</v>
      </c>
      <c r="Y640" s="50" t="str">
        <f>IFERROR(INDEX(DraftResults[[#All],[OVR]],MATCH(Table5[[#This Row],[PID]],DraftResults[[#All],[Player ID]],0)),"")</f>
        <v/>
      </c>
      <c r="Z6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0" s="50" t="str">
        <f>IFERROR(INDEX(DraftResults[[#All],[Pick in Round]],MATCH(Table5[[#This Row],[PID]],DraftResults[[#All],[Player ID]],0)),"")</f>
        <v/>
      </c>
      <c r="AB640" s="50" t="str">
        <f>IFERROR(INDEX(DraftResults[[#All],[Team Name]],MATCH(Table5[[#This Row],[PID]],DraftResults[[#All],[Player ID]],0)),"")</f>
        <v/>
      </c>
      <c r="AC640" s="50" t="str">
        <f>IF(Table5[[#This Row],[Ovr]]="","",IF(Table5[[#This Row],[cmbList]]="","",Table5[[#This Row],[cmbList]]-Table5[[#This Row],[Ovr]]))</f>
        <v/>
      </c>
      <c r="AD640" s="54" t="str">
        <f>IF(ISERROR(VLOOKUP($AB640&amp;"-"&amp;$E640&amp;" "&amp;F640,Bonuses!$B$1:$G$1006,4,FALSE)),"",INT(VLOOKUP($AB640&amp;"-"&amp;$E640&amp;" "&amp;$F640,Bonuses!$B$1:$G$1006,4,FALSE)))</f>
        <v/>
      </c>
      <c r="AE6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1" spans="1:31" s="50" customFormat="1" x14ac:dyDescent="0.25">
      <c r="A641" s="68">
        <v>18220</v>
      </c>
      <c r="B641" s="69">
        <f>COUNTIF(Table5[PID],A641)</f>
        <v>1</v>
      </c>
      <c r="C641" s="69" t="str">
        <f>IF(COUNTIF(Table3[[#All],[PID]],A641)&gt;0,"P","B")</f>
        <v>P</v>
      </c>
      <c r="D641" s="59" t="str">
        <f>IF($C641="B",INDEX(Batters[[#All],[POS]],MATCH(Table5[[#This Row],[PID]],Batters[[#All],[PID]],0)),INDEX(Table3[[#All],[POS]],MATCH(Table5[[#This Row],[PID]],Table3[[#All],[PID]],0)))</f>
        <v>SP</v>
      </c>
      <c r="E641" s="52" t="str">
        <f>IF($C641="B",INDEX(Batters[[#All],[First]],MATCH(Table5[[#This Row],[PID]],Batters[[#All],[PID]],0)),INDEX(Table3[[#All],[First]],MATCH(Table5[[#This Row],[PID]],Table3[[#All],[PID]],0)))</f>
        <v>Jeff</v>
      </c>
      <c r="F641" s="55" t="str">
        <f>IF($C641="B",INDEX(Batters[[#All],[Last]],MATCH(A641,Batters[[#All],[PID]],0)),INDEX(Table3[[#All],[Last]],MATCH(A641,Table3[[#All],[PID]],0)))</f>
        <v>Wills</v>
      </c>
      <c r="G641" s="56">
        <f>IF($C641="B",INDEX(Batters[[#All],[Age]],MATCH(Table5[[#This Row],[PID]],Batters[[#All],[PID]],0)),INDEX(Table3[[#All],[Age]],MATCH(Table5[[#This Row],[PID]],Table3[[#All],[PID]],0)))</f>
        <v>18</v>
      </c>
      <c r="H641" s="52" t="str">
        <f>IF($C641="B",INDEX(Batters[[#All],[B]],MATCH(Table5[[#This Row],[PID]],Batters[[#All],[PID]],0)),INDEX(Table3[[#All],[B]],MATCH(Table5[[#This Row],[PID]],Table3[[#All],[PID]],0)))</f>
        <v>R</v>
      </c>
      <c r="I641" s="52" t="str">
        <f>IF($C641="B",INDEX(Batters[[#All],[T]],MATCH(Table5[[#This Row],[PID]],Batters[[#All],[PID]],0)),INDEX(Table3[[#All],[T]],MATCH(Table5[[#This Row],[PID]],Table3[[#All],[PID]],0)))</f>
        <v>R</v>
      </c>
      <c r="J641" s="71" t="str">
        <f>IF($C641="B",INDEX(Batters[[#All],[WE]],MATCH(Table5[[#This Row],[PID]],Batters[[#All],[PID]],0)),INDEX(Table3[[#All],[WE]],MATCH(Table5[[#This Row],[PID]],Table3[[#All],[PID]],0)))</f>
        <v>Low</v>
      </c>
      <c r="K641" s="52" t="str">
        <f>IF($C641="B",INDEX(Batters[[#All],[INT]],MATCH(Table5[[#This Row],[PID]],Batters[[#All],[PID]],0)),INDEX(Table3[[#All],[INT]],MATCH(Table5[[#This Row],[PID]],Table3[[#All],[PID]],0)))</f>
        <v>Normal</v>
      </c>
      <c r="L641" s="60">
        <f>IF($C641="B",INDEX(Batters[[#All],[CON P]],MATCH(Table5[[#This Row],[PID]],Batters[[#All],[PID]],0)),INDEX(Table3[[#All],[STU P]],MATCH(Table5[[#This Row],[PID]],Table3[[#All],[PID]],0)))</f>
        <v>4</v>
      </c>
      <c r="M641" s="72">
        <f>IF($C641="B",INDEX(Batters[[#All],[GAP P]],MATCH(Table5[[#This Row],[PID]],Batters[[#All],[PID]],0)),INDEX(Table3[[#All],[MOV P]],MATCH(Table5[[#This Row],[PID]],Table3[[#All],[PID]],0)))</f>
        <v>3</v>
      </c>
      <c r="N641" s="72">
        <f>IF($C641="B",INDEX(Batters[[#All],[POW P]],MATCH(Table5[[#This Row],[PID]],Batters[[#All],[PID]],0)),INDEX(Table3[[#All],[CON P]],MATCH(Table5[[#This Row],[PID]],Table3[[#All],[PID]],0)))</f>
        <v>3</v>
      </c>
      <c r="O641" s="72" t="str">
        <f>IF($C641="B",INDEX(Batters[[#All],[EYE P]],MATCH(Table5[[#This Row],[PID]],Batters[[#All],[PID]],0)),INDEX(Table3[[#All],[VELO]],MATCH(Table5[[#This Row],[PID]],Table3[[#All],[PID]],0)))</f>
        <v>85-87 Mph</v>
      </c>
      <c r="P641" s="56">
        <f>IF($C641="B",INDEX(Batters[[#All],[K P]],MATCH(Table5[[#This Row],[PID]],Batters[[#All],[PID]],0)),INDEX(Table3[[#All],[STM]],MATCH(Table5[[#This Row],[PID]],Table3[[#All],[PID]],0)))</f>
        <v>6</v>
      </c>
      <c r="Q641" s="61">
        <f>IF($C641="B",INDEX(Batters[[#All],[Tot]],MATCH(Table5[[#This Row],[PID]],Batters[[#All],[PID]],0)),INDEX(Table3[[#All],[Tot]],MATCH(Table5[[#This Row],[PID]],Table3[[#All],[PID]],0)))</f>
        <v>40.187240945075331</v>
      </c>
      <c r="R641" s="52">
        <f>IF($C641="B",INDEX(Batters[[#All],[zScore]],MATCH(Table5[[#This Row],[PID]],Batters[[#All],[PID]],0)),INDEX(Table3[[#All],[zScore]],MATCH(Table5[[#This Row],[PID]],Table3[[#All],[PID]],0)))</f>
        <v>0.24659419751900605</v>
      </c>
      <c r="S641" s="78" t="str">
        <f>IF($C641="B",INDEX(Batters[[#All],[DEM]],MATCH(Table5[[#This Row],[PID]],Batters[[#All],[PID]],0)),INDEX(Table3[[#All],[DEM]],MATCH(Table5[[#This Row],[PID]],Table3[[#All],[PID]],0)))</f>
        <v>$200k</v>
      </c>
      <c r="T641" s="75">
        <f>IF($C641="B",INDEX(Batters[[#All],[Rnk]],MATCH(Table5[[#This Row],[PID]],Batters[[#All],[PID]],0)),INDEX(Table3[[#All],[Rnk]],MATCH(Table5[[#This Row],[PID]],Table3[[#All],[PID]],0)))</f>
        <v>251</v>
      </c>
      <c r="U641" s="68">
        <f>IF($C641="B",VLOOKUP($A641,Bat!$A$4:$BA$1621,47,FALSE),VLOOKUP($A641,Pit!$A$4:$BF$1557,56,FALSE))</f>
        <v>0</v>
      </c>
      <c r="V641" s="50">
        <f>IF($C641="B",VLOOKUP($A641,Bat!$A$4:$BA$1621,48,FALSE),VLOOKUP($A641,Pit!$A$4:$BF$1557,57,FALSE))</f>
        <v>0</v>
      </c>
      <c r="W641" s="69">
        <f>Table5[[#This Row],[posRnk]]+Table5[[#This Row],[zRnk]]+IF($W$3&lt;&gt;Table5[[#This Row],[Type]],50,0)</f>
        <v>739</v>
      </c>
      <c r="X641" s="73">
        <f>RANK(Table5[[#This Row],[zScore]],Table5[[#All],[zScore]])</f>
        <v>438</v>
      </c>
      <c r="Y641" s="69" t="str">
        <f>IFERROR(INDEX(DraftResults[[#All],[OVR]],MATCH(Table5[[#This Row],[PID]],DraftResults[[#All],[Player ID]],0)),"")</f>
        <v/>
      </c>
      <c r="Z64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1" s="69" t="str">
        <f>IFERROR(INDEX(DraftResults[[#All],[Pick in Round]],MATCH(Table5[[#This Row],[PID]],DraftResults[[#All],[Player ID]],0)),"")</f>
        <v/>
      </c>
      <c r="AB641" s="69" t="str">
        <f>IFERROR(INDEX(DraftResults[[#All],[Team Name]],MATCH(Table5[[#This Row],[PID]],DraftResults[[#All],[Player ID]],0)),"")</f>
        <v/>
      </c>
      <c r="AC641" s="69" t="str">
        <f>IF(Table5[[#This Row],[Ovr]]="","",IF(Table5[[#This Row],[cmbList]]="","",Table5[[#This Row],[cmbList]]-Table5[[#This Row],[Ovr]]))</f>
        <v/>
      </c>
      <c r="AD641" s="77" t="str">
        <f>IF(ISERROR(VLOOKUP($AB641&amp;"-"&amp;$E641&amp;" "&amp;F641,Bonuses!$B$1:$G$1006,4,FALSE)),"",INT(VLOOKUP($AB641&amp;"-"&amp;$E641&amp;" "&amp;$F641,Bonuses!$B$1:$G$1006,4,FALSE)))</f>
        <v/>
      </c>
      <c r="AE64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2" spans="1:31" s="50" customFormat="1" x14ac:dyDescent="0.25">
      <c r="A642" s="50">
        <v>18371</v>
      </c>
      <c r="B642" s="50">
        <f>COUNTIF(Table5[PID],A642)</f>
        <v>1</v>
      </c>
      <c r="C642" s="50" t="str">
        <f>IF(COUNTIF(Table3[[#All],[PID]],A642)&gt;0,"P","B")</f>
        <v>B</v>
      </c>
      <c r="D642" s="59" t="str">
        <f>IF($C642="B",INDEX(Batters[[#All],[POS]],MATCH(Table5[[#This Row],[PID]],Batters[[#All],[PID]],0)),INDEX(Table3[[#All],[POS]],MATCH(Table5[[#This Row],[PID]],Table3[[#All],[PID]],0)))</f>
        <v>2B</v>
      </c>
      <c r="E642" s="52" t="str">
        <f>IF($C642="B",INDEX(Batters[[#All],[First]],MATCH(Table5[[#This Row],[PID]],Batters[[#All],[PID]],0)),INDEX(Table3[[#All],[First]],MATCH(Table5[[#This Row],[PID]],Table3[[#All],[PID]],0)))</f>
        <v>Koryusai</v>
      </c>
      <c r="F642" s="50" t="str">
        <f>IF($C642="B",INDEX(Batters[[#All],[Last]],MATCH(A642,Batters[[#All],[PID]],0)),INDEX(Table3[[#All],[Last]],MATCH(A642,Table3[[#All],[PID]],0)))</f>
        <v>Takaki</v>
      </c>
      <c r="G642" s="56">
        <f>IF($C642="B",INDEX(Batters[[#All],[Age]],MATCH(Table5[[#This Row],[PID]],Batters[[#All],[PID]],0)),INDEX(Table3[[#All],[Age]],MATCH(Table5[[#This Row],[PID]],Table3[[#All],[PID]],0)))</f>
        <v>18</v>
      </c>
      <c r="H642" s="52" t="str">
        <f>IF($C642="B",INDEX(Batters[[#All],[B]],MATCH(Table5[[#This Row],[PID]],Batters[[#All],[PID]],0)),INDEX(Table3[[#All],[B]],MATCH(Table5[[#This Row],[PID]],Table3[[#All],[PID]],0)))</f>
        <v>R</v>
      </c>
      <c r="I642" s="52" t="str">
        <f>IF($C642="B",INDEX(Batters[[#All],[T]],MATCH(Table5[[#This Row],[PID]],Batters[[#All],[PID]],0)),INDEX(Table3[[#All],[T]],MATCH(Table5[[#This Row],[PID]],Table3[[#All],[PID]],0)))</f>
        <v>R</v>
      </c>
      <c r="J642" s="52" t="str">
        <f>IF($C642="B",INDEX(Batters[[#All],[WE]],MATCH(Table5[[#This Row],[PID]],Batters[[#All],[PID]],0)),INDEX(Table3[[#All],[WE]],MATCH(Table5[[#This Row],[PID]],Table3[[#All],[PID]],0)))</f>
        <v>Normal</v>
      </c>
      <c r="K642" s="52" t="str">
        <f>IF($C642="B",INDEX(Batters[[#All],[INT]],MATCH(Table5[[#This Row],[PID]],Batters[[#All],[PID]],0)),INDEX(Table3[[#All],[INT]],MATCH(Table5[[#This Row],[PID]],Table3[[#All],[PID]],0)))</f>
        <v>Normal</v>
      </c>
      <c r="L642" s="60">
        <f>IF($C642="B",INDEX(Batters[[#All],[CON P]],MATCH(Table5[[#This Row],[PID]],Batters[[#All],[PID]],0)),INDEX(Table3[[#All],[STU P]],MATCH(Table5[[#This Row],[PID]],Table3[[#All],[PID]],0)))</f>
        <v>4</v>
      </c>
      <c r="M642" s="56">
        <f>IF($C642="B",INDEX(Batters[[#All],[GAP P]],MATCH(Table5[[#This Row],[PID]],Batters[[#All],[PID]],0)),INDEX(Table3[[#All],[MOV P]],MATCH(Table5[[#This Row],[PID]],Table3[[#All],[PID]],0)))</f>
        <v>3</v>
      </c>
      <c r="N642" s="56">
        <f>IF($C642="B",INDEX(Batters[[#All],[POW P]],MATCH(Table5[[#This Row],[PID]],Batters[[#All],[PID]],0)),INDEX(Table3[[#All],[CON P]],MATCH(Table5[[#This Row],[PID]],Table3[[#All],[PID]],0)))</f>
        <v>3</v>
      </c>
      <c r="O642" s="56">
        <f>IF($C642="B",INDEX(Batters[[#All],[EYE P]],MATCH(Table5[[#This Row],[PID]],Batters[[#All],[PID]],0)),INDEX(Table3[[#All],[VELO]],MATCH(Table5[[#This Row],[PID]],Table3[[#All],[PID]],0)))</f>
        <v>4</v>
      </c>
      <c r="P642" s="56">
        <f>IF($C642="B",INDEX(Batters[[#All],[K P]],MATCH(Table5[[#This Row],[PID]],Batters[[#All],[PID]],0)),INDEX(Table3[[#All],[STM]],MATCH(Table5[[#This Row],[PID]],Table3[[#All],[PID]],0)))</f>
        <v>5</v>
      </c>
      <c r="Q642" s="61">
        <f>IF($C642="B",INDEX(Batters[[#All],[Tot]],MATCH(Table5[[#This Row],[PID]],Batters[[#All],[PID]],0)),INDEX(Table3[[#All],[Tot]],MATCH(Table5[[#This Row],[PID]],Table3[[#All],[PID]],0)))</f>
        <v>45.241083009698748</v>
      </c>
      <c r="R642" s="52">
        <f>IF($C642="B",INDEX(Batters[[#All],[zScore]],MATCH(Table5[[#This Row],[PID]],Batters[[#All],[PID]],0)),INDEX(Table3[[#All],[zScore]],MATCH(Table5[[#This Row],[PID]],Table3[[#All],[PID]],0)))</f>
        <v>0.2459045640768146</v>
      </c>
      <c r="S642" s="58" t="str">
        <f>IF($C642="B",INDEX(Batters[[#All],[DEM]],MATCH(Table5[[#This Row],[PID]],Batters[[#All],[PID]],0)),INDEX(Table3[[#All],[DEM]],MATCH(Table5[[#This Row],[PID]],Table3[[#All],[PID]],0)))</f>
        <v>$95k</v>
      </c>
      <c r="T642" s="62">
        <f>IF($C642="B",INDEX(Batters[[#All],[Rnk]],MATCH(Table5[[#This Row],[PID]],Batters[[#All],[PID]],0)),INDEX(Table3[[#All],[Rnk]],MATCH(Table5[[#This Row],[PID]],Table3[[#All],[PID]],0)))</f>
        <v>188</v>
      </c>
      <c r="U642" s="68">
        <f>IF($C642="B",VLOOKUP($A642,Bat!$A$4:$BA$1621,47,FALSE),VLOOKUP($A642,Pit!$A$4:$BF$1557,56,FALSE))</f>
        <v>0</v>
      </c>
      <c r="V642" s="50">
        <f>IF($C642="B",VLOOKUP($A642,Bat!$A$4:$BA$1621,48,FALSE),VLOOKUP($A642,Pit!$A$4:$BF$1557,57,FALSE))</f>
        <v>0</v>
      </c>
      <c r="W642" s="50">
        <f>Table5[[#This Row],[posRnk]]+Table5[[#This Row],[zRnk]]+IF($W$3&lt;&gt;Table5[[#This Row],[Type]],50,0)</f>
        <v>678</v>
      </c>
      <c r="X642" s="51">
        <f>RANK(Table5[[#This Row],[zScore]],Table5[[#All],[zScore]])</f>
        <v>440</v>
      </c>
      <c r="Y642" s="50" t="str">
        <f>IFERROR(INDEX(DraftResults[[#All],[OVR]],MATCH(Table5[[#This Row],[PID]],DraftResults[[#All],[Player ID]],0)),"")</f>
        <v/>
      </c>
      <c r="Z6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2" s="50" t="str">
        <f>IFERROR(INDEX(DraftResults[[#All],[Pick in Round]],MATCH(Table5[[#This Row],[PID]],DraftResults[[#All],[Player ID]],0)),"")</f>
        <v/>
      </c>
      <c r="AB642" s="50" t="str">
        <f>IFERROR(INDEX(DraftResults[[#All],[Team Name]],MATCH(Table5[[#This Row],[PID]],DraftResults[[#All],[Player ID]],0)),"")</f>
        <v/>
      </c>
      <c r="AC642" s="50" t="str">
        <f>IF(Table5[[#This Row],[Ovr]]="","",IF(Table5[[#This Row],[cmbList]]="","",Table5[[#This Row],[cmbList]]-Table5[[#This Row],[Ovr]]))</f>
        <v/>
      </c>
      <c r="AD642" s="54" t="str">
        <f>IF(ISERROR(VLOOKUP($AB642&amp;"-"&amp;$E642&amp;" "&amp;F642,Bonuses!$B$1:$G$1006,4,FALSE)),"",INT(VLOOKUP($AB642&amp;"-"&amp;$E642&amp;" "&amp;$F642,Bonuses!$B$1:$G$1006,4,FALSE)))</f>
        <v/>
      </c>
      <c r="AE6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3" spans="1:31" s="50" customFormat="1" x14ac:dyDescent="0.25">
      <c r="A643" s="50">
        <v>20564</v>
      </c>
      <c r="B643" s="50">
        <f>COUNTIF(Table5[PID],A643)</f>
        <v>1</v>
      </c>
      <c r="C643" s="50" t="str">
        <f>IF(COUNTIF(Table3[[#All],[PID]],A643)&gt;0,"P","B")</f>
        <v>B</v>
      </c>
      <c r="D643" s="59" t="str">
        <f>IF($C643="B",INDEX(Batters[[#All],[POS]],MATCH(Table5[[#This Row],[PID]],Batters[[#All],[PID]],0)),INDEX(Table3[[#All],[POS]],MATCH(Table5[[#This Row],[PID]],Table3[[#All],[PID]],0)))</f>
        <v>1B</v>
      </c>
      <c r="E643" s="52" t="str">
        <f>IF($C643="B",INDEX(Batters[[#All],[First]],MATCH(Table5[[#This Row],[PID]],Batters[[#All],[PID]],0)),INDEX(Table3[[#All],[First]],MATCH(Table5[[#This Row],[PID]],Table3[[#All],[PID]],0)))</f>
        <v>Roger</v>
      </c>
      <c r="F643" s="50" t="str">
        <f>IF($C643="B",INDEX(Batters[[#All],[Last]],MATCH(A643,Batters[[#All],[PID]],0)),INDEX(Table3[[#All],[Last]],MATCH(A643,Table3[[#All],[PID]],0)))</f>
        <v>Hutchesson</v>
      </c>
      <c r="G643" s="56">
        <f>IF($C643="B",INDEX(Batters[[#All],[Age]],MATCH(Table5[[#This Row],[PID]],Batters[[#All],[PID]],0)),INDEX(Table3[[#All],[Age]],MATCH(Table5[[#This Row],[PID]],Table3[[#All],[PID]],0)))</f>
        <v>18</v>
      </c>
      <c r="H643" s="52" t="str">
        <f>IF($C643="B",INDEX(Batters[[#All],[B]],MATCH(Table5[[#This Row],[PID]],Batters[[#All],[PID]],0)),INDEX(Table3[[#All],[B]],MATCH(Table5[[#This Row],[PID]],Table3[[#All],[PID]],0)))</f>
        <v>R</v>
      </c>
      <c r="I643" s="52" t="str">
        <f>IF($C643="B",INDEX(Batters[[#All],[T]],MATCH(Table5[[#This Row],[PID]],Batters[[#All],[PID]],0)),INDEX(Table3[[#All],[T]],MATCH(Table5[[#This Row],[PID]],Table3[[#All],[PID]],0)))</f>
        <v>R</v>
      </c>
      <c r="J643" s="52" t="str">
        <f>IF($C643="B",INDEX(Batters[[#All],[WE]],MATCH(Table5[[#This Row],[PID]],Batters[[#All],[PID]],0)),INDEX(Table3[[#All],[WE]],MATCH(Table5[[#This Row],[PID]],Table3[[#All],[PID]],0)))</f>
        <v>Normal</v>
      </c>
      <c r="K643" s="52" t="str">
        <f>IF($C643="B",INDEX(Batters[[#All],[INT]],MATCH(Table5[[#This Row],[PID]],Batters[[#All],[PID]],0)),INDEX(Table3[[#All],[INT]],MATCH(Table5[[#This Row],[PID]],Table3[[#All],[PID]],0)))</f>
        <v>Normal</v>
      </c>
      <c r="L643" s="60">
        <f>IF($C643="B",INDEX(Batters[[#All],[CON P]],MATCH(Table5[[#This Row],[PID]],Batters[[#All],[PID]],0)),INDEX(Table3[[#All],[STU P]],MATCH(Table5[[#This Row],[PID]],Table3[[#All],[PID]],0)))</f>
        <v>3</v>
      </c>
      <c r="M643" s="56">
        <f>IF($C643="B",INDEX(Batters[[#All],[GAP P]],MATCH(Table5[[#This Row],[PID]],Batters[[#All],[PID]],0)),INDEX(Table3[[#All],[MOV P]],MATCH(Table5[[#This Row],[PID]],Table3[[#All],[PID]],0)))</f>
        <v>4</v>
      </c>
      <c r="N643" s="56">
        <f>IF($C643="B",INDEX(Batters[[#All],[POW P]],MATCH(Table5[[#This Row],[PID]],Batters[[#All],[PID]],0)),INDEX(Table3[[#All],[CON P]],MATCH(Table5[[#This Row],[PID]],Table3[[#All],[PID]],0)))</f>
        <v>5</v>
      </c>
      <c r="O643" s="56">
        <f>IF($C643="B",INDEX(Batters[[#All],[EYE P]],MATCH(Table5[[#This Row],[PID]],Batters[[#All],[PID]],0)),INDEX(Table3[[#All],[VELO]],MATCH(Table5[[#This Row],[PID]],Table3[[#All],[PID]],0)))</f>
        <v>6</v>
      </c>
      <c r="P643" s="56">
        <f>IF($C643="B",INDEX(Batters[[#All],[K P]],MATCH(Table5[[#This Row],[PID]],Batters[[#All],[PID]],0)),INDEX(Table3[[#All],[STM]],MATCH(Table5[[#This Row],[PID]],Table3[[#All],[PID]],0)))</f>
        <v>4</v>
      </c>
      <c r="Q643" s="61">
        <f>IF($C643="B",INDEX(Batters[[#All],[Tot]],MATCH(Table5[[#This Row],[PID]],Batters[[#All],[PID]],0)),INDEX(Table3[[#All],[Tot]],MATCH(Table5[[#This Row],[PID]],Table3[[#All],[PID]],0)))</f>
        <v>45.208714346129604</v>
      </c>
      <c r="R643" s="52">
        <f>IF($C643="B",INDEX(Batters[[#All],[zScore]],MATCH(Table5[[#This Row],[PID]],Batters[[#All],[PID]],0)),INDEX(Table3[[#All],[zScore]],MATCH(Table5[[#This Row],[PID]],Table3[[#All],[PID]],0)))</f>
        <v>0.23872821257167504</v>
      </c>
      <c r="S643" s="58" t="str">
        <f>IF($C643="B",INDEX(Batters[[#All],[DEM]],MATCH(Table5[[#This Row],[PID]],Batters[[#All],[PID]],0)),INDEX(Table3[[#All],[DEM]],MATCH(Table5[[#This Row],[PID]],Table3[[#All],[PID]],0)))</f>
        <v>$100k</v>
      </c>
      <c r="T643" s="62">
        <f>IF($C643="B",INDEX(Batters[[#All],[Rnk]],MATCH(Table5[[#This Row],[PID]],Batters[[#All],[PID]],0)),INDEX(Table3[[#All],[Rnk]],MATCH(Table5[[#This Row],[PID]],Table3[[#All],[PID]],0)))</f>
        <v>191</v>
      </c>
      <c r="U643" s="68">
        <f>IF($C643="B",VLOOKUP($A643,Bat!$A$4:$BA$1621,47,FALSE),VLOOKUP($A643,Pit!$A$4:$BF$1557,56,FALSE))</f>
        <v>0</v>
      </c>
      <c r="V643" s="50">
        <f>IF($C643="B",VLOOKUP($A643,Bat!$A$4:$BA$1621,48,FALSE),VLOOKUP($A643,Pit!$A$4:$BF$1557,57,FALSE))</f>
        <v>0</v>
      </c>
      <c r="W643" s="50">
        <f>Table5[[#This Row],[posRnk]]+Table5[[#This Row],[zRnk]]+IF($W$3&lt;&gt;Table5[[#This Row],[Type]],50,0)</f>
        <v>684</v>
      </c>
      <c r="X643" s="51">
        <f>RANK(Table5[[#This Row],[zScore]],Table5[[#All],[zScore]])</f>
        <v>443</v>
      </c>
      <c r="Y643" s="50" t="str">
        <f>IFERROR(INDEX(DraftResults[[#All],[OVR]],MATCH(Table5[[#This Row],[PID]],DraftResults[[#All],[Player ID]],0)),"")</f>
        <v/>
      </c>
      <c r="Z6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3" s="50" t="str">
        <f>IFERROR(INDEX(DraftResults[[#All],[Pick in Round]],MATCH(Table5[[#This Row],[PID]],DraftResults[[#All],[Player ID]],0)),"")</f>
        <v/>
      </c>
      <c r="AB643" s="50" t="str">
        <f>IFERROR(INDEX(DraftResults[[#All],[Team Name]],MATCH(Table5[[#This Row],[PID]],DraftResults[[#All],[Player ID]],0)),"")</f>
        <v/>
      </c>
      <c r="AC643" s="50" t="str">
        <f>IF(Table5[[#This Row],[Ovr]]="","",IF(Table5[[#This Row],[cmbList]]="","",Table5[[#This Row],[cmbList]]-Table5[[#This Row],[Ovr]]))</f>
        <v/>
      </c>
      <c r="AD643" s="54" t="str">
        <f>IF(ISERROR(VLOOKUP($AB643&amp;"-"&amp;$E643&amp;" "&amp;F643,Bonuses!$B$1:$G$1006,4,FALSE)),"",INT(VLOOKUP($AB643&amp;"-"&amp;$E643&amp;" "&amp;$F643,Bonuses!$B$1:$G$1006,4,FALSE)))</f>
        <v/>
      </c>
      <c r="AE6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4" spans="1:31" s="50" customFormat="1" x14ac:dyDescent="0.25">
      <c r="A644" s="68">
        <v>18094</v>
      </c>
      <c r="B644" s="69">
        <f>COUNTIF(Table5[PID],A644)</f>
        <v>1</v>
      </c>
      <c r="C644" s="69" t="str">
        <f>IF(COUNTIF(Table3[[#All],[PID]],A644)&gt;0,"P","B")</f>
        <v>P</v>
      </c>
      <c r="D644" s="59" t="str">
        <f>IF($C644="B",INDEX(Batters[[#All],[POS]],MATCH(Table5[[#This Row],[PID]],Batters[[#All],[PID]],0)),INDEX(Table3[[#All],[POS]],MATCH(Table5[[#This Row],[PID]],Table3[[#All],[PID]],0)))</f>
        <v>SP</v>
      </c>
      <c r="E644" s="52" t="str">
        <f>IF($C644="B",INDEX(Batters[[#All],[First]],MATCH(Table5[[#This Row],[PID]],Batters[[#All],[PID]],0)),INDEX(Table3[[#All],[First]],MATCH(Table5[[#This Row],[PID]],Table3[[#All],[PID]],0)))</f>
        <v>Iván</v>
      </c>
      <c r="F644" s="55" t="str">
        <f>IF($C644="B",INDEX(Batters[[#All],[Last]],MATCH(A644,Batters[[#All],[PID]],0)),INDEX(Table3[[#All],[Last]],MATCH(A644,Table3[[#All],[PID]],0)))</f>
        <v>Marero</v>
      </c>
      <c r="G644" s="56">
        <f>IF($C644="B",INDEX(Batters[[#All],[Age]],MATCH(Table5[[#This Row],[PID]],Batters[[#All],[PID]],0)),INDEX(Table3[[#All],[Age]],MATCH(Table5[[#This Row],[PID]],Table3[[#All],[PID]],0)))</f>
        <v>21</v>
      </c>
      <c r="H644" s="52" t="str">
        <f>IF($C644="B",INDEX(Batters[[#All],[B]],MATCH(Table5[[#This Row],[PID]],Batters[[#All],[PID]],0)),INDEX(Table3[[#All],[B]],MATCH(Table5[[#This Row],[PID]],Table3[[#All],[PID]],0)))</f>
        <v>R</v>
      </c>
      <c r="I644" s="52" t="str">
        <f>IF($C644="B",INDEX(Batters[[#All],[T]],MATCH(Table5[[#This Row],[PID]],Batters[[#All],[PID]],0)),INDEX(Table3[[#All],[T]],MATCH(Table5[[#This Row],[PID]],Table3[[#All],[PID]],0)))</f>
        <v>R</v>
      </c>
      <c r="J644" s="71" t="str">
        <f>IF($C644="B",INDEX(Batters[[#All],[WE]],MATCH(Table5[[#This Row],[PID]],Batters[[#All],[PID]],0)),INDEX(Table3[[#All],[WE]],MATCH(Table5[[#This Row],[PID]],Table3[[#All],[PID]],0)))</f>
        <v>Normal</v>
      </c>
      <c r="K644" s="52" t="str">
        <f>IF($C644="B",INDEX(Batters[[#All],[INT]],MATCH(Table5[[#This Row],[PID]],Batters[[#All],[PID]],0)),INDEX(Table3[[#All],[INT]],MATCH(Table5[[#This Row],[PID]],Table3[[#All],[PID]],0)))</f>
        <v>Low</v>
      </c>
      <c r="L644" s="60">
        <f>IF($C644="B",INDEX(Batters[[#All],[CON P]],MATCH(Table5[[#This Row],[PID]],Batters[[#All],[PID]],0)),INDEX(Table3[[#All],[STU P]],MATCH(Table5[[#This Row],[PID]],Table3[[#All],[PID]],0)))</f>
        <v>4</v>
      </c>
      <c r="M644" s="72">
        <f>IF($C644="B",INDEX(Batters[[#All],[GAP P]],MATCH(Table5[[#This Row],[PID]],Batters[[#All],[PID]],0)),INDEX(Table3[[#All],[MOV P]],MATCH(Table5[[#This Row],[PID]],Table3[[#All],[PID]],0)))</f>
        <v>2</v>
      </c>
      <c r="N644" s="72">
        <f>IF($C644="B",INDEX(Batters[[#All],[POW P]],MATCH(Table5[[#This Row],[PID]],Batters[[#All],[PID]],0)),INDEX(Table3[[#All],[CON P]],MATCH(Table5[[#This Row],[PID]],Table3[[#All],[PID]],0)))</f>
        <v>5</v>
      </c>
      <c r="O644" s="72" t="str">
        <f>IF($C644="B",INDEX(Batters[[#All],[EYE P]],MATCH(Table5[[#This Row],[PID]],Batters[[#All],[PID]],0)),INDEX(Table3[[#All],[VELO]],MATCH(Table5[[#This Row],[PID]],Table3[[#All],[PID]],0)))</f>
        <v>91-93 Mph</v>
      </c>
      <c r="P644" s="56">
        <f>IF($C644="B",INDEX(Batters[[#All],[K P]],MATCH(Table5[[#This Row],[PID]],Batters[[#All],[PID]],0)),INDEX(Table3[[#All],[STM]],MATCH(Table5[[#This Row],[PID]],Table3[[#All],[PID]],0)))</f>
        <v>7</v>
      </c>
      <c r="Q644" s="61">
        <f>IF($C644="B",INDEX(Batters[[#All],[Tot]],MATCH(Table5[[#This Row],[PID]],Batters[[#All],[PID]],0)),INDEX(Table3[[#All],[Tot]],MATCH(Table5[[#This Row],[PID]],Table3[[#All],[PID]],0)))</f>
        <v>39.44062532588579</v>
      </c>
      <c r="R644" s="52">
        <f>IF($C644="B",INDEX(Batters[[#All],[zScore]],MATCH(Table5[[#This Row],[PID]],Batters[[#All],[PID]],0)),INDEX(Table3[[#All],[zScore]],MATCH(Table5[[#This Row],[PID]],Table3[[#All],[PID]],0)))</f>
        <v>0.23751324979005073</v>
      </c>
      <c r="S644" s="78" t="str">
        <f>IF($C644="B",INDEX(Batters[[#All],[DEM]],MATCH(Table5[[#This Row],[PID]],Batters[[#All],[PID]],0)),INDEX(Table3[[#All],[DEM]],MATCH(Table5[[#This Row],[PID]],Table3[[#All],[PID]],0)))</f>
        <v>-</v>
      </c>
      <c r="T644" s="75">
        <f>IF($C644="B",INDEX(Batters[[#All],[Rnk]],MATCH(Table5[[#This Row],[PID]],Batters[[#All],[PID]],0)),INDEX(Table3[[#All],[Rnk]],MATCH(Table5[[#This Row],[PID]],Table3[[#All],[PID]],0)))</f>
        <v>253</v>
      </c>
      <c r="U644" s="68">
        <f>IF($C644="B",VLOOKUP($A644,Bat!$A$4:$BA$1621,47,FALSE),VLOOKUP($A644,Pit!$A$4:$BF$1557,56,FALSE))</f>
        <v>0</v>
      </c>
      <c r="V644" s="50">
        <f>IF($C644="B",VLOOKUP($A644,Bat!$A$4:$BA$1621,48,FALSE),VLOOKUP($A644,Pit!$A$4:$BF$1557,57,FALSE))</f>
        <v>0</v>
      </c>
      <c r="W644" s="69">
        <f>Table5[[#This Row],[posRnk]]+Table5[[#This Row],[zRnk]]+IF($W$3&lt;&gt;Table5[[#This Row],[Type]],50,0)</f>
        <v>747</v>
      </c>
      <c r="X644" s="73">
        <f>RANK(Table5[[#This Row],[zScore]],Table5[[#All],[zScore]])</f>
        <v>444</v>
      </c>
      <c r="Y644" s="69" t="str">
        <f>IFERROR(INDEX(DraftResults[[#All],[OVR]],MATCH(Table5[[#This Row],[PID]],DraftResults[[#All],[Player ID]],0)),"")</f>
        <v/>
      </c>
      <c r="Z64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4" s="69" t="str">
        <f>IFERROR(INDEX(DraftResults[[#All],[Pick in Round]],MATCH(Table5[[#This Row],[PID]],DraftResults[[#All],[Player ID]],0)),"")</f>
        <v/>
      </c>
      <c r="AB644" s="69" t="str">
        <f>IFERROR(INDEX(DraftResults[[#All],[Team Name]],MATCH(Table5[[#This Row],[PID]],DraftResults[[#All],[Player ID]],0)),"")</f>
        <v/>
      </c>
      <c r="AC644" s="69" t="str">
        <f>IF(Table5[[#This Row],[Ovr]]="","",IF(Table5[[#This Row],[cmbList]]="","",Table5[[#This Row],[cmbList]]-Table5[[#This Row],[Ovr]]))</f>
        <v/>
      </c>
      <c r="AD644" s="77" t="str">
        <f>IF(ISERROR(VLOOKUP($AB644&amp;"-"&amp;$E644&amp;" "&amp;F644,Bonuses!$B$1:$G$1006,4,FALSE)),"",INT(VLOOKUP($AB644&amp;"-"&amp;$E644&amp;" "&amp;$F644,Bonuses!$B$1:$G$1006,4,FALSE)))</f>
        <v/>
      </c>
      <c r="AE64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5" spans="1:31" s="50" customFormat="1" x14ac:dyDescent="0.25">
      <c r="A645" s="50">
        <v>17575</v>
      </c>
      <c r="B645" s="50">
        <f>COUNTIF(Table5[PID],A645)</f>
        <v>1</v>
      </c>
      <c r="C645" s="50" t="str">
        <f>IF(COUNTIF(Table3[[#All],[PID]],A645)&gt;0,"P","B")</f>
        <v>P</v>
      </c>
      <c r="D645" s="59" t="str">
        <f>IF($C645="B",INDEX(Batters[[#All],[POS]],MATCH(Table5[[#This Row],[PID]],Batters[[#All],[PID]],0)),INDEX(Table3[[#All],[POS]],MATCH(Table5[[#This Row],[PID]],Table3[[#All],[PID]],0)))</f>
        <v>RP</v>
      </c>
      <c r="E645" s="52" t="str">
        <f>IF($C645="B",INDEX(Batters[[#All],[First]],MATCH(Table5[[#This Row],[PID]],Batters[[#All],[PID]],0)),INDEX(Table3[[#All],[First]],MATCH(Table5[[#This Row],[PID]],Table3[[#All],[PID]],0)))</f>
        <v>Doyle</v>
      </c>
      <c r="F645" s="50" t="str">
        <f>IF($C645="B",INDEX(Batters[[#All],[Last]],MATCH(A645,Batters[[#All],[PID]],0)),INDEX(Table3[[#All],[Last]],MATCH(A645,Table3[[#All],[PID]],0)))</f>
        <v>Jewell</v>
      </c>
      <c r="G645" s="56">
        <f>IF($C645="B",INDEX(Batters[[#All],[Age]],MATCH(Table5[[#This Row],[PID]],Batters[[#All],[PID]],0)),INDEX(Table3[[#All],[Age]],MATCH(Table5[[#This Row],[PID]],Table3[[#All],[PID]],0)))</f>
        <v>18</v>
      </c>
      <c r="H645" s="52" t="str">
        <f>IF($C645="B",INDEX(Batters[[#All],[B]],MATCH(Table5[[#This Row],[PID]],Batters[[#All],[PID]],0)),INDEX(Table3[[#All],[B]],MATCH(Table5[[#This Row],[PID]],Table3[[#All],[PID]],0)))</f>
        <v>R</v>
      </c>
      <c r="I645" s="52" t="str">
        <f>IF($C645="B",INDEX(Batters[[#All],[T]],MATCH(Table5[[#This Row],[PID]],Batters[[#All],[PID]],0)),INDEX(Table3[[#All],[T]],MATCH(Table5[[#This Row],[PID]],Table3[[#All],[PID]],0)))</f>
        <v>R</v>
      </c>
      <c r="J645" s="52" t="str">
        <f>IF($C645="B",INDEX(Batters[[#All],[WE]],MATCH(Table5[[#This Row],[PID]],Batters[[#All],[PID]],0)),INDEX(Table3[[#All],[WE]],MATCH(Table5[[#This Row],[PID]],Table3[[#All],[PID]],0)))</f>
        <v>Low</v>
      </c>
      <c r="K645" s="52" t="str">
        <f>IF($C645="B",INDEX(Batters[[#All],[INT]],MATCH(Table5[[#This Row],[PID]],Batters[[#All],[PID]],0)),INDEX(Table3[[#All],[INT]],MATCH(Table5[[#This Row],[PID]],Table3[[#All],[PID]],0)))</f>
        <v>Normal</v>
      </c>
      <c r="L645" s="60">
        <f>IF($C645="B",INDEX(Batters[[#All],[CON P]],MATCH(Table5[[#This Row],[PID]],Batters[[#All],[PID]],0)),INDEX(Table3[[#All],[STU P]],MATCH(Table5[[#This Row],[PID]],Table3[[#All],[PID]],0)))</f>
        <v>4</v>
      </c>
      <c r="M645" s="56">
        <f>IF($C645="B",INDEX(Batters[[#All],[GAP P]],MATCH(Table5[[#This Row],[PID]],Batters[[#All],[PID]],0)),INDEX(Table3[[#All],[MOV P]],MATCH(Table5[[#This Row],[PID]],Table3[[#All],[PID]],0)))</f>
        <v>2</v>
      </c>
      <c r="N645" s="56">
        <f>IF($C645="B",INDEX(Batters[[#All],[POW P]],MATCH(Table5[[#This Row],[PID]],Batters[[#All],[PID]],0)),INDEX(Table3[[#All],[CON P]],MATCH(Table5[[#This Row],[PID]],Table3[[#All],[PID]],0)))</f>
        <v>4</v>
      </c>
      <c r="O645" s="56" t="str">
        <f>IF($C645="B",INDEX(Batters[[#All],[EYE P]],MATCH(Table5[[#This Row],[PID]],Batters[[#All],[PID]],0)),INDEX(Table3[[#All],[VELO]],MATCH(Table5[[#This Row],[PID]],Table3[[#All],[PID]],0)))</f>
        <v>84-86 Mph</v>
      </c>
      <c r="P645" s="56">
        <f>IF($C645="B",INDEX(Batters[[#All],[K P]],MATCH(Table5[[#This Row],[PID]],Batters[[#All],[PID]],0)),INDEX(Table3[[#All],[STM]],MATCH(Table5[[#This Row],[PID]],Table3[[#All],[PID]],0)))</f>
        <v>6</v>
      </c>
      <c r="Q645" s="61">
        <f>IF($C645="B",INDEX(Batters[[#All],[Tot]],MATCH(Table5[[#This Row],[PID]],Batters[[#All],[PID]],0)),INDEX(Table3[[#All],[Tot]],MATCH(Table5[[#This Row],[PID]],Table3[[#All],[PID]],0)))</f>
        <v>39.422324943078792</v>
      </c>
      <c r="R645" s="52">
        <f>IF($C645="B",INDEX(Batters[[#All],[zScore]],MATCH(Table5[[#This Row],[PID]],Batters[[#All],[PID]],0)),INDEX(Table3[[#All],[zScore]],MATCH(Table5[[#This Row],[PID]],Table3[[#All],[PID]],0)))</f>
        <v>0.23629575328687788</v>
      </c>
      <c r="S645" s="58" t="str">
        <f>IF($C645="B",INDEX(Batters[[#All],[DEM]],MATCH(Table5[[#This Row],[PID]],Batters[[#All],[PID]],0)),INDEX(Table3[[#All],[DEM]],MATCH(Table5[[#This Row],[PID]],Table3[[#All],[PID]],0)))</f>
        <v>$130k</v>
      </c>
      <c r="T645" s="62">
        <f>IF($C645="B",INDEX(Batters[[#All],[Rnk]],MATCH(Table5[[#This Row],[PID]],Batters[[#All],[PID]],0)),INDEX(Table3[[#All],[Rnk]],MATCH(Table5[[#This Row],[PID]],Table3[[#All],[PID]],0)))</f>
        <v>254</v>
      </c>
      <c r="U645" s="68">
        <f>IF($C645="B",VLOOKUP($A645,Bat!$A$4:$BA$1621,47,FALSE),VLOOKUP($A645,Pit!$A$4:$BF$1557,56,FALSE))</f>
        <v>0</v>
      </c>
      <c r="V645" s="50">
        <f>IF($C645="B",VLOOKUP($A645,Bat!$A$4:$BA$1621,48,FALSE),VLOOKUP($A645,Pit!$A$4:$BF$1557,57,FALSE))</f>
        <v>0</v>
      </c>
      <c r="W645" s="50">
        <f>Table5[[#This Row],[posRnk]]+Table5[[#This Row],[zRnk]]+IF($W$3&lt;&gt;Table5[[#This Row],[Type]],50,0)</f>
        <v>749</v>
      </c>
      <c r="X645" s="51">
        <f>RANK(Table5[[#This Row],[zScore]],Table5[[#All],[zScore]])</f>
        <v>445</v>
      </c>
      <c r="Y645" s="50" t="str">
        <f>IFERROR(INDEX(DraftResults[[#All],[OVR]],MATCH(Table5[[#This Row],[PID]],DraftResults[[#All],[Player ID]],0)),"")</f>
        <v/>
      </c>
      <c r="Z6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5" s="50" t="str">
        <f>IFERROR(INDEX(DraftResults[[#All],[Pick in Round]],MATCH(Table5[[#This Row],[PID]],DraftResults[[#All],[Player ID]],0)),"")</f>
        <v/>
      </c>
      <c r="AB645" s="50" t="str">
        <f>IFERROR(INDEX(DraftResults[[#All],[Team Name]],MATCH(Table5[[#This Row],[PID]],DraftResults[[#All],[Player ID]],0)),"")</f>
        <v/>
      </c>
      <c r="AC645" s="50" t="str">
        <f>IF(Table5[[#This Row],[Ovr]]="","",IF(Table5[[#This Row],[cmbList]]="","",Table5[[#This Row],[cmbList]]-Table5[[#This Row],[Ovr]]))</f>
        <v/>
      </c>
      <c r="AD645" s="54" t="str">
        <f>IF(ISERROR(VLOOKUP($AB645&amp;"-"&amp;$E645&amp;" "&amp;F645,Bonuses!$B$1:$G$1006,4,FALSE)),"",INT(VLOOKUP($AB645&amp;"-"&amp;$E645&amp;" "&amp;$F645,Bonuses!$B$1:$G$1006,4,FALSE)))</f>
        <v/>
      </c>
      <c r="AE6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6" spans="1:31" s="50" customFormat="1" x14ac:dyDescent="0.25">
      <c r="A646" s="50">
        <v>17568</v>
      </c>
      <c r="B646" s="50">
        <f>COUNTIF(Table5[PID],A646)</f>
        <v>1</v>
      </c>
      <c r="C646" s="50" t="str">
        <f>IF(COUNTIF(Table3[[#All],[PID]],A646)&gt;0,"P","B")</f>
        <v>P</v>
      </c>
      <c r="D646" s="59" t="str">
        <f>IF($C646="B",INDEX(Batters[[#All],[POS]],MATCH(Table5[[#This Row],[PID]],Batters[[#All],[PID]],0)),INDEX(Table3[[#All],[POS]],MATCH(Table5[[#This Row],[PID]],Table3[[#All],[PID]],0)))</f>
        <v>RP</v>
      </c>
      <c r="E646" s="52" t="str">
        <f>IF($C646="B",INDEX(Batters[[#All],[First]],MATCH(Table5[[#This Row],[PID]],Batters[[#All],[PID]],0)),INDEX(Table3[[#All],[First]],MATCH(Table5[[#This Row],[PID]],Table3[[#All],[PID]],0)))</f>
        <v>Kirby</v>
      </c>
      <c r="F646" s="50" t="str">
        <f>IF($C646="B",INDEX(Batters[[#All],[Last]],MATCH(A646,Batters[[#All],[PID]],0)),INDEX(Table3[[#All],[Last]],MATCH(A646,Table3[[#All],[PID]],0)))</f>
        <v>Howard</v>
      </c>
      <c r="G646" s="56">
        <f>IF($C646="B",INDEX(Batters[[#All],[Age]],MATCH(Table5[[#This Row],[PID]],Batters[[#All],[PID]],0)),INDEX(Table3[[#All],[Age]],MATCH(Table5[[#This Row],[PID]],Table3[[#All],[PID]],0)))</f>
        <v>18</v>
      </c>
      <c r="H646" s="52" t="str">
        <f>IF($C646="B",INDEX(Batters[[#All],[B]],MATCH(Table5[[#This Row],[PID]],Batters[[#All],[PID]],0)),INDEX(Table3[[#All],[B]],MATCH(Table5[[#This Row],[PID]],Table3[[#All],[PID]],0)))</f>
        <v>R</v>
      </c>
      <c r="I646" s="52" t="str">
        <f>IF($C646="B",INDEX(Batters[[#All],[T]],MATCH(Table5[[#This Row],[PID]],Batters[[#All],[PID]],0)),INDEX(Table3[[#All],[T]],MATCH(Table5[[#This Row],[PID]],Table3[[#All],[PID]],0)))</f>
        <v>R</v>
      </c>
      <c r="J646" s="52" t="str">
        <f>IF($C646="B",INDEX(Batters[[#All],[WE]],MATCH(Table5[[#This Row],[PID]],Batters[[#All],[PID]],0)),INDEX(Table3[[#All],[WE]],MATCH(Table5[[#This Row],[PID]],Table3[[#All],[PID]],0)))</f>
        <v>Low</v>
      </c>
      <c r="K646" s="52" t="str">
        <f>IF($C646="B",INDEX(Batters[[#All],[INT]],MATCH(Table5[[#This Row],[PID]],Batters[[#All],[PID]],0)),INDEX(Table3[[#All],[INT]],MATCH(Table5[[#This Row],[PID]],Table3[[#All],[PID]],0)))</f>
        <v>Normal</v>
      </c>
      <c r="L646" s="60">
        <f>IF($C646="B",INDEX(Batters[[#All],[CON P]],MATCH(Table5[[#This Row],[PID]],Batters[[#All],[PID]],0)),INDEX(Table3[[#All],[STU P]],MATCH(Table5[[#This Row],[PID]],Table3[[#All],[PID]],0)))</f>
        <v>5</v>
      </c>
      <c r="M646" s="56">
        <f>IF($C646="B",INDEX(Batters[[#All],[GAP P]],MATCH(Table5[[#This Row],[PID]],Batters[[#All],[PID]],0)),INDEX(Table3[[#All],[MOV P]],MATCH(Table5[[#This Row],[PID]],Table3[[#All],[PID]],0)))</f>
        <v>2</v>
      </c>
      <c r="N646" s="56">
        <f>IF($C646="B",INDEX(Batters[[#All],[POW P]],MATCH(Table5[[#This Row],[PID]],Batters[[#All],[PID]],0)),INDEX(Table3[[#All],[CON P]],MATCH(Table5[[#This Row],[PID]],Table3[[#All],[PID]],0)))</f>
        <v>3</v>
      </c>
      <c r="O646" s="56" t="str">
        <f>IF($C646="B",INDEX(Batters[[#All],[EYE P]],MATCH(Table5[[#This Row],[PID]],Batters[[#All],[PID]],0)),INDEX(Table3[[#All],[VELO]],MATCH(Table5[[#This Row],[PID]],Table3[[#All],[PID]],0)))</f>
        <v>93-95 Mph</v>
      </c>
      <c r="P646" s="56">
        <f>IF($C646="B",INDEX(Batters[[#All],[K P]],MATCH(Table5[[#This Row],[PID]],Batters[[#All],[PID]],0)),INDEX(Table3[[#All],[STM]],MATCH(Table5[[#This Row],[PID]],Table3[[#All],[PID]],0)))</f>
        <v>6</v>
      </c>
      <c r="Q646" s="61">
        <f>IF($C646="B",INDEX(Batters[[#All],[Tot]],MATCH(Table5[[#This Row],[PID]],Batters[[#All],[PID]],0)),INDEX(Table3[[#All],[Tot]],MATCH(Table5[[#This Row],[PID]],Table3[[#All],[PID]],0)))</f>
        <v>39.302454259391027</v>
      </c>
      <c r="R646" s="52">
        <f>IF($C646="B",INDEX(Batters[[#All],[zScore]],MATCH(Table5[[#This Row],[PID]],Batters[[#All],[PID]],0)),INDEX(Table3[[#All],[zScore]],MATCH(Table5[[#This Row],[PID]],Table3[[#All],[PID]],0)))</f>
        <v>0.22832093987658256</v>
      </c>
      <c r="S646" s="58" t="str">
        <f>IF($C646="B",INDEX(Batters[[#All],[DEM]],MATCH(Table5[[#This Row],[PID]],Batters[[#All],[PID]],0)),INDEX(Table3[[#All],[DEM]],MATCH(Table5[[#This Row],[PID]],Table3[[#All],[PID]],0)))</f>
        <v>$2.4m</v>
      </c>
      <c r="T646" s="62">
        <f>IF($C646="B",INDEX(Batters[[#All],[Rnk]],MATCH(Table5[[#This Row],[PID]],Batters[[#All],[PID]],0)),INDEX(Table3[[#All],[Rnk]],MATCH(Table5[[#This Row],[PID]],Table3[[#All],[PID]],0)))</f>
        <v>257</v>
      </c>
      <c r="U646" s="68">
        <f>IF($C646="B",VLOOKUP($A646,Bat!$A$4:$BA$1621,47,FALSE),VLOOKUP($A646,Pit!$A$4:$BF$1557,56,FALSE))</f>
        <v>0</v>
      </c>
      <c r="V646" s="50">
        <f>IF($C646="B",VLOOKUP($A646,Bat!$A$4:$BA$1621,48,FALSE),VLOOKUP($A646,Pit!$A$4:$BF$1557,57,FALSE))</f>
        <v>0</v>
      </c>
      <c r="W646" s="50">
        <f>Table5[[#This Row],[posRnk]]+Table5[[#This Row],[zRnk]]+IF($W$3&lt;&gt;Table5[[#This Row],[Type]],50,0)</f>
        <v>756</v>
      </c>
      <c r="X646" s="51">
        <f>RANK(Table5[[#This Row],[zScore]],Table5[[#All],[zScore]])</f>
        <v>449</v>
      </c>
      <c r="Y646" s="50" t="str">
        <f>IFERROR(INDEX(DraftResults[[#All],[OVR]],MATCH(Table5[[#This Row],[PID]],DraftResults[[#All],[Player ID]],0)),"")</f>
        <v/>
      </c>
      <c r="Z6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6" s="50" t="str">
        <f>IFERROR(INDEX(DraftResults[[#All],[Pick in Round]],MATCH(Table5[[#This Row],[PID]],DraftResults[[#All],[Player ID]],0)),"")</f>
        <v/>
      </c>
      <c r="AB646" s="50" t="str">
        <f>IFERROR(INDEX(DraftResults[[#All],[Team Name]],MATCH(Table5[[#This Row],[PID]],DraftResults[[#All],[Player ID]],0)),"")</f>
        <v/>
      </c>
      <c r="AC646" s="50" t="str">
        <f>IF(Table5[[#This Row],[Ovr]]="","",IF(Table5[[#This Row],[cmbList]]="","",Table5[[#This Row],[cmbList]]-Table5[[#This Row],[Ovr]]))</f>
        <v/>
      </c>
      <c r="AD646" s="54" t="str">
        <f>IF(ISERROR(VLOOKUP($AB646&amp;"-"&amp;$E646&amp;" "&amp;F646,Bonuses!$B$1:$G$1006,4,FALSE)),"",INT(VLOOKUP($AB646&amp;"-"&amp;$E646&amp;" "&amp;$F646,Bonuses!$B$1:$G$1006,4,FALSE)))</f>
        <v/>
      </c>
      <c r="AE6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7" spans="1:31" s="50" customFormat="1" x14ac:dyDescent="0.25">
      <c r="A647" s="50">
        <v>18277</v>
      </c>
      <c r="B647" s="50">
        <f>COUNTIF(Table5[PID],A647)</f>
        <v>1</v>
      </c>
      <c r="C647" s="50" t="str">
        <f>IF(COUNTIF(Table3[[#All],[PID]],A647)&gt;0,"P","B")</f>
        <v>P</v>
      </c>
      <c r="D647" s="59" t="str">
        <f>IF($C647="B",INDEX(Batters[[#All],[POS]],MATCH(Table5[[#This Row],[PID]],Batters[[#All],[PID]],0)),INDEX(Table3[[#All],[POS]],MATCH(Table5[[#This Row],[PID]],Table3[[#All],[PID]],0)))</f>
        <v>RP</v>
      </c>
      <c r="E647" s="52" t="str">
        <f>IF($C647="B",INDEX(Batters[[#All],[First]],MATCH(Table5[[#This Row],[PID]],Batters[[#All],[PID]],0)),INDEX(Table3[[#All],[First]],MATCH(Table5[[#This Row],[PID]],Table3[[#All],[PID]],0)))</f>
        <v>Raleigh</v>
      </c>
      <c r="F647" s="50" t="str">
        <f>IF($C647="B",INDEX(Batters[[#All],[Last]],MATCH(A647,Batters[[#All],[PID]],0)),INDEX(Table3[[#All],[Last]],MATCH(A647,Table3[[#All],[PID]],0)))</f>
        <v>Dunbar</v>
      </c>
      <c r="G647" s="56">
        <f>IF($C647="B",INDEX(Batters[[#All],[Age]],MATCH(Table5[[#This Row],[PID]],Batters[[#All],[PID]],0)),INDEX(Table3[[#All],[Age]],MATCH(Table5[[#This Row],[PID]],Table3[[#All],[PID]],0)))</f>
        <v>18</v>
      </c>
      <c r="H647" s="52" t="str">
        <f>IF($C647="B",INDEX(Batters[[#All],[B]],MATCH(Table5[[#This Row],[PID]],Batters[[#All],[PID]],0)),INDEX(Table3[[#All],[B]],MATCH(Table5[[#This Row],[PID]],Table3[[#All],[PID]],0)))</f>
        <v>R</v>
      </c>
      <c r="I647" s="52" t="str">
        <f>IF($C647="B",INDEX(Batters[[#All],[T]],MATCH(Table5[[#This Row],[PID]],Batters[[#All],[PID]],0)),INDEX(Table3[[#All],[T]],MATCH(Table5[[#This Row],[PID]],Table3[[#All],[PID]],0)))</f>
        <v>R</v>
      </c>
      <c r="J647" s="52" t="str">
        <f>IF($C647="B",INDEX(Batters[[#All],[WE]],MATCH(Table5[[#This Row],[PID]],Batters[[#All],[PID]],0)),INDEX(Table3[[#All],[WE]],MATCH(Table5[[#This Row],[PID]],Table3[[#All],[PID]],0)))</f>
        <v>Low</v>
      </c>
      <c r="K647" s="52" t="str">
        <f>IF($C647="B",INDEX(Batters[[#All],[INT]],MATCH(Table5[[#This Row],[PID]],Batters[[#All],[PID]],0)),INDEX(Table3[[#All],[INT]],MATCH(Table5[[#This Row],[PID]],Table3[[#All],[PID]],0)))</f>
        <v>Normal</v>
      </c>
      <c r="L647" s="60">
        <f>IF($C647="B",INDEX(Batters[[#All],[CON P]],MATCH(Table5[[#This Row],[PID]],Batters[[#All],[PID]],0)),INDEX(Table3[[#All],[STU P]],MATCH(Table5[[#This Row],[PID]],Table3[[#All],[PID]],0)))</f>
        <v>5</v>
      </c>
      <c r="M647" s="56">
        <f>IF($C647="B",INDEX(Batters[[#All],[GAP P]],MATCH(Table5[[#This Row],[PID]],Batters[[#All],[PID]],0)),INDEX(Table3[[#All],[MOV P]],MATCH(Table5[[#This Row],[PID]],Table3[[#All],[PID]],0)))</f>
        <v>2</v>
      </c>
      <c r="N647" s="56">
        <f>IF($C647="B",INDEX(Batters[[#All],[POW P]],MATCH(Table5[[#This Row],[PID]],Batters[[#All],[PID]],0)),INDEX(Table3[[#All],[CON P]],MATCH(Table5[[#This Row],[PID]],Table3[[#All],[PID]],0)))</f>
        <v>3</v>
      </c>
      <c r="O647" s="56" t="str">
        <f>IF($C647="B",INDEX(Batters[[#All],[EYE P]],MATCH(Table5[[#This Row],[PID]],Batters[[#All],[PID]],0)),INDEX(Table3[[#All],[VELO]],MATCH(Table5[[#This Row],[PID]],Table3[[#All],[PID]],0)))</f>
        <v>91-93 Mph</v>
      </c>
      <c r="P647" s="56">
        <f>IF($C647="B",INDEX(Batters[[#All],[K P]],MATCH(Table5[[#This Row],[PID]],Batters[[#All],[PID]],0)),INDEX(Table3[[#All],[STM]],MATCH(Table5[[#This Row],[PID]],Table3[[#All],[PID]],0)))</f>
        <v>10</v>
      </c>
      <c r="Q647" s="61">
        <f>IF($C647="B",INDEX(Batters[[#All],[Tot]],MATCH(Table5[[#This Row],[PID]],Batters[[#All],[PID]],0)),INDEX(Table3[[#All],[Tot]],MATCH(Table5[[#This Row],[PID]],Table3[[#All],[PID]],0)))</f>
        <v>39.294700947483207</v>
      </c>
      <c r="R647" s="52">
        <f>IF($C647="B",INDEX(Batters[[#All],[zScore]],MATCH(Table5[[#This Row],[PID]],Batters[[#All],[PID]],0)),INDEX(Table3[[#All],[zScore]],MATCH(Table5[[#This Row],[PID]],Table3[[#All],[PID]],0)))</f>
        <v>0.2278051238832598</v>
      </c>
      <c r="S647" s="58" t="str">
        <f>IF($C647="B",INDEX(Batters[[#All],[DEM]],MATCH(Table5[[#This Row],[PID]],Batters[[#All],[PID]],0)),INDEX(Table3[[#All],[DEM]],MATCH(Table5[[#This Row],[PID]],Table3[[#All],[PID]],0)))</f>
        <v>$110k</v>
      </c>
      <c r="T647" s="62">
        <f>IF($C647="B",INDEX(Batters[[#All],[Rnk]],MATCH(Table5[[#This Row],[PID]],Batters[[#All],[PID]],0)),INDEX(Table3[[#All],[Rnk]],MATCH(Table5[[#This Row],[PID]],Table3[[#All],[PID]],0)))</f>
        <v>258</v>
      </c>
      <c r="U647" s="68">
        <f>IF($C647="B",VLOOKUP($A647,Bat!$A$4:$BA$1621,47,FALSE),VLOOKUP($A647,Pit!$A$4:$BF$1557,56,FALSE))</f>
        <v>0</v>
      </c>
      <c r="V647" s="50">
        <f>IF($C647="B",VLOOKUP($A647,Bat!$A$4:$BA$1621,48,FALSE),VLOOKUP($A647,Pit!$A$4:$BF$1557,57,FALSE))</f>
        <v>0</v>
      </c>
      <c r="W647" s="50">
        <f>Table5[[#This Row],[posRnk]]+Table5[[#This Row],[zRnk]]+IF($W$3&lt;&gt;Table5[[#This Row],[Type]],50,0)</f>
        <v>758</v>
      </c>
      <c r="X647" s="51">
        <f>RANK(Table5[[#This Row],[zScore]],Table5[[#All],[zScore]])</f>
        <v>450</v>
      </c>
      <c r="Y647" s="50" t="str">
        <f>IFERROR(INDEX(DraftResults[[#All],[OVR]],MATCH(Table5[[#This Row],[PID]],DraftResults[[#All],[Player ID]],0)),"")</f>
        <v/>
      </c>
      <c r="Z6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7" s="50" t="str">
        <f>IFERROR(INDEX(DraftResults[[#All],[Pick in Round]],MATCH(Table5[[#This Row],[PID]],DraftResults[[#All],[Player ID]],0)),"")</f>
        <v/>
      </c>
      <c r="AB647" s="50" t="str">
        <f>IFERROR(INDEX(DraftResults[[#All],[Team Name]],MATCH(Table5[[#This Row],[PID]],DraftResults[[#All],[Player ID]],0)),"")</f>
        <v/>
      </c>
      <c r="AC647" s="50" t="str">
        <f>IF(Table5[[#This Row],[Ovr]]="","",IF(Table5[[#This Row],[cmbList]]="","",Table5[[#This Row],[cmbList]]-Table5[[#This Row],[Ovr]]))</f>
        <v/>
      </c>
      <c r="AD647" s="54" t="str">
        <f>IF(ISERROR(VLOOKUP($AB647&amp;"-"&amp;$E647&amp;" "&amp;F647,Bonuses!$B$1:$G$1006,4,FALSE)),"",INT(VLOOKUP($AB647&amp;"-"&amp;$E647&amp;" "&amp;$F647,Bonuses!$B$1:$G$1006,4,FALSE)))</f>
        <v/>
      </c>
      <c r="AE6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8" spans="1:31" s="50" customFormat="1" x14ac:dyDescent="0.25">
      <c r="A648" s="50">
        <v>21094</v>
      </c>
      <c r="B648" s="50">
        <f>COUNTIF(Table5[PID],A648)</f>
        <v>1</v>
      </c>
      <c r="C648" s="50" t="str">
        <f>IF(COUNTIF(Table3[[#All],[PID]],A648)&gt;0,"P","B")</f>
        <v>B</v>
      </c>
      <c r="D648" s="59" t="str">
        <f>IF($C648="B",INDEX(Batters[[#All],[POS]],MATCH(Table5[[#This Row],[PID]],Batters[[#All],[PID]],0)),INDEX(Table3[[#All],[POS]],MATCH(Table5[[#This Row],[PID]],Table3[[#All],[PID]],0)))</f>
        <v>RF</v>
      </c>
      <c r="E648" s="52" t="str">
        <f>IF($C648="B",INDEX(Batters[[#All],[First]],MATCH(Table5[[#This Row],[PID]],Batters[[#All],[PID]],0)),INDEX(Table3[[#All],[First]],MATCH(Table5[[#This Row],[PID]],Table3[[#All],[PID]],0)))</f>
        <v>Thomas</v>
      </c>
      <c r="F648" s="50" t="str">
        <f>IF($C648="B",INDEX(Batters[[#All],[Last]],MATCH(A648,Batters[[#All],[PID]],0)),INDEX(Table3[[#All],[Last]],MATCH(A648,Table3[[#All],[PID]],0)))</f>
        <v>Gardner</v>
      </c>
      <c r="G648" s="56">
        <f>IF($C648="B",INDEX(Batters[[#All],[Age]],MATCH(Table5[[#This Row],[PID]],Batters[[#All],[PID]],0)),INDEX(Table3[[#All],[Age]],MATCH(Table5[[#This Row],[PID]],Table3[[#All],[PID]],0)))</f>
        <v>18</v>
      </c>
      <c r="H648" s="52" t="str">
        <f>IF($C648="B",INDEX(Batters[[#All],[B]],MATCH(Table5[[#This Row],[PID]],Batters[[#All],[PID]],0)),INDEX(Table3[[#All],[B]],MATCH(Table5[[#This Row],[PID]],Table3[[#All],[PID]],0)))</f>
        <v>S</v>
      </c>
      <c r="I648" s="52" t="str">
        <f>IF($C648="B",INDEX(Batters[[#All],[T]],MATCH(Table5[[#This Row],[PID]],Batters[[#All],[PID]],0)),INDEX(Table3[[#All],[T]],MATCH(Table5[[#This Row],[PID]],Table3[[#All],[PID]],0)))</f>
        <v>L</v>
      </c>
      <c r="J648" s="52" t="str">
        <f>IF($C648="B",INDEX(Batters[[#All],[WE]],MATCH(Table5[[#This Row],[PID]],Batters[[#All],[PID]],0)),INDEX(Table3[[#All],[WE]],MATCH(Table5[[#This Row],[PID]],Table3[[#All],[PID]],0)))</f>
        <v>High</v>
      </c>
      <c r="K648" s="52" t="str">
        <f>IF($C648="B",INDEX(Batters[[#All],[INT]],MATCH(Table5[[#This Row],[PID]],Batters[[#All],[PID]],0)),INDEX(Table3[[#All],[INT]],MATCH(Table5[[#This Row],[PID]],Table3[[#All],[PID]],0)))</f>
        <v>Normal</v>
      </c>
      <c r="L648" s="60">
        <f>IF($C648="B",INDEX(Batters[[#All],[CON P]],MATCH(Table5[[#This Row],[PID]],Batters[[#All],[PID]],0)),INDEX(Table3[[#All],[STU P]],MATCH(Table5[[#This Row],[PID]],Table3[[#All],[PID]],0)))</f>
        <v>3</v>
      </c>
      <c r="M648" s="56">
        <f>IF($C648="B",INDEX(Batters[[#All],[GAP P]],MATCH(Table5[[#This Row],[PID]],Batters[[#All],[PID]],0)),INDEX(Table3[[#All],[MOV P]],MATCH(Table5[[#This Row],[PID]],Table3[[#All],[PID]],0)))</f>
        <v>5</v>
      </c>
      <c r="N648" s="56">
        <f>IF($C648="B",INDEX(Batters[[#All],[POW P]],MATCH(Table5[[#This Row],[PID]],Batters[[#All],[PID]],0)),INDEX(Table3[[#All],[CON P]],MATCH(Table5[[#This Row],[PID]],Table3[[#All],[PID]],0)))</f>
        <v>4</v>
      </c>
      <c r="O648" s="56">
        <f>IF($C648="B",INDEX(Batters[[#All],[EYE P]],MATCH(Table5[[#This Row],[PID]],Batters[[#All],[PID]],0)),INDEX(Table3[[#All],[VELO]],MATCH(Table5[[#This Row],[PID]],Table3[[#All],[PID]],0)))</f>
        <v>6</v>
      </c>
      <c r="P648" s="56">
        <f>IF($C648="B",INDEX(Batters[[#All],[K P]],MATCH(Table5[[#This Row],[PID]],Batters[[#All],[PID]],0)),INDEX(Table3[[#All],[STM]],MATCH(Table5[[#This Row],[PID]],Table3[[#All],[PID]],0)))</f>
        <v>4</v>
      </c>
      <c r="Q648" s="61">
        <f>IF($C648="B",INDEX(Batters[[#All],[Tot]],MATCH(Table5[[#This Row],[PID]],Batters[[#All],[PID]],0)),INDEX(Table3[[#All],[Tot]],MATCH(Table5[[#This Row],[PID]],Table3[[#All],[PID]],0)))</f>
        <v>45.107417868863877</v>
      </c>
      <c r="R648" s="52">
        <f>IF($C648="B",INDEX(Batters[[#All],[zScore]],MATCH(Table5[[#This Row],[PID]],Batters[[#All],[PID]],0)),INDEX(Table3[[#All],[zScore]],MATCH(Table5[[#This Row],[PID]],Table3[[#All],[PID]],0)))</f>
        <v>0.21627009886122225</v>
      </c>
      <c r="S648" s="58" t="str">
        <f>IF($C648="B",INDEX(Batters[[#All],[DEM]],MATCH(Table5[[#This Row],[PID]],Batters[[#All],[PID]],0)),INDEX(Table3[[#All],[DEM]],MATCH(Table5[[#This Row],[PID]],Table3[[#All],[PID]],0)))</f>
        <v>$65k</v>
      </c>
      <c r="T648" s="62">
        <f>IF($C648="B",INDEX(Batters[[#All],[Rnk]],MATCH(Table5[[#This Row],[PID]],Batters[[#All],[PID]],0)),INDEX(Table3[[#All],[Rnk]],MATCH(Table5[[#This Row],[PID]],Table3[[#All],[PID]],0)))</f>
        <v>197</v>
      </c>
      <c r="U648" s="68">
        <f>IF($C648="B",VLOOKUP($A648,Bat!$A$4:$BA$1621,47,FALSE),VLOOKUP($A648,Pit!$A$4:$BF$1557,56,FALSE))</f>
        <v>0</v>
      </c>
      <c r="V648" s="50">
        <f>IF($C648="B",VLOOKUP($A648,Bat!$A$4:$BA$1621,48,FALSE),VLOOKUP($A648,Pit!$A$4:$BF$1557,57,FALSE))</f>
        <v>0</v>
      </c>
      <c r="W648" s="50">
        <f>Table5[[#This Row],[posRnk]]+Table5[[#This Row],[zRnk]]+IF($W$3&lt;&gt;Table5[[#This Row],[Type]],50,0)</f>
        <v>704</v>
      </c>
      <c r="X648" s="51">
        <f>RANK(Table5[[#This Row],[zScore]],Table5[[#All],[zScore]])</f>
        <v>457</v>
      </c>
      <c r="Y648" s="50" t="str">
        <f>IFERROR(INDEX(DraftResults[[#All],[OVR]],MATCH(Table5[[#This Row],[PID]],DraftResults[[#All],[Player ID]],0)),"")</f>
        <v/>
      </c>
      <c r="Z6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8" s="50" t="str">
        <f>IFERROR(INDEX(DraftResults[[#All],[Pick in Round]],MATCH(Table5[[#This Row],[PID]],DraftResults[[#All],[Player ID]],0)),"")</f>
        <v/>
      </c>
      <c r="AB648" s="50" t="str">
        <f>IFERROR(INDEX(DraftResults[[#All],[Team Name]],MATCH(Table5[[#This Row],[PID]],DraftResults[[#All],[Player ID]],0)),"")</f>
        <v/>
      </c>
      <c r="AC648" s="50" t="str">
        <f>IF(Table5[[#This Row],[Ovr]]="","",IF(Table5[[#This Row],[cmbList]]="","",Table5[[#This Row],[cmbList]]-Table5[[#This Row],[Ovr]]))</f>
        <v/>
      </c>
      <c r="AD648" s="54" t="str">
        <f>IF(ISERROR(VLOOKUP($AB648&amp;"-"&amp;$E648&amp;" "&amp;F648,Bonuses!$B$1:$G$1006,4,FALSE)),"",INT(VLOOKUP($AB648&amp;"-"&amp;$E648&amp;" "&amp;$F648,Bonuses!$B$1:$G$1006,4,FALSE)))</f>
        <v/>
      </c>
      <c r="AE6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49" spans="1:31" s="50" customFormat="1" x14ac:dyDescent="0.25">
      <c r="A649" s="68">
        <v>20407</v>
      </c>
      <c r="B649" s="69">
        <f>COUNTIF(Table5[PID],A649)</f>
        <v>1</v>
      </c>
      <c r="C649" s="69" t="str">
        <f>IF(COUNTIF(Table3[[#All],[PID]],A649)&gt;0,"P","B")</f>
        <v>P</v>
      </c>
      <c r="D649" s="59" t="str">
        <f>IF($C649="B",INDEX(Batters[[#All],[POS]],MATCH(Table5[[#This Row],[PID]],Batters[[#All],[PID]],0)),INDEX(Table3[[#All],[POS]],MATCH(Table5[[#This Row],[PID]],Table3[[#All],[PID]],0)))</f>
        <v>SP</v>
      </c>
      <c r="E649" s="52" t="str">
        <f>IF($C649="B",INDEX(Batters[[#All],[First]],MATCH(Table5[[#This Row],[PID]],Batters[[#All],[PID]],0)),INDEX(Table3[[#All],[First]],MATCH(Table5[[#This Row],[PID]],Table3[[#All],[PID]],0)))</f>
        <v>Brendan</v>
      </c>
      <c r="F649" s="55" t="str">
        <f>IF($C649="B",INDEX(Batters[[#All],[Last]],MATCH(A649,Batters[[#All],[PID]],0)),INDEX(Table3[[#All],[Last]],MATCH(A649,Table3[[#All],[PID]],0)))</f>
        <v>Kennedy</v>
      </c>
      <c r="G649" s="56">
        <f>IF($C649="B",INDEX(Batters[[#All],[Age]],MATCH(Table5[[#This Row],[PID]],Batters[[#All],[PID]],0)),INDEX(Table3[[#All],[Age]],MATCH(Table5[[#This Row],[PID]],Table3[[#All],[PID]],0)))</f>
        <v>17</v>
      </c>
      <c r="H649" s="52" t="str">
        <f>IF($C649="B",INDEX(Batters[[#All],[B]],MATCH(Table5[[#This Row],[PID]],Batters[[#All],[PID]],0)),INDEX(Table3[[#All],[B]],MATCH(Table5[[#This Row],[PID]],Table3[[#All],[PID]],0)))</f>
        <v>L</v>
      </c>
      <c r="I649" s="52" t="str">
        <f>IF($C649="B",INDEX(Batters[[#All],[T]],MATCH(Table5[[#This Row],[PID]],Batters[[#All],[PID]],0)),INDEX(Table3[[#All],[T]],MATCH(Table5[[#This Row],[PID]],Table3[[#All],[PID]],0)))</f>
        <v>L</v>
      </c>
      <c r="J649" s="71" t="str">
        <f>IF($C649="B",INDEX(Batters[[#All],[WE]],MATCH(Table5[[#This Row],[PID]],Batters[[#All],[PID]],0)),INDEX(Table3[[#All],[WE]],MATCH(Table5[[#This Row],[PID]],Table3[[#All],[PID]],0)))</f>
        <v>Low</v>
      </c>
      <c r="K649" s="52" t="str">
        <f>IF($C649="B",INDEX(Batters[[#All],[INT]],MATCH(Table5[[#This Row],[PID]],Batters[[#All],[PID]],0)),INDEX(Table3[[#All],[INT]],MATCH(Table5[[#This Row],[PID]],Table3[[#All],[PID]],0)))</f>
        <v>Normal</v>
      </c>
      <c r="L649" s="60">
        <f>IF($C649="B",INDEX(Batters[[#All],[CON P]],MATCH(Table5[[#This Row],[PID]],Batters[[#All],[PID]],0)),INDEX(Table3[[#All],[STU P]],MATCH(Table5[[#This Row],[PID]],Table3[[#All],[PID]],0)))</f>
        <v>5</v>
      </c>
      <c r="M649" s="72">
        <f>IF($C649="B",INDEX(Batters[[#All],[GAP P]],MATCH(Table5[[#This Row],[PID]],Batters[[#All],[PID]],0)),INDEX(Table3[[#All],[MOV P]],MATCH(Table5[[#This Row],[PID]],Table3[[#All],[PID]],0)))</f>
        <v>2</v>
      </c>
      <c r="N649" s="72">
        <f>IF($C649="B",INDEX(Batters[[#All],[POW P]],MATCH(Table5[[#This Row],[PID]],Batters[[#All],[PID]],0)),INDEX(Table3[[#All],[CON P]],MATCH(Table5[[#This Row],[PID]],Table3[[#All],[PID]],0)))</f>
        <v>3</v>
      </c>
      <c r="O649" s="72" t="str">
        <f>IF($C649="B",INDEX(Batters[[#All],[EYE P]],MATCH(Table5[[#This Row],[PID]],Batters[[#All],[PID]],0)),INDEX(Table3[[#All],[VELO]],MATCH(Table5[[#This Row],[PID]],Table3[[#All],[PID]],0)))</f>
        <v>90-92 Mph</v>
      </c>
      <c r="P649" s="56">
        <f>IF($C649="B",INDEX(Batters[[#All],[K P]],MATCH(Table5[[#This Row],[PID]],Batters[[#All],[PID]],0)),INDEX(Table3[[#All],[STM]],MATCH(Table5[[#This Row],[PID]],Table3[[#All],[PID]],0)))</f>
        <v>8</v>
      </c>
      <c r="Q649" s="61">
        <f>IF($C649="B",INDEX(Batters[[#All],[Tot]],MATCH(Table5[[#This Row],[PID]],Batters[[#All],[PID]],0)),INDEX(Table3[[#All],[Tot]],MATCH(Table5[[#This Row],[PID]],Table3[[#All],[PID]],0)))</f>
        <v>39.105614604197193</v>
      </c>
      <c r="R649" s="52">
        <f>IF($C649="B",INDEX(Batters[[#All],[zScore]],MATCH(Table5[[#This Row],[PID]],Batters[[#All],[PID]],0)),INDEX(Table3[[#All],[zScore]],MATCH(Table5[[#This Row],[PID]],Table3[[#All],[PID]],0)))</f>
        <v>0.21522549840895436</v>
      </c>
      <c r="S649" s="78" t="str">
        <f>IF($C649="B",INDEX(Batters[[#All],[DEM]],MATCH(Table5[[#This Row],[PID]],Batters[[#All],[PID]],0)),INDEX(Table3[[#All],[DEM]],MATCH(Table5[[#This Row],[PID]],Table3[[#All],[PID]],0)))</f>
        <v>$65k</v>
      </c>
      <c r="T649" s="75">
        <f>IF($C649="B",INDEX(Batters[[#All],[Rnk]],MATCH(Table5[[#This Row],[PID]],Batters[[#All],[PID]],0)),INDEX(Table3[[#All],[Rnk]],MATCH(Table5[[#This Row],[PID]],Table3[[#All],[PID]],0)))</f>
        <v>261</v>
      </c>
      <c r="U649" s="68">
        <f>IF($C649="B",VLOOKUP($A649,Bat!$A$4:$BA$1621,47,FALSE),VLOOKUP($A649,Pit!$A$4:$BF$1557,56,FALSE))</f>
        <v>0</v>
      </c>
      <c r="V649" s="50">
        <f>IF($C649="B",VLOOKUP($A649,Bat!$A$4:$BA$1621,48,FALSE),VLOOKUP($A649,Pit!$A$4:$BF$1557,57,FALSE))</f>
        <v>0</v>
      </c>
      <c r="W649" s="69">
        <f>Table5[[#This Row],[posRnk]]+Table5[[#This Row],[zRnk]]+IF($W$3&lt;&gt;Table5[[#This Row],[Type]],50,0)</f>
        <v>771</v>
      </c>
      <c r="X649" s="73">
        <f>RANK(Table5[[#This Row],[zScore]],Table5[[#All],[zScore]])</f>
        <v>460</v>
      </c>
      <c r="Y649" s="69" t="str">
        <f>IFERROR(INDEX(DraftResults[[#All],[OVR]],MATCH(Table5[[#This Row],[PID]],DraftResults[[#All],[Player ID]],0)),"")</f>
        <v/>
      </c>
      <c r="Z64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49" s="69" t="str">
        <f>IFERROR(INDEX(DraftResults[[#All],[Pick in Round]],MATCH(Table5[[#This Row],[PID]],DraftResults[[#All],[Player ID]],0)),"")</f>
        <v/>
      </c>
      <c r="AB649" s="69" t="str">
        <f>IFERROR(INDEX(DraftResults[[#All],[Team Name]],MATCH(Table5[[#This Row],[PID]],DraftResults[[#All],[Player ID]],0)),"")</f>
        <v/>
      </c>
      <c r="AC649" s="69" t="str">
        <f>IF(Table5[[#This Row],[Ovr]]="","",IF(Table5[[#This Row],[cmbList]]="","",Table5[[#This Row],[cmbList]]-Table5[[#This Row],[Ovr]]))</f>
        <v/>
      </c>
      <c r="AD649" s="77" t="str">
        <f>IF(ISERROR(VLOOKUP($AB649&amp;"-"&amp;$E649&amp;" "&amp;F649,Bonuses!$B$1:$G$1006,4,FALSE)),"",INT(VLOOKUP($AB649&amp;"-"&amp;$E649&amp;" "&amp;$F649,Bonuses!$B$1:$G$1006,4,FALSE)))</f>
        <v/>
      </c>
      <c r="AE64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0" spans="1:31" s="50" customFormat="1" x14ac:dyDescent="0.25">
      <c r="A650" s="50">
        <v>945</v>
      </c>
      <c r="B650" s="50">
        <f>COUNTIF(Table5[PID],A650)</f>
        <v>1</v>
      </c>
      <c r="C650" s="50" t="str">
        <f>IF(COUNTIF(Table3[[#All],[PID]],A650)&gt;0,"P","B")</f>
        <v>P</v>
      </c>
      <c r="D650" s="59" t="str">
        <f>IF($C650="B",INDEX(Batters[[#All],[POS]],MATCH(Table5[[#This Row],[PID]],Batters[[#All],[PID]],0)),INDEX(Table3[[#All],[POS]],MATCH(Table5[[#This Row],[PID]],Table3[[#All],[PID]],0)))</f>
        <v>RP</v>
      </c>
      <c r="E650" s="52" t="str">
        <f>IF($C650="B",INDEX(Batters[[#All],[First]],MATCH(Table5[[#This Row],[PID]],Batters[[#All],[PID]],0)),INDEX(Table3[[#All],[First]],MATCH(Table5[[#This Row],[PID]],Table3[[#All],[PID]],0)))</f>
        <v>Esteban</v>
      </c>
      <c r="F650" s="50" t="str">
        <f>IF($C650="B",INDEX(Batters[[#All],[Last]],MATCH(A650,Batters[[#All],[PID]],0)),INDEX(Table3[[#All],[Last]],MATCH(A650,Table3[[#All],[PID]],0)))</f>
        <v>Sánchez</v>
      </c>
      <c r="G650" s="56">
        <f>IF($C650="B",INDEX(Batters[[#All],[Age]],MATCH(Table5[[#This Row],[PID]],Batters[[#All],[PID]],0)),INDEX(Table3[[#All],[Age]],MATCH(Table5[[#This Row],[PID]],Table3[[#All],[PID]],0)))</f>
        <v>18</v>
      </c>
      <c r="H650" s="52" t="str">
        <f>IF($C650="B",INDEX(Batters[[#All],[B]],MATCH(Table5[[#This Row],[PID]],Batters[[#All],[PID]],0)),INDEX(Table3[[#All],[B]],MATCH(Table5[[#This Row],[PID]],Table3[[#All],[PID]],0)))</f>
        <v>R</v>
      </c>
      <c r="I650" s="52" t="str">
        <f>IF($C650="B",INDEX(Batters[[#All],[T]],MATCH(Table5[[#This Row],[PID]],Batters[[#All],[PID]],0)),INDEX(Table3[[#All],[T]],MATCH(Table5[[#This Row],[PID]],Table3[[#All],[PID]],0)))</f>
        <v>R</v>
      </c>
      <c r="J650" s="52" t="str">
        <f>IF($C650="B",INDEX(Batters[[#All],[WE]],MATCH(Table5[[#This Row],[PID]],Batters[[#All],[PID]],0)),INDEX(Table3[[#All],[WE]],MATCH(Table5[[#This Row],[PID]],Table3[[#All],[PID]],0)))</f>
        <v>Normal</v>
      </c>
      <c r="K650" s="52" t="str">
        <f>IF($C650="B",INDEX(Batters[[#All],[INT]],MATCH(Table5[[#This Row],[PID]],Batters[[#All],[PID]],0)),INDEX(Table3[[#All],[INT]],MATCH(Table5[[#This Row],[PID]],Table3[[#All],[PID]],0)))</f>
        <v>Low</v>
      </c>
      <c r="L650" s="60">
        <f>IF($C650="B",INDEX(Batters[[#All],[CON P]],MATCH(Table5[[#This Row],[PID]],Batters[[#All],[PID]],0)),INDEX(Table3[[#All],[STU P]],MATCH(Table5[[#This Row],[PID]],Table3[[#All],[PID]],0)))</f>
        <v>4</v>
      </c>
      <c r="M650" s="56">
        <f>IF($C650="B",INDEX(Batters[[#All],[GAP P]],MATCH(Table5[[#This Row],[PID]],Batters[[#All],[PID]],0)),INDEX(Table3[[#All],[MOV P]],MATCH(Table5[[#This Row],[PID]],Table3[[#All],[PID]],0)))</f>
        <v>2</v>
      </c>
      <c r="N650" s="56">
        <f>IF($C650="B",INDEX(Batters[[#All],[POW P]],MATCH(Table5[[#This Row],[PID]],Batters[[#All],[PID]],0)),INDEX(Table3[[#All],[CON P]],MATCH(Table5[[#This Row],[PID]],Table3[[#All],[PID]],0)))</f>
        <v>4</v>
      </c>
      <c r="O650" s="56" t="str">
        <f>IF($C650="B",INDEX(Batters[[#All],[EYE P]],MATCH(Table5[[#This Row],[PID]],Batters[[#All],[PID]],0)),INDEX(Table3[[#All],[VELO]],MATCH(Table5[[#This Row],[PID]],Table3[[#All],[PID]],0)))</f>
        <v>89-91 Mph</v>
      </c>
      <c r="P650" s="56">
        <f>IF($C650="B",INDEX(Batters[[#All],[K P]],MATCH(Table5[[#This Row],[PID]],Batters[[#All],[PID]],0)),INDEX(Table3[[#All],[STM]],MATCH(Table5[[#This Row],[PID]],Table3[[#All],[PID]],0)))</f>
        <v>9</v>
      </c>
      <c r="Q650" s="61">
        <f>IF($C650="B",INDEX(Batters[[#All],[Tot]],MATCH(Table5[[#This Row],[PID]],Batters[[#All],[PID]],0)),INDEX(Table3[[#All],[Tot]],MATCH(Table5[[#This Row],[PID]],Table3[[#All],[PID]],0)))</f>
        <v>38.997285778381936</v>
      </c>
      <c r="R650" s="52">
        <f>IF($C650="B",INDEX(Batters[[#All],[zScore]],MATCH(Table5[[#This Row],[PID]],Batters[[#All],[PID]],0)),INDEX(Table3[[#All],[zScore]],MATCH(Table5[[#This Row],[PID]],Table3[[#All],[PID]],0)))</f>
        <v>0.20801854716570192</v>
      </c>
      <c r="S650" s="58" t="str">
        <f>IF($C650="B",INDEX(Batters[[#All],[DEM]],MATCH(Table5[[#This Row],[PID]],Batters[[#All],[PID]],0)),INDEX(Table3[[#All],[DEM]],MATCH(Table5[[#This Row],[PID]],Table3[[#All],[PID]],0)))</f>
        <v>$70k</v>
      </c>
      <c r="T650" s="62">
        <f>IF($C650="B",INDEX(Batters[[#All],[Rnk]],MATCH(Table5[[#This Row],[PID]],Batters[[#All],[PID]],0)),INDEX(Table3[[#All],[Rnk]],MATCH(Table5[[#This Row],[PID]],Table3[[#All],[PID]],0)))</f>
        <v>262</v>
      </c>
      <c r="U650" s="68">
        <f>IF($C650="B",VLOOKUP($A650,Bat!$A$4:$BA$1621,47,FALSE),VLOOKUP($A650,Pit!$A$4:$BF$1557,56,FALSE))</f>
        <v>0</v>
      </c>
      <c r="V650" s="50">
        <f>IF($C650="B",VLOOKUP($A650,Bat!$A$4:$BA$1621,48,FALSE),VLOOKUP($A650,Pit!$A$4:$BF$1557,57,FALSE))</f>
        <v>0</v>
      </c>
      <c r="W650" s="50">
        <f>Table5[[#This Row],[posRnk]]+Table5[[#This Row],[zRnk]]+IF($W$3&lt;&gt;Table5[[#This Row],[Type]],50,0)</f>
        <v>774</v>
      </c>
      <c r="X650" s="51">
        <f>RANK(Table5[[#This Row],[zScore]],Table5[[#All],[zScore]])</f>
        <v>462</v>
      </c>
      <c r="Y650" s="50" t="str">
        <f>IFERROR(INDEX(DraftResults[[#All],[OVR]],MATCH(Table5[[#This Row],[PID]],DraftResults[[#All],[Player ID]],0)),"")</f>
        <v/>
      </c>
      <c r="Z6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0" s="50" t="str">
        <f>IFERROR(INDEX(DraftResults[[#All],[Pick in Round]],MATCH(Table5[[#This Row],[PID]],DraftResults[[#All],[Player ID]],0)),"")</f>
        <v/>
      </c>
      <c r="AB650" s="50" t="str">
        <f>IFERROR(INDEX(DraftResults[[#All],[Team Name]],MATCH(Table5[[#This Row],[PID]],DraftResults[[#All],[Player ID]],0)),"")</f>
        <v/>
      </c>
      <c r="AC650" s="50" t="str">
        <f>IF(Table5[[#This Row],[Ovr]]="","",IF(Table5[[#This Row],[cmbList]]="","",Table5[[#This Row],[cmbList]]-Table5[[#This Row],[Ovr]]))</f>
        <v/>
      </c>
      <c r="AD650" s="54" t="str">
        <f>IF(ISERROR(VLOOKUP($AB650&amp;"-"&amp;$E650&amp;" "&amp;F650,Bonuses!$B$1:$G$1006,4,FALSE)),"",INT(VLOOKUP($AB650&amp;"-"&amp;$E650&amp;" "&amp;$F650,Bonuses!$B$1:$G$1006,4,FALSE)))</f>
        <v/>
      </c>
      <c r="AE6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1" spans="1:31" s="50" customFormat="1" x14ac:dyDescent="0.25">
      <c r="A651" s="50">
        <v>20784</v>
      </c>
      <c r="B651" s="50">
        <f>COUNTIF(Table5[PID],A651)</f>
        <v>1</v>
      </c>
      <c r="C651" s="50" t="str">
        <f>IF(COUNTIF(Table3[[#All],[PID]],A651)&gt;0,"P","B")</f>
        <v>P</v>
      </c>
      <c r="D651" s="59" t="str">
        <f>IF($C651="B",INDEX(Batters[[#All],[POS]],MATCH(Table5[[#This Row],[PID]],Batters[[#All],[PID]],0)),INDEX(Table3[[#All],[POS]],MATCH(Table5[[#This Row],[PID]],Table3[[#All],[PID]],0)))</f>
        <v>RP</v>
      </c>
      <c r="E651" s="52" t="str">
        <f>IF($C651="B",INDEX(Batters[[#All],[First]],MATCH(Table5[[#This Row],[PID]],Batters[[#All],[PID]],0)),INDEX(Table3[[#All],[First]],MATCH(Table5[[#This Row],[PID]],Table3[[#All],[PID]],0)))</f>
        <v>Carlos</v>
      </c>
      <c r="F651" s="50" t="str">
        <f>IF($C651="B",INDEX(Batters[[#All],[Last]],MATCH(A651,Batters[[#All],[PID]],0)),INDEX(Table3[[#All],[Last]],MATCH(A651,Table3[[#All],[PID]],0)))</f>
        <v>Rodríguez</v>
      </c>
      <c r="G651" s="56">
        <f>IF($C651="B",INDEX(Batters[[#All],[Age]],MATCH(Table5[[#This Row],[PID]],Batters[[#All],[PID]],0)),INDEX(Table3[[#All],[Age]],MATCH(Table5[[#This Row],[PID]],Table3[[#All],[PID]],0)))</f>
        <v>17</v>
      </c>
      <c r="H651" s="52" t="str">
        <f>IF($C651="B",INDEX(Batters[[#All],[B]],MATCH(Table5[[#This Row],[PID]],Batters[[#All],[PID]],0)),INDEX(Table3[[#All],[B]],MATCH(Table5[[#This Row],[PID]],Table3[[#All],[PID]],0)))</f>
        <v>R</v>
      </c>
      <c r="I651" s="52" t="str">
        <f>IF($C651="B",INDEX(Batters[[#All],[T]],MATCH(Table5[[#This Row],[PID]],Batters[[#All],[PID]],0)),INDEX(Table3[[#All],[T]],MATCH(Table5[[#This Row],[PID]],Table3[[#All],[PID]],0)))</f>
        <v>R</v>
      </c>
      <c r="J651" s="52" t="str">
        <f>IF($C651="B",INDEX(Batters[[#All],[WE]],MATCH(Table5[[#This Row],[PID]],Batters[[#All],[PID]],0)),INDEX(Table3[[#All],[WE]],MATCH(Table5[[#This Row],[PID]],Table3[[#All],[PID]],0)))</f>
        <v>High</v>
      </c>
      <c r="K651" s="52" t="str">
        <f>IF($C651="B",INDEX(Batters[[#All],[INT]],MATCH(Table5[[#This Row],[PID]],Batters[[#All],[PID]],0)),INDEX(Table3[[#All],[INT]],MATCH(Table5[[#This Row],[PID]],Table3[[#All],[PID]],0)))</f>
        <v>Normal</v>
      </c>
      <c r="L651" s="60">
        <f>IF($C651="B",INDEX(Batters[[#All],[CON P]],MATCH(Table5[[#This Row],[PID]],Batters[[#All],[PID]],0)),INDEX(Table3[[#All],[STU P]],MATCH(Table5[[#This Row],[PID]],Table3[[#All],[PID]],0)))</f>
        <v>5</v>
      </c>
      <c r="M651" s="56">
        <f>IF($C651="B",INDEX(Batters[[#All],[GAP P]],MATCH(Table5[[#This Row],[PID]],Batters[[#All],[PID]],0)),INDEX(Table3[[#All],[MOV P]],MATCH(Table5[[#This Row],[PID]],Table3[[#All],[PID]],0)))</f>
        <v>2</v>
      </c>
      <c r="N651" s="56">
        <f>IF($C651="B",INDEX(Batters[[#All],[POW P]],MATCH(Table5[[#This Row],[PID]],Batters[[#All],[PID]],0)),INDEX(Table3[[#All],[CON P]],MATCH(Table5[[#This Row],[PID]],Table3[[#All],[PID]],0)))</f>
        <v>3</v>
      </c>
      <c r="O651" s="56" t="str">
        <f>IF($C651="B",INDEX(Batters[[#All],[EYE P]],MATCH(Table5[[#This Row],[PID]],Batters[[#All],[PID]],0)),INDEX(Table3[[#All],[VELO]],MATCH(Table5[[#This Row],[PID]],Table3[[#All],[PID]],0)))</f>
        <v>88-90 Mph</v>
      </c>
      <c r="P651" s="56">
        <f>IF($C651="B",INDEX(Batters[[#All],[K P]],MATCH(Table5[[#This Row],[PID]],Batters[[#All],[PID]],0)),INDEX(Table3[[#All],[STM]],MATCH(Table5[[#This Row],[PID]],Table3[[#All],[PID]],0)))</f>
        <v>5</v>
      </c>
      <c r="Q651" s="61">
        <f>IF($C651="B",INDEX(Batters[[#All],[Tot]],MATCH(Table5[[#This Row],[PID]],Batters[[#All],[PID]],0)),INDEX(Table3[[#All],[Tot]],MATCH(Table5[[#This Row],[PID]],Table3[[#All],[PID]],0)))</f>
        <v>38.986083423796124</v>
      </c>
      <c r="R651" s="52">
        <f>IF($C651="B",INDEX(Batters[[#All],[zScore]],MATCH(Table5[[#This Row],[PID]],Batters[[#All],[PID]],0)),INDEX(Table3[[#All],[zScore]],MATCH(Table5[[#This Row],[PID]],Table3[[#All],[PID]],0)))</f>
        <v>0.20727327163352494</v>
      </c>
      <c r="S651" s="58" t="str">
        <f>IF($C651="B",INDEX(Batters[[#All],[DEM]],MATCH(Table5[[#This Row],[PID]],Batters[[#All],[PID]],0)),INDEX(Table3[[#All],[DEM]],MATCH(Table5[[#This Row],[PID]],Table3[[#All],[PID]],0)))</f>
        <v>$70k</v>
      </c>
      <c r="T651" s="62">
        <f>IF($C651="B",INDEX(Batters[[#All],[Rnk]],MATCH(Table5[[#This Row],[PID]],Batters[[#All],[PID]],0)),INDEX(Table3[[#All],[Rnk]],MATCH(Table5[[#This Row],[PID]],Table3[[#All],[PID]],0)))</f>
        <v>263</v>
      </c>
      <c r="U651" s="68">
        <f>IF($C651="B",VLOOKUP($A651,Bat!$A$4:$BA$1621,47,FALSE),VLOOKUP($A651,Pit!$A$4:$BF$1557,56,FALSE))</f>
        <v>0</v>
      </c>
      <c r="V651" s="50">
        <f>IF($C651="B",VLOOKUP($A651,Bat!$A$4:$BA$1621,48,FALSE),VLOOKUP($A651,Pit!$A$4:$BF$1557,57,FALSE))</f>
        <v>0</v>
      </c>
      <c r="W651" s="50">
        <f>Table5[[#This Row],[posRnk]]+Table5[[#This Row],[zRnk]]+IF($W$3&lt;&gt;Table5[[#This Row],[Type]],50,0)</f>
        <v>776</v>
      </c>
      <c r="X651" s="51">
        <f>RANK(Table5[[#This Row],[zScore]],Table5[[#All],[zScore]])</f>
        <v>463</v>
      </c>
      <c r="Y651" s="50" t="str">
        <f>IFERROR(INDEX(DraftResults[[#All],[OVR]],MATCH(Table5[[#This Row],[PID]],DraftResults[[#All],[Player ID]],0)),"")</f>
        <v/>
      </c>
      <c r="Z6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1" s="50" t="str">
        <f>IFERROR(INDEX(DraftResults[[#All],[Pick in Round]],MATCH(Table5[[#This Row],[PID]],DraftResults[[#All],[Player ID]],0)),"")</f>
        <v/>
      </c>
      <c r="AB651" s="50" t="str">
        <f>IFERROR(INDEX(DraftResults[[#All],[Team Name]],MATCH(Table5[[#This Row],[PID]],DraftResults[[#All],[Player ID]],0)),"")</f>
        <v/>
      </c>
      <c r="AC651" s="50" t="str">
        <f>IF(Table5[[#This Row],[Ovr]]="","",IF(Table5[[#This Row],[cmbList]]="","",Table5[[#This Row],[cmbList]]-Table5[[#This Row],[Ovr]]))</f>
        <v/>
      </c>
      <c r="AD651" s="54" t="str">
        <f>IF(ISERROR(VLOOKUP($AB651&amp;"-"&amp;$E651&amp;" "&amp;F651,Bonuses!$B$1:$G$1006,4,FALSE)),"",INT(VLOOKUP($AB651&amp;"-"&amp;$E651&amp;" "&amp;$F651,Bonuses!$B$1:$G$1006,4,FALSE)))</f>
        <v/>
      </c>
      <c r="AE6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2" spans="1:31" s="50" customFormat="1" x14ac:dyDescent="0.25">
      <c r="A652" s="68">
        <v>17854</v>
      </c>
      <c r="B652" s="69">
        <f>COUNTIF(Table5[PID],A652)</f>
        <v>1</v>
      </c>
      <c r="C652" s="69" t="str">
        <f>IF(COUNTIF(Table3[[#All],[PID]],A652)&gt;0,"P","B")</f>
        <v>P</v>
      </c>
      <c r="D652" s="59" t="str">
        <f>IF($C652="B",INDEX(Batters[[#All],[POS]],MATCH(Table5[[#This Row],[PID]],Batters[[#All],[PID]],0)),INDEX(Table3[[#All],[POS]],MATCH(Table5[[#This Row],[PID]],Table3[[#All],[PID]],0)))</f>
        <v>SP</v>
      </c>
      <c r="E652" s="52" t="str">
        <f>IF($C652="B",INDEX(Batters[[#All],[First]],MATCH(Table5[[#This Row],[PID]],Batters[[#All],[PID]],0)),INDEX(Table3[[#All],[First]],MATCH(Table5[[#This Row],[PID]],Table3[[#All],[PID]],0)))</f>
        <v>Hayden</v>
      </c>
      <c r="F652" s="55" t="str">
        <f>IF($C652="B",INDEX(Batters[[#All],[Last]],MATCH(A652,Batters[[#All],[PID]],0)),INDEX(Table3[[#All],[Last]],MATCH(A652,Table3[[#All],[PID]],0)))</f>
        <v>Stobart</v>
      </c>
      <c r="G652" s="56">
        <f>IF($C652="B",INDEX(Batters[[#All],[Age]],MATCH(Table5[[#This Row],[PID]],Batters[[#All],[PID]],0)),INDEX(Table3[[#All],[Age]],MATCH(Table5[[#This Row],[PID]],Table3[[#All],[PID]],0)))</f>
        <v>18</v>
      </c>
      <c r="H652" s="52" t="str">
        <f>IF($C652="B",INDEX(Batters[[#All],[B]],MATCH(Table5[[#This Row],[PID]],Batters[[#All],[PID]],0)),INDEX(Table3[[#All],[B]],MATCH(Table5[[#This Row],[PID]],Table3[[#All],[PID]],0)))</f>
        <v>R</v>
      </c>
      <c r="I652" s="52" t="str">
        <f>IF($C652="B",INDEX(Batters[[#All],[T]],MATCH(Table5[[#This Row],[PID]],Batters[[#All],[PID]],0)),INDEX(Table3[[#All],[T]],MATCH(Table5[[#This Row],[PID]],Table3[[#All],[PID]],0)))</f>
        <v>R</v>
      </c>
      <c r="J652" s="71" t="str">
        <f>IF($C652="B",INDEX(Batters[[#All],[WE]],MATCH(Table5[[#This Row],[PID]],Batters[[#All],[PID]],0)),INDEX(Table3[[#All],[WE]],MATCH(Table5[[#This Row],[PID]],Table3[[#All],[PID]],0)))</f>
        <v>Normal</v>
      </c>
      <c r="K652" s="52" t="str">
        <f>IF($C652="B",INDEX(Batters[[#All],[INT]],MATCH(Table5[[#This Row],[PID]],Batters[[#All],[PID]],0)),INDEX(Table3[[#All],[INT]],MATCH(Table5[[#This Row],[PID]],Table3[[#All],[PID]],0)))</f>
        <v>Normal</v>
      </c>
      <c r="L652" s="60">
        <f>IF($C652="B",INDEX(Batters[[#All],[CON P]],MATCH(Table5[[#This Row],[PID]],Batters[[#All],[PID]],0)),INDEX(Table3[[#All],[STU P]],MATCH(Table5[[#This Row],[PID]],Table3[[#All],[PID]],0)))</f>
        <v>5</v>
      </c>
      <c r="M652" s="72">
        <f>IF($C652="B",INDEX(Batters[[#All],[GAP P]],MATCH(Table5[[#This Row],[PID]],Batters[[#All],[PID]],0)),INDEX(Table3[[#All],[MOV P]],MATCH(Table5[[#This Row],[PID]],Table3[[#All],[PID]],0)))</f>
        <v>2</v>
      </c>
      <c r="N652" s="72">
        <f>IF($C652="B",INDEX(Batters[[#All],[POW P]],MATCH(Table5[[#This Row],[PID]],Batters[[#All],[PID]],0)),INDEX(Table3[[#All],[CON P]],MATCH(Table5[[#This Row],[PID]],Table3[[#All],[PID]],0)))</f>
        <v>3</v>
      </c>
      <c r="O652" s="72" t="str">
        <f>IF($C652="B",INDEX(Batters[[#All],[EYE P]],MATCH(Table5[[#This Row],[PID]],Batters[[#All],[PID]],0)),INDEX(Table3[[#All],[VELO]],MATCH(Table5[[#This Row],[PID]],Table3[[#All],[PID]],0)))</f>
        <v>89-91 Mph</v>
      </c>
      <c r="P652" s="56">
        <f>IF($C652="B",INDEX(Batters[[#All],[K P]],MATCH(Table5[[#This Row],[PID]],Batters[[#All],[PID]],0)),INDEX(Table3[[#All],[STM]],MATCH(Table5[[#This Row],[PID]],Table3[[#All],[PID]],0)))</f>
        <v>7</v>
      </c>
      <c r="Q652" s="61">
        <f>IF($C652="B",INDEX(Batters[[#All],[Tot]],MATCH(Table5[[#This Row],[PID]],Batters[[#All],[PID]],0)),INDEX(Table3[[#All],[Tot]],MATCH(Table5[[#This Row],[PID]],Table3[[#All],[PID]],0)))</f>
        <v>39.594700947483204</v>
      </c>
      <c r="R652" s="52">
        <f>IF($C652="B",INDEX(Batters[[#All],[zScore]],MATCH(Table5[[#This Row],[PID]],Batters[[#All],[PID]],0)),INDEX(Table3[[#All],[zScore]],MATCH(Table5[[#This Row],[PID]],Table3[[#All],[PID]],0)))</f>
        <v>0.2037165424235077</v>
      </c>
      <c r="S652" s="78" t="str">
        <f>IF($C652="B",INDEX(Batters[[#All],[DEM]],MATCH(Table5[[#This Row],[PID]],Batters[[#All],[PID]],0)),INDEX(Table3[[#All],[DEM]],MATCH(Table5[[#This Row],[PID]],Table3[[#All],[PID]],0)))</f>
        <v>$65k</v>
      </c>
      <c r="T652" s="75">
        <f>IF($C652="B",INDEX(Batters[[#All],[Rnk]],MATCH(Table5[[#This Row],[PID]],Batters[[#All],[PID]],0)),INDEX(Table3[[#All],[Rnk]],MATCH(Table5[[#This Row],[PID]],Table3[[#All],[PID]],0)))</f>
        <v>264</v>
      </c>
      <c r="U652" s="68">
        <f>IF($C652="B",VLOOKUP($A652,Bat!$A$4:$BA$1621,47,FALSE),VLOOKUP($A652,Pit!$A$4:$BF$1557,56,FALSE))</f>
        <v>0</v>
      </c>
      <c r="V652" s="50">
        <f>IF($C652="B",VLOOKUP($A652,Bat!$A$4:$BA$1621,48,FALSE),VLOOKUP($A652,Pit!$A$4:$BF$1557,57,FALSE))</f>
        <v>0</v>
      </c>
      <c r="W652" s="69">
        <f>Table5[[#This Row],[posRnk]]+Table5[[#This Row],[zRnk]]+IF($W$3&lt;&gt;Table5[[#This Row],[Type]],50,0)</f>
        <v>778</v>
      </c>
      <c r="X652" s="73">
        <f>RANK(Table5[[#This Row],[zScore]],Table5[[#All],[zScore]])</f>
        <v>464</v>
      </c>
      <c r="Y652" s="69" t="str">
        <f>IFERROR(INDEX(DraftResults[[#All],[OVR]],MATCH(Table5[[#This Row],[PID]],DraftResults[[#All],[Player ID]],0)),"")</f>
        <v/>
      </c>
      <c r="Z65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2" s="69" t="str">
        <f>IFERROR(INDEX(DraftResults[[#All],[Pick in Round]],MATCH(Table5[[#This Row],[PID]],DraftResults[[#All],[Player ID]],0)),"")</f>
        <v/>
      </c>
      <c r="AB652" s="69" t="str">
        <f>IFERROR(INDEX(DraftResults[[#All],[Team Name]],MATCH(Table5[[#This Row],[PID]],DraftResults[[#All],[Player ID]],0)),"")</f>
        <v/>
      </c>
      <c r="AC652" s="69" t="str">
        <f>IF(Table5[[#This Row],[Ovr]]="","",IF(Table5[[#This Row],[cmbList]]="","",Table5[[#This Row],[cmbList]]-Table5[[#This Row],[Ovr]]))</f>
        <v/>
      </c>
      <c r="AD652" s="77" t="str">
        <f>IF(ISERROR(VLOOKUP($AB652&amp;"-"&amp;$E652&amp;" "&amp;F652,Bonuses!$B$1:$G$1006,4,FALSE)),"",INT(VLOOKUP($AB652&amp;"-"&amp;$E652&amp;" "&amp;$F652,Bonuses!$B$1:$G$1006,4,FALSE)))</f>
        <v/>
      </c>
      <c r="AE65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3" spans="1:31" s="50" customFormat="1" x14ac:dyDescent="0.25">
      <c r="A653" s="50">
        <v>20410</v>
      </c>
      <c r="B653" s="50">
        <f>COUNTIF(Table5[PID],A653)</f>
        <v>1</v>
      </c>
      <c r="C653" s="50" t="str">
        <f>IF(COUNTIF(Table3[[#All],[PID]],A653)&gt;0,"P","B")</f>
        <v>P</v>
      </c>
      <c r="D653" s="59" t="str">
        <f>IF($C653="B",INDEX(Batters[[#All],[POS]],MATCH(Table5[[#This Row],[PID]],Batters[[#All],[PID]],0)),INDEX(Table3[[#All],[POS]],MATCH(Table5[[#This Row],[PID]],Table3[[#All],[PID]],0)))</f>
        <v>CL</v>
      </c>
      <c r="E653" s="52" t="str">
        <f>IF($C653="B",INDEX(Batters[[#All],[First]],MATCH(Table5[[#This Row],[PID]],Batters[[#All],[PID]],0)),INDEX(Table3[[#All],[First]],MATCH(Table5[[#This Row],[PID]],Table3[[#All],[PID]],0)))</f>
        <v>Rory</v>
      </c>
      <c r="F653" s="50" t="str">
        <f>IF($C653="B",INDEX(Batters[[#All],[Last]],MATCH(A653,Batters[[#All],[PID]],0)),INDEX(Table3[[#All],[Last]],MATCH(A653,Table3[[#All],[PID]],0)))</f>
        <v>Cashmore</v>
      </c>
      <c r="G653" s="56">
        <f>IF($C653="B",INDEX(Batters[[#All],[Age]],MATCH(Table5[[#This Row],[PID]],Batters[[#All],[PID]],0)),INDEX(Table3[[#All],[Age]],MATCH(Table5[[#This Row],[PID]],Table3[[#All],[PID]],0)))</f>
        <v>17</v>
      </c>
      <c r="H653" s="52" t="str">
        <f>IF($C653="B",INDEX(Batters[[#All],[B]],MATCH(Table5[[#This Row],[PID]],Batters[[#All],[PID]],0)),INDEX(Table3[[#All],[B]],MATCH(Table5[[#This Row],[PID]],Table3[[#All],[PID]],0)))</f>
        <v>S</v>
      </c>
      <c r="I653" s="52" t="str">
        <f>IF($C653="B",INDEX(Batters[[#All],[T]],MATCH(Table5[[#This Row],[PID]],Batters[[#All],[PID]],0)),INDEX(Table3[[#All],[T]],MATCH(Table5[[#This Row],[PID]],Table3[[#All],[PID]],0)))</f>
        <v>L</v>
      </c>
      <c r="J653" s="52" t="str">
        <f>IF($C653="B",INDEX(Batters[[#All],[WE]],MATCH(Table5[[#This Row],[PID]],Batters[[#All],[PID]],0)),INDEX(Table3[[#All],[WE]],MATCH(Table5[[#This Row],[PID]],Table3[[#All],[PID]],0)))</f>
        <v>Low</v>
      </c>
      <c r="K653" s="52" t="str">
        <f>IF($C653="B",INDEX(Batters[[#All],[INT]],MATCH(Table5[[#This Row],[PID]],Batters[[#All],[PID]],0)),INDEX(Table3[[#All],[INT]],MATCH(Table5[[#This Row],[PID]],Table3[[#All],[PID]],0)))</f>
        <v>Normal</v>
      </c>
      <c r="L653" s="60">
        <f>IF($C653="B",INDEX(Batters[[#All],[CON P]],MATCH(Table5[[#This Row],[PID]],Batters[[#All],[PID]],0)),INDEX(Table3[[#All],[STU P]],MATCH(Table5[[#This Row],[PID]],Table3[[#All],[PID]],0)))</f>
        <v>5</v>
      </c>
      <c r="M653" s="56">
        <f>IF($C653="B",INDEX(Batters[[#All],[GAP P]],MATCH(Table5[[#This Row],[PID]],Batters[[#All],[PID]],0)),INDEX(Table3[[#All],[MOV P]],MATCH(Table5[[#This Row],[PID]],Table3[[#All],[PID]],0)))</f>
        <v>2</v>
      </c>
      <c r="N653" s="56">
        <f>IF($C653="B",INDEX(Batters[[#All],[POW P]],MATCH(Table5[[#This Row],[PID]],Batters[[#All],[PID]],0)),INDEX(Table3[[#All],[CON P]],MATCH(Table5[[#This Row],[PID]],Table3[[#All],[PID]],0)))</f>
        <v>3</v>
      </c>
      <c r="O653" s="56" t="str">
        <f>IF($C653="B",INDEX(Batters[[#All],[EYE P]],MATCH(Table5[[#This Row],[PID]],Batters[[#All],[PID]],0)),INDEX(Table3[[#All],[VELO]],MATCH(Table5[[#This Row],[PID]],Table3[[#All],[PID]],0)))</f>
        <v>85-87 Mph</v>
      </c>
      <c r="P653" s="56">
        <f>IF($C653="B",INDEX(Batters[[#All],[K P]],MATCH(Table5[[#This Row],[PID]],Batters[[#All],[PID]],0)),INDEX(Table3[[#All],[STM]],MATCH(Table5[[#This Row],[PID]],Table3[[#All],[PID]],0)))</f>
        <v>7</v>
      </c>
      <c r="Q653" s="61">
        <f>IF($C653="B",INDEX(Batters[[#All],[Tot]],MATCH(Table5[[#This Row],[PID]],Batters[[#All],[PID]],0)),INDEX(Table3[[#All],[Tot]],MATCH(Table5[[#This Row],[PID]],Table3[[#All],[PID]],0)))</f>
        <v>38.727465900109046</v>
      </c>
      <c r="R653" s="52">
        <f>IF($C653="B",INDEX(Batters[[#All],[zScore]],MATCH(Table5[[#This Row],[PID]],Batters[[#All],[PID]],0)),INDEX(Table3[[#All],[zScore]],MATCH(Table5[[#This Row],[PID]],Table3[[#All],[PID]],0)))</f>
        <v>0.19006784297834828</v>
      </c>
      <c r="S653" s="58" t="str">
        <f>IF($C653="B",INDEX(Batters[[#All],[DEM]],MATCH(Table5[[#This Row],[PID]],Batters[[#All],[PID]],0)),INDEX(Table3[[#All],[DEM]],MATCH(Table5[[#This Row],[PID]],Table3[[#All],[PID]],0)))</f>
        <v>$100k</v>
      </c>
      <c r="T653" s="62">
        <f>IF($C653="B",INDEX(Batters[[#All],[Rnk]],MATCH(Table5[[#This Row],[PID]],Batters[[#All],[PID]],0)),INDEX(Table3[[#All],[Rnk]],MATCH(Table5[[#This Row],[PID]],Table3[[#All],[PID]],0)))</f>
        <v>267</v>
      </c>
      <c r="U653" s="68">
        <f>IF($C653="B",VLOOKUP($A653,Bat!$A$4:$BA$1621,47,FALSE),VLOOKUP($A653,Pit!$A$4:$BF$1557,56,FALSE))</f>
        <v>0</v>
      </c>
      <c r="V653" s="50">
        <f>IF($C653="B",VLOOKUP($A653,Bat!$A$4:$BA$1621,48,FALSE),VLOOKUP($A653,Pit!$A$4:$BF$1557,57,FALSE))</f>
        <v>0</v>
      </c>
      <c r="W653" s="50">
        <f>Table5[[#This Row],[posRnk]]+Table5[[#This Row],[zRnk]]+IF($W$3&lt;&gt;Table5[[#This Row],[Type]],50,0)</f>
        <v>791</v>
      </c>
      <c r="X653" s="51">
        <f>RANK(Table5[[#This Row],[zScore]],Table5[[#All],[zScore]])</f>
        <v>474</v>
      </c>
      <c r="Y653" s="50" t="str">
        <f>IFERROR(INDEX(DraftResults[[#All],[OVR]],MATCH(Table5[[#This Row],[PID]],DraftResults[[#All],[Player ID]],0)),"")</f>
        <v/>
      </c>
      <c r="Z6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3" s="50" t="str">
        <f>IFERROR(INDEX(DraftResults[[#All],[Pick in Round]],MATCH(Table5[[#This Row],[PID]],DraftResults[[#All],[Player ID]],0)),"")</f>
        <v/>
      </c>
      <c r="AB653" s="50" t="str">
        <f>IFERROR(INDEX(DraftResults[[#All],[Team Name]],MATCH(Table5[[#This Row],[PID]],DraftResults[[#All],[Player ID]],0)),"")</f>
        <v/>
      </c>
      <c r="AC653" s="50" t="str">
        <f>IF(Table5[[#This Row],[Ovr]]="","",IF(Table5[[#This Row],[cmbList]]="","",Table5[[#This Row],[cmbList]]-Table5[[#This Row],[Ovr]]))</f>
        <v/>
      </c>
      <c r="AD653" s="54" t="str">
        <f>IF(ISERROR(VLOOKUP($AB653&amp;"-"&amp;$E653&amp;" "&amp;F653,Bonuses!$B$1:$G$1006,4,FALSE)),"",INT(VLOOKUP($AB653&amp;"-"&amp;$E653&amp;" "&amp;$F653,Bonuses!$B$1:$G$1006,4,FALSE)))</f>
        <v/>
      </c>
      <c r="AE6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4" spans="1:31" s="50" customFormat="1" x14ac:dyDescent="0.25">
      <c r="A654" s="50">
        <v>17645</v>
      </c>
      <c r="B654" s="50">
        <f>COUNTIF(Table5[PID],A654)</f>
        <v>1</v>
      </c>
      <c r="C654" s="50" t="str">
        <f>IF(COUNTIF(Table3[[#All],[PID]],A654)&gt;0,"P","B")</f>
        <v>P</v>
      </c>
      <c r="D654" s="59" t="str">
        <f>IF($C654="B",INDEX(Batters[[#All],[POS]],MATCH(Table5[[#This Row],[PID]],Batters[[#All],[PID]],0)),INDEX(Table3[[#All],[POS]],MATCH(Table5[[#This Row],[PID]],Table3[[#All],[PID]],0)))</f>
        <v>RP</v>
      </c>
      <c r="E654" s="52" t="str">
        <f>IF($C654="B",INDEX(Batters[[#All],[First]],MATCH(Table5[[#This Row],[PID]],Batters[[#All],[PID]],0)),INDEX(Table3[[#All],[First]],MATCH(Table5[[#This Row],[PID]],Table3[[#All],[PID]],0)))</f>
        <v>Jack</v>
      </c>
      <c r="F654" s="50" t="str">
        <f>IF($C654="B",INDEX(Batters[[#All],[Last]],MATCH(A654,Batters[[#All],[PID]],0)),INDEX(Table3[[#All],[Last]],MATCH(A654,Table3[[#All],[PID]],0)))</f>
        <v>González</v>
      </c>
      <c r="G654" s="56">
        <f>IF($C654="B",INDEX(Batters[[#All],[Age]],MATCH(Table5[[#This Row],[PID]],Batters[[#All],[PID]],0)),INDEX(Table3[[#All],[Age]],MATCH(Table5[[#This Row],[PID]],Table3[[#All],[PID]],0)))</f>
        <v>18</v>
      </c>
      <c r="H654" s="52" t="str">
        <f>IF($C654="B",INDEX(Batters[[#All],[B]],MATCH(Table5[[#This Row],[PID]],Batters[[#All],[PID]],0)),INDEX(Table3[[#All],[B]],MATCH(Table5[[#This Row],[PID]],Table3[[#All],[PID]],0)))</f>
        <v>L</v>
      </c>
      <c r="I654" s="52" t="str">
        <f>IF($C654="B",INDEX(Batters[[#All],[T]],MATCH(Table5[[#This Row],[PID]],Batters[[#All],[PID]],0)),INDEX(Table3[[#All],[T]],MATCH(Table5[[#This Row],[PID]],Table3[[#All],[PID]],0)))</f>
        <v>L</v>
      </c>
      <c r="J654" s="52" t="str">
        <f>IF($C654="B",INDEX(Batters[[#All],[WE]],MATCH(Table5[[#This Row],[PID]],Batters[[#All],[PID]],0)),INDEX(Table3[[#All],[WE]],MATCH(Table5[[#This Row],[PID]],Table3[[#All],[PID]],0)))</f>
        <v>Normal</v>
      </c>
      <c r="K654" s="52" t="str">
        <f>IF($C654="B",INDEX(Batters[[#All],[INT]],MATCH(Table5[[#This Row],[PID]],Batters[[#All],[PID]],0)),INDEX(Table3[[#All],[INT]],MATCH(Table5[[#This Row],[PID]],Table3[[#All],[PID]],0)))</f>
        <v>Normal</v>
      </c>
      <c r="L654" s="60">
        <f>IF($C654="B",INDEX(Batters[[#All],[CON P]],MATCH(Table5[[#This Row],[PID]],Batters[[#All],[PID]],0)),INDEX(Table3[[#All],[STU P]],MATCH(Table5[[#This Row],[PID]],Table3[[#All],[PID]],0)))</f>
        <v>4</v>
      </c>
      <c r="M654" s="56">
        <f>IF($C654="B",INDEX(Batters[[#All],[GAP P]],MATCH(Table5[[#This Row],[PID]],Batters[[#All],[PID]],0)),INDEX(Table3[[#All],[MOV P]],MATCH(Table5[[#This Row],[PID]],Table3[[#All],[PID]],0)))</f>
        <v>2</v>
      </c>
      <c r="N654" s="56">
        <f>IF($C654="B",INDEX(Batters[[#All],[POW P]],MATCH(Table5[[#This Row],[PID]],Batters[[#All],[PID]],0)),INDEX(Table3[[#All],[CON P]],MATCH(Table5[[#This Row],[PID]],Table3[[#All],[PID]],0)))</f>
        <v>4</v>
      </c>
      <c r="O654" s="56" t="str">
        <f>IF($C654="B",INDEX(Batters[[#All],[EYE P]],MATCH(Table5[[#This Row],[PID]],Batters[[#All],[PID]],0)),INDEX(Table3[[#All],[VELO]],MATCH(Table5[[#This Row],[PID]],Table3[[#All],[PID]],0)))</f>
        <v>85-87 Mph</v>
      </c>
      <c r="P654" s="56">
        <f>IF($C654="B",INDEX(Batters[[#All],[K P]],MATCH(Table5[[#This Row],[PID]],Batters[[#All],[PID]],0)),INDEX(Table3[[#All],[STM]],MATCH(Table5[[#This Row],[PID]],Table3[[#All],[PID]],0)))</f>
        <v>9</v>
      </c>
      <c r="Q654" s="61">
        <f>IF($C654="B",INDEX(Batters[[#All],[Tot]],MATCH(Table5[[#This Row],[PID]],Batters[[#All],[PID]],0)),INDEX(Table3[[#All],[Tot]],MATCH(Table5[[#This Row],[PID]],Table3[[#All],[PID]],0)))</f>
        <v>38.707930137806102</v>
      </c>
      <c r="R654" s="52">
        <f>IF($C654="B",INDEX(Batters[[#All],[zScore]],MATCH(Table5[[#This Row],[PID]],Batters[[#All],[PID]],0)),INDEX(Table3[[#All],[zScore]],MATCH(Table5[[#This Row],[PID]],Table3[[#All],[PID]],0)))</f>
        <v>0.18876815856510454</v>
      </c>
      <c r="S654" s="58" t="str">
        <f>IF($C654="B",INDEX(Batters[[#All],[DEM]],MATCH(Table5[[#This Row],[PID]],Batters[[#All],[PID]],0)),INDEX(Table3[[#All],[DEM]],MATCH(Table5[[#This Row],[PID]],Table3[[#All],[PID]],0)))</f>
        <v>$75k</v>
      </c>
      <c r="T654" s="62">
        <f>IF($C654="B",INDEX(Batters[[#All],[Rnk]],MATCH(Table5[[#This Row],[PID]],Batters[[#All],[PID]],0)),INDEX(Table3[[#All],[Rnk]],MATCH(Table5[[#This Row],[PID]],Table3[[#All],[PID]],0)))</f>
        <v>268</v>
      </c>
      <c r="U654" s="68">
        <f>IF($C654="B",VLOOKUP($A654,Bat!$A$4:$BA$1621,47,FALSE),VLOOKUP($A654,Pit!$A$4:$BF$1557,56,FALSE))</f>
        <v>0</v>
      </c>
      <c r="V654" s="50">
        <f>IF($C654="B",VLOOKUP($A654,Bat!$A$4:$BA$1621,48,FALSE),VLOOKUP($A654,Pit!$A$4:$BF$1557,57,FALSE))</f>
        <v>0</v>
      </c>
      <c r="W654" s="50">
        <f>Table5[[#This Row],[posRnk]]+Table5[[#This Row],[zRnk]]+IF($W$3&lt;&gt;Table5[[#This Row],[Type]],50,0)</f>
        <v>793</v>
      </c>
      <c r="X654" s="51">
        <f>RANK(Table5[[#This Row],[zScore]],Table5[[#All],[zScore]])</f>
        <v>475</v>
      </c>
      <c r="Y654" s="50" t="str">
        <f>IFERROR(INDEX(DraftResults[[#All],[OVR]],MATCH(Table5[[#This Row],[PID]],DraftResults[[#All],[Player ID]],0)),"")</f>
        <v/>
      </c>
      <c r="Z6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4" s="50" t="str">
        <f>IFERROR(INDEX(DraftResults[[#All],[Pick in Round]],MATCH(Table5[[#This Row],[PID]],DraftResults[[#All],[Player ID]],0)),"")</f>
        <v/>
      </c>
      <c r="AB654" s="50" t="str">
        <f>IFERROR(INDEX(DraftResults[[#All],[Team Name]],MATCH(Table5[[#This Row],[PID]],DraftResults[[#All],[Player ID]],0)),"")</f>
        <v/>
      </c>
      <c r="AC654" s="50" t="str">
        <f>IF(Table5[[#This Row],[Ovr]]="","",IF(Table5[[#This Row],[cmbList]]="","",Table5[[#This Row],[cmbList]]-Table5[[#This Row],[Ovr]]))</f>
        <v/>
      </c>
      <c r="AD654" s="54" t="str">
        <f>IF(ISERROR(VLOOKUP($AB654&amp;"-"&amp;$E654&amp;" "&amp;F654,Bonuses!$B$1:$G$1006,4,FALSE)),"",INT(VLOOKUP($AB654&amp;"-"&amp;$E654&amp;" "&amp;$F654,Bonuses!$B$1:$G$1006,4,FALSE)))</f>
        <v/>
      </c>
      <c r="AE6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5" spans="1:31" s="50" customFormat="1" x14ac:dyDescent="0.25">
      <c r="A655" s="50">
        <v>18243</v>
      </c>
      <c r="B655" s="50">
        <f>COUNTIF(Table5[PID],A655)</f>
        <v>1</v>
      </c>
      <c r="C655" s="50" t="str">
        <f>IF(COUNTIF(Table3[[#All],[PID]],A655)&gt;0,"P","B")</f>
        <v>B</v>
      </c>
      <c r="D655" s="59" t="str">
        <f>IF($C655="B",INDEX(Batters[[#All],[POS]],MATCH(Table5[[#This Row],[PID]],Batters[[#All],[PID]],0)),INDEX(Table3[[#All],[POS]],MATCH(Table5[[#This Row],[PID]],Table3[[#All],[PID]],0)))</f>
        <v>RF</v>
      </c>
      <c r="E655" s="52" t="str">
        <f>IF($C655="B",INDEX(Batters[[#All],[First]],MATCH(Table5[[#This Row],[PID]],Batters[[#All],[PID]],0)),INDEX(Table3[[#All],[First]],MATCH(Table5[[#This Row],[PID]],Table3[[#All],[PID]],0)))</f>
        <v>Dan</v>
      </c>
      <c r="F655" s="50" t="str">
        <f>IF($C655="B",INDEX(Batters[[#All],[Last]],MATCH(A655,Batters[[#All],[PID]],0)),INDEX(Table3[[#All],[Last]],MATCH(A655,Table3[[#All],[PID]],0)))</f>
        <v>Robertson</v>
      </c>
      <c r="G655" s="56">
        <f>IF($C655="B",INDEX(Batters[[#All],[Age]],MATCH(Table5[[#This Row],[PID]],Batters[[#All],[PID]],0)),INDEX(Table3[[#All],[Age]],MATCH(Table5[[#This Row],[PID]],Table3[[#All],[PID]],0)))</f>
        <v>18</v>
      </c>
      <c r="H655" s="52" t="str">
        <f>IF($C655="B",INDEX(Batters[[#All],[B]],MATCH(Table5[[#This Row],[PID]],Batters[[#All],[PID]],0)),INDEX(Table3[[#All],[B]],MATCH(Table5[[#This Row],[PID]],Table3[[#All],[PID]],0)))</f>
        <v>R</v>
      </c>
      <c r="I655" s="52" t="str">
        <f>IF($C655="B",INDEX(Batters[[#All],[T]],MATCH(Table5[[#This Row],[PID]],Batters[[#All],[PID]],0)),INDEX(Table3[[#All],[T]],MATCH(Table5[[#This Row],[PID]],Table3[[#All],[PID]],0)))</f>
        <v>R</v>
      </c>
      <c r="J655" s="52" t="str">
        <f>IF($C655="B",INDEX(Batters[[#All],[WE]],MATCH(Table5[[#This Row],[PID]],Batters[[#All],[PID]],0)),INDEX(Table3[[#All],[WE]],MATCH(Table5[[#This Row],[PID]],Table3[[#All],[PID]],0)))</f>
        <v>Normal</v>
      </c>
      <c r="K655" s="52" t="str">
        <f>IF($C655="B",INDEX(Batters[[#All],[INT]],MATCH(Table5[[#This Row],[PID]],Batters[[#All],[PID]],0)),INDEX(Table3[[#All],[INT]],MATCH(Table5[[#This Row],[PID]],Table3[[#All],[PID]],0)))</f>
        <v>Normal</v>
      </c>
      <c r="L655" s="60">
        <f>IF($C655="B",INDEX(Batters[[#All],[CON P]],MATCH(Table5[[#This Row],[PID]],Batters[[#All],[PID]],0)),INDEX(Table3[[#All],[STU P]],MATCH(Table5[[#This Row],[PID]],Table3[[#All],[PID]],0)))</f>
        <v>4</v>
      </c>
      <c r="M655" s="56">
        <f>IF($C655="B",INDEX(Batters[[#All],[GAP P]],MATCH(Table5[[#This Row],[PID]],Batters[[#All],[PID]],0)),INDEX(Table3[[#All],[MOV P]],MATCH(Table5[[#This Row],[PID]],Table3[[#All],[PID]],0)))</f>
        <v>4</v>
      </c>
      <c r="N655" s="56">
        <f>IF($C655="B",INDEX(Batters[[#All],[POW P]],MATCH(Table5[[#This Row],[PID]],Batters[[#All],[PID]],0)),INDEX(Table3[[#All],[CON P]],MATCH(Table5[[#This Row],[PID]],Table3[[#All],[PID]],0)))</f>
        <v>2</v>
      </c>
      <c r="O655" s="56">
        <f>IF($C655="B",INDEX(Batters[[#All],[EYE P]],MATCH(Table5[[#This Row],[PID]],Batters[[#All],[PID]],0)),INDEX(Table3[[#All],[VELO]],MATCH(Table5[[#This Row],[PID]],Table3[[#All],[PID]],0)))</f>
        <v>5</v>
      </c>
      <c r="P655" s="56">
        <f>IF($C655="B",INDEX(Batters[[#All],[K P]],MATCH(Table5[[#This Row],[PID]],Batters[[#All],[PID]],0)),INDEX(Table3[[#All],[STM]],MATCH(Table5[[#This Row],[PID]],Table3[[#All],[PID]],0)))</f>
        <v>4</v>
      </c>
      <c r="Q655" s="61">
        <f>IF($C655="B",INDEX(Batters[[#All],[Tot]],MATCH(Table5[[#This Row],[PID]],Batters[[#All],[PID]],0)),INDEX(Table3[[#All],[Tot]],MATCH(Table5[[#This Row],[PID]],Table3[[#All],[PID]],0)))</f>
        <v>44.981301948220093</v>
      </c>
      <c r="R655" s="52">
        <f>IF($C655="B",INDEX(Batters[[#All],[zScore]],MATCH(Table5[[#This Row],[PID]],Batters[[#All],[PID]],0)),INDEX(Table3[[#All],[zScore]],MATCH(Table5[[#This Row],[PID]],Table3[[#All],[PID]],0)))</f>
        <v>0.18830934678998673</v>
      </c>
      <c r="S655" s="58" t="str">
        <f>IF($C655="B",INDEX(Batters[[#All],[DEM]],MATCH(Table5[[#This Row],[PID]],Batters[[#All],[PID]],0)),INDEX(Table3[[#All],[DEM]],MATCH(Table5[[#This Row],[PID]],Table3[[#All],[PID]],0)))</f>
        <v>$65k</v>
      </c>
      <c r="T655" s="62">
        <f>IF($C655="B",INDEX(Batters[[#All],[Rnk]],MATCH(Table5[[#This Row],[PID]],Batters[[#All],[PID]],0)),INDEX(Table3[[#All],[Rnk]],MATCH(Table5[[#This Row],[PID]],Table3[[#All],[PID]],0)))</f>
        <v>208</v>
      </c>
      <c r="U655" s="68">
        <f>IF($C655="B",VLOOKUP($A655,Bat!$A$4:$BA$1621,47,FALSE),VLOOKUP($A655,Pit!$A$4:$BF$1557,56,FALSE))</f>
        <v>0</v>
      </c>
      <c r="V655" s="50">
        <f>IF($C655="B",VLOOKUP($A655,Bat!$A$4:$BA$1621,48,FALSE),VLOOKUP($A655,Pit!$A$4:$BF$1557,57,FALSE))</f>
        <v>0</v>
      </c>
      <c r="W655" s="50">
        <f>Table5[[#This Row],[posRnk]]+Table5[[#This Row],[zRnk]]+IF($W$3&lt;&gt;Table5[[#This Row],[Type]],50,0)</f>
        <v>735</v>
      </c>
      <c r="X655" s="51">
        <f>RANK(Table5[[#This Row],[zScore]],Table5[[#All],[zScore]])</f>
        <v>477</v>
      </c>
      <c r="Y655" s="50" t="str">
        <f>IFERROR(INDEX(DraftResults[[#All],[OVR]],MATCH(Table5[[#This Row],[PID]],DraftResults[[#All],[Player ID]],0)),"")</f>
        <v/>
      </c>
      <c r="Z6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5" s="50" t="str">
        <f>IFERROR(INDEX(DraftResults[[#All],[Pick in Round]],MATCH(Table5[[#This Row],[PID]],DraftResults[[#All],[Player ID]],0)),"")</f>
        <v/>
      </c>
      <c r="AB655" s="50" t="str">
        <f>IFERROR(INDEX(DraftResults[[#All],[Team Name]],MATCH(Table5[[#This Row],[PID]],DraftResults[[#All],[Player ID]],0)),"")</f>
        <v/>
      </c>
      <c r="AC655" s="50" t="str">
        <f>IF(Table5[[#This Row],[Ovr]]="","",IF(Table5[[#This Row],[cmbList]]="","",Table5[[#This Row],[cmbList]]-Table5[[#This Row],[Ovr]]))</f>
        <v/>
      </c>
      <c r="AD655" s="54" t="str">
        <f>IF(ISERROR(VLOOKUP($AB655&amp;"-"&amp;$E655&amp;" "&amp;F655,Bonuses!$B$1:$G$1006,4,FALSE)),"",INT(VLOOKUP($AB655&amp;"-"&amp;$E655&amp;" "&amp;$F655,Bonuses!$B$1:$G$1006,4,FALSE)))</f>
        <v/>
      </c>
      <c r="AE6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6" spans="1:31" s="50" customFormat="1" x14ac:dyDescent="0.25">
      <c r="A656" s="68">
        <v>18361</v>
      </c>
      <c r="B656" s="69">
        <f>COUNTIF(Table5[PID],A656)</f>
        <v>1</v>
      </c>
      <c r="C656" s="69" t="str">
        <f>IF(COUNTIF(Table3[[#All],[PID]],A656)&gt;0,"P","B")</f>
        <v>P</v>
      </c>
      <c r="D656" s="59" t="str">
        <f>IF($C656="B",INDEX(Batters[[#All],[POS]],MATCH(Table5[[#This Row],[PID]],Batters[[#All],[PID]],0)),INDEX(Table3[[#All],[POS]],MATCH(Table5[[#This Row],[PID]],Table3[[#All],[PID]],0)))</f>
        <v>SP</v>
      </c>
      <c r="E656" s="52" t="str">
        <f>IF($C656="B",INDEX(Batters[[#All],[First]],MATCH(Table5[[#This Row],[PID]],Batters[[#All],[PID]],0)),INDEX(Table3[[#All],[First]],MATCH(Table5[[#This Row],[PID]],Table3[[#All],[PID]],0)))</f>
        <v>Germán</v>
      </c>
      <c r="F656" s="55" t="str">
        <f>IF($C656="B",INDEX(Batters[[#All],[Last]],MATCH(A656,Batters[[#All],[PID]],0)),INDEX(Table3[[#All],[Last]],MATCH(A656,Table3[[#All],[PID]],0)))</f>
        <v>González</v>
      </c>
      <c r="G656" s="56">
        <f>IF($C656="B",INDEX(Batters[[#All],[Age]],MATCH(Table5[[#This Row],[PID]],Batters[[#All],[PID]],0)),INDEX(Table3[[#All],[Age]],MATCH(Table5[[#This Row],[PID]],Table3[[#All],[PID]],0)))</f>
        <v>18</v>
      </c>
      <c r="H656" s="52" t="str">
        <f>IF($C656="B",INDEX(Batters[[#All],[B]],MATCH(Table5[[#This Row],[PID]],Batters[[#All],[PID]],0)),INDEX(Table3[[#All],[B]],MATCH(Table5[[#This Row],[PID]],Table3[[#All],[PID]],0)))</f>
        <v>R</v>
      </c>
      <c r="I656" s="52" t="str">
        <f>IF($C656="B",INDEX(Batters[[#All],[T]],MATCH(Table5[[#This Row],[PID]],Batters[[#All],[PID]],0)),INDEX(Table3[[#All],[T]],MATCH(Table5[[#This Row],[PID]],Table3[[#All],[PID]],0)))</f>
        <v>R</v>
      </c>
      <c r="J656" s="71" t="str">
        <f>IF($C656="B",INDEX(Batters[[#All],[WE]],MATCH(Table5[[#This Row],[PID]],Batters[[#All],[PID]],0)),INDEX(Table3[[#All],[WE]],MATCH(Table5[[#This Row],[PID]],Table3[[#All],[PID]],0)))</f>
        <v>High</v>
      </c>
      <c r="K656" s="52" t="str">
        <f>IF($C656="B",INDEX(Batters[[#All],[INT]],MATCH(Table5[[#This Row],[PID]],Batters[[#All],[PID]],0)),INDEX(Table3[[#All],[INT]],MATCH(Table5[[#This Row],[PID]],Table3[[#All],[PID]],0)))</f>
        <v>Normal</v>
      </c>
      <c r="L656" s="60">
        <f>IF($C656="B",INDEX(Batters[[#All],[CON P]],MATCH(Table5[[#This Row],[PID]],Batters[[#All],[PID]],0)),INDEX(Table3[[#All],[STU P]],MATCH(Table5[[#This Row],[PID]],Table3[[#All],[PID]],0)))</f>
        <v>3</v>
      </c>
      <c r="M656" s="72">
        <f>IF($C656="B",INDEX(Batters[[#All],[GAP P]],MATCH(Table5[[#This Row],[PID]],Batters[[#All],[PID]],0)),INDEX(Table3[[#All],[MOV P]],MATCH(Table5[[#This Row],[PID]],Table3[[#All],[PID]],0)))</f>
        <v>3</v>
      </c>
      <c r="N656" s="72">
        <f>IF($C656="B",INDEX(Batters[[#All],[POW P]],MATCH(Table5[[#This Row],[PID]],Batters[[#All],[PID]],0)),INDEX(Table3[[#All],[CON P]],MATCH(Table5[[#This Row],[PID]],Table3[[#All],[PID]],0)))</f>
        <v>4</v>
      </c>
      <c r="O656" s="72" t="str">
        <f>IF($C656="B",INDEX(Batters[[#All],[EYE P]],MATCH(Table5[[#This Row],[PID]],Batters[[#All],[PID]],0)),INDEX(Table3[[#All],[VELO]],MATCH(Table5[[#This Row],[PID]],Table3[[#All],[PID]],0)))</f>
        <v>90-92 Mph</v>
      </c>
      <c r="P656" s="56">
        <f>IF($C656="B",INDEX(Batters[[#All],[K P]],MATCH(Table5[[#This Row],[PID]],Batters[[#All],[PID]],0)),INDEX(Table3[[#All],[STM]],MATCH(Table5[[#This Row],[PID]],Table3[[#All],[PID]],0)))</f>
        <v>8</v>
      </c>
      <c r="Q656" s="61">
        <f>IF($C656="B",INDEX(Batters[[#All],[Tot]],MATCH(Table5[[#This Row],[PID]],Batters[[#All],[PID]],0)),INDEX(Table3[[#All],[Tot]],MATCH(Table5[[#This Row],[PID]],Table3[[#All],[PID]],0)))</f>
        <v>38.557533121822559</v>
      </c>
      <c r="R656" s="52">
        <f>IF($C656="B",INDEX(Batters[[#All],[zScore]],MATCH(Table5[[#This Row],[PID]],Batters[[#All],[PID]],0)),INDEX(Table3[[#All],[zScore]],MATCH(Table5[[#This Row],[PID]],Table3[[#All],[PID]],0)))</f>
        <v>0.17876247491472935</v>
      </c>
      <c r="S656" s="78" t="str">
        <f>IF($C656="B",INDEX(Batters[[#All],[DEM]],MATCH(Table5[[#This Row],[PID]],Batters[[#All],[PID]],0)),INDEX(Table3[[#All],[DEM]],MATCH(Table5[[#This Row],[PID]],Table3[[#All],[PID]],0)))</f>
        <v>$65k</v>
      </c>
      <c r="T656" s="75">
        <f>IF($C656="B",INDEX(Batters[[#All],[Rnk]],MATCH(Table5[[#This Row],[PID]],Batters[[#All],[PID]],0)),INDEX(Table3[[#All],[Rnk]],MATCH(Table5[[#This Row],[PID]],Table3[[#All],[PID]],0)))</f>
        <v>272</v>
      </c>
      <c r="U656" s="68">
        <f>IF($C656="B",VLOOKUP($A656,Bat!$A$4:$BA$1621,47,FALSE),VLOOKUP($A656,Pit!$A$4:$BF$1557,56,FALSE))</f>
        <v>0</v>
      </c>
      <c r="V656" s="50">
        <f>IF($C656="B",VLOOKUP($A656,Bat!$A$4:$BA$1621,48,FALSE),VLOOKUP($A656,Pit!$A$4:$BF$1557,57,FALSE))</f>
        <v>0</v>
      </c>
      <c r="W656" s="69">
        <f>Table5[[#This Row],[posRnk]]+Table5[[#This Row],[zRnk]]+IF($W$3&lt;&gt;Table5[[#This Row],[Type]],50,0)</f>
        <v>803</v>
      </c>
      <c r="X656" s="73">
        <f>RANK(Table5[[#This Row],[zScore]],Table5[[#All],[zScore]])</f>
        <v>481</v>
      </c>
      <c r="Y656" s="69" t="str">
        <f>IFERROR(INDEX(DraftResults[[#All],[OVR]],MATCH(Table5[[#This Row],[PID]],DraftResults[[#All],[Player ID]],0)),"")</f>
        <v/>
      </c>
      <c r="Z6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6" s="69" t="str">
        <f>IFERROR(INDEX(DraftResults[[#All],[Pick in Round]],MATCH(Table5[[#This Row],[PID]],DraftResults[[#All],[Player ID]],0)),"")</f>
        <v/>
      </c>
      <c r="AB656" s="69" t="str">
        <f>IFERROR(INDEX(DraftResults[[#All],[Team Name]],MATCH(Table5[[#This Row],[PID]],DraftResults[[#All],[Player ID]],0)),"")</f>
        <v/>
      </c>
      <c r="AC656" s="69" t="str">
        <f>IF(Table5[[#This Row],[Ovr]]="","",IF(Table5[[#This Row],[cmbList]]="","",Table5[[#This Row],[cmbList]]-Table5[[#This Row],[Ovr]]))</f>
        <v/>
      </c>
      <c r="AD656" s="77" t="str">
        <f>IF(ISERROR(VLOOKUP($AB656&amp;"-"&amp;$E656&amp;" "&amp;F656,Bonuses!$B$1:$G$1006,4,FALSE)),"",INT(VLOOKUP($AB656&amp;"-"&amp;$E656&amp;" "&amp;$F656,Bonuses!$B$1:$G$1006,4,FALSE)))</f>
        <v/>
      </c>
      <c r="AE6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7" spans="1:31" s="50" customFormat="1" x14ac:dyDescent="0.25">
      <c r="A657" s="68">
        <v>18257</v>
      </c>
      <c r="B657" s="69">
        <f>COUNTIF(Table5[PID],A657)</f>
        <v>1</v>
      </c>
      <c r="C657" s="69" t="str">
        <f>IF(COUNTIF(Table3[[#All],[PID]],A657)&gt;0,"P","B")</f>
        <v>P</v>
      </c>
      <c r="D657" s="59" t="str">
        <f>IF($C657="B",INDEX(Batters[[#All],[POS]],MATCH(Table5[[#This Row],[PID]],Batters[[#All],[PID]],0)),INDEX(Table3[[#All],[POS]],MATCH(Table5[[#This Row],[PID]],Table3[[#All],[PID]],0)))</f>
        <v>SP</v>
      </c>
      <c r="E657" s="52" t="str">
        <f>IF($C657="B",INDEX(Batters[[#All],[First]],MATCH(Table5[[#This Row],[PID]],Batters[[#All],[PID]],0)),INDEX(Table3[[#All],[First]],MATCH(Table5[[#This Row],[PID]],Table3[[#All],[PID]],0)))</f>
        <v>Bennett</v>
      </c>
      <c r="F657" s="55" t="str">
        <f>IF($C657="B",INDEX(Batters[[#All],[Last]],MATCH(A657,Batters[[#All],[PID]],0)),INDEX(Table3[[#All],[Last]],MATCH(A657,Table3[[#All],[PID]],0)))</f>
        <v>Moore</v>
      </c>
      <c r="G657" s="56">
        <f>IF($C657="B",INDEX(Batters[[#All],[Age]],MATCH(Table5[[#This Row],[PID]],Batters[[#All],[PID]],0)),INDEX(Table3[[#All],[Age]],MATCH(Table5[[#This Row],[PID]],Table3[[#All],[PID]],0)))</f>
        <v>18</v>
      </c>
      <c r="H657" s="52" t="str">
        <f>IF($C657="B",INDEX(Batters[[#All],[B]],MATCH(Table5[[#This Row],[PID]],Batters[[#All],[PID]],0)),INDEX(Table3[[#All],[B]],MATCH(Table5[[#This Row],[PID]],Table3[[#All],[PID]],0)))</f>
        <v>R</v>
      </c>
      <c r="I657" s="52" t="str">
        <f>IF($C657="B",INDEX(Batters[[#All],[T]],MATCH(Table5[[#This Row],[PID]],Batters[[#All],[PID]],0)),INDEX(Table3[[#All],[T]],MATCH(Table5[[#This Row],[PID]],Table3[[#All],[PID]],0)))</f>
        <v>R</v>
      </c>
      <c r="J657" s="71" t="str">
        <f>IF($C657="B",INDEX(Batters[[#All],[WE]],MATCH(Table5[[#This Row],[PID]],Batters[[#All],[PID]],0)),INDEX(Table3[[#All],[WE]],MATCH(Table5[[#This Row],[PID]],Table3[[#All],[PID]],0)))</f>
        <v>Normal</v>
      </c>
      <c r="K657" s="52" t="str">
        <f>IF($C657="B",INDEX(Batters[[#All],[INT]],MATCH(Table5[[#This Row],[PID]],Batters[[#All],[PID]],0)),INDEX(Table3[[#All],[INT]],MATCH(Table5[[#This Row],[PID]],Table3[[#All],[PID]],0)))</f>
        <v>Normal</v>
      </c>
      <c r="L657" s="60">
        <f>IF($C657="B",INDEX(Batters[[#All],[CON P]],MATCH(Table5[[#This Row],[PID]],Batters[[#All],[PID]],0)),INDEX(Table3[[#All],[STU P]],MATCH(Table5[[#This Row],[PID]],Table3[[#All],[PID]],0)))</f>
        <v>5</v>
      </c>
      <c r="M657" s="72">
        <f>IF($C657="B",INDEX(Batters[[#All],[GAP P]],MATCH(Table5[[#This Row],[PID]],Batters[[#All],[PID]],0)),INDEX(Table3[[#All],[MOV P]],MATCH(Table5[[#This Row],[PID]],Table3[[#All],[PID]],0)))</f>
        <v>3</v>
      </c>
      <c r="N657" s="72">
        <f>IF($C657="B",INDEX(Batters[[#All],[POW P]],MATCH(Table5[[#This Row],[PID]],Batters[[#All],[PID]],0)),INDEX(Table3[[#All],[CON P]],MATCH(Table5[[#This Row],[PID]],Table3[[#All],[PID]],0)))</f>
        <v>2</v>
      </c>
      <c r="O657" s="72" t="str">
        <f>IF($C657="B",INDEX(Batters[[#All],[EYE P]],MATCH(Table5[[#This Row],[PID]],Batters[[#All],[PID]],0)),INDEX(Table3[[#All],[VELO]],MATCH(Table5[[#This Row],[PID]],Table3[[#All],[PID]],0)))</f>
        <v>91-93 Mph</v>
      </c>
      <c r="P657" s="56">
        <f>IF($C657="B",INDEX(Batters[[#All],[K P]],MATCH(Table5[[#This Row],[PID]],Batters[[#All],[PID]],0)),INDEX(Table3[[#All],[STM]],MATCH(Table5[[#This Row],[PID]],Table3[[#All],[PID]],0)))</f>
        <v>6</v>
      </c>
      <c r="Q657" s="61">
        <f>IF($C657="B",INDEX(Batters[[#All],[Tot]],MATCH(Table5[[#This Row],[PID]],Batters[[#All],[PID]],0)),INDEX(Table3[[#All],[Tot]],MATCH(Table5[[#This Row],[PID]],Table3[[#All],[PID]],0)))</f>
        <v>40.396141671423187</v>
      </c>
      <c r="R657" s="52">
        <f>IF($C657="B",INDEX(Batters[[#All],[zScore]],MATCH(Table5[[#This Row],[PID]],Batters[[#All],[PID]],0)),INDEX(Table3[[#All],[zScore]],MATCH(Table5[[#This Row],[PID]],Table3[[#All],[PID]],0)))</f>
        <v>0.17757626626425987</v>
      </c>
      <c r="S657" s="78" t="str">
        <f>IF($C657="B",INDEX(Batters[[#All],[DEM]],MATCH(Table5[[#This Row],[PID]],Batters[[#All],[PID]],0)),INDEX(Table3[[#All],[DEM]],MATCH(Table5[[#This Row],[PID]],Table3[[#All],[PID]],0)))</f>
        <v>$65k</v>
      </c>
      <c r="T657" s="75">
        <f>IF($C657="B",INDEX(Batters[[#All],[Rnk]],MATCH(Table5[[#This Row],[PID]],Batters[[#All],[PID]],0)),INDEX(Table3[[#All],[Rnk]],MATCH(Table5[[#This Row],[PID]],Table3[[#All],[PID]],0)))</f>
        <v>273</v>
      </c>
      <c r="U657" s="68">
        <f>IF($C657="B",VLOOKUP($A657,Bat!$A$4:$BA$1621,47,FALSE),VLOOKUP($A657,Pit!$A$4:$BF$1557,56,FALSE))</f>
        <v>0</v>
      </c>
      <c r="V657" s="50">
        <f>IF($C657="B",VLOOKUP($A657,Bat!$A$4:$BA$1621,48,FALSE),VLOOKUP($A657,Pit!$A$4:$BF$1557,57,FALSE))</f>
        <v>0</v>
      </c>
      <c r="W657" s="69">
        <f>Table5[[#This Row],[posRnk]]+Table5[[#This Row],[zRnk]]+IF($W$3&lt;&gt;Table5[[#This Row],[Type]],50,0)</f>
        <v>805</v>
      </c>
      <c r="X657" s="73">
        <f>RANK(Table5[[#This Row],[zScore]],Table5[[#All],[zScore]])</f>
        <v>482</v>
      </c>
      <c r="Y657" s="69" t="str">
        <f>IFERROR(INDEX(DraftResults[[#All],[OVR]],MATCH(Table5[[#This Row],[PID]],DraftResults[[#All],[Player ID]],0)),"")</f>
        <v/>
      </c>
      <c r="Z65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7" s="69" t="str">
        <f>IFERROR(INDEX(DraftResults[[#All],[Pick in Round]],MATCH(Table5[[#This Row],[PID]],DraftResults[[#All],[Player ID]],0)),"")</f>
        <v/>
      </c>
      <c r="AB657" s="69" t="str">
        <f>IFERROR(INDEX(DraftResults[[#All],[Team Name]],MATCH(Table5[[#This Row],[PID]],DraftResults[[#All],[Player ID]],0)),"")</f>
        <v/>
      </c>
      <c r="AC657" s="69" t="str">
        <f>IF(Table5[[#This Row],[Ovr]]="","",IF(Table5[[#This Row],[cmbList]]="","",Table5[[#This Row],[cmbList]]-Table5[[#This Row],[Ovr]]))</f>
        <v/>
      </c>
      <c r="AD657" s="77" t="str">
        <f>IF(ISERROR(VLOOKUP($AB657&amp;"-"&amp;$E657&amp;" "&amp;F657,Bonuses!$B$1:$G$1006,4,FALSE)),"",INT(VLOOKUP($AB657&amp;"-"&amp;$E657&amp;" "&amp;$F657,Bonuses!$B$1:$G$1006,4,FALSE)))</f>
        <v/>
      </c>
      <c r="AE65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8" spans="1:31" s="50" customFormat="1" x14ac:dyDescent="0.25">
      <c r="A658" s="50">
        <v>20906</v>
      </c>
      <c r="B658" s="50">
        <f>COUNTIF(Table5[PID],A658)</f>
        <v>1</v>
      </c>
      <c r="C658" s="50" t="str">
        <f>IF(COUNTIF(Table3[[#All],[PID]],A658)&gt;0,"P","B")</f>
        <v>P</v>
      </c>
      <c r="D658" s="59" t="str">
        <f>IF($C658="B",INDEX(Batters[[#All],[POS]],MATCH(Table5[[#This Row],[PID]],Batters[[#All],[PID]],0)),INDEX(Table3[[#All],[POS]],MATCH(Table5[[#This Row],[PID]],Table3[[#All],[PID]],0)))</f>
        <v>RP</v>
      </c>
      <c r="E658" s="52" t="str">
        <f>IF($C658="B",INDEX(Batters[[#All],[First]],MATCH(Table5[[#This Row],[PID]],Batters[[#All],[PID]],0)),INDEX(Table3[[#All],[First]],MATCH(Table5[[#This Row],[PID]],Table3[[#All],[PID]],0)))</f>
        <v>William</v>
      </c>
      <c r="F658" s="50" t="str">
        <f>IF($C658="B",INDEX(Batters[[#All],[Last]],MATCH(A658,Batters[[#All],[PID]],0)),INDEX(Table3[[#All],[Last]],MATCH(A658,Table3[[#All],[PID]],0)))</f>
        <v>Miller</v>
      </c>
      <c r="G658" s="56">
        <f>IF($C658="B",INDEX(Batters[[#All],[Age]],MATCH(Table5[[#This Row],[PID]],Batters[[#All],[PID]],0)),INDEX(Table3[[#All],[Age]],MATCH(Table5[[#This Row],[PID]],Table3[[#All],[PID]],0)))</f>
        <v>17</v>
      </c>
      <c r="H658" s="52" t="str">
        <f>IF($C658="B",INDEX(Batters[[#All],[B]],MATCH(Table5[[#This Row],[PID]],Batters[[#All],[PID]],0)),INDEX(Table3[[#All],[B]],MATCH(Table5[[#This Row],[PID]],Table3[[#All],[PID]],0)))</f>
        <v>R</v>
      </c>
      <c r="I658" s="52" t="str">
        <f>IF($C658="B",INDEX(Batters[[#All],[T]],MATCH(Table5[[#This Row],[PID]],Batters[[#All],[PID]],0)),INDEX(Table3[[#All],[T]],MATCH(Table5[[#This Row],[PID]],Table3[[#All],[PID]],0)))</f>
        <v>L</v>
      </c>
      <c r="J658" s="52" t="str">
        <f>IF($C658="B",INDEX(Batters[[#All],[WE]],MATCH(Table5[[#This Row],[PID]],Batters[[#All],[PID]],0)),INDEX(Table3[[#All],[WE]],MATCH(Table5[[#This Row],[PID]],Table3[[#All],[PID]],0)))</f>
        <v>Normal</v>
      </c>
      <c r="K658" s="52" t="str">
        <f>IF($C658="B",INDEX(Batters[[#All],[INT]],MATCH(Table5[[#This Row],[PID]],Batters[[#All],[PID]],0)),INDEX(Table3[[#All],[INT]],MATCH(Table5[[#This Row],[PID]],Table3[[#All],[PID]],0)))</f>
        <v>Normal</v>
      </c>
      <c r="L658" s="60">
        <f>IF($C658="B",INDEX(Batters[[#All],[CON P]],MATCH(Table5[[#This Row],[PID]],Batters[[#All],[PID]],0)),INDEX(Table3[[#All],[STU P]],MATCH(Table5[[#This Row],[PID]],Table3[[#All],[PID]],0)))</f>
        <v>5</v>
      </c>
      <c r="M658" s="56">
        <f>IF($C658="B",INDEX(Batters[[#All],[GAP P]],MATCH(Table5[[#This Row],[PID]],Batters[[#All],[PID]],0)),INDEX(Table3[[#All],[MOV P]],MATCH(Table5[[#This Row],[PID]],Table3[[#All],[PID]],0)))</f>
        <v>1</v>
      </c>
      <c r="N658" s="56">
        <f>IF($C658="B",INDEX(Batters[[#All],[POW P]],MATCH(Table5[[#This Row],[PID]],Batters[[#All],[PID]],0)),INDEX(Table3[[#All],[CON P]],MATCH(Table5[[#This Row],[PID]],Table3[[#All],[PID]],0)))</f>
        <v>4</v>
      </c>
      <c r="O658" s="56" t="str">
        <f>IF($C658="B",INDEX(Batters[[#All],[EYE P]],MATCH(Table5[[#This Row],[PID]],Batters[[#All],[PID]],0)),INDEX(Table3[[#All],[VELO]],MATCH(Table5[[#This Row],[PID]],Table3[[#All],[PID]],0)))</f>
        <v>85-87 Mph</v>
      </c>
      <c r="P658" s="56">
        <f>IF($C658="B",INDEX(Batters[[#All],[K P]],MATCH(Table5[[#This Row],[PID]],Batters[[#All],[PID]],0)),INDEX(Table3[[#All],[STM]],MATCH(Table5[[#This Row],[PID]],Table3[[#All],[PID]],0)))</f>
        <v>4</v>
      </c>
      <c r="Q658" s="61">
        <f>IF($C658="B",INDEX(Batters[[#All],[Tot]],MATCH(Table5[[#This Row],[PID]],Batters[[#All],[PID]],0)),INDEX(Table3[[#All],[Tot]],MATCH(Table5[[#This Row],[PID]],Table3[[#All],[PID]],0)))</f>
        <v>38.337160916002162</v>
      </c>
      <c r="R658" s="52">
        <f>IF($C658="B",INDEX(Batters[[#All],[zScore]],MATCH(Table5[[#This Row],[PID]],Batters[[#All],[PID]],0)),INDEX(Table3[[#All],[zScore]],MATCH(Table5[[#This Row],[PID]],Table3[[#All],[PID]],0)))</f>
        <v>0.16410144881421465</v>
      </c>
      <c r="S658" s="58" t="str">
        <f>IF($C658="B",INDEX(Batters[[#All],[DEM]],MATCH(Table5[[#This Row],[PID]],Batters[[#All],[PID]],0)),INDEX(Table3[[#All],[DEM]],MATCH(Table5[[#This Row],[PID]],Table3[[#All],[PID]],0)))</f>
        <v>$90k</v>
      </c>
      <c r="T658" s="62">
        <f>IF($C658="B",INDEX(Batters[[#All],[Rnk]],MATCH(Table5[[#This Row],[PID]],Batters[[#All],[PID]],0)),INDEX(Table3[[#All],[Rnk]],MATCH(Table5[[#This Row],[PID]],Table3[[#All],[PID]],0)))</f>
        <v>274</v>
      </c>
      <c r="U658" s="68">
        <f>IF($C658="B",VLOOKUP($A658,Bat!$A$4:$BA$1621,47,FALSE),VLOOKUP($A658,Pit!$A$4:$BF$1557,56,FALSE))</f>
        <v>0</v>
      </c>
      <c r="V658" s="50">
        <f>IF($C658="B",VLOOKUP($A658,Bat!$A$4:$BA$1621,48,FALSE),VLOOKUP($A658,Pit!$A$4:$BF$1557,57,FALSE))</f>
        <v>0</v>
      </c>
      <c r="W658" s="50">
        <f>Table5[[#This Row],[posRnk]]+Table5[[#This Row],[zRnk]]+IF($W$3&lt;&gt;Table5[[#This Row],[Type]],50,0)</f>
        <v>809</v>
      </c>
      <c r="X658" s="51">
        <f>RANK(Table5[[#This Row],[zScore]],Table5[[#All],[zScore]])</f>
        <v>485</v>
      </c>
      <c r="Y658" s="50" t="str">
        <f>IFERROR(INDEX(DraftResults[[#All],[OVR]],MATCH(Table5[[#This Row],[PID]],DraftResults[[#All],[Player ID]],0)),"")</f>
        <v/>
      </c>
      <c r="Z6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8" s="50" t="str">
        <f>IFERROR(INDEX(DraftResults[[#All],[Pick in Round]],MATCH(Table5[[#This Row],[PID]],DraftResults[[#All],[Player ID]],0)),"")</f>
        <v/>
      </c>
      <c r="AB658" s="50" t="str">
        <f>IFERROR(INDEX(DraftResults[[#All],[Team Name]],MATCH(Table5[[#This Row],[PID]],DraftResults[[#All],[Player ID]],0)),"")</f>
        <v/>
      </c>
      <c r="AC658" s="50" t="str">
        <f>IF(Table5[[#This Row],[Ovr]]="","",IF(Table5[[#This Row],[cmbList]]="","",Table5[[#This Row],[cmbList]]-Table5[[#This Row],[Ovr]]))</f>
        <v/>
      </c>
      <c r="AD658" s="54" t="str">
        <f>IF(ISERROR(VLOOKUP($AB658&amp;"-"&amp;$E658&amp;" "&amp;F658,Bonuses!$B$1:$G$1006,4,FALSE)),"",INT(VLOOKUP($AB658&amp;"-"&amp;$E658&amp;" "&amp;$F658,Bonuses!$B$1:$G$1006,4,FALSE)))</f>
        <v/>
      </c>
      <c r="AE6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59" spans="1:31" s="50" customFormat="1" x14ac:dyDescent="0.25">
      <c r="A659" s="50">
        <v>21059</v>
      </c>
      <c r="B659" s="50">
        <f>COUNTIF(Table5[PID],A659)</f>
        <v>1</v>
      </c>
      <c r="C659" s="50" t="str">
        <f>IF(COUNTIF(Table3[[#All],[PID]],A659)&gt;0,"P","B")</f>
        <v>P</v>
      </c>
      <c r="D659" s="59" t="str">
        <f>IF($C659="B",INDEX(Batters[[#All],[POS]],MATCH(Table5[[#This Row],[PID]],Batters[[#All],[PID]],0)),INDEX(Table3[[#All],[POS]],MATCH(Table5[[#This Row],[PID]],Table3[[#All],[PID]],0)))</f>
        <v>RP</v>
      </c>
      <c r="E659" s="52" t="str">
        <f>IF($C659="B",INDEX(Batters[[#All],[First]],MATCH(Table5[[#This Row],[PID]],Batters[[#All],[PID]],0)),INDEX(Table3[[#All],[First]],MATCH(Table5[[#This Row],[PID]],Table3[[#All],[PID]],0)))</f>
        <v>Artie</v>
      </c>
      <c r="F659" s="50" t="str">
        <f>IF($C659="B",INDEX(Batters[[#All],[Last]],MATCH(A659,Batters[[#All],[PID]],0)),INDEX(Table3[[#All],[Last]],MATCH(A659,Table3[[#All],[PID]],0)))</f>
        <v>O'Neill</v>
      </c>
      <c r="G659" s="56">
        <f>IF($C659="B",INDEX(Batters[[#All],[Age]],MATCH(Table5[[#This Row],[PID]],Batters[[#All],[PID]],0)),INDEX(Table3[[#All],[Age]],MATCH(Table5[[#This Row],[PID]],Table3[[#All],[PID]],0)))</f>
        <v>18</v>
      </c>
      <c r="H659" s="52" t="str">
        <f>IF($C659="B",INDEX(Batters[[#All],[B]],MATCH(Table5[[#This Row],[PID]],Batters[[#All],[PID]],0)),INDEX(Table3[[#All],[B]],MATCH(Table5[[#This Row],[PID]],Table3[[#All],[PID]],0)))</f>
        <v>L</v>
      </c>
      <c r="I659" s="52" t="str">
        <f>IF($C659="B",INDEX(Batters[[#All],[T]],MATCH(Table5[[#This Row],[PID]],Batters[[#All],[PID]],0)),INDEX(Table3[[#All],[T]],MATCH(Table5[[#This Row],[PID]],Table3[[#All],[PID]],0)))</f>
        <v>L</v>
      </c>
      <c r="J659" s="52" t="str">
        <f>IF($C659="B",INDEX(Batters[[#All],[WE]],MATCH(Table5[[#This Row],[PID]],Batters[[#All],[PID]],0)),INDEX(Table3[[#All],[WE]],MATCH(Table5[[#This Row],[PID]],Table3[[#All],[PID]],0)))</f>
        <v>Normal</v>
      </c>
      <c r="K659" s="52" t="str">
        <f>IF($C659="B",INDEX(Batters[[#All],[INT]],MATCH(Table5[[#This Row],[PID]],Batters[[#All],[PID]],0)),INDEX(Table3[[#All],[INT]],MATCH(Table5[[#This Row],[PID]],Table3[[#All],[PID]],0)))</f>
        <v>Normal</v>
      </c>
      <c r="L659" s="60">
        <f>IF($C659="B",INDEX(Batters[[#All],[CON P]],MATCH(Table5[[#This Row],[PID]],Batters[[#All],[PID]],0)),INDEX(Table3[[#All],[STU P]],MATCH(Table5[[#This Row],[PID]],Table3[[#All],[PID]],0)))</f>
        <v>5</v>
      </c>
      <c r="M659" s="56">
        <f>IF($C659="B",INDEX(Batters[[#All],[GAP P]],MATCH(Table5[[#This Row],[PID]],Batters[[#All],[PID]],0)),INDEX(Table3[[#All],[MOV P]],MATCH(Table5[[#This Row],[PID]],Table3[[#All],[PID]],0)))</f>
        <v>2</v>
      </c>
      <c r="N659" s="56">
        <f>IF($C659="B",INDEX(Batters[[#All],[POW P]],MATCH(Table5[[#This Row],[PID]],Batters[[#All],[PID]],0)),INDEX(Table3[[#All],[CON P]],MATCH(Table5[[#This Row],[PID]],Table3[[#All],[PID]],0)))</f>
        <v>3</v>
      </c>
      <c r="O659" s="56" t="str">
        <f>IF($C659="B",INDEX(Batters[[#All],[EYE P]],MATCH(Table5[[#This Row],[PID]],Batters[[#All],[PID]],0)),INDEX(Table3[[#All],[VELO]],MATCH(Table5[[#This Row],[PID]],Table3[[#All],[PID]],0)))</f>
        <v>90-92 Mph</v>
      </c>
      <c r="P659" s="56">
        <f>IF($C659="B",INDEX(Batters[[#All],[K P]],MATCH(Table5[[#This Row],[PID]],Batters[[#All],[PID]],0)),INDEX(Table3[[#All],[STM]],MATCH(Table5[[#This Row],[PID]],Table3[[#All],[PID]],0)))</f>
        <v>2</v>
      </c>
      <c r="Q659" s="61">
        <f>IF($C659="B",INDEX(Batters[[#All],[Tot]],MATCH(Table5[[#This Row],[PID]],Batters[[#All],[PID]],0)),INDEX(Table3[[#All],[Tot]],MATCH(Table5[[#This Row],[PID]],Table3[[#All],[PID]],0)))</f>
        <v>38.214965900109043</v>
      </c>
      <c r="R659" s="52">
        <f>IF($C659="B",INDEX(Batters[[#All],[zScore]],MATCH(Table5[[#This Row],[PID]],Batters[[#All],[PID]],0)),INDEX(Table3[[#All],[zScore]],MATCH(Table5[[#This Row],[PID]],Table3[[#All],[PID]],0)))</f>
        <v>0.15597200113412968</v>
      </c>
      <c r="S659" s="58" t="str">
        <f>IF($C659="B",INDEX(Batters[[#All],[DEM]],MATCH(Table5[[#This Row],[PID]],Batters[[#All],[PID]],0)),INDEX(Table3[[#All],[DEM]],MATCH(Table5[[#This Row],[PID]],Table3[[#All],[PID]],0)))</f>
        <v>$80k</v>
      </c>
      <c r="T659" s="62">
        <f>IF($C659="B",INDEX(Batters[[#All],[Rnk]],MATCH(Table5[[#This Row],[PID]],Batters[[#All],[PID]],0)),INDEX(Table3[[#All],[Rnk]],MATCH(Table5[[#This Row],[PID]],Table3[[#All],[PID]],0)))</f>
        <v>276</v>
      </c>
      <c r="U659" s="68">
        <f>IF($C659="B",VLOOKUP($A659,Bat!$A$4:$BA$1621,47,FALSE),VLOOKUP($A659,Pit!$A$4:$BF$1557,56,FALSE))</f>
        <v>0</v>
      </c>
      <c r="V659" s="50">
        <f>IF($C659="B",VLOOKUP($A659,Bat!$A$4:$BA$1621,48,FALSE),VLOOKUP($A659,Pit!$A$4:$BF$1557,57,FALSE))</f>
        <v>0</v>
      </c>
      <c r="W659" s="50">
        <f>Table5[[#This Row],[posRnk]]+Table5[[#This Row],[zRnk]]+IF($W$3&lt;&gt;Table5[[#This Row],[Type]],50,0)</f>
        <v>814</v>
      </c>
      <c r="X659" s="51">
        <f>RANK(Table5[[#This Row],[zScore]],Table5[[#All],[zScore]])</f>
        <v>488</v>
      </c>
      <c r="Y659" s="50" t="str">
        <f>IFERROR(INDEX(DraftResults[[#All],[OVR]],MATCH(Table5[[#This Row],[PID]],DraftResults[[#All],[Player ID]],0)),"")</f>
        <v/>
      </c>
      <c r="Z6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59" s="50" t="str">
        <f>IFERROR(INDEX(DraftResults[[#All],[Pick in Round]],MATCH(Table5[[#This Row],[PID]],DraftResults[[#All],[Player ID]],0)),"")</f>
        <v/>
      </c>
      <c r="AB659" s="50" t="str">
        <f>IFERROR(INDEX(DraftResults[[#All],[Team Name]],MATCH(Table5[[#This Row],[PID]],DraftResults[[#All],[Player ID]],0)),"")</f>
        <v/>
      </c>
      <c r="AC659" s="50" t="str">
        <f>IF(Table5[[#This Row],[Ovr]]="","",IF(Table5[[#This Row],[cmbList]]="","",Table5[[#This Row],[cmbList]]-Table5[[#This Row],[Ovr]]))</f>
        <v/>
      </c>
      <c r="AD659" s="54" t="str">
        <f>IF(ISERROR(VLOOKUP($AB659&amp;"-"&amp;$E659&amp;" "&amp;F659,Bonuses!$B$1:$G$1006,4,FALSE)),"",INT(VLOOKUP($AB659&amp;"-"&amp;$E659&amp;" "&amp;$F659,Bonuses!$B$1:$G$1006,4,FALSE)))</f>
        <v/>
      </c>
      <c r="AE6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0" spans="1:31" s="50" customFormat="1" x14ac:dyDescent="0.25">
      <c r="A660" s="50">
        <v>9888</v>
      </c>
      <c r="B660" s="50">
        <f>COUNTIF(Table5[PID],A660)</f>
        <v>1</v>
      </c>
      <c r="C660" s="50" t="str">
        <f>IF(COUNTIF(Table3[[#All],[PID]],A660)&gt;0,"P","B")</f>
        <v>P</v>
      </c>
      <c r="D660" s="59" t="str">
        <f>IF($C660="B",INDEX(Batters[[#All],[POS]],MATCH(Table5[[#This Row],[PID]],Batters[[#All],[PID]],0)),INDEX(Table3[[#All],[POS]],MATCH(Table5[[#This Row],[PID]],Table3[[#All],[PID]],0)))</f>
        <v>RP</v>
      </c>
      <c r="E660" s="52" t="str">
        <f>IF($C660="B",INDEX(Batters[[#All],[First]],MATCH(Table5[[#This Row],[PID]],Batters[[#All],[PID]],0)),INDEX(Table3[[#All],[First]],MATCH(Table5[[#This Row],[PID]],Table3[[#All],[PID]],0)))</f>
        <v>Alex</v>
      </c>
      <c r="F660" s="50" t="str">
        <f>IF($C660="B",INDEX(Batters[[#All],[Last]],MATCH(A660,Batters[[#All],[PID]],0)),INDEX(Table3[[#All],[Last]],MATCH(A660,Table3[[#All],[PID]],0)))</f>
        <v>George</v>
      </c>
      <c r="G660" s="56">
        <f>IF($C660="B",INDEX(Batters[[#All],[Age]],MATCH(Table5[[#This Row],[PID]],Batters[[#All],[PID]],0)),INDEX(Table3[[#All],[Age]],MATCH(Table5[[#This Row],[PID]],Table3[[#All],[PID]],0)))</f>
        <v>22</v>
      </c>
      <c r="H660" s="52" t="str">
        <f>IF($C660="B",INDEX(Batters[[#All],[B]],MATCH(Table5[[#This Row],[PID]],Batters[[#All],[PID]],0)),INDEX(Table3[[#All],[B]],MATCH(Table5[[#This Row],[PID]],Table3[[#All],[PID]],0)))</f>
        <v>S</v>
      </c>
      <c r="I660" s="52" t="str">
        <f>IF($C660="B",INDEX(Batters[[#All],[T]],MATCH(Table5[[#This Row],[PID]],Batters[[#All],[PID]],0)),INDEX(Table3[[#All],[T]],MATCH(Table5[[#This Row],[PID]],Table3[[#All],[PID]],0)))</f>
        <v>R</v>
      </c>
      <c r="J660" s="52" t="str">
        <f>IF($C660="B",INDEX(Batters[[#All],[WE]],MATCH(Table5[[#This Row],[PID]],Batters[[#All],[PID]],0)),INDEX(Table3[[#All],[WE]],MATCH(Table5[[#This Row],[PID]],Table3[[#All],[PID]],0)))</f>
        <v>Low</v>
      </c>
      <c r="K660" s="52" t="str">
        <f>IF($C660="B",INDEX(Batters[[#All],[INT]],MATCH(Table5[[#This Row],[PID]],Batters[[#All],[PID]],0)),INDEX(Table3[[#All],[INT]],MATCH(Table5[[#This Row],[PID]],Table3[[#All],[PID]],0)))</f>
        <v>Low</v>
      </c>
      <c r="L660" s="60">
        <f>IF($C660="B",INDEX(Batters[[#All],[CON P]],MATCH(Table5[[#This Row],[PID]],Batters[[#All],[PID]],0)),INDEX(Table3[[#All],[STU P]],MATCH(Table5[[#This Row],[PID]],Table3[[#All],[PID]],0)))</f>
        <v>5</v>
      </c>
      <c r="M660" s="56">
        <f>IF($C660="B",INDEX(Batters[[#All],[GAP P]],MATCH(Table5[[#This Row],[PID]],Batters[[#All],[PID]],0)),INDEX(Table3[[#All],[MOV P]],MATCH(Table5[[#This Row],[PID]],Table3[[#All],[PID]],0)))</f>
        <v>3</v>
      </c>
      <c r="N660" s="56">
        <f>IF($C660="B",INDEX(Batters[[#All],[POW P]],MATCH(Table5[[#This Row],[PID]],Batters[[#All],[PID]],0)),INDEX(Table3[[#All],[CON P]],MATCH(Table5[[#This Row],[PID]],Table3[[#All],[PID]],0)))</f>
        <v>3</v>
      </c>
      <c r="O660" s="56" t="str">
        <f>IF($C660="B",INDEX(Batters[[#All],[EYE P]],MATCH(Table5[[#This Row],[PID]],Batters[[#All],[PID]],0)),INDEX(Table3[[#All],[VELO]],MATCH(Table5[[#This Row],[PID]],Table3[[#All],[PID]],0)))</f>
        <v>89-91 Mph</v>
      </c>
      <c r="P660" s="56">
        <f>IF($C660="B",INDEX(Batters[[#All],[K P]],MATCH(Table5[[#This Row],[PID]],Batters[[#All],[PID]],0)),INDEX(Table3[[#All],[STM]],MATCH(Table5[[#This Row],[PID]],Table3[[#All],[PID]],0)))</f>
        <v>7</v>
      </c>
      <c r="Q660" s="61">
        <f>IF($C660="B",INDEX(Batters[[#All],[Tot]],MATCH(Table5[[#This Row],[PID]],Batters[[#All],[PID]],0)),INDEX(Table3[[#All],[Tot]],MATCH(Table5[[#This Row],[PID]],Table3[[#All],[PID]],0)))</f>
        <v>38.029823997482978</v>
      </c>
      <c r="R660" s="52">
        <f>IF($C660="B",INDEX(Batters[[#All],[zScore]],MATCH(Table5[[#This Row],[PID]],Batters[[#All],[PID]],0)),INDEX(Table3[[#All],[zScore]],MATCH(Table5[[#This Row],[PID]],Table3[[#All],[PID]],0)))</f>
        <v>0.14365479326939606</v>
      </c>
      <c r="S660" s="58" t="str">
        <f>IF($C660="B",INDEX(Batters[[#All],[DEM]],MATCH(Table5[[#This Row],[PID]],Batters[[#All],[PID]],0)),INDEX(Table3[[#All],[DEM]],MATCH(Table5[[#This Row],[PID]],Table3[[#All],[PID]],0)))</f>
        <v>-</v>
      </c>
      <c r="T660" s="62">
        <f>IF($C660="B",INDEX(Batters[[#All],[Rnk]],MATCH(Table5[[#This Row],[PID]],Batters[[#All],[PID]],0)),INDEX(Table3[[#All],[Rnk]],MATCH(Table5[[#This Row],[PID]],Table3[[#All],[PID]],0)))</f>
        <v>277</v>
      </c>
      <c r="U660" s="68">
        <f>IF($C660="B",VLOOKUP($A660,Bat!$A$4:$BA$1621,47,FALSE),VLOOKUP($A660,Pit!$A$4:$BF$1557,56,FALSE))</f>
        <v>0</v>
      </c>
      <c r="V660" s="50">
        <f>IF($C660="B",VLOOKUP($A660,Bat!$A$4:$BA$1621,48,FALSE),VLOOKUP($A660,Pit!$A$4:$BF$1557,57,FALSE))</f>
        <v>0</v>
      </c>
      <c r="W660" s="50">
        <f>Table5[[#This Row],[posRnk]]+Table5[[#This Row],[zRnk]]+IF($W$3&lt;&gt;Table5[[#This Row],[Type]],50,0)</f>
        <v>817</v>
      </c>
      <c r="X660" s="51">
        <f>RANK(Table5[[#This Row],[zScore]],Table5[[#All],[zScore]])</f>
        <v>490</v>
      </c>
      <c r="Y660" s="50" t="str">
        <f>IFERROR(INDEX(DraftResults[[#All],[OVR]],MATCH(Table5[[#This Row],[PID]],DraftResults[[#All],[Player ID]],0)),"")</f>
        <v/>
      </c>
      <c r="Z6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0" s="50" t="str">
        <f>IFERROR(INDEX(DraftResults[[#All],[Pick in Round]],MATCH(Table5[[#This Row],[PID]],DraftResults[[#All],[Player ID]],0)),"")</f>
        <v/>
      </c>
      <c r="AB660" s="50" t="str">
        <f>IFERROR(INDEX(DraftResults[[#All],[Team Name]],MATCH(Table5[[#This Row],[PID]],DraftResults[[#All],[Player ID]],0)),"")</f>
        <v/>
      </c>
      <c r="AC660" s="50" t="str">
        <f>IF(Table5[[#This Row],[Ovr]]="","",IF(Table5[[#This Row],[cmbList]]="","",Table5[[#This Row],[cmbList]]-Table5[[#This Row],[Ovr]]))</f>
        <v/>
      </c>
      <c r="AD660" s="54" t="str">
        <f>IF(ISERROR(VLOOKUP($AB660&amp;"-"&amp;$E660&amp;" "&amp;F660,Bonuses!$B$1:$G$1006,4,FALSE)),"",INT(VLOOKUP($AB660&amp;"-"&amp;$E660&amp;" "&amp;$F660,Bonuses!$B$1:$G$1006,4,FALSE)))</f>
        <v/>
      </c>
      <c r="AE6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1" spans="1:31" s="50" customFormat="1" x14ac:dyDescent="0.25">
      <c r="A661" s="68">
        <v>20626</v>
      </c>
      <c r="B661" s="69">
        <f>COUNTIF(Table5[PID],A661)</f>
        <v>1</v>
      </c>
      <c r="C661" s="69" t="str">
        <f>IF(COUNTIF(Table3[[#All],[PID]],A661)&gt;0,"P","B")</f>
        <v>P</v>
      </c>
      <c r="D661" s="59" t="str">
        <f>IF($C661="B",INDEX(Batters[[#All],[POS]],MATCH(Table5[[#This Row],[PID]],Batters[[#All],[PID]],0)),INDEX(Table3[[#All],[POS]],MATCH(Table5[[#This Row],[PID]],Table3[[#All],[PID]],0)))</f>
        <v>SP</v>
      </c>
      <c r="E661" s="52" t="str">
        <f>IF($C661="B",INDEX(Batters[[#All],[First]],MATCH(Table5[[#This Row],[PID]],Batters[[#All],[PID]],0)),INDEX(Table3[[#All],[First]],MATCH(Table5[[#This Row],[PID]],Table3[[#All],[PID]],0)))</f>
        <v>Chun-hwan</v>
      </c>
      <c r="F661" s="55" t="str">
        <f>IF($C661="B",INDEX(Batters[[#All],[Last]],MATCH(A661,Batters[[#All],[PID]],0)),INDEX(Table3[[#All],[Last]],MATCH(A661,Table3[[#All],[PID]],0)))</f>
        <v>Kwak</v>
      </c>
      <c r="G661" s="56">
        <f>IF($C661="B",INDEX(Batters[[#All],[Age]],MATCH(Table5[[#This Row],[PID]],Batters[[#All],[PID]],0)),INDEX(Table3[[#All],[Age]],MATCH(Table5[[#This Row],[PID]],Table3[[#All],[PID]],0)))</f>
        <v>16</v>
      </c>
      <c r="H661" s="52" t="str">
        <f>IF($C661="B",INDEX(Batters[[#All],[B]],MATCH(Table5[[#This Row],[PID]],Batters[[#All],[PID]],0)),INDEX(Table3[[#All],[B]],MATCH(Table5[[#This Row],[PID]],Table3[[#All],[PID]],0)))</f>
        <v>L</v>
      </c>
      <c r="I661" s="52" t="str">
        <f>IF($C661="B",INDEX(Batters[[#All],[T]],MATCH(Table5[[#This Row],[PID]],Batters[[#All],[PID]],0)),INDEX(Table3[[#All],[T]],MATCH(Table5[[#This Row],[PID]],Table3[[#All],[PID]],0)))</f>
        <v>R</v>
      </c>
      <c r="J661" s="71" t="str">
        <f>IF($C661="B",INDEX(Batters[[#All],[WE]],MATCH(Table5[[#This Row],[PID]],Batters[[#All],[PID]],0)),INDEX(Table3[[#All],[WE]],MATCH(Table5[[#This Row],[PID]],Table3[[#All],[PID]],0)))</f>
        <v>Low</v>
      </c>
      <c r="K661" s="52" t="str">
        <f>IF($C661="B",INDEX(Batters[[#All],[INT]],MATCH(Table5[[#This Row],[PID]],Batters[[#All],[PID]],0)),INDEX(Table3[[#All],[INT]],MATCH(Table5[[#This Row],[PID]],Table3[[#All],[PID]],0)))</f>
        <v>Normal</v>
      </c>
      <c r="L661" s="60">
        <f>IF($C661="B",INDEX(Batters[[#All],[CON P]],MATCH(Table5[[#This Row],[PID]],Batters[[#All],[PID]],0)),INDEX(Table3[[#All],[STU P]],MATCH(Table5[[#This Row],[PID]],Table3[[#All],[PID]],0)))</f>
        <v>4</v>
      </c>
      <c r="M661" s="72">
        <f>IF($C661="B",INDEX(Batters[[#All],[GAP P]],MATCH(Table5[[#This Row],[PID]],Batters[[#All],[PID]],0)),INDEX(Table3[[#All],[MOV P]],MATCH(Table5[[#This Row],[PID]],Table3[[#All],[PID]],0)))</f>
        <v>2</v>
      </c>
      <c r="N661" s="72">
        <f>IF($C661="B",INDEX(Batters[[#All],[POW P]],MATCH(Table5[[#This Row],[PID]],Batters[[#All],[PID]],0)),INDEX(Table3[[#All],[CON P]],MATCH(Table5[[#This Row],[PID]],Table3[[#All],[PID]],0)))</f>
        <v>4</v>
      </c>
      <c r="O661" s="72" t="str">
        <f>IF($C661="B",INDEX(Batters[[#All],[EYE P]],MATCH(Table5[[#This Row],[PID]],Batters[[#All],[PID]],0)),INDEX(Table3[[#All],[VELO]],MATCH(Table5[[#This Row],[PID]],Table3[[#All],[PID]],0)))</f>
        <v>86-88 Mph</v>
      </c>
      <c r="P661" s="56">
        <f>IF($C661="B",INDEX(Batters[[#All],[K P]],MATCH(Table5[[#This Row],[PID]],Batters[[#All],[PID]],0)),INDEX(Table3[[#All],[STM]],MATCH(Table5[[#This Row],[PID]],Table3[[#All],[PID]],0)))</f>
        <v>5</v>
      </c>
      <c r="Q661" s="61">
        <f>IF($C661="B",INDEX(Batters[[#All],[Tot]],MATCH(Table5[[#This Row],[PID]],Batters[[#All],[PID]],0)),INDEX(Table3[[#All],[Tot]],MATCH(Table5[[#This Row],[PID]],Table3[[#All],[PID]],0)))</f>
        <v>39.89790722675761</v>
      </c>
      <c r="R661" s="52">
        <f>IF($C661="B",INDEX(Batters[[#All],[zScore]],MATCH(Table5[[#This Row],[PID]],Batters[[#All],[PID]],0)),INDEX(Table3[[#All],[zScore]],MATCH(Table5[[#This Row],[PID]],Table3[[#All],[PID]],0)))</f>
        <v>0.14344735339946035</v>
      </c>
      <c r="S661" s="78" t="str">
        <f>IF($C661="B",INDEX(Batters[[#All],[DEM]],MATCH(Table5[[#This Row],[PID]],Batters[[#All],[PID]],0)),INDEX(Table3[[#All],[DEM]],MATCH(Table5[[#This Row],[PID]],Table3[[#All],[PID]],0)))</f>
        <v>$65k</v>
      </c>
      <c r="T661" s="75">
        <f>IF($C661="B",INDEX(Batters[[#All],[Rnk]],MATCH(Table5[[#This Row],[PID]],Batters[[#All],[PID]],0)),INDEX(Table3[[#All],[Rnk]],MATCH(Table5[[#This Row],[PID]],Table3[[#All],[PID]],0)))</f>
        <v>278</v>
      </c>
      <c r="U661" s="68">
        <f>IF($C661="B",VLOOKUP($A661,Bat!$A$4:$BA$1621,47,FALSE),VLOOKUP($A661,Pit!$A$4:$BF$1557,56,FALSE))</f>
        <v>0</v>
      </c>
      <c r="V661" s="50">
        <f>IF($C661="B",VLOOKUP($A661,Bat!$A$4:$BA$1621,48,FALSE),VLOOKUP($A661,Pit!$A$4:$BF$1557,57,FALSE))</f>
        <v>0</v>
      </c>
      <c r="W661" s="69">
        <f>Table5[[#This Row],[posRnk]]+Table5[[#This Row],[zRnk]]+IF($W$3&lt;&gt;Table5[[#This Row],[Type]],50,0)</f>
        <v>819</v>
      </c>
      <c r="X661" s="73">
        <f>RANK(Table5[[#This Row],[zScore]],Table5[[#All],[zScore]])</f>
        <v>491</v>
      </c>
      <c r="Y661" s="69" t="str">
        <f>IFERROR(INDEX(DraftResults[[#All],[OVR]],MATCH(Table5[[#This Row],[PID]],DraftResults[[#All],[Player ID]],0)),"")</f>
        <v/>
      </c>
      <c r="Z66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1" s="69" t="str">
        <f>IFERROR(INDEX(DraftResults[[#All],[Pick in Round]],MATCH(Table5[[#This Row],[PID]],DraftResults[[#All],[Player ID]],0)),"")</f>
        <v/>
      </c>
      <c r="AB661" s="69" t="str">
        <f>IFERROR(INDEX(DraftResults[[#All],[Team Name]],MATCH(Table5[[#This Row],[PID]],DraftResults[[#All],[Player ID]],0)),"")</f>
        <v/>
      </c>
      <c r="AC661" s="69" t="str">
        <f>IF(Table5[[#This Row],[Ovr]]="","",IF(Table5[[#This Row],[cmbList]]="","",Table5[[#This Row],[cmbList]]-Table5[[#This Row],[Ovr]]))</f>
        <v/>
      </c>
      <c r="AD661" s="77" t="str">
        <f>IF(ISERROR(VLOOKUP($AB661&amp;"-"&amp;$E661&amp;" "&amp;F661,Bonuses!$B$1:$G$1006,4,FALSE)),"",INT(VLOOKUP($AB661&amp;"-"&amp;$E661&amp;" "&amp;$F661,Bonuses!$B$1:$G$1006,4,FALSE)))</f>
        <v/>
      </c>
      <c r="AE66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2" spans="1:31" s="50" customFormat="1" x14ac:dyDescent="0.25">
      <c r="A662" s="50">
        <v>20401</v>
      </c>
      <c r="B662" s="50">
        <f>COUNTIF(Table5[PID],A662)</f>
        <v>1</v>
      </c>
      <c r="C662" s="50" t="str">
        <f>IF(COUNTIF(Table3[[#All],[PID]],A662)&gt;0,"P","B")</f>
        <v>P</v>
      </c>
      <c r="D662" s="59" t="str">
        <f>IF($C662="B",INDEX(Batters[[#All],[POS]],MATCH(Table5[[#This Row],[PID]],Batters[[#All],[PID]],0)),INDEX(Table3[[#All],[POS]],MATCH(Table5[[#This Row],[PID]],Table3[[#All],[PID]],0)))</f>
        <v>RP</v>
      </c>
      <c r="E662" s="52" t="str">
        <f>IF($C662="B",INDEX(Batters[[#All],[First]],MATCH(Table5[[#This Row],[PID]],Batters[[#All],[PID]],0)),INDEX(Table3[[#All],[First]],MATCH(Table5[[#This Row],[PID]],Table3[[#All],[PID]],0)))</f>
        <v>Mike</v>
      </c>
      <c r="F662" s="50" t="str">
        <f>IF($C662="B",INDEX(Batters[[#All],[Last]],MATCH(A662,Batters[[#All],[PID]],0)),INDEX(Table3[[#All],[Last]],MATCH(A662,Table3[[#All],[PID]],0)))</f>
        <v>Sweetman</v>
      </c>
      <c r="G662" s="56">
        <f>IF($C662="B",INDEX(Batters[[#All],[Age]],MATCH(Table5[[#This Row],[PID]],Batters[[#All],[PID]],0)),INDEX(Table3[[#All],[Age]],MATCH(Table5[[#This Row],[PID]],Table3[[#All],[PID]],0)))</f>
        <v>17</v>
      </c>
      <c r="H662" s="52" t="str">
        <f>IF($C662="B",INDEX(Batters[[#All],[B]],MATCH(Table5[[#This Row],[PID]],Batters[[#All],[PID]],0)),INDEX(Table3[[#All],[B]],MATCH(Table5[[#This Row],[PID]],Table3[[#All],[PID]],0)))</f>
        <v>L</v>
      </c>
      <c r="I662" s="52" t="str">
        <f>IF($C662="B",INDEX(Batters[[#All],[T]],MATCH(Table5[[#This Row],[PID]],Batters[[#All],[PID]],0)),INDEX(Table3[[#All],[T]],MATCH(Table5[[#This Row],[PID]],Table3[[#All],[PID]],0)))</f>
        <v>L</v>
      </c>
      <c r="J662" s="52" t="str">
        <f>IF($C662="B",INDEX(Batters[[#All],[WE]],MATCH(Table5[[#This Row],[PID]],Batters[[#All],[PID]],0)),INDEX(Table3[[#All],[WE]],MATCH(Table5[[#This Row],[PID]],Table3[[#All],[PID]],0)))</f>
        <v>High</v>
      </c>
      <c r="K662" s="52" t="str">
        <f>IF($C662="B",INDEX(Batters[[#All],[INT]],MATCH(Table5[[#This Row],[PID]],Batters[[#All],[PID]],0)),INDEX(Table3[[#All],[INT]],MATCH(Table5[[#This Row],[PID]],Table3[[#All],[PID]],0)))</f>
        <v>High</v>
      </c>
      <c r="L662" s="60">
        <f>IF($C662="B",INDEX(Batters[[#All],[CON P]],MATCH(Table5[[#This Row],[PID]],Batters[[#All],[PID]],0)),INDEX(Table3[[#All],[STU P]],MATCH(Table5[[#This Row],[PID]],Table3[[#All],[PID]],0)))</f>
        <v>4</v>
      </c>
      <c r="M662" s="56">
        <f>IF($C662="B",INDEX(Batters[[#All],[GAP P]],MATCH(Table5[[#This Row],[PID]],Batters[[#All],[PID]],0)),INDEX(Table3[[#All],[MOV P]],MATCH(Table5[[#This Row],[PID]],Table3[[#All],[PID]],0)))</f>
        <v>3</v>
      </c>
      <c r="N662" s="56">
        <f>IF($C662="B",INDEX(Batters[[#All],[POW P]],MATCH(Table5[[#This Row],[PID]],Batters[[#All],[PID]],0)),INDEX(Table3[[#All],[CON P]],MATCH(Table5[[#This Row],[PID]],Table3[[#All],[PID]],0)))</f>
        <v>3</v>
      </c>
      <c r="O662" s="56" t="str">
        <f>IF($C662="B",INDEX(Batters[[#All],[EYE P]],MATCH(Table5[[#This Row],[PID]],Batters[[#All],[PID]],0)),INDEX(Table3[[#All],[VELO]],MATCH(Table5[[#This Row],[PID]],Table3[[#All],[PID]],0)))</f>
        <v>90-92 Mph</v>
      </c>
      <c r="P662" s="56">
        <f>IF($C662="B",INDEX(Batters[[#All],[K P]],MATCH(Table5[[#This Row],[PID]],Batters[[#All],[PID]],0)),INDEX(Table3[[#All],[STM]],MATCH(Table5[[#This Row],[PID]],Table3[[#All],[PID]],0)))</f>
        <v>7</v>
      </c>
      <c r="Q662" s="61">
        <f>IF($C662="B",INDEX(Batters[[#All],[Tot]],MATCH(Table5[[#This Row],[PID]],Batters[[#All],[PID]],0)),INDEX(Table3[[#All],[Tot]],MATCH(Table5[[#This Row],[PID]],Table3[[#All],[PID]],0)))</f>
        <v>38.748447050802682</v>
      </c>
      <c r="R662" s="52">
        <f>IF($C662="B",INDEX(Batters[[#All],[zScore]],MATCH(Table5[[#This Row],[PID]],Batters[[#All],[PID]],0)),INDEX(Table3[[#All],[zScore]],MATCH(Table5[[#This Row],[PID]],Table3[[#All],[PID]],0)))</f>
        <v>0.14247952407446804</v>
      </c>
      <c r="S662" s="58" t="str">
        <f>IF($C662="B",INDEX(Batters[[#All],[DEM]],MATCH(Table5[[#This Row],[PID]],Batters[[#All],[PID]],0)),INDEX(Table3[[#All],[DEM]],MATCH(Table5[[#This Row],[PID]],Table3[[#All],[PID]],0)))</f>
        <v>$65k</v>
      </c>
      <c r="T662" s="62">
        <f>IF($C662="B",INDEX(Batters[[#All],[Rnk]],MATCH(Table5[[#This Row],[PID]],Batters[[#All],[PID]],0)),INDEX(Table3[[#All],[Rnk]],MATCH(Table5[[#This Row],[PID]],Table3[[#All],[PID]],0)))</f>
        <v>279</v>
      </c>
      <c r="U662" s="68">
        <f>IF($C662="B",VLOOKUP($A662,Bat!$A$4:$BA$1621,47,FALSE),VLOOKUP($A662,Pit!$A$4:$BF$1557,56,FALSE))</f>
        <v>0</v>
      </c>
      <c r="V662" s="50">
        <f>IF($C662="B",VLOOKUP($A662,Bat!$A$4:$BA$1621,48,FALSE),VLOOKUP($A662,Pit!$A$4:$BF$1557,57,FALSE))</f>
        <v>0</v>
      </c>
      <c r="W662" s="50">
        <f>Table5[[#This Row],[posRnk]]+Table5[[#This Row],[zRnk]]+IF($W$3&lt;&gt;Table5[[#This Row],[Type]],50,0)</f>
        <v>821</v>
      </c>
      <c r="X662" s="51">
        <f>RANK(Table5[[#This Row],[zScore]],Table5[[#All],[zScore]])</f>
        <v>492</v>
      </c>
      <c r="Y662" s="50" t="str">
        <f>IFERROR(INDEX(DraftResults[[#All],[OVR]],MATCH(Table5[[#This Row],[PID]],DraftResults[[#All],[Player ID]],0)),"")</f>
        <v/>
      </c>
      <c r="Z6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2" s="50" t="str">
        <f>IFERROR(INDEX(DraftResults[[#All],[Pick in Round]],MATCH(Table5[[#This Row],[PID]],DraftResults[[#All],[Player ID]],0)),"")</f>
        <v/>
      </c>
      <c r="AB662" s="50" t="str">
        <f>IFERROR(INDEX(DraftResults[[#All],[Team Name]],MATCH(Table5[[#This Row],[PID]],DraftResults[[#All],[Player ID]],0)),"")</f>
        <v/>
      </c>
      <c r="AC662" s="50" t="str">
        <f>IF(Table5[[#This Row],[Ovr]]="","",IF(Table5[[#This Row],[cmbList]]="","",Table5[[#This Row],[cmbList]]-Table5[[#This Row],[Ovr]]))</f>
        <v/>
      </c>
      <c r="AD662" s="54" t="str">
        <f>IF(ISERROR(VLOOKUP($AB662&amp;"-"&amp;$E662&amp;" "&amp;F662,Bonuses!$B$1:$G$1006,4,FALSE)),"",INT(VLOOKUP($AB662&amp;"-"&amp;$E662&amp;" "&amp;$F662,Bonuses!$B$1:$G$1006,4,FALSE)))</f>
        <v/>
      </c>
      <c r="AE6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3" spans="1:31" s="50" customFormat="1" x14ac:dyDescent="0.25">
      <c r="A663" s="50">
        <v>20895</v>
      </c>
      <c r="B663" s="50">
        <f>COUNTIF(Table5[PID],A663)</f>
        <v>1</v>
      </c>
      <c r="C663" s="50" t="str">
        <f>IF(COUNTIF(Table3[[#All],[PID]],A663)&gt;0,"P","B")</f>
        <v>B</v>
      </c>
      <c r="D663" s="59" t="str">
        <f>IF($C663="B",INDEX(Batters[[#All],[POS]],MATCH(Table5[[#This Row],[PID]],Batters[[#All],[PID]],0)),INDEX(Table3[[#All],[POS]],MATCH(Table5[[#This Row],[PID]],Table3[[#All],[PID]],0)))</f>
        <v>CF</v>
      </c>
      <c r="E663" s="52" t="str">
        <f>IF($C663="B",INDEX(Batters[[#All],[First]],MATCH(Table5[[#This Row],[PID]],Batters[[#All],[PID]],0)),INDEX(Table3[[#All],[First]],MATCH(Table5[[#This Row],[PID]],Table3[[#All],[PID]],0)))</f>
        <v>Kevin</v>
      </c>
      <c r="F663" s="50" t="str">
        <f>IF($C663="B",INDEX(Batters[[#All],[Last]],MATCH(A663,Batters[[#All],[PID]],0)),INDEX(Table3[[#All],[Last]],MATCH(A663,Table3[[#All],[PID]],0)))</f>
        <v>Miles</v>
      </c>
      <c r="G663" s="56">
        <f>IF($C663="B",INDEX(Batters[[#All],[Age]],MATCH(Table5[[#This Row],[PID]],Batters[[#All],[PID]],0)),INDEX(Table3[[#All],[Age]],MATCH(Table5[[#This Row],[PID]],Table3[[#All],[PID]],0)))</f>
        <v>17</v>
      </c>
      <c r="H663" s="52" t="str">
        <f>IF($C663="B",INDEX(Batters[[#All],[B]],MATCH(Table5[[#This Row],[PID]],Batters[[#All],[PID]],0)),INDEX(Table3[[#All],[B]],MATCH(Table5[[#This Row],[PID]],Table3[[#All],[PID]],0)))</f>
        <v>L</v>
      </c>
      <c r="I663" s="52" t="str">
        <f>IF($C663="B",INDEX(Batters[[#All],[T]],MATCH(Table5[[#This Row],[PID]],Batters[[#All],[PID]],0)),INDEX(Table3[[#All],[T]],MATCH(Table5[[#This Row],[PID]],Table3[[#All],[PID]],0)))</f>
        <v>L</v>
      </c>
      <c r="J663" s="52" t="str">
        <f>IF($C663="B",INDEX(Batters[[#All],[WE]],MATCH(Table5[[#This Row],[PID]],Batters[[#All],[PID]],0)),INDEX(Table3[[#All],[WE]],MATCH(Table5[[#This Row],[PID]],Table3[[#All],[PID]],0)))</f>
        <v>Normal</v>
      </c>
      <c r="K663" s="52" t="str">
        <f>IF($C663="B",INDEX(Batters[[#All],[INT]],MATCH(Table5[[#This Row],[PID]],Batters[[#All],[PID]],0)),INDEX(Table3[[#All],[INT]],MATCH(Table5[[#This Row],[PID]],Table3[[#All],[PID]],0)))</f>
        <v>Normal</v>
      </c>
      <c r="L663" s="60">
        <f>IF($C663="B",INDEX(Batters[[#All],[CON P]],MATCH(Table5[[#This Row],[PID]],Batters[[#All],[PID]],0)),INDEX(Table3[[#All],[STU P]],MATCH(Table5[[#This Row],[PID]],Table3[[#All],[PID]],0)))</f>
        <v>3</v>
      </c>
      <c r="M663" s="56">
        <f>IF($C663="B",INDEX(Batters[[#All],[GAP P]],MATCH(Table5[[#This Row],[PID]],Batters[[#All],[PID]],0)),INDEX(Table3[[#All],[MOV P]],MATCH(Table5[[#This Row],[PID]],Table3[[#All],[PID]],0)))</f>
        <v>4</v>
      </c>
      <c r="N663" s="56">
        <f>IF($C663="B",INDEX(Batters[[#All],[POW P]],MATCH(Table5[[#This Row],[PID]],Batters[[#All],[PID]],0)),INDEX(Table3[[#All],[CON P]],MATCH(Table5[[#This Row],[PID]],Table3[[#All],[PID]],0)))</f>
        <v>3</v>
      </c>
      <c r="O663" s="56">
        <f>IF($C663="B",INDEX(Batters[[#All],[EYE P]],MATCH(Table5[[#This Row],[PID]],Batters[[#All],[PID]],0)),INDEX(Table3[[#All],[VELO]],MATCH(Table5[[#This Row],[PID]],Table3[[#All],[PID]],0)))</f>
        <v>7</v>
      </c>
      <c r="P663" s="56">
        <f>IF($C663="B",INDEX(Batters[[#All],[K P]],MATCH(Table5[[#This Row],[PID]],Batters[[#All],[PID]],0)),INDEX(Table3[[#All],[STM]],MATCH(Table5[[#This Row],[PID]],Table3[[#All],[PID]],0)))</f>
        <v>5</v>
      </c>
      <c r="Q663" s="61">
        <f>IF($C663="B",INDEX(Batters[[#All],[Tot]],MATCH(Table5[[#This Row],[PID]],Batters[[#All],[PID]],0)),INDEX(Table3[[#All],[Tot]],MATCH(Table5[[#This Row],[PID]],Table3[[#All],[PID]],0)))</f>
        <v>44.758537030111682</v>
      </c>
      <c r="R663" s="52">
        <f>IF($C663="B",INDEX(Batters[[#All],[zScore]],MATCH(Table5[[#This Row],[PID]],Batters[[#All],[PID]],0)),INDEX(Table3[[#All],[zScore]],MATCH(Table5[[#This Row],[PID]],Table3[[#All],[PID]],0)))</f>
        <v>0.13892085869425044</v>
      </c>
      <c r="S663" s="58" t="str">
        <f>IF($C663="B",INDEX(Batters[[#All],[DEM]],MATCH(Table5[[#This Row],[PID]],Batters[[#All],[PID]],0)),INDEX(Table3[[#All],[DEM]],MATCH(Table5[[#This Row],[PID]],Table3[[#All],[PID]],0)))</f>
        <v>$38k</v>
      </c>
      <c r="T663" s="62">
        <f>IF($C663="B",INDEX(Batters[[#All],[Rnk]],MATCH(Table5[[#This Row],[PID]],Batters[[#All],[PID]],0)),INDEX(Table3[[#All],[Rnk]],MATCH(Table5[[#This Row],[PID]],Table3[[#All],[PID]],0)))</f>
        <v>214</v>
      </c>
      <c r="U663" s="68">
        <f>IF($C663="B",VLOOKUP($A663,Bat!$A$4:$BA$1621,47,FALSE),VLOOKUP($A663,Pit!$A$4:$BF$1557,56,FALSE))</f>
        <v>0</v>
      </c>
      <c r="V663" s="50">
        <f>IF($C663="B",VLOOKUP($A663,Bat!$A$4:$BA$1621,48,FALSE),VLOOKUP($A663,Pit!$A$4:$BF$1557,57,FALSE))</f>
        <v>0</v>
      </c>
      <c r="W663" s="50">
        <f>Table5[[#This Row],[posRnk]]+Table5[[#This Row],[zRnk]]+IF($W$3&lt;&gt;Table5[[#This Row],[Type]],50,0)</f>
        <v>757</v>
      </c>
      <c r="X663" s="51">
        <f>RANK(Table5[[#This Row],[zScore]],Table5[[#All],[zScore]])</f>
        <v>493</v>
      </c>
      <c r="Y663" s="50" t="str">
        <f>IFERROR(INDEX(DraftResults[[#All],[OVR]],MATCH(Table5[[#This Row],[PID]],DraftResults[[#All],[Player ID]],0)),"")</f>
        <v/>
      </c>
      <c r="Z6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3" s="50" t="str">
        <f>IFERROR(INDEX(DraftResults[[#All],[Pick in Round]],MATCH(Table5[[#This Row],[PID]],DraftResults[[#All],[Player ID]],0)),"")</f>
        <v/>
      </c>
      <c r="AB663" s="50" t="str">
        <f>IFERROR(INDEX(DraftResults[[#All],[Team Name]],MATCH(Table5[[#This Row],[PID]],DraftResults[[#All],[Player ID]],0)),"")</f>
        <v/>
      </c>
      <c r="AC663" s="50" t="str">
        <f>IF(Table5[[#This Row],[Ovr]]="","",IF(Table5[[#This Row],[cmbList]]="","",Table5[[#This Row],[cmbList]]-Table5[[#This Row],[Ovr]]))</f>
        <v/>
      </c>
      <c r="AD663" s="54" t="str">
        <f>IF(ISERROR(VLOOKUP($AB663&amp;"-"&amp;$E663&amp;" "&amp;F663,Bonuses!$B$1:$G$1006,4,FALSE)),"",INT(VLOOKUP($AB663&amp;"-"&amp;$E663&amp;" "&amp;$F663,Bonuses!$B$1:$G$1006,4,FALSE)))</f>
        <v/>
      </c>
      <c r="AE6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4" spans="1:31" s="50" customFormat="1" x14ac:dyDescent="0.25">
      <c r="A664" s="68">
        <v>17833</v>
      </c>
      <c r="B664" s="69">
        <f>COUNTIF(Table5[PID],A664)</f>
        <v>1</v>
      </c>
      <c r="C664" s="69" t="str">
        <f>IF(COUNTIF(Table3[[#All],[PID]],A664)&gt;0,"P","B")</f>
        <v>P</v>
      </c>
      <c r="D664" s="59" t="str">
        <f>IF($C664="B",INDEX(Batters[[#All],[POS]],MATCH(Table5[[#This Row],[PID]],Batters[[#All],[PID]],0)),INDEX(Table3[[#All],[POS]],MATCH(Table5[[#This Row],[PID]],Table3[[#All],[PID]],0)))</f>
        <v>SP</v>
      </c>
      <c r="E664" s="52" t="str">
        <f>IF($C664="B",INDEX(Batters[[#All],[First]],MATCH(Table5[[#This Row],[PID]],Batters[[#All],[PID]],0)),INDEX(Table3[[#All],[First]],MATCH(Table5[[#This Row],[PID]],Table3[[#All],[PID]],0)))</f>
        <v>Gerard</v>
      </c>
      <c r="F664" s="55" t="str">
        <f>IF($C664="B",INDEX(Batters[[#All],[Last]],MATCH(A664,Batters[[#All],[PID]],0)),INDEX(Table3[[#All],[Last]],MATCH(A664,Table3[[#All],[PID]],0)))</f>
        <v>Brayley</v>
      </c>
      <c r="G664" s="56">
        <f>IF($C664="B",INDEX(Batters[[#All],[Age]],MATCH(Table5[[#This Row],[PID]],Batters[[#All],[PID]],0)),INDEX(Table3[[#All],[Age]],MATCH(Table5[[#This Row],[PID]],Table3[[#All],[PID]],0)))</f>
        <v>18</v>
      </c>
      <c r="H664" s="52" t="str">
        <f>IF($C664="B",INDEX(Batters[[#All],[B]],MATCH(Table5[[#This Row],[PID]],Batters[[#All],[PID]],0)),INDEX(Table3[[#All],[B]],MATCH(Table5[[#This Row],[PID]],Table3[[#All],[PID]],0)))</f>
        <v>R</v>
      </c>
      <c r="I664" s="52" t="str">
        <f>IF($C664="B",INDEX(Batters[[#All],[T]],MATCH(Table5[[#This Row],[PID]],Batters[[#All],[PID]],0)),INDEX(Table3[[#All],[T]],MATCH(Table5[[#This Row],[PID]],Table3[[#All],[PID]],0)))</f>
        <v>R</v>
      </c>
      <c r="J664" s="71" t="str">
        <f>IF($C664="B",INDEX(Batters[[#All],[WE]],MATCH(Table5[[#This Row],[PID]],Batters[[#All],[PID]],0)),INDEX(Table3[[#All],[WE]],MATCH(Table5[[#This Row],[PID]],Table3[[#All],[PID]],0)))</f>
        <v>High</v>
      </c>
      <c r="K664" s="52" t="str">
        <f>IF($C664="B",INDEX(Batters[[#All],[INT]],MATCH(Table5[[#This Row],[PID]],Batters[[#All],[PID]],0)),INDEX(Table3[[#All],[INT]],MATCH(Table5[[#This Row],[PID]],Table3[[#All],[PID]],0)))</f>
        <v>Normal</v>
      </c>
      <c r="L664" s="60">
        <f>IF($C664="B",INDEX(Batters[[#All],[CON P]],MATCH(Table5[[#This Row],[PID]],Batters[[#All],[PID]],0)),INDEX(Table3[[#All],[STU P]],MATCH(Table5[[#This Row],[PID]],Table3[[#All],[PID]],0)))</f>
        <v>4</v>
      </c>
      <c r="M664" s="72">
        <f>IF($C664="B",INDEX(Batters[[#All],[GAP P]],MATCH(Table5[[#This Row],[PID]],Batters[[#All],[PID]],0)),INDEX(Table3[[#All],[MOV P]],MATCH(Table5[[#This Row],[PID]],Table3[[#All],[PID]],0)))</f>
        <v>3</v>
      </c>
      <c r="N664" s="72">
        <f>IF($C664="B",INDEX(Batters[[#All],[POW P]],MATCH(Table5[[#This Row],[PID]],Batters[[#All],[PID]],0)),INDEX(Table3[[#All],[CON P]],MATCH(Table5[[#This Row],[PID]],Table3[[#All],[PID]],0)))</f>
        <v>3</v>
      </c>
      <c r="O664" s="72" t="str">
        <f>IF($C664="B",INDEX(Batters[[#All],[EYE P]],MATCH(Table5[[#This Row],[PID]],Batters[[#All],[PID]],0)),INDEX(Table3[[#All],[VELO]],MATCH(Table5[[#This Row],[PID]],Table3[[#All],[PID]],0)))</f>
        <v>87-89 Mph</v>
      </c>
      <c r="P664" s="56">
        <f>IF($C664="B",INDEX(Batters[[#All],[K P]],MATCH(Table5[[#This Row],[PID]],Batters[[#All],[PID]],0)),INDEX(Table3[[#All],[STM]],MATCH(Table5[[#This Row],[PID]],Table3[[#All],[PID]],0)))</f>
        <v>4</v>
      </c>
      <c r="Q664" s="61">
        <f>IF($C664="B",INDEX(Batters[[#All],[Tot]],MATCH(Table5[[#This Row],[PID]],Batters[[#All],[PID]],0)),INDEX(Table3[[#All],[Tot]],MATCH(Table5[[#This Row],[PID]],Table3[[#All],[PID]],0)))</f>
        <v>37.779541994949057</v>
      </c>
      <c r="R664" s="52">
        <f>IF($C664="B",INDEX(Batters[[#All],[zScore]],MATCH(Table5[[#This Row],[PID]],Batters[[#All],[PID]],0)),INDEX(Table3[[#All],[zScore]],MATCH(Table5[[#This Row],[PID]],Table3[[#All],[PID]],0)))</f>
        <v>0.12700391409895534</v>
      </c>
      <c r="S664" s="78" t="str">
        <f>IF($C664="B",INDEX(Batters[[#All],[DEM]],MATCH(Table5[[#This Row],[PID]],Batters[[#All],[PID]],0)),INDEX(Table3[[#All],[DEM]],MATCH(Table5[[#This Row],[PID]],Table3[[#All],[PID]],0)))</f>
        <v>$65k</v>
      </c>
      <c r="T664" s="75">
        <f>IF($C664="B",INDEX(Batters[[#All],[Rnk]],MATCH(Table5[[#This Row],[PID]],Batters[[#All],[PID]],0)),INDEX(Table3[[#All],[Rnk]],MATCH(Table5[[#This Row],[PID]],Table3[[#All],[PID]],0)))</f>
        <v>281</v>
      </c>
      <c r="U664" s="68">
        <f>IF($C664="B",VLOOKUP($A664,Bat!$A$4:$BA$1621,47,FALSE),VLOOKUP($A664,Pit!$A$4:$BF$1557,56,FALSE))</f>
        <v>0</v>
      </c>
      <c r="V664" s="50">
        <f>IF($C664="B",VLOOKUP($A664,Bat!$A$4:$BA$1621,48,FALSE),VLOOKUP($A664,Pit!$A$4:$BF$1557,57,FALSE))</f>
        <v>0</v>
      </c>
      <c r="W664" s="69">
        <f>Table5[[#This Row],[posRnk]]+Table5[[#This Row],[zRnk]]+IF($W$3&lt;&gt;Table5[[#This Row],[Type]],50,0)</f>
        <v>829</v>
      </c>
      <c r="X664" s="73">
        <f>RANK(Table5[[#This Row],[zScore]],Table5[[#All],[zScore]])</f>
        <v>498</v>
      </c>
      <c r="Y664" s="69" t="str">
        <f>IFERROR(INDEX(DraftResults[[#All],[OVR]],MATCH(Table5[[#This Row],[PID]],DraftResults[[#All],[Player ID]],0)),"")</f>
        <v/>
      </c>
      <c r="Z66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4" s="69" t="str">
        <f>IFERROR(INDEX(DraftResults[[#All],[Pick in Round]],MATCH(Table5[[#This Row],[PID]],DraftResults[[#All],[Player ID]],0)),"")</f>
        <v/>
      </c>
      <c r="AB664" s="69" t="str">
        <f>IFERROR(INDEX(DraftResults[[#All],[Team Name]],MATCH(Table5[[#This Row],[PID]],DraftResults[[#All],[Player ID]],0)),"")</f>
        <v/>
      </c>
      <c r="AC664" s="69" t="str">
        <f>IF(Table5[[#This Row],[Ovr]]="","",IF(Table5[[#This Row],[cmbList]]="","",Table5[[#This Row],[cmbList]]-Table5[[#This Row],[Ovr]]))</f>
        <v/>
      </c>
      <c r="AD664" s="77" t="str">
        <f>IF(ISERROR(VLOOKUP($AB664&amp;"-"&amp;$E664&amp;" "&amp;F664,Bonuses!$B$1:$G$1006,4,FALSE)),"",INT(VLOOKUP($AB664&amp;"-"&amp;$E664&amp;" "&amp;$F664,Bonuses!$B$1:$G$1006,4,FALSE)))</f>
        <v/>
      </c>
      <c r="AE66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5" spans="1:31" s="50" customFormat="1" x14ac:dyDescent="0.25">
      <c r="A665" s="50">
        <v>18401</v>
      </c>
      <c r="B665" s="50">
        <f>COUNTIF(Table5[PID],A665)</f>
        <v>1</v>
      </c>
      <c r="C665" s="50" t="str">
        <f>IF(COUNTIF(Table3[[#All],[PID]],A665)&gt;0,"P","B")</f>
        <v>P</v>
      </c>
      <c r="D665" s="59" t="str">
        <f>IF($C665="B",INDEX(Batters[[#All],[POS]],MATCH(Table5[[#This Row],[PID]],Batters[[#All],[PID]],0)),INDEX(Table3[[#All],[POS]],MATCH(Table5[[#This Row],[PID]],Table3[[#All],[PID]],0)))</f>
        <v>RP</v>
      </c>
      <c r="E665" s="52" t="str">
        <f>IF($C665="B",INDEX(Batters[[#All],[First]],MATCH(Table5[[#This Row],[PID]],Batters[[#All],[PID]],0)),INDEX(Table3[[#All],[First]],MATCH(Table5[[#This Row],[PID]],Table3[[#All],[PID]],0)))</f>
        <v>Tokimasa</v>
      </c>
      <c r="F665" s="50" t="str">
        <f>IF($C665="B",INDEX(Batters[[#All],[Last]],MATCH(A665,Batters[[#All],[PID]],0)),INDEX(Table3[[#All],[Last]],MATCH(A665,Table3[[#All],[PID]],0)))</f>
        <v>Abe</v>
      </c>
      <c r="G665" s="56">
        <f>IF($C665="B",INDEX(Batters[[#All],[Age]],MATCH(Table5[[#This Row],[PID]],Batters[[#All],[PID]],0)),INDEX(Table3[[#All],[Age]],MATCH(Table5[[#This Row],[PID]],Table3[[#All],[PID]],0)))</f>
        <v>18</v>
      </c>
      <c r="H665" s="52" t="str">
        <f>IF($C665="B",INDEX(Batters[[#All],[B]],MATCH(Table5[[#This Row],[PID]],Batters[[#All],[PID]],0)),INDEX(Table3[[#All],[B]],MATCH(Table5[[#This Row],[PID]],Table3[[#All],[PID]],0)))</f>
        <v>R</v>
      </c>
      <c r="I665" s="52" t="str">
        <f>IF($C665="B",INDEX(Batters[[#All],[T]],MATCH(Table5[[#This Row],[PID]],Batters[[#All],[PID]],0)),INDEX(Table3[[#All],[T]],MATCH(Table5[[#This Row],[PID]],Table3[[#All],[PID]],0)))</f>
        <v>R</v>
      </c>
      <c r="J665" s="52" t="str">
        <f>IF($C665="B",INDEX(Batters[[#All],[WE]],MATCH(Table5[[#This Row],[PID]],Batters[[#All],[PID]],0)),INDEX(Table3[[#All],[WE]],MATCH(Table5[[#This Row],[PID]],Table3[[#All],[PID]],0)))</f>
        <v>Normal</v>
      </c>
      <c r="K665" s="52" t="str">
        <f>IF($C665="B",INDEX(Batters[[#All],[INT]],MATCH(Table5[[#This Row],[PID]],Batters[[#All],[PID]],0)),INDEX(Table3[[#All],[INT]],MATCH(Table5[[#This Row],[PID]],Table3[[#All],[PID]],0)))</f>
        <v>Normal</v>
      </c>
      <c r="L665" s="60">
        <f>IF($C665="B",INDEX(Batters[[#All],[CON P]],MATCH(Table5[[#This Row],[PID]],Batters[[#All],[PID]],0)),INDEX(Table3[[#All],[STU P]],MATCH(Table5[[#This Row],[PID]],Table3[[#All],[PID]],0)))</f>
        <v>4</v>
      </c>
      <c r="M665" s="56">
        <f>IF($C665="B",INDEX(Batters[[#All],[GAP P]],MATCH(Table5[[#This Row],[PID]],Batters[[#All],[PID]],0)),INDEX(Table3[[#All],[MOV P]],MATCH(Table5[[#This Row],[PID]],Table3[[#All],[PID]],0)))</f>
        <v>3</v>
      </c>
      <c r="N665" s="56">
        <f>IF($C665="B",INDEX(Batters[[#All],[POW P]],MATCH(Table5[[#This Row],[PID]],Batters[[#All],[PID]],0)),INDEX(Table3[[#All],[CON P]],MATCH(Table5[[#This Row],[PID]],Table3[[#All],[PID]],0)))</f>
        <v>3</v>
      </c>
      <c r="O665" s="56" t="str">
        <f>IF($C665="B",INDEX(Batters[[#All],[EYE P]],MATCH(Table5[[#This Row],[PID]],Batters[[#All],[PID]],0)),INDEX(Table3[[#All],[VELO]],MATCH(Table5[[#This Row],[PID]],Table3[[#All],[PID]],0)))</f>
        <v>87-89 Mph</v>
      </c>
      <c r="P665" s="56">
        <f>IF($C665="B",INDEX(Batters[[#All],[K P]],MATCH(Table5[[#This Row],[PID]],Batters[[#All],[PID]],0)),INDEX(Table3[[#All],[STM]],MATCH(Table5[[#This Row],[PID]],Table3[[#All],[PID]],0)))</f>
        <v>9</v>
      </c>
      <c r="Q665" s="61">
        <f>IF($C665="B",INDEX(Batters[[#All],[Tot]],MATCH(Table5[[#This Row],[PID]],Batters[[#All],[PID]],0)),INDEX(Table3[[#All],[Tot]],MATCH(Table5[[#This Row],[PID]],Table3[[#All],[PID]],0)))</f>
        <v>37.609508785900843</v>
      </c>
      <c r="R665" s="52">
        <f>IF($C665="B",INDEX(Batters[[#All],[zScore]],MATCH(Table5[[#This Row],[PID]],Batters[[#All],[PID]],0)),INDEX(Table3[[#All],[zScore]],MATCH(Table5[[#This Row],[PID]],Table3[[#All],[PID]],0)))</f>
        <v>0.11569186453022791</v>
      </c>
      <c r="S665" s="58" t="str">
        <f>IF($C665="B",INDEX(Batters[[#All],[DEM]],MATCH(Table5[[#This Row],[PID]],Batters[[#All],[PID]],0)),INDEX(Table3[[#All],[DEM]],MATCH(Table5[[#This Row],[PID]],Table3[[#All],[PID]],0)))</f>
        <v>$38k</v>
      </c>
      <c r="T665" s="62">
        <f>IF($C665="B",INDEX(Batters[[#All],[Rnk]],MATCH(Table5[[#This Row],[PID]],Batters[[#All],[PID]],0)),INDEX(Table3[[#All],[Rnk]],MATCH(Table5[[#This Row],[PID]],Table3[[#All],[PID]],0)))</f>
        <v>283</v>
      </c>
      <c r="U665" s="68">
        <f>IF($C665="B",VLOOKUP($A665,Bat!$A$4:$BA$1621,47,FALSE),VLOOKUP($A665,Pit!$A$4:$BF$1557,56,FALSE))</f>
        <v>0</v>
      </c>
      <c r="V665" s="50">
        <f>IF($C665="B",VLOOKUP($A665,Bat!$A$4:$BA$1621,48,FALSE),VLOOKUP($A665,Pit!$A$4:$BF$1557,57,FALSE))</f>
        <v>0</v>
      </c>
      <c r="W665" s="50">
        <f>Table5[[#This Row],[posRnk]]+Table5[[#This Row],[zRnk]]+IF($W$3&lt;&gt;Table5[[#This Row],[Type]],50,0)</f>
        <v>834</v>
      </c>
      <c r="X665" s="51">
        <f>RANK(Table5[[#This Row],[zScore]],Table5[[#All],[zScore]])</f>
        <v>501</v>
      </c>
      <c r="Y665" s="50" t="str">
        <f>IFERROR(INDEX(DraftResults[[#All],[OVR]],MATCH(Table5[[#This Row],[PID]],DraftResults[[#All],[Player ID]],0)),"")</f>
        <v/>
      </c>
      <c r="Z6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5" s="50" t="str">
        <f>IFERROR(INDEX(DraftResults[[#All],[Pick in Round]],MATCH(Table5[[#This Row],[PID]],DraftResults[[#All],[Player ID]],0)),"")</f>
        <v/>
      </c>
      <c r="AB665" s="50" t="str">
        <f>IFERROR(INDEX(DraftResults[[#All],[Team Name]],MATCH(Table5[[#This Row],[PID]],DraftResults[[#All],[Player ID]],0)),"")</f>
        <v/>
      </c>
      <c r="AC665" s="50" t="str">
        <f>IF(Table5[[#This Row],[Ovr]]="","",IF(Table5[[#This Row],[cmbList]]="","",Table5[[#This Row],[cmbList]]-Table5[[#This Row],[Ovr]]))</f>
        <v/>
      </c>
      <c r="AD665" s="54" t="str">
        <f>IF(ISERROR(VLOOKUP($AB665&amp;"-"&amp;$E665&amp;" "&amp;F665,Bonuses!$B$1:$G$1006,4,FALSE)),"",INT(VLOOKUP($AB665&amp;"-"&amp;$E665&amp;" "&amp;$F665,Bonuses!$B$1:$G$1006,4,FALSE)))</f>
        <v/>
      </c>
      <c r="AE6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6" spans="1:31" s="50" customFormat="1" x14ac:dyDescent="0.25">
      <c r="A666" s="50">
        <v>20488</v>
      </c>
      <c r="B666" s="50">
        <f>COUNTIF(Table5[PID],A666)</f>
        <v>1</v>
      </c>
      <c r="C666" s="50" t="str">
        <f>IF(COUNTIF(Table3[[#All],[PID]],A666)&gt;0,"P","B")</f>
        <v>B</v>
      </c>
      <c r="D666" s="59" t="str">
        <f>IF($C666="B",INDEX(Batters[[#All],[POS]],MATCH(Table5[[#This Row],[PID]],Batters[[#All],[PID]],0)),INDEX(Table3[[#All],[POS]],MATCH(Table5[[#This Row],[PID]],Table3[[#All],[PID]],0)))</f>
        <v>C</v>
      </c>
      <c r="E666" s="52" t="str">
        <f>IF($C666="B",INDEX(Batters[[#All],[First]],MATCH(Table5[[#This Row],[PID]],Batters[[#All],[PID]],0)),INDEX(Table3[[#All],[First]],MATCH(Table5[[#This Row],[PID]],Table3[[#All],[PID]],0)))</f>
        <v>Narihari</v>
      </c>
      <c r="F666" s="50" t="str">
        <f>IF($C666="B",INDEX(Batters[[#All],[Last]],MATCH(A666,Batters[[#All],[PID]],0)),INDEX(Table3[[#All],[Last]],MATCH(A666,Table3[[#All],[PID]],0)))</f>
        <v>Noguchi</v>
      </c>
      <c r="G666" s="56">
        <f>IF($C666="B",INDEX(Batters[[#All],[Age]],MATCH(Table5[[#This Row],[PID]],Batters[[#All],[PID]],0)),INDEX(Table3[[#All],[Age]],MATCH(Table5[[#This Row],[PID]],Table3[[#All],[PID]],0)))</f>
        <v>18</v>
      </c>
      <c r="H666" s="52" t="str">
        <f>IF($C666="B",INDEX(Batters[[#All],[B]],MATCH(Table5[[#This Row],[PID]],Batters[[#All],[PID]],0)),INDEX(Table3[[#All],[B]],MATCH(Table5[[#This Row],[PID]],Table3[[#All],[PID]],0)))</f>
        <v>R</v>
      </c>
      <c r="I666" s="52" t="str">
        <f>IF($C666="B",INDEX(Batters[[#All],[T]],MATCH(Table5[[#This Row],[PID]],Batters[[#All],[PID]],0)),INDEX(Table3[[#All],[T]],MATCH(Table5[[#This Row],[PID]],Table3[[#All],[PID]],0)))</f>
        <v>R</v>
      </c>
      <c r="J666" s="52" t="str">
        <f>IF($C666="B",INDEX(Batters[[#All],[WE]],MATCH(Table5[[#This Row],[PID]],Batters[[#All],[PID]],0)),INDEX(Table3[[#All],[WE]],MATCH(Table5[[#This Row],[PID]],Table3[[#All],[PID]],0)))</f>
        <v>Normal</v>
      </c>
      <c r="K666" s="52" t="str">
        <f>IF($C666="B",INDEX(Batters[[#All],[INT]],MATCH(Table5[[#This Row],[PID]],Batters[[#All],[PID]],0)),INDEX(Table3[[#All],[INT]],MATCH(Table5[[#This Row],[PID]],Table3[[#All],[PID]],0)))</f>
        <v>Normal</v>
      </c>
      <c r="L666" s="60">
        <f>IF($C666="B",INDEX(Batters[[#All],[CON P]],MATCH(Table5[[#This Row],[PID]],Batters[[#All],[PID]],0)),INDEX(Table3[[#All],[STU P]],MATCH(Table5[[#This Row],[PID]],Table3[[#All],[PID]],0)))</f>
        <v>3</v>
      </c>
      <c r="M666" s="56">
        <f>IF($C666="B",INDEX(Batters[[#All],[GAP P]],MATCH(Table5[[#This Row],[PID]],Batters[[#All],[PID]],0)),INDEX(Table3[[#All],[MOV P]],MATCH(Table5[[#This Row],[PID]],Table3[[#All],[PID]],0)))</f>
        <v>4</v>
      </c>
      <c r="N666" s="56">
        <f>IF($C666="B",INDEX(Batters[[#All],[POW P]],MATCH(Table5[[#This Row],[PID]],Batters[[#All],[PID]],0)),INDEX(Table3[[#All],[CON P]],MATCH(Table5[[#This Row],[PID]],Table3[[#All],[PID]],0)))</f>
        <v>3</v>
      </c>
      <c r="O666" s="56">
        <f>IF($C666="B",INDEX(Batters[[#All],[EYE P]],MATCH(Table5[[#This Row],[PID]],Batters[[#All],[PID]],0)),INDEX(Table3[[#All],[VELO]],MATCH(Table5[[#This Row],[PID]],Table3[[#All],[PID]],0)))</f>
        <v>7</v>
      </c>
      <c r="P666" s="56">
        <f>IF($C666="B",INDEX(Batters[[#All],[K P]],MATCH(Table5[[#This Row],[PID]],Batters[[#All],[PID]],0)),INDEX(Table3[[#All],[STM]],MATCH(Table5[[#This Row],[PID]],Table3[[#All],[PID]],0)))</f>
        <v>3</v>
      </c>
      <c r="Q666" s="61">
        <f>IF($C666="B",INDEX(Batters[[#All],[Tot]],MATCH(Table5[[#This Row],[PID]],Batters[[#All],[PID]],0)),INDEX(Table3[[#All],[Tot]],MATCH(Table5[[#This Row],[PID]],Table3[[#All],[PID]],0)))</f>
        <v>44.653250862463551</v>
      </c>
      <c r="R666" s="52">
        <f>IF($C666="B",INDEX(Batters[[#All],[zScore]],MATCH(Table5[[#This Row],[PID]],Batters[[#All],[PID]],0)),INDEX(Table3[[#All],[zScore]],MATCH(Table5[[#This Row],[PID]],Table3[[#All],[PID]],0)))</f>
        <v>0.11557820365821443</v>
      </c>
      <c r="S666" s="58" t="str">
        <f>IF($C666="B",INDEX(Batters[[#All],[DEM]],MATCH(Table5[[#This Row],[PID]],Batters[[#All],[PID]],0)),INDEX(Table3[[#All],[DEM]],MATCH(Table5[[#This Row],[PID]],Table3[[#All],[PID]],0)))</f>
        <v>$2.6m</v>
      </c>
      <c r="T666" s="62">
        <f>IF($C666="B",INDEX(Batters[[#All],[Rnk]],MATCH(Table5[[#This Row],[PID]],Batters[[#All],[PID]],0)),INDEX(Table3[[#All],[Rnk]],MATCH(Table5[[#This Row],[PID]],Table3[[#All],[PID]],0)))</f>
        <v>219</v>
      </c>
      <c r="U666" s="68">
        <f>IF($C666="B",VLOOKUP($A666,Bat!$A$4:$BA$1621,47,FALSE),VLOOKUP($A666,Pit!$A$4:$BF$1557,56,FALSE))</f>
        <v>0</v>
      </c>
      <c r="V666" s="50">
        <f>IF($C666="B",VLOOKUP($A666,Bat!$A$4:$BA$1621,48,FALSE),VLOOKUP($A666,Pit!$A$4:$BF$1557,57,FALSE))</f>
        <v>0</v>
      </c>
      <c r="W666" s="50">
        <f>Table5[[#This Row],[posRnk]]+Table5[[#This Row],[zRnk]]+IF($W$3&lt;&gt;Table5[[#This Row],[Type]],50,0)</f>
        <v>771</v>
      </c>
      <c r="X666" s="51">
        <f>RANK(Table5[[#This Row],[zScore]],Table5[[#All],[zScore]])</f>
        <v>502</v>
      </c>
      <c r="Y666" s="50" t="str">
        <f>IFERROR(INDEX(DraftResults[[#All],[OVR]],MATCH(Table5[[#This Row],[PID]],DraftResults[[#All],[Player ID]],0)),"")</f>
        <v/>
      </c>
      <c r="Z6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6" s="50" t="str">
        <f>IFERROR(INDEX(DraftResults[[#All],[Pick in Round]],MATCH(Table5[[#This Row],[PID]],DraftResults[[#All],[Player ID]],0)),"")</f>
        <v/>
      </c>
      <c r="AB666" s="50" t="str">
        <f>IFERROR(INDEX(DraftResults[[#All],[Team Name]],MATCH(Table5[[#This Row],[PID]],DraftResults[[#All],[Player ID]],0)),"")</f>
        <v/>
      </c>
      <c r="AC666" s="50" t="str">
        <f>IF(Table5[[#This Row],[Ovr]]="","",IF(Table5[[#This Row],[cmbList]]="","",Table5[[#This Row],[cmbList]]-Table5[[#This Row],[Ovr]]))</f>
        <v/>
      </c>
      <c r="AD666" s="54" t="str">
        <f>IF(ISERROR(VLOOKUP($AB666&amp;"-"&amp;$E666&amp;" "&amp;F666,Bonuses!$B$1:$G$1006,4,FALSE)),"",INT(VLOOKUP($AB666&amp;"-"&amp;$E666&amp;" "&amp;$F666,Bonuses!$B$1:$G$1006,4,FALSE)))</f>
        <v/>
      </c>
      <c r="AE6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7" spans="1:31" s="50" customFormat="1" x14ac:dyDescent="0.25">
      <c r="A667" s="50">
        <v>20559</v>
      </c>
      <c r="B667" s="50">
        <f>COUNTIF(Table5[PID],A667)</f>
        <v>1</v>
      </c>
      <c r="C667" s="50" t="str">
        <f>IF(COUNTIF(Table3[[#All],[PID]],A667)&gt;0,"P","B")</f>
        <v>P</v>
      </c>
      <c r="D667" s="59" t="str">
        <f>IF($C667="B",INDEX(Batters[[#All],[POS]],MATCH(Table5[[#This Row],[PID]],Batters[[#All],[PID]],0)),INDEX(Table3[[#All],[POS]],MATCH(Table5[[#This Row],[PID]],Table3[[#All],[PID]],0)))</f>
        <v>RP</v>
      </c>
      <c r="E667" s="52" t="str">
        <f>IF($C667="B",INDEX(Batters[[#All],[First]],MATCH(Table5[[#This Row],[PID]],Batters[[#All],[PID]],0)),INDEX(Table3[[#All],[First]],MATCH(Table5[[#This Row],[PID]],Table3[[#All],[PID]],0)))</f>
        <v>Justin</v>
      </c>
      <c r="F667" s="50" t="str">
        <f>IF($C667="B",INDEX(Batters[[#All],[Last]],MATCH(A667,Batters[[#All],[PID]],0)),INDEX(Table3[[#All],[Last]],MATCH(A667,Table3[[#All],[PID]],0)))</f>
        <v>Edlich</v>
      </c>
      <c r="G667" s="56">
        <f>IF($C667="B",INDEX(Batters[[#All],[Age]],MATCH(Table5[[#This Row],[PID]],Batters[[#All],[PID]],0)),INDEX(Table3[[#All],[Age]],MATCH(Table5[[#This Row],[PID]],Table3[[#All],[PID]],0)))</f>
        <v>17</v>
      </c>
      <c r="H667" s="52" t="str">
        <f>IF($C667="B",INDEX(Batters[[#All],[B]],MATCH(Table5[[#This Row],[PID]],Batters[[#All],[PID]],0)),INDEX(Table3[[#All],[B]],MATCH(Table5[[#This Row],[PID]],Table3[[#All],[PID]],0)))</f>
        <v>R</v>
      </c>
      <c r="I667" s="52" t="str">
        <f>IF($C667="B",INDEX(Batters[[#All],[T]],MATCH(Table5[[#This Row],[PID]],Batters[[#All],[PID]],0)),INDEX(Table3[[#All],[T]],MATCH(Table5[[#This Row],[PID]],Table3[[#All],[PID]],0)))</f>
        <v>R</v>
      </c>
      <c r="J667" s="52" t="str">
        <f>IF($C667="B",INDEX(Batters[[#All],[WE]],MATCH(Table5[[#This Row],[PID]],Batters[[#All],[PID]],0)),INDEX(Table3[[#All],[WE]],MATCH(Table5[[#This Row],[PID]],Table3[[#All],[PID]],0)))</f>
        <v>Low</v>
      </c>
      <c r="K667" s="52" t="str">
        <f>IF($C667="B",INDEX(Batters[[#All],[INT]],MATCH(Table5[[#This Row],[PID]],Batters[[#All],[PID]],0)),INDEX(Table3[[#All],[INT]],MATCH(Table5[[#This Row],[PID]],Table3[[#All],[PID]],0)))</f>
        <v>Normal</v>
      </c>
      <c r="L667" s="60">
        <f>IF($C667="B",INDEX(Batters[[#All],[CON P]],MATCH(Table5[[#This Row],[PID]],Batters[[#All],[PID]],0)),INDEX(Table3[[#All],[STU P]],MATCH(Table5[[#This Row],[PID]],Table3[[#All],[PID]],0)))</f>
        <v>4</v>
      </c>
      <c r="M667" s="56">
        <f>IF($C667="B",INDEX(Batters[[#All],[GAP P]],MATCH(Table5[[#This Row],[PID]],Batters[[#All],[PID]],0)),INDEX(Table3[[#All],[MOV P]],MATCH(Table5[[#This Row],[PID]],Table3[[#All],[PID]],0)))</f>
        <v>2</v>
      </c>
      <c r="N667" s="56">
        <f>IF($C667="B",INDEX(Batters[[#All],[POW P]],MATCH(Table5[[#This Row],[PID]],Batters[[#All],[PID]],0)),INDEX(Table3[[#All],[CON P]],MATCH(Table5[[#This Row],[PID]],Table3[[#All],[PID]],0)))</f>
        <v>4</v>
      </c>
      <c r="O667" s="56" t="str">
        <f>IF($C667="B",INDEX(Batters[[#All],[EYE P]],MATCH(Table5[[#This Row],[PID]],Batters[[#All],[PID]],0)),INDEX(Table3[[#All],[VELO]],MATCH(Table5[[#This Row],[PID]],Table3[[#All],[PID]],0)))</f>
        <v>87-89 Mph</v>
      </c>
      <c r="P667" s="56">
        <f>IF($C667="B",INDEX(Batters[[#All],[K P]],MATCH(Table5[[#This Row],[PID]],Batters[[#All],[PID]],0)),INDEX(Table3[[#All],[STM]],MATCH(Table5[[#This Row],[PID]],Table3[[#All],[PID]],0)))</f>
        <v>1</v>
      </c>
      <c r="Q667" s="61">
        <f>IF($C667="B",INDEX(Batters[[#All],[Tot]],MATCH(Table5[[#This Row],[PID]],Batters[[#All],[PID]],0)),INDEX(Table3[[#All],[Tot]],MATCH(Table5[[#This Row],[PID]],Table3[[#All],[PID]],0)))</f>
        <v>37.595289463341132</v>
      </c>
      <c r="R667" s="52">
        <f>IF($C667="B",INDEX(Batters[[#All],[zScore]],MATCH(Table5[[#This Row],[PID]],Batters[[#All],[PID]],0)),INDEX(Table3[[#All],[zScore]],MATCH(Table5[[#This Row],[PID]],Table3[[#All],[PID]],0)))</f>
        <v>0.11474587472900286</v>
      </c>
      <c r="S667" s="58" t="str">
        <f>IF($C667="B",INDEX(Batters[[#All],[DEM]],MATCH(Table5[[#This Row],[PID]],Batters[[#All],[PID]],0)),INDEX(Table3[[#All],[DEM]],MATCH(Table5[[#This Row],[PID]],Table3[[#All],[PID]],0)))</f>
        <v>$38k</v>
      </c>
      <c r="T667" s="62">
        <f>IF($C667="B",INDEX(Batters[[#All],[Rnk]],MATCH(Table5[[#This Row],[PID]],Batters[[#All],[PID]],0)),INDEX(Table3[[#All],[Rnk]],MATCH(Table5[[#This Row],[PID]],Table3[[#All],[PID]],0)))</f>
        <v>284</v>
      </c>
      <c r="U667" s="68">
        <f>IF($C667="B",VLOOKUP($A667,Bat!$A$4:$BA$1621,47,FALSE),VLOOKUP($A667,Pit!$A$4:$BF$1557,56,FALSE))</f>
        <v>0</v>
      </c>
      <c r="V667" s="50">
        <f>IF($C667="B",VLOOKUP($A667,Bat!$A$4:$BA$1621,48,FALSE),VLOOKUP($A667,Pit!$A$4:$BF$1557,57,FALSE))</f>
        <v>0</v>
      </c>
      <c r="W667" s="50">
        <f>Table5[[#This Row],[posRnk]]+Table5[[#This Row],[zRnk]]+IF($W$3&lt;&gt;Table5[[#This Row],[Type]],50,0)</f>
        <v>839</v>
      </c>
      <c r="X667" s="51">
        <f>RANK(Table5[[#This Row],[zScore]],Table5[[#All],[zScore]])</f>
        <v>505</v>
      </c>
      <c r="Y667" s="50" t="str">
        <f>IFERROR(INDEX(DraftResults[[#All],[OVR]],MATCH(Table5[[#This Row],[PID]],DraftResults[[#All],[Player ID]],0)),"")</f>
        <v/>
      </c>
      <c r="Z6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7" s="50" t="str">
        <f>IFERROR(INDEX(DraftResults[[#All],[Pick in Round]],MATCH(Table5[[#This Row],[PID]],DraftResults[[#All],[Player ID]],0)),"")</f>
        <v/>
      </c>
      <c r="AB667" s="50" t="str">
        <f>IFERROR(INDEX(DraftResults[[#All],[Team Name]],MATCH(Table5[[#This Row],[PID]],DraftResults[[#All],[Player ID]],0)),"")</f>
        <v/>
      </c>
      <c r="AC667" s="50" t="str">
        <f>IF(Table5[[#This Row],[Ovr]]="","",IF(Table5[[#This Row],[cmbList]]="","",Table5[[#This Row],[cmbList]]-Table5[[#This Row],[Ovr]]))</f>
        <v/>
      </c>
      <c r="AD667" s="54" t="str">
        <f>IF(ISERROR(VLOOKUP($AB667&amp;"-"&amp;$E667&amp;" "&amp;F667,Bonuses!$B$1:$G$1006,4,FALSE)),"",INT(VLOOKUP($AB667&amp;"-"&amp;$E667&amp;" "&amp;$F667,Bonuses!$B$1:$G$1006,4,FALSE)))</f>
        <v/>
      </c>
      <c r="AE6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8" spans="1:31" s="50" customFormat="1" x14ac:dyDescent="0.25">
      <c r="A668" s="50">
        <v>20609</v>
      </c>
      <c r="B668" s="50">
        <f>COUNTIF(Table5[PID],A668)</f>
        <v>1</v>
      </c>
      <c r="C668" s="50" t="str">
        <f>IF(COUNTIF(Table3[[#All],[PID]],A668)&gt;0,"P","B")</f>
        <v>P</v>
      </c>
      <c r="D668" s="59" t="str">
        <f>IF($C668="B",INDEX(Batters[[#All],[POS]],MATCH(Table5[[#This Row],[PID]],Batters[[#All],[PID]],0)),INDEX(Table3[[#All],[POS]],MATCH(Table5[[#This Row],[PID]],Table3[[#All],[PID]],0)))</f>
        <v>RP</v>
      </c>
      <c r="E668" s="52" t="str">
        <f>IF($C668="B",INDEX(Batters[[#All],[First]],MATCH(Table5[[#This Row],[PID]],Batters[[#All],[PID]],0)),INDEX(Table3[[#All],[First]],MATCH(Table5[[#This Row],[PID]],Table3[[#All],[PID]],0)))</f>
        <v>Wei-liang</v>
      </c>
      <c r="F668" s="50" t="str">
        <f>IF($C668="B",INDEX(Batters[[#All],[Last]],MATCH(A668,Batters[[#All],[PID]],0)),INDEX(Table3[[#All],[Last]],MATCH(A668,Table3[[#All],[PID]],0)))</f>
        <v>Kui</v>
      </c>
      <c r="G668" s="56">
        <f>IF($C668="B",INDEX(Batters[[#All],[Age]],MATCH(Table5[[#This Row],[PID]],Batters[[#All],[PID]],0)),INDEX(Table3[[#All],[Age]],MATCH(Table5[[#This Row],[PID]],Table3[[#All],[PID]],0)))</f>
        <v>18</v>
      </c>
      <c r="H668" s="52" t="str">
        <f>IF($C668="B",INDEX(Batters[[#All],[B]],MATCH(Table5[[#This Row],[PID]],Batters[[#All],[PID]],0)),INDEX(Table3[[#All],[B]],MATCH(Table5[[#This Row],[PID]],Table3[[#All],[PID]],0)))</f>
        <v>R</v>
      </c>
      <c r="I668" s="52" t="str">
        <f>IF($C668="B",INDEX(Batters[[#All],[T]],MATCH(Table5[[#This Row],[PID]],Batters[[#All],[PID]],0)),INDEX(Table3[[#All],[T]],MATCH(Table5[[#This Row],[PID]],Table3[[#All],[PID]],0)))</f>
        <v>R</v>
      </c>
      <c r="J668" s="52" t="str">
        <f>IF($C668="B",INDEX(Batters[[#All],[WE]],MATCH(Table5[[#This Row],[PID]],Batters[[#All],[PID]],0)),INDEX(Table3[[#All],[WE]],MATCH(Table5[[#This Row],[PID]],Table3[[#All],[PID]],0)))</f>
        <v>Normal</v>
      </c>
      <c r="K668" s="52" t="str">
        <f>IF($C668="B",INDEX(Batters[[#All],[INT]],MATCH(Table5[[#This Row],[PID]],Batters[[#All],[PID]],0)),INDEX(Table3[[#All],[INT]],MATCH(Table5[[#This Row],[PID]],Table3[[#All],[PID]],0)))</f>
        <v>Normal</v>
      </c>
      <c r="L668" s="60">
        <f>IF($C668="B",INDEX(Batters[[#All],[CON P]],MATCH(Table5[[#This Row],[PID]],Batters[[#All],[PID]],0)),INDEX(Table3[[#All],[STU P]],MATCH(Table5[[#This Row],[PID]],Table3[[#All],[PID]],0)))</f>
        <v>5</v>
      </c>
      <c r="M668" s="56">
        <f>IF($C668="B",INDEX(Batters[[#All],[GAP P]],MATCH(Table5[[#This Row],[PID]],Batters[[#All],[PID]],0)),INDEX(Table3[[#All],[MOV P]],MATCH(Table5[[#This Row],[PID]],Table3[[#All],[PID]],0)))</f>
        <v>2</v>
      </c>
      <c r="N668" s="56">
        <f>IF($C668="B",INDEX(Batters[[#All],[POW P]],MATCH(Table5[[#This Row],[PID]],Batters[[#All],[PID]],0)),INDEX(Table3[[#All],[CON P]],MATCH(Table5[[#This Row],[PID]],Table3[[#All],[PID]],0)))</f>
        <v>4</v>
      </c>
      <c r="O668" s="56" t="str">
        <f>IF($C668="B",INDEX(Batters[[#All],[EYE P]],MATCH(Table5[[#This Row],[PID]],Batters[[#All],[PID]],0)),INDEX(Table3[[#All],[VELO]],MATCH(Table5[[#This Row],[PID]],Table3[[#All],[PID]],0)))</f>
        <v>89-91 Mph</v>
      </c>
      <c r="P668" s="56">
        <f>IF($C668="B",INDEX(Batters[[#All],[K P]],MATCH(Table5[[#This Row],[PID]],Batters[[#All],[PID]],0)),INDEX(Table3[[#All],[STM]],MATCH(Table5[[#This Row],[PID]],Table3[[#All],[PID]],0)))</f>
        <v>2</v>
      </c>
      <c r="Q668" s="61">
        <f>IF($C668="B",INDEX(Batters[[#All],[Tot]],MATCH(Table5[[#This Row],[PID]],Batters[[#All],[PID]],0)),INDEX(Table3[[#All],[Tot]],MATCH(Table5[[#This Row],[PID]],Table3[[#All],[PID]],0)))</f>
        <v>37.569056655137132</v>
      </c>
      <c r="R668" s="52">
        <f>IF($C668="B",INDEX(Batters[[#All],[zScore]],MATCH(Table5[[#This Row],[PID]],Batters[[#All],[PID]],0)),INDEX(Table3[[#All],[zScore]],MATCH(Table5[[#This Row],[PID]],Table3[[#All],[PID]],0)))</f>
        <v>0.11300064608577691</v>
      </c>
      <c r="S668" s="58" t="str">
        <f>IF($C668="B",INDEX(Batters[[#All],[DEM]],MATCH(Table5[[#This Row],[PID]],Batters[[#All],[PID]],0)),INDEX(Table3[[#All],[DEM]],MATCH(Table5[[#This Row],[PID]],Table3[[#All],[PID]],0)))</f>
        <v>$65k</v>
      </c>
      <c r="T668" s="62">
        <f>IF($C668="B",INDEX(Batters[[#All],[Rnk]],MATCH(Table5[[#This Row],[PID]],Batters[[#All],[PID]],0)),INDEX(Table3[[#All],[Rnk]],MATCH(Table5[[#This Row],[PID]],Table3[[#All],[PID]],0)))</f>
        <v>285</v>
      </c>
      <c r="U668" s="68">
        <f>IF($C668="B",VLOOKUP($A668,Bat!$A$4:$BA$1621,47,FALSE),VLOOKUP($A668,Pit!$A$4:$BF$1557,56,FALSE))</f>
        <v>0</v>
      </c>
      <c r="V668" s="50">
        <f>IF($C668="B",VLOOKUP($A668,Bat!$A$4:$BA$1621,48,FALSE),VLOOKUP($A668,Pit!$A$4:$BF$1557,57,FALSE))</f>
        <v>0</v>
      </c>
      <c r="W668" s="50">
        <f>Table5[[#This Row],[posRnk]]+Table5[[#This Row],[zRnk]]+IF($W$3&lt;&gt;Table5[[#This Row],[Type]],50,0)</f>
        <v>841</v>
      </c>
      <c r="X668" s="51">
        <f>RANK(Table5[[#This Row],[zScore]],Table5[[#All],[zScore]])</f>
        <v>506</v>
      </c>
      <c r="Y668" s="50" t="str">
        <f>IFERROR(INDEX(DraftResults[[#All],[OVR]],MATCH(Table5[[#This Row],[PID]],DraftResults[[#All],[Player ID]],0)),"")</f>
        <v/>
      </c>
      <c r="Z6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8" s="50" t="str">
        <f>IFERROR(INDEX(DraftResults[[#All],[Pick in Round]],MATCH(Table5[[#This Row],[PID]],DraftResults[[#All],[Player ID]],0)),"")</f>
        <v/>
      </c>
      <c r="AB668" s="50" t="str">
        <f>IFERROR(INDEX(DraftResults[[#All],[Team Name]],MATCH(Table5[[#This Row],[PID]],DraftResults[[#All],[Player ID]],0)),"")</f>
        <v/>
      </c>
      <c r="AC668" s="50" t="str">
        <f>IF(Table5[[#This Row],[Ovr]]="","",IF(Table5[[#This Row],[cmbList]]="","",Table5[[#This Row],[cmbList]]-Table5[[#This Row],[Ovr]]))</f>
        <v/>
      </c>
      <c r="AD668" s="54" t="str">
        <f>IF(ISERROR(VLOOKUP($AB668&amp;"-"&amp;$E668&amp;" "&amp;F668,Bonuses!$B$1:$G$1006,4,FALSE)),"",INT(VLOOKUP($AB668&amp;"-"&amp;$E668&amp;" "&amp;$F668,Bonuses!$B$1:$G$1006,4,FALSE)))</f>
        <v/>
      </c>
      <c r="AE6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69" spans="1:31" s="50" customFormat="1" x14ac:dyDescent="0.25">
      <c r="A669" s="50">
        <v>17921</v>
      </c>
      <c r="B669" s="50">
        <f>COUNTIF(Table5[PID],A669)</f>
        <v>1</v>
      </c>
      <c r="C669" s="50" t="str">
        <f>IF(COUNTIF(Table3[[#All],[PID]],A669)&gt;0,"P","B")</f>
        <v>P</v>
      </c>
      <c r="D669" s="59" t="str">
        <f>IF($C669="B",INDEX(Batters[[#All],[POS]],MATCH(Table5[[#This Row],[PID]],Batters[[#All],[PID]],0)),INDEX(Table3[[#All],[POS]],MATCH(Table5[[#This Row],[PID]],Table3[[#All],[PID]],0)))</f>
        <v>RP</v>
      </c>
      <c r="E669" s="52" t="str">
        <f>IF($C669="B",INDEX(Batters[[#All],[First]],MATCH(Table5[[#This Row],[PID]],Batters[[#All],[PID]],0)),INDEX(Table3[[#All],[First]],MATCH(Table5[[#This Row],[PID]],Table3[[#All],[PID]],0)))</f>
        <v>Hisamitsu</v>
      </c>
      <c r="F669" s="50" t="str">
        <f>IF($C669="B",INDEX(Batters[[#All],[Last]],MATCH(A669,Batters[[#All],[PID]],0)),INDEX(Table3[[#All],[Last]],MATCH(A669,Table3[[#All],[PID]],0)))</f>
        <v>Kubo</v>
      </c>
      <c r="G669" s="56">
        <f>IF($C669="B",INDEX(Batters[[#All],[Age]],MATCH(Table5[[#This Row],[PID]],Batters[[#All],[PID]],0)),INDEX(Table3[[#All],[Age]],MATCH(Table5[[#This Row],[PID]],Table3[[#All],[PID]],0)))</f>
        <v>18</v>
      </c>
      <c r="H669" s="52" t="str">
        <f>IF($C669="B",INDEX(Batters[[#All],[B]],MATCH(Table5[[#This Row],[PID]],Batters[[#All],[PID]],0)),INDEX(Table3[[#All],[B]],MATCH(Table5[[#This Row],[PID]],Table3[[#All],[PID]],0)))</f>
        <v>R</v>
      </c>
      <c r="I669" s="52" t="str">
        <f>IF($C669="B",INDEX(Batters[[#All],[T]],MATCH(Table5[[#This Row],[PID]],Batters[[#All],[PID]],0)),INDEX(Table3[[#All],[T]],MATCH(Table5[[#This Row],[PID]],Table3[[#All],[PID]],0)))</f>
        <v>R</v>
      </c>
      <c r="J669" s="52" t="str">
        <f>IF($C669="B",INDEX(Batters[[#All],[WE]],MATCH(Table5[[#This Row],[PID]],Batters[[#All],[PID]],0)),INDEX(Table3[[#All],[WE]],MATCH(Table5[[#This Row],[PID]],Table3[[#All],[PID]],0)))</f>
        <v>Low</v>
      </c>
      <c r="K669" s="52" t="str">
        <f>IF($C669="B",INDEX(Batters[[#All],[INT]],MATCH(Table5[[#This Row],[PID]],Batters[[#All],[PID]],0)),INDEX(Table3[[#All],[INT]],MATCH(Table5[[#This Row],[PID]],Table3[[#All],[PID]],0)))</f>
        <v>Normal</v>
      </c>
      <c r="L669" s="60">
        <f>IF($C669="B",INDEX(Batters[[#All],[CON P]],MATCH(Table5[[#This Row],[PID]],Batters[[#All],[PID]],0)),INDEX(Table3[[#All],[STU P]],MATCH(Table5[[#This Row],[PID]],Table3[[#All],[PID]],0)))</f>
        <v>5</v>
      </c>
      <c r="M669" s="56">
        <f>IF($C669="B",INDEX(Batters[[#All],[GAP P]],MATCH(Table5[[#This Row],[PID]],Batters[[#All],[PID]],0)),INDEX(Table3[[#All],[MOV P]],MATCH(Table5[[#This Row],[PID]],Table3[[#All],[PID]],0)))</f>
        <v>2</v>
      </c>
      <c r="N669" s="56">
        <f>IF($C669="B",INDEX(Batters[[#All],[POW P]],MATCH(Table5[[#This Row],[PID]],Batters[[#All],[PID]],0)),INDEX(Table3[[#All],[CON P]],MATCH(Table5[[#This Row],[PID]],Table3[[#All],[PID]],0)))</f>
        <v>3</v>
      </c>
      <c r="O669" s="56" t="str">
        <f>IF($C669="B",INDEX(Batters[[#All],[EYE P]],MATCH(Table5[[#This Row],[PID]],Batters[[#All],[PID]],0)),INDEX(Table3[[#All],[VELO]],MATCH(Table5[[#This Row],[PID]],Table3[[#All],[PID]],0)))</f>
        <v>85-87 Mph</v>
      </c>
      <c r="P669" s="56">
        <f>IF($C669="B",INDEX(Batters[[#All],[K P]],MATCH(Table5[[#This Row],[PID]],Batters[[#All],[PID]],0)),INDEX(Table3[[#All],[STM]],MATCH(Table5[[#This Row],[PID]],Table3[[#All],[PID]],0)))</f>
        <v>10</v>
      </c>
      <c r="Q669" s="61">
        <f>IF($C669="B",INDEX(Batters[[#All],[Tot]],MATCH(Table5[[#This Row],[PID]],Batters[[#All],[PID]],0)),INDEX(Table3[[#All],[Tot]],MATCH(Table5[[#This Row],[PID]],Table3[[#All],[PID]],0)))</f>
        <v>37.539965900109046</v>
      </c>
      <c r="R669" s="52">
        <f>IF($C669="B",INDEX(Batters[[#All],[zScore]],MATCH(Table5[[#This Row],[PID]],Batters[[#All],[PID]],0)),INDEX(Table3[[#All],[zScore]],MATCH(Table5[[#This Row],[PID]],Table3[[#All],[PID]],0)))</f>
        <v>0.11106528260759831</v>
      </c>
      <c r="S669" s="58" t="str">
        <f>IF($C669="B",INDEX(Batters[[#All],[DEM]],MATCH(Table5[[#This Row],[PID]],Batters[[#All],[PID]],0)),INDEX(Table3[[#All],[DEM]],MATCH(Table5[[#This Row],[PID]],Table3[[#All],[PID]],0)))</f>
        <v>$75k</v>
      </c>
      <c r="T669" s="62">
        <f>IF($C669="B",INDEX(Batters[[#All],[Rnk]],MATCH(Table5[[#This Row],[PID]],Batters[[#All],[PID]],0)),INDEX(Table3[[#All],[Rnk]],MATCH(Table5[[#This Row],[PID]],Table3[[#All],[PID]],0)))</f>
        <v>286</v>
      </c>
      <c r="U669" s="68">
        <f>IF($C669="B",VLOOKUP($A669,Bat!$A$4:$BA$1621,47,FALSE),VLOOKUP($A669,Pit!$A$4:$BF$1557,56,FALSE))</f>
        <v>0</v>
      </c>
      <c r="V669" s="50">
        <f>IF($C669="B",VLOOKUP($A669,Bat!$A$4:$BA$1621,48,FALSE),VLOOKUP($A669,Pit!$A$4:$BF$1557,57,FALSE))</f>
        <v>0</v>
      </c>
      <c r="W669" s="50">
        <f>Table5[[#This Row],[posRnk]]+Table5[[#This Row],[zRnk]]+IF($W$3&lt;&gt;Table5[[#This Row],[Type]],50,0)</f>
        <v>843</v>
      </c>
      <c r="X669" s="51">
        <f>RANK(Table5[[#This Row],[zScore]],Table5[[#All],[zScore]])</f>
        <v>507</v>
      </c>
      <c r="Y669" s="50" t="str">
        <f>IFERROR(INDEX(DraftResults[[#All],[OVR]],MATCH(Table5[[#This Row],[PID]],DraftResults[[#All],[Player ID]],0)),"")</f>
        <v/>
      </c>
      <c r="Z6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69" s="50" t="str">
        <f>IFERROR(INDEX(DraftResults[[#All],[Pick in Round]],MATCH(Table5[[#This Row],[PID]],DraftResults[[#All],[Player ID]],0)),"")</f>
        <v/>
      </c>
      <c r="AB669" s="50" t="str">
        <f>IFERROR(INDEX(DraftResults[[#All],[Team Name]],MATCH(Table5[[#This Row],[PID]],DraftResults[[#All],[Player ID]],0)),"")</f>
        <v/>
      </c>
      <c r="AC669" s="50" t="str">
        <f>IF(Table5[[#This Row],[Ovr]]="","",IF(Table5[[#This Row],[cmbList]]="","",Table5[[#This Row],[cmbList]]-Table5[[#This Row],[Ovr]]))</f>
        <v/>
      </c>
      <c r="AD669" s="54" t="str">
        <f>IF(ISERROR(VLOOKUP($AB669&amp;"-"&amp;$E669&amp;" "&amp;F669,Bonuses!$B$1:$G$1006,4,FALSE)),"",INT(VLOOKUP($AB669&amp;"-"&amp;$E669&amp;" "&amp;$F669,Bonuses!$B$1:$G$1006,4,FALSE)))</f>
        <v/>
      </c>
      <c r="AE6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0" spans="1:31" s="50" customFormat="1" x14ac:dyDescent="0.25">
      <c r="A670" s="50">
        <v>18263</v>
      </c>
      <c r="B670" s="50">
        <f>COUNTIF(Table5[PID],A670)</f>
        <v>1</v>
      </c>
      <c r="C670" s="50" t="str">
        <f>IF(COUNTIF(Table3[[#All],[PID]],A670)&gt;0,"P","B")</f>
        <v>P</v>
      </c>
      <c r="D670" s="59" t="str">
        <f>IF($C670="B",INDEX(Batters[[#All],[POS]],MATCH(Table5[[#This Row],[PID]],Batters[[#All],[PID]],0)),INDEX(Table3[[#All],[POS]],MATCH(Table5[[#This Row],[PID]],Table3[[#All],[PID]],0)))</f>
        <v>RP</v>
      </c>
      <c r="E670" s="52" t="str">
        <f>IF($C670="B",INDEX(Batters[[#All],[First]],MATCH(Table5[[#This Row],[PID]],Batters[[#All],[PID]],0)),INDEX(Table3[[#All],[First]],MATCH(Table5[[#This Row],[PID]],Table3[[#All],[PID]],0)))</f>
        <v>Garrett</v>
      </c>
      <c r="F670" s="50" t="str">
        <f>IF($C670="B",INDEX(Batters[[#All],[Last]],MATCH(A670,Batters[[#All],[PID]],0)),INDEX(Table3[[#All],[Last]],MATCH(A670,Table3[[#All],[PID]],0)))</f>
        <v>Luján</v>
      </c>
      <c r="G670" s="56">
        <f>IF($C670="B",INDEX(Batters[[#All],[Age]],MATCH(Table5[[#This Row],[PID]],Batters[[#All],[PID]],0)),INDEX(Table3[[#All],[Age]],MATCH(Table5[[#This Row],[PID]],Table3[[#All],[PID]],0)))</f>
        <v>18</v>
      </c>
      <c r="H670" s="52" t="str">
        <f>IF($C670="B",INDEX(Batters[[#All],[B]],MATCH(Table5[[#This Row],[PID]],Batters[[#All],[PID]],0)),INDEX(Table3[[#All],[B]],MATCH(Table5[[#This Row],[PID]],Table3[[#All],[PID]],0)))</f>
        <v>L</v>
      </c>
      <c r="I670" s="52" t="str">
        <f>IF($C670="B",INDEX(Batters[[#All],[T]],MATCH(Table5[[#This Row],[PID]],Batters[[#All],[PID]],0)),INDEX(Table3[[#All],[T]],MATCH(Table5[[#This Row],[PID]],Table3[[#All],[PID]],0)))</f>
        <v>L</v>
      </c>
      <c r="J670" s="52" t="str">
        <f>IF($C670="B",INDEX(Batters[[#All],[WE]],MATCH(Table5[[#This Row],[PID]],Batters[[#All],[PID]],0)),INDEX(Table3[[#All],[WE]],MATCH(Table5[[#This Row],[PID]],Table3[[#All],[PID]],0)))</f>
        <v>Normal</v>
      </c>
      <c r="K670" s="52" t="str">
        <f>IF($C670="B",INDEX(Batters[[#All],[INT]],MATCH(Table5[[#This Row],[PID]],Batters[[#All],[PID]],0)),INDEX(Table3[[#All],[INT]],MATCH(Table5[[#This Row],[PID]],Table3[[#All],[PID]],0)))</f>
        <v>High</v>
      </c>
      <c r="L670" s="60">
        <f>IF($C670="B",INDEX(Batters[[#All],[CON P]],MATCH(Table5[[#This Row],[PID]],Batters[[#All],[PID]],0)),INDEX(Table3[[#All],[STU P]],MATCH(Table5[[#This Row],[PID]],Table3[[#All],[PID]],0)))</f>
        <v>5</v>
      </c>
      <c r="M670" s="56">
        <f>IF($C670="B",INDEX(Batters[[#All],[GAP P]],MATCH(Table5[[#This Row],[PID]],Batters[[#All],[PID]],0)),INDEX(Table3[[#All],[MOV P]],MATCH(Table5[[#This Row],[PID]],Table3[[#All],[PID]],0)))</f>
        <v>3</v>
      </c>
      <c r="N670" s="56">
        <f>IF($C670="B",INDEX(Batters[[#All],[POW P]],MATCH(Table5[[#This Row],[PID]],Batters[[#All],[PID]],0)),INDEX(Table3[[#All],[CON P]],MATCH(Table5[[#This Row],[PID]],Table3[[#All],[PID]],0)))</f>
        <v>2</v>
      </c>
      <c r="O670" s="56" t="str">
        <f>IF($C670="B",INDEX(Batters[[#All],[EYE P]],MATCH(Table5[[#This Row],[PID]],Batters[[#All],[PID]],0)),INDEX(Table3[[#All],[VELO]],MATCH(Table5[[#This Row],[PID]],Table3[[#All],[PID]],0)))</f>
        <v>90-92 Mph</v>
      </c>
      <c r="P670" s="56">
        <f>IF($C670="B",INDEX(Batters[[#All],[K P]],MATCH(Table5[[#This Row],[PID]],Batters[[#All],[PID]],0)),INDEX(Table3[[#All],[STM]],MATCH(Table5[[#This Row],[PID]],Table3[[#All],[PID]],0)))</f>
        <v>4</v>
      </c>
      <c r="Q670" s="61">
        <f>IF($C670="B",INDEX(Batters[[#All],[Tot]],MATCH(Table5[[#This Row],[PID]],Batters[[#All],[PID]],0)),INDEX(Table3[[#All],[Tot]],MATCH(Table5[[#This Row],[PID]],Table3[[#All],[PID]],0)))</f>
        <v>37.474077757252005</v>
      </c>
      <c r="R670" s="52">
        <f>IF($C670="B",INDEX(Batters[[#All],[zScore]],MATCH(Table5[[#This Row],[PID]],Batters[[#All],[PID]],0)),INDEX(Table3[[#All],[zScore]],MATCH(Table5[[#This Row],[PID]],Table3[[#All],[PID]],0)))</f>
        <v>0.10668184514757306</v>
      </c>
      <c r="S670" s="58" t="str">
        <f>IF($C670="B",INDEX(Batters[[#All],[DEM]],MATCH(Table5[[#This Row],[PID]],Batters[[#All],[PID]],0)),INDEX(Table3[[#All],[DEM]],MATCH(Table5[[#This Row],[PID]],Table3[[#All],[PID]],0)))</f>
        <v>$65k</v>
      </c>
      <c r="T670" s="62">
        <f>IF($C670="B",INDEX(Batters[[#All],[Rnk]],MATCH(Table5[[#This Row],[PID]],Batters[[#All],[PID]],0)),INDEX(Table3[[#All],[Rnk]],MATCH(Table5[[#This Row],[PID]],Table3[[#All],[PID]],0)))</f>
        <v>287</v>
      </c>
      <c r="U670" s="68">
        <f>IF($C670="B",VLOOKUP($A670,Bat!$A$4:$BA$1621,47,FALSE),VLOOKUP($A670,Pit!$A$4:$BF$1557,56,FALSE))</f>
        <v>0</v>
      </c>
      <c r="V670" s="50">
        <f>IF($C670="B",VLOOKUP($A670,Bat!$A$4:$BA$1621,48,FALSE),VLOOKUP($A670,Pit!$A$4:$BF$1557,57,FALSE))</f>
        <v>0</v>
      </c>
      <c r="W670" s="50">
        <f>Table5[[#This Row],[posRnk]]+Table5[[#This Row],[zRnk]]+IF($W$3&lt;&gt;Table5[[#This Row],[Type]],50,0)</f>
        <v>845</v>
      </c>
      <c r="X670" s="51">
        <f>RANK(Table5[[#This Row],[zScore]],Table5[[#All],[zScore]])</f>
        <v>508</v>
      </c>
      <c r="Y670" s="50" t="str">
        <f>IFERROR(INDEX(DraftResults[[#All],[OVR]],MATCH(Table5[[#This Row],[PID]],DraftResults[[#All],[Player ID]],0)),"")</f>
        <v/>
      </c>
      <c r="Z6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0" s="50" t="str">
        <f>IFERROR(INDEX(DraftResults[[#All],[Pick in Round]],MATCH(Table5[[#This Row],[PID]],DraftResults[[#All],[Player ID]],0)),"")</f>
        <v/>
      </c>
      <c r="AB670" s="50" t="str">
        <f>IFERROR(INDEX(DraftResults[[#All],[Team Name]],MATCH(Table5[[#This Row],[PID]],DraftResults[[#All],[Player ID]],0)),"")</f>
        <v/>
      </c>
      <c r="AC670" s="50" t="str">
        <f>IF(Table5[[#This Row],[Ovr]]="","",IF(Table5[[#This Row],[cmbList]]="","",Table5[[#This Row],[cmbList]]-Table5[[#This Row],[Ovr]]))</f>
        <v/>
      </c>
      <c r="AD670" s="54" t="str">
        <f>IF(ISERROR(VLOOKUP($AB670&amp;"-"&amp;$E670&amp;" "&amp;F670,Bonuses!$B$1:$G$1006,4,FALSE)),"",INT(VLOOKUP($AB670&amp;"-"&amp;$E670&amp;" "&amp;$F670,Bonuses!$B$1:$G$1006,4,FALSE)))</f>
        <v/>
      </c>
      <c r="AE6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1" spans="1:31" s="50" customFormat="1" x14ac:dyDescent="0.25">
      <c r="A671" s="50">
        <v>17918</v>
      </c>
      <c r="B671" s="50">
        <f>COUNTIF(Table5[PID],A671)</f>
        <v>1</v>
      </c>
      <c r="C671" s="50" t="str">
        <f>IF(COUNTIF(Table3[[#All],[PID]],A671)&gt;0,"P","B")</f>
        <v>P</v>
      </c>
      <c r="D671" s="59" t="str">
        <f>IF($C671="B",INDEX(Batters[[#All],[POS]],MATCH(Table5[[#This Row],[PID]],Batters[[#All],[PID]],0)),INDEX(Table3[[#All],[POS]],MATCH(Table5[[#This Row],[PID]],Table3[[#All],[PID]],0)))</f>
        <v>RP</v>
      </c>
      <c r="E671" s="52" t="str">
        <f>IF($C671="B",INDEX(Batters[[#All],[First]],MATCH(Table5[[#This Row],[PID]],Batters[[#All],[PID]],0)),INDEX(Table3[[#All],[First]],MATCH(Table5[[#This Row],[PID]],Table3[[#All],[PID]],0)))</f>
        <v>Jiro</v>
      </c>
      <c r="F671" s="50" t="str">
        <f>IF($C671="B",INDEX(Batters[[#All],[Last]],MATCH(A671,Batters[[#All],[PID]],0)),INDEX(Table3[[#All],[Last]],MATCH(A671,Table3[[#All],[PID]],0)))</f>
        <v>Rin</v>
      </c>
      <c r="G671" s="56">
        <f>IF($C671="B",INDEX(Batters[[#All],[Age]],MATCH(Table5[[#This Row],[PID]],Batters[[#All],[PID]],0)),INDEX(Table3[[#All],[Age]],MATCH(Table5[[#This Row],[PID]],Table3[[#All],[PID]],0)))</f>
        <v>18</v>
      </c>
      <c r="H671" s="52" t="str">
        <f>IF($C671="B",INDEX(Batters[[#All],[B]],MATCH(Table5[[#This Row],[PID]],Batters[[#All],[PID]],0)),INDEX(Table3[[#All],[B]],MATCH(Table5[[#This Row],[PID]],Table3[[#All],[PID]],0)))</f>
        <v>S</v>
      </c>
      <c r="I671" s="52" t="str">
        <f>IF($C671="B",INDEX(Batters[[#All],[T]],MATCH(Table5[[#This Row],[PID]],Batters[[#All],[PID]],0)),INDEX(Table3[[#All],[T]],MATCH(Table5[[#This Row],[PID]],Table3[[#All],[PID]],0)))</f>
        <v>R</v>
      </c>
      <c r="J671" s="52" t="str">
        <f>IF($C671="B",INDEX(Batters[[#All],[WE]],MATCH(Table5[[#This Row],[PID]],Batters[[#All],[PID]],0)),INDEX(Table3[[#All],[WE]],MATCH(Table5[[#This Row],[PID]],Table3[[#All],[PID]],0)))</f>
        <v>Normal</v>
      </c>
      <c r="K671" s="52" t="str">
        <f>IF($C671="B",INDEX(Batters[[#All],[INT]],MATCH(Table5[[#This Row],[PID]],Batters[[#All],[PID]],0)),INDEX(Table3[[#All],[INT]],MATCH(Table5[[#This Row],[PID]],Table3[[#All],[PID]],0)))</f>
        <v>Normal</v>
      </c>
      <c r="L671" s="60">
        <f>IF($C671="B",INDEX(Batters[[#All],[CON P]],MATCH(Table5[[#This Row],[PID]],Batters[[#All],[PID]],0)),INDEX(Table3[[#All],[STU P]],MATCH(Table5[[#This Row],[PID]],Table3[[#All],[PID]],0)))</f>
        <v>5</v>
      </c>
      <c r="M671" s="56">
        <f>IF($C671="B",INDEX(Batters[[#All],[GAP P]],MATCH(Table5[[#This Row],[PID]],Batters[[#All],[PID]],0)),INDEX(Table3[[#All],[MOV P]],MATCH(Table5[[#This Row],[PID]],Table3[[#All],[PID]],0)))</f>
        <v>2</v>
      </c>
      <c r="N671" s="56">
        <f>IF($C671="B",INDEX(Batters[[#All],[POW P]],MATCH(Table5[[#This Row],[PID]],Batters[[#All],[PID]],0)),INDEX(Table3[[#All],[CON P]],MATCH(Table5[[#This Row],[PID]],Table3[[#All],[PID]],0)))</f>
        <v>3</v>
      </c>
      <c r="O671" s="56" t="str">
        <f>IF($C671="B",INDEX(Batters[[#All],[EYE P]],MATCH(Table5[[#This Row],[PID]],Batters[[#All],[PID]],0)),INDEX(Table3[[#All],[VELO]],MATCH(Table5[[#This Row],[PID]],Table3[[#All],[PID]],0)))</f>
        <v>85-87 Mph</v>
      </c>
      <c r="P671" s="56">
        <f>IF($C671="B",INDEX(Batters[[#All],[K P]],MATCH(Table5[[#This Row],[PID]],Batters[[#All],[PID]],0)),INDEX(Table3[[#All],[STM]],MATCH(Table5[[#This Row],[PID]],Table3[[#All],[PID]],0)))</f>
        <v>6</v>
      </c>
      <c r="Q671" s="61">
        <f>IF($C671="B",INDEX(Batters[[#All],[Tot]],MATCH(Table5[[#This Row],[PID]],Batters[[#All],[PID]],0)),INDEX(Table3[[#All],[Tot]],MATCH(Table5[[#This Row],[PID]],Table3[[#All],[PID]],0)))</f>
        <v>39.35177925260632</v>
      </c>
      <c r="R671" s="52">
        <f>IF($C671="B",INDEX(Batters[[#All],[zScore]],MATCH(Table5[[#This Row],[PID]],Batters[[#All],[PID]],0)),INDEX(Table3[[#All],[zScore]],MATCH(Table5[[#This Row],[PID]],Table3[[#All],[PID]],0)))</f>
        <v>0.10603774785653269</v>
      </c>
      <c r="S671" s="58" t="str">
        <f>IF($C671="B",INDEX(Batters[[#All],[DEM]],MATCH(Table5[[#This Row],[PID]],Batters[[#All],[PID]],0)),INDEX(Table3[[#All],[DEM]],MATCH(Table5[[#This Row],[PID]],Table3[[#All],[PID]],0)))</f>
        <v>$65k</v>
      </c>
      <c r="T671" s="62">
        <f>IF($C671="B",INDEX(Batters[[#All],[Rnk]],MATCH(Table5[[#This Row],[PID]],Batters[[#All],[PID]],0)),INDEX(Table3[[#All],[Rnk]],MATCH(Table5[[#This Row],[PID]],Table3[[#All],[PID]],0)))</f>
        <v>288</v>
      </c>
      <c r="U671" s="68">
        <f>IF($C671="B",VLOOKUP($A671,Bat!$A$4:$BA$1621,47,FALSE),VLOOKUP($A671,Pit!$A$4:$BF$1557,56,FALSE))</f>
        <v>0</v>
      </c>
      <c r="V671" s="50">
        <f>IF($C671="B",VLOOKUP($A671,Bat!$A$4:$BA$1621,48,FALSE),VLOOKUP($A671,Pit!$A$4:$BF$1557,57,FALSE))</f>
        <v>0</v>
      </c>
      <c r="W671" s="50">
        <f>Table5[[#This Row],[posRnk]]+Table5[[#This Row],[zRnk]]+IF($W$3&lt;&gt;Table5[[#This Row],[Type]],50,0)</f>
        <v>847</v>
      </c>
      <c r="X671" s="51">
        <f>RANK(Table5[[#This Row],[zScore]],Table5[[#All],[zScore]])</f>
        <v>509</v>
      </c>
      <c r="Y671" s="50" t="str">
        <f>IFERROR(INDEX(DraftResults[[#All],[OVR]],MATCH(Table5[[#This Row],[PID]],DraftResults[[#All],[Player ID]],0)),"")</f>
        <v/>
      </c>
      <c r="Z6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1" s="50" t="str">
        <f>IFERROR(INDEX(DraftResults[[#All],[Pick in Round]],MATCH(Table5[[#This Row],[PID]],DraftResults[[#All],[Player ID]],0)),"")</f>
        <v/>
      </c>
      <c r="AB671" s="50" t="str">
        <f>IFERROR(INDEX(DraftResults[[#All],[Team Name]],MATCH(Table5[[#This Row],[PID]],DraftResults[[#All],[Player ID]],0)),"")</f>
        <v/>
      </c>
      <c r="AC671" s="50" t="str">
        <f>IF(Table5[[#This Row],[Ovr]]="","",IF(Table5[[#This Row],[cmbList]]="","",Table5[[#This Row],[cmbList]]-Table5[[#This Row],[Ovr]]))</f>
        <v/>
      </c>
      <c r="AD671" s="54" t="str">
        <f>IF(ISERROR(VLOOKUP($AB671&amp;"-"&amp;$E671&amp;" "&amp;F671,Bonuses!$B$1:$G$1006,4,FALSE)),"",INT(VLOOKUP($AB671&amp;"-"&amp;$E671&amp;" "&amp;$F671,Bonuses!$B$1:$G$1006,4,FALSE)))</f>
        <v/>
      </c>
      <c r="AE6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2" spans="1:31" s="50" customFormat="1" x14ac:dyDescent="0.25">
      <c r="A672" s="50">
        <v>5874</v>
      </c>
      <c r="B672" s="50">
        <f>COUNTIF(Table5[PID],A672)</f>
        <v>1</v>
      </c>
      <c r="C672" s="50" t="str">
        <f>IF(COUNTIF(Table3[[#All],[PID]],A672)&gt;0,"P","B")</f>
        <v>P</v>
      </c>
      <c r="D672" s="59" t="str">
        <f>IF($C672="B",INDEX(Batters[[#All],[POS]],MATCH(Table5[[#This Row],[PID]],Batters[[#All],[PID]],0)),INDEX(Table3[[#All],[POS]],MATCH(Table5[[#This Row],[PID]],Table3[[#All],[PID]],0)))</f>
        <v>RP</v>
      </c>
      <c r="E672" s="52" t="str">
        <f>IF($C672="B",INDEX(Batters[[#All],[First]],MATCH(Table5[[#This Row],[PID]],Batters[[#All],[PID]],0)),INDEX(Table3[[#All],[First]],MATCH(Table5[[#This Row],[PID]],Table3[[#All],[PID]],0)))</f>
        <v>Carl</v>
      </c>
      <c r="F672" s="50" t="str">
        <f>IF($C672="B",INDEX(Batters[[#All],[Last]],MATCH(A672,Batters[[#All],[PID]],0)),INDEX(Table3[[#All],[Last]],MATCH(A672,Table3[[#All],[PID]],0)))</f>
        <v>Porter</v>
      </c>
      <c r="G672" s="56">
        <f>IF($C672="B",INDEX(Batters[[#All],[Age]],MATCH(Table5[[#This Row],[PID]],Batters[[#All],[PID]],0)),INDEX(Table3[[#All],[Age]],MATCH(Table5[[#This Row],[PID]],Table3[[#All],[PID]],0)))</f>
        <v>18</v>
      </c>
      <c r="H672" s="52" t="str">
        <f>IF($C672="B",INDEX(Batters[[#All],[B]],MATCH(Table5[[#This Row],[PID]],Batters[[#All],[PID]],0)),INDEX(Table3[[#All],[B]],MATCH(Table5[[#This Row],[PID]],Table3[[#All],[PID]],0)))</f>
        <v>R</v>
      </c>
      <c r="I672" s="52" t="str">
        <f>IF($C672="B",INDEX(Batters[[#All],[T]],MATCH(Table5[[#This Row],[PID]],Batters[[#All],[PID]],0)),INDEX(Table3[[#All],[T]],MATCH(Table5[[#This Row],[PID]],Table3[[#All],[PID]],0)))</f>
        <v>L</v>
      </c>
      <c r="J672" s="52" t="str">
        <f>IF($C672="B",INDEX(Batters[[#All],[WE]],MATCH(Table5[[#This Row],[PID]],Batters[[#All],[PID]],0)),INDEX(Table3[[#All],[WE]],MATCH(Table5[[#This Row],[PID]],Table3[[#All],[PID]],0)))</f>
        <v>Low</v>
      </c>
      <c r="K672" s="52" t="str">
        <f>IF($C672="B",INDEX(Batters[[#All],[INT]],MATCH(Table5[[#This Row],[PID]],Batters[[#All],[PID]],0)),INDEX(Table3[[#All],[INT]],MATCH(Table5[[#This Row],[PID]],Table3[[#All],[PID]],0)))</f>
        <v>Normal</v>
      </c>
      <c r="L672" s="60">
        <f>IF($C672="B",INDEX(Batters[[#All],[CON P]],MATCH(Table5[[#This Row],[PID]],Batters[[#All],[PID]],0)),INDEX(Table3[[#All],[STU P]],MATCH(Table5[[#This Row],[PID]],Table3[[#All],[PID]],0)))</f>
        <v>5</v>
      </c>
      <c r="M672" s="56">
        <f>IF($C672="B",INDEX(Batters[[#All],[GAP P]],MATCH(Table5[[#This Row],[PID]],Batters[[#All],[PID]],0)),INDEX(Table3[[#All],[MOV P]],MATCH(Table5[[#This Row],[PID]],Table3[[#All],[PID]],0)))</f>
        <v>2</v>
      </c>
      <c r="N672" s="56">
        <f>IF($C672="B",INDEX(Batters[[#All],[POW P]],MATCH(Table5[[#This Row],[PID]],Batters[[#All],[PID]],0)),INDEX(Table3[[#All],[CON P]],MATCH(Table5[[#This Row],[PID]],Table3[[#All],[PID]],0)))</f>
        <v>3</v>
      </c>
      <c r="O672" s="56" t="str">
        <f>IF($C672="B",INDEX(Batters[[#All],[EYE P]],MATCH(Table5[[#This Row],[PID]],Batters[[#All],[PID]],0)),INDEX(Table3[[#All],[VELO]],MATCH(Table5[[#This Row],[PID]],Table3[[#All],[PID]],0)))</f>
        <v>88-90 Mph</v>
      </c>
      <c r="P672" s="56">
        <f>IF($C672="B",INDEX(Batters[[#All],[K P]],MATCH(Table5[[#This Row],[PID]],Batters[[#All],[PID]],0)),INDEX(Table3[[#All],[STM]],MATCH(Table5[[#This Row],[PID]],Table3[[#All],[PID]],0)))</f>
        <v>7</v>
      </c>
      <c r="Q672" s="61">
        <f>IF($C672="B",INDEX(Batters[[#All],[Tot]],MATCH(Table5[[#This Row],[PID]],Batters[[#All],[PID]],0)),INDEX(Table3[[#All],[Tot]],MATCH(Table5[[#This Row],[PID]],Table3[[#All],[PID]],0)))</f>
        <v>39.294700947483207</v>
      </c>
      <c r="R672" s="52">
        <f>IF($C672="B",INDEX(Batters[[#All],[zScore]],MATCH(Table5[[#This Row],[PID]],Batters[[#All],[PID]],0)),INDEX(Table3[[#All],[zScore]],MATCH(Table5[[#This Row],[PID]],Table3[[#All],[PID]],0)))</f>
        <v>0.10212790074966574</v>
      </c>
      <c r="S672" s="58" t="str">
        <f>IF($C672="B",INDEX(Batters[[#All],[DEM]],MATCH(Table5[[#This Row],[PID]],Batters[[#All],[PID]],0)),INDEX(Table3[[#All],[DEM]],MATCH(Table5[[#This Row],[PID]],Table3[[#All],[PID]],0)))</f>
        <v>$65k</v>
      </c>
      <c r="T672" s="62">
        <f>IF($C672="B",INDEX(Batters[[#All],[Rnk]],MATCH(Table5[[#This Row],[PID]],Batters[[#All],[PID]],0)),INDEX(Table3[[#All],[Rnk]],MATCH(Table5[[#This Row],[PID]],Table3[[#All],[PID]],0)))</f>
        <v>289</v>
      </c>
      <c r="U672" s="68">
        <f>IF($C672="B",VLOOKUP($A672,Bat!$A$4:$BA$1621,47,FALSE),VLOOKUP($A672,Pit!$A$4:$BF$1557,56,FALSE))</f>
        <v>0</v>
      </c>
      <c r="V672" s="50">
        <f>IF($C672="B",VLOOKUP($A672,Bat!$A$4:$BA$1621,48,FALSE),VLOOKUP($A672,Pit!$A$4:$BF$1557,57,FALSE))</f>
        <v>0</v>
      </c>
      <c r="W672" s="50">
        <f>Table5[[#This Row],[posRnk]]+Table5[[#This Row],[zRnk]]+IF($W$3&lt;&gt;Table5[[#This Row],[Type]],50,0)</f>
        <v>849</v>
      </c>
      <c r="X672" s="51">
        <f>RANK(Table5[[#This Row],[zScore]],Table5[[#All],[zScore]])</f>
        <v>510</v>
      </c>
      <c r="Y672" s="50" t="str">
        <f>IFERROR(INDEX(DraftResults[[#All],[OVR]],MATCH(Table5[[#This Row],[PID]],DraftResults[[#All],[Player ID]],0)),"")</f>
        <v/>
      </c>
      <c r="Z6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2" s="50" t="str">
        <f>IFERROR(INDEX(DraftResults[[#All],[Pick in Round]],MATCH(Table5[[#This Row],[PID]],DraftResults[[#All],[Player ID]],0)),"")</f>
        <v/>
      </c>
      <c r="AB672" s="50" t="str">
        <f>IFERROR(INDEX(DraftResults[[#All],[Team Name]],MATCH(Table5[[#This Row],[PID]],DraftResults[[#All],[Player ID]],0)),"")</f>
        <v/>
      </c>
      <c r="AC672" s="50" t="str">
        <f>IF(Table5[[#This Row],[Ovr]]="","",IF(Table5[[#This Row],[cmbList]]="","",Table5[[#This Row],[cmbList]]-Table5[[#This Row],[Ovr]]))</f>
        <v/>
      </c>
      <c r="AD672" s="54" t="str">
        <f>IF(ISERROR(VLOOKUP($AB672&amp;"-"&amp;$E672&amp;" "&amp;F672,Bonuses!$B$1:$G$1006,4,FALSE)),"",INT(VLOOKUP($AB672&amp;"-"&amp;$E672&amp;" "&amp;$F672,Bonuses!$B$1:$G$1006,4,FALSE)))</f>
        <v/>
      </c>
      <c r="AE6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3" spans="1:31" s="50" customFormat="1" x14ac:dyDescent="0.25">
      <c r="A673" s="50">
        <v>18330</v>
      </c>
      <c r="B673" s="50">
        <f>COUNTIF(Table5[PID],A673)</f>
        <v>1</v>
      </c>
      <c r="C673" s="50" t="str">
        <f>IF(COUNTIF(Table3[[#All],[PID]],A673)&gt;0,"P","B")</f>
        <v>P</v>
      </c>
      <c r="D673" s="59" t="str">
        <f>IF($C673="B",INDEX(Batters[[#All],[POS]],MATCH(Table5[[#This Row],[PID]],Batters[[#All],[PID]],0)),INDEX(Table3[[#All],[POS]],MATCH(Table5[[#This Row],[PID]],Table3[[#All],[PID]],0)))</f>
        <v>RP</v>
      </c>
      <c r="E673" s="52" t="str">
        <f>IF($C673="B",INDEX(Batters[[#All],[First]],MATCH(Table5[[#This Row],[PID]],Batters[[#All],[PID]],0)),INDEX(Table3[[#All],[First]],MATCH(Table5[[#This Row],[PID]],Table3[[#All],[PID]],0)))</f>
        <v>Stephen</v>
      </c>
      <c r="F673" s="50" t="str">
        <f>IF($C673="B",INDEX(Batters[[#All],[Last]],MATCH(A673,Batters[[#All],[PID]],0)),INDEX(Table3[[#All],[Last]],MATCH(A673,Table3[[#All],[PID]],0)))</f>
        <v>Bulcock</v>
      </c>
      <c r="G673" s="56">
        <f>IF($C673="B",INDEX(Batters[[#All],[Age]],MATCH(Table5[[#This Row],[PID]],Batters[[#All],[PID]],0)),INDEX(Table3[[#All],[Age]],MATCH(Table5[[#This Row],[PID]],Table3[[#All],[PID]],0)))</f>
        <v>18</v>
      </c>
      <c r="H673" s="52" t="str">
        <f>IF($C673="B",INDEX(Batters[[#All],[B]],MATCH(Table5[[#This Row],[PID]],Batters[[#All],[PID]],0)),INDEX(Table3[[#All],[B]],MATCH(Table5[[#This Row],[PID]],Table3[[#All],[PID]],0)))</f>
        <v>L</v>
      </c>
      <c r="I673" s="52" t="str">
        <f>IF($C673="B",INDEX(Batters[[#All],[T]],MATCH(Table5[[#This Row],[PID]],Batters[[#All],[PID]],0)),INDEX(Table3[[#All],[T]],MATCH(Table5[[#This Row],[PID]],Table3[[#All],[PID]],0)))</f>
        <v>L</v>
      </c>
      <c r="J673" s="52" t="str">
        <f>IF($C673="B",INDEX(Batters[[#All],[WE]],MATCH(Table5[[#This Row],[PID]],Batters[[#All],[PID]],0)),INDEX(Table3[[#All],[WE]],MATCH(Table5[[#This Row],[PID]],Table3[[#All],[PID]],0)))</f>
        <v>Normal</v>
      </c>
      <c r="K673" s="52" t="str">
        <f>IF($C673="B",INDEX(Batters[[#All],[INT]],MATCH(Table5[[#This Row],[PID]],Batters[[#All],[PID]],0)),INDEX(Table3[[#All],[INT]],MATCH(Table5[[#This Row],[PID]],Table3[[#All],[PID]],0)))</f>
        <v>Normal</v>
      </c>
      <c r="L673" s="60">
        <f>IF($C673="B",INDEX(Batters[[#All],[CON P]],MATCH(Table5[[#This Row],[PID]],Batters[[#All],[PID]],0)),INDEX(Table3[[#All],[STU P]],MATCH(Table5[[#This Row],[PID]],Table3[[#All],[PID]],0)))</f>
        <v>6</v>
      </c>
      <c r="M673" s="56">
        <f>IF($C673="B",INDEX(Batters[[#All],[GAP P]],MATCH(Table5[[#This Row],[PID]],Batters[[#All],[PID]],0)),INDEX(Table3[[#All],[MOV P]],MATCH(Table5[[#This Row],[PID]],Table3[[#All],[PID]],0)))</f>
        <v>2</v>
      </c>
      <c r="N673" s="56">
        <f>IF($C673="B",INDEX(Batters[[#All],[POW P]],MATCH(Table5[[#This Row],[PID]],Batters[[#All],[PID]],0)),INDEX(Table3[[#All],[CON P]],MATCH(Table5[[#This Row],[PID]],Table3[[#All],[PID]],0)))</f>
        <v>2</v>
      </c>
      <c r="O673" s="56" t="str">
        <f>IF($C673="B",INDEX(Batters[[#All],[EYE P]],MATCH(Table5[[#This Row],[PID]],Batters[[#All],[PID]],0)),INDEX(Table3[[#All],[VELO]],MATCH(Table5[[#This Row],[PID]],Table3[[#All],[PID]],0)))</f>
        <v>89-91 Mph</v>
      </c>
      <c r="P673" s="56">
        <f>IF($C673="B",INDEX(Batters[[#All],[K P]],MATCH(Table5[[#This Row],[PID]],Batters[[#All],[PID]],0)),INDEX(Table3[[#All],[STM]],MATCH(Table5[[#This Row],[PID]],Table3[[#All],[PID]],0)))</f>
        <v>8</v>
      </c>
      <c r="Q673" s="61">
        <f>IF($C673="B",INDEX(Batters[[#All],[Tot]],MATCH(Table5[[#This Row],[PID]],Batters[[#All],[PID]],0)),INDEX(Table3[[#All],[Tot]],MATCH(Table5[[#This Row],[PID]],Table3[[#All],[PID]],0)))</f>
        <v>37.392116116584461</v>
      </c>
      <c r="R673" s="52">
        <f>IF($C673="B",INDEX(Batters[[#All],[zScore]],MATCH(Table5[[#This Row],[PID]],Batters[[#All],[PID]],0)),INDEX(Table3[[#All],[zScore]],MATCH(Table5[[#This Row],[PID]],Table3[[#All],[PID]],0)))</f>
        <v>0.1012290624402692</v>
      </c>
      <c r="S673" s="58" t="str">
        <f>IF($C673="B",INDEX(Batters[[#All],[DEM]],MATCH(Table5[[#This Row],[PID]],Batters[[#All],[PID]],0)),INDEX(Table3[[#All],[DEM]],MATCH(Table5[[#This Row],[PID]],Table3[[#All],[PID]],0)))</f>
        <v>$38k</v>
      </c>
      <c r="T673" s="62">
        <f>IF($C673="B",INDEX(Batters[[#All],[Rnk]],MATCH(Table5[[#This Row],[PID]],Batters[[#All],[PID]],0)),INDEX(Table3[[#All],[Rnk]],MATCH(Table5[[#This Row],[PID]],Table3[[#All],[PID]],0)))</f>
        <v>290</v>
      </c>
      <c r="U673" s="68">
        <f>IF($C673="B",VLOOKUP($A673,Bat!$A$4:$BA$1621,47,FALSE),VLOOKUP($A673,Pit!$A$4:$BF$1557,56,FALSE))</f>
        <v>0</v>
      </c>
      <c r="V673" s="50">
        <f>IF($C673="B",VLOOKUP($A673,Bat!$A$4:$BA$1621,48,FALSE),VLOOKUP($A673,Pit!$A$4:$BF$1557,57,FALSE))</f>
        <v>0</v>
      </c>
      <c r="W673" s="50">
        <f>Table5[[#This Row],[posRnk]]+Table5[[#This Row],[zRnk]]+IF($W$3&lt;&gt;Table5[[#This Row],[Type]],50,0)</f>
        <v>851</v>
      </c>
      <c r="X673" s="51">
        <f>RANK(Table5[[#This Row],[zScore]],Table5[[#All],[zScore]])</f>
        <v>511</v>
      </c>
      <c r="Y673" s="50" t="str">
        <f>IFERROR(INDEX(DraftResults[[#All],[OVR]],MATCH(Table5[[#This Row],[PID]],DraftResults[[#All],[Player ID]],0)),"")</f>
        <v/>
      </c>
      <c r="Z6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3" s="50" t="str">
        <f>IFERROR(INDEX(DraftResults[[#All],[Pick in Round]],MATCH(Table5[[#This Row],[PID]],DraftResults[[#All],[Player ID]],0)),"")</f>
        <v/>
      </c>
      <c r="AB673" s="50" t="str">
        <f>IFERROR(INDEX(DraftResults[[#All],[Team Name]],MATCH(Table5[[#This Row],[PID]],DraftResults[[#All],[Player ID]],0)),"")</f>
        <v/>
      </c>
      <c r="AC673" s="50" t="str">
        <f>IF(Table5[[#This Row],[Ovr]]="","",IF(Table5[[#This Row],[cmbList]]="","",Table5[[#This Row],[cmbList]]-Table5[[#This Row],[Ovr]]))</f>
        <v/>
      </c>
      <c r="AD673" s="54" t="str">
        <f>IF(ISERROR(VLOOKUP($AB673&amp;"-"&amp;$E673&amp;" "&amp;F673,Bonuses!$B$1:$G$1006,4,FALSE)),"",INT(VLOOKUP($AB673&amp;"-"&amp;$E673&amp;" "&amp;$F673,Bonuses!$B$1:$G$1006,4,FALSE)))</f>
        <v/>
      </c>
      <c r="AE6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4" spans="1:31" s="50" customFormat="1" x14ac:dyDescent="0.25">
      <c r="A674" s="50">
        <v>20315</v>
      </c>
      <c r="B674" s="50">
        <f>COUNTIF(Table5[PID],A674)</f>
        <v>1</v>
      </c>
      <c r="C674" s="50" t="str">
        <f>IF(COUNTIF(Table3[[#All],[PID]],A674)&gt;0,"P","B")</f>
        <v>B</v>
      </c>
      <c r="D674" s="59" t="str">
        <f>IF($C674="B",INDEX(Batters[[#All],[POS]],MATCH(Table5[[#This Row],[PID]],Batters[[#All],[PID]],0)),INDEX(Table3[[#All],[POS]],MATCH(Table5[[#This Row],[PID]],Table3[[#All],[PID]],0)))</f>
        <v>LF</v>
      </c>
      <c r="E674" s="52" t="str">
        <f>IF($C674="B",INDEX(Batters[[#All],[First]],MATCH(Table5[[#This Row],[PID]],Batters[[#All],[PID]],0)),INDEX(Table3[[#All],[First]],MATCH(Table5[[#This Row],[PID]],Table3[[#All],[PID]],0)))</f>
        <v>Chang-jun</v>
      </c>
      <c r="F674" s="50" t="str">
        <f>IF($C674="B",INDEX(Batters[[#All],[Last]],MATCH(A674,Batters[[#All],[PID]],0)),INDEX(Table3[[#All],[Last]],MATCH(A674,Table3[[#All],[PID]],0)))</f>
        <v>Kim</v>
      </c>
      <c r="G674" s="56">
        <f>IF($C674="B",INDEX(Batters[[#All],[Age]],MATCH(Table5[[#This Row],[PID]],Batters[[#All],[PID]],0)),INDEX(Table3[[#All],[Age]],MATCH(Table5[[#This Row],[PID]],Table3[[#All],[PID]],0)))</f>
        <v>18</v>
      </c>
      <c r="H674" s="52" t="str">
        <f>IF($C674="B",INDEX(Batters[[#All],[B]],MATCH(Table5[[#This Row],[PID]],Batters[[#All],[PID]],0)),INDEX(Table3[[#All],[B]],MATCH(Table5[[#This Row],[PID]],Table3[[#All],[PID]],0)))</f>
        <v>R</v>
      </c>
      <c r="I674" s="52" t="str">
        <f>IF($C674="B",INDEX(Batters[[#All],[T]],MATCH(Table5[[#This Row],[PID]],Batters[[#All],[PID]],0)),INDEX(Table3[[#All],[T]],MATCH(Table5[[#This Row],[PID]],Table3[[#All],[PID]],0)))</f>
        <v>R</v>
      </c>
      <c r="J674" s="52" t="str">
        <f>IF($C674="B",INDEX(Batters[[#All],[WE]],MATCH(Table5[[#This Row],[PID]],Batters[[#All],[PID]],0)),INDEX(Table3[[#All],[WE]],MATCH(Table5[[#This Row],[PID]],Table3[[#All],[PID]],0)))</f>
        <v>Low</v>
      </c>
      <c r="K674" s="52" t="str">
        <f>IF($C674="B",INDEX(Batters[[#All],[INT]],MATCH(Table5[[#This Row],[PID]],Batters[[#All],[PID]],0)),INDEX(Table3[[#All],[INT]],MATCH(Table5[[#This Row],[PID]],Table3[[#All],[PID]],0)))</f>
        <v>Normal</v>
      </c>
      <c r="L674" s="60">
        <f>IF($C674="B",INDEX(Batters[[#All],[CON P]],MATCH(Table5[[#This Row],[PID]],Batters[[#All],[PID]],0)),INDEX(Table3[[#All],[STU P]],MATCH(Table5[[#This Row],[PID]],Table3[[#All],[PID]],0)))</f>
        <v>3</v>
      </c>
      <c r="M674" s="56">
        <f>IF($C674="B",INDEX(Batters[[#All],[GAP P]],MATCH(Table5[[#This Row],[PID]],Batters[[#All],[PID]],0)),INDEX(Table3[[#All],[MOV P]],MATCH(Table5[[#This Row],[PID]],Table3[[#All],[PID]],0)))</f>
        <v>6</v>
      </c>
      <c r="N674" s="56">
        <f>IF($C674="B",INDEX(Batters[[#All],[POW P]],MATCH(Table5[[#This Row],[PID]],Batters[[#All],[PID]],0)),INDEX(Table3[[#All],[CON P]],MATCH(Table5[[#This Row],[PID]],Table3[[#All],[PID]],0)))</f>
        <v>5</v>
      </c>
      <c r="O674" s="56">
        <f>IF($C674="B",INDEX(Batters[[#All],[EYE P]],MATCH(Table5[[#This Row],[PID]],Batters[[#All],[PID]],0)),INDEX(Table3[[#All],[VELO]],MATCH(Table5[[#This Row],[PID]],Table3[[#All],[PID]],0)))</f>
        <v>5</v>
      </c>
      <c r="P674" s="56">
        <f>IF($C674="B",INDEX(Batters[[#All],[K P]],MATCH(Table5[[#This Row],[PID]],Batters[[#All],[PID]],0)),INDEX(Table3[[#All],[STM]],MATCH(Table5[[#This Row],[PID]],Table3[[#All],[PID]],0)))</f>
        <v>3</v>
      </c>
      <c r="Q674" s="61">
        <f>IF($C674="B",INDEX(Batters[[#All],[Tot]],MATCH(Table5[[#This Row],[PID]],Batters[[#All],[PID]],0)),INDEX(Table3[[#All],[Tot]],MATCH(Table5[[#This Row],[PID]],Table3[[#All],[PID]],0)))</f>
        <v>44.587652754982258</v>
      </c>
      <c r="R674" s="52">
        <f>IF($C674="B",INDEX(Batters[[#All],[zScore]],MATCH(Table5[[#This Row],[PID]],Batters[[#All],[PID]],0)),INDEX(Table3[[#All],[zScore]],MATCH(Table5[[#This Row],[PID]],Table3[[#All],[PID]],0)))</f>
        <v>0.10103465982755619</v>
      </c>
      <c r="S674" s="58" t="str">
        <f>IF($C674="B",INDEX(Batters[[#All],[DEM]],MATCH(Table5[[#This Row],[PID]],Batters[[#All],[PID]],0)),INDEX(Table3[[#All],[DEM]],MATCH(Table5[[#This Row],[PID]],Table3[[#All],[PID]],0)))</f>
        <v>$130k</v>
      </c>
      <c r="T674" s="62">
        <f>IF($C674="B",INDEX(Batters[[#All],[Rnk]],MATCH(Table5[[#This Row],[PID]],Batters[[#All],[PID]],0)),INDEX(Table3[[#All],[Rnk]],MATCH(Table5[[#This Row],[PID]],Table3[[#All],[PID]],0)))</f>
        <v>222</v>
      </c>
      <c r="U674" s="68">
        <f>IF($C674="B",VLOOKUP($A674,Bat!$A$4:$BA$1621,47,FALSE),VLOOKUP($A674,Pit!$A$4:$BF$1557,56,FALSE))</f>
        <v>0</v>
      </c>
      <c r="V674" s="50">
        <f>IF($C674="B",VLOOKUP($A674,Bat!$A$4:$BA$1621,48,FALSE),VLOOKUP($A674,Pit!$A$4:$BF$1557,57,FALSE))</f>
        <v>0</v>
      </c>
      <c r="W674" s="50">
        <f>Table5[[#This Row],[posRnk]]+Table5[[#This Row],[zRnk]]+IF($W$3&lt;&gt;Table5[[#This Row],[Type]],50,0)</f>
        <v>784</v>
      </c>
      <c r="X674" s="51">
        <f>RANK(Table5[[#This Row],[zScore]],Table5[[#All],[zScore]])</f>
        <v>512</v>
      </c>
      <c r="Y674" s="50" t="str">
        <f>IFERROR(INDEX(DraftResults[[#All],[OVR]],MATCH(Table5[[#This Row],[PID]],DraftResults[[#All],[Player ID]],0)),"")</f>
        <v/>
      </c>
      <c r="Z6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4" s="50" t="str">
        <f>IFERROR(INDEX(DraftResults[[#All],[Pick in Round]],MATCH(Table5[[#This Row],[PID]],DraftResults[[#All],[Player ID]],0)),"")</f>
        <v/>
      </c>
      <c r="AB674" s="50" t="str">
        <f>IFERROR(INDEX(DraftResults[[#All],[Team Name]],MATCH(Table5[[#This Row],[PID]],DraftResults[[#All],[Player ID]],0)),"")</f>
        <v/>
      </c>
      <c r="AC674" s="50" t="str">
        <f>IF(Table5[[#This Row],[Ovr]]="","",IF(Table5[[#This Row],[cmbList]]="","",Table5[[#This Row],[cmbList]]-Table5[[#This Row],[Ovr]]))</f>
        <v/>
      </c>
      <c r="AD674" s="54" t="str">
        <f>IF(ISERROR(VLOOKUP($AB674&amp;"-"&amp;$E674&amp;" "&amp;F674,Bonuses!$B$1:$G$1006,4,FALSE)),"",INT(VLOOKUP($AB674&amp;"-"&amp;$E674&amp;" "&amp;$F674,Bonuses!$B$1:$G$1006,4,FALSE)))</f>
        <v/>
      </c>
      <c r="AE6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5" spans="1:31" s="50" customFormat="1" x14ac:dyDescent="0.25">
      <c r="A675" s="50">
        <v>18399</v>
      </c>
      <c r="B675" s="55">
        <f>COUNTIF(Table5[PID],A675)</f>
        <v>1</v>
      </c>
      <c r="C675" s="55" t="str">
        <f>IF(COUNTIF(Table3[[#All],[PID]],A675)&gt;0,"P","B")</f>
        <v>P</v>
      </c>
      <c r="D675" s="59" t="str">
        <f>IF($C675="B",INDEX(Batters[[#All],[POS]],MATCH(Table5[[#This Row],[PID]],Batters[[#All],[PID]],0)),INDEX(Table3[[#All],[POS]],MATCH(Table5[[#This Row],[PID]],Table3[[#All],[PID]],0)))</f>
        <v>RP</v>
      </c>
      <c r="E675" s="52" t="str">
        <f>IF($C675="B",INDEX(Batters[[#All],[First]],MATCH(Table5[[#This Row],[PID]],Batters[[#All],[PID]],0)),INDEX(Table3[[#All],[First]],MATCH(Table5[[#This Row],[PID]],Table3[[#All],[PID]],0)))</f>
        <v>Naozane</v>
      </c>
      <c r="F675" s="50" t="str">
        <f>IF($C675="B",INDEX(Batters[[#All],[Last]],MATCH(A675,Batters[[#All],[PID]],0)),INDEX(Table3[[#All],[Last]],MATCH(A675,Table3[[#All],[PID]],0)))</f>
        <v>Takeda</v>
      </c>
      <c r="G675" s="56">
        <f>IF($C675="B",INDEX(Batters[[#All],[Age]],MATCH(Table5[[#This Row],[PID]],Batters[[#All],[PID]],0)),INDEX(Table3[[#All],[Age]],MATCH(Table5[[#This Row],[PID]],Table3[[#All],[PID]],0)))</f>
        <v>18</v>
      </c>
      <c r="H675" s="52" t="str">
        <f>IF($C675="B",INDEX(Batters[[#All],[B]],MATCH(Table5[[#This Row],[PID]],Batters[[#All],[PID]],0)),INDEX(Table3[[#All],[B]],MATCH(Table5[[#This Row],[PID]],Table3[[#All],[PID]],0)))</f>
        <v>S</v>
      </c>
      <c r="I675" s="52" t="str">
        <f>IF($C675="B",INDEX(Batters[[#All],[T]],MATCH(Table5[[#This Row],[PID]],Batters[[#All],[PID]],0)),INDEX(Table3[[#All],[T]],MATCH(Table5[[#This Row],[PID]],Table3[[#All],[PID]],0)))</f>
        <v>R</v>
      </c>
      <c r="J675" s="52" t="str">
        <f>IF($C675="B",INDEX(Batters[[#All],[WE]],MATCH(Table5[[#This Row],[PID]],Batters[[#All],[PID]],0)),INDEX(Table3[[#All],[WE]],MATCH(Table5[[#This Row],[PID]],Table3[[#All],[PID]],0)))</f>
        <v>Low</v>
      </c>
      <c r="K675" s="52" t="str">
        <f>IF($C675="B",INDEX(Batters[[#All],[INT]],MATCH(Table5[[#This Row],[PID]],Batters[[#All],[PID]],0)),INDEX(Table3[[#All],[INT]],MATCH(Table5[[#This Row],[PID]],Table3[[#All],[PID]],0)))</f>
        <v>Low</v>
      </c>
      <c r="L675" s="60">
        <f>IF($C675="B",INDEX(Batters[[#All],[CON P]],MATCH(Table5[[#This Row],[PID]],Batters[[#All],[PID]],0)),INDEX(Table3[[#All],[STU P]],MATCH(Table5[[#This Row],[PID]],Table3[[#All],[PID]],0)))</f>
        <v>3</v>
      </c>
      <c r="M675" s="56">
        <f>IF($C675="B",INDEX(Batters[[#All],[GAP P]],MATCH(Table5[[#This Row],[PID]],Batters[[#All],[PID]],0)),INDEX(Table3[[#All],[MOV P]],MATCH(Table5[[#This Row],[PID]],Table3[[#All],[PID]],0)))</f>
        <v>3</v>
      </c>
      <c r="N675" s="56">
        <f>IF($C675="B",INDEX(Batters[[#All],[POW P]],MATCH(Table5[[#This Row],[PID]],Batters[[#All],[PID]],0)),INDEX(Table3[[#All],[CON P]],MATCH(Table5[[#This Row],[PID]],Table3[[#All],[PID]],0)))</f>
        <v>4</v>
      </c>
      <c r="O675" s="56" t="str">
        <f>IF($C675="B",INDEX(Batters[[#All],[EYE P]],MATCH(Table5[[#This Row],[PID]],Batters[[#All],[PID]],0)),INDEX(Table3[[#All],[VELO]],MATCH(Table5[[#This Row],[PID]],Table3[[#All],[PID]],0)))</f>
        <v>85-87 Mph</v>
      </c>
      <c r="P675" s="56">
        <f>IF($C675="B",INDEX(Batters[[#All],[K P]],MATCH(Table5[[#This Row],[PID]],Batters[[#All],[PID]],0)),INDEX(Table3[[#All],[STM]],MATCH(Table5[[#This Row],[PID]],Table3[[#All],[PID]],0)))</f>
        <v>7</v>
      </c>
      <c r="Q675" s="61">
        <f>IF($C675="B",INDEX(Batters[[#All],[Tot]],MATCH(Table5[[#This Row],[PID]],Batters[[#All],[PID]],0)),INDEX(Table3[[#All],[Tot]],MATCH(Table5[[#This Row],[PID]],Table3[[#All],[PID]],0)))</f>
        <v>38.121997584302861</v>
      </c>
      <c r="R675" s="52">
        <f>IF($C675="B",INDEX(Batters[[#All],[zScore]],MATCH(Table5[[#This Row],[PID]],Batters[[#All],[PID]],0)),INDEX(Table3[[#All],[zScore]],MATCH(Table5[[#This Row],[PID]],Table3[[#All],[PID]],0)))</f>
        <v>9.7148096207166898E-2</v>
      </c>
      <c r="S675" s="58" t="str">
        <f>IF($C675="B",INDEX(Batters[[#All],[DEM]],MATCH(Table5[[#This Row],[PID]],Batters[[#All],[PID]],0)),INDEX(Table3[[#All],[DEM]],MATCH(Table5[[#This Row],[PID]],Table3[[#All],[PID]],0)))</f>
        <v>$75k</v>
      </c>
      <c r="T675" s="62">
        <f>IF($C675="B",INDEX(Batters[[#All],[Rnk]],MATCH(Table5[[#This Row],[PID]],Batters[[#All],[PID]],0)),INDEX(Table3[[#All],[Rnk]],MATCH(Table5[[#This Row],[PID]],Table3[[#All],[PID]],0)))</f>
        <v>291</v>
      </c>
      <c r="U675" s="68">
        <f>IF($C675="B",VLOOKUP($A675,Bat!$A$4:$BA$1621,47,FALSE),VLOOKUP($A675,Pit!$A$4:$BF$1557,56,FALSE))</f>
        <v>0</v>
      </c>
      <c r="V675" s="50">
        <f>IF($C675="B",VLOOKUP($A675,Bat!$A$4:$BA$1621,48,FALSE),VLOOKUP($A675,Pit!$A$4:$BF$1557,57,FALSE))</f>
        <v>0</v>
      </c>
      <c r="W675" s="50">
        <f>Table5[[#This Row],[posRnk]]+Table5[[#This Row],[zRnk]]+IF($W$3&lt;&gt;Table5[[#This Row],[Type]],50,0)</f>
        <v>854</v>
      </c>
      <c r="X675" s="51">
        <f>RANK(Table5[[#This Row],[zScore]],Table5[[#All],[zScore]])</f>
        <v>513</v>
      </c>
      <c r="Y675" s="50" t="str">
        <f>IFERROR(INDEX(DraftResults[[#All],[OVR]],MATCH(Table5[[#This Row],[PID]],DraftResults[[#All],[Player ID]],0)),"")</f>
        <v/>
      </c>
      <c r="Z6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5" s="50" t="str">
        <f>IFERROR(INDEX(DraftResults[[#All],[Pick in Round]],MATCH(Table5[[#This Row],[PID]],DraftResults[[#All],[Player ID]],0)),"")</f>
        <v/>
      </c>
      <c r="AB675" s="50" t="str">
        <f>IFERROR(INDEX(DraftResults[[#All],[Team Name]],MATCH(Table5[[#This Row],[PID]],DraftResults[[#All],[Player ID]],0)),"")</f>
        <v/>
      </c>
      <c r="AC675" s="50" t="str">
        <f>IF(Table5[[#This Row],[Ovr]]="","",IF(Table5[[#This Row],[cmbList]]="","",Table5[[#This Row],[cmbList]]-Table5[[#This Row],[Ovr]]))</f>
        <v/>
      </c>
      <c r="AD675" s="54" t="str">
        <f>IF(ISERROR(VLOOKUP($AB675&amp;"-"&amp;$E675&amp;" "&amp;F675,Bonuses!$B$1:$G$1006,4,FALSE)),"",INT(VLOOKUP($AB675&amp;"-"&amp;$E675&amp;" "&amp;$F675,Bonuses!$B$1:$G$1006,4,FALSE)))</f>
        <v/>
      </c>
      <c r="AE6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6" spans="1:31" s="50" customFormat="1" x14ac:dyDescent="0.25">
      <c r="A676" s="50">
        <v>17562</v>
      </c>
      <c r="B676" s="50">
        <f>COUNTIF(Table5[PID],A676)</f>
        <v>1</v>
      </c>
      <c r="C676" s="50" t="str">
        <f>IF(COUNTIF(Table3[[#All],[PID]],A676)&gt;0,"P","B")</f>
        <v>P</v>
      </c>
      <c r="D676" s="59" t="str">
        <f>IF($C676="B",INDEX(Batters[[#All],[POS]],MATCH(Table5[[#This Row],[PID]],Batters[[#All],[PID]],0)),INDEX(Table3[[#All],[POS]],MATCH(Table5[[#This Row],[PID]],Table3[[#All],[PID]],0)))</f>
        <v>RP</v>
      </c>
      <c r="E676" s="52" t="str">
        <f>IF($C676="B",INDEX(Batters[[#All],[First]],MATCH(Table5[[#This Row],[PID]],Batters[[#All],[PID]],0)),INDEX(Table3[[#All],[First]],MATCH(Table5[[#This Row],[PID]],Table3[[#All],[PID]],0)))</f>
        <v>David</v>
      </c>
      <c r="F676" s="50" t="str">
        <f>IF($C676="B",INDEX(Batters[[#All],[Last]],MATCH(A676,Batters[[#All],[PID]],0)),INDEX(Table3[[#All],[Last]],MATCH(A676,Table3[[#All],[PID]],0)))</f>
        <v>Bass</v>
      </c>
      <c r="G676" s="56">
        <f>IF($C676="B",INDEX(Batters[[#All],[Age]],MATCH(Table5[[#This Row],[PID]],Batters[[#All],[PID]],0)),INDEX(Table3[[#All],[Age]],MATCH(Table5[[#This Row],[PID]],Table3[[#All],[PID]],0)))</f>
        <v>18</v>
      </c>
      <c r="H676" s="52" t="str">
        <f>IF($C676="B",INDEX(Batters[[#All],[B]],MATCH(Table5[[#This Row],[PID]],Batters[[#All],[PID]],0)),INDEX(Table3[[#All],[B]],MATCH(Table5[[#This Row],[PID]],Table3[[#All],[PID]],0)))</f>
        <v>R</v>
      </c>
      <c r="I676" s="52" t="str">
        <f>IF($C676="B",INDEX(Batters[[#All],[T]],MATCH(Table5[[#This Row],[PID]],Batters[[#All],[PID]],0)),INDEX(Table3[[#All],[T]],MATCH(Table5[[#This Row],[PID]],Table3[[#All],[PID]],0)))</f>
        <v>R</v>
      </c>
      <c r="J676" s="52" t="str">
        <f>IF($C676="B",INDEX(Batters[[#All],[WE]],MATCH(Table5[[#This Row],[PID]],Batters[[#All],[PID]],0)),INDEX(Table3[[#All],[WE]],MATCH(Table5[[#This Row],[PID]],Table3[[#All],[PID]],0)))</f>
        <v>High</v>
      </c>
      <c r="K676" s="52" t="str">
        <f>IF($C676="B",INDEX(Batters[[#All],[INT]],MATCH(Table5[[#This Row],[PID]],Batters[[#All],[PID]],0)),INDEX(Table3[[#All],[INT]],MATCH(Table5[[#This Row],[PID]],Table3[[#All],[PID]],0)))</f>
        <v>Normal</v>
      </c>
      <c r="L676" s="60">
        <f>IF($C676="B",INDEX(Batters[[#All],[CON P]],MATCH(Table5[[#This Row],[PID]],Batters[[#All],[PID]],0)),INDEX(Table3[[#All],[STU P]],MATCH(Table5[[#This Row],[PID]],Table3[[#All],[PID]],0)))</f>
        <v>4</v>
      </c>
      <c r="M676" s="56">
        <f>IF($C676="B",INDEX(Batters[[#All],[GAP P]],MATCH(Table5[[#This Row],[PID]],Batters[[#All],[PID]],0)),INDEX(Table3[[#All],[MOV P]],MATCH(Table5[[#This Row],[PID]],Table3[[#All],[PID]],0)))</f>
        <v>3</v>
      </c>
      <c r="N676" s="56">
        <f>IF($C676="B",INDEX(Batters[[#All],[POW P]],MATCH(Table5[[#This Row],[PID]],Batters[[#All],[PID]],0)),INDEX(Table3[[#All],[CON P]],MATCH(Table5[[#This Row],[PID]],Table3[[#All],[PID]],0)))</f>
        <v>3</v>
      </c>
      <c r="O676" s="56" t="str">
        <f>IF($C676="B",INDEX(Batters[[#All],[EYE P]],MATCH(Table5[[#This Row],[PID]],Batters[[#All],[PID]],0)),INDEX(Table3[[#All],[VELO]],MATCH(Table5[[#This Row],[PID]],Table3[[#All],[PID]],0)))</f>
        <v>87-89 Mph</v>
      </c>
      <c r="P676" s="56">
        <f>IF($C676="B",INDEX(Batters[[#All],[K P]],MATCH(Table5[[#This Row],[PID]],Batters[[#All],[PID]],0)),INDEX(Table3[[#All],[STM]],MATCH(Table5[[#This Row],[PID]],Table3[[#All],[PID]],0)))</f>
        <v>4</v>
      </c>
      <c r="Q676" s="61">
        <f>IF($C676="B",INDEX(Batters[[#All],[Tot]],MATCH(Table5[[#This Row],[PID]],Batters[[#All],[PID]],0)),INDEX(Table3[[#All],[Tot]],MATCH(Table5[[#This Row],[PID]],Table3[[#All],[PID]],0)))</f>
        <v>37.154541994949057</v>
      </c>
      <c r="R676" s="52">
        <f>IF($C676="B",INDEX(Batters[[#All],[zScore]],MATCH(Table5[[#This Row],[PID]],Batters[[#All],[PID]],0)),INDEX(Table3[[#All],[zScore]],MATCH(Table5[[#This Row],[PID]],Table3[[#All],[PID]],0)))</f>
        <v>8.5423619166981685E-2</v>
      </c>
      <c r="S676" s="58" t="str">
        <f>IF($C676="B",INDEX(Batters[[#All],[DEM]],MATCH(Table5[[#This Row],[PID]],Batters[[#All],[PID]],0)),INDEX(Table3[[#All],[DEM]],MATCH(Table5[[#This Row],[PID]],Table3[[#All],[PID]],0)))</f>
        <v>$65k</v>
      </c>
      <c r="T676" s="62">
        <f>IF($C676="B",INDEX(Batters[[#All],[Rnk]],MATCH(Table5[[#This Row],[PID]],Batters[[#All],[PID]],0)),INDEX(Table3[[#All],[Rnk]],MATCH(Table5[[#This Row],[PID]],Table3[[#All],[PID]],0)))</f>
        <v>292</v>
      </c>
      <c r="U676" s="68">
        <f>IF($C676="B",VLOOKUP($A676,Bat!$A$4:$BA$1621,47,FALSE),VLOOKUP($A676,Pit!$A$4:$BF$1557,56,FALSE))</f>
        <v>0</v>
      </c>
      <c r="V676" s="50">
        <f>IF($C676="B",VLOOKUP($A676,Bat!$A$4:$BA$1621,48,FALSE),VLOOKUP($A676,Pit!$A$4:$BF$1557,57,FALSE))</f>
        <v>0</v>
      </c>
      <c r="W676" s="50">
        <f>Table5[[#This Row],[posRnk]]+Table5[[#This Row],[zRnk]]+IF($W$3&lt;&gt;Table5[[#This Row],[Type]],50,0)</f>
        <v>859</v>
      </c>
      <c r="X676" s="51">
        <f>RANK(Table5[[#This Row],[zScore]],Table5[[#All],[zScore]])</f>
        <v>517</v>
      </c>
      <c r="Y676" s="50" t="str">
        <f>IFERROR(INDEX(DraftResults[[#All],[OVR]],MATCH(Table5[[#This Row],[PID]],DraftResults[[#All],[Player ID]],0)),"")</f>
        <v/>
      </c>
      <c r="Z6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6" s="50" t="str">
        <f>IFERROR(INDEX(DraftResults[[#All],[Pick in Round]],MATCH(Table5[[#This Row],[PID]],DraftResults[[#All],[Player ID]],0)),"")</f>
        <v/>
      </c>
      <c r="AB676" s="50" t="str">
        <f>IFERROR(INDEX(DraftResults[[#All],[Team Name]],MATCH(Table5[[#This Row],[PID]],DraftResults[[#All],[Player ID]],0)),"")</f>
        <v/>
      </c>
      <c r="AC676" s="50" t="str">
        <f>IF(Table5[[#This Row],[Ovr]]="","",IF(Table5[[#This Row],[cmbList]]="","",Table5[[#This Row],[cmbList]]-Table5[[#This Row],[Ovr]]))</f>
        <v/>
      </c>
      <c r="AD676" s="54" t="str">
        <f>IF(ISERROR(VLOOKUP($AB676&amp;"-"&amp;$E676&amp;" "&amp;F676,Bonuses!$B$1:$G$1006,4,FALSE)),"",INT(VLOOKUP($AB676&amp;"-"&amp;$E676&amp;" "&amp;$F676,Bonuses!$B$1:$G$1006,4,FALSE)))</f>
        <v/>
      </c>
      <c r="AE6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7" spans="1:31" s="50" customFormat="1" x14ac:dyDescent="0.25">
      <c r="A677" s="68">
        <v>21026</v>
      </c>
      <c r="B677" s="69">
        <f>COUNTIF(Table5[PID],A677)</f>
        <v>1</v>
      </c>
      <c r="C677" s="69" t="str">
        <f>IF(COUNTIF(Table3[[#All],[PID]],A677)&gt;0,"P","B")</f>
        <v>P</v>
      </c>
      <c r="D677" s="59" t="str">
        <f>IF($C677="B",INDEX(Batters[[#All],[POS]],MATCH(Table5[[#This Row],[PID]],Batters[[#All],[PID]],0)),INDEX(Table3[[#All],[POS]],MATCH(Table5[[#This Row],[PID]],Table3[[#All],[PID]],0)))</f>
        <v>SP</v>
      </c>
      <c r="E677" s="52" t="str">
        <f>IF($C677="B",INDEX(Batters[[#All],[First]],MATCH(Table5[[#This Row],[PID]],Batters[[#All],[PID]],0)),INDEX(Table3[[#All],[First]],MATCH(Table5[[#This Row],[PID]],Table3[[#All],[PID]],0)))</f>
        <v>Will</v>
      </c>
      <c r="F677" s="55" t="str">
        <f>IF($C677="B",INDEX(Batters[[#All],[Last]],MATCH(A677,Batters[[#All],[PID]],0)),INDEX(Table3[[#All],[Last]],MATCH(A677,Table3[[#All],[PID]],0)))</f>
        <v>MacKerras</v>
      </c>
      <c r="G677" s="56">
        <f>IF($C677="B",INDEX(Batters[[#All],[Age]],MATCH(Table5[[#This Row],[PID]],Batters[[#All],[PID]],0)),INDEX(Table3[[#All],[Age]],MATCH(Table5[[#This Row],[PID]],Table3[[#All],[PID]],0)))</f>
        <v>18</v>
      </c>
      <c r="H677" s="52" t="str">
        <f>IF($C677="B",INDEX(Batters[[#All],[B]],MATCH(Table5[[#This Row],[PID]],Batters[[#All],[PID]],0)),INDEX(Table3[[#All],[B]],MATCH(Table5[[#This Row],[PID]],Table3[[#All],[PID]],0)))</f>
        <v>R</v>
      </c>
      <c r="I677" s="52" t="str">
        <f>IF($C677="B",INDEX(Batters[[#All],[T]],MATCH(Table5[[#This Row],[PID]],Batters[[#All],[PID]],0)),INDEX(Table3[[#All],[T]],MATCH(Table5[[#This Row],[PID]],Table3[[#All],[PID]],0)))</f>
        <v>R</v>
      </c>
      <c r="J677" s="71" t="str">
        <f>IF($C677="B",INDEX(Batters[[#All],[WE]],MATCH(Table5[[#This Row],[PID]],Batters[[#All],[PID]],0)),INDEX(Table3[[#All],[WE]],MATCH(Table5[[#This Row],[PID]],Table3[[#All],[PID]],0)))</f>
        <v>Low</v>
      </c>
      <c r="K677" s="52" t="str">
        <f>IF($C677="B",INDEX(Batters[[#All],[INT]],MATCH(Table5[[#This Row],[PID]],Batters[[#All],[PID]],0)),INDEX(Table3[[#All],[INT]],MATCH(Table5[[#This Row],[PID]],Table3[[#All],[PID]],0)))</f>
        <v>Normal</v>
      </c>
      <c r="L677" s="60">
        <f>IF($C677="B",INDEX(Batters[[#All],[CON P]],MATCH(Table5[[#This Row],[PID]],Batters[[#All],[PID]],0)),INDEX(Table3[[#All],[STU P]],MATCH(Table5[[#This Row],[PID]],Table3[[#All],[PID]],0)))</f>
        <v>4</v>
      </c>
      <c r="M677" s="72">
        <f>IF($C677="B",INDEX(Batters[[#All],[GAP P]],MATCH(Table5[[#This Row],[PID]],Batters[[#All],[PID]],0)),INDEX(Table3[[#All],[MOV P]],MATCH(Table5[[#This Row],[PID]],Table3[[#All],[PID]],0)))</f>
        <v>2</v>
      </c>
      <c r="N677" s="72">
        <f>IF($C677="B",INDEX(Batters[[#All],[POW P]],MATCH(Table5[[#This Row],[PID]],Batters[[#All],[PID]],0)),INDEX(Table3[[#All],[CON P]],MATCH(Table5[[#This Row],[PID]],Table3[[#All],[PID]],0)))</f>
        <v>4</v>
      </c>
      <c r="O677" s="72" t="str">
        <f>IF($C677="B",INDEX(Batters[[#All],[EYE P]],MATCH(Table5[[#This Row],[PID]],Batters[[#All],[PID]],0)),INDEX(Table3[[#All],[VELO]],MATCH(Table5[[#This Row],[PID]],Table3[[#All],[PID]],0)))</f>
        <v>89-91 Mph</v>
      </c>
      <c r="P677" s="56">
        <f>IF($C677="B",INDEX(Batters[[#All],[K P]],MATCH(Table5[[#This Row],[PID]],Batters[[#All],[PID]],0)),INDEX(Table3[[#All],[STM]],MATCH(Table5[[#This Row],[PID]],Table3[[#All],[PID]],0)))</f>
        <v>7</v>
      </c>
      <c r="Q677" s="61">
        <f>IF($C677="B",INDEX(Batters[[#All],[Tot]],MATCH(Table5[[#This Row],[PID]],Batters[[#All],[PID]],0)),INDEX(Table3[[#All],[Tot]],MATCH(Table5[[#This Row],[PID]],Table3[[#All],[PID]],0)))</f>
        <v>38.967725283404917</v>
      </c>
      <c r="R677" s="52">
        <f>IF($C677="B",INDEX(Batters[[#All],[zScore]],MATCH(Table5[[#This Row],[PID]],Batters[[#All],[PID]],0)),INDEX(Table3[[#All],[zScore]],MATCH(Table5[[#This Row],[PID]],Table3[[#All],[PID]],0)))</f>
        <v>7.9730163965874637E-2</v>
      </c>
      <c r="S677" s="78" t="str">
        <f>IF($C677="B",INDEX(Batters[[#All],[DEM]],MATCH(Table5[[#This Row],[PID]],Batters[[#All],[PID]],0)),INDEX(Table3[[#All],[DEM]],MATCH(Table5[[#This Row],[PID]],Table3[[#All],[PID]],0)))</f>
        <v>$75k</v>
      </c>
      <c r="T677" s="75">
        <f>IF($C677="B",INDEX(Batters[[#All],[Rnk]],MATCH(Table5[[#This Row],[PID]],Batters[[#All],[PID]],0)),INDEX(Table3[[#All],[Rnk]],MATCH(Table5[[#This Row],[PID]],Table3[[#All],[PID]],0)))</f>
        <v>293</v>
      </c>
      <c r="U677" s="68">
        <f>IF($C677="B",VLOOKUP($A677,Bat!$A$4:$BA$1621,47,FALSE),VLOOKUP($A677,Pit!$A$4:$BF$1557,56,FALSE))</f>
        <v>0</v>
      </c>
      <c r="V677" s="50">
        <f>IF($C677="B",VLOOKUP($A677,Bat!$A$4:$BA$1621,48,FALSE),VLOOKUP($A677,Pit!$A$4:$BF$1557,57,FALSE))</f>
        <v>0</v>
      </c>
      <c r="W677" s="69">
        <f>Table5[[#This Row],[posRnk]]+Table5[[#This Row],[zRnk]]+IF($W$3&lt;&gt;Table5[[#This Row],[Type]],50,0)</f>
        <v>861</v>
      </c>
      <c r="X677" s="73">
        <f>RANK(Table5[[#This Row],[zScore]],Table5[[#All],[zScore]])</f>
        <v>518</v>
      </c>
      <c r="Y677" s="69" t="str">
        <f>IFERROR(INDEX(DraftResults[[#All],[OVR]],MATCH(Table5[[#This Row],[PID]],DraftResults[[#All],[Player ID]],0)),"")</f>
        <v/>
      </c>
      <c r="Z67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7" s="69" t="str">
        <f>IFERROR(INDEX(DraftResults[[#All],[Pick in Round]],MATCH(Table5[[#This Row],[PID]],DraftResults[[#All],[Player ID]],0)),"")</f>
        <v/>
      </c>
      <c r="AB677" s="69" t="str">
        <f>IFERROR(INDEX(DraftResults[[#All],[Team Name]],MATCH(Table5[[#This Row],[PID]],DraftResults[[#All],[Player ID]],0)),"")</f>
        <v/>
      </c>
      <c r="AC677" s="69" t="str">
        <f>IF(Table5[[#This Row],[Ovr]]="","",IF(Table5[[#This Row],[cmbList]]="","",Table5[[#This Row],[cmbList]]-Table5[[#This Row],[Ovr]]))</f>
        <v/>
      </c>
      <c r="AD677" s="77" t="str">
        <f>IF(ISERROR(VLOOKUP($AB677&amp;"-"&amp;$E677&amp;" "&amp;F677,Bonuses!$B$1:$G$1006,4,FALSE)),"",INT(VLOOKUP($AB677&amp;"-"&amp;$E677&amp;" "&amp;$F677,Bonuses!$B$1:$G$1006,4,FALSE)))</f>
        <v/>
      </c>
      <c r="AE67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8" spans="1:31" s="50" customFormat="1" x14ac:dyDescent="0.25">
      <c r="A678" s="50">
        <v>14955</v>
      </c>
      <c r="B678" s="50">
        <f>COUNTIF(Table5[PID],A678)</f>
        <v>1</v>
      </c>
      <c r="C678" s="50" t="str">
        <f>IF(COUNTIF(Table3[[#All],[PID]],A678)&gt;0,"P","B")</f>
        <v>P</v>
      </c>
      <c r="D678" s="59" t="str">
        <f>IF($C678="B",INDEX(Batters[[#All],[POS]],MATCH(Table5[[#This Row],[PID]],Batters[[#All],[PID]],0)),INDEX(Table3[[#All],[POS]],MATCH(Table5[[#This Row],[PID]],Table3[[#All],[PID]],0)))</f>
        <v>RP</v>
      </c>
      <c r="E678" s="52" t="str">
        <f>IF($C678="B",INDEX(Batters[[#All],[First]],MATCH(Table5[[#This Row],[PID]],Batters[[#All],[PID]],0)),INDEX(Table3[[#All],[First]],MATCH(Table5[[#This Row],[PID]],Table3[[#All],[PID]],0)))</f>
        <v>Ryuichi</v>
      </c>
      <c r="F678" s="50" t="str">
        <f>IF($C678="B",INDEX(Batters[[#All],[Last]],MATCH(A678,Batters[[#All],[PID]],0)),INDEX(Table3[[#All],[Last]],MATCH(A678,Table3[[#All],[PID]],0)))</f>
        <v>Hoshino</v>
      </c>
      <c r="G678" s="56">
        <f>IF($C678="B",INDEX(Batters[[#All],[Age]],MATCH(Table5[[#This Row],[PID]],Batters[[#All],[PID]],0)),INDEX(Table3[[#All],[Age]],MATCH(Table5[[#This Row],[PID]],Table3[[#All],[PID]],0)))</f>
        <v>18</v>
      </c>
      <c r="H678" s="52" t="str">
        <f>IF($C678="B",INDEX(Batters[[#All],[B]],MATCH(Table5[[#This Row],[PID]],Batters[[#All],[PID]],0)),INDEX(Table3[[#All],[B]],MATCH(Table5[[#This Row],[PID]],Table3[[#All],[PID]],0)))</f>
        <v>L</v>
      </c>
      <c r="I678" s="52" t="str">
        <f>IF($C678="B",INDEX(Batters[[#All],[T]],MATCH(Table5[[#This Row],[PID]],Batters[[#All],[PID]],0)),INDEX(Table3[[#All],[T]],MATCH(Table5[[#This Row],[PID]],Table3[[#All],[PID]],0)))</f>
        <v>L</v>
      </c>
      <c r="J678" s="52" t="str">
        <f>IF($C678="B",INDEX(Batters[[#All],[WE]],MATCH(Table5[[#This Row],[PID]],Batters[[#All],[PID]],0)),INDEX(Table3[[#All],[WE]],MATCH(Table5[[#This Row],[PID]],Table3[[#All],[PID]],0)))</f>
        <v>Normal</v>
      </c>
      <c r="K678" s="52" t="str">
        <f>IF($C678="B",INDEX(Batters[[#All],[INT]],MATCH(Table5[[#This Row],[PID]],Batters[[#All],[PID]],0)),INDEX(Table3[[#All],[INT]],MATCH(Table5[[#This Row],[PID]],Table3[[#All],[PID]],0)))</f>
        <v>Normal</v>
      </c>
      <c r="L678" s="60">
        <f>IF($C678="B",INDEX(Batters[[#All],[CON P]],MATCH(Table5[[#This Row],[PID]],Batters[[#All],[PID]],0)),INDEX(Table3[[#All],[STU P]],MATCH(Table5[[#This Row],[PID]],Table3[[#All],[PID]],0)))</f>
        <v>3</v>
      </c>
      <c r="M678" s="56">
        <f>IF($C678="B",INDEX(Batters[[#All],[GAP P]],MATCH(Table5[[#This Row],[PID]],Batters[[#All],[PID]],0)),INDEX(Table3[[#All],[MOV P]],MATCH(Table5[[#This Row],[PID]],Table3[[#All],[PID]],0)))</f>
        <v>3</v>
      </c>
      <c r="N678" s="56">
        <f>IF($C678="B",INDEX(Batters[[#All],[POW P]],MATCH(Table5[[#This Row],[PID]],Batters[[#All],[PID]],0)),INDEX(Table3[[#All],[CON P]],MATCH(Table5[[#This Row],[PID]],Table3[[#All],[PID]],0)))</f>
        <v>5</v>
      </c>
      <c r="O678" s="56" t="str">
        <f>IF($C678="B",INDEX(Batters[[#All],[EYE P]],MATCH(Table5[[#This Row],[PID]],Batters[[#All],[PID]],0)),INDEX(Table3[[#All],[VELO]],MATCH(Table5[[#This Row],[PID]],Table3[[#All],[PID]],0)))</f>
        <v>84-86 Mph</v>
      </c>
      <c r="P678" s="56">
        <f>IF($C678="B",INDEX(Batters[[#All],[K P]],MATCH(Table5[[#This Row],[PID]],Batters[[#All],[PID]],0)),INDEX(Table3[[#All],[STM]],MATCH(Table5[[#This Row],[PID]],Table3[[#All],[PID]],0)))</f>
        <v>4</v>
      </c>
      <c r="Q678" s="61">
        <f>IF($C678="B",INDEX(Batters[[#All],[Tot]],MATCH(Table5[[#This Row],[PID]],Batters[[#All],[PID]],0)),INDEX(Table3[[#All],[Tot]],MATCH(Table5[[#This Row],[PID]],Table3[[#All],[PID]],0)))</f>
        <v>37.032416322193114</v>
      </c>
      <c r="R678" s="52">
        <f>IF($C678="B",INDEX(Batters[[#All],[zScore]],MATCH(Table5[[#This Row],[PID]],Batters[[#All],[PID]],0)),INDEX(Table3[[#All],[zScore]],MATCH(Table5[[#This Row],[PID]],Table3[[#All],[PID]],0)))</f>
        <v>7.7298784779849236E-2</v>
      </c>
      <c r="S678" s="58" t="str">
        <f>IF($C678="B",INDEX(Batters[[#All],[DEM]],MATCH(Table5[[#This Row],[PID]],Batters[[#All],[PID]],0)),INDEX(Table3[[#All],[DEM]],MATCH(Table5[[#This Row],[PID]],Table3[[#All],[PID]],0)))</f>
        <v>$65k</v>
      </c>
      <c r="T678" s="62">
        <f>IF($C678="B",INDEX(Batters[[#All],[Rnk]],MATCH(Table5[[#This Row],[PID]],Batters[[#All],[PID]],0)),INDEX(Table3[[#All],[Rnk]],MATCH(Table5[[#This Row],[PID]],Table3[[#All],[PID]],0)))</f>
        <v>294</v>
      </c>
      <c r="U678" s="68">
        <f>IF($C678="B",VLOOKUP($A678,Bat!$A$4:$BA$1621,47,FALSE),VLOOKUP($A678,Pit!$A$4:$BF$1557,56,FALSE))</f>
        <v>0</v>
      </c>
      <c r="V678" s="50">
        <f>IF($C678="B",VLOOKUP($A678,Bat!$A$4:$BA$1621,48,FALSE),VLOOKUP($A678,Pit!$A$4:$BF$1557,57,FALSE))</f>
        <v>0</v>
      </c>
      <c r="W678" s="50">
        <f>Table5[[#This Row],[posRnk]]+Table5[[#This Row],[zRnk]]+IF($W$3&lt;&gt;Table5[[#This Row],[Type]],50,0)</f>
        <v>863</v>
      </c>
      <c r="X678" s="51">
        <f>RANK(Table5[[#This Row],[zScore]],Table5[[#All],[zScore]])</f>
        <v>519</v>
      </c>
      <c r="Y678" s="50" t="str">
        <f>IFERROR(INDEX(DraftResults[[#All],[OVR]],MATCH(Table5[[#This Row],[PID]],DraftResults[[#All],[Player ID]],0)),"")</f>
        <v/>
      </c>
      <c r="Z6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8" s="50" t="str">
        <f>IFERROR(INDEX(DraftResults[[#All],[Pick in Round]],MATCH(Table5[[#This Row],[PID]],DraftResults[[#All],[Player ID]],0)),"")</f>
        <v/>
      </c>
      <c r="AB678" s="50" t="str">
        <f>IFERROR(INDEX(DraftResults[[#All],[Team Name]],MATCH(Table5[[#This Row],[PID]],DraftResults[[#All],[Player ID]],0)),"")</f>
        <v/>
      </c>
      <c r="AC678" s="50" t="str">
        <f>IF(Table5[[#This Row],[Ovr]]="","",IF(Table5[[#This Row],[cmbList]]="","",Table5[[#This Row],[cmbList]]-Table5[[#This Row],[Ovr]]))</f>
        <v/>
      </c>
      <c r="AD678" s="54" t="str">
        <f>IF(ISERROR(VLOOKUP($AB678&amp;"-"&amp;$E678&amp;" "&amp;F678,Bonuses!$B$1:$G$1006,4,FALSE)),"",INT(VLOOKUP($AB678&amp;"-"&amp;$E678&amp;" "&amp;$F678,Bonuses!$B$1:$G$1006,4,FALSE)))</f>
        <v/>
      </c>
      <c r="AE6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79" spans="1:31" s="50" customFormat="1" x14ac:dyDescent="0.25">
      <c r="A679" s="50">
        <v>20970</v>
      </c>
      <c r="B679" s="50">
        <f>COUNTIF(Table5[PID],A679)</f>
        <v>1</v>
      </c>
      <c r="C679" s="50" t="str">
        <f>IF(COUNTIF(Table3[[#All],[PID]],A679)&gt;0,"P","B")</f>
        <v>B</v>
      </c>
      <c r="D679" s="59" t="str">
        <f>IF($C679="B",INDEX(Batters[[#All],[POS]],MATCH(Table5[[#This Row],[PID]],Batters[[#All],[PID]],0)),INDEX(Table3[[#All],[POS]],MATCH(Table5[[#This Row],[PID]],Table3[[#All],[PID]],0)))</f>
        <v>1B</v>
      </c>
      <c r="E679" s="52" t="str">
        <f>IF($C679="B",INDEX(Batters[[#All],[First]],MATCH(Table5[[#This Row],[PID]],Batters[[#All],[PID]],0)),INDEX(Table3[[#All],[First]],MATCH(Table5[[#This Row],[PID]],Table3[[#All],[PID]],0)))</f>
        <v>Victor</v>
      </c>
      <c r="F679" s="50" t="str">
        <f>IF($C679="B",INDEX(Batters[[#All],[Last]],MATCH(A679,Batters[[#All],[PID]],0)),INDEX(Table3[[#All],[Last]],MATCH(A679,Table3[[#All],[PID]],0)))</f>
        <v>Brown</v>
      </c>
      <c r="G679" s="56">
        <f>IF($C679="B",INDEX(Batters[[#All],[Age]],MATCH(Table5[[#This Row],[PID]],Batters[[#All],[PID]],0)),INDEX(Table3[[#All],[Age]],MATCH(Table5[[#This Row],[PID]],Table3[[#All],[PID]],0)))</f>
        <v>17</v>
      </c>
      <c r="H679" s="52" t="str">
        <f>IF($C679="B",INDEX(Batters[[#All],[B]],MATCH(Table5[[#This Row],[PID]],Batters[[#All],[PID]],0)),INDEX(Table3[[#All],[B]],MATCH(Table5[[#This Row],[PID]],Table3[[#All],[PID]],0)))</f>
        <v>L</v>
      </c>
      <c r="I679" s="52" t="str">
        <f>IF($C679="B",INDEX(Batters[[#All],[T]],MATCH(Table5[[#This Row],[PID]],Batters[[#All],[PID]],0)),INDEX(Table3[[#All],[T]],MATCH(Table5[[#This Row],[PID]],Table3[[#All],[PID]],0)))</f>
        <v>L</v>
      </c>
      <c r="J679" s="52" t="str">
        <f>IF($C679="B",INDEX(Batters[[#All],[WE]],MATCH(Table5[[#This Row],[PID]],Batters[[#All],[PID]],0)),INDEX(Table3[[#All],[WE]],MATCH(Table5[[#This Row],[PID]],Table3[[#All],[PID]],0)))</f>
        <v>Low</v>
      </c>
      <c r="K679" s="52" t="str">
        <f>IF($C679="B",INDEX(Batters[[#All],[INT]],MATCH(Table5[[#This Row],[PID]],Batters[[#All],[PID]],0)),INDEX(Table3[[#All],[INT]],MATCH(Table5[[#This Row],[PID]],Table3[[#All],[PID]],0)))</f>
        <v>Low</v>
      </c>
      <c r="L679" s="60">
        <f>IF($C679="B",INDEX(Batters[[#All],[CON P]],MATCH(Table5[[#This Row],[PID]],Batters[[#All],[PID]],0)),INDEX(Table3[[#All],[STU P]],MATCH(Table5[[#This Row],[PID]],Table3[[#All],[PID]],0)))</f>
        <v>4</v>
      </c>
      <c r="M679" s="56">
        <f>IF($C679="B",INDEX(Batters[[#All],[GAP P]],MATCH(Table5[[#This Row],[PID]],Batters[[#All],[PID]],0)),INDEX(Table3[[#All],[MOV P]],MATCH(Table5[[#This Row],[PID]],Table3[[#All],[PID]],0)))</f>
        <v>4</v>
      </c>
      <c r="N679" s="56">
        <f>IF($C679="B",INDEX(Batters[[#All],[POW P]],MATCH(Table5[[#This Row],[PID]],Batters[[#All],[PID]],0)),INDEX(Table3[[#All],[CON P]],MATCH(Table5[[#This Row],[PID]],Table3[[#All],[PID]],0)))</f>
        <v>3</v>
      </c>
      <c r="O679" s="56">
        <f>IF($C679="B",INDEX(Batters[[#All],[EYE P]],MATCH(Table5[[#This Row],[PID]],Batters[[#All],[PID]],0)),INDEX(Table3[[#All],[VELO]],MATCH(Table5[[#This Row],[PID]],Table3[[#All],[PID]],0)))</f>
        <v>4</v>
      </c>
      <c r="P679" s="56">
        <f>IF($C679="B",INDEX(Batters[[#All],[K P]],MATCH(Table5[[#This Row],[PID]],Batters[[#All],[PID]],0)),INDEX(Table3[[#All],[STM]],MATCH(Table5[[#This Row],[PID]],Table3[[#All],[PID]],0)))</f>
        <v>4</v>
      </c>
      <c r="Q679" s="61">
        <f>IF($C679="B",INDEX(Batters[[#All],[Tot]],MATCH(Table5[[#This Row],[PID]],Batters[[#All],[PID]],0)),INDEX(Table3[[#All],[Tot]],MATCH(Table5[[#This Row],[PID]],Table3[[#All],[PID]],0)))</f>
        <v>44.477162898059561</v>
      </c>
      <c r="R679" s="52">
        <f>IF($C679="B",INDEX(Batters[[#All],[zScore]],MATCH(Table5[[#This Row],[PID]],Batters[[#All],[PID]],0)),INDEX(Table3[[#All],[zScore]],MATCH(Table5[[#This Row],[PID]],Table3[[#All],[PID]],0)))</f>
        <v>7.6538311705673739E-2</v>
      </c>
      <c r="S679" s="58" t="str">
        <f>IF($C679="B",INDEX(Batters[[#All],[DEM]],MATCH(Table5[[#This Row],[PID]],Batters[[#All],[PID]],0)),INDEX(Table3[[#All],[DEM]],MATCH(Table5[[#This Row],[PID]],Table3[[#All],[PID]],0)))</f>
        <v>$38k</v>
      </c>
      <c r="T679" s="62">
        <f>IF($C679="B",INDEX(Batters[[#All],[Rnk]],MATCH(Table5[[#This Row],[PID]],Batters[[#All],[PID]],0)),INDEX(Table3[[#All],[Rnk]],MATCH(Table5[[#This Row],[PID]],Table3[[#All],[PID]],0)))</f>
        <v>226</v>
      </c>
      <c r="U679" s="68">
        <f>IF($C679="B",VLOOKUP($A679,Bat!$A$4:$BA$1621,47,FALSE),VLOOKUP($A679,Pit!$A$4:$BF$1557,56,FALSE))</f>
        <v>0</v>
      </c>
      <c r="V679" s="50">
        <f>IF($C679="B",VLOOKUP($A679,Bat!$A$4:$BA$1621,48,FALSE),VLOOKUP($A679,Pit!$A$4:$BF$1557,57,FALSE))</f>
        <v>0</v>
      </c>
      <c r="W679" s="50">
        <f>Table5[[#This Row],[posRnk]]+Table5[[#This Row],[zRnk]]+IF($W$3&lt;&gt;Table5[[#This Row],[Type]],50,0)</f>
        <v>796</v>
      </c>
      <c r="X679" s="51">
        <f>RANK(Table5[[#This Row],[zScore]],Table5[[#All],[zScore]])</f>
        <v>520</v>
      </c>
      <c r="Y679" s="50" t="str">
        <f>IFERROR(INDEX(DraftResults[[#All],[OVR]],MATCH(Table5[[#This Row],[PID]],DraftResults[[#All],[Player ID]],0)),"")</f>
        <v/>
      </c>
      <c r="Z6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79" s="50" t="str">
        <f>IFERROR(INDEX(DraftResults[[#All],[Pick in Round]],MATCH(Table5[[#This Row],[PID]],DraftResults[[#All],[Player ID]],0)),"")</f>
        <v/>
      </c>
      <c r="AB679" s="50" t="str">
        <f>IFERROR(INDEX(DraftResults[[#All],[Team Name]],MATCH(Table5[[#This Row],[PID]],DraftResults[[#All],[Player ID]],0)),"")</f>
        <v/>
      </c>
      <c r="AC679" s="50" t="str">
        <f>IF(Table5[[#This Row],[Ovr]]="","",IF(Table5[[#This Row],[cmbList]]="","",Table5[[#This Row],[cmbList]]-Table5[[#This Row],[Ovr]]))</f>
        <v/>
      </c>
      <c r="AD679" s="54" t="str">
        <f>IF(ISERROR(VLOOKUP($AB679&amp;"-"&amp;$E679&amp;" "&amp;F679,Bonuses!$B$1:$G$1006,4,FALSE)),"",INT(VLOOKUP($AB679&amp;"-"&amp;$E679&amp;" "&amp;$F679,Bonuses!$B$1:$G$1006,4,FALSE)))</f>
        <v/>
      </c>
      <c r="AE6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0" spans="1:31" s="50" customFormat="1" x14ac:dyDescent="0.25">
      <c r="A680" s="50">
        <v>20357</v>
      </c>
      <c r="B680" s="50">
        <f>COUNTIF(Table5[PID],A680)</f>
        <v>1</v>
      </c>
      <c r="C680" s="50" t="str">
        <f>IF(COUNTIF(Table3[[#All],[PID]],A680)&gt;0,"P","B")</f>
        <v>P</v>
      </c>
      <c r="D680" s="59" t="str">
        <f>IF($C680="B",INDEX(Batters[[#All],[POS]],MATCH(Table5[[#This Row],[PID]],Batters[[#All],[PID]],0)),INDEX(Table3[[#All],[POS]],MATCH(Table5[[#This Row],[PID]],Table3[[#All],[PID]],0)))</f>
        <v>RP</v>
      </c>
      <c r="E680" s="52" t="str">
        <f>IF($C680="B",INDEX(Batters[[#All],[First]],MATCH(Table5[[#This Row],[PID]],Batters[[#All],[PID]],0)),INDEX(Table3[[#All],[First]],MATCH(Table5[[#This Row],[PID]],Table3[[#All],[PID]],0)))</f>
        <v>Ken</v>
      </c>
      <c r="F680" s="50" t="str">
        <f>IF($C680="B",INDEX(Batters[[#All],[Last]],MATCH(A680,Batters[[#All],[PID]],0)),INDEX(Table3[[#All],[Last]],MATCH(A680,Table3[[#All],[PID]],0)))</f>
        <v>Fisher</v>
      </c>
      <c r="G680" s="56">
        <f>IF($C680="B",INDEX(Batters[[#All],[Age]],MATCH(Table5[[#This Row],[PID]],Batters[[#All],[PID]],0)),INDEX(Table3[[#All],[Age]],MATCH(Table5[[#This Row],[PID]],Table3[[#All],[PID]],0)))</f>
        <v>18</v>
      </c>
      <c r="H680" s="52" t="str">
        <f>IF($C680="B",INDEX(Batters[[#All],[B]],MATCH(Table5[[#This Row],[PID]],Batters[[#All],[PID]],0)),INDEX(Table3[[#All],[B]],MATCH(Table5[[#This Row],[PID]],Table3[[#All],[PID]],0)))</f>
        <v>R</v>
      </c>
      <c r="I680" s="52" t="str">
        <f>IF($C680="B",INDEX(Batters[[#All],[T]],MATCH(Table5[[#This Row],[PID]],Batters[[#All],[PID]],0)),INDEX(Table3[[#All],[T]],MATCH(Table5[[#This Row],[PID]],Table3[[#All],[PID]],0)))</f>
        <v>R</v>
      </c>
      <c r="J680" s="52" t="str">
        <f>IF($C680="B",INDEX(Batters[[#All],[WE]],MATCH(Table5[[#This Row],[PID]],Batters[[#All],[PID]],0)),INDEX(Table3[[#All],[WE]],MATCH(Table5[[#This Row],[PID]],Table3[[#All],[PID]],0)))</f>
        <v>Normal</v>
      </c>
      <c r="K680" s="52" t="str">
        <f>IF($C680="B",INDEX(Batters[[#All],[INT]],MATCH(Table5[[#This Row],[PID]],Batters[[#All],[PID]],0)),INDEX(Table3[[#All],[INT]],MATCH(Table5[[#This Row],[PID]],Table3[[#All],[PID]],0)))</f>
        <v>Normal</v>
      </c>
      <c r="L680" s="60">
        <f>IF($C680="B",INDEX(Batters[[#All],[CON P]],MATCH(Table5[[#This Row],[PID]],Batters[[#All],[PID]],0)),INDEX(Table3[[#All],[STU P]],MATCH(Table5[[#This Row],[PID]],Table3[[#All],[PID]],0)))</f>
        <v>5</v>
      </c>
      <c r="M680" s="56">
        <f>IF($C680="B",INDEX(Batters[[#All],[GAP P]],MATCH(Table5[[#This Row],[PID]],Batters[[#All],[PID]],0)),INDEX(Table3[[#All],[MOV P]],MATCH(Table5[[#This Row],[PID]],Table3[[#All],[PID]],0)))</f>
        <v>2</v>
      </c>
      <c r="N680" s="56">
        <f>IF($C680="B",INDEX(Batters[[#All],[POW P]],MATCH(Table5[[#This Row],[PID]],Batters[[#All],[PID]],0)),INDEX(Table3[[#All],[CON P]],MATCH(Table5[[#This Row],[PID]],Table3[[#All],[PID]],0)))</f>
        <v>3</v>
      </c>
      <c r="O680" s="56" t="str">
        <f>IF($C680="B",INDEX(Batters[[#All],[EYE P]],MATCH(Table5[[#This Row],[PID]],Batters[[#All],[PID]],0)),INDEX(Table3[[#All],[VELO]],MATCH(Table5[[#This Row],[PID]],Table3[[#All],[PID]],0)))</f>
        <v>89-91 Mph</v>
      </c>
      <c r="P680" s="56">
        <f>IF($C680="B",INDEX(Batters[[#All],[K P]],MATCH(Table5[[#This Row],[PID]],Batters[[#All],[PID]],0)),INDEX(Table3[[#All],[STM]],MATCH(Table5[[#This Row],[PID]],Table3[[#All],[PID]],0)))</f>
        <v>5</v>
      </c>
      <c r="Q680" s="61">
        <f>IF($C680="B",INDEX(Batters[[#All],[Tot]],MATCH(Table5[[#This Row],[PID]],Batters[[#All],[PID]],0)),INDEX(Table3[[#All],[Tot]],MATCH(Table5[[#This Row],[PID]],Table3[[#All],[PID]],0)))</f>
        <v>38.686083423796127</v>
      </c>
      <c r="R680" s="52">
        <f>IF($C680="B",INDEX(Batters[[#All],[zScore]],MATCH(Table5[[#This Row],[PID]],Batters[[#All],[PID]],0)),INDEX(Table3[[#All],[zScore]],MATCH(Table5[[#This Row],[PID]],Table3[[#All],[PID]],0)))</f>
        <v>6.0437779449745273E-2</v>
      </c>
      <c r="S680" s="58" t="str">
        <f>IF($C680="B",INDEX(Batters[[#All],[DEM]],MATCH(Table5[[#This Row],[PID]],Batters[[#All],[PID]],0)),INDEX(Table3[[#All],[DEM]],MATCH(Table5[[#This Row],[PID]],Table3[[#All],[PID]],0)))</f>
        <v>$65k</v>
      </c>
      <c r="T680" s="62">
        <f>IF($C680="B",INDEX(Batters[[#All],[Rnk]],MATCH(Table5[[#This Row],[PID]],Batters[[#All],[PID]],0)),INDEX(Table3[[#All],[Rnk]],MATCH(Table5[[#This Row],[PID]],Table3[[#All],[PID]],0)))</f>
        <v>296</v>
      </c>
      <c r="U680" s="68">
        <f>IF($C680="B",VLOOKUP($A680,Bat!$A$4:$BA$1621,47,FALSE),VLOOKUP($A680,Pit!$A$4:$BF$1557,56,FALSE))</f>
        <v>0</v>
      </c>
      <c r="V680" s="50">
        <f>IF($C680="B",VLOOKUP($A680,Bat!$A$4:$BA$1621,48,FALSE),VLOOKUP($A680,Pit!$A$4:$BF$1557,57,FALSE))</f>
        <v>0</v>
      </c>
      <c r="W680" s="50">
        <f>Table5[[#This Row],[posRnk]]+Table5[[#This Row],[zRnk]]+IF($W$3&lt;&gt;Table5[[#This Row],[Type]],50,0)</f>
        <v>871</v>
      </c>
      <c r="X680" s="51">
        <f>RANK(Table5[[#This Row],[zScore]],Table5[[#All],[zScore]])</f>
        <v>525</v>
      </c>
      <c r="Y680" s="50" t="str">
        <f>IFERROR(INDEX(DraftResults[[#All],[OVR]],MATCH(Table5[[#This Row],[PID]],DraftResults[[#All],[Player ID]],0)),"")</f>
        <v/>
      </c>
      <c r="Z6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0" s="50" t="str">
        <f>IFERROR(INDEX(DraftResults[[#All],[Pick in Round]],MATCH(Table5[[#This Row],[PID]],DraftResults[[#All],[Player ID]],0)),"")</f>
        <v/>
      </c>
      <c r="AB680" s="50" t="str">
        <f>IFERROR(INDEX(DraftResults[[#All],[Team Name]],MATCH(Table5[[#This Row],[PID]],DraftResults[[#All],[Player ID]],0)),"")</f>
        <v/>
      </c>
      <c r="AC680" s="50" t="str">
        <f>IF(Table5[[#This Row],[Ovr]]="","",IF(Table5[[#This Row],[cmbList]]="","",Table5[[#This Row],[cmbList]]-Table5[[#This Row],[Ovr]]))</f>
        <v/>
      </c>
      <c r="AD680" s="54" t="str">
        <f>IF(ISERROR(VLOOKUP($AB680&amp;"-"&amp;$E680&amp;" "&amp;F680,Bonuses!$B$1:$G$1006,4,FALSE)),"",INT(VLOOKUP($AB680&amp;"-"&amp;$E680&amp;" "&amp;$F680,Bonuses!$B$1:$G$1006,4,FALSE)))</f>
        <v/>
      </c>
      <c r="AE6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1" spans="1:31" s="50" customFormat="1" x14ac:dyDescent="0.25">
      <c r="A681" s="50">
        <v>13260</v>
      </c>
      <c r="B681" s="50">
        <f>COUNTIF(Table5[PID],A681)</f>
        <v>1</v>
      </c>
      <c r="C681" s="50" t="str">
        <f>IF(COUNTIF(Table3[[#All],[PID]],A681)&gt;0,"P","B")</f>
        <v>P</v>
      </c>
      <c r="D681" s="59" t="str">
        <f>IF($C681="B",INDEX(Batters[[#All],[POS]],MATCH(Table5[[#This Row],[PID]],Batters[[#All],[PID]],0)),INDEX(Table3[[#All],[POS]],MATCH(Table5[[#This Row],[PID]],Table3[[#All],[PID]],0)))</f>
        <v>RP</v>
      </c>
      <c r="E681" s="52" t="str">
        <f>IF($C681="B",INDEX(Batters[[#All],[First]],MATCH(Table5[[#This Row],[PID]],Batters[[#All],[PID]],0)),INDEX(Table3[[#All],[First]],MATCH(Table5[[#This Row],[PID]],Table3[[#All],[PID]],0)))</f>
        <v>Eldon</v>
      </c>
      <c r="F681" s="50" t="str">
        <f>IF($C681="B",INDEX(Batters[[#All],[Last]],MATCH(A681,Batters[[#All],[PID]],0)),INDEX(Table3[[#All],[Last]],MATCH(A681,Table3[[#All],[PID]],0)))</f>
        <v>Blake</v>
      </c>
      <c r="G681" s="56">
        <f>IF($C681="B",INDEX(Batters[[#All],[Age]],MATCH(Table5[[#This Row],[PID]],Batters[[#All],[PID]],0)),INDEX(Table3[[#All],[Age]],MATCH(Table5[[#This Row],[PID]],Table3[[#All],[PID]],0)))</f>
        <v>18</v>
      </c>
      <c r="H681" s="52" t="str">
        <f>IF($C681="B",INDEX(Batters[[#All],[B]],MATCH(Table5[[#This Row],[PID]],Batters[[#All],[PID]],0)),INDEX(Table3[[#All],[B]],MATCH(Table5[[#This Row],[PID]],Table3[[#All],[PID]],0)))</f>
        <v>R</v>
      </c>
      <c r="I681" s="52" t="str">
        <f>IF($C681="B",INDEX(Batters[[#All],[T]],MATCH(Table5[[#This Row],[PID]],Batters[[#All],[PID]],0)),INDEX(Table3[[#All],[T]],MATCH(Table5[[#This Row],[PID]],Table3[[#All],[PID]],0)))</f>
        <v>R</v>
      </c>
      <c r="J681" s="52" t="str">
        <f>IF($C681="B",INDEX(Batters[[#All],[WE]],MATCH(Table5[[#This Row],[PID]],Batters[[#All],[PID]],0)),INDEX(Table3[[#All],[WE]],MATCH(Table5[[#This Row],[PID]],Table3[[#All],[PID]],0)))</f>
        <v>Low</v>
      </c>
      <c r="K681" s="52" t="str">
        <f>IF($C681="B",INDEX(Batters[[#All],[INT]],MATCH(Table5[[#This Row],[PID]],Batters[[#All],[PID]],0)),INDEX(Table3[[#All],[INT]],MATCH(Table5[[#This Row],[PID]],Table3[[#All],[PID]],0)))</f>
        <v>Normal</v>
      </c>
      <c r="L681" s="60">
        <f>IF($C681="B",INDEX(Batters[[#All],[CON P]],MATCH(Table5[[#This Row],[PID]],Batters[[#All],[PID]],0)),INDEX(Table3[[#All],[STU P]],MATCH(Table5[[#This Row],[PID]],Table3[[#All],[PID]],0)))</f>
        <v>4</v>
      </c>
      <c r="M681" s="56">
        <f>IF($C681="B",INDEX(Batters[[#All],[GAP P]],MATCH(Table5[[#This Row],[PID]],Batters[[#All],[PID]],0)),INDEX(Table3[[#All],[MOV P]],MATCH(Table5[[#This Row],[PID]],Table3[[#All],[PID]],0)))</f>
        <v>2</v>
      </c>
      <c r="N681" s="56">
        <f>IF($C681="B",INDEX(Batters[[#All],[POW P]],MATCH(Table5[[#This Row],[PID]],Batters[[#All],[PID]],0)),INDEX(Table3[[#All],[CON P]],MATCH(Table5[[#This Row],[PID]],Table3[[#All],[PID]],0)))</f>
        <v>5</v>
      </c>
      <c r="O681" s="56" t="str">
        <f>IF($C681="B",INDEX(Batters[[#All],[EYE P]],MATCH(Table5[[#This Row],[PID]],Batters[[#All],[PID]],0)),INDEX(Table3[[#All],[VELO]],MATCH(Table5[[#This Row],[PID]],Table3[[#All],[PID]],0)))</f>
        <v>86-88 Mph</v>
      </c>
      <c r="P681" s="56">
        <f>IF($C681="B",INDEX(Batters[[#All],[K P]],MATCH(Table5[[#This Row],[PID]],Batters[[#All],[PID]],0)),INDEX(Table3[[#All],[STM]],MATCH(Table5[[#This Row],[PID]],Table3[[#All],[PID]],0)))</f>
        <v>6</v>
      </c>
      <c r="Q681" s="61">
        <f>IF($C681="B",INDEX(Batters[[#All],[Tot]],MATCH(Table5[[#This Row],[PID]],Batters[[#All],[PID]],0)),INDEX(Table3[[#All],[Tot]],MATCH(Table5[[#This Row],[PID]],Table3[[#All],[PID]],0)))</f>
        <v>36.737704145044674</v>
      </c>
      <c r="R681" s="52">
        <f>IF($C681="B",INDEX(Batters[[#All],[zScore]],MATCH(Table5[[#This Row],[PID]],Batters[[#All],[PID]],0)),INDEX(Table3[[#All],[zScore]],MATCH(Table5[[#This Row],[PID]],Table3[[#All],[PID]],0)))</f>
        <v>5.7692033986447282E-2</v>
      </c>
      <c r="S681" s="58" t="str">
        <f>IF($C681="B",INDEX(Batters[[#All],[DEM]],MATCH(Table5[[#This Row],[PID]],Batters[[#All],[PID]],0)),INDEX(Table3[[#All],[DEM]],MATCH(Table5[[#This Row],[PID]],Table3[[#All],[PID]],0)))</f>
        <v>$38k</v>
      </c>
      <c r="T681" s="62">
        <f>IF($C681="B",INDEX(Batters[[#All],[Rnk]],MATCH(Table5[[#This Row],[PID]],Batters[[#All],[PID]],0)),INDEX(Table3[[#All],[Rnk]],MATCH(Table5[[#This Row],[PID]],Table3[[#All],[PID]],0)))</f>
        <v>297</v>
      </c>
      <c r="U681" s="68">
        <f>IF($C681="B",VLOOKUP($A681,Bat!$A$4:$BA$1621,47,FALSE),VLOOKUP($A681,Pit!$A$4:$BF$1557,56,FALSE))</f>
        <v>0</v>
      </c>
      <c r="V681" s="50">
        <f>IF($C681="B",VLOOKUP($A681,Bat!$A$4:$BA$1621,48,FALSE),VLOOKUP($A681,Pit!$A$4:$BF$1557,57,FALSE))</f>
        <v>0</v>
      </c>
      <c r="W681" s="50">
        <f>Table5[[#This Row],[posRnk]]+Table5[[#This Row],[zRnk]]+IF($W$3&lt;&gt;Table5[[#This Row],[Type]],50,0)</f>
        <v>874</v>
      </c>
      <c r="X681" s="51">
        <f>RANK(Table5[[#This Row],[zScore]],Table5[[#All],[zScore]])</f>
        <v>527</v>
      </c>
      <c r="Y681" s="50" t="str">
        <f>IFERROR(INDEX(DraftResults[[#All],[OVR]],MATCH(Table5[[#This Row],[PID]],DraftResults[[#All],[Player ID]],0)),"")</f>
        <v/>
      </c>
      <c r="Z6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1" s="50" t="str">
        <f>IFERROR(INDEX(DraftResults[[#All],[Pick in Round]],MATCH(Table5[[#This Row],[PID]],DraftResults[[#All],[Player ID]],0)),"")</f>
        <v/>
      </c>
      <c r="AB681" s="50" t="str">
        <f>IFERROR(INDEX(DraftResults[[#All],[Team Name]],MATCH(Table5[[#This Row],[PID]],DraftResults[[#All],[Player ID]],0)),"")</f>
        <v/>
      </c>
      <c r="AC681" s="50" t="str">
        <f>IF(Table5[[#This Row],[Ovr]]="","",IF(Table5[[#This Row],[cmbList]]="","",Table5[[#This Row],[cmbList]]-Table5[[#This Row],[Ovr]]))</f>
        <v/>
      </c>
      <c r="AD681" s="54" t="str">
        <f>IF(ISERROR(VLOOKUP($AB681&amp;"-"&amp;$E681&amp;" "&amp;F681,Bonuses!$B$1:$G$1006,4,FALSE)),"",INT(VLOOKUP($AB681&amp;"-"&amp;$E681&amp;" "&amp;$F681,Bonuses!$B$1:$G$1006,4,FALSE)))</f>
        <v/>
      </c>
      <c r="AE6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2" spans="1:31" s="50" customFormat="1" x14ac:dyDescent="0.25">
      <c r="A682" s="50">
        <v>20657</v>
      </c>
      <c r="B682" s="50">
        <f>COUNTIF(Table5[PID],A682)</f>
        <v>1</v>
      </c>
      <c r="C682" s="50" t="str">
        <f>IF(COUNTIF(Table3[[#All],[PID]],A682)&gt;0,"P","B")</f>
        <v>P</v>
      </c>
      <c r="D682" s="59" t="str">
        <f>IF($C682="B",INDEX(Batters[[#All],[POS]],MATCH(Table5[[#This Row],[PID]],Batters[[#All],[PID]],0)),INDEX(Table3[[#All],[POS]],MATCH(Table5[[#This Row],[PID]],Table3[[#All],[PID]],0)))</f>
        <v>RP</v>
      </c>
      <c r="E682" s="52" t="str">
        <f>IF($C682="B",INDEX(Batters[[#All],[First]],MATCH(Table5[[#This Row],[PID]],Batters[[#All],[PID]],0)),INDEX(Table3[[#All],[First]],MATCH(Table5[[#This Row],[PID]],Table3[[#All],[PID]],0)))</f>
        <v>Sang-min</v>
      </c>
      <c r="F682" s="50" t="str">
        <f>IF($C682="B",INDEX(Batters[[#All],[Last]],MATCH(A682,Batters[[#All],[PID]],0)),INDEX(Table3[[#All],[Last]],MATCH(A682,Table3[[#All],[PID]],0)))</f>
        <v>Ha</v>
      </c>
      <c r="G682" s="56">
        <f>IF($C682="B",INDEX(Batters[[#All],[Age]],MATCH(Table5[[#This Row],[PID]],Batters[[#All],[PID]],0)),INDEX(Table3[[#All],[Age]],MATCH(Table5[[#This Row],[PID]],Table3[[#All],[PID]],0)))</f>
        <v>17</v>
      </c>
      <c r="H682" s="52" t="str">
        <f>IF($C682="B",INDEX(Batters[[#All],[B]],MATCH(Table5[[#This Row],[PID]],Batters[[#All],[PID]],0)),INDEX(Table3[[#All],[B]],MATCH(Table5[[#This Row],[PID]],Table3[[#All],[PID]],0)))</f>
        <v>R</v>
      </c>
      <c r="I682" s="52" t="str">
        <f>IF($C682="B",INDEX(Batters[[#All],[T]],MATCH(Table5[[#This Row],[PID]],Batters[[#All],[PID]],0)),INDEX(Table3[[#All],[T]],MATCH(Table5[[#This Row],[PID]],Table3[[#All],[PID]],0)))</f>
        <v>R</v>
      </c>
      <c r="J682" s="52" t="str">
        <f>IF($C682="B",INDEX(Batters[[#All],[WE]],MATCH(Table5[[#This Row],[PID]],Batters[[#All],[PID]],0)),INDEX(Table3[[#All],[WE]],MATCH(Table5[[#This Row],[PID]],Table3[[#All],[PID]],0)))</f>
        <v>Low</v>
      </c>
      <c r="K682" s="52" t="str">
        <f>IF($C682="B",INDEX(Batters[[#All],[INT]],MATCH(Table5[[#This Row],[PID]],Batters[[#All],[PID]],0)),INDEX(Table3[[#All],[INT]],MATCH(Table5[[#This Row],[PID]],Table3[[#All],[PID]],0)))</f>
        <v>Normal</v>
      </c>
      <c r="L682" s="60">
        <f>IF($C682="B",INDEX(Batters[[#All],[CON P]],MATCH(Table5[[#This Row],[PID]],Batters[[#All],[PID]],0)),INDEX(Table3[[#All],[STU P]],MATCH(Table5[[#This Row],[PID]],Table3[[#All],[PID]],0)))</f>
        <v>5</v>
      </c>
      <c r="M682" s="56">
        <f>IF($C682="B",INDEX(Batters[[#All],[GAP P]],MATCH(Table5[[#This Row],[PID]],Batters[[#All],[PID]],0)),INDEX(Table3[[#All],[MOV P]],MATCH(Table5[[#This Row],[PID]],Table3[[#All],[PID]],0)))</f>
        <v>2</v>
      </c>
      <c r="N682" s="56">
        <f>IF($C682="B",INDEX(Batters[[#All],[POW P]],MATCH(Table5[[#This Row],[PID]],Batters[[#All],[PID]],0)),INDEX(Table3[[#All],[CON P]],MATCH(Table5[[#This Row],[PID]],Table3[[#All],[PID]],0)))</f>
        <v>3</v>
      </c>
      <c r="O682" s="56" t="str">
        <f>IF($C682="B",INDEX(Batters[[#All],[EYE P]],MATCH(Table5[[#This Row],[PID]],Batters[[#All],[PID]],0)),INDEX(Table3[[#All],[VELO]],MATCH(Table5[[#This Row],[PID]],Table3[[#All],[PID]],0)))</f>
        <v>87-89 Mph</v>
      </c>
      <c r="P682" s="56">
        <f>IF($C682="B",INDEX(Batters[[#All],[K P]],MATCH(Table5[[#This Row],[PID]],Batters[[#All],[PID]],0)),INDEX(Table3[[#All],[STM]],MATCH(Table5[[#This Row],[PID]],Table3[[#All],[PID]],0)))</f>
        <v>2</v>
      </c>
      <c r="Q682" s="61">
        <f>IF($C682="B",INDEX(Batters[[#All],[Tot]],MATCH(Table5[[#This Row],[PID]],Batters[[#All],[PID]],0)),INDEX(Table3[[#All],[Tot]],MATCH(Table5[[#This Row],[PID]],Table3[[#All],[PID]],0)))</f>
        <v>36.690333873987335</v>
      </c>
      <c r="R682" s="52">
        <f>IF($C682="B",INDEX(Batters[[#All],[zScore]],MATCH(Table5[[#This Row],[PID]],Batters[[#All],[PID]],0)),INDEX(Table3[[#All],[zScore]],MATCH(Table5[[#This Row],[PID]],Table3[[#All],[PID]],0)))</f>
        <v>5.4540562239932568E-2</v>
      </c>
      <c r="S682" s="58" t="str">
        <f>IF($C682="B",INDEX(Batters[[#All],[DEM]],MATCH(Table5[[#This Row],[PID]],Batters[[#All],[PID]],0)),INDEX(Table3[[#All],[DEM]],MATCH(Table5[[#This Row],[PID]],Table3[[#All],[PID]],0)))</f>
        <v>$90k</v>
      </c>
      <c r="T682" s="62">
        <f>IF($C682="B",INDEX(Batters[[#All],[Rnk]],MATCH(Table5[[#This Row],[PID]],Batters[[#All],[PID]],0)),INDEX(Table3[[#All],[Rnk]],MATCH(Table5[[#This Row],[PID]],Table3[[#All],[PID]],0)))</f>
        <v>298</v>
      </c>
      <c r="U682" s="68">
        <f>IF($C682="B",VLOOKUP($A682,Bat!$A$4:$BA$1621,47,FALSE),VLOOKUP($A682,Pit!$A$4:$BF$1557,56,FALSE))</f>
        <v>0</v>
      </c>
      <c r="V682" s="50">
        <f>IF($C682="B",VLOOKUP($A682,Bat!$A$4:$BA$1621,48,FALSE),VLOOKUP($A682,Pit!$A$4:$BF$1557,57,FALSE))</f>
        <v>0</v>
      </c>
      <c r="W682" s="50">
        <f>Table5[[#This Row],[posRnk]]+Table5[[#This Row],[zRnk]]+IF($W$3&lt;&gt;Table5[[#This Row],[Type]],50,0)</f>
        <v>876</v>
      </c>
      <c r="X682" s="51">
        <f>RANK(Table5[[#This Row],[zScore]],Table5[[#All],[zScore]])</f>
        <v>528</v>
      </c>
      <c r="Y682" s="50" t="str">
        <f>IFERROR(INDEX(DraftResults[[#All],[OVR]],MATCH(Table5[[#This Row],[PID]],DraftResults[[#All],[Player ID]],0)),"")</f>
        <v/>
      </c>
      <c r="Z6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2" s="50" t="str">
        <f>IFERROR(INDEX(DraftResults[[#All],[Pick in Round]],MATCH(Table5[[#This Row],[PID]],DraftResults[[#All],[Player ID]],0)),"")</f>
        <v/>
      </c>
      <c r="AB682" s="50" t="str">
        <f>IFERROR(INDEX(DraftResults[[#All],[Team Name]],MATCH(Table5[[#This Row],[PID]],DraftResults[[#All],[Player ID]],0)),"")</f>
        <v/>
      </c>
      <c r="AC682" s="50" t="str">
        <f>IF(Table5[[#This Row],[Ovr]]="","",IF(Table5[[#This Row],[cmbList]]="","",Table5[[#This Row],[cmbList]]-Table5[[#This Row],[Ovr]]))</f>
        <v/>
      </c>
      <c r="AD682" s="54" t="str">
        <f>IF(ISERROR(VLOOKUP($AB682&amp;"-"&amp;$E682&amp;" "&amp;F682,Bonuses!$B$1:$G$1006,4,FALSE)),"",INT(VLOOKUP($AB682&amp;"-"&amp;$E682&amp;" "&amp;$F682,Bonuses!$B$1:$G$1006,4,FALSE)))</f>
        <v/>
      </c>
      <c r="AE6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3" spans="1:31" s="50" customFormat="1" x14ac:dyDescent="0.25">
      <c r="A683" s="68">
        <v>18451</v>
      </c>
      <c r="B683" s="69">
        <f>COUNTIF(Table5[PID],A683)</f>
        <v>1</v>
      </c>
      <c r="C683" s="69" t="str">
        <f>IF(COUNTIF(Table3[[#All],[PID]],A683)&gt;0,"P","B")</f>
        <v>P</v>
      </c>
      <c r="D683" s="59" t="str">
        <f>IF($C683="B",INDEX(Batters[[#All],[POS]],MATCH(Table5[[#This Row],[PID]],Batters[[#All],[PID]],0)),INDEX(Table3[[#All],[POS]],MATCH(Table5[[#This Row],[PID]],Table3[[#All],[PID]],0)))</f>
        <v>SP</v>
      </c>
      <c r="E683" s="52" t="str">
        <f>IF($C683="B",INDEX(Batters[[#All],[First]],MATCH(Table5[[#This Row],[PID]],Batters[[#All],[PID]],0)),INDEX(Table3[[#All],[First]],MATCH(Table5[[#This Row],[PID]],Table3[[#All],[PID]],0)))</f>
        <v>José</v>
      </c>
      <c r="F683" s="55" t="str">
        <f>IF($C683="B",INDEX(Batters[[#All],[Last]],MATCH(A683,Batters[[#All],[PID]],0)),INDEX(Table3[[#All],[Last]],MATCH(A683,Table3[[#All],[PID]],0)))</f>
        <v>Salazar</v>
      </c>
      <c r="G683" s="56">
        <f>IF($C683="B",INDEX(Batters[[#All],[Age]],MATCH(Table5[[#This Row],[PID]],Batters[[#All],[PID]],0)),INDEX(Table3[[#All],[Age]],MATCH(Table5[[#This Row],[PID]],Table3[[#All],[PID]],0)))</f>
        <v>18</v>
      </c>
      <c r="H683" s="52" t="str">
        <f>IF($C683="B",INDEX(Batters[[#All],[B]],MATCH(Table5[[#This Row],[PID]],Batters[[#All],[PID]],0)),INDEX(Table3[[#All],[B]],MATCH(Table5[[#This Row],[PID]],Table3[[#All],[PID]],0)))</f>
        <v>R</v>
      </c>
      <c r="I683" s="52" t="str">
        <f>IF($C683="B",INDEX(Batters[[#All],[T]],MATCH(Table5[[#This Row],[PID]],Batters[[#All],[PID]],0)),INDEX(Table3[[#All],[T]],MATCH(Table5[[#This Row],[PID]],Table3[[#All],[PID]],0)))</f>
        <v>R</v>
      </c>
      <c r="J683" s="71" t="str">
        <f>IF($C683="B",INDEX(Batters[[#All],[WE]],MATCH(Table5[[#This Row],[PID]],Batters[[#All],[PID]],0)),INDEX(Table3[[#All],[WE]],MATCH(Table5[[#This Row],[PID]],Table3[[#All],[PID]],0)))</f>
        <v>Normal</v>
      </c>
      <c r="K683" s="52" t="str">
        <f>IF($C683="B",INDEX(Batters[[#All],[INT]],MATCH(Table5[[#This Row],[PID]],Batters[[#All],[PID]],0)),INDEX(Table3[[#All],[INT]],MATCH(Table5[[#This Row],[PID]],Table3[[#All],[PID]],0)))</f>
        <v>Normal</v>
      </c>
      <c r="L683" s="60">
        <f>IF($C683="B",INDEX(Batters[[#All],[CON P]],MATCH(Table5[[#This Row],[PID]],Batters[[#All],[PID]],0)),INDEX(Table3[[#All],[STU P]],MATCH(Table5[[#This Row],[PID]],Table3[[#All],[PID]],0)))</f>
        <v>4</v>
      </c>
      <c r="M683" s="72">
        <f>IF($C683="B",INDEX(Batters[[#All],[GAP P]],MATCH(Table5[[#This Row],[PID]],Batters[[#All],[PID]],0)),INDEX(Table3[[#All],[MOV P]],MATCH(Table5[[#This Row],[PID]],Table3[[#All],[PID]],0)))</f>
        <v>2</v>
      </c>
      <c r="N683" s="72">
        <f>IF($C683="B",INDEX(Batters[[#All],[POW P]],MATCH(Table5[[#This Row],[PID]],Batters[[#All],[PID]],0)),INDEX(Table3[[#All],[CON P]],MATCH(Table5[[#This Row],[PID]],Table3[[#All],[PID]],0)))</f>
        <v>4</v>
      </c>
      <c r="O683" s="72" t="str">
        <f>IF($C683="B",INDEX(Batters[[#All],[EYE P]],MATCH(Table5[[#This Row],[PID]],Batters[[#All],[PID]],0)),INDEX(Table3[[#All],[VELO]],MATCH(Table5[[#This Row],[PID]],Table3[[#All],[PID]],0)))</f>
        <v>89-91 Mph</v>
      </c>
      <c r="P683" s="56">
        <f>IF($C683="B",INDEX(Batters[[#All],[K P]],MATCH(Table5[[#This Row],[PID]],Batters[[#All],[PID]],0)),INDEX(Table3[[#All],[STM]],MATCH(Table5[[#This Row],[PID]],Table3[[#All],[PID]],0)))</f>
        <v>7</v>
      </c>
      <c r="Q683" s="61">
        <f>IF($C683="B",INDEX(Batters[[#All],[Tot]],MATCH(Table5[[#This Row],[PID]],Batters[[#All],[PID]],0)),INDEX(Table3[[#All],[Tot]],MATCH(Table5[[#This Row],[PID]],Table3[[#All],[PID]],0)))</f>
        <v>38.595749891592767</v>
      </c>
      <c r="R683" s="52">
        <f>IF($C683="B",INDEX(Batters[[#All],[zScore]],MATCH(Table5[[#This Row],[PID]],Batters[[#All],[PID]],0)),INDEX(Table3[[#All],[zScore]],MATCH(Table5[[#This Row],[PID]],Table3[[#All],[PID]],0)))</f>
        <v>5.4249959072518283E-2</v>
      </c>
      <c r="S683" s="78" t="str">
        <f>IF($C683="B",INDEX(Batters[[#All],[DEM]],MATCH(Table5[[#This Row],[PID]],Batters[[#All],[PID]],0)),INDEX(Table3[[#All],[DEM]],MATCH(Table5[[#This Row],[PID]],Table3[[#All],[PID]],0)))</f>
        <v>$130k</v>
      </c>
      <c r="T683" s="75">
        <f>IF($C683="B",INDEX(Batters[[#All],[Rnk]],MATCH(Table5[[#This Row],[PID]],Batters[[#All],[PID]],0)),INDEX(Table3[[#All],[Rnk]],MATCH(Table5[[#This Row],[PID]],Table3[[#All],[PID]],0)))</f>
        <v>299</v>
      </c>
      <c r="U683" s="68">
        <f>IF($C683="B",VLOOKUP($A683,Bat!$A$4:$BA$1621,47,FALSE),VLOOKUP($A683,Pit!$A$4:$BF$1557,56,FALSE))</f>
        <v>0</v>
      </c>
      <c r="V683" s="50">
        <f>IF($C683="B",VLOOKUP($A683,Bat!$A$4:$BA$1621,48,FALSE),VLOOKUP($A683,Pit!$A$4:$BF$1557,57,FALSE))</f>
        <v>0</v>
      </c>
      <c r="W683" s="69">
        <f>Table5[[#This Row],[posRnk]]+Table5[[#This Row],[zRnk]]+IF($W$3&lt;&gt;Table5[[#This Row],[Type]],50,0)</f>
        <v>878</v>
      </c>
      <c r="X683" s="73">
        <f>RANK(Table5[[#This Row],[zScore]],Table5[[#All],[zScore]])</f>
        <v>529</v>
      </c>
      <c r="Y683" s="69" t="str">
        <f>IFERROR(INDEX(DraftResults[[#All],[OVR]],MATCH(Table5[[#This Row],[PID]],DraftResults[[#All],[Player ID]],0)),"")</f>
        <v/>
      </c>
      <c r="Z68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3" s="69" t="str">
        <f>IFERROR(INDEX(DraftResults[[#All],[Pick in Round]],MATCH(Table5[[#This Row],[PID]],DraftResults[[#All],[Player ID]],0)),"")</f>
        <v/>
      </c>
      <c r="AB683" s="69" t="str">
        <f>IFERROR(INDEX(DraftResults[[#All],[Team Name]],MATCH(Table5[[#This Row],[PID]],DraftResults[[#All],[Player ID]],0)),"")</f>
        <v/>
      </c>
      <c r="AC683" s="69" t="str">
        <f>IF(Table5[[#This Row],[Ovr]]="","",IF(Table5[[#This Row],[cmbList]]="","",Table5[[#This Row],[cmbList]]-Table5[[#This Row],[Ovr]]))</f>
        <v/>
      </c>
      <c r="AD683" s="77" t="str">
        <f>IF(ISERROR(VLOOKUP($AB683&amp;"-"&amp;$E683&amp;" "&amp;F683,Bonuses!$B$1:$G$1006,4,FALSE)),"",INT(VLOOKUP($AB683&amp;"-"&amp;$E683&amp;" "&amp;$F683,Bonuses!$B$1:$G$1006,4,FALSE)))</f>
        <v/>
      </c>
      <c r="AE68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4" spans="1:31" s="50" customFormat="1" x14ac:dyDescent="0.25">
      <c r="A684" s="50">
        <v>18356</v>
      </c>
      <c r="B684" s="50">
        <f>COUNTIF(Table5[PID],A684)</f>
        <v>1</v>
      </c>
      <c r="C684" s="50" t="str">
        <f>IF(COUNTIF(Table3[[#All],[PID]],A684)&gt;0,"P","B")</f>
        <v>B</v>
      </c>
      <c r="D684" s="59" t="str">
        <f>IF($C684="B",INDEX(Batters[[#All],[POS]],MATCH(Table5[[#This Row],[PID]],Batters[[#All],[PID]],0)),INDEX(Table3[[#All],[POS]],MATCH(Table5[[#This Row],[PID]],Table3[[#All],[PID]],0)))</f>
        <v>C</v>
      </c>
      <c r="E684" s="52" t="str">
        <f>IF($C684="B",INDEX(Batters[[#All],[First]],MATCH(Table5[[#This Row],[PID]],Batters[[#All],[PID]],0)),INDEX(Table3[[#All],[First]],MATCH(Table5[[#This Row],[PID]],Table3[[#All],[PID]],0)))</f>
        <v>Tony</v>
      </c>
      <c r="F684" s="50" t="str">
        <f>IF($C684="B",INDEX(Batters[[#All],[Last]],MATCH(A684,Batters[[#All],[PID]],0)),INDEX(Table3[[#All],[Last]],MATCH(A684,Table3[[#All],[PID]],0)))</f>
        <v>Rodríguez</v>
      </c>
      <c r="G684" s="56">
        <f>IF($C684="B",INDEX(Batters[[#All],[Age]],MATCH(Table5[[#This Row],[PID]],Batters[[#All],[PID]],0)),INDEX(Table3[[#All],[Age]],MATCH(Table5[[#This Row],[PID]],Table3[[#All],[PID]],0)))</f>
        <v>18</v>
      </c>
      <c r="H684" s="52" t="str">
        <f>IF($C684="B",INDEX(Batters[[#All],[B]],MATCH(Table5[[#This Row],[PID]],Batters[[#All],[PID]],0)),INDEX(Table3[[#All],[B]],MATCH(Table5[[#This Row],[PID]],Table3[[#All],[PID]],0)))</f>
        <v>S</v>
      </c>
      <c r="I684" s="52" t="str">
        <f>IF($C684="B",INDEX(Batters[[#All],[T]],MATCH(Table5[[#This Row],[PID]],Batters[[#All],[PID]],0)),INDEX(Table3[[#All],[T]],MATCH(Table5[[#This Row],[PID]],Table3[[#All],[PID]],0)))</f>
        <v>R</v>
      </c>
      <c r="J684" s="52" t="str">
        <f>IF($C684="B",INDEX(Batters[[#All],[WE]],MATCH(Table5[[#This Row],[PID]],Batters[[#All],[PID]],0)),INDEX(Table3[[#All],[WE]],MATCH(Table5[[#This Row],[PID]],Table3[[#All],[PID]],0)))</f>
        <v>Low</v>
      </c>
      <c r="K684" s="52" t="str">
        <f>IF($C684="B",INDEX(Batters[[#All],[INT]],MATCH(Table5[[#This Row],[PID]],Batters[[#All],[PID]],0)),INDEX(Table3[[#All],[INT]],MATCH(Table5[[#This Row],[PID]],Table3[[#All],[PID]],0)))</f>
        <v>Normal</v>
      </c>
      <c r="L684" s="60">
        <f>IF($C684="B",INDEX(Batters[[#All],[CON P]],MATCH(Table5[[#This Row],[PID]],Batters[[#All],[PID]],0)),INDEX(Table3[[#All],[STU P]],MATCH(Table5[[#This Row],[PID]],Table3[[#All],[PID]],0)))</f>
        <v>3</v>
      </c>
      <c r="M684" s="56">
        <f>IF($C684="B",INDEX(Batters[[#All],[GAP P]],MATCH(Table5[[#This Row],[PID]],Batters[[#All],[PID]],0)),INDEX(Table3[[#All],[MOV P]],MATCH(Table5[[#This Row],[PID]],Table3[[#All],[PID]],0)))</f>
        <v>4</v>
      </c>
      <c r="N684" s="56">
        <f>IF($C684="B",INDEX(Batters[[#All],[POW P]],MATCH(Table5[[#This Row],[PID]],Batters[[#All],[PID]],0)),INDEX(Table3[[#All],[CON P]],MATCH(Table5[[#This Row],[PID]],Table3[[#All],[PID]],0)))</f>
        <v>4</v>
      </c>
      <c r="O684" s="56">
        <f>IF($C684="B",INDEX(Batters[[#All],[EYE P]],MATCH(Table5[[#This Row],[PID]],Batters[[#All],[PID]],0)),INDEX(Table3[[#All],[VELO]],MATCH(Table5[[#This Row],[PID]],Table3[[#All],[PID]],0)))</f>
        <v>7</v>
      </c>
      <c r="P684" s="56">
        <f>IF($C684="B",INDEX(Batters[[#All],[K P]],MATCH(Table5[[#This Row],[PID]],Batters[[#All],[PID]],0)),INDEX(Table3[[#All],[STM]],MATCH(Table5[[#This Row],[PID]],Table3[[#All],[PID]],0)))</f>
        <v>3</v>
      </c>
      <c r="Q684" s="61">
        <f>IF($C684="B",INDEX(Batters[[#All],[Tot]],MATCH(Table5[[#This Row],[PID]],Batters[[#All],[PID]],0)),INDEX(Table3[[#All],[Tot]],MATCH(Table5[[#This Row],[PID]],Table3[[#All],[PID]],0)))</f>
        <v>44.358294940152753</v>
      </c>
      <c r="R684" s="52">
        <f>IF($C684="B",INDEX(Batters[[#All],[zScore]],MATCH(Table5[[#This Row],[PID]],Batters[[#All],[PID]],0)),INDEX(Table3[[#All],[zScore]],MATCH(Table5[[#This Row],[PID]],Table3[[#All],[PID]],0)))</f>
        <v>5.0184481964907116E-2</v>
      </c>
      <c r="S684" s="58" t="str">
        <f>IF($C684="B",INDEX(Batters[[#All],[DEM]],MATCH(Table5[[#This Row],[PID]],Batters[[#All],[PID]],0)),INDEX(Table3[[#All],[DEM]],MATCH(Table5[[#This Row],[PID]],Table3[[#All],[PID]],0)))</f>
        <v>$95k</v>
      </c>
      <c r="T684" s="62">
        <f>IF($C684="B",INDEX(Batters[[#All],[Rnk]],MATCH(Table5[[#This Row],[PID]],Batters[[#All],[PID]],0)),INDEX(Table3[[#All],[Rnk]],MATCH(Table5[[#This Row],[PID]],Table3[[#All],[PID]],0)))</f>
        <v>231</v>
      </c>
      <c r="U684" s="68">
        <f>IF($C684="B",VLOOKUP($A684,Bat!$A$4:$BA$1621,47,FALSE),VLOOKUP($A684,Pit!$A$4:$BF$1557,56,FALSE))</f>
        <v>0</v>
      </c>
      <c r="V684" s="50">
        <f>IF($C684="B",VLOOKUP($A684,Bat!$A$4:$BA$1621,48,FALSE),VLOOKUP($A684,Pit!$A$4:$BF$1557,57,FALSE))</f>
        <v>0</v>
      </c>
      <c r="W684" s="50">
        <f>Table5[[#This Row],[posRnk]]+Table5[[#This Row],[zRnk]]+IF($W$3&lt;&gt;Table5[[#This Row],[Type]],50,0)</f>
        <v>811</v>
      </c>
      <c r="X684" s="51">
        <f>RANK(Table5[[#This Row],[zScore]],Table5[[#All],[zScore]])</f>
        <v>530</v>
      </c>
      <c r="Y684" s="50" t="str">
        <f>IFERROR(INDEX(DraftResults[[#All],[OVR]],MATCH(Table5[[#This Row],[PID]],DraftResults[[#All],[Player ID]],0)),"")</f>
        <v/>
      </c>
      <c r="Z6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4" s="50" t="str">
        <f>IFERROR(INDEX(DraftResults[[#All],[Pick in Round]],MATCH(Table5[[#This Row],[PID]],DraftResults[[#All],[Player ID]],0)),"")</f>
        <v/>
      </c>
      <c r="AB684" s="50" t="str">
        <f>IFERROR(INDEX(DraftResults[[#All],[Team Name]],MATCH(Table5[[#This Row],[PID]],DraftResults[[#All],[Player ID]],0)),"")</f>
        <v/>
      </c>
      <c r="AC684" s="50" t="str">
        <f>IF(Table5[[#This Row],[Ovr]]="","",IF(Table5[[#This Row],[cmbList]]="","",Table5[[#This Row],[cmbList]]-Table5[[#This Row],[Ovr]]))</f>
        <v/>
      </c>
      <c r="AD684" s="54" t="str">
        <f>IF(ISERROR(VLOOKUP($AB684&amp;"-"&amp;$E684&amp;" "&amp;F684,Bonuses!$B$1:$G$1006,4,FALSE)),"",INT(VLOOKUP($AB684&amp;"-"&amp;$E684&amp;" "&amp;$F684,Bonuses!$B$1:$G$1006,4,FALSE)))</f>
        <v/>
      </c>
      <c r="AE6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5" spans="1:31" s="50" customFormat="1" x14ac:dyDescent="0.25">
      <c r="A685" s="50">
        <v>20338</v>
      </c>
      <c r="B685" s="50">
        <f>COUNTIF(Table5[PID],A685)</f>
        <v>1</v>
      </c>
      <c r="C685" s="50" t="str">
        <f>IF(COUNTIF(Table3[[#All],[PID]],A685)&gt;0,"P","B")</f>
        <v>B</v>
      </c>
      <c r="D685" s="59" t="str">
        <f>IF($C685="B",INDEX(Batters[[#All],[POS]],MATCH(Table5[[#This Row],[PID]],Batters[[#All],[PID]],0)),INDEX(Table3[[#All],[POS]],MATCH(Table5[[#This Row],[PID]],Table3[[#All],[PID]],0)))</f>
        <v>C</v>
      </c>
      <c r="E685" s="52" t="str">
        <f>IF($C685="B",INDEX(Batters[[#All],[First]],MATCH(Table5[[#This Row],[PID]],Batters[[#All],[PID]],0)),INDEX(Table3[[#All],[First]],MATCH(Table5[[#This Row],[PID]],Table3[[#All],[PID]],0)))</f>
        <v>Ronald</v>
      </c>
      <c r="F685" s="50" t="str">
        <f>IF($C685="B",INDEX(Batters[[#All],[Last]],MATCH(A685,Batters[[#All],[PID]],0)),INDEX(Table3[[#All],[Last]],MATCH(A685,Table3[[#All],[PID]],0)))</f>
        <v>Tolmie</v>
      </c>
      <c r="G685" s="56">
        <f>IF($C685="B",INDEX(Batters[[#All],[Age]],MATCH(Table5[[#This Row],[PID]],Batters[[#All],[PID]],0)),INDEX(Table3[[#All],[Age]],MATCH(Table5[[#This Row],[PID]],Table3[[#All],[PID]],0)))</f>
        <v>18</v>
      </c>
      <c r="H685" s="52" t="str">
        <f>IF($C685="B",INDEX(Batters[[#All],[B]],MATCH(Table5[[#This Row],[PID]],Batters[[#All],[PID]],0)),INDEX(Table3[[#All],[B]],MATCH(Table5[[#This Row],[PID]],Table3[[#All],[PID]],0)))</f>
        <v>R</v>
      </c>
      <c r="I685" s="52" t="str">
        <f>IF($C685="B",INDEX(Batters[[#All],[T]],MATCH(Table5[[#This Row],[PID]],Batters[[#All],[PID]],0)),INDEX(Table3[[#All],[T]],MATCH(Table5[[#This Row],[PID]],Table3[[#All],[PID]],0)))</f>
        <v>R</v>
      </c>
      <c r="J685" s="52" t="str">
        <f>IF($C685="B",INDEX(Batters[[#All],[WE]],MATCH(Table5[[#This Row],[PID]],Batters[[#All],[PID]],0)),INDEX(Table3[[#All],[WE]],MATCH(Table5[[#This Row],[PID]],Table3[[#All],[PID]],0)))</f>
        <v>Normal</v>
      </c>
      <c r="K685" s="52" t="str">
        <f>IF($C685="B",INDEX(Batters[[#All],[INT]],MATCH(Table5[[#This Row],[PID]],Batters[[#All],[PID]],0)),INDEX(Table3[[#All],[INT]],MATCH(Table5[[#This Row],[PID]],Table3[[#All],[PID]],0)))</f>
        <v>High</v>
      </c>
      <c r="L685" s="60">
        <f>IF($C685="B",INDEX(Batters[[#All],[CON P]],MATCH(Table5[[#This Row],[PID]],Batters[[#All],[PID]],0)),INDEX(Table3[[#All],[STU P]],MATCH(Table5[[#This Row],[PID]],Table3[[#All],[PID]],0)))</f>
        <v>3</v>
      </c>
      <c r="M685" s="56">
        <f>IF($C685="B",INDEX(Batters[[#All],[GAP P]],MATCH(Table5[[#This Row],[PID]],Batters[[#All],[PID]],0)),INDEX(Table3[[#All],[MOV P]],MATCH(Table5[[#This Row],[PID]],Table3[[#All],[PID]],0)))</f>
        <v>4</v>
      </c>
      <c r="N685" s="56">
        <f>IF($C685="B",INDEX(Batters[[#All],[POW P]],MATCH(Table5[[#This Row],[PID]],Batters[[#All],[PID]],0)),INDEX(Table3[[#All],[CON P]],MATCH(Table5[[#This Row],[PID]],Table3[[#All],[PID]],0)))</f>
        <v>3</v>
      </c>
      <c r="O685" s="56">
        <f>IF($C685="B",INDEX(Batters[[#All],[EYE P]],MATCH(Table5[[#This Row],[PID]],Batters[[#All],[PID]],0)),INDEX(Table3[[#All],[VELO]],MATCH(Table5[[#This Row],[PID]],Table3[[#All],[PID]],0)))</f>
        <v>6</v>
      </c>
      <c r="P685" s="56">
        <f>IF($C685="B",INDEX(Batters[[#All],[K P]],MATCH(Table5[[#This Row],[PID]],Batters[[#All],[PID]],0)),INDEX(Table3[[#All],[STM]],MATCH(Table5[[#This Row],[PID]],Table3[[#All],[PID]],0)))</f>
        <v>3</v>
      </c>
      <c r="Q685" s="61">
        <f>IF($C685="B",INDEX(Batters[[#All],[Tot]],MATCH(Table5[[#This Row],[PID]],Batters[[#All],[PID]],0)),INDEX(Table3[[#All],[Tot]],MATCH(Table5[[#This Row],[PID]],Table3[[#All],[PID]],0)))</f>
        <v>44.293402929015244</v>
      </c>
      <c r="R685" s="52">
        <f>IF($C685="B",INDEX(Batters[[#All],[zScore]],MATCH(Table5[[#This Row],[PID]],Batters[[#All],[PID]],0)),INDEX(Table3[[#All],[zScore]],MATCH(Table5[[#This Row],[PID]],Table3[[#All],[PID]],0)))</f>
        <v>3.5797484466434056E-2</v>
      </c>
      <c r="S685" s="58" t="str">
        <f>IF($C685="B",INDEX(Batters[[#All],[DEM]],MATCH(Table5[[#This Row],[PID]],Batters[[#All],[PID]],0)),INDEX(Table3[[#All],[DEM]],MATCH(Table5[[#This Row],[PID]],Table3[[#All],[PID]],0)))</f>
        <v>$75k</v>
      </c>
      <c r="T685" s="62">
        <f>IF($C685="B",INDEX(Batters[[#All],[Rnk]],MATCH(Table5[[#This Row],[PID]],Batters[[#All],[PID]],0)),INDEX(Table3[[#All],[Rnk]],MATCH(Table5[[#This Row],[PID]],Table3[[#All],[PID]],0)))</f>
        <v>235</v>
      </c>
      <c r="U685" s="68">
        <f>IF($C685="B",VLOOKUP($A685,Bat!$A$4:$BA$1621,47,FALSE),VLOOKUP($A685,Pit!$A$4:$BF$1557,56,FALSE))</f>
        <v>0</v>
      </c>
      <c r="V685" s="50">
        <f>IF($C685="B",VLOOKUP($A685,Bat!$A$4:$BA$1621,48,FALSE),VLOOKUP($A685,Pit!$A$4:$BF$1557,57,FALSE))</f>
        <v>0</v>
      </c>
      <c r="W685" s="50">
        <f>Table5[[#This Row],[posRnk]]+Table5[[#This Row],[zRnk]]+IF($W$3&lt;&gt;Table5[[#This Row],[Type]],50,0)</f>
        <v>821</v>
      </c>
      <c r="X685" s="51">
        <f>RANK(Table5[[#This Row],[zScore]],Table5[[#All],[zScore]])</f>
        <v>536</v>
      </c>
      <c r="Y685" s="50" t="str">
        <f>IFERROR(INDEX(DraftResults[[#All],[OVR]],MATCH(Table5[[#This Row],[PID]],DraftResults[[#All],[Player ID]],0)),"")</f>
        <v/>
      </c>
      <c r="Z6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5" s="50" t="str">
        <f>IFERROR(INDEX(DraftResults[[#All],[Pick in Round]],MATCH(Table5[[#This Row],[PID]],DraftResults[[#All],[Player ID]],0)),"")</f>
        <v/>
      </c>
      <c r="AB685" s="50" t="str">
        <f>IFERROR(INDEX(DraftResults[[#All],[Team Name]],MATCH(Table5[[#This Row],[PID]],DraftResults[[#All],[Player ID]],0)),"")</f>
        <v/>
      </c>
      <c r="AC685" s="50" t="str">
        <f>IF(Table5[[#This Row],[Ovr]]="","",IF(Table5[[#This Row],[cmbList]]="","",Table5[[#This Row],[cmbList]]-Table5[[#This Row],[Ovr]]))</f>
        <v/>
      </c>
      <c r="AD685" s="54" t="str">
        <f>IF(ISERROR(VLOOKUP($AB685&amp;"-"&amp;$E685&amp;" "&amp;F685,Bonuses!$B$1:$G$1006,4,FALSE)),"",INT(VLOOKUP($AB685&amp;"-"&amp;$E685&amp;" "&amp;$F685,Bonuses!$B$1:$G$1006,4,FALSE)))</f>
        <v/>
      </c>
      <c r="AE6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6" spans="1:31" s="50" customFormat="1" x14ac:dyDescent="0.25">
      <c r="A686" s="50">
        <v>20942</v>
      </c>
      <c r="B686" s="50">
        <f>COUNTIF(Table5[PID],A686)</f>
        <v>1</v>
      </c>
      <c r="C686" s="50" t="str">
        <f>IF(COUNTIF(Table3[[#All],[PID]],A686)&gt;0,"P","B")</f>
        <v>B</v>
      </c>
      <c r="D686" s="59" t="str">
        <f>IF($C686="B",INDEX(Batters[[#All],[POS]],MATCH(Table5[[#This Row],[PID]],Batters[[#All],[PID]],0)),INDEX(Table3[[#All],[POS]],MATCH(Table5[[#This Row],[PID]],Table3[[#All],[PID]],0)))</f>
        <v>3B</v>
      </c>
      <c r="E686" s="52" t="str">
        <f>IF($C686="B",INDEX(Batters[[#All],[First]],MATCH(Table5[[#This Row],[PID]],Batters[[#All],[PID]],0)),INDEX(Table3[[#All],[First]],MATCH(Table5[[#This Row],[PID]],Table3[[#All],[PID]],0)))</f>
        <v>José</v>
      </c>
      <c r="F686" s="50" t="str">
        <f>IF($C686="B",INDEX(Batters[[#All],[Last]],MATCH(A686,Batters[[#All],[PID]],0)),INDEX(Table3[[#All],[Last]],MATCH(A686,Table3[[#All],[PID]],0)))</f>
        <v>Romero</v>
      </c>
      <c r="G686" s="56">
        <f>IF($C686="B",INDEX(Batters[[#All],[Age]],MATCH(Table5[[#This Row],[PID]],Batters[[#All],[PID]],0)),INDEX(Table3[[#All],[Age]],MATCH(Table5[[#This Row],[PID]],Table3[[#All],[PID]],0)))</f>
        <v>16</v>
      </c>
      <c r="H686" s="52" t="str">
        <f>IF($C686="B",INDEX(Batters[[#All],[B]],MATCH(Table5[[#This Row],[PID]],Batters[[#All],[PID]],0)),INDEX(Table3[[#All],[B]],MATCH(Table5[[#This Row],[PID]],Table3[[#All],[PID]],0)))</f>
        <v>R</v>
      </c>
      <c r="I686" s="52" t="str">
        <f>IF($C686="B",INDEX(Batters[[#All],[T]],MATCH(Table5[[#This Row],[PID]],Batters[[#All],[PID]],0)),INDEX(Table3[[#All],[T]],MATCH(Table5[[#This Row],[PID]],Table3[[#All],[PID]],0)))</f>
        <v>R</v>
      </c>
      <c r="J686" s="52" t="str">
        <f>IF($C686="B",INDEX(Batters[[#All],[WE]],MATCH(Table5[[#This Row],[PID]],Batters[[#All],[PID]],0)),INDEX(Table3[[#All],[WE]],MATCH(Table5[[#This Row],[PID]],Table3[[#All],[PID]],0)))</f>
        <v>Low</v>
      </c>
      <c r="K686" s="52" t="str">
        <f>IF($C686="B",INDEX(Batters[[#All],[INT]],MATCH(Table5[[#This Row],[PID]],Batters[[#All],[PID]],0)),INDEX(Table3[[#All],[INT]],MATCH(Table5[[#This Row],[PID]],Table3[[#All],[PID]],0)))</f>
        <v>Normal</v>
      </c>
      <c r="L686" s="60">
        <f>IF($C686="B",INDEX(Batters[[#All],[CON P]],MATCH(Table5[[#This Row],[PID]],Batters[[#All],[PID]],0)),INDEX(Table3[[#All],[STU P]],MATCH(Table5[[#This Row],[PID]],Table3[[#All],[PID]],0)))</f>
        <v>3</v>
      </c>
      <c r="M686" s="56">
        <f>IF($C686="B",INDEX(Batters[[#All],[GAP P]],MATCH(Table5[[#This Row],[PID]],Batters[[#All],[PID]],0)),INDEX(Table3[[#All],[MOV P]],MATCH(Table5[[#This Row],[PID]],Table3[[#All],[PID]],0)))</f>
        <v>4</v>
      </c>
      <c r="N686" s="56">
        <f>IF($C686="B",INDEX(Batters[[#All],[POW P]],MATCH(Table5[[#This Row],[PID]],Batters[[#All],[PID]],0)),INDEX(Table3[[#All],[CON P]],MATCH(Table5[[#This Row],[PID]],Table3[[#All],[PID]],0)))</f>
        <v>5</v>
      </c>
      <c r="O686" s="56">
        <f>IF($C686="B",INDEX(Batters[[#All],[EYE P]],MATCH(Table5[[#This Row],[PID]],Batters[[#All],[PID]],0)),INDEX(Table3[[#All],[VELO]],MATCH(Table5[[#This Row],[PID]],Table3[[#All],[PID]],0)))</f>
        <v>5</v>
      </c>
      <c r="P686" s="56">
        <f>IF($C686="B",INDEX(Batters[[#All],[K P]],MATCH(Table5[[#This Row],[PID]],Batters[[#All],[PID]],0)),INDEX(Table3[[#All],[STM]],MATCH(Table5[[#This Row],[PID]],Table3[[#All],[PID]],0)))</f>
        <v>5</v>
      </c>
      <c r="Q686" s="61">
        <f>IF($C686="B",INDEX(Batters[[#All],[Tot]],MATCH(Table5[[#This Row],[PID]],Batters[[#All],[PID]],0)),INDEX(Table3[[#All],[Tot]],MATCH(Table5[[#This Row],[PID]],Table3[[#All],[PID]],0)))</f>
        <v>44.290012731454411</v>
      </c>
      <c r="R686" s="52">
        <f>IF($C686="B",INDEX(Batters[[#All],[zScore]],MATCH(Table5[[#This Row],[PID]],Batters[[#All],[PID]],0)),INDEX(Table3[[#All],[zScore]],MATCH(Table5[[#This Row],[PID]],Table3[[#All],[PID]],0)))</f>
        <v>3.5045854751588598E-2</v>
      </c>
      <c r="S686" s="58" t="str">
        <f>IF($C686="B",INDEX(Batters[[#All],[DEM]],MATCH(Table5[[#This Row],[PID]],Batters[[#All],[PID]],0)),INDEX(Table3[[#All],[DEM]],MATCH(Table5[[#This Row],[PID]],Table3[[#All],[PID]],0)))</f>
        <v>$80k</v>
      </c>
      <c r="T686" s="62">
        <f>IF($C686="B",INDEX(Batters[[#All],[Rnk]],MATCH(Table5[[#This Row],[PID]],Batters[[#All],[PID]],0)),INDEX(Table3[[#All],[Rnk]],MATCH(Table5[[#This Row],[PID]],Table3[[#All],[PID]],0)))</f>
        <v>236</v>
      </c>
      <c r="U686" s="68">
        <f>IF($C686="B",VLOOKUP($A686,Bat!$A$4:$BA$1621,47,FALSE),VLOOKUP($A686,Pit!$A$4:$BF$1557,56,FALSE))</f>
        <v>0</v>
      </c>
      <c r="V686" s="50">
        <f>IF($C686="B",VLOOKUP($A686,Bat!$A$4:$BA$1621,48,FALSE),VLOOKUP($A686,Pit!$A$4:$BF$1557,57,FALSE))</f>
        <v>0</v>
      </c>
      <c r="W686" s="50">
        <f>Table5[[#This Row],[posRnk]]+Table5[[#This Row],[zRnk]]+IF($W$3&lt;&gt;Table5[[#This Row],[Type]],50,0)</f>
        <v>823</v>
      </c>
      <c r="X686" s="51">
        <f>RANK(Table5[[#This Row],[zScore]],Table5[[#All],[zScore]])</f>
        <v>537</v>
      </c>
      <c r="Y686" s="50" t="str">
        <f>IFERROR(INDEX(DraftResults[[#All],[OVR]],MATCH(Table5[[#This Row],[PID]],DraftResults[[#All],[Player ID]],0)),"")</f>
        <v/>
      </c>
      <c r="Z6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6" s="50" t="str">
        <f>IFERROR(INDEX(DraftResults[[#All],[Pick in Round]],MATCH(Table5[[#This Row],[PID]],DraftResults[[#All],[Player ID]],0)),"")</f>
        <v/>
      </c>
      <c r="AB686" s="50" t="str">
        <f>IFERROR(INDEX(DraftResults[[#All],[Team Name]],MATCH(Table5[[#This Row],[PID]],DraftResults[[#All],[Player ID]],0)),"")</f>
        <v/>
      </c>
      <c r="AC686" s="50" t="str">
        <f>IF(Table5[[#This Row],[Ovr]]="","",IF(Table5[[#This Row],[cmbList]]="","",Table5[[#This Row],[cmbList]]-Table5[[#This Row],[Ovr]]))</f>
        <v/>
      </c>
      <c r="AD686" s="54" t="str">
        <f>IF(ISERROR(VLOOKUP($AB686&amp;"-"&amp;$E686&amp;" "&amp;F686,Bonuses!$B$1:$G$1006,4,FALSE)),"",INT(VLOOKUP($AB686&amp;"-"&amp;$E686&amp;" "&amp;$F686,Bonuses!$B$1:$G$1006,4,FALSE)))</f>
        <v/>
      </c>
      <c r="AE6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7" spans="1:31" s="50" customFormat="1" x14ac:dyDescent="0.25">
      <c r="A687" s="50">
        <v>20644</v>
      </c>
      <c r="B687" s="50">
        <f>COUNTIF(Table5[PID],A687)</f>
        <v>1</v>
      </c>
      <c r="C687" s="50" t="str">
        <f>IF(COUNTIF(Table3[[#All],[PID]],A687)&gt;0,"P","B")</f>
        <v>B</v>
      </c>
      <c r="D687" s="59" t="str">
        <f>IF($C687="B",INDEX(Batters[[#All],[POS]],MATCH(Table5[[#This Row],[PID]],Batters[[#All],[PID]],0)),INDEX(Table3[[#All],[POS]],MATCH(Table5[[#This Row],[PID]],Table3[[#All],[PID]],0)))</f>
        <v>LF</v>
      </c>
      <c r="E687" s="52" t="str">
        <f>IF($C687="B",INDEX(Batters[[#All],[First]],MATCH(Table5[[#This Row],[PID]],Batters[[#All],[PID]],0)),INDEX(Table3[[#All],[First]],MATCH(Table5[[#This Row],[PID]],Table3[[#All],[PID]],0)))</f>
        <v>Yeong-chan</v>
      </c>
      <c r="F687" s="50" t="str">
        <f>IF($C687="B",INDEX(Batters[[#All],[Last]],MATCH(A687,Batters[[#All],[PID]],0)),INDEX(Table3[[#All],[Last]],MATCH(A687,Table3[[#All],[PID]],0)))</f>
        <v>Ch'on</v>
      </c>
      <c r="G687" s="56">
        <f>IF($C687="B",INDEX(Batters[[#All],[Age]],MATCH(Table5[[#This Row],[PID]],Batters[[#All],[PID]],0)),INDEX(Table3[[#All],[Age]],MATCH(Table5[[#This Row],[PID]],Table3[[#All],[PID]],0)))</f>
        <v>17</v>
      </c>
      <c r="H687" s="52" t="str">
        <f>IF($C687="B",INDEX(Batters[[#All],[B]],MATCH(Table5[[#This Row],[PID]],Batters[[#All],[PID]],0)),INDEX(Table3[[#All],[B]],MATCH(Table5[[#This Row],[PID]],Table3[[#All],[PID]],0)))</f>
        <v>S</v>
      </c>
      <c r="I687" s="52" t="str">
        <f>IF($C687="B",INDEX(Batters[[#All],[T]],MATCH(Table5[[#This Row],[PID]],Batters[[#All],[PID]],0)),INDEX(Table3[[#All],[T]],MATCH(Table5[[#This Row],[PID]],Table3[[#All],[PID]],0)))</f>
        <v>R</v>
      </c>
      <c r="J687" s="52" t="str">
        <f>IF($C687="B",INDEX(Batters[[#All],[WE]],MATCH(Table5[[#This Row],[PID]],Batters[[#All],[PID]],0)),INDEX(Table3[[#All],[WE]],MATCH(Table5[[#This Row],[PID]],Table3[[#All],[PID]],0)))</f>
        <v>High</v>
      </c>
      <c r="K687" s="52" t="str">
        <f>IF($C687="B",INDEX(Batters[[#All],[INT]],MATCH(Table5[[#This Row],[PID]],Batters[[#All],[PID]],0)),INDEX(Table3[[#All],[INT]],MATCH(Table5[[#This Row],[PID]],Table3[[#All],[PID]],0)))</f>
        <v>Normal</v>
      </c>
      <c r="L687" s="60">
        <f>IF($C687="B",INDEX(Batters[[#All],[CON P]],MATCH(Table5[[#This Row],[PID]],Batters[[#All],[PID]],0)),INDEX(Table3[[#All],[STU P]],MATCH(Table5[[#This Row],[PID]],Table3[[#All],[PID]],0)))</f>
        <v>3</v>
      </c>
      <c r="M687" s="56">
        <f>IF($C687="B",INDEX(Batters[[#All],[GAP P]],MATCH(Table5[[#This Row],[PID]],Batters[[#All],[PID]],0)),INDEX(Table3[[#All],[MOV P]],MATCH(Table5[[#This Row],[PID]],Table3[[#All],[PID]],0)))</f>
        <v>6</v>
      </c>
      <c r="N687" s="56">
        <f>IF($C687="B",INDEX(Batters[[#All],[POW P]],MATCH(Table5[[#This Row],[PID]],Batters[[#All],[PID]],0)),INDEX(Table3[[#All],[CON P]],MATCH(Table5[[#This Row],[PID]],Table3[[#All],[PID]],0)))</f>
        <v>3</v>
      </c>
      <c r="O687" s="56">
        <f>IF($C687="B",INDEX(Batters[[#All],[EYE P]],MATCH(Table5[[#This Row],[PID]],Batters[[#All],[PID]],0)),INDEX(Table3[[#All],[VELO]],MATCH(Table5[[#This Row],[PID]],Table3[[#All],[PID]],0)))</f>
        <v>6</v>
      </c>
      <c r="P687" s="56">
        <f>IF($C687="B",INDEX(Batters[[#All],[K P]],MATCH(Table5[[#This Row],[PID]],Batters[[#All],[PID]],0)),INDEX(Table3[[#All],[STM]],MATCH(Table5[[#This Row],[PID]],Table3[[#All],[PID]],0)))</f>
        <v>3</v>
      </c>
      <c r="Q687" s="61">
        <f>IF($C687="B",INDEX(Batters[[#All],[Tot]],MATCH(Table5[[#This Row],[PID]],Batters[[#All],[PID]],0)),INDEX(Table3[[#All],[Tot]],MATCH(Table5[[#This Row],[PID]],Table3[[#All],[PID]],0)))</f>
        <v>44.257279361159334</v>
      </c>
      <c r="R687" s="52">
        <f>IF($C687="B",INDEX(Batters[[#All],[zScore]],MATCH(Table5[[#This Row],[PID]],Batters[[#All],[PID]],0)),INDEX(Table3[[#All],[zScore]],MATCH(Table5[[#This Row],[PID]],Table3[[#All],[PID]],0)))</f>
        <v>2.7788645300121165E-2</v>
      </c>
      <c r="S687" s="58" t="str">
        <f>IF($C687="B",INDEX(Batters[[#All],[DEM]],MATCH(Table5[[#This Row],[PID]],Batters[[#All],[PID]],0)),INDEX(Table3[[#All],[DEM]],MATCH(Table5[[#This Row],[PID]],Table3[[#All],[PID]],0)))</f>
        <v>$38k</v>
      </c>
      <c r="T687" s="62">
        <f>IF($C687="B",INDEX(Batters[[#All],[Rnk]],MATCH(Table5[[#This Row],[PID]],Batters[[#All],[PID]],0)),INDEX(Table3[[#All],[Rnk]],MATCH(Table5[[#This Row],[PID]],Table3[[#All],[PID]],0)))</f>
        <v>238</v>
      </c>
      <c r="U687" s="68">
        <f>IF($C687="B",VLOOKUP($A687,Bat!$A$4:$BA$1621,47,FALSE),VLOOKUP($A687,Pit!$A$4:$BF$1557,56,FALSE))</f>
        <v>0</v>
      </c>
      <c r="V687" s="50">
        <f>IF($C687="B",VLOOKUP($A687,Bat!$A$4:$BA$1621,48,FALSE),VLOOKUP($A687,Pit!$A$4:$BF$1557,57,FALSE))</f>
        <v>0</v>
      </c>
      <c r="W687" s="50">
        <f>Table5[[#This Row],[posRnk]]+Table5[[#This Row],[zRnk]]+IF($W$3&lt;&gt;Table5[[#This Row],[Type]],50,0)</f>
        <v>828</v>
      </c>
      <c r="X687" s="51">
        <f>RANK(Table5[[#This Row],[zScore]],Table5[[#All],[zScore]])</f>
        <v>540</v>
      </c>
      <c r="Y687" s="50" t="str">
        <f>IFERROR(INDEX(DraftResults[[#All],[OVR]],MATCH(Table5[[#This Row],[PID]],DraftResults[[#All],[Player ID]],0)),"")</f>
        <v/>
      </c>
      <c r="Z6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7" s="50" t="str">
        <f>IFERROR(INDEX(DraftResults[[#All],[Pick in Round]],MATCH(Table5[[#This Row],[PID]],DraftResults[[#All],[Player ID]],0)),"")</f>
        <v/>
      </c>
      <c r="AB687" s="50" t="str">
        <f>IFERROR(INDEX(DraftResults[[#All],[Team Name]],MATCH(Table5[[#This Row],[PID]],DraftResults[[#All],[Player ID]],0)),"")</f>
        <v/>
      </c>
      <c r="AC687" s="50" t="str">
        <f>IF(Table5[[#This Row],[Ovr]]="","",IF(Table5[[#This Row],[cmbList]]="","",Table5[[#This Row],[cmbList]]-Table5[[#This Row],[Ovr]]))</f>
        <v/>
      </c>
      <c r="AD687" s="54" t="str">
        <f>IF(ISERROR(VLOOKUP($AB687&amp;"-"&amp;$E687&amp;" "&amp;F687,Bonuses!$B$1:$G$1006,4,FALSE)),"",INT(VLOOKUP($AB687&amp;"-"&amp;$E687&amp;" "&amp;$F687,Bonuses!$B$1:$G$1006,4,FALSE)))</f>
        <v/>
      </c>
      <c r="AE6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8" spans="1:31" s="50" customFormat="1" x14ac:dyDescent="0.25">
      <c r="A688" s="68">
        <v>20601</v>
      </c>
      <c r="B688" s="69">
        <f>COUNTIF(Table5[PID],A688)</f>
        <v>1</v>
      </c>
      <c r="C688" s="69" t="str">
        <f>IF(COUNTIF(Table3[[#All],[PID]],A688)&gt;0,"P","B")</f>
        <v>P</v>
      </c>
      <c r="D688" s="59" t="str">
        <f>IF($C688="B",INDEX(Batters[[#All],[POS]],MATCH(Table5[[#This Row],[PID]],Batters[[#All],[PID]],0)),INDEX(Table3[[#All],[POS]],MATCH(Table5[[#This Row],[PID]],Table3[[#All],[PID]],0)))</f>
        <v>SP</v>
      </c>
      <c r="E688" s="52" t="str">
        <f>IF($C688="B",INDEX(Batters[[#All],[First]],MATCH(Table5[[#This Row],[PID]],Batters[[#All],[PID]],0)),INDEX(Table3[[#All],[First]],MATCH(Table5[[#This Row],[PID]],Table3[[#All],[PID]],0)))</f>
        <v>Kei-thing</v>
      </c>
      <c r="F688" s="55" t="str">
        <f>IF($C688="B",INDEX(Batters[[#All],[Last]],MATCH(A688,Batters[[#All],[PID]],0)),INDEX(Table3[[#All],[Last]],MATCH(A688,Table3[[#All],[PID]],0)))</f>
        <v>Quan</v>
      </c>
      <c r="G688" s="56">
        <f>IF($C688="B",INDEX(Batters[[#All],[Age]],MATCH(Table5[[#This Row],[PID]],Batters[[#All],[PID]],0)),INDEX(Table3[[#All],[Age]],MATCH(Table5[[#This Row],[PID]],Table3[[#All],[PID]],0)))</f>
        <v>18</v>
      </c>
      <c r="H688" s="52" t="str">
        <f>IF($C688="B",INDEX(Batters[[#All],[B]],MATCH(Table5[[#This Row],[PID]],Batters[[#All],[PID]],0)),INDEX(Table3[[#All],[B]],MATCH(Table5[[#This Row],[PID]],Table3[[#All],[PID]],0)))</f>
        <v>R</v>
      </c>
      <c r="I688" s="52" t="str">
        <f>IF($C688="B",INDEX(Batters[[#All],[T]],MATCH(Table5[[#This Row],[PID]],Batters[[#All],[PID]],0)),INDEX(Table3[[#All],[T]],MATCH(Table5[[#This Row],[PID]],Table3[[#All],[PID]],0)))</f>
        <v>R</v>
      </c>
      <c r="J688" s="71" t="str">
        <f>IF($C688="B",INDEX(Batters[[#All],[WE]],MATCH(Table5[[#This Row],[PID]],Batters[[#All],[PID]],0)),INDEX(Table3[[#All],[WE]],MATCH(Table5[[#This Row],[PID]],Table3[[#All],[PID]],0)))</f>
        <v>Normal</v>
      </c>
      <c r="K688" s="52" t="str">
        <f>IF($C688="B",INDEX(Batters[[#All],[INT]],MATCH(Table5[[#This Row],[PID]],Batters[[#All],[PID]],0)),INDEX(Table3[[#All],[INT]],MATCH(Table5[[#This Row],[PID]],Table3[[#All],[PID]],0)))</f>
        <v>Normal</v>
      </c>
      <c r="L688" s="60">
        <f>IF($C688="B",INDEX(Batters[[#All],[CON P]],MATCH(Table5[[#This Row],[PID]],Batters[[#All],[PID]],0)),INDEX(Table3[[#All],[STU P]],MATCH(Table5[[#This Row],[PID]],Table3[[#All],[PID]],0)))</f>
        <v>4</v>
      </c>
      <c r="M688" s="72">
        <f>IF($C688="B",INDEX(Batters[[#All],[GAP P]],MATCH(Table5[[#This Row],[PID]],Batters[[#All],[PID]],0)),INDEX(Table3[[#All],[MOV P]],MATCH(Table5[[#This Row],[PID]],Table3[[#All],[PID]],0)))</f>
        <v>1</v>
      </c>
      <c r="N688" s="72">
        <f>IF($C688="B",INDEX(Batters[[#All],[POW P]],MATCH(Table5[[#This Row],[PID]],Batters[[#All],[PID]],0)),INDEX(Table3[[#All],[CON P]],MATCH(Table5[[#This Row],[PID]],Table3[[#All],[PID]],0)))</f>
        <v>4</v>
      </c>
      <c r="O688" s="72" t="str">
        <f>IF($C688="B",INDEX(Batters[[#All],[EYE P]],MATCH(Table5[[#This Row],[PID]],Batters[[#All],[PID]],0)),INDEX(Table3[[#All],[VELO]],MATCH(Table5[[#This Row],[PID]],Table3[[#All],[PID]],0)))</f>
        <v>92-94 Mph</v>
      </c>
      <c r="P688" s="56">
        <f>IF($C688="B",INDEX(Batters[[#All],[K P]],MATCH(Table5[[#This Row],[PID]],Batters[[#All],[PID]],0)),INDEX(Table3[[#All],[STM]],MATCH(Table5[[#This Row],[PID]],Table3[[#All],[PID]],0)))</f>
        <v>7</v>
      </c>
      <c r="Q688" s="61">
        <f>IF($C688="B",INDEX(Batters[[#All],[Tot]],MATCH(Table5[[#This Row],[PID]],Batters[[#All],[PID]],0)),INDEX(Table3[[#All],[Tot]],MATCH(Table5[[#This Row],[PID]],Table3[[#All],[PID]],0)))</f>
        <v>36.074565106494816</v>
      </c>
      <c r="R688" s="52">
        <f>IF($C688="B",INDEX(Batters[[#All],[zScore]],MATCH(Table5[[#This Row],[PID]],Batters[[#All],[PID]],0)),INDEX(Table3[[#All],[zScore]],MATCH(Table5[[#This Row],[PID]],Table3[[#All],[PID]],0)))</f>
        <v>1.3574407100353623E-2</v>
      </c>
      <c r="S688" s="78" t="str">
        <f>IF($C688="B",INDEX(Batters[[#All],[DEM]],MATCH(Table5[[#This Row],[PID]],Batters[[#All],[PID]],0)),INDEX(Table3[[#All],[DEM]],MATCH(Table5[[#This Row],[PID]],Table3[[#All],[PID]],0)))</f>
        <v>$38k</v>
      </c>
      <c r="T688" s="75">
        <f>IF($C688="B",INDEX(Batters[[#All],[Rnk]],MATCH(Table5[[#This Row],[PID]],Batters[[#All],[PID]],0)),INDEX(Table3[[#All],[Rnk]],MATCH(Table5[[#This Row],[PID]],Table3[[#All],[PID]],0)))</f>
        <v>304</v>
      </c>
      <c r="U688" s="68">
        <f>IF($C688="B",VLOOKUP($A688,Bat!$A$4:$BA$1621,47,FALSE),VLOOKUP($A688,Pit!$A$4:$BF$1557,56,FALSE))</f>
        <v>0</v>
      </c>
      <c r="V688" s="50">
        <f>IF($C688="B",VLOOKUP($A688,Bat!$A$4:$BA$1621,48,FALSE),VLOOKUP($A688,Pit!$A$4:$BF$1557,57,FALSE))</f>
        <v>0</v>
      </c>
      <c r="W688" s="69">
        <f>Table5[[#This Row],[posRnk]]+Table5[[#This Row],[zRnk]]+IF($W$3&lt;&gt;Table5[[#This Row],[Type]],50,0)</f>
        <v>900</v>
      </c>
      <c r="X688" s="73">
        <f>RANK(Table5[[#This Row],[zScore]],Table5[[#All],[zScore]])</f>
        <v>546</v>
      </c>
      <c r="Y688" s="69" t="str">
        <f>IFERROR(INDEX(DraftResults[[#All],[OVR]],MATCH(Table5[[#This Row],[PID]],DraftResults[[#All],[Player ID]],0)),"")</f>
        <v/>
      </c>
      <c r="Z68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8" s="69" t="str">
        <f>IFERROR(INDEX(DraftResults[[#All],[Pick in Round]],MATCH(Table5[[#This Row],[PID]],DraftResults[[#All],[Player ID]],0)),"")</f>
        <v/>
      </c>
      <c r="AB688" s="69" t="str">
        <f>IFERROR(INDEX(DraftResults[[#All],[Team Name]],MATCH(Table5[[#This Row],[PID]],DraftResults[[#All],[Player ID]],0)),"")</f>
        <v/>
      </c>
      <c r="AC688" s="69" t="str">
        <f>IF(Table5[[#This Row],[Ovr]]="","",IF(Table5[[#This Row],[cmbList]]="","",Table5[[#This Row],[cmbList]]-Table5[[#This Row],[Ovr]]))</f>
        <v/>
      </c>
      <c r="AD688" s="77" t="str">
        <f>IF(ISERROR(VLOOKUP($AB688&amp;"-"&amp;$E688&amp;" "&amp;F688,Bonuses!$B$1:$G$1006,4,FALSE)),"",INT(VLOOKUP($AB688&amp;"-"&amp;$E688&amp;" "&amp;$F688,Bonuses!$B$1:$G$1006,4,FALSE)))</f>
        <v/>
      </c>
      <c r="AE68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89" spans="1:31" s="50" customFormat="1" x14ac:dyDescent="0.25">
      <c r="A689" s="50">
        <v>20918</v>
      </c>
      <c r="B689" s="50">
        <f>COUNTIF(Table5[PID],A689)</f>
        <v>1</v>
      </c>
      <c r="C689" s="50" t="str">
        <f>IF(COUNTIF(Table3[[#All],[PID]],A689)&gt;0,"P","B")</f>
        <v>B</v>
      </c>
      <c r="D689" s="59" t="str">
        <f>IF($C689="B",INDEX(Batters[[#All],[POS]],MATCH(Table5[[#This Row],[PID]],Batters[[#All],[PID]],0)),INDEX(Table3[[#All],[POS]],MATCH(Table5[[#This Row],[PID]],Table3[[#All],[PID]],0)))</f>
        <v>SS</v>
      </c>
      <c r="E689" s="52" t="str">
        <f>IF($C689="B",INDEX(Batters[[#All],[First]],MATCH(Table5[[#This Row],[PID]],Batters[[#All],[PID]],0)),INDEX(Table3[[#All],[First]],MATCH(Table5[[#This Row],[PID]],Table3[[#All],[PID]],0)))</f>
        <v>Tom</v>
      </c>
      <c r="F689" s="50" t="str">
        <f>IF($C689="B",INDEX(Batters[[#All],[Last]],MATCH(A689,Batters[[#All],[PID]],0)),INDEX(Table3[[#All],[Last]],MATCH(A689,Table3[[#All],[PID]],0)))</f>
        <v>Cruz</v>
      </c>
      <c r="G689" s="56">
        <f>IF($C689="B",INDEX(Batters[[#All],[Age]],MATCH(Table5[[#This Row],[PID]],Batters[[#All],[PID]],0)),INDEX(Table3[[#All],[Age]],MATCH(Table5[[#This Row],[PID]],Table3[[#All],[PID]],0)))</f>
        <v>17</v>
      </c>
      <c r="H689" s="52" t="str">
        <f>IF($C689="B",INDEX(Batters[[#All],[B]],MATCH(Table5[[#This Row],[PID]],Batters[[#All],[PID]],0)),INDEX(Table3[[#All],[B]],MATCH(Table5[[#This Row],[PID]],Table3[[#All],[PID]],0)))</f>
        <v>R</v>
      </c>
      <c r="I689" s="52" t="str">
        <f>IF($C689="B",INDEX(Batters[[#All],[T]],MATCH(Table5[[#This Row],[PID]],Batters[[#All],[PID]],0)),INDEX(Table3[[#All],[T]],MATCH(Table5[[#This Row],[PID]],Table3[[#All],[PID]],0)))</f>
        <v>R</v>
      </c>
      <c r="J689" s="52" t="str">
        <f>IF($C689="B",INDEX(Batters[[#All],[WE]],MATCH(Table5[[#This Row],[PID]],Batters[[#All],[PID]],0)),INDEX(Table3[[#All],[WE]],MATCH(Table5[[#This Row],[PID]],Table3[[#All],[PID]],0)))</f>
        <v>High</v>
      </c>
      <c r="K689" s="52" t="str">
        <f>IF($C689="B",INDEX(Batters[[#All],[INT]],MATCH(Table5[[#This Row],[PID]],Batters[[#All],[PID]],0)),INDEX(Table3[[#All],[INT]],MATCH(Table5[[#This Row],[PID]],Table3[[#All],[PID]],0)))</f>
        <v>Normal</v>
      </c>
      <c r="L689" s="60">
        <f>IF($C689="B",INDEX(Batters[[#All],[CON P]],MATCH(Table5[[#This Row],[PID]],Batters[[#All],[PID]],0)),INDEX(Table3[[#All],[STU P]],MATCH(Table5[[#This Row],[PID]],Table3[[#All],[PID]],0)))</f>
        <v>3</v>
      </c>
      <c r="M689" s="56">
        <f>IF($C689="B",INDEX(Batters[[#All],[GAP P]],MATCH(Table5[[#This Row],[PID]],Batters[[#All],[PID]],0)),INDEX(Table3[[#All],[MOV P]],MATCH(Table5[[#This Row],[PID]],Table3[[#All],[PID]],0)))</f>
        <v>6</v>
      </c>
      <c r="N689" s="56">
        <f>IF($C689="B",INDEX(Batters[[#All],[POW P]],MATCH(Table5[[#This Row],[PID]],Batters[[#All],[PID]],0)),INDEX(Table3[[#All],[CON P]],MATCH(Table5[[#This Row],[PID]],Table3[[#All],[PID]],0)))</f>
        <v>4</v>
      </c>
      <c r="O689" s="56">
        <f>IF($C689="B",INDEX(Batters[[#All],[EYE P]],MATCH(Table5[[#This Row],[PID]],Batters[[#All],[PID]],0)),INDEX(Table3[[#All],[VELO]],MATCH(Table5[[#This Row],[PID]],Table3[[#All],[PID]],0)))</f>
        <v>5</v>
      </c>
      <c r="P689" s="56">
        <f>IF($C689="B",INDEX(Batters[[#All],[K P]],MATCH(Table5[[#This Row],[PID]],Batters[[#All],[PID]],0)),INDEX(Table3[[#All],[STM]],MATCH(Table5[[#This Row],[PID]],Table3[[#All],[PID]],0)))</f>
        <v>3</v>
      </c>
      <c r="Q689" s="61">
        <f>IF($C689="B",INDEX(Batters[[#All],[Tot]],MATCH(Table5[[#This Row],[PID]],Batters[[#All],[PID]],0)),INDEX(Table3[[#All],[Tot]],MATCH(Table5[[#This Row],[PID]],Table3[[#All],[PID]],0)))</f>
        <v>44.168531734330216</v>
      </c>
      <c r="R689" s="52">
        <f>IF($C689="B",INDEX(Batters[[#All],[zScore]],MATCH(Table5[[#This Row],[PID]],Batters[[#All],[PID]],0)),INDEX(Table3[[#All],[zScore]],MATCH(Table5[[#This Row],[PID]],Table3[[#All],[PID]],0)))</f>
        <v>8.112696553821401E-3</v>
      </c>
      <c r="S689" s="58" t="str">
        <f>IF($C689="B",INDEX(Batters[[#All],[DEM]],MATCH(Table5[[#This Row],[PID]],Batters[[#All],[PID]],0)),INDEX(Table3[[#All],[DEM]],MATCH(Table5[[#This Row],[PID]],Table3[[#All],[PID]],0)))</f>
        <v>$65k</v>
      </c>
      <c r="T689" s="62">
        <f>IF($C689="B",INDEX(Batters[[#All],[Rnk]],MATCH(Table5[[#This Row],[PID]],Batters[[#All],[PID]],0)),INDEX(Table3[[#All],[Rnk]],MATCH(Table5[[#This Row],[PID]],Table3[[#All],[PID]],0)))</f>
        <v>244</v>
      </c>
      <c r="U689" s="68">
        <f>IF($C689="B",VLOOKUP($A689,Bat!$A$4:$BA$1621,47,FALSE),VLOOKUP($A689,Pit!$A$4:$BF$1557,56,FALSE))</f>
        <v>0</v>
      </c>
      <c r="V689" s="50">
        <f>IF($C689="B",VLOOKUP($A689,Bat!$A$4:$BA$1621,48,FALSE),VLOOKUP($A689,Pit!$A$4:$BF$1557,57,FALSE))</f>
        <v>0</v>
      </c>
      <c r="W689" s="50">
        <f>Table5[[#This Row],[posRnk]]+Table5[[#This Row],[zRnk]]+IF($W$3&lt;&gt;Table5[[#This Row],[Type]],50,0)</f>
        <v>842</v>
      </c>
      <c r="X689" s="51">
        <f>RANK(Table5[[#This Row],[zScore]],Table5[[#All],[zScore]])</f>
        <v>548</v>
      </c>
      <c r="Y689" s="50" t="str">
        <f>IFERROR(INDEX(DraftResults[[#All],[OVR]],MATCH(Table5[[#This Row],[PID]],DraftResults[[#All],[Player ID]],0)),"")</f>
        <v/>
      </c>
      <c r="Z6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89" s="50" t="str">
        <f>IFERROR(INDEX(DraftResults[[#All],[Pick in Round]],MATCH(Table5[[#This Row],[PID]],DraftResults[[#All],[Player ID]],0)),"")</f>
        <v/>
      </c>
      <c r="AB689" s="50" t="str">
        <f>IFERROR(INDEX(DraftResults[[#All],[Team Name]],MATCH(Table5[[#This Row],[PID]],DraftResults[[#All],[Player ID]],0)),"")</f>
        <v/>
      </c>
      <c r="AC689" s="50" t="str">
        <f>IF(Table5[[#This Row],[Ovr]]="","",IF(Table5[[#This Row],[cmbList]]="","",Table5[[#This Row],[cmbList]]-Table5[[#This Row],[Ovr]]))</f>
        <v/>
      </c>
      <c r="AD689" s="54" t="str">
        <f>IF(ISERROR(VLOOKUP($AB689&amp;"-"&amp;$E689&amp;" "&amp;F689,Bonuses!$B$1:$G$1006,4,FALSE)),"",INT(VLOOKUP($AB689&amp;"-"&amp;$E689&amp;" "&amp;$F689,Bonuses!$B$1:$G$1006,4,FALSE)))</f>
        <v/>
      </c>
      <c r="AE6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0" spans="1:31" s="50" customFormat="1" x14ac:dyDescent="0.25">
      <c r="A690" s="68">
        <v>18267</v>
      </c>
      <c r="B690" s="69">
        <f>COUNTIF(Table5[PID],A690)</f>
        <v>1</v>
      </c>
      <c r="C690" s="69" t="str">
        <f>IF(COUNTIF(Table3[[#All],[PID]],A690)&gt;0,"P","B")</f>
        <v>P</v>
      </c>
      <c r="D690" s="59" t="str">
        <f>IF($C690="B",INDEX(Batters[[#All],[POS]],MATCH(Table5[[#This Row],[PID]],Batters[[#All],[PID]],0)),INDEX(Table3[[#All],[POS]],MATCH(Table5[[#This Row],[PID]],Table3[[#All],[PID]],0)))</f>
        <v>SP</v>
      </c>
      <c r="E690" s="52" t="str">
        <f>IF($C690="B",INDEX(Batters[[#All],[First]],MATCH(Table5[[#This Row],[PID]],Batters[[#All],[PID]],0)),INDEX(Table3[[#All],[First]],MATCH(Table5[[#This Row],[PID]],Table3[[#All],[PID]],0)))</f>
        <v>Lawrence</v>
      </c>
      <c r="F690" s="55" t="str">
        <f>IF($C690="B",INDEX(Batters[[#All],[Last]],MATCH(A690,Batters[[#All],[PID]],0)),INDEX(Table3[[#All],[Last]],MATCH(A690,Table3[[#All],[PID]],0)))</f>
        <v>Martin</v>
      </c>
      <c r="G690" s="56">
        <f>IF($C690="B",INDEX(Batters[[#All],[Age]],MATCH(Table5[[#This Row],[PID]],Batters[[#All],[PID]],0)),INDEX(Table3[[#All],[Age]],MATCH(Table5[[#This Row],[PID]],Table3[[#All],[PID]],0)))</f>
        <v>18</v>
      </c>
      <c r="H690" s="52" t="str">
        <f>IF($C690="B",INDEX(Batters[[#All],[B]],MATCH(Table5[[#This Row],[PID]],Batters[[#All],[PID]],0)),INDEX(Table3[[#All],[B]],MATCH(Table5[[#This Row],[PID]],Table3[[#All],[PID]],0)))</f>
        <v>R</v>
      </c>
      <c r="I690" s="52" t="str">
        <f>IF($C690="B",INDEX(Batters[[#All],[T]],MATCH(Table5[[#This Row],[PID]],Batters[[#All],[PID]],0)),INDEX(Table3[[#All],[T]],MATCH(Table5[[#This Row],[PID]],Table3[[#All],[PID]],0)))</f>
        <v>R</v>
      </c>
      <c r="J690" s="71" t="str">
        <f>IF($C690="B",INDEX(Batters[[#All],[WE]],MATCH(Table5[[#This Row],[PID]],Batters[[#All],[PID]],0)),INDEX(Table3[[#All],[WE]],MATCH(Table5[[#This Row],[PID]],Table3[[#All],[PID]],0)))</f>
        <v>Normal</v>
      </c>
      <c r="K690" s="52" t="str">
        <f>IF($C690="B",INDEX(Batters[[#All],[INT]],MATCH(Table5[[#This Row],[PID]],Batters[[#All],[PID]],0)),INDEX(Table3[[#All],[INT]],MATCH(Table5[[#This Row],[PID]],Table3[[#All],[PID]],0)))</f>
        <v>Normal</v>
      </c>
      <c r="L690" s="60">
        <f>IF($C690="B",INDEX(Batters[[#All],[CON P]],MATCH(Table5[[#This Row],[PID]],Batters[[#All],[PID]],0)),INDEX(Table3[[#All],[STU P]],MATCH(Table5[[#This Row],[PID]],Table3[[#All],[PID]],0)))</f>
        <v>4</v>
      </c>
      <c r="M690" s="72">
        <f>IF($C690="B",INDEX(Batters[[#All],[GAP P]],MATCH(Table5[[#This Row],[PID]],Batters[[#All],[PID]],0)),INDEX(Table3[[#All],[MOV P]],MATCH(Table5[[#This Row],[PID]],Table3[[#All],[PID]],0)))</f>
        <v>1</v>
      </c>
      <c r="N690" s="72">
        <f>IF($C690="B",INDEX(Batters[[#All],[POW P]],MATCH(Table5[[#This Row],[PID]],Batters[[#All],[PID]],0)),INDEX(Table3[[#All],[CON P]],MATCH(Table5[[#This Row],[PID]],Table3[[#All],[PID]],0)))</f>
        <v>4</v>
      </c>
      <c r="O690" s="72" t="str">
        <f>IF($C690="B",INDEX(Batters[[#All],[EYE P]],MATCH(Table5[[#This Row],[PID]],Batters[[#All],[PID]],0)),INDEX(Table3[[#All],[VELO]],MATCH(Table5[[#This Row],[PID]],Table3[[#All],[PID]],0)))</f>
        <v>92-94 Mph</v>
      </c>
      <c r="P690" s="56">
        <f>IF($C690="B",INDEX(Batters[[#All],[K P]],MATCH(Table5[[#This Row],[PID]],Batters[[#All],[PID]],0)),INDEX(Table3[[#All],[STM]],MATCH(Table5[[#This Row],[PID]],Table3[[#All],[PID]],0)))</f>
        <v>6</v>
      </c>
      <c r="Q690" s="61">
        <f>IF($C690="B",INDEX(Batters[[#All],[Tot]],MATCH(Table5[[#This Row],[PID]],Batters[[#All],[PID]],0)),INDEX(Table3[[#All],[Tot]],MATCH(Table5[[#This Row],[PID]],Table3[[#All],[PID]],0)))</f>
        <v>35.990825978832447</v>
      </c>
      <c r="R690" s="52">
        <f>IF($C690="B",INDEX(Batters[[#All],[zScore]],MATCH(Table5[[#This Row],[PID]],Batters[[#All],[PID]],0)),INDEX(Table3[[#All],[zScore]],MATCH(Table5[[#This Row],[PID]],Table3[[#All],[PID]],0)))</f>
        <v>8.0033708994776184E-3</v>
      </c>
      <c r="S690" s="78" t="str">
        <f>IF($C690="B",INDEX(Batters[[#All],[DEM]],MATCH(Table5[[#This Row],[PID]],Batters[[#All],[PID]],0)),INDEX(Table3[[#All],[DEM]],MATCH(Table5[[#This Row],[PID]],Table3[[#All],[PID]],0)))</f>
        <v>$75k</v>
      </c>
      <c r="T690" s="75">
        <f>IF($C690="B",INDEX(Batters[[#All],[Rnk]],MATCH(Table5[[#This Row],[PID]],Batters[[#All],[PID]],0)),INDEX(Table3[[#All],[Rnk]],MATCH(Table5[[#This Row],[PID]],Table3[[#All],[PID]],0)))</f>
        <v>305</v>
      </c>
      <c r="U690" s="68">
        <f>IF($C690="B",VLOOKUP($A690,Bat!$A$4:$BA$1621,47,FALSE),VLOOKUP($A690,Pit!$A$4:$BF$1557,56,FALSE))</f>
        <v>0</v>
      </c>
      <c r="V690" s="50">
        <f>IF($C690="B",VLOOKUP($A690,Bat!$A$4:$BA$1621,48,FALSE),VLOOKUP($A690,Pit!$A$4:$BF$1557,57,FALSE))</f>
        <v>0</v>
      </c>
      <c r="W690" s="69">
        <f>Table5[[#This Row],[posRnk]]+Table5[[#This Row],[zRnk]]+IF($W$3&lt;&gt;Table5[[#This Row],[Type]],50,0)</f>
        <v>904</v>
      </c>
      <c r="X690" s="73">
        <f>RANK(Table5[[#This Row],[zScore]],Table5[[#All],[zScore]])</f>
        <v>549</v>
      </c>
      <c r="Y690" s="69" t="str">
        <f>IFERROR(INDEX(DraftResults[[#All],[OVR]],MATCH(Table5[[#This Row],[PID]],DraftResults[[#All],[Player ID]],0)),"")</f>
        <v/>
      </c>
      <c r="Z69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0" s="69" t="str">
        <f>IFERROR(INDEX(DraftResults[[#All],[Pick in Round]],MATCH(Table5[[#This Row],[PID]],DraftResults[[#All],[Player ID]],0)),"")</f>
        <v/>
      </c>
      <c r="AB690" s="69" t="str">
        <f>IFERROR(INDEX(DraftResults[[#All],[Team Name]],MATCH(Table5[[#This Row],[PID]],DraftResults[[#All],[Player ID]],0)),"")</f>
        <v/>
      </c>
      <c r="AC690" s="69" t="str">
        <f>IF(Table5[[#This Row],[Ovr]]="","",IF(Table5[[#This Row],[cmbList]]="","",Table5[[#This Row],[cmbList]]-Table5[[#This Row],[Ovr]]))</f>
        <v/>
      </c>
      <c r="AD690" s="77" t="str">
        <f>IF(ISERROR(VLOOKUP($AB690&amp;"-"&amp;$E690&amp;" "&amp;F690,Bonuses!$B$1:$G$1006,4,FALSE)),"",INT(VLOOKUP($AB690&amp;"-"&amp;$E690&amp;" "&amp;$F690,Bonuses!$B$1:$G$1006,4,FALSE)))</f>
        <v/>
      </c>
      <c r="AE69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1" spans="1:31" s="50" customFormat="1" x14ac:dyDescent="0.25">
      <c r="A691" s="50">
        <v>18349</v>
      </c>
      <c r="B691" s="50">
        <f>COUNTIF(Table5[PID],A691)</f>
        <v>1</v>
      </c>
      <c r="C691" s="50" t="str">
        <f>IF(COUNTIF(Table3[[#All],[PID]],A691)&gt;0,"P","B")</f>
        <v>P</v>
      </c>
      <c r="D691" s="59" t="str">
        <f>IF($C691="B",INDEX(Batters[[#All],[POS]],MATCH(Table5[[#This Row],[PID]],Batters[[#All],[PID]],0)),INDEX(Table3[[#All],[POS]],MATCH(Table5[[#This Row],[PID]],Table3[[#All],[PID]],0)))</f>
        <v>RP</v>
      </c>
      <c r="E691" s="52" t="str">
        <f>IF($C691="B",INDEX(Batters[[#All],[First]],MATCH(Table5[[#This Row],[PID]],Batters[[#All],[PID]],0)),INDEX(Table3[[#All],[First]],MATCH(Table5[[#This Row],[PID]],Table3[[#All],[PID]],0)))</f>
        <v>Manny</v>
      </c>
      <c r="F691" s="50" t="str">
        <f>IF($C691="B",INDEX(Batters[[#All],[Last]],MATCH(A691,Batters[[#All],[PID]],0)),INDEX(Table3[[#All],[Last]],MATCH(A691,Table3[[#All],[PID]],0)))</f>
        <v>Rosário</v>
      </c>
      <c r="G691" s="56">
        <f>IF($C691="B",INDEX(Batters[[#All],[Age]],MATCH(Table5[[#This Row],[PID]],Batters[[#All],[PID]],0)),INDEX(Table3[[#All],[Age]],MATCH(Table5[[#This Row],[PID]],Table3[[#All],[PID]],0)))</f>
        <v>18</v>
      </c>
      <c r="H691" s="52" t="str">
        <f>IF($C691="B",INDEX(Batters[[#All],[B]],MATCH(Table5[[#This Row],[PID]],Batters[[#All],[PID]],0)),INDEX(Table3[[#All],[B]],MATCH(Table5[[#This Row],[PID]],Table3[[#All],[PID]],0)))</f>
        <v>R</v>
      </c>
      <c r="I691" s="52" t="str">
        <f>IF($C691="B",INDEX(Batters[[#All],[T]],MATCH(Table5[[#This Row],[PID]],Batters[[#All],[PID]],0)),INDEX(Table3[[#All],[T]],MATCH(Table5[[#This Row],[PID]],Table3[[#All],[PID]],0)))</f>
        <v>R</v>
      </c>
      <c r="J691" s="52" t="str">
        <f>IF($C691="B",INDEX(Batters[[#All],[WE]],MATCH(Table5[[#This Row],[PID]],Batters[[#All],[PID]],0)),INDEX(Table3[[#All],[WE]],MATCH(Table5[[#This Row],[PID]],Table3[[#All],[PID]],0)))</f>
        <v>Normal</v>
      </c>
      <c r="K691" s="52" t="str">
        <f>IF($C691="B",INDEX(Batters[[#All],[INT]],MATCH(Table5[[#This Row],[PID]],Batters[[#All],[PID]],0)),INDEX(Table3[[#All],[INT]],MATCH(Table5[[#This Row],[PID]],Table3[[#All],[PID]],0)))</f>
        <v>Normal</v>
      </c>
      <c r="L691" s="60">
        <f>IF($C691="B",INDEX(Batters[[#All],[CON P]],MATCH(Table5[[#This Row],[PID]],Batters[[#All],[PID]],0)),INDEX(Table3[[#All],[STU P]],MATCH(Table5[[#This Row],[PID]],Table3[[#All],[PID]],0)))</f>
        <v>3</v>
      </c>
      <c r="M691" s="56">
        <f>IF($C691="B",INDEX(Batters[[#All],[GAP P]],MATCH(Table5[[#This Row],[PID]],Batters[[#All],[PID]],0)),INDEX(Table3[[#All],[MOV P]],MATCH(Table5[[#This Row],[PID]],Table3[[#All],[PID]],0)))</f>
        <v>2</v>
      </c>
      <c r="N691" s="56">
        <f>IF($C691="B",INDEX(Batters[[#All],[POW P]],MATCH(Table5[[#This Row],[PID]],Batters[[#All],[PID]],0)),INDEX(Table3[[#All],[CON P]],MATCH(Table5[[#This Row],[PID]],Table3[[#All],[PID]],0)))</f>
        <v>4</v>
      </c>
      <c r="O691" s="56" t="str">
        <f>IF($C691="B",INDEX(Batters[[#All],[EYE P]],MATCH(Table5[[#This Row],[PID]],Batters[[#All],[PID]],0)),INDEX(Table3[[#All],[VELO]],MATCH(Table5[[#This Row],[PID]],Table3[[#All],[PID]],0)))</f>
        <v>83-85 Mph</v>
      </c>
      <c r="P691" s="56">
        <f>IF($C691="B",INDEX(Batters[[#All],[K P]],MATCH(Table5[[#This Row],[PID]],Batters[[#All],[PID]],0)),INDEX(Table3[[#All],[STM]],MATCH(Table5[[#This Row],[PID]],Table3[[#All],[PID]],0)))</f>
        <v>6</v>
      </c>
      <c r="Q691" s="61">
        <f>IF($C691="B",INDEX(Batters[[#All],[Tot]],MATCH(Table5[[#This Row],[PID]],Batters[[#All],[PID]],0)),INDEX(Table3[[#All],[Tot]],MATCH(Table5[[#This Row],[PID]],Table3[[#All],[PID]],0)))</f>
        <v>37.883644457285293</v>
      </c>
      <c r="R691" s="52">
        <f>IF($C691="B",INDEX(Batters[[#All],[zScore]],MATCH(Table5[[#This Row],[PID]],Batters[[#All],[PID]],0)),INDEX(Table3[[#All],[zScore]],MATCH(Table5[[#This Row],[PID]],Table3[[#All],[PID]],0)))</f>
        <v>5.4709463441974943E-3</v>
      </c>
      <c r="S691" s="58" t="str">
        <f>IF($C691="B",INDEX(Batters[[#All],[DEM]],MATCH(Table5[[#This Row],[PID]],Batters[[#All],[PID]],0)),INDEX(Table3[[#All],[DEM]],MATCH(Table5[[#This Row],[PID]],Table3[[#All],[PID]],0)))</f>
        <v>$65k</v>
      </c>
      <c r="T691" s="62">
        <f>IF($C691="B",INDEX(Batters[[#All],[Rnk]],MATCH(Table5[[#This Row],[PID]],Batters[[#All],[PID]],0)),INDEX(Table3[[#All],[Rnk]],MATCH(Table5[[#This Row],[PID]],Table3[[#All],[PID]],0)))</f>
        <v>306</v>
      </c>
      <c r="U691" s="68">
        <f>IF($C691="B",VLOOKUP($A691,Bat!$A$4:$BA$1621,47,FALSE),VLOOKUP($A691,Pit!$A$4:$BF$1557,56,FALSE))</f>
        <v>0</v>
      </c>
      <c r="V691" s="50">
        <f>IF($C691="B",VLOOKUP($A691,Bat!$A$4:$BA$1621,48,FALSE),VLOOKUP($A691,Pit!$A$4:$BF$1557,57,FALSE))</f>
        <v>0</v>
      </c>
      <c r="W691" s="50">
        <f>Table5[[#This Row],[posRnk]]+Table5[[#This Row],[zRnk]]+IF($W$3&lt;&gt;Table5[[#This Row],[Type]],50,0)</f>
        <v>906</v>
      </c>
      <c r="X691" s="51">
        <f>RANK(Table5[[#This Row],[zScore]],Table5[[#All],[zScore]])</f>
        <v>550</v>
      </c>
      <c r="Y691" s="50" t="str">
        <f>IFERROR(INDEX(DraftResults[[#All],[OVR]],MATCH(Table5[[#This Row],[PID]],DraftResults[[#All],[Player ID]],0)),"")</f>
        <v/>
      </c>
      <c r="Z6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1" s="50" t="str">
        <f>IFERROR(INDEX(DraftResults[[#All],[Pick in Round]],MATCH(Table5[[#This Row],[PID]],DraftResults[[#All],[Player ID]],0)),"")</f>
        <v/>
      </c>
      <c r="AB691" s="50" t="str">
        <f>IFERROR(INDEX(DraftResults[[#All],[Team Name]],MATCH(Table5[[#This Row],[PID]],DraftResults[[#All],[Player ID]],0)),"")</f>
        <v/>
      </c>
      <c r="AC691" s="50" t="str">
        <f>IF(Table5[[#This Row],[Ovr]]="","",IF(Table5[[#This Row],[cmbList]]="","",Table5[[#This Row],[cmbList]]-Table5[[#This Row],[Ovr]]))</f>
        <v/>
      </c>
      <c r="AD691" s="54" t="str">
        <f>IF(ISERROR(VLOOKUP($AB691&amp;"-"&amp;$E691&amp;" "&amp;F691,Bonuses!$B$1:$G$1006,4,FALSE)),"",INT(VLOOKUP($AB691&amp;"-"&amp;$E691&amp;" "&amp;$F691,Bonuses!$B$1:$G$1006,4,FALSE)))</f>
        <v/>
      </c>
      <c r="AE6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2" spans="1:31" s="50" customFormat="1" x14ac:dyDescent="0.25">
      <c r="A692" s="50">
        <v>20736</v>
      </c>
      <c r="B692" s="50">
        <f>COUNTIF(Table5[PID],A692)</f>
        <v>1</v>
      </c>
      <c r="C692" s="50" t="str">
        <f>IF(COUNTIF(Table3[[#All],[PID]],A692)&gt;0,"P","B")</f>
        <v>P</v>
      </c>
      <c r="D692" s="59" t="str">
        <f>IF($C692="B",INDEX(Batters[[#All],[POS]],MATCH(Table5[[#This Row],[PID]],Batters[[#All],[PID]],0)),INDEX(Table3[[#All],[POS]],MATCH(Table5[[#This Row],[PID]],Table3[[#All],[PID]],0)))</f>
        <v>RP</v>
      </c>
      <c r="E692" s="52" t="str">
        <f>IF($C692="B",INDEX(Batters[[#All],[First]],MATCH(Table5[[#This Row],[PID]],Batters[[#All],[PID]],0)),INDEX(Table3[[#All],[First]],MATCH(Table5[[#This Row],[PID]],Table3[[#All],[PID]],0)))</f>
        <v>Octávio</v>
      </c>
      <c r="F692" s="50" t="str">
        <f>IF($C692="B",INDEX(Batters[[#All],[Last]],MATCH(A692,Batters[[#All],[PID]],0)),INDEX(Table3[[#All],[Last]],MATCH(A692,Table3[[#All],[PID]],0)))</f>
        <v>Estrada</v>
      </c>
      <c r="G692" s="56">
        <f>IF($C692="B",INDEX(Batters[[#All],[Age]],MATCH(Table5[[#This Row],[PID]],Batters[[#All],[PID]],0)),INDEX(Table3[[#All],[Age]],MATCH(Table5[[#This Row],[PID]],Table3[[#All],[PID]],0)))</f>
        <v>17</v>
      </c>
      <c r="H692" s="52" t="str">
        <f>IF($C692="B",INDEX(Batters[[#All],[B]],MATCH(Table5[[#This Row],[PID]],Batters[[#All],[PID]],0)),INDEX(Table3[[#All],[B]],MATCH(Table5[[#This Row],[PID]],Table3[[#All],[PID]],0)))</f>
        <v>R</v>
      </c>
      <c r="I692" s="52" t="str">
        <f>IF($C692="B",INDEX(Batters[[#All],[T]],MATCH(Table5[[#This Row],[PID]],Batters[[#All],[PID]],0)),INDEX(Table3[[#All],[T]],MATCH(Table5[[#This Row],[PID]],Table3[[#All],[PID]],0)))</f>
        <v>R</v>
      </c>
      <c r="J692" s="52" t="str">
        <f>IF($C692="B",INDEX(Batters[[#All],[WE]],MATCH(Table5[[#This Row],[PID]],Batters[[#All],[PID]],0)),INDEX(Table3[[#All],[WE]],MATCH(Table5[[#This Row],[PID]],Table3[[#All],[PID]],0)))</f>
        <v>Normal</v>
      </c>
      <c r="K692" s="52" t="str">
        <f>IF($C692="B",INDEX(Batters[[#All],[INT]],MATCH(Table5[[#This Row],[PID]],Batters[[#All],[PID]],0)),INDEX(Table3[[#All],[INT]],MATCH(Table5[[#This Row],[PID]],Table3[[#All],[PID]],0)))</f>
        <v>Normal</v>
      </c>
      <c r="L692" s="60">
        <f>IF($C692="B",INDEX(Batters[[#All],[CON P]],MATCH(Table5[[#This Row],[PID]],Batters[[#All],[PID]],0)),INDEX(Table3[[#All],[STU P]],MATCH(Table5[[#This Row],[PID]],Table3[[#All],[PID]],0)))</f>
        <v>5</v>
      </c>
      <c r="M692" s="56">
        <f>IF($C692="B",INDEX(Batters[[#All],[GAP P]],MATCH(Table5[[#This Row],[PID]],Batters[[#All],[PID]],0)),INDEX(Table3[[#All],[MOV P]],MATCH(Table5[[#This Row],[PID]],Table3[[#All],[PID]],0)))</f>
        <v>2</v>
      </c>
      <c r="N692" s="56">
        <f>IF($C692="B",INDEX(Batters[[#All],[POW P]],MATCH(Table5[[#This Row],[PID]],Batters[[#All],[PID]],0)),INDEX(Table3[[#All],[CON P]],MATCH(Table5[[#This Row],[PID]],Table3[[#All],[PID]],0)))</f>
        <v>2</v>
      </c>
      <c r="O692" s="56" t="str">
        <f>IF($C692="B",INDEX(Batters[[#All],[EYE P]],MATCH(Table5[[#This Row],[PID]],Batters[[#All],[PID]],0)),INDEX(Table3[[#All],[VELO]],MATCH(Table5[[#This Row],[PID]],Table3[[#All],[PID]],0)))</f>
        <v>86-88 Mph</v>
      </c>
      <c r="P692" s="56">
        <f>IF($C692="B",INDEX(Batters[[#All],[K P]],MATCH(Table5[[#This Row],[PID]],Batters[[#All],[PID]],0)),INDEX(Table3[[#All],[STM]],MATCH(Table5[[#This Row],[PID]],Table3[[#All],[PID]],0)))</f>
        <v>5</v>
      </c>
      <c r="Q692" s="61">
        <f>IF($C692="B",INDEX(Batters[[#All],[Tot]],MATCH(Table5[[#This Row],[PID]],Batters[[#All],[PID]],0)),INDEX(Table3[[#All],[Tot]],MATCH(Table5[[#This Row],[PID]],Table3[[#All],[PID]],0)))</f>
        <v>35.948332973119932</v>
      </c>
      <c r="R692" s="52">
        <f>IF($C692="B",INDEX(Batters[[#All],[zScore]],MATCH(Table5[[#This Row],[PID]],Batters[[#All],[PID]],0)),INDEX(Table3[[#All],[zScore]],MATCH(Table5[[#This Row],[PID]],Table3[[#All],[PID]],0)))</f>
        <v>5.1763761633617372E-3</v>
      </c>
      <c r="S692" s="58" t="str">
        <f>IF($C692="B",INDEX(Batters[[#All],[DEM]],MATCH(Table5[[#This Row],[PID]],Batters[[#All],[PID]],0)),INDEX(Table3[[#All],[DEM]],MATCH(Table5[[#This Row],[PID]],Table3[[#All],[PID]],0)))</f>
        <v>$38k</v>
      </c>
      <c r="T692" s="62">
        <f>IF($C692="B",INDEX(Batters[[#All],[Rnk]],MATCH(Table5[[#This Row],[PID]],Batters[[#All],[PID]],0)),INDEX(Table3[[#All],[Rnk]],MATCH(Table5[[#This Row],[PID]],Table3[[#All],[PID]],0)))</f>
        <v>307</v>
      </c>
      <c r="U692" s="68">
        <f>IF($C692="B",VLOOKUP($A692,Bat!$A$4:$BA$1621,47,FALSE),VLOOKUP($A692,Pit!$A$4:$BF$1557,56,FALSE))</f>
        <v>0</v>
      </c>
      <c r="V692" s="50">
        <f>IF($C692="B",VLOOKUP($A692,Bat!$A$4:$BA$1621,48,FALSE),VLOOKUP($A692,Pit!$A$4:$BF$1557,57,FALSE))</f>
        <v>0</v>
      </c>
      <c r="W692" s="50">
        <f>Table5[[#This Row],[posRnk]]+Table5[[#This Row],[zRnk]]+IF($W$3&lt;&gt;Table5[[#This Row],[Type]],50,0)</f>
        <v>908</v>
      </c>
      <c r="X692" s="51">
        <f>RANK(Table5[[#This Row],[zScore]],Table5[[#All],[zScore]])</f>
        <v>551</v>
      </c>
      <c r="Y692" s="50" t="str">
        <f>IFERROR(INDEX(DraftResults[[#All],[OVR]],MATCH(Table5[[#This Row],[PID]],DraftResults[[#All],[Player ID]],0)),"")</f>
        <v/>
      </c>
      <c r="Z6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2" s="50" t="str">
        <f>IFERROR(INDEX(DraftResults[[#All],[Pick in Round]],MATCH(Table5[[#This Row],[PID]],DraftResults[[#All],[Player ID]],0)),"")</f>
        <v/>
      </c>
      <c r="AB692" s="50" t="str">
        <f>IFERROR(INDEX(DraftResults[[#All],[Team Name]],MATCH(Table5[[#This Row],[PID]],DraftResults[[#All],[Player ID]],0)),"")</f>
        <v/>
      </c>
      <c r="AC692" s="50" t="str">
        <f>IF(Table5[[#This Row],[Ovr]]="","",IF(Table5[[#This Row],[cmbList]]="","",Table5[[#This Row],[cmbList]]-Table5[[#This Row],[Ovr]]))</f>
        <v/>
      </c>
      <c r="AD692" s="54" t="str">
        <f>IF(ISERROR(VLOOKUP($AB692&amp;"-"&amp;$E692&amp;" "&amp;F692,Bonuses!$B$1:$G$1006,4,FALSE)),"",INT(VLOOKUP($AB692&amp;"-"&amp;$E692&amp;" "&amp;$F692,Bonuses!$B$1:$G$1006,4,FALSE)))</f>
        <v/>
      </c>
      <c r="AE6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3" spans="1:31" s="50" customFormat="1" x14ac:dyDescent="0.25">
      <c r="A693" s="50">
        <v>21031</v>
      </c>
      <c r="B693" s="50">
        <f>COUNTIF(Table5[PID],A693)</f>
        <v>1</v>
      </c>
      <c r="C693" s="50" t="str">
        <f>IF(COUNTIF(Table3[[#All],[PID]],A693)&gt;0,"P","B")</f>
        <v>P</v>
      </c>
      <c r="D693" s="59" t="str">
        <f>IF($C693="B",INDEX(Batters[[#All],[POS]],MATCH(Table5[[#This Row],[PID]],Batters[[#All],[PID]],0)),INDEX(Table3[[#All],[POS]],MATCH(Table5[[#This Row],[PID]],Table3[[#All],[PID]],0)))</f>
        <v>CL</v>
      </c>
      <c r="E693" s="52" t="str">
        <f>IF($C693="B",INDEX(Batters[[#All],[First]],MATCH(Table5[[#This Row],[PID]],Batters[[#All],[PID]],0)),INDEX(Table3[[#All],[First]],MATCH(Table5[[#This Row],[PID]],Table3[[#All],[PID]],0)))</f>
        <v>A.R.</v>
      </c>
      <c r="F693" s="50" t="str">
        <f>IF($C693="B",INDEX(Batters[[#All],[Last]],MATCH(A693,Batters[[#All],[PID]],0)),INDEX(Table3[[#All],[Last]],MATCH(A693,Table3[[#All],[PID]],0)))</f>
        <v>Brooks</v>
      </c>
      <c r="G693" s="56">
        <f>IF($C693="B",INDEX(Batters[[#All],[Age]],MATCH(Table5[[#This Row],[PID]],Batters[[#All],[PID]],0)),INDEX(Table3[[#All],[Age]],MATCH(Table5[[#This Row],[PID]],Table3[[#All],[PID]],0)))</f>
        <v>18</v>
      </c>
      <c r="H693" s="52" t="str">
        <f>IF($C693="B",INDEX(Batters[[#All],[B]],MATCH(Table5[[#This Row],[PID]],Batters[[#All],[PID]],0)),INDEX(Table3[[#All],[B]],MATCH(Table5[[#This Row],[PID]],Table3[[#All],[PID]],0)))</f>
        <v>R</v>
      </c>
      <c r="I693" s="52" t="str">
        <f>IF($C693="B",INDEX(Batters[[#All],[T]],MATCH(Table5[[#This Row],[PID]],Batters[[#All],[PID]],0)),INDEX(Table3[[#All],[T]],MATCH(Table5[[#This Row],[PID]],Table3[[#All],[PID]],0)))</f>
        <v>L</v>
      </c>
      <c r="J693" s="52" t="str">
        <f>IF($C693="B",INDEX(Batters[[#All],[WE]],MATCH(Table5[[#This Row],[PID]],Batters[[#All],[PID]],0)),INDEX(Table3[[#All],[WE]],MATCH(Table5[[#This Row],[PID]],Table3[[#All],[PID]],0)))</f>
        <v>Normal</v>
      </c>
      <c r="K693" s="52" t="str">
        <f>IF($C693="B",INDEX(Batters[[#All],[INT]],MATCH(Table5[[#This Row],[PID]],Batters[[#All],[PID]],0)),INDEX(Table3[[#All],[INT]],MATCH(Table5[[#This Row],[PID]],Table3[[#All],[PID]],0)))</f>
        <v>High</v>
      </c>
      <c r="L693" s="60">
        <f>IF($C693="B",INDEX(Batters[[#All],[CON P]],MATCH(Table5[[#This Row],[PID]],Batters[[#All],[PID]],0)),INDEX(Table3[[#All],[STU P]],MATCH(Table5[[#This Row],[PID]],Table3[[#All],[PID]],0)))</f>
        <v>4</v>
      </c>
      <c r="M693" s="56">
        <f>IF($C693="B",INDEX(Batters[[#All],[GAP P]],MATCH(Table5[[#This Row],[PID]],Batters[[#All],[PID]],0)),INDEX(Table3[[#All],[MOV P]],MATCH(Table5[[#This Row],[PID]],Table3[[#All],[PID]],0)))</f>
        <v>3</v>
      </c>
      <c r="N693" s="56">
        <f>IF($C693="B",INDEX(Batters[[#All],[POW P]],MATCH(Table5[[#This Row],[PID]],Batters[[#All],[PID]],0)),INDEX(Table3[[#All],[CON P]],MATCH(Table5[[#This Row],[PID]],Table3[[#All],[PID]],0)))</f>
        <v>4</v>
      </c>
      <c r="O693" s="56" t="str">
        <f>IF($C693="B",INDEX(Batters[[#All],[EYE P]],MATCH(Table5[[#This Row],[PID]],Batters[[#All],[PID]],0)),INDEX(Table3[[#All],[VELO]],MATCH(Table5[[#This Row],[PID]],Table3[[#All],[PID]],0)))</f>
        <v>86-88 Mph</v>
      </c>
      <c r="P693" s="56">
        <f>IF($C693="B",INDEX(Batters[[#All],[K P]],MATCH(Table5[[#This Row],[PID]],Batters[[#All],[PID]],0)),INDEX(Table3[[#All],[STM]],MATCH(Table5[[#This Row],[PID]],Table3[[#All],[PID]],0)))</f>
        <v>2</v>
      </c>
      <c r="Q693" s="61">
        <f>IF($C693="B",INDEX(Batters[[#All],[Tot]],MATCH(Table5[[#This Row],[PID]],Batters[[#All],[PID]],0)),INDEX(Table3[[#All],[Tot]],MATCH(Table5[[#This Row],[PID]],Table3[[#All],[PID]],0)))</f>
        <v>35.748826112478298</v>
      </c>
      <c r="R693" s="52">
        <f>IF($C693="B",INDEX(Batters[[#All],[zScore]],MATCH(Table5[[#This Row],[PID]],Batters[[#All],[PID]],0)),INDEX(Table3[[#All],[zScore]],MATCH(Table5[[#This Row],[PID]],Table3[[#All],[PID]],0)))</f>
        <v>-8.0965104069283551E-3</v>
      </c>
      <c r="S693" s="58" t="str">
        <f>IF($C693="B",INDEX(Batters[[#All],[DEM]],MATCH(Table5[[#This Row],[PID]],Batters[[#All],[PID]],0)),INDEX(Table3[[#All],[DEM]],MATCH(Table5[[#This Row],[PID]],Table3[[#All],[PID]],0)))</f>
        <v>$65k</v>
      </c>
      <c r="T693" s="62">
        <f>IF($C693="B",INDEX(Batters[[#All],[Rnk]],MATCH(Table5[[#This Row],[PID]],Batters[[#All],[PID]],0)),INDEX(Table3[[#All],[Rnk]],MATCH(Table5[[#This Row],[PID]],Table3[[#All],[PID]],0)))</f>
        <v>308</v>
      </c>
      <c r="U693" s="68">
        <f>IF($C693="B",VLOOKUP($A693,Bat!$A$4:$BA$1621,47,FALSE),VLOOKUP($A693,Pit!$A$4:$BF$1557,56,FALSE))</f>
        <v>0</v>
      </c>
      <c r="V693" s="50">
        <f>IF($C693="B",VLOOKUP($A693,Bat!$A$4:$BA$1621,48,FALSE),VLOOKUP($A693,Pit!$A$4:$BF$1557,57,FALSE))</f>
        <v>0</v>
      </c>
      <c r="W693" s="50">
        <f>Table5[[#This Row],[posRnk]]+Table5[[#This Row],[zRnk]]+IF($W$3&lt;&gt;Table5[[#This Row],[Type]],50,0)</f>
        <v>911</v>
      </c>
      <c r="X693" s="51">
        <f>RANK(Table5[[#This Row],[zScore]],Table5[[#All],[zScore]])</f>
        <v>553</v>
      </c>
      <c r="Y693" s="50" t="str">
        <f>IFERROR(INDEX(DraftResults[[#All],[OVR]],MATCH(Table5[[#This Row],[PID]],DraftResults[[#All],[Player ID]],0)),"")</f>
        <v/>
      </c>
      <c r="Z6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3" s="50" t="str">
        <f>IFERROR(INDEX(DraftResults[[#All],[Pick in Round]],MATCH(Table5[[#This Row],[PID]],DraftResults[[#All],[Player ID]],0)),"")</f>
        <v/>
      </c>
      <c r="AB693" s="50" t="str">
        <f>IFERROR(INDEX(DraftResults[[#All],[Team Name]],MATCH(Table5[[#This Row],[PID]],DraftResults[[#All],[Player ID]],0)),"")</f>
        <v/>
      </c>
      <c r="AC693" s="50" t="str">
        <f>IF(Table5[[#This Row],[Ovr]]="","",IF(Table5[[#This Row],[cmbList]]="","",Table5[[#This Row],[cmbList]]-Table5[[#This Row],[Ovr]]))</f>
        <v/>
      </c>
      <c r="AD693" s="54" t="str">
        <f>IF(ISERROR(VLOOKUP($AB693&amp;"-"&amp;$E693&amp;" "&amp;F693,Bonuses!$B$1:$G$1006,4,FALSE)),"",INT(VLOOKUP($AB693&amp;"-"&amp;$E693&amp;" "&amp;$F693,Bonuses!$B$1:$G$1006,4,FALSE)))</f>
        <v/>
      </c>
      <c r="AE6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4" spans="1:31" s="50" customFormat="1" x14ac:dyDescent="0.25">
      <c r="A694" s="50">
        <v>20359</v>
      </c>
      <c r="B694" s="50">
        <f>COUNTIF(Table5[PID],A694)</f>
        <v>1</v>
      </c>
      <c r="C694" s="50" t="str">
        <f>IF(COUNTIF(Table3[[#All],[PID]],A694)&gt;0,"P","B")</f>
        <v>P</v>
      </c>
      <c r="D694" s="59" t="str">
        <f>IF($C694="B",INDEX(Batters[[#All],[POS]],MATCH(Table5[[#This Row],[PID]],Batters[[#All],[PID]],0)),INDEX(Table3[[#All],[POS]],MATCH(Table5[[#This Row],[PID]],Table3[[#All],[PID]],0)))</f>
        <v>RP</v>
      </c>
      <c r="E694" s="52" t="str">
        <f>IF($C694="B",INDEX(Batters[[#All],[First]],MATCH(Table5[[#This Row],[PID]],Batters[[#All],[PID]],0)),INDEX(Table3[[#All],[First]],MATCH(Table5[[#This Row],[PID]],Table3[[#All],[PID]],0)))</f>
        <v>Jon</v>
      </c>
      <c r="F694" s="50" t="str">
        <f>IF($C694="B",INDEX(Batters[[#All],[Last]],MATCH(A694,Batters[[#All],[PID]],0)),INDEX(Table3[[#All],[Last]],MATCH(A694,Table3[[#All],[PID]],0)))</f>
        <v>Sheffield</v>
      </c>
      <c r="G694" s="56">
        <f>IF($C694="B",INDEX(Batters[[#All],[Age]],MATCH(Table5[[#This Row],[PID]],Batters[[#All],[PID]],0)),INDEX(Table3[[#All],[Age]],MATCH(Table5[[#This Row],[PID]],Table3[[#All],[PID]],0)))</f>
        <v>17</v>
      </c>
      <c r="H694" s="52" t="str">
        <f>IF($C694="B",INDEX(Batters[[#All],[B]],MATCH(Table5[[#This Row],[PID]],Batters[[#All],[PID]],0)),INDEX(Table3[[#All],[B]],MATCH(Table5[[#This Row],[PID]],Table3[[#All],[PID]],0)))</f>
        <v>R</v>
      </c>
      <c r="I694" s="52" t="str">
        <f>IF($C694="B",INDEX(Batters[[#All],[T]],MATCH(Table5[[#This Row],[PID]],Batters[[#All],[PID]],0)),INDEX(Table3[[#All],[T]],MATCH(Table5[[#This Row],[PID]],Table3[[#All],[PID]],0)))</f>
        <v>R</v>
      </c>
      <c r="J694" s="52" t="str">
        <f>IF($C694="B",INDEX(Batters[[#All],[WE]],MATCH(Table5[[#This Row],[PID]],Batters[[#All],[PID]],0)),INDEX(Table3[[#All],[WE]],MATCH(Table5[[#This Row],[PID]],Table3[[#All],[PID]],0)))</f>
        <v>Low</v>
      </c>
      <c r="K694" s="52" t="str">
        <f>IF($C694="B",INDEX(Batters[[#All],[INT]],MATCH(Table5[[#This Row],[PID]],Batters[[#All],[PID]],0)),INDEX(Table3[[#All],[INT]],MATCH(Table5[[#This Row],[PID]],Table3[[#All],[PID]],0)))</f>
        <v>Normal</v>
      </c>
      <c r="L694" s="60">
        <f>IF($C694="B",INDEX(Batters[[#All],[CON P]],MATCH(Table5[[#This Row],[PID]],Batters[[#All],[PID]],0)),INDEX(Table3[[#All],[STU P]],MATCH(Table5[[#This Row],[PID]],Table3[[#All],[PID]],0)))</f>
        <v>5</v>
      </c>
      <c r="M694" s="56">
        <f>IF($C694="B",INDEX(Batters[[#All],[GAP P]],MATCH(Table5[[#This Row],[PID]],Batters[[#All],[PID]],0)),INDEX(Table3[[#All],[MOV P]],MATCH(Table5[[#This Row],[PID]],Table3[[#All],[PID]],0)))</f>
        <v>2</v>
      </c>
      <c r="N694" s="56">
        <f>IF($C694="B",INDEX(Batters[[#All],[POW P]],MATCH(Table5[[#This Row],[PID]],Batters[[#All],[PID]],0)),INDEX(Table3[[#All],[CON P]],MATCH(Table5[[#This Row],[PID]],Table3[[#All],[PID]],0)))</f>
        <v>4</v>
      </c>
      <c r="O694" s="56" t="str">
        <f>IF($C694="B",INDEX(Batters[[#All],[EYE P]],MATCH(Table5[[#This Row],[PID]],Batters[[#All],[PID]],0)),INDEX(Table3[[#All],[VELO]],MATCH(Table5[[#This Row],[PID]],Table3[[#All],[PID]],0)))</f>
        <v>88-90 Mph</v>
      </c>
      <c r="P694" s="56">
        <f>IF($C694="B",INDEX(Batters[[#All],[K P]],MATCH(Table5[[#This Row],[PID]],Batters[[#All],[PID]],0)),INDEX(Table3[[#All],[STM]],MATCH(Table5[[#This Row],[PID]],Table3[[#All],[PID]],0)))</f>
        <v>4</v>
      </c>
      <c r="Q694" s="61">
        <f>IF($C694="B",INDEX(Batters[[#All],[Tot]],MATCH(Table5[[#This Row],[PID]],Batters[[#All],[PID]],0)),INDEX(Table3[[#All],[Tot]],MATCH(Table5[[#This Row],[PID]],Table3[[#All],[PID]],0)))</f>
        <v>35.706556655137135</v>
      </c>
      <c r="R694" s="52">
        <f>IF($C694="B",INDEX(Batters[[#All],[zScore]],MATCH(Table5[[#This Row],[PID]],Batters[[#All],[PID]],0)),INDEX(Table3[[#All],[zScore]],MATCH(Table5[[#This Row],[PID]],Table3[[#All],[PID]],0)))</f>
        <v>-1.0908632811504433E-2</v>
      </c>
      <c r="S694" s="58" t="str">
        <f>IF($C694="B",INDEX(Batters[[#All],[DEM]],MATCH(Table5[[#This Row],[PID]],Batters[[#All],[PID]],0)),INDEX(Table3[[#All],[DEM]],MATCH(Table5[[#This Row],[PID]],Table3[[#All],[PID]],0)))</f>
        <v>$65k</v>
      </c>
      <c r="T694" s="62">
        <f>IF($C694="B",INDEX(Batters[[#All],[Rnk]],MATCH(Table5[[#This Row],[PID]],Batters[[#All],[PID]],0)),INDEX(Table3[[#All],[Rnk]],MATCH(Table5[[#This Row],[PID]],Table3[[#All],[PID]],0)))</f>
        <v>309</v>
      </c>
      <c r="U694" s="68">
        <f>IF($C694="B",VLOOKUP($A694,Bat!$A$4:$BA$1621,47,FALSE),VLOOKUP($A694,Pit!$A$4:$BF$1557,56,FALSE))</f>
        <v>0</v>
      </c>
      <c r="V694" s="50">
        <f>IF($C694="B",VLOOKUP($A694,Bat!$A$4:$BA$1621,48,FALSE),VLOOKUP($A694,Pit!$A$4:$BF$1557,57,FALSE))</f>
        <v>0</v>
      </c>
      <c r="W694" s="50">
        <f>Table5[[#This Row],[posRnk]]+Table5[[#This Row],[zRnk]]+IF($W$3&lt;&gt;Table5[[#This Row],[Type]],50,0)</f>
        <v>913</v>
      </c>
      <c r="X694" s="51">
        <f>RANK(Table5[[#This Row],[zScore]],Table5[[#All],[zScore]])</f>
        <v>554</v>
      </c>
      <c r="Y694" s="50" t="str">
        <f>IFERROR(INDEX(DraftResults[[#All],[OVR]],MATCH(Table5[[#This Row],[PID]],DraftResults[[#All],[Player ID]],0)),"")</f>
        <v/>
      </c>
      <c r="Z6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4" s="50" t="str">
        <f>IFERROR(INDEX(DraftResults[[#All],[Pick in Round]],MATCH(Table5[[#This Row],[PID]],DraftResults[[#All],[Player ID]],0)),"")</f>
        <v/>
      </c>
      <c r="AB694" s="50" t="str">
        <f>IFERROR(INDEX(DraftResults[[#All],[Team Name]],MATCH(Table5[[#This Row],[PID]],DraftResults[[#All],[Player ID]],0)),"")</f>
        <v/>
      </c>
      <c r="AC694" s="50" t="str">
        <f>IF(Table5[[#This Row],[Ovr]]="","",IF(Table5[[#This Row],[cmbList]]="","",Table5[[#This Row],[cmbList]]-Table5[[#This Row],[Ovr]]))</f>
        <v/>
      </c>
      <c r="AD694" s="54" t="str">
        <f>IF(ISERROR(VLOOKUP($AB694&amp;"-"&amp;$E694&amp;" "&amp;F694,Bonuses!$B$1:$G$1006,4,FALSE)),"",INT(VLOOKUP($AB694&amp;"-"&amp;$E694&amp;" "&amp;$F694,Bonuses!$B$1:$G$1006,4,FALSE)))</f>
        <v/>
      </c>
      <c r="AE6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5" spans="1:31" s="50" customFormat="1" x14ac:dyDescent="0.25">
      <c r="A695" s="50">
        <v>20708</v>
      </c>
      <c r="B695" s="50">
        <f>COUNTIF(Table5[PID],A695)</f>
        <v>1</v>
      </c>
      <c r="C695" s="50" t="str">
        <f>IF(COUNTIF(Table3[[#All],[PID]],A695)&gt;0,"P","B")</f>
        <v>P</v>
      </c>
      <c r="D695" s="59" t="str">
        <f>IF($C695="B",INDEX(Batters[[#All],[POS]],MATCH(Table5[[#This Row],[PID]],Batters[[#All],[PID]],0)),INDEX(Table3[[#All],[POS]],MATCH(Table5[[#This Row],[PID]],Table3[[#All],[PID]],0)))</f>
        <v>RP</v>
      </c>
      <c r="E695" s="52" t="str">
        <f>IF($C695="B",INDEX(Batters[[#All],[First]],MATCH(Table5[[#This Row],[PID]],Batters[[#All],[PID]],0)),INDEX(Table3[[#All],[First]],MATCH(Table5[[#This Row],[PID]],Table3[[#All],[PID]],0)))</f>
        <v>Barry</v>
      </c>
      <c r="F695" s="50" t="str">
        <f>IF($C695="B",INDEX(Batters[[#All],[Last]],MATCH(A695,Batters[[#All],[PID]],0)),INDEX(Table3[[#All],[Last]],MATCH(A695,Table3[[#All],[PID]],0)))</f>
        <v>Knight</v>
      </c>
      <c r="G695" s="56">
        <f>IF($C695="B",INDEX(Batters[[#All],[Age]],MATCH(Table5[[#This Row],[PID]],Batters[[#All],[PID]],0)),INDEX(Table3[[#All],[Age]],MATCH(Table5[[#This Row],[PID]],Table3[[#All],[PID]],0)))</f>
        <v>18</v>
      </c>
      <c r="H695" s="52" t="str">
        <f>IF($C695="B",INDEX(Batters[[#All],[B]],MATCH(Table5[[#This Row],[PID]],Batters[[#All],[PID]],0)),INDEX(Table3[[#All],[B]],MATCH(Table5[[#This Row],[PID]],Table3[[#All],[PID]],0)))</f>
        <v>R</v>
      </c>
      <c r="I695" s="52" t="str">
        <f>IF($C695="B",INDEX(Batters[[#All],[T]],MATCH(Table5[[#This Row],[PID]],Batters[[#All],[PID]],0)),INDEX(Table3[[#All],[T]],MATCH(Table5[[#This Row],[PID]],Table3[[#All],[PID]],0)))</f>
        <v>R</v>
      </c>
      <c r="J695" s="52" t="str">
        <f>IF($C695="B",INDEX(Batters[[#All],[WE]],MATCH(Table5[[#This Row],[PID]],Batters[[#All],[PID]],0)),INDEX(Table3[[#All],[WE]],MATCH(Table5[[#This Row],[PID]],Table3[[#All],[PID]],0)))</f>
        <v>High</v>
      </c>
      <c r="K695" s="52" t="str">
        <f>IF($C695="B",INDEX(Batters[[#All],[INT]],MATCH(Table5[[#This Row],[PID]],Batters[[#All],[PID]],0)),INDEX(Table3[[#All],[INT]],MATCH(Table5[[#This Row],[PID]],Table3[[#All],[PID]],0)))</f>
        <v>Normal</v>
      </c>
      <c r="L695" s="60">
        <f>IF($C695="B",INDEX(Batters[[#All],[CON P]],MATCH(Table5[[#This Row],[PID]],Batters[[#All],[PID]],0)),INDEX(Table3[[#All],[STU P]],MATCH(Table5[[#This Row],[PID]],Table3[[#All],[PID]],0)))</f>
        <v>6</v>
      </c>
      <c r="M695" s="56">
        <f>IF($C695="B",INDEX(Batters[[#All],[GAP P]],MATCH(Table5[[#This Row],[PID]],Batters[[#All],[PID]],0)),INDEX(Table3[[#All],[MOV P]],MATCH(Table5[[#This Row],[PID]],Table3[[#All],[PID]],0)))</f>
        <v>2</v>
      </c>
      <c r="N695" s="56">
        <f>IF($C695="B",INDEX(Batters[[#All],[POW P]],MATCH(Table5[[#This Row],[PID]],Batters[[#All],[PID]],0)),INDEX(Table3[[#All],[CON P]],MATCH(Table5[[#This Row],[PID]],Table3[[#All],[PID]],0)))</f>
        <v>2</v>
      </c>
      <c r="O695" s="56" t="str">
        <f>IF($C695="B",INDEX(Batters[[#All],[EYE P]],MATCH(Table5[[#This Row],[PID]],Batters[[#All],[PID]],0)),INDEX(Table3[[#All],[VELO]],MATCH(Table5[[#This Row],[PID]],Table3[[#All],[PID]],0)))</f>
        <v>91-93 Mph</v>
      </c>
      <c r="P695" s="56">
        <f>IF($C695="B",INDEX(Batters[[#All],[K P]],MATCH(Table5[[#This Row],[PID]],Batters[[#All],[PID]],0)),INDEX(Table3[[#All],[STM]],MATCH(Table5[[#This Row],[PID]],Table3[[#All],[PID]],0)))</f>
        <v>4</v>
      </c>
      <c r="Q695" s="61">
        <f>IF($C695="B",INDEX(Batters[[#All],[Tot]],MATCH(Table5[[#This Row],[PID]],Batters[[#All],[PID]],0)),INDEX(Table3[[#All],[Tot]],MATCH(Table5[[#This Row],[PID]],Table3[[#All],[PID]],0)))</f>
        <v>37.610010310755243</v>
      </c>
      <c r="R695" s="52">
        <f>IF($C695="B",INDEX(Batters[[#All],[zScore]],MATCH(Table5[[#This Row],[PID]],Batters[[#All],[PID]],0)),INDEX(Table3[[#All],[zScore]],MATCH(Table5[[#This Row],[PID]],Table3[[#All],[PID]],0)))</f>
        <v>-1.3272912182135889E-2</v>
      </c>
      <c r="S695" s="58" t="str">
        <f>IF($C695="B",INDEX(Batters[[#All],[DEM]],MATCH(Table5[[#This Row],[PID]],Batters[[#All],[PID]],0)),INDEX(Table3[[#All],[DEM]],MATCH(Table5[[#This Row],[PID]],Table3[[#All],[PID]],0)))</f>
        <v>$65k</v>
      </c>
      <c r="T695" s="62">
        <f>IF($C695="B",INDEX(Batters[[#All],[Rnk]],MATCH(Table5[[#This Row],[PID]],Batters[[#All],[PID]],0)),INDEX(Table3[[#All],[Rnk]],MATCH(Table5[[#This Row],[PID]],Table3[[#All],[PID]],0)))</f>
        <v>310</v>
      </c>
      <c r="U695" s="68">
        <f>IF($C695="B",VLOOKUP($A695,Bat!$A$4:$BA$1621,47,FALSE),VLOOKUP($A695,Pit!$A$4:$BF$1557,56,FALSE))</f>
        <v>0</v>
      </c>
      <c r="V695" s="50">
        <f>IF($C695="B",VLOOKUP($A695,Bat!$A$4:$BA$1621,48,FALSE),VLOOKUP($A695,Pit!$A$4:$BF$1557,57,FALSE))</f>
        <v>0</v>
      </c>
      <c r="W695" s="50">
        <f>Table5[[#This Row],[posRnk]]+Table5[[#This Row],[zRnk]]+IF($W$3&lt;&gt;Table5[[#This Row],[Type]],50,0)</f>
        <v>915</v>
      </c>
      <c r="X695" s="51">
        <f>RANK(Table5[[#This Row],[zScore]],Table5[[#All],[zScore]])</f>
        <v>555</v>
      </c>
      <c r="Y695" s="50" t="str">
        <f>IFERROR(INDEX(DraftResults[[#All],[OVR]],MATCH(Table5[[#This Row],[PID]],DraftResults[[#All],[Player ID]],0)),"")</f>
        <v/>
      </c>
      <c r="Z6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5" s="50" t="str">
        <f>IFERROR(INDEX(DraftResults[[#All],[Pick in Round]],MATCH(Table5[[#This Row],[PID]],DraftResults[[#All],[Player ID]],0)),"")</f>
        <v/>
      </c>
      <c r="AB695" s="50" t="str">
        <f>IFERROR(INDEX(DraftResults[[#All],[Team Name]],MATCH(Table5[[#This Row],[PID]],DraftResults[[#All],[Player ID]],0)),"")</f>
        <v/>
      </c>
      <c r="AC695" s="50" t="str">
        <f>IF(Table5[[#This Row],[Ovr]]="","",IF(Table5[[#This Row],[cmbList]]="","",Table5[[#This Row],[cmbList]]-Table5[[#This Row],[Ovr]]))</f>
        <v/>
      </c>
      <c r="AD695" s="54" t="str">
        <f>IF(ISERROR(VLOOKUP($AB695&amp;"-"&amp;$E695&amp;" "&amp;F695,Bonuses!$B$1:$G$1006,4,FALSE)),"",INT(VLOOKUP($AB695&amp;"-"&amp;$E695&amp;" "&amp;$F695,Bonuses!$B$1:$G$1006,4,FALSE)))</f>
        <v/>
      </c>
      <c r="AE6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6" spans="1:31" s="50" customFormat="1" x14ac:dyDescent="0.25">
      <c r="A696" s="68">
        <v>20805</v>
      </c>
      <c r="B696" s="69">
        <f>COUNTIF(Table5[PID],A696)</f>
        <v>1</v>
      </c>
      <c r="C696" s="69" t="str">
        <f>IF(COUNTIF(Table3[[#All],[PID]],A696)&gt;0,"P","B")</f>
        <v>P</v>
      </c>
      <c r="D696" s="59" t="str">
        <f>IF($C696="B",INDEX(Batters[[#All],[POS]],MATCH(Table5[[#This Row],[PID]],Batters[[#All],[PID]],0)),INDEX(Table3[[#All],[POS]],MATCH(Table5[[#This Row],[PID]],Table3[[#All],[PID]],0)))</f>
        <v>SP</v>
      </c>
      <c r="E696" s="52" t="str">
        <f>IF($C696="B",INDEX(Batters[[#All],[First]],MATCH(Table5[[#This Row],[PID]],Batters[[#All],[PID]],0)),INDEX(Table3[[#All],[First]],MATCH(Table5[[#This Row],[PID]],Table3[[#All],[PID]],0)))</f>
        <v>Dave</v>
      </c>
      <c r="F696" s="55" t="str">
        <f>IF($C696="B",INDEX(Batters[[#All],[Last]],MATCH(A696,Batters[[#All],[PID]],0)),INDEX(Table3[[#All],[Last]],MATCH(A696,Table3[[#All],[PID]],0)))</f>
        <v>Finley</v>
      </c>
      <c r="G696" s="56">
        <f>IF($C696="B",INDEX(Batters[[#All],[Age]],MATCH(Table5[[#This Row],[PID]],Batters[[#All],[PID]],0)),INDEX(Table3[[#All],[Age]],MATCH(Table5[[#This Row],[PID]],Table3[[#All],[PID]],0)))</f>
        <v>18</v>
      </c>
      <c r="H696" s="52" t="str">
        <f>IF($C696="B",INDEX(Batters[[#All],[B]],MATCH(Table5[[#This Row],[PID]],Batters[[#All],[PID]],0)),INDEX(Table3[[#All],[B]],MATCH(Table5[[#This Row],[PID]],Table3[[#All],[PID]],0)))</f>
        <v>R</v>
      </c>
      <c r="I696" s="52" t="str">
        <f>IF($C696="B",INDEX(Batters[[#All],[T]],MATCH(Table5[[#This Row],[PID]],Batters[[#All],[PID]],0)),INDEX(Table3[[#All],[T]],MATCH(Table5[[#This Row],[PID]],Table3[[#All],[PID]],0)))</f>
        <v>R</v>
      </c>
      <c r="J696" s="71" t="str">
        <f>IF($C696="B",INDEX(Batters[[#All],[WE]],MATCH(Table5[[#This Row],[PID]],Batters[[#All],[PID]],0)),INDEX(Table3[[#All],[WE]],MATCH(Table5[[#This Row],[PID]],Table3[[#All],[PID]],0)))</f>
        <v>Normal</v>
      </c>
      <c r="K696" s="52" t="str">
        <f>IF($C696="B",INDEX(Batters[[#All],[INT]],MATCH(Table5[[#This Row],[PID]],Batters[[#All],[PID]],0)),INDEX(Table3[[#All],[INT]],MATCH(Table5[[#This Row],[PID]],Table3[[#All],[PID]],0)))</f>
        <v>Normal</v>
      </c>
      <c r="L696" s="60">
        <f>IF($C696="B",INDEX(Batters[[#All],[CON P]],MATCH(Table5[[#This Row],[PID]],Batters[[#All],[PID]],0)),INDEX(Table3[[#All],[STU P]],MATCH(Table5[[#This Row],[PID]],Table3[[#All],[PID]],0)))</f>
        <v>4</v>
      </c>
      <c r="M696" s="72">
        <f>IF($C696="B",INDEX(Batters[[#All],[GAP P]],MATCH(Table5[[#This Row],[PID]],Batters[[#All],[PID]],0)),INDEX(Table3[[#All],[MOV P]],MATCH(Table5[[#This Row],[PID]],Table3[[#All],[PID]],0)))</f>
        <v>2</v>
      </c>
      <c r="N696" s="72">
        <f>IF($C696="B",INDEX(Batters[[#All],[POW P]],MATCH(Table5[[#This Row],[PID]],Batters[[#All],[PID]],0)),INDEX(Table3[[#All],[CON P]],MATCH(Table5[[#This Row],[PID]],Table3[[#All],[PID]],0)))</f>
        <v>3</v>
      </c>
      <c r="O696" s="72" t="str">
        <f>IF($C696="B",INDEX(Batters[[#All],[EYE P]],MATCH(Table5[[#This Row],[PID]],Batters[[#All],[PID]],0)),INDEX(Table3[[#All],[VELO]],MATCH(Table5[[#This Row],[PID]],Table3[[#All],[PID]],0)))</f>
        <v>88-90 Mph</v>
      </c>
      <c r="P696" s="56">
        <f>IF($C696="B",INDEX(Batters[[#All],[K P]],MATCH(Table5[[#This Row],[PID]],Batters[[#All],[PID]],0)),INDEX(Table3[[#All],[STM]],MATCH(Table5[[#This Row],[PID]],Table3[[#All],[PID]],0)))</f>
        <v>8</v>
      </c>
      <c r="Q696" s="61">
        <f>IF($C696="B",INDEX(Batters[[#All],[Tot]],MATCH(Table5[[#This Row],[PID]],Batters[[#All],[PID]],0)),INDEX(Table3[[#All],[Tot]],MATCH(Table5[[#This Row],[PID]],Table3[[#All],[PID]],0)))</f>
        <v>35.661936192397896</v>
      </c>
      <c r="R696" s="52">
        <f>IF($C696="B",INDEX(Batters[[#All],[zScore]],MATCH(Table5[[#This Row],[PID]],Batters[[#All],[PID]],0)),INDEX(Table3[[#All],[zScore]],MATCH(Table5[[#This Row],[PID]],Table3[[#All],[PID]],0)))</f>
        <v>-1.3877164012622354E-2</v>
      </c>
      <c r="S696" s="78" t="str">
        <f>IF($C696="B",INDEX(Batters[[#All],[DEM]],MATCH(Table5[[#This Row],[PID]],Batters[[#All],[PID]],0)),INDEX(Table3[[#All],[DEM]],MATCH(Table5[[#This Row],[PID]],Table3[[#All],[PID]],0)))</f>
        <v>$38k</v>
      </c>
      <c r="T696" s="75">
        <f>IF($C696="B",INDEX(Batters[[#All],[Rnk]],MATCH(Table5[[#This Row],[PID]],Batters[[#All],[PID]],0)),INDEX(Table3[[#All],[Rnk]],MATCH(Table5[[#This Row],[PID]],Table3[[#All],[PID]],0)))</f>
        <v>311</v>
      </c>
      <c r="U696" s="68">
        <f>IF($C696="B",VLOOKUP($A696,Bat!$A$4:$BA$1621,47,FALSE),VLOOKUP($A696,Pit!$A$4:$BF$1557,56,FALSE))</f>
        <v>0</v>
      </c>
      <c r="V696" s="50">
        <f>IF($C696="B",VLOOKUP($A696,Bat!$A$4:$BA$1621,48,FALSE),VLOOKUP($A696,Pit!$A$4:$BF$1557,57,FALSE))</f>
        <v>0</v>
      </c>
      <c r="W696" s="69">
        <f>Table5[[#This Row],[posRnk]]+Table5[[#This Row],[zRnk]]+IF($W$3&lt;&gt;Table5[[#This Row],[Type]],50,0)</f>
        <v>918</v>
      </c>
      <c r="X696" s="73">
        <f>RANK(Table5[[#This Row],[zScore]],Table5[[#All],[zScore]])</f>
        <v>557</v>
      </c>
      <c r="Y696" s="69" t="str">
        <f>IFERROR(INDEX(DraftResults[[#All],[OVR]],MATCH(Table5[[#This Row],[PID]],DraftResults[[#All],[Player ID]],0)),"")</f>
        <v/>
      </c>
      <c r="Z6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6" s="69" t="str">
        <f>IFERROR(INDEX(DraftResults[[#All],[Pick in Round]],MATCH(Table5[[#This Row],[PID]],DraftResults[[#All],[Player ID]],0)),"")</f>
        <v/>
      </c>
      <c r="AB696" s="69" t="str">
        <f>IFERROR(INDEX(DraftResults[[#All],[Team Name]],MATCH(Table5[[#This Row],[PID]],DraftResults[[#All],[Player ID]],0)),"")</f>
        <v/>
      </c>
      <c r="AC696" s="69" t="str">
        <f>IF(Table5[[#This Row],[Ovr]]="","",IF(Table5[[#This Row],[cmbList]]="","",Table5[[#This Row],[cmbList]]-Table5[[#This Row],[Ovr]]))</f>
        <v/>
      </c>
      <c r="AD696" s="77" t="str">
        <f>IF(ISERROR(VLOOKUP($AB696&amp;"-"&amp;$E696&amp;" "&amp;F696,Bonuses!$B$1:$G$1006,4,FALSE)),"",INT(VLOOKUP($AB696&amp;"-"&amp;$E696&amp;" "&amp;$F696,Bonuses!$B$1:$G$1006,4,FALSE)))</f>
        <v/>
      </c>
      <c r="AE6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7" spans="1:31" s="50" customFormat="1" x14ac:dyDescent="0.25">
      <c r="A697" s="68">
        <v>20450</v>
      </c>
      <c r="B697" s="69">
        <f>COUNTIF(Table5[PID],A697)</f>
        <v>1</v>
      </c>
      <c r="C697" s="69" t="str">
        <f>IF(COUNTIF(Table3[[#All],[PID]],A697)&gt;0,"P","B")</f>
        <v>P</v>
      </c>
      <c r="D697" s="59" t="str">
        <f>IF($C697="B",INDEX(Batters[[#All],[POS]],MATCH(Table5[[#This Row],[PID]],Batters[[#All],[PID]],0)),INDEX(Table3[[#All],[POS]],MATCH(Table5[[#This Row],[PID]],Table3[[#All],[PID]],0)))</f>
        <v>SP</v>
      </c>
      <c r="E697" s="52" t="str">
        <f>IF($C697="B",INDEX(Batters[[#All],[First]],MATCH(Table5[[#This Row],[PID]],Batters[[#All],[PID]],0)),INDEX(Table3[[#All],[First]],MATCH(Table5[[#This Row],[PID]],Table3[[#All],[PID]],0)))</f>
        <v>Basuki</v>
      </c>
      <c r="F697" s="55" t="str">
        <f>IF($C697="B",INDEX(Batters[[#All],[Last]],MATCH(A697,Batters[[#All],[PID]],0)),INDEX(Table3[[#All],[Last]],MATCH(A697,Table3[[#All],[PID]],0)))</f>
        <v>Kathirithamby</v>
      </c>
      <c r="G697" s="56">
        <f>IF($C697="B",INDEX(Batters[[#All],[Age]],MATCH(Table5[[#This Row],[PID]],Batters[[#All],[PID]],0)),INDEX(Table3[[#All],[Age]],MATCH(Table5[[#This Row],[PID]],Table3[[#All],[PID]],0)))</f>
        <v>17</v>
      </c>
      <c r="H697" s="52" t="str">
        <f>IF($C697="B",INDEX(Batters[[#All],[B]],MATCH(Table5[[#This Row],[PID]],Batters[[#All],[PID]],0)),INDEX(Table3[[#All],[B]],MATCH(Table5[[#This Row],[PID]],Table3[[#All],[PID]],0)))</f>
        <v>L</v>
      </c>
      <c r="I697" s="52" t="str">
        <f>IF($C697="B",INDEX(Batters[[#All],[T]],MATCH(Table5[[#This Row],[PID]],Batters[[#All],[PID]],0)),INDEX(Table3[[#All],[T]],MATCH(Table5[[#This Row],[PID]],Table3[[#All],[PID]],0)))</f>
        <v>R</v>
      </c>
      <c r="J697" s="71" t="str">
        <f>IF($C697="B",INDEX(Batters[[#All],[WE]],MATCH(Table5[[#This Row],[PID]],Batters[[#All],[PID]],0)),INDEX(Table3[[#All],[WE]],MATCH(Table5[[#This Row],[PID]],Table3[[#All],[PID]],0)))</f>
        <v>Normal</v>
      </c>
      <c r="K697" s="52" t="str">
        <f>IF($C697="B",INDEX(Batters[[#All],[INT]],MATCH(Table5[[#This Row],[PID]],Batters[[#All],[PID]],0)),INDEX(Table3[[#All],[INT]],MATCH(Table5[[#This Row],[PID]],Table3[[#All],[PID]],0)))</f>
        <v>Normal</v>
      </c>
      <c r="L697" s="60">
        <f>IF($C697="B",INDEX(Batters[[#All],[CON P]],MATCH(Table5[[#This Row],[PID]],Batters[[#All],[PID]],0)),INDEX(Table3[[#All],[STU P]],MATCH(Table5[[#This Row],[PID]],Table3[[#All],[PID]],0)))</f>
        <v>4</v>
      </c>
      <c r="M697" s="72">
        <f>IF($C697="B",INDEX(Batters[[#All],[GAP P]],MATCH(Table5[[#This Row],[PID]],Batters[[#All],[PID]],0)),INDEX(Table3[[#All],[MOV P]],MATCH(Table5[[#This Row],[PID]],Table3[[#All],[PID]],0)))</f>
        <v>2</v>
      </c>
      <c r="N697" s="72">
        <f>IF($C697="B",INDEX(Batters[[#All],[POW P]],MATCH(Table5[[#This Row],[PID]],Batters[[#All],[PID]],0)),INDEX(Table3[[#All],[CON P]],MATCH(Table5[[#This Row],[PID]],Table3[[#All],[PID]],0)))</f>
        <v>3</v>
      </c>
      <c r="O697" s="72" t="str">
        <f>IF($C697="B",INDEX(Batters[[#All],[EYE P]],MATCH(Table5[[#This Row],[PID]],Batters[[#All],[PID]],0)),INDEX(Table3[[#All],[VELO]],MATCH(Table5[[#This Row],[PID]],Table3[[#All],[PID]],0)))</f>
        <v>89-91 Mph</v>
      </c>
      <c r="P697" s="56">
        <f>IF($C697="B",INDEX(Batters[[#All],[K P]],MATCH(Table5[[#This Row],[PID]],Batters[[#All],[PID]],0)),INDEX(Table3[[#All],[STM]],MATCH(Table5[[#This Row],[PID]],Table3[[#All],[PID]],0)))</f>
        <v>7</v>
      </c>
      <c r="Q697" s="61">
        <f>IF($C697="B",INDEX(Batters[[#All],[Tot]],MATCH(Table5[[#This Row],[PID]],Batters[[#All],[PID]],0)),INDEX(Table3[[#All],[Tot]],MATCH(Table5[[#This Row],[PID]],Table3[[#All],[PID]],0)))</f>
        <v>35.661788114013717</v>
      </c>
      <c r="R697" s="52">
        <f>IF($C697="B",INDEX(Batters[[#All],[zScore]],MATCH(Table5[[#This Row],[PID]],Batters[[#All],[PID]],0)),INDEX(Table3[[#All],[zScore]],MATCH(Table5[[#This Row],[PID]],Table3[[#All],[PID]],0)))</f>
        <v>-1.3887015441241862E-2</v>
      </c>
      <c r="S697" s="78" t="str">
        <f>IF($C697="B",INDEX(Batters[[#All],[DEM]],MATCH(Table5[[#This Row],[PID]],Batters[[#All],[PID]],0)),INDEX(Table3[[#All],[DEM]],MATCH(Table5[[#This Row],[PID]],Table3[[#All],[PID]],0)))</f>
        <v>$65k</v>
      </c>
      <c r="T697" s="75">
        <f>IF($C697="B",INDEX(Batters[[#All],[Rnk]],MATCH(Table5[[#This Row],[PID]],Batters[[#All],[PID]],0)),INDEX(Table3[[#All],[Rnk]],MATCH(Table5[[#This Row],[PID]],Table3[[#All],[PID]],0)))</f>
        <v>312</v>
      </c>
      <c r="U697" s="68">
        <f>IF($C697="B",VLOOKUP($A697,Bat!$A$4:$BA$1621,47,FALSE),VLOOKUP($A697,Pit!$A$4:$BF$1557,56,FALSE))</f>
        <v>0</v>
      </c>
      <c r="V697" s="50">
        <f>IF($C697="B",VLOOKUP($A697,Bat!$A$4:$BA$1621,48,FALSE),VLOOKUP($A697,Pit!$A$4:$BF$1557,57,FALSE))</f>
        <v>0</v>
      </c>
      <c r="W697" s="69">
        <f>Table5[[#This Row],[posRnk]]+Table5[[#This Row],[zRnk]]+IF($W$3&lt;&gt;Table5[[#This Row],[Type]],50,0)</f>
        <v>920</v>
      </c>
      <c r="X697" s="73">
        <f>RANK(Table5[[#This Row],[zScore]],Table5[[#All],[zScore]])</f>
        <v>558</v>
      </c>
      <c r="Y697" s="69" t="str">
        <f>IFERROR(INDEX(DraftResults[[#All],[OVR]],MATCH(Table5[[#This Row],[PID]],DraftResults[[#All],[Player ID]],0)),"")</f>
        <v/>
      </c>
      <c r="Z69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7" s="69" t="str">
        <f>IFERROR(INDEX(DraftResults[[#All],[Pick in Round]],MATCH(Table5[[#This Row],[PID]],DraftResults[[#All],[Player ID]],0)),"")</f>
        <v/>
      </c>
      <c r="AB697" s="69" t="str">
        <f>IFERROR(INDEX(DraftResults[[#All],[Team Name]],MATCH(Table5[[#This Row],[PID]],DraftResults[[#All],[Player ID]],0)),"")</f>
        <v/>
      </c>
      <c r="AC697" s="69" t="str">
        <f>IF(Table5[[#This Row],[Ovr]]="","",IF(Table5[[#This Row],[cmbList]]="","",Table5[[#This Row],[cmbList]]-Table5[[#This Row],[Ovr]]))</f>
        <v/>
      </c>
      <c r="AD697" s="77" t="str">
        <f>IF(ISERROR(VLOOKUP($AB697&amp;"-"&amp;$E697&amp;" "&amp;F697,Bonuses!$B$1:$G$1006,4,FALSE)),"",INT(VLOOKUP($AB697&amp;"-"&amp;$E697&amp;" "&amp;$F697,Bonuses!$B$1:$G$1006,4,FALSE)))</f>
        <v/>
      </c>
      <c r="AE69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8" spans="1:31" s="50" customFormat="1" x14ac:dyDescent="0.25">
      <c r="A698" s="50">
        <v>18168</v>
      </c>
      <c r="B698" s="50">
        <f>COUNTIF(Table5[PID],A698)</f>
        <v>1</v>
      </c>
      <c r="C698" s="50" t="str">
        <f>IF(COUNTIF(Table3[[#All],[PID]],A698)&gt;0,"P","B")</f>
        <v>P</v>
      </c>
      <c r="D698" s="59" t="str">
        <f>IF($C698="B",INDEX(Batters[[#All],[POS]],MATCH(Table5[[#This Row],[PID]],Batters[[#All],[PID]],0)),INDEX(Table3[[#All],[POS]],MATCH(Table5[[#This Row],[PID]],Table3[[#All],[PID]],0)))</f>
        <v>RP</v>
      </c>
      <c r="E698" s="52" t="str">
        <f>IF($C698="B",INDEX(Batters[[#All],[First]],MATCH(Table5[[#This Row],[PID]],Batters[[#All],[PID]],0)),INDEX(Table3[[#All],[First]],MATCH(Table5[[#This Row],[PID]],Table3[[#All],[PID]],0)))</f>
        <v>Jorge</v>
      </c>
      <c r="F698" s="50" t="str">
        <f>IF($C698="B",INDEX(Batters[[#All],[Last]],MATCH(A698,Batters[[#All],[PID]],0)),INDEX(Table3[[#All],[Last]],MATCH(A698,Table3[[#All],[PID]],0)))</f>
        <v>Rodríguez</v>
      </c>
      <c r="G698" s="56">
        <f>IF($C698="B",INDEX(Batters[[#All],[Age]],MATCH(Table5[[#This Row],[PID]],Batters[[#All],[PID]],0)),INDEX(Table3[[#All],[Age]],MATCH(Table5[[#This Row],[PID]],Table3[[#All],[PID]],0)))</f>
        <v>21</v>
      </c>
      <c r="H698" s="52" t="str">
        <f>IF($C698="B",INDEX(Batters[[#All],[B]],MATCH(Table5[[#This Row],[PID]],Batters[[#All],[PID]],0)),INDEX(Table3[[#All],[B]],MATCH(Table5[[#This Row],[PID]],Table3[[#All],[PID]],0)))</f>
        <v>R</v>
      </c>
      <c r="I698" s="52" t="str">
        <f>IF($C698="B",INDEX(Batters[[#All],[T]],MATCH(Table5[[#This Row],[PID]],Batters[[#All],[PID]],0)),INDEX(Table3[[#All],[T]],MATCH(Table5[[#This Row],[PID]],Table3[[#All],[PID]],0)))</f>
        <v>R</v>
      </c>
      <c r="J698" s="52" t="str">
        <f>IF($C698="B",INDEX(Batters[[#All],[WE]],MATCH(Table5[[#This Row],[PID]],Batters[[#All],[PID]],0)),INDEX(Table3[[#All],[WE]],MATCH(Table5[[#This Row],[PID]],Table3[[#All],[PID]],0)))</f>
        <v>High</v>
      </c>
      <c r="K698" s="52" t="str">
        <f>IF($C698="B",INDEX(Batters[[#All],[INT]],MATCH(Table5[[#This Row],[PID]],Batters[[#All],[PID]],0)),INDEX(Table3[[#All],[INT]],MATCH(Table5[[#This Row],[PID]],Table3[[#All],[PID]],0)))</f>
        <v>Normal</v>
      </c>
      <c r="L698" s="60">
        <f>IF($C698="B",INDEX(Batters[[#All],[CON P]],MATCH(Table5[[#This Row],[PID]],Batters[[#All],[PID]],0)),INDEX(Table3[[#All],[STU P]],MATCH(Table5[[#This Row],[PID]],Table3[[#All],[PID]],0)))</f>
        <v>5</v>
      </c>
      <c r="M698" s="56">
        <f>IF($C698="B",INDEX(Batters[[#All],[GAP P]],MATCH(Table5[[#This Row],[PID]],Batters[[#All],[PID]],0)),INDEX(Table3[[#All],[MOV P]],MATCH(Table5[[#This Row],[PID]],Table3[[#All],[PID]],0)))</f>
        <v>3</v>
      </c>
      <c r="N698" s="56">
        <f>IF($C698="B",INDEX(Batters[[#All],[POW P]],MATCH(Table5[[#This Row],[PID]],Batters[[#All],[PID]],0)),INDEX(Table3[[#All],[CON P]],MATCH(Table5[[#This Row],[PID]],Table3[[#All],[PID]],0)))</f>
        <v>3</v>
      </c>
      <c r="O698" s="56" t="str">
        <f>IF($C698="B",INDEX(Batters[[#All],[EYE P]],MATCH(Table5[[#This Row],[PID]],Batters[[#All],[PID]],0)),INDEX(Table3[[#All],[VELO]],MATCH(Table5[[#This Row],[PID]],Table3[[#All],[PID]],0)))</f>
        <v>90-92 Mph</v>
      </c>
      <c r="P698" s="56">
        <f>IF($C698="B",INDEX(Batters[[#All],[K P]],MATCH(Table5[[#This Row],[PID]],Batters[[#All],[PID]],0)),INDEX(Table3[[#All],[STM]],MATCH(Table5[[#This Row],[PID]],Table3[[#All],[PID]],0)))</f>
        <v>7</v>
      </c>
      <c r="Q698" s="61">
        <f>IF($C698="B",INDEX(Batters[[#All],[Tot]],MATCH(Table5[[#This Row],[PID]],Batters[[#All],[PID]],0)),INDEX(Table3[[#All],[Tot]],MATCH(Table5[[#This Row],[PID]],Table3[[#All],[PID]],0)))</f>
        <v>37.592273540986149</v>
      </c>
      <c r="R698" s="52">
        <f>IF($C698="B",INDEX(Batters[[#All],[zScore]],MATCH(Table5[[#This Row],[PID]],Batters[[#All],[PID]],0)),INDEX(Table3[[#All],[zScore]],MATCH(Table5[[#This Row],[PID]],Table3[[#All],[PID]],0)))</f>
        <v>-1.4487875692654981E-2</v>
      </c>
      <c r="S698" s="58" t="str">
        <f>IF($C698="B",INDEX(Batters[[#All],[DEM]],MATCH(Table5[[#This Row],[PID]],Batters[[#All],[PID]],0)),INDEX(Table3[[#All],[DEM]],MATCH(Table5[[#This Row],[PID]],Table3[[#All],[PID]],0)))</f>
        <v>-</v>
      </c>
      <c r="T698" s="62">
        <f>IF($C698="B",INDEX(Batters[[#All],[Rnk]],MATCH(Table5[[#This Row],[PID]],Batters[[#All],[PID]],0)),INDEX(Table3[[#All],[Rnk]],MATCH(Table5[[#This Row],[PID]],Table3[[#All],[PID]],0)))</f>
        <v>313</v>
      </c>
      <c r="U698" s="68">
        <f>IF($C698="B",VLOOKUP($A698,Bat!$A$4:$BA$1621,47,FALSE),VLOOKUP($A698,Pit!$A$4:$BF$1557,56,FALSE))</f>
        <v>0</v>
      </c>
      <c r="V698" s="50">
        <f>IF($C698="B",VLOOKUP($A698,Bat!$A$4:$BA$1621,48,FALSE),VLOOKUP($A698,Pit!$A$4:$BF$1557,57,FALSE))</f>
        <v>0</v>
      </c>
      <c r="W698" s="50">
        <f>Table5[[#This Row],[posRnk]]+Table5[[#This Row],[zRnk]]+IF($W$3&lt;&gt;Table5[[#This Row],[Type]],50,0)</f>
        <v>922</v>
      </c>
      <c r="X698" s="51">
        <f>RANK(Table5[[#This Row],[zScore]],Table5[[#All],[zScore]])</f>
        <v>559</v>
      </c>
      <c r="Y698" s="50" t="str">
        <f>IFERROR(INDEX(DraftResults[[#All],[OVR]],MATCH(Table5[[#This Row],[PID]],DraftResults[[#All],[Player ID]],0)),"")</f>
        <v/>
      </c>
      <c r="Z6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8" s="50" t="str">
        <f>IFERROR(INDEX(DraftResults[[#All],[Pick in Round]],MATCH(Table5[[#This Row],[PID]],DraftResults[[#All],[Player ID]],0)),"")</f>
        <v/>
      </c>
      <c r="AB698" s="50" t="str">
        <f>IFERROR(INDEX(DraftResults[[#All],[Team Name]],MATCH(Table5[[#This Row],[PID]],DraftResults[[#All],[Player ID]],0)),"")</f>
        <v/>
      </c>
      <c r="AC698" s="50" t="str">
        <f>IF(Table5[[#This Row],[Ovr]]="","",IF(Table5[[#This Row],[cmbList]]="","",Table5[[#This Row],[cmbList]]-Table5[[#This Row],[Ovr]]))</f>
        <v/>
      </c>
      <c r="AD698" s="54" t="str">
        <f>IF(ISERROR(VLOOKUP($AB698&amp;"-"&amp;$E698&amp;" "&amp;F698,Bonuses!$B$1:$G$1006,4,FALSE)),"",INT(VLOOKUP($AB698&amp;"-"&amp;$E698&amp;" "&amp;$F698,Bonuses!$B$1:$G$1006,4,FALSE)))</f>
        <v/>
      </c>
      <c r="AE6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699" spans="1:31" s="50" customFormat="1" x14ac:dyDescent="0.25">
      <c r="A699" s="68">
        <v>20576</v>
      </c>
      <c r="B699" s="69">
        <f>COUNTIF(Table5[PID],A699)</f>
        <v>1</v>
      </c>
      <c r="C699" s="69" t="str">
        <f>IF(COUNTIF(Table3[[#All],[PID]],A699)&gt;0,"P","B")</f>
        <v>P</v>
      </c>
      <c r="D699" s="59" t="str">
        <f>IF($C699="B",INDEX(Batters[[#All],[POS]],MATCH(Table5[[#This Row],[PID]],Batters[[#All],[PID]],0)),INDEX(Table3[[#All],[POS]],MATCH(Table5[[#This Row],[PID]],Table3[[#All],[PID]],0)))</f>
        <v>SP</v>
      </c>
      <c r="E699" s="52" t="str">
        <f>IF($C699="B",INDEX(Batters[[#All],[First]],MATCH(Table5[[#This Row],[PID]],Batters[[#All],[PID]],0)),INDEX(Table3[[#All],[First]],MATCH(Table5[[#This Row],[PID]],Table3[[#All],[PID]],0)))</f>
        <v>Pu-la</v>
      </c>
      <c r="F699" s="55" t="str">
        <f>IF($C699="B",INDEX(Batters[[#All],[Last]],MATCH(A699,Batters[[#All],[PID]],0)),INDEX(Table3[[#All],[Last]],MATCH(A699,Table3[[#All],[PID]],0)))</f>
        <v>Chen</v>
      </c>
      <c r="G699" s="56">
        <f>IF($C699="B",INDEX(Batters[[#All],[Age]],MATCH(Table5[[#This Row],[PID]],Batters[[#All],[PID]],0)),INDEX(Table3[[#All],[Age]],MATCH(Table5[[#This Row],[PID]],Table3[[#All],[PID]],0)))</f>
        <v>17</v>
      </c>
      <c r="H699" s="52" t="str">
        <f>IF($C699="B",INDEX(Batters[[#All],[B]],MATCH(Table5[[#This Row],[PID]],Batters[[#All],[PID]],0)),INDEX(Table3[[#All],[B]],MATCH(Table5[[#This Row],[PID]],Table3[[#All],[PID]],0)))</f>
        <v>R</v>
      </c>
      <c r="I699" s="52" t="str">
        <f>IF($C699="B",INDEX(Batters[[#All],[T]],MATCH(Table5[[#This Row],[PID]],Batters[[#All],[PID]],0)),INDEX(Table3[[#All],[T]],MATCH(Table5[[#This Row],[PID]],Table3[[#All],[PID]],0)))</f>
        <v>R</v>
      </c>
      <c r="J699" s="71" t="str">
        <f>IF($C699="B",INDEX(Batters[[#All],[WE]],MATCH(Table5[[#This Row],[PID]],Batters[[#All],[PID]],0)),INDEX(Table3[[#All],[WE]],MATCH(Table5[[#This Row],[PID]],Table3[[#All],[PID]],0)))</f>
        <v>Normal</v>
      </c>
      <c r="K699" s="52" t="str">
        <f>IF($C699="B",INDEX(Batters[[#All],[INT]],MATCH(Table5[[#This Row],[PID]],Batters[[#All],[PID]],0)),INDEX(Table3[[#All],[INT]],MATCH(Table5[[#This Row],[PID]],Table3[[#All],[PID]],0)))</f>
        <v>High</v>
      </c>
      <c r="L699" s="60">
        <f>IF($C699="B",INDEX(Batters[[#All],[CON P]],MATCH(Table5[[#This Row],[PID]],Batters[[#All],[PID]],0)),INDEX(Table3[[#All],[STU P]],MATCH(Table5[[#This Row],[PID]],Table3[[#All],[PID]],0)))</f>
        <v>4</v>
      </c>
      <c r="M699" s="72">
        <f>IF($C699="B",INDEX(Batters[[#All],[GAP P]],MATCH(Table5[[#This Row],[PID]],Batters[[#All],[PID]],0)),INDEX(Table3[[#All],[MOV P]],MATCH(Table5[[#This Row],[PID]],Table3[[#All],[PID]],0)))</f>
        <v>2</v>
      </c>
      <c r="N699" s="72">
        <f>IF($C699="B",INDEX(Batters[[#All],[POW P]],MATCH(Table5[[#This Row],[PID]],Batters[[#All],[PID]],0)),INDEX(Table3[[#All],[CON P]],MATCH(Table5[[#This Row],[PID]],Table3[[#All],[PID]],0)))</f>
        <v>3</v>
      </c>
      <c r="O699" s="72" t="str">
        <f>IF($C699="B",INDEX(Batters[[#All],[EYE P]],MATCH(Table5[[#This Row],[PID]],Batters[[#All],[PID]],0)),INDEX(Table3[[#All],[VELO]],MATCH(Table5[[#This Row],[PID]],Table3[[#All],[PID]],0)))</f>
        <v>91-93 Mph</v>
      </c>
      <c r="P699" s="56">
        <f>IF($C699="B",INDEX(Batters[[#All],[K P]],MATCH(Table5[[#This Row],[PID]],Batters[[#All],[PID]],0)),INDEX(Table3[[#All],[STM]],MATCH(Table5[[#This Row],[PID]],Table3[[#All],[PID]],0)))</f>
        <v>5</v>
      </c>
      <c r="Q699" s="61">
        <f>IF($C699="B",INDEX(Batters[[#All],[Tot]],MATCH(Table5[[#This Row],[PID]],Batters[[#All],[PID]],0)),INDEX(Table3[[#All],[Tot]],MATCH(Table5[[#This Row],[PID]],Table3[[#All],[PID]],0)))</f>
        <v>35.638993411163376</v>
      </c>
      <c r="R699" s="52">
        <f>IF($C699="B",INDEX(Batters[[#All],[zScore]],MATCH(Table5[[#This Row],[PID]],Batters[[#All],[PID]],0)),INDEX(Table3[[#All],[zScore]],MATCH(Table5[[#This Row],[PID]],Table3[[#All],[PID]],0)))</f>
        <v>-1.5403512189088055E-2</v>
      </c>
      <c r="S699" s="78" t="str">
        <f>IF($C699="B",INDEX(Batters[[#All],[DEM]],MATCH(Table5[[#This Row],[PID]],Batters[[#All],[PID]],0)),INDEX(Table3[[#All],[DEM]],MATCH(Table5[[#This Row],[PID]],Table3[[#All],[PID]],0)))</f>
        <v>$80k</v>
      </c>
      <c r="T699" s="75">
        <f>IF($C699="B",INDEX(Batters[[#All],[Rnk]],MATCH(Table5[[#This Row],[PID]],Batters[[#All],[PID]],0)),INDEX(Table3[[#All],[Rnk]],MATCH(Table5[[#This Row],[PID]],Table3[[#All],[PID]],0)))</f>
        <v>315</v>
      </c>
      <c r="U699" s="68">
        <f>IF($C699="B",VLOOKUP($A699,Bat!$A$4:$BA$1621,47,FALSE),VLOOKUP($A699,Pit!$A$4:$BF$1557,56,FALSE))</f>
        <v>0</v>
      </c>
      <c r="V699" s="50">
        <f>IF($C699="B",VLOOKUP($A699,Bat!$A$4:$BA$1621,48,FALSE),VLOOKUP($A699,Pit!$A$4:$BF$1557,57,FALSE))</f>
        <v>0</v>
      </c>
      <c r="W699" s="69">
        <f>Table5[[#This Row],[posRnk]]+Table5[[#This Row],[zRnk]]+IF($W$3&lt;&gt;Table5[[#This Row],[Type]],50,0)</f>
        <v>926</v>
      </c>
      <c r="X699" s="73">
        <f>RANK(Table5[[#This Row],[zScore]],Table5[[#All],[zScore]])</f>
        <v>561</v>
      </c>
      <c r="Y699" s="69" t="str">
        <f>IFERROR(INDEX(DraftResults[[#All],[OVR]],MATCH(Table5[[#This Row],[PID]],DraftResults[[#All],[Player ID]],0)),"")</f>
        <v/>
      </c>
      <c r="Z6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699" s="69" t="str">
        <f>IFERROR(INDEX(DraftResults[[#All],[Pick in Round]],MATCH(Table5[[#This Row],[PID]],DraftResults[[#All],[Player ID]],0)),"")</f>
        <v/>
      </c>
      <c r="AB699" s="69" t="str">
        <f>IFERROR(INDEX(DraftResults[[#All],[Team Name]],MATCH(Table5[[#This Row],[PID]],DraftResults[[#All],[Player ID]],0)),"")</f>
        <v/>
      </c>
      <c r="AC699" s="69" t="str">
        <f>IF(Table5[[#This Row],[Ovr]]="","",IF(Table5[[#This Row],[cmbList]]="","",Table5[[#This Row],[cmbList]]-Table5[[#This Row],[Ovr]]))</f>
        <v/>
      </c>
      <c r="AD699" s="77" t="str">
        <f>IF(ISERROR(VLOOKUP($AB699&amp;"-"&amp;$E699&amp;" "&amp;F699,Bonuses!$B$1:$G$1006,4,FALSE)),"",INT(VLOOKUP($AB699&amp;"-"&amp;$E699&amp;" "&amp;$F699,Bonuses!$B$1:$G$1006,4,FALSE)))</f>
        <v/>
      </c>
      <c r="AE6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0" spans="1:31" s="50" customFormat="1" x14ac:dyDescent="0.25">
      <c r="A700" s="68">
        <v>17857</v>
      </c>
      <c r="B700" s="69">
        <f>COUNTIF(Table5[PID],A700)</f>
        <v>1</v>
      </c>
      <c r="C700" s="69" t="str">
        <f>IF(COUNTIF(Table3[[#All],[PID]],A700)&gt;0,"P","B")</f>
        <v>P</v>
      </c>
      <c r="D700" s="59" t="str">
        <f>IF($C700="B",INDEX(Batters[[#All],[POS]],MATCH(Table5[[#This Row],[PID]],Batters[[#All],[PID]],0)),INDEX(Table3[[#All],[POS]],MATCH(Table5[[#This Row],[PID]],Table3[[#All],[PID]],0)))</f>
        <v>SP</v>
      </c>
      <c r="E700" s="52" t="str">
        <f>IF($C700="B",INDEX(Batters[[#All],[First]],MATCH(Table5[[#This Row],[PID]],Batters[[#All],[PID]],0)),INDEX(Table3[[#All],[First]],MATCH(Table5[[#This Row],[PID]],Table3[[#All],[PID]],0)))</f>
        <v>Euan</v>
      </c>
      <c r="F700" s="55" t="str">
        <f>IF($C700="B",INDEX(Batters[[#All],[Last]],MATCH(A700,Batters[[#All],[PID]],0)),INDEX(Table3[[#All],[Last]],MATCH(A700,Table3[[#All],[PID]],0)))</f>
        <v>Kerr</v>
      </c>
      <c r="G700" s="56">
        <f>IF($C700="B",INDEX(Batters[[#All],[Age]],MATCH(Table5[[#This Row],[PID]],Batters[[#All],[PID]],0)),INDEX(Table3[[#All],[Age]],MATCH(Table5[[#This Row],[PID]],Table3[[#All],[PID]],0)))</f>
        <v>18</v>
      </c>
      <c r="H700" s="52" t="str">
        <f>IF($C700="B",INDEX(Batters[[#All],[B]],MATCH(Table5[[#This Row],[PID]],Batters[[#All],[PID]],0)),INDEX(Table3[[#All],[B]],MATCH(Table5[[#This Row],[PID]],Table3[[#All],[PID]],0)))</f>
        <v>R</v>
      </c>
      <c r="I700" s="52" t="str">
        <f>IF($C700="B",INDEX(Batters[[#All],[T]],MATCH(Table5[[#This Row],[PID]],Batters[[#All],[PID]],0)),INDEX(Table3[[#All],[T]],MATCH(Table5[[#This Row],[PID]],Table3[[#All],[PID]],0)))</f>
        <v>R</v>
      </c>
      <c r="J700" s="71" t="str">
        <f>IF($C700="B",INDEX(Batters[[#All],[WE]],MATCH(Table5[[#This Row],[PID]],Batters[[#All],[PID]],0)),INDEX(Table3[[#All],[WE]],MATCH(Table5[[#This Row],[PID]],Table3[[#All],[PID]],0)))</f>
        <v>Normal</v>
      </c>
      <c r="K700" s="52" t="str">
        <f>IF($C700="B",INDEX(Batters[[#All],[INT]],MATCH(Table5[[#This Row],[PID]],Batters[[#All],[PID]],0)),INDEX(Table3[[#All],[INT]],MATCH(Table5[[#This Row],[PID]],Table3[[#All],[PID]],0)))</f>
        <v>Normal</v>
      </c>
      <c r="L700" s="60">
        <f>IF($C700="B",INDEX(Batters[[#All],[CON P]],MATCH(Table5[[#This Row],[PID]],Batters[[#All],[PID]],0)),INDEX(Table3[[#All],[STU P]],MATCH(Table5[[#This Row],[PID]],Table3[[#All],[PID]],0)))</f>
        <v>4</v>
      </c>
      <c r="M700" s="72">
        <f>IF($C700="B",INDEX(Batters[[#All],[GAP P]],MATCH(Table5[[#This Row],[PID]],Batters[[#All],[PID]],0)),INDEX(Table3[[#All],[MOV P]],MATCH(Table5[[#This Row],[PID]],Table3[[#All],[PID]],0)))</f>
        <v>2</v>
      </c>
      <c r="N700" s="72">
        <f>IF($C700="B",INDEX(Batters[[#All],[POW P]],MATCH(Table5[[#This Row],[PID]],Batters[[#All],[PID]],0)),INDEX(Table3[[#All],[CON P]],MATCH(Table5[[#This Row],[PID]],Table3[[#All],[PID]],0)))</f>
        <v>3</v>
      </c>
      <c r="O700" s="72" t="str">
        <f>IF($C700="B",INDEX(Batters[[#All],[EYE P]],MATCH(Table5[[#This Row],[PID]],Batters[[#All],[PID]],0)),INDEX(Table3[[#All],[VELO]],MATCH(Table5[[#This Row],[PID]],Table3[[#All],[PID]],0)))</f>
        <v>90-92 Mph</v>
      </c>
      <c r="P700" s="56">
        <f>IF($C700="B",INDEX(Batters[[#All],[K P]],MATCH(Table5[[#This Row],[PID]],Batters[[#All],[PID]],0)),INDEX(Table3[[#All],[STM]],MATCH(Table5[[#This Row],[PID]],Table3[[#All],[PID]],0)))</f>
        <v>8</v>
      </c>
      <c r="Q700" s="61">
        <f>IF($C700="B",INDEX(Batters[[#All],[Tot]],MATCH(Table5[[#This Row],[PID]],Batters[[#All],[PID]],0)),INDEX(Table3[[#All],[Tot]],MATCH(Table5[[#This Row],[PID]],Table3[[#All],[PID]],0)))</f>
        <v>35.511936192397897</v>
      </c>
      <c r="R700" s="52">
        <f>IF($C700="B",INDEX(Batters[[#All],[zScore]],MATCH(Table5[[#This Row],[PID]],Batters[[#All],[PID]],0)),INDEX(Table3[[#All],[zScore]],MATCH(Table5[[#This Row],[PID]],Table3[[#All],[PID]],0)))</f>
        <v>-2.3856434796295938E-2</v>
      </c>
      <c r="S700" s="78" t="str">
        <f>IF($C700="B",INDEX(Batters[[#All],[DEM]],MATCH(Table5[[#This Row],[PID]],Batters[[#All],[PID]],0)),INDEX(Table3[[#All],[DEM]],MATCH(Table5[[#This Row],[PID]],Table3[[#All],[PID]],0)))</f>
        <v>$70k</v>
      </c>
      <c r="T700" s="75">
        <f>IF($C700="B",INDEX(Batters[[#All],[Rnk]],MATCH(Table5[[#This Row],[PID]],Batters[[#All],[PID]],0)),INDEX(Table3[[#All],[Rnk]],MATCH(Table5[[#This Row],[PID]],Table3[[#All],[PID]],0)))</f>
        <v>316</v>
      </c>
      <c r="U700" s="68">
        <f>IF($C700="B",VLOOKUP($A700,Bat!$A$4:$BA$1621,47,FALSE),VLOOKUP($A700,Pit!$A$4:$BF$1557,56,FALSE))</f>
        <v>0</v>
      </c>
      <c r="V700" s="50">
        <f>IF($C700="B",VLOOKUP($A700,Bat!$A$4:$BA$1621,48,FALSE),VLOOKUP($A700,Pit!$A$4:$BF$1557,57,FALSE))</f>
        <v>0</v>
      </c>
      <c r="W700" s="69">
        <f>Table5[[#This Row],[posRnk]]+Table5[[#This Row],[zRnk]]+IF($W$3&lt;&gt;Table5[[#This Row],[Type]],50,0)</f>
        <v>930</v>
      </c>
      <c r="X700" s="73">
        <f>RANK(Table5[[#This Row],[zScore]],Table5[[#All],[zScore]])</f>
        <v>564</v>
      </c>
      <c r="Y700" s="69" t="str">
        <f>IFERROR(INDEX(DraftResults[[#All],[OVR]],MATCH(Table5[[#This Row],[PID]],DraftResults[[#All],[Player ID]],0)),"")</f>
        <v/>
      </c>
      <c r="Z70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0" s="69" t="str">
        <f>IFERROR(INDEX(DraftResults[[#All],[Pick in Round]],MATCH(Table5[[#This Row],[PID]],DraftResults[[#All],[Player ID]],0)),"")</f>
        <v/>
      </c>
      <c r="AB700" s="69" t="str">
        <f>IFERROR(INDEX(DraftResults[[#All],[Team Name]],MATCH(Table5[[#This Row],[PID]],DraftResults[[#All],[Player ID]],0)),"")</f>
        <v/>
      </c>
      <c r="AC700" s="69" t="str">
        <f>IF(Table5[[#This Row],[Ovr]]="","",IF(Table5[[#This Row],[cmbList]]="","",Table5[[#This Row],[cmbList]]-Table5[[#This Row],[Ovr]]))</f>
        <v/>
      </c>
      <c r="AD700" s="77" t="str">
        <f>IF(ISERROR(VLOOKUP($AB700&amp;"-"&amp;$E700&amp;" "&amp;F700,Bonuses!$B$1:$G$1006,4,FALSE)),"",INT(VLOOKUP($AB700&amp;"-"&amp;$E700&amp;" "&amp;$F700,Bonuses!$B$1:$G$1006,4,FALSE)))</f>
        <v/>
      </c>
      <c r="AE70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1" spans="1:31" s="50" customFormat="1" x14ac:dyDescent="0.25">
      <c r="A701" s="50">
        <v>20842</v>
      </c>
      <c r="B701" s="50">
        <f>COUNTIF(Table5[PID],A701)</f>
        <v>1</v>
      </c>
      <c r="C701" s="50" t="str">
        <f>IF(COUNTIF(Table3[[#All],[PID]],A701)&gt;0,"P","B")</f>
        <v>B</v>
      </c>
      <c r="D701" s="59" t="str">
        <f>IF($C701="B",INDEX(Batters[[#All],[POS]],MATCH(Table5[[#This Row],[PID]],Batters[[#All],[PID]],0)),INDEX(Table3[[#All],[POS]],MATCH(Table5[[#This Row],[PID]],Table3[[#All],[PID]],0)))</f>
        <v>3B</v>
      </c>
      <c r="E701" s="52" t="str">
        <f>IF($C701="B",INDEX(Batters[[#All],[First]],MATCH(Table5[[#This Row],[PID]],Batters[[#All],[PID]],0)),INDEX(Table3[[#All],[First]],MATCH(Table5[[#This Row],[PID]],Table3[[#All],[PID]],0)))</f>
        <v>Jonathan</v>
      </c>
      <c r="F701" s="50" t="str">
        <f>IF($C701="B",INDEX(Batters[[#All],[Last]],MATCH(A701,Batters[[#All],[PID]],0)),INDEX(Table3[[#All],[Last]],MATCH(A701,Table3[[#All],[PID]],0)))</f>
        <v>Clemons</v>
      </c>
      <c r="G701" s="56">
        <f>IF($C701="B",INDEX(Batters[[#All],[Age]],MATCH(Table5[[#This Row],[PID]],Batters[[#All],[PID]],0)),INDEX(Table3[[#All],[Age]],MATCH(Table5[[#This Row],[PID]],Table3[[#All],[PID]],0)))</f>
        <v>17</v>
      </c>
      <c r="H701" s="52" t="str">
        <f>IF($C701="B",INDEX(Batters[[#All],[B]],MATCH(Table5[[#This Row],[PID]],Batters[[#All],[PID]],0)),INDEX(Table3[[#All],[B]],MATCH(Table5[[#This Row],[PID]],Table3[[#All],[PID]],0)))</f>
        <v>R</v>
      </c>
      <c r="I701" s="52" t="str">
        <f>IF($C701="B",INDEX(Batters[[#All],[T]],MATCH(Table5[[#This Row],[PID]],Batters[[#All],[PID]],0)),INDEX(Table3[[#All],[T]],MATCH(Table5[[#This Row],[PID]],Table3[[#All],[PID]],0)))</f>
        <v>R</v>
      </c>
      <c r="J701" s="52" t="str">
        <f>IF($C701="B",INDEX(Batters[[#All],[WE]],MATCH(Table5[[#This Row],[PID]],Batters[[#All],[PID]],0)),INDEX(Table3[[#All],[WE]],MATCH(Table5[[#This Row],[PID]],Table3[[#All],[PID]],0)))</f>
        <v>High</v>
      </c>
      <c r="K701" s="52" t="str">
        <f>IF($C701="B",INDEX(Batters[[#All],[INT]],MATCH(Table5[[#This Row],[PID]],Batters[[#All],[PID]],0)),INDEX(Table3[[#All],[INT]],MATCH(Table5[[#This Row],[PID]],Table3[[#All],[PID]],0)))</f>
        <v>Normal</v>
      </c>
      <c r="L701" s="60">
        <f>IF($C701="B",INDEX(Batters[[#All],[CON P]],MATCH(Table5[[#This Row],[PID]],Batters[[#All],[PID]],0)),INDEX(Table3[[#All],[STU P]],MATCH(Table5[[#This Row],[PID]],Table3[[#All],[PID]],0)))</f>
        <v>3</v>
      </c>
      <c r="M701" s="56">
        <f>IF($C701="B",INDEX(Batters[[#All],[GAP P]],MATCH(Table5[[#This Row],[PID]],Batters[[#All],[PID]],0)),INDEX(Table3[[#All],[MOV P]],MATCH(Table5[[#This Row],[PID]],Table3[[#All],[PID]],0)))</f>
        <v>4</v>
      </c>
      <c r="N701" s="56">
        <f>IF($C701="B",INDEX(Batters[[#All],[POW P]],MATCH(Table5[[#This Row],[PID]],Batters[[#All],[PID]],0)),INDEX(Table3[[#All],[CON P]],MATCH(Table5[[#This Row],[PID]],Table3[[#All],[PID]],0)))</f>
        <v>4</v>
      </c>
      <c r="O701" s="56">
        <f>IF($C701="B",INDEX(Batters[[#All],[EYE P]],MATCH(Table5[[#This Row],[PID]],Batters[[#All],[PID]],0)),INDEX(Table3[[#All],[VELO]],MATCH(Table5[[#This Row],[PID]],Table3[[#All],[PID]],0)))</f>
        <v>6</v>
      </c>
      <c r="P701" s="56">
        <f>IF($C701="B",INDEX(Batters[[#All],[K P]],MATCH(Table5[[#This Row],[PID]],Batters[[#All],[PID]],0)),INDEX(Table3[[#All],[STM]],MATCH(Table5[[#This Row],[PID]],Table3[[#All],[PID]],0)))</f>
        <v>3</v>
      </c>
      <c r="Q701" s="61">
        <f>IF($C701="B",INDEX(Batters[[#All],[Tot]],MATCH(Table5[[#This Row],[PID]],Batters[[#All],[PID]],0)),INDEX(Table3[[#All],[Tot]],MATCH(Table5[[#This Row],[PID]],Table3[[#All],[PID]],0)))</f>
        <v>44.009397247672567</v>
      </c>
      <c r="R701" s="52">
        <f>IF($C701="B",INDEX(Batters[[#All],[zScore]],MATCH(Table5[[#This Row],[PID]],Batters[[#All],[PID]],0)),INDEX(Table3[[#All],[zScore]],MATCH(Table5[[#This Row],[PID]],Table3[[#All],[PID]],0)))</f>
        <v>-2.7168494787481127E-2</v>
      </c>
      <c r="S701" s="58" t="str">
        <f>IF($C701="B",INDEX(Batters[[#All],[DEM]],MATCH(Table5[[#This Row],[PID]],Batters[[#All],[PID]],0)),INDEX(Table3[[#All],[DEM]],MATCH(Table5[[#This Row],[PID]],Table3[[#All],[PID]],0)))</f>
        <v>$65k</v>
      </c>
      <c r="T701" s="62">
        <f>IF($C701="B",INDEX(Batters[[#All],[Rnk]],MATCH(Table5[[#This Row],[PID]],Batters[[#All],[PID]],0)),INDEX(Table3[[#All],[Rnk]],MATCH(Table5[[#This Row],[PID]],Table3[[#All],[PID]],0)))</f>
        <v>250</v>
      </c>
      <c r="U701" s="68">
        <f>IF($C701="B",VLOOKUP($A701,Bat!$A$4:$BA$1621,47,FALSE),VLOOKUP($A701,Pit!$A$4:$BF$1557,56,FALSE))</f>
        <v>0</v>
      </c>
      <c r="V701" s="50">
        <f>IF($C701="B",VLOOKUP($A701,Bat!$A$4:$BA$1621,48,FALSE),VLOOKUP($A701,Pit!$A$4:$BF$1557,57,FALSE))</f>
        <v>0</v>
      </c>
      <c r="W701" s="50">
        <f>Table5[[#This Row],[posRnk]]+Table5[[#This Row],[zRnk]]+IF($W$3&lt;&gt;Table5[[#This Row],[Type]],50,0)</f>
        <v>866</v>
      </c>
      <c r="X701" s="51">
        <f>RANK(Table5[[#This Row],[zScore]],Table5[[#All],[zScore]])</f>
        <v>566</v>
      </c>
      <c r="Y701" s="50" t="str">
        <f>IFERROR(INDEX(DraftResults[[#All],[OVR]],MATCH(Table5[[#This Row],[PID]],DraftResults[[#All],[Player ID]],0)),"")</f>
        <v/>
      </c>
      <c r="Z7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1" s="50" t="str">
        <f>IFERROR(INDEX(DraftResults[[#All],[Pick in Round]],MATCH(Table5[[#This Row],[PID]],DraftResults[[#All],[Player ID]],0)),"")</f>
        <v/>
      </c>
      <c r="AB701" s="50" t="str">
        <f>IFERROR(INDEX(DraftResults[[#All],[Team Name]],MATCH(Table5[[#This Row],[PID]],DraftResults[[#All],[Player ID]],0)),"")</f>
        <v/>
      </c>
      <c r="AC701" s="50" t="str">
        <f>IF(Table5[[#This Row],[Ovr]]="","",IF(Table5[[#This Row],[cmbList]]="","",Table5[[#This Row],[cmbList]]-Table5[[#This Row],[Ovr]]))</f>
        <v/>
      </c>
      <c r="AD701" s="54" t="str">
        <f>IF(ISERROR(VLOOKUP($AB701&amp;"-"&amp;$E701&amp;" "&amp;F701,Bonuses!$B$1:$G$1006,4,FALSE)),"",INT(VLOOKUP($AB701&amp;"-"&amp;$E701&amp;" "&amp;$F701,Bonuses!$B$1:$G$1006,4,FALSE)))</f>
        <v/>
      </c>
      <c r="AE7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2" spans="1:31" s="50" customFormat="1" x14ac:dyDescent="0.25">
      <c r="A702" s="50">
        <v>14408</v>
      </c>
      <c r="B702" s="50">
        <f>COUNTIF(Table5[PID],A702)</f>
        <v>1</v>
      </c>
      <c r="C702" s="50" t="str">
        <f>IF(COUNTIF(Table3[[#All],[PID]],A702)&gt;0,"P","B")</f>
        <v>P</v>
      </c>
      <c r="D702" s="59" t="str">
        <f>IF($C702="B",INDEX(Batters[[#All],[POS]],MATCH(Table5[[#This Row],[PID]],Batters[[#All],[PID]],0)),INDEX(Table3[[#All],[POS]],MATCH(Table5[[#This Row],[PID]],Table3[[#All],[PID]],0)))</f>
        <v>RP</v>
      </c>
      <c r="E702" s="52" t="str">
        <f>IF($C702="B",INDEX(Batters[[#All],[First]],MATCH(Table5[[#This Row],[PID]],Batters[[#All],[PID]],0)),INDEX(Table3[[#All],[First]],MATCH(Table5[[#This Row],[PID]],Table3[[#All],[PID]],0)))</f>
        <v>Paddy</v>
      </c>
      <c r="F702" s="50" t="str">
        <f>IF($C702="B",INDEX(Batters[[#All],[Last]],MATCH(A702,Batters[[#All],[PID]],0)),INDEX(Table3[[#All],[Last]],MATCH(A702,Table3[[#All],[PID]],0)))</f>
        <v>Schut</v>
      </c>
      <c r="G702" s="56">
        <f>IF($C702="B",INDEX(Batters[[#All],[Age]],MATCH(Table5[[#This Row],[PID]],Batters[[#All],[PID]],0)),INDEX(Table3[[#All],[Age]],MATCH(Table5[[#This Row],[PID]],Table3[[#All],[PID]],0)))</f>
        <v>18</v>
      </c>
      <c r="H702" s="52" t="str">
        <f>IF($C702="B",INDEX(Batters[[#All],[B]],MATCH(Table5[[#This Row],[PID]],Batters[[#All],[PID]],0)),INDEX(Table3[[#All],[B]],MATCH(Table5[[#This Row],[PID]],Table3[[#All],[PID]],0)))</f>
        <v>R</v>
      </c>
      <c r="I702" s="52" t="str">
        <f>IF($C702="B",INDEX(Batters[[#All],[T]],MATCH(Table5[[#This Row],[PID]],Batters[[#All],[PID]],0)),INDEX(Table3[[#All],[T]],MATCH(Table5[[#This Row],[PID]],Table3[[#All],[PID]],0)))</f>
        <v>R</v>
      </c>
      <c r="J702" s="52" t="str">
        <f>IF($C702="B",INDEX(Batters[[#All],[WE]],MATCH(Table5[[#This Row],[PID]],Batters[[#All],[PID]],0)),INDEX(Table3[[#All],[WE]],MATCH(Table5[[#This Row],[PID]],Table3[[#All],[PID]],0)))</f>
        <v>Low</v>
      </c>
      <c r="K702" s="52" t="str">
        <f>IF($C702="B",INDEX(Batters[[#All],[INT]],MATCH(Table5[[#This Row],[PID]],Batters[[#All],[PID]],0)),INDEX(Table3[[#All],[INT]],MATCH(Table5[[#This Row],[PID]],Table3[[#All],[PID]],0)))</f>
        <v>Normal</v>
      </c>
      <c r="L702" s="60">
        <f>IF($C702="B",INDEX(Batters[[#All],[CON P]],MATCH(Table5[[#This Row],[PID]],Batters[[#All],[PID]],0)),INDEX(Table3[[#All],[STU P]],MATCH(Table5[[#This Row],[PID]],Table3[[#All],[PID]],0)))</f>
        <v>4</v>
      </c>
      <c r="M702" s="56">
        <f>IF($C702="B",INDEX(Batters[[#All],[GAP P]],MATCH(Table5[[#This Row],[PID]],Batters[[#All],[PID]],0)),INDEX(Table3[[#All],[MOV P]],MATCH(Table5[[#This Row],[PID]],Table3[[#All],[PID]],0)))</f>
        <v>2</v>
      </c>
      <c r="N702" s="56">
        <f>IF($C702="B",INDEX(Batters[[#All],[POW P]],MATCH(Table5[[#This Row],[PID]],Batters[[#All],[PID]],0)),INDEX(Table3[[#All],[CON P]],MATCH(Table5[[#This Row],[PID]],Table3[[#All],[PID]],0)))</f>
        <v>3</v>
      </c>
      <c r="O702" s="56" t="str">
        <f>IF($C702="B",INDEX(Batters[[#All],[EYE P]],MATCH(Table5[[#This Row],[PID]],Batters[[#All],[PID]],0)),INDEX(Table3[[#All],[VELO]],MATCH(Table5[[#This Row],[PID]],Table3[[#All],[PID]],0)))</f>
        <v>85-87 Mph</v>
      </c>
      <c r="P702" s="56">
        <f>IF($C702="B",INDEX(Batters[[#All],[K P]],MATCH(Table5[[#This Row],[PID]],Batters[[#All],[PID]],0)),INDEX(Table3[[#All],[STM]],MATCH(Table5[[#This Row],[PID]],Table3[[#All],[PID]],0)))</f>
        <v>5</v>
      </c>
      <c r="Q702" s="61">
        <f>IF($C702="B",INDEX(Batters[[#All],[Tot]],MATCH(Table5[[#This Row],[PID]],Batters[[#All],[PID]],0)),INDEX(Table3[[#All],[Tot]],MATCH(Table5[[#This Row],[PID]],Table3[[#All],[PID]],0)))</f>
        <v>35.445122466073876</v>
      </c>
      <c r="R702" s="52">
        <f>IF($C702="B",INDEX(Batters[[#All],[zScore]],MATCH(Table5[[#This Row],[PID]],Batters[[#All],[PID]],0)),INDEX(Table3[[#All],[zScore]],MATCH(Table5[[#This Row],[PID]],Table3[[#All],[PID]],0)))</f>
        <v>-2.8301449909987095E-2</v>
      </c>
      <c r="S702" s="58" t="str">
        <f>IF($C702="B",INDEX(Batters[[#All],[DEM]],MATCH(Table5[[#This Row],[PID]],Batters[[#All],[PID]],0)),INDEX(Table3[[#All],[DEM]],MATCH(Table5[[#This Row],[PID]],Table3[[#All],[PID]],0)))</f>
        <v>$80k</v>
      </c>
      <c r="T702" s="62">
        <f>IF($C702="B",INDEX(Batters[[#All],[Rnk]],MATCH(Table5[[#This Row],[PID]],Batters[[#All],[PID]],0)),INDEX(Table3[[#All],[Rnk]],MATCH(Table5[[#This Row],[PID]],Table3[[#All],[PID]],0)))</f>
        <v>317</v>
      </c>
      <c r="U702" s="68">
        <f>IF($C702="B",VLOOKUP($A702,Bat!$A$4:$BA$1621,47,FALSE),VLOOKUP($A702,Pit!$A$4:$BF$1557,56,FALSE))</f>
        <v>0</v>
      </c>
      <c r="V702" s="50">
        <f>IF($C702="B",VLOOKUP($A702,Bat!$A$4:$BA$1621,48,FALSE),VLOOKUP($A702,Pit!$A$4:$BF$1557,57,FALSE))</f>
        <v>0</v>
      </c>
      <c r="W702" s="50">
        <f>Table5[[#This Row],[posRnk]]+Table5[[#This Row],[zRnk]]+IF($W$3&lt;&gt;Table5[[#This Row],[Type]],50,0)</f>
        <v>934</v>
      </c>
      <c r="X702" s="51">
        <f>RANK(Table5[[#This Row],[zScore]],Table5[[#All],[zScore]])</f>
        <v>567</v>
      </c>
      <c r="Y702" s="50" t="str">
        <f>IFERROR(INDEX(DraftResults[[#All],[OVR]],MATCH(Table5[[#This Row],[PID]],DraftResults[[#All],[Player ID]],0)),"")</f>
        <v/>
      </c>
      <c r="Z7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2" s="50" t="str">
        <f>IFERROR(INDEX(DraftResults[[#All],[Pick in Round]],MATCH(Table5[[#This Row],[PID]],DraftResults[[#All],[Player ID]],0)),"")</f>
        <v/>
      </c>
      <c r="AB702" s="50" t="str">
        <f>IFERROR(INDEX(DraftResults[[#All],[Team Name]],MATCH(Table5[[#This Row],[PID]],DraftResults[[#All],[Player ID]],0)),"")</f>
        <v/>
      </c>
      <c r="AC702" s="50" t="str">
        <f>IF(Table5[[#This Row],[Ovr]]="","",IF(Table5[[#This Row],[cmbList]]="","",Table5[[#This Row],[cmbList]]-Table5[[#This Row],[Ovr]]))</f>
        <v/>
      </c>
      <c r="AD702" s="54" t="str">
        <f>IF(ISERROR(VLOOKUP($AB702&amp;"-"&amp;$E702&amp;" "&amp;F702,Bonuses!$B$1:$G$1006,4,FALSE)),"",INT(VLOOKUP($AB702&amp;"-"&amp;$E702&amp;" "&amp;$F702,Bonuses!$B$1:$G$1006,4,FALSE)))</f>
        <v/>
      </c>
      <c r="AE7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3" spans="1:31" s="50" customFormat="1" x14ac:dyDescent="0.25">
      <c r="A703" s="50">
        <v>17627</v>
      </c>
      <c r="B703" s="50">
        <f>COUNTIF(Table5[PID],A703)</f>
        <v>1</v>
      </c>
      <c r="C703" s="50" t="str">
        <f>IF(COUNTIF(Table3[[#All],[PID]],A703)&gt;0,"P","B")</f>
        <v>P</v>
      </c>
      <c r="D703" s="59" t="str">
        <f>IF($C703="B",INDEX(Batters[[#All],[POS]],MATCH(Table5[[#This Row],[PID]],Batters[[#All],[PID]],0)),INDEX(Table3[[#All],[POS]],MATCH(Table5[[#This Row],[PID]],Table3[[#All],[PID]],0)))</f>
        <v>RP</v>
      </c>
      <c r="E703" s="52" t="str">
        <f>IF($C703="B",INDEX(Batters[[#All],[First]],MATCH(Table5[[#This Row],[PID]],Batters[[#All],[PID]],0)),INDEX(Table3[[#All],[First]],MATCH(Table5[[#This Row],[PID]],Table3[[#All],[PID]],0)))</f>
        <v>Francisco</v>
      </c>
      <c r="F703" s="50" t="str">
        <f>IF($C703="B",INDEX(Batters[[#All],[Last]],MATCH(A703,Batters[[#All],[PID]],0)),INDEX(Table3[[#All],[Last]],MATCH(A703,Table3[[#All],[PID]],0)))</f>
        <v>Martínez</v>
      </c>
      <c r="G703" s="56">
        <f>IF($C703="B",INDEX(Batters[[#All],[Age]],MATCH(Table5[[#This Row],[PID]],Batters[[#All],[PID]],0)),INDEX(Table3[[#All],[Age]],MATCH(Table5[[#This Row],[PID]],Table3[[#All],[PID]],0)))</f>
        <v>18</v>
      </c>
      <c r="H703" s="52" t="str">
        <f>IF($C703="B",INDEX(Batters[[#All],[B]],MATCH(Table5[[#This Row],[PID]],Batters[[#All],[PID]],0)),INDEX(Table3[[#All],[B]],MATCH(Table5[[#This Row],[PID]],Table3[[#All],[PID]],0)))</f>
        <v>R</v>
      </c>
      <c r="I703" s="52" t="str">
        <f>IF($C703="B",INDEX(Batters[[#All],[T]],MATCH(Table5[[#This Row],[PID]],Batters[[#All],[PID]],0)),INDEX(Table3[[#All],[T]],MATCH(Table5[[#This Row],[PID]],Table3[[#All],[PID]],0)))</f>
        <v>R</v>
      </c>
      <c r="J703" s="52" t="str">
        <f>IF($C703="B",INDEX(Batters[[#All],[WE]],MATCH(Table5[[#This Row],[PID]],Batters[[#All],[PID]],0)),INDEX(Table3[[#All],[WE]],MATCH(Table5[[#This Row],[PID]],Table3[[#All],[PID]],0)))</f>
        <v>Low</v>
      </c>
      <c r="K703" s="52" t="str">
        <f>IF($C703="B",INDEX(Batters[[#All],[INT]],MATCH(Table5[[#This Row],[PID]],Batters[[#All],[PID]],0)),INDEX(Table3[[#All],[INT]],MATCH(Table5[[#This Row],[PID]],Table3[[#All],[PID]],0)))</f>
        <v>Normal</v>
      </c>
      <c r="L703" s="60">
        <f>IF($C703="B",INDEX(Batters[[#All],[CON P]],MATCH(Table5[[#This Row],[PID]],Batters[[#All],[PID]],0)),INDEX(Table3[[#All],[STU P]],MATCH(Table5[[#This Row],[PID]],Table3[[#All],[PID]],0)))</f>
        <v>4</v>
      </c>
      <c r="M703" s="56">
        <f>IF($C703="B",INDEX(Batters[[#All],[GAP P]],MATCH(Table5[[#This Row],[PID]],Batters[[#All],[PID]],0)),INDEX(Table3[[#All],[MOV P]],MATCH(Table5[[#This Row],[PID]],Table3[[#All],[PID]],0)))</f>
        <v>1</v>
      </c>
      <c r="N703" s="56">
        <f>IF($C703="B",INDEX(Batters[[#All],[POW P]],MATCH(Table5[[#This Row],[PID]],Batters[[#All],[PID]],0)),INDEX(Table3[[#All],[CON P]],MATCH(Table5[[#This Row],[PID]],Table3[[#All],[PID]],0)))</f>
        <v>4</v>
      </c>
      <c r="O703" s="56" t="str">
        <f>IF($C703="B",INDEX(Batters[[#All],[EYE P]],MATCH(Table5[[#This Row],[PID]],Batters[[#All],[PID]],0)),INDEX(Table3[[#All],[VELO]],MATCH(Table5[[#This Row],[PID]],Table3[[#All],[PID]],0)))</f>
        <v>87-89 Mph</v>
      </c>
      <c r="P703" s="56">
        <f>IF($C703="B",INDEX(Batters[[#All],[K P]],MATCH(Table5[[#This Row],[PID]],Batters[[#All],[PID]],0)),INDEX(Table3[[#All],[STM]],MATCH(Table5[[#This Row],[PID]],Table3[[#All],[PID]],0)))</f>
        <v>6</v>
      </c>
      <c r="Q703" s="61">
        <f>IF($C703="B",INDEX(Batters[[#All],[Tot]],MATCH(Table5[[#This Row],[PID]],Batters[[#All],[PID]],0)),INDEX(Table3[[#All],[Tot]],MATCH(Table5[[#This Row],[PID]],Table3[[#All],[PID]],0)))</f>
        <v>35.427861170553157</v>
      </c>
      <c r="R703" s="52">
        <f>IF($C703="B",INDEX(Batters[[#All],[zScore]],MATCH(Table5[[#This Row],[PID]],Batters[[#All],[PID]],0)),INDEX(Table3[[#All],[zScore]],MATCH(Table5[[#This Row],[PID]],Table3[[#All],[PID]],0)))</f>
        <v>-2.9449817523842188E-2</v>
      </c>
      <c r="S703" s="58" t="str">
        <f>IF($C703="B",INDEX(Batters[[#All],[DEM]],MATCH(Table5[[#This Row],[PID]],Batters[[#All],[PID]],0)),INDEX(Table3[[#All],[DEM]],MATCH(Table5[[#This Row],[PID]],Table3[[#All],[PID]],0)))</f>
        <v>$110k</v>
      </c>
      <c r="T703" s="62">
        <f>IF($C703="B",INDEX(Batters[[#All],[Rnk]],MATCH(Table5[[#This Row],[PID]],Batters[[#All],[PID]],0)),INDEX(Table3[[#All],[Rnk]],MATCH(Table5[[#This Row],[PID]],Table3[[#All],[PID]],0)))</f>
        <v>318</v>
      </c>
      <c r="U703" s="68">
        <f>IF($C703="B",VLOOKUP($A703,Bat!$A$4:$BA$1621,47,FALSE),VLOOKUP($A703,Pit!$A$4:$BF$1557,56,FALSE))</f>
        <v>0</v>
      </c>
      <c r="V703" s="50">
        <f>IF($C703="B",VLOOKUP($A703,Bat!$A$4:$BA$1621,48,FALSE),VLOOKUP($A703,Pit!$A$4:$BF$1557,57,FALSE))</f>
        <v>0</v>
      </c>
      <c r="W703" s="50">
        <f>Table5[[#This Row],[posRnk]]+Table5[[#This Row],[zRnk]]+IF($W$3&lt;&gt;Table5[[#This Row],[Type]],50,0)</f>
        <v>936</v>
      </c>
      <c r="X703" s="51">
        <f>RANK(Table5[[#This Row],[zScore]],Table5[[#All],[zScore]])</f>
        <v>568</v>
      </c>
      <c r="Y703" s="50" t="str">
        <f>IFERROR(INDEX(DraftResults[[#All],[OVR]],MATCH(Table5[[#This Row],[PID]],DraftResults[[#All],[Player ID]],0)),"")</f>
        <v/>
      </c>
      <c r="Z7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3" s="50" t="str">
        <f>IFERROR(INDEX(DraftResults[[#All],[Pick in Round]],MATCH(Table5[[#This Row],[PID]],DraftResults[[#All],[Player ID]],0)),"")</f>
        <v/>
      </c>
      <c r="AB703" s="50" t="str">
        <f>IFERROR(INDEX(DraftResults[[#All],[Team Name]],MATCH(Table5[[#This Row],[PID]],DraftResults[[#All],[Player ID]],0)),"")</f>
        <v/>
      </c>
      <c r="AC703" s="50" t="str">
        <f>IF(Table5[[#This Row],[Ovr]]="","",IF(Table5[[#This Row],[cmbList]]="","",Table5[[#This Row],[cmbList]]-Table5[[#This Row],[Ovr]]))</f>
        <v/>
      </c>
      <c r="AD703" s="54" t="str">
        <f>IF(ISERROR(VLOOKUP($AB703&amp;"-"&amp;$E703&amp;" "&amp;F703,Bonuses!$B$1:$G$1006,4,FALSE)),"",INT(VLOOKUP($AB703&amp;"-"&amp;$E703&amp;" "&amp;$F703,Bonuses!$B$1:$G$1006,4,FALSE)))</f>
        <v/>
      </c>
      <c r="AE7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4" spans="1:31" s="50" customFormat="1" x14ac:dyDescent="0.25">
      <c r="A704" s="50">
        <v>17821</v>
      </c>
      <c r="B704" s="55">
        <f>COUNTIF(Table5[PID],A704)</f>
        <v>1</v>
      </c>
      <c r="C704" s="55" t="str">
        <f>IF(COUNTIF(Table3[[#All],[PID]],A704)&gt;0,"P","B")</f>
        <v>P</v>
      </c>
      <c r="D704" s="59" t="str">
        <f>IF($C704="B",INDEX(Batters[[#All],[POS]],MATCH(Table5[[#This Row],[PID]],Batters[[#All],[PID]],0)),INDEX(Table3[[#All],[POS]],MATCH(Table5[[#This Row],[PID]],Table3[[#All],[PID]],0)))</f>
        <v>RP</v>
      </c>
      <c r="E704" s="52" t="str">
        <f>IF($C704="B",INDEX(Batters[[#All],[First]],MATCH(Table5[[#This Row],[PID]],Batters[[#All],[PID]],0)),INDEX(Table3[[#All],[First]],MATCH(Table5[[#This Row],[PID]],Table3[[#All],[PID]],0)))</f>
        <v>Alberto</v>
      </c>
      <c r="F704" s="50" t="str">
        <f>IF($C704="B",INDEX(Batters[[#All],[Last]],MATCH(A704,Batters[[#All],[PID]],0)),INDEX(Table3[[#All],[Last]],MATCH(A704,Table3[[#All],[PID]],0)))</f>
        <v>Rincón</v>
      </c>
      <c r="G704" s="56">
        <f>IF($C704="B",INDEX(Batters[[#All],[Age]],MATCH(Table5[[#This Row],[PID]],Batters[[#All],[PID]],0)),INDEX(Table3[[#All],[Age]],MATCH(Table5[[#This Row],[PID]],Table3[[#All],[PID]],0)))</f>
        <v>18</v>
      </c>
      <c r="H704" s="52" t="str">
        <f>IF($C704="B",INDEX(Batters[[#All],[B]],MATCH(Table5[[#This Row],[PID]],Batters[[#All],[PID]],0)),INDEX(Table3[[#All],[B]],MATCH(Table5[[#This Row],[PID]],Table3[[#All],[PID]],0)))</f>
        <v>L</v>
      </c>
      <c r="I704" s="52" t="str">
        <f>IF($C704="B",INDEX(Batters[[#All],[T]],MATCH(Table5[[#This Row],[PID]],Batters[[#All],[PID]],0)),INDEX(Table3[[#All],[T]],MATCH(Table5[[#This Row],[PID]],Table3[[#All],[PID]],0)))</f>
        <v>L</v>
      </c>
      <c r="J704" s="52" t="str">
        <f>IF($C704="B",INDEX(Batters[[#All],[WE]],MATCH(Table5[[#This Row],[PID]],Batters[[#All],[PID]],0)),INDEX(Table3[[#All],[WE]],MATCH(Table5[[#This Row],[PID]],Table3[[#All],[PID]],0)))</f>
        <v>Normal</v>
      </c>
      <c r="K704" s="52" t="str">
        <f>IF($C704="B",INDEX(Batters[[#All],[INT]],MATCH(Table5[[#This Row],[PID]],Batters[[#All],[PID]],0)),INDEX(Table3[[#All],[INT]],MATCH(Table5[[#This Row],[PID]],Table3[[#All],[PID]],0)))</f>
        <v>Normal</v>
      </c>
      <c r="L704" s="60">
        <f>IF($C704="B",INDEX(Batters[[#All],[CON P]],MATCH(Table5[[#This Row],[PID]],Batters[[#All],[PID]],0)),INDEX(Table3[[#All],[STU P]],MATCH(Table5[[#This Row],[PID]],Table3[[#All],[PID]],0)))</f>
        <v>4</v>
      </c>
      <c r="M704" s="56">
        <f>IF($C704="B",INDEX(Batters[[#All],[GAP P]],MATCH(Table5[[#This Row],[PID]],Batters[[#All],[PID]],0)),INDEX(Table3[[#All],[MOV P]],MATCH(Table5[[#This Row],[PID]],Table3[[#All],[PID]],0)))</f>
        <v>2</v>
      </c>
      <c r="N704" s="56">
        <f>IF($C704="B",INDEX(Batters[[#All],[POW P]],MATCH(Table5[[#This Row],[PID]],Batters[[#All],[PID]],0)),INDEX(Table3[[#All],[CON P]],MATCH(Table5[[#This Row],[PID]],Table3[[#All],[PID]],0)))</f>
        <v>3</v>
      </c>
      <c r="O704" s="56" t="str">
        <f>IF($C704="B",INDEX(Batters[[#All],[EYE P]],MATCH(Table5[[#This Row],[PID]],Batters[[#All],[PID]],0)),INDEX(Table3[[#All],[VELO]],MATCH(Table5[[#This Row],[PID]],Table3[[#All],[PID]],0)))</f>
        <v>84-86 Mph</v>
      </c>
      <c r="P704" s="56">
        <f>IF($C704="B",INDEX(Batters[[#All],[K P]],MATCH(Table5[[#This Row],[PID]],Batters[[#All],[PID]],0)),INDEX(Table3[[#All],[STM]],MATCH(Table5[[#This Row],[PID]],Table3[[#All],[PID]],0)))</f>
        <v>7</v>
      </c>
      <c r="Q704" s="61">
        <f>IF($C704="B",INDEX(Batters[[#All],[Tot]],MATCH(Table5[[#This Row],[PID]],Batters[[#All],[PID]],0)),INDEX(Table3[[#All],[Tot]],MATCH(Table5[[#This Row],[PID]],Table3[[#All],[PID]],0)))</f>
        <v>37.295742573158108</v>
      </c>
      <c r="R704" s="52">
        <f>IF($C704="B",INDEX(Batters[[#All],[zScore]],MATCH(Table5[[#This Row],[PID]],Batters[[#All],[PID]],0)),INDEX(Table3[[#All],[zScore]],MATCH(Table5[[#This Row],[PID]],Table3[[#All],[PID]],0)))</f>
        <v>-3.4800159741002465E-2</v>
      </c>
      <c r="S704" s="58" t="str">
        <f>IF($C704="B",INDEX(Batters[[#All],[DEM]],MATCH(Table5[[#This Row],[PID]],Batters[[#All],[PID]],0)),INDEX(Table3[[#All],[DEM]],MATCH(Table5[[#This Row],[PID]],Table3[[#All],[PID]],0)))</f>
        <v>$70k</v>
      </c>
      <c r="T704" s="62">
        <f>IF($C704="B",INDEX(Batters[[#All],[Rnk]],MATCH(Table5[[#This Row],[PID]],Batters[[#All],[PID]],0)),INDEX(Table3[[#All],[Rnk]],MATCH(Table5[[#This Row],[PID]],Table3[[#All],[PID]],0)))</f>
        <v>319</v>
      </c>
      <c r="U704" s="68">
        <f>IF($C704="B",VLOOKUP($A704,Bat!$A$4:$BA$1621,47,FALSE),VLOOKUP($A704,Pit!$A$4:$BF$1557,56,FALSE))</f>
        <v>0</v>
      </c>
      <c r="V704" s="50">
        <f>IF($C704="B",VLOOKUP($A704,Bat!$A$4:$BA$1621,48,FALSE),VLOOKUP($A704,Pit!$A$4:$BF$1557,57,FALSE))</f>
        <v>0</v>
      </c>
      <c r="W704" s="50">
        <f>Table5[[#This Row],[posRnk]]+Table5[[#This Row],[zRnk]]+IF($W$3&lt;&gt;Table5[[#This Row],[Type]],50,0)</f>
        <v>938</v>
      </c>
      <c r="X704" s="51">
        <f>RANK(Table5[[#This Row],[zScore]],Table5[[#All],[zScore]])</f>
        <v>569</v>
      </c>
      <c r="Y704" s="50" t="str">
        <f>IFERROR(INDEX(DraftResults[[#All],[OVR]],MATCH(Table5[[#This Row],[PID]],DraftResults[[#All],[Player ID]],0)),"")</f>
        <v/>
      </c>
      <c r="Z7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4" s="50" t="str">
        <f>IFERROR(INDEX(DraftResults[[#All],[Pick in Round]],MATCH(Table5[[#This Row],[PID]],DraftResults[[#All],[Player ID]],0)),"")</f>
        <v/>
      </c>
      <c r="AB704" s="50" t="str">
        <f>IFERROR(INDEX(DraftResults[[#All],[Team Name]],MATCH(Table5[[#This Row],[PID]],DraftResults[[#All],[Player ID]],0)),"")</f>
        <v/>
      </c>
      <c r="AC704" s="50" t="str">
        <f>IF(Table5[[#This Row],[Ovr]]="","",IF(Table5[[#This Row],[cmbList]]="","",Table5[[#This Row],[cmbList]]-Table5[[#This Row],[Ovr]]))</f>
        <v/>
      </c>
      <c r="AD704" s="54" t="str">
        <f>IF(ISERROR(VLOOKUP($AB704&amp;"-"&amp;$E704&amp;" "&amp;F704,Bonuses!$B$1:$G$1006,4,FALSE)),"",INT(VLOOKUP($AB704&amp;"-"&amp;$E704&amp;" "&amp;$F704,Bonuses!$B$1:$G$1006,4,FALSE)))</f>
        <v/>
      </c>
      <c r="AE7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5" spans="1:31" s="50" customFormat="1" x14ac:dyDescent="0.25">
      <c r="A705" s="50">
        <v>18174</v>
      </c>
      <c r="B705" s="50">
        <f>COUNTIF(Table5[PID],A705)</f>
        <v>1</v>
      </c>
      <c r="C705" s="50" t="str">
        <f>IF(COUNTIF(Table3[[#All],[PID]],A705)&gt;0,"P","B")</f>
        <v>P</v>
      </c>
      <c r="D705" s="59" t="str">
        <f>IF($C705="B",INDEX(Batters[[#All],[POS]],MATCH(Table5[[#This Row],[PID]],Batters[[#All],[PID]],0)),INDEX(Table3[[#All],[POS]],MATCH(Table5[[#This Row],[PID]],Table3[[#All],[PID]],0)))</f>
        <v>RP</v>
      </c>
      <c r="E705" s="52" t="str">
        <f>IF($C705="B",INDEX(Batters[[#All],[First]],MATCH(Table5[[#This Row],[PID]],Batters[[#All],[PID]],0)),INDEX(Table3[[#All],[First]],MATCH(Table5[[#This Row],[PID]],Table3[[#All],[PID]],0)))</f>
        <v>Werner</v>
      </c>
      <c r="F705" s="50" t="str">
        <f>IF($C705="B",INDEX(Batters[[#All],[Last]],MATCH(A705,Batters[[#All],[PID]],0)),INDEX(Table3[[#All],[Last]],MATCH(A705,Table3[[#All],[PID]],0)))</f>
        <v>Mitchell</v>
      </c>
      <c r="G705" s="56">
        <f>IF($C705="B",INDEX(Batters[[#All],[Age]],MATCH(Table5[[#This Row],[PID]],Batters[[#All],[PID]],0)),INDEX(Table3[[#All],[Age]],MATCH(Table5[[#This Row],[PID]],Table3[[#All],[PID]],0)))</f>
        <v>18</v>
      </c>
      <c r="H705" s="52" t="str">
        <f>IF($C705="B",INDEX(Batters[[#All],[B]],MATCH(Table5[[#This Row],[PID]],Batters[[#All],[PID]],0)),INDEX(Table3[[#All],[B]],MATCH(Table5[[#This Row],[PID]],Table3[[#All],[PID]],0)))</f>
        <v>R</v>
      </c>
      <c r="I705" s="52" t="str">
        <f>IF($C705="B",INDEX(Batters[[#All],[T]],MATCH(Table5[[#This Row],[PID]],Batters[[#All],[PID]],0)),INDEX(Table3[[#All],[T]],MATCH(Table5[[#This Row],[PID]],Table3[[#All],[PID]],0)))</f>
        <v>R</v>
      </c>
      <c r="J705" s="52" t="str">
        <f>IF($C705="B",INDEX(Batters[[#All],[WE]],MATCH(Table5[[#This Row],[PID]],Batters[[#All],[PID]],0)),INDEX(Table3[[#All],[WE]],MATCH(Table5[[#This Row],[PID]],Table3[[#All],[PID]],0)))</f>
        <v>Normal</v>
      </c>
      <c r="K705" s="52" t="str">
        <f>IF($C705="B",INDEX(Batters[[#All],[INT]],MATCH(Table5[[#This Row],[PID]],Batters[[#All],[PID]],0)),INDEX(Table3[[#All],[INT]],MATCH(Table5[[#This Row],[PID]],Table3[[#All],[PID]],0)))</f>
        <v>High</v>
      </c>
      <c r="L705" s="60">
        <f>IF($C705="B",INDEX(Batters[[#All],[CON P]],MATCH(Table5[[#This Row],[PID]],Batters[[#All],[PID]],0)),INDEX(Table3[[#All],[STU P]],MATCH(Table5[[#This Row],[PID]],Table3[[#All],[PID]],0)))</f>
        <v>3</v>
      </c>
      <c r="M705" s="56">
        <f>IF($C705="B",INDEX(Batters[[#All],[GAP P]],MATCH(Table5[[#This Row],[PID]],Batters[[#All],[PID]],0)),INDEX(Table3[[#All],[MOV P]],MATCH(Table5[[#This Row],[PID]],Table3[[#All],[PID]],0)))</f>
        <v>2</v>
      </c>
      <c r="N705" s="56">
        <f>IF($C705="B",INDEX(Batters[[#All],[POW P]],MATCH(Table5[[#This Row],[PID]],Batters[[#All],[PID]],0)),INDEX(Table3[[#All],[CON P]],MATCH(Table5[[#This Row],[PID]],Table3[[#All],[PID]],0)))</f>
        <v>4</v>
      </c>
      <c r="O705" s="56" t="str">
        <f>IF($C705="B",INDEX(Batters[[#All],[EYE P]],MATCH(Table5[[#This Row],[PID]],Batters[[#All],[PID]],0)),INDEX(Table3[[#All],[VELO]],MATCH(Table5[[#This Row],[PID]],Table3[[#All],[PID]],0)))</f>
        <v>85-87 Mph</v>
      </c>
      <c r="P705" s="56">
        <f>IF($C705="B",INDEX(Batters[[#All],[K P]],MATCH(Table5[[#This Row],[PID]],Batters[[#All],[PID]],0)),INDEX(Table3[[#All],[STM]],MATCH(Table5[[#This Row],[PID]],Table3[[#All],[PID]],0)))</f>
        <v>7</v>
      </c>
      <c r="Q705" s="61">
        <f>IF($C705="B",INDEX(Batters[[#All],[Tot]],MATCH(Table5[[#This Row],[PID]],Batters[[#All],[PID]],0)),INDEX(Table3[[#All],[Tot]],MATCH(Table5[[#This Row],[PID]],Table3[[#All],[PID]],0)))</f>
        <v>35.308794972131807</v>
      </c>
      <c r="R705" s="52">
        <f>IF($C705="B",INDEX(Batters[[#All],[zScore]],MATCH(Table5[[#This Row],[PID]],Batters[[#All],[PID]],0)),INDEX(Table3[[#All],[zScore]],MATCH(Table5[[#This Row],[PID]],Table3[[#All],[PID]],0)))</f>
        <v>-3.7371109758704037E-2</v>
      </c>
      <c r="S705" s="58" t="str">
        <f>IF($C705="B",INDEX(Batters[[#All],[DEM]],MATCH(Table5[[#This Row],[PID]],Batters[[#All],[PID]],0)),INDEX(Table3[[#All],[DEM]],MATCH(Table5[[#This Row],[PID]],Table3[[#All],[PID]],0)))</f>
        <v>$65k</v>
      </c>
      <c r="T705" s="62">
        <f>IF($C705="B",INDEX(Batters[[#All],[Rnk]],MATCH(Table5[[#This Row],[PID]],Batters[[#All],[PID]],0)),INDEX(Table3[[#All],[Rnk]],MATCH(Table5[[#This Row],[PID]],Table3[[#All],[PID]],0)))</f>
        <v>320</v>
      </c>
      <c r="U705" s="68">
        <f>IF($C705="B",VLOOKUP($A705,Bat!$A$4:$BA$1621,47,FALSE),VLOOKUP($A705,Pit!$A$4:$BF$1557,56,FALSE))</f>
        <v>0</v>
      </c>
      <c r="V705" s="50">
        <f>IF($C705="B",VLOOKUP($A705,Bat!$A$4:$BA$1621,48,FALSE),VLOOKUP($A705,Pit!$A$4:$BF$1557,57,FALSE))</f>
        <v>0</v>
      </c>
      <c r="W705" s="50">
        <f>Table5[[#This Row],[posRnk]]+Table5[[#This Row],[zRnk]]+IF($W$3&lt;&gt;Table5[[#This Row],[Type]],50,0)</f>
        <v>940</v>
      </c>
      <c r="X705" s="51">
        <f>RANK(Table5[[#This Row],[zScore]],Table5[[#All],[zScore]])</f>
        <v>570</v>
      </c>
      <c r="Y705" s="50" t="str">
        <f>IFERROR(INDEX(DraftResults[[#All],[OVR]],MATCH(Table5[[#This Row],[PID]],DraftResults[[#All],[Player ID]],0)),"")</f>
        <v/>
      </c>
      <c r="Z7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5" s="50" t="str">
        <f>IFERROR(INDEX(DraftResults[[#All],[Pick in Round]],MATCH(Table5[[#This Row],[PID]],DraftResults[[#All],[Player ID]],0)),"")</f>
        <v/>
      </c>
      <c r="AB705" s="50" t="str">
        <f>IFERROR(INDEX(DraftResults[[#All],[Team Name]],MATCH(Table5[[#This Row],[PID]],DraftResults[[#All],[Player ID]],0)),"")</f>
        <v/>
      </c>
      <c r="AC705" s="50" t="str">
        <f>IF(Table5[[#This Row],[Ovr]]="","",IF(Table5[[#This Row],[cmbList]]="","",Table5[[#This Row],[cmbList]]-Table5[[#This Row],[Ovr]]))</f>
        <v/>
      </c>
      <c r="AD705" s="54" t="str">
        <f>IF(ISERROR(VLOOKUP($AB705&amp;"-"&amp;$E705&amp;" "&amp;F705,Bonuses!$B$1:$G$1006,4,FALSE)),"",INT(VLOOKUP($AB705&amp;"-"&amp;$E705&amp;" "&amp;$F705,Bonuses!$B$1:$G$1006,4,FALSE)))</f>
        <v/>
      </c>
      <c r="AE7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6" spans="1:31" s="50" customFormat="1" x14ac:dyDescent="0.25">
      <c r="A706" s="50">
        <v>20607</v>
      </c>
      <c r="B706" s="50">
        <f>COUNTIF(Table5[PID],A706)</f>
        <v>1</v>
      </c>
      <c r="C706" s="50" t="str">
        <f>IF(COUNTIF(Table3[[#All],[PID]],A706)&gt;0,"P","B")</f>
        <v>P</v>
      </c>
      <c r="D706" s="59" t="str">
        <f>IF($C706="B",INDEX(Batters[[#All],[POS]],MATCH(Table5[[#This Row],[PID]],Batters[[#All],[PID]],0)),INDEX(Table3[[#All],[POS]],MATCH(Table5[[#This Row],[PID]],Table3[[#All],[PID]],0)))</f>
        <v>CL</v>
      </c>
      <c r="E706" s="52" t="str">
        <f>IF($C706="B",INDEX(Batters[[#All],[First]],MATCH(Table5[[#This Row],[PID]],Batters[[#All],[PID]],0)),INDEX(Table3[[#All],[First]],MATCH(Table5[[#This Row],[PID]],Table3[[#All],[PID]],0)))</f>
        <v>Guo-quiang</v>
      </c>
      <c r="F706" s="50" t="str">
        <f>IF($C706="B",INDEX(Batters[[#All],[Last]],MATCH(A706,Batters[[#All],[PID]],0)),INDEX(Table3[[#All],[Last]],MATCH(A706,Table3[[#All],[PID]],0)))</f>
        <v>Zhang</v>
      </c>
      <c r="G706" s="56">
        <f>IF($C706="B",INDEX(Batters[[#All],[Age]],MATCH(Table5[[#This Row],[PID]],Batters[[#All],[PID]],0)),INDEX(Table3[[#All],[Age]],MATCH(Table5[[#This Row],[PID]],Table3[[#All],[PID]],0)))</f>
        <v>17</v>
      </c>
      <c r="H706" s="52" t="str">
        <f>IF($C706="B",INDEX(Batters[[#All],[B]],MATCH(Table5[[#This Row],[PID]],Batters[[#All],[PID]],0)),INDEX(Table3[[#All],[B]],MATCH(Table5[[#This Row],[PID]],Table3[[#All],[PID]],0)))</f>
        <v>R</v>
      </c>
      <c r="I706" s="52" t="str">
        <f>IF($C706="B",INDEX(Batters[[#All],[T]],MATCH(Table5[[#This Row],[PID]],Batters[[#All],[PID]],0)),INDEX(Table3[[#All],[T]],MATCH(Table5[[#This Row],[PID]],Table3[[#All],[PID]],0)))</f>
        <v>R</v>
      </c>
      <c r="J706" s="52" t="str">
        <f>IF($C706="B",INDEX(Batters[[#All],[WE]],MATCH(Table5[[#This Row],[PID]],Batters[[#All],[PID]],0)),INDEX(Table3[[#All],[WE]],MATCH(Table5[[#This Row],[PID]],Table3[[#All],[PID]],0)))</f>
        <v>Normal</v>
      </c>
      <c r="K706" s="52" t="str">
        <f>IF($C706="B",INDEX(Batters[[#All],[INT]],MATCH(Table5[[#This Row],[PID]],Batters[[#All],[PID]],0)),INDEX(Table3[[#All],[INT]],MATCH(Table5[[#This Row],[PID]],Table3[[#All],[PID]],0)))</f>
        <v>Normal</v>
      </c>
      <c r="L706" s="60">
        <f>IF($C706="B",INDEX(Batters[[#All],[CON P]],MATCH(Table5[[#This Row],[PID]],Batters[[#All],[PID]],0)),INDEX(Table3[[#All],[STU P]],MATCH(Table5[[#This Row],[PID]],Table3[[#All],[PID]],0)))</f>
        <v>6</v>
      </c>
      <c r="M706" s="56">
        <f>IF($C706="B",INDEX(Batters[[#All],[GAP P]],MATCH(Table5[[#This Row],[PID]],Batters[[#All],[PID]],0)),INDEX(Table3[[#All],[MOV P]],MATCH(Table5[[#This Row],[PID]],Table3[[#All],[PID]],0)))</f>
        <v>2</v>
      </c>
      <c r="N706" s="56">
        <f>IF($C706="B",INDEX(Batters[[#All],[POW P]],MATCH(Table5[[#This Row],[PID]],Batters[[#All],[PID]],0)),INDEX(Table3[[#All],[CON P]],MATCH(Table5[[#This Row],[PID]],Table3[[#All],[PID]],0)))</f>
        <v>3</v>
      </c>
      <c r="O706" s="56" t="str">
        <f>IF($C706="B",INDEX(Batters[[#All],[EYE P]],MATCH(Table5[[#This Row],[PID]],Batters[[#All],[PID]],0)),INDEX(Table3[[#All],[VELO]],MATCH(Table5[[#This Row],[PID]],Table3[[#All],[PID]],0)))</f>
        <v>90-92 Mph</v>
      </c>
      <c r="P706" s="56">
        <f>IF($C706="B",INDEX(Batters[[#All],[K P]],MATCH(Table5[[#This Row],[PID]],Batters[[#All],[PID]],0)),INDEX(Table3[[#All],[STM]],MATCH(Table5[[#This Row],[PID]],Table3[[#All],[PID]],0)))</f>
        <v>5</v>
      </c>
      <c r="Q706" s="61">
        <f>IF($C706="B",INDEX(Batters[[#All],[Tot]],MATCH(Table5[[#This Row],[PID]],Batters[[#All],[PID]],0)),INDEX(Table3[[#All],[Tot]],MATCH(Table5[[#This Row],[PID]],Table3[[#All],[PID]],0)))</f>
        <v>36.213669875300432</v>
      </c>
      <c r="R706" s="52">
        <f>IF($C706="B",INDEX(Batters[[#All],[zScore]],MATCH(Table5[[#This Row],[PID]],Batters[[#All],[PID]],0)),INDEX(Table3[[#All],[zScore]],MATCH(Table5[[#This Row],[PID]],Table3[[#All],[PID]],0)))</f>
        <v>-4.0943201677018218E-2</v>
      </c>
      <c r="S706" s="58" t="str">
        <f>IF($C706="B",INDEX(Batters[[#All],[DEM]],MATCH(Table5[[#This Row],[PID]],Batters[[#All],[PID]],0)),INDEX(Table3[[#All],[DEM]],MATCH(Table5[[#This Row],[PID]],Table3[[#All],[PID]],0)))</f>
        <v>$110k</v>
      </c>
      <c r="T706" s="62">
        <f>IF($C706="B",INDEX(Batters[[#All],[Rnk]],MATCH(Table5[[#This Row],[PID]],Batters[[#All],[PID]],0)),INDEX(Table3[[#All],[Rnk]],MATCH(Table5[[#This Row],[PID]],Table3[[#All],[PID]],0)))</f>
        <v>321</v>
      </c>
      <c r="U706" s="68">
        <f>IF($C706="B",VLOOKUP($A706,Bat!$A$4:$BA$1621,47,FALSE),VLOOKUP($A706,Pit!$A$4:$BF$1557,56,FALSE))</f>
        <v>0</v>
      </c>
      <c r="V706" s="50">
        <f>IF($C706="B",VLOOKUP($A706,Bat!$A$4:$BA$1621,48,FALSE),VLOOKUP($A706,Pit!$A$4:$BF$1557,57,FALSE))</f>
        <v>0</v>
      </c>
      <c r="W706" s="50">
        <f>Table5[[#This Row],[posRnk]]+Table5[[#This Row],[zRnk]]+IF($W$3&lt;&gt;Table5[[#This Row],[Type]],50,0)</f>
        <v>944</v>
      </c>
      <c r="X706" s="51">
        <f>RANK(Table5[[#This Row],[zScore]],Table5[[#All],[zScore]])</f>
        <v>573</v>
      </c>
      <c r="Y706" s="50" t="str">
        <f>IFERROR(INDEX(DraftResults[[#All],[OVR]],MATCH(Table5[[#This Row],[PID]],DraftResults[[#All],[Player ID]],0)),"")</f>
        <v/>
      </c>
      <c r="Z7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6" s="50" t="str">
        <f>IFERROR(INDEX(DraftResults[[#All],[Pick in Round]],MATCH(Table5[[#This Row],[PID]],DraftResults[[#All],[Player ID]],0)),"")</f>
        <v/>
      </c>
      <c r="AB706" s="50" t="str">
        <f>IFERROR(INDEX(DraftResults[[#All],[Team Name]],MATCH(Table5[[#This Row],[PID]],DraftResults[[#All],[Player ID]],0)),"")</f>
        <v/>
      </c>
      <c r="AC706" s="50" t="str">
        <f>IF(Table5[[#This Row],[Ovr]]="","",IF(Table5[[#This Row],[cmbList]]="","",Table5[[#This Row],[cmbList]]-Table5[[#This Row],[Ovr]]))</f>
        <v/>
      </c>
      <c r="AD706" s="54" t="str">
        <f>IF(ISERROR(VLOOKUP($AB706&amp;"-"&amp;$E706&amp;" "&amp;F706,Bonuses!$B$1:$G$1006,4,FALSE)),"",INT(VLOOKUP($AB706&amp;"-"&amp;$E706&amp;" "&amp;$F706,Bonuses!$B$1:$G$1006,4,FALSE)))</f>
        <v/>
      </c>
      <c r="AE7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7" spans="1:31" s="50" customFormat="1" x14ac:dyDescent="0.25">
      <c r="A707" s="68">
        <v>17898</v>
      </c>
      <c r="B707" s="69">
        <f>COUNTIF(Table5[PID],A707)</f>
        <v>1</v>
      </c>
      <c r="C707" s="69" t="str">
        <f>IF(COUNTIF(Table3[[#All],[PID]],A707)&gt;0,"P","B")</f>
        <v>P</v>
      </c>
      <c r="D707" s="59" t="str">
        <f>IF($C707="B",INDEX(Batters[[#All],[POS]],MATCH(Table5[[#This Row],[PID]],Batters[[#All],[PID]],0)),INDEX(Table3[[#All],[POS]],MATCH(Table5[[#This Row],[PID]],Table3[[#All],[PID]],0)))</f>
        <v>SP</v>
      </c>
      <c r="E707" s="52" t="str">
        <f>IF($C707="B",INDEX(Batters[[#All],[First]],MATCH(Table5[[#This Row],[PID]],Batters[[#All],[PID]],0)),INDEX(Table3[[#All],[First]],MATCH(Table5[[#This Row],[PID]],Table3[[#All],[PID]],0)))</f>
        <v>Nobuhisa</v>
      </c>
      <c r="F707" s="55" t="str">
        <f>IF($C707="B",INDEX(Batters[[#All],[Last]],MATCH(A707,Batters[[#All],[PID]],0)),INDEX(Table3[[#All],[Last]],MATCH(A707,Table3[[#All],[PID]],0)))</f>
        <v>Nakayama</v>
      </c>
      <c r="G707" s="56">
        <f>IF($C707="B",INDEX(Batters[[#All],[Age]],MATCH(Table5[[#This Row],[PID]],Batters[[#All],[PID]],0)),INDEX(Table3[[#All],[Age]],MATCH(Table5[[#This Row],[PID]],Table3[[#All],[PID]],0)))</f>
        <v>18</v>
      </c>
      <c r="H707" s="52" t="str">
        <f>IF($C707="B",INDEX(Batters[[#All],[B]],MATCH(Table5[[#This Row],[PID]],Batters[[#All],[PID]],0)),INDEX(Table3[[#All],[B]],MATCH(Table5[[#This Row],[PID]],Table3[[#All],[PID]],0)))</f>
        <v>L</v>
      </c>
      <c r="I707" s="52" t="str">
        <f>IF($C707="B",INDEX(Batters[[#All],[T]],MATCH(Table5[[#This Row],[PID]],Batters[[#All],[PID]],0)),INDEX(Table3[[#All],[T]],MATCH(Table5[[#This Row],[PID]],Table3[[#All],[PID]],0)))</f>
        <v>L</v>
      </c>
      <c r="J707" s="71" t="str">
        <f>IF($C707="B",INDEX(Batters[[#All],[WE]],MATCH(Table5[[#This Row],[PID]],Batters[[#All],[PID]],0)),INDEX(Table3[[#All],[WE]],MATCH(Table5[[#This Row],[PID]],Table3[[#All],[PID]],0)))</f>
        <v>Normal</v>
      </c>
      <c r="K707" s="52" t="str">
        <f>IF($C707="B",INDEX(Batters[[#All],[INT]],MATCH(Table5[[#This Row],[PID]],Batters[[#All],[PID]],0)),INDEX(Table3[[#All],[INT]],MATCH(Table5[[#This Row],[PID]],Table3[[#All],[PID]],0)))</f>
        <v>Normal</v>
      </c>
      <c r="L707" s="60">
        <f>IF($C707="B",INDEX(Batters[[#All],[CON P]],MATCH(Table5[[#This Row],[PID]],Batters[[#All],[PID]],0)),INDEX(Table3[[#All],[STU P]],MATCH(Table5[[#This Row],[PID]],Table3[[#All],[PID]],0)))</f>
        <v>4</v>
      </c>
      <c r="M707" s="72">
        <f>IF($C707="B",INDEX(Batters[[#All],[GAP P]],MATCH(Table5[[#This Row],[PID]],Batters[[#All],[PID]],0)),INDEX(Table3[[#All],[MOV P]],MATCH(Table5[[#This Row],[PID]],Table3[[#All],[PID]],0)))</f>
        <v>3</v>
      </c>
      <c r="N707" s="72">
        <f>IF($C707="B",INDEX(Batters[[#All],[POW P]],MATCH(Table5[[#This Row],[PID]],Batters[[#All],[PID]],0)),INDEX(Table3[[#All],[CON P]],MATCH(Table5[[#This Row],[PID]],Table3[[#All],[PID]],0)))</f>
        <v>2</v>
      </c>
      <c r="O707" s="72" t="str">
        <f>IF($C707="B",INDEX(Batters[[#All],[EYE P]],MATCH(Table5[[#This Row],[PID]],Batters[[#All],[PID]],0)),INDEX(Table3[[#All],[VELO]],MATCH(Table5[[#This Row],[PID]],Table3[[#All],[PID]],0)))</f>
        <v>92-94 Mph</v>
      </c>
      <c r="P707" s="56">
        <f>IF($C707="B",INDEX(Batters[[#All],[K P]],MATCH(Table5[[#This Row],[PID]],Batters[[#All],[PID]],0)),INDEX(Table3[[#All],[STM]],MATCH(Table5[[#This Row],[PID]],Table3[[#All],[PID]],0)))</f>
        <v>6</v>
      </c>
      <c r="Q707" s="61">
        <f>IF($C707="B",INDEX(Batters[[#All],[Tot]],MATCH(Table5[[#This Row],[PID]],Batters[[#All],[PID]],0)),INDEX(Table3[[#All],[Tot]],MATCH(Table5[[#This Row],[PID]],Table3[[#All],[PID]],0)))</f>
        <v>35.194020028198167</v>
      </c>
      <c r="R707" s="52">
        <f>IF($C707="B",INDEX(Batters[[#All],[zScore]],MATCH(Table5[[#This Row],[PID]],Batters[[#All],[PID]],0)),INDEX(Table3[[#All],[zScore]],MATCH(Table5[[#This Row],[PID]],Table3[[#All],[PID]],0)))</f>
        <v>-4.5006911390002381E-2</v>
      </c>
      <c r="S707" s="78" t="str">
        <f>IF($C707="B",INDEX(Batters[[#All],[DEM]],MATCH(Table5[[#This Row],[PID]],Batters[[#All],[PID]],0)),INDEX(Table3[[#All],[DEM]],MATCH(Table5[[#This Row],[PID]],Table3[[#All],[PID]],0)))</f>
        <v>$75k</v>
      </c>
      <c r="T707" s="75">
        <f>IF($C707="B",INDEX(Batters[[#All],[Rnk]],MATCH(Table5[[#This Row],[PID]],Batters[[#All],[PID]],0)),INDEX(Table3[[#All],[Rnk]],MATCH(Table5[[#This Row],[PID]],Table3[[#All],[PID]],0)))</f>
        <v>322</v>
      </c>
      <c r="U707" s="68">
        <f>IF($C707="B",VLOOKUP($A707,Bat!$A$4:$BA$1621,47,FALSE),VLOOKUP($A707,Pit!$A$4:$BF$1557,56,FALSE))</f>
        <v>0</v>
      </c>
      <c r="V707" s="50">
        <f>IF($C707="B",VLOOKUP($A707,Bat!$A$4:$BA$1621,48,FALSE),VLOOKUP($A707,Pit!$A$4:$BF$1557,57,FALSE))</f>
        <v>0</v>
      </c>
      <c r="W707" s="69">
        <f>Table5[[#This Row],[posRnk]]+Table5[[#This Row],[zRnk]]+IF($W$3&lt;&gt;Table5[[#This Row],[Type]],50,0)</f>
        <v>947</v>
      </c>
      <c r="X707" s="73">
        <f>RANK(Table5[[#This Row],[zScore]],Table5[[#All],[zScore]])</f>
        <v>575</v>
      </c>
      <c r="Y707" s="69" t="str">
        <f>IFERROR(INDEX(DraftResults[[#All],[OVR]],MATCH(Table5[[#This Row],[PID]],DraftResults[[#All],[Player ID]],0)),"")</f>
        <v/>
      </c>
      <c r="Z70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7" s="69" t="str">
        <f>IFERROR(INDEX(DraftResults[[#All],[Pick in Round]],MATCH(Table5[[#This Row],[PID]],DraftResults[[#All],[Player ID]],0)),"")</f>
        <v/>
      </c>
      <c r="AB707" s="69" t="str">
        <f>IFERROR(INDEX(DraftResults[[#All],[Team Name]],MATCH(Table5[[#This Row],[PID]],DraftResults[[#All],[Player ID]],0)),"")</f>
        <v/>
      </c>
      <c r="AC707" s="69" t="str">
        <f>IF(Table5[[#This Row],[Ovr]]="","",IF(Table5[[#This Row],[cmbList]]="","",Table5[[#This Row],[cmbList]]-Table5[[#This Row],[Ovr]]))</f>
        <v/>
      </c>
      <c r="AD707" s="77" t="str">
        <f>IF(ISERROR(VLOOKUP($AB707&amp;"-"&amp;$E707&amp;" "&amp;F707,Bonuses!$B$1:$G$1006,4,FALSE)),"",INT(VLOOKUP($AB707&amp;"-"&amp;$E707&amp;" "&amp;$F707,Bonuses!$B$1:$G$1006,4,FALSE)))</f>
        <v/>
      </c>
      <c r="AE70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8" spans="1:31" s="50" customFormat="1" x14ac:dyDescent="0.25">
      <c r="A708" s="50">
        <v>12178</v>
      </c>
      <c r="B708" s="50">
        <f>COUNTIF(Table5[PID],A708)</f>
        <v>1</v>
      </c>
      <c r="C708" s="50" t="str">
        <f>IF(COUNTIF(Table3[[#All],[PID]],A708)&gt;0,"P","B")</f>
        <v>P</v>
      </c>
      <c r="D708" s="59" t="str">
        <f>IF($C708="B",INDEX(Batters[[#All],[POS]],MATCH(Table5[[#This Row],[PID]],Batters[[#All],[PID]],0)),INDEX(Table3[[#All],[POS]],MATCH(Table5[[#This Row],[PID]],Table3[[#All],[PID]],0)))</f>
        <v>RP</v>
      </c>
      <c r="E708" s="52" t="str">
        <f>IF($C708="B",INDEX(Batters[[#All],[First]],MATCH(Table5[[#This Row],[PID]],Batters[[#All],[PID]],0)),INDEX(Table3[[#All],[First]],MATCH(Table5[[#This Row],[PID]],Table3[[#All],[PID]],0)))</f>
        <v>Edgar</v>
      </c>
      <c r="F708" s="50" t="str">
        <f>IF($C708="B",INDEX(Batters[[#All],[Last]],MATCH(A708,Batters[[#All],[PID]],0)),INDEX(Table3[[#All],[Last]],MATCH(A708,Table3[[#All],[PID]],0)))</f>
        <v>Árias</v>
      </c>
      <c r="G708" s="56">
        <f>IF($C708="B",INDEX(Batters[[#All],[Age]],MATCH(Table5[[#This Row],[PID]],Batters[[#All],[PID]],0)),INDEX(Table3[[#All],[Age]],MATCH(Table5[[#This Row],[PID]],Table3[[#All],[PID]],0)))</f>
        <v>18</v>
      </c>
      <c r="H708" s="52" t="str">
        <f>IF($C708="B",INDEX(Batters[[#All],[B]],MATCH(Table5[[#This Row],[PID]],Batters[[#All],[PID]],0)),INDEX(Table3[[#All],[B]],MATCH(Table5[[#This Row],[PID]],Table3[[#All],[PID]],0)))</f>
        <v>R</v>
      </c>
      <c r="I708" s="52" t="str">
        <f>IF($C708="B",INDEX(Batters[[#All],[T]],MATCH(Table5[[#This Row],[PID]],Batters[[#All],[PID]],0)),INDEX(Table3[[#All],[T]],MATCH(Table5[[#This Row],[PID]],Table3[[#All],[PID]],0)))</f>
        <v>R</v>
      </c>
      <c r="J708" s="52" t="str">
        <f>IF($C708="B",INDEX(Batters[[#All],[WE]],MATCH(Table5[[#This Row],[PID]],Batters[[#All],[PID]],0)),INDEX(Table3[[#All],[WE]],MATCH(Table5[[#This Row],[PID]],Table3[[#All],[PID]],0)))</f>
        <v>Normal</v>
      </c>
      <c r="K708" s="52" t="str">
        <f>IF($C708="B",INDEX(Batters[[#All],[INT]],MATCH(Table5[[#This Row],[PID]],Batters[[#All],[PID]],0)),INDEX(Table3[[#All],[INT]],MATCH(Table5[[#This Row],[PID]],Table3[[#All],[PID]],0)))</f>
        <v>Low</v>
      </c>
      <c r="L708" s="60">
        <f>IF($C708="B",INDEX(Batters[[#All],[CON P]],MATCH(Table5[[#This Row],[PID]],Batters[[#All],[PID]],0)),INDEX(Table3[[#All],[STU P]],MATCH(Table5[[#This Row],[PID]],Table3[[#All],[PID]],0)))</f>
        <v>3</v>
      </c>
      <c r="M708" s="56">
        <f>IF($C708="B",INDEX(Batters[[#All],[GAP P]],MATCH(Table5[[#This Row],[PID]],Batters[[#All],[PID]],0)),INDEX(Table3[[#All],[MOV P]],MATCH(Table5[[#This Row],[PID]],Table3[[#All],[PID]],0)))</f>
        <v>3</v>
      </c>
      <c r="N708" s="56">
        <f>IF($C708="B",INDEX(Batters[[#All],[POW P]],MATCH(Table5[[#This Row],[PID]],Batters[[#All],[PID]],0)),INDEX(Table3[[#All],[CON P]],MATCH(Table5[[#This Row],[PID]],Table3[[#All],[PID]],0)))</f>
        <v>3</v>
      </c>
      <c r="O708" s="56" t="str">
        <f>IF($C708="B",INDEX(Batters[[#All],[EYE P]],MATCH(Table5[[#This Row],[PID]],Batters[[#All],[PID]],0)),INDEX(Table3[[#All],[VELO]],MATCH(Table5[[#This Row],[PID]],Table3[[#All],[PID]],0)))</f>
        <v>84-86 Mph</v>
      </c>
      <c r="P708" s="56">
        <f>IF($C708="B",INDEX(Batters[[#All],[K P]],MATCH(Table5[[#This Row],[PID]],Batters[[#All],[PID]],0)),INDEX(Table3[[#All],[STM]],MATCH(Table5[[#This Row],[PID]],Table3[[#All],[PID]],0)))</f>
        <v>6</v>
      </c>
      <c r="Q708" s="61">
        <f>IF($C708="B",INDEX(Batters[[#All],[Tot]],MATCH(Table5[[#This Row],[PID]],Batters[[#All],[PID]],0)),INDEX(Table3[[#All],[Tot]],MATCH(Table5[[#This Row],[PID]],Table3[[#All],[PID]],0)))</f>
        <v>35.182592887040634</v>
      </c>
      <c r="R708" s="52">
        <f>IF($C708="B",INDEX(Batters[[#All],[zScore]],MATCH(Table5[[#This Row],[PID]],Batters[[#All],[PID]],0)),INDEX(Table3[[#All],[zScore]],MATCH(Table5[[#This Row],[PID]],Table3[[#All],[PID]],0)))</f>
        <v>-4.5767141629297618E-2</v>
      </c>
      <c r="S708" s="58" t="str">
        <f>IF($C708="B",INDEX(Batters[[#All],[DEM]],MATCH(Table5[[#This Row],[PID]],Batters[[#All],[PID]],0)),INDEX(Table3[[#All],[DEM]],MATCH(Table5[[#This Row],[PID]],Table3[[#All],[PID]],0)))</f>
        <v>$80k</v>
      </c>
      <c r="T708" s="62">
        <f>IF($C708="B",INDEX(Batters[[#All],[Rnk]],MATCH(Table5[[#This Row],[PID]],Batters[[#All],[PID]],0)),INDEX(Table3[[#All],[Rnk]],MATCH(Table5[[#This Row],[PID]],Table3[[#All],[PID]],0)))</f>
        <v>323</v>
      </c>
      <c r="U708" s="68">
        <f>IF($C708="B",VLOOKUP($A708,Bat!$A$4:$BA$1621,47,FALSE),VLOOKUP($A708,Pit!$A$4:$BF$1557,56,FALSE))</f>
        <v>0</v>
      </c>
      <c r="V708" s="50">
        <f>IF($C708="B",VLOOKUP($A708,Bat!$A$4:$BA$1621,48,FALSE),VLOOKUP($A708,Pit!$A$4:$BF$1557,57,FALSE))</f>
        <v>0</v>
      </c>
      <c r="W708" s="50">
        <f>Table5[[#This Row],[posRnk]]+Table5[[#This Row],[zRnk]]+IF($W$3&lt;&gt;Table5[[#This Row],[Type]],50,0)</f>
        <v>949</v>
      </c>
      <c r="X708" s="51">
        <f>RANK(Table5[[#This Row],[zScore]],Table5[[#All],[zScore]])</f>
        <v>576</v>
      </c>
      <c r="Y708" s="50" t="str">
        <f>IFERROR(INDEX(DraftResults[[#All],[OVR]],MATCH(Table5[[#This Row],[PID]],DraftResults[[#All],[Player ID]],0)),"")</f>
        <v/>
      </c>
      <c r="Z7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8" s="50" t="str">
        <f>IFERROR(INDEX(DraftResults[[#All],[Pick in Round]],MATCH(Table5[[#This Row],[PID]],DraftResults[[#All],[Player ID]],0)),"")</f>
        <v/>
      </c>
      <c r="AB708" s="50" t="str">
        <f>IFERROR(INDEX(DraftResults[[#All],[Team Name]],MATCH(Table5[[#This Row],[PID]],DraftResults[[#All],[Player ID]],0)),"")</f>
        <v/>
      </c>
      <c r="AC708" s="50" t="str">
        <f>IF(Table5[[#This Row],[Ovr]]="","",IF(Table5[[#This Row],[cmbList]]="","",Table5[[#This Row],[cmbList]]-Table5[[#This Row],[Ovr]]))</f>
        <v/>
      </c>
      <c r="AD708" s="54" t="str">
        <f>IF(ISERROR(VLOOKUP($AB708&amp;"-"&amp;$E708&amp;" "&amp;F708,Bonuses!$B$1:$G$1006,4,FALSE)),"",INT(VLOOKUP($AB708&amp;"-"&amp;$E708&amp;" "&amp;$F708,Bonuses!$B$1:$G$1006,4,FALSE)))</f>
        <v/>
      </c>
      <c r="AE7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09" spans="1:31" s="50" customFormat="1" x14ac:dyDescent="0.25">
      <c r="A709" s="68">
        <v>20376</v>
      </c>
      <c r="B709" s="69">
        <f>COUNTIF(Table5[PID],A709)</f>
        <v>1</v>
      </c>
      <c r="C709" s="69" t="str">
        <f>IF(COUNTIF(Table3[[#All],[PID]],A709)&gt;0,"P","B")</f>
        <v>P</v>
      </c>
      <c r="D709" s="59" t="str">
        <f>IF($C709="B",INDEX(Batters[[#All],[POS]],MATCH(Table5[[#This Row],[PID]],Batters[[#All],[PID]],0)),INDEX(Table3[[#All],[POS]],MATCH(Table5[[#This Row],[PID]],Table3[[#All],[PID]],0)))</f>
        <v>SP</v>
      </c>
      <c r="E709" s="52" t="str">
        <f>IF($C709="B",INDEX(Batters[[#All],[First]],MATCH(Table5[[#This Row],[PID]],Batters[[#All],[PID]],0)),INDEX(Table3[[#All],[First]],MATCH(Table5[[#This Row],[PID]],Table3[[#All],[PID]],0)))</f>
        <v>Alan</v>
      </c>
      <c r="F709" s="55" t="str">
        <f>IF($C709="B",INDEX(Batters[[#All],[Last]],MATCH(A709,Batters[[#All],[PID]],0)),INDEX(Table3[[#All],[Last]],MATCH(A709,Table3[[#All],[PID]],0)))</f>
        <v>Todd</v>
      </c>
      <c r="G709" s="56">
        <f>IF($C709="B",INDEX(Batters[[#All],[Age]],MATCH(Table5[[#This Row],[PID]],Batters[[#All],[PID]],0)),INDEX(Table3[[#All],[Age]],MATCH(Table5[[#This Row],[PID]],Table3[[#All],[PID]],0)))</f>
        <v>17</v>
      </c>
      <c r="H709" s="52" t="str">
        <f>IF($C709="B",INDEX(Batters[[#All],[B]],MATCH(Table5[[#This Row],[PID]],Batters[[#All],[PID]],0)),INDEX(Table3[[#All],[B]],MATCH(Table5[[#This Row],[PID]],Table3[[#All],[PID]],0)))</f>
        <v>R</v>
      </c>
      <c r="I709" s="52" t="str">
        <f>IF($C709="B",INDEX(Batters[[#All],[T]],MATCH(Table5[[#This Row],[PID]],Batters[[#All],[PID]],0)),INDEX(Table3[[#All],[T]],MATCH(Table5[[#This Row],[PID]],Table3[[#All],[PID]],0)))</f>
        <v>R</v>
      </c>
      <c r="J709" s="71" t="str">
        <f>IF($C709="B",INDEX(Batters[[#All],[WE]],MATCH(Table5[[#This Row],[PID]],Batters[[#All],[PID]],0)),INDEX(Table3[[#All],[WE]],MATCH(Table5[[#This Row],[PID]],Table3[[#All],[PID]],0)))</f>
        <v>Low</v>
      </c>
      <c r="K709" s="52" t="str">
        <f>IF($C709="B",INDEX(Batters[[#All],[INT]],MATCH(Table5[[#This Row],[PID]],Batters[[#All],[PID]],0)),INDEX(Table3[[#All],[INT]],MATCH(Table5[[#This Row],[PID]],Table3[[#All],[PID]],0)))</f>
        <v>Normal</v>
      </c>
      <c r="L709" s="60">
        <f>IF($C709="B",INDEX(Batters[[#All],[CON P]],MATCH(Table5[[#This Row],[PID]],Batters[[#All],[PID]],0)),INDEX(Table3[[#All],[STU P]],MATCH(Table5[[#This Row],[PID]],Table3[[#All],[PID]],0)))</f>
        <v>4</v>
      </c>
      <c r="M709" s="72">
        <f>IF($C709="B",INDEX(Batters[[#All],[GAP P]],MATCH(Table5[[#This Row],[PID]],Batters[[#All],[PID]],0)),INDEX(Table3[[#All],[MOV P]],MATCH(Table5[[#This Row],[PID]],Table3[[#All],[PID]],0)))</f>
        <v>2</v>
      </c>
      <c r="N709" s="72">
        <f>IF($C709="B",INDEX(Batters[[#All],[POW P]],MATCH(Table5[[#This Row],[PID]],Batters[[#All],[PID]],0)),INDEX(Table3[[#All],[CON P]],MATCH(Table5[[#This Row],[PID]],Table3[[#All],[PID]],0)))</f>
        <v>3</v>
      </c>
      <c r="O709" s="72" t="str">
        <f>IF($C709="B",INDEX(Batters[[#All],[EYE P]],MATCH(Table5[[#This Row],[PID]],Batters[[#All],[PID]],0)),INDEX(Table3[[#All],[VELO]],MATCH(Table5[[#This Row],[PID]],Table3[[#All],[PID]],0)))</f>
        <v>86-88 Mph</v>
      </c>
      <c r="P709" s="56">
        <f>IF($C709="B",INDEX(Batters[[#All],[K P]],MATCH(Table5[[#This Row],[PID]],Batters[[#All],[PID]],0)),INDEX(Table3[[#All],[STM]],MATCH(Table5[[#This Row],[PID]],Table3[[#All],[PID]],0)))</f>
        <v>8</v>
      </c>
      <c r="Q709" s="61">
        <f>IF($C709="B",INDEX(Batters[[#All],[Tot]],MATCH(Table5[[#This Row],[PID]],Batters[[#All],[PID]],0)),INDEX(Table3[[#All],[Tot]],MATCH(Table5[[#This Row],[PID]],Table3[[#All],[PID]],0)))</f>
        <v>36.141707356656291</v>
      </c>
      <c r="R709" s="52">
        <f>IF($C709="B",INDEX(Batters[[#All],[zScore]],MATCH(Table5[[#This Row],[PID]],Batters[[#All],[PID]],0)),INDEX(Table3[[#All],[zScore]],MATCH(Table5[[#This Row],[PID]],Table3[[#All],[PID]],0)))</f>
        <v>-4.615058694512774E-2</v>
      </c>
      <c r="S709" s="78" t="str">
        <f>IF($C709="B",INDEX(Batters[[#All],[DEM]],MATCH(Table5[[#This Row],[PID]],Batters[[#All],[PID]],0)),INDEX(Table3[[#All],[DEM]],MATCH(Table5[[#This Row],[PID]],Table3[[#All],[PID]],0)))</f>
        <v>$65k</v>
      </c>
      <c r="T709" s="75">
        <f>IF($C709="B",INDEX(Batters[[#All],[Rnk]],MATCH(Table5[[#This Row],[PID]],Batters[[#All],[PID]],0)),INDEX(Table3[[#All],[Rnk]],MATCH(Table5[[#This Row],[PID]],Table3[[#All],[PID]],0)))</f>
        <v>324</v>
      </c>
      <c r="U709" s="68">
        <f>IF($C709="B",VLOOKUP($A709,Bat!$A$4:$BA$1621,47,FALSE),VLOOKUP($A709,Pit!$A$4:$BF$1557,56,FALSE))</f>
        <v>0</v>
      </c>
      <c r="V709" s="50">
        <f>IF($C709="B",VLOOKUP($A709,Bat!$A$4:$BA$1621,48,FALSE),VLOOKUP($A709,Pit!$A$4:$BF$1557,57,FALSE))</f>
        <v>0</v>
      </c>
      <c r="W709" s="69">
        <f>Table5[[#This Row],[posRnk]]+Table5[[#This Row],[zRnk]]+IF($W$3&lt;&gt;Table5[[#This Row],[Type]],50,0)</f>
        <v>951</v>
      </c>
      <c r="X709" s="73">
        <f>RANK(Table5[[#This Row],[zScore]],Table5[[#All],[zScore]])</f>
        <v>577</v>
      </c>
      <c r="Y709" s="69" t="str">
        <f>IFERROR(INDEX(DraftResults[[#All],[OVR]],MATCH(Table5[[#This Row],[PID]],DraftResults[[#All],[Player ID]],0)),"")</f>
        <v/>
      </c>
      <c r="Z70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09" s="69" t="str">
        <f>IFERROR(INDEX(DraftResults[[#All],[Pick in Round]],MATCH(Table5[[#This Row],[PID]],DraftResults[[#All],[Player ID]],0)),"")</f>
        <v/>
      </c>
      <c r="AB709" s="69" t="str">
        <f>IFERROR(INDEX(DraftResults[[#All],[Team Name]],MATCH(Table5[[#This Row],[PID]],DraftResults[[#All],[Player ID]],0)),"")</f>
        <v/>
      </c>
      <c r="AC709" s="69" t="str">
        <f>IF(Table5[[#This Row],[Ovr]]="","",IF(Table5[[#This Row],[cmbList]]="","",Table5[[#This Row],[cmbList]]-Table5[[#This Row],[Ovr]]))</f>
        <v/>
      </c>
      <c r="AD709" s="77" t="str">
        <f>IF(ISERROR(VLOOKUP($AB709&amp;"-"&amp;$E709&amp;" "&amp;F709,Bonuses!$B$1:$G$1006,4,FALSE)),"",INT(VLOOKUP($AB709&amp;"-"&amp;$E709&amp;" "&amp;$F709,Bonuses!$B$1:$G$1006,4,FALSE)))</f>
        <v/>
      </c>
      <c r="AE70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0" spans="1:31" s="50" customFormat="1" x14ac:dyDescent="0.25">
      <c r="A710" s="50">
        <v>20732</v>
      </c>
      <c r="B710" s="50">
        <f>COUNTIF(Table5[PID],A710)</f>
        <v>1</v>
      </c>
      <c r="C710" s="50" t="str">
        <f>IF(COUNTIF(Table3[[#All],[PID]],A710)&gt;0,"P","B")</f>
        <v>P</v>
      </c>
      <c r="D710" s="59" t="str">
        <f>IF($C710="B",INDEX(Batters[[#All],[POS]],MATCH(Table5[[#This Row],[PID]],Batters[[#All],[PID]],0)),INDEX(Table3[[#All],[POS]],MATCH(Table5[[#This Row],[PID]],Table3[[#All],[PID]],0)))</f>
        <v>RP</v>
      </c>
      <c r="E710" s="52" t="str">
        <f>IF($C710="B",INDEX(Batters[[#All],[First]],MATCH(Table5[[#This Row],[PID]],Batters[[#All],[PID]],0)),INDEX(Table3[[#All],[First]],MATCH(Table5[[#This Row],[PID]],Table3[[#All],[PID]],0)))</f>
        <v>Francisco</v>
      </c>
      <c r="F710" s="50" t="str">
        <f>IF($C710="B",INDEX(Batters[[#All],[Last]],MATCH(A710,Batters[[#All],[PID]],0)),INDEX(Table3[[#All],[Last]],MATCH(A710,Table3[[#All],[PID]],0)))</f>
        <v>Zapata</v>
      </c>
      <c r="G710" s="56">
        <f>IF($C710="B",INDEX(Batters[[#All],[Age]],MATCH(Table5[[#This Row],[PID]],Batters[[#All],[PID]],0)),INDEX(Table3[[#All],[Age]],MATCH(Table5[[#This Row],[PID]],Table3[[#All],[PID]],0)))</f>
        <v>19</v>
      </c>
      <c r="H710" s="52" t="str">
        <f>IF($C710="B",INDEX(Batters[[#All],[B]],MATCH(Table5[[#This Row],[PID]],Batters[[#All],[PID]],0)),INDEX(Table3[[#All],[B]],MATCH(Table5[[#This Row],[PID]],Table3[[#All],[PID]],0)))</f>
        <v>R</v>
      </c>
      <c r="I710" s="52" t="str">
        <f>IF($C710="B",INDEX(Batters[[#All],[T]],MATCH(Table5[[#This Row],[PID]],Batters[[#All],[PID]],0)),INDEX(Table3[[#All],[T]],MATCH(Table5[[#This Row],[PID]],Table3[[#All],[PID]],0)))</f>
        <v>R</v>
      </c>
      <c r="J710" s="52" t="str">
        <f>IF($C710="B",INDEX(Batters[[#All],[WE]],MATCH(Table5[[#This Row],[PID]],Batters[[#All],[PID]],0)),INDEX(Table3[[#All],[WE]],MATCH(Table5[[#This Row],[PID]],Table3[[#All],[PID]],0)))</f>
        <v>Low</v>
      </c>
      <c r="K710" s="52" t="str">
        <f>IF($C710="B",INDEX(Batters[[#All],[INT]],MATCH(Table5[[#This Row],[PID]],Batters[[#All],[PID]],0)),INDEX(Table3[[#All],[INT]],MATCH(Table5[[#This Row],[PID]],Table3[[#All],[PID]],0)))</f>
        <v>Normal</v>
      </c>
      <c r="L710" s="60">
        <f>IF($C710="B",INDEX(Batters[[#All],[CON P]],MATCH(Table5[[#This Row],[PID]],Batters[[#All],[PID]],0)),INDEX(Table3[[#All],[STU P]],MATCH(Table5[[#This Row],[PID]],Table3[[#All],[PID]],0)))</f>
        <v>6</v>
      </c>
      <c r="M710" s="56">
        <f>IF($C710="B",INDEX(Batters[[#All],[GAP P]],MATCH(Table5[[#This Row],[PID]],Batters[[#All],[PID]],0)),INDEX(Table3[[#All],[MOV P]],MATCH(Table5[[#This Row],[PID]],Table3[[#All],[PID]],0)))</f>
        <v>2</v>
      </c>
      <c r="N710" s="56">
        <f>IF($C710="B",INDEX(Batters[[#All],[POW P]],MATCH(Table5[[#This Row],[PID]],Batters[[#All],[PID]],0)),INDEX(Table3[[#All],[CON P]],MATCH(Table5[[#This Row],[PID]],Table3[[#All],[PID]],0)))</f>
        <v>3</v>
      </c>
      <c r="O710" s="56" t="str">
        <f>IF($C710="B",INDEX(Batters[[#All],[EYE P]],MATCH(Table5[[#This Row],[PID]],Batters[[#All],[PID]],0)),INDEX(Table3[[#All],[VELO]],MATCH(Table5[[#This Row],[PID]],Table3[[#All],[PID]],0)))</f>
        <v>90-92 Mph</v>
      </c>
      <c r="P710" s="56">
        <f>IF($C710="B",INDEX(Batters[[#All],[K P]],MATCH(Table5[[#This Row],[PID]],Batters[[#All],[PID]],0)),INDEX(Table3[[#All],[STM]],MATCH(Table5[[#This Row],[PID]],Table3[[#All],[PID]],0)))</f>
        <v>3</v>
      </c>
      <c r="Q710" s="61">
        <f>IF($C710="B",INDEX(Batters[[#All],[Tot]],MATCH(Table5[[#This Row],[PID]],Batters[[#All],[PID]],0)),INDEX(Table3[[#All],[Tot]],MATCH(Table5[[#This Row],[PID]],Table3[[#All],[PID]],0)))</f>
        <v>36.139101065783336</v>
      </c>
      <c r="R710" s="52">
        <f>IF($C710="B",INDEX(Batters[[#All],[zScore]],MATCH(Table5[[#This Row],[PID]],Batters[[#All],[PID]],0)),INDEX(Table3[[#All],[zScore]],MATCH(Table5[[#This Row],[PID]],Table3[[#All],[PID]],0)))</f>
        <v>-4.6339184578339333E-2</v>
      </c>
      <c r="S710" s="58" t="str">
        <f>IF($C710="B",INDEX(Batters[[#All],[DEM]],MATCH(Table5[[#This Row],[PID]],Batters[[#All],[PID]],0)),INDEX(Table3[[#All],[DEM]],MATCH(Table5[[#This Row],[PID]],Table3[[#All],[PID]],0)))</f>
        <v>$65k</v>
      </c>
      <c r="T710" s="62">
        <f>IF($C710="B",INDEX(Batters[[#All],[Rnk]],MATCH(Table5[[#This Row],[PID]],Batters[[#All],[PID]],0)),INDEX(Table3[[#All],[Rnk]],MATCH(Table5[[#This Row],[PID]],Table3[[#All],[PID]],0)))</f>
        <v>325</v>
      </c>
      <c r="U710" s="68">
        <f>IF($C710="B",VLOOKUP($A710,Bat!$A$4:$BA$1621,47,FALSE),VLOOKUP($A710,Pit!$A$4:$BF$1557,56,FALSE))</f>
        <v>0</v>
      </c>
      <c r="V710" s="50">
        <f>IF($C710="B",VLOOKUP($A710,Bat!$A$4:$BA$1621,48,FALSE),VLOOKUP($A710,Pit!$A$4:$BF$1557,57,FALSE))</f>
        <v>0</v>
      </c>
      <c r="W710" s="50">
        <f>Table5[[#This Row],[posRnk]]+Table5[[#This Row],[zRnk]]+IF($W$3&lt;&gt;Table5[[#This Row],[Type]],50,0)</f>
        <v>953</v>
      </c>
      <c r="X710" s="51">
        <f>RANK(Table5[[#This Row],[zScore]],Table5[[#All],[zScore]])</f>
        <v>578</v>
      </c>
      <c r="Y710" s="50" t="str">
        <f>IFERROR(INDEX(DraftResults[[#All],[OVR]],MATCH(Table5[[#This Row],[PID]],DraftResults[[#All],[Player ID]],0)),"")</f>
        <v/>
      </c>
      <c r="Z7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0" s="50" t="str">
        <f>IFERROR(INDEX(DraftResults[[#All],[Pick in Round]],MATCH(Table5[[#This Row],[PID]],DraftResults[[#All],[Player ID]],0)),"")</f>
        <v/>
      </c>
      <c r="AB710" s="50" t="str">
        <f>IFERROR(INDEX(DraftResults[[#All],[Team Name]],MATCH(Table5[[#This Row],[PID]],DraftResults[[#All],[Player ID]],0)),"")</f>
        <v/>
      </c>
      <c r="AC710" s="50" t="str">
        <f>IF(Table5[[#This Row],[Ovr]]="","",IF(Table5[[#This Row],[cmbList]]="","",Table5[[#This Row],[cmbList]]-Table5[[#This Row],[Ovr]]))</f>
        <v/>
      </c>
      <c r="AD710" s="54" t="str">
        <f>IF(ISERROR(VLOOKUP($AB710&amp;"-"&amp;$E710&amp;" "&amp;F710,Bonuses!$B$1:$G$1006,4,FALSE)),"",INT(VLOOKUP($AB710&amp;"-"&amp;$E710&amp;" "&amp;$F710,Bonuses!$B$1:$G$1006,4,FALSE)))</f>
        <v/>
      </c>
      <c r="AE7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1" spans="1:31" s="50" customFormat="1" x14ac:dyDescent="0.25">
      <c r="A711" s="50">
        <v>21105</v>
      </c>
      <c r="B711" s="55">
        <f>COUNTIF(Table5[PID],A711)</f>
        <v>1</v>
      </c>
      <c r="C711" s="55" t="str">
        <f>IF(COUNTIF(Table3[[#All],[PID]],A711)&gt;0,"P","B")</f>
        <v>B</v>
      </c>
      <c r="D711" s="59" t="str">
        <f>IF($C711="B",INDEX(Batters[[#All],[POS]],MATCH(Table5[[#This Row],[PID]],Batters[[#All],[PID]],0)),INDEX(Table3[[#All],[POS]],MATCH(Table5[[#This Row],[PID]],Table3[[#All],[PID]],0)))</f>
        <v>2B</v>
      </c>
      <c r="E711" s="52" t="str">
        <f>IF($C711="B",INDEX(Batters[[#All],[First]],MATCH(Table5[[#This Row],[PID]],Batters[[#All],[PID]],0)),INDEX(Table3[[#All],[First]],MATCH(Table5[[#This Row],[PID]],Table3[[#All],[PID]],0)))</f>
        <v>Ruanait</v>
      </c>
      <c r="F711" s="50" t="str">
        <f>IF($C711="B",INDEX(Batters[[#All],[Last]],MATCH(A711,Batters[[#All],[PID]],0)),INDEX(Table3[[#All],[Last]],MATCH(A711,Table3[[#All],[PID]],0)))</f>
        <v>Aitken</v>
      </c>
      <c r="G711" s="56">
        <f>IF($C711="B",INDEX(Batters[[#All],[Age]],MATCH(Table5[[#This Row],[PID]],Batters[[#All],[PID]],0)),INDEX(Table3[[#All],[Age]],MATCH(Table5[[#This Row],[PID]],Table3[[#All],[PID]],0)))</f>
        <v>18</v>
      </c>
      <c r="H711" s="52" t="str">
        <f>IF($C711="B",INDEX(Batters[[#All],[B]],MATCH(Table5[[#This Row],[PID]],Batters[[#All],[PID]],0)),INDEX(Table3[[#All],[B]],MATCH(Table5[[#This Row],[PID]],Table3[[#All],[PID]],0)))</f>
        <v>S</v>
      </c>
      <c r="I711" s="52" t="str">
        <f>IF($C711="B",INDEX(Batters[[#All],[T]],MATCH(Table5[[#This Row],[PID]],Batters[[#All],[PID]],0)),INDEX(Table3[[#All],[T]],MATCH(Table5[[#This Row],[PID]],Table3[[#All],[PID]],0)))</f>
        <v>R</v>
      </c>
      <c r="J711" s="52" t="str">
        <f>IF($C711="B",INDEX(Batters[[#All],[WE]],MATCH(Table5[[#This Row],[PID]],Batters[[#All],[PID]],0)),INDEX(Table3[[#All],[WE]],MATCH(Table5[[#This Row],[PID]],Table3[[#All],[PID]],0)))</f>
        <v>High</v>
      </c>
      <c r="K711" s="52" t="str">
        <f>IF($C711="B",INDEX(Batters[[#All],[INT]],MATCH(Table5[[#This Row],[PID]],Batters[[#All],[PID]],0)),INDEX(Table3[[#All],[INT]],MATCH(Table5[[#This Row],[PID]],Table3[[#All],[PID]],0)))</f>
        <v>Normal</v>
      </c>
      <c r="L711" s="60">
        <f>IF($C711="B",INDEX(Batters[[#All],[CON P]],MATCH(Table5[[#This Row],[PID]],Batters[[#All],[PID]],0)),INDEX(Table3[[#All],[STU P]],MATCH(Table5[[#This Row],[PID]],Table3[[#All],[PID]],0)))</f>
        <v>3</v>
      </c>
      <c r="M711" s="56">
        <f>IF($C711="B",INDEX(Batters[[#All],[GAP P]],MATCH(Table5[[#This Row],[PID]],Batters[[#All],[PID]],0)),INDEX(Table3[[#All],[MOV P]],MATCH(Table5[[#This Row],[PID]],Table3[[#All],[PID]],0)))</f>
        <v>5</v>
      </c>
      <c r="N711" s="56">
        <f>IF($C711="B",INDEX(Batters[[#All],[POW P]],MATCH(Table5[[#This Row],[PID]],Batters[[#All],[PID]],0)),INDEX(Table3[[#All],[CON P]],MATCH(Table5[[#This Row],[PID]],Table3[[#All],[PID]],0)))</f>
        <v>4</v>
      </c>
      <c r="O711" s="56">
        <f>IF($C711="B",INDEX(Batters[[#All],[EYE P]],MATCH(Table5[[#This Row],[PID]],Batters[[#All],[PID]],0)),INDEX(Table3[[#All],[VELO]],MATCH(Table5[[#This Row],[PID]],Table3[[#All],[PID]],0)))</f>
        <v>5</v>
      </c>
      <c r="P711" s="56">
        <f>IF($C711="B",INDEX(Batters[[#All],[K P]],MATCH(Table5[[#This Row],[PID]],Batters[[#All],[PID]],0)),INDEX(Table3[[#All],[STM]],MATCH(Table5[[#This Row],[PID]],Table3[[#All],[PID]],0)))</f>
        <v>3</v>
      </c>
      <c r="Q711" s="61">
        <f>IF($C711="B",INDEX(Batters[[#All],[Tot]],MATCH(Table5[[#This Row],[PID]],Batters[[#All],[PID]],0)),INDEX(Table3[[#All],[Tot]],MATCH(Table5[[#This Row],[PID]],Table3[[#All],[PID]],0)))</f>
        <v>43.906423616642456</v>
      </c>
      <c r="R711" s="52">
        <f>IF($C711="B",INDEX(Batters[[#All],[zScore]],MATCH(Table5[[#This Row],[PID]],Batters[[#All],[PID]],0)),INDEX(Table3[[#All],[zScore]],MATCH(Table5[[#This Row],[PID]],Table3[[#All],[PID]],0)))</f>
        <v>-4.9998444824005034E-2</v>
      </c>
      <c r="S711" s="58" t="str">
        <f>IF($C711="B",INDEX(Batters[[#All],[DEM]],MATCH(Table5[[#This Row],[PID]],Batters[[#All],[PID]],0)),INDEX(Table3[[#All],[DEM]],MATCH(Table5[[#This Row],[PID]],Table3[[#All],[PID]],0)))</f>
        <v>$75k</v>
      </c>
      <c r="T711" s="62">
        <f>IF($C711="B",INDEX(Batters[[#All],[Rnk]],MATCH(Table5[[#This Row],[PID]],Batters[[#All],[PID]],0)),INDEX(Table3[[#All],[Rnk]],MATCH(Table5[[#This Row],[PID]],Table3[[#All],[PID]],0)))</f>
        <v>255</v>
      </c>
      <c r="U711" s="68">
        <f>IF($C711="B",VLOOKUP($A711,Bat!$A$4:$BA$1621,47,FALSE),VLOOKUP($A711,Pit!$A$4:$BF$1557,56,FALSE))</f>
        <v>0</v>
      </c>
      <c r="V711" s="50">
        <f>IF($C711="B",VLOOKUP($A711,Bat!$A$4:$BA$1621,48,FALSE),VLOOKUP($A711,Pit!$A$4:$BF$1557,57,FALSE))</f>
        <v>0</v>
      </c>
      <c r="W711" s="50">
        <f>Table5[[#This Row],[posRnk]]+Table5[[#This Row],[zRnk]]+IF($W$3&lt;&gt;Table5[[#This Row],[Type]],50,0)</f>
        <v>885</v>
      </c>
      <c r="X711" s="51">
        <f>RANK(Table5[[#This Row],[zScore]],Table5[[#All],[zScore]])</f>
        <v>580</v>
      </c>
      <c r="Y711" s="50" t="str">
        <f>IFERROR(INDEX(DraftResults[[#All],[OVR]],MATCH(Table5[[#This Row],[PID]],DraftResults[[#All],[Player ID]],0)),"")</f>
        <v/>
      </c>
      <c r="Z7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1" s="50" t="str">
        <f>IFERROR(INDEX(DraftResults[[#All],[Pick in Round]],MATCH(Table5[[#This Row],[PID]],DraftResults[[#All],[Player ID]],0)),"")</f>
        <v/>
      </c>
      <c r="AB711" s="50" t="str">
        <f>IFERROR(INDEX(DraftResults[[#All],[Team Name]],MATCH(Table5[[#This Row],[PID]],DraftResults[[#All],[Player ID]],0)),"")</f>
        <v/>
      </c>
      <c r="AC711" s="50" t="str">
        <f>IF(Table5[[#This Row],[Ovr]]="","",IF(Table5[[#This Row],[cmbList]]="","",Table5[[#This Row],[cmbList]]-Table5[[#This Row],[Ovr]]))</f>
        <v/>
      </c>
      <c r="AD711" s="54" t="str">
        <f>IF(ISERROR(VLOOKUP($AB711&amp;"-"&amp;$E711&amp;" "&amp;F711,Bonuses!$B$1:$G$1006,4,FALSE)),"",INT(VLOOKUP($AB711&amp;"-"&amp;$E711&amp;" "&amp;$F711,Bonuses!$B$1:$G$1006,4,FALSE)))</f>
        <v/>
      </c>
      <c r="AE7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2" spans="1:31" s="50" customFormat="1" x14ac:dyDescent="0.25">
      <c r="A712" s="68">
        <v>17847</v>
      </c>
      <c r="B712" s="69">
        <f>COUNTIF(Table5[PID],A712)</f>
        <v>1</v>
      </c>
      <c r="C712" s="69" t="str">
        <f>IF(COUNTIF(Table3[[#All],[PID]],A712)&gt;0,"P","B")</f>
        <v>P</v>
      </c>
      <c r="D712" s="59" t="str">
        <f>IF($C712="B",INDEX(Batters[[#All],[POS]],MATCH(Table5[[#This Row],[PID]],Batters[[#All],[PID]],0)),INDEX(Table3[[#All],[POS]],MATCH(Table5[[#This Row],[PID]],Table3[[#All],[PID]],0)))</f>
        <v>SP</v>
      </c>
      <c r="E712" s="52" t="str">
        <f>IF($C712="B",INDEX(Batters[[#All],[First]],MATCH(Table5[[#This Row],[PID]],Batters[[#All],[PID]],0)),INDEX(Table3[[#All],[First]],MATCH(Table5[[#This Row],[PID]],Table3[[#All],[PID]],0)))</f>
        <v>Spencer</v>
      </c>
      <c r="F712" s="55" t="str">
        <f>IF($C712="B",INDEX(Batters[[#All],[Last]],MATCH(A712,Batters[[#All],[PID]],0)),INDEX(Table3[[#All],[Last]],MATCH(A712,Table3[[#All],[PID]],0)))</f>
        <v>Minett</v>
      </c>
      <c r="G712" s="56">
        <f>IF($C712="B",INDEX(Batters[[#All],[Age]],MATCH(Table5[[#This Row],[PID]],Batters[[#All],[PID]],0)),INDEX(Table3[[#All],[Age]],MATCH(Table5[[#This Row],[PID]],Table3[[#All],[PID]],0)))</f>
        <v>18</v>
      </c>
      <c r="H712" s="52" t="str">
        <f>IF($C712="B",INDEX(Batters[[#All],[B]],MATCH(Table5[[#This Row],[PID]],Batters[[#All],[PID]],0)),INDEX(Table3[[#All],[B]],MATCH(Table5[[#This Row],[PID]],Table3[[#All],[PID]],0)))</f>
        <v>R</v>
      </c>
      <c r="I712" s="52" t="str">
        <f>IF($C712="B",INDEX(Batters[[#All],[T]],MATCH(Table5[[#This Row],[PID]],Batters[[#All],[PID]],0)),INDEX(Table3[[#All],[T]],MATCH(Table5[[#This Row],[PID]],Table3[[#All],[PID]],0)))</f>
        <v>R</v>
      </c>
      <c r="J712" s="71" t="str">
        <f>IF($C712="B",INDEX(Batters[[#All],[WE]],MATCH(Table5[[#This Row],[PID]],Batters[[#All],[PID]],0)),INDEX(Table3[[#All],[WE]],MATCH(Table5[[#This Row],[PID]],Table3[[#All],[PID]],0)))</f>
        <v>Normal</v>
      </c>
      <c r="K712" s="52" t="str">
        <f>IF($C712="B",INDEX(Batters[[#All],[INT]],MATCH(Table5[[#This Row],[PID]],Batters[[#All],[PID]],0)),INDEX(Table3[[#All],[INT]],MATCH(Table5[[#This Row],[PID]],Table3[[#All],[PID]],0)))</f>
        <v>Normal</v>
      </c>
      <c r="L712" s="60">
        <f>IF($C712="B",INDEX(Batters[[#All],[CON P]],MATCH(Table5[[#This Row],[PID]],Batters[[#All],[PID]],0)),INDEX(Table3[[#All],[STU P]],MATCH(Table5[[#This Row],[PID]],Table3[[#All],[PID]],0)))</f>
        <v>4</v>
      </c>
      <c r="M712" s="72">
        <f>IF($C712="B",INDEX(Batters[[#All],[GAP P]],MATCH(Table5[[#This Row],[PID]],Batters[[#All],[PID]],0)),INDEX(Table3[[#All],[MOV P]],MATCH(Table5[[#This Row],[PID]],Table3[[#All],[PID]],0)))</f>
        <v>1</v>
      </c>
      <c r="N712" s="72">
        <f>IF($C712="B",INDEX(Batters[[#All],[POW P]],MATCH(Table5[[#This Row],[PID]],Batters[[#All],[PID]],0)),INDEX(Table3[[#All],[CON P]],MATCH(Table5[[#This Row],[PID]],Table3[[#All],[PID]],0)))</f>
        <v>4</v>
      </c>
      <c r="O712" s="72" t="str">
        <f>IF($C712="B",INDEX(Batters[[#All],[EYE P]],MATCH(Table5[[#This Row],[PID]],Batters[[#All],[PID]],0)),INDEX(Table3[[#All],[VELO]],MATCH(Table5[[#This Row],[PID]],Table3[[#All],[PID]],0)))</f>
        <v>90-92 Mph</v>
      </c>
      <c r="P712" s="56">
        <f>IF($C712="B",INDEX(Batters[[#All],[K P]],MATCH(Table5[[#This Row],[PID]],Batters[[#All],[PID]],0)),INDEX(Table3[[#All],[STM]],MATCH(Table5[[#This Row],[PID]],Table3[[#All],[PID]],0)))</f>
        <v>7</v>
      </c>
      <c r="Q712" s="61">
        <f>IF($C712="B",INDEX(Batters[[#All],[Tot]],MATCH(Table5[[#This Row],[PID]],Batters[[#All],[PID]],0)),INDEX(Table3[[#All],[Tot]],MATCH(Table5[[#This Row],[PID]],Table3[[#All],[PID]],0)))</f>
        <v>35.099565106494822</v>
      </c>
      <c r="R712" s="52">
        <f>IF($C712="B",INDEX(Batters[[#All],[zScore]],MATCH(Table5[[#This Row],[PID]],Batters[[#All],[PID]],0)),INDEX(Table3[[#All],[zScore]],MATCH(Table5[[#This Row],[PID]],Table3[[#All],[PID]],0)))</f>
        <v>-5.129085299352492E-2</v>
      </c>
      <c r="S712" s="78" t="str">
        <f>IF($C712="B",INDEX(Batters[[#All],[DEM]],MATCH(Table5[[#This Row],[PID]],Batters[[#All],[PID]],0)),INDEX(Table3[[#All],[DEM]],MATCH(Table5[[#This Row],[PID]],Table3[[#All],[PID]],0)))</f>
        <v>$95k</v>
      </c>
      <c r="T712" s="75">
        <f>IF($C712="B",INDEX(Batters[[#All],[Rnk]],MATCH(Table5[[#This Row],[PID]],Batters[[#All],[PID]],0)),INDEX(Table3[[#All],[Rnk]],MATCH(Table5[[#This Row],[PID]],Table3[[#All],[PID]],0)))</f>
        <v>326</v>
      </c>
      <c r="U712" s="68">
        <f>IF($C712="B",VLOOKUP($A712,Bat!$A$4:$BA$1621,47,FALSE),VLOOKUP($A712,Pit!$A$4:$BF$1557,56,FALSE))</f>
        <v>0</v>
      </c>
      <c r="V712" s="50">
        <f>IF($C712="B",VLOOKUP($A712,Bat!$A$4:$BA$1621,48,FALSE),VLOOKUP($A712,Pit!$A$4:$BF$1557,57,FALSE))</f>
        <v>0</v>
      </c>
      <c r="W712" s="69">
        <f>Table5[[#This Row],[posRnk]]+Table5[[#This Row],[zRnk]]+IF($W$3&lt;&gt;Table5[[#This Row],[Type]],50,0)</f>
        <v>957</v>
      </c>
      <c r="X712" s="73">
        <f>RANK(Table5[[#This Row],[zScore]],Table5[[#All],[zScore]])</f>
        <v>581</v>
      </c>
      <c r="Y712" s="69" t="str">
        <f>IFERROR(INDEX(DraftResults[[#All],[OVR]],MATCH(Table5[[#This Row],[PID]],DraftResults[[#All],[Player ID]],0)),"")</f>
        <v/>
      </c>
      <c r="Z71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2" s="69" t="str">
        <f>IFERROR(INDEX(DraftResults[[#All],[Pick in Round]],MATCH(Table5[[#This Row],[PID]],DraftResults[[#All],[Player ID]],0)),"")</f>
        <v/>
      </c>
      <c r="AB712" s="69" t="str">
        <f>IFERROR(INDEX(DraftResults[[#All],[Team Name]],MATCH(Table5[[#This Row],[PID]],DraftResults[[#All],[Player ID]],0)),"")</f>
        <v/>
      </c>
      <c r="AC712" s="69" t="str">
        <f>IF(Table5[[#This Row],[Ovr]]="","",IF(Table5[[#This Row],[cmbList]]="","",Table5[[#This Row],[cmbList]]-Table5[[#This Row],[Ovr]]))</f>
        <v/>
      </c>
      <c r="AD712" s="77" t="str">
        <f>IF(ISERROR(VLOOKUP($AB712&amp;"-"&amp;$E712&amp;" "&amp;F712,Bonuses!$B$1:$G$1006,4,FALSE)),"",INT(VLOOKUP($AB712&amp;"-"&amp;$E712&amp;" "&amp;$F712,Bonuses!$B$1:$G$1006,4,FALSE)))</f>
        <v/>
      </c>
      <c r="AE71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3" spans="1:31" s="50" customFormat="1" x14ac:dyDescent="0.25">
      <c r="A713" s="50">
        <v>17865</v>
      </c>
      <c r="B713" s="50">
        <f>COUNTIF(Table5[PID],A713)</f>
        <v>1</v>
      </c>
      <c r="C713" s="50" t="str">
        <f>IF(COUNTIF(Table3[[#All],[PID]],A713)&gt;0,"P","B")</f>
        <v>P</v>
      </c>
      <c r="D713" s="59" t="str">
        <f>IF($C713="B",INDEX(Batters[[#All],[POS]],MATCH(Table5[[#This Row],[PID]],Batters[[#All],[PID]],0)),INDEX(Table3[[#All],[POS]],MATCH(Table5[[#This Row],[PID]],Table3[[#All],[PID]],0)))</f>
        <v>RP</v>
      </c>
      <c r="E713" s="52" t="str">
        <f>IF($C713="B",INDEX(Batters[[#All],[First]],MATCH(Table5[[#This Row],[PID]],Batters[[#All],[PID]],0)),INDEX(Table3[[#All],[First]],MATCH(Table5[[#This Row],[PID]],Table3[[#All],[PID]],0)))</f>
        <v>Martin</v>
      </c>
      <c r="F713" s="50" t="str">
        <f>IF($C713="B",INDEX(Batters[[#All],[Last]],MATCH(A713,Batters[[#All],[PID]],0)),INDEX(Table3[[#All],[Last]],MATCH(A713,Table3[[#All],[PID]],0)))</f>
        <v>Yabsley</v>
      </c>
      <c r="G713" s="56">
        <f>IF($C713="B",INDEX(Batters[[#All],[Age]],MATCH(Table5[[#This Row],[PID]],Batters[[#All],[PID]],0)),INDEX(Table3[[#All],[Age]],MATCH(Table5[[#This Row],[PID]],Table3[[#All],[PID]],0)))</f>
        <v>18</v>
      </c>
      <c r="H713" s="52" t="str">
        <f>IF($C713="B",INDEX(Batters[[#All],[B]],MATCH(Table5[[#This Row],[PID]],Batters[[#All],[PID]],0)),INDEX(Table3[[#All],[B]],MATCH(Table5[[#This Row],[PID]],Table3[[#All],[PID]],0)))</f>
        <v>R</v>
      </c>
      <c r="I713" s="52" t="str">
        <f>IF($C713="B",INDEX(Batters[[#All],[T]],MATCH(Table5[[#This Row],[PID]],Batters[[#All],[PID]],0)),INDEX(Table3[[#All],[T]],MATCH(Table5[[#This Row],[PID]],Table3[[#All],[PID]],0)))</f>
        <v>R</v>
      </c>
      <c r="J713" s="52" t="str">
        <f>IF($C713="B",INDEX(Batters[[#All],[WE]],MATCH(Table5[[#This Row],[PID]],Batters[[#All],[PID]],0)),INDEX(Table3[[#All],[WE]],MATCH(Table5[[#This Row],[PID]],Table3[[#All],[PID]],0)))</f>
        <v>Normal</v>
      </c>
      <c r="K713" s="52" t="str">
        <f>IF($C713="B",INDEX(Batters[[#All],[INT]],MATCH(Table5[[#This Row],[PID]],Batters[[#All],[PID]],0)),INDEX(Table3[[#All],[INT]],MATCH(Table5[[#This Row],[PID]],Table3[[#All],[PID]],0)))</f>
        <v>Normal</v>
      </c>
      <c r="L713" s="60">
        <f>IF($C713="B",INDEX(Batters[[#All],[CON P]],MATCH(Table5[[#This Row],[PID]],Batters[[#All],[PID]],0)),INDEX(Table3[[#All],[STU P]],MATCH(Table5[[#This Row],[PID]],Table3[[#All],[PID]],0)))</f>
        <v>4</v>
      </c>
      <c r="M713" s="56">
        <f>IF($C713="B",INDEX(Batters[[#All],[GAP P]],MATCH(Table5[[#This Row],[PID]],Batters[[#All],[PID]],0)),INDEX(Table3[[#All],[MOV P]],MATCH(Table5[[#This Row],[PID]],Table3[[#All],[PID]],0)))</f>
        <v>2</v>
      </c>
      <c r="N713" s="56">
        <f>IF($C713="B",INDEX(Batters[[#All],[POW P]],MATCH(Table5[[#This Row],[PID]],Batters[[#All],[PID]],0)),INDEX(Table3[[#All],[CON P]],MATCH(Table5[[#This Row],[PID]],Table3[[#All],[PID]],0)))</f>
        <v>3</v>
      </c>
      <c r="O713" s="56" t="str">
        <f>IF($C713="B",INDEX(Batters[[#All],[EYE P]],MATCH(Table5[[#This Row],[PID]],Batters[[#All],[PID]],0)),INDEX(Table3[[#All],[VELO]],MATCH(Table5[[#This Row],[PID]],Table3[[#All],[PID]],0)))</f>
        <v>86-88 Mph</v>
      </c>
      <c r="P713" s="56">
        <f>IF($C713="B",INDEX(Batters[[#All],[K P]],MATCH(Table5[[#This Row],[PID]],Batters[[#All],[PID]],0)),INDEX(Table3[[#All],[STM]],MATCH(Table5[[#This Row],[PID]],Table3[[#All],[PID]],0)))</f>
        <v>5</v>
      </c>
      <c r="Q713" s="61">
        <f>IF($C713="B",INDEX(Batters[[#All],[Tot]],MATCH(Table5[[#This Row],[PID]],Batters[[#All],[PID]],0)),INDEX(Table3[[#All],[Tot]],MATCH(Table5[[#This Row],[PID]],Table3[[#All],[PID]],0)))</f>
        <v>35.978945783070074</v>
      </c>
      <c r="R713" s="52">
        <f>IF($C713="B",INDEX(Batters[[#All],[zScore]],MATCH(Table5[[#This Row],[PID]],Batters[[#All],[PID]],0)),INDEX(Table3[[#All],[zScore]],MATCH(Table5[[#This Row],[PID]],Table3[[#All],[PID]],0)))</f>
        <v>-5.7928415688149111E-2</v>
      </c>
      <c r="S713" s="58" t="str">
        <f>IF($C713="B",INDEX(Batters[[#All],[DEM]],MATCH(Table5[[#This Row],[PID]],Batters[[#All],[PID]],0)),INDEX(Table3[[#All],[DEM]],MATCH(Table5[[#This Row],[PID]],Table3[[#All],[PID]],0)))</f>
        <v>$65k</v>
      </c>
      <c r="T713" s="62">
        <f>IF($C713="B",INDEX(Batters[[#All],[Rnk]],MATCH(Table5[[#This Row],[PID]],Batters[[#All],[PID]],0)),INDEX(Table3[[#All],[Rnk]],MATCH(Table5[[#This Row],[PID]],Table3[[#All],[PID]],0)))</f>
        <v>327</v>
      </c>
      <c r="U713" s="68">
        <f>IF($C713="B",VLOOKUP($A713,Bat!$A$4:$BA$1621,47,FALSE),VLOOKUP($A713,Pit!$A$4:$BF$1557,56,FALSE))</f>
        <v>0</v>
      </c>
      <c r="V713" s="50">
        <f>IF($C713="B",VLOOKUP($A713,Bat!$A$4:$BA$1621,48,FALSE),VLOOKUP($A713,Pit!$A$4:$BF$1557,57,FALSE))</f>
        <v>0</v>
      </c>
      <c r="W713" s="50">
        <f>Table5[[#This Row],[posRnk]]+Table5[[#This Row],[zRnk]]+IF($W$3&lt;&gt;Table5[[#This Row],[Type]],50,0)</f>
        <v>959</v>
      </c>
      <c r="X713" s="51">
        <f>RANK(Table5[[#This Row],[zScore]],Table5[[#All],[zScore]])</f>
        <v>582</v>
      </c>
      <c r="Y713" s="50" t="str">
        <f>IFERROR(INDEX(DraftResults[[#All],[OVR]],MATCH(Table5[[#This Row],[PID]],DraftResults[[#All],[Player ID]],0)),"")</f>
        <v/>
      </c>
      <c r="Z7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3" s="50" t="str">
        <f>IFERROR(INDEX(DraftResults[[#All],[Pick in Round]],MATCH(Table5[[#This Row],[PID]],DraftResults[[#All],[Player ID]],0)),"")</f>
        <v/>
      </c>
      <c r="AB713" s="50" t="str">
        <f>IFERROR(INDEX(DraftResults[[#All],[Team Name]],MATCH(Table5[[#This Row],[PID]],DraftResults[[#All],[Player ID]],0)),"")</f>
        <v/>
      </c>
      <c r="AC713" s="50" t="str">
        <f>IF(Table5[[#This Row],[Ovr]]="","",IF(Table5[[#This Row],[cmbList]]="","",Table5[[#This Row],[cmbList]]-Table5[[#This Row],[Ovr]]))</f>
        <v/>
      </c>
      <c r="AD713" s="54" t="str">
        <f>IF(ISERROR(VLOOKUP($AB713&amp;"-"&amp;$E713&amp;" "&amp;F713,Bonuses!$B$1:$G$1006,4,FALSE)),"",INT(VLOOKUP($AB713&amp;"-"&amp;$E713&amp;" "&amp;$F713,Bonuses!$B$1:$G$1006,4,FALSE)))</f>
        <v/>
      </c>
      <c r="AE7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4" spans="1:31" s="50" customFormat="1" x14ac:dyDescent="0.25">
      <c r="A714" s="50">
        <v>20701</v>
      </c>
      <c r="B714" s="50">
        <f>COUNTIF(Table5[PID],A714)</f>
        <v>1</v>
      </c>
      <c r="C714" s="50" t="str">
        <f>IF(COUNTIF(Table3[[#All],[PID]],A714)&gt;0,"P","B")</f>
        <v>P</v>
      </c>
      <c r="D714" s="59" t="str">
        <f>IF($C714="B",INDEX(Batters[[#All],[POS]],MATCH(Table5[[#This Row],[PID]],Batters[[#All],[PID]],0)),INDEX(Table3[[#All],[POS]],MATCH(Table5[[#This Row],[PID]],Table3[[#All],[PID]],0)))</f>
        <v>RP</v>
      </c>
      <c r="E714" s="52" t="str">
        <f>IF($C714="B",INDEX(Batters[[#All],[First]],MATCH(Table5[[#This Row],[PID]],Batters[[#All],[PID]],0)),INDEX(Table3[[#All],[First]],MATCH(Table5[[#This Row],[PID]],Table3[[#All],[PID]],0)))</f>
        <v>Joseph</v>
      </c>
      <c r="F714" s="50" t="str">
        <f>IF($C714="B",INDEX(Batters[[#All],[Last]],MATCH(A714,Batters[[#All],[PID]],0)),INDEX(Table3[[#All],[Last]],MATCH(A714,Table3[[#All],[PID]],0)))</f>
        <v>Braden</v>
      </c>
      <c r="G714" s="56">
        <f>IF($C714="B",INDEX(Batters[[#All],[Age]],MATCH(Table5[[#This Row],[PID]],Batters[[#All],[PID]],0)),INDEX(Table3[[#All],[Age]],MATCH(Table5[[#This Row],[PID]],Table3[[#All],[PID]],0)))</f>
        <v>18</v>
      </c>
      <c r="H714" s="52" t="str">
        <f>IF($C714="B",INDEX(Batters[[#All],[B]],MATCH(Table5[[#This Row],[PID]],Batters[[#All],[PID]],0)),INDEX(Table3[[#All],[B]],MATCH(Table5[[#This Row],[PID]],Table3[[#All],[PID]],0)))</f>
        <v>R</v>
      </c>
      <c r="I714" s="52" t="str">
        <f>IF($C714="B",INDEX(Batters[[#All],[T]],MATCH(Table5[[#This Row],[PID]],Batters[[#All],[PID]],0)),INDEX(Table3[[#All],[T]],MATCH(Table5[[#This Row],[PID]],Table3[[#All],[PID]],0)))</f>
        <v>R</v>
      </c>
      <c r="J714" s="52" t="str">
        <f>IF($C714="B",INDEX(Batters[[#All],[WE]],MATCH(Table5[[#This Row],[PID]],Batters[[#All],[PID]],0)),INDEX(Table3[[#All],[WE]],MATCH(Table5[[#This Row],[PID]],Table3[[#All],[PID]],0)))</f>
        <v>Normal</v>
      </c>
      <c r="K714" s="52" t="str">
        <f>IF($C714="B",INDEX(Batters[[#All],[INT]],MATCH(Table5[[#This Row],[PID]],Batters[[#All],[PID]],0)),INDEX(Table3[[#All],[INT]],MATCH(Table5[[#This Row],[PID]],Table3[[#All],[PID]],0)))</f>
        <v>High</v>
      </c>
      <c r="L714" s="60">
        <f>IF($C714="B",INDEX(Batters[[#All],[CON P]],MATCH(Table5[[#This Row],[PID]],Batters[[#All],[PID]],0)),INDEX(Table3[[#All],[STU P]],MATCH(Table5[[#This Row],[PID]],Table3[[#All],[PID]],0)))</f>
        <v>4</v>
      </c>
      <c r="M714" s="56">
        <f>IF($C714="B",INDEX(Batters[[#All],[GAP P]],MATCH(Table5[[#This Row],[PID]],Batters[[#All],[PID]],0)),INDEX(Table3[[#All],[MOV P]],MATCH(Table5[[#This Row],[PID]],Table3[[#All],[PID]],0)))</f>
        <v>2</v>
      </c>
      <c r="N714" s="56">
        <f>IF($C714="B",INDEX(Batters[[#All],[POW P]],MATCH(Table5[[#This Row],[PID]],Batters[[#All],[PID]],0)),INDEX(Table3[[#All],[CON P]],MATCH(Table5[[#This Row],[PID]],Table3[[#All],[PID]],0)))</f>
        <v>3</v>
      </c>
      <c r="O714" s="56" t="str">
        <f>IF($C714="B",INDEX(Batters[[#All],[EYE P]],MATCH(Table5[[#This Row],[PID]],Batters[[#All],[PID]],0)),INDEX(Table3[[#All],[VELO]],MATCH(Table5[[#This Row],[PID]],Table3[[#All],[PID]],0)))</f>
        <v>88-90 Mph</v>
      </c>
      <c r="P714" s="56">
        <f>IF($C714="B",INDEX(Batters[[#All],[K P]],MATCH(Table5[[#This Row],[PID]],Batters[[#All],[PID]],0)),INDEX(Table3[[#All],[STM]],MATCH(Table5[[#This Row],[PID]],Table3[[#All],[PID]],0)))</f>
        <v>8</v>
      </c>
      <c r="Q714" s="61">
        <f>IF($C714="B",INDEX(Batters[[#All],[Tot]],MATCH(Table5[[#This Row],[PID]],Batters[[#All],[PID]],0)),INDEX(Table3[[#All],[Tot]],MATCH(Table5[[#This Row],[PID]],Table3[[#All],[PID]],0)))</f>
        <v>34.975874457299724</v>
      </c>
      <c r="R714" s="52">
        <f>IF($C714="B",INDEX(Batters[[#All],[zScore]],MATCH(Table5[[#This Row],[PID]],Batters[[#All],[PID]],0)),INDEX(Table3[[#All],[zScore]],MATCH(Table5[[#This Row],[PID]],Table3[[#All],[PID]],0)))</f>
        <v>-5.9519802871700035E-2</v>
      </c>
      <c r="S714" s="58" t="str">
        <f>IF($C714="B",INDEX(Batters[[#All],[DEM]],MATCH(Table5[[#This Row],[PID]],Batters[[#All],[PID]],0)),INDEX(Table3[[#All],[DEM]],MATCH(Table5[[#This Row],[PID]],Table3[[#All],[PID]],0)))</f>
        <v>$85k</v>
      </c>
      <c r="T714" s="62">
        <f>IF($C714="B",INDEX(Batters[[#All],[Rnk]],MATCH(Table5[[#This Row],[PID]],Batters[[#All],[PID]],0)),INDEX(Table3[[#All],[Rnk]],MATCH(Table5[[#This Row],[PID]],Table3[[#All],[PID]],0)))</f>
        <v>328</v>
      </c>
      <c r="U714" s="68">
        <f>IF($C714="B",VLOOKUP($A714,Bat!$A$4:$BA$1621,47,FALSE),VLOOKUP($A714,Pit!$A$4:$BF$1557,56,FALSE))</f>
        <v>0</v>
      </c>
      <c r="V714" s="50">
        <f>IF($C714="B",VLOOKUP($A714,Bat!$A$4:$BA$1621,48,FALSE),VLOOKUP($A714,Pit!$A$4:$BF$1557,57,FALSE))</f>
        <v>0</v>
      </c>
      <c r="W714" s="50">
        <f>Table5[[#This Row],[posRnk]]+Table5[[#This Row],[zRnk]]+IF($W$3&lt;&gt;Table5[[#This Row],[Type]],50,0)</f>
        <v>961</v>
      </c>
      <c r="X714" s="51">
        <f>RANK(Table5[[#This Row],[zScore]],Table5[[#All],[zScore]])</f>
        <v>583</v>
      </c>
      <c r="Y714" s="50" t="str">
        <f>IFERROR(INDEX(DraftResults[[#All],[OVR]],MATCH(Table5[[#This Row],[PID]],DraftResults[[#All],[Player ID]],0)),"")</f>
        <v/>
      </c>
      <c r="Z7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4" s="50" t="str">
        <f>IFERROR(INDEX(DraftResults[[#All],[Pick in Round]],MATCH(Table5[[#This Row],[PID]],DraftResults[[#All],[Player ID]],0)),"")</f>
        <v/>
      </c>
      <c r="AB714" s="50" t="str">
        <f>IFERROR(INDEX(DraftResults[[#All],[Team Name]],MATCH(Table5[[#This Row],[PID]],DraftResults[[#All],[Player ID]],0)),"")</f>
        <v/>
      </c>
      <c r="AC714" s="50" t="str">
        <f>IF(Table5[[#This Row],[Ovr]]="","",IF(Table5[[#This Row],[cmbList]]="","",Table5[[#This Row],[cmbList]]-Table5[[#This Row],[Ovr]]))</f>
        <v/>
      </c>
      <c r="AD714" s="54" t="str">
        <f>IF(ISERROR(VLOOKUP($AB714&amp;"-"&amp;$E714&amp;" "&amp;F714,Bonuses!$B$1:$G$1006,4,FALSE)),"",INT(VLOOKUP($AB714&amp;"-"&amp;$E714&amp;" "&amp;$F714,Bonuses!$B$1:$G$1006,4,FALSE)))</f>
        <v/>
      </c>
      <c r="AE7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5" spans="1:31" s="50" customFormat="1" x14ac:dyDescent="0.25">
      <c r="A715" s="50">
        <v>18201</v>
      </c>
      <c r="B715" s="50">
        <f>COUNTIF(Table5[PID],A715)</f>
        <v>1</v>
      </c>
      <c r="C715" s="50" t="str">
        <f>IF(COUNTIF(Table3[[#All],[PID]],A715)&gt;0,"P","B")</f>
        <v>B</v>
      </c>
      <c r="D715" s="59" t="str">
        <f>IF($C715="B",INDEX(Batters[[#All],[POS]],MATCH(Table5[[#This Row],[PID]],Batters[[#All],[PID]],0)),INDEX(Table3[[#All],[POS]],MATCH(Table5[[#This Row],[PID]],Table3[[#All],[PID]],0)))</f>
        <v>RF</v>
      </c>
      <c r="E715" s="52" t="str">
        <f>IF($C715="B",INDEX(Batters[[#All],[First]],MATCH(Table5[[#This Row],[PID]],Batters[[#All],[PID]],0)),INDEX(Table3[[#All],[First]],MATCH(Table5[[#This Row],[PID]],Table3[[#All],[PID]],0)))</f>
        <v>Jeff</v>
      </c>
      <c r="F715" s="50" t="str">
        <f>IF($C715="B",INDEX(Batters[[#All],[Last]],MATCH(A715,Batters[[#All],[PID]],0)),INDEX(Table3[[#All],[Last]],MATCH(A715,Table3[[#All],[PID]],0)))</f>
        <v>Martínez</v>
      </c>
      <c r="G715" s="56">
        <f>IF($C715="B",INDEX(Batters[[#All],[Age]],MATCH(Table5[[#This Row],[PID]],Batters[[#All],[PID]],0)),INDEX(Table3[[#All],[Age]],MATCH(Table5[[#This Row],[PID]],Table3[[#All],[PID]],0)))</f>
        <v>18</v>
      </c>
      <c r="H715" s="52" t="str">
        <f>IF($C715="B",INDEX(Batters[[#All],[B]],MATCH(Table5[[#This Row],[PID]],Batters[[#All],[PID]],0)),INDEX(Table3[[#All],[B]],MATCH(Table5[[#This Row],[PID]],Table3[[#All],[PID]],0)))</f>
        <v>R</v>
      </c>
      <c r="I715" s="52" t="str">
        <f>IF($C715="B",INDEX(Batters[[#All],[T]],MATCH(Table5[[#This Row],[PID]],Batters[[#All],[PID]],0)),INDEX(Table3[[#All],[T]],MATCH(Table5[[#This Row],[PID]],Table3[[#All],[PID]],0)))</f>
        <v>R</v>
      </c>
      <c r="J715" s="52" t="str">
        <f>IF($C715="B",INDEX(Batters[[#All],[WE]],MATCH(Table5[[#This Row],[PID]],Batters[[#All],[PID]],0)),INDEX(Table3[[#All],[WE]],MATCH(Table5[[#This Row],[PID]],Table3[[#All],[PID]],0)))</f>
        <v>High</v>
      </c>
      <c r="K715" s="52" t="str">
        <f>IF($C715="B",INDEX(Batters[[#All],[INT]],MATCH(Table5[[#This Row],[PID]],Batters[[#All],[PID]],0)),INDEX(Table3[[#All],[INT]],MATCH(Table5[[#This Row],[PID]],Table3[[#All],[PID]],0)))</f>
        <v>Low</v>
      </c>
      <c r="L715" s="60">
        <f>IF($C715="B",INDEX(Batters[[#All],[CON P]],MATCH(Table5[[#This Row],[PID]],Batters[[#All],[PID]],0)),INDEX(Table3[[#All],[STU P]],MATCH(Table5[[#This Row],[PID]],Table3[[#All],[PID]],0)))</f>
        <v>3</v>
      </c>
      <c r="M715" s="56">
        <f>IF($C715="B",INDEX(Batters[[#All],[GAP P]],MATCH(Table5[[#This Row],[PID]],Batters[[#All],[PID]],0)),INDEX(Table3[[#All],[MOV P]],MATCH(Table5[[#This Row],[PID]],Table3[[#All],[PID]],0)))</f>
        <v>4</v>
      </c>
      <c r="N715" s="56">
        <f>IF($C715="B",INDEX(Batters[[#All],[POW P]],MATCH(Table5[[#This Row],[PID]],Batters[[#All],[PID]],0)),INDEX(Table3[[#All],[CON P]],MATCH(Table5[[#This Row],[PID]],Table3[[#All],[PID]],0)))</f>
        <v>5</v>
      </c>
      <c r="O715" s="56">
        <f>IF($C715="B",INDEX(Batters[[#All],[EYE P]],MATCH(Table5[[#This Row],[PID]],Batters[[#All],[PID]],0)),INDEX(Table3[[#All],[VELO]],MATCH(Table5[[#This Row],[PID]],Table3[[#All],[PID]],0)))</f>
        <v>5</v>
      </c>
      <c r="P715" s="56">
        <f>IF($C715="B",INDEX(Batters[[#All],[K P]],MATCH(Table5[[#This Row],[PID]],Batters[[#All],[PID]],0)),INDEX(Table3[[#All],[STM]],MATCH(Table5[[#This Row],[PID]],Table3[[#All],[PID]],0)))</f>
        <v>3</v>
      </c>
      <c r="Q715" s="61">
        <f>IF($C715="B",INDEX(Batters[[#All],[Tot]],MATCH(Table5[[#This Row],[PID]],Batters[[#All],[PID]],0)),INDEX(Table3[[#All],[Tot]],MATCH(Table5[[#This Row],[PID]],Table3[[#All],[PID]],0)))</f>
        <v>43.859726563806277</v>
      </c>
      <c r="R715" s="52">
        <f>IF($C715="B",INDEX(Batters[[#All],[zScore]],MATCH(Table5[[#This Row],[PID]],Batters[[#All],[PID]],0)),INDEX(Table3[[#All],[zScore]],MATCH(Table5[[#This Row],[PID]],Table3[[#All],[PID]],0)))</f>
        <v>-6.0351497080569333E-2</v>
      </c>
      <c r="S715" s="58" t="str">
        <f>IF($C715="B",INDEX(Batters[[#All],[DEM]],MATCH(Table5[[#This Row],[PID]],Batters[[#All],[PID]],0)),INDEX(Table3[[#All],[DEM]],MATCH(Table5[[#This Row],[PID]],Table3[[#All],[PID]],0)))</f>
        <v>$65k</v>
      </c>
      <c r="T715" s="62">
        <f>IF($C715="B",INDEX(Batters[[#All],[Rnk]],MATCH(Table5[[#This Row],[PID]],Batters[[#All],[PID]],0)),INDEX(Table3[[#All],[Rnk]],MATCH(Table5[[#This Row],[PID]],Table3[[#All],[PID]],0)))</f>
        <v>256</v>
      </c>
      <c r="U715" s="68">
        <f>IF($C715="B",VLOOKUP($A715,Bat!$A$4:$BA$1621,47,FALSE),VLOOKUP($A715,Pit!$A$4:$BF$1557,56,FALSE))</f>
        <v>0</v>
      </c>
      <c r="V715" s="50">
        <f>IF($C715="B",VLOOKUP($A715,Bat!$A$4:$BA$1621,48,FALSE),VLOOKUP($A715,Pit!$A$4:$BF$1557,57,FALSE))</f>
        <v>0</v>
      </c>
      <c r="W715" s="50">
        <f>Table5[[#This Row],[posRnk]]+Table5[[#This Row],[zRnk]]+IF($W$3&lt;&gt;Table5[[#This Row],[Type]],50,0)</f>
        <v>890</v>
      </c>
      <c r="X715" s="51">
        <f>RANK(Table5[[#This Row],[zScore]],Table5[[#All],[zScore]])</f>
        <v>584</v>
      </c>
      <c r="Y715" s="50" t="str">
        <f>IFERROR(INDEX(DraftResults[[#All],[OVR]],MATCH(Table5[[#This Row],[PID]],DraftResults[[#All],[Player ID]],0)),"")</f>
        <v/>
      </c>
      <c r="Z7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5" s="50" t="str">
        <f>IFERROR(INDEX(DraftResults[[#All],[Pick in Round]],MATCH(Table5[[#This Row],[PID]],DraftResults[[#All],[Player ID]],0)),"")</f>
        <v/>
      </c>
      <c r="AB715" s="50" t="str">
        <f>IFERROR(INDEX(DraftResults[[#All],[Team Name]],MATCH(Table5[[#This Row],[PID]],DraftResults[[#All],[Player ID]],0)),"")</f>
        <v/>
      </c>
      <c r="AC715" s="50" t="str">
        <f>IF(Table5[[#This Row],[Ovr]]="","",IF(Table5[[#This Row],[cmbList]]="","",Table5[[#This Row],[cmbList]]-Table5[[#This Row],[Ovr]]))</f>
        <v/>
      </c>
      <c r="AD715" s="54" t="str">
        <f>IF(ISERROR(VLOOKUP($AB715&amp;"-"&amp;$E715&amp;" "&amp;F715,Bonuses!$B$1:$G$1006,4,FALSE)),"",INT(VLOOKUP($AB715&amp;"-"&amp;$E715&amp;" "&amp;$F715,Bonuses!$B$1:$G$1006,4,FALSE)))</f>
        <v/>
      </c>
      <c r="AE7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6" spans="1:31" s="50" customFormat="1" x14ac:dyDescent="0.25">
      <c r="A716" s="68">
        <v>10278</v>
      </c>
      <c r="B716" s="69">
        <f>COUNTIF(Table5[PID],A716)</f>
        <v>1</v>
      </c>
      <c r="C716" s="69" t="str">
        <f>IF(COUNTIF(Table3[[#All],[PID]],A716)&gt;0,"P","B")</f>
        <v>P</v>
      </c>
      <c r="D716" s="59" t="str">
        <f>IF($C716="B",INDEX(Batters[[#All],[POS]],MATCH(Table5[[#This Row],[PID]],Batters[[#All],[PID]],0)),INDEX(Table3[[#All],[POS]],MATCH(Table5[[#This Row],[PID]],Table3[[#All],[PID]],0)))</f>
        <v>SP</v>
      </c>
      <c r="E716" s="52" t="str">
        <f>IF($C716="B",INDEX(Batters[[#All],[First]],MATCH(Table5[[#This Row],[PID]],Batters[[#All],[PID]],0)),INDEX(Table3[[#All],[First]],MATCH(Table5[[#This Row],[PID]],Table3[[#All],[PID]],0)))</f>
        <v>Andrew</v>
      </c>
      <c r="F716" s="55" t="str">
        <f>IF($C716="B",INDEX(Batters[[#All],[Last]],MATCH(A716,Batters[[#All],[PID]],0)),INDEX(Table3[[#All],[Last]],MATCH(A716,Table3[[#All],[PID]],0)))</f>
        <v>Burgess</v>
      </c>
      <c r="G716" s="56">
        <f>IF($C716="B",INDEX(Batters[[#All],[Age]],MATCH(Table5[[#This Row],[PID]],Batters[[#All],[PID]],0)),INDEX(Table3[[#All],[Age]],MATCH(Table5[[#This Row],[PID]],Table3[[#All],[PID]],0)))</f>
        <v>22</v>
      </c>
      <c r="H716" s="52" t="str">
        <f>IF($C716="B",INDEX(Batters[[#All],[B]],MATCH(Table5[[#This Row],[PID]],Batters[[#All],[PID]],0)),INDEX(Table3[[#All],[B]],MATCH(Table5[[#This Row],[PID]],Table3[[#All],[PID]],0)))</f>
        <v>R</v>
      </c>
      <c r="I716" s="52" t="str">
        <f>IF($C716="B",INDEX(Batters[[#All],[T]],MATCH(Table5[[#This Row],[PID]],Batters[[#All],[PID]],0)),INDEX(Table3[[#All],[T]],MATCH(Table5[[#This Row],[PID]],Table3[[#All],[PID]],0)))</f>
        <v>R</v>
      </c>
      <c r="J716" s="71" t="str">
        <f>IF($C716="B",INDEX(Batters[[#All],[WE]],MATCH(Table5[[#This Row],[PID]],Batters[[#All],[PID]],0)),INDEX(Table3[[#All],[WE]],MATCH(Table5[[#This Row],[PID]],Table3[[#All],[PID]],0)))</f>
        <v>Low</v>
      </c>
      <c r="K716" s="52" t="str">
        <f>IF($C716="B",INDEX(Batters[[#All],[INT]],MATCH(Table5[[#This Row],[PID]],Batters[[#All],[PID]],0)),INDEX(Table3[[#All],[INT]],MATCH(Table5[[#This Row],[PID]],Table3[[#All],[PID]],0)))</f>
        <v>Normal</v>
      </c>
      <c r="L716" s="60">
        <f>IF($C716="B",INDEX(Batters[[#All],[CON P]],MATCH(Table5[[#This Row],[PID]],Batters[[#All],[PID]],0)),INDEX(Table3[[#All],[STU P]],MATCH(Table5[[#This Row],[PID]],Table3[[#All],[PID]],0)))</f>
        <v>4</v>
      </c>
      <c r="M716" s="72">
        <f>IF($C716="B",INDEX(Batters[[#All],[GAP P]],MATCH(Table5[[#This Row],[PID]],Batters[[#All],[PID]],0)),INDEX(Table3[[#All],[MOV P]],MATCH(Table5[[#This Row],[PID]],Table3[[#All],[PID]],0)))</f>
        <v>2</v>
      </c>
      <c r="N716" s="72">
        <f>IF($C716="B",INDEX(Batters[[#All],[POW P]],MATCH(Table5[[#This Row],[PID]],Batters[[#All],[PID]],0)),INDEX(Table3[[#All],[CON P]],MATCH(Table5[[#This Row],[PID]],Table3[[#All],[PID]],0)))</f>
        <v>4</v>
      </c>
      <c r="O716" s="72" t="str">
        <f>IF($C716="B",INDEX(Batters[[#All],[EYE P]],MATCH(Table5[[#This Row],[PID]],Batters[[#All],[PID]],0)),INDEX(Table3[[#All],[VELO]],MATCH(Table5[[#This Row],[PID]],Table3[[#All],[PID]],0)))</f>
        <v>91-93 Mph</v>
      </c>
      <c r="P716" s="56">
        <f>IF($C716="B",INDEX(Batters[[#All],[K P]],MATCH(Table5[[#This Row],[PID]],Batters[[#All],[PID]],0)),INDEX(Table3[[#All],[STM]],MATCH(Table5[[#This Row],[PID]],Table3[[#All],[PID]],0)))</f>
        <v>6</v>
      </c>
      <c r="Q716" s="61">
        <f>IF($C716="B",INDEX(Batters[[#All],[Tot]],MATCH(Table5[[#This Row],[PID]],Batters[[#All],[PID]],0)),INDEX(Table3[[#All],[Tot]],MATCH(Table5[[#This Row],[PID]],Table3[[#All],[PID]],0)))</f>
        <v>34.896858654683498</v>
      </c>
      <c r="R716" s="52">
        <f>IF($C716="B",INDEX(Batters[[#All],[zScore]],MATCH(Table5[[#This Row],[PID]],Batters[[#All],[PID]],0)),INDEX(Table3[[#All],[zScore]],MATCH(Table5[[#This Row],[PID]],Table3[[#All],[PID]],0)))</f>
        <v>-6.4776603475010908E-2</v>
      </c>
      <c r="S716" s="78" t="str">
        <f>IF($C716="B",INDEX(Batters[[#All],[DEM]],MATCH(Table5[[#This Row],[PID]],Batters[[#All],[PID]],0)),INDEX(Table3[[#All],[DEM]],MATCH(Table5[[#This Row],[PID]],Table3[[#All],[PID]],0)))</f>
        <v>-</v>
      </c>
      <c r="T716" s="75">
        <f>IF($C716="B",INDEX(Batters[[#All],[Rnk]],MATCH(Table5[[#This Row],[PID]],Batters[[#All],[PID]],0)),INDEX(Table3[[#All],[Rnk]],MATCH(Table5[[#This Row],[PID]],Table3[[#All],[PID]],0)))</f>
        <v>330</v>
      </c>
      <c r="U716" s="68">
        <f>IF($C716="B",VLOOKUP($A716,Bat!$A$4:$BA$1621,47,FALSE),VLOOKUP($A716,Pit!$A$4:$BF$1557,56,FALSE))</f>
        <v>0</v>
      </c>
      <c r="V716" s="50">
        <f>IF($C716="B",VLOOKUP($A716,Bat!$A$4:$BA$1621,48,FALSE),VLOOKUP($A716,Pit!$A$4:$BF$1557,57,FALSE))</f>
        <v>0</v>
      </c>
      <c r="W716" s="69">
        <f>Table5[[#This Row],[posRnk]]+Table5[[#This Row],[zRnk]]+IF($W$3&lt;&gt;Table5[[#This Row],[Type]],50,0)</f>
        <v>966</v>
      </c>
      <c r="X716" s="73">
        <f>RANK(Table5[[#This Row],[zScore]],Table5[[#All],[zScore]])</f>
        <v>586</v>
      </c>
      <c r="Y716" s="69" t="str">
        <f>IFERROR(INDEX(DraftResults[[#All],[OVR]],MATCH(Table5[[#This Row],[PID]],DraftResults[[#All],[Player ID]],0)),"")</f>
        <v/>
      </c>
      <c r="Z71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6" s="69" t="str">
        <f>IFERROR(INDEX(DraftResults[[#All],[Pick in Round]],MATCH(Table5[[#This Row],[PID]],DraftResults[[#All],[Player ID]],0)),"")</f>
        <v/>
      </c>
      <c r="AB716" s="69" t="str">
        <f>IFERROR(INDEX(DraftResults[[#All],[Team Name]],MATCH(Table5[[#This Row],[PID]],DraftResults[[#All],[Player ID]],0)),"")</f>
        <v/>
      </c>
      <c r="AC716" s="69" t="str">
        <f>IF(Table5[[#This Row],[Ovr]]="","",IF(Table5[[#This Row],[cmbList]]="","",Table5[[#This Row],[cmbList]]-Table5[[#This Row],[Ovr]]))</f>
        <v/>
      </c>
      <c r="AD716" s="77" t="str">
        <f>IF(ISERROR(VLOOKUP($AB716&amp;"-"&amp;$E716&amp;" "&amp;F716,Bonuses!$B$1:$G$1006,4,FALSE)),"",INT(VLOOKUP($AB716&amp;"-"&amp;$E716&amp;" "&amp;$F716,Bonuses!$B$1:$G$1006,4,FALSE)))</f>
        <v/>
      </c>
      <c r="AE71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7" spans="1:31" s="50" customFormat="1" x14ac:dyDescent="0.25">
      <c r="A717" s="50">
        <v>1038</v>
      </c>
      <c r="B717" s="50">
        <f>COUNTIF(Table5[PID],A717)</f>
        <v>1</v>
      </c>
      <c r="C717" s="50" t="str">
        <f>IF(COUNTIF(Table3[[#All],[PID]],A717)&gt;0,"P","B")</f>
        <v>B</v>
      </c>
      <c r="D717" s="59" t="str">
        <f>IF($C717="B",INDEX(Batters[[#All],[POS]],MATCH(Table5[[#This Row],[PID]],Batters[[#All],[PID]],0)),INDEX(Table3[[#All],[POS]],MATCH(Table5[[#This Row],[PID]],Table3[[#All],[PID]],0)))</f>
        <v>3B</v>
      </c>
      <c r="E717" s="52" t="str">
        <f>IF($C717="B",INDEX(Batters[[#All],[First]],MATCH(Table5[[#This Row],[PID]],Batters[[#All],[PID]],0)),INDEX(Table3[[#All],[First]],MATCH(Table5[[#This Row],[PID]],Table3[[#All],[PID]],0)))</f>
        <v>Kane</v>
      </c>
      <c r="F717" s="50" t="str">
        <f>IF($C717="B",INDEX(Batters[[#All],[Last]],MATCH(A717,Batters[[#All],[PID]],0)),INDEX(Table3[[#All],[Last]],MATCH(A717,Table3[[#All],[PID]],0)))</f>
        <v>Schroeder</v>
      </c>
      <c r="G717" s="56">
        <f>IF($C717="B",INDEX(Batters[[#All],[Age]],MATCH(Table5[[#This Row],[PID]],Batters[[#All],[PID]],0)),INDEX(Table3[[#All],[Age]],MATCH(Table5[[#This Row],[PID]],Table3[[#All],[PID]],0)))</f>
        <v>18</v>
      </c>
      <c r="H717" s="52" t="str">
        <f>IF($C717="B",INDEX(Batters[[#All],[B]],MATCH(Table5[[#This Row],[PID]],Batters[[#All],[PID]],0)),INDEX(Table3[[#All],[B]],MATCH(Table5[[#This Row],[PID]],Table3[[#All],[PID]],0)))</f>
        <v>R</v>
      </c>
      <c r="I717" s="52" t="str">
        <f>IF($C717="B",INDEX(Batters[[#All],[T]],MATCH(Table5[[#This Row],[PID]],Batters[[#All],[PID]],0)),INDEX(Table3[[#All],[T]],MATCH(Table5[[#This Row],[PID]],Table3[[#All],[PID]],0)))</f>
        <v>R</v>
      </c>
      <c r="J717" s="52" t="str">
        <f>IF($C717="B",INDEX(Batters[[#All],[WE]],MATCH(Table5[[#This Row],[PID]],Batters[[#All],[PID]],0)),INDEX(Table3[[#All],[WE]],MATCH(Table5[[#This Row],[PID]],Table3[[#All],[PID]],0)))</f>
        <v>Normal</v>
      </c>
      <c r="K717" s="52" t="str">
        <f>IF($C717="B",INDEX(Batters[[#All],[INT]],MATCH(Table5[[#This Row],[PID]],Batters[[#All],[PID]],0)),INDEX(Table3[[#All],[INT]],MATCH(Table5[[#This Row],[PID]],Table3[[#All],[PID]],0)))</f>
        <v>Low</v>
      </c>
      <c r="L717" s="60">
        <f>IF($C717="B",INDEX(Batters[[#All],[CON P]],MATCH(Table5[[#This Row],[PID]],Batters[[#All],[PID]],0)),INDEX(Table3[[#All],[STU P]],MATCH(Table5[[#This Row],[PID]],Table3[[#All],[PID]],0)))</f>
        <v>4</v>
      </c>
      <c r="M717" s="56">
        <f>IF($C717="B",INDEX(Batters[[#All],[GAP P]],MATCH(Table5[[#This Row],[PID]],Batters[[#All],[PID]],0)),INDEX(Table3[[#All],[MOV P]],MATCH(Table5[[#This Row],[PID]],Table3[[#All],[PID]],0)))</f>
        <v>3</v>
      </c>
      <c r="N717" s="56">
        <f>IF($C717="B",INDEX(Batters[[#All],[POW P]],MATCH(Table5[[#This Row],[PID]],Batters[[#All],[PID]],0)),INDEX(Table3[[#All],[CON P]],MATCH(Table5[[#This Row],[PID]],Table3[[#All],[PID]],0)))</f>
        <v>3</v>
      </c>
      <c r="O717" s="56">
        <f>IF($C717="B",INDEX(Batters[[#All],[EYE P]],MATCH(Table5[[#This Row],[PID]],Batters[[#All],[PID]],0)),INDEX(Table3[[#All],[VELO]],MATCH(Table5[[#This Row],[PID]],Table3[[#All],[PID]],0)))</f>
        <v>4</v>
      </c>
      <c r="P717" s="56">
        <f>IF($C717="B",INDEX(Batters[[#All],[K P]],MATCH(Table5[[#This Row],[PID]],Batters[[#All],[PID]],0)),INDEX(Table3[[#All],[STM]],MATCH(Table5[[#This Row],[PID]],Table3[[#All],[PID]],0)))</f>
        <v>4</v>
      </c>
      <c r="Q717" s="61">
        <f>IF($C717="B",INDEX(Batters[[#All],[Tot]],MATCH(Table5[[#This Row],[PID]],Batters[[#All],[PID]],0)),INDEX(Table3[[#All],[Tot]],MATCH(Table5[[#This Row],[PID]],Table3[[#All],[PID]],0)))</f>
        <v>43.838806720967497</v>
      </c>
      <c r="R717" s="52">
        <f>IF($C717="B",INDEX(Batters[[#All],[zScore]],MATCH(Table5[[#This Row],[PID]],Batters[[#All],[PID]],0)),INDEX(Table3[[#All],[zScore]],MATCH(Table5[[#This Row],[PID]],Table3[[#All],[PID]],0)))</f>
        <v>-6.4989567642940893E-2</v>
      </c>
      <c r="S717" s="58" t="str">
        <f>IF($C717="B",INDEX(Batters[[#All],[DEM]],MATCH(Table5[[#This Row],[PID]],Batters[[#All],[PID]],0)),INDEX(Table3[[#All],[DEM]],MATCH(Table5[[#This Row],[PID]],Table3[[#All],[PID]],0)))</f>
        <v>$65k</v>
      </c>
      <c r="T717" s="62">
        <f>IF($C717="B",INDEX(Batters[[#All],[Rnk]],MATCH(Table5[[#This Row],[PID]],Batters[[#All],[PID]],0)),INDEX(Table3[[#All],[Rnk]],MATCH(Table5[[#This Row],[PID]],Table3[[#All],[PID]],0)))</f>
        <v>257</v>
      </c>
      <c r="U717" s="68">
        <f>IF($C717="B",VLOOKUP($A717,Bat!$A$4:$BA$1621,47,FALSE),VLOOKUP($A717,Pit!$A$4:$BF$1557,56,FALSE))</f>
        <v>0</v>
      </c>
      <c r="V717" s="50">
        <f>IF($C717="B",VLOOKUP($A717,Bat!$A$4:$BA$1621,48,FALSE),VLOOKUP($A717,Pit!$A$4:$BF$1557,57,FALSE))</f>
        <v>0</v>
      </c>
      <c r="W717" s="50">
        <f>Table5[[#This Row],[posRnk]]+Table5[[#This Row],[zRnk]]+IF($W$3&lt;&gt;Table5[[#This Row],[Type]],50,0)</f>
        <v>894</v>
      </c>
      <c r="X717" s="51">
        <f>RANK(Table5[[#This Row],[zScore]],Table5[[#All],[zScore]])</f>
        <v>587</v>
      </c>
      <c r="Y717" s="50" t="str">
        <f>IFERROR(INDEX(DraftResults[[#All],[OVR]],MATCH(Table5[[#This Row],[PID]],DraftResults[[#All],[Player ID]],0)),"")</f>
        <v/>
      </c>
      <c r="Z7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7" s="50" t="str">
        <f>IFERROR(INDEX(DraftResults[[#All],[Pick in Round]],MATCH(Table5[[#This Row],[PID]],DraftResults[[#All],[Player ID]],0)),"")</f>
        <v/>
      </c>
      <c r="AB717" s="50" t="str">
        <f>IFERROR(INDEX(DraftResults[[#All],[Team Name]],MATCH(Table5[[#This Row],[PID]],DraftResults[[#All],[Player ID]],0)),"")</f>
        <v/>
      </c>
      <c r="AC717" s="50" t="str">
        <f>IF(Table5[[#This Row],[Ovr]]="","",IF(Table5[[#This Row],[cmbList]]="","",Table5[[#This Row],[cmbList]]-Table5[[#This Row],[Ovr]]))</f>
        <v/>
      </c>
      <c r="AD717" s="54" t="str">
        <f>IF(ISERROR(VLOOKUP($AB717&amp;"-"&amp;$E717&amp;" "&amp;F717,Bonuses!$B$1:$G$1006,4,FALSE)),"",INT(VLOOKUP($AB717&amp;"-"&amp;$E717&amp;" "&amp;$F717,Bonuses!$B$1:$G$1006,4,FALSE)))</f>
        <v/>
      </c>
      <c r="AE7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8" spans="1:31" s="50" customFormat="1" x14ac:dyDescent="0.25">
      <c r="A718" s="50">
        <v>20776</v>
      </c>
      <c r="B718" s="50">
        <f>COUNTIF(Table5[PID],A718)</f>
        <v>1</v>
      </c>
      <c r="C718" s="50" t="str">
        <f>IF(COUNTIF(Table3[[#All],[PID]],A718)&gt;0,"P","B")</f>
        <v>P</v>
      </c>
      <c r="D718" s="59" t="str">
        <f>IF($C718="B",INDEX(Batters[[#All],[POS]],MATCH(Table5[[#This Row],[PID]],Batters[[#All],[PID]],0)),INDEX(Table3[[#All],[POS]],MATCH(Table5[[#This Row],[PID]],Table3[[#All],[PID]],0)))</f>
        <v>RP</v>
      </c>
      <c r="E718" s="52" t="str">
        <f>IF($C718="B",INDEX(Batters[[#All],[First]],MATCH(Table5[[#This Row],[PID]],Batters[[#All],[PID]],0)),INDEX(Table3[[#All],[First]],MATCH(Table5[[#This Row],[PID]],Table3[[#All],[PID]],0)))</f>
        <v>Gary</v>
      </c>
      <c r="F718" s="50" t="str">
        <f>IF($C718="B",INDEX(Batters[[#All],[Last]],MATCH(A718,Batters[[#All],[PID]],0)),INDEX(Table3[[#All],[Last]],MATCH(A718,Table3[[#All],[PID]],0)))</f>
        <v>Clarke</v>
      </c>
      <c r="G718" s="56">
        <f>IF($C718="B",INDEX(Batters[[#All],[Age]],MATCH(Table5[[#This Row],[PID]],Batters[[#All],[PID]],0)),INDEX(Table3[[#All],[Age]],MATCH(Table5[[#This Row],[PID]],Table3[[#All],[PID]],0)))</f>
        <v>17</v>
      </c>
      <c r="H718" s="52" t="str">
        <f>IF($C718="B",INDEX(Batters[[#All],[B]],MATCH(Table5[[#This Row],[PID]],Batters[[#All],[PID]],0)),INDEX(Table3[[#All],[B]],MATCH(Table5[[#This Row],[PID]],Table3[[#All],[PID]],0)))</f>
        <v>R</v>
      </c>
      <c r="I718" s="52" t="str">
        <f>IF($C718="B",INDEX(Batters[[#All],[T]],MATCH(Table5[[#This Row],[PID]],Batters[[#All],[PID]],0)),INDEX(Table3[[#All],[T]],MATCH(Table5[[#This Row],[PID]],Table3[[#All],[PID]],0)))</f>
        <v>R</v>
      </c>
      <c r="J718" s="52" t="str">
        <f>IF($C718="B",INDEX(Batters[[#All],[WE]],MATCH(Table5[[#This Row],[PID]],Batters[[#All],[PID]],0)),INDEX(Table3[[#All],[WE]],MATCH(Table5[[#This Row],[PID]],Table3[[#All],[PID]],0)))</f>
        <v>Low</v>
      </c>
      <c r="K718" s="52" t="str">
        <f>IF($C718="B",INDEX(Batters[[#All],[INT]],MATCH(Table5[[#This Row],[PID]],Batters[[#All],[PID]],0)),INDEX(Table3[[#All],[INT]],MATCH(Table5[[#This Row],[PID]],Table3[[#All],[PID]],0)))</f>
        <v>High</v>
      </c>
      <c r="L718" s="60">
        <f>IF($C718="B",INDEX(Batters[[#All],[CON P]],MATCH(Table5[[#This Row],[PID]],Batters[[#All],[PID]],0)),INDEX(Table3[[#All],[STU P]],MATCH(Table5[[#This Row],[PID]],Table3[[#All],[PID]],0)))</f>
        <v>5</v>
      </c>
      <c r="M718" s="56">
        <f>IF($C718="B",INDEX(Batters[[#All],[GAP P]],MATCH(Table5[[#This Row],[PID]],Batters[[#All],[PID]],0)),INDEX(Table3[[#All],[MOV P]],MATCH(Table5[[#This Row],[PID]],Table3[[#All],[PID]],0)))</f>
        <v>2</v>
      </c>
      <c r="N718" s="56">
        <f>IF($C718="B",INDEX(Batters[[#All],[POW P]],MATCH(Table5[[#This Row],[PID]],Batters[[#All],[PID]],0)),INDEX(Table3[[#All],[CON P]],MATCH(Table5[[#This Row],[PID]],Table3[[#All],[PID]],0)))</f>
        <v>2</v>
      </c>
      <c r="O718" s="56" t="str">
        <f>IF($C718="B",INDEX(Batters[[#All],[EYE P]],MATCH(Table5[[#This Row],[PID]],Batters[[#All],[PID]],0)),INDEX(Table3[[#All],[VELO]],MATCH(Table5[[#This Row],[PID]],Table3[[#All],[PID]],0)))</f>
        <v>89-91 Mph</v>
      </c>
      <c r="P718" s="56">
        <f>IF($C718="B",INDEX(Batters[[#All],[K P]],MATCH(Table5[[#This Row],[PID]],Batters[[#All],[PID]],0)),INDEX(Table3[[#All],[STM]],MATCH(Table5[[#This Row],[PID]],Table3[[#All],[PID]],0)))</f>
        <v>7</v>
      </c>
      <c r="Q718" s="61">
        <f>IF($C718="B",INDEX(Batters[[#All],[Tot]],MATCH(Table5[[#This Row],[PID]],Batters[[#All],[PID]],0)),INDEX(Table3[[#All],[Tot]],MATCH(Table5[[#This Row],[PID]],Table3[[#All],[PID]],0)))</f>
        <v>34.74828962640099</v>
      </c>
      <c r="R718" s="52">
        <f>IF($C718="B",INDEX(Batters[[#All],[zScore]],MATCH(Table5[[#This Row],[PID]],Batters[[#All],[PID]],0)),INDEX(Table3[[#All],[zScore]],MATCH(Table5[[#This Row],[PID]],Table3[[#All],[PID]],0)))</f>
        <v>-7.4660673897000443E-2</v>
      </c>
      <c r="S718" s="58" t="str">
        <f>IF($C718="B",INDEX(Batters[[#All],[DEM]],MATCH(Table5[[#This Row],[PID]],Batters[[#All],[PID]],0)),INDEX(Table3[[#All],[DEM]],MATCH(Table5[[#This Row],[PID]],Table3[[#All],[PID]],0)))</f>
        <v>$65k</v>
      </c>
      <c r="T718" s="62">
        <f>IF($C718="B",INDEX(Batters[[#All],[Rnk]],MATCH(Table5[[#This Row],[PID]],Batters[[#All],[PID]],0)),INDEX(Table3[[#All],[Rnk]],MATCH(Table5[[#This Row],[PID]],Table3[[#All],[PID]],0)))</f>
        <v>331</v>
      </c>
      <c r="U718" s="68">
        <f>IF($C718="B",VLOOKUP($A718,Bat!$A$4:$BA$1621,47,FALSE),VLOOKUP($A718,Pit!$A$4:$BF$1557,56,FALSE))</f>
        <v>0</v>
      </c>
      <c r="V718" s="50">
        <f>IF($C718="B",VLOOKUP($A718,Bat!$A$4:$BA$1621,48,FALSE),VLOOKUP($A718,Pit!$A$4:$BF$1557,57,FALSE))</f>
        <v>0</v>
      </c>
      <c r="W718" s="50">
        <f>Table5[[#This Row],[posRnk]]+Table5[[#This Row],[zRnk]]+IF($W$3&lt;&gt;Table5[[#This Row],[Type]],50,0)</f>
        <v>969</v>
      </c>
      <c r="X718" s="51">
        <f>RANK(Table5[[#This Row],[zScore]],Table5[[#All],[zScore]])</f>
        <v>588</v>
      </c>
      <c r="Y718" s="50" t="str">
        <f>IFERROR(INDEX(DraftResults[[#All],[OVR]],MATCH(Table5[[#This Row],[PID]],DraftResults[[#All],[Player ID]],0)),"")</f>
        <v/>
      </c>
      <c r="Z7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8" s="50" t="str">
        <f>IFERROR(INDEX(DraftResults[[#All],[Pick in Round]],MATCH(Table5[[#This Row],[PID]],DraftResults[[#All],[Player ID]],0)),"")</f>
        <v/>
      </c>
      <c r="AB718" s="50" t="str">
        <f>IFERROR(INDEX(DraftResults[[#All],[Team Name]],MATCH(Table5[[#This Row],[PID]],DraftResults[[#All],[Player ID]],0)),"")</f>
        <v/>
      </c>
      <c r="AC718" s="50" t="str">
        <f>IF(Table5[[#This Row],[Ovr]]="","",IF(Table5[[#This Row],[cmbList]]="","",Table5[[#This Row],[cmbList]]-Table5[[#This Row],[Ovr]]))</f>
        <v/>
      </c>
      <c r="AD718" s="54" t="str">
        <f>IF(ISERROR(VLOOKUP($AB718&amp;"-"&amp;$E718&amp;" "&amp;F718,Bonuses!$B$1:$G$1006,4,FALSE)),"",INT(VLOOKUP($AB718&amp;"-"&amp;$E718&amp;" "&amp;$F718,Bonuses!$B$1:$G$1006,4,FALSE)))</f>
        <v/>
      </c>
      <c r="AE7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19" spans="1:31" s="50" customFormat="1" x14ac:dyDescent="0.25">
      <c r="A719" s="68">
        <v>18261</v>
      </c>
      <c r="B719" s="69">
        <f>COUNTIF(Table5[PID],A719)</f>
        <v>1</v>
      </c>
      <c r="C719" s="69" t="str">
        <f>IF(COUNTIF(Table3[[#All],[PID]],A719)&gt;0,"P","B")</f>
        <v>P</v>
      </c>
      <c r="D719" s="59" t="str">
        <f>IF($C719="B",INDEX(Batters[[#All],[POS]],MATCH(Table5[[#This Row],[PID]],Batters[[#All],[PID]],0)),INDEX(Table3[[#All],[POS]],MATCH(Table5[[#This Row],[PID]],Table3[[#All],[PID]],0)))</f>
        <v>SP</v>
      </c>
      <c r="E719" s="52" t="str">
        <f>IF($C719="B",INDEX(Batters[[#All],[First]],MATCH(Table5[[#This Row],[PID]],Batters[[#All],[PID]],0)),INDEX(Table3[[#All],[First]],MATCH(Table5[[#This Row],[PID]],Table3[[#All],[PID]],0)))</f>
        <v>Jorge</v>
      </c>
      <c r="F719" s="55" t="str">
        <f>IF($C719="B",INDEX(Batters[[#All],[Last]],MATCH(A719,Batters[[#All],[PID]],0)),INDEX(Table3[[#All],[Last]],MATCH(A719,Table3[[#All],[PID]],0)))</f>
        <v>Pérez</v>
      </c>
      <c r="G719" s="56">
        <f>IF($C719="B",INDEX(Batters[[#All],[Age]],MATCH(Table5[[#This Row],[PID]],Batters[[#All],[PID]],0)),INDEX(Table3[[#All],[Age]],MATCH(Table5[[#This Row],[PID]],Table3[[#All],[PID]],0)))</f>
        <v>18</v>
      </c>
      <c r="H719" s="52" t="str">
        <f>IF($C719="B",INDEX(Batters[[#All],[B]],MATCH(Table5[[#This Row],[PID]],Batters[[#All],[PID]],0)),INDEX(Table3[[#All],[B]],MATCH(Table5[[#This Row],[PID]],Table3[[#All],[PID]],0)))</f>
        <v>R</v>
      </c>
      <c r="I719" s="52" t="str">
        <f>IF($C719="B",INDEX(Batters[[#All],[T]],MATCH(Table5[[#This Row],[PID]],Batters[[#All],[PID]],0)),INDEX(Table3[[#All],[T]],MATCH(Table5[[#This Row],[PID]],Table3[[#All],[PID]],0)))</f>
        <v>R</v>
      </c>
      <c r="J719" s="71" t="str">
        <f>IF($C719="B",INDEX(Batters[[#All],[WE]],MATCH(Table5[[#This Row],[PID]],Batters[[#All],[PID]],0)),INDEX(Table3[[#All],[WE]],MATCH(Table5[[#This Row],[PID]],Table3[[#All],[PID]],0)))</f>
        <v>Low</v>
      </c>
      <c r="K719" s="52" t="str">
        <f>IF($C719="B",INDEX(Batters[[#All],[INT]],MATCH(Table5[[#This Row],[PID]],Batters[[#All],[PID]],0)),INDEX(Table3[[#All],[INT]],MATCH(Table5[[#This Row],[PID]],Table3[[#All],[PID]],0)))</f>
        <v>Normal</v>
      </c>
      <c r="L719" s="60">
        <f>IF($C719="B",INDEX(Batters[[#All],[CON P]],MATCH(Table5[[#This Row],[PID]],Batters[[#All],[PID]],0)),INDEX(Table3[[#All],[STU P]],MATCH(Table5[[#This Row],[PID]],Table3[[#All],[PID]],0)))</f>
        <v>4</v>
      </c>
      <c r="M719" s="72">
        <f>IF($C719="B",INDEX(Batters[[#All],[GAP P]],MATCH(Table5[[#This Row],[PID]],Batters[[#All],[PID]],0)),INDEX(Table3[[#All],[MOV P]],MATCH(Table5[[#This Row],[PID]],Table3[[#All],[PID]],0)))</f>
        <v>3</v>
      </c>
      <c r="N719" s="72">
        <f>IF($C719="B",INDEX(Batters[[#All],[POW P]],MATCH(Table5[[#This Row],[PID]],Batters[[#All],[PID]],0)),INDEX(Table3[[#All],[CON P]],MATCH(Table5[[#This Row],[PID]],Table3[[#All],[PID]],0)))</f>
        <v>3</v>
      </c>
      <c r="O719" s="72" t="str">
        <f>IF($C719="B",INDEX(Batters[[#All],[EYE P]],MATCH(Table5[[#This Row],[PID]],Batters[[#All],[PID]],0)),INDEX(Table3[[#All],[VELO]],MATCH(Table5[[#This Row],[PID]],Table3[[#All],[PID]],0)))</f>
        <v>86-88 Mph</v>
      </c>
      <c r="P719" s="56">
        <f>IF($C719="B",INDEX(Batters[[#All],[K P]],MATCH(Table5[[#This Row],[PID]],Batters[[#All],[PID]],0)),INDEX(Table3[[#All],[STM]],MATCH(Table5[[#This Row],[PID]],Table3[[#All],[PID]],0)))</f>
        <v>4</v>
      </c>
      <c r="Q719" s="61">
        <f>IF($C719="B",INDEX(Batters[[#All],[Tot]],MATCH(Table5[[#This Row],[PID]],Batters[[#All],[PID]],0)),INDEX(Table3[[#All],[Tot]],MATCH(Table5[[#This Row],[PID]],Table3[[#All],[PID]],0)))</f>
        <v>36.642164470385978</v>
      </c>
      <c r="R719" s="52">
        <f>IF($C719="B",INDEX(Batters[[#All],[zScore]],MATCH(Table5[[#This Row],[PID]],Batters[[#All],[PID]],0)),INDEX(Table3[[#All],[zScore]],MATCH(Table5[[#This Row],[PID]],Table3[[#All],[PID]],0)))</f>
        <v>-7.9570067479563356E-2</v>
      </c>
      <c r="S719" s="78" t="str">
        <f>IF($C719="B",INDEX(Batters[[#All],[DEM]],MATCH(Table5[[#This Row],[PID]],Batters[[#All],[PID]],0)),INDEX(Table3[[#All],[DEM]],MATCH(Table5[[#This Row],[PID]],Table3[[#All],[PID]],0)))</f>
        <v>$65k</v>
      </c>
      <c r="T719" s="75">
        <f>IF($C719="B",INDEX(Batters[[#All],[Rnk]],MATCH(Table5[[#This Row],[PID]],Batters[[#All],[PID]],0)),INDEX(Table3[[#All],[Rnk]],MATCH(Table5[[#This Row],[PID]],Table3[[#All],[PID]],0)))</f>
        <v>332</v>
      </c>
      <c r="U719" s="68">
        <f>IF($C719="B",VLOOKUP($A719,Bat!$A$4:$BA$1621,47,FALSE),VLOOKUP($A719,Pit!$A$4:$BF$1557,56,FALSE))</f>
        <v>0</v>
      </c>
      <c r="V719" s="50">
        <f>IF($C719="B",VLOOKUP($A719,Bat!$A$4:$BA$1621,48,FALSE),VLOOKUP($A719,Pit!$A$4:$BF$1557,57,FALSE))</f>
        <v>0</v>
      </c>
      <c r="W719" s="69">
        <f>Table5[[#This Row],[posRnk]]+Table5[[#This Row],[zRnk]]+IF($W$3&lt;&gt;Table5[[#This Row],[Type]],50,0)</f>
        <v>972</v>
      </c>
      <c r="X719" s="73">
        <f>RANK(Table5[[#This Row],[zScore]],Table5[[#All],[zScore]])</f>
        <v>590</v>
      </c>
      <c r="Y719" s="69" t="str">
        <f>IFERROR(INDEX(DraftResults[[#All],[OVR]],MATCH(Table5[[#This Row],[PID]],DraftResults[[#All],[Player ID]],0)),"")</f>
        <v/>
      </c>
      <c r="Z71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19" s="69" t="str">
        <f>IFERROR(INDEX(DraftResults[[#All],[Pick in Round]],MATCH(Table5[[#This Row],[PID]],DraftResults[[#All],[Player ID]],0)),"")</f>
        <v/>
      </c>
      <c r="AB719" s="69" t="str">
        <f>IFERROR(INDEX(DraftResults[[#All],[Team Name]],MATCH(Table5[[#This Row],[PID]],DraftResults[[#All],[Player ID]],0)),"")</f>
        <v/>
      </c>
      <c r="AC719" s="69" t="str">
        <f>IF(Table5[[#This Row],[Ovr]]="","",IF(Table5[[#This Row],[cmbList]]="","",Table5[[#This Row],[cmbList]]-Table5[[#This Row],[Ovr]]))</f>
        <v/>
      </c>
      <c r="AD719" s="77" t="str">
        <f>IF(ISERROR(VLOOKUP($AB719&amp;"-"&amp;$E719&amp;" "&amp;F719,Bonuses!$B$1:$G$1006,4,FALSE)),"",INT(VLOOKUP($AB719&amp;"-"&amp;$E719&amp;" "&amp;$F719,Bonuses!$B$1:$G$1006,4,FALSE)))</f>
        <v/>
      </c>
      <c r="AE71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0" spans="1:31" s="50" customFormat="1" x14ac:dyDescent="0.25">
      <c r="A720" s="68">
        <v>20629</v>
      </c>
      <c r="B720" s="69">
        <f>COUNTIF(Table5[PID],A720)</f>
        <v>1</v>
      </c>
      <c r="C720" s="69" t="str">
        <f>IF(COUNTIF(Table3[[#All],[PID]],A720)&gt;0,"P","B")</f>
        <v>P</v>
      </c>
      <c r="D720" s="59" t="str">
        <f>IF($C720="B",INDEX(Batters[[#All],[POS]],MATCH(Table5[[#This Row],[PID]],Batters[[#All],[PID]],0)),INDEX(Table3[[#All],[POS]],MATCH(Table5[[#This Row],[PID]],Table3[[#All],[PID]],0)))</f>
        <v>SP</v>
      </c>
      <c r="E720" s="52" t="str">
        <f>IF($C720="B",INDEX(Batters[[#All],[First]],MATCH(Table5[[#This Row],[PID]],Batters[[#All],[PID]],0)),INDEX(Table3[[#All],[First]],MATCH(Table5[[#This Row],[PID]],Table3[[#All],[PID]],0)))</f>
        <v>Woo-jong</v>
      </c>
      <c r="F720" s="55" t="str">
        <f>IF($C720="B",INDEX(Batters[[#All],[Last]],MATCH(A720,Batters[[#All],[PID]],0)),INDEX(Table3[[#All],[Last]],MATCH(A720,Table3[[#All],[PID]],0)))</f>
        <v>Sin</v>
      </c>
      <c r="G720" s="56">
        <f>IF($C720="B",INDEX(Batters[[#All],[Age]],MATCH(Table5[[#This Row],[PID]],Batters[[#All],[PID]],0)),INDEX(Table3[[#All],[Age]],MATCH(Table5[[#This Row],[PID]],Table3[[#All],[PID]],0)))</f>
        <v>18</v>
      </c>
      <c r="H720" s="52" t="str">
        <f>IF($C720="B",INDEX(Batters[[#All],[B]],MATCH(Table5[[#This Row],[PID]],Batters[[#All],[PID]],0)),INDEX(Table3[[#All],[B]],MATCH(Table5[[#This Row],[PID]],Table3[[#All],[PID]],0)))</f>
        <v>R</v>
      </c>
      <c r="I720" s="52" t="str">
        <f>IF($C720="B",INDEX(Batters[[#All],[T]],MATCH(Table5[[#This Row],[PID]],Batters[[#All],[PID]],0)),INDEX(Table3[[#All],[T]],MATCH(Table5[[#This Row],[PID]],Table3[[#All],[PID]],0)))</f>
        <v>R</v>
      </c>
      <c r="J720" s="71" t="str">
        <f>IF($C720="B",INDEX(Batters[[#All],[WE]],MATCH(Table5[[#This Row],[PID]],Batters[[#All],[PID]],0)),INDEX(Table3[[#All],[WE]],MATCH(Table5[[#This Row],[PID]],Table3[[#All],[PID]],0)))</f>
        <v>High</v>
      </c>
      <c r="K720" s="52" t="str">
        <f>IF($C720="B",INDEX(Batters[[#All],[INT]],MATCH(Table5[[#This Row],[PID]],Batters[[#All],[PID]],0)),INDEX(Table3[[#All],[INT]],MATCH(Table5[[#This Row],[PID]],Table3[[#All],[PID]],0)))</f>
        <v>Normal</v>
      </c>
      <c r="L720" s="60">
        <f>IF($C720="B",INDEX(Batters[[#All],[CON P]],MATCH(Table5[[#This Row],[PID]],Batters[[#All],[PID]],0)),INDEX(Table3[[#All],[STU P]],MATCH(Table5[[#This Row],[PID]],Table3[[#All],[PID]],0)))</f>
        <v>4</v>
      </c>
      <c r="M720" s="72">
        <f>IF($C720="B",INDEX(Batters[[#All],[GAP P]],MATCH(Table5[[#This Row],[PID]],Batters[[#All],[PID]],0)),INDEX(Table3[[#All],[MOV P]],MATCH(Table5[[#This Row],[PID]],Table3[[#All],[PID]],0)))</f>
        <v>2</v>
      </c>
      <c r="N720" s="72">
        <f>IF($C720="B",INDEX(Batters[[#All],[POW P]],MATCH(Table5[[#This Row],[PID]],Batters[[#All],[PID]],0)),INDEX(Table3[[#All],[CON P]],MATCH(Table5[[#This Row],[PID]],Table3[[#All],[PID]],0)))</f>
        <v>3</v>
      </c>
      <c r="O720" s="72" t="str">
        <f>IF($C720="B",INDEX(Batters[[#All],[EYE P]],MATCH(Table5[[#This Row],[PID]],Batters[[#All],[PID]],0)),INDEX(Table3[[#All],[VELO]],MATCH(Table5[[#This Row],[PID]],Table3[[#All],[PID]],0)))</f>
        <v>87-89 Mph</v>
      </c>
      <c r="P720" s="56">
        <f>IF($C720="B",INDEX(Batters[[#All],[K P]],MATCH(Table5[[#This Row],[PID]],Batters[[#All],[PID]],0)),INDEX(Table3[[#All],[STM]],MATCH(Table5[[#This Row],[PID]],Table3[[#All],[PID]],0)))</f>
        <v>7</v>
      </c>
      <c r="Q720" s="61">
        <f>IF($C720="B",INDEX(Batters[[#All],[Tot]],MATCH(Table5[[#This Row],[PID]],Batters[[#All],[PID]],0)),INDEX(Table3[[#All],[Tot]],MATCH(Table5[[#This Row],[PID]],Table3[[#All],[PID]],0)))</f>
        <v>34.672849849111884</v>
      </c>
      <c r="R720" s="52">
        <f>IF($C720="B",INDEX(Batters[[#All],[zScore]],MATCH(Table5[[#This Row],[PID]],Batters[[#All],[PID]],0)),INDEX(Table3[[#All],[zScore]],MATCH(Table5[[#This Row],[PID]],Table3[[#All],[PID]],0)))</f>
        <v>-7.9679566999853887E-2</v>
      </c>
      <c r="S720" s="78" t="str">
        <f>IF($C720="B",INDEX(Batters[[#All],[DEM]],MATCH(Table5[[#This Row],[PID]],Batters[[#All],[PID]],0)),INDEX(Table3[[#All],[DEM]],MATCH(Table5[[#This Row],[PID]],Table3[[#All],[PID]],0)))</f>
        <v>$65k</v>
      </c>
      <c r="T720" s="75">
        <f>IF($C720="B",INDEX(Batters[[#All],[Rnk]],MATCH(Table5[[#This Row],[PID]],Batters[[#All],[PID]],0)),INDEX(Table3[[#All],[Rnk]],MATCH(Table5[[#This Row],[PID]],Table3[[#All],[PID]],0)))</f>
        <v>333</v>
      </c>
      <c r="U720" s="68">
        <f>IF($C720="B",VLOOKUP($A720,Bat!$A$4:$BA$1621,47,FALSE),VLOOKUP($A720,Pit!$A$4:$BF$1557,56,FALSE))</f>
        <v>0</v>
      </c>
      <c r="V720" s="50">
        <f>IF($C720="B",VLOOKUP($A720,Bat!$A$4:$BA$1621,48,FALSE),VLOOKUP($A720,Pit!$A$4:$BF$1557,57,FALSE))</f>
        <v>0</v>
      </c>
      <c r="W720" s="69">
        <f>Table5[[#This Row],[posRnk]]+Table5[[#This Row],[zRnk]]+IF($W$3&lt;&gt;Table5[[#This Row],[Type]],50,0)</f>
        <v>974</v>
      </c>
      <c r="X720" s="73">
        <f>RANK(Table5[[#This Row],[zScore]],Table5[[#All],[zScore]])</f>
        <v>591</v>
      </c>
      <c r="Y720" s="69" t="str">
        <f>IFERROR(INDEX(DraftResults[[#All],[OVR]],MATCH(Table5[[#This Row],[PID]],DraftResults[[#All],[Player ID]],0)),"")</f>
        <v/>
      </c>
      <c r="Z7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0" s="69" t="str">
        <f>IFERROR(INDEX(DraftResults[[#All],[Pick in Round]],MATCH(Table5[[#This Row],[PID]],DraftResults[[#All],[Player ID]],0)),"")</f>
        <v/>
      </c>
      <c r="AB720" s="69" t="str">
        <f>IFERROR(INDEX(DraftResults[[#All],[Team Name]],MATCH(Table5[[#This Row],[PID]],DraftResults[[#All],[Player ID]],0)),"")</f>
        <v/>
      </c>
      <c r="AC720" s="69" t="str">
        <f>IF(Table5[[#This Row],[Ovr]]="","",IF(Table5[[#This Row],[cmbList]]="","",Table5[[#This Row],[cmbList]]-Table5[[#This Row],[Ovr]]))</f>
        <v/>
      </c>
      <c r="AD720" s="77" t="str">
        <f>IF(ISERROR(VLOOKUP($AB720&amp;"-"&amp;$E720&amp;" "&amp;F720,Bonuses!$B$1:$G$1006,4,FALSE)),"",INT(VLOOKUP($AB720&amp;"-"&amp;$E720&amp;" "&amp;$F720,Bonuses!$B$1:$G$1006,4,FALSE)))</f>
        <v/>
      </c>
      <c r="AE7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1" spans="1:31" s="50" customFormat="1" x14ac:dyDescent="0.25">
      <c r="A721" s="50">
        <v>20405</v>
      </c>
      <c r="B721" s="50">
        <f>COUNTIF(Table5[PID],A721)</f>
        <v>1</v>
      </c>
      <c r="C721" s="50" t="str">
        <f>IF(COUNTIF(Table3[[#All],[PID]],A721)&gt;0,"P","B")</f>
        <v>P</v>
      </c>
      <c r="D721" s="59" t="str">
        <f>IF($C721="B",INDEX(Batters[[#All],[POS]],MATCH(Table5[[#This Row],[PID]],Batters[[#All],[PID]],0)),INDEX(Table3[[#All],[POS]],MATCH(Table5[[#This Row],[PID]],Table3[[#All],[PID]],0)))</f>
        <v>RP</v>
      </c>
      <c r="E721" s="52" t="str">
        <f>IF($C721="B",INDEX(Batters[[#All],[First]],MATCH(Table5[[#This Row],[PID]],Batters[[#All],[PID]],0)),INDEX(Table3[[#All],[First]],MATCH(Table5[[#This Row],[PID]],Table3[[#All],[PID]],0)))</f>
        <v>Ivan</v>
      </c>
      <c r="F721" s="50" t="str">
        <f>IF($C721="B",INDEX(Batters[[#All],[Last]],MATCH(A721,Batters[[#All],[PID]],0)),INDEX(Table3[[#All],[Last]],MATCH(A721,Table3[[#All],[PID]],0)))</f>
        <v>Foreman</v>
      </c>
      <c r="G721" s="56">
        <f>IF($C721="B",INDEX(Batters[[#All],[Age]],MATCH(Table5[[#This Row],[PID]],Batters[[#All],[PID]],0)),INDEX(Table3[[#All],[Age]],MATCH(Table5[[#This Row],[PID]],Table3[[#All],[PID]],0)))</f>
        <v>16</v>
      </c>
      <c r="H721" s="52" t="str">
        <f>IF($C721="B",INDEX(Batters[[#All],[B]],MATCH(Table5[[#This Row],[PID]],Batters[[#All],[PID]],0)),INDEX(Table3[[#All],[B]],MATCH(Table5[[#This Row],[PID]],Table3[[#All],[PID]],0)))</f>
        <v>L</v>
      </c>
      <c r="I721" s="52" t="str">
        <f>IF($C721="B",INDEX(Batters[[#All],[T]],MATCH(Table5[[#This Row],[PID]],Batters[[#All],[PID]],0)),INDEX(Table3[[#All],[T]],MATCH(Table5[[#This Row],[PID]],Table3[[#All],[PID]],0)))</f>
        <v>R</v>
      </c>
      <c r="J721" s="52" t="str">
        <f>IF($C721="B",INDEX(Batters[[#All],[WE]],MATCH(Table5[[#This Row],[PID]],Batters[[#All],[PID]],0)),INDEX(Table3[[#All],[WE]],MATCH(Table5[[#This Row],[PID]],Table3[[#All],[PID]],0)))</f>
        <v>Normal</v>
      </c>
      <c r="K721" s="52" t="str">
        <f>IF($C721="B",INDEX(Batters[[#All],[INT]],MATCH(Table5[[#This Row],[PID]],Batters[[#All],[PID]],0)),INDEX(Table3[[#All],[INT]],MATCH(Table5[[#This Row],[PID]],Table3[[#All],[PID]],0)))</f>
        <v>Normal</v>
      </c>
      <c r="L721" s="60">
        <f>IF($C721="B",INDEX(Batters[[#All],[CON P]],MATCH(Table5[[#This Row],[PID]],Batters[[#All],[PID]],0)),INDEX(Table3[[#All],[STU P]],MATCH(Table5[[#This Row],[PID]],Table3[[#All],[PID]],0)))</f>
        <v>4</v>
      </c>
      <c r="M721" s="56">
        <f>IF($C721="B",INDEX(Batters[[#All],[GAP P]],MATCH(Table5[[#This Row],[PID]],Batters[[#All],[PID]],0)),INDEX(Table3[[#All],[MOV P]],MATCH(Table5[[#This Row],[PID]],Table3[[#All],[PID]],0)))</f>
        <v>2</v>
      </c>
      <c r="N721" s="56">
        <f>IF($C721="B",INDEX(Batters[[#All],[POW P]],MATCH(Table5[[#This Row],[PID]],Batters[[#All],[PID]],0)),INDEX(Table3[[#All],[CON P]],MATCH(Table5[[#This Row],[PID]],Table3[[#All],[PID]],0)))</f>
        <v>3</v>
      </c>
      <c r="O721" s="56" t="str">
        <f>IF($C721="B",INDEX(Batters[[#All],[EYE P]],MATCH(Table5[[#This Row],[PID]],Batters[[#All],[PID]],0)),INDEX(Table3[[#All],[VELO]],MATCH(Table5[[#This Row],[PID]],Table3[[#All],[PID]],0)))</f>
        <v>86-88 Mph</v>
      </c>
      <c r="P721" s="56">
        <f>IF($C721="B",INDEX(Batters[[#All],[K P]],MATCH(Table5[[#This Row],[PID]],Batters[[#All],[PID]],0)),INDEX(Table3[[#All],[STM]],MATCH(Table5[[#This Row],[PID]],Table3[[#All],[PID]],0)))</f>
        <v>5</v>
      </c>
      <c r="Q721" s="61">
        <f>IF($C721="B",INDEX(Batters[[#All],[Tot]],MATCH(Table5[[#This Row],[PID]],Batters[[#All],[PID]],0)),INDEX(Table3[[#All],[Tot]],MATCH(Table5[[#This Row],[PID]],Table3[[#All],[PID]],0)))</f>
        <v>34.587309966073875</v>
      </c>
      <c r="R721" s="52">
        <f>IF($C721="B",INDEX(Batters[[#All],[zScore]],MATCH(Table5[[#This Row],[PID]],Batters[[#All],[PID]],0)),INDEX(Table3[[#All],[zScore]],MATCH(Table5[[#This Row],[PID]],Table3[[#All],[PID]],0)))</f>
        <v>-8.537040470412105E-2</v>
      </c>
      <c r="S721" s="58" t="str">
        <f>IF($C721="B",INDEX(Batters[[#All],[DEM]],MATCH(Table5[[#This Row],[PID]],Batters[[#All],[PID]],0)),INDEX(Table3[[#All],[DEM]],MATCH(Table5[[#This Row],[PID]],Table3[[#All],[PID]],0)))</f>
        <v>$75k</v>
      </c>
      <c r="T721" s="62">
        <f>IF($C721="B",INDEX(Batters[[#All],[Rnk]],MATCH(Table5[[#This Row],[PID]],Batters[[#All],[PID]],0)),INDEX(Table3[[#All],[Rnk]],MATCH(Table5[[#This Row],[PID]],Table3[[#All],[PID]],0)))</f>
        <v>334</v>
      </c>
      <c r="U721" s="68">
        <f>IF($C721="B",VLOOKUP($A721,Bat!$A$4:$BA$1621,47,FALSE),VLOOKUP($A721,Pit!$A$4:$BF$1557,56,FALSE))</f>
        <v>0</v>
      </c>
      <c r="V721" s="50">
        <f>IF($C721="B",VLOOKUP($A721,Bat!$A$4:$BA$1621,48,FALSE),VLOOKUP($A721,Pit!$A$4:$BF$1557,57,FALSE))</f>
        <v>0</v>
      </c>
      <c r="W721" s="50">
        <f>Table5[[#This Row],[posRnk]]+Table5[[#This Row],[zRnk]]+IF($W$3&lt;&gt;Table5[[#This Row],[Type]],50,0)</f>
        <v>976</v>
      </c>
      <c r="X721" s="51">
        <f>RANK(Table5[[#This Row],[zScore]],Table5[[#All],[zScore]])</f>
        <v>592</v>
      </c>
      <c r="Y721" s="50" t="str">
        <f>IFERROR(INDEX(DraftResults[[#All],[OVR]],MATCH(Table5[[#This Row],[PID]],DraftResults[[#All],[Player ID]],0)),"")</f>
        <v/>
      </c>
      <c r="Z7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1" s="50" t="str">
        <f>IFERROR(INDEX(DraftResults[[#All],[Pick in Round]],MATCH(Table5[[#This Row],[PID]],DraftResults[[#All],[Player ID]],0)),"")</f>
        <v/>
      </c>
      <c r="AB721" s="50" t="str">
        <f>IFERROR(INDEX(DraftResults[[#All],[Team Name]],MATCH(Table5[[#This Row],[PID]],DraftResults[[#All],[Player ID]],0)),"")</f>
        <v/>
      </c>
      <c r="AC721" s="50" t="str">
        <f>IF(Table5[[#This Row],[Ovr]]="","",IF(Table5[[#This Row],[cmbList]]="","",Table5[[#This Row],[cmbList]]-Table5[[#This Row],[Ovr]]))</f>
        <v/>
      </c>
      <c r="AD721" s="54" t="str">
        <f>IF(ISERROR(VLOOKUP($AB721&amp;"-"&amp;$E721&amp;" "&amp;F721,Bonuses!$B$1:$G$1006,4,FALSE)),"",INT(VLOOKUP($AB721&amp;"-"&amp;$E721&amp;" "&amp;$F721,Bonuses!$B$1:$G$1006,4,FALSE)))</f>
        <v/>
      </c>
      <c r="AE7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2" spans="1:31" s="50" customFormat="1" x14ac:dyDescent="0.25">
      <c r="A722" s="68">
        <v>17789</v>
      </c>
      <c r="B722" s="69">
        <f>COUNTIF(Table5[PID],A722)</f>
        <v>1</v>
      </c>
      <c r="C722" s="69" t="str">
        <f>IF(COUNTIF(Table3[[#All],[PID]],A722)&gt;0,"P","B")</f>
        <v>P</v>
      </c>
      <c r="D722" s="59" t="str">
        <f>IF($C722="B",INDEX(Batters[[#All],[POS]],MATCH(Table5[[#This Row],[PID]],Batters[[#All],[PID]],0)),INDEX(Table3[[#All],[POS]],MATCH(Table5[[#This Row],[PID]],Table3[[#All],[PID]],0)))</f>
        <v>SP</v>
      </c>
      <c r="E722" s="52" t="str">
        <f>IF($C722="B",INDEX(Batters[[#All],[First]],MATCH(Table5[[#This Row],[PID]],Batters[[#All],[PID]],0)),INDEX(Table3[[#All],[First]],MATCH(Table5[[#This Row],[PID]],Table3[[#All],[PID]],0)))</f>
        <v>José</v>
      </c>
      <c r="F722" s="55" t="str">
        <f>IF($C722="B",INDEX(Batters[[#All],[Last]],MATCH(A722,Batters[[#All],[PID]],0)),INDEX(Table3[[#All],[Last]],MATCH(A722,Table3[[#All],[PID]],0)))</f>
        <v>Garza</v>
      </c>
      <c r="G722" s="56">
        <f>IF($C722="B",INDEX(Batters[[#All],[Age]],MATCH(Table5[[#This Row],[PID]],Batters[[#All],[PID]],0)),INDEX(Table3[[#All],[Age]],MATCH(Table5[[#This Row],[PID]],Table3[[#All],[PID]],0)))</f>
        <v>21</v>
      </c>
      <c r="H722" s="52" t="str">
        <f>IF($C722="B",INDEX(Batters[[#All],[B]],MATCH(Table5[[#This Row],[PID]],Batters[[#All],[PID]],0)),INDEX(Table3[[#All],[B]],MATCH(Table5[[#This Row],[PID]],Table3[[#All],[PID]],0)))</f>
        <v>R</v>
      </c>
      <c r="I722" s="52" t="str">
        <f>IF($C722="B",INDEX(Batters[[#All],[T]],MATCH(Table5[[#This Row],[PID]],Batters[[#All],[PID]],0)),INDEX(Table3[[#All],[T]],MATCH(Table5[[#This Row],[PID]],Table3[[#All],[PID]],0)))</f>
        <v>R</v>
      </c>
      <c r="J722" s="71" t="str">
        <f>IF($C722="B",INDEX(Batters[[#All],[WE]],MATCH(Table5[[#This Row],[PID]],Batters[[#All],[PID]],0)),INDEX(Table3[[#All],[WE]],MATCH(Table5[[#This Row],[PID]],Table3[[#All],[PID]],0)))</f>
        <v>Normal</v>
      </c>
      <c r="K722" s="52" t="str">
        <f>IF($C722="B",INDEX(Batters[[#All],[INT]],MATCH(Table5[[#This Row],[PID]],Batters[[#All],[PID]],0)),INDEX(Table3[[#All],[INT]],MATCH(Table5[[#This Row],[PID]],Table3[[#All],[PID]],0)))</f>
        <v>Low</v>
      </c>
      <c r="L722" s="60">
        <f>IF($C722="B",INDEX(Batters[[#All],[CON P]],MATCH(Table5[[#This Row],[PID]],Batters[[#All],[PID]],0)),INDEX(Table3[[#All],[STU P]],MATCH(Table5[[#This Row],[PID]],Table3[[#All],[PID]],0)))</f>
        <v>4</v>
      </c>
      <c r="M722" s="72">
        <f>IF($C722="B",INDEX(Batters[[#All],[GAP P]],MATCH(Table5[[#This Row],[PID]],Batters[[#All],[PID]],0)),INDEX(Table3[[#All],[MOV P]],MATCH(Table5[[#This Row],[PID]],Table3[[#All],[PID]],0)))</f>
        <v>2</v>
      </c>
      <c r="N722" s="72">
        <f>IF($C722="B",INDEX(Batters[[#All],[POW P]],MATCH(Table5[[#This Row],[PID]],Batters[[#All],[PID]],0)),INDEX(Table3[[#All],[CON P]],MATCH(Table5[[#This Row],[PID]],Table3[[#All],[PID]],0)))</f>
        <v>4</v>
      </c>
      <c r="O722" s="72" t="str">
        <f>IF($C722="B",INDEX(Batters[[#All],[EYE P]],MATCH(Table5[[#This Row],[PID]],Batters[[#All],[PID]],0)),INDEX(Table3[[#All],[VELO]],MATCH(Table5[[#This Row],[PID]],Table3[[#All],[PID]],0)))</f>
        <v>90-92 Mph</v>
      </c>
      <c r="P722" s="56">
        <f>IF($C722="B",INDEX(Batters[[#All],[K P]],MATCH(Table5[[#This Row],[PID]],Batters[[#All],[PID]],0)),INDEX(Table3[[#All],[STM]],MATCH(Table5[[#This Row],[PID]],Table3[[#All],[PID]],0)))</f>
        <v>7</v>
      </c>
      <c r="Q722" s="61">
        <f>IF($C722="B",INDEX(Batters[[#All],[Tot]],MATCH(Table5[[#This Row],[PID]],Batters[[#All],[PID]],0)),INDEX(Table3[[#All],[Tot]],MATCH(Table5[[#This Row],[PID]],Table3[[#All],[PID]],0)))</f>
        <v>34.545749891592763</v>
      </c>
      <c r="R722" s="52">
        <f>IF($C722="B",INDEX(Batters[[#All],[zScore]],MATCH(Table5[[#This Row],[PID]],Batters[[#All],[PID]],0)),INDEX(Table3[[#All],[zScore]],MATCH(Table5[[#This Row],[PID]],Table3[[#All],[PID]],0)))</f>
        <v>-8.8135332951032111E-2</v>
      </c>
      <c r="S722" s="78" t="str">
        <f>IF($C722="B",INDEX(Batters[[#All],[DEM]],MATCH(Table5[[#This Row],[PID]],Batters[[#All],[PID]],0)),INDEX(Table3[[#All],[DEM]],MATCH(Table5[[#This Row],[PID]],Table3[[#All],[PID]],0)))</f>
        <v>-</v>
      </c>
      <c r="T722" s="75">
        <f>IF($C722="B",INDEX(Batters[[#All],[Rnk]],MATCH(Table5[[#This Row],[PID]],Batters[[#All],[PID]],0)),INDEX(Table3[[#All],[Rnk]],MATCH(Table5[[#This Row],[PID]],Table3[[#All],[PID]],0)))</f>
        <v>335</v>
      </c>
      <c r="U722" s="68">
        <f>IF($C722="B",VLOOKUP($A722,Bat!$A$4:$BA$1621,47,FALSE),VLOOKUP($A722,Pit!$A$4:$BF$1557,56,FALSE))</f>
        <v>0</v>
      </c>
      <c r="V722" s="50">
        <f>IF($C722="B",VLOOKUP($A722,Bat!$A$4:$BA$1621,48,FALSE),VLOOKUP($A722,Pit!$A$4:$BF$1557,57,FALSE))</f>
        <v>0</v>
      </c>
      <c r="W722" s="69">
        <f>Table5[[#This Row],[posRnk]]+Table5[[#This Row],[zRnk]]+IF($W$3&lt;&gt;Table5[[#This Row],[Type]],50,0)</f>
        <v>978</v>
      </c>
      <c r="X722" s="73">
        <f>RANK(Table5[[#This Row],[zScore]],Table5[[#All],[zScore]])</f>
        <v>593</v>
      </c>
      <c r="Y722" s="69" t="str">
        <f>IFERROR(INDEX(DraftResults[[#All],[OVR]],MATCH(Table5[[#This Row],[PID]],DraftResults[[#All],[Player ID]],0)),"")</f>
        <v/>
      </c>
      <c r="Z72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2" s="69" t="str">
        <f>IFERROR(INDEX(DraftResults[[#All],[Pick in Round]],MATCH(Table5[[#This Row],[PID]],DraftResults[[#All],[Player ID]],0)),"")</f>
        <v/>
      </c>
      <c r="AB722" s="69" t="str">
        <f>IFERROR(INDEX(DraftResults[[#All],[Team Name]],MATCH(Table5[[#This Row],[PID]],DraftResults[[#All],[Player ID]],0)),"")</f>
        <v/>
      </c>
      <c r="AC722" s="69" t="str">
        <f>IF(Table5[[#This Row],[Ovr]]="","",IF(Table5[[#This Row],[cmbList]]="","",Table5[[#This Row],[cmbList]]-Table5[[#This Row],[Ovr]]))</f>
        <v/>
      </c>
      <c r="AD722" s="77" t="str">
        <f>IF(ISERROR(VLOOKUP($AB722&amp;"-"&amp;$E722&amp;" "&amp;F722,Bonuses!$B$1:$G$1006,4,FALSE)),"",INT(VLOOKUP($AB722&amp;"-"&amp;$E722&amp;" "&amp;$F722,Bonuses!$B$1:$G$1006,4,FALSE)))</f>
        <v/>
      </c>
      <c r="AE72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3" spans="1:31" s="50" customFormat="1" x14ac:dyDescent="0.25">
      <c r="A723" s="50">
        <v>17566</v>
      </c>
      <c r="B723" s="50">
        <f>COUNTIF(Table5[PID],A723)</f>
        <v>1</v>
      </c>
      <c r="C723" s="50" t="str">
        <f>IF(COUNTIF(Table3[[#All],[PID]],A723)&gt;0,"P","B")</f>
        <v>P</v>
      </c>
      <c r="D723" s="59" t="str">
        <f>IF($C723="B",INDEX(Batters[[#All],[POS]],MATCH(Table5[[#This Row],[PID]],Batters[[#All],[PID]],0)),INDEX(Table3[[#All],[POS]],MATCH(Table5[[#This Row],[PID]],Table3[[#All],[PID]],0)))</f>
        <v>RP</v>
      </c>
      <c r="E723" s="52" t="str">
        <f>IF($C723="B",INDEX(Batters[[#All],[First]],MATCH(Table5[[#This Row],[PID]],Batters[[#All],[PID]],0)),INDEX(Table3[[#All],[First]],MATCH(Table5[[#This Row],[PID]],Table3[[#All],[PID]],0)))</f>
        <v>Juan</v>
      </c>
      <c r="F723" s="50" t="str">
        <f>IF($C723="B",INDEX(Batters[[#All],[Last]],MATCH(A723,Batters[[#All],[PID]],0)),INDEX(Table3[[#All],[Last]],MATCH(A723,Table3[[#All],[PID]],0)))</f>
        <v>Costa</v>
      </c>
      <c r="G723" s="56">
        <f>IF($C723="B",INDEX(Batters[[#All],[Age]],MATCH(Table5[[#This Row],[PID]],Batters[[#All],[PID]],0)),INDEX(Table3[[#All],[Age]],MATCH(Table5[[#This Row],[PID]],Table3[[#All],[PID]],0)))</f>
        <v>18</v>
      </c>
      <c r="H723" s="52" t="str">
        <f>IF($C723="B",INDEX(Batters[[#All],[B]],MATCH(Table5[[#This Row],[PID]],Batters[[#All],[PID]],0)),INDEX(Table3[[#All],[B]],MATCH(Table5[[#This Row],[PID]],Table3[[#All],[PID]],0)))</f>
        <v>L</v>
      </c>
      <c r="I723" s="52" t="str">
        <f>IF($C723="B",INDEX(Batters[[#All],[T]],MATCH(Table5[[#This Row],[PID]],Batters[[#All],[PID]],0)),INDEX(Table3[[#All],[T]],MATCH(Table5[[#This Row],[PID]],Table3[[#All],[PID]],0)))</f>
        <v>L</v>
      </c>
      <c r="J723" s="52" t="str">
        <f>IF($C723="B",INDEX(Batters[[#All],[WE]],MATCH(Table5[[#This Row],[PID]],Batters[[#All],[PID]],0)),INDEX(Table3[[#All],[WE]],MATCH(Table5[[#This Row],[PID]],Table3[[#All],[PID]],0)))</f>
        <v>High</v>
      </c>
      <c r="K723" s="52" t="str">
        <f>IF($C723="B",INDEX(Batters[[#All],[INT]],MATCH(Table5[[#This Row],[PID]],Batters[[#All],[PID]],0)),INDEX(Table3[[#All],[INT]],MATCH(Table5[[#This Row],[PID]],Table3[[#All],[PID]],0)))</f>
        <v>Normal</v>
      </c>
      <c r="L723" s="60">
        <f>IF($C723="B",INDEX(Batters[[#All],[CON P]],MATCH(Table5[[#This Row],[PID]],Batters[[#All],[PID]],0)),INDEX(Table3[[#All],[STU P]],MATCH(Table5[[#This Row],[PID]],Table3[[#All],[PID]],0)))</f>
        <v>4</v>
      </c>
      <c r="M723" s="56">
        <f>IF($C723="B",INDEX(Batters[[#All],[GAP P]],MATCH(Table5[[#This Row],[PID]],Batters[[#All],[PID]],0)),INDEX(Table3[[#All],[MOV P]],MATCH(Table5[[#This Row],[PID]],Table3[[#All],[PID]],0)))</f>
        <v>2</v>
      </c>
      <c r="N723" s="56">
        <f>IF($C723="B",INDEX(Batters[[#All],[POW P]],MATCH(Table5[[#This Row],[PID]],Batters[[#All],[PID]],0)),INDEX(Table3[[#All],[CON P]],MATCH(Table5[[#This Row],[PID]],Table3[[#All],[PID]],0)))</f>
        <v>3</v>
      </c>
      <c r="O723" s="56" t="str">
        <f>IF($C723="B",INDEX(Batters[[#All],[EYE P]],MATCH(Table5[[#This Row],[PID]],Batters[[#All],[PID]],0)),INDEX(Table3[[#All],[VELO]],MATCH(Table5[[#This Row],[PID]],Table3[[#All],[PID]],0)))</f>
        <v>85-87 Mph</v>
      </c>
      <c r="P723" s="56">
        <f>IF($C723="B",INDEX(Batters[[#All],[K P]],MATCH(Table5[[#This Row],[PID]],Batters[[#All],[PID]],0)),INDEX(Table3[[#All],[STM]],MATCH(Table5[[#This Row],[PID]],Table3[[#All],[PID]],0)))</f>
        <v>6</v>
      </c>
      <c r="Q723" s="61">
        <f>IF($C723="B",INDEX(Batters[[#All],[Tot]],MATCH(Table5[[#This Row],[PID]],Batters[[#All],[PID]],0)),INDEX(Table3[[#All],[Tot]],MATCH(Table5[[#This Row],[PID]],Table3[[#All],[PID]],0)))</f>
        <v>36.472180898208556</v>
      </c>
      <c r="R723" s="52">
        <f>IF($C723="B",INDEX(Batters[[#All],[zScore]],MATCH(Table5[[#This Row],[PID]],Batters[[#All],[PID]],0)),INDEX(Table3[[#All],[zScore]],MATCH(Table5[[#This Row],[PID]],Table3[[#All],[PID]],0)))</f>
        <v>-9.1213892159698759E-2</v>
      </c>
      <c r="S723" s="58" t="str">
        <f>IF($C723="B",INDEX(Batters[[#All],[DEM]],MATCH(Table5[[#This Row],[PID]],Batters[[#All],[PID]],0)),INDEX(Table3[[#All],[DEM]],MATCH(Table5[[#This Row],[PID]],Table3[[#All],[PID]],0)))</f>
        <v>$65k</v>
      </c>
      <c r="T723" s="62">
        <f>IF($C723="B",INDEX(Batters[[#All],[Rnk]],MATCH(Table5[[#This Row],[PID]],Batters[[#All],[PID]],0)),INDEX(Table3[[#All],[Rnk]],MATCH(Table5[[#This Row],[PID]],Table3[[#All],[PID]],0)))</f>
        <v>336</v>
      </c>
      <c r="U723" s="68">
        <f>IF($C723="B",VLOOKUP($A723,Bat!$A$4:$BA$1621,47,FALSE),VLOOKUP($A723,Pit!$A$4:$BF$1557,56,FALSE))</f>
        <v>0</v>
      </c>
      <c r="V723" s="50">
        <f>IF($C723="B",VLOOKUP($A723,Bat!$A$4:$BA$1621,48,FALSE),VLOOKUP($A723,Pit!$A$4:$BF$1557,57,FALSE))</f>
        <v>0</v>
      </c>
      <c r="W723" s="50">
        <f>Table5[[#This Row],[posRnk]]+Table5[[#This Row],[zRnk]]+IF($W$3&lt;&gt;Table5[[#This Row],[Type]],50,0)</f>
        <v>980</v>
      </c>
      <c r="X723" s="51">
        <f>RANK(Table5[[#This Row],[zScore]],Table5[[#All],[zScore]])</f>
        <v>594</v>
      </c>
      <c r="Y723" s="50" t="str">
        <f>IFERROR(INDEX(DraftResults[[#All],[OVR]],MATCH(Table5[[#This Row],[PID]],DraftResults[[#All],[Player ID]],0)),"")</f>
        <v/>
      </c>
      <c r="Z7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3" s="50" t="str">
        <f>IFERROR(INDEX(DraftResults[[#All],[Pick in Round]],MATCH(Table5[[#This Row],[PID]],DraftResults[[#All],[Player ID]],0)),"")</f>
        <v/>
      </c>
      <c r="AB723" s="50" t="str">
        <f>IFERROR(INDEX(DraftResults[[#All],[Team Name]],MATCH(Table5[[#This Row],[PID]],DraftResults[[#All],[Player ID]],0)),"")</f>
        <v/>
      </c>
      <c r="AC723" s="50" t="str">
        <f>IF(Table5[[#This Row],[Ovr]]="","",IF(Table5[[#This Row],[cmbList]]="","",Table5[[#This Row],[cmbList]]-Table5[[#This Row],[Ovr]]))</f>
        <v/>
      </c>
      <c r="AD723" s="54" t="str">
        <f>IF(ISERROR(VLOOKUP($AB723&amp;"-"&amp;$E723&amp;" "&amp;F723,Bonuses!$B$1:$G$1006,4,FALSE)),"",INT(VLOOKUP($AB723&amp;"-"&amp;$E723&amp;" "&amp;$F723,Bonuses!$B$1:$G$1006,4,FALSE)))</f>
        <v/>
      </c>
      <c r="AE7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4" spans="1:31" s="50" customFormat="1" x14ac:dyDescent="0.25">
      <c r="A724" s="50">
        <v>20742</v>
      </c>
      <c r="B724" s="55">
        <f>COUNTIF(Table5[PID],A724)</f>
        <v>1</v>
      </c>
      <c r="C724" s="55" t="str">
        <f>IF(COUNTIF(Table3[[#All],[PID]],A724)&gt;0,"P","B")</f>
        <v>B</v>
      </c>
      <c r="D724" s="59" t="str">
        <f>IF($C724="B",INDEX(Batters[[#All],[POS]],MATCH(Table5[[#This Row],[PID]],Batters[[#All],[PID]],0)),INDEX(Table3[[#All],[POS]],MATCH(Table5[[#This Row],[PID]],Table3[[#All],[PID]],0)))</f>
        <v>3B</v>
      </c>
      <c r="E724" s="52" t="str">
        <f>IF($C724="B",INDEX(Batters[[#All],[First]],MATCH(Table5[[#This Row],[PID]],Batters[[#All],[PID]],0)),INDEX(Table3[[#All],[First]],MATCH(Table5[[#This Row],[PID]],Table3[[#All],[PID]],0)))</f>
        <v>Raúl</v>
      </c>
      <c r="F724" s="50" t="str">
        <f>IF($C724="B",INDEX(Batters[[#All],[Last]],MATCH(A724,Batters[[#All],[PID]],0)),INDEX(Table3[[#All],[Last]],MATCH(A724,Table3[[#All],[PID]],0)))</f>
        <v>Narvaez</v>
      </c>
      <c r="G724" s="56">
        <f>IF($C724="B",INDEX(Batters[[#All],[Age]],MATCH(Table5[[#This Row],[PID]],Batters[[#All],[PID]],0)),INDEX(Table3[[#All],[Age]],MATCH(Table5[[#This Row],[PID]],Table3[[#All],[PID]],0)))</f>
        <v>17</v>
      </c>
      <c r="H724" s="52" t="str">
        <f>IF($C724="B",INDEX(Batters[[#All],[B]],MATCH(Table5[[#This Row],[PID]],Batters[[#All],[PID]],0)),INDEX(Table3[[#All],[B]],MATCH(Table5[[#This Row],[PID]],Table3[[#All],[PID]],0)))</f>
        <v>R</v>
      </c>
      <c r="I724" s="52" t="str">
        <f>IF($C724="B",INDEX(Batters[[#All],[T]],MATCH(Table5[[#This Row],[PID]],Batters[[#All],[PID]],0)),INDEX(Table3[[#All],[T]],MATCH(Table5[[#This Row],[PID]],Table3[[#All],[PID]],0)))</f>
        <v>R</v>
      </c>
      <c r="J724" s="52" t="str">
        <f>IF($C724="B",INDEX(Batters[[#All],[WE]],MATCH(Table5[[#This Row],[PID]],Batters[[#All],[PID]],0)),INDEX(Table3[[#All],[WE]],MATCH(Table5[[#This Row],[PID]],Table3[[#All],[PID]],0)))</f>
        <v>Low</v>
      </c>
      <c r="K724" s="52" t="str">
        <f>IF($C724="B",INDEX(Batters[[#All],[INT]],MATCH(Table5[[#This Row],[PID]],Batters[[#All],[PID]],0)),INDEX(Table3[[#All],[INT]],MATCH(Table5[[#This Row],[PID]],Table3[[#All],[PID]],0)))</f>
        <v>Normal</v>
      </c>
      <c r="L724" s="60">
        <f>IF($C724="B",INDEX(Batters[[#All],[CON P]],MATCH(Table5[[#This Row],[PID]],Batters[[#All],[PID]],0)),INDEX(Table3[[#All],[STU P]],MATCH(Table5[[#This Row],[PID]],Table3[[#All],[PID]],0)))</f>
        <v>3</v>
      </c>
      <c r="M724" s="56">
        <f>IF($C724="B",INDEX(Batters[[#All],[GAP P]],MATCH(Table5[[#This Row],[PID]],Batters[[#All],[PID]],0)),INDEX(Table3[[#All],[MOV P]],MATCH(Table5[[#This Row],[PID]],Table3[[#All],[PID]],0)))</f>
        <v>3</v>
      </c>
      <c r="N724" s="56">
        <f>IF($C724="B",INDEX(Batters[[#All],[POW P]],MATCH(Table5[[#This Row],[PID]],Batters[[#All],[PID]],0)),INDEX(Table3[[#All],[CON P]],MATCH(Table5[[#This Row],[PID]],Table3[[#All],[PID]],0)))</f>
        <v>6</v>
      </c>
      <c r="O724" s="56">
        <f>IF($C724="B",INDEX(Batters[[#All],[EYE P]],MATCH(Table5[[#This Row],[PID]],Batters[[#All],[PID]],0)),INDEX(Table3[[#All],[VELO]],MATCH(Table5[[#This Row],[PID]],Table3[[#All],[PID]],0)))</f>
        <v>5</v>
      </c>
      <c r="P724" s="56">
        <f>IF($C724="B",INDEX(Batters[[#All],[K P]],MATCH(Table5[[#This Row],[PID]],Batters[[#All],[PID]],0)),INDEX(Table3[[#All],[STM]],MATCH(Table5[[#This Row],[PID]],Table3[[#All],[PID]],0)))</f>
        <v>3</v>
      </c>
      <c r="Q724" s="61">
        <f>IF($C724="B",INDEX(Batters[[#All],[Tot]],MATCH(Table5[[#This Row],[PID]],Batters[[#All],[PID]],0)),INDEX(Table3[[#All],[Tot]],MATCH(Table5[[#This Row],[PID]],Table3[[#All],[PID]],0)))</f>
        <v>43.712975143108217</v>
      </c>
      <c r="R724" s="52">
        <f>IF($C724="B",INDEX(Batters[[#All],[zScore]],MATCH(Table5[[#This Row],[PID]],Batters[[#All],[PID]],0)),INDEX(Table3[[#All],[zScore]],MATCH(Table5[[#This Row],[PID]],Table3[[#All],[PID]],0)))</f>
        <v>-9.2887278996873088E-2</v>
      </c>
      <c r="S724" s="58" t="str">
        <f>IF($C724="B",INDEX(Batters[[#All],[DEM]],MATCH(Table5[[#This Row],[PID]],Batters[[#All],[PID]],0)),INDEX(Table3[[#All],[DEM]],MATCH(Table5[[#This Row],[PID]],Table3[[#All],[PID]],0)))</f>
        <v>$70k</v>
      </c>
      <c r="T724" s="62">
        <f>IF($C724="B",INDEX(Batters[[#All],[Rnk]],MATCH(Table5[[#This Row],[PID]],Batters[[#All],[PID]],0)),INDEX(Table3[[#All],[Rnk]],MATCH(Table5[[#This Row],[PID]],Table3[[#All],[PID]],0)))</f>
        <v>259</v>
      </c>
      <c r="U724" s="68">
        <f>IF($C724="B",VLOOKUP($A724,Bat!$A$4:$BA$1621,47,FALSE),VLOOKUP($A724,Pit!$A$4:$BF$1557,56,FALSE))</f>
        <v>0</v>
      </c>
      <c r="V724" s="50">
        <f>IF($C724="B",VLOOKUP($A724,Bat!$A$4:$BA$1621,48,FALSE),VLOOKUP($A724,Pit!$A$4:$BF$1557,57,FALSE))</f>
        <v>0</v>
      </c>
      <c r="W724" s="50">
        <f>Table5[[#This Row],[posRnk]]+Table5[[#This Row],[zRnk]]+IF($W$3&lt;&gt;Table5[[#This Row],[Type]],50,0)</f>
        <v>904</v>
      </c>
      <c r="X724" s="51">
        <f>RANK(Table5[[#This Row],[zScore]],Table5[[#All],[zScore]])</f>
        <v>595</v>
      </c>
      <c r="Y724" s="50" t="str">
        <f>IFERROR(INDEX(DraftResults[[#All],[OVR]],MATCH(Table5[[#This Row],[PID]],DraftResults[[#All],[Player ID]],0)),"")</f>
        <v/>
      </c>
      <c r="Z7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4" s="50" t="str">
        <f>IFERROR(INDEX(DraftResults[[#All],[Pick in Round]],MATCH(Table5[[#This Row],[PID]],DraftResults[[#All],[Player ID]],0)),"")</f>
        <v/>
      </c>
      <c r="AB724" s="50" t="str">
        <f>IFERROR(INDEX(DraftResults[[#All],[Team Name]],MATCH(Table5[[#This Row],[PID]],DraftResults[[#All],[Player ID]],0)),"")</f>
        <v/>
      </c>
      <c r="AC724" s="50" t="str">
        <f>IF(Table5[[#This Row],[Ovr]]="","",IF(Table5[[#This Row],[cmbList]]="","",Table5[[#This Row],[cmbList]]-Table5[[#This Row],[Ovr]]))</f>
        <v/>
      </c>
      <c r="AD724" s="54" t="str">
        <f>IF(ISERROR(VLOOKUP($AB724&amp;"-"&amp;$E724&amp;" "&amp;F724,Bonuses!$B$1:$G$1006,4,FALSE)),"",INT(VLOOKUP($AB724&amp;"-"&amp;$E724&amp;" "&amp;$F724,Bonuses!$B$1:$G$1006,4,FALSE)))</f>
        <v/>
      </c>
      <c r="AE7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5" spans="1:31" s="50" customFormat="1" x14ac:dyDescent="0.25">
      <c r="A725" s="50">
        <v>20299</v>
      </c>
      <c r="B725" s="50">
        <f>COUNTIF(Table5[PID],A725)</f>
        <v>1</v>
      </c>
      <c r="C725" s="50" t="str">
        <f>IF(COUNTIF(Table3[[#All],[PID]],A725)&gt;0,"P","B")</f>
        <v>P</v>
      </c>
      <c r="D725" s="59" t="str">
        <f>IF($C725="B",INDEX(Batters[[#All],[POS]],MATCH(Table5[[#This Row],[PID]],Batters[[#All],[PID]],0)),INDEX(Table3[[#All],[POS]],MATCH(Table5[[#This Row],[PID]],Table3[[#All],[PID]],0)))</f>
        <v>RP</v>
      </c>
      <c r="E725" s="52" t="str">
        <f>IF($C725="B",INDEX(Batters[[#All],[First]],MATCH(Table5[[#This Row],[PID]],Batters[[#All],[PID]],0)),INDEX(Table3[[#All],[First]],MATCH(Table5[[#This Row],[PID]],Table3[[#All],[PID]],0)))</f>
        <v>Tae-kon</v>
      </c>
      <c r="F725" s="50" t="str">
        <f>IF($C725="B",INDEX(Batters[[#All],[Last]],MATCH(A725,Batters[[#All],[PID]],0)),INDEX(Table3[[#All],[Last]],MATCH(A725,Table3[[#All],[PID]],0)))</f>
        <v>Chang</v>
      </c>
      <c r="G725" s="56">
        <f>IF($C725="B",INDEX(Batters[[#All],[Age]],MATCH(Table5[[#This Row],[PID]],Batters[[#All],[PID]],0)),INDEX(Table3[[#All],[Age]],MATCH(Table5[[#This Row],[PID]],Table3[[#All],[PID]],0)))</f>
        <v>18</v>
      </c>
      <c r="H725" s="52" t="str">
        <f>IF($C725="B",INDEX(Batters[[#All],[B]],MATCH(Table5[[#This Row],[PID]],Batters[[#All],[PID]],0)),INDEX(Table3[[#All],[B]],MATCH(Table5[[#This Row],[PID]],Table3[[#All],[PID]],0)))</f>
        <v>R</v>
      </c>
      <c r="I725" s="52" t="str">
        <f>IF($C725="B",INDEX(Batters[[#All],[T]],MATCH(Table5[[#This Row],[PID]],Batters[[#All],[PID]],0)),INDEX(Table3[[#All],[T]],MATCH(Table5[[#This Row],[PID]],Table3[[#All],[PID]],0)))</f>
        <v>R</v>
      </c>
      <c r="J725" s="52" t="str">
        <f>IF($C725="B",INDEX(Batters[[#All],[WE]],MATCH(Table5[[#This Row],[PID]],Batters[[#All],[PID]],0)),INDEX(Table3[[#All],[WE]],MATCH(Table5[[#This Row],[PID]],Table3[[#All],[PID]],0)))</f>
        <v>Normal</v>
      </c>
      <c r="K725" s="52" t="str">
        <f>IF($C725="B",INDEX(Batters[[#All],[INT]],MATCH(Table5[[#This Row],[PID]],Batters[[#All],[PID]],0)),INDEX(Table3[[#All],[INT]],MATCH(Table5[[#This Row],[PID]],Table3[[#All],[PID]],0)))</f>
        <v>Normal</v>
      </c>
      <c r="L725" s="60">
        <f>IF($C725="B",INDEX(Batters[[#All],[CON P]],MATCH(Table5[[#This Row],[PID]],Batters[[#All],[PID]],0)),INDEX(Table3[[#All],[STU P]],MATCH(Table5[[#This Row],[PID]],Table3[[#All],[PID]],0)))</f>
        <v>4</v>
      </c>
      <c r="M725" s="56">
        <f>IF($C725="B",INDEX(Batters[[#All],[GAP P]],MATCH(Table5[[#This Row],[PID]],Batters[[#All],[PID]],0)),INDEX(Table3[[#All],[MOV P]],MATCH(Table5[[#This Row],[PID]],Table3[[#All],[PID]],0)))</f>
        <v>2</v>
      </c>
      <c r="N725" s="56">
        <f>IF($C725="B",INDEX(Batters[[#All],[POW P]],MATCH(Table5[[#This Row],[PID]],Batters[[#All],[PID]],0)),INDEX(Table3[[#All],[CON P]],MATCH(Table5[[#This Row],[PID]],Table3[[#All],[PID]],0)))</f>
        <v>3</v>
      </c>
      <c r="O725" s="56" t="str">
        <f>IF($C725="B",INDEX(Batters[[#All],[EYE P]],MATCH(Table5[[#This Row],[PID]],Batters[[#All],[PID]],0)),INDEX(Table3[[#All],[VELO]],MATCH(Table5[[#This Row],[PID]],Table3[[#All],[PID]],0)))</f>
        <v>87-89 Mph</v>
      </c>
      <c r="P725" s="56">
        <f>IF($C725="B",INDEX(Batters[[#All],[K P]],MATCH(Table5[[#This Row],[PID]],Batters[[#All],[PID]],0)),INDEX(Table3[[#All],[STM]],MATCH(Table5[[#This Row],[PID]],Table3[[#All],[PID]],0)))</f>
        <v>10</v>
      </c>
      <c r="Q725" s="61">
        <f>IF($C725="B",INDEX(Batters[[#All],[Tot]],MATCH(Table5[[#This Row],[PID]],Batters[[#All],[PID]],0)),INDEX(Table3[[#All],[Tot]],MATCH(Table5[[#This Row],[PID]],Table3[[#All],[PID]],0)))</f>
        <v>34.450874457299733</v>
      </c>
      <c r="R725" s="52">
        <f>IF($C725="B",INDEX(Batters[[#All],[zScore]],MATCH(Table5[[#This Row],[PID]],Batters[[#All],[PID]],0)),INDEX(Table3[[#All],[zScore]],MATCH(Table5[[#This Row],[PID]],Table3[[#All],[PID]],0)))</f>
        <v>-9.4447250614557346E-2</v>
      </c>
      <c r="S725" s="58" t="str">
        <f>IF($C725="B",INDEX(Batters[[#All],[DEM]],MATCH(Table5[[#This Row],[PID]],Batters[[#All],[PID]],0)),INDEX(Table3[[#All],[DEM]],MATCH(Table5[[#This Row],[PID]],Table3[[#All],[PID]],0)))</f>
        <v>$65k</v>
      </c>
      <c r="T725" s="62">
        <f>IF($C725="B",INDEX(Batters[[#All],[Rnk]],MATCH(Table5[[#This Row],[PID]],Batters[[#All],[PID]],0)),INDEX(Table3[[#All],[Rnk]],MATCH(Table5[[#This Row],[PID]],Table3[[#All],[PID]],0)))</f>
        <v>337</v>
      </c>
      <c r="U725" s="68">
        <f>IF($C725="B",VLOOKUP($A725,Bat!$A$4:$BA$1621,47,FALSE),VLOOKUP($A725,Pit!$A$4:$BF$1557,56,FALSE))</f>
        <v>0</v>
      </c>
      <c r="V725" s="50">
        <f>IF($C725="B",VLOOKUP($A725,Bat!$A$4:$BA$1621,48,FALSE),VLOOKUP($A725,Pit!$A$4:$BF$1557,57,FALSE))</f>
        <v>0</v>
      </c>
      <c r="W725" s="50">
        <f>Table5[[#This Row],[posRnk]]+Table5[[#This Row],[zRnk]]+IF($W$3&lt;&gt;Table5[[#This Row],[Type]],50,0)</f>
        <v>983</v>
      </c>
      <c r="X725" s="51">
        <f>RANK(Table5[[#This Row],[zScore]],Table5[[#All],[zScore]])</f>
        <v>596</v>
      </c>
      <c r="Y725" s="50" t="str">
        <f>IFERROR(INDEX(DraftResults[[#All],[OVR]],MATCH(Table5[[#This Row],[PID]],DraftResults[[#All],[Player ID]],0)),"")</f>
        <v/>
      </c>
      <c r="Z7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5" s="50" t="str">
        <f>IFERROR(INDEX(DraftResults[[#All],[Pick in Round]],MATCH(Table5[[#This Row],[PID]],DraftResults[[#All],[Player ID]],0)),"")</f>
        <v/>
      </c>
      <c r="AB725" s="50" t="str">
        <f>IFERROR(INDEX(DraftResults[[#All],[Team Name]],MATCH(Table5[[#This Row],[PID]],DraftResults[[#All],[Player ID]],0)),"")</f>
        <v/>
      </c>
      <c r="AC725" s="50" t="str">
        <f>IF(Table5[[#This Row],[Ovr]]="","",IF(Table5[[#This Row],[cmbList]]="","",Table5[[#This Row],[cmbList]]-Table5[[#This Row],[Ovr]]))</f>
        <v/>
      </c>
      <c r="AD725" s="54" t="str">
        <f>IF(ISERROR(VLOOKUP($AB725&amp;"-"&amp;$E725&amp;" "&amp;F725,Bonuses!$B$1:$G$1006,4,FALSE)),"",INT(VLOOKUP($AB725&amp;"-"&amp;$E725&amp;" "&amp;$F725,Bonuses!$B$1:$G$1006,4,FALSE)))</f>
        <v/>
      </c>
      <c r="AE7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6" spans="1:31" s="50" customFormat="1" x14ac:dyDescent="0.25">
      <c r="A726" s="50">
        <v>20627</v>
      </c>
      <c r="B726" s="50">
        <f>COUNTIF(Table5[PID],A726)</f>
        <v>1</v>
      </c>
      <c r="C726" s="50" t="str">
        <f>IF(COUNTIF(Table3[[#All],[PID]],A726)&gt;0,"P","B")</f>
        <v>P</v>
      </c>
      <c r="D726" s="59" t="str">
        <f>IF($C726="B",INDEX(Batters[[#All],[POS]],MATCH(Table5[[#This Row],[PID]],Batters[[#All],[PID]],0)),INDEX(Table3[[#All],[POS]],MATCH(Table5[[#This Row],[PID]],Table3[[#All],[PID]],0)))</f>
        <v>RP</v>
      </c>
      <c r="E726" s="52" t="str">
        <f>IF($C726="B",INDEX(Batters[[#All],[First]],MATCH(Table5[[#This Row],[PID]],Batters[[#All],[PID]],0)),INDEX(Table3[[#All],[First]],MATCH(Table5[[#This Row],[PID]],Table3[[#All],[PID]],0)))</f>
        <v>Il-young</v>
      </c>
      <c r="F726" s="50" t="str">
        <f>IF($C726="B",INDEX(Batters[[#All],[Last]],MATCH(A726,Batters[[#All],[PID]],0)),INDEX(Table3[[#All],[Last]],MATCH(A726,Table3[[#All],[PID]],0)))</f>
        <v>Chong</v>
      </c>
      <c r="G726" s="56">
        <f>IF($C726="B",INDEX(Batters[[#All],[Age]],MATCH(Table5[[#This Row],[PID]],Batters[[#All],[PID]],0)),INDEX(Table3[[#All],[Age]],MATCH(Table5[[#This Row],[PID]],Table3[[#All],[PID]],0)))</f>
        <v>18</v>
      </c>
      <c r="H726" s="52" t="str">
        <f>IF($C726="B",INDEX(Batters[[#All],[B]],MATCH(Table5[[#This Row],[PID]],Batters[[#All],[PID]],0)),INDEX(Table3[[#All],[B]],MATCH(Table5[[#This Row],[PID]],Table3[[#All],[PID]],0)))</f>
        <v>R</v>
      </c>
      <c r="I726" s="52" t="str">
        <f>IF($C726="B",INDEX(Batters[[#All],[T]],MATCH(Table5[[#This Row],[PID]],Batters[[#All],[PID]],0)),INDEX(Table3[[#All],[T]],MATCH(Table5[[#This Row],[PID]],Table3[[#All],[PID]],0)))</f>
        <v>R</v>
      </c>
      <c r="J726" s="52" t="str">
        <f>IF($C726="B",INDEX(Batters[[#All],[WE]],MATCH(Table5[[#This Row],[PID]],Batters[[#All],[PID]],0)),INDEX(Table3[[#All],[WE]],MATCH(Table5[[#This Row],[PID]],Table3[[#All],[PID]],0)))</f>
        <v>Normal</v>
      </c>
      <c r="K726" s="52" t="str">
        <f>IF($C726="B",INDEX(Batters[[#All],[INT]],MATCH(Table5[[#This Row],[PID]],Batters[[#All],[PID]],0)),INDEX(Table3[[#All],[INT]],MATCH(Table5[[#This Row],[PID]],Table3[[#All],[PID]],0)))</f>
        <v>Normal</v>
      </c>
      <c r="L726" s="60">
        <f>IF($C726="B",INDEX(Batters[[#All],[CON P]],MATCH(Table5[[#This Row],[PID]],Batters[[#All],[PID]],0)),INDEX(Table3[[#All],[STU P]],MATCH(Table5[[#This Row],[PID]],Table3[[#All],[PID]],0)))</f>
        <v>4</v>
      </c>
      <c r="M726" s="56">
        <f>IF($C726="B",INDEX(Batters[[#All],[GAP P]],MATCH(Table5[[#This Row],[PID]],Batters[[#All],[PID]],0)),INDEX(Table3[[#All],[MOV P]],MATCH(Table5[[#This Row],[PID]],Table3[[#All],[PID]],0)))</f>
        <v>2</v>
      </c>
      <c r="N726" s="56">
        <f>IF($C726="B",INDEX(Batters[[#All],[POW P]],MATCH(Table5[[#This Row],[PID]],Batters[[#All],[PID]],0)),INDEX(Table3[[#All],[CON P]],MATCH(Table5[[#This Row],[PID]],Table3[[#All],[PID]],0)))</f>
        <v>3</v>
      </c>
      <c r="O726" s="56" t="str">
        <f>IF($C726="B",INDEX(Batters[[#All],[EYE P]],MATCH(Table5[[#This Row],[PID]],Batters[[#All],[PID]],0)),INDEX(Table3[[#All],[VELO]],MATCH(Table5[[#This Row],[PID]],Table3[[#All],[PID]],0)))</f>
        <v>89-91 Mph</v>
      </c>
      <c r="P726" s="56">
        <f>IF($C726="B",INDEX(Batters[[#All],[K P]],MATCH(Table5[[#This Row],[PID]],Batters[[#All],[PID]],0)),INDEX(Table3[[#All],[STM]],MATCH(Table5[[#This Row],[PID]],Table3[[#All],[PID]],0)))</f>
        <v>8</v>
      </c>
      <c r="Q726" s="61">
        <f>IF($C726="B",INDEX(Batters[[#All],[Tot]],MATCH(Table5[[#This Row],[PID]],Batters[[#All],[PID]],0)),INDEX(Table3[[#All],[Tot]],MATCH(Table5[[#This Row],[PID]],Table3[[#All],[PID]],0)))</f>
        <v>34.411788114013717</v>
      </c>
      <c r="R726" s="52">
        <f>IF($C726="B",INDEX(Batters[[#All],[zScore]],MATCH(Table5[[#This Row],[PID]],Batters[[#All],[PID]],0)),INDEX(Table3[[#All],[zScore]],MATCH(Table5[[#This Row],[PID]],Table3[[#All],[PID]],0)))</f>
        <v>-9.7047605305189202E-2</v>
      </c>
      <c r="S726" s="58" t="str">
        <f>IF($C726="B",INDEX(Batters[[#All],[DEM]],MATCH(Table5[[#This Row],[PID]],Batters[[#All],[PID]],0)),INDEX(Table3[[#All],[DEM]],MATCH(Table5[[#This Row],[PID]],Table3[[#All],[PID]],0)))</f>
        <v>$70k</v>
      </c>
      <c r="T726" s="62">
        <f>IF($C726="B",INDEX(Batters[[#All],[Rnk]],MATCH(Table5[[#This Row],[PID]],Batters[[#All],[PID]],0)),INDEX(Table3[[#All],[Rnk]],MATCH(Table5[[#This Row],[PID]],Table3[[#All],[PID]],0)))</f>
        <v>339</v>
      </c>
      <c r="U726" s="68">
        <f>IF($C726="B",VLOOKUP($A726,Bat!$A$4:$BA$1621,47,FALSE),VLOOKUP($A726,Pit!$A$4:$BF$1557,56,FALSE))</f>
        <v>0</v>
      </c>
      <c r="V726" s="50">
        <f>IF($C726="B",VLOOKUP($A726,Bat!$A$4:$BA$1621,48,FALSE),VLOOKUP($A726,Pit!$A$4:$BF$1557,57,FALSE))</f>
        <v>0</v>
      </c>
      <c r="W726" s="50">
        <f>Table5[[#This Row],[posRnk]]+Table5[[#This Row],[zRnk]]+IF($W$3&lt;&gt;Table5[[#This Row],[Type]],50,0)</f>
        <v>987</v>
      </c>
      <c r="X726" s="51">
        <f>RANK(Table5[[#This Row],[zScore]],Table5[[#All],[zScore]])</f>
        <v>598</v>
      </c>
      <c r="Y726" s="50" t="str">
        <f>IFERROR(INDEX(DraftResults[[#All],[OVR]],MATCH(Table5[[#This Row],[PID]],DraftResults[[#All],[Player ID]],0)),"")</f>
        <v/>
      </c>
      <c r="Z7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6" s="50" t="str">
        <f>IFERROR(INDEX(DraftResults[[#All],[Pick in Round]],MATCH(Table5[[#This Row],[PID]],DraftResults[[#All],[Player ID]],0)),"")</f>
        <v/>
      </c>
      <c r="AB726" s="50" t="str">
        <f>IFERROR(INDEX(DraftResults[[#All],[Team Name]],MATCH(Table5[[#This Row],[PID]],DraftResults[[#All],[Player ID]],0)),"")</f>
        <v/>
      </c>
      <c r="AC726" s="50" t="str">
        <f>IF(Table5[[#This Row],[Ovr]]="","",IF(Table5[[#This Row],[cmbList]]="","",Table5[[#This Row],[cmbList]]-Table5[[#This Row],[Ovr]]))</f>
        <v/>
      </c>
      <c r="AD726" s="54" t="str">
        <f>IF(ISERROR(VLOOKUP($AB726&amp;"-"&amp;$E726&amp;" "&amp;F726,Bonuses!$B$1:$G$1006,4,FALSE)),"",INT(VLOOKUP($AB726&amp;"-"&amp;$E726&amp;" "&amp;$F726,Bonuses!$B$1:$G$1006,4,FALSE)))</f>
        <v/>
      </c>
      <c r="AE7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7" spans="1:31" s="50" customFormat="1" x14ac:dyDescent="0.25">
      <c r="A727" s="68">
        <v>21075</v>
      </c>
      <c r="B727" s="69">
        <f>COUNTIF(Table5[PID],A727)</f>
        <v>1</v>
      </c>
      <c r="C727" s="69" t="str">
        <f>IF(COUNTIF(Table3[[#All],[PID]],A727)&gt;0,"P","B")</f>
        <v>P</v>
      </c>
      <c r="D727" s="59" t="str">
        <f>IF($C727="B",INDEX(Batters[[#All],[POS]],MATCH(Table5[[#This Row],[PID]],Batters[[#All],[PID]],0)),INDEX(Table3[[#All],[POS]],MATCH(Table5[[#This Row],[PID]],Table3[[#All],[PID]],0)))</f>
        <v>SP</v>
      </c>
      <c r="E727" s="52" t="str">
        <f>IF($C727="B",INDEX(Batters[[#All],[First]],MATCH(Table5[[#This Row],[PID]],Batters[[#All],[PID]],0)),INDEX(Table3[[#All],[First]],MATCH(Table5[[#This Row],[PID]],Table3[[#All],[PID]],0)))</f>
        <v>Juan</v>
      </c>
      <c r="F727" s="55" t="str">
        <f>IF($C727="B",INDEX(Batters[[#All],[Last]],MATCH(A727,Batters[[#All],[PID]],0)),INDEX(Table3[[#All],[Last]],MATCH(A727,Table3[[#All],[PID]],0)))</f>
        <v>Limón</v>
      </c>
      <c r="G727" s="56">
        <f>IF($C727="B",INDEX(Batters[[#All],[Age]],MATCH(Table5[[#This Row],[PID]],Batters[[#All],[PID]],0)),INDEX(Table3[[#All],[Age]],MATCH(Table5[[#This Row],[PID]],Table3[[#All],[PID]],0)))</f>
        <v>18</v>
      </c>
      <c r="H727" s="52" t="str">
        <f>IF($C727="B",INDEX(Batters[[#All],[B]],MATCH(Table5[[#This Row],[PID]],Batters[[#All],[PID]],0)),INDEX(Table3[[#All],[B]],MATCH(Table5[[#This Row],[PID]],Table3[[#All],[PID]],0)))</f>
        <v>L</v>
      </c>
      <c r="I727" s="52" t="str">
        <f>IF($C727="B",INDEX(Batters[[#All],[T]],MATCH(Table5[[#This Row],[PID]],Batters[[#All],[PID]],0)),INDEX(Table3[[#All],[T]],MATCH(Table5[[#This Row],[PID]],Table3[[#All],[PID]],0)))</f>
        <v>R</v>
      </c>
      <c r="J727" s="71" t="str">
        <f>IF($C727="B",INDEX(Batters[[#All],[WE]],MATCH(Table5[[#This Row],[PID]],Batters[[#All],[PID]],0)),INDEX(Table3[[#All],[WE]],MATCH(Table5[[#This Row],[PID]],Table3[[#All],[PID]],0)))</f>
        <v>High</v>
      </c>
      <c r="K727" s="52" t="str">
        <f>IF($C727="B",INDEX(Batters[[#All],[INT]],MATCH(Table5[[#This Row],[PID]],Batters[[#All],[PID]],0)),INDEX(Table3[[#All],[INT]],MATCH(Table5[[#This Row],[PID]],Table3[[#All],[PID]],0)))</f>
        <v>Normal</v>
      </c>
      <c r="L727" s="60">
        <f>IF($C727="B",INDEX(Batters[[#All],[CON P]],MATCH(Table5[[#This Row],[PID]],Batters[[#All],[PID]],0)),INDEX(Table3[[#All],[STU P]],MATCH(Table5[[#This Row],[PID]],Table3[[#All],[PID]],0)))</f>
        <v>5</v>
      </c>
      <c r="M727" s="72">
        <f>IF($C727="B",INDEX(Batters[[#All],[GAP P]],MATCH(Table5[[#This Row],[PID]],Batters[[#All],[PID]],0)),INDEX(Table3[[#All],[MOV P]],MATCH(Table5[[#This Row],[PID]],Table3[[#All],[PID]],0)))</f>
        <v>1</v>
      </c>
      <c r="N727" s="72">
        <f>IF($C727="B",INDEX(Batters[[#All],[POW P]],MATCH(Table5[[#This Row],[PID]],Batters[[#All],[PID]],0)),INDEX(Table3[[#All],[CON P]],MATCH(Table5[[#This Row],[PID]],Table3[[#All],[PID]],0)))</f>
        <v>3</v>
      </c>
      <c r="O727" s="72" t="str">
        <f>IF($C727="B",INDEX(Batters[[#All],[EYE P]],MATCH(Table5[[#This Row],[PID]],Batters[[#All],[PID]],0)),INDEX(Table3[[#All],[VELO]],MATCH(Table5[[#This Row],[PID]],Table3[[#All],[PID]],0)))</f>
        <v>89-91 Mph</v>
      </c>
      <c r="P727" s="56">
        <f>IF($C727="B",INDEX(Batters[[#All],[K P]],MATCH(Table5[[#This Row],[PID]],Batters[[#All],[PID]],0)),INDEX(Table3[[#All],[STM]],MATCH(Table5[[#This Row],[PID]],Table3[[#All],[PID]],0)))</f>
        <v>5</v>
      </c>
      <c r="Q727" s="61">
        <f>IF($C727="B",INDEX(Batters[[#All],[Tot]],MATCH(Table5[[#This Row],[PID]],Batters[[#All],[PID]],0)),INDEX(Table3[[#All],[Tot]],MATCH(Table5[[#This Row],[PID]],Table3[[#All],[PID]],0)))</f>
        <v>36.317840960426892</v>
      </c>
      <c r="R727" s="52">
        <f>IF($C727="B",INDEX(Batters[[#All],[zScore]],MATCH(Table5[[#This Row],[PID]],Batters[[#All],[PID]],0)),INDEX(Table3[[#All],[zScore]],MATCH(Table5[[#This Row],[PID]],Table3[[#All],[PID]],0)))</f>
        <v>-0.10178613248652842</v>
      </c>
      <c r="S727" s="78" t="str">
        <f>IF($C727="B",INDEX(Batters[[#All],[DEM]],MATCH(Table5[[#This Row],[PID]],Batters[[#All],[PID]],0)),INDEX(Table3[[#All],[DEM]],MATCH(Table5[[#This Row],[PID]],Table3[[#All],[PID]],0)))</f>
        <v>$65k</v>
      </c>
      <c r="T727" s="75">
        <f>IF($C727="B",INDEX(Batters[[#All],[Rnk]],MATCH(Table5[[#This Row],[PID]],Batters[[#All],[PID]],0)),INDEX(Table3[[#All],[Rnk]],MATCH(Table5[[#This Row],[PID]],Table3[[#All],[PID]],0)))</f>
        <v>341</v>
      </c>
      <c r="U727" s="68">
        <f>IF($C727="B",VLOOKUP($A727,Bat!$A$4:$BA$1621,47,FALSE),VLOOKUP($A727,Pit!$A$4:$BF$1557,56,FALSE))</f>
        <v>0</v>
      </c>
      <c r="V727" s="50">
        <f>IF($C727="B",VLOOKUP($A727,Bat!$A$4:$BA$1621,48,FALSE),VLOOKUP($A727,Pit!$A$4:$BF$1557,57,FALSE))</f>
        <v>0</v>
      </c>
      <c r="W727" s="69">
        <f>Table5[[#This Row],[posRnk]]+Table5[[#This Row],[zRnk]]+IF($W$3&lt;&gt;Table5[[#This Row],[Type]],50,0)</f>
        <v>991</v>
      </c>
      <c r="X727" s="73">
        <f>RANK(Table5[[#This Row],[zScore]],Table5[[#All],[zScore]])</f>
        <v>600</v>
      </c>
      <c r="Y727" s="69" t="str">
        <f>IFERROR(INDEX(DraftResults[[#All],[OVR]],MATCH(Table5[[#This Row],[PID]],DraftResults[[#All],[Player ID]],0)),"")</f>
        <v/>
      </c>
      <c r="Z72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7" s="69" t="str">
        <f>IFERROR(INDEX(DraftResults[[#All],[Pick in Round]],MATCH(Table5[[#This Row],[PID]],DraftResults[[#All],[Player ID]],0)),"")</f>
        <v/>
      </c>
      <c r="AB727" s="69" t="str">
        <f>IFERROR(INDEX(DraftResults[[#All],[Team Name]],MATCH(Table5[[#This Row],[PID]],DraftResults[[#All],[Player ID]],0)),"")</f>
        <v/>
      </c>
      <c r="AC727" s="69" t="str">
        <f>IF(Table5[[#This Row],[Ovr]]="","",IF(Table5[[#This Row],[cmbList]]="","",Table5[[#This Row],[cmbList]]-Table5[[#This Row],[Ovr]]))</f>
        <v/>
      </c>
      <c r="AD727" s="77" t="str">
        <f>IF(ISERROR(VLOOKUP($AB727&amp;"-"&amp;$E727&amp;" "&amp;F727,Bonuses!$B$1:$G$1006,4,FALSE)),"",INT(VLOOKUP($AB727&amp;"-"&amp;$E727&amp;" "&amp;$F727,Bonuses!$B$1:$G$1006,4,FALSE)))</f>
        <v/>
      </c>
      <c r="AE72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8" spans="1:31" s="50" customFormat="1" x14ac:dyDescent="0.25">
      <c r="A728" s="68">
        <v>20803</v>
      </c>
      <c r="B728" s="69">
        <f>COUNTIF(Table5[PID],A728)</f>
        <v>1</v>
      </c>
      <c r="C728" s="69" t="str">
        <f>IF(COUNTIF(Table3[[#All],[PID]],A728)&gt;0,"P","B")</f>
        <v>P</v>
      </c>
      <c r="D728" s="59" t="str">
        <f>IF($C728="B",INDEX(Batters[[#All],[POS]],MATCH(Table5[[#This Row],[PID]],Batters[[#All],[PID]],0)),INDEX(Table3[[#All],[POS]],MATCH(Table5[[#This Row],[PID]],Table3[[#All],[PID]],0)))</f>
        <v>SP</v>
      </c>
      <c r="E728" s="52" t="str">
        <f>IF($C728="B",INDEX(Batters[[#All],[First]],MATCH(Table5[[#This Row],[PID]],Batters[[#All],[PID]],0)),INDEX(Table3[[#All],[First]],MATCH(Table5[[#This Row],[PID]],Table3[[#All],[PID]],0)))</f>
        <v>Pat</v>
      </c>
      <c r="F728" s="55" t="str">
        <f>IF($C728="B",INDEX(Batters[[#All],[Last]],MATCH(A728,Batters[[#All],[PID]],0)),INDEX(Table3[[#All],[Last]],MATCH(A728,Table3[[#All],[PID]],0)))</f>
        <v>Dobson</v>
      </c>
      <c r="G728" s="56">
        <f>IF($C728="B",INDEX(Batters[[#All],[Age]],MATCH(Table5[[#This Row],[PID]],Batters[[#All],[PID]],0)),INDEX(Table3[[#All],[Age]],MATCH(Table5[[#This Row],[PID]],Table3[[#All],[PID]],0)))</f>
        <v>18</v>
      </c>
      <c r="H728" s="52" t="str">
        <f>IF($C728="B",INDEX(Batters[[#All],[B]],MATCH(Table5[[#This Row],[PID]],Batters[[#All],[PID]],0)),INDEX(Table3[[#All],[B]],MATCH(Table5[[#This Row],[PID]],Table3[[#All],[PID]],0)))</f>
        <v>S</v>
      </c>
      <c r="I728" s="52" t="str">
        <f>IF($C728="B",INDEX(Batters[[#All],[T]],MATCH(Table5[[#This Row],[PID]],Batters[[#All],[PID]],0)),INDEX(Table3[[#All],[T]],MATCH(Table5[[#This Row],[PID]],Table3[[#All],[PID]],0)))</f>
        <v>R</v>
      </c>
      <c r="J728" s="71" t="str">
        <f>IF($C728="B",INDEX(Batters[[#All],[WE]],MATCH(Table5[[#This Row],[PID]],Batters[[#All],[PID]],0)),INDEX(Table3[[#All],[WE]],MATCH(Table5[[#This Row],[PID]],Table3[[#All],[PID]],0)))</f>
        <v>Low</v>
      </c>
      <c r="K728" s="52" t="str">
        <f>IF($C728="B",INDEX(Batters[[#All],[INT]],MATCH(Table5[[#This Row],[PID]],Batters[[#All],[PID]],0)),INDEX(Table3[[#All],[INT]],MATCH(Table5[[#This Row],[PID]],Table3[[#All],[PID]],0)))</f>
        <v>Normal</v>
      </c>
      <c r="L728" s="60">
        <f>IF($C728="B",INDEX(Batters[[#All],[CON P]],MATCH(Table5[[#This Row],[PID]],Batters[[#All],[PID]],0)),INDEX(Table3[[#All],[STU P]],MATCH(Table5[[#This Row],[PID]],Table3[[#All],[PID]],0)))</f>
        <v>4</v>
      </c>
      <c r="M728" s="72">
        <f>IF($C728="B",INDEX(Batters[[#All],[GAP P]],MATCH(Table5[[#This Row],[PID]],Batters[[#All],[PID]],0)),INDEX(Table3[[#All],[MOV P]],MATCH(Table5[[#This Row],[PID]],Table3[[#All],[PID]],0)))</f>
        <v>2</v>
      </c>
      <c r="N728" s="72">
        <f>IF($C728="B",INDEX(Batters[[#All],[POW P]],MATCH(Table5[[#This Row],[PID]],Batters[[#All],[PID]],0)),INDEX(Table3[[#All],[CON P]],MATCH(Table5[[#This Row],[PID]],Table3[[#All],[PID]],0)))</f>
        <v>3</v>
      </c>
      <c r="O728" s="72" t="str">
        <f>IF($C728="B",INDEX(Batters[[#All],[EYE P]],MATCH(Table5[[#This Row],[PID]],Batters[[#All],[PID]],0)),INDEX(Table3[[#All],[VELO]],MATCH(Table5[[#This Row],[PID]],Table3[[#All],[PID]],0)))</f>
        <v>86-88 Mph</v>
      </c>
      <c r="P728" s="56">
        <f>IF($C728="B",INDEX(Batters[[#All],[K P]],MATCH(Table5[[#This Row],[PID]],Batters[[#All],[PID]],0)),INDEX(Table3[[#All],[STM]],MATCH(Table5[[#This Row],[PID]],Table3[[#All],[PID]],0)))</f>
        <v>8</v>
      </c>
      <c r="Q728" s="61">
        <f>IF($C728="B",INDEX(Batters[[#All],[Tot]],MATCH(Table5[[#This Row],[PID]],Batters[[#All],[PID]],0)),INDEX(Table3[[#All],[Tot]],MATCH(Table5[[#This Row],[PID]],Table3[[#All],[PID]],0)))</f>
        <v>34.278839382778003</v>
      </c>
      <c r="R728" s="52">
        <f>IF($C728="B",INDEX(Batters[[#All],[zScore]],MATCH(Table5[[#This Row],[PID]],Batters[[#All],[PID]],0)),INDEX(Table3[[#All],[zScore]],MATCH(Table5[[#This Row],[PID]],Table3[[#All],[PID]],0)))</f>
        <v>-0.10589248123416953</v>
      </c>
      <c r="S728" s="78" t="str">
        <f>IF($C728="B",INDEX(Batters[[#All],[DEM]],MATCH(Table5[[#This Row],[PID]],Batters[[#All],[PID]],0)),INDEX(Table3[[#All],[DEM]],MATCH(Table5[[#This Row],[PID]],Table3[[#All],[PID]],0)))</f>
        <v>$2.4m</v>
      </c>
      <c r="T728" s="75">
        <f>IF($C728="B",INDEX(Batters[[#All],[Rnk]],MATCH(Table5[[#This Row],[PID]],Batters[[#All],[PID]],0)),INDEX(Table3[[#All],[Rnk]],MATCH(Table5[[#This Row],[PID]],Table3[[#All],[PID]],0)))</f>
        <v>342</v>
      </c>
      <c r="U728" s="68">
        <f>IF($C728="B",VLOOKUP($A728,Bat!$A$4:$BA$1621,47,FALSE),VLOOKUP($A728,Pit!$A$4:$BF$1557,56,FALSE))</f>
        <v>0</v>
      </c>
      <c r="V728" s="50">
        <f>IF($C728="B",VLOOKUP($A728,Bat!$A$4:$BA$1621,48,FALSE),VLOOKUP($A728,Pit!$A$4:$BF$1557,57,FALSE))</f>
        <v>0</v>
      </c>
      <c r="W728" s="69">
        <f>Table5[[#This Row],[posRnk]]+Table5[[#This Row],[zRnk]]+IF($W$3&lt;&gt;Table5[[#This Row],[Type]],50,0)</f>
        <v>993</v>
      </c>
      <c r="X728" s="73">
        <f>RANK(Table5[[#This Row],[zScore]],Table5[[#All],[zScore]])</f>
        <v>601</v>
      </c>
      <c r="Y728" s="69" t="str">
        <f>IFERROR(INDEX(DraftResults[[#All],[OVR]],MATCH(Table5[[#This Row],[PID]],DraftResults[[#All],[Player ID]],0)),"")</f>
        <v/>
      </c>
      <c r="Z72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8" s="69" t="str">
        <f>IFERROR(INDEX(DraftResults[[#All],[Pick in Round]],MATCH(Table5[[#This Row],[PID]],DraftResults[[#All],[Player ID]],0)),"")</f>
        <v/>
      </c>
      <c r="AB728" s="69" t="str">
        <f>IFERROR(INDEX(DraftResults[[#All],[Team Name]],MATCH(Table5[[#This Row],[PID]],DraftResults[[#All],[Player ID]],0)),"")</f>
        <v/>
      </c>
      <c r="AC728" s="69" t="str">
        <f>IF(Table5[[#This Row],[Ovr]]="","",IF(Table5[[#This Row],[cmbList]]="","",Table5[[#This Row],[cmbList]]-Table5[[#This Row],[Ovr]]))</f>
        <v/>
      </c>
      <c r="AD728" s="77" t="str">
        <f>IF(ISERROR(VLOOKUP($AB728&amp;"-"&amp;$E728&amp;" "&amp;F728,Bonuses!$B$1:$G$1006,4,FALSE)),"",INT(VLOOKUP($AB728&amp;"-"&amp;$E728&amp;" "&amp;$F728,Bonuses!$B$1:$G$1006,4,FALSE)))</f>
        <v/>
      </c>
      <c r="AE72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29" spans="1:31" s="50" customFormat="1" x14ac:dyDescent="0.25">
      <c r="A729" s="50">
        <v>20921</v>
      </c>
      <c r="B729" s="50">
        <f>COUNTIF(Table5[PID],A729)</f>
        <v>1</v>
      </c>
      <c r="C729" s="50" t="str">
        <f>IF(COUNTIF(Table3[[#All],[PID]],A729)&gt;0,"P","B")</f>
        <v>B</v>
      </c>
      <c r="D729" s="59" t="str">
        <f>IF($C729="B",INDEX(Batters[[#All],[POS]],MATCH(Table5[[#This Row],[PID]],Batters[[#All],[PID]],0)),INDEX(Table3[[#All],[POS]],MATCH(Table5[[#This Row],[PID]],Table3[[#All],[PID]],0)))</f>
        <v>LF</v>
      </c>
      <c r="E729" s="52" t="str">
        <f>IF($C729="B",INDEX(Batters[[#All],[First]],MATCH(Table5[[#This Row],[PID]],Batters[[#All],[PID]],0)),INDEX(Table3[[#All],[First]],MATCH(Table5[[#This Row],[PID]],Table3[[#All],[PID]],0)))</f>
        <v>Ben</v>
      </c>
      <c r="F729" s="50" t="str">
        <f>IF($C729="B",INDEX(Batters[[#All],[Last]],MATCH(A729,Batters[[#All],[PID]],0)),INDEX(Table3[[#All],[Last]],MATCH(A729,Table3[[#All],[PID]],0)))</f>
        <v>Fowler</v>
      </c>
      <c r="G729" s="56">
        <f>IF($C729="B",INDEX(Batters[[#All],[Age]],MATCH(Table5[[#This Row],[PID]],Batters[[#All],[PID]],0)),INDEX(Table3[[#All],[Age]],MATCH(Table5[[#This Row],[PID]],Table3[[#All],[PID]],0)))</f>
        <v>18</v>
      </c>
      <c r="H729" s="52" t="str">
        <f>IF($C729="B",INDEX(Batters[[#All],[B]],MATCH(Table5[[#This Row],[PID]],Batters[[#All],[PID]],0)),INDEX(Table3[[#All],[B]],MATCH(Table5[[#This Row],[PID]],Table3[[#All],[PID]],0)))</f>
        <v>L</v>
      </c>
      <c r="I729" s="52" t="str">
        <f>IF($C729="B",INDEX(Batters[[#All],[T]],MATCH(Table5[[#This Row],[PID]],Batters[[#All],[PID]],0)),INDEX(Table3[[#All],[T]],MATCH(Table5[[#This Row],[PID]],Table3[[#All],[PID]],0)))</f>
        <v>L</v>
      </c>
      <c r="J729" s="52" t="str">
        <f>IF($C729="B",INDEX(Batters[[#All],[WE]],MATCH(Table5[[#This Row],[PID]],Batters[[#All],[PID]],0)),INDEX(Table3[[#All],[WE]],MATCH(Table5[[#This Row],[PID]],Table3[[#All],[PID]],0)))</f>
        <v>High</v>
      </c>
      <c r="K729" s="52" t="str">
        <f>IF($C729="B",INDEX(Batters[[#All],[INT]],MATCH(Table5[[#This Row],[PID]],Batters[[#All],[PID]],0)),INDEX(Table3[[#All],[INT]],MATCH(Table5[[#This Row],[PID]],Table3[[#All],[PID]],0)))</f>
        <v>Low</v>
      </c>
      <c r="L729" s="60">
        <f>IF($C729="B",INDEX(Batters[[#All],[CON P]],MATCH(Table5[[#This Row],[PID]],Batters[[#All],[PID]],0)),INDEX(Table3[[#All],[STU P]],MATCH(Table5[[#This Row],[PID]],Table3[[#All],[PID]],0)))</f>
        <v>3</v>
      </c>
      <c r="M729" s="56">
        <f>IF($C729="B",INDEX(Batters[[#All],[GAP P]],MATCH(Table5[[#This Row],[PID]],Batters[[#All],[PID]],0)),INDEX(Table3[[#All],[MOV P]],MATCH(Table5[[#This Row],[PID]],Table3[[#All],[PID]],0)))</f>
        <v>4</v>
      </c>
      <c r="N729" s="56">
        <f>IF($C729="B",INDEX(Batters[[#All],[POW P]],MATCH(Table5[[#This Row],[PID]],Batters[[#All],[PID]],0)),INDEX(Table3[[#All],[CON P]],MATCH(Table5[[#This Row],[PID]],Table3[[#All],[PID]],0)))</f>
        <v>5</v>
      </c>
      <c r="O729" s="56">
        <f>IF($C729="B",INDEX(Batters[[#All],[EYE P]],MATCH(Table5[[#This Row],[PID]],Batters[[#All],[PID]],0)),INDEX(Table3[[#All],[VELO]],MATCH(Table5[[#This Row],[PID]],Table3[[#All],[PID]],0)))</f>
        <v>5</v>
      </c>
      <c r="P729" s="56">
        <f>IF($C729="B",INDEX(Batters[[#All],[K P]],MATCH(Table5[[#This Row],[PID]],Batters[[#All],[PID]],0)),INDEX(Table3[[#All],[STM]],MATCH(Table5[[#This Row],[PID]],Table3[[#All],[PID]],0)))</f>
        <v>3</v>
      </c>
      <c r="Q729" s="61">
        <f>IF($C729="B",INDEX(Batters[[#All],[Tot]],MATCH(Table5[[#This Row],[PID]],Batters[[#All],[PID]],0)),INDEX(Table3[[#All],[Tot]],MATCH(Table5[[#This Row],[PID]],Table3[[#All],[PID]],0)))</f>
        <v>43.6379267252468</v>
      </c>
      <c r="R729" s="52">
        <f>IF($C729="B",INDEX(Batters[[#All],[zScore]],MATCH(Table5[[#This Row],[PID]],Batters[[#All],[PID]],0)),INDEX(Table3[[#All],[zScore]],MATCH(Table5[[#This Row],[PID]],Table3[[#All],[PID]],0)))</f>
        <v>-0.10952602051697473</v>
      </c>
      <c r="S729" s="58" t="str">
        <f>IF($C729="B",INDEX(Batters[[#All],[DEM]],MATCH(Table5[[#This Row],[PID]],Batters[[#All],[PID]],0)),INDEX(Table3[[#All],[DEM]],MATCH(Table5[[#This Row],[PID]],Table3[[#All],[PID]],0)))</f>
        <v>$38k</v>
      </c>
      <c r="T729" s="62">
        <f>IF($C729="B",INDEX(Batters[[#All],[Rnk]],MATCH(Table5[[#This Row],[PID]],Batters[[#All],[PID]],0)),INDEX(Table3[[#All],[Rnk]],MATCH(Table5[[#This Row],[PID]],Table3[[#All],[PID]],0)))</f>
        <v>261</v>
      </c>
      <c r="U729" s="68">
        <f>IF($C729="B",VLOOKUP($A729,Bat!$A$4:$BA$1621,47,FALSE),VLOOKUP($A729,Pit!$A$4:$BF$1557,56,FALSE))</f>
        <v>0</v>
      </c>
      <c r="V729" s="50">
        <f>IF($C729="B",VLOOKUP($A729,Bat!$A$4:$BA$1621,48,FALSE),VLOOKUP($A729,Pit!$A$4:$BF$1557,57,FALSE))</f>
        <v>0</v>
      </c>
      <c r="W729" s="50">
        <f>Table5[[#This Row],[posRnk]]+Table5[[#This Row],[zRnk]]+IF($W$3&lt;&gt;Table5[[#This Row],[Type]],50,0)</f>
        <v>915</v>
      </c>
      <c r="X729" s="51">
        <f>RANK(Table5[[#This Row],[zScore]],Table5[[#All],[zScore]])</f>
        <v>604</v>
      </c>
      <c r="Y729" s="50" t="str">
        <f>IFERROR(INDEX(DraftResults[[#All],[OVR]],MATCH(Table5[[#This Row],[PID]],DraftResults[[#All],[Player ID]],0)),"")</f>
        <v/>
      </c>
      <c r="Z7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29" s="50" t="str">
        <f>IFERROR(INDEX(DraftResults[[#All],[Pick in Round]],MATCH(Table5[[#This Row],[PID]],DraftResults[[#All],[Player ID]],0)),"")</f>
        <v/>
      </c>
      <c r="AB729" s="50" t="str">
        <f>IFERROR(INDEX(DraftResults[[#All],[Team Name]],MATCH(Table5[[#This Row],[PID]],DraftResults[[#All],[Player ID]],0)),"")</f>
        <v/>
      </c>
      <c r="AC729" s="50" t="str">
        <f>IF(Table5[[#This Row],[Ovr]]="","",IF(Table5[[#This Row],[cmbList]]="","",Table5[[#This Row],[cmbList]]-Table5[[#This Row],[Ovr]]))</f>
        <v/>
      </c>
      <c r="AD729" s="54" t="str">
        <f>IF(ISERROR(VLOOKUP($AB729&amp;"-"&amp;$E729&amp;" "&amp;F729,Bonuses!$B$1:$G$1006,4,FALSE)),"",INT(VLOOKUP($AB729&amp;"-"&amp;$E729&amp;" "&amp;$F729,Bonuses!$B$1:$G$1006,4,FALSE)))</f>
        <v/>
      </c>
      <c r="AE7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0" spans="1:31" s="50" customFormat="1" x14ac:dyDescent="0.25">
      <c r="A730" s="68">
        <v>20478</v>
      </c>
      <c r="B730" s="69">
        <f>COUNTIF(Table5[PID],A730)</f>
        <v>1</v>
      </c>
      <c r="C730" s="69" t="str">
        <f>IF(COUNTIF(Table3[[#All],[PID]],A730)&gt;0,"P","B")</f>
        <v>P</v>
      </c>
      <c r="D730" s="59" t="str">
        <f>IF($C730="B",INDEX(Batters[[#All],[POS]],MATCH(Table5[[#This Row],[PID]],Batters[[#All],[PID]],0)),INDEX(Table3[[#All],[POS]],MATCH(Table5[[#This Row],[PID]],Table3[[#All],[PID]],0)))</f>
        <v>SP</v>
      </c>
      <c r="E730" s="52" t="str">
        <f>IF($C730="B",INDEX(Batters[[#All],[First]],MATCH(Table5[[#This Row],[PID]],Batters[[#All],[PID]],0)),INDEX(Table3[[#All],[First]],MATCH(Table5[[#This Row],[PID]],Table3[[#All],[PID]],0)))</f>
        <v>Shuji</v>
      </c>
      <c r="F730" s="55" t="str">
        <f>IF($C730="B",INDEX(Batters[[#All],[Last]],MATCH(A730,Batters[[#All],[PID]],0)),INDEX(Table3[[#All],[Last]],MATCH(A730,Table3[[#All],[PID]],0)))</f>
        <v>Yamamoto</v>
      </c>
      <c r="G730" s="56">
        <f>IF($C730="B",INDEX(Batters[[#All],[Age]],MATCH(Table5[[#This Row],[PID]],Batters[[#All],[PID]],0)),INDEX(Table3[[#All],[Age]],MATCH(Table5[[#This Row],[PID]],Table3[[#All],[PID]],0)))</f>
        <v>19</v>
      </c>
      <c r="H730" s="52" t="str">
        <f>IF($C730="B",INDEX(Batters[[#All],[B]],MATCH(Table5[[#This Row],[PID]],Batters[[#All],[PID]],0)),INDEX(Table3[[#All],[B]],MATCH(Table5[[#This Row],[PID]],Table3[[#All],[PID]],0)))</f>
        <v>R</v>
      </c>
      <c r="I730" s="52" t="str">
        <f>IF($C730="B",INDEX(Batters[[#All],[T]],MATCH(Table5[[#This Row],[PID]],Batters[[#All],[PID]],0)),INDEX(Table3[[#All],[T]],MATCH(Table5[[#This Row],[PID]],Table3[[#All],[PID]],0)))</f>
        <v>R</v>
      </c>
      <c r="J730" s="71" t="str">
        <f>IF($C730="B",INDEX(Batters[[#All],[WE]],MATCH(Table5[[#This Row],[PID]],Batters[[#All],[PID]],0)),INDEX(Table3[[#All],[WE]],MATCH(Table5[[#This Row],[PID]],Table3[[#All],[PID]],0)))</f>
        <v>Low</v>
      </c>
      <c r="K730" s="52" t="str">
        <f>IF($C730="B",INDEX(Batters[[#All],[INT]],MATCH(Table5[[#This Row],[PID]],Batters[[#All],[PID]],0)),INDEX(Table3[[#All],[INT]],MATCH(Table5[[#This Row],[PID]],Table3[[#All],[PID]],0)))</f>
        <v>Normal</v>
      </c>
      <c r="L730" s="60">
        <f>IF($C730="B",INDEX(Batters[[#All],[CON P]],MATCH(Table5[[#This Row],[PID]],Batters[[#All],[PID]],0)),INDEX(Table3[[#All],[STU P]],MATCH(Table5[[#This Row],[PID]],Table3[[#All],[PID]],0)))</f>
        <v>5</v>
      </c>
      <c r="M730" s="72">
        <f>IF($C730="B",INDEX(Batters[[#All],[GAP P]],MATCH(Table5[[#This Row],[PID]],Batters[[#All],[PID]],0)),INDEX(Table3[[#All],[MOV P]],MATCH(Table5[[#This Row],[PID]],Table3[[#All],[PID]],0)))</f>
        <v>1</v>
      </c>
      <c r="N730" s="72">
        <f>IF($C730="B",INDEX(Batters[[#All],[POW P]],MATCH(Table5[[#This Row],[PID]],Batters[[#All],[PID]],0)),INDEX(Table3[[#All],[CON P]],MATCH(Table5[[#This Row],[PID]],Table3[[#All],[PID]],0)))</f>
        <v>3</v>
      </c>
      <c r="O730" s="72" t="str">
        <f>IF($C730="B",INDEX(Batters[[#All],[EYE P]],MATCH(Table5[[#This Row],[PID]],Batters[[#All],[PID]],0)),INDEX(Table3[[#All],[VELO]],MATCH(Table5[[#This Row],[PID]],Table3[[#All],[PID]],0)))</f>
        <v>87-89 Mph</v>
      </c>
      <c r="P730" s="56">
        <f>IF($C730="B",INDEX(Batters[[#All],[K P]],MATCH(Table5[[#This Row],[PID]],Batters[[#All],[PID]],0)),INDEX(Table3[[#All],[STM]],MATCH(Table5[[#This Row],[PID]],Table3[[#All],[PID]],0)))</f>
        <v>8</v>
      </c>
      <c r="Q730" s="61">
        <f>IF($C730="B",INDEX(Batters[[#All],[Tot]],MATCH(Table5[[#This Row],[PID]],Batters[[#All],[PID]],0)),INDEX(Table3[[#All],[Tot]],MATCH(Table5[[#This Row],[PID]],Table3[[#All],[PID]],0)))</f>
        <v>35.196980275596076</v>
      </c>
      <c r="R730" s="52">
        <f>IF($C730="B",INDEX(Batters[[#All],[zScore]],MATCH(Table5[[#This Row],[PID]],Batters[[#All],[PID]],0)),INDEX(Table3[[#All],[zScore]],MATCH(Table5[[#This Row],[PID]],Table3[[#All],[PID]],0)))</f>
        <v>-0.114513367695264</v>
      </c>
      <c r="S730" s="78" t="str">
        <f>IF($C730="B",INDEX(Batters[[#All],[DEM]],MATCH(Table5[[#This Row],[PID]],Batters[[#All],[PID]],0)),INDEX(Table3[[#All],[DEM]],MATCH(Table5[[#This Row],[PID]],Table3[[#All],[PID]],0)))</f>
        <v>$65k</v>
      </c>
      <c r="T730" s="75">
        <f>IF($C730="B",INDEX(Batters[[#All],[Rnk]],MATCH(Table5[[#This Row],[PID]],Batters[[#All],[PID]],0)),INDEX(Table3[[#All],[Rnk]],MATCH(Table5[[#This Row],[PID]],Table3[[#All],[PID]],0)))</f>
        <v>344</v>
      </c>
      <c r="U730" s="68">
        <f>IF($C730="B",VLOOKUP($A730,Bat!$A$4:$BA$1621,47,FALSE),VLOOKUP($A730,Pit!$A$4:$BF$1557,56,FALSE))</f>
        <v>0</v>
      </c>
      <c r="V730" s="50">
        <f>IF($C730="B",VLOOKUP($A730,Bat!$A$4:$BA$1621,48,FALSE),VLOOKUP($A730,Pit!$A$4:$BF$1557,57,FALSE))</f>
        <v>0</v>
      </c>
      <c r="W730" s="69">
        <f>Table5[[#This Row],[posRnk]]+Table5[[#This Row],[zRnk]]+IF($W$3&lt;&gt;Table5[[#This Row],[Type]],50,0)</f>
        <v>1000</v>
      </c>
      <c r="X730" s="73">
        <f>RANK(Table5[[#This Row],[zScore]],Table5[[#All],[zScore]])</f>
        <v>606</v>
      </c>
      <c r="Y730" s="69" t="str">
        <f>IFERROR(INDEX(DraftResults[[#All],[OVR]],MATCH(Table5[[#This Row],[PID]],DraftResults[[#All],[Player ID]],0)),"")</f>
        <v/>
      </c>
      <c r="Z73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0" s="69" t="str">
        <f>IFERROR(INDEX(DraftResults[[#All],[Pick in Round]],MATCH(Table5[[#This Row],[PID]],DraftResults[[#All],[Player ID]],0)),"")</f>
        <v/>
      </c>
      <c r="AB730" s="69" t="str">
        <f>IFERROR(INDEX(DraftResults[[#All],[Team Name]],MATCH(Table5[[#This Row],[PID]],DraftResults[[#All],[Player ID]],0)),"")</f>
        <v/>
      </c>
      <c r="AC730" s="69" t="str">
        <f>IF(Table5[[#This Row],[Ovr]]="","",IF(Table5[[#This Row],[cmbList]]="","",Table5[[#This Row],[cmbList]]-Table5[[#This Row],[Ovr]]))</f>
        <v/>
      </c>
      <c r="AD730" s="77" t="str">
        <f>IF(ISERROR(VLOOKUP($AB730&amp;"-"&amp;$E730&amp;" "&amp;F730,Bonuses!$B$1:$G$1006,4,FALSE)),"",INT(VLOOKUP($AB730&amp;"-"&amp;$E730&amp;" "&amp;$F730,Bonuses!$B$1:$G$1006,4,FALSE)))</f>
        <v/>
      </c>
      <c r="AE73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1" spans="1:31" s="50" customFormat="1" x14ac:dyDescent="0.25">
      <c r="A731" s="50">
        <v>20875</v>
      </c>
      <c r="B731" s="50">
        <f>COUNTIF(Table5[PID],A731)</f>
        <v>1</v>
      </c>
      <c r="C731" s="50" t="str">
        <f>IF(COUNTIF(Table3[[#All],[PID]],A731)&gt;0,"P","B")</f>
        <v>P</v>
      </c>
      <c r="D731" s="59" t="str">
        <f>IF($C731="B",INDEX(Batters[[#All],[POS]],MATCH(Table5[[#This Row],[PID]],Batters[[#All],[PID]],0)),INDEX(Table3[[#All],[POS]],MATCH(Table5[[#This Row],[PID]],Table3[[#All],[PID]],0)))</f>
        <v>RP</v>
      </c>
      <c r="E731" s="52" t="str">
        <f>IF($C731="B",INDEX(Batters[[#All],[First]],MATCH(Table5[[#This Row],[PID]],Batters[[#All],[PID]],0)),INDEX(Table3[[#All],[First]],MATCH(Table5[[#This Row],[PID]],Table3[[#All],[PID]],0)))</f>
        <v>Jack</v>
      </c>
      <c r="F731" s="50" t="str">
        <f>IF($C731="B",INDEX(Batters[[#All],[Last]],MATCH(A731,Batters[[#All],[PID]],0)),INDEX(Table3[[#All],[Last]],MATCH(A731,Table3[[#All],[PID]],0)))</f>
        <v>Brock</v>
      </c>
      <c r="G731" s="56">
        <f>IF($C731="B",INDEX(Batters[[#All],[Age]],MATCH(Table5[[#This Row],[PID]],Batters[[#All],[PID]],0)),INDEX(Table3[[#All],[Age]],MATCH(Table5[[#This Row],[PID]],Table3[[#All],[PID]],0)))</f>
        <v>17</v>
      </c>
      <c r="H731" s="52" t="str">
        <f>IF($C731="B",INDEX(Batters[[#All],[B]],MATCH(Table5[[#This Row],[PID]],Batters[[#All],[PID]],0)),INDEX(Table3[[#All],[B]],MATCH(Table5[[#This Row],[PID]],Table3[[#All],[PID]],0)))</f>
        <v>L</v>
      </c>
      <c r="I731" s="52" t="str">
        <f>IF($C731="B",INDEX(Batters[[#All],[T]],MATCH(Table5[[#This Row],[PID]],Batters[[#All],[PID]],0)),INDEX(Table3[[#All],[T]],MATCH(Table5[[#This Row],[PID]],Table3[[#All],[PID]],0)))</f>
        <v>R</v>
      </c>
      <c r="J731" s="52" t="str">
        <f>IF($C731="B",INDEX(Batters[[#All],[WE]],MATCH(Table5[[#This Row],[PID]],Batters[[#All],[PID]],0)),INDEX(Table3[[#All],[WE]],MATCH(Table5[[#This Row],[PID]],Table3[[#All],[PID]],0)))</f>
        <v>Low</v>
      </c>
      <c r="K731" s="52" t="str">
        <f>IF($C731="B",INDEX(Batters[[#All],[INT]],MATCH(Table5[[#This Row],[PID]],Batters[[#All],[PID]],0)),INDEX(Table3[[#All],[INT]],MATCH(Table5[[#This Row],[PID]],Table3[[#All],[PID]],0)))</f>
        <v>Low</v>
      </c>
      <c r="L731" s="60">
        <f>IF($C731="B",INDEX(Batters[[#All],[CON P]],MATCH(Table5[[#This Row],[PID]],Batters[[#All],[PID]],0)),INDEX(Table3[[#All],[STU P]],MATCH(Table5[[#This Row],[PID]],Table3[[#All],[PID]],0)))</f>
        <v>5</v>
      </c>
      <c r="M731" s="56">
        <f>IF($C731="B",INDEX(Batters[[#All],[GAP P]],MATCH(Table5[[#This Row],[PID]],Batters[[#All],[PID]],0)),INDEX(Table3[[#All],[MOV P]],MATCH(Table5[[#This Row],[PID]],Table3[[#All],[PID]],0)))</f>
        <v>2</v>
      </c>
      <c r="N731" s="56">
        <f>IF($C731="B",INDEX(Batters[[#All],[POW P]],MATCH(Table5[[#This Row],[PID]],Batters[[#All],[PID]],0)),INDEX(Table3[[#All],[CON P]],MATCH(Table5[[#This Row],[PID]],Table3[[#All],[PID]],0)))</f>
        <v>2</v>
      </c>
      <c r="O731" s="56" t="str">
        <f>IF($C731="B",INDEX(Batters[[#All],[EYE P]],MATCH(Table5[[#This Row],[PID]],Batters[[#All],[PID]],0)),INDEX(Table3[[#All],[VELO]],MATCH(Table5[[#This Row],[PID]],Table3[[#All],[PID]],0)))</f>
        <v>88-90 Mph</v>
      </c>
      <c r="P731" s="56">
        <f>IF($C731="B",INDEX(Batters[[#All],[K P]],MATCH(Table5[[#This Row],[PID]],Batters[[#All],[PID]],0)),INDEX(Table3[[#All],[STM]],MATCH(Table5[[#This Row],[PID]],Table3[[#All],[PID]],0)))</f>
        <v>8</v>
      </c>
      <c r="Q731" s="61">
        <f>IF($C731="B",INDEX(Batters[[#All],[Tot]],MATCH(Table5[[#This Row],[PID]],Batters[[#All],[PID]],0)),INDEX(Table3[[#All],[Tot]],MATCH(Table5[[#This Row],[PID]],Table3[[#All],[PID]],0)))</f>
        <v>34.109351361499158</v>
      </c>
      <c r="R731" s="52">
        <f>IF($C731="B",INDEX(Batters[[#All],[zScore]],MATCH(Table5[[#This Row],[PID]],Batters[[#All],[PID]],0)),INDEX(Table3[[#All],[zScore]],MATCH(Table5[[#This Row],[PID]],Table3[[#All],[PID]],0)))</f>
        <v>-0.11716826029370712</v>
      </c>
      <c r="S731" s="58" t="str">
        <f>IF($C731="B",INDEX(Batters[[#All],[DEM]],MATCH(Table5[[#This Row],[PID]],Batters[[#All],[PID]],0)),INDEX(Table3[[#All],[DEM]],MATCH(Table5[[#This Row],[PID]],Table3[[#All],[PID]],0)))</f>
        <v>$38k</v>
      </c>
      <c r="T731" s="62">
        <f>IF($C731="B",INDEX(Batters[[#All],[Rnk]],MATCH(Table5[[#This Row],[PID]],Batters[[#All],[PID]],0)),INDEX(Table3[[#All],[Rnk]],MATCH(Table5[[#This Row],[PID]],Table3[[#All],[PID]],0)))</f>
        <v>346</v>
      </c>
      <c r="U731" s="68">
        <f>IF($C731="B",VLOOKUP($A731,Bat!$A$4:$BA$1621,47,FALSE),VLOOKUP($A731,Pit!$A$4:$BF$1557,56,FALSE))</f>
        <v>0</v>
      </c>
      <c r="V731" s="50">
        <f>IF($C731="B",VLOOKUP($A731,Bat!$A$4:$BA$1621,48,FALSE),VLOOKUP($A731,Pit!$A$4:$BF$1557,57,FALSE))</f>
        <v>0</v>
      </c>
      <c r="W731" s="50">
        <f>Table5[[#This Row],[posRnk]]+Table5[[#This Row],[zRnk]]+IF($W$3&lt;&gt;Table5[[#This Row],[Type]],50,0)</f>
        <v>1004</v>
      </c>
      <c r="X731" s="51">
        <f>RANK(Table5[[#This Row],[zScore]],Table5[[#All],[zScore]])</f>
        <v>608</v>
      </c>
      <c r="Y731" s="50" t="str">
        <f>IFERROR(INDEX(DraftResults[[#All],[OVR]],MATCH(Table5[[#This Row],[PID]],DraftResults[[#All],[Player ID]],0)),"")</f>
        <v/>
      </c>
      <c r="Z7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1" s="50" t="str">
        <f>IFERROR(INDEX(DraftResults[[#All],[Pick in Round]],MATCH(Table5[[#This Row],[PID]],DraftResults[[#All],[Player ID]],0)),"")</f>
        <v/>
      </c>
      <c r="AB731" s="50" t="str">
        <f>IFERROR(INDEX(DraftResults[[#All],[Team Name]],MATCH(Table5[[#This Row],[PID]],DraftResults[[#All],[Player ID]],0)),"")</f>
        <v/>
      </c>
      <c r="AC731" s="50" t="str">
        <f>IF(Table5[[#This Row],[Ovr]]="","",IF(Table5[[#This Row],[cmbList]]="","",Table5[[#This Row],[cmbList]]-Table5[[#This Row],[Ovr]]))</f>
        <v/>
      </c>
      <c r="AD731" s="54" t="str">
        <f>IF(ISERROR(VLOOKUP($AB731&amp;"-"&amp;$E731&amp;" "&amp;F731,Bonuses!$B$1:$G$1006,4,FALSE)),"",INT(VLOOKUP($AB731&amp;"-"&amp;$E731&amp;" "&amp;$F731,Bonuses!$B$1:$G$1006,4,FALSE)))</f>
        <v/>
      </c>
      <c r="AE7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2" spans="1:31" s="50" customFormat="1" x14ac:dyDescent="0.25">
      <c r="A732" s="50">
        <v>1293</v>
      </c>
      <c r="B732" s="50">
        <f>COUNTIF(Table5[PID],A732)</f>
        <v>1</v>
      </c>
      <c r="C732" s="50" t="str">
        <f>IF(COUNTIF(Table3[[#All],[PID]],A732)&gt;0,"P","B")</f>
        <v>P</v>
      </c>
      <c r="D732" s="59" t="str">
        <f>IF($C732="B",INDEX(Batters[[#All],[POS]],MATCH(Table5[[#This Row],[PID]],Batters[[#All],[PID]],0)),INDEX(Table3[[#All],[POS]],MATCH(Table5[[#This Row],[PID]],Table3[[#All],[PID]],0)))</f>
        <v>RP</v>
      </c>
      <c r="E732" s="52" t="str">
        <f>IF($C732="B",INDEX(Batters[[#All],[First]],MATCH(Table5[[#This Row],[PID]],Batters[[#All],[PID]],0)),INDEX(Table3[[#All],[First]],MATCH(Table5[[#This Row],[PID]],Table3[[#All],[PID]],0)))</f>
        <v>Aubrey</v>
      </c>
      <c r="F732" s="50" t="str">
        <f>IF($C732="B",INDEX(Batters[[#All],[Last]],MATCH(A732,Batters[[#All],[PID]],0)),INDEX(Table3[[#All],[Last]],MATCH(A732,Table3[[#All],[PID]],0)))</f>
        <v>Weber</v>
      </c>
      <c r="G732" s="56">
        <f>IF($C732="B",INDEX(Batters[[#All],[Age]],MATCH(Table5[[#This Row],[PID]],Batters[[#All],[PID]],0)),INDEX(Table3[[#All],[Age]],MATCH(Table5[[#This Row],[PID]],Table3[[#All],[PID]],0)))</f>
        <v>18</v>
      </c>
      <c r="H732" s="52" t="str">
        <f>IF($C732="B",INDEX(Batters[[#All],[B]],MATCH(Table5[[#This Row],[PID]],Batters[[#All],[PID]],0)),INDEX(Table3[[#All],[B]],MATCH(Table5[[#This Row],[PID]],Table3[[#All],[PID]],0)))</f>
        <v>L</v>
      </c>
      <c r="I732" s="52" t="str">
        <f>IF($C732="B",INDEX(Batters[[#All],[T]],MATCH(Table5[[#This Row],[PID]],Batters[[#All],[PID]],0)),INDEX(Table3[[#All],[T]],MATCH(Table5[[#This Row],[PID]],Table3[[#All],[PID]],0)))</f>
        <v>L</v>
      </c>
      <c r="J732" s="52" t="str">
        <f>IF($C732="B",INDEX(Batters[[#All],[WE]],MATCH(Table5[[#This Row],[PID]],Batters[[#All],[PID]],0)),INDEX(Table3[[#All],[WE]],MATCH(Table5[[#This Row],[PID]],Table3[[#All],[PID]],0)))</f>
        <v>Low</v>
      </c>
      <c r="K732" s="52" t="str">
        <f>IF($C732="B",INDEX(Batters[[#All],[INT]],MATCH(Table5[[#This Row],[PID]],Batters[[#All],[PID]],0)),INDEX(Table3[[#All],[INT]],MATCH(Table5[[#This Row],[PID]],Table3[[#All],[PID]],0)))</f>
        <v>Normal</v>
      </c>
      <c r="L732" s="60">
        <f>IF($C732="B",INDEX(Batters[[#All],[CON P]],MATCH(Table5[[#This Row],[PID]],Batters[[#All],[PID]],0)),INDEX(Table3[[#All],[STU P]],MATCH(Table5[[#This Row],[PID]],Table3[[#All],[PID]],0)))</f>
        <v>4</v>
      </c>
      <c r="M732" s="56">
        <f>IF($C732="B",INDEX(Batters[[#All],[GAP P]],MATCH(Table5[[#This Row],[PID]],Batters[[#All],[PID]],0)),INDEX(Table3[[#All],[MOV P]],MATCH(Table5[[#This Row],[PID]],Table3[[#All],[PID]],0)))</f>
        <v>2</v>
      </c>
      <c r="N732" s="56">
        <f>IF($C732="B",INDEX(Batters[[#All],[POW P]],MATCH(Table5[[#This Row],[PID]],Batters[[#All],[PID]],0)),INDEX(Table3[[#All],[CON P]],MATCH(Table5[[#This Row],[PID]],Table3[[#All],[PID]],0)))</f>
        <v>3</v>
      </c>
      <c r="O732" s="56" t="str">
        <f>IF($C732="B",INDEX(Batters[[#All],[EYE P]],MATCH(Table5[[#This Row],[PID]],Batters[[#All],[PID]],0)),INDEX(Table3[[#All],[VELO]],MATCH(Table5[[#This Row],[PID]],Table3[[#All],[PID]],0)))</f>
        <v>91-93 Mph</v>
      </c>
      <c r="P732" s="56">
        <f>IF($C732="B",INDEX(Batters[[#All],[K P]],MATCH(Table5[[#This Row],[PID]],Batters[[#All],[PID]],0)),INDEX(Table3[[#All],[STM]],MATCH(Table5[[#This Row],[PID]],Table3[[#All],[PID]],0)))</f>
        <v>7</v>
      </c>
      <c r="Q732" s="61">
        <f>IF($C732="B",INDEX(Batters[[#All],[Tot]],MATCH(Table5[[#This Row],[PID]],Batters[[#All],[PID]],0)),INDEX(Table3[[#All],[Tot]],MATCH(Table5[[#This Row],[PID]],Table3[[#All],[PID]],0)))</f>
        <v>35.150874457299729</v>
      </c>
      <c r="R732" s="52">
        <f>IF($C732="B",INDEX(Batters[[#All],[zScore]],MATCH(Table5[[#This Row],[PID]],Batters[[#All],[PID]],0)),INDEX(Table3[[#All],[zScore]],MATCH(Table5[[#This Row],[PID]],Table3[[#All],[PID]],0)))</f>
        <v>-0.11784969837815451</v>
      </c>
      <c r="S732" s="58" t="str">
        <f>IF($C732="B",INDEX(Batters[[#All],[DEM]],MATCH(Table5[[#This Row],[PID]],Batters[[#All],[PID]],0)),INDEX(Table3[[#All],[DEM]],MATCH(Table5[[#This Row],[PID]],Table3[[#All],[PID]],0)))</f>
        <v>$130k</v>
      </c>
      <c r="T732" s="62">
        <f>IF($C732="B",INDEX(Batters[[#All],[Rnk]],MATCH(Table5[[#This Row],[PID]],Batters[[#All],[PID]],0)),INDEX(Table3[[#All],[Rnk]],MATCH(Table5[[#This Row],[PID]],Table3[[#All],[PID]],0)))</f>
        <v>347</v>
      </c>
      <c r="U732" s="68">
        <f>IF($C732="B",VLOOKUP($A732,Bat!$A$4:$BA$1621,47,FALSE),VLOOKUP($A732,Pit!$A$4:$BF$1557,56,FALSE))</f>
        <v>0</v>
      </c>
      <c r="V732" s="50">
        <f>IF($C732="B",VLOOKUP($A732,Bat!$A$4:$BA$1621,48,FALSE),VLOOKUP($A732,Pit!$A$4:$BF$1557,57,FALSE))</f>
        <v>0</v>
      </c>
      <c r="W732" s="50">
        <f>Table5[[#This Row],[posRnk]]+Table5[[#This Row],[zRnk]]+IF($W$3&lt;&gt;Table5[[#This Row],[Type]],50,0)</f>
        <v>1006</v>
      </c>
      <c r="X732" s="51">
        <f>RANK(Table5[[#This Row],[zScore]],Table5[[#All],[zScore]])</f>
        <v>609</v>
      </c>
      <c r="Y732" s="50" t="str">
        <f>IFERROR(INDEX(DraftResults[[#All],[OVR]],MATCH(Table5[[#This Row],[PID]],DraftResults[[#All],[Player ID]],0)),"")</f>
        <v/>
      </c>
      <c r="Z7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2" s="50" t="str">
        <f>IFERROR(INDEX(DraftResults[[#All],[Pick in Round]],MATCH(Table5[[#This Row],[PID]],DraftResults[[#All],[Player ID]],0)),"")</f>
        <v/>
      </c>
      <c r="AB732" s="50" t="str">
        <f>IFERROR(INDEX(DraftResults[[#All],[Team Name]],MATCH(Table5[[#This Row],[PID]],DraftResults[[#All],[Player ID]],0)),"")</f>
        <v/>
      </c>
      <c r="AC732" s="50" t="str">
        <f>IF(Table5[[#This Row],[Ovr]]="","",IF(Table5[[#This Row],[cmbList]]="","",Table5[[#This Row],[cmbList]]-Table5[[#This Row],[Ovr]]))</f>
        <v/>
      </c>
      <c r="AD732" s="54" t="str">
        <f>IF(ISERROR(VLOOKUP($AB732&amp;"-"&amp;$E732&amp;" "&amp;F732,Bonuses!$B$1:$G$1006,4,FALSE)),"",INT(VLOOKUP($AB732&amp;"-"&amp;$E732&amp;" "&amp;$F732,Bonuses!$B$1:$G$1006,4,FALSE)))</f>
        <v/>
      </c>
      <c r="AE7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3" spans="1:31" s="50" customFormat="1" x14ac:dyDescent="0.25">
      <c r="A733" s="50">
        <v>20846</v>
      </c>
      <c r="B733" s="55">
        <f>COUNTIF(Table5[PID],A733)</f>
        <v>1</v>
      </c>
      <c r="C733" s="55" t="str">
        <f>IF(COUNTIF(Table3[[#All],[PID]],A733)&gt;0,"P","B")</f>
        <v>B</v>
      </c>
      <c r="D733" s="59" t="str">
        <f>IF($C733="B",INDEX(Batters[[#All],[POS]],MATCH(Table5[[#This Row],[PID]],Batters[[#All],[PID]],0)),INDEX(Table3[[#All],[POS]],MATCH(Table5[[#This Row],[PID]],Table3[[#All],[PID]],0)))</f>
        <v>1B</v>
      </c>
      <c r="E733" s="52" t="str">
        <f>IF($C733="B",INDEX(Batters[[#All],[First]],MATCH(Table5[[#This Row],[PID]],Batters[[#All],[PID]],0)),INDEX(Table3[[#All],[First]],MATCH(Table5[[#This Row],[PID]],Table3[[#All],[PID]],0)))</f>
        <v>Tom</v>
      </c>
      <c r="F733" s="50" t="str">
        <f>IF($C733="B",INDEX(Batters[[#All],[Last]],MATCH(A733,Batters[[#All],[PID]],0)),INDEX(Table3[[#All],[Last]],MATCH(A733,Table3[[#All],[PID]],0)))</f>
        <v>Moore</v>
      </c>
      <c r="G733" s="56">
        <f>IF($C733="B",INDEX(Batters[[#All],[Age]],MATCH(Table5[[#This Row],[PID]],Batters[[#All],[PID]],0)),INDEX(Table3[[#All],[Age]],MATCH(Table5[[#This Row],[PID]],Table3[[#All],[PID]],0)))</f>
        <v>18</v>
      </c>
      <c r="H733" s="52" t="str">
        <f>IF($C733="B",INDEX(Batters[[#All],[B]],MATCH(Table5[[#This Row],[PID]],Batters[[#All],[PID]],0)),INDEX(Table3[[#All],[B]],MATCH(Table5[[#This Row],[PID]],Table3[[#All],[PID]],0)))</f>
        <v>R</v>
      </c>
      <c r="I733" s="52" t="str">
        <f>IF($C733="B",INDEX(Batters[[#All],[T]],MATCH(Table5[[#This Row],[PID]],Batters[[#All],[PID]],0)),INDEX(Table3[[#All],[T]],MATCH(Table5[[#This Row],[PID]],Table3[[#All],[PID]],0)))</f>
        <v>L</v>
      </c>
      <c r="J733" s="52" t="str">
        <f>IF($C733="B",INDEX(Batters[[#All],[WE]],MATCH(Table5[[#This Row],[PID]],Batters[[#All],[PID]],0)),INDEX(Table3[[#All],[WE]],MATCH(Table5[[#This Row],[PID]],Table3[[#All],[PID]],0)))</f>
        <v>Normal</v>
      </c>
      <c r="K733" s="52" t="str">
        <f>IF($C733="B",INDEX(Batters[[#All],[INT]],MATCH(Table5[[#This Row],[PID]],Batters[[#All],[PID]],0)),INDEX(Table3[[#All],[INT]],MATCH(Table5[[#This Row],[PID]],Table3[[#All],[PID]],0)))</f>
        <v>Normal</v>
      </c>
      <c r="L733" s="60">
        <f>IF($C733="B",INDEX(Batters[[#All],[CON P]],MATCH(Table5[[#This Row],[PID]],Batters[[#All],[PID]],0)),INDEX(Table3[[#All],[STU P]],MATCH(Table5[[#This Row],[PID]],Table3[[#All],[PID]],0)))</f>
        <v>3</v>
      </c>
      <c r="M733" s="56">
        <f>IF($C733="B",INDEX(Batters[[#All],[GAP P]],MATCH(Table5[[#This Row],[PID]],Batters[[#All],[PID]],0)),INDEX(Table3[[#All],[MOV P]],MATCH(Table5[[#This Row],[PID]],Table3[[#All],[PID]],0)))</f>
        <v>4</v>
      </c>
      <c r="N733" s="56">
        <f>IF($C733="B",INDEX(Batters[[#All],[POW P]],MATCH(Table5[[#This Row],[PID]],Batters[[#All],[PID]],0)),INDEX(Table3[[#All],[CON P]],MATCH(Table5[[#This Row],[PID]],Table3[[#All],[PID]],0)))</f>
        <v>4</v>
      </c>
      <c r="O733" s="56">
        <f>IF($C733="B",INDEX(Batters[[#All],[EYE P]],MATCH(Table5[[#This Row],[PID]],Batters[[#All],[PID]],0)),INDEX(Table3[[#All],[VELO]],MATCH(Table5[[#This Row],[PID]],Table3[[#All],[PID]],0)))</f>
        <v>5</v>
      </c>
      <c r="P733" s="56">
        <f>IF($C733="B",INDEX(Batters[[#All],[K P]],MATCH(Table5[[#This Row],[PID]],Batters[[#All],[PID]],0)),INDEX(Table3[[#All],[STM]],MATCH(Table5[[#This Row],[PID]],Table3[[#All],[PID]],0)))</f>
        <v>5</v>
      </c>
      <c r="Q733" s="61">
        <f>IF($C733="B",INDEX(Batters[[#All],[Tot]],MATCH(Table5[[#This Row],[PID]],Batters[[#All],[PID]],0)),INDEX(Table3[[#All],[Tot]],MATCH(Table5[[#This Row],[PID]],Table3[[#All],[PID]],0)))</f>
        <v>43.598380791129465</v>
      </c>
      <c r="R733" s="52">
        <f>IF($C733="B",INDEX(Batters[[#All],[zScore]],MATCH(Table5[[#This Row],[PID]],Batters[[#All],[PID]],0)),INDEX(Table3[[#All],[zScore]],MATCH(Table5[[#This Row],[PID]],Table3[[#All],[PID]],0)))</f>
        <v>-0.11829362141649462</v>
      </c>
      <c r="S733" s="58" t="str">
        <f>IF($C733="B",INDEX(Batters[[#All],[DEM]],MATCH(Table5[[#This Row],[PID]],Batters[[#All],[PID]],0)),INDEX(Table3[[#All],[DEM]],MATCH(Table5[[#This Row],[PID]],Table3[[#All],[PID]],0)))</f>
        <v>$110k</v>
      </c>
      <c r="T733" s="62">
        <f>IF($C733="B",INDEX(Batters[[#All],[Rnk]],MATCH(Table5[[#This Row],[PID]],Batters[[#All],[PID]],0)),INDEX(Table3[[#All],[Rnk]],MATCH(Table5[[#This Row],[PID]],Table3[[#All],[PID]],0)))</f>
        <v>263</v>
      </c>
      <c r="U733" s="68">
        <f>IF($C733="B",VLOOKUP($A733,Bat!$A$4:$BA$1621,47,FALSE),VLOOKUP($A733,Pit!$A$4:$BF$1557,56,FALSE))</f>
        <v>0</v>
      </c>
      <c r="V733" s="50">
        <f>IF($C733="B",VLOOKUP($A733,Bat!$A$4:$BA$1621,48,FALSE),VLOOKUP($A733,Pit!$A$4:$BF$1557,57,FALSE))</f>
        <v>0</v>
      </c>
      <c r="W733" s="50">
        <f>Table5[[#This Row],[posRnk]]+Table5[[#This Row],[zRnk]]+IF($W$3&lt;&gt;Table5[[#This Row],[Type]],50,0)</f>
        <v>923</v>
      </c>
      <c r="X733" s="51">
        <f>RANK(Table5[[#This Row],[zScore]],Table5[[#All],[zScore]])</f>
        <v>610</v>
      </c>
      <c r="Y733" s="50" t="str">
        <f>IFERROR(INDEX(DraftResults[[#All],[OVR]],MATCH(Table5[[#This Row],[PID]],DraftResults[[#All],[Player ID]],0)),"")</f>
        <v/>
      </c>
      <c r="Z7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3" s="50" t="str">
        <f>IFERROR(INDEX(DraftResults[[#All],[Pick in Round]],MATCH(Table5[[#This Row],[PID]],DraftResults[[#All],[Player ID]],0)),"")</f>
        <v/>
      </c>
      <c r="AB733" s="50" t="str">
        <f>IFERROR(INDEX(DraftResults[[#All],[Team Name]],MATCH(Table5[[#This Row],[PID]],DraftResults[[#All],[Player ID]],0)),"")</f>
        <v/>
      </c>
      <c r="AC733" s="50" t="str">
        <f>IF(Table5[[#This Row],[Ovr]]="","",IF(Table5[[#This Row],[cmbList]]="","",Table5[[#This Row],[cmbList]]-Table5[[#This Row],[Ovr]]))</f>
        <v/>
      </c>
      <c r="AD733" s="54" t="str">
        <f>IF(ISERROR(VLOOKUP($AB733&amp;"-"&amp;$E733&amp;" "&amp;F733,Bonuses!$B$1:$G$1006,4,FALSE)),"",INT(VLOOKUP($AB733&amp;"-"&amp;$E733&amp;" "&amp;$F733,Bonuses!$B$1:$G$1006,4,FALSE)))</f>
        <v/>
      </c>
      <c r="AE7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4" spans="1:31" s="50" customFormat="1" x14ac:dyDescent="0.25">
      <c r="A734" s="68">
        <v>20652</v>
      </c>
      <c r="B734" s="69">
        <f>COUNTIF(Table5[PID],A734)</f>
        <v>1</v>
      </c>
      <c r="C734" s="69" t="str">
        <f>IF(COUNTIF(Table3[[#All],[PID]],A734)&gt;0,"P","B")</f>
        <v>P</v>
      </c>
      <c r="D734" s="59" t="str">
        <f>IF($C734="B",INDEX(Batters[[#All],[POS]],MATCH(Table5[[#This Row],[PID]],Batters[[#All],[PID]],0)),INDEX(Table3[[#All],[POS]],MATCH(Table5[[#This Row],[PID]],Table3[[#All],[PID]],0)))</f>
        <v>SP</v>
      </c>
      <c r="E734" s="52" t="str">
        <f>IF($C734="B",INDEX(Batters[[#All],[First]],MATCH(Table5[[#This Row],[PID]],Batters[[#All],[PID]],0)),INDEX(Table3[[#All],[First]],MATCH(Table5[[#This Row],[PID]],Table3[[#All],[PID]],0)))</f>
        <v>Seung-kew</v>
      </c>
      <c r="F734" s="55" t="str">
        <f>IF($C734="B",INDEX(Batters[[#All],[Last]],MATCH(A734,Batters[[#All],[PID]],0)),INDEX(Table3[[#All],[Last]],MATCH(A734,Table3[[#All],[PID]],0)))</f>
        <v>Yi</v>
      </c>
      <c r="G734" s="56">
        <f>IF($C734="B",INDEX(Batters[[#All],[Age]],MATCH(Table5[[#This Row],[PID]],Batters[[#All],[PID]],0)),INDEX(Table3[[#All],[Age]],MATCH(Table5[[#This Row],[PID]],Table3[[#All],[PID]],0)))</f>
        <v>18</v>
      </c>
      <c r="H734" s="52" t="str">
        <f>IF($C734="B",INDEX(Batters[[#All],[B]],MATCH(Table5[[#This Row],[PID]],Batters[[#All],[PID]],0)),INDEX(Table3[[#All],[B]],MATCH(Table5[[#This Row],[PID]],Table3[[#All],[PID]],0)))</f>
        <v>S</v>
      </c>
      <c r="I734" s="52" t="str">
        <f>IF($C734="B",INDEX(Batters[[#All],[T]],MATCH(Table5[[#This Row],[PID]],Batters[[#All],[PID]],0)),INDEX(Table3[[#All],[T]],MATCH(Table5[[#This Row],[PID]],Table3[[#All],[PID]],0)))</f>
        <v>R</v>
      </c>
      <c r="J734" s="71" t="str">
        <f>IF($C734="B",INDEX(Batters[[#All],[WE]],MATCH(Table5[[#This Row],[PID]],Batters[[#All],[PID]],0)),INDEX(Table3[[#All],[WE]],MATCH(Table5[[#This Row],[PID]],Table3[[#All],[PID]],0)))</f>
        <v>Low</v>
      </c>
      <c r="K734" s="52" t="str">
        <f>IF($C734="B",INDEX(Batters[[#All],[INT]],MATCH(Table5[[#This Row],[PID]],Batters[[#All],[PID]],0)),INDEX(Table3[[#All],[INT]],MATCH(Table5[[#This Row],[PID]],Table3[[#All],[PID]],0)))</f>
        <v>Low</v>
      </c>
      <c r="L734" s="60">
        <f>IF($C734="B",INDEX(Batters[[#All],[CON P]],MATCH(Table5[[#This Row],[PID]],Batters[[#All],[PID]],0)),INDEX(Table3[[#All],[STU P]],MATCH(Table5[[#This Row],[PID]],Table3[[#All],[PID]],0)))</f>
        <v>4</v>
      </c>
      <c r="M734" s="72">
        <f>IF($C734="B",INDEX(Batters[[#All],[GAP P]],MATCH(Table5[[#This Row],[PID]],Batters[[#All],[PID]],0)),INDEX(Table3[[#All],[MOV P]],MATCH(Table5[[#This Row],[PID]],Table3[[#All],[PID]],0)))</f>
        <v>2</v>
      </c>
      <c r="N734" s="72">
        <f>IF($C734="B",INDEX(Batters[[#All],[POW P]],MATCH(Table5[[#This Row],[PID]],Batters[[#All],[PID]],0)),INDEX(Table3[[#All],[CON P]],MATCH(Table5[[#This Row],[PID]],Table3[[#All],[PID]],0)))</f>
        <v>3</v>
      </c>
      <c r="O734" s="72" t="str">
        <f>IF($C734="B",INDEX(Batters[[#All],[EYE P]],MATCH(Table5[[#This Row],[PID]],Batters[[#All],[PID]],0)),INDEX(Table3[[#All],[VELO]],MATCH(Table5[[#This Row],[PID]],Table3[[#All],[PID]],0)))</f>
        <v>90-92 Mph</v>
      </c>
      <c r="P734" s="56">
        <f>IF($C734="B",INDEX(Batters[[#All],[K P]],MATCH(Table5[[#This Row],[PID]],Batters[[#All],[PID]],0)),INDEX(Table3[[#All],[STM]],MATCH(Table5[[#This Row],[PID]],Table3[[#All],[PID]],0)))</f>
        <v>8</v>
      </c>
      <c r="Q734" s="61">
        <f>IF($C734="B",INDEX(Batters[[#All],[Tot]],MATCH(Table5[[#This Row],[PID]],Batters[[#All],[PID]],0)),INDEX(Table3[[#All],[Tot]],MATCH(Table5[[#This Row],[PID]],Table3[[#All],[PID]],0)))</f>
        <v>35.100874457299724</v>
      </c>
      <c r="R734" s="52">
        <f>IF($C734="B",INDEX(Batters[[#All],[zScore]],MATCH(Table5[[#This Row],[PID]],Batters[[#All],[PID]],0)),INDEX(Table3[[#All],[zScore]],MATCH(Table5[[#This Row],[PID]],Table3[[#All],[PID]],0)))</f>
        <v>-0.12146782164997934</v>
      </c>
      <c r="S734" s="78" t="str">
        <f>IF($C734="B",INDEX(Batters[[#All],[DEM]],MATCH(Table5[[#This Row],[PID]],Batters[[#All],[PID]],0)),INDEX(Table3[[#All],[DEM]],MATCH(Table5[[#This Row],[PID]],Table3[[#All],[PID]],0)))</f>
        <v>$65k</v>
      </c>
      <c r="T734" s="75">
        <f>IF($C734="B",INDEX(Batters[[#All],[Rnk]],MATCH(Table5[[#This Row],[PID]],Batters[[#All],[PID]],0)),INDEX(Table3[[#All],[Rnk]],MATCH(Table5[[#This Row],[PID]],Table3[[#All],[PID]],0)))</f>
        <v>348</v>
      </c>
      <c r="U734" s="68">
        <f>IF($C734="B",VLOOKUP($A734,Bat!$A$4:$BA$1621,47,FALSE),VLOOKUP($A734,Pit!$A$4:$BF$1557,56,FALSE))</f>
        <v>0</v>
      </c>
      <c r="V734" s="50">
        <f>IF($C734="B",VLOOKUP($A734,Bat!$A$4:$BA$1621,48,FALSE),VLOOKUP($A734,Pit!$A$4:$BF$1557,57,FALSE))</f>
        <v>0</v>
      </c>
      <c r="W734" s="69">
        <f>Table5[[#This Row],[posRnk]]+Table5[[#This Row],[zRnk]]+IF($W$3&lt;&gt;Table5[[#This Row],[Type]],50,0)</f>
        <v>1009</v>
      </c>
      <c r="X734" s="73">
        <f>RANK(Table5[[#This Row],[zScore]],Table5[[#All],[zScore]])</f>
        <v>611</v>
      </c>
      <c r="Y734" s="69" t="str">
        <f>IFERROR(INDEX(DraftResults[[#All],[OVR]],MATCH(Table5[[#This Row],[PID]],DraftResults[[#All],[Player ID]],0)),"")</f>
        <v/>
      </c>
      <c r="Z73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4" s="69" t="str">
        <f>IFERROR(INDEX(DraftResults[[#All],[Pick in Round]],MATCH(Table5[[#This Row],[PID]],DraftResults[[#All],[Player ID]],0)),"")</f>
        <v/>
      </c>
      <c r="AB734" s="69" t="str">
        <f>IFERROR(INDEX(DraftResults[[#All],[Team Name]],MATCH(Table5[[#This Row],[PID]],DraftResults[[#All],[Player ID]],0)),"")</f>
        <v/>
      </c>
      <c r="AC734" s="69" t="str">
        <f>IF(Table5[[#This Row],[Ovr]]="","",IF(Table5[[#This Row],[cmbList]]="","",Table5[[#This Row],[cmbList]]-Table5[[#This Row],[Ovr]]))</f>
        <v/>
      </c>
      <c r="AD734" s="77" t="str">
        <f>IF(ISERROR(VLOOKUP($AB734&amp;"-"&amp;$E734&amp;" "&amp;F734,Bonuses!$B$1:$G$1006,4,FALSE)),"",INT(VLOOKUP($AB734&amp;"-"&amp;$E734&amp;" "&amp;$F734,Bonuses!$B$1:$G$1006,4,FALSE)))</f>
        <v/>
      </c>
      <c r="AE73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5" spans="1:31" s="50" customFormat="1" x14ac:dyDescent="0.25">
      <c r="A735" s="68">
        <v>7254</v>
      </c>
      <c r="B735" s="69">
        <f>COUNTIF(Table5[PID],A735)</f>
        <v>1</v>
      </c>
      <c r="C735" s="69" t="str">
        <f>IF(COUNTIF(Table3[[#All],[PID]],A735)&gt;0,"P","B")</f>
        <v>P</v>
      </c>
      <c r="D735" s="59" t="str">
        <f>IF($C735="B",INDEX(Batters[[#All],[POS]],MATCH(Table5[[#This Row],[PID]],Batters[[#All],[PID]],0)),INDEX(Table3[[#All],[POS]],MATCH(Table5[[#This Row],[PID]],Table3[[#All],[PID]],0)))</f>
        <v>SP</v>
      </c>
      <c r="E735" s="52" t="str">
        <f>IF($C735="B",INDEX(Batters[[#All],[First]],MATCH(Table5[[#This Row],[PID]],Batters[[#All],[PID]],0)),INDEX(Table3[[#All],[First]],MATCH(Table5[[#This Row],[PID]],Table3[[#All],[PID]],0)))</f>
        <v>Aidan</v>
      </c>
      <c r="F735" s="55" t="str">
        <f>IF($C735="B",INDEX(Batters[[#All],[Last]],MATCH(A735,Batters[[#All],[PID]],0)),INDEX(Table3[[#All],[Last]],MATCH(A735,Table3[[#All],[PID]],0)))</f>
        <v>Moffat</v>
      </c>
      <c r="G735" s="56">
        <f>IF($C735="B",INDEX(Batters[[#All],[Age]],MATCH(Table5[[#This Row],[PID]],Batters[[#All],[PID]],0)),INDEX(Table3[[#All],[Age]],MATCH(Table5[[#This Row],[PID]],Table3[[#All],[PID]],0)))</f>
        <v>22</v>
      </c>
      <c r="H735" s="52" t="str">
        <f>IF($C735="B",INDEX(Batters[[#All],[B]],MATCH(Table5[[#This Row],[PID]],Batters[[#All],[PID]],0)),INDEX(Table3[[#All],[B]],MATCH(Table5[[#This Row],[PID]],Table3[[#All],[PID]],0)))</f>
        <v>S</v>
      </c>
      <c r="I735" s="52" t="str">
        <f>IF($C735="B",INDEX(Batters[[#All],[T]],MATCH(Table5[[#This Row],[PID]],Batters[[#All],[PID]],0)),INDEX(Table3[[#All],[T]],MATCH(Table5[[#This Row],[PID]],Table3[[#All],[PID]],0)))</f>
        <v>R</v>
      </c>
      <c r="J735" s="71" t="str">
        <f>IF($C735="B",INDEX(Batters[[#All],[WE]],MATCH(Table5[[#This Row],[PID]],Batters[[#All],[PID]],0)),INDEX(Table3[[#All],[WE]],MATCH(Table5[[#This Row],[PID]],Table3[[#All],[PID]],0)))</f>
        <v>Normal</v>
      </c>
      <c r="K735" s="52" t="str">
        <f>IF($C735="B",INDEX(Batters[[#All],[INT]],MATCH(Table5[[#This Row],[PID]],Batters[[#All],[PID]],0)),INDEX(Table3[[#All],[INT]],MATCH(Table5[[#This Row],[PID]],Table3[[#All],[PID]],0)))</f>
        <v>Normal</v>
      </c>
      <c r="L735" s="60">
        <f>IF($C735="B",INDEX(Batters[[#All],[CON P]],MATCH(Table5[[#This Row],[PID]],Batters[[#All],[PID]],0)),INDEX(Table3[[#All],[STU P]],MATCH(Table5[[#This Row],[PID]],Table3[[#All],[PID]],0)))</f>
        <v>5</v>
      </c>
      <c r="M735" s="72">
        <f>IF($C735="B",INDEX(Batters[[#All],[GAP P]],MATCH(Table5[[#This Row],[PID]],Batters[[#All],[PID]],0)),INDEX(Table3[[#All],[MOV P]],MATCH(Table5[[#This Row],[PID]],Table3[[#All],[PID]],0)))</f>
        <v>1</v>
      </c>
      <c r="N735" s="72">
        <f>IF($C735="B",INDEX(Batters[[#All],[POW P]],MATCH(Table5[[#This Row],[PID]],Batters[[#All],[PID]],0)),INDEX(Table3[[#All],[CON P]],MATCH(Table5[[#This Row],[PID]],Table3[[#All],[PID]],0)))</f>
        <v>4</v>
      </c>
      <c r="O735" s="72" t="str">
        <f>IF($C735="B",INDEX(Batters[[#All],[EYE P]],MATCH(Table5[[#This Row],[PID]],Batters[[#All],[PID]],0)),INDEX(Table3[[#All],[VELO]],MATCH(Table5[[#This Row],[PID]],Table3[[#All],[PID]],0)))</f>
        <v>92-94 Mph</v>
      </c>
      <c r="P735" s="56">
        <f>IF($C735="B",INDEX(Batters[[#All],[K P]],MATCH(Table5[[#This Row],[PID]],Batters[[#All],[PID]],0)),INDEX(Table3[[#All],[STM]],MATCH(Table5[[#This Row],[PID]],Table3[[#All],[PID]],0)))</f>
        <v>7</v>
      </c>
      <c r="Q735" s="61">
        <f>IF($C735="B",INDEX(Batters[[#All],[Tot]],MATCH(Table5[[#This Row],[PID]],Batters[[#All],[PID]],0)),INDEX(Table3[[#All],[Tot]],MATCH(Table5[[#This Row],[PID]],Table3[[#All],[PID]],0)))</f>
        <v>36.02772220121259</v>
      </c>
      <c r="R735" s="52">
        <f>IF($C735="B",INDEX(Batters[[#All],[zScore]],MATCH(Table5[[#This Row],[PID]],Batters[[#All],[PID]],0)),INDEX(Table3[[#All],[zScore]],MATCH(Table5[[#This Row],[PID]],Table3[[#All],[PID]],0)))</f>
        <v>-0.12165918213148956</v>
      </c>
      <c r="S735" s="78" t="str">
        <f>IF($C735="B",INDEX(Batters[[#All],[DEM]],MATCH(Table5[[#This Row],[PID]],Batters[[#All],[PID]],0)),INDEX(Table3[[#All],[DEM]],MATCH(Table5[[#This Row],[PID]],Table3[[#All],[PID]],0)))</f>
        <v>-</v>
      </c>
      <c r="T735" s="75">
        <f>IF($C735="B",INDEX(Batters[[#All],[Rnk]],MATCH(Table5[[#This Row],[PID]],Batters[[#All],[PID]],0)),INDEX(Table3[[#All],[Rnk]],MATCH(Table5[[#This Row],[PID]],Table3[[#All],[PID]],0)))</f>
        <v>349</v>
      </c>
      <c r="U735" s="68">
        <f>IF($C735="B",VLOOKUP($A735,Bat!$A$4:$BA$1621,47,FALSE),VLOOKUP($A735,Pit!$A$4:$BF$1557,56,FALSE))</f>
        <v>0</v>
      </c>
      <c r="V735" s="50">
        <f>IF($C735="B",VLOOKUP($A735,Bat!$A$4:$BA$1621,48,FALSE),VLOOKUP($A735,Pit!$A$4:$BF$1557,57,FALSE))</f>
        <v>0</v>
      </c>
      <c r="W735" s="69">
        <f>Table5[[#This Row],[posRnk]]+Table5[[#This Row],[zRnk]]+IF($W$3&lt;&gt;Table5[[#This Row],[Type]],50,0)</f>
        <v>1011</v>
      </c>
      <c r="X735" s="73">
        <f>RANK(Table5[[#This Row],[zScore]],Table5[[#All],[zScore]])</f>
        <v>612</v>
      </c>
      <c r="Y735" s="69" t="str">
        <f>IFERROR(INDEX(DraftResults[[#All],[OVR]],MATCH(Table5[[#This Row],[PID]],DraftResults[[#All],[Player ID]],0)),"")</f>
        <v/>
      </c>
      <c r="Z73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5" s="69" t="str">
        <f>IFERROR(INDEX(DraftResults[[#All],[Pick in Round]],MATCH(Table5[[#This Row],[PID]],DraftResults[[#All],[Player ID]],0)),"")</f>
        <v/>
      </c>
      <c r="AB735" s="69" t="str">
        <f>IFERROR(INDEX(DraftResults[[#All],[Team Name]],MATCH(Table5[[#This Row],[PID]],DraftResults[[#All],[Player ID]],0)),"")</f>
        <v/>
      </c>
      <c r="AC735" s="69" t="str">
        <f>IF(Table5[[#This Row],[Ovr]]="","",IF(Table5[[#This Row],[cmbList]]="","",Table5[[#This Row],[cmbList]]-Table5[[#This Row],[Ovr]]))</f>
        <v/>
      </c>
      <c r="AD735" s="77" t="str">
        <f>IF(ISERROR(VLOOKUP($AB735&amp;"-"&amp;$E735&amp;" "&amp;F735,Bonuses!$B$1:$G$1006,4,FALSE)),"",INT(VLOOKUP($AB735&amp;"-"&amp;$E735&amp;" "&amp;$F735,Bonuses!$B$1:$G$1006,4,FALSE)))</f>
        <v/>
      </c>
      <c r="AE73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6" spans="1:31" s="50" customFormat="1" x14ac:dyDescent="0.25">
      <c r="A736" s="50">
        <v>20560</v>
      </c>
      <c r="B736" s="50">
        <f>COUNTIF(Table5[PID],A736)</f>
        <v>1</v>
      </c>
      <c r="C736" s="50" t="str">
        <f>IF(COUNTIF(Table3[[#All],[PID]],A736)&gt;0,"P","B")</f>
        <v>P</v>
      </c>
      <c r="D736" s="59" t="str">
        <f>IF($C736="B",INDEX(Batters[[#All],[POS]],MATCH(Table5[[#This Row],[PID]],Batters[[#All],[PID]],0)),INDEX(Table3[[#All],[POS]],MATCH(Table5[[#This Row],[PID]],Table3[[#All],[PID]],0)))</f>
        <v>RP</v>
      </c>
      <c r="E736" s="52" t="str">
        <f>IF($C736="B",INDEX(Batters[[#All],[First]],MATCH(Table5[[#This Row],[PID]],Batters[[#All],[PID]],0)),INDEX(Table3[[#All],[First]],MATCH(Table5[[#This Row],[PID]],Table3[[#All],[PID]],0)))</f>
        <v>Kent</v>
      </c>
      <c r="F736" s="50" t="str">
        <f>IF($C736="B",INDEX(Batters[[#All],[Last]],MATCH(A736,Batters[[#All],[PID]],0)),INDEX(Table3[[#All],[Last]],MATCH(A736,Table3[[#All],[PID]],0)))</f>
        <v>Geoghegan</v>
      </c>
      <c r="G736" s="56">
        <f>IF($C736="B",INDEX(Batters[[#All],[Age]],MATCH(Table5[[#This Row],[PID]],Batters[[#All],[PID]],0)),INDEX(Table3[[#All],[Age]],MATCH(Table5[[#This Row],[PID]],Table3[[#All],[PID]],0)))</f>
        <v>18</v>
      </c>
      <c r="H736" s="52" t="str">
        <f>IF($C736="B",INDEX(Batters[[#All],[B]],MATCH(Table5[[#This Row],[PID]],Batters[[#All],[PID]],0)),INDEX(Table3[[#All],[B]],MATCH(Table5[[#This Row],[PID]],Table3[[#All],[PID]],0)))</f>
        <v>R</v>
      </c>
      <c r="I736" s="52" t="str">
        <f>IF($C736="B",INDEX(Batters[[#All],[T]],MATCH(Table5[[#This Row],[PID]],Batters[[#All],[PID]],0)),INDEX(Table3[[#All],[T]],MATCH(Table5[[#This Row],[PID]],Table3[[#All],[PID]],0)))</f>
        <v>R</v>
      </c>
      <c r="J736" s="52" t="str">
        <f>IF($C736="B",INDEX(Batters[[#All],[WE]],MATCH(Table5[[#This Row],[PID]],Batters[[#All],[PID]],0)),INDEX(Table3[[#All],[WE]],MATCH(Table5[[#This Row],[PID]],Table3[[#All],[PID]],0)))</f>
        <v>Low</v>
      </c>
      <c r="K736" s="52" t="str">
        <f>IF($C736="B",INDEX(Batters[[#All],[INT]],MATCH(Table5[[#This Row],[PID]],Batters[[#All],[PID]],0)),INDEX(Table3[[#All],[INT]],MATCH(Table5[[#This Row],[PID]],Table3[[#All],[PID]],0)))</f>
        <v>Normal</v>
      </c>
      <c r="L736" s="60">
        <f>IF($C736="B",INDEX(Batters[[#All],[CON P]],MATCH(Table5[[#This Row],[PID]],Batters[[#All],[PID]],0)),INDEX(Table3[[#All],[STU P]],MATCH(Table5[[#This Row],[PID]],Table3[[#All],[PID]],0)))</f>
        <v>4</v>
      </c>
      <c r="M736" s="56">
        <f>IF($C736="B",INDEX(Batters[[#All],[GAP P]],MATCH(Table5[[#This Row],[PID]],Batters[[#All],[PID]],0)),INDEX(Table3[[#All],[MOV P]],MATCH(Table5[[#This Row],[PID]],Table3[[#All],[PID]],0)))</f>
        <v>2</v>
      </c>
      <c r="N736" s="56">
        <f>IF($C736="B",INDEX(Batters[[#All],[POW P]],MATCH(Table5[[#This Row],[PID]],Batters[[#All],[PID]],0)),INDEX(Table3[[#All],[CON P]],MATCH(Table5[[#This Row],[PID]],Table3[[#All],[PID]],0)))</f>
        <v>3</v>
      </c>
      <c r="O736" s="56" t="str">
        <f>IF($C736="B",INDEX(Batters[[#All],[EYE P]],MATCH(Table5[[#This Row],[PID]],Batters[[#All],[PID]],0)),INDEX(Table3[[#All],[VELO]],MATCH(Table5[[#This Row],[PID]],Table3[[#All],[PID]],0)))</f>
        <v>88-90 Mph</v>
      </c>
      <c r="P736" s="56">
        <f>IF($C736="B",INDEX(Batters[[#All],[K P]],MATCH(Table5[[#This Row],[PID]],Batters[[#All],[PID]],0)),INDEX(Table3[[#All],[STM]],MATCH(Table5[[#This Row],[PID]],Table3[[#All],[PID]],0)))</f>
        <v>8</v>
      </c>
      <c r="Q736" s="61">
        <f>IF($C736="B",INDEX(Batters[[#All],[Tot]],MATCH(Table5[[#This Row],[PID]],Batters[[#All],[PID]],0)),INDEX(Table3[[#All],[Tot]],MATCH(Table5[[#This Row],[PID]],Table3[[#All],[PID]],0)))</f>
        <v>34.00087445729973</v>
      </c>
      <c r="R736" s="52">
        <f>IF($C736="B",INDEX(Batters[[#All],[zScore]],MATCH(Table5[[#This Row],[PID]],Batters[[#All],[PID]],0)),INDEX(Table3[[#All],[zScore]],MATCH(Table5[[#This Row],[PID]],Table3[[#All],[PID]],0)))</f>
        <v>-0.12438506296557858</v>
      </c>
      <c r="S736" s="58" t="str">
        <f>IF($C736="B",INDEX(Batters[[#All],[DEM]],MATCH(Table5[[#This Row],[PID]],Batters[[#All],[PID]],0)),INDEX(Table3[[#All],[DEM]],MATCH(Table5[[#This Row],[PID]],Table3[[#All],[PID]],0)))</f>
        <v>$75k</v>
      </c>
      <c r="T736" s="62">
        <f>IF($C736="B",INDEX(Batters[[#All],[Rnk]],MATCH(Table5[[#This Row],[PID]],Batters[[#All],[PID]],0)),INDEX(Table3[[#All],[Rnk]],MATCH(Table5[[#This Row],[PID]],Table3[[#All],[PID]],0)))</f>
        <v>350</v>
      </c>
      <c r="U736" s="68">
        <f>IF($C736="B",VLOOKUP($A736,Bat!$A$4:$BA$1621,47,FALSE),VLOOKUP($A736,Pit!$A$4:$BF$1557,56,FALSE))</f>
        <v>0</v>
      </c>
      <c r="V736" s="50">
        <f>IF($C736="B",VLOOKUP($A736,Bat!$A$4:$BA$1621,48,FALSE),VLOOKUP($A736,Pit!$A$4:$BF$1557,57,FALSE))</f>
        <v>0</v>
      </c>
      <c r="W736" s="50">
        <f>Table5[[#This Row],[posRnk]]+Table5[[#This Row],[zRnk]]+IF($W$3&lt;&gt;Table5[[#This Row],[Type]],50,0)</f>
        <v>1013</v>
      </c>
      <c r="X736" s="51">
        <f>RANK(Table5[[#This Row],[zScore]],Table5[[#All],[zScore]])</f>
        <v>613</v>
      </c>
      <c r="Y736" s="50" t="str">
        <f>IFERROR(INDEX(DraftResults[[#All],[OVR]],MATCH(Table5[[#This Row],[PID]],DraftResults[[#All],[Player ID]],0)),"")</f>
        <v/>
      </c>
      <c r="Z7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6" s="50" t="str">
        <f>IFERROR(INDEX(DraftResults[[#All],[Pick in Round]],MATCH(Table5[[#This Row],[PID]],DraftResults[[#All],[Player ID]],0)),"")</f>
        <v/>
      </c>
      <c r="AB736" s="50" t="str">
        <f>IFERROR(INDEX(DraftResults[[#All],[Team Name]],MATCH(Table5[[#This Row],[PID]],DraftResults[[#All],[Player ID]],0)),"")</f>
        <v/>
      </c>
      <c r="AC736" s="50" t="str">
        <f>IF(Table5[[#This Row],[Ovr]]="","",IF(Table5[[#This Row],[cmbList]]="","",Table5[[#This Row],[cmbList]]-Table5[[#This Row],[Ovr]]))</f>
        <v/>
      </c>
      <c r="AD736" s="54" t="str">
        <f>IF(ISERROR(VLOOKUP($AB736&amp;"-"&amp;$E736&amp;" "&amp;F736,Bonuses!$B$1:$G$1006,4,FALSE)),"",INT(VLOOKUP($AB736&amp;"-"&amp;$E736&amp;" "&amp;$F736,Bonuses!$B$1:$G$1006,4,FALSE)))</f>
        <v/>
      </c>
      <c r="AE7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7" spans="1:31" s="50" customFormat="1" x14ac:dyDescent="0.25">
      <c r="A737" s="50">
        <v>17896</v>
      </c>
      <c r="B737" s="50">
        <f>COUNTIF(Table5[PID],A737)</f>
        <v>1</v>
      </c>
      <c r="C737" s="50" t="str">
        <f>IF(COUNTIF(Table3[[#All],[PID]],A737)&gt;0,"P","B")</f>
        <v>P</v>
      </c>
      <c r="D737" s="59" t="str">
        <f>IF($C737="B",INDEX(Batters[[#All],[POS]],MATCH(Table5[[#This Row],[PID]],Batters[[#All],[PID]],0)),INDEX(Table3[[#All],[POS]],MATCH(Table5[[#This Row],[PID]],Table3[[#All],[PID]],0)))</f>
        <v>RP</v>
      </c>
      <c r="E737" s="52" t="str">
        <f>IF($C737="B",INDEX(Batters[[#All],[First]],MATCH(Table5[[#This Row],[PID]],Batters[[#All],[PID]],0)),INDEX(Table3[[#All],[First]],MATCH(Table5[[#This Row],[PID]],Table3[[#All],[PID]],0)))</f>
        <v>Odwin</v>
      </c>
      <c r="F737" s="50" t="str">
        <f>IF($C737="B",INDEX(Batters[[#All],[Last]],MATCH(A737,Batters[[#All],[PID]],0)),INDEX(Table3[[#All],[Last]],MATCH(A737,Table3[[#All],[PID]],0)))</f>
        <v>van de Laak</v>
      </c>
      <c r="G737" s="56">
        <f>IF($C737="B",INDEX(Batters[[#All],[Age]],MATCH(Table5[[#This Row],[PID]],Batters[[#All],[PID]],0)),INDEX(Table3[[#All],[Age]],MATCH(Table5[[#This Row],[PID]],Table3[[#All],[PID]],0)))</f>
        <v>18</v>
      </c>
      <c r="H737" s="52" t="str">
        <f>IF($C737="B",INDEX(Batters[[#All],[B]],MATCH(Table5[[#This Row],[PID]],Batters[[#All],[PID]],0)),INDEX(Table3[[#All],[B]],MATCH(Table5[[#This Row],[PID]],Table3[[#All],[PID]],0)))</f>
        <v>R</v>
      </c>
      <c r="I737" s="52" t="str">
        <f>IF($C737="B",INDEX(Batters[[#All],[T]],MATCH(Table5[[#This Row],[PID]],Batters[[#All],[PID]],0)),INDEX(Table3[[#All],[T]],MATCH(Table5[[#This Row],[PID]],Table3[[#All],[PID]],0)))</f>
        <v>R</v>
      </c>
      <c r="J737" s="52" t="str">
        <f>IF($C737="B",INDEX(Batters[[#All],[WE]],MATCH(Table5[[#This Row],[PID]],Batters[[#All],[PID]],0)),INDEX(Table3[[#All],[WE]],MATCH(Table5[[#This Row],[PID]],Table3[[#All],[PID]],0)))</f>
        <v>Low</v>
      </c>
      <c r="K737" s="52" t="str">
        <f>IF($C737="B",INDEX(Batters[[#All],[INT]],MATCH(Table5[[#This Row],[PID]],Batters[[#All],[PID]],0)),INDEX(Table3[[#All],[INT]],MATCH(Table5[[#This Row],[PID]],Table3[[#All],[PID]],0)))</f>
        <v>Low</v>
      </c>
      <c r="L737" s="60">
        <f>IF($C737="B",INDEX(Batters[[#All],[CON P]],MATCH(Table5[[#This Row],[PID]],Batters[[#All],[PID]],0)),INDEX(Table3[[#All],[STU P]],MATCH(Table5[[#This Row],[PID]],Table3[[#All],[PID]],0)))</f>
        <v>5</v>
      </c>
      <c r="M737" s="56">
        <f>IF($C737="B",INDEX(Batters[[#All],[GAP P]],MATCH(Table5[[#This Row],[PID]],Batters[[#All],[PID]],0)),INDEX(Table3[[#All],[MOV P]],MATCH(Table5[[#This Row],[PID]],Table3[[#All],[PID]],0)))</f>
        <v>1</v>
      </c>
      <c r="N737" s="56">
        <f>IF($C737="B",INDEX(Batters[[#All],[POW P]],MATCH(Table5[[#This Row],[PID]],Batters[[#All],[PID]],0)),INDEX(Table3[[#All],[CON P]],MATCH(Table5[[#This Row],[PID]],Table3[[#All],[PID]],0)))</f>
        <v>3</v>
      </c>
      <c r="O737" s="56" t="str">
        <f>IF($C737="B",INDEX(Batters[[#All],[EYE P]],MATCH(Table5[[#This Row],[PID]],Batters[[#All],[PID]],0)),INDEX(Table3[[#All],[VELO]],MATCH(Table5[[#This Row],[PID]],Table3[[#All],[PID]],0)))</f>
        <v>87-89 Mph</v>
      </c>
      <c r="P737" s="56">
        <f>IF($C737="B",INDEX(Batters[[#All],[K P]],MATCH(Table5[[#This Row],[PID]],Batters[[#All],[PID]],0)),INDEX(Table3[[#All],[STM]],MATCH(Table5[[#This Row],[PID]],Table3[[#All],[PID]],0)))</f>
        <v>7</v>
      </c>
      <c r="Q737" s="61">
        <f>IF($C737="B",INDEX(Batters[[#All],[Tot]],MATCH(Table5[[#This Row],[PID]],Batters[[#All],[PID]],0)),INDEX(Table3[[#All],[Tot]],MATCH(Table5[[#This Row],[PID]],Table3[[#All],[PID]],0)))</f>
        <v>35.046980275596077</v>
      </c>
      <c r="R737" s="52">
        <f>IF($C737="B",INDEX(Batters[[#All],[zScore]],MATCH(Table5[[#This Row],[PID]],Batters[[#All],[PID]],0)),INDEX(Table3[[#All],[zScore]],MATCH(Table5[[#This Row],[PID]],Table3[[#All],[PID]],0)))</f>
        <v>-0.12536773751073746</v>
      </c>
      <c r="S737" s="58" t="str">
        <f>IF($C737="B",INDEX(Batters[[#All],[DEM]],MATCH(Table5[[#This Row],[PID]],Batters[[#All],[PID]],0)),INDEX(Table3[[#All],[DEM]],MATCH(Table5[[#This Row],[PID]],Table3[[#All],[PID]],0)))</f>
        <v>-</v>
      </c>
      <c r="T737" s="62">
        <f>IF($C737="B",INDEX(Batters[[#All],[Rnk]],MATCH(Table5[[#This Row],[PID]],Batters[[#All],[PID]],0)),INDEX(Table3[[#All],[Rnk]],MATCH(Table5[[#This Row],[PID]],Table3[[#All],[PID]],0)))</f>
        <v>351</v>
      </c>
      <c r="U737" s="68">
        <f>IF($C737="B",VLOOKUP($A737,Bat!$A$4:$BA$1621,47,FALSE),VLOOKUP($A737,Pit!$A$4:$BF$1557,56,FALSE))</f>
        <v>0</v>
      </c>
      <c r="V737" s="50">
        <f>IF($C737="B",VLOOKUP($A737,Bat!$A$4:$BA$1621,48,FALSE),VLOOKUP($A737,Pit!$A$4:$BF$1557,57,FALSE))</f>
        <v>0</v>
      </c>
      <c r="W737" s="50">
        <f>Table5[[#This Row],[posRnk]]+Table5[[#This Row],[zRnk]]+IF($W$3&lt;&gt;Table5[[#This Row],[Type]],50,0)</f>
        <v>1015</v>
      </c>
      <c r="X737" s="51">
        <f>RANK(Table5[[#This Row],[zScore]],Table5[[#All],[zScore]])</f>
        <v>614</v>
      </c>
      <c r="Y737" s="50" t="str">
        <f>IFERROR(INDEX(DraftResults[[#All],[OVR]],MATCH(Table5[[#This Row],[PID]],DraftResults[[#All],[Player ID]],0)),"")</f>
        <v/>
      </c>
      <c r="Z7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7" s="50" t="str">
        <f>IFERROR(INDEX(DraftResults[[#All],[Pick in Round]],MATCH(Table5[[#This Row],[PID]],DraftResults[[#All],[Player ID]],0)),"")</f>
        <v/>
      </c>
      <c r="AB737" s="50" t="str">
        <f>IFERROR(INDEX(DraftResults[[#All],[Team Name]],MATCH(Table5[[#This Row],[PID]],DraftResults[[#All],[Player ID]],0)),"")</f>
        <v/>
      </c>
      <c r="AC737" s="50" t="str">
        <f>IF(Table5[[#This Row],[Ovr]]="","",IF(Table5[[#This Row],[cmbList]]="","",Table5[[#This Row],[cmbList]]-Table5[[#This Row],[Ovr]]))</f>
        <v/>
      </c>
      <c r="AD737" s="54" t="str">
        <f>IF(ISERROR(VLOOKUP($AB737&amp;"-"&amp;$E737&amp;" "&amp;F737,Bonuses!$B$1:$G$1006,4,FALSE)),"",INT(VLOOKUP($AB737&amp;"-"&amp;$E737&amp;" "&amp;$F737,Bonuses!$B$1:$G$1006,4,FALSE)))</f>
        <v/>
      </c>
      <c r="AE7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8" spans="1:31" s="50" customFormat="1" x14ac:dyDescent="0.25">
      <c r="A738" s="50">
        <v>21107</v>
      </c>
      <c r="B738" s="50">
        <f>COUNTIF(Table5[PID],A738)</f>
        <v>1</v>
      </c>
      <c r="C738" s="50" t="str">
        <f>IF(COUNTIF(Table3[[#All],[PID]],A738)&gt;0,"P","B")</f>
        <v>P</v>
      </c>
      <c r="D738" s="59" t="str">
        <f>IF($C738="B",INDEX(Batters[[#All],[POS]],MATCH(Table5[[#This Row],[PID]],Batters[[#All],[PID]],0)),INDEX(Table3[[#All],[POS]],MATCH(Table5[[#This Row],[PID]],Table3[[#All],[PID]],0)))</f>
        <v>RP</v>
      </c>
      <c r="E738" s="52" t="str">
        <f>IF($C738="B",INDEX(Batters[[#All],[First]],MATCH(Table5[[#This Row],[PID]],Batters[[#All],[PID]],0)),INDEX(Table3[[#All],[First]],MATCH(Table5[[#This Row],[PID]],Table3[[#All],[PID]],0)))</f>
        <v>Greg</v>
      </c>
      <c r="F738" s="50" t="str">
        <f>IF($C738="B",INDEX(Batters[[#All],[Last]],MATCH(A738,Batters[[#All],[PID]],0)),INDEX(Table3[[#All],[Last]],MATCH(A738,Table3[[#All],[PID]],0)))</f>
        <v>Thornton</v>
      </c>
      <c r="G738" s="56">
        <f>IF($C738="B",INDEX(Batters[[#All],[Age]],MATCH(Table5[[#This Row],[PID]],Batters[[#All],[PID]],0)),INDEX(Table3[[#All],[Age]],MATCH(Table5[[#This Row],[PID]],Table3[[#All],[PID]],0)))</f>
        <v>17</v>
      </c>
      <c r="H738" s="52" t="str">
        <f>IF($C738="B",INDEX(Batters[[#All],[B]],MATCH(Table5[[#This Row],[PID]],Batters[[#All],[PID]],0)),INDEX(Table3[[#All],[B]],MATCH(Table5[[#This Row],[PID]],Table3[[#All],[PID]],0)))</f>
        <v>R</v>
      </c>
      <c r="I738" s="52" t="str">
        <f>IF($C738="B",INDEX(Batters[[#All],[T]],MATCH(Table5[[#This Row],[PID]],Batters[[#All],[PID]],0)),INDEX(Table3[[#All],[T]],MATCH(Table5[[#This Row],[PID]],Table3[[#All],[PID]],0)))</f>
        <v>R</v>
      </c>
      <c r="J738" s="52" t="str">
        <f>IF($C738="B",INDEX(Batters[[#All],[WE]],MATCH(Table5[[#This Row],[PID]],Batters[[#All],[PID]],0)),INDEX(Table3[[#All],[WE]],MATCH(Table5[[#This Row],[PID]],Table3[[#All],[PID]],0)))</f>
        <v>Low</v>
      </c>
      <c r="K738" s="52" t="str">
        <f>IF($C738="B",INDEX(Batters[[#All],[INT]],MATCH(Table5[[#This Row],[PID]],Batters[[#All],[PID]],0)),INDEX(Table3[[#All],[INT]],MATCH(Table5[[#This Row],[PID]],Table3[[#All],[PID]],0)))</f>
        <v>Normal</v>
      </c>
      <c r="L738" s="60">
        <f>IF($C738="B",INDEX(Batters[[#All],[CON P]],MATCH(Table5[[#This Row],[PID]],Batters[[#All],[PID]],0)),INDEX(Table3[[#All],[STU P]],MATCH(Table5[[#This Row],[PID]],Table3[[#All],[PID]],0)))</f>
        <v>4</v>
      </c>
      <c r="M738" s="56">
        <f>IF($C738="B",INDEX(Batters[[#All],[GAP P]],MATCH(Table5[[#This Row],[PID]],Batters[[#All],[PID]],0)),INDEX(Table3[[#All],[MOV P]],MATCH(Table5[[#This Row],[PID]],Table3[[#All],[PID]],0)))</f>
        <v>2</v>
      </c>
      <c r="N738" s="56">
        <f>IF($C738="B",INDEX(Batters[[#All],[POW P]],MATCH(Table5[[#This Row],[PID]],Batters[[#All],[PID]],0)),INDEX(Table3[[#All],[CON P]],MATCH(Table5[[#This Row],[PID]],Table3[[#All],[PID]],0)))</f>
        <v>3</v>
      </c>
      <c r="O738" s="56" t="str">
        <f>IF($C738="B",INDEX(Batters[[#All],[EYE P]],MATCH(Table5[[#This Row],[PID]],Batters[[#All],[PID]],0)),INDEX(Table3[[#All],[VELO]],MATCH(Table5[[#This Row],[PID]],Table3[[#All],[PID]],0)))</f>
        <v>85-87 Mph</v>
      </c>
      <c r="P738" s="56">
        <f>IF($C738="B",INDEX(Batters[[#All],[K P]],MATCH(Table5[[#This Row],[PID]],Batters[[#All],[PID]],0)),INDEX(Table3[[#All],[STM]],MATCH(Table5[[#This Row],[PID]],Table3[[#All],[PID]],0)))</f>
        <v>9</v>
      </c>
      <c r="Q738" s="61">
        <f>IF($C738="B",INDEX(Batters[[#All],[Tot]],MATCH(Table5[[#This Row],[PID]],Batters[[#All],[PID]],0)),INDEX(Table3[[#All],[Tot]],MATCH(Table5[[#This Row],[PID]],Table3[[#All],[PID]],0)))</f>
        <v>35.028330734434746</v>
      </c>
      <c r="R738" s="52">
        <f>IF($C738="B",INDEX(Batters[[#All],[zScore]],MATCH(Table5[[#This Row],[PID]],Batters[[#All],[PID]],0)),INDEX(Table3[[#All],[zScore]],MATCH(Table5[[#This Row],[PID]],Table3[[#All],[PID]],0)))</f>
        <v>-0.12671726428843066</v>
      </c>
      <c r="S738" s="58" t="str">
        <f>IF($C738="B",INDEX(Batters[[#All],[DEM]],MATCH(Table5[[#This Row],[PID]],Batters[[#All],[PID]],0)),INDEX(Table3[[#All],[DEM]],MATCH(Table5[[#This Row],[PID]],Table3[[#All],[PID]],0)))</f>
        <v>$95k</v>
      </c>
      <c r="T738" s="62">
        <f>IF($C738="B",INDEX(Batters[[#All],[Rnk]],MATCH(Table5[[#This Row],[PID]],Batters[[#All],[PID]],0)),INDEX(Table3[[#All],[Rnk]],MATCH(Table5[[#This Row],[PID]],Table3[[#All],[PID]],0)))</f>
        <v>352</v>
      </c>
      <c r="U738" s="68">
        <f>IF($C738="B",VLOOKUP($A738,Bat!$A$4:$BA$1621,47,FALSE),VLOOKUP($A738,Pit!$A$4:$BF$1557,56,FALSE))</f>
        <v>0</v>
      </c>
      <c r="V738" s="50">
        <f>IF($C738="B",VLOOKUP($A738,Bat!$A$4:$BA$1621,48,FALSE),VLOOKUP($A738,Pit!$A$4:$BF$1557,57,FALSE))</f>
        <v>0</v>
      </c>
      <c r="W738" s="50">
        <f>Table5[[#This Row],[posRnk]]+Table5[[#This Row],[zRnk]]+IF($W$3&lt;&gt;Table5[[#This Row],[Type]],50,0)</f>
        <v>1017</v>
      </c>
      <c r="X738" s="51">
        <f>RANK(Table5[[#This Row],[zScore]],Table5[[#All],[zScore]])</f>
        <v>615</v>
      </c>
      <c r="Y738" s="50" t="str">
        <f>IFERROR(INDEX(DraftResults[[#All],[OVR]],MATCH(Table5[[#This Row],[PID]],DraftResults[[#All],[Player ID]],0)),"")</f>
        <v/>
      </c>
      <c r="Z7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8" s="50" t="str">
        <f>IFERROR(INDEX(DraftResults[[#All],[Pick in Round]],MATCH(Table5[[#This Row],[PID]],DraftResults[[#All],[Player ID]],0)),"")</f>
        <v/>
      </c>
      <c r="AB738" s="50" t="str">
        <f>IFERROR(INDEX(DraftResults[[#All],[Team Name]],MATCH(Table5[[#This Row],[PID]],DraftResults[[#All],[Player ID]],0)),"")</f>
        <v/>
      </c>
      <c r="AC738" s="50" t="str">
        <f>IF(Table5[[#This Row],[Ovr]]="","",IF(Table5[[#This Row],[cmbList]]="","",Table5[[#This Row],[cmbList]]-Table5[[#This Row],[Ovr]]))</f>
        <v/>
      </c>
      <c r="AD738" s="54" t="str">
        <f>IF(ISERROR(VLOOKUP($AB738&amp;"-"&amp;$E738&amp;" "&amp;F738,Bonuses!$B$1:$G$1006,4,FALSE)),"",INT(VLOOKUP($AB738&amp;"-"&amp;$E738&amp;" "&amp;$F738,Bonuses!$B$1:$G$1006,4,FALSE)))</f>
        <v/>
      </c>
      <c r="AE7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39" spans="1:31" s="50" customFormat="1" x14ac:dyDescent="0.25">
      <c r="A739" s="50">
        <v>18392</v>
      </c>
      <c r="B739" s="50">
        <f>COUNTIF(Table5[PID],A739)</f>
        <v>1</v>
      </c>
      <c r="C739" s="50" t="str">
        <f>IF(COUNTIF(Table3[[#All],[PID]],A739)&gt;0,"P","B")</f>
        <v>P</v>
      </c>
      <c r="D739" s="59" t="str">
        <f>IF($C739="B",INDEX(Batters[[#All],[POS]],MATCH(Table5[[#This Row],[PID]],Batters[[#All],[PID]],0)),INDEX(Table3[[#All],[POS]],MATCH(Table5[[#This Row],[PID]],Table3[[#All],[PID]],0)))</f>
        <v>RP</v>
      </c>
      <c r="E739" s="52" t="str">
        <f>IF($C739="B",INDEX(Batters[[#All],[First]],MATCH(Table5[[#This Row],[PID]],Batters[[#All],[PID]],0)),INDEX(Table3[[#All],[First]],MATCH(Table5[[#This Row],[PID]],Table3[[#All],[PID]],0)))</f>
        <v>José</v>
      </c>
      <c r="F739" s="50" t="str">
        <f>IF($C739="B",INDEX(Batters[[#All],[Last]],MATCH(A739,Batters[[#All],[PID]],0)),INDEX(Table3[[#All],[Last]],MATCH(A739,Table3[[#All],[PID]],0)))</f>
        <v>Feliciano</v>
      </c>
      <c r="G739" s="56">
        <f>IF($C739="B",INDEX(Batters[[#All],[Age]],MATCH(Table5[[#This Row],[PID]],Batters[[#All],[PID]],0)),INDEX(Table3[[#All],[Age]],MATCH(Table5[[#This Row],[PID]],Table3[[#All],[PID]],0)))</f>
        <v>18</v>
      </c>
      <c r="H739" s="52" t="str">
        <f>IF($C739="B",INDEX(Batters[[#All],[B]],MATCH(Table5[[#This Row],[PID]],Batters[[#All],[PID]],0)),INDEX(Table3[[#All],[B]],MATCH(Table5[[#This Row],[PID]],Table3[[#All],[PID]],0)))</f>
        <v>R</v>
      </c>
      <c r="I739" s="52" t="str">
        <f>IF($C739="B",INDEX(Batters[[#All],[T]],MATCH(Table5[[#This Row],[PID]],Batters[[#All],[PID]],0)),INDEX(Table3[[#All],[T]],MATCH(Table5[[#This Row],[PID]],Table3[[#All],[PID]],0)))</f>
        <v>R</v>
      </c>
      <c r="J739" s="52" t="str">
        <f>IF($C739="B",INDEX(Batters[[#All],[WE]],MATCH(Table5[[#This Row],[PID]],Batters[[#All],[PID]],0)),INDEX(Table3[[#All],[WE]],MATCH(Table5[[#This Row],[PID]],Table3[[#All],[PID]],0)))</f>
        <v>Normal</v>
      </c>
      <c r="K739" s="52" t="str">
        <f>IF($C739="B",INDEX(Batters[[#All],[INT]],MATCH(Table5[[#This Row],[PID]],Batters[[#All],[PID]],0)),INDEX(Table3[[#All],[INT]],MATCH(Table5[[#This Row],[PID]],Table3[[#All],[PID]],0)))</f>
        <v>Normal</v>
      </c>
      <c r="L739" s="60">
        <f>IF($C739="B",INDEX(Batters[[#All],[CON P]],MATCH(Table5[[#This Row],[PID]],Batters[[#All],[PID]],0)),INDEX(Table3[[#All],[STU P]],MATCH(Table5[[#This Row],[PID]],Table3[[#All],[PID]],0)))</f>
        <v>5</v>
      </c>
      <c r="M739" s="56">
        <f>IF($C739="B",INDEX(Batters[[#All],[GAP P]],MATCH(Table5[[#This Row],[PID]],Batters[[#All],[PID]],0)),INDEX(Table3[[#All],[MOV P]],MATCH(Table5[[#This Row],[PID]],Table3[[#All],[PID]],0)))</f>
        <v>2</v>
      </c>
      <c r="N739" s="56">
        <f>IF($C739="B",INDEX(Batters[[#All],[POW P]],MATCH(Table5[[#This Row],[PID]],Batters[[#All],[PID]],0)),INDEX(Table3[[#All],[CON P]],MATCH(Table5[[#This Row],[PID]],Table3[[#All],[PID]],0)))</f>
        <v>2</v>
      </c>
      <c r="O739" s="56" t="str">
        <f>IF($C739="B",INDEX(Batters[[#All],[EYE P]],MATCH(Table5[[#This Row],[PID]],Batters[[#All],[PID]],0)),INDEX(Table3[[#All],[VELO]],MATCH(Table5[[#This Row],[PID]],Table3[[#All],[PID]],0)))</f>
        <v>87-89 Mph</v>
      </c>
      <c r="P739" s="56">
        <f>IF($C739="B",INDEX(Batters[[#All],[K P]],MATCH(Table5[[#This Row],[PID]],Batters[[#All],[PID]],0)),INDEX(Table3[[#All],[STM]],MATCH(Table5[[#This Row],[PID]],Table3[[#All],[PID]],0)))</f>
        <v>6</v>
      </c>
      <c r="Q739" s="61">
        <f>IF($C739="B",INDEX(Batters[[#All],[Tot]],MATCH(Table5[[#This Row],[PID]],Batters[[#All],[PID]],0)),INDEX(Table3[[#All],[Tot]],MATCH(Table5[[#This Row],[PID]],Table3[[#All],[PID]],0)))</f>
        <v>33.960832385740972</v>
      </c>
      <c r="R739" s="52">
        <f>IF($C739="B",INDEX(Batters[[#All],[zScore]],MATCH(Table5[[#This Row],[PID]],Batters[[#All],[PID]],0)),INDEX(Table3[[#All],[zScore]],MATCH(Table5[[#This Row],[PID]],Table3[[#All],[PID]],0)))</f>
        <v>-0.12704900079773918</v>
      </c>
      <c r="S739" s="58" t="str">
        <f>IF($C739="B",INDEX(Batters[[#All],[DEM]],MATCH(Table5[[#This Row],[PID]],Batters[[#All],[PID]],0)),INDEX(Table3[[#All],[DEM]],MATCH(Table5[[#This Row],[PID]],Table3[[#All],[PID]],0)))</f>
        <v>$65k</v>
      </c>
      <c r="T739" s="62">
        <f>IF($C739="B",INDEX(Batters[[#All],[Rnk]],MATCH(Table5[[#This Row],[PID]],Batters[[#All],[PID]],0)),INDEX(Table3[[#All],[Rnk]],MATCH(Table5[[#This Row],[PID]],Table3[[#All],[PID]],0)))</f>
        <v>353</v>
      </c>
      <c r="U739" s="68">
        <f>IF($C739="B",VLOOKUP($A739,Bat!$A$4:$BA$1621,47,FALSE),VLOOKUP($A739,Pit!$A$4:$BF$1557,56,FALSE))</f>
        <v>0</v>
      </c>
      <c r="V739" s="50">
        <f>IF($C739="B",VLOOKUP($A739,Bat!$A$4:$BA$1621,48,FALSE),VLOOKUP($A739,Pit!$A$4:$BF$1557,57,FALSE))</f>
        <v>0</v>
      </c>
      <c r="W739" s="50">
        <f>Table5[[#This Row],[posRnk]]+Table5[[#This Row],[zRnk]]+IF($W$3&lt;&gt;Table5[[#This Row],[Type]],50,0)</f>
        <v>1019</v>
      </c>
      <c r="X739" s="51">
        <f>RANK(Table5[[#This Row],[zScore]],Table5[[#All],[zScore]])</f>
        <v>616</v>
      </c>
      <c r="Y739" s="50" t="str">
        <f>IFERROR(INDEX(DraftResults[[#All],[OVR]],MATCH(Table5[[#This Row],[PID]],DraftResults[[#All],[Player ID]],0)),"")</f>
        <v/>
      </c>
      <c r="Z7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39" s="50" t="str">
        <f>IFERROR(INDEX(DraftResults[[#All],[Pick in Round]],MATCH(Table5[[#This Row],[PID]],DraftResults[[#All],[Player ID]],0)),"")</f>
        <v/>
      </c>
      <c r="AB739" s="50" t="str">
        <f>IFERROR(INDEX(DraftResults[[#All],[Team Name]],MATCH(Table5[[#This Row],[PID]],DraftResults[[#All],[Player ID]],0)),"")</f>
        <v/>
      </c>
      <c r="AC739" s="50" t="str">
        <f>IF(Table5[[#This Row],[Ovr]]="","",IF(Table5[[#This Row],[cmbList]]="","",Table5[[#This Row],[cmbList]]-Table5[[#This Row],[Ovr]]))</f>
        <v/>
      </c>
      <c r="AD739" s="54" t="str">
        <f>IF(ISERROR(VLOOKUP($AB739&amp;"-"&amp;$E739&amp;" "&amp;F739,Bonuses!$B$1:$G$1006,4,FALSE)),"",INT(VLOOKUP($AB739&amp;"-"&amp;$E739&amp;" "&amp;$F739,Bonuses!$B$1:$G$1006,4,FALSE)))</f>
        <v/>
      </c>
      <c r="AE7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0" spans="1:31" s="50" customFormat="1" x14ac:dyDescent="0.25">
      <c r="A740" s="50">
        <v>21085</v>
      </c>
      <c r="B740" s="55">
        <f>COUNTIF(Table5[PID],A740)</f>
        <v>1</v>
      </c>
      <c r="C740" s="55" t="str">
        <f>IF(COUNTIF(Table3[[#All],[PID]],A740)&gt;0,"P","B")</f>
        <v>P</v>
      </c>
      <c r="D740" s="59" t="str">
        <f>IF($C740="B",INDEX(Batters[[#All],[POS]],MATCH(Table5[[#This Row],[PID]],Batters[[#All],[PID]],0)),INDEX(Table3[[#All],[POS]],MATCH(Table5[[#This Row],[PID]],Table3[[#All],[PID]],0)))</f>
        <v>RP</v>
      </c>
      <c r="E740" s="52" t="str">
        <f>IF($C740="B",INDEX(Batters[[#All],[First]],MATCH(Table5[[#This Row],[PID]],Batters[[#All],[PID]],0)),INDEX(Table3[[#All],[First]],MATCH(Table5[[#This Row],[PID]],Table3[[#All],[PID]],0)))</f>
        <v>Juan</v>
      </c>
      <c r="F740" s="50" t="str">
        <f>IF($C740="B",INDEX(Batters[[#All],[Last]],MATCH(A740,Batters[[#All],[PID]],0)),INDEX(Table3[[#All],[Last]],MATCH(A740,Table3[[#All],[PID]],0)))</f>
        <v>Martínez</v>
      </c>
      <c r="G740" s="56">
        <f>IF($C740="B",INDEX(Batters[[#All],[Age]],MATCH(Table5[[#This Row],[PID]],Batters[[#All],[PID]],0)),INDEX(Table3[[#All],[Age]],MATCH(Table5[[#This Row],[PID]],Table3[[#All],[PID]],0)))</f>
        <v>17</v>
      </c>
      <c r="H740" s="52" t="str">
        <f>IF($C740="B",INDEX(Batters[[#All],[B]],MATCH(Table5[[#This Row],[PID]],Batters[[#All],[PID]],0)),INDEX(Table3[[#All],[B]],MATCH(Table5[[#This Row],[PID]],Table3[[#All],[PID]],0)))</f>
        <v>R</v>
      </c>
      <c r="I740" s="52" t="str">
        <f>IF($C740="B",INDEX(Batters[[#All],[T]],MATCH(Table5[[#This Row],[PID]],Batters[[#All],[PID]],0)),INDEX(Table3[[#All],[T]],MATCH(Table5[[#This Row],[PID]],Table3[[#All],[PID]],0)))</f>
        <v>R</v>
      </c>
      <c r="J740" s="52" t="str">
        <f>IF($C740="B",INDEX(Batters[[#All],[WE]],MATCH(Table5[[#This Row],[PID]],Batters[[#All],[PID]],0)),INDEX(Table3[[#All],[WE]],MATCH(Table5[[#This Row],[PID]],Table3[[#All],[PID]],0)))</f>
        <v>Normal</v>
      </c>
      <c r="K740" s="52" t="str">
        <f>IF($C740="B",INDEX(Batters[[#All],[INT]],MATCH(Table5[[#This Row],[PID]],Batters[[#All],[PID]],0)),INDEX(Table3[[#All],[INT]],MATCH(Table5[[#This Row],[PID]],Table3[[#All],[PID]],0)))</f>
        <v>Normal</v>
      </c>
      <c r="L740" s="60">
        <f>IF($C740="B",INDEX(Batters[[#All],[CON P]],MATCH(Table5[[#This Row],[PID]],Batters[[#All],[PID]],0)),INDEX(Table3[[#All],[STU P]],MATCH(Table5[[#This Row],[PID]],Table3[[#All],[PID]],0)))</f>
        <v>5</v>
      </c>
      <c r="M740" s="56">
        <f>IF($C740="B",INDEX(Batters[[#All],[GAP P]],MATCH(Table5[[#This Row],[PID]],Batters[[#All],[PID]],0)),INDEX(Table3[[#All],[MOV P]],MATCH(Table5[[#This Row],[PID]],Table3[[#All],[PID]],0)))</f>
        <v>2</v>
      </c>
      <c r="N740" s="56">
        <f>IF($C740="B",INDEX(Batters[[#All],[POW P]],MATCH(Table5[[#This Row],[PID]],Batters[[#All],[PID]],0)),INDEX(Table3[[#All],[CON P]],MATCH(Table5[[#This Row],[PID]],Table3[[#All],[PID]],0)))</f>
        <v>2</v>
      </c>
      <c r="O740" s="56" t="str">
        <f>IF($C740="B",INDEX(Batters[[#All],[EYE P]],MATCH(Table5[[#This Row],[PID]],Batters[[#All],[PID]],0)),INDEX(Table3[[#All],[VELO]],MATCH(Table5[[#This Row],[PID]],Table3[[#All],[PID]],0)))</f>
        <v>90-92 Mph</v>
      </c>
      <c r="P740" s="56">
        <f>IF($C740="B",INDEX(Batters[[#All],[K P]],MATCH(Table5[[#This Row],[PID]],Batters[[#All],[PID]],0)),INDEX(Table3[[#All],[STM]],MATCH(Table5[[#This Row],[PID]],Table3[[#All],[PID]],0)))</f>
        <v>5</v>
      </c>
      <c r="Q740" s="61">
        <f>IF($C740="B",INDEX(Batters[[#All],[Tot]],MATCH(Table5[[#This Row],[PID]],Batters[[#All],[PID]],0)),INDEX(Table3[[#All],[Tot]],MATCH(Table5[[#This Row],[PID]],Table3[[#All],[PID]],0)))</f>
        <v>33.960832385740972</v>
      </c>
      <c r="R740" s="52">
        <f>IF($C740="B",INDEX(Batters[[#All],[zScore]],MATCH(Table5[[#This Row],[PID]],Batters[[#All],[PID]],0)),INDEX(Table3[[#All],[zScore]],MATCH(Table5[[#This Row],[PID]],Table3[[#All],[PID]],0)))</f>
        <v>-0.12704900079773918</v>
      </c>
      <c r="S740" s="58" t="str">
        <f>IF($C740="B",INDEX(Batters[[#All],[DEM]],MATCH(Table5[[#This Row],[PID]],Batters[[#All],[PID]],0)),INDEX(Table3[[#All],[DEM]],MATCH(Table5[[#This Row],[PID]],Table3[[#All],[PID]],0)))</f>
        <v>$65k</v>
      </c>
      <c r="T740" s="62">
        <f>IF($C740="B",INDEX(Batters[[#All],[Rnk]],MATCH(Table5[[#This Row],[PID]],Batters[[#All],[PID]],0)),INDEX(Table3[[#All],[Rnk]],MATCH(Table5[[#This Row],[PID]],Table3[[#All],[PID]],0)))</f>
        <v>353</v>
      </c>
      <c r="U740" s="68">
        <f>IF($C740="B",VLOOKUP($A740,Bat!$A$4:$BA$1621,47,FALSE),VLOOKUP($A740,Pit!$A$4:$BF$1557,56,FALSE))</f>
        <v>0</v>
      </c>
      <c r="V740" s="50">
        <f>IF($C740="B",VLOOKUP($A740,Bat!$A$4:$BA$1621,48,FALSE),VLOOKUP($A740,Pit!$A$4:$BF$1557,57,FALSE))</f>
        <v>0</v>
      </c>
      <c r="W740" s="50">
        <f>Table5[[#This Row],[posRnk]]+Table5[[#This Row],[zRnk]]+IF($W$3&lt;&gt;Table5[[#This Row],[Type]],50,0)</f>
        <v>1019</v>
      </c>
      <c r="X740" s="51">
        <f>RANK(Table5[[#This Row],[zScore]],Table5[[#All],[zScore]])</f>
        <v>616</v>
      </c>
      <c r="Y740" s="50" t="str">
        <f>IFERROR(INDEX(DraftResults[[#All],[OVR]],MATCH(Table5[[#This Row],[PID]],DraftResults[[#All],[Player ID]],0)),"")</f>
        <v/>
      </c>
      <c r="Z7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0" s="50" t="str">
        <f>IFERROR(INDEX(DraftResults[[#All],[Pick in Round]],MATCH(Table5[[#This Row],[PID]],DraftResults[[#All],[Player ID]],0)),"")</f>
        <v/>
      </c>
      <c r="AB740" s="50" t="str">
        <f>IFERROR(INDEX(DraftResults[[#All],[Team Name]],MATCH(Table5[[#This Row],[PID]],DraftResults[[#All],[Player ID]],0)),"")</f>
        <v/>
      </c>
      <c r="AC740" s="50" t="str">
        <f>IF(Table5[[#This Row],[Ovr]]="","",IF(Table5[[#This Row],[cmbList]]="","",Table5[[#This Row],[cmbList]]-Table5[[#This Row],[Ovr]]))</f>
        <v/>
      </c>
      <c r="AD740" s="54" t="str">
        <f>IF(ISERROR(VLOOKUP($AB740&amp;"-"&amp;$E740&amp;" "&amp;F740,Bonuses!$B$1:$G$1006,4,FALSE)),"",INT(VLOOKUP($AB740&amp;"-"&amp;$E740&amp;" "&amp;$F740,Bonuses!$B$1:$G$1006,4,FALSE)))</f>
        <v/>
      </c>
      <c r="AE7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1" spans="1:31" s="50" customFormat="1" x14ac:dyDescent="0.25">
      <c r="A741" s="50">
        <v>21065</v>
      </c>
      <c r="B741" s="50">
        <f>COUNTIF(Table5[PID],A741)</f>
        <v>1</v>
      </c>
      <c r="C741" s="50" t="str">
        <f>IF(COUNTIF(Table3[[#All],[PID]],A741)&gt;0,"P","B")</f>
        <v>B</v>
      </c>
      <c r="D741" s="59" t="str">
        <f>IF($C741="B",INDEX(Batters[[#All],[POS]],MATCH(Table5[[#This Row],[PID]],Batters[[#All],[PID]],0)),INDEX(Table3[[#All],[POS]],MATCH(Table5[[#This Row],[PID]],Table3[[#All],[PID]],0)))</f>
        <v>1B</v>
      </c>
      <c r="E741" s="52" t="str">
        <f>IF($C741="B",INDEX(Batters[[#All],[First]],MATCH(Table5[[#This Row],[PID]],Batters[[#All],[PID]],0)),INDEX(Table3[[#All],[First]],MATCH(Table5[[#This Row],[PID]],Table3[[#All],[PID]],0)))</f>
        <v>Ricardo</v>
      </c>
      <c r="F741" s="50" t="str">
        <f>IF($C741="B",INDEX(Batters[[#All],[Last]],MATCH(A741,Batters[[#All],[PID]],0)),INDEX(Table3[[#All],[Last]],MATCH(A741,Table3[[#All],[PID]],0)))</f>
        <v>Padilla</v>
      </c>
      <c r="G741" s="56">
        <f>IF($C741="B",INDEX(Batters[[#All],[Age]],MATCH(Table5[[#This Row],[PID]],Batters[[#All],[PID]],0)),INDEX(Table3[[#All],[Age]],MATCH(Table5[[#This Row],[PID]],Table3[[#All],[PID]],0)))</f>
        <v>17</v>
      </c>
      <c r="H741" s="52" t="str">
        <f>IF($C741="B",INDEX(Batters[[#All],[B]],MATCH(Table5[[#This Row],[PID]],Batters[[#All],[PID]],0)),INDEX(Table3[[#All],[B]],MATCH(Table5[[#This Row],[PID]],Table3[[#All],[PID]],0)))</f>
        <v>R</v>
      </c>
      <c r="I741" s="52" t="str">
        <f>IF($C741="B",INDEX(Batters[[#All],[T]],MATCH(Table5[[#This Row],[PID]],Batters[[#All],[PID]],0)),INDEX(Table3[[#All],[T]],MATCH(Table5[[#This Row],[PID]],Table3[[#All],[PID]],0)))</f>
        <v>R</v>
      </c>
      <c r="J741" s="52" t="str">
        <f>IF($C741="B",INDEX(Batters[[#All],[WE]],MATCH(Table5[[#This Row],[PID]],Batters[[#All],[PID]],0)),INDEX(Table3[[#All],[WE]],MATCH(Table5[[#This Row],[PID]],Table3[[#All],[PID]],0)))</f>
        <v>High</v>
      </c>
      <c r="K741" s="52" t="str">
        <f>IF($C741="B",INDEX(Batters[[#All],[INT]],MATCH(Table5[[#This Row],[PID]],Batters[[#All],[PID]],0)),INDEX(Table3[[#All],[INT]],MATCH(Table5[[#This Row],[PID]],Table3[[#All],[PID]],0)))</f>
        <v>Normal</v>
      </c>
      <c r="L741" s="60">
        <f>IF($C741="B",INDEX(Batters[[#All],[CON P]],MATCH(Table5[[#This Row],[PID]],Batters[[#All],[PID]],0)),INDEX(Table3[[#All],[STU P]],MATCH(Table5[[#This Row],[PID]],Table3[[#All],[PID]],0)))</f>
        <v>3</v>
      </c>
      <c r="M741" s="56">
        <f>IF($C741="B",INDEX(Batters[[#All],[GAP P]],MATCH(Table5[[#This Row],[PID]],Batters[[#All],[PID]],0)),INDEX(Table3[[#All],[MOV P]],MATCH(Table5[[#This Row],[PID]],Table3[[#All],[PID]],0)))</f>
        <v>6</v>
      </c>
      <c r="N741" s="56">
        <f>IF($C741="B",INDEX(Batters[[#All],[POW P]],MATCH(Table5[[#This Row],[PID]],Batters[[#All],[PID]],0)),INDEX(Table3[[#All],[CON P]],MATCH(Table5[[#This Row],[PID]],Table3[[#All],[PID]],0)))</f>
        <v>4</v>
      </c>
      <c r="O741" s="56">
        <f>IF($C741="B",INDEX(Batters[[#All],[EYE P]],MATCH(Table5[[#This Row],[PID]],Batters[[#All],[PID]],0)),INDEX(Table3[[#All],[VELO]],MATCH(Table5[[#This Row],[PID]],Table3[[#All],[PID]],0)))</f>
        <v>4</v>
      </c>
      <c r="P741" s="56">
        <f>IF($C741="B",INDEX(Batters[[#All],[K P]],MATCH(Table5[[#This Row],[PID]],Batters[[#All],[PID]],0)),INDEX(Table3[[#All],[STM]],MATCH(Table5[[#This Row],[PID]],Table3[[#All],[PID]],0)))</f>
        <v>4</v>
      </c>
      <c r="Q741" s="61">
        <f>IF($C741="B",INDEX(Batters[[#All],[Tot]],MATCH(Table5[[#This Row],[PID]],Batters[[#All],[PID]],0)),INDEX(Table3[[#All],[Tot]],MATCH(Table5[[#This Row],[PID]],Table3[[#All],[PID]],0)))</f>
        <v>43.558136269057421</v>
      </c>
      <c r="R741" s="52">
        <f>IF($C741="B",INDEX(Batters[[#All],[zScore]],MATCH(Table5[[#This Row],[PID]],Batters[[#All],[PID]],0)),INDEX(Table3[[#All],[zScore]],MATCH(Table5[[#This Row],[PID]],Table3[[#All],[PID]],0)))</f>
        <v>-0.12721610398758976</v>
      </c>
      <c r="S741" s="58" t="str">
        <f>IF($C741="B",INDEX(Batters[[#All],[DEM]],MATCH(Table5[[#This Row],[PID]],Batters[[#All],[PID]],0)),INDEX(Table3[[#All],[DEM]],MATCH(Table5[[#This Row],[PID]],Table3[[#All],[PID]],0)))</f>
        <v>$65k</v>
      </c>
      <c r="T741" s="62">
        <f>IF($C741="B",INDEX(Batters[[#All],[Rnk]],MATCH(Table5[[#This Row],[PID]],Batters[[#All],[PID]],0)),INDEX(Table3[[#All],[Rnk]],MATCH(Table5[[#This Row],[PID]],Table3[[#All],[PID]],0)))</f>
        <v>264</v>
      </c>
      <c r="U741" s="68">
        <f>IF($C741="B",VLOOKUP($A741,Bat!$A$4:$BA$1621,47,FALSE),VLOOKUP($A741,Pit!$A$4:$BF$1557,56,FALSE))</f>
        <v>0</v>
      </c>
      <c r="V741" s="50">
        <f>IF($C741="B",VLOOKUP($A741,Bat!$A$4:$BA$1621,48,FALSE),VLOOKUP($A741,Pit!$A$4:$BF$1557,57,FALSE))</f>
        <v>0</v>
      </c>
      <c r="W741" s="50">
        <f>Table5[[#This Row],[posRnk]]+Table5[[#This Row],[zRnk]]+IF($W$3&lt;&gt;Table5[[#This Row],[Type]],50,0)</f>
        <v>932</v>
      </c>
      <c r="X741" s="51">
        <f>RANK(Table5[[#This Row],[zScore]],Table5[[#All],[zScore]])</f>
        <v>618</v>
      </c>
      <c r="Y741" s="50" t="str">
        <f>IFERROR(INDEX(DraftResults[[#All],[OVR]],MATCH(Table5[[#This Row],[PID]],DraftResults[[#All],[Player ID]],0)),"")</f>
        <v/>
      </c>
      <c r="Z7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1" s="50" t="str">
        <f>IFERROR(INDEX(DraftResults[[#All],[Pick in Round]],MATCH(Table5[[#This Row],[PID]],DraftResults[[#All],[Player ID]],0)),"")</f>
        <v/>
      </c>
      <c r="AB741" s="50" t="str">
        <f>IFERROR(INDEX(DraftResults[[#All],[Team Name]],MATCH(Table5[[#This Row],[PID]],DraftResults[[#All],[Player ID]],0)),"")</f>
        <v/>
      </c>
      <c r="AC741" s="50" t="str">
        <f>IF(Table5[[#This Row],[Ovr]]="","",IF(Table5[[#This Row],[cmbList]]="","",Table5[[#This Row],[cmbList]]-Table5[[#This Row],[Ovr]]))</f>
        <v/>
      </c>
      <c r="AD741" s="54" t="str">
        <f>IF(ISERROR(VLOOKUP($AB741&amp;"-"&amp;$E741&amp;" "&amp;F741,Bonuses!$B$1:$G$1006,4,FALSE)),"",INT(VLOOKUP($AB741&amp;"-"&amp;$E741&amp;" "&amp;$F741,Bonuses!$B$1:$G$1006,4,FALSE)))</f>
        <v/>
      </c>
      <c r="AE7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2" spans="1:31" s="50" customFormat="1" x14ac:dyDescent="0.25">
      <c r="A742" s="50">
        <v>17589</v>
      </c>
      <c r="B742" s="50">
        <f>COUNTIF(Table5[PID],A742)</f>
        <v>1</v>
      </c>
      <c r="C742" s="50" t="str">
        <f>IF(COUNTIF(Table3[[#All],[PID]],A742)&gt;0,"P","B")</f>
        <v>P</v>
      </c>
      <c r="D742" s="59" t="str">
        <f>IF($C742="B",INDEX(Batters[[#All],[POS]],MATCH(Table5[[#This Row],[PID]],Batters[[#All],[PID]],0)),INDEX(Table3[[#All],[POS]],MATCH(Table5[[#This Row],[PID]],Table3[[#All],[PID]],0)))</f>
        <v>RP</v>
      </c>
      <c r="E742" s="52" t="str">
        <f>IF($C742="B",INDEX(Batters[[#All],[First]],MATCH(Table5[[#This Row],[PID]],Batters[[#All],[PID]],0)),INDEX(Table3[[#All],[First]],MATCH(Table5[[#This Row],[PID]],Table3[[#All],[PID]],0)))</f>
        <v>Todd</v>
      </c>
      <c r="F742" s="50" t="str">
        <f>IF($C742="B",INDEX(Batters[[#All],[Last]],MATCH(A742,Batters[[#All],[PID]],0)),INDEX(Table3[[#All],[Last]],MATCH(A742,Table3[[#All],[PID]],0)))</f>
        <v>MacElfrish</v>
      </c>
      <c r="G742" s="56">
        <f>IF($C742="B",INDEX(Batters[[#All],[Age]],MATCH(Table5[[#This Row],[PID]],Batters[[#All],[PID]],0)),INDEX(Table3[[#All],[Age]],MATCH(Table5[[#This Row],[PID]],Table3[[#All],[PID]],0)))</f>
        <v>18</v>
      </c>
      <c r="H742" s="52" t="str">
        <f>IF($C742="B",INDEX(Batters[[#All],[B]],MATCH(Table5[[#This Row],[PID]],Batters[[#All],[PID]],0)),INDEX(Table3[[#All],[B]],MATCH(Table5[[#This Row],[PID]],Table3[[#All],[PID]],0)))</f>
        <v>L</v>
      </c>
      <c r="I742" s="52" t="str">
        <f>IF($C742="B",INDEX(Batters[[#All],[T]],MATCH(Table5[[#This Row],[PID]],Batters[[#All],[PID]],0)),INDEX(Table3[[#All],[T]],MATCH(Table5[[#This Row],[PID]],Table3[[#All],[PID]],0)))</f>
        <v>R</v>
      </c>
      <c r="J742" s="52" t="str">
        <f>IF($C742="B",INDEX(Batters[[#All],[WE]],MATCH(Table5[[#This Row],[PID]],Batters[[#All],[PID]],0)),INDEX(Table3[[#All],[WE]],MATCH(Table5[[#This Row],[PID]],Table3[[#All],[PID]],0)))</f>
        <v>Normal</v>
      </c>
      <c r="K742" s="52" t="str">
        <f>IF($C742="B",INDEX(Batters[[#All],[INT]],MATCH(Table5[[#This Row],[PID]],Batters[[#All],[PID]],0)),INDEX(Table3[[#All],[INT]],MATCH(Table5[[#This Row],[PID]],Table3[[#All],[PID]],0)))</f>
        <v>Normal</v>
      </c>
      <c r="L742" s="60">
        <f>IF($C742="B",INDEX(Batters[[#All],[CON P]],MATCH(Table5[[#This Row],[PID]],Batters[[#All],[PID]],0)),INDEX(Table3[[#All],[STU P]],MATCH(Table5[[#This Row],[PID]],Table3[[#All],[PID]],0)))</f>
        <v>4</v>
      </c>
      <c r="M742" s="56">
        <f>IF($C742="B",INDEX(Batters[[#All],[GAP P]],MATCH(Table5[[#This Row],[PID]],Batters[[#All],[PID]],0)),INDEX(Table3[[#All],[MOV P]],MATCH(Table5[[#This Row],[PID]],Table3[[#All],[PID]],0)))</f>
        <v>2</v>
      </c>
      <c r="N742" s="56">
        <f>IF($C742="B",INDEX(Batters[[#All],[POW P]],MATCH(Table5[[#This Row],[PID]],Batters[[#All],[PID]],0)),INDEX(Table3[[#All],[CON P]],MATCH(Table5[[#This Row],[PID]],Table3[[#All],[PID]],0)))</f>
        <v>3</v>
      </c>
      <c r="O742" s="56" t="str">
        <f>IF($C742="B",INDEX(Batters[[#All],[EYE P]],MATCH(Table5[[#This Row],[PID]],Batters[[#All],[PID]],0)),INDEX(Table3[[#All],[VELO]],MATCH(Table5[[#This Row],[PID]],Table3[[#All],[PID]],0)))</f>
        <v>85-87 Mph</v>
      </c>
      <c r="P742" s="56">
        <f>IF($C742="B",INDEX(Batters[[#All],[K P]],MATCH(Table5[[#This Row],[PID]],Batters[[#All],[PID]],0)),INDEX(Table3[[#All],[STM]],MATCH(Table5[[#This Row],[PID]],Table3[[#All],[PID]],0)))</f>
        <v>3</v>
      </c>
      <c r="Q742" s="61">
        <f>IF($C742="B",INDEX(Batters[[#All],[Tot]],MATCH(Table5[[#This Row],[PID]],Batters[[#All],[PID]],0)),INDEX(Table3[[#All],[Tot]],MATCH(Table5[[#This Row],[PID]],Table3[[#All],[PID]],0)))</f>
        <v>33.901147413639102</v>
      </c>
      <c r="R742" s="52">
        <f>IF($C742="B",INDEX(Batters[[#All],[zScore]],MATCH(Table5[[#This Row],[PID]],Batters[[#All],[PID]],0)),INDEX(Table3[[#All],[zScore]],MATCH(Table5[[#This Row],[PID]],Table3[[#All],[PID]],0)))</f>
        <v>-0.13101975078654299</v>
      </c>
      <c r="S742" s="58" t="str">
        <f>IF($C742="B",INDEX(Batters[[#All],[DEM]],MATCH(Table5[[#This Row],[PID]],Batters[[#All],[PID]],0)),INDEX(Table3[[#All],[DEM]],MATCH(Table5[[#This Row],[PID]],Table3[[#All],[PID]],0)))</f>
        <v>$95k</v>
      </c>
      <c r="T742" s="62">
        <f>IF($C742="B",INDEX(Batters[[#All],[Rnk]],MATCH(Table5[[#This Row],[PID]],Batters[[#All],[PID]],0)),INDEX(Table3[[#All],[Rnk]],MATCH(Table5[[#This Row],[PID]],Table3[[#All],[PID]],0)))</f>
        <v>355</v>
      </c>
      <c r="U742" s="68">
        <f>IF($C742="B",VLOOKUP($A742,Bat!$A$4:$BA$1621,47,FALSE),VLOOKUP($A742,Pit!$A$4:$BF$1557,56,FALSE))</f>
        <v>0</v>
      </c>
      <c r="V742" s="50">
        <f>IF($C742="B",VLOOKUP($A742,Bat!$A$4:$BA$1621,48,FALSE),VLOOKUP($A742,Pit!$A$4:$BF$1557,57,FALSE))</f>
        <v>0</v>
      </c>
      <c r="W742" s="50">
        <f>Table5[[#This Row],[posRnk]]+Table5[[#This Row],[zRnk]]+IF($W$3&lt;&gt;Table5[[#This Row],[Type]],50,0)</f>
        <v>1026</v>
      </c>
      <c r="X742" s="51">
        <f>RANK(Table5[[#This Row],[zScore]],Table5[[#All],[zScore]])</f>
        <v>621</v>
      </c>
      <c r="Y742" s="50" t="str">
        <f>IFERROR(INDEX(DraftResults[[#All],[OVR]],MATCH(Table5[[#This Row],[PID]],DraftResults[[#All],[Player ID]],0)),"")</f>
        <v/>
      </c>
      <c r="Z7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2" s="50" t="str">
        <f>IFERROR(INDEX(DraftResults[[#All],[Pick in Round]],MATCH(Table5[[#This Row],[PID]],DraftResults[[#All],[Player ID]],0)),"")</f>
        <v/>
      </c>
      <c r="AB742" s="50" t="str">
        <f>IFERROR(INDEX(DraftResults[[#All],[Team Name]],MATCH(Table5[[#This Row],[PID]],DraftResults[[#All],[Player ID]],0)),"")</f>
        <v/>
      </c>
      <c r="AC742" s="50" t="str">
        <f>IF(Table5[[#This Row],[Ovr]]="","",IF(Table5[[#This Row],[cmbList]]="","",Table5[[#This Row],[cmbList]]-Table5[[#This Row],[Ovr]]))</f>
        <v/>
      </c>
      <c r="AD742" s="54" t="str">
        <f>IF(ISERROR(VLOOKUP($AB742&amp;"-"&amp;$E742&amp;" "&amp;F742,Bonuses!$B$1:$G$1006,4,FALSE)),"",INT(VLOOKUP($AB742&amp;"-"&amp;$E742&amp;" "&amp;$F742,Bonuses!$B$1:$G$1006,4,FALSE)))</f>
        <v/>
      </c>
      <c r="AE7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3" spans="1:31" s="50" customFormat="1" x14ac:dyDescent="0.25">
      <c r="A743" s="50">
        <v>581</v>
      </c>
      <c r="B743" s="50">
        <f>COUNTIF(Table5[PID],A743)</f>
        <v>1</v>
      </c>
      <c r="C743" s="50" t="str">
        <f>IF(COUNTIF(Table3[[#All],[PID]],A743)&gt;0,"P","B")</f>
        <v>P</v>
      </c>
      <c r="D743" s="59" t="str">
        <f>IF($C743="B",INDEX(Batters[[#All],[POS]],MATCH(Table5[[#This Row],[PID]],Batters[[#All],[PID]],0)),INDEX(Table3[[#All],[POS]],MATCH(Table5[[#This Row],[PID]],Table3[[#All],[PID]],0)))</f>
        <v>RP</v>
      </c>
      <c r="E743" s="52" t="str">
        <f>IF($C743="B",INDEX(Batters[[#All],[First]],MATCH(Table5[[#This Row],[PID]],Batters[[#All],[PID]],0)),INDEX(Table3[[#All],[First]],MATCH(Table5[[#This Row],[PID]],Table3[[#All],[PID]],0)))</f>
        <v>Tim</v>
      </c>
      <c r="F743" s="50" t="str">
        <f>IF($C743="B",INDEX(Batters[[#All],[Last]],MATCH(A743,Batters[[#All],[PID]],0)),INDEX(Table3[[#All],[Last]],MATCH(A743,Table3[[#All],[PID]],0)))</f>
        <v>Davis</v>
      </c>
      <c r="G743" s="56">
        <f>IF($C743="B",INDEX(Batters[[#All],[Age]],MATCH(Table5[[#This Row],[PID]],Batters[[#All],[PID]],0)),INDEX(Table3[[#All],[Age]],MATCH(Table5[[#This Row],[PID]],Table3[[#All],[PID]],0)))</f>
        <v>18</v>
      </c>
      <c r="H743" s="52" t="str">
        <f>IF($C743="B",INDEX(Batters[[#All],[B]],MATCH(Table5[[#This Row],[PID]],Batters[[#All],[PID]],0)),INDEX(Table3[[#All],[B]],MATCH(Table5[[#This Row],[PID]],Table3[[#All],[PID]],0)))</f>
        <v>R</v>
      </c>
      <c r="I743" s="52" t="str">
        <f>IF($C743="B",INDEX(Batters[[#All],[T]],MATCH(Table5[[#This Row],[PID]],Batters[[#All],[PID]],0)),INDEX(Table3[[#All],[T]],MATCH(Table5[[#This Row],[PID]],Table3[[#All],[PID]],0)))</f>
        <v>R</v>
      </c>
      <c r="J743" s="52" t="str">
        <f>IF($C743="B",INDEX(Batters[[#All],[WE]],MATCH(Table5[[#This Row],[PID]],Batters[[#All],[PID]],0)),INDEX(Table3[[#All],[WE]],MATCH(Table5[[#This Row],[PID]],Table3[[#All],[PID]],0)))</f>
        <v>High</v>
      </c>
      <c r="K743" s="52" t="str">
        <f>IF($C743="B",INDEX(Batters[[#All],[INT]],MATCH(Table5[[#This Row],[PID]],Batters[[#All],[PID]],0)),INDEX(Table3[[#All],[INT]],MATCH(Table5[[#This Row],[PID]],Table3[[#All],[PID]],0)))</f>
        <v>High</v>
      </c>
      <c r="L743" s="60">
        <f>IF($C743="B",INDEX(Batters[[#All],[CON P]],MATCH(Table5[[#This Row],[PID]],Batters[[#All],[PID]],0)),INDEX(Table3[[#All],[STU P]],MATCH(Table5[[#This Row],[PID]],Table3[[#All],[PID]],0)))</f>
        <v>4</v>
      </c>
      <c r="M743" s="56">
        <f>IF($C743="B",INDEX(Batters[[#All],[GAP P]],MATCH(Table5[[#This Row],[PID]],Batters[[#All],[PID]],0)),INDEX(Table3[[#All],[MOV P]],MATCH(Table5[[#This Row],[PID]],Table3[[#All],[PID]],0)))</f>
        <v>2</v>
      </c>
      <c r="N743" s="56">
        <f>IF($C743="B",INDEX(Batters[[#All],[POW P]],MATCH(Table5[[#This Row],[PID]],Batters[[#All],[PID]],0)),INDEX(Table3[[#All],[CON P]],MATCH(Table5[[#This Row],[PID]],Table3[[#All],[PID]],0)))</f>
        <v>3</v>
      </c>
      <c r="O743" s="56" t="str">
        <f>IF($C743="B",INDEX(Batters[[#All],[EYE P]],MATCH(Table5[[#This Row],[PID]],Batters[[#All],[PID]],0)),INDEX(Table3[[#All],[VELO]],MATCH(Table5[[#This Row],[PID]],Table3[[#All],[PID]],0)))</f>
        <v>89-91 Mph</v>
      </c>
      <c r="P743" s="56">
        <f>IF($C743="B",INDEX(Batters[[#All],[K P]],MATCH(Table5[[#This Row],[PID]],Batters[[#All],[PID]],0)),INDEX(Table3[[#All],[STM]],MATCH(Table5[[#This Row],[PID]],Table3[[#All],[PID]],0)))</f>
        <v>8</v>
      </c>
      <c r="Q743" s="61">
        <f>IF($C743="B",INDEX(Batters[[#All],[Tot]],MATCH(Table5[[#This Row],[PID]],Batters[[#All],[PID]],0)),INDEX(Table3[[#All],[Tot]],MATCH(Table5[[#This Row],[PID]],Table3[[#All],[PID]],0)))</f>
        <v>33.800874457299727</v>
      </c>
      <c r="R743" s="52">
        <f>IF($C743="B",INDEX(Batters[[#All],[zScore]],MATCH(Table5[[#This Row],[PID]],Batters[[#All],[PID]],0)),INDEX(Table3[[#All],[zScore]],MATCH(Table5[[#This Row],[PID]],Table3[[#All],[PID]],0)))</f>
        <v>-0.13769075734381034</v>
      </c>
      <c r="S743" s="58" t="str">
        <f>IF($C743="B",INDEX(Batters[[#All],[DEM]],MATCH(Table5[[#This Row],[PID]],Batters[[#All],[PID]],0)),INDEX(Table3[[#All],[DEM]],MATCH(Table5[[#This Row],[PID]],Table3[[#All],[PID]],0)))</f>
        <v>$65k</v>
      </c>
      <c r="T743" s="62">
        <f>IF($C743="B",INDEX(Batters[[#All],[Rnk]],MATCH(Table5[[#This Row],[PID]],Batters[[#All],[PID]],0)),INDEX(Table3[[#All],[Rnk]],MATCH(Table5[[#This Row],[PID]],Table3[[#All],[PID]],0)))</f>
        <v>356</v>
      </c>
      <c r="U743" s="68">
        <f>IF($C743="B",VLOOKUP($A743,Bat!$A$4:$BA$1621,47,FALSE),VLOOKUP($A743,Pit!$A$4:$BF$1557,56,FALSE))</f>
        <v>0</v>
      </c>
      <c r="V743" s="50">
        <f>IF($C743="B",VLOOKUP($A743,Bat!$A$4:$BA$1621,48,FALSE),VLOOKUP($A743,Pit!$A$4:$BF$1557,57,FALSE))</f>
        <v>0</v>
      </c>
      <c r="W743" s="50">
        <f>Table5[[#This Row],[posRnk]]+Table5[[#This Row],[zRnk]]+IF($W$3&lt;&gt;Table5[[#This Row],[Type]],50,0)</f>
        <v>1028</v>
      </c>
      <c r="X743" s="51">
        <f>RANK(Table5[[#This Row],[zScore]],Table5[[#All],[zScore]])</f>
        <v>622</v>
      </c>
      <c r="Y743" s="50" t="str">
        <f>IFERROR(INDEX(DraftResults[[#All],[OVR]],MATCH(Table5[[#This Row],[PID]],DraftResults[[#All],[Player ID]],0)),"")</f>
        <v/>
      </c>
      <c r="Z7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3" s="50" t="str">
        <f>IFERROR(INDEX(DraftResults[[#All],[Pick in Round]],MATCH(Table5[[#This Row],[PID]],DraftResults[[#All],[Player ID]],0)),"")</f>
        <v/>
      </c>
      <c r="AB743" s="50" t="str">
        <f>IFERROR(INDEX(DraftResults[[#All],[Team Name]],MATCH(Table5[[#This Row],[PID]],DraftResults[[#All],[Player ID]],0)),"")</f>
        <v/>
      </c>
      <c r="AC743" s="50" t="str">
        <f>IF(Table5[[#This Row],[Ovr]]="","",IF(Table5[[#This Row],[cmbList]]="","",Table5[[#This Row],[cmbList]]-Table5[[#This Row],[Ovr]]))</f>
        <v/>
      </c>
      <c r="AD743" s="54" t="str">
        <f>IF(ISERROR(VLOOKUP($AB743&amp;"-"&amp;$E743&amp;" "&amp;F743,Bonuses!$B$1:$G$1006,4,FALSE)),"",INT(VLOOKUP($AB743&amp;"-"&amp;$E743&amp;" "&amp;$F743,Bonuses!$B$1:$G$1006,4,FALSE)))</f>
        <v/>
      </c>
      <c r="AE7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4" spans="1:31" s="50" customFormat="1" x14ac:dyDescent="0.25">
      <c r="A744" s="50">
        <v>18268</v>
      </c>
      <c r="B744" s="50">
        <f>COUNTIF(Table5[PID],A744)</f>
        <v>1</v>
      </c>
      <c r="C744" s="50" t="str">
        <f>IF(COUNTIF(Table3[[#All],[PID]],A744)&gt;0,"P","B")</f>
        <v>P</v>
      </c>
      <c r="D744" s="59" t="str">
        <f>IF($C744="B",INDEX(Batters[[#All],[POS]],MATCH(Table5[[#This Row],[PID]],Batters[[#All],[PID]],0)),INDEX(Table3[[#All],[POS]],MATCH(Table5[[#This Row],[PID]],Table3[[#All],[PID]],0)))</f>
        <v>RP</v>
      </c>
      <c r="E744" s="52" t="str">
        <f>IF($C744="B",INDEX(Batters[[#All],[First]],MATCH(Table5[[#This Row],[PID]],Batters[[#All],[PID]],0)),INDEX(Table3[[#All],[First]],MATCH(Table5[[#This Row],[PID]],Table3[[#All],[PID]],0)))</f>
        <v>Tom</v>
      </c>
      <c r="F744" s="50" t="str">
        <f>IF($C744="B",INDEX(Batters[[#All],[Last]],MATCH(A744,Batters[[#All],[PID]],0)),INDEX(Table3[[#All],[Last]],MATCH(A744,Table3[[#All],[PID]],0)))</f>
        <v>Drake</v>
      </c>
      <c r="G744" s="56">
        <f>IF($C744="B",INDEX(Batters[[#All],[Age]],MATCH(Table5[[#This Row],[PID]],Batters[[#All],[PID]],0)),INDEX(Table3[[#All],[Age]],MATCH(Table5[[#This Row],[PID]],Table3[[#All],[PID]],0)))</f>
        <v>18</v>
      </c>
      <c r="H744" s="52" t="str">
        <f>IF($C744="B",INDEX(Batters[[#All],[B]],MATCH(Table5[[#This Row],[PID]],Batters[[#All],[PID]],0)),INDEX(Table3[[#All],[B]],MATCH(Table5[[#This Row],[PID]],Table3[[#All],[PID]],0)))</f>
        <v>R</v>
      </c>
      <c r="I744" s="52" t="str">
        <f>IF($C744="B",INDEX(Batters[[#All],[T]],MATCH(Table5[[#This Row],[PID]],Batters[[#All],[PID]],0)),INDEX(Table3[[#All],[T]],MATCH(Table5[[#This Row],[PID]],Table3[[#All],[PID]],0)))</f>
        <v>R</v>
      </c>
      <c r="J744" s="52" t="str">
        <f>IF($C744="B",INDEX(Batters[[#All],[WE]],MATCH(Table5[[#This Row],[PID]],Batters[[#All],[PID]],0)),INDEX(Table3[[#All],[WE]],MATCH(Table5[[#This Row],[PID]],Table3[[#All],[PID]],0)))</f>
        <v>Low</v>
      </c>
      <c r="K744" s="52" t="str">
        <f>IF($C744="B",INDEX(Batters[[#All],[INT]],MATCH(Table5[[#This Row],[PID]],Batters[[#All],[PID]],0)),INDEX(Table3[[#All],[INT]],MATCH(Table5[[#This Row],[PID]],Table3[[#All],[PID]],0)))</f>
        <v>Low</v>
      </c>
      <c r="L744" s="60">
        <f>IF($C744="B",INDEX(Batters[[#All],[CON P]],MATCH(Table5[[#This Row],[PID]],Batters[[#All],[PID]],0)),INDEX(Table3[[#All],[STU P]],MATCH(Table5[[#This Row],[PID]],Table3[[#All],[PID]],0)))</f>
        <v>5</v>
      </c>
      <c r="M744" s="56">
        <f>IF($C744="B",INDEX(Batters[[#All],[GAP P]],MATCH(Table5[[#This Row],[PID]],Batters[[#All],[PID]],0)),INDEX(Table3[[#All],[MOV P]],MATCH(Table5[[#This Row],[PID]],Table3[[#All],[PID]],0)))</f>
        <v>1</v>
      </c>
      <c r="N744" s="56">
        <f>IF($C744="B",INDEX(Batters[[#All],[POW P]],MATCH(Table5[[#This Row],[PID]],Batters[[#All],[PID]],0)),INDEX(Table3[[#All],[CON P]],MATCH(Table5[[#This Row],[PID]],Table3[[#All],[PID]],0)))</f>
        <v>3</v>
      </c>
      <c r="O744" s="56" t="str">
        <f>IF($C744="B",INDEX(Batters[[#All],[EYE P]],MATCH(Table5[[#This Row],[PID]],Batters[[#All],[PID]],0)),INDEX(Table3[[#All],[VELO]],MATCH(Table5[[#This Row],[PID]],Table3[[#All],[PID]],0)))</f>
        <v>90-92 Mph</v>
      </c>
      <c r="P744" s="56">
        <f>IF($C744="B",INDEX(Batters[[#All],[K P]],MATCH(Table5[[#This Row],[PID]],Batters[[#All],[PID]],0)),INDEX(Table3[[#All],[STM]],MATCH(Table5[[#This Row],[PID]],Table3[[#All],[PID]],0)))</f>
        <v>7</v>
      </c>
      <c r="Q744" s="61">
        <f>IF($C744="B",INDEX(Batters[[#All],[Tot]],MATCH(Table5[[#This Row],[PID]],Batters[[#All],[PID]],0)),INDEX(Table3[[#All],[Tot]],MATCH(Table5[[#This Row],[PID]],Table3[[#All],[PID]],0)))</f>
        <v>33.796980275596077</v>
      </c>
      <c r="R744" s="52">
        <f>IF($C744="B",INDEX(Batters[[#All],[zScore]],MATCH(Table5[[#This Row],[PID]],Batters[[#All],[PID]],0)),INDEX(Table3[[#All],[zScore]],MATCH(Table5[[#This Row],[PID]],Table3[[#All],[PID]],0)))</f>
        <v>-0.1379498313018207</v>
      </c>
      <c r="S744" s="58" t="str">
        <f>IF($C744="B",INDEX(Batters[[#All],[DEM]],MATCH(Table5[[#This Row],[PID]],Batters[[#All],[PID]],0)),INDEX(Table3[[#All],[DEM]],MATCH(Table5[[#This Row],[PID]],Table3[[#All],[PID]],0)))</f>
        <v>$65k</v>
      </c>
      <c r="T744" s="62">
        <f>IF($C744="B",INDEX(Batters[[#All],[Rnk]],MATCH(Table5[[#This Row],[PID]],Batters[[#All],[PID]],0)),INDEX(Table3[[#All],[Rnk]],MATCH(Table5[[#This Row],[PID]],Table3[[#All],[PID]],0)))</f>
        <v>357</v>
      </c>
      <c r="U744" s="68">
        <f>IF($C744="B",VLOOKUP($A744,Bat!$A$4:$BA$1621,47,FALSE),VLOOKUP($A744,Pit!$A$4:$BF$1557,56,FALSE))</f>
        <v>0</v>
      </c>
      <c r="V744" s="50">
        <f>IF($C744="B",VLOOKUP($A744,Bat!$A$4:$BA$1621,48,FALSE),VLOOKUP($A744,Pit!$A$4:$BF$1557,57,FALSE))</f>
        <v>0</v>
      </c>
      <c r="W744" s="50">
        <f>Table5[[#This Row],[posRnk]]+Table5[[#This Row],[zRnk]]+IF($W$3&lt;&gt;Table5[[#This Row],[Type]],50,0)</f>
        <v>1030</v>
      </c>
      <c r="X744" s="51">
        <f>RANK(Table5[[#This Row],[zScore]],Table5[[#All],[zScore]])</f>
        <v>623</v>
      </c>
      <c r="Y744" s="50" t="str">
        <f>IFERROR(INDEX(DraftResults[[#All],[OVR]],MATCH(Table5[[#This Row],[PID]],DraftResults[[#All],[Player ID]],0)),"")</f>
        <v/>
      </c>
      <c r="Z7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4" s="50" t="str">
        <f>IFERROR(INDEX(DraftResults[[#All],[Pick in Round]],MATCH(Table5[[#This Row],[PID]],DraftResults[[#All],[Player ID]],0)),"")</f>
        <v/>
      </c>
      <c r="AB744" s="50" t="str">
        <f>IFERROR(INDEX(DraftResults[[#All],[Team Name]],MATCH(Table5[[#This Row],[PID]],DraftResults[[#All],[Player ID]],0)),"")</f>
        <v/>
      </c>
      <c r="AC744" s="50" t="str">
        <f>IF(Table5[[#This Row],[Ovr]]="","",IF(Table5[[#This Row],[cmbList]]="","",Table5[[#This Row],[cmbList]]-Table5[[#This Row],[Ovr]]))</f>
        <v/>
      </c>
      <c r="AD744" s="54" t="str">
        <f>IF(ISERROR(VLOOKUP($AB744&amp;"-"&amp;$E744&amp;" "&amp;F744,Bonuses!$B$1:$G$1006,4,FALSE)),"",INT(VLOOKUP($AB744&amp;"-"&amp;$E744&amp;" "&amp;$F744,Bonuses!$B$1:$G$1006,4,FALSE)))</f>
        <v/>
      </c>
      <c r="AE7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5" spans="1:31" s="50" customFormat="1" x14ac:dyDescent="0.25">
      <c r="A745" s="50">
        <v>17870</v>
      </c>
      <c r="B745" s="50">
        <f>COUNTIF(Table5[PID],A745)</f>
        <v>1</v>
      </c>
      <c r="C745" s="50" t="str">
        <f>IF(COUNTIF(Table3[[#All],[PID]],A745)&gt;0,"P","B")</f>
        <v>P</v>
      </c>
      <c r="D745" s="59" t="str">
        <f>IF($C745="B",INDEX(Batters[[#All],[POS]],MATCH(Table5[[#This Row],[PID]],Batters[[#All],[PID]],0)),INDEX(Table3[[#All],[POS]],MATCH(Table5[[#This Row],[PID]],Table3[[#All],[PID]],0)))</f>
        <v>RP</v>
      </c>
      <c r="E745" s="52" t="str">
        <f>IF($C745="B",INDEX(Batters[[#All],[First]],MATCH(Table5[[#This Row],[PID]],Batters[[#All],[PID]],0)),INDEX(Table3[[#All],[First]],MATCH(Table5[[#This Row],[PID]],Table3[[#All],[PID]],0)))</f>
        <v>Doug</v>
      </c>
      <c r="F745" s="50" t="str">
        <f>IF($C745="B",INDEX(Batters[[#All],[Last]],MATCH(A745,Batters[[#All],[PID]],0)),INDEX(Table3[[#All],[Last]],MATCH(A745,Table3[[#All],[PID]],0)))</f>
        <v>Copeland</v>
      </c>
      <c r="G745" s="56">
        <f>IF($C745="B",INDEX(Batters[[#All],[Age]],MATCH(Table5[[#This Row],[PID]],Batters[[#All],[PID]],0)),INDEX(Table3[[#All],[Age]],MATCH(Table5[[#This Row],[PID]],Table3[[#All],[PID]],0)))</f>
        <v>18</v>
      </c>
      <c r="H745" s="52" t="str">
        <f>IF($C745="B",INDEX(Batters[[#All],[B]],MATCH(Table5[[#This Row],[PID]],Batters[[#All],[PID]],0)),INDEX(Table3[[#All],[B]],MATCH(Table5[[#This Row],[PID]],Table3[[#All],[PID]],0)))</f>
        <v>R</v>
      </c>
      <c r="I745" s="52" t="str">
        <f>IF($C745="B",INDEX(Batters[[#All],[T]],MATCH(Table5[[#This Row],[PID]],Batters[[#All],[PID]],0)),INDEX(Table3[[#All],[T]],MATCH(Table5[[#This Row],[PID]],Table3[[#All],[PID]],0)))</f>
        <v>R</v>
      </c>
      <c r="J745" s="52" t="str">
        <f>IF($C745="B",INDEX(Batters[[#All],[WE]],MATCH(Table5[[#This Row],[PID]],Batters[[#All],[PID]],0)),INDEX(Table3[[#All],[WE]],MATCH(Table5[[#This Row],[PID]],Table3[[#All],[PID]],0)))</f>
        <v>Normal</v>
      </c>
      <c r="K745" s="52" t="str">
        <f>IF($C745="B",INDEX(Batters[[#All],[INT]],MATCH(Table5[[#This Row],[PID]],Batters[[#All],[PID]],0)),INDEX(Table3[[#All],[INT]],MATCH(Table5[[#This Row],[PID]],Table3[[#All],[PID]],0)))</f>
        <v>Normal</v>
      </c>
      <c r="L745" s="60">
        <f>IF($C745="B",INDEX(Batters[[#All],[CON P]],MATCH(Table5[[#This Row],[PID]],Batters[[#All],[PID]],0)),INDEX(Table3[[#All],[STU P]],MATCH(Table5[[#This Row],[PID]],Table3[[#All],[PID]],0)))</f>
        <v>4</v>
      </c>
      <c r="M745" s="56">
        <f>IF($C745="B",INDEX(Batters[[#All],[GAP P]],MATCH(Table5[[#This Row],[PID]],Batters[[#All],[PID]],0)),INDEX(Table3[[#All],[MOV P]],MATCH(Table5[[#This Row],[PID]],Table3[[#All],[PID]],0)))</f>
        <v>2</v>
      </c>
      <c r="N745" s="56">
        <f>IF($C745="B",INDEX(Batters[[#All],[POW P]],MATCH(Table5[[#This Row],[PID]],Batters[[#All],[PID]],0)),INDEX(Table3[[#All],[CON P]],MATCH(Table5[[#This Row],[PID]],Table3[[#All],[PID]],0)))</f>
        <v>3</v>
      </c>
      <c r="O745" s="56" t="str">
        <f>IF($C745="B",INDEX(Batters[[#All],[EYE P]],MATCH(Table5[[#This Row],[PID]],Batters[[#All],[PID]],0)),INDEX(Table3[[#All],[VELO]],MATCH(Table5[[#This Row],[PID]],Table3[[#All],[PID]],0)))</f>
        <v>87-89 Mph</v>
      </c>
      <c r="P745" s="56">
        <f>IF($C745="B",INDEX(Batters[[#All],[K P]],MATCH(Table5[[#This Row],[PID]],Batters[[#All],[PID]],0)),INDEX(Table3[[#All],[STM]],MATCH(Table5[[#This Row],[PID]],Table3[[#All],[PID]],0)))</f>
        <v>8</v>
      </c>
      <c r="Q745" s="61">
        <f>IF($C745="B",INDEX(Batters[[#All],[Tot]],MATCH(Table5[[#This Row],[PID]],Batters[[#All],[PID]],0)),INDEX(Table3[[#All],[Tot]],MATCH(Table5[[#This Row],[PID]],Table3[[#All],[PID]],0)))</f>
        <v>33.700874457299733</v>
      </c>
      <c r="R745" s="52">
        <f>IF($C745="B",INDEX(Batters[[#All],[zScore]],MATCH(Table5[[#This Row],[PID]],Batters[[#All],[PID]],0)),INDEX(Table3[[#All],[zScore]],MATCH(Table5[[#This Row],[PID]],Table3[[#All],[PID]],0)))</f>
        <v>-0.14434360453292575</v>
      </c>
      <c r="S745" s="58" t="str">
        <f>IF($C745="B",INDEX(Batters[[#All],[DEM]],MATCH(Table5[[#This Row],[PID]],Batters[[#All],[PID]],0)),INDEX(Table3[[#All],[DEM]],MATCH(Table5[[#This Row],[PID]],Table3[[#All],[PID]],0)))</f>
        <v>$65k</v>
      </c>
      <c r="T745" s="62">
        <f>IF($C745="B",INDEX(Batters[[#All],[Rnk]],MATCH(Table5[[#This Row],[PID]],Batters[[#All],[PID]],0)),INDEX(Table3[[#All],[Rnk]],MATCH(Table5[[#This Row],[PID]],Table3[[#All],[PID]],0)))</f>
        <v>358</v>
      </c>
      <c r="U745" s="68">
        <f>IF($C745="B",VLOOKUP($A745,Bat!$A$4:$BA$1621,47,FALSE),VLOOKUP($A745,Pit!$A$4:$BF$1557,56,FALSE))</f>
        <v>0</v>
      </c>
      <c r="V745" s="50">
        <f>IF($C745="B",VLOOKUP($A745,Bat!$A$4:$BA$1621,48,FALSE),VLOOKUP($A745,Pit!$A$4:$BF$1557,57,FALSE))</f>
        <v>0</v>
      </c>
      <c r="W745" s="50">
        <f>Table5[[#This Row],[posRnk]]+Table5[[#This Row],[zRnk]]+IF($W$3&lt;&gt;Table5[[#This Row],[Type]],50,0)</f>
        <v>1033</v>
      </c>
      <c r="X745" s="51">
        <f>RANK(Table5[[#This Row],[zScore]],Table5[[#All],[zScore]])</f>
        <v>625</v>
      </c>
      <c r="Y745" s="50" t="str">
        <f>IFERROR(INDEX(DraftResults[[#All],[OVR]],MATCH(Table5[[#This Row],[PID]],DraftResults[[#All],[Player ID]],0)),"")</f>
        <v/>
      </c>
      <c r="Z7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5" s="50" t="str">
        <f>IFERROR(INDEX(DraftResults[[#All],[Pick in Round]],MATCH(Table5[[#This Row],[PID]],DraftResults[[#All],[Player ID]],0)),"")</f>
        <v/>
      </c>
      <c r="AB745" s="50" t="str">
        <f>IFERROR(INDEX(DraftResults[[#All],[Team Name]],MATCH(Table5[[#This Row],[PID]],DraftResults[[#All],[Player ID]],0)),"")</f>
        <v/>
      </c>
      <c r="AC745" s="50" t="str">
        <f>IF(Table5[[#This Row],[Ovr]]="","",IF(Table5[[#This Row],[cmbList]]="","",Table5[[#This Row],[cmbList]]-Table5[[#This Row],[Ovr]]))</f>
        <v/>
      </c>
      <c r="AD745" s="54" t="str">
        <f>IF(ISERROR(VLOOKUP($AB745&amp;"-"&amp;$E745&amp;" "&amp;F745,Bonuses!$B$1:$G$1006,4,FALSE)),"",INT(VLOOKUP($AB745&amp;"-"&amp;$E745&amp;" "&amp;$F745,Bonuses!$B$1:$G$1006,4,FALSE)))</f>
        <v/>
      </c>
      <c r="AE7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6" spans="1:31" s="50" customFormat="1" x14ac:dyDescent="0.25">
      <c r="A746" s="68">
        <v>20552</v>
      </c>
      <c r="B746" s="69">
        <f>COUNTIF(Table5[PID],A746)</f>
        <v>1</v>
      </c>
      <c r="C746" s="69" t="str">
        <f>IF(COUNTIF(Table3[[#All],[PID]],A746)&gt;0,"P","B")</f>
        <v>P</v>
      </c>
      <c r="D746" s="59" t="str">
        <f>IF($C746="B",INDEX(Batters[[#All],[POS]],MATCH(Table5[[#This Row],[PID]],Batters[[#All],[PID]],0)),INDEX(Table3[[#All],[POS]],MATCH(Table5[[#This Row],[PID]],Table3[[#All],[PID]],0)))</f>
        <v>SP</v>
      </c>
      <c r="E746" s="52" t="str">
        <f>IF($C746="B",INDEX(Batters[[#All],[First]],MATCH(Table5[[#This Row],[PID]],Batters[[#All],[PID]],0)),INDEX(Table3[[#All],[First]],MATCH(Table5[[#This Row],[PID]],Table3[[#All],[PID]],0)))</f>
        <v>Owen</v>
      </c>
      <c r="F746" s="55" t="str">
        <f>IF($C746="B",INDEX(Batters[[#All],[Last]],MATCH(A746,Batters[[#All],[PID]],0)),INDEX(Table3[[#All],[Last]],MATCH(A746,Table3[[#All],[PID]],0)))</f>
        <v>Rackham</v>
      </c>
      <c r="G746" s="56">
        <f>IF($C746="B",INDEX(Batters[[#All],[Age]],MATCH(Table5[[#This Row],[PID]],Batters[[#All],[PID]],0)),INDEX(Table3[[#All],[Age]],MATCH(Table5[[#This Row],[PID]],Table3[[#All],[PID]],0)))</f>
        <v>17</v>
      </c>
      <c r="H746" s="52" t="str">
        <f>IF($C746="B",INDEX(Batters[[#All],[B]],MATCH(Table5[[#This Row],[PID]],Batters[[#All],[PID]],0)),INDEX(Table3[[#All],[B]],MATCH(Table5[[#This Row],[PID]],Table3[[#All],[PID]],0)))</f>
        <v>R</v>
      </c>
      <c r="I746" s="52" t="str">
        <f>IF($C746="B",INDEX(Batters[[#All],[T]],MATCH(Table5[[#This Row],[PID]],Batters[[#All],[PID]],0)),INDEX(Table3[[#All],[T]],MATCH(Table5[[#This Row],[PID]],Table3[[#All],[PID]],0)))</f>
        <v>R</v>
      </c>
      <c r="J746" s="71" t="str">
        <f>IF($C746="B",INDEX(Batters[[#All],[WE]],MATCH(Table5[[#This Row],[PID]],Batters[[#All],[PID]],0)),INDEX(Table3[[#All],[WE]],MATCH(Table5[[#This Row],[PID]],Table3[[#All],[PID]],0)))</f>
        <v>Normal</v>
      </c>
      <c r="K746" s="52" t="str">
        <f>IF($C746="B",INDEX(Batters[[#All],[INT]],MATCH(Table5[[#This Row],[PID]],Batters[[#All],[PID]],0)),INDEX(Table3[[#All],[INT]],MATCH(Table5[[#This Row],[PID]],Table3[[#All],[PID]],0)))</f>
        <v>Normal</v>
      </c>
      <c r="L746" s="60">
        <f>IF($C746="B",INDEX(Batters[[#All],[CON P]],MATCH(Table5[[#This Row],[PID]],Batters[[#All],[PID]],0)),INDEX(Table3[[#All],[STU P]],MATCH(Table5[[#This Row],[PID]],Table3[[#All],[PID]],0)))</f>
        <v>5</v>
      </c>
      <c r="M746" s="72">
        <f>IF($C746="B",INDEX(Batters[[#All],[GAP P]],MATCH(Table5[[#This Row],[PID]],Batters[[#All],[PID]],0)),INDEX(Table3[[#All],[MOV P]],MATCH(Table5[[#This Row],[PID]],Table3[[#All],[PID]],0)))</f>
        <v>1</v>
      </c>
      <c r="N746" s="72">
        <f>IF($C746="B",INDEX(Batters[[#All],[POW P]],MATCH(Table5[[#This Row],[PID]],Batters[[#All],[PID]],0)),INDEX(Table3[[#All],[CON P]],MATCH(Table5[[#This Row],[PID]],Table3[[#All],[PID]],0)))</f>
        <v>3</v>
      </c>
      <c r="O746" s="72" t="str">
        <f>IF($C746="B",INDEX(Batters[[#All],[EYE P]],MATCH(Table5[[#This Row],[PID]],Batters[[#All],[PID]],0)),INDEX(Table3[[#All],[VELO]],MATCH(Table5[[#This Row],[PID]],Table3[[#All],[PID]],0)))</f>
        <v>91-93 Mph</v>
      </c>
      <c r="P746" s="56">
        <f>IF($C746="B",INDEX(Batters[[#All],[K P]],MATCH(Table5[[#This Row],[PID]],Batters[[#All],[PID]],0)),INDEX(Table3[[#All],[STM]],MATCH(Table5[[#This Row],[PID]],Table3[[#All],[PID]],0)))</f>
        <v>8</v>
      </c>
      <c r="Q746" s="61">
        <f>IF($C746="B",INDEX(Batters[[#All],[Tot]],MATCH(Table5[[#This Row],[PID]],Batters[[#All],[PID]],0)),INDEX(Table3[[#All],[Tot]],MATCH(Table5[[#This Row],[PID]],Table3[[#All],[PID]],0)))</f>
        <v>35.646980275596079</v>
      </c>
      <c r="R746" s="52">
        <f>IF($C746="B",INDEX(Batters[[#All],[zScore]],MATCH(Table5[[#This Row],[PID]],Batters[[#All],[PID]],0)),INDEX(Table3[[#All],[zScore]],MATCH(Table5[[#This Row],[PID]],Table3[[#All],[PID]],0)))</f>
        <v>-0.14773989201108029</v>
      </c>
      <c r="S746" s="78" t="str">
        <f>IF($C746="B",INDEX(Batters[[#All],[DEM]],MATCH(Table5[[#This Row],[PID]],Batters[[#All],[PID]],0)),INDEX(Table3[[#All],[DEM]],MATCH(Table5[[#This Row],[PID]],Table3[[#All],[PID]],0)))</f>
        <v>-</v>
      </c>
      <c r="T746" s="75">
        <f>IF($C746="B",INDEX(Batters[[#All],[Rnk]],MATCH(Table5[[#This Row],[PID]],Batters[[#All],[PID]],0)),INDEX(Table3[[#All],[Rnk]],MATCH(Table5[[#This Row],[PID]],Table3[[#All],[PID]],0)))</f>
        <v>359</v>
      </c>
      <c r="U746" s="68">
        <f>IF($C746="B",VLOOKUP($A746,Bat!$A$4:$BA$1621,47,FALSE),VLOOKUP($A746,Pit!$A$4:$BF$1557,56,FALSE))</f>
        <v>0</v>
      </c>
      <c r="V746" s="50">
        <f>IF($C746="B",VLOOKUP($A746,Bat!$A$4:$BA$1621,48,FALSE),VLOOKUP($A746,Pit!$A$4:$BF$1557,57,FALSE))</f>
        <v>0</v>
      </c>
      <c r="W746" s="69">
        <f>Table5[[#This Row],[posRnk]]+Table5[[#This Row],[zRnk]]+IF($W$3&lt;&gt;Table5[[#This Row],[Type]],50,0)</f>
        <v>1036</v>
      </c>
      <c r="X746" s="73">
        <f>RANK(Table5[[#This Row],[zScore]],Table5[[#All],[zScore]])</f>
        <v>627</v>
      </c>
      <c r="Y746" s="69" t="str">
        <f>IFERROR(INDEX(DraftResults[[#All],[OVR]],MATCH(Table5[[#This Row],[PID]],DraftResults[[#All],[Player ID]],0)),"")</f>
        <v/>
      </c>
      <c r="Z74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6" s="69" t="str">
        <f>IFERROR(INDEX(DraftResults[[#All],[Pick in Round]],MATCH(Table5[[#This Row],[PID]],DraftResults[[#All],[Player ID]],0)),"")</f>
        <v/>
      </c>
      <c r="AB746" s="69" t="str">
        <f>IFERROR(INDEX(DraftResults[[#All],[Team Name]],MATCH(Table5[[#This Row],[PID]],DraftResults[[#All],[Player ID]],0)),"")</f>
        <v/>
      </c>
      <c r="AC746" s="69" t="str">
        <f>IF(Table5[[#This Row],[Ovr]]="","",IF(Table5[[#This Row],[cmbList]]="","",Table5[[#This Row],[cmbList]]-Table5[[#This Row],[Ovr]]))</f>
        <v/>
      </c>
      <c r="AD746" s="77" t="str">
        <f>IF(ISERROR(VLOOKUP($AB746&amp;"-"&amp;$E746&amp;" "&amp;F746,Bonuses!$B$1:$G$1006,4,FALSE)),"",INT(VLOOKUP($AB746&amp;"-"&amp;$E746&amp;" "&amp;$F746,Bonuses!$B$1:$G$1006,4,FALSE)))</f>
        <v/>
      </c>
      <c r="AE74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7" spans="1:31" s="50" customFormat="1" x14ac:dyDescent="0.25">
      <c r="A747" s="50">
        <v>5404</v>
      </c>
      <c r="B747" s="50">
        <f>COUNTIF(Table5[PID],A747)</f>
        <v>1</v>
      </c>
      <c r="C747" s="50" t="str">
        <f>IF(COUNTIF(Table3[[#All],[PID]],A747)&gt;0,"P","B")</f>
        <v>P</v>
      </c>
      <c r="D747" s="59" t="str">
        <f>IF($C747="B",INDEX(Batters[[#All],[POS]],MATCH(Table5[[#This Row],[PID]],Batters[[#All],[PID]],0)),INDEX(Table3[[#All],[POS]],MATCH(Table5[[#This Row],[PID]],Table3[[#All],[PID]],0)))</f>
        <v>RP</v>
      </c>
      <c r="E747" s="52" t="str">
        <f>IF($C747="B",INDEX(Batters[[#All],[First]],MATCH(Table5[[#This Row],[PID]],Batters[[#All],[PID]],0)),INDEX(Table3[[#All],[First]],MATCH(Table5[[#This Row],[PID]],Table3[[#All],[PID]],0)))</f>
        <v>Danny</v>
      </c>
      <c r="F747" s="50" t="str">
        <f>IF($C747="B",INDEX(Batters[[#All],[Last]],MATCH(A747,Batters[[#All],[PID]],0)),INDEX(Table3[[#All],[Last]],MATCH(A747,Table3[[#All],[PID]],0)))</f>
        <v>Welch</v>
      </c>
      <c r="G747" s="56">
        <f>IF($C747="B",INDEX(Batters[[#All],[Age]],MATCH(Table5[[#This Row],[PID]],Batters[[#All],[PID]],0)),INDEX(Table3[[#All],[Age]],MATCH(Table5[[#This Row],[PID]],Table3[[#All],[PID]],0)))</f>
        <v>22</v>
      </c>
      <c r="H747" s="52" t="str">
        <f>IF($C747="B",INDEX(Batters[[#All],[B]],MATCH(Table5[[#This Row],[PID]],Batters[[#All],[PID]],0)),INDEX(Table3[[#All],[B]],MATCH(Table5[[#This Row],[PID]],Table3[[#All],[PID]],0)))</f>
        <v>R</v>
      </c>
      <c r="I747" s="52" t="str">
        <f>IF($C747="B",INDEX(Batters[[#All],[T]],MATCH(Table5[[#This Row],[PID]],Batters[[#All],[PID]],0)),INDEX(Table3[[#All],[T]],MATCH(Table5[[#This Row],[PID]],Table3[[#All],[PID]],0)))</f>
        <v>R</v>
      </c>
      <c r="J747" s="52" t="str">
        <f>IF($C747="B",INDEX(Batters[[#All],[WE]],MATCH(Table5[[#This Row],[PID]],Batters[[#All],[PID]],0)),INDEX(Table3[[#All],[WE]],MATCH(Table5[[#This Row],[PID]],Table3[[#All],[PID]],0)))</f>
        <v>Normal</v>
      </c>
      <c r="K747" s="52" t="str">
        <f>IF($C747="B",INDEX(Batters[[#All],[INT]],MATCH(Table5[[#This Row],[PID]],Batters[[#All],[PID]],0)),INDEX(Table3[[#All],[INT]],MATCH(Table5[[#This Row],[PID]],Table3[[#All],[PID]],0)))</f>
        <v>Normal</v>
      </c>
      <c r="L747" s="60">
        <f>IF($C747="B",INDEX(Batters[[#All],[CON P]],MATCH(Table5[[#This Row],[PID]],Batters[[#All],[PID]],0)),INDEX(Table3[[#All],[STU P]],MATCH(Table5[[#This Row],[PID]],Table3[[#All],[PID]],0)))</f>
        <v>5</v>
      </c>
      <c r="M747" s="56">
        <f>IF($C747="B",INDEX(Batters[[#All],[GAP P]],MATCH(Table5[[#This Row],[PID]],Batters[[#All],[PID]],0)),INDEX(Table3[[#All],[MOV P]],MATCH(Table5[[#This Row],[PID]],Table3[[#All],[PID]],0)))</f>
        <v>2</v>
      </c>
      <c r="N747" s="56">
        <f>IF($C747="B",INDEX(Batters[[#All],[POW P]],MATCH(Table5[[#This Row],[PID]],Batters[[#All],[PID]],0)),INDEX(Table3[[#All],[CON P]],MATCH(Table5[[#This Row],[PID]],Table3[[#All],[PID]],0)))</f>
        <v>3</v>
      </c>
      <c r="O747" s="56" t="str">
        <f>IF($C747="B",INDEX(Batters[[#All],[EYE P]],MATCH(Table5[[#This Row],[PID]],Batters[[#All],[PID]],0)),INDEX(Table3[[#All],[VELO]],MATCH(Table5[[#This Row],[PID]],Table3[[#All],[PID]],0)))</f>
        <v>92-94 Mph</v>
      </c>
      <c r="P747" s="56">
        <f>IF($C747="B",INDEX(Batters[[#All],[K P]],MATCH(Table5[[#This Row],[PID]],Batters[[#All],[PID]],0)),INDEX(Table3[[#All],[STM]],MATCH(Table5[[#This Row],[PID]],Table3[[#All],[PID]],0)))</f>
        <v>7</v>
      </c>
      <c r="Q747" s="61">
        <f>IF($C747="B",INDEX(Batters[[#All],[Tot]],MATCH(Table5[[#This Row],[PID]],Batters[[#All],[PID]],0)),INDEX(Table3[[#All],[Tot]],MATCH(Table5[[#This Row],[PID]],Table3[[#All],[PID]],0)))</f>
        <v>34.682103325595861</v>
      </c>
      <c r="R747" s="52">
        <f>IF($C747="B",INDEX(Batters[[#All],[zScore]],MATCH(Table5[[#This Row],[PID]],Batters[[#All],[PID]],0)),INDEX(Table3[[#All],[zScore]],MATCH(Table5[[#This Row],[PID]],Table3[[#All],[PID]],0)))</f>
        <v>-0.15177113319370011</v>
      </c>
      <c r="S747" s="58" t="str">
        <f>IF($C747="B",INDEX(Batters[[#All],[DEM]],MATCH(Table5[[#This Row],[PID]],Batters[[#All],[PID]],0)),INDEX(Table3[[#All],[DEM]],MATCH(Table5[[#This Row],[PID]],Table3[[#All],[PID]],0)))</f>
        <v>-</v>
      </c>
      <c r="T747" s="62">
        <f>IF($C747="B",INDEX(Batters[[#All],[Rnk]],MATCH(Table5[[#This Row],[PID]],Batters[[#All],[PID]],0)),INDEX(Table3[[#All],[Rnk]],MATCH(Table5[[#This Row],[PID]],Table3[[#All],[PID]],0)))</f>
        <v>362</v>
      </c>
      <c r="U747" s="68">
        <f>IF($C747="B",VLOOKUP($A747,Bat!$A$4:$BA$1621,47,FALSE),VLOOKUP($A747,Pit!$A$4:$BF$1557,56,FALSE))</f>
        <v>0</v>
      </c>
      <c r="V747" s="50">
        <f>IF($C747="B",VLOOKUP($A747,Bat!$A$4:$BA$1621,48,FALSE),VLOOKUP($A747,Pit!$A$4:$BF$1557,57,FALSE))</f>
        <v>0</v>
      </c>
      <c r="W747" s="50">
        <f>Table5[[#This Row],[posRnk]]+Table5[[#This Row],[zRnk]]+IF($W$3&lt;&gt;Table5[[#This Row],[Type]],50,0)</f>
        <v>1044</v>
      </c>
      <c r="X747" s="51">
        <f>RANK(Table5[[#This Row],[zScore]],Table5[[#All],[zScore]])</f>
        <v>632</v>
      </c>
      <c r="Y747" s="50" t="str">
        <f>IFERROR(INDEX(DraftResults[[#All],[OVR]],MATCH(Table5[[#This Row],[PID]],DraftResults[[#All],[Player ID]],0)),"")</f>
        <v/>
      </c>
      <c r="Z7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7" s="50" t="str">
        <f>IFERROR(INDEX(DraftResults[[#All],[Pick in Round]],MATCH(Table5[[#This Row],[PID]],DraftResults[[#All],[Player ID]],0)),"")</f>
        <v/>
      </c>
      <c r="AB747" s="50" t="str">
        <f>IFERROR(INDEX(DraftResults[[#All],[Team Name]],MATCH(Table5[[#This Row],[PID]],DraftResults[[#All],[Player ID]],0)),"")</f>
        <v/>
      </c>
      <c r="AC747" s="50" t="str">
        <f>IF(Table5[[#This Row],[Ovr]]="","",IF(Table5[[#This Row],[cmbList]]="","",Table5[[#This Row],[cmbList]]-Table5[[#This Row],[Ovr]]))</f>
        <v/>
      </c>
      <c r="AD747" s="54" t="str">
        <f>IF(ISERROR(VLOOKUP($AB747&amp;"-"&amp;$E747&amp;" "&amp;F747,Bonuses!$B$1:$G$1006,4,FALSE)),"",INT(VLOOKUP($AB747&amp;"-"&amp;$E747&amp;" "&amp;$F747,Bonuses!$B$1:$G$1006,4,FALSE)))</f>
        <v/>
      </c>
      <c r="AE7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8" spans="1:31" s="50" customFormat="1" x14ac:dyDescent="0.25">
      <c r="A748" s="50">
        <v>8488</v>
      </c>
      <c r="B748" s="50">
        <f>COUNTIF(Table5[PID],A748)</f>
        <v>1</v>
      </c>
      <c r="C748" s="50" t="str">
        <f>IF(COUNTIF(Table3[[#All],[PID]],A748)&gt;0,"P","B")</f>
        <v>P</v>
      </c>
      <c r="D748" s="59" t="str">
        <f>IF($C748="B",INDEX(Batters[[#All],[POS]],MATCH(Table5[[#This Row],[PID]],Batters[[#All],[PID]],0)),INDEX(Table3[[#All],[POS]],MATCH(Table5[[#This Row],[PID]],Table3[[#All],[PID]],0)))</f>
        <v>RP</v>
      </c>
      <c r="E748" s="52" t="str">
        <f>IF($C748="B",INDEX(Batters[[#All],[First]],MATCH(Table5[[#This Row],[PID]],Batters[[#All],[PID]],0)),INDEX(Table3[[#All],[First]],MATCH(Table5[[#This Row],[PID]],Table3[[#All],[PID]],0)))</f>
        <v>Marvin</v>
      </c>
      <c r="F748" s="50" t="str">
        <f>IF($C748="B",INDEX(Batters[[#All],[Last]],MATCH(A748,Batters[[#All],[PID]],0)),INDEX(Table3[[#All],[Last]],MATCH(A748,Table3[[#All],[PID]],0)))</f>
        <v>Pendle</v>
      </c>
      <c r="G748" s="56">
        <f>IF($C748="B",INDEX(Batters[[#All],[Age]],MATCH(Table5[[#This Row],[PID]],Batters[[#All],[PID]],0)),INDEX(Table3[[#All],[Age]],MATCH(Table5[[#This Row],[PID]],Table3[[#All],[PID]],0)))</f>
        <v>22</v>
      </c>
      <c r="H748" s="52" t="str">
        <f>IF($C748="B",INDEX(Batters[[#All],[B]],MATCH(Table5[[#This Row],[PID]],Batters[[#All],[PID]],0)),INDEX(Table3[[#All],[B]],MATCH(Table5[[#This Row],[PID]],Table3[[#All],[PID]],0)))</f>
        <v>R</v>
      </c>
      <c r="I748" s="52" t="str">
        <f>IF($C748="B",INDEX(Batters[[#All],[T]],MATCH(Table5[[#This Row],[PID]],Batters[[#All],[PID]],0)),INDEX(Table3[[#All],[T]],MATCH(Table5[[#This Row],[PID]],Table3[[#All],[PID]],0)))</f>
        <v>R</v>
      </c>
      <c r="J748" s="52" t="str">
        <f>IF($C748="B",INDEX(Batters[[#All],[WE]],MATCH(Table5[[#This Row],[PID]],Batters[[#All],[PID]],0)),INDEX(Table3[[#All],[WE]],MATCH(Table5[[#This Row],[PID]],Table3[[#All],[PID]],0)))</f>
        <v>Low</v>
      </c>
      <c r="K748" s="52" t="str">
        <f>IF($C748="B",INDEX(Batters[[#All],[INT]],MATCH(Table5[[#This Row],[PID]],Batters[[#All],[PID]],0)),INDEX(Table3[[#All],[INT]],MATCH(Table5[[#This Row],[PID]],Table3[[#All],[PID]],0)))</f>
        <v>Normal</v>
      </c>
      <c r="L748" s="60">
        <f>IF($C748="B",INDEX(Batters[[#All],[CON P]],MATCH(Table5[[#This Row],[PID]],Batters[[#All],[PID]],0)),INDEX(Table3[[#All],[STU P]],MATCH(Table5[[#This Row],[PID]],Table3[[#All],[PID]],0)))</f>
        <v>5</v>
      </c>
      <c r="M748" s="56">
        <f>IF($C748="B",INDEX(Batters[[#All],[GAP P]],MATCH(Table5[[#This Row],[PID]],Batters[[#All],[PID]],0)),INDEX(Table3[[#All],[MOV P]],MATCH(Table5[[#This Row],[PID]],Table3[[#All],[PID]],0)))</f>
        <v>2</v>
      </c>
      <c r="N748" s="56">
        <f>IF($C748="B",INDEX(Batters[[#All],[POW P]],MATCH(Table5[[#This Row],[PID]],Batters[[#All],[PID]],0)),INDEX(Table3[[#All],[CON P]],MATCH(Table5[[#This Row],[PID]],Table3[[#All],[PID]],0)))</f>
        <v>3</v>
      </c>
      <c r="O748" s="56" t="str">
        <f>IF($C748="B",INDEX(Batters[[#All],[EYE P]],MATCH(Table5[[#This Row],[PID]],Batters[[#All],[PID]],0)),INDEX(Table3[[#All],[VELO]],MATCH(Table5[[#This Row],[PID]],Table3[[#All],[PID]],0)))</f>
        <v>85-87 Mph</v>
      </c>
      <c r="P748" s="56">
        <f>IF($C748="B",INDEX(Batters[[#All],[K P]],MATCH(Table5[[#This Row],[PID]],Batters[[#All],[PID]],0)),INDEX(Table3[[#All],[STM]],MATCH(Table5[[#This Row],[PID]],Table3[[#All],[PID]],0)))</f>
        <v>7</v>
      </c>
      <c r="Q748" s="61">
        <f>IF($C748="B",INDEX(Batters[[#All],[Tot]],MATCH(Table5[[#This Row],[PID]],Batters[[#All],[PID]],0)),INDEX(Table3[[#All],[Tot]],MATCH(Table5[[#This Row],[PID]],Table3[[#All],[PID]],0)))</f>
        <v>33.586374781537614</v>
      </c>
      <c r="R748" s="52">
        <f>IF($C748="B",INDEX(Batters[[#All],[zScore]],MATCH(Table5[[#This Row],[PID]],Batters[[#All],[PID]],0)),INDEX(Table3[[#All],[zScore]],MATCH(Table5[[#This Row],[PID]],Table3[[#All],[PID]],0)))</f>
        <v>-0.15196109299341254</v>
      </c>
      <c r="S748" s="58" t="str">
        <f>IF($C748="B",INDEX(Batters[[#All],[DEM]],MATCH(Table5[[#This Row],[PID]],Batters[[#All],[PID]],0)),INDEX(Table3[[#All],[DEM]],MATCH(Table5[[#This Row],[PID]],Table3[[#All],[PID]],0)))</f>
        <v>-</v>
      </c>
      <c r="T748" s="62">
        <f>IF($C748="B",INDEX(Batters[[#All],[Rnk]],MATCH(Table5[[#This Row],[PID]],Batters[[#All],[PID]],0)),INDEX(Table3[[#All],[Rnk]],MATCH(Table5[[#This Row],[PID]],Table3[[#All],[PID]],0)))</f>
        <v>363</v>
      </c>
      <c r="U748" s="68">
        <f>IF($C748="B",VLOOKUP($A748,Bat!$A$4:$BA$1621,47,FALSE),VLOOKUP($A748,Pit!$A$4:$BF$1557,56,FALSE))</f>
        <v>0</v>
      </c>
      <c r="V748" s="50">
        <f>IF($C748="B",VLOOKUP($A748,Bat!$A$4:$BA$1621,48,FALSE),VLOOKUP($A748,Pit!$A$4:$BF$1557,57,FALSE))</f>
        <v>0</v>
      </c>
      <c r="W748" s="50">
        <f>Table5[[#This Row],[posRnk]]+Table5[[#This Row],[zRnk]]+IF($W$3&lt;&gt;Table5[[#This Row],[Type]],50,0)</f>
        <v>1046</v>
      </c>
      <c r="X748" s="51">
        <f>RANK(Table5[[#This Row],[zScore]],Table5[[#All],[zScore]])</f>
        <v>633</v>
      </c>
      <c r="Y748" s="50" t="str">
        <f>IFERROR(INDEX(DraftResults[[#All],[OVR]],MATCH(Table5[[#This Row],[PID]],DraftResults[[#All],[Player ID]],0)),"")</f>
        <v/>
      </c>
      <c r="Z7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8" s="50" t="str">
        <f>IFERROR(INDEX(DraftResults[[#All],[Pick in Round]],MATCH(Table5[[#This Row],[PID]],DraftResults[[#All],[Player ID]],0)),"")</f>
        <v/>
      </c>
      <c r="AB748" s="50" t="str">
        <f>IFERROR(INDEX(DraftResults[[#All],[Team Name]],MATCH(Table5[[#This Row],[PID]],DraftResults[[#All],[Player ID]],0)),"")</f>
        <v/>
      </c>
      <c r="AC748" s="50" t="str">
        <f>IF(Table5[[#This Row],[Ovr]]="","",IF(Table5[[#This Row],[cmbList]]="","",Table5[[#This Row],[cmbList]]-Table5[[#This Row],[Ovr]]))</f>
        <v/>
      </c>
      <c r="AD748" s="54" t="str">
        <f>IF(ISERROR(VLOOKUP($AB748&amp;"-"&amp;$E748&amp;" "&amp;F748,Bonuses!$B$1:$G$1006,4,FALSE)),"",INT(VLOOKUP($AB748&amp;"-"&amp;$E748&amp;" "&amp;$F748,Bonuses!$B$1:$G$1006,4,FALSE)))</f>
        <v/>
      </c>
      <c r="AE7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49" spans="1:31" s="50" customFormat="1" x14ac:dyDescent="0.25">
      <c r="A749" s="50">
        <v>17585</v>
      </c>
      <c r="B749" s="50">
        <f>COUNTIF(Table5[PID],A749)</f>
        <v>1</v>
      </c>
      <c r="C749" s="50" t="str">
        <f>IF(COUNTIF(Table3[[#All],[PID]],A749)&gt;0,"P","B")</f>
        <v>P</v>
      </c>
      <c r="D749" s="59" t="str">
        <f>IF($C749="B",INDEX(Batters[[#All],[POS]],MATCH(Table5[[#This Row],[PID]],Batters[[#All],[PID]],0)),INDEX(Table3[[#All],[POS]],MATCH(Table5[[#This Row],[PID]],Table3[[#All],[PID]],0)))</f>
        <v>RP</v>
      </c>
      <c r="E749" s="52" t="str">
        <f>IF($C749="B",INDEX(Batters[[#All],[First]],MATCH(Table5[[#This Row],[PID]],Batters[[#All],[PID]],0)),INDEX(Table3[[#All],[First]],MATCH(Table5[[#This Row],[PID]],Table3[[#All],[PID]],0)))</f>
        <v>Dave</v>
      </c>
      <c r="F749" s="50" t="str">
        <f>IF($C749="B",INDEX(Batters[[#All],[Last]],MATCH(A749,Batters[[#All],[PID]],0)),INDEX(Table3[[#All],[Last]],MATCH(A749,Table3[[#All],[PID]],0)))</f>
        <v>Hall</v>
      </c>
      <c r="G749" s="56">
        <f>IF($C749="B",INDEX(Batters[[#All],[Age]],MATCH(Table5[[#This Row],[PID]],Batters[[#All],[PID]],0)),INDEX(Table3[[#All],[Age]],MATCH(Table5[[#This Row],[PID]],Table3[[#All],[PID]],0)))</f>
        <v>18</v>
      </c>
      <c r="H749" s="52" t="str">
        <f>IF($C749="B",INDEX(Batters[[#All],[B]],MATCH(Table5[[#This Row],[PID]],Batters[[#All],[PID]],0)),INDEX(Table3[[#All],[B]],MATCH(Table5[[#This Row],[PID]],Table3[[#All],[PID]],0)))</f>
        <v>R</v>
      </c>
      <c r="I749" s="52" t="str">
        <f>IF($C749="B",INDEX(Batters[[#All],[T]],MATCH(Table5[[#This Row],[PID]],Batters[[#All],[PID]],0)),INDEX(Table3[[#All],[T]],MATCH(Table5[[#This Row],[PID]],Table3[[#All],[PID]],0)))</f>
        <v>R</v>
      </c>
      <c r="J749" s="52" t="str">
        <f>IF($C749="B",INDEX(Batters[[#All],[WE]],MATCH(Table5[[#This Row],[PID]],Batters[[#All],[PID]],0)),INDEX(Table3[[#All],[WE]],MATCH(Table5[[#This Row],[PID]],Table3[[#All],[PID]],0)))</f>
        <v>High</v>
      </c>
      <c r="K749" s="52" t="str">
        <f>IF($C749="B",INDEX(Batters[[#All],[INT]],MATCH(Table5[[#This Row],[PID]],Batters[[#All],[PID]],0)),INDEX(Table3[[#All],[INT]],MATCH(Table5[[#This Row],[PID]],Table3[[#All],[PID]],0)))</f>
        <v>Normal</v>
      </c>
      <c r="L749" s="60">
        <f>IF($C749="B",INDEX(Batters[[#All],[CON P]],MATCH(Table5[[#This Row],[PID]],Batters[[#All],[PID]],0)),INDEX(Table3[[#All],[STU P]],MATCH(Table5[[#This Row],[PID]],Table3[[#All],[PID]],0)))</f>
        <v>4</v>
      </c>
      <c r="M749" s="56">
        <f>IF($C749="B",INDEX(Batters[[#All],[GAP P]],MATCH(Table5[[#This Row],[PID]],Batters[[#All],[PID]],0)),INDEX(Table3[[#All],[MOV P]],MATCH(Table5[[#This Row],[PID]],Table3[[#All],[PID]],0)))</f>
        <v>2</v>
      </c>
      <c r="N749" s="56">
        <f>IF($C749="B",INDEX(Batters[[#All],[POW P]],MATCH(Table5[[#This Row],[PID]],Batters[[#All],[PID]],0)),INDEX(Table3[[#All],[CON P]],MATCH(Table5[[#This Row],[PID]],Table3[[#All],[PID]],0)))</f>
        <v>3</v>
      </c>
      <c r="O749" s="56" t="str">
        <f>IF($C749="B",INDEX(Batters[[#All],[EYE P]],MATCH(Table5[[#This Row],[PID]],Batters[[#All],[PID]],0)),INDEX(Table3[[#All],[VELO]],MATCH(Table5[[#This Row],[PID]],Table3[[#All],[PID]],0)))</f>
        <v>87-89 Mph</v>
      </c>
      <c r="P749" s="56">
        <f>IF($C749="B",INDEX(Batters[[#All],[K P]],MATCH(Table5[[#This Row],[PID]],Batters[[#All],[PID]],0)),INDEX(Table3[[#All],[STM]],MATCH(Table5[[#This Row],[PID]],Table3[[#All],[PID]],0)))</f>
        <v>7</v>
      </c>
      <c r="Q749" s="61">
        <f>IF($C749="B",INDEX(Batters[[#All],[Tot]],MATCH(Table5[[#This Row],[PID]],Batters[[#All],[PID]],0)),INDEX(Table3[[#All],[Tot]],MATCH(Table5[[#This Row],[PID]],Table3[[#All],[PID]],0)))</f>
        <v>33.50087445729973</v>
      </c>
      <c r="R749" s="52">
        <f>IF($C749="B",INDEX(Batters[[#All],[zScore]],MATCH(Table5[[#This Row],[PID]],Batters[[#All],[PID]],0)),INDEX(Table3[[#All],[zScore]],MATCH(Table5[[#This Row],[PID]],Table3[[#All],[PID]],0)))</f>
        <v>-0.1576492989111575</v>
      </c>
      <c r="S749" s="58" t="str">
        <f>IF($C749="B",INDEX(Batters[[#All],[DEM]],MATCH(Table5[[#This Row],[PID]],Batters[[#All],[PID]],0)),INDEX(Table3[[#All],[DEM]],MATCH(Table5[[#This Row],[PID]],Table3[[#All],[PID]],0)))</f>
        <v>$70k</v>
      </c>
      <c r="T749" s="62">
        <f>IF($C749="B",INDEX(Batters[[#All],[Rnk]],MATCH(Table5[[#This Row],[PID]],Batters[[#All],[PID]],0)),INDEX(Table3[[#All],[Rnk]],MATCH(Table5[[#This Row],[PID]],Table3[[#All],[PID]],0)))</f>
        <v>364</v>
      </c>
      <c r="U749" s="68">
        <f>IF($C749="B",VLOOKUP($A749,Bat!$A$4:$BA$1621,47,FALSE),VLOOKUP($A749,Pit!$A$4:$BF$1557,56,FALSE))</f>
        <v>0</v>
      </c>
      <c r="V749" s="50">
        <f>IF($C749="B",VLOOKUP($A749,Bat!$A$4:$BA$1621,48,FALSE),VLOOKUP($A749,Pit!$A$4:$BF$1557,57,FALSE))</f>
        <v>0</v>
      </c>
      <c r="W749" s="50">
        <f>Table5[[#This Row],[posRnk]]+Table5[[#This Row],[zRnk]]+IF($W$3&lt;&gt;Table5[[#This Row],[Type]],50,0)</f>
        <v>1048</v>
      </c>
      <c r="X749" s="51">
        <f>RANK(Table5[[#This Row],[zScore]],Table5[[#All],[zScore]])</f>
        <v>634</v>
      </c>
      <c r="Y749" s="50" t="str">
        <f>IFERROR(INDEX(DraftResults[[#All],[OVR]],MATCH(Table5[[#This Row],[PID]],DraftResults[[#All],[Player ID]],0)),"")</f>
        <v/>
      </c>
      <c r="Z7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49" s="50" t="str">
        <f>IFERROR(INDEX(DraftResults[[#All],[Pick in Round]],MATCH(Table5[[#This Row],[PID]],DraftResults[[#All],[Player ID]],0)),"")</f>
        <v/>
      </c>
      <c r="AB749" s="50" t="str">
        <f>IFERROR(INDEX(DraftResults[[#All],[Team Name]],MATCH(Table5[[#This Row],[PID]],DraftResults[[#All],[Player ID]],0)),"")</f>
        <v/>
      </c>
      <c r="AC749" s="50" t="str">
        <f>IF(Table5[[#This Row],[Ovr]]="","",IF(Table5[[#This Row],[cmbList]]="","",Table5[[#This Row],[cmbList]]-Table5[[#This Row],[Ovr]]))</f>
        <v/>
      </c>
      <c r="AD749" s="54" t="str">
        <f>IF(ISERROR(VLOOKUP($AB749&amp;"-"&amp;$E749&amp;" "&amp;F749,Bonuses!$B$1:$G$1006,4,FALSE)),"",INT(VLOOKUP($AB749&amp;"-"&amp;$E749&amp;" "&amp;$F749,Bonuses!$B$1:$G$1006,4,FALSE)))</f>
        <v/>
      </c>
      <c r="AE7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0" spans="1:31" s="50" customFormat="1" x14ac:dyDescent="0.25">
      <c r="A750" s="50">
        <v>20504</v>
      </c>
      <c r="B750" s="50">
        <f>COUNTIF(Table5[PID],A750)</f>
        <v>1</v>
      </c>
      <c r="C750" s="50" t="str">
        <f>IF(COUNTIF(Table3[[#All],[PID]],A750)&gt;0,"P","B")</f>
        <v>P</v>
      </c>
      <c r="D750" s="59" t="str">
        <f>IF($C750="B",INDEX(Batters[[#All],[POS]],MATCH(Table5[[#This Row],[PID]],Batters[[#All],[PID]],0)),INDEX(Table3[[#All],[POS]],MATCH(Table5[[#This Row],[PID]],Table3[[#All],[PID]],0)))</f>
        <v>RP</v>
      </c>
      <c r="E750" s="52" t="str">
        <f>IF($C750="B",INDEX(Batters[[#All],[First]],MATCH(Table5[[#This Row],[PID]],Batters[[#All],[PID]],0)),INDEX(Table3[[#All],[First]],MATCH(Table5[[#This Row],[PID]],Table3[[#All],[PID]],0)))</f>
        <v>Arabello</v>
      </c>
      <c r="F750" s="50" t="str">
        <f>IF($C750="B",INDEX(Batters[[#All],[Last]],MATCH(A750,Batters[[#All],[PID]],0)),INDEX(Table3[[#All],[Last]],MATCH(A750,Table3[[#All],[PID]],0)))</f>
        <v>Arcilla</v>
      </c>
      <c r="G750" s="56">
        <f>IF($C750="B",INDEX(Batters[[#All],[Age]],MATCH(Table5[[#This Row],[PID]],Batters[[#All],[PID]],0)),INDEX(Table3[[#All],[Age]],MATCH(Table5[[#This Row],[PID]],Table3[[#All],[PID]],0)))</f>
        <v>18</v>
      </c>
      <c r="H750" s="52" t="str">
        <f>IF($C750="B",INDEX(Batters[[#All],[B]],MATCH(Table5[[#This Row],[PID]],Batters[[#All],[PID]],0)),INDEX(Table3[[#All],[B]],MATCH(Table5[[#This Row],[PID]],Table3[[#All],[PID]],0)))</f>
        <v>L</v>
      </c>
      <c r="I750" s="52" t="str">
        <f>IF($C750="B",INDEX(Batters[[#All],[T]],MATCH(Table5[[#This Row],[PID]],Batters[[#All],[PID]],0)),INDEX(Table3[[#All],[T]],MATCH(Table5[[#This Row],[PID]],Table3[[#All],[PID]],0)))</f>
        <v>L</v>
      </c>
      <c r="J750" s="52" t="str">
        <f>IF($C750="B",INDEX(Batters[[#All],[WE]],MATCH(Table5[[#This Row],[PID]],Batters[[#All],[PID]],0)),INDEX(Table3[[#All],[WE]],MATCH(Table5[[#This Row],[PID]],Table3[[#All],[PID]],0)))</f>
        <v>Normal</v>
      </c>
      <c r="K750" s="52" t="str">
        <f>IF($C750="B",INDEX(Batters[[#All],[INT]],MATCH(Table5[[#This Row],[PID]],Batters[[#All],[PID]],0)),INDEX(Table3[[#All],[INT]],MATCH(Table5[[#This Row],[PID]],Table3[[#All],[PID]],0)))</f>
        <v>Normal</v>
      </c>
      <c r="L750" s="60">
        <f>IF($C750="B",INDEX(Batters[[#All],[CON P]],MATCH(Table5[[#This Row],[PID]],Batters[[#All],[PID]],0)),INDEX(Table3[[#All],[STU P]],MATCH(Table5[[#This Row],[PID]],Table3[[#All],[PID]],0)))</f>
        <v>5</v>
      </c>
      <c r="M750" s="56">
        <f>IF($C750="B",INDEX(Batters[[#All],[GAP P]],MATCH(Table5[[#This Row],[PID]],Batters[[#All],[PID]],0)),INDEX(Table3[[#All],[MOV P]],MATCH(Table5[[#This Row],[PID]],Table3[[#All],[PID]],0)))</f>
        <v>2</v>
      </c>
      <c r="N750" s="56">
        <f>IF($C750="B",INDEX(Batters[[#All],[POW P]],MATCH(Table5[[#This Row],[PID]],Batters[[#All],[PID]],0)),INDEX(Table3[[#All],[CON P]],MATCH(Table5[[#This Row],[PID]],Table3[[#All],[PID]],0)))</f>
        <v>2</v>
      </c>
      <c r="O750" s="56" t="str">
        <f>IF($C750="B",INDEX(Batters[[#All],[EYE P]],MATCH(Table5[[#This Row],[PID]],Batters[[#All],[PID]],0)),INDEX(Table3[[#All],[VELO]],MATCH(Table5[[#This Row],[PID]],Table3[[#All],[PID]],0)))</f>
        <v>90-92 Mph</v>
      </c>
      <c r="P750" s="56">
        <f>IF($C750="B",INDEX(Batters[[#All],[K P]],MATCH(Table5[[#This Row],[PID]],Batters[[#All],[PID]],0)),INDEX(Table3[[#All],[STM]],MATCH(Table5[[#This Row],[PID]],Table3[[#All],[PID]],0)))</f>
        <v>7</v>
      </c>
      <c r="Q750" s="61">
        <f>IF($C750="B",INDEX(Batters[[#All],[Tot]],MATCH(Table5[[#This Row],[PID]],Batters[[#All],[PID]],0)),INDEX(Table3[[#All],[Tot]],MATCH(Table5[[#This Row],[PID]],Table3[[#All],[PID]],0)))</f>
        <v>33.49828962640099</v>
      </c>
      <c r="R750" s="52">
        <f>IF($C750="B",INDEX(Batters[[#All],[zScore]],MATCH(Table5[[#This Row],[PID]],Batters[[#All],[PID]],0)),INDEX(Table3[[#All],[zScore]],MATCH(Table5[[#This Row],[PID]],Table3[[#All],[PID]],0)))</f>
        <v>-0.15782126376094777</v>
      </c>
      <c r="S750" s="58" t="str">
        <f>IF($C750="B",INDEX(Batters[[#All],[DEM]],MATCH(Table5[[#This Row],[PID]],Batters[[#All],[PID]],0)),INDEX(Table3[[#All],[DEM]],MATCH(Table5[[#This Row],[PID]],Table3[[#All],[PID]],0)))</f>
        <v>$2.2m</v>
      </c>
      <c r="T750" s="62">
        <f>IF($C750="B",INDEX(Batters[[#All],[Rnk]],MATCH(Table5[[#This Row],[PID]],Batters[[#All],[PID]],0)),INDEX(Table3[[#All],[Rnk]],MATCH(Table5[[#This Row],[PID]],Table3[[#All],[PID]],0)))</f>
        <v>365</v>
      </c>
      <c r="U750" s="68">
        <f>IF($C750="B",VLOOKUP($A750,Bat!$A$4:$BA$1621,47,FALSE),VLOOKUP($A750,Pit!$A$4:$BF$1557,56,FALSE))</f>
        <v>0</v>
      </c>
      <c r="V750" s="50">
        <f>IF($C750="B",VLOOKUP($A750,Bat!$A$4:$BA$1621,48,FALSE),VLOOKUP($A750,Pit!$A$4:$BF$1557,57,FALSE))</f>
        <v>0</v>
      </c>
      <c r="W750" s="50">
        <f>Table5[[#This Row],[posRnk]]+Table5[[#This Row],[zRnk]]+IF($W$3&lt;&gt;Table5[[#This Row],[Type]],50,0)</f>
        <v>1050</v>
      </c>
      <c r="X750" s="51">
        <f>RANK(Table5[[#This Row],[zScore]],Table5[[#All],[zScore]])</f>
        <v>635</v>
      </c>
      <c r="Y750" s="50" t="str">
        <f>IFERROR(INDEX(DraftResults[[#All],[OVR]],MATCH(Table5[[#This Row],[PID]],DraftResults[[#All],[Player ID]],0)),"")</f>
        <v/>
      </c>
      <c r="Z7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0" s="50" t="str">
        <f>IFERROR(INDEX(DraftResults[[#All],[Pick in Round]],MATCH(Table5[[#This Row],[PID]],DraftResults[[#All],[Player ID]],0)),"")</f>
        <v/>
      </c>
      <c r="AB750" s="50" t="str">
        <f>IFERROR(INDEX(DraftResults[[#All],[Team Name]],MATCH(Table5[[#This Row],[PID]],DraftResults[[#All],[Player ID]],0)),"")</f>
        <v/>
      </c>
      <c r="AC750" s="50" t="str">
        <f>IF(Table5[[#This Row],[Ovr]]="","",IF(Table5[[#This Row],[cmbList]]="","",Table5[[#This Row],[cmbList]]-Table5[[#This Row],[Ovr]]))</f>
        <v/>
      </c>
      <c r="AD750" s="54" t="str">
        <f>IF(ISERROR(VLOOKUP($AB750&amp;"-"&amp;$E750&amp;" "&amp;F750,Bonuses!$B$1:$G$1006,4,FALSE)),"",INT(VLOOKUP($AB750&amp;"-"&amp;$E750&amp;" "&amp;$F750,Bonuses!$B$1:$G$1006,4,FALSE)))</f>
        <v/>
      </c>
      <c r="AE7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1" spans="1:31" s="50" customFormat="1" x14ac:dyDescent="0.25">
      <c r="A751" s="68">
        <v>20327</v>
      </c>
      <c r="B751" s="69">
        <f>COUNTIF(Table5[PID],A751)</f>
        <v>1</v>
      </c>
      <c r="C751" s="69" t="str">
        <f>IF(COUNTIF(Table3[[#All],[PID]],A751)&gt;0,"P","B")</f>
        <v>P</v>
      </c>
      <c r="D751" s="59" t="str">
        <f>IF($C751="B",INDEX(Batters[[#All],[POS]],MATCH(Table5[[#This Row],[PID]],Batters[[#All],[PID]],0)),INDEX(Table3[[#All],[POS]],MATCH(Table5[[#This Row],[PID]],Table3[[#All],[PID]],0)))</f>
        <v>SP</v>
      </c>
      <c r="E751" s="52" t="str">
        <f>IF($C751="B",INDEX(Batters[[#All],[First]],MATCH(Table5[[#This Row],[PID]],Batters[[#All],[PID]],0)),INDEX(Table3[[#All],[First]],MATCH(Table5[[#This Row],[PID]],Table3[[#All],[PID]],0)))</f>
        <v>Jerry</v>
      </c>
      <c r="F751" s="55" t="str">
        <f>IF($C751="B",INDEX(Batters[[#All],[Last]],MATCH(A751,Batters[[#All],[PID]],0)),INDEX(Table3[[#All],[Last]],MATCH(A751,Table3[[#All],[PID]],0)))</f>
        <v>Hutchinson</v>
      </c>
      <c r="G751" s="56">
        <f>IF($C751="B",INDEX(Batters[[#All],[Age]],MATCH(Table5[[#This Row],[PID]],Batters[[#All],[PID]],0)),INDEX(Table3[[#All],[Age]],MATCH(Table5[[#This Row],[PID]],Table3[[#All],[PID]],0)))</f>
        <v>17</v>
      </c>
      <c r="H751" s="52" t="str">
        <f>IF($C751="B",INDEX(Batters[[#All],[B]],MATCH(Table5[[#This Row],[PID]],Batters[[#All],[PID]],0)),INDEX(Table3[[#All],[B]],MATCH(Table5[[#This Row],[PID]],Table3[[#All],[PID]],0)))</f>
        <v>L</v>
      </c>
      <c r="I751" s="52" t="str">
        <f>IF($C751="B",INDEX(Batters[[#All],[T]],MATCH(Table5[[#This Row],[PID]],Batters[[#All],[PID]],0)),INDEX(Table3[[#All],[T]],MATCH(Table5[[#This Row],[PID]],Table3[[#All],[PID]],0)))</f>
        <v>L</v>
      </c>
      <c r="J751" s="71" t="str">
        <f>IF($C751="B",INDEX(Batters[[#All],[WE]],MATCH(Table5[[#This Row],[PID]],Batters[[#All],[PID]],0)),INDEX(Table3[[#All],[WE]],MATCH(Table5[[#This Row],[PID]],Table3[[#All],[PID]],0)))</f>
        <v>Normal</v>
      </c>
      <c r="K751" s="52" t="str">
        <f>IF($C751="B",INDEX(Batters[[#All],[INT]],MATCH(Table5[[#This Row],[PID]],Batters[[#All],[PID]],0)),INDEX(Table3[[#All],[INT]],MATCH(Table5[[#This Row],[PID]],Table3[[#All],[PID]],0)))</f>
        <v>Normal</v>
      </c>
      <c r="L751" s="60">
        <f>IF($C751="B",INDEX(Batters[[#All],[CON P]],MATCH(Table5[[#This Row],[PID]],Batters[[#All],[PID]],0)),INDEX(Table3[[#All],[STU P]],MATCH(Table5[[#This Row],[PID]],Table3[[#All],[PID]],0)))</f>
        <v>4</v>
      </c>
      <c r="M751" s="72">
        <f>IF($C751="B",INDEX(Batters[[#All],[GAP P]],MATCH(Table5[[#This Row],[PID]],Batters[[#All],[PID]],0)),INDEX(Table3[[#All],[MOV P]],MATCH(Table5[[#This Row],[PID]],Table3[[#All],[PID]],0)))</f>
        <v>1</v>
      </c>
      <c r="N751" s="72">
        <f>IF($C751="B",INDEX(Batters[[#All],[POW P]],MATCH(Table5[[#This Row],[PID]],Batters[[#All],[PID]],0)),INDEX(Table3[[#All],[CON P]],MATCH(Table5[[#This Row],[PID]],Table3[[#All],[PID]],0)))</f>
        <v>3</v>
      </c>
      <c r="O751" s="72" t="str">
        <f>IF($C751="B",INDEX(Batters[[#All],[EYE P]],MATCH(Table5[[#This Row],[PID]],Batters[[#All],[PID]],0)),INDEX(Table3[[#All],[VELO]],MATCH(Table5[[#This Row],[PID]],Table3[[#All],[PID]],0)))</f>
        <v>88-90 Mph</v>
      </c>
      <c r="P751" s="56">
        <f>IF($C751="B",INDEX(Batters[[#All],[K P]],MATCH(Table5[[#This Row],[PID]],Batters[[#All],[PID]],0)),INDEX(Table3[[#All],[STM]],MATCH(Table5[[#This Row],[PID]],Table3[[#All],[PID]],0)))</f>
        <v>6</v>
      </c>
      <c r="Q751" s="61">
        <f>IF($C751="B",INDEX(Batters[[#All],[Tot]],MATCH(Table5[[#This Row],[PID]],Batters[[#All],[PID]],0)),INDEX(Table3[[#All],[Tot]],MATCH(Table5[[#This Row],[PID]],Table3[[#All],[PID]],0)))</f>
        <v>33.47807494077729</v>
      </c>
      <c r="R751" s="52">
        <f>IF($C751="B",INDEX(Batters[[#All],[zScore]],MATCH(Table5[[#This Row],[PID]],Batters[[#All],[PID]],0)),INDEX(Table3[[#All],[zScore]],MATCH(Table5[[#This Row],[PID]],Table3[[#All],[PID]],0)))</f>
        <v>-0.15916611590525265</v>
      </c>
      <c r="S751" s="78" t="str">
        <f>IF($C751="B",INDEX(Batters[[#All],[DEM]],MATCH(Table5[[#This Row],[PID]],Batters[[#All],[PID]],0)),INDEX(Table3[[#All],[DEM]],MATCH(Table5[[#This Row],[PID]],Table3[[#All],[PID]],0)))</f>
        <v>$80k</v>
      </c>
      <c r="T751" s="75">
        <f>IF($C751="B",INDEX(Batters[[#All],[Rnk]],MATCH(Table5[[#This Row],[PID]],Batters[[#All],[PID]],0)),INDEX(Table3[[#All],[Rnk]],MATCH(Table5[[#This Row],[PID]],Table3[[#All],[PID]],0)))</f>
        <v>366</v>
      </c>
      <c r="U751" s="68">
        <f>IF($C751="B",VLOOKUP($A751,Bat!$A$4:$BA$1621,47,FALSE),VLOOKUP($A751,Pit!$A$4:$BF$1557,56,FALSE))</f>
        <v>0</v>
      </c>
      <c r="V751" s="50">
        <f>IF($C751="B",VLOOKUP($A751,Bat!$A$4:$BA$1621,48,FALSE),VLOOKUP($A751,Pit!$A$4:$BF$1557,57,FALSE))</f>
        <v>0</v>
      </c>
      <c r="W751" s="69">
        <f>Table5[[#This Row],[posRnk]]+Table5[[#This Row],[zRnk]]+IF($W$3&lt;&gt;Table5[[#This Row],[Type]],50,0)</f>
        <v>1052</v>
      </c>
      <c r="X751" s="73">
        <f>RANK(Table5[[#This Row],[zScore]],Table5[[#All],[zScore]])</f>
        <v>636</v>
      </c>
      <c r="Y751" s="69" t="str">
        <f>IFERROR(INDEX(DraftResults[[#All],[OVR]],MATCH(Table5[[#This Row],[PID]],DraftResults[[#All],[Player ID]],0)),"")</f>
        <v/>
      </c>
      <c r="Z75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1" s="69" t="str">
        <f>IFERROR(INDEX(DraftResults[[#All],[Pick in Round]],MATCH(Table5[[#This Row],[PID]],DraftResults[[#All],[Player ID]],0)),"")</f>
        <v/>
      </c>
      <c r="AB751" s="69" t="str">
        <f>IFERROR(INDEX(DraftResults[[#All],[Team Name]],MATCH(Table5[[#This Row],[PID]],DraftResults[[#All],[Player ID]],0)),"")</f>
        <v/>
      </c>
      <c r="AC751" s="69" t="str">
        <f>IF(Table5[[#This Row],[Ovr]]="","",IF(Table5[[#This Row],[cmbList]]="","",Table5[[#This Row],[cmbList]]-Table5[[#This Row],[Ovr]]))</f>
        <v/>
      </c>
      <c r="AD751" s="77" t="str">
        <f>IF(ISERROR(VLOOKUP($AB751&amp;"-"&amp;$E751&amp;" "&amp;F751,Bonuses!$B$1:$G$1006,4,FALSE)),"",INT(VLOOKUP($AB751&amp;"-"&amp;$E751&amp;" "&amp;$F751,Bonuses!$B$1:$G$1006,4,FALSE)))</f>
        <v/>
      </c>
      <c r="AE75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2" spans="1:31" s="50" customFormat="1" x14ac:dyDescent="0.25">
      <c r="A752" s="50">
        <v>17784</v>
      </c>
      <c r="B752" s="50">
        <f>COUNTIF(Table5[PID],A752)</f>
        <v>1</v>
      </c>
      <c r="C752" s="50" t="str">
        <f>IF(COUNTIF(Table3[[#All],[PID]],A752)&gt;0,"P","B")</f>
        <v>P</v>
      </c>
      <c r="D752" s="59" t="str">
        <f>IF($C752="B",INDEX(Batters[[#All],[POS]],MATCH(Table5[[#This Row],[PID]],Batters[[#All],[PID]],0)),INDEX(Table3[[#All],[POS]],MATCH(Table5[[#This Row],[PID]],Table3[[#All],[PID]],0)))</f>
        <v>RP</v>
      </c>
      <c r="E752" s="52" t="str">
        <f>IF($C752="B",INDEX(Batters[[#All],[First]],MATCH(Table5[[#This Row],[PID]],Batters[[#All],[PID]],0)),INDEX(Table3[[#All],[First]],MATCH(Table5[[#This Row],[PID]],Table3[[#All],[PID]],0)))</f>
        <v>Tsuginori</v>
      </c>
      <c r="F752" s="50" t="str">
        <f>IF($C752="B",INDEX(Batters[[#All],[Last]],MATCH(A752,Batters[[#All],[PID]],0)),INDEX(Table3[[#All],[Last]],MATCH(A752,Table3[[#All],[PID]],0)))</f>
        <v>Meshizuka</v>
      </c>
      <c r="G752" s="56">
        <f>IF($C752="B",INDEX(Batters[[#All],[Age]],MATCH(Table5[[#This Row],[PID]],Batters[[#All],[PID]],0)),INDEX(Table3[[#All],[Age]],MATCH(Table5[[#This Row],[PID]],Table3[[#All],[PID]],0)))</f>
        <v>21</v>
      </c>
      <c r="H752" s="52" t="str">
        <f>IF($C752="B",INDEX(Batters[[#All],[B]],MATCH(Table5[[#This Row],[PID]],Batters[[#All],[PID]],0)),INDEX(Table3[[#All],[B]],MATCH(Table5[[#This Row],[PID]],Table3[[#All],[PID]],0)))</f>
        <v>L</v>
      </c>
      <c r="I752" s="52" t="str">
        <f>IF($C752="B",INDEX(Batters[[#All],[T]],MATCH(Table5[[#This Row],[PID]],Batters[[#All],[PID]],0)),INDEX(Table3[[#All],[T]],MATCH(Table5[[#This Row],[PID]],Table3[[#All],[PID]],0)))</f>
        <v>L</v>
      </c>
      <c r="J752" s="52" t="str">
        <f>IF($C752="B",INDEX(Batters[[#All],[WE]],MATCH(Table5[[#This Row],[PID]],Batters[[#All],[PID]],0)),INDEX(Table3[[#All],[WE]],MATCH(Table5[[#This Row],[PID]],Table3[[#All],[PID]],0)))</f>
        <v>High</v>
      </c>
      <c r="K752" s="52" t="str">
        <f>IF($C752="B",INDEX(Batters[[#All],[INT]],MATCH(Table5[[#This Row],[PID]],Batters[[#All],[PID]],0)),INDEX(Table3[[#All],[INT]],MATCH(Table5[[#This Row],[PID]],Table3[[#All],[PID]],0)))</f>
        <v>Normal</v>
      </c>
      <c r="L752" s="60">
        <f>IF($C752="B",INDEX(Batters[[#All],[CON P]],MATCH(Table5[[#This Row],[PID]],Batters[[#All],[PID]],0)),INDEX(Table3[[#All],[STU P]],MATCH(Table5[[#This Row],[PID]],Table3[[#All],[PID]],0)))</f>
        <v>4</v>
      </c>
      <c r="M752" s="56">
        <f>IF($C752="B",INDEX(Batters[[#All],[GAP P]],MATCH(Table5[[#This Row],[PID]],Batters[[#All],[PID]],0)),INDEX(Table3[[#All],[MOV P]],MATCH(Table5[[#This Row],[PID]],Table3[[#All],[PID]],0)))</f>
        <v>2</v>
      </c>
      <c r="N752" s="56">
        <f>IF($C752="B",INDEX(Batters[[#All],[POW P]],MATCH(Table5[[#This Row],[PID]],Batters[[#All],[PID]],0)),INDEX(Table3[[#All],[CON P]],MATCH(Table5[[#This Row],[PID]],Table3[[#All],[PID]],0)))</f>
        <v>4</v>
      </c>
      <c r="O752" s="56" t="str">
        <f>IF($C752="B",INDEX(Batters[[#All],[EYE P]],MATCH(Table5[[#This Row],[PID]],Batters[[#All],[PID]],0)),INDEX(Table3[[#All],[VELO]],MATCH(Table5[[#This Row],[PID]],Table3[[#All],[PID]],0)))</f>
        <v>87-89 Mph</v>
      </c>
      <c r="P752" s="56">
        <f>IF($C752="B",INDEX(Batters[[#All],[K P]],MATCH(Table5[[#This Row],[PID]],Batters[[#All],[PID]],0)),INDEX(Table3[[#All],[STM]],MATCH(Table5[[#This Row],[PID]],Table3[[#All],[PID]],0)))</f>
        <v>8</v>
      </c>
      <c r="Q752" s="61">
        <f>IF($C752="B",INDEX(Batters[[#All],[Tot]],MATCH(Table5[[#This Row],[PID]],Batters[[#All],[PID]],0)),INDEX(Table3[[#All],[Tot]],MATCH(Table5[[#This Row],[PID]],Table3[[#All],[PID]],0)))</f>
        <v>33.444214004803584</v>
      </c>
      <c r="R752" s="52">
        <f>IF($C752="B",INDEX(Batters[[#All],[zScore]],MATCH(Table5[[#This Row],[PID]],Batters[[#All],[PID]],0)),INDEX(Table3[[#All],[zScore]],MATCH(Table5[[#This Row],[PID]],Table3[[#All],[PID]],0)))</f>
        <v>-0.16141883223238768</v>
      </c>
      <c r="S752" s="58" t="str">
        <f>IF($C752="B",INDEX(Batters[[#All],[DEM]],MATCH(Table5[[#This Row],[PID]],Batters[[#All],[PID]],0)),INDEX(Table3[[#All],[DEM]],MATCH(Table5[[#This Row],[PID]],Table3[[#All],[PID]],0)))</f>
        <v>-</v>
      </c>
      <c r="T752" s="62">
        <f>IF($C752="B",INDEX(Batters[[#All],[Rnk]],MATCH(Table5[[#This Row],[PID]],Batters[[#All],[PID]],0)),INDEX(Table3[[#All],[Rnk]],MATCH(Table5[[#This Row],[PID]],Table3[[#All],[PID]],0)))</f>
        <v>368</v>
      </c>
      <c r="U752" s="68">
        <f>IF($C752="B",VLOOKUP($A752,Bat!$A$4:$BA$1621,47,FALSE),VLOOKUP($A752,Pit!$A$4:$BF$1557,56,FALSE))</f>
        <v>0</v>
      </c>
      <c r="V752" s="50">
        <f>IF($C752="B",VLOOKUP($A752,Bat!$A$4:$BA$1621,48,FALSE),VLOOKUP($A752,Pit!$A$4:$BF$1557,57,FALSE))</f>
        <v>0</v>
      </c>
      <c r="W752" s="50">
        <f>Table5[[#This Row],[posRnk]]+Table5[[#This Row],[zRnk]]+IF($W$3&lt;&gt;Table5[[#This Row],[Type]],50,0)</f>
        <v>1056</v>
      </c>
      <c r="X752" s="51">
        <f>RANK(Table5[[#This Row],[zScore]],Table5[[#All],[zScore]])</f>
        <v>638</v>
      </c>
      <c r="Y752" s="50" t="str">
        <f>IFERROR(INDEX(DraftResults[[#All],[OVR]],MATCH(Table5[[#This Row],[PID]],DraftResults[[#All],[Player ID]],0)),"")</f>
        <v/>
      </c>
      <c r="Z7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2" s="50" t="str">
        <f>IFERROR(INDEX(DraftResults[[#All],[Pick in Round]],MATCH(Table5[[#This Row],[PID]],DraftResults[[#All],[Player ID]],0)),"")</f>
        <v/>
      </c>
      <c r="AB752" s="50" t="str">
        <f>IFERROR(INDEX(DraftResults[[#All],[Team Name]],MATCH(Table5[[#This Row],[PID]],DraftResults[[#All],[Player ID]],0)),"")</f>
        <v/>
      </c>
      <c r="AC752" s="50" t="str">
        <f>IF(Table5[[#This Row],[Ovr]]="","",IF(Table5[[#This Row],[cmbList]]="","",Table5[[#This Row],[cmbList]]-Table5[[#This Row],[Ovr]]))</f>
        <v/>
      </c>
      <c r="AD752" s="54" t="str">
        <f>IF(ISERROR(VLOOKUP($AB752&amp;"-"&amp;$E752&amp;" "&amp;F752,Bonuses!$B$1:$G$1006,4,FALSE)),"",INT(VLOOKUP($AB752&amp;"-"&amp;$E752&amp;" "&amp;$F752,Bonuses!$B$1:$G$1006,4,FALSE)))</f>
        <v/>
      </c>
      <c r="AE7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3" spans="1:31" s="50" customFormat="1" x14ac:dyDescent="0.25">
      <c r="A753" s="68">
        <v>20901</v>
      </c>
      <c r="B753" s="69">
        <f>COUNTIF(Table5[PID],A753)</f>
        <v>1</v>
      </c>
      <c r="C753" s="69" t="str">
        <f>IF(COUNTIF(Table3[[#All],[PID]],A753)&gt;0,"P","B")</f>
        <v>P</v>
      </c>
      <c r="D753" s="59" t="str">
        <f>IF($C753="B",INDEX(Batters[[#All],[POS]],MATCH(Table5[[#This Row],[PID]],Batters[[#All],[PID]],0)),INDEX(Table3[[#All],[POS]],MATCH(Table5[[#This Row],[PID]],Table3[[#All],[PID]],0)))</f>
        <v>SP</v>
      </c>
      <c r="E753" s="52" t="str">
        <f>IF($C753="B",INDEX(Batters[[#All],[First]],MATCH(Table5[[#This Row],[PID]],Batters[[#All],[PID]],0)),INDEX(Table3[[#All],[First]],MATCH(Table5[[#This Row],[PID]],Table3[[#All],[PID]],0)))</f>
        <v>Dominic</v>
      </c>
      <c r="F753" s="55" t="str">
        <f>IF($C753="B",INDEX(Batters[[#All],[Last]],MATCH(A753,Batters[[#All],[PID]],0)),INDEX(Table3[[#All],[Last]],MATCH(A753,Table3[[#All],[PID]],0)))</f>
        <v>Jacobs</v>
      </c>
      <c r="G753" s="56">
        <f>IF($C753="B",INDEX(Batters[[#All],[Age]],MATCH(Table5[[#This Row],[PID]],Batters[[#All],[PID]],0)),INDEX(Table3[[#All],[Age]],MATCH(Table5[[#This Row],[PID]],Table3[[#All],[PID]],0)))</f>
        <v>18</v>
      </c>
      <c r="H753" s="52" t="str">
        <f>IF($C753="B",INDEX(Batters[[#All],[B]],MATCH(Table5[[#This Row],[PID]],Batters[[#All],[PID]],0)),INDEX(Table3[[#All],[B]],MATCH(Table5[[#This Row],[PID]],Table3[[#All],[PID]],0)))</f>
        <v>L</v>
      </c>
      <c r="I753" s="52" t="str">
        <f>IF($C753="B",INDEX(Batters[[#All],[T]],MATCH(Table5[[#This Row],[PID]],Batters[[#All],[PID]],0)),INDEX(Table3[[#All],[T]],MATCH(Table5[[#This Row],[PID]],Table3[[#All],[PID]],0)))</f>
        <v>L</v>
      </c>
      <c r="J753" s="71" t="str">
        <f>IF($C753="B",INDEX(Batters[[#All],[WE]],MATCH(Table5[[#This Row],[PID]],Batters[[#All],[PID]],0)),INDEX(Table3[[#All],[WE]],MATCH(Table5[[#This Row],[PID]],Table3[[#All],[PID]],0)))</f>
        <v>Low</v>
      </c>
      <c r="K753" s="52" t="str">
        <f>IF($C753="B",INDEX(Batters[[#All],[INT]],MATCH(Table5[[#This Row],[PID]],Batters[[#All],[PID]],0)),INDEX(Table3[[#All],[INT]],MATCH(Table5[[#This Row],[PID]],Table3[[#All],[PID]],0)))</f>
        <v>Normal</v>
      </c>
      <c r="L753" s="60">
        <f>IF($C753="B",INDEX(Batters[[#All],[CON P]],MATCH(Table5[[#This Row],[PID]],Batters[[#All],[PID]],0)),INDEX(Table3[[#All],[STU P]],MATCH(Table5[[#This Row],[PID]],Table3[[#All],[PID]],0)))</f>
        <v>4</v>
      </c>
      <c r="M753" s="72">
        <f>IF($C753="B",INDEX(Batters[[#All],[GAP P]],MATCH(Table5[[#This Row],[PID]],Batters[[#All],[PID]],0)),INDEX(Table3[[#All],[MOV P]],MATCH(Table5[[#This Row],[PID]],Table3[[#All],[PID]],0)))</f>
        <v>2</v>
      </c>
      <c r="N753" s="72">
        <f>IF($C753="B",INDEX(Batters[[#All],[POW P]],MATCH(Table5[[#This Row],[PID]],Batters[[#All],[PID]],0)),INDEX(Table3[[#All],[CON P]],MATCH(Table5[[#This Row],[PID]],Table3[[#All],[PID]],0)))</f>
        <v>3</v>
      </c>
      <c r="O753" s="72" t="str">
        <f>IF($C753="B",INDEX(Batters[[#All],[EYE P]],MATCH(Table5[[#This Row],[PID]],Batters[[#All],[PID]],0)),INDEX(Table3[[#All],[VELO]],MATCH(Table5[[#This Row],[PID]],Table3[[#All],[PID]],0)))</f>
        <v>88-90 Mph</v>
      </c>
      <c r="P753" s="56">
        <f>IF($C753="B",INDEX(Batters[[#All],[K P]],MATCH(Table5[[#This Row],[PID]],Batters[[#All],[PID]],0)),INDEX(Table3[[#All],[STM]],MATCH(Table5[[#This Row],[PID]],Table3[[#All],[PID]],0)))</f>
        <v>10</v>
      </c>
      <c r="Q753" s="61">
        <f>IF($C753="B",INDEX(Batters[[#All],[Tot]],MATCH(Table5[[#This Row],[PID]],Batters[[#All],[PID]],0)),INDEX(Table3[[#All],[Tot]],MATCH(Table5[[#This Row],[PID]],Table3[[#All],[PID]],0)))</f>
        <v>33.400874457299729</v>
      </c>
      <c r="R753" s="52">
        <f>IF($C753="B",INDEX(Batters[[#All],[zScore]],MATCH(Table5[[#This Row],[PID]],Batters[[#All],[PID]],0)),INDEX(Table3[[#All],[zScore]],MATCH(Table5[[#This Row],[PID]],Table3[[#All],[PID]],0)))</f>
        <v>-0.16430214610027338</v>
      </c>
      <c r="S753" s="78" t="str">
        <f>IF($C753="B",INDEX(Batters[[#All],[DEM]],MATCH(Table5[[#This Row],[PID]],Batters[[#All],[PID]],0)),INDEX(Table3[[#All],[DEM]],MATCH(Table5[[#This Row],[PID]],Table3[[#All],[PID]],0)))</f>
        <v>$80k</v>
      </c>
      <c r="T753" s="75">
        <f>IF($C753="B",INDEX(Batters[[#All],[Rnk]],MATCH(Table5[[#This Row],[PID]],Batters[[#All],[PID]],0)),INDEX(Table3[[#All],[Rnk]],MATCH(Table5[[#This Row],[PID]],Table3[[#All],[PID]],0)))</f>
        <v>369</v>
      </c>
      <c r="U753" s="68">
        <f>IF($C753="B",VLOOKUP($A753,Bat!$A$4:$BA$1621,47,FALSE),VLOOKUP($A753,Pit!$A$4:$BF$1557,56,FALSE))</f>
        <v>0</v>
      </c>
      <c r="V753" s="50">
        <f>IF($C753="B",VLOOKUP($A753,Bat!$A$4:$BA$1621,48,FALSE),VLOOKUP($A753,Pit!$A$4:$BF$1557,57,FALSE))</f>
        <v>0</v>
      </c>
      <c r="W753" s="69">
        <f>Table5[[#This Row],[posRnk]]+Table5[[#This Row],[zRnk]]+IF($W$3&lt;&gt;Table5[[#This Row],[Type]],50,0)</f>
        <v>1058</v>
      </c>
      <c r="X753" s="73">
        <f>RANK(Table5[[#This Row],[zScore]],Table5[[#All],[zScore]])</f>
        <v>639</v>
      </c>
      <c r="Y753" s="69" t="str">
        <f>IFERROR(INDEX(DraftResults[[#All],[OVR]],MATCH(Table5[[#This Row],[PID]],DraftResults[[#All],[Player ID]],0)),"")</f>
        <v/>
      </c>
      <c r="Z75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3" s="69" t="str">
        <f>IFERROR(INDEX(DraftResults[[#All],[Pick in Round]],MATCH(Table5[[#This Row],[PID]],DraftResults[[#All],[Player ID]],0)),"")</f>
        <v/>
      </c>
      <c r="AB753" s="69" t="str">
        <f>IFERROR(INDEX(DraftResults[[#All],[Team Name]],MATCH(Table5[[#This Row],[PID]],DraftResults[[#All],[Player ID]],0)),"")</f>
        <v/>
      </c>
      <c r="AC753" s="69" t="str">
        <f>IF(Table5[[#This Row],[Ovr]]="","",IF(Table5[[#This Row],[cmbList]]="","",Table5[[#This Row],[cmbList]]-Table5[[#This Row],[Ovr]]))</f>
        <v/>
      </c>
      <c r="AD753" s="77" t="str">
        <f>IF(ISERROR(VLOOKUP($AB753&amp;"-"&amp;$E753&amp;" "&amp;F753,Bonuses!$B$1:$G$1006,4,FALSE)),"",INT(VLOOKUP($AB753&amp;"-"&amp;$E753&amp;" "&amp;$F753,Bonuses!$B$1:$G$1006,4,FALSE)))</f>
        <v/>
      </c>
      <c r="AE75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4" spans="1:31" s="50" customFormat="1" x14ac:dyDescent="0.25">
      <c r="A754" s="50">
        <v>20679</v>
      </c>
      <c r="B754" s="50">
        <f>COUNTIF(Table5[PID],A754)</f>
        <v>1</v>
      </c>
      <c r="C754" s="50" t="str">
        <f>IF(COUNTIF(Table3[[#All],[PID]],A754)&gt;0,"P","B")</f>
        <v>P</v>
      </c>
      <c r="D754" s="59" t="str">
        <f>IF($C754="B",INDEX(Batters[[#All],[POS]],MATCH(Table5[[#This Row],[PID]],Batters[[#All],[PID]],0)),INDEX(Table3[[#All],[POS]],MATCH(Table5[[#This Row],[PID]],Table3[[#All],[PID]],0)))</f>
        <v>RP</v>
      </c>
      <c r="E754" s="52" t="str">
        <f>IF($C754="B",INDEX(Batters[[#All],[First]],MATCH(Table5[[#This Row],[PID]],Batters[[#All],[PID]],0)),INDEX(Table3[[#All],[First]],MATCH(Table5[[#This Row],[PID]],Table3[[#All],[PID]],0)))</f>
        <v>Akihiko</v>
      </c>
      <c r="F754" s="50" t="str">
        <f>IF($C754="B",INDEX(Batters[[#All],[Last]],MATCH(A754,Batters[[#All],[PID]],0)),INDEX(Table3[[#All],[Last]],MATCH(A754,Table3[[#All],[PID]],0)))</f>
        <v>Kobayashi</v>
      </c>
      <c r="G754" s="56">
        <f>IF($C754="B",INDEX(Batters[[#All],[Age]],MATCH(Table5[[#This Row],[PID]],Batters[[#All],[PID]],0)),INDEX(Table3[[#All],[Age]],MATCH(Table5[[#This Row],[PID]],Table3[[#All],[PID]],0)))</f>
        <v>17</v>
      </c>
      <c r="H754" s="52" t="str">
        <f>IF($C754="B",INDEX(Batters[[#All],[B]],MATCH(Table5[[#This Row],[PID]],Batters[[#All],[PID]],0)),INDEX(Table3[[#All],[B]],MATCH(Table5[[#This Row],[PID]],Table3[[#All],[PID]],0)))</f>
        <v>R</v>
      </c>
      <c r="I754" s="52" t="str">
        <f>IF($C754="B",INDEX(Batters[[#All],[T]],MATCH(Table5[[#This Row],[PID]],Batters[[#All],[PID]],0)),INDEX(Table3[[#All],[T]],MATCH(Table5[[#This Row],[PID]],Table3[[#All],[PID]],0)))</f>
        <v>R</v>
      </c>
      <c r="J754" s="52" t="str">
        <f>IF($C754="B",INDEX(Batters[[#All],[WE]],MATCH(Table5[[#This Row],[PID]],Batters[[#All],[PID]],0)),INDEX(Table3[[#All],[WE]],MATCH(Table5[[#This Row],[PID]],Table3[[#All],[PID]],0)))</f>
        <v>Low</v>
      </c>
      <c r="K754" s="52" t="str">
        <f>IF($C754="B",INDEX(Batters[[#All],[INT]],MATCH(Table5[[#This Row],[PID]],Batters[[#All],[PID]],0)),INDEX(Table3[[#All],[INT]],MATCH(Table5[[#This Row],[PID]],Table3[[#All],[PID]],0)))</f>
        <v>Normal</v>
      </c>
      <c r="L754" s="60">
        <f>IF($C754="B",INDEX(Batters[[#All],[CON P]],MATCH(Table5[[#This Row],[PID]],Batters[[#All],[PID]],0)),INDEX(Table3[[#All],[STU P]],MATCH(Table5[[#This Row],[PID]],Table3[[#All],[PID]],0)))</f>
        <v>5</v>
      </c>
      <c r="M754" s="56">
        <f>IF($C754="B",INDEX(Batters[[#All],[GAP P]],MATCH(Table5[[#This Row],[PID]],Batters[[#All],[PID]],0)),INDEX(Table3[[#All],[MOV P]],MATCH(Table5[[#This Row],[PID]],Table3[[#All],[PID]],0)))</f>
        <v>1</v>
      </c>
      <c r="N754" s="56">
        <f>IF($C754="B",INDEX(Batters[[#All],[POW P]],MATCH(Table5[[#This Row],[PID]],Batters[[#All],[PID]],0)),INDEX(Table3[[#All],[CON P]],MATCH(Table5[[#This Row],[PID]],Table3[[#All],[PID]],0)))</f>
        <v>3</v>
      </c>
      <c r="O754" s="56" t="str">
        <f>IF($C754="B",INDEX(Batters[[#All],[EYE P]],MATCH(Table5[[#This Row],[PID]],Batters[[#All],[PID]],0)),INDEX(Table3[[#All],[VELO]],MATCH(Table5[[#This Row],[PID]],Table3[[#All],[PID]],0)))</f>
        <v>86-88 Mph</v>
      </c>
      <c r="P754" s="56">
        <f>IF($C754="B",INDEX(Batters[[#All],[K P]],MATCH(Table5[[#This Row],[PID]],Batters[[#All],[PID]],0)),INDEX(Table3[[#All],[STM]],MATCH(Table5[[#This Row],[PID]],Table3[[#All],[PID]],0)))</f>
        <v>6</v>
      </c>
      <c r="Q754" s="61">
        <f>IF($C754="B",INDEX(Batters[[#All],[Tot]],MATCH(Table5[[#This Row],[PID]],Batters[[#All],[PID]],0)),INDEX(Table3[[#All],[Tot]],MATCH(Table5[[#This Row],[PID]],Table3[[#All],[PID]],0)))</f>
        <v>35.395202980270867</v>
      </c>
      <c r="R754" s="52">
        <f>IF($C754="B",INDEX(Batters[[#All],[zScore]],MATCH(Table5[[#This Row],[PID]],Batters[[#All],[PID]],0)),INDEX(Table3[[#All],[zScore]],MATCH(Table5[[#This Row],[PID]],Table3[[#All],[PID]],0)))</f>
        <v>-0.16498656266079167</v>
      </c>
      <c r="S754" s="58" t="str">
        <f>IF($C754="B",INDEX(Batters[[#All],[DEM]],MATCH(Table5[[#This Row],[PID]],Batters[[#All],[PID]],0)),INDEX(Table3[[#All],[DEM]],MATCH(Table5[[#This Row],[PID]],Table3[[#All],[PID]],0)))</f>
        <v>$95k</v>
      </c>
      <c r="T754" s="62">
        <f>IF($C754="B",INDEX(Batters[[#All],[Rnk]],MATCH(Table5[[#This Row],[PID]],Batters[[#All],[PID]],0)),INDEX(Table3[[#All],[Rnk]],MATCH(Table5[[#This Row],[PID]],Table3[[#All],[PID]],0)))</f>
        <v>370</v>
      </c>
      <c r="U754" s="68">
        <f>IF($C754="B",VLOOKUP($A754,Bat!$A$4:$BA$1621,47,FALSE),VLOOKUP($A754,Pit!$A$4:$BF$1557,56,FALSE))</f>
        <v>0</v>
      </c>
      <c r="V754" s="50">
        <f>IF($C754="B",VLOOKUP($A754,Bat!$A$4:$BA$1621,48,FALSE),VLOOKUP($A754,Pit!$A$4:$BF$1557,57,FALSE))</f>
        <v>0</v>
      </c>
      <c r="W754" s="50">
        <f>Table5[[#This Row],[posRnk]]+Table5[[#This Row],[zRnk]]+IF($W$3&lt;&gt;Table5[[#This Row],[Type]],50,0)</f>
        <v>1060</v>
      </c>
      <c r="X754" s="51">
        <f>RANK(Table5[[#This Row],[zScore]],Table5[[#All],[zScore]])</f>
        <v>640</v>
      </c>
      <c r="Y754" s="50" t="str">
        <f>IFERROR(INDEX(DraftResults[[#All],[OVR]],MATCH(Table5[[#This Row],[PID]],DraftResults[[#All],[Player ID]],0)),"")</f>
        <v/>
      </c>
      <c r="Z7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4" s="50" t="str">
        <f>IFERROR(INDEX(DraftResults[[#All],[Pick in Round]],MATCH(Table5[[#This Row],[PID]],DraftResults[[#All],[Player ID]],0)),"")</f>
        <v/>
      </c>
      <c r="AB754" s="50" t="str">
        <f>IFERROR(INDEX(DraftResults[[#All],[Team Name]],MATCH(Table5[[#This Row],[PID]],DraftResults[[#All],[Player ID]],0)),"")</f>
        <v/>
      </c>
      <c r="AC754" s="50" t="str">
        <f>IF(Table5[[#This Row],[Ovr]]="","",IF(Table5[[#This Row],[cmbList]]="","",Table5[[#This Row],[cmbList]]-Table5[[#This Row],[Ovr]]))</f>
        <v/>
      </c>
      <c r="AD754" s="54" t="str">
        <f>IF(ISERROR(VLOOKUP($AB754&amp;"-"&amp;$E754&amp;" "&amp;F754,Bonuses!$B$1:$G$1006,4,FALSE)),"",INT(VLOOKUP($AB754&amp;"-"&amp;$E754&amp;" "&amp;$F754,Bonuses!$B$1:$G$1006,4,FALSE)))</f>
        <v/>
      </c>
      <c r="AE7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5" spans="1:31" s="50" customFormat="1" x14ac:dyDescent="0.25">
      <c r="A755" s="50">
        <v>21086</v>
      </c>
      <c r="B755" s="50">
        <f>COUNTIF(Table5[PID],A755)</f>
        <v>1</v>
      </c>
      <c r="C755" s="50" t="str">
        <f>IF(COUNTIF(Table3[[#All],[PID]],A755)&gt;0,"P","B")</f>
        <v>P</v>
      </c>
      <c r="D755" s="59" t="str">
        <f>IF($C755="B",INDEX(Batters[[#All],[POS]],MATCH(Table5[[#This Row],[PID]],Batters[[#All],[PID]],0)),INDEX(Table3[[#All],[POS]],MATCH(Table5[[#This Row],[PID]],Table3[[#All],[PID]],0)))</f>
        <v>RP</v>
      </c>
      <c r="E755" s="52" t="str">
        <f>IF($C755="B",INDEX(Batters[[#All],[First]],MATCH(Table5[[#This Row],[PID]],Batters[[#All],[PID]],0)),INDEX(Table3[[#All],[First]],MATCH(Table5[[#This Row],[PID]],Table3[[#All],[PID]],0)))</f>
        <v>Eugene</v>
      </c>
      <c r="F755" s="50" t="str">
        <f>IF($C755="B",INDEX(Batters[[#All],[Last]],MATCH(A755,Batters[[#All],[PID]],0)),INDEX(Table3[[#All],[Last]],MATCH(A755,Table3[[#All],[PID]],0)))</f>
        <v>Thomas</v>
      </c>
      <c r="G755" s="56">
        <f>IF($C755="B",INDEX(Batters[[#All],[Age]],MATCH(Table5[[#This Row],[PID]],Batters[[#All],[PID]],0)),INDEX(Table3[[#All],[Age]],MATCH(Table5[[#This Row],[PID]],Table3[[#All],[PID]],0)))</f>
        <v>18</v>
      </c>
      <c r="H755" s="52" t="str">
        <f>IF($C755="B",INDEX(Batters[[#All],[B]],MATCH(Table5[[#This Row],[PID]],Batters[[#All],[PID]],0)),INDEX(Table3[[#All],[B]],MATCH(Table5[[#This Row],[PID]],Table3[[#All],[PID]],0)))</f>
        <v>L</v>
      </c>
      <c r="I755" s="52" t="str">
        <f>IF($C755="B",INDEX(Batters[[#All],[T]],MATCH(Table5[[#This Row],[PID]],Batters[[#All],[PID]],0)),INDEX(Table3[[#All],[T]],MATCH(Table5[[#This Row],[PID]],Table3[[#All],[PID]],0)))</f>
        <v>L</v>
      </c>
      <c r="J755" s="52" t="str">
        <f>IF($C755="B",INDEX(Batters[[#All],[WE]],MATCH(Table5[[#This Row],[PID]],Batters[[#All],[PID]],0)),INDEX(Table3[[#All],[WE]],MATCH(Table5[[#This Row],[PID]],Table3[[#All],[PID]],0)))</f>
        <v>Normal</v>
      </c>
      <c r="K755" s="52" t="str">
        <f>IF($C755="B",INDEX(Batters[[#All],[INT]],MATCH(Table5[[#This Row],[PID]],Batters[[#All],[PID]],0)),INDEX(Table3[[#All],[INT]],MATCH(Table5[[#This Row],[PID]],Table3[[#All],[PID]],0)))</f>
        <v>Normal</v>
      </c>
      <c r="L755" s="60">
        <f>IF($C755="B",INDEX(Batters[[#All],[CON P]],MATCH(Table5[[#This Row],[PID]],Batters[[#All],[PID]],0)),INDEX(Table3[[#All],[STU P]],MATCH(Table5[[#This Row],[PID]],Table3[[#All],[PID]],0)))</f>
        <v>5</v>
      </c>
      <c r="M755" s="56">
        <f>IF($C755="B",INDEX(Batters[[#All],[GAP P]],MATCH(Table5[[#This Row],[PID]],Batters[[#All],[PID]],0)),INDEX(Table3[[#All],[MOV P]],MATCH(Table5[[#This Row],[PID]],Table3[[#All],[PID]],0)))</f>
        <v>1</v>
      </c>
      <c r="N755" s="56">
        <f>IF($C755="B",INDEX(Batters[[#All],[POW P]],MATCH(Table5[[#This Row],[PID]],Batters[[#All],[PID]],0)),INDEX(Table3[[#All],[CON P]],MATCH(Table5[[#This Row],[PID]],Table3[[#All],[PID]],0)))</f>
        <v>3</v>
      </c>
      <c r="O755" s="56" t="str">
        <f>IF($C755="B",INDEX(Batters[[#All],[EYE P]],MATCH(Table5[[#This Row],[PID]],Batters[[#All],[PID]],0)),INDEX(Table3[[#All],[VELO]],MATCH(Table5[[#This Row],[PID]],Table3[[#All],[PID]],0)))</f>
        <v>89-91 Mph</v>
      </c>
      <c r="P755" s="56">
        <f>IF($C755="B",INDEX(Batters[[#All],[K P]],MATCH(Table5[[#This Row],[PID]],Batters[[#All],[PID]],0)),INDEX(Table3[[#All],[STM]],MATCH(Table5[[#This Row],[PID]],Table3[[#All],[PID]],0)))</f>
        <v>3</v>
      </c>
      <c r="Q755" s="61">
        <f>IF($C755="B",INDEX(Batters[[#All],[Tot]],MATCH(Table5[[#This Row],[PID]],Batters[[#All],[PID]],0)),INDEX(Table3[[#All],[Tot]],MATCH(Table5[[#This Row],[PID]],Table3[[#All],[PID]],0)))</f>
        <v>34.46463126181628</v>
      </c>
      <c r="R755" s="52">
        <f>IF($C755="B",INDEX(Batters[[#All],[zScore]],MATCH(Table5[[#This Row],[PID]],Batters[[#All],[PID]],0)),INDEX(Table3[[#All],[zScore]],MATCH(Table5[[#This Row],[PID]],Table3[[#All],[PID]],0)))</f>
        <v>-0.16750794789235232</v>
      </c>
      <c r="S755" s="58" t="str">
        <f>IF($C755="B",INDEX(Batters[[#All],[DEM]],MATCH(Table5[[#This Row],[PID]],Batters[[#All],[PID]],0)),INDEX(Table3[[#All],[DEM]],MATCH(Table5[[#This Row],[PID]],Table3[[#All],[PID]],0)))</f>
        <v>$1.9m</v>
      </c>
      <c r="T755" s="62">
        <f>IF($C755="B",INDEX(Batters[[#All],[Rnk]],MATCH(Table5[[#This Row],[PID]],Batters[[#All],[PID]],0)),INDEX(Table3[[#All],[Rnk]],MATCH(Table5[[#This Row],[PID]],Table3[[#All],[PID]],0)))</f>
        <v>371</v>
      </c>
      <c r="U755" s="68">
        <f>IF($C755="B",VLOOKUP($A755,Bat!$A$4:$BA$1621,47,FALSE),VLOOKUP($A755,Pit!$A$4:$BF$1557,56,FALSE))</f>
        <v>0</v>
      </c>
      <c r="V755" s="50">
        <f>IF($C755="B",VLOOKUP($A755,Bat!$A$4:$BA$1621,48,FALSE),VLOOKUP($A755,Pit!$A$4:$BF$1557,57,FALSE))</f>
        <v>0</v>
      </c>
      <c r="W755" s="50">
        <f>Table5[[#This Row],[posRnk]]+Table5[[#This Row],[zRnk]]+IF($W$3&lt;&gt;Table5[[#This Row],[Type]],50,0)</f>
        <v>1062</v>
      </c>
      <c r="X755" s="51">
        <f>RANK(Table5[[#This Row],[zScore]],Table5[[#All],[zScore]])</f>
        <v>641</v>
      </c>
      <c r="Y755" s="50" t="str">
        <f>IFERROR(INDEX(DraftResults[[#All],[OVR]],MATCH(Table5[[#This Row],[PID]],DraftResults[[#All],[Player ID]],0)),"")</f>
        <v/>
      </c>
      <c r="Z7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5" s="50" t="str">
        <f>IFERROR(INDEX(DraftResults[[#All],[Pick in Round]],MATCH(Table5[[#This Row],[PID]],DraftResults[[#All],[Player ID]],0)),"")</f>
        <v/>
      </c>
      <c r="AB755" s="50" t="str">
        <f>IFERROR(INDEX(DraftResults[[#All],[Team Name]],MATCH(Table5[[#This Row],[PID]],DraftResults[[#All],[Player ID]],0)),"")</f>
        <v/>
      </c>
      <c r="AC755" s="50" t="str">
        <f>IF(Table5[[#This Row],[Ovr]]="","",IF(Table5[[#This Row],[cmbList]]="","",Table5[[#This Row],[cmbList]]-Table5[[#This Row],[Ovr]]))</f>
        <v/>
      </c>
      <c r="AD755" s="54" t="str">
        <f>IF(ISERROR(VLOOKUP($AB755&amp;"-"&amp;$E755&amp;" "&amp;F755,Bonuses!$B$1:$G$1006,4,FALSE)),"",INT(VLOOKUP($AB755&amp;"-"&amp;$E755&amp;" "&amp;$F755,Bonuses!$B$1:$G$1006,4,FALSE)))</f>
        <v/>
      </c>
      <c r="AE7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6" spans="1:31" s="50" customFormat="1" x14ac:dyDescent="0.25">
      <c r="A756" s="50">
        <v>18407</v>
      </c>
      <c r="B756" s="50">
        <f>COUNTIF(Table5[PID],A756)</f>
        <v>1</v>
      </c>
      <c r="C756" s="50" t="str">
        <f>IF(COUNTIF(Table3[[#All],[PID]],A756)&gt;0,"P","B")</f>
        <v>P</v>
      </c>
      <c r="D756" s="59" t="str">
        <f>IF($C756="B",INDEX(Batters[[#All],[POS]],MATCH(Table5[[#This Row],[PID]],Batters[[#All],[PID]],0)),INDEX(Table3[[#All],[POS]],MATCH(Table5[[#This Row],[PID]],Table3[[#All],[PID]],0)))</f>
        <v>RP</v>
      </c>
      <c r="E756" s="52" t="str">
        <f>IF($C756="B",INDEX(Batters[[#All],[First]],MATCH(Table5[[#This Row],[PID]],Batters[[#All],[PID]],0)),INDEX(Table3[[#All],[First]],MATCH(Table5[[#This Row],[PID]],Table3[[#All],[PID]],0)))</f>
        <v>Valentín</v>
      </c>
      <c r="F756" s="50" t="str">
        <f>IF($C756="B",INDEX(Batters[[#All],[Last]],MATCH(A756,Batters[[#All],[PID]],0)),INDEX(Table3[[#All],[Last]],MATCH(A756,Table3[[#All],[PID]],0)))</f>
        <v>García</v>
      </c>
      <c r="G756" s="56">
        <f>IF($C756="B",INDEX(Batters[[#All],[Age]],MATCH(Table5[[#This Row],[PID]],Batters[[#All],[PID]],0)),INDEX(Table3[[#All],[Age]],MATCH(Table5[[#This Row],[PID]],Table3[[#All],[PID]],0)))</f>
        <v>18</v>
      </c>
      <c r="H756" s="52" t="str">
        <f>IF($C756="B",INDEX(Batters[[#All],[B]],MATCH(Table5[[#This Row],[PID]],Batters[[#All],[PID]],0)),INDEX(Table3[[#All],[B]],MATCH(Table5[[#This Row],[PID]],Table3[[#All],[PID]],0)))</f>
        <v>R</v>
      </c>
      <c r="I756" s="52" t="str">
        <f>IF($C756="B",INDEX(Batters[[#All],[T]],MATCH(Table5[[#This Row],[PID]],Batters[[#All],[PID]],0)),INDEX(Table3[[#All],[T]],MATCH(Table5[[#This Row],[PID]],Table3[[#All],[PID]],0)))</f>
        <v>R</v>
      </c>
      <c r="J756" s="52" t="str">
        <f>IF($C756="B",INDEX(Batters[[#All],[WE]],MATCH(Table5[[#This Row],[PID]],Batters[[#All],[PID]],0)),INDEX(Table3[[#All],[WE]],MATCH(Table5[[#This Row],[PID]],Table3[[#All],[PID]],0)))</f>
        <v>Normal</v>
      </c>
      <c r="K756" s="52" t="str">
        <f>IF($C756="B",INDEX(Batters[[#All],[INT]],MATCH(Table5[[#This Row],[PID]],Batters[[#All],[PID]],0)),INDEX(Table3[[#All],[INT]],MATCH(Table5[[#This Row],[PID]],Table3[[#All],[PID]],0)))</f>
        <v>Normal</v>
      </c>
      <c r="L756" s="60">
        <f>IF($C756="B",INDEX(Batters[[#All],[CON P]],MATCH(Table5[[#This Row],[PID]],Batters[[#All],[PID]],0)),INDEX(Table3[[#All],[STU P]],MATCH(Table5[[#This Row],[PID]],Table3[[#All],[PID]],0)))</f>
        <v>2</v>
      </c>
      <c r="M756" s="56">
        <f>IF($C756="B",INDEX(Batters[[#All],[GAP P]],MATCH(Table5[[#This Row],[PID]],Batters[[#All],[PID]],0)),INDEX(Table3[[#All],[MOV P]],MATCH(Table5[[#This Row],[PID]],Table3[[#All],[PID]],0)))</f>
        <v>2</v>
      </c>
      <c r="N756" s="56">
        <f>IF($C756="B",INDEX(Batters[[#All],[POW P]],MATCH(Table5[[#This Row],[PID]],Batters[[#All],[PID]],0)),INDEX(Table3[[#All],[CON P]],MATCH(Table5[[#This Row],[PID]],Table3[[#All],[PID]],0)))</f>
        <v>4</v>
      </c>
      <c r="O756" s="56" t="str">
        <f>IF($C756="B",INDEX(Batters[[#All],[EYE P]],MATCH(Table5[[#This Row],[PID]],Batters[[#All],[PID]],0)),INDEX(Table3[[#All],[VELO]],MATCH(Table5[[#This Row],[PID]],Table3[[#All],[PID]],0)))</f>
        <v>84-86 Mph</v>
      </c>
      <c r="P756" s="56">
        <f>IF($C756="B",INDEX(Batters[[#All],[K P]],MATCH(Table5[[#This Row],[PID]],Batters[[#All],[PID]],0)),INDEX(Table3[[#All],[STM]],MATCH(Table5[[#This Row],[PID]],Table3[[#All],[PID]],0)))</f>
        <v>5</v>
      </c>
      <c r="Q756" s="61">
        <f>IF($C756="B",INDEX(Batters[[#All],[Tot]],MATCH(Table5[[#This Row],[PID]],Batters[[#All],[PID]],0)),INDEX(Table3[[#All],[Tot]],MATCH(Table5[[#This Row],[PID]],Table3[[#All],[PID]],0)))</f>
        <v>33.335638445915826</v>
      </c>
      <c r="R756" s="52">
        <f>IF($C756="B",INDEX(Batters[[#All],[zScore]],MATCH(Table5[[#This Row],[PID]],Batters[[#All],[PID]],0)),INDEX(Table3[[#All],[zScore]],MATCH(Table5[[#This Row],[PID]],Table3[[#All],[PID]],0)))</f>
        <v>-0.16864219824991861</v>
      </c>
      <c r="S756" s="58" t="str">
        <f>IF($C756="B",INDEX(Batters[[#All],[DEM]],MATCH(Table5[[#This Row],[PID]],Batters[[#All],[PID]],0)),INDEX(Table3[[#All],[DEM]],MATCH(Table5[[#This Row],[PID]],Table3[[#All],[PID]],0)))</f>
        <v>-</v>
      </c>
      <c r="T756" s="62">
        <f>IF($C756="B",INDEX(Batters[[#All],[Rnk]],MATCH(Table5[[#This Row],[PID]],Batters[[#All],[PID]],0)),INDEX(Table3[[#All],[Rnk]],MATCH(Table5[[#This Row],[PID]],Table3[[#All],[PID]],0)))</f>
        <v>373</v>
      </c>
      <c r="U756" s="68">
        <f>IF($C756="B",VLOOKUP($A756,Bat!$A$4:$BA$1621,47,FALSE),VLOOKUP($A756,Pit!$A$4:$BF$1557,56,FALSE))</f>
        <v>0</v>
      </c>
      <c r="V756" s="50">
        <f>IF($C756="B",VLOOKUP($A756,Bat!$A$4:$BA$1621,48,FALSE),VLOOKUP($A756,Pit!$A$4:$BF$1557,57,FALSE))</f>
        <v>0</v>
      </c>
      <c r="W756" s="50">
        <f>Table5[[#This Row],[posRnk]]+Table5[[#This Row],[zRnk]]+IF($W$3&lt;&gt;Table5[[#This Row],[Type]],50,0)</f>
        <v>1067</v>
      </c>
      <c r="X756" s="51">
        <f>RANK(Table5[[#This Row],[zScore]],Table5[[#All],[zScore]])</f>
        <v>644</v>
      </c>
      <c r="Y756" s="50" t="str">
        <f>IFERROR(INDEX(DraftResults[[#All],[OVR]],MATCH(Table5[[#This Row],[PID]],DraftResults[[#All],[Player ID]],0)),"")</f>
        <v/>
      </c>
      <c r="Z7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6" s="50" t="str">
        <f>IFERROR(INDEX(DraftResults[[#All],[Pick in Round]],MATCH(Table5[[#This Row],[PID]],DraftResults[[#All],[Player ID]],0)),"")</f>
        <v/>
      </c>
      <c r="AB756" s="50" t="str">
        <f>IFERROR(INDEX(DraftResults[[#All],[Team Name]],MATCH(Table5[[#This Row],[PID]],DraftResults[[#All],[Player ID]],0)),"")</f>
        <v/>
      </c>
      <c r="AC756" s="50" t="str">
        <f>IF(Table5[[#This Row],[Ovr]]="","",IF(Table5[[#This Row],[cmbList]]="","",Table5[[#This Row],[cmbList]]-Table5[[#This Row],[Ovr]]))</f>
        <v/>
      </c>
      <c r="AD756" s="54" t="str">
        <f>IF(ISERROR(VLOOKUP($AB756&amp;"-"&amp;$E756&amp;" "&amp;F756,Bonuses!$B$1:$G$1006,4,FALSE)),"",INT(VLOOKUP($AB756&amp;"-"&amp;$E756&amp;" "&amp;$F756,Bonuses!$B$1:$G$1006,4,FALSE)))</f>
        <v/>
      </c>
      <c r="AE7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7" spans="1:31" s="50" customFormat="1" x14ac:dyDescent="0.25">
      <c r="A757" s="50">
        <v>20525</v>
      </c>
      <c r="B757" s="50">
        <f>COUNTIF(Table5[PID],A757)</f>
        <v>1</v>
      </c>
      <c r="C757" s="50" t="str">
        <f>IF(COUNTIF(Table3[[#All],[PID]],A757)&gt;0,"P","B")</f>
        <v>P</v>
      </c>
      <c r="D757" s="59" t="str">
        <f>IF($C757="B",INDEX(Batters[[#All],[POS]],MATCH(Table5[[#This Row],[PID]],Batters[[#All],[PID]],0)),INDEX(Table3[[#All],[POS]],MATCH(Table5[[#This Row],[PID]],Table3[[#All],[PID]],0)))</f>
        <v>RP</v>
      </c>
      <c r="E757" s="52" t="str">
        <f>IF($C757="B",INDEX(Batters[[#All],[First]],MATCH(Table5[[#This Row],[PID]],Batters[[#All],[PID]],0)),INDEX(Table3[[#All],[First]],MATCH(Table5[[#This Row],[PID]],Table3[[#All],[PID]],0)))</f>
        <v>Jarrod</v>
      </c>
      <c r="F757" s="50" t="str">
        <f>IF($C757="B",INDEX(Batters[[#All],[Last]],MATCH(A757,Batters[[#All],[PID]],0)),INDEX(Table3[[#All],[Last]],MATCH(A757,Table3[[#All],[PID]],0)))</f>
        <v>Gibson</v>
      </c>
      <c r="G757" s="56">
        <f>IF($C757="B",INDEX(Batters[[#All],[Age]],MATCH(Table5[[#This Row],[PID]],Batters[[#All],[PID]],0)),INDEX(Table3[[#All],[Age]],MATCH(Table5[[#This Row],[PID]],Table3[[#All],[PID]],0)))</f>
        <v>16</v>
      </c>
      <c r="H757" s="52" t="str">
        <f>IF($C757="B",INDEX(Batters[[#All],[B]],MATCH(Table5[[#This Row],[PID]],Batters[[#All],[PID]],0)),INDEX(Table3[[#All],[B]],MATCH(Table5[[#This Row],[PID]],Table3[[#All],[PID]],0)))</f>
        <v>L</v>
      </c>
      <c r="I757" s="52" t="str">
        <f>IF($C757="B",INDEX(Batters[[#All],[T]],MATCH(Table5[[#This Row],[PID]],Batters[[#All],[PID]],0)),INDEX(Table3[[#All],[T]],MATCH(Table5[[#This Row],[PID]],Table3[[#All],[PID]],0)))</f>
        <v>L</v>
      </c>
      <c r="J757" s="52" t="str">
        <f>IF($C757="B",INDEX(Batters[[#All],[WE]],MATCH(Table5[[#This Row],[PID]],Batters[[#All],[PID]],0)),INDEX(Table3[[#All],[WE]],MATCH(Table5[[#This Row],[PID]],Table3[[#All],[PID]],0)))</f>
        <v>High</v>
      </c>
      <c r="K757" s="52" t="str">
        <f>IF($C757="B",INDEX(Batters[[#All],[INT]],MATCH(Table5[[#This Row],[PID]],Batters[[#All],[PID]],0)),INDEX(Table3[[#All],[INT]],MATCH(Table5[[#This Row],[PID]],Table3[[#All],[PID]],0)))</f>
        <v>Normal</v>
      </c>
      <c r="L757" s="60">
        <f>IF($C757="B",INDEX(Batters[[#All],[CON P]],MATCH(Table5[[#This Row],[PID]],Batters[[#All],[PID]],0)),INDEX(Table3[[#All],[STU P]],MATCH(Table5[[#This Row],[PID]],Table3[[#All],[PID]],0)))</f>
        <v>3</v>
      </c>
      <c r="M757" s="56">
        <f>IF($C757="B",INDEX(Batters[[#All],[GAP P]],MATCH(Table5[[#This Row],[PID]],Batters[[#All],[PID]],0)),INDEX(Table3[[#All],[MOV P]],MATCH(Table5[[#This Row],[PID]],Table3[[#All],[PID]],0)))</f>
        <v>2</v>
      </c>
      <c r="N757" s="56">
        <f>IF($C757="B",INDEX(Batters[[#All],[POW P]],MATCH(Table5[[#This Row],[PID]],Batters[[#All],[PID]],0)),INDEX(Table3[[#All],[CON P]],MATCH(Table5[[#This Row],[PID]],Table3[[#All],[PID]],0)))</f>
        <v>3</v>
      </c>
      <c r="O757" s="56" t="str">
        <f>IF($C757="B",INDEX(Batters[[#All],[EYE P]],MATCH(Table5[[#This Row],[PID]],Batters[[#All],[PID]],0)),INDEX(Table3[[#All],[VELO]],MATCH(Table5[[#This Row],[PID]],Table3[[#All],[PID]],0)))</f>
        <v>84-86 Mph</v>
      </c>
      <c r="P757" s="56">
        <f>IF($C757="B",INDEX(Batters[[#All],[K P]],MATCH(Table5[[#This Row],[PID]],Batters[[#All],[PID]],0)),INDEX(Table3[[#All],[STM]],MATCH(Table5[[#This Row],[PID]],Table3[[#All],[PID]],0)))</f>
        <v>5</v>
      </c>
      <c r="Q757" s="61">
        <f>IF($C757="B",INDEX(Batters[[#All],[Tot]],MATCH(Table5[[#This Row],[PID]],Batters[[#All],[PID]],0)),INDEX(Table3[[#All],[Tot]],MATCH(Table5[[#This Row],[PID]],Table3[[#All],[PID]],0)))</f>
        <v>33.299641263693161</v>
      </c>
      <c r="R757" s="52">
        <f>IF($C757="B",INDEX(Batters[[#All],[zScore]],MATCH(Table5[[#This Row],[PID]],Batters[[#All],[PID]],0)),INDEX(Table3[[#All],[zScore]],MATCH(Table5[[#This Row],[PID]],Table3[[#All],[PID]],0)))</f>
        <v>-0.17103703577558008</v>
      </c>
      <c r="S757" s="58" t="str">
        <f>IF($C757="B",INDEX(Batters[[#All],[DEM]],MATCH(Table5[[#This Row],[PID]],Batters[[#All],[PID]],0)),INDEX(Table3[[#All],[DEM]],MATCH(Table5[[#This Row],[PID]],Table3[[#All],[PID]],0)))</f>
        <v>$38k</v>
      </c>
      <c r="T757" s="62">
        <f>IF($C757="B",INDEX(Batters[[#All],[Rnk]],MATCH(Table5[[#This Row],[PID]],Batters[[#All],[PID]],0)),INDEX(Table3[[#All],[Rnk]],MATCH(Table5[[#This Row],[PID]],Table3[[#All],[PID]],0)))</f>
        <v>374</v>
      </c>
      <c r="U757" s="68">
        <f>IF($C757="B",VLOOKUP($A757,Bat!$A$4:$BA$1621,47,FALSE),VLOOKUP($A757,Pit!$A$4:$BF$1557,56,FALSE))</f>
        <v>0</v>
      </c>
      <c r="V757" s="50">
        <f>IF($C757="B",VLOOKUP($A757,Bat!$A$4:$BA$1621,48,FALSE),VLOOKUP($A757,Pit!$A$4:$BF$1557,57,FALSE))</f>
        <v>0</v>
      </c>
      <c r="W757" s="50">
        <f>Table5[[#This Row],[posRnk]]+Table5[[#This Row],[zRnk]]+IF($W$3&lt;&gt;Table5[[#This Row],[Type]],50,0)</f>
        <v>1071</v>
      </c>
      <c r="X757" s="51">
        <f>RANK(Table5[[#This Row],[zScore]],Table5[[#All],[zScore]])</f>
        <v>647</v>
      </c>
      <c r="Y757" s="50" t="str">
        <f>IFERROR(INDEX(DraftResults[[#All],[OVR]],MATCH(Table5[[#This Row],[PID]],DraftResults[[#All],[Player ID]],0)),"")</f>
        <v/>
      </c>
      <c r="Z7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7" s="50" t="str">
        <f>IFERROR(INDEX(DraftResults[[#All],[Pick in Round]],MATCH(Table5[[#This Row],[PID]],DraftResults[[#All],[Player ID]],0)),"")</f>
        <v/>
      </c>
      <c r="AB757" s="50" t="str">
        <f>IFERROR(INDEX(DraftResults[[#All],[Team Name]],MATCH(Table5[[#This Row],[PID]],DraftResults[[#All],[Player ID]],0)),"")</f>
        <v/>
      </c>
      <c r="AC757" s="50" t="str">
        <f>IF(Table5[[#This Row],[Ovr]]="","",IF(Table5[[#This Row],[cmbList]]="","",Table5[[#This Row],[cmbList]]-Table5[[#This Row],[Ovr]]))</f>
        <v/>
      </c>
      <c r="AD757" s="54" t="str">
        <f>IF(ISERROR(VLOOKUP($AB757&amp;"-"&amp;$E757&amp;" "&amp;F757,Bonuses!$B$1:$G$1006,4,FALSE)),"",INT(VLOOKUP($AB757&amp;"-"&amp;$E757&amp;" "&amp;$F757,Bonuses!$B$1:$G$1006,4,FALSE)))</f>
        <v/>
      </c>
      <c r="AE7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8" spans="1:31" s="50" customFormat="1" x14ac:dyDescent="0.25">
      <c r="A758" s="50">
        <v>20549</v>
      </c>
      <c r="B758" s="55">
        <f>COUNTIF(Table5[PID],A758)</f>
        <v>1</v>
      </c>
      <c r="C758" s="55" t="str">
        <f>IF(COUNTIF(Table3[[#All],[PID]],A758)&gt;0,"P","B")</f>
        <v>B</v>
      </c>
      <c r="D758" s="59" t="str">
        <f>IF($C758="B",INDEX(Batters[[#All],[POS]],MATCH(Table5[[#This Row],[PID]],Batters[[#All],[PID]],0)),INDEX(Table3[[#All],[POS]],MATCH(Table5[[#This Row],[PID]],Table3[[#All],[PID]],0)))</f>
        <v>RF</v>
      </c>
      <c r="E758" s="52" t="str">
        <f>IF($C758="B",INDEX(Batters[[#All],[First]],MATCH(Table5[[#This Row],[PID]],Batters[[#All],[PID]],0)),INDEX(Table3[[#All],[First]],MATCH(Table5[[#This Row],[PID]],Table3[[#All],[PID]],0)))</f>
        <v>Marty</v>
      </c>
      <c r="F758" s="50" t="str">
        <f>IF($C758="B",INDEX(Batters[[#All],[Last]],MATCH(A758,Batters[[#All],[PID]],0)),INDEX(Table3[[#All],[Last]],MATCH(A758,Table3[[#All],[PID]],0)))</f>
        <v>Mccabe</v>
      </c>
      <c r="G758" s="56">
        <f>IF($C758="B",INDEX(Batters[[#All],[Age]],MATCH(Table5[[#This Row],[PID]],Batters[[#All],[PID]],0)),INDEX(Table3[[#All],[Age]],MATCH(Table5[[#This Row],[PID]],Table3[[#All],[PID]],0)))</f>
        <v>18</v>
      </c>
      <c r="H758" s="52" t="str">
        <f>IF($C758="B",INDEX(Batters[[#All],[B]],MATCH(Table5[[#This Row],[PID]],Batters[[#All],[PID]],0)),INDEX(Table3[[#All],[B]],MATCH(Table5[[#This Row],[PID]],Table3[[#All],[PID]],0)))</f>
        <v>R</v>
      </c>
      <c r="I758" s="52" t="str">
        <f>IF($C758="B",INDEX(Batters[[#All],[T]],MATCH(Table5[[#This Row],[PID]],Batters[[#All],[PID]],0)),INDEX(Table3[[#All],[T]],MATCH(Table5[[#This Row],[PID]],Table3[[#All],[PID]],0)))</f>
        <v>R</v>
      </c>
      <c r="J758" s="52" t="str">
        <f>IF($C758="B",INDEX(Batters[[#All],[WE]],MATCH(Table5[[#This Row],[PID]],Batters[[#All],[PID]],0)),INDEX(Table3[[#All],[WE]],MATCH(Table5[[#This Row],[PID]],Table3[[#All],[PID]],0)))</f>
        <v>Low</v>
      </c>
      <c r="K758" s="52" t="str">
        <f>IF($C758="B",INDEX(Batters[[#All],[INT]],MATCH(Table5[[#This Row],[PID]],Batters[[#All],[PID]],0)),INDEX(Table3[[#All],[INT]],MATCH(Table5[[#This Row],[PID]],Table3[[#All],[PID]],0)))</f>
        <v>Normal</v>
      </c>
      <c r="L758" s="60">
        <f>IF($C758="B",INDEX(Batters[[#All],[CON P]],MATCH(Table5[[#This Row],[PID]],Batters[[#All],[PID]],0)),INDEX(Table3[[#All],[STU P]],MATCH(Table5[[#This Row],[PID]],Table3[[#All],[PID]],0)))</f>
        <v>3</v>
      </c>
      <c r="M758" s="56">
        <f>IF($C758="B",INDEX(Batters[[#All],[GAP P]],MATCH(Table5[[#This Row],[PID]],Batters[[#All],[PID]],0)),INDEX(Table3[[#All],[MOV P]],MATCH(Table5[[#This Row],[PID]],Table3[[#All],[PID]],0)))</f>
        <v>4</v>
      </c>
      <c r="N758" s="56">
        <f>IF($C758="B",INDEX(Batters[[#All],[POW P]],MATCH(Table5[[#This Row],[PID]],Batters[[#All],[PID]],0)),INDEX(Table3[[#All],[CON P]],MATCH(Table5[[#This Row],[PID]],Table3[[#All],[PID]],0)))</f>
        <v>5</v>
      </c>
      <c r="O758" s="56">
        <f>IF($C758="B",INDEX(Batters[[#All],[EYE P]],MATCH(Table5[[#This Row],[PID]],Batters[[#All],[PID]],0)),INDEX(Table3[[#All],[VELO]],MATCH(Table5[[#This Row],[PID]],Table3[[#All],[PID]],0)))</f>
        <v>5</v>
      </c>
      <c r="P758" s="56">
        <f>IF($C758="B",INDEX(Batters[[#All],[K P]],MATCH(Table5[[#This Row],[PID]],Batters[[#All],[PID]],0)),INDEX(Table3[[#All],[STM]],MATCH(Table5[[#This Row],[PID]],Table3[[#All],[PID]],0)))</f>
        <v>3</v>
      </c>
      <c r="Q758" s="61">
        <f>IF($C758="B",INDEX(Batters[[#All],[Tot]],MATCH(Table5[[#This Row],[PID]],Batters[[#All],[PID]],0)),INDEX(Table3[[#All],[Tot]],MATCH(Table5[[#This Row],[PID]],Table3[[#All],[PID]],0)))</f>
        <v>43.343032713208672</v>
      </c>
      <c r="R758" s="52">
        <f>IF($C758="B",INDEX(Batters[[#All],[zScore]],MATCH(Table5[[#This Row],[PID]],Batters[[#All],[PID]],0)),INDEX(Table3[[#All],[zScore]],MATCH(Table5[[#This Row],[PID]],Table3[[#All],[PID]],0)))</f>
        <v>-0.17490601628435645</v>
      </c>
      <c r="S758" s="58" t="str">
        <f>IF($C758="B",INDEX(Batters[[#All],[DEM]],MATCH(Table5[[#This Row],[PID]],Batters[[#All],[PID]],0)),INDEX(Table3[[#All],[DEM]],MATCH(Table5[[#This Row],[PID]],Table3[[#All],[PID]],0)))</f>
        <v>$75k</v>
      </c>
      <c r="T758" s="62">
        <f>IF($C758="B",INDEX(Batters[[#All],[Rnk]],MATCH(Table5[[#This Row],[PID]],Batters[[#All],[PID]],0)),INDEX(Table3[[#All],[Rnk]],MATCH(Table5[[#This Row],[PID]],Table3[[#All],[PID]],0)))</f>
        <v>276</v>
      </c>
      <c r="U758" s="68">
        <f>IF($C758="B",VLOOKUP($A758,Bat!$A$4:$BA$1621,47,FALSE),VLOOKUP($A758,Pit!$A$4:$BF$1557,56,FALSE))</f>
        <v>0</v>
      </c>
      <c r="V758" s="50">
        <f>IF($C758="B",VLOOKUP($A758,Bat!$A$4:$BA$1621,48,FALSE),VLOOKUP($A758,Pit!$A$4:$BF$1557,57,FALSE))</f>
        <v>0</v>
      </c>
      <c r="W758" s="50">
        <f>Table5[[#This Row],[posRnk]]+Table5[[#This Row],[zRnk]]+IF($W$3&lt;&gt;Table5[[#This Row],[Type]],50,0)</f>
        <v>976</v>
      </c>
      <c r="X758" s="51">
        <f>RANK(Table5[[#This Row],[zScore]],Table5[[#All],[zScore]])</f>
        <v>650</v>
      </c>
      <c r="Y758" s="50" t="str">
        <f>IFERROR(INDEX(DraftResults[[#All],[OVR]],MATCH(Table5[[#This Row],[PID]],DraftResults[[#All],[Player ID]],0)),"")</f>
        <v/>
      </c>
      <c r="Z7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8" s="50" t="str">
        <f>IFERROR(INDEX(DraftResults[[#All],[Pick in Round]],MATCH(Table5[[#This Row],[PID]],DraftResults[[#All],[Player ID]],0)),"")</f>
        <v/>
      </c>
      <c r="AB758" s="50" t="str">
        <f>IFERROR(INDEX(DraftResults[[#All],[Team Name]],MATCH(Table5[[#This Row],[PID]],DraftResults[[#All],[Player ID]],0)),"")</f>
        <v/>
      </c>
      <c r="AC758" s="50" t="str">
        <f>IF(Table5[[#This Row],[Ovr]]="","",IF(Table5[[#This Row],[cmbList]]="","",Table5[[#This Row],[cmbList]]-Table5[[#This Row],[Ovr]]))</f>
        <v/>
      </c>
      <c r="AD758" s="54" t="str">
        <f>IF(ISERROR(VLOOKUP($AB758&amp;"-"&amp;$E758&amp;" "&amp;F758,Bonuses!$B$1:$G$1006,4,FALSE)),"",INT(VLOOKUP($AB758&amp;"-"&amp;$E758&amp;" "&amp;$F758,Bonuses!$B$1:$G$1006,4,FALSE)))</f>
        <v/>
      </c>
      <c r="AE7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59" spans="1:31" s="50" customFormat="1" x14ac:dyDescent="0.25">
      <c r="A759" s="50">
        <v>18011</v>
      </c>
      <c r="B759" s="50">
        <f>COUNTIF(Table5[PID],A759)</f>
        <v>1</v>
      </c>
      <c r="C759" s="50" t="str">
        <f>IF(COUNTIF(Table3[[#All],[PID]],A759)&gt;0,"P","B")</f>
        <v>P</v>
      </c>
      <c r="D759" s="59" t="str">
        <f>IF($C759="B",INDEX(Batters[[#All],[POS]],MATCH(Table5[[#This Row],[PID]],Batters[[#All],[PID]],0)),INDEX(Table3[[#All],[POS]],MATCH(Table5[[#This Row],[PID]],Table3[[#All],[PID]],0)))</f>
        <v>RP</v>
      </c>
      <c r="E759" s="52" t="str">
        <f>IF($C759="B",INDEX(Batters[[#All],[First]],MATCH(Table5[[#This Row],[PID]],Batters[[#All],[PID]],0)),INDEX(Table3[[#All],[First]],MATCH(Table5[[#This Row],[PID]],Table3[[#All],[PID]],0)))</f>
        <v>Jeremiah</v>
      </c>
      <c r="F759" s="50" t="str">
        <f>IF($C759="B",INDEX(Batters[[#All],[Last]],MATCH(A759,Batters[[#All],[PID]],0)),INDEX(Table3[[#All],[Last]],MATCH(A759,Table3[[#All],[PID]],0)))</f>
        <v>Thompson</v>
      </c>
      <c r="G759" s="56">
        <f>IF($C759="B",INDEX(Batters[[#All],[Age]],MATCH(Table5[[#This Row],[PID]],Batters[[#All],[PID]],0)),INDEX(Table3[[#All],[Age]],MATCH(Table5[[#This Row],[PID]],Table3[[#All],[PID]],0)))</f>
        <v>21</v>
      </c>
      <c r="H759" s="52" t="str">
        <f>IF($C759="B",INDEX(Batters[[#All],[B]],MATCH(Table5[[#This Row],[PID]],Batters[[#All],[PID]],0)),INDEX(Table3[[#All],[B]],MATCH(Table5[[#This Row],[PID]],Table3[[#All],[PID]],0)))</f>
        <v>L</v>
      </c>
      <c r="I759" s="52" t="str">
        <f>IF($C759="B",INDEX(Batters[[#All],[T]],MATCH(Table5[[#This Row],[PID]],Batters[[#All],[PID]],0)),INDEX(Table3[[#All],[T]],MATCH(Table5[[#This Row],[PID]],Table3[[#All],[PID]],0)))</f>
        <v>L</v>
      </c>
      <c r="J759" s="52" t="str">
        <f>IF($C759="B",INDEX(Batters[[#All],[WE]],MATCH(Table5[[#This Row],[PID]],Batters[[#All],[PID]],0)),INDEX(Table3[[#All],[WE]],MATCH(Table5[[#This Row],[PID]],Table3[[#All],[PID]],0)))</f>
        <v>Low</v>
      </c>
      <c r="K759" s="52" t="str">
        <f>IF($C759="B",INDEX(Batters[[#All],[INT]],MATCH(Table5[[#This Row],[PID]],Batters[[#All],[PID]],0)),INDEX(Table3[[#All],[INT]],MATCH(Table5[[#This Row],[PID]],Table3[[#All],[PID]],0)))</f>
        <v>Normal</v>
      </c>
      <c r="L759" s="60">
        <f>IF($C759="B",INDEX(Batters[[#All],[CON P]],MATCH(Table5[[#This Row],[PID]],Batters[[#All],[PID]],0)),INDEX(Table3[[#All],[STU P]],MATCH(Table5[[#This Row],[PID]],Table3[[#All],[PID]],0)))</f>
        <v>5</v>
      </c>
      <c r="M759" s="56">
        <f>IF($C759="B",INDEX(Batters[[#All],[GAP P]],MATCH(Table5[[#This Row],[PID]],Batters[[#All],[PID]],0)),INDEX(Table3[[#All],[MOV P]],MATCH(Table5[[#This Row],[PID]],Table3[[#All],[PID]],0)))</f>
        <v>2</v>
      </c>
      <c r="N759" s="56">
        <f>IF($C759="B",INDEX(Batters[[#All],[POW P]],MATCH(Table5[[#This Row],[PID]],Batters[[#All],[PID]],0)),INDEX(Table3[[#All],[CON P]],MATCH(Table5[[#This Row],[PID]],Table3[[#All],[PID]],0)))</f>
        <v>3</v>
      </c>
      <c r="O759" s="56" t="str">
        <f>IF($C759="B",INDEX(Batters[[#All],[EYE P]],MATCH(Table5[[#This Row],[PID]],Batters[[#All],[PID]],0)),INDEX(Table3[[#All],[VELO]],MATCH(Table5[[#This Row],[PID]],Table3[[#All],[PID]],0)))</f>
        <v>94-96 Mph</v>
      </c>
      <c r="P759" s="56">
        <f>IF($C759="B",INDEX(Batters[[#All],[K P]],MATCH(Table5[[#This Row],[PID]],Batters[[#All],[PID]],0)),INDEX(Table3[[#All],[STM]],MATCH(Table5[[#This Row],[PID]],Table3[[#All],[PID]],0)))</f>
        <v>6</v>
      </c>
      <c r="Q759" s="61">
        <f>IF($C759="B",INDEX(Batters[[#All],[Tot]],MATCH(Table5[[#This Row],[PID]],Batters[[#All],[PID]],0)),INDEX(Table3[[#All],[Tot]],MATCH(Table5[[#This Row],[PID]],Table3[[#All],[PID]],0)))</f>
        <v>34.3413681878773</v>
      </c>
      <c r="R759" s="52">
        <f>IF($C759="B",INDEX(Batters[[#All],[zScore]],MATCH(Table5[[#This Row],[PID]],Batters[[#All],[PID]],0)),INDEX(Table3[[#All],[zScore]],MATCH(Table5[[#This Row],[PID]],Table3[[#All],[PID]],0)))</f>
        <v>-0.17642756781985727</v>
      </c>
      <c r="S759" s="58" t="str">
        <f>IF($C759="B",INDEX(Batters[[#All],[DEM]],MATCH(Table5[[#This Row],[PID]],Batters[[#All],[PID]],0)),INDEX(Table3[[#All],[DEM]],MATCH(Table5[[#This Row],[PID]],Table3[[#All],[PID]],0)))</f>
        <v>-</v>
      </c>
      <c r="T759" s="62">
        <f>IF($C759="B",INDEX(Batters[[#All],[Rnk]],MATCH(Table5[[#This Row],[PID]],Batters[[#All],[PID]],0)),INDEX(Table3[[#All],[Rnk]],MATCH(Table5[[#This Row],[PID]],Table3[[#All],[PID]],0)))</f>
        <v>375</v>
      </c>
      <c r="U759" s="68">
        <f>IF($C759="B",VLOOKUP($A759,Bat!$A$4:$BA$1621,47,FALSE),VLOOKUP($A759,Pit!$A$4:$BF$1557,56,FALSE))</f>
        <v>0</v>
      </c>
      <c r="V759" s="50">
        <f>IF($C759="B",VLOOKUP($A759,Bat!$A$4:$BA$1621,48,FALSE),VLOOKUP($A759,Pit!$A$4:$BF$1557,57,FALSE))</f>
        <v>0</v>
      </c>
      <c r="W759" s="50">
        <f>Table5[[#This Row],[posRnk]]+Table5[[#This Row],[zRnk]]+IF($W$3&lt;&gt;Table5[[#This Row],[Type]],50,0)</f>
        <v>1077</v>
      </c>
      <c r="X759" s="51">
        <f>RANK(Table5[[#This Row],[zScore]],Table5[[#All],[zScore]])</f>
        <v>652</v>
      </c>
      <c r="Y759" s="50" t="str">
        <f>IFERROR(INDEX(DraftResults[[#All],[OVR]],MATCH(Table5[[#This Row],[PID]],DraftResults[[#All],[Player ID]],0)),"")</f>
        <v/>
      </c>
      <c r="Z7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59" s="50" t="str">
        <f>IFERROR(INDEX(DraftResults[[#All],[Pick in Round]],MATCH(Table5[[#This Row],[PID]],DraftResults[[#All],[Player ID]],0)),"")</f>
        <v/>
      </c>
      <c r="AB759" s="50" t="str">
        <f>IFERROR(INDEX(DraftResults[[#All],[Team Name]],MATCH(Table5[[#This Row],[PID]],DraftResults[[#All],[Player ID]],0)),"")</f>
        <v/>
      </c>
      <c r="AC759" s="50" t="str">
        <f>IF(Table5[[#This Row],[Ovr]]="","",IF(Table5[[#This Row],[cmbList]]="","",Table5[[#This Row],[cmbList]]-Table5[[#This Row],[Ovr]]))</f>
        <v/>
      </c>
      <c r="AD759" s="54" t="str">
        <f>IF(ISERROR(VLOOKUP($AB759&amp;"-"&amp;$E759&amp;" "&amp;F759,Bonuses!$B$1:$G$1006,4,FALSE)),"",INT(VLOOKUP($AB759&amp;"-"&amp;$E759&amp;" "&amp;$F759,Bonuses!$B$1:$G$1006,4,FALSE)))</f>
        <v/>
      </c>
      <c r="AE7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0" spans="1:31" s="50" customFormat="1" x14ac:dyDescent="0.25">
      <c r="A760" s="50">
        <v>21048</v>
      </c>
      <c r="B760" s="50">
        <f>COUNTIF(Table5[PID],A760)</f>
        <v>1</v>
      </c>
      <c r="C760" s="50" t="str">
        <f>IF(COUNTIF(Table3[[#All],[PID]],A760)&gt;0,"P","B")</f>
        <v>B</v>
      </c>
      <c r="D760" s="59" t="str">
        <f>IF($C760="B",INDEX(Batters[[#All],[POS]],MATCH(Table5[[#This Row],[PID]],Batters[[#All],[PID]],0)),INDEX(Table3[[#All],[POS]],MATCH(Table5[[#This Row],[PID]],Table3[[#All],[PID]],0)))</f>
        <v>LF</v>
      </c>
      <c r="E760" s="52" t="str">
        <f>IF($C760="B",INDEX(Batters[[#All],[First]],MATCH(Table5[[#This Row],[PID]],Batters[[#All],[PID]],0)),INDEX(Table3[[#All],[First]],MATCH(Table5[[#This Row],[PID]],Table3[[#All],[PID]],0)))</f>
        <v>Rick</v>
      </c>
      <c r="F760" s="50" t="str">
        <f>IF($C760="B",INDEX(Batters[[#All],[Last]],MATCH(A760,Batters[[#All],[PID]],0)),INDEX(Table3[[#All],[Last]],MATCH(A760,Table3[[#All],[PID]],0)))</f>
        <v>Morgan</v>
      </c>
      <c r="G760" s="56">
        <f>IF($C760="B",INDEX(Batters[[#All],[Age]],MATCH(Table5[[#This Row],[PID]],Batters[[#All],[PID]],0)),INDEX(Table3[[#All],[Age]],MATCH(Table5[[#This Row],[PID]],Table3[[#All],[PID]],0)))</f>
        <v>17</v>
      </c>
      <c r="H760" s="52" t="str">
        <f>IF($C760="B",INDEX(Batters[[#All],[B]],MATCH(Table5[[#This Row],[PID]],Batters[[#All],[PID]],0)),INDEX(Table3[[#All],[B]],MATCH(Table5[[#This Row],[PID]],Table3[[#All],[PID]],0)))</f>
        <v>R</v>
      </c>
      <c r="I760" s="52" t="str">
        <f>IF($C760="B",INDEX(Batters[[#All],[T]],MATCH(Table5[[#This Row],[PID]],Batters[[#All],[PID]],0)),INDEX(Table3[[#All],[T]],MATCH(Table5[[#This Row],[PID]],Table3[[#All],[PID]],0)))</f>
        <v>R</v>
      </c>
      <c r="J760" s="52" t="str">
        <f>IF($C760="B",INDEX(Batters[[#All],[WE]],MATCH(Table5[[#This Row],[PID]],Batters[[#All],[PID]],0)),INDEX(Table3[[#All],[WE]],MATCH(Table5[[#This Row],[PID]],Table3[[#All],[PID]],0)))</f>
        <v>High</v>
      </c>
      <c r="K760" s="52" t="str">
        <f>IF($C760="B",INDEX(Batters[[#All],[INT]],MATCH(Table5[[#This Row],[PID]],Batters[[#All],[PID]],0)),INDEX(Table3[[#All],[INT]],MATCH(Table5[[#This Row],[PID]],Table3[[#All],[PID]],0)))</f>
        <v>Normal</v>
      </c>
      <c r="L760" s="60">
        <f>IF($C760="B",INDEX(Batters[[#All],[CON P]],MATCH(Table5[[#This Row],[PID]],Batters[[#All],[PID]],0)),INDEX(Table3[[#All],[STU P]],MATCH(Table5[[#This Row],[PID]],Table3[[#All],[PID]],0)))</f>
        <v>3</v>
      </c>
      <c r="M760" s="56">
        <f>IF($C760="B",INDEX(Batters[[#All],[GAP P]],MATCH(Table5[[#This Row],[PID]],Batters[[#All],[PID]],0)),INDEX(Table3[[#All],[MOV P]],MATCH(Table5[[#This Row],[PID]],Table3[[#All],[PID]],0)))</f>
        <v>4</v>
      </c>
      <c r="N760" s="56">
        <f>IF($C760="B",INDEX(Batters[[#All],[POW P]],MATCH(Table5[[#This Row],[PID]],Batters[[#All],[PID]],0)),INDEX(Table3[[#All],[CON P]],MATCH(Table5[[#This Row],[PID]],Table3[[#All],[PID]],0)))</f>
        <v>5</v>
      </c>
      <c r="O760" s="56">
        <f>IF($C760="B",INDEX(Batters[[#All],[EYE P]],MATCH(Table5[[#This Row],[PID]],Batters[[#All],[PID]],0)),INDEX(Table3[[#All],[VELO]],MATCH(Table5[[#This Row],[PID]],Table3[[#All],[PID]],0)))</f>
        <v>4</v>
      </c>
      <c r="P760" s="56">
        <f>IF($C760="B",INDEX(Batters[[#All],[K P]],MATCH(Table5[[#This Row],[PID]],Batters[[#All],[PID]],0)),INDEX(Table3[[#All],[STM]],MATCH(Table5[[#This Row],[PID]],Table3[[#All],[PID]],0)))</f>
        <v>4</v>
      </c>
      <c r="Q760" s="61">
        <f>IF($C760="B",INDEX(Batters[[#All],[Tot]],MATCH(Table5[[#This Row],[PID]],Batters[[#All],[PID]],0)),INDEX(Table3[[#All],[Tot]],MATCH(Table5[[#This Row],[PID]],Table3[[#All],[PID]],0)))</f>
        <v>43.333302053534439</v>
      </c>
      <c r="R760" s="52">
        <f>IF($C760="B",INDEX(Batters[[#All],[zScore]],MATCH(Table5[[#This Row],[PID]],Batters[[#All],[PID]],0)),INDEX(Table3[[#All],[zScore]],MATCH(Table5[[#This Row],[PID]],Table3[[#All],[PID]],0)))</f>
        <v>-0.17706336930728905</v>
      </c>
      <c r="S760" s="58" t="str">
        <f>IF($C760="B",INDEX(Batters[[#All],[DEM]],MATCH(Table5[[#This Row],[PID]],Batters[[#All],[PID]],0)),INDEX(Table3[[#All],[DEM]],MATCH(Table5[[#This Row],[PID]],Table3[[#All],[PID]],0)))</f>
        <v>$65k</v>
      </c>
      <c r="T760" s="62">
        <f>IF($C760="B",INDEX(Batters[[#All],[Rnk]],MATCH(Table5[[#This Row],[PID]],Batters[[#All],[PID]],0)),INDEX(Table3[[#All],[Rnk]],MATCH(Table5[[#This Row],[PID]],Table3[[#All],[PID]],0)))</f>
        <v>278</v>
      </c>
      <c r="U760" s="68">
        <f>IF($C760="B",VLOOKUP($A760,Bat!$A$4:$BA$1621,47,FALSE),VLOOKUP($A760,Pit!$A$4:$BF$1557,56,FALSE))</f>
        <v>0</v>
      </c>
      <c r="V760" s="50">
        <f>IF($C760="B",VLOOKUP($A760,Bat!$A$4:$BA$1621,48,FALSE),VLOOKUP($A760,Pit!$A$4:$BF$1557,57,FALSE))</f>
        <v>0</v>
      </c>
      <c r="W760" s="50">
        <f>Table5[[#This Row],[posRnk]]+Table5[[#This Row],[zRnk]]+IF($W$3&lt;&gt;Table5[[#This Row],[Type]],50,0)</f>
        <v>981</v>
      </c>
      <c r="X760" s="51">
        <f>RANK(Table5[[#This Row],[zScore]],Table5[[#All],[zScore]])</f>
        <v>653</v>
      </c>
      <c r="Y760" s="50" t="str">
        <f>IFERROR(INDEX(DraftResults[[#All],[OVR]],MATCH(Table5[[#This Row],[PID]],DraftResults[[#All],[Player ID]],0)),"")</f>
        <v/>
      </c>
      <c r="Z7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0" s="50" t="str">
        <f>IFERROR(INDEX(DraftResults[[#All],[Pick in Round]],MATCH(Table5[[#This Row],[PID]],DraftResults[[#All],[Player ID]],0)),"")</f>
        <v/>
      </c>
      <c r="AB760" s="50" t="str">
        <f>IFERROR(INDEX(DraftResults[[#All],[Team Name]],MATCH(Table5[[#This Row],[PID]],DraftResults[[#All],[Player ID]],0)),"")</f>
        <v/>
      </c>
      <c r="AC760" s="50" t="str">
        <f>IF(Table5[[#This Row],[Ovr]]="","",IF(Table5[[#This Row],[cmbList]]="","",Table5[[#This Row],[cmbList]]-Table5[[#This Row],[Ovr]]))</f>
        <v/>
      </c>
      <c r="AD760" s="54" t="str">
        <f>IF(ISERROR(VLOOKUP($AB760&amp;"-"&amp;$E760&amp;" "&amp;F760,Bonuses!$B$1:$G$1006,4,FALSE)),"",INT(VLOOKUP($AB760&amp;"-"&amp;$E760&amp;" "&amp;$F760,Bonuses!$B$1:$G$1006,4,FALSE)))</f>
        <v/>
      </c>
      <c r="AE7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1" spans="1:31" s="50" customFormat="1" x14ac:dyDescent="0.25">
      <c r="A761" s="68">
        <v>20779</v>
      </c>
      <c r="B761" s="69">
        <f>COUNTIF(Table5[PID],A761)</f>
        <v>1</v>
      </c>
      <c r="C761" s="69" t="str">
        <f>IF(COUNTIF(Table3[[#All],[PID]],A761)&gt;0,"P","B")</f>
        <v>P</v>
      </c>
      <c r="D761" s="59" t="str">
        <f>IF($C761="B",INDEX(Batters[[#All],[POS]],MATCH(Table5[[#This Row],[PID]],Batters[[#All],[PID]],0)),INDEX(Table3[[#All],[POS]],MATCH(Table5[[#This Row],[PID]],Table3[[#All],[PID]],0)))</f>
        <v>SP</v>
      </c>
      <c r="E761" s="52" t="str">
        <f>IF($C761="B",INDEX(Batters[[#All],[First]],MATCH(Table5[[#This Row],[PID]],Batters[[#All],[PID]],0)),INDEX(Table3[[#All],[First]],MATCH(Table5[[#This Row],[PID]],Table3[[#All],[PID]],0)))</f>
        <v>Cliff</v>
      </c>
      <c r="F761" s="55" t="str">
        <f>IF($C761="B",INDEX(Batters[[#All],[Last]],MATCH(A761,Batters[[#All],[PID]],0)),INDEX(Table3[[#All],[Last]],MATCH(A761,Table3[[#All],[PID]],0)))</f>
        <v>Faulkner</v>
      </c>
      <c r="G761" s="56">
        <f>IF($C761="B",INDEX(Batters[[#All],[Age]],MATCH(Table5[[#This Row],[PID]],Batters[[#All],[PID]],0)),INDEX(Table3[[#All],[Age]],MATCH(Table5[[#This Row],[PID]],Table3[[#All],[PID]],0)))</f>
        <v>18</v>
      </c>
      <c r="H761" s="52" t="str">
        <f>IF($C761="B",INDEX(Batters[[#All],[B]],MATCH(Table5[[#This Row],[PID]],Batters[[#All],[PID]],0)),INDEX(Table3[[#All],[B]],MATCH(Table5[[#This Row],[PID]],Table3[[#All],[PID]],0)))</f>
        <v>S</v>
      </c>
      <c r="I761" s="52" t="str">
        <f>IF($C761="B",INDEX(Batters[[#All],[T]],MATCH(Table5[[#This Row],[PID]],Batters[[#All],[PID]],0)),INDEX(Table3[[#All],[T]],MATCH(Table5[[#This Row],[PID]],Table3[[#All],[PID]],0)))</f>
        <v>R</v>
      </c>
      <c r="J761" s="71" t="str">
        <f>IF($C761="B",INDEX(Batters[[#All],[WE]],MATCH(Table5[[#This Row],[PID]],Batters[[#All],[PID]],0)),INDEX(Table3[[#All],[WE]],MATCH(Table5[[#This Row],[PID]],Table3[[#All],[PID]],0)))</f>
        <v>Low</v>
      </c>
      <c r="K761" s="52" t="str">
        <f>IF($C761="B",INDEX(Batters[[#All],[INT]],MATCH(Table5[[#This Row],[PID]],Batters[[#All],[PID]],0)),INDEX(Table3[[#All],[INT]],MATCH(Table5[[#This Row],[PID]],Table3[[#All],[PID]],0)))</f>
        <v>High</v>
      </c>
      <c r="L761" s="60">
        <f>IF($C761="B",INDEX(Batters[[#All],[CON P]],MATCH(Table5[[#This Row],[PID]],Batters[[#All],[PID]],0)),INDEX(Table3[[#All],[STU P]],MATCH(Table5[[#This Row],[PID]],Table3[[#All],[PID]],0)))</f>
        <v>4</v>
      </c>
      <c r="M761" s="72">
        <f>IF($C761="B",INDEX(Batters[[#All],[GAP P]],MATCH(Table5[[#This Row],[PID]],Batters[[#All],[PID]],0)),INDEX(Table3[[#All],[MOV P]],MATCH(Table5[[#This Row],[PID]],Table3[[#All],[PID]],0)))</f>
        <v>2</v>
      </c>
      <c r="N761" s="72">
        <f>IF($C761="B",INDEX(Batters[[#All],[POW P]],MATCH(Table5[[#This Row],[PID]],Batters[[#All],[PID]],0)),INDEX(Table3[[#All],[CON P]],MATCH(Table5[[#This Row],[PID]],Table3[[#All],[PID]],0)))</f>
        <v>3</v>
      </c>
      <c r="O761" s="72" t="str">
        <f>IF($C761="B",INDEX(Batters[[#All],[EYE P]],MATCH(Table5[[#This Row],[PID]],Batters[[#All],[PID]],0)),INDEX(Table3[[#All],[VELO]],MATCH(Table5[[#This Row],[PID]],Table3[[#All],[PID]],0)))</f>
        <v>88-90 Mph</v>
      </c>
      <c r="P761" s="56">
        <f>IF($C761="B",INDEX(Batters[[#All],[K P]],MATCH(Table5[[#This Row],[PID]],Batters[[#All],[PID]],0)),INDEX(Table3[[#All],[STM]],MATCH(Table5[[#This Row],[PID]],Table3[[#All],[PID]],0)))</f>
        <v>8</v>
      </c>
      <c r="Q761" s="61">
        <f>IF($C761="B",INDEX(Batters[[#All],[Tot]],MATCH(Table5[[#This Row],[PID]],Batters[[#All],[PID]],0)),INDEX(Table3[[#All],[Tot]],MATCH(Table5[[#This Row],[PID]],Table3[[#All],[PID]],0)))</f>
        <v>33.161936192397896</v>
      </c>
      <c r="R761" s="52">
        <f>IF($C761="B",INDEX(Batters[[#All],[zScore]],MATCH(Table5[[#This Row],[PID]],Batters[[#All],[PID]],0)),INDEX(Table3[[#All],[zScore]],MATCH(Table5[[#This Row],[PID]],Table3[[#All],[PID]],0)))</f>
        <v>-0.18019834374051702</v>
      </c>
      <c r="S761" s="78" t="str">
        <f>IF($C761="B",INDEX(Batters[[#All],[DEM]],MATCH(Table5[[#This Row],[PID]],Batters[[#All],[PID]],0)),INDEX(Table3[[#All],[DEM]],MATCH(Table5[[#This Row],[PID]],Table3[[#All],[PID]],0)))</f>
        <v>$1.9m</v>
      </c>
      <c r="T761" s="75">
        <f>IF($C761="B",INDEX(Batters[[#All],[Rnk]],MATCH(Table5[[#This Row],[PID]],Batters[[#All],[PID]],0)),INDEX(Table3[[#All],[Rnk]],MATCH(Table5[[#This Row],[PID]],Table3[[#All],[PID]],0)))</f>
        <v>376</v>
      </c>
      <c r="U761" s="68">
        <f>IF($C761="B",VLOOKUP($A761,Bat!$A$4:$BA$1621,47,FALSE),VLOOKUP($A761,Pit!$A$4:$BF$1557,56,FALSE))</f>
        <v>0</v>
      </c>
      <c r="V761" s="50">
        <f>IF($C761="B",VLOOKUP($A761,Bat!$A$4:$BA$1621,48,FALSE),VLOOKUP($A761,Pit!$A$4:$BF$1557,57,FALSE))</f>
        <v>0</v>
      </c>
      <c r="W761" s="69">
        <f>Table5[[#This Row],[posRnk]]+Table5[[#This Row],[zRnk]]+IF($W$3&lt;&gt;Table5[[#This Row],[Type]],50,0)</f>
        <v>1080</v>
      </c>
      <c r="X761" s="73">
        <f>RANK(Table5[[#This Row],[zScore]],Table5[[#All],[zScore]])</f>
        <v>654</v>
      </c>
      <c r="Y761" s="69" t="str">
        <f>IFERROR(INDEX(DraftResults[[#All],[OVR]],MATCH(Table5[[#This Row],[PID]],DraftResults[[#All],[Player ID]],0)),"")</f>
        <v/>
      </c>
      <c r="Z76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1" s="69" t="str">
        <f>IFERROR(INDEX(DraftResults[[#All],[Pick in Round]],MATCH(Table5[[#This Row],[PID]],DraftResults[[#All],[Player ID]],0)),"")</f>
        <v/>
      </c>
      <c r="AB761" s="69" t="str">
        <f>IFERROR(INDEX(DraftResults[[#All],[Team Name]],MATCH(Table5[[#This Row],[PID]],DraftResults[[#All],[Player ID]],0)),"")</f>
        <v/>
      </c>
      <c r="AC761" s="69" t="str">
        <f>IF(Table5[[#This Row],[Ovr]]="","",IF(Table5[[#This Row],[cmbList]]="","",Table5[[#This Row],[cmbList]]-Table5[[#This Row],[Ovr]]))</f>
        <v/>
      </c>
      <c r="AD761" s="77" t="str">
        <f>IF(ISERROR(VLOOKUP($AB761&amp;"-"&amp;$E761&amp;" "&amp;F761,Bonuses!$B$1:$G$1006,4,FALSE)),"",INT(VLOOKUP($AB761&amp;"-"&amp;$E761&amp;" "&amp;$F761,Bonuses!$B$1:$G$1006,4,FALSE)))</f>
        <v/>
      </c>
      <c r="AE76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2" spans="1:31" s="50" customFormat="1" x14ac:dyDescent="0.25">
      <c r="A762" s="50">
        <v>17630</v>
      </c>
      <c r="B762" s="50">
        <f>COUNTIF(Table5[PID],A762)</f>
        <v>1</v>
      </c>
      <c r="C762" s="50" t="str">
        <f>IF(COUNTIF(Table3[[#All],[PID]],A762)&gt;0,"P","B")</f>
        <v>P</v>
      </c>
      <c r="D762" s="59" t="str">
        <f>IF($C762="B",INDEX(Batters[[#All],[POS]],MATCH(Table5[[#This Row],[PID]],Batters[[#All],[PID]],0)),INDEX(Table3[[#All],[POS]],MATCH(Table5[[#This Row],[PID]],Table3[[#All],[PID]],0)))</f>
        <v>RP</v>
      </c>
      <c r="E762" s="52" t="str">
        <f>IF($C762="B",INDEX(Batters[[#All],[First]],MATCH(Table5[[#This Row],[PID]],Batters[[#All],[PID]],0)),INDEX(Table3[[#All],[First]],MATCH(Table5[[#This Row],[PID]],Table3[[#All],[PID]],0)))</f>
        <v>Curt</v>
      </c>
      <c r="F762" s="50" t="str">
        <f>IF($C762="B",INDEX(Batters[[#All],[Last]],MATCH(A762,Batters[[#All],[PID]],0)),INDEX(Table3[[#All],[Last]],MATCH(A762,Table3[[#All],[PID]],0)))</f>
        <v>Harris</v>
      </c>
      <c r="G762" s="56">
        <f>IF($C762="B",INDEX(Batters[[#All],[Age]],MATCH(Table5[[#This Row],[PID]],Batters[[#All],[PID]],0)),INDEX(Table3[[#All],[Age]],MATCH(Table5[[#This Row],[PID]],Table3[[#All],[PID]],0)))</f>
        <v>18</v>
      </c>
      <c r="H762" s="52" t="str">
        <f>IF($C762="B",INDEX(Batters[[#All],[B]],MATCH(Table5[[#This Row],[PID]],Batters[[#All],[PID]],0)),INDEX(Table3[[#All],[B]],MATCH(Table5[[#This Row],[PID]],Table3[[#All],[PID]],0)))</f>
        <v>L</v>
      </c>
      <c r="I762" s="52" t="str">
        <f>IF($C762="B",INDEX(Batters[[#All],[T]],MATCH(Table5[[#This Row],[PID]],Batters[[#All],[PID]],0)),INDEX(Table3[[#All],[T]],MATCH(Table5[[#This Row],[PID]],Table3[[#All],[PID]],0)))</f>
        <v>R</v>
      </c>
      <c r="J762" s="52" t="str">
        <f>IF($C762="B",INDEX(Batters[[#All],[WE]],MATCH(Table5[[#This Row],[PID]],Batters[[#All],[PID]],0)),INDEX(Table3[[#All],[WE]],MATCH(Table5[[#This Row],[PID]],Table3[[#All],[PID]],0)))</f>
        <v>Low</v>
      </c>
      <c r="K762" s="52" t="str">
        <f>IF($C762="B",INDEX(Batters[[#All],[INT]],MATCH(Table5[[#This Row],[PID]],Batters[[#All],[PID]],0)),INDEX(Table3[[#All],[INT]],MATCH(Table5[[#This Row],[PID]],Table3[[#All],[PID]],0)))</f>
        <v>Normal</v>
      </c>
      <c r="L762" s="60">
        <f>IF($C762="B",INDEX(Batters[[#All],[CON P]],MATCH(Table5[[#This Row],[PID]],Batters[[#All],[PID]],0)),INDEX(Table3[[#All],[STU P]],MATCH(Table5[[#This Row],[PID]],Table3[[#All],[PID]],0)))</f>
        <v>5</v>
      </c>
      <c r="M762" s="56">
        <f>IF($C762="B",INDEX(Batters[[#All],[GAP P]],MATCH(Table5[[#This Row],[PID]],Batters[[#All],[PID]],0)),INDEX(Table3[[#All],[MOV P]],MATCH(Table5[[#This Row],[PID]],Table3[[#All],[PID]],0)))</f>
        <v>2</v>
      </c>
      <c r="N762" s="56">
        <f>IF($C762="B",INDEX(Batters[[#All],[POW P]],MATCH(Table5[[#This Row],[PID]],Batters[[#All],[PID]],0)),INDEX(Table3[[#All],[CON P]],MATCH(Table5[[#This Row],[PID]],Table3[[#All],[PID]],0)))</f>
        <v>2</v>
      </c>
      <c r="O762" s="56" t="str">
        <f>IF($C762="B",INDEX(Batters[[#All],[EYE P]],MATCH(Table5[[#This Row],[PID]],Batters[[#All],[PID]],0)),INDEX(Table3[[#All],[VELO]],MATCH(Table5[[#This Row],[PID]],Table3[[#All],[PID]],0)))</f>
        <v>88-90 Mph</v>
      </c>
      <c r="P762" s="56">
        <f>IF($C762="B",INDEX(Batters[[#All],[K P]],MATCH(Table5[[#This Row],[PID]],Batters[[#All],[PID]],0)),INDEX(Table3[[#All],[STM]],MATCH(Table5[[#This Row],[PID]],Table3[[#All],[PID]],0)))</f>
        <v>8</v>
      </c>
      <c r="Q762" s="61">
        <f>IF($C762="B",INDEX(Batters[[#All],[Tot]],MATCH(Table5[[#This Row],[PID]],Batters[[#All],[PID]],0)),INDEX(Table3[[#All],[Tot]],MATCH(Table5[[#This Row],[PID]],Table3[[#All],[PID]],0)))</f>
        <v>33.159203283114977</v>
      </c>
      <c r="R762" s="52">
        <f>IF($C762="B",INDEX(Batters[[#All],[zScore]],MATCH(Table5[[#This Row],[PID]],Batters[[#All],[PID]],0)),INDEX(Table3[[#All],[zScore]],MATCH(Table5[[#This Row],[PID]],Table3[[#All],[PID]],0)))</f>
        <v>-0.18038016001892679</v>
      </c>
      <c r="S762" s="58" t="str">
        <f>IF($C762="B",INDEX(Batters[[#All],[DEM]],MATCH(Table5[[#This Row],[PID]],Batters[[#All],[PID]],0)),INDEX(Table3[[#All],[DEM]],MATCH(Table5[[#This Row],[PID]],Table3[[#All],[PID]],0)))</f>
        <v>$38k</v>
      </c>
      <c r="T762" s="62">
        <f>IF($C762="B",INDEX(Batters[[#All],[Rnk]],MATCH(Table5[[#This Row],[PID]],Batters[[#All],[PID]],0)),INDEX(Table3[[#All],[Rnk]],MATCH(Table5[[#This Row],[PID]],Table3[[#All],[PID]],0)))</f>
        <v>377</v>
      </c>
      <c r="U762" s="68">
        <f>IF($C762="B",VLOOKUP($A762,Bat!$A$4:$BA$1621,47,FALSE),VLOOKUP($A762,Pit!$A$4:$BF$1557,56,FALSE))</f>
        <v>0</v>
      </c>
      <c r="V762" s="50">
        <f>IF($C762="B",VLOOKUP($A762,Bat!$A$4:$BA$1621,48,FALSE),VLOOKUP($A762,Pit!$A$4:$BF$1557,57,FALSE))</f>
        <v>0</v>
      </c>
      <c r="W762" s="50">
        <f>Table5[[#This Row],[posRnk]]+Table5[[#This Row],[zRnk]]+IF($W$3&lt;&gt;Table5[[#This Row],[Type]],50,0)</f>
        <v>1082</v>
      </c>
      <c r="X762" s="51">
        <f>RANK(Table5[[#This Row],[zScore]],Table5[[#All],[zScore]])</f>
        <v>655</v>
      </c>
      <c r="Y762" s="50" t="str">
        <f>IFERROR(INDEX(DraftResults[[#All],[OVR]],MATCH(Table5[[#This Row],[PID]],DraftResults[[#All],[Player ID]],0)),"")</f>
        <v/>
      </c>
      <c r="Z7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2" s="50" t="str">
        <f>IFERROR(INDEX(DraftResults[[#All],[Pick in Round]],MATCH(Table5[[#This Row],[PID]],DraftResults[[#All],[Player ID]],0)),"")</f>
        <v/>
      </c>
      <c r="AB762" s="50" t="str">
        <f>IFERROR(INDEX(DraftResults[[#All],[Team Name]],MATCH(Table5[[#This Row],[PID]],DraftResults[[#All],[Player ID]],0)),"")</f>
        <v/>
      </c>
      <c r="AC762" s="50" t="str">
        <f>IF(Table5[[#This Row],[Ovr]]="","",IF(Table5[[#This Row],[cmbList]]="","",Table5[[#This Row],[cmbList]]-Table5[[#This Row],[Ovr]]))</f>
        <v/>
      </c>
      <c r="AD762" s="54" t="str">
        <f>IF(ISERROR(VLOOKUP($AB762&amp;"-"&amp;$E762&amp;" "&amp;F762,Bonuses!$B$1:$G$1006,4,FALSE)),"",INT(VLOOKUP($AB762&amp;"-"&amp;$E762&amp;" "&amp;$F762,Bonuses!$B$1:$G$1006,4,FALSE)))</f>
        <v/>
      </c>
      <c r="AE7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3" spans="1:31" s="50" customFormat="1" x14ac:dyDescent="0.25">
      <c r="A763" s="50">
        <v>20412</v>
      </c>
      <c r="B763" s="50">
        <f>COUNTIF(Table5[PID],A763)</f>
        <v>1</v>
      </c>
      <c r="C763" s="50" t="str">
        <f>IF(COUNTIF(Table3[[#All],[PID]],A763)&gt;0,"P","B")</f>
        <v>B</v>
      </c>
      <c r="D763" s="59" t="str">
        <f>IF($C763="B",INDEX(Batters[[#All],[POS]],MATCH(Table5[[#This Row],[PID]],Batters[[#All],[PID]],0)),INDEX(Table3[[#All],[POS]],MATCH(Table5[[#This Row],[PID]],Table3[[#All],[PID]],0)))</f>
        <v>C</v>
      </c>
      <c r="E763" s="52" t="str">
        <f>IF($C763="B",INDEX(Batters[[#All],[First]],MATCH(Table5[[#This Row],[PID]],Batters[[#All],[PID]],0)),INDEX(Table3[[#All],[First]],MATCH(Table5[[#This Row],[PID]],Table3[[#All],[PID]],0)))</f>
        <v>Trent</v>
      </c>
      <c r="F763" s="50" t="str">
        <f>IF($C763="B",INDEX(Batters[[#All],[Last]],MATCH(A763,Batters[[#All],[PID]],0)),INDEX(Table3[[#All],[Last]],MATCH(A763,Table3[[#All],[PID]],0)))</f>
        <v>Alcock</v>
      </c>
      <c r="G763" s="56">
        <f>IF($C763="B",INDEX(Batters[[#All],[Age]],MATCH(Table5[[#This Row],[PID]],Batters[[#All],[PID]],0)),INDEX(Table3[[#All],[Age]],MATCH(Table5[[#This Row],[PID]],Table3[[#All],[PID]],0)))</f>
        <v>18</v>
      </c>
      <c r="H763" s="52" t="str">
        <f>IF($C763="B",INDEX(Batters[[#All],[B]],MATCH(Table5[[#This Row],[PID]],Batters[[#All],[PID]],0)),INDEX(Table3[[#All],[B]],MATCH(Table5[[#This Row],[PID]],Table3[[#All],[PID]],0)))</f>
        <v>R</v>
      </c>
      <c r="I763" s="52" t="str">
        <f>IF($C763="B",INDEX(Batters[[#All],[T]],MATCH(Table5[[#This Row],[PID]],Batters[[#All],[PID]],0)),INDEX(Table3[[#All],[T]],MATCH(Table5[[#This Row],[PID]],Table3[[#All],[PID]],0)))</f>
        <v>R</v>
      </c>
      <c r="J763" s="52" t="str">
        <f>IF($C763="B",INDEX(Batters[[#All],[WE]],MATCH(Table5[[#This Row],[PID]],Batters[[#All],[PID]],0)),INDEX(Table3[[#All],[WE]],MATCH(Table5[[#This Row],[PID]],Table3[[#All],[PID]],0)))</f>
        <v>Normal</v>
      </c>
      <c r="K763" s="52" t="str">
        <f>IF($C763="B",INDEX(Batters[[#All],[INT]],MATCH(Table5[[#This Row],[PID]],Batters[[#All],[PID]],0)),INDEX(Table3[[#All],[INT]],MATCH(Table5[[#This Row],[PID]],Table3[[#All],[PID]],0)))</f>
        <v>Low</v>
      </c>
      <c r="L763" s="60">
        <f>IF($C763="B",INDEX(Batters[[#All],[CON P]],MATCH(Table5[[#This Row],[PID]],Batters[[#All],[PID]],0)),INDEX(Table3[[#All],[STU P]],MATCH(Table5[[#This Row],[PID]],Table3[[#All],[PID]],0)))</f>
        <v>3</v>
      </c>
      <c r="M763" s="56">
        <f>IF($C763="B",INDEX(Batters[[#All],[GAP P]],MATCH(Table5[[#This Row],[PID]],Batters[[#All],[PID]],0)),INDEX(Table3[[#All],[MOV P]],MATCH(Table5[[#This Row],[PID]],Table3[[#All],[PID]],0)))</f>
        <v>3</v>
      </c>
      <c r="N763" s="56">
        <f>IF($C763="B",INDEX(Batters[[#All],[POW P]],MATCH(Table5[[#This Row],[PID]],Batters[[#All],[PID]],0)),INDEX(Table3[[#All],[CON P]],MATCH(Table5[[#This Row],[PID]],Table3[[#All],[PID]],0)))</f>
        <v>4</v>
      </c>
      <c r="O763" s="56">
        <f>IF($C763="B",INDEX(Batters[[#All],[EYE P]],MATCH(Table5[[#This Row],[PID]],Batters[[#All],[PID]],0)),INDEX(Table3[[#All],[VELO]],MATCH(Table5[[#This Row],[PID]],Table3[[#All],[PID]],0)))</f>
        <v>5</v>
      </c>
      <c r="P763" s="56">
        <f>IF($C763="B",INDEX(Batters[[#All],[K P]],MATCH(Table5[[#This Row],[PID]],Batters[[#All],[PID]],0)),INDEX(Table3[[#All],[STM]],MATCH(Table5[[#This Row],[PID]],Table3[[#All],[PID]],0)))</f>
        <v>4</v>
      </c>
      <c r="Q763" s="61">
        <f>IF($C763="B",INDEX(Batters[[#All],[Tot]],MATCH(Table5[[#This Row],[PID]],Batters[[#All],[PID]],0)),INDEX(Table3[[#All],[Tot]],MATCH(Table5[[#This Row],[PID]],Table3[[#All],[PID]],0)))</f>
        <v>43.314437112900976</v>
      </c>
      <c r="R763" s="52">
        <f>IF($C763="B",INDEX(Batters[[#All],[zScore]],MATCH(Table5[[#This Row],[PID]],Batters[[#All],[PID]],0)),INDEX(Table3[[#All],[zScore]],MATCH(Table5[[#This Row],[PID]],Table3[[#All],[PID]],0)))</f>
        <v>-0.1812458541608922</v>
      </c>
      <c r="S763" s="58" t="str">
        <f>IF($C763="B",INDEX(Batters[[#All],[DEM]],MATCH(Table5[[#This Row],[PID]],Batters[[#All],[PID]],0)),INDEX(Table3[[#All],[DEM]],MATCH(Table5[[#This Row],[PID]],Table3[[#All],[PID]],0)))</f>
        <v>$75k</v>
      </c>
      <c r="T763" s="62">
        <f>IF($C763="B",INDEX(Batters[[#All],[Rnk]],MATCH(Table5[[#This Row],[PID]],Batters[[#All],[PID]],0)),INDEX(Table3[[#All],[Rnk]],MATCH(Table5[[#This Row],[PID]],Table3[[#All],[PID]],0)))</f>
        <v>279</v>
      </c>
      <c r="U763" s="68">
        <f>IF($C763="B",VLOOKUP($A763,Bat!$A$4:$BA$1621,47,FALSE),VLOOKUP($A763,Pit!$A$4:$BF$1557,56,FALSE))</f>
        <v>0</v>
      </c>
      <c r="V763" s="50">
        <f>IF($C763="B",VLOOKUP($A763,Bat!$A$4:$BA$1621,48,FALSE),VLOOKUP($A763,Pit!$A$4:$BF$1557,57,FALSE))</f>
        <v>0</v>
      </c>
      <c r="W763" s="50">
        <f>Table5[[#This Row],[posRnk]]+Table5[[#This Row],[zRnk]]+IF($W$3&lt;&gt;Table5[[#This Row],[Type]],50,0)</f>
        <v>985</v>
      </c>
      <c r="X763" s="51">
        <f>RANK(Table5[[#This Row],[zScore]],Table5[[#All],[zScore]])</f>
        <v>656</v>
      </c>
      <c r="Y763" s="50" t="str">
        <f>IFERROR(INDEX(DraftResults[[#All],[OVR]],MATCH(Table5[[#This Row],[PID]],DraftResults[[#All],[Player ID]],0)),"")</f>
        <v/>
      </c>
      <c r="Z7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3" s="50" t="str">
        <f>IFERROR(INDEX(DraftResults[[#All],[Pick in Round]],MATCH(Table5[[#This Row],[PID]],DraftResults[[#All],[Player ID]],0)),"")</f>
        <v/>
      </c>
      <c r="AB763" s="50" t="str">
        <f>IFERROR(INDEX(DraftResults[[#All],[Team Name]],MATCH(Table5[[#This Row],[PID]],DraftResults[[#All],[Player ID]],0)),"")</f>
        <v/>
      </c>
      <c r="AC763" s="50" t="str">
        <f>IF(Table5[[#This Row],[Ovr]]="","",IF(Table5[[#This Row],[cmbList]]="","",Table5[[#This Row],[cmbList]]-Table5[[#This Row],[Ovr]]))</f>
        <v/>
      </c>
      <c r="AD763" s="54" t="str">
        <f>IF(ISERROR(VLOOKUP($AB763&amp;"-"&amp;$E763&amp;" "&amp;F763,Bonuses!$B$1:$G$1006,4,FALSE)),"",INT(VLOOKUP($AB763&amp;"-"&amp;$E763&amp;" "&amp;$F763,Bonuses!$B$1:$G$1006,4,FALSE)))</f>
        <v/>
      </c>
      <c r="AE7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4" spans="1:31" s="50" customFormat="1" x14ac:dyDescent="0.25">
      <c r="A764" s="50">
        <v>11167</v>
      </c>
      <c r="B764" s="50">
        <f>COUNTIF(Table5[PID],A764)</f>
        <v>1</v>
      </c>
      <c r="C764" s="50" t="str">
        <f>IF(COUNTIF(Table3[[#All],[PID]],A764)&gt;0,"P","B")</f>
        <v>P</v>
      </c>
      <c r="D764" s="59" t="str">
        <f>IF($C764="B",INDEX(Batters[[#All],[POS]],MATCH(Table5[[#This Row],[PID]],Batters[[#All],[PID]],0)),INDEX(Table3[[#All],[POS]],MATCH(Table5[[#This Row],[PID]],Table3[[#All],[PID]],0)))</f>
        <v>CL</v>
      </c>
      <c r="E764" s="52" t="str">
        <f>IF($C764="B",INDEX(Batters[[#All],[First]],MATCH(Table5[[#This Row],[PID]],Batters[[#All],[PID]],0)),INDEX(Table3[[#All],[First]],MATCH(Table5[[#This Row],[PID]],Table3[[#All],[PID]],0)))</f>
        <v>David</v>
      </c>
      <c r="F764" s="50" t="str">
        <f>IF($C764="B",INDEX(Batters[[#All],[Last]],MATCH(A764,Batters[[#All],[PID]],0)),INDEX(Table3[[#All],[Last]],MATCH(A764,Table3[[#All],[PID]],0)))</f>
        <v>Millar</v>
      </c>
      <c r="G764" s="56">
        <f>IF($C764="B",INDEX(Batters[[#All],[Age]],MATCH(Table5[[#This Row],[PID]],Batters[[#All],[PID]],0)),INDEX(Table3[[#All],[Age]],MATCH(Table5[[#This Row],[PID]],Table3[[#All],[PID]],0)))</f>
        <v>22</v>
      </c>
      <c r="H764" s="52" t="str">
        <f>IF($C764="B",INDEX(Batters[[#All],[B]],MATCH(Table5[[#This Row],[PID]],Batters[[#All],[PID]],0)),INDEX(Table3[[#All],[B]],MATCH(Table5[[#This Row],[PID]],Table3[[#All],[PID]],0)))</f>
        <v>R</v>
      </c>
      <c r="I764" s="52" t="str">
        <f>IF($C764="B",INDEX(Batters[[#All],[T]],MATCH(Table5[[#This Row],[PID]],Batters[[#All],[PID]],0)),INDEX(Table3[[#All],[T]],MATCH(Table5[[#This Row],[PID]],Table3[[#All],[PID]],0)))</f>
        <v>R</v>
      </c>
      <c r="J764" s="52" t="str">
        <f>IF($C764="B",INDEX(Batters[[#All],[WE]],MATCH(Table5[[#This Row],[PID]],Batters[[#All],[PID]],0)),INDEX(Table3[[#All],[WE]],MATCH(Table5[[#This Row],[PID]],Table3[[#All],[PID]],0)))</f>
        <v>Low</v>
      </c>
      <c r="K764" s="52" t="str">
        <f>IF($C764="B",INDEX(Batters[[#All],[INT]],MATCH(Table5[[#This Row],[PID]],Batters[[#All],[PID]],0)),INDEX(Table3[[#All],[INT]],MATCH(Table5[[#This Row],[PID]],Table3[[#All],[PID]],0)))</f>
        <v>Normal</v>
      </c>
      <c r="L764" s="60">
        <f>IF($C764="B",INDEX(Batters[[#All],[CON P]],MATCH(Table5[[#This Row],[PID]],Batters[[#All],[PID]],0)),INDEX(Table3[[#All],[STU P]],MATCH(Table5[[#This Row],[PID]],Table3[[#All],[PID]],0)))</f>
        <v>5</v>
      </c>
      <c r="M764" s="56">
        <f>IF($C764="B",INDEX(Batters[[#All],[GAP P]],MATCH(Table5[[#This Row],[PID]],Batters[[#All],[PID]],0)),INDEX(Table3[[#All],[MOV P]],MATCH(Table5[[#This Row],[PID]],Table3[[#All],[PID]],0)))</f>
        <v>2</v>
      </c>
      <c r="N764" s="56">
        <f>IF($C764="B",INDEX(Batters[[#All],[POW P]],MATCH(Table5[[#This Row],[PID]],Batters[[#All],[PID]],0)),INDEX(Table3[[#All],[CON P]],MATCH(Table5[[#This Row],[PID]],Table3[[#All],[PID]],0)))</f>
        <v>3</v>
      </c>
      <c r="O764" s="56" t="str">
        <f>IF($C764="B",INDEX(Batters[[#All],[EYE P]],MATCH(Table5[[#This Row],[PID]],Batters[[#All],[PID]],0)),INDEX(Table3[[#All],[VELO]],MATCH(Table5[[#This Row],[PID]],Table3[[#All],[PID]],0)))</f>
        <v>88-90 Mph</v>
      </c>
      <c r="P764" s="56">
        <f>IF($C764="B",INDEX(Batters[[#All],[K P]],MATCH(Table5[[#This Row],[PID]],Batters[[#All],[PID]],0)),INDEX(Table3[[#All],[STM]],MATCH(Table5[[#This Row],[PID]],Table3[[#All],[PID]],0)))</f>
        <v>8</v>
      </c>
      <c r="Q764" s="61">
        <f>IF($C764="B",INDEX(Batters[[#All],[Tot]],MATCH(Table5[[#This Row],[PID]],Batters[[#All],[PID]],0)),INDEX(Table3[[#All],[Tot]],MATCH(Table5[[#This Row],[PID]],Table3[[#All],[PID]],0)))</f>
        <v>33.132103325595864</v>
      </c>
      <c r="R764" s="52">
        <f>IF($C764="B",INDEX(Batters[[#All],[zScore]],MATCH(Table5[[#This Row],[PID]],Batters[[#All],[PID]],0)),INDEX(Table3[[#All],[zScore]],MATCH(Table5[[#This Row],[PID]],Table3[[#All],[PID]],0)))</f>
        <v>-0.18218307878098866</v>
      </c>
      <c r="S764" s="58" t="str">
        <f>IF($C764="B",INDEX(Batters[[#All],[DEM]],MATCH(Table5[[#This Row],[PID]],Batters[[#All],[PID]],0)),INDEX(Table3[[#All],[DEM]],MATCH(Table5[[#This Row],[PID]],Table3[[#All],[PID]],0)))</f>
        <v>-</v>
      </c>
      <c r="T764" s="62">
        <f>IF($C764="B",INDEX(Batters[[#All],[Rnk]],MATCH(Table5[[#This Row],[PID]],Batters[[#All],[PID]],0)),INDEX(Table3[[#All],[Rnk]],MATCH(Table5[[#This Row],[PID]],Table3[[#All],[PID]],0)))</f>
        <v>378</v>
      </c>
      <c r="U764" s="68">
        <f>IF($C764="B",VLOOKUP($A764,Bat!$A$4:$BA$1621,47,FALSE),VLOOKUP($A764,Pit!$A$4:$BF$1557,56,FALSE))</f>
        <v>0</v>
      </c>
      <c r="V764" s="50">
        <f>IF($C764="B",VLOOKUP($A764,Bat!$A$4:$BA$1621,48,FALSE),VLOOKUP($A764,Pit!$A$4:$BF$1557,57,FALSE))</f>
        <v>0</v>
      </c>
      <c r="W764" s="50">
        <f>Table5[[#This Row],[posRnk]]+Table5[[#This Row],[zRnk]]+IF($W$3&lt;&gt;Table5[[#This Row],[Type]],50,0)</f>
        <v>1085</v>
      </c>
      <c r="X764" s="51">
        <f>RANK(Table5[[#This Row],[zScore]],Table5[[#All],[zScore]])</f>
        <v>657</v>
      </c>
      <c r="Y764" s="50" t="str">
        <f>IFERROR(INDEX(DraftResults[[#All],[OVR]],MATCH(Table5[[#This Row],[PID]],DraftResults[[#All],[Player ID]],0)),"")</f>
        <v/>
      </c>
      <c r="Z7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4" s="50" t="str">
        <f>IFERROR(INDEX(DraftResults[[#All],[Pick in Round]],MATCH(Table5[[#This Row],[PID]],DraftResults[[#All],[Player ID]],0)),"")</f>
        <v/>
      </c>
      <c r="AB764" s="50" t="str">
        <f>IFERROR(INDEX(DraftResults[[#All],[Team Name]],MATCH(Table5[[#This Row],[PID]],DraftResults[[#All],[Player ID]],0)),"")</f>
        <v/>
      </c>
      <c r="AC764" s="50" t="str">
        <f>IF(Table5[[#This Row],[Ovr]]="","",IF(Table5[[#This Row],[cmbList]]="","",Table5[[#This Row],[cmbList]]-Table5[[#This Row],[Ovr]]))</f>
        <v/>
      </c>
      <c r="AD764" s="54" t="str">
        <f>IF(ISERROR(VLOOKUP($AB764&amp;"-"&amp;$E764&amp;" "&amp;F764,Bonuses!$B$1:$G$1006,4,FALSE)),"",INT(VLOOKUP($AB764&amp;"-"&amp;$E764&amp;" "&amp;$F764,Bonuses!$B$1:$G$1006,4,FALSE)))</f>
        <v/>
      </c>
      <c r="AE7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5" spans="1:31" s="50" customFormat="1" x14ac:dyDescent="0.25">
      <c r="A765" s="50">
        <v>17567</v>
      </c>
      <c r="B765" s="50">
        <f>COUNTIF(Table5[PID],A765)</f>
        <v>1</v>
      </c>
      <c r="C765" s="50" t="str">
        <f>IF(COUNTIF(Table3[[#All],[PID]],A765)&gt;0,"P","B")</f>
        <v>B</v>
      </c>
      <c r="D765" s="59" t="str">
        <f>IF($C765="B",INDEX(Batters[[#All],[POS]],MATCH(Table5[[#This Row],[PID]],Batters[[#All],[PID]],0)),INDEX(Table3[[#All],[POS]],MATCH(Table5[[#This Row],[PID]],Table3[[#All],[PID]],0)))</f>
        <v>1B</v>
      </c>
      <c r="E765" s="52" t="str">
        <f>IF($C765="B",INDEX(Batters[[#All],[First]],MATCH(Table5[[#This Row],[PID]],Batters[[#All],[PID]],0)),INDEX(Table3[[#All],[First]],MATCH(Table5[[#This Row],[PID]],Table3[[#All],[PID]],0)))</f>
        <v>Danny</v>
      </c>
      <c r="F765" s="50" t="str">
        <f>IF($C765="B",INDEX(Batters[[#All],[Last]],MATCH(A765,Batters[[#All],[PID]],0)),INDEX(Table3[[#All],[Last]],MATCH(A765,Table3[[#All],[PID]],0)))</f>
        <v>Young</v>
      </c>
      <c r="G765" s="56">
        <f>IF($C765="B",INDEX(Batters[[#All],[Age]],MATCH(Table5[[#This Row],[PID]],Batters[[#All],[PID]],0)),INDEX(Table3[[#All],[Age]],MATCH(Table5[[#This Row],[PID]],Table3[[#All],[PID]],0)))</f>
        <v>18</v>
      </c>
      <c r="H765" s="52" t="str">
        <f>IF($C765="B",INDEX(Batters[[#All],[B]],MATCH(Table5[[#This Row],[PID]],Batters[[#All],[PID]],0)),INDEX(Table3[[#All],[B]],MATCH(Table5[[#This Row],[PID]],Table3[[#All],[PID]],0)))</f>
        <v>R</v>
      </c>
      <c r="I765" s="52" t="str">
        <f>IF($C765="B",INDEX(Batters[[#All],[T]],MATCH(Table5[[#This Row],[PID]],Batters[[#All],[PID]],0)),INDEX(Table3[[#All],[T]],MATCH(Table5[[#This Row],[PID]],Table3[[#All],[PID]],0)))</f>
        <v>R</v>
      </c>
      <c r="J765" s="52" t="str">
        <f>IF($C765="B",INDEX(Batters[[#All],[WE]],MATCH(Table5[[#This Row],[PID]],Batters[[#All],[PID]],0)),INDEX(Table3[[#All],[WE]],MATCH(Table5[[#This Row],[PID]],Table3[[#All],[PID]],0)))</f>
        <v>High</v>
      </c>
      <c r="K765" s="52" t="str">
        <f>IF($C765="B",INDEX(Batters[[#All],[INT]],MATCH(Table5[[#This Row],[PID]],Batters[[#All],[PID]],0)),INDEX(Table3[[#All],[INT]],MATCH(Table5[[#This Row],[PID]],Table3[[#All],[PID]],0)))</f>
        <v>Normal</v>
      </c>
      <c r="L765" s="60">
        <f>IF($C765="B",INDEX(Batters[[#All],[CON P]],MATCH(Table5[[#This Row],[PID]],Batters[[#All],[PID]],0)),INDEX(Table3[[#All],[STU P]],MATCH(Table5[[#This Row],[PID]],Table3[[#All],[PID]],0)))</f>
        <v>3</v>
      </c>
      <c r="M765" s="56">
        <f>IF($C765="B",INDEX(Batters[[#All],[GAP P]],MATCH(Table5[[#This Row],[PID]],Batters[[#All],[PID]],0)),INDEX(Table3[[#All],[MOV P]],MATCH(Table5[[#This Row],[PID]],Table3[[#All],[PID]],0)))</f>
        <v>3</v>
      </c>
      <c r="N765" s="56">
        <f>IF($C765="B",INDEX(Batters[[#All],[POW P]],MATCH(Table5[[#This Row],[PID]],Batters[[#All],[PID]],0)),INDEX(Table3[[#All],[CON P]],MATCH(Table5[[#This Row],[PID]],Table3[[#All],[PID]],0)))</f>
        <v>5</v>
      </c>
      <c r="O765" s="56">
        <f>IF($C765="B",INDEX(Batters[[#All],[EYE P]],MATCH(Table5[[#This Row],[PID]],Batters[[#All],[PID]],0)),INDEX(Table3[[#All],[VELO]],MATCH(Table5[[#This Row],[PID]],Table3[[#All],[PID]],0)))</f>
        <v>5</v>
      </c>
      <c r="P765" s="56">
        <f>IF($C765="B",INDEX(Batters[[#All],[K P]],MATCH(Table5[[#This Row],[PID]],Batters[[#All],[PID]],0)),INDEX(Table3[[#All],[STM]],MATCH(Table5[[#This Row],[PID]],Table3[[#All],[PID]],0)))</f>
        <v>3</v>
      </c>
      <c r="Q765" s="61">
        <f>IF($C765="B",INDEX(Batters[[#All],[Tot]],MATCH(Table5[[#This Row],[PID]],Batters[[#All],[PID]],0)),INDEX(Table3[[#All],[Tot]],MATCH(Table5[[#This Row],[PID]],Table3[[#All],[PID]],0)))</f>
        <v>43.307931065419012</v>
      </c>
      <c r="R765" s="52">
        <f>IF($C765="B",INDEX(Batters[[#All],[zScore]],MATCH(Table5[[#This Row],[PID]],Batters[[#All],[PID]],0)),INDEX(Table3[[#All],[zScore]],MATCH(Table5[[#This Row],[PID]],Table3[[#All],[PID]],0)))</f>
        <v>-0.18268828886444305</v>
      </c>
      <c r="S765" s="58" t="str">
        <f>IF($C765="B",INDEX(Batters[[#All],[DEM]],MATCH(Table5[[#This Row],[PID]],Batters[[#All],[PID]],0)),INDEX(Table3[[#All],[DEM]],MATCH(Table5[[#This Row],[PID]],Table3[[#All],[PID]],0)))</f>
        <v>$65k</v>
      </c>
      <c r="T765" s="62">
        <f>IF($C765="B",INDEX(Batters[[#All],[Rnk]],MATCH(Table5[[#This Row],[PID]],Batters[[#All],[PID]],0)),INDEX(Table3[[#All],[Rnk]],MATCH(Table5[[#This Row],[PID]],Table3[[#All],[PID]],0)))</f>
        <v>280</v>
      </c>
      <c r="U765" s="68">
        <f>IF($C765="B",VLOOKUP($A765,Bat!$A$4:$BA$1621,47,FALSE),VLOOKUP($A765,Pit!$A$4:$BF$1557,56,FALSE))</f>
        <v>0</v>
      </c>
      <c r="V765" s="50">
        <f>IF($C765="B",VLOOKUP($A765,Bat!$A$4:$BA$1621,48,FALSE),VLOOKUP($A765,Pit!$A$4:$BF$1557,57,FALSE))</f>
        <v>0</v>
      </c>
      <c r="W765" s="50">
        <f>Table5[[#This Row],[posRnk]]+Table5[[#This Row],[zRnk]]+IF($W$3&lt;&gt;Table5[[#This Row],[Type]],50,0)</f>
        <v>988</v>
      </c>
      <c r="X765" s="51">
        <f>RANK(Table5[[#This Row],[zScore]],Table5[[#All],[zScore]])</f>
        <v>658</v>
      </c>
      <c r="Y765" s="50" t="str">
        <f>IFERROR(INDEX(DraftResults[[#All],[OVR]],MATCH(Table5[[#This Row],[PID]],DraftResults[[#All],[Player ID]],0)),"")</f>
        <v/>
      </c>
      <c r="Z7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5" s="50" t="str">
        <f>IFERROR(INDEX(DraftResults[[#All],[Pick in Round]],MATCH(Table5[[#This Row],[PID]],DraftResults[[#All],[Player ID]],0)),"")</f>
        <v/>
      </c>
      <c r="AB765" s="50" t="str">
        <f>IFERROR(INDEX(DraftResults[[#All],[Team Name]],MATCH(Table5[[#This Row],[PID]],DraftResults[[#All],[Player ID]],0)),"")</f>
        <v/>
      </c>
      <c r="AC765" s="50" t="str">
        <f>IF(Table5[[#This Row],[Ovr]]="","",IF(Table5[[#This Row],[cmbList]]="","",Table5[[#This Row],[cmbList]]-Table5[[#This Row],[Ovr]]))</f>
        <v/>
      </c>
      <c r="AD765" s="54" t="str">
        <f>IF(ISERROR(VLOOKUP($AB765&amp;"-"&amp;$E765&amp;" "&amp;F765,Bonuses!$B$1:$G$1006,4,FALSE)),"",INT(VLOOKUP($AB765&amp;"-"&amp;$E765&amp;" "&amp;$F765,Bonuses!$B$1:$G$1006,4,FALSE)))</f>
        <v/>
      </c>
      <c r="AE7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6" spans="1:31" s="50" customFormat="1" x14ac:dyDescent="0.25">
      <c r="A766" s="50">
        <v>17828</v>
      </c>
      <c r="B766" s="50">
        <f>COUNTIF(Table5[PID],A766)</f>
        <v>1</v>
      </c>
      <c r="C766" s="50" t="str">
        <f>IF(COUNTIF(Table3[[#All],[PID]],A766)&gt;0,"P","B")</f>
        <v>B</v>
      </c>
      <c r="D766" s="59" t="str">
        <f>IF($C766="B",INDEX(Batters[[#All],[POS]],MATCH(Table5[[#This Row],[PID]],Batters[[#All],[PID]],0)),INDEX(Table3[[#All],[POS]],MATCH(Table5[[#This Row],[PID]],Table3[[#All],[PID]],0)))</f>
        <v>2B</v>
      </c>
      <c r="E766" s="52" t="str">
        <f>IF($C766="B",INDEX(Batters[[#All],[First]],MATCH(Table5[[#This Row],[PID]],Batters[[#All],[PID]],0)),INDEX(Table3[[#All],[First]],MATCH(Table5[[#This Row],[PID]],Table3[[#All],[PID]],0)))</f>
        <v>Daryl</v>
      </c>
      <c r="F766" s="50" t="str">
        <f>IF($C766="B",INDEX(Batters[[#All],[Last]],MATCH(A766,Batters[[#All],[PID]],0)),INDEX(Table3[[#All],[Last]],MATCH(A766,Table3[[#All],[PID]],0)))</f>
        <v>Amesbury</v>
      </c>
      <c r="G766" s="56">
        <f>IF($C766="B",INDEX(Batters[[#All],[Age]],MATCH(Table5[[#This Row],[PID]],Batters[[#All],[PID]],0)),INDEX(Table3[[#All],[Age]],MATCH(Table5[[#This Row],[PID]],Table3[[#All],[PID]],0)))</f>
        <v>18</v>
      </c>
      <c r="H766" s="52" t="str">
        <f>IF($C766="B",INDEX(Batters[[#All],[B]],MATCH(Table5[[#This Row],[PID]],Batters[[#All],[PID]],0)),INDEX(Table3[[#All],[B]],MATCH(Table5[[#This Row],[PID]],Table3[[#All],[PID]],0)))</f>
        <v>R</v>
      </c>
      <c r="I766" s="52" t="str">
        <f>IF($C766="B",INDEX(Batters[[#All],[T]],MATCH(Table5[[#This Row],[PID]],Batters[[#All],[PID]],0)),INDEX(Table3[[#All],[T]],MATCH(Table5[[#This Row],[PID]],Table3[[#All],[PID]],0)))</f>
        <v>R</v>
      </c>
      <c r="J766" s="52" t="str">
        <f>IF($C766="B",INDEX(Batters[[#All],[WE]],MATCH(Table5[[#This Row],[PID]],Batters[[#All],[PID]],0)),INDEX(Table3[[#All],[WE]],MATCH(Table5[[#This Row],[PID]],Table3[[#All],[PID]],0)))</f>
        <v>Normal</v>
      </c>
      <c r="K766" s="52" t="str">
        <f>IF($C766="B",INDEX(Batters[[#All],[INT]],MATCH(Table5[[#This Row],[PID]],Batters[[#All],[PID]],0)),INDEX(Table3[[#All],[INT]],MATCH(Table5[[#This Row],[PID]],Table3[[#All],[PID]],0)))</f>
        <v>Normal</v>
      </c>
      <c r="L766" s="60">
        <f>IF($C766="B",INDEX(Batters[[#All],[CON P]],MATCH(Table5[[#This Row],[PID]],Batters[[#All],[PID]],0)),INDEX(Table3[[#All],[STU P]],MATCH(Table5[[#This Row],[PID]],Table3[[#All],[PID]],0)))</f>
        <v>4</v>
      </c>
      <c r="M766" s="56">
        <f>IF($C766="B",INDEX(Batters[[#All],[GAP P]],MATCH(Table5[[#This Row],[PID]],Batters[[#All],[PID]],0)),INDEX(Table3[[#All],[MOV P]],MATCH(Table5[[#This Row],[PID]],Table3[[#All],[PID]],0)))</f>
        <v>3</v>
      </c>
      <c r="N766" s="56">
        <f>IF($C766="B",INDEX(Batters[[#All],[POW P]],MATCH(Table5[[#This Row],[PID]],Batters[[#All],[PID]],0)),INDEX(Table3[[#All],[CON P]],MATCH(Table5[[#This Row],[PID]],Table3[[#All],[PID]],0)))</f>
        <v>2</v>
      </c>
      <c r="O766" s="56">
        <f>IF($C766="B",INDEX(Batters[[#All],[EYE P]],MATCH(Table5[[#This Row],[PID]],Batters[[#All],[PID]],0)),INDEX(Table3[[#All],[VELO]],MATCH(Table5[[#This Row],[PID]],Table3[[#All],[PID]],0)))</f>
        <v>4</v>
      </c>
      <c r="P766" s="56">
        <f>IF($C766="B",INDEX(Batters[[#All],[K P]],MATCH(Table5[[#This Row],[PID]],Batters[[#All],[PID]],0)),INDEX(Table3[[#All],[STM]],MATCH(Table5[[#This Row],[PID]],Table3[[#All],[PID]],0)))</f>
        <v>4</v>
      </c>
      <c r="Q766" s="61">
        <f>IF($C766="B",INDEX(Batters[[#All],[Tot]],MATCH(Table5[[#This Row],[PID]],Batters[[#All],[PID]],0)),INDEX(Table3[[#All],[Tot]],MATCH(Table5[[#This Row],[PID]],Table3[[#All],[PID]],0)))</f>
        <v>43.292068792680681</v>
      </c>
      <c r="R766" s="52">
        <f>IF($C766="B",INDEX(Batters[[#All],[zScore]],MATCH(Table5[[#This Row],[PID]],Batters[[#All],[PID]],0)),INDEX(Table3[[#All],[zScore]],MATCH(Table5[[#This Row],[PID]],Table3[[#All],[PID]],0)))</f>
        <v>-0.1862050619495442</v>
      </c>
      <c r="S766" s="58" t="str">
        <f>IF($C766="B",INDEX(Batters[[#All],[DEM]],MATCH(Table5[[#This Row],[PID]],Batters[[#All],[PID]],0)),INDEX(Table3[[#All],[DEM]],MATCH(Table5[[#This Row],[PID]],Table3[[#All],[PID]],0)))</f>
        <v>$80k</v>
      </c>
      <c r="T766" s="62">
        <f>IF($C766="B",INDEX(Batters[[#All],[Rnk]],MATCH(Table5[[#This Row],[PID]],Batters[[#All],[PID]],0)),INDEX(Table3[[#All],[Rnk]],MATCH(Table5[[#This Row],[PID]],Table3[[#All],[PID]],0)))</f>
        <v>281</v>
      </c>
      <c r="U766" s="68">
        <f>IF($C766="B",VLOOKUP($A766,Bat!$A$4:$BA$1621,47,FALSE),VLOOKUP($A766,Pit!$A$4:$BF$1557,56,FALSE))</f>
        <v>0</v>
      </c>
      <c r="V766" s="50">
        <f>IF($C766="B",VLOOKUP($A766,Bat!$A$4:$BA$1621,48,FALSE),VLOOKUP($A766,Pit!$A$4:$BF$1557,57,FALSE))</f>
        <v>0</v>
      </c>
      <c r="W766" s="50">
        <f>Table5[[#This Row],[posRnk]]+Table5[[#This Row],[zRnk]]+IF($W$3&lt;&gt;Table5[[#This Row],[Type]],50,0)</f>
        <v>991</v>
      </c>
      <c r="X766" s="51">
        <f>RANK(Table5[[#This Row],[zScore]],Table5[[#All],[zScore]])</f>
        <v>660</v>
      </c>
      <c r="Y766" s="50" t="str">
        <f>IFERROR(INDEX(DraftResults[[#All],[OVR]],MATCH(Table5[[#This Row],[PID]],DraftResults[[#All],[Player ID]],0)),"")</f>
        <v/>
      </c>
      <c r="Z7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6" s="50" t="str">
        <f>IFERROR(INDEX(DraftResults[[#All],[Pick in Round]],MATCH(Table5[[#This Row],[PID]],DraftResults[[#All],[Player ID]],0)),"")</f>
        <v/>
      </c>
      <c r="AB766" s="50" t="str">
        <f>IFERROR(INDEX(DraftResults[[#All],[Team Name]],MATCH(Table5[[#This Row],[PID]],DraftResults[[#All],[Player ID]],0)),"")</f>
        <v/>
      </c>
      <c r="AC766" s="50" t="str">
        <f>IF(Table5[[#This Row],[Ovr]]="","",IF(Table5[[#This Row],[cmbList]]="","",Table5[[#This Row],[cmbList]]-Table5[[#This Row],[Ovr]]))</f>
        <v/>
      </c>
      <c r="AD766" s="54" t="str">
        <f>IF(ISERROR(VLOOKUP($AB766&amp;"-"&amp;$E766&amp;" "&amp;F766,Bonuses!$B$1:$G$1006,4,FALSE)),"",INT(VLOOKUP($AB766&amp;"-"&amp;$E766&amp;" "&amp;$F766,Bonuses!$B$1:$G$1006,4,FALSE)))</f>
        <v/>
      </c>
      <c r="AE7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7" spans="1:31" s="50" customFormat="1" x14ac:dyDescent="0.25">
      <c r="A767" s="50">
        <v>18354</v>
      </c>
      <c r="B767" s="50">
        <f>COUNTIF(Table5[PID],A767)</f>
        <v>1</v>
      </c>
      <c r="C767" s="50" t="str">
        <f>IF(COUNTIF(Table3[[#All],[PID]],A767)&gt;0,"P","B")</f>
        <v>P</v>
      </c>
      <c r="D767" s="59" t="str">
        <f>IF($C767="B",INDEX(Batters[[#All],[POS]],MATCH(Table5[[#This Row],[PID]],Batters[[#All],[PID]],0)),INDEX(Table3[[#All],[POS]],MATCH(Table5[[#This Row],[PID]],Table3[[#All],[PID]],0)))</f>
        <v>RP</v>
      </c>
      <c r="E767" s="52" t="str">
        <f>IF($C767="B",INDEX(Batters[[#All],[First]],MATCH(Table5[[#This Row],[PID]],Batters[[#All],[PID]],0)),INDEX(Table3[[#All],[First]],MATCH(Table5[[#This Row],[PID]],Table3[[#All],[PID]],0)))</f>
        <v>Rusty</v>
      </c>
      <c r="F767" s="50" t="str">
        <f>IF($C767="B",INDEX(Batters[[#All],[Last]],MATCH(A767,Batters[[#All],[PID]],0)),INDEX(Table3[[#All],[Last]],MATCH(A767,Table3[[#All],[PID]],0)))</f>
        <v>Brenton</v>
      </c>
      <c r="G767" s="56">
        <f>IF($C767="B",INDEX(Batters[[#All],[Age]],MATCH(Table5[[#This Row],[PID]],Batters[[#All],[PID]],0)),INDEX(Table3[[#All],[Age]],MATCH(Table5[[#This Row],[PID]],Table3[[#All],[PID]],0)))</f>
        <v>18</v>
      </c>
      <c r="H767" s="52" t="str">
        <f>IF($C767="B",INDEX(Batters[[#All],[B]],MATCH(Table5[[#This Row],[PID]],Batters[[#All],[PID]],0)),INDEX(Table3[[#All],[B]],MATCH(Table5[[#This Row],[PID]],Table3[[#All],[PID]],0)))</f>
        <v>R</v>
      </c>
      <c r="I767" s="52" t="str">
        <f>IF($C767="B",INDEX(Batters[[#All],[T]],MATCH(Table5[[#This Row],[PID]],Batters[[#All],[PID]],0)),INDEX(Table3[[#All],[T]],MATCH(Table5[[#This Row],[PID]],Table3[[#All],[PID]],0)))</f>
        <v>R</v>
      </c>
      <c r="J767" s="52" t="str">
        <f>IF($C767="B",INDEX(Batters[[#All],[WE]],MATCH(Table5[[#This Row],[PID]],Batters[[#All],[PID]],0)),INDEX(Table3[[#All],[WE]],MATCH(Table5[[#This Row],[PID]],Table3[[#All],[PID]],0)))</f>
        <v>Low</v>
      </c>
      <c r="K767" s="52" t="str">
        <f>IF($C767="B",INDEX(Batters[[#All],[INT]],MATCH(Table5[[#This Row],[PID]],Batters[[#All],[PID]],0)),INDEX(Table3[[#All],[INT]],MATCH(Table5[[#This Row],[PID]],Table3[[#All],[PID]],0)))</f>
        <v>Low</v>
      </c>
      <c r="L767" s="60">
        <f>IF($C767="B",INDEX(Batters[[#All],[CON P]],MATCH(Table5[[#This Row],[PID]],Batters[[#All],[PID]],0)),INDEX(Table3[[#All],[STU P]],MATCH(Table5[[#This Row],[PID]],Table3[[#All],[PID]],0)))</f>
        <v>4</v>
      </c>
      <c r="M767" s="56">
        <f>IF($C767="B",INDEX(Batters[[#All],[GAP P]],MATCH(Table5[[#This Row],[PID]],Batters[[#All],[PID]],0)),INDEX(Table3[[#All],[MOV P]],MATCH(Table5[[#This Row],[PID]],Table3[[#All],[PID]],0)))</f>
        <v>2</v>
      </c>
      <c r="N767" s="56">
        <f>IF($C767="B",INDEX(Batters[[#All],[POW P]],MATCH(Table5[[#This Row],[PID]],Batters[[#All],[PID]],0)),INDEX(Table3[[#All],[CON P]],MATCH(Table5[[#This Row],[PID]],Table3[[#All],[PID]],0)))</f>
        <v>3</v>
      </c>
      <c r="O767" s="56" t="str">
        <f>IF($C767="B",INDEX(Batters[[#All],[EYE P]],MATCH(Table5[[#This Row],[PID]],Batters[[#All],[PID]],0)),INDEX(Table3[[#All],[VELO]],MATCH(Table5[[#This Row],[PID]],Table3[[#All],[PID]],0)))</f>
        <v>87-89 Mph</v>
      </c>
      <c r="P767" s="56">
        <f>IF($C767="B",INDEX(Batters[[#All],[K P]],MATCH(Table5[[#This Row],[PID]],Batters[[#All],[PID]],0)),INDEX(Table3[[#All],[STM]],MATCH(Table5[[#This Row],[PID]],Table3[[#All],[PID]],0)))</f>
        <v>8</v>
      </c>
      <c r="Q767" s="61">
        <f>IF($C767="B",INDEX(Batters[[#All],[Tot]],MATCH(Table5[[#This Row],[PID]],Batters[[#All],[PID]],0)),INDEX(Table3[[#All],[Tot]],MATCH(Table5[[#This Row],[PID]],Table3[[#All],[PID]],0)))</f>
        <v>33.061788114013716</v>
      </c>
      <c r="R767" s="52">
        <f>IF($C767="B",INDEX(Batters[[#All],[zScore]],MATCH(Table5[[#This Row],[PID]],Batters[[#All],[PID]],0)),INDEX(Table3[[#All],[zScore]],MATCH(Table5[[#This Row],[PID]],Table3[[#All],[PID]],0)))</f>
        <v>-0.1868610423582524</v>
      </c>
      <c r="S767" s="58" t="str">
        <f>IF($C767="B",INDEX(Batters[[#All],[DEM]],MATCH(Table5[[#This Row],[PID]],Batters[[#All],[PID]],0)),INDEX(Table3[[#All],[DEM]],MATCH(Table5[[#This Row],[PID]],Table3[[#All],[PID]],0)))</f>
        <v>$70k</v>
      </c>
      <c r="T767" s="62">
        <f>IF($C767="B",INDEX(Batters[[#All],[Rnk]],MATCH(Table5[[#This Row],[PID]],Batters[[#All],[PID]],0)),INDEX(Table3[[#All],[Rnk]],MATCH(Table5[[#This Row],[PID]],Table3[[#All],[PID]],0)))</f>
        <v>380</v>
      </c>
      <c r="U767" s="68">
        <f>IF($C767="B",VLOOKUP($A767,Bat!$A$4:$BA$1621,47,FALSE),VLOOKUP($A767,Pit!$A$4:$BF$1557,56,FALSE))</f>
        <v>0</v>
      </c>
      <c r="V767" s="50">
        <f>IF($C767="B",VLOOKUP($A767,Bat!$A$4:$BA$1621,48,FALSE),VLOOKUP($A767,Pit!$A$4:$BF$1557,57,FALSE))</f>
        <v>0</v>
      </c>
      <c r="W767" s="50">
        <f>Table5[[#This Row],[posRnk]]+Table5[[#This Row],[zRnk]]+IF($W$3&lt;&gt;Table5[[#This Row],[Type]],50,0)</f>
        <v>1091</v>
      </c>
      <c r="X767" s="51">
        <f>RANK(Table5[[#This Row],[zScore]],Table5[[#All],[zScore]])</f>
        <v>661</v>
      </c>
      <c r="Y767" s="50" t="str">
        <f>IFERROR(INDEX(DraftResults[[#All],[OVR]],MATCH(Table5[[#This Row],[PID]],DraftResults[[#All],[Player ID]],0)),"")</f>
        <v/>
      </c>
      <c r="Z7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7" s="50" t="str">
        <f>IFERROR(INDEX(DraftResults[[#All],[Pick in Round]],MATCH(Table5[[#This Row],[PID]],DraftResults[[#All],[Player ID]],0)),"")</f>
        <v/>
      </c>
      <c r="AB767" s="50" t="str">
        <f>IFERROR(INDEX(DraftResults[[#All],[Team Name]],MATCH(Table5[[#This Row],[PID]],DraftResults[[#All],[Player ID]],0)),"")</f>
        <v/>
      </c>
      <c r="AC767" s="50" t="str">
        <f>IF(Table5[[#This Row],[Ovr]]="","",IF(Table5[[#This Row],[cmbList]]="","",Table5[[#This Row],[cmbList]]-Table5[[#This Row],[Ovr]]))</f>
        <v/>
      </c>
      <c r="AD767" s="54" t="str">
        <f>IF(ISERROR(VLOOKUP($AB767&amp;"-"&amp;$E767&amp;" "&amp;F767,Bonuses!$B$1:$G$1006,4,FALSE)),"",INT(VLOOKUP($AB767&amp;"-"&amp;$E767&amp;" "&amp;$F767,Bonuses!$B$1:$G$1006,4,FALSE)))</f>
        <v/>
      </c>
      <c r="AE7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8" spans="1:31" s="50" customFormat="1" x14ac:dyDescent="0.25">
      <c r="A768" s="50">
        <v>20684</v>
      </c>
      <c r="B768" s="50">
        <f>COUNTIF(Table5[PID],A768)</f>
        <v>1</v>
      </c>
      <c r="C768" s="50" t="str">
        <f>IF(COUNTIF(Table3[[#All],[PID]],A768)&gt;0,"P","B")</f>
        <v>P</v>
      </c>
      <c r="D768" s="59" t="str">
        <f>IF($C768="B",INDEX(Batters[[#All],[POS]],MATCH(Table5[[#This Row],[PID]],Batters[[#All],[PID]],0)),INDEX(Table3[[#All],[POS]],MATCH(Table5[[#This Row],[PID]],Table3[[#All],[PID]],0)))</f>
        <v>CL</v>
      </c>
      <c r="E768" s="52" t="str">
        <f>IF($C768="B",INDEX(Batters[[#All],[First]],MATCH(Table5[[#This Row],[PID]],Batters[[#All],[PID]],0)),INDEX(Table3[[#All],[First]],MATCH(Table5[[#This Row],[PID]],Table3[[#All],[PID]],0)))</f>
        <v>Zee-loo</v>
      </c>
      <c r="F768" s="50" t="str">
        <f>IF($C768="B",INDEX(Batters[[#All],[Last]],MATCH(A768,Batters[[#All],[PID]],0)),INDEX(Table3[[#All],[Last]],MATCH(A768,Table3[[#All],[PID]],0)))</f>
        <v>Chuko</v>
      </c>
      <c r="G768" s="56">
        <f>IF($C768="B",INDEX(Batters[[#All],[Age]],MATCH(Table5[[#This Row],[PID]],Batters[[#All],[PID]],0)),INDEX(Table3[[#All],[Age]],MATCH(Table5[[#This Row],[PID]],Table3[[#All],[PID]],0)))</f>
        <v>18</v>
      </c>
      <c r="H768" s="52" t="str">
        <f>IF($C768="B",INDEX(Batters[[#All],[B]],MATCH(Table5[[#This Row],[PID]],Batters[[#All],[PID]],0)),INDEX(Table3[[#All],[B]],MATCH(Table5[[#This Row],[PID]],Table3[[#All],[PID]],0)))</f>
        <v>R</v>
      </c>
      <c r="I768" s="52" t="str">
        <f>IF($C768="B",INDEX(Batters[[#All],[T]],MATCH(Table5[[#This Row],[PID]],Batters[[#All],[PID]],0)),INDEX(Table3[[#All],[T]],MATCH(Table5[[#This Row],[PID]],Table3[[#All],[PID]],0)))</f>
        <v>R</v>
      </c>
      <c r="J768" s="52" t="str">
        <f>IF($C768="B",INDEX(Batters[[#All],[WE]],MATCH(Table5[[#This Row],[PID]],Batters[[#All],[PID]],0)),INDEX(Table3[[#All],[WE]],MATCH(Table5[[#This Row],[PID]],Table3[[#All],[PID]],0)))</f>
        <v>Normal</v>
      </c>
      <c r="K768" s="52" t="str">
        <f>IF($C768="B",INDEX(Batters[[#All],[INT]],MATCH(Table5[[#This Row],[PID]],Batters[[#All],[PID]],0)),INDEX(Table3[[#All],[INT]],MATCH(Table5[[#This Row],[PID]],Table3[[#All],[PID]],0)))</f>
        <v>High</v>
      </c>
      <c r="L768" s="60">
        <f>IF($C768="B",INDEX(Batters[[#All],[CON P]],MATCH(Table5[[#This Row],[PID]],Batters[[#All],[PID]],0)),INDEX(Table3[[#All],[STU P]],MATCH(Table5[[#This Row],[PID]],Table3[[#All],[PID]],0)))</f>
        <v>6</v>
      </c>
      <c r="M768" s="56">
        <f>IF($C768="B",INDEX(Batters[[#All],[GAP P]],MATCH(Table5[[#This Row],[PID]],Batters[[#All],[PID]],0)),INDEX(Table3[[#All],[MOV P]],MATCH(Table5[[#This Row],[PID]],Table3[[#All],[PID]],0)))</f>
        <v>1</v>
      </c>
      <c r="N768" s="56">
        <f>IF($C768="B",INDEX(Batters[[#All],[POW P]],MATCH(Table5[[#This Row],[PID]],Batters[[#All],[PID]],0)),INDEX(Table3[[#All],[CON P]],MATCH(Table5[[#This Row],[PID]],Table3[[#All],[PID]],0)))</f>
        <v>3</v>
      </c>
      <c r="O768" s="56" t="str">
        <f>IF($C768="B",INDEX(Batters[[#All],[EYE P]],MATCH(Table5[[#This Row],[PID]],Batters[[#All],[PID]],0)),INDEX(Table3[[#All],[VELO]],MATCH(Table5[[#This Row],[PID]],Table3[[#All],[PID]],0)))</f>
        <v>89-91 Mph</v>
      </c>
      <c r="P768" s="56">
        <f>IF($C768="B",INDEX(Batters[[#All],[K P]],MATCH(Table5[[#This Row],[PID]],Batters[[#All],[PID]],0)),INDEX(Table3[[#All],[STM]],MATCH(Table5[[#This Row],[PID]],Table3[[#All],[PID]],0)))</f>
        <v>4</v>
      </c>
      <c r="Q768" s="61">
        <f>IF($C768="B",INDEX(Batters[[#All],[Tot]],MATCH(Table5[[#This Row],[PID]],Batters[[#All],[PID]],0)),INDEX(Table3[[#All],[Tot]],MATCH(Table5[[#This Row],[PID]],Table3[[#All],[PID]],0)))</f>
        <v>33.02575777914732</v>
      </c>
      <c r="R768" s="52">
        <f>IF($C768="B",INDEX(Batters[[#All],[zScore]],MATCH(Table5[[#This Row],[PID]],Batters[[#All],[PID]],0)),INDEX(Table3[[#All],[zScore]],MATCH(Table5[[#This Row],[PID]],Table3[[#All],[PID]],0)))</f>
        <v>-0.18925808547864045</v>
      </c>
      <c r="S768" s="58" t="str">
        <f>IF($C768="B",INDEX(Batters[[#All],[DEM]],MATCH(Table5[[#This Row],[PID]],Batters[[#All],[PID]],0)),INDEX(Table3[[#All],[DEM]],MATCH(Table5[[#This Row],[PID]],Table3[[#All],[PID]],0)))</f>
        <v>$38k</v>
      </c>
      <c r="T768" s="62">
        <f>IF($C768="B",INDEX(Batters[[#All],[Rnk]],MATCH(Table5[[#This Row],[PID]],Batters[[#All],[PID]],0)),INDEX(Table3[[#All],[Rnk]],MATCH(Table5[[#This Row],[PID]],Table3[[#All],[PID]],0)))</f>
        <v>381</v>
      </c>
      <c r="U768" s="68">
        <f>IF($C768="B",VLOOKUP($A768,Bat!$A$4:$BA$1621,47,FALSE),VLOOKUP($A768,Pit!$A$4:$BF$1557,56,FALSE))</f>
        <v>0</v>
      </c>
      <c r="V768" s="50">
        <f>IF($C768="B",VLOOKUP($A768,Bat!$A$4:$BA$1621,48,FALSE),VLOOKUP($A768,Pit!$A$4:$BF$1557,57,FALSE))</f>
        <v>0</v>
      </c>
      <c r="W768" s="50">
        <f>Table5[[#This Row],[posRnk]]+Table5[[#This Row],[zRnk]]+IF($W$3&lt;&gt;Table5[[#This Row],[Type]],50,0)</f>
        <v>1093</v>
      </c>
      <c r="X768" s="51">
        <f>RANK(Table5[[#This Row],[zScore]],Table5[[#All],[zScore]])</f>
        <v>662</v>
      </c>
      <c r="Y768" s="50" t="str">
        <f>IFERROR(INDEX(DraftResults[[#All],[OVR]],MATCH(Table5[[#This Row],[PID]],DraftResults[[#All],[Player ID]],0)),"")</f>
        <v/>
      </c>
      <c r="Z7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8" s="50" t="str">
        <f>IFERROR(INDEX(DraftResults[[#All],[Pick in Round]],MATCH(Table5[[#This Row],[PID]],DraftResults[[#All],[Player ID]],0)),"")</f>
        <v/>
      </c>
      <c r="AB768" s="50" t="str">
        <f>IFERROR(INDEX(DraftResults[[#All],[Team Name]],MATCH(Table5[[#This Row],[PID]],DraftResults[[#All],[Player ID]],0)),"")</f>
        <v/>
      </c>
      <c r="AC768" s="50" t="str">
        <f>IF(Table5[[#This Row],[Ovr]]="","",IF(Table5[[#This Row],[cmbList]]="","",Table5[[#This Row],[cmbList]]-Table5[[#This Row],[Ovr]]))</f>
        <v/>
      </c>
      <c r="AD768" s="54" t="str">
        <f>IF(ISERROR(VLOOKUP($AB768&amp;"-"&amp;$E768&amp;" "&amp;F768,Bonuses!$B$1:$G$1006,4,FALSE)),"",INT(VLOOKUP($AB768&amp;"-"&amp;$E768&amp;" "&amp;$F768,Bonuses!$B$1:$G$1006,4,FALSE)))</f>
        <v/>
      </c>
      <c r="AE7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69" spans="1:31" s="50" customFormat="1" x14ac:dyDescent="0.25">
      <c r="A769" s="68">
        <v>21108</v>
      </c>
      <c r="B769" s="69">
        <f>COUNTIF(Table5[PID],A769)</f>
        <v>1</v>
      </c>
      <c r="C769" s="69" t="str">
        <f>IF(COUNTIF(Table3[[#All],[PID]],A769)&gt;0,"P","B")</f>
        <v>P</v>
      </c>
      <c r="D769" s="59" t="str">
        <f>IF($C769="B",INDEX(Batters[[#All],[POS]],MATCH(Table5[[#This Row],[PID]],Batters[[#All],[PID]],0)),INDEX(Table3[[#All],[POS]],MATCH(Table5[[#This Row],[PID]],Table3[[#All],[PID]],0)))</f>
        <v>SP</v>
      </c>
      <c r="E769" s="52" t="str">
        <f>IF($C769="B",INDEX(Batters[[#All],[First]],MATCH(Table5[[#This Row],[PID]],Batters[[#All],[PID]],0)),INDEX(Table3[[#All],[First]],MATCH(Table5[[#This Row],[PID]],Table3[[#All],[PID]],0)))</f>
        <v>Dave</v>
      </c>
      <c r="F769" s="55" t="str">
        <f>IF($C769="B",INDEX(Batters[[#All],[Last]],MATCH(A769,Batters[[#All],[PID]],0)),INDEX(Table3[[#All],[Last]],MATCH(A769,Table3[[#All],[PID]],0)))</f>
        <v>Spencer</v>
      </c>
      <c r="G769" s="56">
        <f>IF($C769="B",INDEX(Batters[[#All],[Age]],MATCH(Table5[[#This Row],[PID]],Batters[[#All],[PID]],0)),INDEX(Table3[[#All],[Age]],MATCH(Table5[[#This Row],[PID]],Table3[[#All],[PID]],0)))</f>
        <v>18</v>
      </c>
      <c r="H769" s="52" t="str">
        <f>IF($C769="B",INDEX(Batters[[#All],[B]],MATCH(Table5[[#This Row],[PID]],Batters[[#All],[PID]],0)),INDEX(Table3[[#All],[B]],MATCH(Table5[[#This Row],[PID]],Table3[[#All],[PID]],0)))</f>
        <v>L</v>
      </c>
      <c r="I769" s="52" t="str">
        <f>IF($C769="B",INDEX(Batters[[#All],[T]],MATCH(Table5[[#This Row],[PID]],Batters[[#All],[PID]],0)),INDEX(Table3[[#All],[T]],MATCH(Table5[[#This Row],[PID]],Table3[[#All],[PID]],0)))</f>
        <v>L</v>
      </c>
      <c r="J769" s="71" t="str">
        <f>IF($C769="B",INDEX(Batters[[#All],[WE]],MATCH(Table5[[#This Row],[PID]],Batters[[#All],[PID]],0)),INDEX(Table3[[#All],[WE]],MATCH(Table5[[#This Row],[PID]],Table3[[#All],[PID]],0)))</f>
        <v>Normal</v>
      </c>
      <c r="K769" s="52" t="str">
        <f>IF($C769="B",INDEX(Batters[[#All],[INT]],MATCH(Table5[[#This Row],[PID]],Batters[[#All],[PID]],0)),INDEX(Table3[[#All],[INT]],MATCH(Table5[[#This Row],[PID]],Table3[[#All],[PID]],0)))</f>
        <v>Low</v>
      </c>
      <c r="L769" s="60">
        <f>IF($C769="B",INDEX(Batters[[#All],[CON P]],MATCH(Table5[[#This Row],[PID]],Batters[[#All],[PID]],0)),INDEX(Table3[[#All],[STU P]],MATCH(Table5[[#This Row],[PID]],Table3[[#All],[PID]],0)))</f>
        <v>4</v>
      </c>
      <c r="M769" s="72">
        <f>IF($C769="B",INDEX(Batters[[#All],[GAP P]],MATCH(Table5[[#This Row],[PID]],Batters[[#All],[PID]],0)),INDEX(Table3[[#All],[MOV P]],MATCH(Table5[[#This Row],[PID]],Table3[[#All],[PID]],0)))</f>
        <v>2</v>
      </c>
      <c r="N769" s="72">
        <f>IF($C769="B",INDEX(Batters[[#All],[POW P]],MATCH(Table5[[#This Row],[PID]],Batters[[#All],[PID]],0)),INDEX(Table3[[#All],[CON P]],MATCH(Table5[[#This Row],[PID]],Table3[[#All],[PID]],0)))</f>
        <v>3</v>
      </c>
      <c r="O769" s="72" t="str">
        <f>IF($C769="B",INDEX(Batters[[#All],[EYE P]],MATCH(Table5[[#This Row],[PID]],Batters[[#All],[PID]],0)),INDEX(Table3[[#All],[VELO]],MATCH(Table5[[#This Row],[PID]],Table3[[#All],[PID]],0)))</f>
        <v>89-91 Mph</v>
      </c>
      <c r="P769" s="56">
        <f>IF($C769="B",INDEX(Batters[[#All],[K P]],MATCH(Table5[[#This Row],[PID]],Batters[[#All],[PID]],0)),INDEX(Table3[[#All],[STM]],MATCH(Table5[[#This Row],[PID]],Table3[[#All],[PID]],0)))</f>
        <v>9</v>
      </c>
      <c r="Q769" s="61">
        <f>IF($C769="B",INDEX(Batters[[#All],[Tot]],MATCH(Table5[[#This Row],[PID]],Batters[[#All],[PID]],0)),INDEX(Table3[[#All],[Tot]],MATCH(Table5[[#This Row],[PID]],Table3[[#All],[PID]],0)))</f>
        <v>34.150874457299729</v>
      </c>
      <c r="R769" s="52">
        <f>IF($C769="B",INDEX(Batters[[#All],[zScore]],MATCH(Table5[[#This Row],[PID]],Batters[[#All],[PID]],0)),INDEX(Table3[[#All],[zScore]],MATCH(Table5[[#This Row],[PID]],Table3[[#All],[PID]],0)))</f>
        <v>-0.19021216381464492</v>
      </c>
      <c r="S769" s="78" t="str">
        <f>IF($C769="B",INDEX(Batters[[#All],[DEM]],MATCH(Table5[[#This Row],[PID]],Batters[[#All],[PID]],0)),INDEX(Table3[[#All],[DEM]],MATCH(Table5[[#This Row],[PID]],Table3[[#All],[PID]],0)))</f>
        <v>$65k</v>
      </c>
      <c r="T769" s="75">
        <f>IF($C769="B",INDEX(Batters[[#All],[Rnk]],MATCH(Table5[[#This Row],[PID]],Batters[[#All],[PID]],0)),INDEX(Table3[[#All],[Rnk]],MATCH(Table5[[#This Row],[PID]],Table3[[#All],[PID]],0)))</f>
        <v>382</v>
      </c>
      <c r="U769" s="68">
        <f>IF($C769="B",VLOOKUP($A769,Bat!$A$4:$BA$1621,47,FALSE),VLOOKUP($A769,Pit!$A$4:$BF$1557,56,FALSE))</f>
        <v>0</v>
      </c>
      <c r="V769" s="50">
        <f>IF($C769="B",VLOOKUP($A769,Bat!$A$4:$BA$1621,48,FALSE),VLOOKUP($A769,Pit!$A$4:$BF$1557,57,FALSE))</f>
        <v>0</v>
      </c>
      <c r="W769" s="69">
        <f>Table5[[#This Row],[posRnk]]+Table5[[#This Row],[zRnk]]+IF($W$3&lt;&gt;Table5[[#This Row],[Type]],50,0)</f>
        <v>1095</v>
      </c>
      <c r="X769" s="73">
        <f>RANK(Table5[[#This Row],[zScore]],Table5[[#All],[zScore]])</f>
        <v>663</v>
      </c>
      <c r="Y769" s="69" t="str">
        <f>IFERROR(INDEX(DraftResults[[#All],[OVR]],MATCH(Table5[[#This Row],[PID]],DraftResults[[#All],[Player ID]],0)),"")</f>
        <v/>
      </c>
      <c r="Z76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69" s="69" t="str">
        <f>IFERROR(INDEX(DraftResults[[#All],[Pick in Round]],MATCH(Table5[[#This Row],[PID]],DraftResults[[#All],[Player ID]],0)),"")</f>
        <v/>
      </c>
      <c r="AB769" s="69" t="str">
        <f>IFERROR(INDEX(DraftResults[[#All],[Team Name]],MATCH(Table5[[#This Row],[PID]],DraftResults[[#All],[Player ID]],0)),"")</f>
        <v/>
      </c>
      <c r="AC769" s="69" t="str">
        <f>IF(Table5[[#This Row],[Ovr]]="","",IF(Table5[[#This Row],[cmbList]]="","",Table5[[#This Row],[cmbList]]-Table5[[#This Row],[Ovr]]))</f>
        <v/>
      </c>
      <c r="AD769" s="77" t="str">
        <f>IF(ISERROR(VLOOKUP($AB769&amp;"-"&amp;$E769&amp;" "&amp;F769,Bonuses!$B$1:$G$1006,4,FALSE)),"",INT(VLOOKUP($AB769&amp;"-"&amp;$E769&amp;" "&amp;$F769,Bonuses!$B$1:$G$1006,4,FALSE)))</f>
        <v/>
      </c>
      <c r="AE76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0" spans="1:31" s="50" customFormat="1" x14ac:dyDescent="0.25">
      <c r="A770" s="50">
        <v>20986</v>
      </c>
      <c r="B770" s="50">
        <f>COUNTIF(Table5[PID],A770)</f>
        <v>1</v>
      </c>
      <c r="C770" s="50" t="str">
        <f>IF(COUNTIF(Table3[[#All],[PID]],A770)&gt;0,"P","B")</f>
        <v>P</v>
      </c>
      <c r="D770" s="59" t="str">
        <f>IF($C770="B",INDEX(Batters[[#All],[POS]],MATCH(Table5[[#This Row],[PID]],Batters[[#All],[PID]],0)),INDEX(Table3[[#All],[POS]],MATCH(Table5[[#This Row],[PID]],Table3[[#All],[PID]],0)))</f>
        <v>RP</v>
      </c>
      <c r="E770" s="52" t="str">
        <f>IF($C770="B",INDEX(Batters[[#All],[First]],MATCH(Table5[[#This Row],[PID]],Batters[[#All],[PID]],0)),INDEX(Table3[[#All],[First]],MATCH(Table5[[#This Row],[PID]],Table3[[#All],[PID]],0)))</f>
        <v>Paul</v>
      </c>
      <c r="F770" s="50" t="str">
        <f>IF($C770="B",INDEX(Batters[[#All],[Last]],MATCH(A770,Batters[[#All],[PID]],0)),INDEX(Table3[[#All],[Last]],MATCH(A770,Table3[[#All],[PID]],0)))</f>
        <v>Fisher</v>
      </c>
      <c r="G770" s="56">
        <f>IF($C770="B",INDEX(Batters[[#All],[Age]],MATCH(Table5[[#This Row],[PID]],Batters[[#All],[PID]],0)),INDEX(Table3[[#All],[Age]],MATCH(Table5[[#This Row],[PID]],Table3[[#All],[PID]],0)))</f>
        <v>18</v>
      </c>
      <c r="H770" s="52" t="str">
        <f>IF($C770="B",INDEX(Batters[[#All],[B]],MATCH(Table5[[#This Row],[PID]],Batters[[#All],[PID]],0)),INDEX(Table3[[#All],[B]],MATCH(Table5[[#This Row],[PID]],Table3[[#All],[PID]],0)))</f>
        <v>R</v>
      </c>
      <c r="I770" s="52" t="str">
        <f>IF($C770="B",INDEX(Batters[[#All],[T]],MATCH(Table5[[#This Row],[PID]],Batters[[#All],[PID]],0)),INDEX(Table3[[#All],[T]],MATCH(Table5[[#This Row],[PID]],Table3[[#All],[PID]],0)))</f>
        <v>L</v>
      </c>
      <c r="J770" s="52" t="str">
        <f>IF($C770="B",INDEX(Batters[[#All],[WE]],MATCH(Table5[[#This Row],[PID]],Batters[[#All],[PID]],0)),INDEX(Table3[[#All],[WE]],MATCH(Table5[[#This Row],[PID]],Table3[[#All],[PID]],0)))</f>
        <v>High</v>
      </c>
      <c r="K770" s="52" t="str">
        <f>IF($C770="B",INDEX(Batters[[#All],[INT]],MATCH(Table5[[#This Row],[PID]],Batters[[#All],[PID]],0)),INDEX(Table3[[#All],[INT]],MATCH(Table5[[#This Row],[PID]],Table3[[#All],[PID]],0)))</f>
        <v>Normal</v>
      </c>
      <c r="L770" s="60">
        <f>IF($C770="B",INDEX(Batters[[#All],[CON P]],MATCH(Table5[[#This Row],[PID]],Batters[[#All],[PID]],0)),INDEX(Table3[[#All],[STU P]],MATCH(Table5[[#This Row],[PID]],Table3[[#All],[PID]],0)))</f>
        <v>5</v>
      </c>
      <c r="M770" s="56">
        <f>IF($C770="B",INDEX(Batters[[#All],[GAP P]],MATCH(Table5[[#This Row],[PID]],Batters[[#All],[PID]],0)),INDEX(Table3[[#All],[MOV P]],MATCH(Table5[[#This Row],[PID]],Table3[[#All],[PID]],0)))</f>
        <v>2</v>
      </c>
      <c r="N770" s="56">
        <f>IF($C770="B",INDEX(Batters[[#All],[POW P]],MATCH(Table5[[#This Row],[PID]],Batters[[#All],[PID]],0)),INDEX(Table3[[#All],[CON P]],MATCH(Table5[[#This Row],[PID]],Table3[[#All],[PID]],0)))</f>
        <v>3</v>
      </c>
      <c r="O770" s="56" t="str">
        <f>IF($C770="B",INDEX(Batters[[#All],[EYE P]],MATCH(Table5[[#This Row],[PID]],Batters[[#All],[PID]],0)),INDEX(Table3[[#All],[VELO]],MATCH(Table5[[#This Row],[PID]],Table3[[#All],[PID]],0)))</f>
        <v>87-89 Mph</v>
      </c>
      <c r="P770" s="56">
        <f>IF($C770="B",INDEX(Batters[[#All],[K P]],MATCH(Table5[[#This Row],[PID]],Batters[[#All],[PID]],0)),INDEX(Table3[[#All],[STM]],MATCH(Table5[[#This Row],[PID]],Table3[[#All],[PID]],0)))</f>
        <v>4</v>
      </c>
      <c r="Q770" s="61">
        <f>IF($C770="B",INDEX(Batters[[#All],[Tot]],MATCH(Table5[[#This Row],[PID]],Batters[[#All],[PID]],0)),INDEX(Table3[[#All],[Tot]],MATCH(Table5[[#This Row],[PID]],Table3[[#All],[PID]],0)))</f>
        <v>33.0029745484523</v>
      </c>
      <c r="R770" s="52">
        <f>IF($C770="B",INDEX(Batters[[#All],[zScore]],MATCH(Table5[[#This Row],[PID]],Batters[[#All],[PID]],0)),INDEX(Table3[[#All],[zScore]],MATCH(Table5[[#This Row],[PID]],Table3[[#All],[PID]],0)))</f>
        <v>-0.19077381900152379</v>
      </c>
      <c r="S770" s="58" t="str">
        <f>IF($C770="B",INDEX(Batters[[#All],[DEM]],MATCH(Table5[[#This Row],[PID]],Batters[[#All],[PID]],0)),INDEX(Table3[[#All],[DEM]],MATCH(Table5[[#This Row],[PID]],Table3[[#All],[PID]],0)))</f>
        <v>$65k</v>
      </c>
      <c r="T770" s="62">
        <f>IF($C770="B",INDEX(Batters[[#All],[Rnk]],MATCH(Table5[[#This Row],[PID]],Batters[[#All],[PID]],0)),INDEX(Table3[[#All],[Rnk]],MATCH(Table5[[#This Row],[PID]],Table3[[#All],[PID]],0)))</f>
        <v>383</v>
      </c>
      <c r="U770" s="68">
        <f>IF($C770="B",VLOOKUP($A770,Bat!$A$4:$BA$1621,47,FALSE),VLOOKUP($A770,Pit!$A$4:$BF$1557,56,FALSE))</f>
        <v>0</v>
      </c>
      <c r="V770" s="50">
        <f>IF($C770="B",VLOOKUP($A770,Bat!$A$4:$BA$1621,48,FALSE),VLOOKUP($A770,Pit!$A$4:$BF$1557,57,FALSE))</f>
        <v>0</v>
      </c>
      <c r="W770" s="50">
        <f>Table5[[#This Row],[posRnk]]+Table5[[#This Row],[zRnk]]+IF($W$3&lt;&gt;Table5[[#This Row],[Type]],50,0)</f>
        <v>1098</v>
      </c>
      <c r="X770" s="51">
        <f>RANK(Table5[[#This Row],[zScore]],Table5[[#All],[zScore]])</f>
        <v>665</v>
      </c>
      <c r="Y770" s="50" t="str">
        <f>IFERROR(INDEX(DraftResults[[#All],[OVR]],MATCH(Table5[[#This Row],[PID]],DraftResults[[#All],[Player ID]],0)),"")</f>
        <v/>
      </c>
      <c r="Z7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0" s="50" t="str">
        <f>IFERROR(INDEX(DraftResults[[#All],[Pick in Round]],MATCH(Table5[[#This Row],[PID]],DraftResults[[#All],[Player ID]],0)),"")</f>
        <v/>
      </c>
      <c r="AB770" s="50" t="str">
        <f>IFERROR(INDEX(DraftResults[[#All],[Team Name]],MATCH(Table5[[#This Row],[PID]],DraftResults[[#All],[Player ID]],0)),"")</f>
        <v/>
      </c>
      <c r="AC770" s="50" t="str">
        <f>IF(Table5[[#This Row],[Ovr]]="","",IF(Table5[[#This Row],[cmbList]]="","",Table5[[#This Row],[cmbList]]-Table5[[#This Row],[Ovr]]))</f>
        <v/>
      </c>
      <c r="AD770" s="54" t="str">
        <f>IF(ISERROR(VLOOKUP($AB770&amp;"-"&amp;$E770&amp;" "&amp;F770,Bonuses!$B$1:$G$1006,4,FALSE)),"",INT(VLOOKUP($AB770&amp;"-"&amp;$E770&amp;" "&amp;$F770,Bonuses!$B$1:$G$1006,4,FALSE)))</f>
        <v/>
      </c>
      <c r="AE7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1" spans="1:31" s="50" customFormat="1" x14ac:dyDescent="0.25">
      <c r="A771" s="68">
        <v>21029</v>
      </c>
      <c r="B771" s="69">
        <f>COUNTIF(Table5[PID],A771)</f>
        <v>1</v>
      </c>
      <c r="C771" s="69" t="str">
        <f>IF(COUNTIF(Table3[[#All],[PID]],A771)&gt;0,"P","B")</f>
        <v>P</v>
      </c>
      <c r="D771" s="59" t="str">
        <f>IF($C771="B",INDEX(Batters[[#All],[POS]],MATCH(Table5[[#This Row],[PID]],Batters[[#All],[PID]],0)),INDEX(Table3[[#All],[POS]],MATCH(Table5[[#This Row],[PID]],Table3[[#All],[PID]],0)))</f>
        <v>SP</v>
      </c>
      <c r="E771" s="52" t="str">
        <f>IF($C771="B",INDEX(Batters[[#All],[First]],MATCH(Table5[[#This Row],[PID]],Batters[[#All],[PID]],0)),INDEX(Table3[[#All],[First]],MATCH(Table5[[#This Row],[PID]],Table3[[#All],[PID]],0)))</f>
        <v>Mike</v>
      </c>
      <c r="F771" s="55" t="str">
        <f>IF($C771="B",INDEX(Batters[[#All],[Last]],MATCH(A771,Batters[[#All],[PID]],0)),INDEX(Table3[[#All],[Last]],MATCH(A771,Table3[[#All],[PID]],0)))</f>
        <v>MacNamara</v>
      </c>
      <c r="G771" s="56">
        <f>IF($C771="B",INDEX(Batters[[#All],[Age]],MATCH(Table5[[#This Row],[PID]],Batters[[#All],[PID]],0)),INDEX(Table3[[#All],[Age]],MATCH(Table5[[#This Row],[PID]],Table3[[#All],[PID]],0)))</f>
        <v>18</v>
      </c>
      <c r="H771" s="52" t="str">
        <f>IF($C771="B",INDEX(Batters[[#All],[B]],MATCH(Table5[[#This Row],[PID]],Batters[[#All],[PID]],0)),INDEX(Table3[[#All],[B]],MATCH(Table5[[#This Row],[PID]],Table3[[#All],[PID]],0)))</f>
        <v>L</v>
      </c>
      <c r="I771" s="52" t="str">
        <f>IF($C771="B",INDEX(Batters[[#All],[T]],MATCH(Table5[[#This Row],[PID]],Batters[[#All],[PID]],0)),INDEX(Table3[[#All],[T]],MATCH(Table5[[#This Row],[PID]],Table3[[#All],[PID]],0)))</f>
        <v>L</v>
      </c>
      <c r="J771" s="71" t="str">
        <f>IF($C771="B",INDEX(Batters[[#All],[WE]],MATCH(Table5[[#This Row],[PID]],Batters[[#All],[PID]],0)),INDEX(Table3[[#All],[WE]],MATCH(Table5[[#This Row],[PID]],Table3[[#All],[PID]],0)))</f>
        <v>Normal</v>
      </c>
      <c r="K771" s="52" t="str">
        <f>IF($C771="B",INDEX(Batters[[#All],[INT]],MATCH(Table5[[#This Row],[PID]],Batters[[#All],[PID]],0)),INDEX(Table3[[#All],[INT]],MATCH(Table5[[#This Row],[PID]],Table3[[#All],[PID]],0)))</f>
        <v>Normal</v>
      </c>
      <c r="L771" s="60">
        <f>IF($C771="B",INDEX(Batters[[#All],[CON P]],MATCH(Table5[[#This Row],[PID]],Batters[[#All],[PID]],0)),INDEX(Table3[[#All],[STU P]],MATCH(Table5[[#This Row],[PID]],Table3[[#All],[PID]],0)))</f>
        <v>3</v>
      </c>
      <c r="M771" s="72">
        <f>IF($C771="B",INDEX(Batters[[#All],[GAP P]],MATCH(Table5[[#This Row],[PID]],Batters[[#All],[PID]],0)),INDEX(Table3[[#All],[MOV P]],MATCH(Table5[[#This Row],[PID]],Table3[[#All],[PID]],0)))</f>
        <v>2</v>
      </c>
      <c r="N771" s="72">
        <f>IF($C771="B",INDEX(Batters[[#All],[POW P]],MATCH(Table5[[#This Row],[PID]],Batters[[#All],[PID]],0)),INDEX(Table3[[#All],[CON P]],MATCH(Table5[[#This Row],[PID]],Table3[[#All],[PID]],0)))</f>
        <v>4</v>
      </c>
      <c r="O771" s="72" t="str">
        <f>IF($C771="B",INDEX(Batters[[#All],[EYE P]],MATCH(Table5[[#This Row],[PID]],Batters[[#All],[PID]],0)),INDEX(Table3[[#All],[VELO]],MATCH(Table5[[#This Row],[PID]],Table3[[#All],[PID]],0)))</f>
        <v>86-88 Mph</v>
      </c>
      <c r="P771" s="56">
        <f>IF($C771="B",INDEX(Batters[[#All],[K P]],MATCH(Table5[[#This Row],[PID]],Batters[[#All],[PID]],0)),INDEX(Table3[[#All],[STM]],MATCH(Table5[[#This Row],[PID]],Table3[[#All],[PID]],0)))</f>
        <v>10</v>
      </c>
      <c r="Q771" s="61">
        <f>IF($C771="B",INDEX(Batters[[#All],[Tot]],MATCH(Table5[[#This Row],[PID]],Batters[[#All],[PID]],0)),INDEX(Table3[[#All],[Tot]],MATCH(Table5[[#This Row],[PID]],Table3[[#All],[PID]],0)))</f>
        <v>35.00879497213181</v>
      </c>
      <c r="R771" s="52">
        <f>IF($C771="B",INDEX(Batters[[#All],[zScore]],MATCH(Table5[[#This Row],[PID]],Batters[[#All],[PID]],0)),INDEX(Table3[[#All],[zScore]],MATCH(Table5[[#This Row],[PID]],Table3[[#All],[PID]],0)))</f>
        <v>-0.19145539752605356</v>
      </c>
      <c r="S771" s="78" t="str">
        <f>IF($C771="B",INDEX(Batters[[#All],[DEM]],MATCH(Table5[[#This Row],[PID]],Batters[[#All],[PID]],0)),INDEX(Table3[[#All],[DEM]],MATCH(Table5[[#This Row],[PID]],Table3[[#All],[PID]],0)))</f>
        <v>$65k</v>
      </c>
      <c r="T771" s="75">
        <f>IF($C771="B",INDEX(Batters[[#All],[Rnk]],MATCH(Table5[[#This Row],[PID]],Batters[[#All],[PID]],0)),INDEX(Table3[[#All],[Rnk]],MATCH(Table5[[#This Row],[PID]],Table3[[#All],[PID]],0)))</f>
        <v>384</v>
      </c>
      <c r="U771" s="68">
        <f>IF($C771="B",VLOOKUP($A771,Bat!$A$4:$BA$1621,47,FALSE),VLOOKUP($A771,Pit!$A$4:$BF$1557,56,FALSE))</f>
        <v>0</v>
      </c>
      <c r="V771" s="50">
        <f>IF($C771="B",VLOOKUP($A771,Bat!$A$4:$BA$1621,48,FALSE),VLOOKUP($A771,Pit!$A$4:$BF$1557,57,FALSE))</f>
        <v>0</v>
      </c>
      <c r="W771" s="69">
        <f>Table5[[#This Row],[posRnk]]+Table5[[#This Row],[zRnk]]+IF($W$3&lt;&gt;Table5[[#This Row],[Type]],50,0)</f>
        <v>1100</v>
      </c>
      <c r="X771" s="73">
        <f>RANK(Table5[[#This Row],[zScore]],Table5[[#All],[zScore]])</f>
        <v>666</v>
      </c>
      <c r="Y771" s="69" t="str">
        <f>IFERROR(INDEX(DraftResults[[#All],[OVR]],MATCH(Table5[[#This Row],[PID]],DraftResults[[#All],[Player ID]],0)),"")</f>
        <v/>
      </c>
      <c r="Z77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1" s="69" t="str">
        <f>IFERROR(INDEX(DraftResults[[#All],[Pick in Round]],MATCH(Table5[[#This Row],[PID]],DraftResults[[#All],[Player ID]],0)),"")</f>
        <v/>
      </c>
      <c r="AB771" s="69" t="str">
        <f>IFERROR(INDEX(DraftResults[[#All],[Team Name]],MATCH(Table5[[#This Row],[PID]],DraftResults[[#All],[Player ID]],0)),"")</f>
        <v/>
      </c>
      <c r="AC771" s="69" t="str">
        <f>IF(Table5[[#This Row],[Ovr]]="","",IF(Table5[[#This Row],[cmbList]]="","",Table5[[#This Row],[cmbList]]-Table5[[#This Row],[Ovr]]))</f>
        <v/>
      </c>
      <c r="AD771" s="77" t="str">
        <f>IF(ISERROR(VLOOKUP($AB771&amp;"-"&amp;$E771&amp;" "&amp;F771,Bonuses!$B$1:$G$1006,4,FALSE)),"",INT(VLOOKUP($AB771&amp;"-"&amp;$E771&amp;" "&amp;$F771,Bonuses!$B$1:$G$1006,4,FALSE)))</f>
        <v/>
      </c>
      <c r="AE77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2" spans="1:31" s="50" customFormat="1" x14ac:dyDescent="0.25">
      <c r="A772" s="50">
        <v>18034</v>
      </c>
      <c r="B772" s="50">
        <f>COUNTIF(Table5[PID],A772)</f>
        <v>1</v>
      </c>
      <c r="C772" s="50" t="str">
        <f>IF(COUNTIF(Table3[[#All],[PID]],A772)&gt;0,"P","B")</f>
        <v>P</v>
      </c>
      <c r="D772" s="59" t="str">
        <f>IF($C772="B",INDEX(Batters[[#All],[POS]],MATCH(Table5[[#This Row],[PID]],Batters[[#All],[PID]],0)),INDEX(Table3[[#All],[POS]],MATCH(Table5[[#This Row],[PID]],Table3[[#All],[PID]],0)))</f>
        <v>RP</v>
      </c>
      <c r="E772" s="52" t="str">
        <f>IF($C772="B",INDEX(Batters[[#All],[First]],MATCH(Table5[[#This Row],[PID]],Batters[[#All],[PID]],0)),INDEX(Table3[[#All],[First]],MATCH(Table5[[#This Row],[PID]],Table3[[#All],[PID]],0)))</f>
        <v>Jonathan</v>
      </c>
      <c r="F772" s="50" t="str">
        <f>IF($C772="B",INDEX(Batters[[#All],[Last]],MATCH(A772,Batters[[#All],[PID]],0)),INDEX(Table3[[#All],[Last]],MATCH(A772,Table3[[#All],[PID]],0)))</f>
        <v>Hester</v>
      </c>
      <c r="G772" s="56">
        <f>IF($C772="B",INDEX(Batters[[#All],[Age]],MATCH(Table5[[#This Row],[PID]],Batters[[#All],[PID]],0)),INDEX(Table3[[#All],[Age]],MATCH(Table5[[#This Row],[PID]],Table3[[#All],[PID]],0)))</f>
        <v>21</v>
      </c>
      <c r="H772" s="52" t="str">
        <f>IF($C772="B",INDEX(Batters[[#All],[B]],MATCH(Table5[[#This Row],[PID]],Batters[[#All],[PID]],0)),INDEX(Table3[[#All],[B]],MATCH(Table5[[#This Row],[PID]],Table3[[#All],[PID]],0)))</f>
        <v>R</v>
      </c>
      <c r="I772" s="52" t="str">
        <f>IF($C772="B",INDEX(Batters[[#All],[T]],MATCH(Table5[[#This Row],[PID]],Batters[[#All],[PID]],0)),INDEX(Table3[[#All],[T]],MATCH(Table5[[#This Row],[PID]],Table3[[#All],[PID]],0)))</f>
        <v>L</v>
      </c>
      <c r="J772" s="52" t="str">
        <f>IF($C772="B",INDEX(Batters[[#All],[WE]],MATCH(Table5[[#This Row],[PID]],Batters[[#All],[PID]],0)),INDEX(Table3[[#All],[WE]],MATCH(Table5[[#This Row],[PID]],Table3[[#All],[PID]],0)))</f>
        <v>Low</v>
      </c>
      <c r="K772" s="52" t="str">
        <f>IF($C772="B",INDEX(Batters[[#All],[INT]],MATCH(Table5[[#This Row],[PID]],Batters[[#All],[PID]],0)),INDEX(Table3[[#All],[INT]],MATCH(Table5[[#This Row],[PID]],Table3[[#All],[PID]],0)))</f>
        <v>Normal</v>
      </c>
      <c r="L772" s="60">
        <f>IF($C772="B",INDEX(Batters[[#All],[CON P]],MATCH(Table5[[#This Row],[PID]],Batters[[#All],[PID]],0)),INDEX(Table3[[#All],[STU P]],MATCH(Table5[[#This Row],[PID]],Table3[[#All],[PID]],0)))</f>
        <v>6</v>
      </c>
      <c r="M772" s="56">
        <f>IF($C772="B",INDEX(Batters[[#All],[GAP P]],MATCH(Table5[[#This Row],[PID]],Batters[[#All],[PID]],0)),INDEX(Table3[[#All],[MOV P]],MATCH(Table5[[#This Row],[PID]],Table3[[#All],[PID]],0)))</f>
        <v>2</v>
      </c>
      <c r="N772" s="56">
        <f>IF($C772="B",INDEX(Batters[[#All],[POW P]],MATCH(Table5[[#This Row],[PID]],Batters[[#All],[PID]],0)),INDEX(Table3[[#All],[CON P]],MATCH(Table5[[#This Row],[PID]],Table3[[#All],[PID]],0)))</f>
        <v>2</v>
      </c>
      <c r="O772" s="56" t="str">
        <f>IF($C772="B",INDEX(Batters[[#All],[EYE P]],MATCH(Table5[[#This Row],[PID]],Batters[[#All],[PID]],0)),INDEX(Table3[[#All],[VELO]],MATCH(Table5[[#This Row],[PID]],Table3[[#All],[PID]],0)))</f>
        <v>93-95 Mph</v>
      </c>
      <c r="P772" s="56">
        <f>IF($C772="B",INDEX(Batters[[#All],[K P]],MATCH(Table5[[#This Row],[PID]],Batters[[#All],[PID]],0)),INDEX(Table3[[#All],[STM]],MATCH(Table5[[#This Row],[PID]],Table3[[#All],[PID]],0)))</f>
        <v>4</v>
      </c>
      <c r="Q772" s="61">
        <f>IF($C772="B",INDEX(Batters[[#All],[Tot]],MATCH(Table5[[#This Row],[PID]],Batters[[#All],[PID]],0)),INDEX(Table3[[#All],[Tot]],MATCH(Table5[[#This Row],[PID]],Table3[[#All],[PID]],0)))</f>
        <v>32.909803877197533</v>
      </c>
      <c r="R772" s="52">
        <f>IF($C772="B",INDEX(Batters[[#All],[zScore]],MATCH(Table5[[#This Row],[PID]],Batters[[#All],[PID]],0)),INDEX(Table3[[#All],[zScore]],MATCH(Table5[[#This Row],[PID]],Table3[[#All],[PID]],0)))</f>
        <v>-0.19697232138517695</v>
      </c>
      <c r="S772" s="58" t="str">
        <f>IF($C772="B",INDEX(Batters[[#All],[DEM]],MATCH(Table5[[#This Row],[PID]],Batters[[#All],[PID]],0)),INDEX(Table3[[#All],[DEM]],MATCH(Table5[[#This Row],[PID]],Table3[[#All],[PID]],0)))</f>
        <v>-</v>
      </c>
      <c r="T772" s="62">
        <f>IF($C772="B",INDEX(Batters[[#All],[Rnk]],MATCH(Table5[[#This Row],[PID]],Batters[[#All],[PID]],0)),INDEX(Table3[[#All],[Rnk]],MATCH(Table5[[#This Row],[PID]],Table3[[#All],[PID]],0)))</f>
        <v>385</v>
      </c>
      <c r="U772" s="68">
        <f>IF($C772="B",VLOOKUP($A772,Bat!$A$4:$BA$1621,47,FALSE),VLOOKUP($A772,Pit!$A$4:$BF$1557,56,FALSE))</f>
        <v>0</v>
      </c>
      <c r="V772" s="50">
        <f>IF($C772="B",VLOOKUP($A772,Bat!$A$4:$BA$1621,48,FALSE),VLOOKUP($A772,Pit!$A$4:$BF$1557,57,FALSE))</f>
        <v>0</v>
      </c>
      <c r="W772" s="50">
        <f>Table5[[#This Row],[posRnk]]+Table5[[#This Row],[zRnk]]+IF($W$3&lt;&gt;Table5[[#This Row],[Type]],50,0)</f>
        <v>1102</v>
      </c>
      <c r="X772" s="51">
        <f>RANK(Table5[[#This Row],[zScore]],Table5[[#All],[zScore]])</f>
        <v>667</v>
      </c>
      <c r="Y772" s="50" t="str">
        <f>IFERROR(INDEX(DraftResults[[#All],[OVR]],MATCH(Table5[[#This Row],[PID]],DraftResults[[#All],[Player ID]],0)),"")</f>
        <v/>
      </c>
      <c r="Z7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2" s="50" t="str">
        <f>IFERROR(INDEX(DraftResults[[#All],[Pick in Round]],MATCH(Table5[[#This Row],[PID]],DraftResults[[#All],[Player ID]],0)),"")</f>
        <v/>
      </c>
      <c r="AB772" s="50" t="str">
        <f>IFERROR(INDEX(DraftResults[[#All],[Team Name]],MATCH(Table5[[#This Row],[PID]],DraftResults[[#All],[Player ID]],0)),"")</f>
        <v/>
      </c>
      <c r="AC772" s="50" t="str">
        <f>IF(Table5[[#This Row],[Ovr]]="","",IF(Table5[[#This Row],[cmbList]]="","",Table5[[#This Row],[cmbList]]-Table5[[#This Row],[Ovr]]))</f>
        <v/>
      </c>
      <c r="AD772" s="54" t="str">
        <f>IF(ISERROR(VLOOKUP($AB772&amp;"-"&amp;$E772&amp;" "&amp;F772,Bonuses!$B$1:$G$1006,4,FALSE)),"",INT(VLOOKUP($AB772&amp;"-"&amp;$E772&amp;" "&amp;$F772,Bonuses!$B$1:$G$1006,4,FALSE)))</f>
        <v/>
      </c>
      <c r="AE7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3" spans="1:31" s="50" customFormat="1" x14ac:dyDescent="0.25">
      <c r="A773" s="50">
        <v>20551</v>
      </c>
      <c r="B773" s="50">
        <f>COUNTIF(Table5[PID],A773)</f>
        <v>1</v>
      </c>
      <c r="C773" s="50" t="str">
        <f>IF(COUNTIF(Table3[[#All],[PID]],A773)&gt;0,"P","B")</f>
        <v>P</v>
      </c>
      <c r="D773" s="59" t="str">
        <f>IF($C773="B",INDEX(Batters[[#All],[POS]],MATCH(Table5[[#This Row],[PID]],Batters[[#All],[PID]],0)),INDEX(Table3[[#All],[POS]],MATCH(Table5[[#This Row],[PID]],Table3[[#All],[PID]],0)))</f>
        <v>RP</v>
      </c>
      <c r="E773" s="52" t="str">
        <f>IF($C773="B",INDEX(Batters[[#All],[First]],MATCH(Table5[[#This Row],[PID]],Batters[[#All],[PID]],0)),INDEX(Table3[[#All],[First]],MATCH(Table5[[#This Row],[PID]],Table3[[#All],[PID]],0)))</f>
        <v>Hayden</v>
      </c>
      <c r="F773" s="50" t="str">
        <f>IF($C773="B",INDEX(Batters[[#All],[Last]],MATCH(A773,Batters[[#All],[PID]],0)),INDEX(Table3[[#All],[Last]],MATCH(A773,Table3[[#All],[PID]],0)))</f>
        <v>Bence</v>
      </c>
      <c r="G773" s="56">
        <f>IF($C773="B",INDEX(Batters[[#All],[Age]],MATCH(Table5[[#This Row],[PID]],Batters[[#All],[PID]],0)),INDEX(Table3[[#All],[Age]],MATCH(Table5[[#This Row],[PID]],Table3[[#All],[PID]],0)))</f>
        <v>18</v>
      </c>
      <c r="H773" s="52" t="str">
        <f>IF($C773="B",INDEX(Batters[[#All],[B]],MATCH(Table5[[#This Row],[PID]],Batters[[#All],[PID]],0)),INDEX(Table3[[#All],[B]],MATCH(Table5[[#This Row],[PID]],Table3[[#All],[PID]],0)))</f>
        <v>R</v>
      </c>
      <c r="I773" s="52" t="str">
        <f>IF($C773="B",INDEX(Batters[[#All],[T]],MATCH(Table5[[#This Row],[PID]],Batters[[#All],[PID]],0)),INDEX(Table3[[#All],[T]],MATCH(Table5[[#This Row],[PID]],Table3[[#All],[PID]],0)))</f>
        <v>R</v>
      </c>
      <c r="J773" s="52" t="str">
        <f>IF($C773="B",INDEX(Batters[[#All],[WE]],MATCH(Table5[[#This Row],[PID]],Batters[[#All],[PID]],0)),INDEX(Table3[[#All],[WE]],MATCH(Table5[[#This Row],[PID]],Table3[[#All],[PID]],0)))</f>
        <v>Low</v>
      </c>
      <c r="K773" s="52" t="str">
        <f>IF($C773="B",INDEX(Batters[[#All],[INT]],MATCH(Table5[[#This Row],[PID]],Batters[[#All],[PID]],0)),INDEX(Table3[[#All],[INT]],MATCH(Table5[[#This Row],[PID]],Table3[[#All],[PID]],0)))</f>
        <v>Normal</v>
      </c>
      <c r="L773" s="60">
        <f>IF($C773="B",INDEX(Batters[[#All],[CON P]],MATCH(Table5[[#This Row],[PID]],Batters[[#All],[PID]],0)),INDEX(Table3[[#All],[STU P]],MATCH(Table5[[#This Row],[PID]],Table3[[#All],[PID]],0)))</f>
        <v>4</v>
      </c>
      <c r="M773" s="56">
        <f>IF($C773="B",INDEX(Batters[[#All],[GAP P]],MATCH(Table5[[#This Row],[PID]],Batters[[#All],[PID]],0)),INDEX(Table3[[#All],[MOV P]],MATCH(Table5[[#This Row],[PID]],Table3[[#All],[PID]],0)))</f>
        <v>2</v>
      </c>
      <c r="N773" s="56">
        <f>IF($C773="B",INDEX(Batters[[#All],[POW P]],MATCH(Table5[[#This Row],[PID]],Batters[[#All],[PID]],0)),INDEX(Table3[[#All],[CON P]],MATCH(Table5[[#This Row],[PID]],Table3[[#All],[PID]],0)))</f>
        <v>3</v>
      </c>
      <c r="O773" s="56" t="str">
        <f>IF($C773="B",INDEX(Batters[[#All],[EYE P]],MATCH(Table5[[#This Row],[PID]],Batters[[#All],[PID]],0)),INDEX(Table3[[#All],[VELO]],MATCH(Table5[[#This Row],[PID]],Table3[[#All],[PID]],0)))</f>
        <v>87-89 Mph</v>
      </c>
      <c r="P773" s="56">
        <f>IF($C773="B",INDEX(Batters[[#All],[K P]],MATCH(Table5[[#This Row],[PID]],Batters[[#All],[PID]],0)),INDEX(Table3[[#All],[STM]],MATCH(Table5[[#This Row],[PID]],Table3[[#All],[PID]],0)))</f>
        <v>7</v>
      </c>
      <c r="Q773" s="61">
        <f>IF($C773="B",INDEX(Batters[[#All],[Tot]],MATCH(Table5[[#This Row],[PID]],Batters[[#All],[PID]],0)),INDEX(Table3[[#All],[Tot]],MATCH(Table5[[#This Row],[PID]],Table3[[#All],[PID]],0)))</f>
        <v>32.86178811401372</v>
      </c>
      <c r="R773" s="52">
        <f>IF($C773="B",INDEX(Batters[[#All],[zScore]],MATCH(Table5[[#This Row],[PID]],Batters[[#All],[PID]],0)),INDEX(Table3[[#All],[zScore]],MATCH(Table5[[#This Row],[PID]],Table3[[#All],[PID]],0)))</f>
        <v>-0.20016673673648369</v>
      </c>
      <c r="S773" s="58" t="str">
        <f>IF($C773="B",INDEX(Batters[[#All],[DEM]],MATCH(Table5[[#This Row],[PID]],Batters[[#All],[PID]],0)),INDEX(Table3[[#All],[DEM]],MATCH(Table5[[#This Row],[PID]],Table3[[#All],[PID]],0)))</f>
        <v>$75k</v>
      </c>
      <c r="T773" s="62">
        <f>IF($C773="B",INDEX(Batters[[#All],[Rnk]],MATCH(Table5[[#This Row],[PID]],Batters[[#All],[PID]],0)),INDEX(Table3[[#All],[Rnk]],MATCH(Table5[[#This Row],[PID]],Table3[[#All],[PID]],0)))</f>
        <v>386</v>
      </c>
      <c r="U773" s="68">
        <f>IF($C773="B",VLOOKUP($A773,Bat!$A$4:$BA$1621,47,FALSE),VLOOKUP($A773,Pit!$A$4:$BF$1557,56,FALSE))</f>
        <v>0</v>
      </c>
      <c r="V773" s="50">
        <f>IF($C773="B",VLOOKUP($A773,Bat!$A$4:$BA$1621,48,FALSE),VLOOKUP($A773,Pit!$A$4:$BF$1557,57,FALSE))</f>
        <v>0</v>
      </c>
      <c r="W773" s="50">
        <f>Table5[[#This Row],[posRnk]]+Table5[[#This Row],[zRnk]]+IF($W$3&lt;&gt;Table5[[#This Row],[Type]],50,0)</f>
        <v>1105</v>
      </c>
      <c r="X773" s="51">
        <f>RANK(Table5[[#This Row],[zScore]],Table5[[#All],[zScore]])</f>
        <v>669</v>
      </c>
      <c r="Y773" s="50" t="str">
        <f>IFERROR(INDEX(DraftResults[[#All],[OVR]],MATCH(Table5[[#This Row],[PID]],DraftResults[[#All],[Player ID]],0)),"")</f>
        <v/>
      </c>
      <c r="Z7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3" s="50" t="str">
        <f>IFERROR(INDEX(DraftResults[[#All],[Pick in Round]],MATCH(Table5[[#This Row],[PID]],DraftResults[[#All],[Player ID]],0)),"")</f>
        <v/>
      </c>
      <c r="AB773" s="50" t="str">
        <f>IFERROR(INDEX(DraftResults[[#All],[Team Name]],MATCH(Table5[[#This Row],[PID]],DraftResults[[#All],[Player ID]],0)),"")</f>
        <v/>
      </c>
      <c r="AC773" s="50" t="str">
        <f>IF(Table5[[#This Row],[Ovr]]="","",IF(Table5[[#This Row],[cmbList]]="","",Table5[[#This Row],[cmbList]]-Table5[[#This Row],[Ovr]]))</f>
        <v/>
      </c>
      <c r="AD773" s="54" t="str">
        <f>IF(ISERROR(VLOOKUP($AB773&amp;"-"&amp;$E773&amp;" "&amp;F773,Bonuses!$B$1:$G$1006,4,FALSE)),"",INT(VLOOKUP($AB773&amp;"-"&amp;$E773&amp;" "&amp;$F773,Bonuses!$B$1:$G$1006,4,FALSE)))</f>
        <v/>
      </c>
      <c r="AE7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4" spans="1:31" s="50" customFormat="1" x14ac:dyDescent="0.25">
      <c r="A774" s="50">
        <v>17867</v>
      </c>
      <c r="B774" s="50">
        <f>COUNTIF(Table5[PID],A774)</f>
        <v>1</v>
      </c>
      <c r="C774" s="50" t="str">
        <f>IF(COUNTIF(Table3[[#All],[PID]],A774)&gt;0,"P","B")</f>
        <v>P</v>
      </c>
      <c r="D774" s="59" t="str">
        <f>IF($C774="B",INDEX(Batters[[#All],[POS]],MATCH(Table5[[#This Row],[PID]],Batters[[#All],[PID]],0)),INDEX(Table3[[#All],[POS]],MATCH(Table5[[#This Row],[PID]],Table3[[#All],[PID]],0)))</f>
        <v>RP</v>
      </c>
      <c r="E774" s="52" t="str">
        <f>IF($C774="B",INDEX(Batters[[#All],[First]],MATCH(Table5[[#This Row],[PID]],Batters[[#All],[PID]],0)),INDEX(Table3[[#All],[First]],MATCH(Table5[[#This Row],[PID]],Table3[[#All],[PID]],0)))</f>
        <v>Robbie</v>
      </c>
      <c r="F774" s="50" t="str">
        <f>IF($C774="B",INDEX(Batters[[#All],[Last]],MATCH(A774,Batters[[#All],[PID]],0)),INDEX(Table3[[#All],[Last]],MATCH(A774,Table3[[#All],[PID]],0)))</f>
        <v>Berridge</v>
      </c>
      <c r="G774" s="56">
        <f>IF($C774="B",INDEX(Batters[[#All],[Age]],MATCH(Table5[[#This Row],[PID]],Batters[[#All],[PID]],0)),INDEX(Table3[[#All],[Age]],MATCH(Table5[[#This Row],[PID]],Table3[[#All],[PID]],0)))</f>
        <v>18</v>
      </c>
      <c r="H774" s="52" t="str">
        <f>IF($C774="B",INDEX(Batters[[#All],[B]],MATCH(Table5[[#This Row],[PID]],Batters[[#All],[PID]],0)),INDEX(Table3[[#All],[B]],MATCH(Table5[[#This Row],[PID]],Table3[[#All],[PID]],0)))</f>
        <v>R</v>
      </c>
      <c r="I774" s="52" t="str">
        <f>IF($C774="B",INDEX(Batters[[#All],[T]],MATCH(Table5[[#This Row],[PID]],Batters[[#All],[PID]],0)),INDEX(Table3[[#All],[T]],MATCH(Table5[[#This Row],[PID]],Table3[[#All],[PID]],0)))</f>
        <v>R</v>
      </c>
      <c r="J774" s="52" t="str">
        <f>IF($C774="B",INDEX(Batters[[#All],[WE]],MATCH(Table5[[#This Row],[PID]],Batters[[#All],[PID]],0)),INDEX(Table3[[#All],[WE]],MATCH(Table5[[#This Row],[PID]],Table3[[#All],[PID]],0)))</f>
        <v>Low</v>
      </c>
      <c r="K774" s="52" t="str">
        <f>IF($C774="B",INDEX(Batters[[#All],[INT]],MATCH(Table5[[#This Row],[PID]],Batters[[#All],[PID]],0)),INDEX(Table3[[#All],[INT]],MATCH(Table5[[#This Row],[PID]],Table3[[#All],[PID]],0)))</f>
        <v>Normal</v>
      </c>
      <c r="L774" s="60">
        <f>IF($C774="B",INDEX(Batters[[#All],[CON P]],MATCH(Table5[[#This Row],[PID]],Batters[[#All],[PID]],0)),INDEX(Table3[[#All],[STU P]],MATCH(Table5[[#This Row],[PID]],Table3[[#All],[PID]],0)))</f>
        <v>5</v>
      </c>
      <c r="M774" s="56">
        <f>IF($C774="B",INDEX(Batters[[#All],[GAP P]],MATCH(Table5[[#This Row],[PID]],Batters[[#All],[PID]],0)),INDEX(Table3[[#All],[MOV P]],MATCH(Table5[[#This Row],[PID]],Table3[[#All],[PID]],0)))</f>
        <v>2</v>
      </c>
      <c r="N774" s="56">
        <f>IF($C774="B",INDEX(Batters[[#All],[POW P]],MATCH(Table5[[#This Row],[PID]],Batters[[#All],[PID]],0)),INDEX(Table3[[#All],[CON P]],MATCH(Table5[[#This Row],[PID]],Table3[[#All],[PID]],0)))</f>
        <v>2</v>
      </c>
      <c r="O774" s="56" t="str">
        <f>IF($C774="B",INDEX(Batters[[#All],[EYE P]],MATCH(Table5[[#This Row],[PID]],Batters[[#All],[PID]],0)),INDEX(Table3[[#All],[VELO]],MATCH(Table5[[#This Row],[PID]],Table3[[#All],[PID]],0)))</f>
        <v>90-92 Mph</v>
      </c>
      <c r="P774" s="56">
        <f>IF($C774="B",INDEX(Batters[[#All],[K P]],MATCH(Table5[[#This Row],[PID]],Batters[[#All],[PID]],0)),INDEX(Table3[[#All],[STM]],MATCH(Table5[[#This Row],[PID]],Table3[[#All],[PID]],0)))</f>
        <v>6</v>
      </c>
      <c r="Q774" s="61">
        <f>IF($C774="B",INDEX(Batters[[#All],[Tot]],MATCH(Table5[[#This Row],[PID]],Batters[[#All],[PID]],0)),INDEX(Table3[[#All],[Tot]],MATCH(Table5[[#This Row],[PID]],Table3[[#All],[PID]],0)))</f>
        <v>34.879582385740967</v>
      </c>
      <c r="R774" s="52">
        <f>IF($C774="B",INDEX(Batters[[#All],[zScore]],MATCH(Table5[[#This Row],[PID]],Batters[[#All],[PID]],0)),INDEX(Table3[[#All],[zScore]],MATCH(Table5[[#This Row],[PID]],Table3[[#All],[PID]],0)))</f>
        <v>-0.20030642167579579</v>
      </c>
      <c r="S774" s="58" t="str">
        <f>IF($C774="B",INDEX(Batters[[#All],[DEM]],MATCH(Table5[[#This Row],[PID]],Batters[[#All],[PID]],0)),INDEX(Table3[[#All],[DEM]],MATCH(Table5[[#This Row],[PID]],Table3[[#All],[PID]],0)))</f>
        <v>$70k</v>
      </c>
      <c r="T774" s="62">
        <f>IF($C774="B",INDEX(Batters[[#All],[Rnk]],MATCH(Table5[[#This Row],[PID]],Batters[[#All],[PID]],0)),INDEX(Table3[[#All],[Rnk]],MATCH(Table5[[#This Row],[PID]],Table3[[#All],[PID]],0)))</f>
        <v>387</v>
      </c>
      <c r="U774" s="68">
        <f>IF($C774="B",VLOOKUP($A774,Bat!$A$4:$BA$1621,47,FALSE),VLOOKUP($A774,Pit!$A$4:$BF$1557,56,FALSE))</f>
        <v>0</v>
      </c>
      <c r="V774" s="50">
        <f>IF($C774="B",VLOOKUP($A774,Bat!$A$4:$BA$1621,48,FALSE),VLOOKUP($A774,Pit!$A$4:$BF$1557,57,FALSE))</f>
        <v>0</v>
      </c>
      <c r="W774" s="50">
        <f>Table5[[#This Row],[posRnk]]+Table5[[#This Row],[zRnk]]+IF($W$3&lt;&gt;Table5[[#This Row],[Type]],50,0)</f>
        <v>1107</v>
      </c>
      <c r="X774" s="51">
        <f>RANK(Table5[[#This Row],[zScore]],Table5[[#All],[zScore]])</f>
        <v>670</v>
      </c>
      <c r="Y774" s="50" t="str">
        <f>IFERROR(INDEX(DraftResults[[#All],[OVR]],MATCH(Table5[[#This Row],[PID]],DraftResults[[#All],[Player ID]],0)),"")</f>
        <v/>
      </c>
      <c r="Z7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4" s="50" t="str">
        <f>IFERROR(INDEX(DraftResults[[#All],[Pick in Round]],MATCH(Table5[[#This Row],[PID]],DraftResults[[#All],[Player ID]],0)),"")</f>
        <v/>
      </c>
      <c r="AB774" s="50" t="str">
        <f>IFERROR(INDEX(DraftResults[[#All],[Team Name]],MATCH(Table5[[#This Row],[PID]],DraftResults[[#All],[Player ID]],0)),"")</f>
        <v/>
      </c>
      <c r="AC774" s="50" t="str">
        <f>IF(Table5[[#This Row],[Ovr]]="","",IF(Table5[[#This Row],[cmbList]]="","",Table5[[#This Row],[cmbList]]-Table5[[#This Row],[Ovr]]))</f>
        <v/>
      </c>
      <c r="AD774" s="54" t="str">
        <f>IF(ISERROR(VLOOKUP($AB774&amp;"-"&amp;$E774&amp;" "&amp;F774,Bonuses!$B$1:$G$1006,4,FALSE)),"",INT(VLOOKUP($AB774&amp;"-"&amp;$E774&amp;" "&amp;$F774,Bonuses!$B$1:$G$1006,4,FALSE)))</f>
        <v/>
      </c>
      <c r="AE7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5" spans="1:31" s="50" customFormat="1" x14ac:dyDescent="0.25">
      <c r="A775" s="50">
        <v>20192</v>
      </c>
      <c r="B775" s="50">
        <f>COUNTIF(Table5[PID],A775)</f>
        <v>1</v>
      </c>
      <c r="C775" s="50" t="str">
        <f>IF(COUNTIF(Table3[[#All],[PID]],A775)&gt;0,"P","B")</f>
        <v>P</v>
      </c>
      <c r="D775" s="59" t="str">
        <f>IF($C775="B",INDEX(Batters[[#All],[POS]],MATCH(Table5[[#This Row],[PID]],Batters[[#All],[PID]],0)),INDEX(Table3[[#All],[POS]],MATCH(Table5[[#This Row],[PID]],Table3[[#All],[PID]],0)))</f>
        <v>RP</v>
      </c>
      <c r="E775" s="52" t="str">
        <f>IF($C775="B",INDEX(Batters[[#All],[First]],MATCH(Table5[[#This Row],[PID]],Batters[[#All],[PID]],0)),INDEX(Table3[[#All],[First]],MATCH(Table5[[#This Row],[PID]],Table3[[#All],[PID]],0)))</f>
        <v>Tim</v>
      </c>
      <c r="F775" s="50" t="str">
        <f>IF($C775="B",INDEX(Batters[[#All],[Last]],MATCH(A775,Batters[[#All],[PID]],0)),INDEX(Table3[[#All],[Last]],MATCH(A775,Table3[[#All],[PID]],0)))</f>
        <v>Turton</v>
      </c>
      <c r="G775" s="56">
        <f>IF($C775="B",INDEX(Batters[[#All],[Age]],MATCH(Table5[[#This Row],[PID]],Batters[[#All],[PID]],0)),INDEX(Table3[[#All],[Age]],MATCH(Table5[[#This Row],[PID]],Table3[[#All],[PID]],0)))</f>
        <v>21</v>
      </c>
      <c r="H775" s="52" t="str">
        <f>IF($C775="B",INDEX(Batters[[#All],[B]],MATCH(Table5[[#This Row],[PID]],Batters[[#All],[PID]],0)),INDEX(Table3[[#All],[B]],MATCH(Table5[[#This Row],[PID]],Table3[[#All],[PID]],0)))</f>
        <v>L</v>
      </c>
      <c r="I775" s="52" t="str">
        <f>IF($C775="B",INDEX(Batters[[#All],[T]],MATCH(Table5[[#This Row],[PID]],Batters[[#All],[PID]],0)),INDEX(Table3[[#All],[T]],MATCH(Table5[[#This Row],[PID]],Table3[[#All],[PID]],0)))</f>
        <v>L</v>
      </c>
      <c r="J775" s="52" t="str">
        <f>IF($C775="B",INDEX(Batters[[#All],[WE]],MATCH(Table5[[#This Row],[PID]],Batters[[#All],[PID]],0)),INDEX(Table3[[#All],[WE]],MATCH(Table5[[#This Row],[PID]],Table3[[#All],[PID]],0)))</f>
        <v>Normal</v>
      </c>
      <c r="K775" s="52" t="str">
        <f>IF($C775="B",INDEX(Batters[[#All],[INT]],MATCH(Table5[[#This Row],[PID]],Batters[[#All],[PID]],0)),INDEX(Table3[[#All],[INT]],MATCH(Table5[[#This Row],[PID]],Table3[[#All],[PID]],0)))</f>
        <v>Normal</v>
      </c>
      <c r="L775" s="60">
        <f>IF($C775="B",INDEX(Batters[[#All],[CON P]],MATCH(Table5[[#This Row],[PID]],Batters[[#All],[PID]],0)),INDEX(Table3[[#All],[STU P]],MATCH(Table5[[#This Row],[PID]],Table3[[#All],[PID]],0)))</f>
        <v>6</v>
      </c>
      <c r="M775" s="56">
        <f>IF($C775="B",INDEX(Batters[[#All],[GAP P]],MATCH(Table5[[#This Row],[PID]],Batters[[#All],[PID]],0)),INDEX(Table3[[#All],[MOV P]],MATCH(Table5[[#This Row],[PID]],Table3[[#All],[PID]],0)))</f>
        <v>2</v>
      </c>
      <c r="N775" s="56">
        <f>IF($C775="B",INDEX(Batters[[#All],[POW P]],MATCH(Table5[[#This Row],[PID]],Batters[[#All],[PID]],0)),INDEX(Table3[[#All],[CON P]],MATCH(Table5[[#This Row],[PID]],Table3[[#All],[PID]],0)))</f>
        <v>2</v>
      </c>
      <c r="O775" s="56" t="str">
        <f>IF($C775="B",INDEX(Batters[[#All],[EYE P]],MATCH(Table5[[#This Row],[PID]],Batters[[#All],[PID]],0)),INDEX(Table3[[#All],[VELO]],MATCH(Table5[[#This Row],[PID]],Table3[[#All],[PID]],0)))</f>
        <v>93-95 Mph</v>
      </c>
      <c r="P775" s="56">
        <f>IF($C775="B",INDEX(Batters[[#All],[K P]],MATCH(Table5[[#This Row],[PID]],Batters[[#All],[PID]],0)),INDEX(Table3[[#All],[STM]],MATCH(Table5[[#This Row],[PID]],Table3[[#All],[PID]],0)))</f>
        <v>5</v>
      </c>
      <c r="Q775" s="61">
        <f>IF($C775="B",INDEX(Batters[[#All],[Tot]],MATCH(Table5[[#This Row],[PID]],Batters[[#All],[PID]],0)),INDEX(Table3[[#All],[Tot]],MATCH(Table5[[#This Row],[PID]],Table3[[#All],[PID]],0)))</f>
        <v>33.953292650984139</v>
      </c>
      <c r="R775" s="52">
        <f>IF($C775="B",INDEX(Batters[[#All],[zScore]],MATCH(Table5[[#This Row],[PID]],Batters[[#All],[PID]],0)),INDEX(Table3[[#All],[zScore]],MATCH(Table5[[#This Row],[PID]],Table3[[#All],[PID]],0)))</f>
        <v>-0.20450967044503612</v>
      </c>
      <c r="S775" s="58" t="str">
        <f>IF($C775="B",INDEX(Batters[[#All],[DEM]],MATCH(Table5[[#This Row],[PID]],Batters[[#All],[PID]],0)),INDEX(Table3[[#All],[DEM]],MATCH(Table5[[#This Row],[PID]],Table3[[#All],[PID]],0)))</f>
        <v>$20k</v>
      </c>
      <c r="T775" s="62">
        <f>IF($C775="B",INDEX(Batters[[#All],[Rnk]],MATCH(Table5[[#This Row],[PID]],Batters[[#All],[PID]],0)),INDEX(Table3[[#All],[Rnk]],MATCH(Table5[[#This Row],[PID]],Table3[[#All],[PID]],0)))</f>
        <v>388</v>
      </c>
      <c r="U775" s="68">
        <f>IF($C775="B",VLOOKUP($A775,Bat!$A$4:$BA$1621,47,FALSE),VLOOKUP($A775,Pit!$A$4:$BF$1557,56,FALSE))</f>
        <v>0</v>
      </c>
      <c r="V775" s="50">
        <f>IF($C775="B",VLOOKUP($A775,Bat!$A$4:$BA$1621,48,FALSE),VLOOKUP($A775,Pit!$A$4:$BF$1557,57,FALSE))</f>
        <v>0</v>
      </c>
      <c r="W775" s="50">
        <f>Table5[[#This Row],[posRnk]]+Table5[[#This Row],[zRnk]]+IF($W$3&lt;&gt;Table5[[#This Row],[Type]],50,0)</f>
        <v>1110</v>
      </c>
      <c r="X775" s="51">
        <f>RANK(Table5[[#This Row],[zScore]],Table5[[#All],[zScore]])</f>
        <v>672</v>
      </c>
      <c r="Y775" s="50" t="str">
        <f>IFERROR(INDEX(DraftResults[[#All],[OVR]],MATCH(Table5[[#This Row],[PID]],DraftResults[[#All],[Player ID]],0)),"")</f>
        <v/>
      </c>
      <c r="Z7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5" s="50" t="str">
        <f>IFERROR(INDEX(DraftResults[[#All],[Pick in Round]],MATCH(Table5[[#This Row],[PID]],DraftResults[[#All],[Player ID]],0)),"")</f>
        <v/>
      </c>
      <c r="AB775" s="50" t="str">
        <f>IFERROR(INDEX(DraftResults[[#All],[Team Name]],MATCH(Table5[[#This Row],[PID]],DraftResults[[#All],[Player ID]],0)),"")</f>
        <v/>
      </c>
      <c r="AC775" s="50" t="str">
        <f>IF(Table5[[#This Row],[Ovr]]="","",IF(Table5[[#This Row],[cmbList]]="","",Table5[[#This Row],[cmbList]]-Table5[[#This Row],[Ovr]]))</f>
        <v/>
      </c>
      <c r="AD775" s="54" t="str">
        <f>IF(ISERROR(VLOOKUP($AB775&amp;"-"&amp;$E775&amp;" "&amp;F775,Bonuses!$B$1:$G$1006,4,FALSE)),"",INT(VLOOKUP($AB775&amp;"-"&amp;$E775&amp;" "&amp;$F775,Bonuses!$B$1:$G$1006,4,FALSE)))</f>
        <v/>
      </c>
      <c r="AE7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6" spans="1:31" s="50" customFormat="1" x14ac:dyDescent="0.25">
      <c r="A776" s="50">
        <v>633</v>
      </c>
      <c r="B776" s="50">
        <f>COUNTIF(Table5[PID],A776)</f>
        <v>1</v>
      </c>
      <c r="C776" s="50" t="str">
        <f>IF(COUNTIF(Table3[[#All],[PID]],A776)&gt;0,"P","B")</f>
        <v>P</v>
      </c>
      <c r="D776" s="59" t="str">
        <f>IF($C776="B",INDEX(Batters[[#All],[POS]],MATCH(Table5[[#This Row],[PID]],Batters[[#All],[PID]],0)),INDEX(Table3[[#All],[POS]],MATCH(Table5[[#This Row],[PID]],Table3[[#All],[PID]],0)))</f>
        <v>RP</v>
      </c>
      <c r="E776" s="52" t="str">
        <f>IF($C776="B",INDEX(Batters[[#All],[First]],MATCH(Table5[[#This Row],[PID]],Batters[[#All],[PID]],0)),INDEX(Table3[[#All],[First]],MATCH(Table5[[#This Row],[PID]],Table3[[#All],[PID]],0)))</f>
        <v>Thomas</v>
      </c>
      <c r="F776" s="50" t="str">
        <f>IF($C776="B",INDEX(Batters[[#All],[Last]],MATCH(A776,Batters[[#All],[PID]],0)),INDEX(Table3[[#All],[Last]],MATCH(A776,Table3[[#All],[PID]],0)))</f>
        <v>Pierson</v>
      </c>
      <c r="G776" s="56">
        <f>IF($C776="B",INDEX(Batters[[#All],[Age]],MATCH(Table5[[#This Row],[PID]],Batters[[#All],[PID]],0)),INDEX(Table3[[#All],[Age]],MATCH(Table5[[#This Row],[PID]],Table3[[#All],[PID]],0)))</f>
        <v>18</v>
      </c>
      <c r="H776" s="52" t="str">
        <f>IF($C776="B",INDEX(Batters[[#All],[B]],MATCH(Table5[[#This Row],[PID]],Batters[[#All],[PID]],0)),INDEX(Table3[[#All],[B]],MATCH(Table5[[#This Row],[PID]],Table3[[#All],[PID]],0)))</f>
        <v>R</v>
      </c>
      <c r="I776" s="52" t="str">
        <f>IF($C776="B",INDEX(Batters[[#All],[T]],MATCH(Table5[[#This Row],[PID]],Batters[[#All],[PID]],0)),INDEX(Table3[[#All],[T]],MATCH(Table5[[#This Row],[PID]],Table3[[#All],[PID]],0)))</f>
        <v>R</v>
      </c>
      <c r="J776" s="52" t="str">
        <f>IF($C776="B",INDEX(Batters[[#All],[WE]],MATCH(Table5[[#This Row],[PID]],Batters[[#All],[PID]],0)),INDEX(Table3[[#All],[WE]],MATCH(Table5[[#This Row],[PID]],Table3[[#All],[PID]],0)))</f>
        <v>Low</v>
      </c>
      <c r="K776" s="52" t="str">
        <f>IF($C776="B",INDEX(Batters[[#All],[INT]],MATCH(Table5[[#This Row],[PID]],Batters[[#All],[PID]],0)),INDEX(Table3[[#All],[INT]],MATCH(Table5[[#This Row],[PID]],Table3[[#All],[PID]],0)))</f>
        <v>Normal</v>
      </c>
      <c r="L776" s="60">
        <f>IF($C776="B",INDEX(Batters[[#All],[CON P]],MATCH(Table5[[#This Row],[PID]],Batters[[#All],[PID]],0)),INDEX(Table3[[#All],[STU P]],MATCH(Table5[[#This Row],[PID]],Table3[[#All],[PID]],0)))</f>
        <v>4</v>
      </c>
      <c r="M776" s="56">
        <f>IF($C776="B",INDEX(Batters[[#All],[GAP P]],MATCH(Table5[[#This Row],[PID]],Batters[[#All],[PID]],0)),INDEX(Table3[[#All],[MOV P]],MATCH(Table5[[#This Row],[PID]],Table3[[#All],[PID]],0)))</f>
        <v>2</v>
      </c>
      <c r="N776" s="56">
        <f>IF($C776="B",INDEX(Batters[[#All],[POW P]],MATCH(Table5[[#This Row],[PID]],Batters[[#All],[PID]],0)),INDEX(Table3[[#All],[CON P]],MATCH(Table5[[#This Row],[PID]],Table3[[#All],[PID]],0)))</f>
        <v>3</v>
      </c>
      <c r="O776" s="56" t="str">
        <f>IF($C776="B",INDEX(Batters[[#All],[EYE P]],MATCH(Table5[[#This Row],[PID]],Batters[[#All],[PID]],0)),INDEX(Table3[[#All],[VELO]],MATCH(Table5[[#This Row],[PID]],Table3[[#All],[PID]],0)))</f>
        <v>88-90 Mph</v>
      </c>
      <c r="P776" s="56">
        <f>IF($C776="B",INDEX(Batters[[#All],[K P]],MATCH(Table5[[#This Row],[PID]],Batters[[#All],[PID]],0)),INDEX(Table3[[#All],[STM]],MATCH(Table5[[#This Row],[PID]],Table3[[#All],[PID]],0)))</f>
        <v>8</v>
      </c>
      <c r="Q776" s="61">
        <f>IF($C776="B",INDEX(Batters[[#All],[Tot]],MATCH(Table5[[#This Row],[PID]],Batters[[#All],[PID]],0)),INDEX(Table3[[#All],[Tot]],MATCH(Table5[[#This Row],[PID]],Table3[[#All],[PID]],0)))</f>
        <v>32.75087445729973</v>
      </c>
      <c r="R776" s="52">
        <f>IF($C776="B",INDEX(Batters[[#All],[zScore]],MATCH(Table5[[#This Row],[PID]],Batters[[#All],[PID]],0)),INDEX(Table3[[#All],[zScore]],MATCH(Table5[[#This Row],[PID]],Table3[[#All],[PID]],0)))</f>
        <v>-0.20754565282952592</v>
      </c>
      <c r="S776" s="58" t="str">
        <f>IF($C776="B",INDEX(Batters[[#All],[DEM]],MATCH(Table5[[#This Row],[PID]],Batters[[#All],[PID]],0)),INDEX(Table3[[#All],[DEM]],MATCH(Table5[[#This Row],[PID]],Table3[[#All],[PID]],0)))</f>
        <v>$70k</v>
      </c>
      <c r="T776" s="62">
        <f>IF($C776="B",INDEX(Batters[[#All],[Rnk]],MATCH(Table5[[#This Row],[PID]],Batters[[#All],[PID]],0)),INDEX(Table3[[#All],[Rnk]],MATCH(Table5[[#This Row],[PID]],Table3[[#All],[PID]],0)))</f>
        <v>389</v>
      </c>
      <c r="U776" s="68">
        <f>IF($C776="B",VLOOKUP($A776,Bat!$A$4:$BA$1621,47,FALSE),VLOOKUP($A776,Pit!$A$4:$BF$1557,56,FALSE))</f>
        <v>0</v>
      </c>
      <c r="V776" s="50">
        <f>IF($C776="B",VLOOKUP($A776,Bat!$A$4:$BA$1621,48,FALSE),VLOOKUP($A776,Pit!$A$4:$BF$1557,57,FALSE))</f>
        <v>0</v>
      </c>
      <c r="W776" s="50">
        <f>Table5[[#This Row],[posRnk]]+Table5[[#This Row],[zRnk]]+IF($W$3&lt;&gt;Table5[[#This Row],[Type]],50,0)</f>
        <v>1112</v>
      </c>
      <c r="X776" s="51">
        <f>RANK(Table5[[#This Row],[zScore]],Table5[[#All],[zScore]])</f>
        <v>673</v>
      </c>
      <c r="Y776" s="50" t="str">
        <f>IFERROR(INDEX(DraftResults[[#All],[OVR]],MATCH(Table5[[#This Row],[PID]],DraftResults[[#All],[Player ID]],0)),"")</f>
        <v/>
      </c>
      <c r="Z7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6" s="50" t="str">
        <f>IFERROR(INDEX(DraftResults[[#All],[Pick in Round]],MATCH(Table5[[#This Row],[PID]],DraftResults[[#All],[Player ID]],0)),"")</f>
        <v/>
      </c>
      <c r="AB776" s="50" t="str">
        <f>IFERROR(INDEX(DraftResults[[#All],[Team Name]],MATCH(Table5[[#This Row],[PID]],DraftResults[[#All],[Player ID]],0)),"")</f>
        <v/>
      </c>
      <c r="AC776" s="50" t="str">
        <f>IF(Table5[[#This Row],[Ovr]]="","",IF(Table5[[#This Row],[cmbList]]="","",Table5[[#This Row],[cmbList]]-Table5[[#This Row],[Ovr]]))</f>
        <v/>
      </c>
      <c r="AD776" s="54" t="str">
        <f>IF(ISERROR(VLOOKUP($AB776&amp;"-"&amp;$E776&amp;" "&amp;F776,Bonuses!$B$1:$G$1006,4,FALSE)),"",INT(VLOOKUP($AB776&amp;"-"&amp;$E776&amp;" "&amp;$F776,Bonuses!$B$1:$G$1006,4,FALSE)))</f>
        <v/>
      </c>
      <c r="AE7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7" spans="1:31" s="50" customFormat="1" x14ac:dyDescent="0.25">
      <c r="A777" s="50">
        <v>20810</v>
      </c>
      <c r="B777" s="50">
        <f>COUNTIF(Table5[PID],A777)</f>
        <v>1</v>
      </c>
      <c r="C777" s="50" t="str">
        <f>IF(COUNTIF(Table3[[#All],[PID]],A777)&gt;0,"P","B")</f>
        <v>P</v>
      </c>
      <c r="D777" s="59" t="str">
        <f>IF($C777="B",INDEX(Batters[[#All],[POS]],MATCH(Table5[[#This Row],[PID]],Batters[[#All],[PID]],0)),INDEX(Table3[[#All],[POS]],MATCH(Table5[[#This Row],[PID]],Table3[[#All],[PID]],0)))</f>
        <v>CL</v>
      </c>
      <c r="E777" s="52" t="str">
        <f>IF($C777="B",INDEX(Batters[[#All],[First]],MATCH(Table5[[#This Row],[PID]],Batters[[#All],[PID]],0)),INDEX(Table3[[#All],[First]],MATCH(Table5[[#This Row],[PID]],Table3[[#All],[PID]],0)))</f>
        <v>Anastasio</v>
      </c>
      <c r="F777" s="50" t="str">
        <f>IF($C777="B",INDEX(Batters[[#All],[Last]],MATCH(A777,Batters[[#All],[PID]],0)),INDEX(Table3[[#All],[Last]],MATCH(A777,Table3[[#All],[PID]],0)))</f>
        <v>Aguayoleal</v>
      </c>
      <c r="G777" s="56">
        <f>IF($C777="B",INDEX(Batters[[#All],[Age]],MATCH(Table5[[#This Row],[PID]],Batters[[#All],[PID]],0)),INDEX(Table3[[#All],[Age]],MATCH(Table5[[#This Row],[PID]],Table3[[#All],[PID]],0)))</f>
        <v>17</v>
      </c>
      <c r="H777" s="52" t="str">
        <f>IF($C777="B",INDEX(Batters[[#All],[B]],MATCH(Table5[[#This Row],[PID]],Batters[[#All],[PID]],0)),INDEX(Table3[[#All],[B]],MATCH(Table5[[#This Row],[PID]],Table3[[#All],[PID]],0)))</f>
        <v>R</v>
      </c>
      <c r="I777" s="52" t="str">
        <f>IF($C777="B",INDEX(Batters[[#All],[T]],MATCH(Table5[[#This Row],[PID]],Batters[[#All],[PID]],0)),INDEX(Table3[[#All],[T]],MATCH(Table5[[#This Row],[PID]],Table3[[#All],[PID]],0)))</f>
        <v>R</v>
      </c>
      <c r="J777" s="52" t="str">
        <f>IF($C777="B",INDEX(Batters[[#All],[WE]],MATCH(Table5[[#This Row],[PID]],Batters[[#All],[PID]],0)),INDEX(Table3[[#All],[WE]],MATCH(Table5[[#This Row],[PID]],Table3[[#All],[PID]],0)))</f>
        <v>Low</v>
      </c>
      <c r="K777" s="52" t="str">
        <f>IF($C777="B",INDEX(Batters[[#All],[INT]],MATCH(Table5[[#This Row],[PID]],Batters[[#All],[PID]],0)),INDEX(Table3[[#All],[INT]],MATCH(Table5[[#This Row],[PID]],Table3[[#All],[PID]],0)))</f>
        <v>High</v>
      </c>
      <c r="L777" s="60">
        <f>IF($C777="B",INDEX(Batters[[#All],[CON P]],MATCH(Table5[[#This Row],[PID]],Batters[[#All],[PID]],0)),INDEX(Table3[[#All],[STU P]],MATCH(Table5[[#This Row],[PID]],Table3[[#All],[PID]],0)))</f>
        <v>6</v>
      </c>
      <c r="M777" s="56">
        <f>IF($C777="B",INDEX(Batters[[#All],[GAP P]],MATCH(Table5[[#This Row],[PID]],Batters[[#All],[PID]],0)),INDEX(Table3[[#All],[MOV P]],MATCH(Table5[[#This Row],[PID]],Table3[[#All],[PID]],0)))</f>
        <v>1</v>
      </c>
      <c r="N777" s="56">
        <f>IF($C777="B",INDEX(Batters[[#All],[POW P]],MATCH(Table5[[#This Row],[PID]],Batters[[#All],[PID]],0)),INDEX(Table3[[#All],[CON P]],MATCH(Table5[[#This Row],[PID]],Table3[[#All],[PID]],0)))</f>
        <v>3</v>
      </c>
      <c r="O777" s="56" t="str">
        <f>IF($C777="B",INDEX(Batters[[#All],[EYE P]],MATCH(Table5[[#This Row],[PID]],Batters[[#All],[PID]],0)),INDEX(Table3[[#All],[VELO]],MATCH(Table5[[#This Row],[PID]],Table3[[#All],[PID]],0)))</f>
        <v>90-92 Mph</v>
      </c>
      <c r="P777" s="56">
        <f>IF($C777="B",INDEX(Batters[[#All],[K P]],MATCH(Table5[[#This Row],[PID]],Batters[[#All],[PID]],0)),INDEX(Table3[[#All],[STM]],MATCH(Table5[[#This Row],[PID]],Table3[[#All],[PID]],0)))</f>
        <v>1</v>
      </c>
      <c r="Q777" s="61">
        <f>IF($C777="B",INDEX(Batters[[#All],[Tot]],MATCH(Table5[[#This Row],[PID]],Batters[[#All],[PID]],0)),INDEX(Table3[[#All],[Tot]],MATCH(Table5[[#This Row],[PID]],Table3[[#All],[PID]],0)))</f>
        <v>32.688766427490577</v>
      </c>
      <c r="R777" s="52">
        <f>IF($C777="B",INDEX(Batters[[#All],[zScore]],MATCH(Table5[[#This Row],[PID]],Batters[[#All],[PID]],0)),INDEX(Table3[[#All],[zScore]],MATCH(Table5[[#This Row],[PID]],Table3[[#All],[PID]],0)))</f>
        <v>-0.21167760514489933</v>
      </c>
      <c r="S777" s="58" t="str">
        <f>IF($C777="B",INDEX(Batters[[#All],[DEM]],MATCH(Table5[[#This Row],[PID]],Batters[[#All],[PID]],0)),INDEX(Table3[[#All],[DEM]],MATCH(Table5[[#This Row],[PID]],Table3[[#All],[PID]],0)))</f>
        <v>$38k</v>
      </c>
      <c r="T777" s="62">
        <f>IF($C777="B",INDEX(Batters[[#All],[Rnk]],MATCH(Table5[[#This Row],[PID]],Batters[[#All],[PID]],0)),INDEX(Table3[[#All],[Rnk]],MATCH(Table5[[#This Row],[PID]],Table3[[#All],[PID]],0)))</f>
        <v>391</v>
      </c>
      <c r="U777" s="68">
        <f>IF($C777="B",VLOOKUP($A777,Bat!$A$4:$BA$1621,47,FALSE),VLOOKUP($A777,Pit!$A$4:$BF$1557,56,FALSE))</f>
        <v>0</v>
      </c>
      <c r="V777" s="50">
        <f>IF($C777="B",VLOOKUP($A777,Bat!$A$4:$BA$1621,48,FALSE),VLOOKUP($A777,Pit!$A$4:$BF$1557,57,FALSE))</f>
        <v>0</v>
      </c>
      <c r="W777" s="50">
        <f>Table5[[#This Row],[posRnk]]+Table5[[#This Row],[zRnk]]+IF($W$3&lt;&gt;Table5[[#This Row],[Type]],50,0)</f>
        <v>1116</v>
      </c>
      <c r="X777" s="51">
        <f>RANK(Table5[[#This Row],[zScore]],Table5[[#All],[zScore]])</f>
        <v>675</v>
      </c>
      <c r="Y777" s="50" t="str">
        <f>IFERROR(INDEX(DraftResults[[#All],[OVR]],MATCH(Table5[[#This Row],[PID]],DraftResults[[#All],[Player ID]],0)),"")</f>
        <v/>
      </c>
      <c r="Z7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7" s="50" t="str">
        <f>IFERROR(INDEX(DraftResults[[#All],[Pick in Round]],MATCH(Table5[[#This Row],[PID]],DraftResults[[#All],[Player ID]],0)),"")</f>
        <v/>
      </c>
      <c r="AB777" s="50" t="str">
        <f>IFERROR(INDEX(DraftResults[[#All],[Team Name]],MATCH(Table5[[#This Row],[PID]],DraftResults[[#All],[Player ID]],0)),"")</f>
        <v/>
      </c>
      <c r="AC777" s="50" t="str">
        <f>IF(Table5[[#This Row],[Ovr]]="","",IF(Table5[[#This Row],[cmbList]]="","",Table5[[#This Row],[cmbList]]-Table5[[#This Row],[Ovr]]))</f>
        <v/>
      </c>
      <c r="AD777" s="54" t="str">
        <f>IF(ISERROR(VLOOKUP($AB777&amp;"-"&amp;$E777&amp;" "&amp;F777,Bonuses!$B$1:$G$1006,4,FALSE)),"",INT(VLOOKUP($AB777&amp;"-"&amp;$E777&amp;" "&amp;$F777,Bonuses!$B$1:$G$1006,4,FALSE)))</f>
        <v/>
      </c>
      <c r="AE7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8" spans="1:31" s="50" customFormat="1" x14ac:dyDescent="0.25">
      <c r="A778" s="50">
        <v>20871</v>
      </c>
      <c r="B778" s="50">
        <f>COUNTIF(Table5[PID],A778)</f>
        <v>1</v>
      </c>
      <c r="C778" s="50" t="str">
        <f>IF(COUNTIF(Table3[[#All],[PID]],A778)&gt;0,"P","B")</f>
        <v>B</v>
      </c>
      <c r="D778" s="59" t="str">
        <f>IF($C778="B",INDEX(Batters[[#All],[POS]],MATCH(Table5[[#This Row],[PID]],Batters[[#All],[PID]],0)),INDEX(Table3[[#All],[POS]],MATCH(Table5[[#This Row],[PID]],Table3[[#All],[PID]],0)))</f>
        <v>RF</v>
      </c>
      <c r="E778" s="52" t="str">
        <f>IF($C778="B",INDEX(Batters[[#All],[First]],MATCH(Table5[[#This Row],[PID]],Batters[[#All],[PID]],0)),INDEX(Table3[[#All],[First]],MATCH(Table5[[#This Row],[PID]],Table3[[#All],[PID]],0)))</f>
        <v>José</v>
      </c>
      <c r="F778" s="50" t="str">
        <f>IF($C778="B",INDEX(Batters[[#All],[Last]],MATCH(A778,Batters[[#All],[PID]],0)),INDEX(Table3[[#All],[Last]],MATCH(A778,Table3[[#All],[PID]],0)))</f>
        <v>Trejo</v>
      </c>
      <c r="G778" s="56">
        <f>IF($C778="B",INDEX(Batters[[#All],[Age]],MATCH(Table5[[#This Row],[PID]],Batters[[#All],[PID]],0)),INDEX(Table3[[#All],[Age]],MATCH(Table5[[#This Row],[PID]],Table3[[#All],[PID]],0)))</f>
        <v>17</v>
      </c>
      <c r="H778" s="52" t="str">
        <f>IF($C778="B",INDEX(Batters[[#All],[B]],MATCH(Table5[[#This Row],[PID]],Batters[[#All],[PID]],0)),INDEX(Table3[[#All],[B]],MATCH(Table5[[#This Row],[PID]],Table3[[#All],[PID]],0)))</f>
        <v>S</v>
      </c>
      <c r="I778" s="52" t="str">
        <f>IF($C778="B",INDEX(Batters[[#All],[T]],MATCH(Table5[[#This Row],[PID]],Batters[[#All],[PID]],0)),INDEX(Table3[[#All],[T]],MATCH(Table5[[#This Row],[PID]],Table3[[#All],[PID]],0)))</f>
        <v>R</v>
      </c>
      <c r="J778" s="52" t="str">
        <f>IF($C778="B",INDEX(Batters[[#All],[WE]],MATCH(Table5[[#This Row],[PID]],Batters[[#All],[PID]],0)),INDEX(Table3[[#All],[WE]],MATCH(Table5[[#This Row],[PID]],Table3[[#All],[PID]],0)))</f>
        <v>Normal</v>
      </c>
      <c r="K778" s="52" t="str">
        <f>IF($C778="B",INDEX(Batters[[#All],[INT]],MATCH(Table5[[#This Row],[PID]],Batters[[#All],[PID]],0)),INDEX(Table3[[#All],[INT]],MATCH(Table5[[#This Row],[PID]],Table3[[#All],[PID]],0)))</f>
        <v>Normal</v>
      </c>
      <c r="L778" s="60">
        <f>IF($C778="B",INDEX(Batters[[#All],[CON P]],MATCH(Table5[[#This Row],[PID]],Batters[[#All],[PID]],0)),INDEX(Table3[[#All],[STU P]],MATCH(Table5[[#This Row],[PID]],Table3[[#All],[PID]],0)))</f>
        <v>3</v>
      </c>
      <c r="M778" s="56">
        <f>IF($C778="B",INDEX(Batters[[#All],[GAP P]],MATCH(Table5[[#This Row],[PID]],Batters[[#All],[PID]],0)),INDEX(Table3[[#All],[MOV P]],MATCH(Table5[[#This Row],[PID]],Table3[[#All],[PID]],0)))</f>
        <v>3</v>
      </c>
      <c r="N778" s="56">
        <f>IF($C778="B",INDEX(Batters[[#All],[POW P]],MATCH(Table5[[#This Row],[PID]],Batters[[#All],[PID]],0)),INDEX(Table3[[#All],[CON P]],MATCH(Table5[[#This Row],[PID]],Table3[[#All],[PID]],0)))</f>
        <v>3</v>
      </c>
      <c r="O778" s="56">
        <f>IF($C778="B",INDEX(Batters[[#All],[EYE P]],MATCH(Table5[[#This Row],[PID]],Batters[[#All],[PID]],0)),INDEX(Table3[[#All],[VELO]],MATCH(Table5[[#This Row],[PID]],Table3[[#All],[PID]],0)))</f>
        <v>7</v>
      </c>
      <c r="P778" s="56">
        <f>IF($C778="B",INDEX(Batters[[#All],[K P]],MATCH(Table5[[#This Row],[PID]],Batters[[#All],[PID]],0)),INDEX(Table3[[#All],[STM]],MATCH(Table5[[#This Row],[PID]],Table3[[#All],[PID]],0)))</f>
        <v>3</v>
      </c>
      <c r="Q778" s="61">
        <f>IF($C778="B",INDEX(Batters[[#All],[Tot]],MATCH(Table5[[#This Row],[PID]],Batters[[#All],[PID]],0)),INDEX(Table3[[#All],[Tot]],MATCH(Table5[[#This Row],[PID]],Table3[[#All],[PID]],0)))</f>
        <v>43.176455364076276</v>
      </c>
      <c r="R778" s="52">
        <f>IF($C778="B",INDEX(Batters[[#All],[zScore]],MATCH(Table5[[#This Row],[PID]],Batters[[#All],[PID]],0)),INDEX(Table3[[#All],[zScore]],MATCH(Table5[[#This Row],[PID]],Table3[[#All],[PID]],0)))</f>
        <v>-0.21183734054539166</v>
      </c>
      <c r="S778" s="58" t="str">
        <f>IF($C778="B",INDEX(Batters[[#All],[DEM]],MATCH(Table5[[#This Row],[PID]],Batters[[#All],[PID]],0)),INDEX(Table3[[#All],[DEM]],MATCH(Table5[[#This Row],[PID]],Table3[[#All],[PID]],0)))</f>
        <v>$90k</v>
      </c>
      <c r="T778" s="62">
        <f>IF($C778="B",INDEX(Batters[[#All],[Rnk]],MATCH(Table5[[#This Row],[PID]],Batters[[#All],[PID]],0)),INDEX(Table3[[#All],[Rnk]],MATCH(Table5[[#This Row],[PID]],Table3[[#All],[PID]],0)))</f>
        <v>285</v>
      </c>
      <c r="U778" s="68">
        <f>IF($C778="B",VLOOKUP($A778,Bat!$A$4:$BA$1621,47,FALSE),VLOOKUP($A778,Pit!$A$4:$BF$1557,56,FALSE))</f>
        <v>0</v>
      </c>
      <c r="V778" s="50">
        <f>IF($C778="B",VLOOKUP($A778,Bat!$A$4:$BA$1621,48,FALSE),VLOOKUP($A778,Pit!$A$4:$BF$1557,57,FALSE))</f>
        <v>0</v>
      </c>
      <c r="W778" s="50">
        <f>Table5[[#This Row],[posRnk]]+Table5[[#This Row],[zRnk]]+IF($W$3&lt;&gt;Table5[[#This Row],[Type]],50,0)</f>
        <v>1011</v>
      </c>
      <c r="X778" s="51">
        <f>RANK(Table5[[#This Row],[zScore]],Table5[[#All],[zScore]])</f>
        <v>676</v>
      </c>
      <c r="Y778" s="50" t="str">
        <f>IFERROR(INDEX(DraftResults[[#All],[OVR]],MATCH(Table5[[#This Row],[PID]],DraftResults[[#All],[Player ID]],0)),"")</f>
        <v/>
      </c>
      <c r="Z7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8" s="50" t="str">
        <f>IFERROR(INDEX(DraftResults[[#All],[Pick in Round]],MATCH(Table5[[#This Row],[PID]],DraftResults[[#All],[Player ID]],0)),"")</f>
        <v/>
      </c>
      <c r="AB778" s="50" t="str">
        <f>IFERROR(INDEX(DraftResults[[#All],[Team Name]],MATCH(Table5[[#This Row],[PID]],DraftResults[[#All],[Player ID]],0)),"")</f>
        <v/>
      </c>
      <c r="AC778" s="50" t="str">
        <f>IF(Table5[[#This Row],[Ovr]]="","",IF(Table5[[#This Row],[cmbList]]="","",Table5[[#This Row],[cmbList]]-Table5[[#This Row],[Ovr]]))</f>
        <v/>
      </c>
      <c r="AD778" s="54" t="str">
        <f>IF(ISERROR(VLOOKUP($AB778&amp;"-"&amp;$E778&amp;" "&amp;F778,Bonuses!$B$1:$G$1006,4,FALSE)),"",INT(VLOOKUP($AB778&amp;"-"&amp;$E778&amp;" "&amp;$F778,Bonuses!$B$1:$G$1006,4,FALSE)))</f>
        <v/>
      </c>
      <c r="AE7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79" spans="1:31" s="50" customFormat="1" x14ac:dyDescent="0.25">
      <c r="A779" s="50">
        <v>20526</v>
      </c>
      <c r="B779" s="50">
        <f>COUNTIF(Table5[PID],A779)</f>
        <v>1</v>
      </c>
      <c r="C779" s="50" t="str">
        <f>IF(COUNTIF(Table3[[#All],[PID]],A779)&gt;0,"P","B")</f>
        <v>P</v>
      </c>
      <c r="D779" s="59" t="str">
        <f>IF($C779="B",INDEX(Batters[[#All],[POS]],MATCH(Table5[[#This Row],[PID]],Batters[[#All],[PID]],0)),INDEX(Table3[[#All],[POS]],MATCH(Table5[[#This Row],[PID]],Table3[[#All],[PID]],0)))</f>
        <v>RP</v>
      </c>
      <c r="E779" s="52" t="str">
        <f>IF($C779="B",INDEX(Batters[[#All],[First]],MATCH(Table5[[#This Row],[PID]],Batters[[#All],[PID]],0)),INDEX(Table3[[#All],[First]],MATCH(Table5[[#This Row],[PID]],Table3[[#All],[PID]],0)))</f>
        <v>Oliver</v>
      </c>
      <c r="F779" s="50" t="str">
        <f>IF($C779="B",INDEX(Batters[[#All],[Last]],MATCH(A779,Batters[[#All],[PID]],0)),INDEX(Table3[[#All],[Last]],MATCH(A779,Table3[[#All],[PID]],0)))</f>
        <v>Clarke</v>
      </c>
      <c r="G779" s="56">
        <f>IF($C779="B",INDEX(Batters[[#All],[Age]],MATCH(Table5[[#This Row],[PID]],Batters[[#All],[PID]],0)),INDEX(Table3[[#All],[Age]],MATCH(Table5[[#This Row],[PID]],Table3[[#All],[PID]],0)))</f>
        <v>19</v>
      </c>
      <c r="H779" s="52" t="str">
        <f>IF($C779="B",INDEX(Batters[[#All],[B]],MATCH(Table5[[#This Row],[PID]],Batters[[#All],[PID]],0)),INDEX(Table3[[#All],[B]],MATCH(Table5[[#This Row],[PID]],Table3[[#All],[PID]],0)))</f>
        <v>L</v>
      </c>
      <c r="I779" s="52" t="str">
        <f>IF($C779="B",INDEX(Batters[[#All],[T]],MATCH(Table5[[#This Row],[PID]],Batters[[#All],[PID]],0)),INDEX(Table3[[#All],[T]],MATCH(Table5[[#This Row],[PID]],Table3[[#All],[PID]],0)))</f>
        <v>L</v>
      </c>
      <c r="J779" s="52" t="str">
        <f>IF($C779="B",INDEX(Batters[[#All],[WE]],MATCH(Table5[[#This Row],[PID]],Batters[[#All],[PID]],0)),INDEX(Table3[[#All],[WE]],MATCH(Table5[[#This Row],[PID]],Table3[[#All],[PID]],0)))</f>
        <v>Normal</v>
      </c>
      <c r="K779" s="52" t="str">
        <f>IF($C779="B",INDEX(Batters[[#All],[INT]],MATCH(Table5[[#This Row],[PID]],Batters[[#All],[PID]],0)),INDEX(Table3[[#All],[INT]],MATCH(Table5[[#This Row],[PID]],Table3[[#All],[PID]],0)))</f>
        <v>Normal</v>
      </c>
      <c r="L779" s="60">
        <f>IF($C779="B",INDEX(Batters[[#All],[CON P]],MATCH(Table5[[#This Row],[PID]],Batters[[#All],[PID]],0)),INDEX(Table3[[#All],[STU P]],MATCH(Table5[[#This Row],[PID]],Table3[[#All],[PID]],0)))</f>
        <v>3</v>
      </c>
      <c r="M779" s="56">
        <f>IF($C779="B",INDEX(Batters[[#All],[GAP P]],MATCH(Table5[[#This Row],[PID]],Batters[[#All],[PID]],0)),INDEX(Table3[[#All],[MOV P]],MATCH(Table5[[#This Row],[PID]],Table3[[#All],[PID]],0)))</f>
        <v>1</v>
      </c>
      <c r="N779" s="56">
        <f>IF($C779="B",INDEX(Batters[[#All],[POW P]],MATCH(Table5[[#This Row],[PID]],Batters[[#All],[PID]],0)),INDEX(Table3[[#All],[CON P]],MATCH(Table5[[#This Row],[PID]],Table3[[#All],[PID]],0)))</f>
        <v>4</v>
      </c>
      <c r="O779" s="56" t="str">
        <f>IF($C779="B",INDEX(Batters[[#All],[EYE P]],MATCH(Table5[[#This Row],[PID]],Batters[[#All],[PID]],0)),INDEX(Table3[[#All],[VELO]],MATCH(Table5[[#This Row],[PID]],Table3[[#All],[PID]],0)))</f>
        <v>85-87 Mph</v>
      </c>
      <c r="P779" s="56">
        <f>IF($C779="B",INDEX(Batters[[#All],[K P]],MATCH(Table5[[#This Row],[PID]],Batters[[#All],[PID]],0)),INDEX(Table3[[#All],[STM]],MATCH(Table5[[#This Row],[PID]],Table3[[#All],[PID]],0)))</f>
        <v>8</v>
      </c>
      <c r="Q779" s="61">
        <f>IF($C779="B",INDEX(Batters[[#All],[Tot]],MATCH(Table5[[#This Row],[PID]],Batters[[#All],[PID]],0)),INDEX(Table3[[#All],[Tot]],MATCH(Table5[[#This Row],[PID]],Table3[[#All],[PID]],0)))</f>
        <v>32.683460333839044</v>
      </c>
      <c r="R779" s="52">
        <f>IF($C779="B",INDEX(Batters[[#All],[zScore]],MATCH(Table5[[#This Row],[PID]],Batters[[#All],[PID]],0)),INDEX(Table3[[#All],[zScore]],MATCH(Table5[[#This Row],[PID]],Table3[[#All],[PID]],0)))</f>
        <v>-0.21203061144724725</v>
      </c>
      <c r="S779" s="58" t="str">
        <f>IF($C779="B",INDEX(Batters[[#All],[DEM]],MATCH(Table5[[#This Row],[PID]],Batters[[#All],[PID]],0)),INDEX(Table3[[#All],[DEM]],MATCH(Table5[[#This Row],[PID]],Table3[[#All],[PID]],0)))</f>
        <v>$38k</v>
      </c>
      <c r="T779" s="62">
        <f>IF($C779="B",INDEX(Batters[[#All],[Rnk]],MATCH(Table5[[#This Row],[PID]],Batters[[#All],[PID]],0)),INDEX(Table3[[#All],[Rnk]],MATCH(Table5[[#This Row],[PID]],Table3[[#All],[PID]],0)))</f>
        <v>392</v>
      </c>
      <c r="U779" s="68">
        <f>IF($C779="B",VLOOKUP($A779,Bat!$A$4:$BA$1621,47,FALSE),VLOOKUP($A779,Pit!$A$4:$BF$1557,56,FALSE))</f>
        <v>0</v>
      </c>
      <c r="V779" s="50">
        <f>IF($C779="B",VLOOKUP($A779,Bat!$A$4:$BA$1621,48,FALSE),VLOOKUP($A779,Pit!$A$4:$BF$1557,57,FALSE))</f>
        <v>0</v>
      </c>
      <c r="W779" s="50">
        <f>Table5[[#This Row],[posRnk]]+Table5[[#This Row],[zRnk]]+IF($W$3&lt;&gt;Table5[[#This Row],[Type]],50,0)</f>
        <v>1119</v>
      </c>
      <c r="X779" s="51">
        <f>RANK(Table5[[#This Row],[zScore]],Table5[[#All],[zScore]])</f>
        <v>677</v>
      </c>
      <c r="Y779" s="50" t="str">
        <f>IFERROR(INDEX(DraftResults[[#All],[OVR]],MATCH(Table5[[#This Row],[PID]],DraftResults[[#All],[Player ID]],0)),"")</f>
        <v/>
      </c>
      <c r="Z7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79" s="50" t="str">
        <f>IFERROR(INDEX(DraftResults[[#All],[Pick in Round]],MATCH(Table5[[#This Row],[PID]],DraftResults[[#All],[Player ID]],0)),"")</f>
        <v/>
      </c>
      <c r="AB779" s="50" t="str">
        <f>IFERROR(INDEX(DraftResults[[#All],[Team Name]],MATCH(Table5[[#This Row],[PID]],DraftResults[[#All],[Player ID]],0)),"")</f>
        <v/>
      </c>
      <c r="AC779" s="50" t="str">
        <f>IF(Table5[[#This Row],[Ovr]]="","",IF(Table5[[#This Row],[cmbList]]="","",Table5[[#This Row],[cmbList]]-Table5[[#This Row],[Ovr]]))</f>
        <v/>
      </c>
      <c r="AD779" s="54" t="str">
        <f>IF(ISERROR(VLOOKUP($AB779&amp;"-"&amp;$E779&amp;" "&amp;F779,Bonuses!$B$1:$G$1006,4,FALSE)),"",INT(VLOOKUP($AB779&amp;"-"&amp;$E779&amp;" "&amp;$F779,Bonuses!$B$1:$G$1006,4,FALSE)))</f>
        <v/>
      </c>
      <c r="AE7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0" spans="1:31" s="50" customFormat="1" x14ac:dyDescent="0.25">
      <c r="A780" s="50">
        <v>17875</v>
      </c>
      <c r="B780" s="50">
        <f>COUNTIF(Table5[PID],A780)</f>
        <v>1</v>
      </c>
      <c r="C780" s="50" t="str">
        <f>IF(COUNTIF(Table3[[#All],[PID]],A780)&gt;0,"P","B")</f>
        <v>P</v>
      </c>
      <c r="D780" s="59" t="str">
        <f>IF($C780="B",INDEX(Batters[[#All],[POS]],MATCH(Table5[[#This Row],[PID]],Batters[[#All],[PID]],0)),INDEX(Table3[[#All],[POS]],MATCH(Table5[[#This Row],[PID]],Table3[[#All],[PID]],0)))</f>
        <v>RP</v>
      </c>
      <c r="E780" s="52" t="str">
        <f>IF($C780="B",INDEX(Batters[[#All],[First]],MATCH(Table5[[#This Row],[PID]],Batters[[#All],[PID]],0)),INDEX(Table3[[#All],[First]],MATCH(Table5[[#This Row],[PID]],Table3[[#All],[PID]],0)))</f>
        <v>Kyle</v>
      </c>
      <c r="F780" s="50" t="str">
        <f>IF($C780="B",INDEX(Batters[[#All],[Last]],MATCH(A780,Batters[[#All],[PID]],0)),INDEX(Table3[[#All],[Last]],MATCH(A780,Table3[[#All],[PID]],0)))</f>
        <v>Bignal</v>
      </c>
      <c r="G780" s="56">
        <f>IF($C780="B",INDEX(Batters[[#All],[Age]],MATCH(Table5[[#This Row],[PID]],Batters[[#All],[PID]],0)),INDEX(Table3[[#All],[Age]],MATCH(Table5[[#This Row],[PID]],Table3[[#All],[PID]],0)))</f>
        <v>18</v>
      </c>
      <c r="H780" s="52" t="str">
        <f>IF($C780="B",INDEX(Batters[[#All],[B]],MATCH(Table5[[#This Row],[PID]],Batters[[#All],[PID]],0)),INDEX(Table3[[#All],[B]],MATCH(Table5[[#This Row],[PID]],Table3[[#All],[PID]],0)))</f>
        <v>R</v>
      </c>
      <c r="I780" s="52" t="str">
        <f>IF($C780="B",INDEX(Batters[[#All],[T]],MATCH(Table5[[#This Row],[PID]],Batters[[#All],[PID]],0)),INDEX(Table3[[#All],[T]],MATCH(Table5[[#This Row],[PID]],Table3[[#All],[PID]],0)))</f>
        <v>R</v>
      </c>
      <c r="J780" s="52" t="str">
        <f>IF($C780="B",INDEX(Batters[[#All],[WE]],MATCH(Table5[[#This Row],[PID]],Batters[[#All],[PID]],0)),INDEX(Table3[[#All],[WE]],MATCH(Table5[[#This Row],[PID]],Table3[[#All],[PID]],0)))</f>
        <v>Low</v>
      </c>
      <c r="K780" s="52" t="str">
        <f>IF($C780="B",INDEX(Batters[[#All],[INT]],MATCH(Table5[[#This Row],[PID]],Batters[[#All],[PID]],0)),INDEX(Table3[[#All],[INT]],MATCH(Table5[[#This Row],[PID]],Table3[[#All],[PID]],0)))</f>
        <v>Normal</v>
      </c>
      <c r="L780" s="60">
        <f>IF($C780="B",INDEX(Batters[[#All],[CON P]],MATCH(Table5[[#This Row],[PID]],Batters[[#All],[PID]],0)),INDEX(Table3[[#All],[STU P]],MATCH(Table5[[#This Row],[PID]],Table3[[#All],[PID]],0)))</f>
        <v>3</v>
      </c>
      <c r="M780" s="56">
        <f>IF($C780="B",INDEX(Batters[[#All],[GAP P]],MATCH(Table5[[#This Row],[PID]],Batters[[#All],[PID]],0)),INDEX(Table3[[#All],[MOV P]],MATCH(Table5[[#This Row],[PID]],Table3[[#All],[PID]],0)))</f>
        <v>1</v>
      </c>
      <c r="N780" s="56">
        <f>IF($C780="B",INDEX(Batters[[#All],[POW P]],MATCH(Table5[[#This Row],[PID]],Batters[[#All],[PID]],0)),INDEX(Table3[[#All],[CON P]],MATCH(Table5[[#This Row],[PID]],Table3[[#All],[PID]],0)))</f>
        <v>4</v>
      </c>
      <c r="O780" s="56" t="str">
        <f>IF($C780="B",INDEX(Batters[[#All],[EYE P]],MATCH(Table5[[#This Row],[PID]],Batters[[#All],[PID]],0)),INDEX(Table3[[#All],[VELO]],MATCH(Table5[[#This Row],[PID]],Table3[[#All],[PID]],0)))</f>
        <v>84-86 Mph</v>
      </c>
      <c r="P780" s="56">
        <f>IF($C780="B",INDEX(Batters[[#All],[K P]],MATCH(Table5[[#This Row],[PID]],Batters[[#All],[PID]],0)),INDEX(Table3[[#All],[STM]],MATCH(Table5[[#This Row],[PID]],Table3[[#All],[PID]],0)))</f>
        <v>6</v>
      </c>
      <c r="Q780" s="61">
        <f>IF($C780="B",INDEX(Batters[[#All],[Tot]],MATCH(Table5[[#This Row],[PID]],Batters[[#All],[PID]],0)),INDEX(Table3[[#All],[Tot]],MATCH(Table5[[#This Row],[PID]],Table3[[#All],[PID]],0)))</f>
        <v>32.583894567704348</v>
      </c>
      <c r="R780" s="52">
        <f>IF($C780="B",INDEX(Batters[[#All],[zScore]],MATCH(Table5[[#This Row],[PID]],Batters[[#All],[PID]],0)),INDEX(Table3[[#All],[zScore]],MATCH(Table5[[#This Row],[PID]],Table3[[#All],[PID]],0)))</f>
        <v>-0.21865456972086092</v>
      </c>
      <c r="S780" s="58" t="str">
        <f>IF($C780="B",INDEX(Batters[[#All],[DEM]],MATCH(Table5[[#This Row],[PID]],Batters[[#All],[PID]],0)),INDEX(Table3[[#All],[DEM]],MATCH(Table5[[#This Row],[PID]],Table3[[#All],[PID]],0)))</f>
        <v>$65k</v>
      </c>
      <c r="T780" s="62">
        <f>IF($C780="B",INDEX(Batters[[#All],[Rnk]],MATCH(Table5[[#This Row],[PID]],Batters[[#All],[PID]],0)),INDEX(Table3[[#All],[Rnk]],MATCH(Table5[[#This Row],[PID]],Table3[[#All],[PID]],0)))</f>
        <v>393</v>
      </c>
      <c r="U780" s="68">
        <f>IF($C780="B",VLOOKUP($A780,Bat!$A$4:$BA$1621,47,FALSE),VLOOKUP($A780,Pit!$A$4:$BF$1557,56,FALSE))</f>
        <v>0</v>
      </c>
      <c r="V780" s="50">
        <f>IF($C780="B",VLOOKUP($A780,Bat!$A$4:$BA$1621,48,FALSE),VLOOKUP($A780,Pit!$A$4:$BF$1557,57,FALSE))</f>
        <v>0</v>
      </c>
      <c r="W780" s="50">
        <f>Table5[[#This Row],[posRnk]]+Table5[[#This Row],[zRnk]]+IF($W$3&lt;&gt;Table5[[#This Row],[Type]],50,0)</f>
        <v>1124</v>
      </c>
      <c r="X780" s="51">
        <f>RANK(Table5[[#This Row],[zScore]],Table5[[#All],[zScore]])</f>
        <v>681</v>
      </c>
      <c r="Y780" s="50" t="str">
        <f>IFERROR(INDEX(DraftResults[[#All],[OVR]],MATCH(Table5[[#This Row],[PID]],DraftResults[[#All],[Player ID]],0)),"")</f>
        <v/>
      </c>
      <c r="Z7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0" s="50" t="str">
        <f>IFERROR(INDEX(DraftResults[[#All],[Pick in Round]],MATCH(Table5[[#This Row],[PID]],DraftResults[[#All],[Player ID]],0)),"")</f>
        <v/>
      </c>
      <c r="AB780" s="50" t="str">
        <f>IFERROR(INDEX(DraftResults[[#All],[Team Name]],MATCH(Table5[[#This Row],[PID]],DraftResults[[#All],[Player ID]],0)),"")</f>
        <v/>
      </c>
      <c r="AC780" s="50" t="str">
        <f>IF(Table5[[#This Row],[Ovr]]="","",IF(Table5[[#This Row],[cmbList]]="","",Table5[[#This Row],[cmbList]]-Table5[[#This Row],[Ovr]]))</f>
        <v/>
      </c>
      <c r="AD780" s="54" t="str">
        <f>IF(ISERROR(VLOOKUP($AB780&amp;"-"&amp;$E780&amp;" "&amp;F780,Bonuses!$B$1:$G$1006,4,FALSE)),"",INT(VLOOKUP($AB780&amp;"-"&amp;$E780&amp;" "&amp;$F780,Bonuses!$B$1:$G$1006,4,FALSE)))</f>
        <v/>
      </c>
      <c r="AE7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1" spans="1:31" s="50" customFormat="1" x14ac:dyDescent="0.25">
      <c r="A781" s="50">
        <v>20331</v>
      </c>
      <c r="B781" s="50">
        <f>COUNTIF(Table5[PID],A781)</f>
        <v>1</v>
      </c>
      <c r="C781" s="50" t="str">
        <f>IF(COUNTIF(Table3[[#All],[PID]],A781)&gt;0,"P","B")</f>
        <v>P</v>
      </c>
      <c r="D781" s="59" t="str">
        <f>IF($C781="B",INDEX(Batters[[#All],[POS]],MATCH(Table5[[#This Row],[PID]],Batters[[#All],[PID]],0)),INDEX(Table3[[#All],[POS]],MATCH(Table5[[#This Row],[PID]],Table3[[#All],[PID]],0)))</f>
        <v>RP</v>
      </c>
      <c r="E781" s="52" t="str">
        <f>IF($C781="B",INDEX(Batters[[#All],[First]],MATCH(Table5[[#This Row],[PID]],Batters[[#All],[PID]],0)),INDEX(Table3[[#All],[First]],MATCH(Table5[[#This Row],[PID]],Table3[[#All],[PID]],0)))</f>
        <v>Rhett</v>
      </c>
      <c r="F781" s="50" t="str">
        <f>IF($C781="B",INDEX(Batters[[#All],[Last]],MATCH(A781,Batters[[#All],[PID]],0)),INDEX(Table3[[#All],[Last]],MATCH(A781,Table3[[#All],[PID]],0)))</f>
        <v>Dempsey</v>
      </c>
      <c r="G781" s="56">
        <f>IF($C781="B",INDEX(Batters[[#All],[Age]],MATCH(Table5[[#This Row],[PID]],Batters[[#All],[PID]],0)),INDEX(Table3[[#All],[Age]],MATCH(Table5[[#This Row],[PID]],Table3[[#All],[PID]],0)))</f>
        <v>18</v>
      </c>
      <c r="H781" s="52" t="str">
        <f>IF($C781="B",INDEX(Batters[[#All],[B]],MATCH(Table5[[#This Row],[PID]],Batters[[#All],[PID]],0)),INDEX(Table3[[#All],[B]],MATCH(Table5[[#This Row],[PID]],Table3[[#All],[PID]],0)))</f>
        <v>R</v>
      </c>
      <c r="I781" s="52" t="str">
        <f>IF($C781="B",INDEX(Batters[[#All],[T]],MATCH(Table5[[#This Row],[PID]],Batters[[#All],[PID]],0)),INDEX(Table3[[#All],[T]],MATCH(Table5[[#This Row],[PID]],Table3[[#All],[PID]],0)))</f>
        <v>R</v>
      </c>
      <c r="J781" s="52" t="str">
        <f>IF($C781="B",INDEX(Batters[[#All],[WE]],MATCH(Table5[[#This Row],[PID]],Batters[[#All],[PID]],0)),INDEX(Table3[[#All],[WE]],MATCH(Table5[[#This Row],[PID]],Table3[[#All],[PID]],0)))</f>
        <v>Normal</v>
      </c>
      <c r="K781" s="52" t="str">
        <f>IF($C781="B",INDEX(Batters[[#All],[INT]],MATCH(Table5[[#This Row],[PID]],Batters[[#All],[PID]],0)),INDEX(Table3[[#All],[INT]],MATCH(Table5[[#This Row],[PID]],Table3[[#All],[PID]],0)))</f>
        <v>Normal</v>
      </c>
      <c r="L781" s="60">
        <f>IF($C781="B",INDEX(Batters[[#All],[CON P]],MATCH(Table5[[#This Row],[PID]],Batters[[#All],[PID]],0)),INDEX(Table3[[#All],[STU P]],MATCH(Table5[[#This Row],[PID]],Table3[[#All],[PID]],0)))</f>
        <v>4</v>
      </c>
      <c r="M781" s="56">
        <f>IF($C781="B",INDEX(Batters[[#All],[GAP P]],MATCH(Table5[[#This Row],[PID]],Batters[[#All],[PID]],0)),INDEX(Table3[[#All],[MOV P]],MATCH(Table5[[#This Row],[PID]],Table3[[#All],[PID]],0)))</f>
        <v>2</v>
      </c>
      <c r="N781" s="56">
        <f>IF($C781="B",INDEX(Batters[[#All],[POW P]],MATCH(Table5[[#This Row],[PID]],Batters[[#All],[PID]],0)),INDEX(Table3[[#All],[CON P]],MATCH(Table5[[#This Row],[PID]],Table3[[#All],[PID]],0)))</f>
        <v>3</v>
      </c>
      <c r="O781" s="56" t="str">
        <f>IF($C781="B",INDEX(Batters[[#All],[EYE P]],MATCH(Table5[[#This Row],[PID]],Batters[[#All],[PID]],0)),INDEX(Table3[[#All],[VELO]],MATCH(Table5[[#This Row],[PID]],Table3[[#All],[PID]],0)))</f>
        <v>88-90 Mph</v>
      </c>
      <c r="P781" s="56">
        <f>IF($C781="B",INDEX(Batters[[#All],[K P]],MATCH(Table5[[#This Row],[PID]],Batters[[#All],[PID]],0)),INDEX(Table3[[#All],[STM]],MATCH(Table5[[#This Row],[PID]],Table3[[#All],[PID]],0)))</f>
        <v>3</v>
      </c>
      <c r="Q781" s="61">
        <f>IF($C781="B",INDEX(Batters[[#All],[Tot]],MATCH(Table5[[#This Row],[PID]],Batters[[#All],[PID]],0)),INDEX(Table3[[#All],[Tot]],MATCH(Table5[[#This Row],[PID]],Table3[[#All],[PID]],0)))</f>
        <v>32.465830734434746</v>
      </c>
      <c r="R781" s="52">
        <f>IF($C781="B",INDEX(Batters[[#All],[zScore]],MATCH(Table5[[#This Row],[PID]],Batters[[#All],[PID]],0)),INDEX(Table3[[#All],[zScore]],MATCH(Table5[[#This Row],[PID]],Table3[[#All],[PID]],0)))</f>
        <v>-0.22650917613389998</v>
      </c>
      <c r="S781" s="58" t="str">
        <f>IF($C781="B",INDEX(Batters[[#All],[DEM]],MATCH(Table5[[#This Row],[PID]],Batters[[#All],[PID]],0)),INDEX(Table3[[#All],[DEM]],MATCH(Table5[[#This Row],[PID]],Table3[[#All],[PID]],0)))</f>
        <v>$90k</v>
      </c>
      <c r="T781" s="62">
        <f>IF($C781="B",INDEX(Batters[[#All],[Rnk]],MATCH(Table5[[#This Row],[PID]],Batters[[#All],[PID]],0)),INDEX(Table3[[#All],[Rnk]],MATCH(Table5[[#This Row],[PID]],Table3[[#All],[PID]],0)))</f>
        <v>394</v>
      </c>
      <c r="U781" s="68">
        <f>IF($C781="B",VLOOKUP($A781,Bat!$A$4:$BA$1621,47,FALSE),VLOOKUP($A781,Pit!$A$4:$BF$1557,56,FALSE))</f>
        <v>0</v>
      </c>
      <c r="V781" s="50">
        <f>IF($C781="B",VLOOKUP($A781,Bat!$A$4:$BA$1621,48,FALSE),VLOOKUP($A781,Pit!$A$4:$BF$1557,57,FALSE))</f>
        <v>0</v>
      </c>
      <c r="W781" s="50">
        <f>Table5[[#This Row],[posRnk]]+Table5[[#This Row],[zRnk]]+IF($W$3&lt;&gt;Table5[[#This Row],[Type]],50,0)</f>
        <v>1127</v>
      </c>
      <c r="X781" s="51">
        <f>RANK(Table5[[#This Row],[zScore]],Table5[[#All],[zScore]])</f>
        <v>683</v>
      </c>
      <c r="Y781" s="50" t="str">
        <f>IFERROR(INDEX(DraftResults[[#All],[OVR]],MATCH(Table5[[#This Row],[PID]],DraftResults[[#All],[Player ID]],0)),"")</f>
        <v/>
      </c>
      <c r="Z7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1" s="50" t="str">
        <f>IFERROR(INDEX(DraftResults[[#All],[Pick in Round]],MATCH(Table5[[#This Row],[PID]],DraftResults[[#All],[Player ID]],0)),"")</f>
        <v/>
      </c>
      <c r="AB781" s="50" t="str">
        <f>IFERROR(INDEX(DraftResults[[#All],[Team Name]],MATCH(Table5[[#This Row],[PID]],DraftResults[[#All],[Player ID]],0)),"")</f>
        <v/>
      </c>
      <c r="AC781" s="50" t="str">
        <f>IF(Table5[[#This Row],[Ovr]]="","",IF(Table5[[#This Row],[cmbList]]="","",Table5[[#This Row],[cmbList]]-Table5[[#This Row],[Ovr]]))</f>
        <v/>
      </c>
      <c r="AD781" s="54" t="str">
        <f>IF(ISERROR(VLOOKUP($AB781&amp;"-"&amp;$E781&amp;" "&amp;F781,Bonuses!$B$1:$G$1006,4,FALSE)),"",INT(VLOOKUP($AB781&amp;"-"&amp;$E781&amp;" "&amp;$F781,Bonuses!$B$1:$G$1006,4,FALSE)))</f>
        <v/>
      </c>
      <c r="AE7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2" spans="1:31" s="50" customFormat="1" x14ac:dyDescent="0.25">
      <c r="A782" s="50">
        <v>18375</v>
      </c>
      <c r="B782" s="50">
        <f>COUNTIF(Table5[PID],A782)</f>
        <v>1</v>
      </c>
      <c r="C782" s="50" t="str">
        <f>IF(COUNTIF(Table3[[#All],[PID]],A782)&gt;0,"P","B")</f>
        <v>P</v>
      </c>
      <c r="D782" s="59" t="str">
        <f>IF($C782="B",INDEX(Batters[[#All],[POS]],MATCH(Table5[[#This Row],[PID]],Batters[[#All],[PID]],0)),INDEX(Table3[[#All],[POS]],MATCH(Table5[[#This Row],[PID]],Table3[[#All],[PID]],0)))</f>
        <v>RP</v>
      </c>
      <c r="E782" s="52" t="str">
        <f>IF($C782="B",INDEX(Batters[[#All],[First]],MATCH(Table5[[#This Row],[PID]],Batters[[#All],[PID]],0)),INDEX(Table3[[#All],[First]],MATCH(Table5[[#This Row],[PID]],Table3[[#All],[PID]],0)))</f>
        <v>Kiyoshi</v>
      </c>
      <c r="F782" s="50" t="str">
        <f>IF($C782="B",INDEX(Batters[[#All],[Last]],MATCH(A782,Batters[[#All],[PID]],0)),INDEX(Table3[[#All],[Last]],MATCH(A782,Table3[[#All],[PID]],0)))</f>
        <v>Tanaka</v>
      </c>
      <c r="G782" s="56">
        <f>IF($C782="B",INDEX(Batters[[#All],[Age]],MATCH(Table5[[#This Row],[PID]],Batters[[#All],[PID]],0)),INDEX(Table3[[#All],[Age]],MATCH(Table5[[#This Row],[PID]],Table3[[#All],[PID]],0)))</f>
        <v>18</v>
      </c>
      <c r="H782" s="52" t="str">
        <f>IF($C782="B",INDEX(Batters[[#All],[B]],MATCH(Table5[[#This Row],[PID]],Batters[[#All],[PID]],0)),INDEX(Table3[[#All],[B]],MATCH(Table5[[#This Row],[PID]],Table3[[#All],[PID]],0)))</f>
        <v>L</v>
      </c>
      <c r="I782" s="52" t="str">
        <f>IF($C782="B",INDEX(Batters[[#All],[T]],MATCH(Table5[[#This Row],[PID]],Batters[[#All],[PID]],0)),INDEX(Table3[[#All],[T]],MATCH(Table5[[#This Row],[PID]],Table3[[#All],[PID]],0)))</f>
        <v>L</v>
      </c>
      <c r="J782" s="52" t="str">
        <f>IF($C782="B",INDEX(Batters[[#All],[WE]],MATCH(Table5[[#This Row],[PID]],Batters[[#All],[PID]],0)),INDEX(Table3[[#All],[WE]],MATCH(Table5[[#This Row],[PID]],Table3[[#All],[PID]],0)))</f>
        <v>Normal</v>
      </c>
      <c r="K782" s="52" t="str">
        <f>IF($C782="B",INDEX(Batters[[#All],[INT]],MATCH(Table5[[#This Row],[PID]],Batters[[#All],[PID]],0)),INDEX(Table3[[#All],[INT]],MATCH(Table5[[#This Row],[PID]],Table3[[#All],[PID]],0)))</f>
        <v>Normal</v>
      </c>
      <c r="L782" s="60">
        <f>IF($C782="B",INDEX(Batters[[#All],[CON P]],MATCH(Table5[[#This Row],[PID]],Batters[[#All],[PID]],0)),INDEX(Table3[[#All],[STU P]],MATCH(Table5[[#This Row],[PID]],Table3[[#All],[PID]],0)))</f>
        <v>4</v>
      </c>
      <c r="M782" s="56">
        <f>IF($C782="B",INDEX(Batters[[#All],[GAP P]],MATCH(Table5[[#This Row],[PID]],Batters[[#All],[PID]],0)),INDEX(Table3[[#All],[MOV P]],MATCH(Table5[[#This Row],[PID]],Table3[[#All],[PID]],0)))</f>
        <v>3</v>
      </c>
      <c r="N782" s="56">
        <f>IF($C782="B",INDEX(Batters[[#All],[POW P]],MATCH(Table5[[#This Row],[PID]],Batters[[#All],[PID]],0)),INDEX(Table3[[#All],[CON P]],MATCH(Table5[[#This Row],[PID]],Table3[[#All],[PID]],0)))</f>
        <v>2</v>
      </c>
      <c r="O782" s="56" t="str">
        <f>IF($C782="B",INDEX(Batters[[#All],[EYE P]],MATCH(Table5[[#This Row],[PID]],Batters[[#All],[PID]],0)),INDEX(Table3[[#All],[VELO]],MATCH(Table5[[#This Row],[PID]],Table3[[#All],[PID]],0)))</f>
        <v>87-89 Mph</v>
      </c>
      <c r="P782" s="56">
        <f>IF($C782="B",INDEX(Batters[[#All],[K P]],MATCH(Table5[[#This Row],[PID]],Batters[[#All],[PID]],0)),INDEX(Table3[[#All],[STM]],MATCH(Table5[[#This Row],[PID]],Table3[[#All],[PID]],0)))</f>
        <v>3</v>
      </c>
      <c r="Q782" s="61">
        <f>IF($C782="B",INDEX(Batters[[#All],[Tot]],MATCH(Table5[[#This Row],[PID]],Batters[[#All],[PID]],0)),INDEX(Table3[[#All],[Tot]],MATCH(Table5[[#This Row],[PID]],Table3[[#All],[PID]],0)))</f>
        <v>33.624942591577707</v>
      </c>
      <c r="R782" s="52">
        <f>IF($C782="B",INDEX(Batters[[#All],[zScore]],MATCH(Table5[[#This Row],[PID]],Batters[[#All],[PID]],0)),INDEX(Table3[[#All],[zScore]],MATCH(Table5[[#This Row],[PID]],Table3[[#All],[PID]],0)))</f>
        <v>-0.22826989026990363</v>
      </c>
      <c r="S782" s="58" t="str">
        <f>IF($C782="B",INDEX(Batters[[#All],[DEM]],MATCH(Table5[[#This Row],[PID]],Batters[[#All],[PID]],0)),INDEX(Table3[[#All],[DEM]],MATCH(Table5[[#This Row],[PID]],Table3[[#All],[PID]],0)))</f>
        <v>$100k</v>
      </c>
      <c r="T782" s="62">
        <f>IF($C782="B",INDEX(Batters[[#All],[Rnk]],MATCH(Table5[[#This Row],[PID]],Batters[[#All],[PID]],0)),INDEX(Table3[[#All],[Rnk]],MATCH(Table5[[#This Row],[PID]],Table3[[#All],[PID]],0)))</f>
        <v>395</v>
      </c>
      <c r="U782" s="68">
        <f>IF($C782="B",VLOOKUP($A782,Bat!$A$4:$BA$1621,47,FALSE),VLOOKUP($A782,Pit!$A$4:$BF$1557,56,FALSE))</f>
        <v>0</v>
      </c>
      <c r="V782" s="50">
        <f>IF($C782="B",VLOOKUP($A782,Bat!$A$4:$BA$1621,48,FALSE),VLOOKUP($A782,Pit!$A$4:$BF$1557,57,FALSE))</f>
        <v>0</v>
      </c>
      <c r="W782" s="50">
        <f>Table5[[#This Row],[posRnk]]+Table5[[#This Row],[zRnk]]+IF($W$3&lt;&gt;Table5[[#This Row],[Type]],50,0)</f>
        <v>1129</v>
      </c>
      <c r="X782" s="51">
        <f>RANK(Table5[[#This Row],[zScore]],Table5[[#All],[zScore]])</f>
        <v>684</v>
      </c>
      <c r="Y782" s="50" t="str">
        <f>IFERROR(INDEX(DraftResults[[#All],[OVR]],MATCH(Table5[[#This Row],[PID]],DraftResults[[#All],[Player ID]],0)),"")</f>
        <v/>
      </c>
      <c r="Z7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2" s="50" t="str">
        <f>IFERROR(INDEX(DraftResults[[#All],[Pick in Round]],MATCH(Table5[[#This Row],[PID]],DraftResults[[#All],[Player ID]],0)),"")</f>
        <v/>
      </c>
      <c r="AB782" s="50" t="str">
        <f>IFERROR(INDEX(DraftResults[[#All],[Team Name]],MATCH(Table5[[#This Row],[PID]],DraftResults[[#All],[Player ID]],0)),"")</f>
        <v/>
      </c>
      <c r="AC782" s="50" t="str">
        <f>IF(Table5[[#This Row],[Ovr]]="","",IF(Table5[[#This Row],[cmbList]]="","",Table5[[#This Row],[cmbList]]-Table5[[#This Row],[Ovr]]))</f>
        <v/>
      </c>
      <c r="AD782" s="54" t="str">
        <f>IF(ISERROR(VLOOKUP($AB782&amp;"-"&amp;$E782&amp;" "&amp;F782,Bonuses!$B$1:$G$1006,4,FALSE)),"",INT(VLOOKUP($AB782&amp;"-"&amp;$E782&amp;" "&amp;$F782,Bonuses!$B$1:$G$1006,4,FALSE)))</f>
        <v/>
      </c>
      <c r="AE7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3" spans="1:31" s="50" customFormat="1" x14ac:dyDescent="0.25">
      <c r="A783" s="50">
        <v>20761</v>
      </c>
      <c r="B783" s="50">
        <f>COUNTIF(Table5[PID],A783)</f>
        <v>1</v>
      </c>
      <c r="C783" s="50" t="str">
        <f>IF(COUNTIF(Table3[[#All],[PID]],A783)&gt;0,"P","B")</f>
        <v>P</v>
      </c>
      <c r="D783" s="59" t="str">
        <f>IF($C783="B",INDEX(Batters[[#All],[POS]],MATCH(Table5[[#This Row],[PID]],Batters[[#All],[PID]],0)),INDEX(Table3[[#All],[POS]],MATCH(Table5[[#This Row],[PID]],Table3[[#All],[PID]],0)))</f>
        <v>RP</v>
      </c>
      <c r="E783" s="52" t="str">
        <f>IF($C783="B",INDEX(Batters[[#All],[First]],MATCH(Table5[[#This Row],[PID]],Batters[[#All],[PID]],0)),INDEX(Table3[[#All],[First]],MATCH(Table5[[#This Row],[PID]],Table3[[#All],[PID]],0)))</f>
        <v>Shane</v>
      </c>
      <c r="F783" s="50" t="str">
        <f>IF($C783="B",INDEX(Batters[[#All],[Last]],MATCH(A783,Batters[[#All],[PID]],0)),INDEX(Table3[[#All],[Last]],MATCH(A783,Table3[[#All],[PID]],0)))</f>
        <v>Wilson</v>
      </c>
      <c r="G783" s="56">
        <f>IF($C783="B",INDEX(Batters[[#All],[Age]],MATCH(Table5[[#This Row],[PID]],Batters[[#All],[PID]],0)),INDEX(Table3[[#All],[Age]],MATCH(Table5[[#This Row],[PID]],Table3[[#All],[PID]],0)))</f>
        <v>17</v>
      </c>
      <c r="H783" s="52" t="str">
        <f>IF($C783="B",INDEX(Batters[[#All],[B]],MATCH(Table5[[#This Row],[PID]],Batters[[#All],[PID]],0)),INDEX(Table3[[#All],[B]],MATCH(Table5[[#This Row],[PID]],Table3[[#All],[PID]],0)))</f>
        <v>R</v>
      </c>
      <c r="I783" s="52" t="str">
        <f>IF($C783="B",INDEX(Batters[[#All],[T]],MATCH(Table5[[#This Row],[PID]],Batters[[#All],[PID]],0)),INDEX(Table3[[#All],[T]],MATCH(Table5[[#This Row],[PID]],Table3[[#All],[PID]],0)))</f>
        <v>L</v>
      </c>
      <c r="J783" s="52" t="str">
        <f>IF($C783="B",INDEX(Batters[[#All],[WE]],MATCH(Table5[[#This Row],[PID]],Batters[[#All],[PID]],0)),INDEX(Table3[[#All],[WE]],MATCH(Table5[[#This Row],[PID]],Table3[[#All],[PID]],0)))</f>
        <v>High</v>
      </c>
      <c r="K783" s="52" t="str">
        <f>IF($C783="B",INDEX(Batters[[#All],[INT]],MATCH(Table5[[#This Row],[PID]],Batters[[#All],[PID]],0)),INDEX(Table3[[#All],[INT]],MATCH(Table5[[#This Row],[PID]],Table3[[#All],[PID]],0)))</f>
        <v>Normal</v>
      </c>
      <c r="L783" s="60">
        <f>IF($C783="B",INDEX(Batters[[#All],[CON P]],MATCH(Table5[[#This Row],[PID]],Batters[[#All],[PID]],0)),INDEX(Table3[[#All],[STU P]],MATCH(Table5[[#This Row],[PID]],Table3[[#All],[PID]],0)))</f>
        <v>5</v>
      </c>
      <c r="M783" s="56">
        <f>IF($C783="B",INDEX(Batters[[#All],[GAP P]],MATCH(Table5[[#This Row],[PID]],Batters[[#All],[PID]],0)),INDEX(Table3[[#All],[MOV P]],MATCH(Table5[[#This Row],[PID]],Table3[[#All],[PID]],0)))</f>
        <v>2</v>
      </c>
      <c r="N783" s="56">
        <f>IF($C783="B",INDEX(Batters[[#All],[POW P]],MATCH(Table5[[#This Row],[PID]],Batters[[#All],[PID]],0)),INDEX(Table3[[#All],[CON P]],MATCH(Table5[[#This Row],[PID]],Table3[[#All],[PID]],0)))</f>
        <v>3</v>
      </c>
      <c r="O783" s="56" t="str">
        <f>IF($C783="B",INDEX(Batters[[#All],[EYE P]],MATCH(Table5[[#This Row],[PID]],Batters[[#All],[PID]],0)),INDEX(Table3[[#All],[VELO]],MATCH(Table5[[#This Row],[PID]],Table3[[#All],[PID]],0)))</f>
        <v>86-88 Mph</v>
      </c>
      <c r="P783" s="56">
        <f>IF($C783="B",INDEX(Batters[[#All],[K P]],MATCH(Table5[[#This Row],[PID]],Batters[[#All],[PID]],0)),INDEX(Table3[[#All],[STM]],MATCH(Table5[[#This Row],[PID]],Table3[[#All],[PID]],0)))</f>
        <v>2</v>
      </c>
      <c r="Q783" s="61">
        <f>IF($C783="B",INDEX(Batters[[#All],[Tot]],MATCH(Table5[[#This Row],[PID]],Batters[[#All],[PID]],0)),INDEX(Table3[[#All],[Tot]],MATCH(Table5[[#This Row],[PID]],Table3[[#All],[PID]],0)))</f>
        <v>33.617692180287968</v>
      </c>
      <c r="R783" s="52">
        <f>IF($C783="B",INDEX(Batters[[#All],[zScore]],MATCH(Table5[[#This Row],[PID]],Batters[[#All],[PID]],0)),INDEX(Table3[[#All],[zScore]],MATCH(Table5[[#This Row],[PID]],Table3[[#All],[PID]],0)))</f>
        <v>-0.22879454790625772</v>
      </c>
      <c r="S783" s="58" t="str">
        <f>IF($C783="B",INDEX(Batters[[#All],[DEM]],MATCH(Table5[[#This Row],[PID]],Batters[[#All],[PID]],0)),INDEX(Table3[[#All],[DEM]],MATCH(Table5[[#This Row],[PID]],Table3[[#All],[PID]],0)))</f>
        <v>$80k</v>
      </c>
      <c r="T783" s="62">
        <f>IF($C783="B",INDEX(Batters[[#All],[Rnk]],MATCH(Table5[[#This Row],[PID]],Batters[[#All],[PID]],0)),INDEX(Table3[[#All],[Rnk]],MATCH(Table5[[#This Row],[PID]],Table3[[#All],[PID]],0)))</f>
        <v>396</v>
      </c>
      <c r="U783" s="68">
        <f>IF($C783="B",VLOOKUP($A783,Bat!$A$4:$BA$1621,47,FALSE),VLOOKUP($A783,Pit!$A$4:$BF$1557,56,FALSE))</f>
        <v>0</v>
      </c>
      <c r="V783" s="50">
        <f>IF($C783="B",VLOOKUP($A783,Bat!$A$4:$BA$1621,48,FALSE),VLOOKUP($A783,Pit!$A$4:$BF$1557,57,FALSE))</f>
        <v>0</v>
      </c>
      <c r="W783" s="50">
        <f>Table5[[#This Row],[posRnk]]+Table5[[#This Row],[zRnk]]+IF($W$3&lt;&gt;Table5[[#This Row],[Type]],50,0)</f>
        <v>1131</v>
      </c>
      <c r="X783" s="51">
        <f>RANK(Table5[[#This Row],[zScore]],Table5[[#All],[zScore]])</f>
        <v>685</v>
      </c>
      <c r="Y783" s="50" t="str">
        <f>IFERROR(INDEX(DraftResults[[#All],[OVR]],MATCH(Table5[[#This Row],[PID]],DraftResults[[#All],[Player ID]],0)),"")</f>
        <v/>
      </c>
      <c r="Z7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3" s="50" t="str">
        <f>IFERROR(INDEX(DraftResults[[#All],[Pick in Round]],MATCH(Table5[[#This Row],[PID]],DraftResults[[#All],[Player ID]],0)),"")</f>
        <v/>
      </c>
      <c r="AB783" s="50" t="str">
        <f>IFERROR(INDEX(DraftResults[[#All],[Team Name]],MATCH(Table5[[#This Row],[PID]],DraftResults[[#All],[Player ID]],0)),"")</f>
        <v/>
      </c>
      <c r="AC783" s="50" t="str">
        <f>IF(Table5[[#This Row],[Ovr]]="","",IF(Table5[[#This Row],[cmbList]]="","",Table5[[#This Row],[cmbList]]-Table5[[#This Row],[Ovr]]))</f>
        <v/>
      </c>
      <c r="AD783" s="54" t="str">
        <f>IF(ISERROR(VLOOKUP($AB783&amp;"-"&amp;$E783&amp;" "&amp;F783,Bonuses!$B$1:$G$1006,4,FALSE)),"",INT(VLOOKUP($AB783&amp;"-"&amp;$E783&amp;" "&amp;$F783,Bonuses!$B$1:$G$1006,4,FALSE)))</f>
        <v/>
      </c>
      <c r="AE7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4" spans="1:31" s="50" customFormat="1" x14ac:dyDescent="0.25">
      <c r="A784" s="50">
        <v>18195</v>
      </c>
      <c r="B784" s="50">
        <f>COUNTIF(Table5[PID],A784)</f>
        <v>1</v>
      </c>
      <c r="C784" s="50" t="str">
        <f>IF(COUNTIF(Table3[[#All],[PID]],A784)&gt;0,"P","B")</f>
        <v>P</v>
      </c>
      <c r="D784" s="59" t="str">
        <f>IF($C784="B",INDEX(Batters[[#All],[POS]],MATCH(Table5[[#This Row],[PID]],Batters[[#All],[PID]],0)),INDEX(Table3[[#All],[POS]],MATCH(Table5[[#This Row],[PID]],Table3[[#All],[PID]],0)))</f>
        <v>RP</v>
      </c>
      <c r="E784" s="52" t="str">
        <f>IF($C784="B",INDEX(Batters[[#All],[First]],MATCH(Table5[[#This Row],[PID]],Batters[[#All],[PID]],0)),INDEX(Table3[[#All],[First]],MATCH(Table5[[#This Row],[PID]],Table3[[#All],[PID]],0)))</f>
        <v>Jorge</v>
      </c>
      <c r="F784" s="50" t="str">
        <f>IF($C784="B",INDEX(Batters[[#All],[Last]],MATCH(A784,Batters[[#All],[PID]],0)),INDEX(Table3[[#All],[Last]],MATCH(A784,Table3[[#All],[PID]],0)))</f>
        <v>López</v>
      </c>
      <c r="G784" s="56">
        <f>IF($C784="B",INDEX(Batters[[#All],[Age]],MATCH(Table5[[#This Row],[PID]],Batters[[#All],[PID]],0)),INDEX(Table3[[#All],[Age]],MATCH(Table5[[#This Row],[PID]],Table3[[#All],[PID]],0)))</f>
        <v>18</v>
      </c>
      <c r="H784" s="52" t="str">
        <f>IF($C784="B",INDEX(Batters[[#All],[B]],MATCH(Table5[[#This Row],[PID]],Batters[[#All],[PID]],0)),INDEX(Table3[[#All],[B]],MATCH(Table5[[#This Row],[PID]],Table3[[#All],[PID]],0)))</f>
        <v>R</v>
      </c>
      <c r="I784" s="52" t="str">
        <f>IF($C784="B",INDEX(Batters[[#All],[T]],MATCH(Table5[[#This Row],[PID]],Batters[[#All],[PID]],0)),INDEX(Table3[[#All],[T]],MATCH(Table5[[#This Row],[PID]],Table3[[#All],[PID]],0)))</f>
        <v>R</v>
      </c>
      <c r="J784" s="52" t="str">
        <f>IF($C784="B",INDEX(Batters[[#All],[WE]],MATCH(Table5[[#This Row],[PID]],Batters[[#All],[PID]],0)),INDEX(Table3[[#All],[WE]],MATCH(Table5[[#This Row],[PID]],Table3[[#All],[PID]],0)))</f>
        <v>High</v>
      </c>
      <c r="K784" s="52" t="str">
        <f>IF($C784="B",INDEX(Batters[[#All],[INT]],MATCH(Table5[[#This Row],[PID]],Batters[[#All],[PID]],0)),INDEX(Table3[[#All],[INT]],MATCH(Table5[[#This Row],[PID]],Table3[[#All],[PID]],0)))</f>
        <v>Normal</v>
      </c>
      <c r="L784" s="60">
        <f>IF($C784="B",INDEX(Batters[[#All],[CON P]],MATCH(Table5[[#This Row],[PID]],Batters[[#All],[PID]],0)),INDEX(Table3[[#All],[STU P]],MATCH(Table5[[#This Row],[PID]],Table3[[#All],[PID]],0)))</f>
        <v>4</v>
      </c>
      <c r="M784" s="56">
        <f>IF($C784="B",INDEX(Batters[[#All],[GAP P]],MATCH(Table5[[#This Row],[PID]],Batters[[#All],[PID]],0)),INDEX(Table3[[#All],[MOV P]],MATCH(Table5[[#This Row],[PID]],Table3[[#All],[PID]],0)))</f>
        <v>2</v>
      </c>
      <c r="N784" s="56">
        <f>IF($C784="B",INDEX(Batters[[#All],[POW P]],MATCH(Table5[[#This Row],[PID]],Batters[[#All],[PID]],0)),INDEX(Table3[[#All],[CON P]],MATCH(Table5[[#This Row],[PID]],Table3[[#All],[PID]],0)))</f>
        <v>3</v>
      </c>
      <c r="O784" s="56" t="str">
        <f>IF($C784="B",INDEX(Batters[[#All],[EYE P]],MATCH(Table5[[#This Row],[PID]],Batters[[#All],[PID]],0)),INDEX(Table3[[#All],[VELO]],MATCH(Table5[[#This Row],[PID]],Table3[[#All],[PID]],0)))</f>
        <v>88-90 Mph</v>
      </c>
      <c r="P784" s="56">
        <f>IF($C784="B",INDEX(Batters[[#All],[K P]],MATCH(Table5[[#This Row],[PID]],Batters[[#All],[PID]],0)),INDEX(Table3[[#All],[STM]],MATCH(Table5[[#This Row],[PID]],Table3[[#All],[PID]],0)))</f>
        <v>6</v>
      </c>
      <c r="Q784" s="61">
        <f>IF($C784="B",INDEX(Batters[[#All],[Tot]],MATCH(Table5[[#This Row],[PID]],Batters[[#All],[PID]],0)),INDEX(Table3[[#All],[Tot]],MATCH(Table5[[#This Row],[PID]],Table3[[#All],[PID]],0)))</f>
        <v>34.45835259586724</v>
      </c>
      <c r="R784" s="52">
        <f>IF($C784="B",INDEX(Batters[[#All],[zScore]],MATCH(Table5[[#This Row],[PID]],Batters[[#All],[PID]],0)),INDEX(Table3[[#All],[zScore]],MATCH(Table5[[#This Row],[PID]],Table3[[#All],[PID]],0)))</f>
        <v>-0.22916053834432068</v>
      </c>
      <c r="S784" s="58" t="str">
        <f>IF($C784="B",INDEX(Batters[[#All],[DEM]],MATCH(Table5[[#This Row],[PID]],Batters[[#All],[PID]],0)),INDEX(Table3[[#All],[DEM]],MATCH(Table5[[#This Row],[PID]],Table3[[#All],[PID]],0)))</f>
        <v>$65k</v>
      </c>
      <c r="T784" s="62">
        <f>IF($C784="B",INDEX(Batters[[#All],[Rnk]],MATCH(Table5[[#This Row],[PID]],Batters[[#All],[PID]],0)),INDEX(Table3[[#All],[Rnk]],MATCH(Table5[[#This Row],[PID]],Table3[[#All],[PID]],0)))</f>
        <v>397</v>
      </c>
      <c r="U784" s="68">
        <f>IF($C784="B",VLOOKUP($A784,Bat!$A$4:$BA$1621,47,FALSE),VLOOKUP($A784,Pit!$A$4:$BF$1557,56,FALSE))</f>
        <v>0</v>
      </c>
      <c r="V784" s="50">
        <f>IF($C784="B",VLOOKUP($A784,Bat!$A$4:$BA$1621,48,FALSE),VLOOKUP($A784,Pit!$A$4:$BF$1557,57,FALSE))</f>
        <v>0</v>
      </c>
      <c r="W784" s="50">
        <f>Table5[[#This Row],[posRnk]]+Table5[[#This Row],[zRnk]]+IF($W$3&lt;&gt;Table5[[#This Row],[Type]],50,0)</f>
        <v>1133</v>
      </c>
      <c r="X784" s="51">
        <f>RANK(Table5[[#This Row],[zScore]],Table5[[#All],[zScore]])</f>
        <v>686</v>
      </c>
      <c r="Y784" s="50" t="str">
        <f>IFERROR(INDEX(DraftResults[[#All],[OVR]],MATCH(Table5[[#This Row],[PID]],DraftResults[[#All],[Player ID]],0)),"")</f>
        <v/>
      </c>
      <c r="Z7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4" s="50" t="str">
        <f>IFERROR(INDEX(DraftResults[[#All],[Pick in Round]],MATCH(Table5[[#This Row],[PID]],DraftResults[[#All],[Player ID]],0)),"")</f>
        <v/>
      </c>
      <c r="AB784" s="50" t="str">
        <f>IFERROR(INDEX(DraftResults[[#All],[Team Name]],MATCH(Table5[[#This Row],[PID]],DraftResults[[#All],[Player ID]],0)),"")</f>
        <v/>
      </c>
      <c r="AC784" s="50" t="str">
        <f>IF(Table5[[#This Row],[Ovr]]="","",IF(Table5[[#This Row],[cmbList]]="","",Table5[[#This Row],[cmbList]]-Table5[[#This Row],[Ovr]]))</f>
        <v/>
      </c>
      <c r="AD784" s="54" t="str">
        <f>IF(ISERROR(VLOOKUP($AB784&amp;"-"&amp;$E784&amp;" "&amp;F784,Bonuses!$B$1:$G$1006,4,FALSE)),"",INT(VLOOKUP($AB784&amp;"-"&amp;$E784&amp;" "&amp;$F784,Bonuses!$B$1:$G$1006,4,FALSE)))</f>
        <v/>
      </c>
      <c r="AE7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5" spans="1:31" s="50" customFormat="1" x14ac:dyDescent="0.25">
      <c r="A785" s="50">
        <v>138</v>
      </c>
      <c r="B785" s="50">
        <f>COUNTIF(Table5[PID],A785)</f>
        <v>1</v>
      </c>
      <c r="C785" s="50" t="str">
        <f>IF(COUNTIF(Table3[[#All],[PID]],A785)&gt;0,"P","B")</f>
        <v>P</v>
      </c>
      <c r="D785" s="59" t="str">
        <f>IF($C785="B",INDEX(Batters[[#All],[POS]],MATCH(Table5[[#This Row],[PID]],Batters[[#All],[PID]],0)),INDEX(Table3[[#All],[POS]],MATCH(Table5[[#This Row],[PID]],Table3[[#All],[PID]],0)))</f>
        <v>RP</v>
      </c>
      <c r="E785" s="52" t="str">
        <f>IF($C785="B",INDEX(Batters[[#All],[First]],MATCH(Table5[[#This Row],[PID]],Batters[[#All],[PID]],0)),INDEX(Table3[[#All],[First]],MATCH(Table5[[#This Row],[PID]],Table3[[#All],[PID]],0)))</f>
        <v>Mark</v>
      </c>
      <c r="F785" s="50" t="str">
        <f>IF($C785="B",INDEX(Batters[[#All],[Last]],MATCH(A785,Batters[[#All],[PID]],0)),INDEX(Table3[[#All],[Last]],MATCH(A785,Table3[[#All],[PID]],0)))</f>
        <v>Lee</v>
      </c>
      <c r="G785" s="56">
        <f>IF($C785="B",INDEX(Batters[[#All],[Age]],MATCH(Table5[[#This Row],[PID]],Batters[[#All],[PID]],0)),INDEX(Table3[[#All],[Age]],MATCH(Table5[[#This Row],[PID]],Table3[[#All],[PID]],0)))</f>
        <v>18</v>
      </c>
      <c r="H785" s="52" t="str">
        <f>IF($C785="B",INDEX(Batters[[#All],[B]],MATCH(Table5[[#This Row],[PID]],Batters[[#All],[PID]],0)),INDEX(Table3[[#All],[B]],MATCH(Table5[[#This Row],[PID]],Table3[[#All],[PID]],0)))</f>
        <v>R</v>
      </c>
      <c r="I785" s="52" t="str">
        <f>IF($C785="B",INDEX(Batters[[#All],[T]],MATCH(Table5[[#This Row],[PID]],Batters[[#All],[PID]],0)),INDEX(Table3[[#All],[T]],MATCH(Table5[[#This Row],[PID]],Table3[[#All],[PID]],0)))</f>
        <v>R</v>
      </c>
      <c r="J785" s="52" t="str">
        <f>IF($C785="B",INDEX(Batters[[#All],[WE]],MATCH(Table5[[#This Row],[PID]],Batters[[#All],[PID]],0)),INDEX(Table3[[#All],[WE]],MATCH(Table5[[#This Row],[PID]],Table3[[#All],[PID]],0)))</f>
        <v>Low</v>
      </c>
      <c r="K785" s="52" t="str">
        <f>IF($C785="B",INDEX(Batters[[#All],[INT]],MATCH(Table5[[#This Row],[PID]],Batters[[#All],[PID]],0)),INDEX(Table3[[#All],[INT]],MATCH(Table5[[#This Row],[PID]],Table3[[#All],[PID]],0)))</f>
        <v>Normal</v>
      </c>
      <c r="L785" s="60">
        <f>IF($C785="B",INDEX(Batters[[#All],[CON P]],MATCH(Table5[[#This Row],[PID]],Batters[[#All],[PID]],0)),INDEX(Table3[[#All],[STU P]],MATCH(Table5[[#This Row],[PID]],Table3[[#All],[PID]],0)))</f>
        <v>5</v>
      </c>
      <c r="M785" s="56">
        <f>IF($C785="B",INDEX(Batters[[#All],[GAP P]],MATCH(Table5[[#This Row],[PID]],Batters[[#All],[PID]],0)),INDEX(Table3[[#All],[MOV P]],MATCH(Table5[[#This Row],[PID]],Table3[[#All],[PID]],0)))</f>
        <v>2</v>
      </c>
      <c r="N785" s="56">
        <f>IF($C785="B",INDEX(Batters[[#All],[POW P]],MATCH(Table5[[#This Row],[PID]],Batters[[#All],[PID]],0)),INDEX(Table3[[#All],[CON P]],MATCH(Table5[[#This Row],[PID]],Table3[[#All],[PID]],0)))</f>
        <v>3</v>
      </c>
      <c r="O785" s="56" t="str">
        <f>IF($C785="B",INDEX(Batters[[#All],[EYE P]],MATCH(Table5[[#This Row],[PID]],Batters[[#All],[PID]],0)),INDEX(Table3[[#All],[VELO]],MATCH(Table5[[#This Row],[PID]],Table3[[#All],[PID]],0)))</f>
        <v>89-91 Mph</v>
      </c>
      <c r="P785" s="56">
        <f>IF($C785="B",INDEX(Batters[[#All],[K P]],MATCH(Table5[[#This Row],[PID]],Batters[[#All],[PID]],0)),INDEX(Table3[[#All],[STM]],MATCH(Table5[[#This Row],[PID]],Table3[[#All],[PID]],0)))</f>
        <v>3</v>
      </c>
      <c r="Q785" s="61">
        <f>IF($C785="B",INDEX(Batters[[#All],[Tot]],MATCH(Table5[[#This Row],[PID]],Batters[[#All],[PID]],0)),INDEX(Table3[[#All],[Tot]],MATCH(Table5[[#This Row],[PID]],Table3[[#All],[PID]],0)))</f>
        <v>32.402833873987333</v>
      </c>
      <c r="R785" s="52">
        <f>IF($C785="B",INDEX(Batters[[#All],[zScore]],MATCH(Table5[[#This Row],[PID]],Batters[[#All],[PID]],0)),INDEX(Table3[[#All],[zScore]],MATCH(Table5[[#This Row],[PID]],Table3[[#All],[PID]],0)))</f>
        <v>-0.23070026099340687</v>
      </c>
      <c r="S785" s="58" t="str">
        <f>IF($C785="B",INDEX(Batters[[#All],[DEM]],MATCH(Table5[[#This Row],[PID]],Batters[[#All],[PID]],0)),INDEX(Table3[[#All],[DEM]],MATCH(Table5[[#This Row],[PID]],Table3[[#All],[PID]],0)))</f>
        <v>$65k</v>
      </c>
      <c r="T785" s="62">
        <f>IF($C785="B",INDEX(Batters[[#All],[Rnk]],MATCH(Table5[[#This Row],[PID]],Batters[[#All],[PID]],0)),INDEX(Table3[[#All],[Rnk]],MATCH(Table5[[#This Row],[PID]],Table3[[#All],[PID]],0)))</f>
        <v>398</v>
      </c>
      <c r="U785" s="68">
        <f>IF($C785="B",VLOOKUP($A785,Bat!$A$4:$BA$1621,47,FALSE),VLOOKUP($A785,Pit!$A$4:$BF$1557,56,FALSE))</f>
        <v>0</v>
      </c>
      <c r="V785" s="50">
        <f>IF($C785="B",VLOOKUP($A785,Bat!$A$4:$BA$1621,48,FALSE),VLOOKUP($A785,Pit!$A$4:$BF$1557,57,FALSE))</f>
        <v>0</v>
      </c>
      <c r="W785" s="50">
        <f>Table5[[#This Row],[posRnk]]+Table5[[#This Row],[zRnk]]+IF($W$3&lt;&gt;Table5[[#This Row],[Type]],50,0)</f>
        <v>1135</v>
      </c>
      <c r="X785" s="51">
        <f>RANK(Table5[[#This Row],[zScore]],Table5[[#All],[zScore]])</f>
        <v>687</v>
      </c>
      <c r="Y785" s="50" t="str">
        <f>IFERROR(INDEX(DraftResults[[#All],[OVR]],MATCH(Table5[[#This Row],[PID]],DraftResults[[#All],[Player ID]],0)),"")</f>
        <v/>
      </c>
      <c r="Z7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5" s="50" t="str">
        <f>IFERROR(INDEX(DraftResults[[#All],[Pick in Round]],MATCH(Table5[[#This Row],[PID]],DraftResults[[#All],[Player ID]],0)),"")</f>
        <v/>
      </c>
      <c r="AB785" s="50" t="str">
        <f>IFERROR(INDEX(DraftResults[[#All],[Team Name]],MATCH(Table5[[#This Row],[PID]],DraftResults[[#All],[Player ID]],0)),"")</f>
        <v/>
      </c>
      <c r="AC785" s="50" t="str">
        <f>IF(Table5[[#This Row],[Ovr]]="","",IF(Table5[[#This Row],[cmbList]]="","",Table5[[#This Row],[cmbList]]-Table5[[#This Row],[Ovr]]))</f>
        <v/>
      </c>
      <c r="AD785" s="54" t="str">
        <f>IF(ISERROR(VLOOKUP($AB785&amp;"-"&amp;$E785&amp;" "&amp;F785,Bonuses!$B$1:$G$1006,4,FALSE)),"",INT(VLOOKUP($AB785&amp;"-"&amp;$E785&amp;" "&amp;$F785,Bonuses!$B$1:$G$1006,4,FALSE)))</f>
        <v/>
      </c>
      <c r="AE7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6" spans="1:31" s="50" customFormat="1" x14ac:dyDescent="0.25">
      <c r="A786" s="68">
        <v>18111</v>
      </c>
      <c r="B786" s="69">
        <f>COUNTIF(Table5[PID],A786)</f>
        <v>1</v>
      </c>
      <c r="C786" s="69" t="str">
        <f>IF(COUNTIF(Table3[[#All],[PID]],A786)&gt;0,"P","B")</f>
        <v>P</v>
      </c>
      <c r="D786" s="59" t="str">
        <f>IF($C786="B",INDEX(Batters[[#All],[POS]],MATCH(Table5[[#This Row],[PID]],Batters[[#All],[PID]],0)),INDEX(Table3[[#All],[POS]],MATCH(Table5[[#This Row],[PID]],Table3[[#All],[PID]],0)))</f>
        <v>SP</v>
      </c>
      <c r="E786" s="52" t="str">
        <f>IF($C786="B",INDEX(Batters[[#All],[First]],MATCH(Table5[[#This Row],[PID]],Batters[[#All],[PID]],0)),INDEX(Table3[[#All],[First]],MATCH(Table5[[#This Row],[PID]],Table3[[#All],[PID]],0)))</f>
        <v>Ken</v>
      </c>
      <c r="F786" s="55" t="str">
        <f>IF($C786="B",INDEX(Batters[[#All],[Last]],MATCH(A786,Batters[[#All],[PID]],0)),INDEX(Table3[[#All],[Last]],MATCH(A786,Table3[[#All],[PID]],0)))</f>
        <v>Alexander</v>
      </c>
      <c r="G786" s="56">
        <f>IF($C786="B",INDEX(Batters[[#All],[Age]],MATCH(Table5[[#This Row],[PID]],Batters[[#All],[PID]],0)),INDEX(Table3[[#All],[Age]],MATCH(Table5[[#This Row],[PID]],Table3[[#All],[PID]],0)))</f>
        <v>21</v>
      </c>
      <c r="H786" s="52" t="str">
        <f>IF($C786="B",INDEX(Batters[[#All],[B]],MATCH(Table5[[#This Row],[PID]],Batters[[#All],[PID]],0)),INDEX(Table3[[#All],[B]],MATCH(Table5[[#This Row],[PID]],Table3[[#All],[PID]],0)))</f>
        <v>R</v>
      </c>
      <c r="I786" s="52" t="str">
        <f>IF($C786="B",INDEX(Batters[[#All],[T]],MATCH(Table5[[#This Row],[PID]],Batters[[#All],[PID]],0)),INDEX(Table3[[#All],[T]],MATCH(Table5[[#This Row],[PID]],Table3[[#All],[PID]],0)))</f>
        <v>R</v>
      </c>
      <c r="J786" s="71" t="str">
        <f>IF($C786="B",INDEX(Batters[[#All],[WE]],MATCH(Table5[[#This Row],[PID]],Batters[[#All],[PID]],0)),INDEX(Table3[[#All],[WE]],MATCH(Table5[[#This Row],[PID]],Table3[[#All],[PID]],0)))</f>
        <v>High</v>
      </c>
      <c r="K786" s="52" t="str">
        <f>IF($C786="B",INDEX(Batters[[#All],[INT]],MATCH(Table5[[#This Row],[PID]],Batters[[#All],[PID]],0)),INDEX(Table3[[#All],[INT]],MATCH(Table5[[#This Row],[PID]],Table3[[#All],[PID]],0)))</f>
        <v>High</v>
      </c>
      <c r="L786" s="60">
        <f>IF($C786="B",INDEX(Batters[[#All],[CON P]],MATCH(Table5[[#This Row],[PID]],Batters[[#All],[PID]],0)),INDEX(Table3[[#All],[STU P]],MATCH(Table5[[#This Row],[PID]],Table3[[#All],[PID]],0)))</f>
        <v>5</v>
      </c>
      <c r="M786" s="72">
        <f>IF($C786="B",INDEX(Batters[[#All],[GAP P]],MATCH(Table5[[#This Row],[PID]],Batters[[#All],[PID]],0)),INDEX(Table3[[#All],[MOV P]],MATCH(Table5[[#This Row],[PID]],Table3[[#All],[PID]],0)))</f>
        <v>1</v>
      </c>
      <c r="N786" s="72">
        <f>IF($C786="B",INDEX(Batters[[#All],[POW P]],MATCH(Table5[[#This Row],[PID]],Batters[[#All],[PID]],0)),INDEX(Table3[[#All],[CON P]],MATCH(Table5[[#This Row],[PID]],Table3[[#All],[PID]],0)))</f>
        <v>3</v>
      </c>
      <c r="O786" s="72" t="str">
        <f>IF($C786="B",INDEX(Batters[[#All],[EYE P]],MATCH(Table5[[#This Row],[PID]],Batters[[#All],[PID]],0)),INDEX(Table3[[#All],[VELO]],MATCH(Table5[[#This Row],[PID]],Table3[[#All],[PID]],0)))</f>
        <v>95-97 Mph</v>
      </c>
      <c r="P786" s="56">
        <f>IF($C786="B",INDEX(Batters[[#All],[K P]],MATCH(Table5[[#This Row],[PID]],Batters[[#All],[PID]],0)),INDEX(Table3[[#All],[STM]],MATCH(Table5[[#This Row],[PID]],Table3[[#All],[PID]],0)))</f>
        <v>8</v>
      </c>
      <c r="Q786" s="61">
        <f>IF($C786="B",INDEX(Batters[[#All],[Tot]],MATCH(Table5[[#This Row],[PID]],Batters[[#All],[PID]],0)),INDEX(Table3[[#All],[Tot]],MATCH(Table5[[#This Row],[PID]],Table3[[#All],[PID]],0)))</f>
        <v>32.358601786394175</v>
      </c>
      <c r="R786" s="52">
        <f>IF($C786="B",INDEX(Batters[[#All],[zScore]],MATCH(Table5[[#This Row],[PID]],Batters[[#All],[PID]],0)),INDEX(Table3[[#All],[zScore]],MATCH(Table5[[#This Row],[PID]],Table3[[#All],[PID]],0)))</f>
        <v>-0.23364295418953557</v>
      </c>
      <c r="S786" s="78" t="str">
        <f>IF($C786="B",INDEX(Batters[[#All],[DEM]],MATCH(Table5[[#This Row],[PID]],Batters[[#All],[PID]],0)),INDEX(Table3[[#All],[DEM]],MATCH(Table5[[#This Row],[PID]],Table3[[#All],[PID]],0)))</f>
        <v>-</v>
      </c>
      <c r="T786" s="75">
        <f>IF($C786="B",INDEX(Batters[[#All],[Rnk]],MATCH(Table5[[#This Row],[PID]],Batters[[#All],[PID]],0)),INDEX(Table3[[#All],[Rnk]],MATCH(Table5[[#This Row],[PID]],Table3[[#All],[PID]],0)))</f>
        <v>399</v>
      </c>
      <c r="U786" s="68">
        <f>IF($C786="B",VLOOKUP($A786,Bat!$A$4:$BA$1621,47,FALSE),VLOOKUP($A786,Pit!$A$4:$BF$1557,56,FALSE))</f>
        <v>0</v>
      </c>
      <c r="V786" s="50">
        <f>IF($C786="B",VLOOKUP($A786,Bat!$A$4:$BA$1621,48,FALSE),VLOOKUP($A786,Pit!$A$4:$BF$1557,57,FALSE))</f>
        <v>0</v>
      </c>
      <c r="W786" s="69">
        <f>Table5[[#This Row],[posRnk]]+Table5[[#This Row],[zRnk]]+IF($W$3&lt;&gt;Table5[[#This Row],[Type]],50,0)</f>
        <v>1137</v>
      </c>
      <c r="X786" s="73">
        <f>RANK(Table5[[#This Row],[zScore]],Table5[[#All],[zScore]])</f>
        <v>688</v>
      </c>
      <c r="Y786" s="69" t="str">
        <f>IFERROR(INDEX(DraftResults[[#All],[OVR]],MATCH(Table5[[#This Row],[PID]],DraftResults[[#All],[Player ID]],0)),"")</f>
        <v/>
      </c>
      <c r="Z7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6" s="69" t="str">
        <f>IFERROR(INDEX(DraftResults[[#All],[Pick in Round]],MATCH(Table5[[#This Row],[PID]],DraftResults[[#All],[Player ID]],0)),"")</f>
        <v/>
      </c>
      <c r="AB786" s="69" t="str">
        <f>IFERROR(INDEX(DraftResults[[#All],[Team Name]],MATCH(Table5[[#This Row],[PID]],DraftResults[[#All],[Player ID]],0)),"")</f>
        <v/>
      </c>
      <c r="AC786" s="69" t="str">
        <f>IF(Table5[[#This Row],[Ovr]]="","",IF(Table5[[#This Row],[cmbList]]="","",Table5[[#This Row],[cmbList]]-Table5[[#This Row],[Ovr]]))</f>
        <v/>
      </c>
      <c r="AD786" s="77" t="str">
        <f>IF(ISERROR(VLOOKUP($AB786&amp;"-"&amp;$E786&amp;" "&amp;F786,Bonuses!$B$1:$G$1006,4,FALSE)),"",INT(VLOOKUP($AB786&amp;"-"&amp;$E786&amp;" "&amp;$F786,Bonuses!$B$1:$G$1006,4,FALSE)))</f>
        <v/>
      </c>
      <c r="AE7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7" spans="1:31" s="50" customFormat="1" x14ac:dyDescent="0.25">
      <c r="A787" s="50">
        <v>20659</v>
      </c>
      <c r="B787" s="50">
        <f>COUNTIF(Table5[PID],A787)</f>
        <v>1</v>
      </c>
      <c r="C787" s="50" t="str">
        <f>IF(COUNTIF(Table3[[#All],[PID]],A787)&gt;0,"P","B")</f>
        <v>P</v>
      </c>
      <c r="D787" s="59" t="str">
        <f>IF($C787="B",INDEX(Batters[[#All],[POS]],MATCH(Table5[[#This Row],[PID]],Batters[[#All],[PID]],0)),INDEX(Table3[[#All],[POS]],MATCH(Table5[[#This Row],[PID]],Table3[[#All],[PID]],0)))</f>
        <v>RP</v>
      </c>
      <c r="E787" s="52" t="str">
        <f>IF($C787="B",INDEX(Batters[[#All],[First]],MATCH(Table5[[#This Row],[PID]],Batters[[#All],[PID]],0)),INDEX(Table3[[#All],[First]],MATCH(Table5[[#This Row],[PID]],Table3[[#All],[PID]],0)))</f>
        <v>Hun-hyeon</v>
      </c>
      <c r="F787" s="50" t="str">
        <f>IF($C787="B",INDEX(Batters[[#All],[Last]],MATCH(A787,Batters[[#All],[PID]],0)),INDEX(Table3[[#All],[Last]],MATCH(A787,Table3[[#All],[PID]],0)))</f>
        <v>Kim</v>
      </c>
      <c r="G787" s="56">
        <f>IF($C787="B",INDEX(Batters[[#All],[Age]],MATCH(Table5[[#This Row],[PID]],Batters[[#All],[PID]],0)),INDEX(Table3[[#All],[Age]],MATCH(Table5[[#This Row],[PID]],Table3[[#All],[PID]],0)))</f>
        <v>17</v>
      </c>
      <c r="H787" s="52" t="str">
        <f>IF($C787="B",INDEX(Batters[[#All],[B]],MATCH(Table5[[#This Row],[PID]],Batters[[#All],[PID]],0)),INDEX(Table3[[#All],[B]],MATCH(Table5[[#This Row],[PID]],Table3[[#All],[PID]],0)))</f>
        <v>R</v>
      </c>
      <c r="I787" s="52" t="str">
        <f>IF($C787="B",INDEX(Batters[[#All],[T]],MATCH(Table5[[#This Row],[PID]],Batters[[#All],[PID]],0)),INDEX(Table3[[#All],[T]],MATCH(Table5[[#This Row],[PID]],Table3[[#All],[PID]],0)))</f>
        <v>R</v>
      </c>
      <c r="J787" s="52" t="str">
        <f>IF($C787="B",INDEX(Batters[[#All],[WE]],MATCH(Table5[[#This Row],[PID]],Batters[[#All],[PID]],0)),INDEX(Table3[[#All],[WE]],MATCH(Table5[[#This Row],[PID]],Table3[[#All],[PID]],0)))</f>
        <v>Normal</v>
      </c>
      <c r="K787" s="52" t="str">
        <f>IF($C787="B",INDEX(Batters[[#All],[INT]],MATCH(Table5[[#This Row],[PID]],Batters[[#All],[PID]],0)),INDEX(Table3[[#All],[INT]],MATCH(Table5[[#This Row],[PID]],Table3[[#All],[PID]],0)))</f>
        <v>Normal</v>
      </c>
      <c r="L787" s="60">
        <f>IF($C787="B",INDEX(Batters[[#All],[CON P]],MATCH(Table5[[#This Row],[PID]],Batters[[#All],[PID]],0)),INDEX(Table3[[#All],[STU P]],MATCH(Table5[[#This Row],[PID]],Table3[[#All],[PID]],0)))</f>
        <v>4</v>
      </c>
      <c r="M787" s="56">
        <f>IF($C787="B",INDEX(Batters[[#All],[GAP P]],MATCH(Table5[[#This Row],[PID]],Batters[[#All],[PID]],0)),INDEX(Table3[[#All],[MOV P]],MATCH(Table5[[#This Row],[PID]],Table3[[#All],[PID]],0)))</f>
        <v>2</v>
      </c>
      <c r="N787" s="56">
        <f>IF($C787="B",INDEX(Batters[[#All],[POW P]],MATCH(Table5[[#This Row],[PID]],Batters[[#All],[PID]],0)),INDEX(Table3[[#All],[CON P]],MATCH(Table5[[#This Row],[PID]],Table3[[#All],[PID]],0)))</f>
        <v>3</v>
      </c>
      <c r="O787" s="56" t="str">
        <f>IF($C787="B",INDEX(Batters[[#All],[EYE P]],MATCH(Table5[[#This Row],[PID]],Batters[[#All],[PID]],0)),INDEX(Table3[[#All],[VELO]],MATCH(Table5[[#This Row],[PID]],Table3[[#All],[PID]],0)))</f>
        <v>85-87 Mph</v>
      </c>
      <c r="P787" s="56">
        <f>IF($C787="B",INDEX(Batters[[#All],[K P]],MATCH(Table5[[#This Row],[PID]],Batters[[#All],[PID]],0)),INDEX(Table3[[#All],[STM]],MATCH(Table5[[#This Row],[PID]],Table3[[#All],[PID]],0)))</f>
        <v>1</v>
      </c>
      <c r="Q787" s="61">
        <f>IF($C787="B",INDEX(Batters[[#All],[Tot]],MATCH(Table5[[#This Row],[PID]],Batters[[#All],[PID]],0)),INDEX(Table3[[#All],[Tot]],MATCH(Table5[[#This Row],[PID]],Table3[[#All],[PID]],0)))</f>
        <v>34.386914197713004</v>
      </c>
      <c r="R787" s="52">
        <f>IF($C787="B",INDEX(Batters[[#All],[zScore]],MATCH(Table5[[#This Row],[PID]],Batters[[#All],[PID]],0)),INDEX(Table3[[#All],[zScore]],MATCH(Table5[[#This Row],[PID]],Table3[[#All],[PID]],0)))</f>
        <v>-0.23405404759867032</v>
      </c>
      <c r="S787" s="58" t="str">
        <f>IF($C787="B",INDEX(Batters[[#All],[DEM]],MATCH(Table5[[#This Row],[PID]],Batters[[#All],[PID]],0)),INDEX(Table3[[#All],[DEM]],MATCH(Table5[[#This Row],[PID]],Table3[[#All],[PID]],0)))</f>
        <v>$38k</v>
      </c>
      <c r="T787" s="62">
        <f>IF($C787="B",INDEX(Batters[[#All],[Rnk]],MATCH(Table5[[#This Row],[PID]],Batters[[#All],[PID]],0)),INDEX(Table3[[#All],[Rnk]],MATCH(Table5[[#This Row],[PID]],Table3[[#All],[PID]],0)))</f>
        <v>400</v>
      </c>
      <c r="U787" s="68">
        <f>IF($C787="B",VLOOKUP($A787,Bat!$A$4:$BA$1621,47,FALSE),VLOOKUP($A787,Pit!$A$4:$BF$1557,56,FALSE))</f>
        <v>0</v>
      </c>
      <c r="V787" s="50">
        <f>IF($C787="B",VLOOKUP($A787,Bat!$A$4:$BA$1621,48,FALSE),VLOOKUP($A787,Pit!$A$4:$BF$1557,57,FALSE))</f>
        <v>0</v>
      </c>
      <c r="W787" s="50">
        <f>Table5[[#This Row],[posRnk]]+Table5[[#This Row],[zRnk]]+IF($W$3&lt;&gt;Table5[[#This Row],[Type]],50,0)</f>
        <v>1139</v>
      </c>
      <c r="X787" s="51">
        <f>RANK(Table5[[#This Row],[zScore]],Table5[[#All],[zScore]])</f>
        <v>689</v>
      </c>
      <c r="Y787" s="50" t="str">
        <f>IFERROR(INDEX(DraftResults[[#All],[OVR]],MATCH(Table5[[#This Row],[PID]],DraftResults[[#All],[Player ID]],0)),"")</f>
        <v/>
      </c>
      <c r="Z7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7" s="50" t="str">
        <f>IFERROR(INDEX(DraftResults[[#All],[Pick in Round]],MATCH(Table5[[#This Row],[PID]],DraftResults[[#All],[Player ID]],0)),"")</f>
        <v/>
      </c>
      <c r="AB787" s="50" t="str">
        <f>IFERROR(INDEX(DraftResults[[#All],[Team Name]],MATCH(Table5[[#This Row],[PID]],DraftResults[[#All],[Player ID]],0)),"")</f>
        <v/>
      </c>
      <c r="AC787" s="50" t="str">
        <f>IF(Table5[[#This Row],[Ovr]]="","",IF(Table5[[#This Row],[cmbList]]="","",Table5[[#This Row],[cmbList]]-Table5[[#This Row],[Ovr]]))</f>
        <v/>
      </c>
      <c r="AD787" s="54" t="str">
        <f>IF(ISERROR(VLOOKUP($AB787&amp;"-"&amp;$E787&amp;" "&amp;F787,Bonuses!$B$1:$G$1006,4,FALSE)),"",INT(VLOOKUP($AB787&amp;"-"&amp;$E787&amp;" "&amp;$F787,Bonuses!$B$1:$G$1006,4,FALSE)))</f>
        <v/>
      </c>
      <c r="AE7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8" spans="1:31" s="50" customFormat="1" x14ac:dyDescent="0.25">
      <c r="A788" s="50">
        <v>20307</v>
      </c>
      <c r="B788" s="50">
        <f>COUNTIF(Table5[PID],A788)</f>
        <v>1</v>
      </c>
      <c r="C788" s="50" t="str">
        <f>IF(COUNTIF(Table3[[#All],[PID]],A788)&gt;0,"P","B")</f>
        <v>P</v>
      </c>
      <c r="D788" s="59" t="str">
        <f>IF($C788="B",INDEX(Batters[[#All],[POS]],MATCH(Table5[[#This Row],[PID]],Batters[[#All],[PID]],0)),INDEX(Table3[[#All],[POS]],MATCH(Table5[[#This Row],[PID]],Table3[[#All],[PID]],0)))</f>
        <v>RP</v>
      </c>
      <c r="E788" s="52" t="str">
        <f>IF($C788="B",INDEX(Batters[[#All],[First]],MATCH(Table5[[#This Row],[PID]],Batters[[#All],[PID]],0)),INDEX(Table3[[#All],[First]],MATCH(Table5[[#This Row],[PID]],Table3[[#All],[PID]],0)))</f>
        <v>Ki-hyuk</v>
      </c>
      <c r="F788" s="50" t="str">
        <f>IF($C788="B",INDEX(Batters[[#All],[Last]],MATCH(A788,Batters[[#All],[PID]],0)),INDEX(Table3[[#All],[Last]],MATCH(A788,Table3[[#All],[PID]],0)))</f>
        <v>Sim</v>
      </c>
      <c r="G788" s="56">
        <f>IF($C788="B",INDEX(Batters[[#All],[Age]],MATCH(Table5[[#This Row],[PID]],Batters[[#All],[PID]],0)),INDEX(Table3[[#All],[Age]],MATCH(Table5[[#This Row],[PID]],Table3[[#All],[PID]],0)))</f>
        <v>17</v>
      </c>
      <c r="H788" s="52" t="str">
        <f>IF($C788="B",INDEX(Batters[[#All],[B]],MATCH(Table5[[#This Row],[PID]],Batters[[#All],[PID]],0)),INDEX(Table3[[#All],[B]],MATCH(Table5[[#This Row],[PID]],Table3[[#All],[PID]],0)))</f>
        <v>L</v>
      </c>
      <c r="I788" s="52" t="str">
        <f>IF($C788="B",INDEX(Batters[[#All],[T]],MATCH(Table5[[#This Row],[PID]],Batters[[#All],[PID]],0)),INDEX(Table3[[#All],[T]],MATCH(Table5[[#This Row],[PID]],Table3[[#All],[PID]],0)))</f>
        <v>L</v>
      </c>
      <c r="J788" s="52" t="str">
        <f>IF($C788="B",INDEX(Batters[[#All],[WE]],MATCH(Table5[[#This Row],[PID]],Batters[[#All],[PID]],0)),INDEX(Table3[[#All],[WE]],MATCH(Table5[[#This Row],[PID]],Table3[[#All],[PID]],0)))</f>
        <v>Low</v>
      </c>
      <c r="K788" s="52" t="str">
        <f>IF($C788="B",INDEX(Batters[[#All],[INT]],MATCH(Table5[[#This Row],[PID]],Batters[[#All],[PID]],0)),INDEX(Table3[[#All],[INT]],MATCH(Table5[[#This Row],[PID]],Table3[[#All],[PID]],0)))</f>
        <v>Normal</v>
      </c>
      <c r="L788" s="60">
        <f>IF($C788="B",INDEX(Batters[[#All],[CON P]],MATCH(Table5[[#This Row],[PID]],Batters[[#All],[PID]],0)),INDEX(Table3[[#All],[STU P]],MATCH(Table5[[#This Row],[PID]],Table3[[#All],[PID]],0)))</f>
        <v>5</v>
      </c>
      <c r="M788" s="56">
        <f>IF($C788="B",INDEX(Batters[[#All],[GAP P]],MATCH(Table5[[#This Row],[PID]],Batters[[#All],[PID]],0)),INDEX(Table3[[#All],[MOV P]],MATCH(Table5[[#This Row],[PID]],Table3[[#All],[PID]],0)))</f>
        <v>2</v>
      </c>
      <c r="N788" s="56">
        <f>IF($C788="B",INDEX(Batters[[#All],[POW P]],MATCH(Table5[[#This Row],[PID]],Batters[[#All],[PID]],0)),INDEX(Table3[[#All],[CON P]],MATCH(Table5[[#This Row],[PID]],Table3[[#All],[PID]],0)))</f>
        <v>3</v>
      </c>
      <c r="O788" s="56" t="str">
        <f>IF($C788="B",INDEX(Batters[[#All],[EYE P]],MATCH(Table5[[#This Row],[PID]],Batters[[#All],[PID]],0)),INDEX(Table3[[#All],[VELO]],MATCH(Table5[[#This Row],[PID]],Table3[[#All],[PID]],0)))</f>
        <v>88-90 Mph</v>
      </c>
      <c r="P788" s="56">
        <f>IF($C788="B",INDEX(Batters[[#All],[K P]],MATCH(Table5[[#This Row],[PID]],Batters[[#All],[PID]],0)),INDEX(Table3[[#All],[STM]],MATCH(Table5[[#This Row],[PID]],Table3[[#All],[PID]],0)))</f>
        <v>2</v>
      </c>
      <c r="Q788" s="61">
        <f>IF($C788="B",INDEX(Batters[[#All],[Tot]],MATCH(Table5[[#This Row],[PID]],Batters[[#All],[PID]],0)),INDEX(Table3[[#All],[Tot]],MATCH(Table5[[#This Row],[PID]],Table3[[#All],[PID]],0)))</f>
        <v>32.326957251765783</v>
      </c>
      <c r="R788" s="52">
        <f>IF($C788="B",INDEX(Batters[[#All],[zScore]],MATCH(Table5[[#This Row],[PID]],Batters[[#All],[PID]],0)),INDEX(Table3[[#All],[zScore]],MATCH(Table5[[#This Row],[PID]],Table3[[#All],[PID]],0)))</f>
        <v>-0.23574821672206928</v>
      </c>
      <c r="S788" s="58" t="str">
        <f>IF($C788="B",INDEX(Batters[[#All],[DEM]],MATCH(Table5[[#This Row],[PID]],Batters[[#All],[PID]],0)),INDEX(Table3[[#All],[DEM]],MATCH(Table5[[#This Row],[PID]],Table3[[#All],[PID]],0)))</f>
        <v>$65k</v>
      </c>
      <c r="T788" s="62">
        <f>IF($C788="B",INDEX(Batters[[#All],[Rnk]],MATCH(Table5[[#This Row],[PID]],Batters[[#All],[PID]],0)),INDEX(Table3[[#All],[Rnk]],MATCH(Table5[[#This Row],[PID]],Table3[[#All],[PID]],0)))</f>
        <v>401</v>
      </c>
      <c r="U788" s="68">
        <f>IF($C788="B",VLOOKUP($A788,Bat!$A$4:$BA$1621,47,FALSE),VLOOKUP($A788,Pit!$A$4:$BF$1557,56,FALSE))</f>
        <v>0</v>
      </c>
      <c r="V788" s="50">
        <f>IF($C788="B",VLOOKUP($A788,Bat!$A$4:$BA$1621,48,FALSE),VLOOKUP($A788,Pit!$A$4:$BF$1557,57,FALSE))</f>
        <v>0</v>
      </c>
      <c r="W788" s="50">
        <f>Table5[[#This Row],[posRnk]]+Table5[[#This Row],[zRnk]]+IF($W$3&lt;&gt;Table5[[#This Row],[Type]],50,0)</f>
        <v>1141</v>
      </c>
      <c r="X788" s="51">
        <f>RANK(Table5[[#This Row],[zScore]],Table5[[#All],[zScore]])</f>
        <v>690</v>
      </c>
      <c r="Y788" s="50" t="str">
        <f>IFERROR(INDEX(DraftResults[[#All],[OVR]],MATCH(Table5[[#This Row],[PID]],DraftResults[[#All],[Player ID]],0)),"")</f>
        <v/>
      </c>
      <c r="Z7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8" s="50" t="str">
        <f>IFERROR(INDEX(DraftResults[[#All],[Pick in Round]],MATCH(Table5[[#This Row],[PID]],DraftResults[[#All],[Player ID]],0)),"")</f>
        <v/>
      </c>
      <c r="AB788" s="50" t="str">
        <f>IFERROR(INDEX(DraftResults[[#All],[Team Name]],MATCH(Table5[[#This Row],[PID]],DraftResults[[#All],[Player ID]],0)),"")</f>
        <v/>
      </c>
      <c r="AC788" s="50" t="str">
        <f>IF(Table5[[#This Row],[Ovr]]="","",IF(Table5[[#This Row],[cmbList]]="","",Table5[[#This Row],[cmbList]]-Table5[[#This Row],[Ovr]]))</f>
        <v/>
      </c>
      <c r="AD788" s="54" t="str">
        <f>IF(ISERROR(VLOOKUP($AB788&amp;"-"&amp;$E788&amp;" "&amp;F788,Bonuses!$B$1:$G$1006,4,FALSE)),"",INT(VLOOKUP($AB788&amp;"-"&amp;$E788&amp;" "&amp;$F788,Bonuses!$B$1:$G$1006,4,FALSE)))</f>
        <v/>
      </c>
      <c r="AE7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89" spans="1:31" s="50" customFormat="1" x14ac:dyDescent="0.25">
      <c r="A789" s="50">
        <v>6765</v>
      </c>
      <c r="B789" s="50">
        <f>COUNTIF(Table5[PID],A789)</f>
        <v>1</v>
      </c>
      <c r="C789" s="50" t="str">
        <f>IF(COUNTIF(Table3[[#All],[PID]],A789)&gt;0,"P","B")</f>
        <v>P</v>
      </c>
      <c r="D789" s="59" t="str">
        <f>IF($C789="B",INDEX(Batters[[#All],[POS]],MATCH(Table5[[#This Row],[PID]],Batters[[#All],[PID]],0)),INDEX(Table3[[#All],[POS]],MATCH(Table5[[#This Row],[PID]],Table3[[#All],[PID]],0)))</f>
        <v>RP</v>
      </c>
      <c r="E789" s="52" t="str">
        <f>IF($C789="B",INDEX(Batters[[#All],[First]],MATCH(Table5[[#This Row],[PID]],Batters[[#All],[PID]],0)),INDEX(Table3[[#All],[First]],MATCH(Table5[[#This Row],[PID]],Table3[[#All],[PID]],0)))</f>
        <v>Greg</v>
      </c>
      <c r="F789" s="50" t="str">
        <f>IF($C789="B",INDEX(Batters[[#All],[Last]],MATCH(A789,Batters[[#All],[PID]],0)),INDEX(Table3[[#All],[Last]],MATCH(A789,Table3[[#All],[PID]],0)))</f>
        <v>Linttell</v>
      </c>
      <c r="G789" s="56">
        <f>IF($C789="B",INDEX(Batters[[#All],[Age]],MATCH(Table5[[#This Row],[PID]],Batters[[#All],[PID]],0)),INDEX(Table3[[#All],[Age]],MATCH(Table5[[#This Row],[PID]],Table3[[#All],[PID]],0)))</f>
        <v>22</v>
      </c>
      <c r="H789" s="52" t="str">
        <f>IF($C789="B",INDEX(Batters[[#All],[B]],MATCH(Table5[[#This Row],[PID]],Batters[[#All],[PID]],0)),INDEX(Table3[[#All],[B]],MATCH(Table5[[#This Row],[PID]],Table3[[#All],[PID]],0)))</f>
        <v>L</v>
      </c>
      <c r="I789" s="52" t="str">
        <f>IF($C789="B",INDEX(Batters[[#All],[T]],MATCH(Table5[[#This Row],[PID]],Batters[[#All],[PID]],0)),INDEX(Table3[[#All],[T]],MATCH(Table5[[#This Row],[PID]],Table3[[#All],[PID]],0)))</f>
        <v>L</v>
      </c>
      <c r="J789" s="52" t="str">
        <f>IF($C789="B",INDEX(Batters[[#All],[WE]],MATCH(Table5[[#This Row],[PID]],Batters[[#All],[PID]],0)),INDEX(Table3[[#All],[WE]],MATCH(Table5[[#This Row],[PID]],Table3[[#All],[PID]],0)))</f>
        <v>Low</v>
      </c>
      <c r="K789" s="52" t="str">
        <f>IF($C789="B",INDEX(Batters[[#All],[INT]],MATCH(Table5[[#This Row],[PID]],Batters[[#All],[PID]],0)),INDEX(Table3[[#All],[INT]],MATCH(Table5[[#This Row],[PID]],Table3[[#All],[PID]],0)))</f>
        <v>Normal</v>
      </c>
      <c r="L789" s="60">
        <f>IF($C789="B",INDEX(Batters[[#All],[CON P]],MATCH(Table5[[#This Row],[PID]],Batters[[#All],[PID]],0)),INDEX(Table3[[#All],[STU P]],MATCH(Table5[[#This Row],[PID]],Table3[[#All],[PID]],0)))</f>
        <v>5</v>
      </c>
      <c r="M789" s="56">
        <f>IF($C789="B",INDEX(Batters[[#All],[GAP P]],MATCH(Table5[[#This Row],[PID]],Batters[[#All],[PID]],0)),INDEX(Table3[[#All],[MOV P]],MATCH(Table5[[#This Row],[PID]],Table3[[#All],[PID]],0)))</f>
        <v>1</v>
      </c>
      <c r="N789" s="56">
        <f>IF($C789="B",INDEX(Batters[[#All],[POW P]],MATCH(Table5[[#This Row],[PID]],Batters[[#All],[PID]],0)),INDEX(Table3[[#All],[CON P]],MATCH(Table5[[#This Row],[PID]],Table3[[#All],[PID]],0)))</f>
        <v>4</v>
      </c>
      <c r="O789" s="56" t="str">
        <f>IF($C789="B",INDEX(Batters[[#All],[EYE P]],MATCH(Table5[[#This Row],[PID]],Batters[[#All],[PID]],0)),INDEX(Table3[[#All],[VELO]],MATCH(Table5[[#This Row],[PID]],Table3[[#All],[PID]],0)))</f>
        <v>89-91 Mph</v>
      </c>
      <c r="P789" s="56">
        <f>IF($C789="B",INDEX(Batters[[#All],[K P]],MATCH(Table5[[#This Row],[PID]],Batters[[#All],[PID]],0)),INDEX(Table3[[#All],[STM]],MATCH(Table5[[#This Row],[PID]],Table3[[#All],[PID]],0)))</f>
        <v>6</v>
      </c>
      <c r="Q789" s="61">
        <f>IF($C789="B",INDEX(Batters[[#All],[Tot]],MATCH(Table5[[#This Row],[PID]],Batters[[#All],[PID]],0)),INDEX(Table3[[#All],[Tot]],MATCH(Table5[[#This Row],[PID]],Table3[[#All],[PID]],0)))</f>
        <v>34.329993954461564</v>
      </c>
      <c r="R789" s="52">
        <f>IF($C789="B",INDEX(Batters[[#All],[zScore]],MATCH(Table5[[#This Row],[PID]],Batters[[#All],[PID]],0)),INDEX(Table3[[#All],[zScore]],MATCH(Table5[[#This Row],[PID]],Table3[[#All],[PID]],0)))</f>
        <v>-0.23795306751383399</v>
      </c>
      <c r="S789" s="58" t="str">
        <f>IF($C789="B",INDEX(Batters[[#All],[DEM]],MATCH(Table5[[#This Row],[PID]],Batters[[#All],[PID]],0)),INDEX(Table3[[#All],[DEM]],MATCH(Table5[[#This Row],[PID]],Table3[[#All],[PID]],0)))</f>
        <v>-</v>
      </c>
      <c r="T789" s="62">
        <f>IF($C789="B",INDEX(Batters[[#All],[Rnk]],MATCH(Table5[[#This Row],[PID]],Batters[[#All],[PID]],0)),INDEX(Table3[[#All],[Rnk]],MATCH(Table5[[#This Row],[PID]],Table3[[#All],[PID]],0)))</f>
        <v>402</v>
      </c>
      <c r="U789" s="68">
        <f>IF($C789="B",VLOOKUP($A789,Bat!$A$4:$BA$1621,47,FALSE),VLOOKUP($A789,Pit!$A$4:$BF$1557,56,FALSE))</f>
        <v>0</v>
      </c>
      <c r="V789" s="50">
        <f>IF($C789="B",VLOOKUP($A789,Bat!$A$4:$BA$1621,48,FALSE),VLOOKUP($A789,Pit!$A$4:$BF$1557,57,FALSE))</f>
        <v>0</v>
      </c>
      <c r="W789" s="50">
        <f>Table5[[#This Row],[posRnk]]+Table5[[#This Row],[zRnk]]+IF($W$3&lt;&gt;Table5[[#This Row],[Type]],50,0)</f>
        <v>1143</v>
      </c>
      <c r="X789" s="51">
        <f>RANK(Table5[[#This Row],[zScore]],Table5[[#All],[zScore]])</f>
        <v>691</v>
      </c>
      <c r="Y789" s="50" t="str">
        <f>IFERROR(INDEX(DraftResults[[#All],[OVR]],MATCH(Table5[[#This Row],[PID]],DraftResults[[#All],[Player ID]],0)),"")</f>
        <v/>
      </c>
      <c r="Z7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89" s="50" t="str">
        <f>IFERROR(INDEX(DraftResults[[#All],[Pick in Round]],MATCH(Table5[[#This Row],[PID]],DraftResults[[#All],[Player ID]],0)),"")</f>
        <v/>
      </c>
      <c r="AB789" s="50" t="str">
        <f>IFERROR(INDEX(DraftResults[[#All],[Team Name]],MATCH(Table5[[#This Row],[PID]],DraftResults[[#All],[Player ID]],0)),"")</f>
        <v/>
      </c>
      <c r="AC789" s="50" t="str">
        <f>IF(Table5[[#This Row],[Ovr]]="","",IF(Table5[[#This Row],[cmbList]]="","",Table5[[#This Row],[cmbList]]-Table5[[#This Row],[Ovr]]))</f>
        <v/>
      </c>
      <c r="AD789" s="54" t="str">
        <f>IF(ISERROR(VLOOKUP($AB789&amp;"-"&amp;$E789&amp;" "&amp;F789,Bonuses!$B$1:$G$1006,4,FALSE)),"",INT(VLOOKUP($AB789&amp;"-"&amp;$E789&amp;" "&amp;$F789,Bonuses!$B$1:$G$1006,4,FALSE)))</f>
        <v/>
      </c>
      <c r="AE7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0" spans="1:31" s="50" customFormat="1" x14ac:dyDescent="0.25">
      <c r="A790" s="68">
        <v>7241</v>
      </c>
      <c r="B790" s="69">
        <f>COUNTIF(Table5[PID],A790)</f>
        <v>1</v>
      </c>
      <c r="C790" s="69" t="str">
        <f>IF(COUNTIF(Table3[[#All],[PID]],A790)&gt;0,"P","B")</f>
        <v>P</v>
      </c>
      <c r="D790" s="59" t="str">
        <f>IF($C790="B",INDEX(Batters[[#All],[POS]],MATCH(Table5[[#This Row],[PID]],Batters[[#All],[PID]],0)),INDEX(Table3[[#All],[POS]],MATCH(Table5[[#This Row],[PID]],Table3[[#All],[PID]],0)))</f>
        <v>SP</v>
      </c>
      <c r="E790" s="52" t="str">
        <f>IF($C790="B",INDEX(Batters[[#All],[First]],MATCH(Table5[[#This Row],[PID]],Batters[[#All],[PID]],0)),INDEX(Table3[[#All],[First]],MATCH(Table5[[#This Row],[PID]],Table3[[#All],[PID]],0)))</f>
        <v>Roku</v>
      </c>
      <c r="F790" s="55" t="str">
        <f>IF($C790="B",INDEX(Batters[[#All],[Last]],MATCH(A790,Batters[[#All],[PID]],0)),INDEX(Table3[[#All],[Last]],MATCH(A790,Table3[[#All],[PID]],0)))</f>
        <v>Watanabe</v>
      </c>
      <c r="G790" s="56">
        <f>IF($C790="B",INDEX(Batters[[#All],[Age]],MATCH(Table5[[#This Row],[PID]],Batters[[#All],[PID]],0)),INDEX(Table3[[#All],[Age]],MATCH(Table5[[#This Row],[PID]],Table3[[#All],[PID]],0)))</f>
        <v>22</v>
      </c>
      <c r="H790" s="52" t="str">
        <f>IF($C790="B",INDEX(Batters[[#All],[B]],MATCH(Table5[[#This Row],[PID]],Batters[[#All],[PID]],0)),INDEX(Table3[[#All],[B]],MATCH(Table5[[#This Row],[PID]],Table3[[#All],[PID]],0)))</f>
        <v>R</v>
      </c>
      <c r="I790" s="52" t="str">
        <f>IF($C790="B",INDEX(Batters[[#All],[T]],MATCH(Table5[[#This Row],[PID]],Batters[[#All],[PID]],0)),INDEX(Table3[[#All],[T]],MATCH(Table5[[#This Row],[PID]],Table3[[#All],[PID]],0)))</f>
        <v>R</v>
      </c>
      <c r="J790" s="71" t="str">
        <f>IF($C790="B",INDEX(Batters[[#All],[WE]],MATCH(Table5[[#This Row],[PID]],Batters[[#All],[PID]],0)),INDEX(Table3[[#All],[WE]],MATCH(Table5[[#This Row],[PID]],Table3[[#All],[PID]],0)))</f>
        <v>Low</v>
      </c>
      <c r="K790" s="52" t="str">
        <f>IF($C790="B",INDEX(Batters[[#All],[INT]],MATCH(Table5[[#This Row],[PID]],Batters[[#All],[PID]],0)),INDEX(Table3[[#All],[INT]],MATCH(Table5[[#This Row],[PID]],Table3[[#All],[PID]],0)))</f>
        <v>Low</v>
      </c>
      <c r="L790" s="60">
        <f>IF($C790="B",INDEX(Batters[[#All],[CON P]],MATCH(Table5[[#This Row],[PID]],Batters[[#All],[PID]],0)),INDEX(Table3[[#All],[STU P]],MATCH(Table5[[#This Row],[PID]],Table3[[#All],[PID]],0)))</f>
        <v>4</v>
      </c>
      <c r="M790" s="72">
        <f>IF($C790="B",INDEX(Batters[[#All],[GAP P]],MATCH(Table5[[#This Row],[PID]],Batters[[#All],[PID]],0)),INDEX(Table3[[#All],[MOV P]],MATCH(Table5[[#This Row],[PID]],Table3[[#All],[PID]],0)))</f>
        <v>2</v>
      </c>
      <c r="N790" s="72">
        <f>IF($C790="B",INDEX(Batters[[#All],[POW P]],MATCH(Table5[[#This Row],[PID]],Batters[[#All],[PID]],0)),INDEX(Table3[[#All],[CON P]],MATCH(Table5[[#This Row],[PID]],Table3[[#All],[PID]],0)))</f>
        <v>4</v>
      </c>
      <c r="O790" s="72" t="str">
        <f>IF($C790="B",INDEX(Batters[[#All],[EYE P]],MATCH(Table5[[#This Row],[PID]],Batters[[#All],[PID]],0)),INDEX(Table3[[#All],[VELO]],MATCH(Table5[[#This Row],[PID]],Table3[[#All],[PID]],0)))</f>
        <v>88-90 Mph</v>
      </c>
      <c r="P790" s="56">
        <f>IF($C790="B",INDEX(Batters[[#All],[K P]],MATCH(Table5[[#This Row],[PID]],Batters[[#All],[PID]],0)),INDEX(Table3[[#All],[STM]],MATCH(Table5[[#This Row],[PID]],Table3[[#All],[PID]],0)))</f>
        <v>6</v>
      </c>
      <c r="Q790" s="61">
        <f>IF($C790="B",INDEX(Batters[[#All],[Tot]],MATCH(Table5[[#This Row],[PID]],Batters[[#All],[PID]],0)),INDEX(Table3[[#All],[Tot]],MATCH(Table5[[#This Row],[PID]],Table3[[#All],[PID]],0)))</f>
        <v>33.463325973343331</v>
      </c>
      <c r="R790" s="52">
        <f>IF($C790="B",INDEX(Batters[[#All],[zScore]],MATCH(Table5[[#This Row],[PID]],Batters[[#All],[PID]],0)),INDEX(Table3[[#All],[zScore]],MATCH(Table5[[#This Row],[PID]],Table3[[#All],[PID]],0)))</f>
        <v>-0.23996486722085114</v>
      </c>
      <c r="S790" s="78" t="str">
        <f>IF($C790="B",INDEX(Batters[[#All],[DEM]],MATCH(Table5[[#This Row],[PID]],Batters[[#All],[PID]],0)),INDEX(Table3[[#All],[DEM]],MATCH(Table5[[#This Row],[PID]],Table3[[#All],[PID]],0)))</f>
        <v>-</v>
      </c>
      <c r="T790" s="75">
        <f>IF($C790="B",INDEX(Batters[[#All],[Rnk]],MATCH(Table5[[#This Row],[PID]],Batters[[#All],[PID]],0)),INDEX(Table3[[#All],[Rnk]],MATCH(Table5[[#This Row],[PID]],Table3[[#All],[PID]],0)))</f>
        <v>403</v>
      </c>
      <c r="U790" s="68">
        <f>IF($C790="B",VLOOKUP($A790,Bat!$A$4:$BA$1621,47,FALSE),VLOOKUP($A790,Pit!$A$4:$BF$1557,56,FALSE))</f>
        <v>0</v>
      </c>
      <c r="V790" s="50">
        <f>IF($C790="B",VLOOKUP($A790,Bat!$A$4:$BA$1621,48,FALSE),VLOOKUP($A790,Pit!$A$4:$BF$1557,57,FALSE))</f>
        <v>0</v>
      </c>
      <c r="W790" s="69">
        <f>Table5[[#This Row],[posRnk]]+Table5[[#This Row],[zRnk]]+IF($W$3&lt;&gt;Table5[[#This Row],[Type]],50,0)</f>
        <v>1146</v>
      </c>
      <c r="X790" s="73">
        <f>RANK(Table5[[#This Row],[zScore]],Table5[[#All],[zScore]])</f>
        <v>693</v>
      </c>
      <c r="Y790" s="69" t="str">
        <f>IFERROR(INDEX(DraftResults[[#All],[OVR]],MATCH(Table5[[#This Row],[PID]],DraftResults[[#All],[Player ID]],0)),"")</f>
        <v/>
      </c>
      <c r="Z79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0" s="69" t="str">
        <f>IFERROR(INDEX(DraftResults[[#All],[Pick in Round]],MATCH(Table5[[#This Row],[PID]],DraftResults[[#All],[Player ID]],0)),"")</f>
        <v/>
      </c>
      <c r="AB790" s="69" t="str">
        <f>IFERROR(INDEX(DraftResults[[#All],[Team Name]],MATCH(Table5[[#This Row],[PID]],DraftResults[[#All],[Player ID]],0)),"")</f>
        <v/>
      </c>
      <c r="AC790" s="69" t="str">
        <f>IF(Table5[[#This Row],[Ovr]]="","",IF(Table5[[#This Row],[cmbList]]="","",Table5[[#This Row],[cmbList]]-Table5[[#This Row],[Ovr]]))</f>
        <v/>
      </c>
      <c r="AD790" s="77" t="str">
        <f>IF(ISERROR(VLOOKUP($AB790&amp;"-"&amp;$E790&amp;" "&amp;F790,Bonuses!$B$1:$G$1006,4,FALSE)),"",INT(VLOOKUP($AB790&amp;"-"&amp;$E790&amp;" "&amp;$F790,Bonuses!$B$1:$G$1006,4,FALSE)))</f>
        <v/>
      </c>
      <c r="AE79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1" spans="1:31" s="50" customFormat="1" x14ac:dyDescent="0.25">
      <c r="A791" s="50">
        <v>20913</v>
      </c>
      <c r="B791" s="55">
        <f>COUNTIF(Table5[PID],A791)</f>
        <v>1</v>
      </c>
      <c r="C791" s="55" t="str">
        <f>IF(COUNTIF(Table3[[#All],[PID]],A791)&gt;0,"P","B")</f>
        <v>B</v>
      </c>
      <c r="D791" s="59" t="str">
        <f>IF($C791="B",INDEX(Batters[[#All],[POS]],MATCH(Table5[[#This Row],[PID]],Batters[[#All],[PID]],0)),INDEX(Table3[[#All],[POS]],MATCH(Table5[[#This Row],[PID]],Table3[[#All],[PID]],0)))</f>
        <v>C</v>
      </c>
      <c r="E791" s="52" t="str">
        <f>IF($C791="B",INDEX(Batters[[#All],[First]],MATCH(Table5[[#This Row],[PID]],Batters[[#All],[PID]],0)),INDEX(Table3[[#All],[First]],MATCH(Table5[[#This Row],[PID]],Table3[[#All],[PID]],0)))</f>
        <v>Raúl</v>
      </c>
      <c r="F791" s="50" t="str">
        <f>IF($C791="B",INDEX(Batters[[#All],[Last]],MATCH(A791,Batters[[#All],[PID]],0)),INDEX(Table3[[#All],[Last]],MATCH(A791,Table3[[#All],[PID]],0)))</f>
        <v>Jiménez</v>
      </c>
      <c r="G791" s="56">
        <f>IF($C791="B",INDEX(Batters[[#All],[Age]],MATCH(Table5[[#This Row],[PID]],Batters[[#All],[PID]],0)),INDEX(Table3[[#All],[Age]],MATCH(Table5[[#This Row],[PID]],Table3[[#All],[PID]],0)))</f>
        <v>17</v>
      </c>
      <c r="H791" s="52" t="str">
        <f>IF($C791="B",INDEX(Batters[[#All],[B]],MATCH(Table5[[#This Row],[PID]],Batters[[#All],[PID]],0)),INDEX(Table3[[#All],[B]],MATCH(Table5[[#This Row],[PID]],Table3[[#All],[PID]],0)))</f>
        <v>R</v>
      </c>
      <c r="I791" s="52" t="str">
        <f>IF($C791="B",INDEX(Batters[[#All],[T]],MATCH(Table5[[#This Row],[PID]],Batters[[#All],[PID]],0)),INDEX(Table3[[#All],[T]],MATCH(Table5[[#This Row],[PID]],Table3[[#All],[PID]],0)))</f>
        <v>R</v>
      </c>
      <c r="J791" s="52" t="str">
        <f>IF($C791="B",INDEX(Batters[[#All],[WE]],MATCH(Table5[[#This Row],[PID]],Batters[[#All],[PID]],0)),INDEX(Table3[[#All],[WE]],MATCH(Table5[[#This Row],[PID]],Table3[[#All],[PID]],0)))</f>
        <v>Low</v>
      </c>
      <c r="K791" s="52" t="str">
        <f>IF($C791="B",INDEX(Batters[[#All],[INT]],MATCH(Table5[[#This Row],[PID]],Batters[[#All],[PID]],0)),INDEX(Table3[[#All],[INT]],MATCH(Table5[[#This Row],[PID]],Table3[[#All],[PID]],0)))</f>
        <v>Normal</v>
      </c>
      <c r="L791" s="60">
        <f>IF($C791="B",INDEX(Batters[[#All],[CON P]],MATCH(Table5[[#This Row],[PID]],Batters[[#All],[PID]],0)),INDEX(Table3[[#All],[STU P]],MATCH(Table5[[#This Row],[PID]],Table3[[#All],[PID]],0)))</f>
        <v>3</v>
      </c>
      <c r="M791" s="56">
        <f>IF($C791="B",INDEX(Batters[[#All],[GAP P]],MATCH(Table5[[#This Row],[PID]],Batters[[#All],[PID]],0)),INDEX(Table3[[#All],[MOV P]],MATCH(Table5[[#This Row],[PID]],Table3[[#All],[PID]],0)))</f>
        <v>3</v>
      </c>
      <c r="N791" s="56">
        <f>IF($C791="B",INDEX(Batters[[#All],[POW P]],MATCH(Table5[[#This Row],[PID]],Batters[[#All],[PID]],0)),INDEX(Table3[[#All],[CON P]],MATCH(Table5[[#This Row],[PID]],Table3[[#All],[PID]],0)))</f>
        <v>5</v>
      </c>
      <c r="O791" s="56">
        <f>IF($C791="B",INDEX(Batters[[#All],[EYE P]],MATCH(Table5[[#This Row],[PID]],Batters[[#All],[PID]],0)),INDEX(Table3[[#All],[VELO]],MATCH(Table5[[#This Row],[PID]],Table3[[#All],[PID]],0)))</f>
        <v>5</v>
      </c>
      <c r="P791" s="56">
        <f>IF($C791="B",INDEX(Batters[[#All],[K P]],MATCH(Table5[[#This Row],[PID]],Batters[[#All],[PID]],0)),INDEX(Table3[[#All],[STM]],MATCH(Table5[[#This Row],[PID]],Table3[[#All],[PID]],0)))</f>
        <v>4</v>
      </c>
      <c r="Q791" s="61">
        <f>IF($C791="B",INDEX(Batters[[#All],[Tot]],MATCH(Table5[[#This Row],[PID]],Batters[[#All],[PID]],0)),INDEX(Table3[[#All],[Tot]],MATCH(Table5[[#This Row],[PID]],Table3[[#All],[PID]],0)))</f>
        <v>43.047098098224964</v>
      </c>
      <c r="R791" s="52">
        <f>IF($C791="B",INDEX(Batters[[#All],[zScore]],MATCH(Table5[[#This Row],[PID]],Batters[[#All],[PID]],0)),INDEX(Table3[[#All],[zScore]],MATCH(Table5[[#This Row],[PID]],Table3[[#All],[PID]],0)))</f>
        <v>-0.24051672075859626</v>
      </c>
      <c r="S791" s="58" t="str">
        <f>IF($C791="B",INDEX(Batters[[#All],[DEM]],MATCH(Table5[[#This Row],[PID]],Batters[[#All],[PID]],0)),INDEX(Table3[[#All],[DEM]],MATCH(Table5[[#This Row],[PID]],Table3[[#All],[PID]],0)))</f>
        <v>$80k</v>
      </c>
      <c r="T791" s="62">
        <f>IF($C791="B",INDEX(Batters[[#All],[Rnk]],MATCH(Table5[[#This Row],[PID]],Batters[[#All],[PID]],0)),INDEX(Table3[[#All],[Rnk]],MATCH(Table5[[#This Row],[PID]],Table3[[#All],[PID]],0)))</f>
        <v>291</v>
      </c>
      <c r="U791" s="68">
        <f>IF($C791="B",VLOOKUP($A791,Bat!$A$4:$BA$1621,47,FALSE),VLOOKUP($A791,Pit!$A$4:$BF$1557,56,FALSE))</f>
        <v>0</v>
      </c>
      <c r="V791" s="50">
        <f>IF($C791="B",VLOOKUP($A791,Bat!$A$4:$BA$1621,48,FALSE),VLOOKUP($A791,Pit!$A$4:$BF$1557,57,FALSE))</f>
        <v>0</v>
      </c>
      <c r="W791" s="50">
        <f>Table5[[#This Row],[posRnk]]+Table5[[#This Row],[zRnk]]+IF($W$3&lt;&gt;Table5[[#This Row],[Type]],50,0)</f>
        <v>1035</v>
      </c>
      <c r="X791" s="51">
        <f>RANK(Table5[[#This Row],[zScore]],Table5[[#All],[zScore]])</f>
        <v>694</v>
      </c>
      <c r="Y791" s="50" t="str">
        <f>IFERROR(INDEX(DraftResults[[#All],[OVR]],MATCH(Table5[[#This Row],[PID]],DraftResults[[#All],[Player ID]],0)),"")</f>
        <v/>
      </c>
      <c r="Z7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1" s="50" t="str">
        <f>IFERROR(INDEX(DraftResults[[#All],[Pick in Round]],MATCH(Table5[[#This Row],[PID]],DraftResults[[#All],[Player ID]],0)),"")</f>
        <v/>
      </c>
      <c r="AB791" s="50" t="str">
        <f>IFERROR(INDEX(DraftResults[[#All],[Team Name]],MATCH(Table5[[#This Row],[PID]],DraftResults[[#All],[Player ID]],0)),"")</f>
        <v/>
      </c>
      <c r="AC791" s="50" t="str">
        <f>IF(Table5[[#This Row],[Ovr]]="","",IF(Table5[[#This Row],[cmbList]]="","",Table5[[#This Row],[cmbList]]-Table5[[#This Row],[Ovr]]))</f>
        <v/>
      </c>
      <c r="AD791" s="54" t="str">
        <f>IF(ISERROR(VLOOKUP($AB791&amp;"-"&amp;$E791&amp;" "&amp;F791,Bonuses!$B$1:$G$1006,4,FALSE)),"",INT(VLOOKUP($AB791&amp;"-"&amp;$E791&amp;" "&amp;$F791,Bonuses!$B$1:$G$1006,4,FALSE)))</f>
        <v/>
      </c>
      <c r="AE7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2" spans="1:31" s="50" customFormat="1" x14ac:dyDescent="0.25">
      <c r="A792" s="50">
        <v>21072</v>
      </c>
      <c r="B792" s="50">
        <f>COUNTIF(Table5[PID],A792)</f>
        <v>1</v>
      </c>
      <c r="C792" s="50" t="str">
        <f>IF(COUNTIF(Table3[[#All],[PID]],A792)&gt;0,"P","B")</f>
        <v>B</v>
      </c>
      <c r="D792" s="59" t="str">
        <f>IF($C792="B",INDEX(Batters[[#All],[POS]],MATCH(Table5[[#This Row],[PID]],Batters[[#All],[PID]],0)),INDEX(Table3[[#All],[POS]],MATCH(Table5[[#This Row],[PID]],Table3[[#All],[PID]],0)))</f>
        <v>RF</v>
      </c>
      <c r="E792" s="52" t="str">
        <f>IF($C792="B",INDEX(Batters[[#All],[First]],MATCH(Table5[[#This Row],[PID]],Batters[[#All],[PID]],0)),INDEX(Table3[[#All],[First]],MATCH(Table5[[#This Row],[PID]],Table3[[#All],[PID]],0)))</f>
        <v>Drew</v>
      </c>
      <c r="F792" s="50" t="str">
        <f>IF($C792="B",INDEX(Batters[[#All],[Last]],MATCH(A792,Batters[[#All],[PID]],0)),INDEX(Table3[[#All],[Last]],MATCH(A792,Table3[[#All],[PID]],0)))</f>
        <v>Rigney</v>
      </c>
      <c r="G792" s="56">
        <f>IF($C792="B",INDEX(Batters[[#All],[Age]],MATCH(Table5[[#This Row],[PID]],Batters[[#All],[PID]],0)),INDEX(Table3[[#All],[Age]],MATCH(Table5[[#This Row],[PID]],Table3[[#All],[PID]],0)))</f>
        <v>18</v>
      </c>
      <c r="H792" s="52" t="str">
        <f>IF($C792="B",INDEX(Batters[[#All],[B]],MATCH(Table5[[#This Row],[PID]],Batters[[#All],[PID]],0)),INDEX(Table3[[#All],[B]],MATCH(Table5[[#This Row],[PID]],Table3[[#All],[PID]],0)))</f>
        <v>R</v>
      </c>
      <c r="I792" s="52" t="str">
        <f>IF($C792="B",INDEX(Batters[[#All],[T]],MATCH(Table5[[#This Row],[PID]],Batters[[#All],[PID]],0)),INDEX(Table3[[#All],[T]],MATCH(Table5[[#This Row],[PID]],Table3[[#All],[PID]],0)))</f>
        <v>R</v>
      </c>
      <c r="J792" s="52" t="str">
        <f>IF($C792="B",INDEX(Batters[[#All],[WE]],MATCH(Table5[[#This Row],[PID]],Batters[[#All],[PID]],0)),INDEX(Table3[[#All],[WE]],MATCH(Table5[[#This Row],[PID]],Table3[[#All],[PID]],0)))</f>
        <v>Low</v>
      </c>
      <c r="K792" s="52" t="str">
        <f>IF($C792="B",INDEX(Batters[[#All],[INT]],MATCH(Table5[[#This Row],[PID]],Batters[[#All],[PID]],0)),INDEX(Table3[[#All],[INT]],MATCH(Table5[[#This Row],[PID]],Table3[[#All],[PID]],0)))</f>
        <v>Normal</v>
      </c>
      <c r="L792" s="60">
        <f>IF($C792="B",INDEX(Batters[[#All],[CON P]],MATCH(Table5[[#This Row],[PID]],Batters[[#All],[PID]],0)),INDEX(Table3[[#All],[STU P]],MATCH(Table5[[#This Row],[PID]],Table3[[#All],[PID]],0)))</f>
        <v>3</v>
      </c>
      <c r="M792" s="56">
        <f>IF($C792="B",INDEX(Batters[[#All],[GAP P]],MATCH(Table5[[#This Row],[PID]],Batters[[#All],[PID]],0)),INDEX(Table3[[#All],[MOV P]],MATCH(Table5[[#This Row],[PID]],Table3[[#All],[PID]],0)))</f>
        <v>5</v>
      </c>
      <c r="N792" s="56">
        <f>IF($C792="B",INDEX(Batters[[#All],[POW P]],MATCH(Table5[[#This Row],[PID]],Batters[[#All],[PID]],0)),INDEX(Table3[[#All],[CON P]],MATCH(Table5[[#This Row],[PID]],Table3[[#All],[PID]],0)))</f>
        <v>3</v>
      </c>
      <c r="O792" s="56">
        <f>IF($C792="B",INDEX(Batters[[#All],[EYE P]],MATCH(Table5[[#This Row],[PID]],Batters[[#All],[PID]],0)),INDEX(Table3[[#All],[VELO]],MATCH(Table5[[#This Row],[PID]],Table3[[#All],[PID]],0)))</f>
        <v>6</v>
      </c>
      <c r="P792" s="56">
        <f>IF($C792="B",INDEX(Batters[[#All],[K P]],MATCH(Table5[[#This Row],[PID]],Batters[[#All],[PID]],0)),INDEX(Table3[[#All],[STM]],MATCH(Table5[[#This Row],[PID]],Table3[[#All],[PID]],0)))</f>
        <v>3</v>
      </c>
      <c r="Q792" s="61">
        <f>IF($C792="B",INDEX(Batters[[#All],[Tot]],MATCH(Table5[[#This Row],[PID]],Batters[[#All],[PID]],0)),INDEX(Table3[[#All],[Tot]],MATCH(Table5[[#This Row],[PID]],Table3[[#All],[PID]],0)))</f>
        <v>43.030483862772059</v>
      </c>
      <c r="R792" s="52">
        <f>IF($C792="B",INDEX(Batters[[#All],[zScore]],MATCH(Table5[[#This Row],[PID]],Batters[[#All],[PID]],0)),INDEX(Table3[[#All],[zScore]],MATCH(Table5[[#This Row],[PID]],Table3[[#All],[PID]],0)))</f>
        <v>-0.2442002090603147</v>
      </c>
      <c r="S792" s="58" t="str">
        <f>IF($C792="B",INDEX(Batters[[#All],[DEM]],MATCH(Table5[[#This Row],[PID]],Batters[[#All],[PID]],0)),INDEX(Table3[[#All],[DEM]],MATCH(Table5[[#This Row],[PID]],Table3[[#All],[PID]],0)))</f>
        <v>$85k</v>
      </c>
      <c r="T792" s="62">
        <f>IF($C792="B",INDEX(Batters[[#All],[Rnk]],MATCH(Table5[[#This Row],[PID]],Batters[[#All],[PID]],0)),INDEX(Table3[[#All],[Rnk]],MATCH(Table5[[#This Row],[PID]],Table3[[#All],[PID]],0)))</f>
        <v>292</v>
      </c>
      <c r="U792" s="68">
        <f>IF($C792="B",VLOOKUP($A792,Bat!$A$4:$BA$1621,47,FALSE),VLOOKUP($A792,Pit!$A$4:$BF$1557,56,FALSE))</f>
        <v>0</v>
      </c>
      <c r="V792" s="50">
        <f>IF($C792="B",VLOOKUP($A792,Bat!$A$4:$BA$1621,48,FALSE),VLOOKUP($A792,Pit!$A$4:$BF$1557,57,FALSE))</f>
        <v>0</v>
      </c>
      <c r="W792" s="50">
        <f>Table5[[#This Row],[posRnk]]+Table5[[#This Row],[zRnk]]+IF($W$3&lt;&gt;Table5[[#This Row],[Type]],50,0)</f>
        <v>1037</v>
      </c>
      <c r="X792" s="51">
        <f>RANK(Table5[[#This Row],[zScore]],Table5[[#All],[zScore]])</f>
        <v>695</v>
      </c>
      <c r="Y792" s="50" t="str">
        <f>IFERROR(INDEX(DraftResults[[#All],[OVR]],MATCH(Table5[[#This Row],[PID]],DraftResults[[#All],[Player ID]],0)),"")</f>
        <v/>
      </c>
      <c r="Z7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2" s="50" t="str">
        <f>IFERROR(INDEX(DraftResults[[#All],[Pick in Round]],MATCH(Table5[[#This Row],[PID]],DraftResults[[#All],[Player ID]],0)),"")</f>
        <v/>
      </c>
      <c r="AB792" s="50" t="str">
        <f>IFERROR(INDEX(DraftResults[[#All],[Team Name]],MATCH(Table5[[#This Row],[PID]],DraftResults[[#All],[Player ID]],0)),"")</f>
        <v/>
      </c>
      <c r="AC792" s="50" t="str">
        <f>IF(Table5[[#This Row],[Ovr]]="","",IF(Table5[[#This Row],[cmbList]]="","",Table5[[#This Row],[cmbList]]-Table5[[#This Row],[Ovr]]))</f>
        <v/>
      </c>
      <c r="AD792" s="54" t="str">
        <f>IF(ISERROR(VLOOKUP($AB792&amp;"-"&amp;$E792&amp;" "&amp;F792,Bonuses!$B$1:$G$1006,4,FALSE)),"",INT(VLOOKUP($AB792&amp;"-"&amp;$E792&amp;" "&amp;$F792,Bonuses!$B$1:$G$1006,4,FALSE)))</f>
        <v/>
      </c>
      <c r="AE7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3" spans="1:31" s="50" customFormat="1" x14ac:dyDescent="0.25">
      <c r="A793" s="50">
        <v>17564</v>
      </c>
      <c r="B793" s="50">
        <f>COUNTIF(Table5[PID],A793)</f>
        <v>1</v>
      </c>
      <c r="C793" s="50" t="str">
        <f>IF(COUNTIF(Table3[[#All],[PID]],A793)&gt;0,"P","B")</f>
        <v>B</v>
      </c>
      <c r="D793" s="59" t="str">
        <f>IF($C793="B",INDEX(Batters[[#All],[POS]],MATCH(Table5[[#This Row],[PID]],Batters[[#All],[PID]],0)),INDEX(Table3[[#All],[POS]],MATCH(Table5[[#This Row],[PID]],Table3[[#All],[PID]],0)))</f>
        <v>1B</v>
      </c>
      <c r="E793" s="52" t="str">
        <f>IF($C793="B",INDEX(Batters[[#All],[First]],MATCH(Table5[[#This Row],[PID]],Batters[[#All],[PID]],0)),INDEX(Table3[[#All],[First]],MATCH(Table5[[#This Row],[PID]],Table3[[#All],[PID]],0)))</f>
        <v>Harlan</v>
      </c>
      <c r="F793" s="50" t="str">
        <f>IF($C793="B",INDEX(Batters[[#All],[Last]],MATCH(A793,Batters[[#All],[PID]],0)),INDEX(Table3[[#All],[Last]],MATCH(A793,Table3[[#All],[PID]],0)))</f>
        <v>Wallace</v>
      </c>
      <c r="G793" s="56">
        <f>IF($C793="B",INDEX(Batters[[#All],[Age]],MATCH(Table5[[#This Row],[PID]],Batters[[#All],[PID]],0)),INDEX(Table3[[#All],[Age]],MATCH(Table5[[#This Row],[PID]],Table3[[#All],[PID]],0)))</f>
        <v>18</v>
      </c>
      <c r="H793" s="52" t="str">
        <f>IF($C793="B",INDEX(Batters[[#All],[B]],MATCH(Table5[[#This Row],[PID]],Batters[[#All],[PID]],0)),INDEX(Table3[[#All],[B]],MATCH(Table5[[#This Row],[PID]],Table3[[#All],[PID]],0)))</f>
        <v>R</v>
      </c>
      <c r="I793" s="52" t="str">
        <f>IF($C793="B",INDEX(Batters[[#All],[T]],MATCH(Table5[[#This Row],[PID]],Batters[[#All],[PID]],0)),INDEX(Table3[[#All],[T]],MATCH(Table5[[#This Row],[PID]],Table3[[#All],[PID]],0)))</f>
        <v>R</v>
      </c>
      <c r="J793" s="52" t="str">
        <f>IF($C793="B",INDEX(Batters[[#All],[WE]],MATCH(Table5[[#This Row],[PID]],Batters[[#All],[PID]],0)),INDEX(Table3[[#All],[WE]],MATCH(Table5[[#This Row],[PID]],Table3[[#All],[PID]],0)))</f>
        <v>Low</v>
      </c>
      <c r="K793" s="52" t="str">
        <f>IF($C793="B",INDEX(Batters[[#All],[INT]],MATCH(Table5[[#This Row],[PID]],Batters[[#All],[PID]],0)),INDEX(Table3[[#All],[INT]],MATCH(Table5[[#This Row],[PID]],Table3[[#All],[PID]],0)))</f>
        <v>Low</v>
      </c>
      <c r="L793" s="60">
        <f>IF($C793="B",INDEX(Batters[[#All],[CON P]],MATCH(Table5[[#This Row],[PID]],Batters[[#All],[PID]],0)),INDEX(Table3[[#All],[STU P]],MATCH(Table5[[#This Row],[PID]],Table3[[#All],[PID]],0)))</f>
        <v>3</v>
      </c>
      <c r="M793" s="56">
        <f>IF($C793="B",INDEX(Batters[[#All],[GAP P]],MATCH(Table5[[#This Row],[PID]],Batters[[#All],[PID]],0)),INDEX(Table3[[#All],[MOV P]],MATCH(Table5[[#This Row],[PID]],Table3[[#All],[PID]],0)))</f>
        <v>4</v>
      </c>
      <c r="N793" s="56">
        <f>IF($C793="B",INDEX(Batters[[#All],[POW P]],MATCH(Table5[[#This Row],[PID]],Batters[[#All],[PID]],0)),INDEX(Table3[[#All],[CON P]],MATCH(Table5[[#This Row],[PID]],Table3[[#All],[PID]],0)))</f>
        <v>5</v>
      </c>
      <c r="O793" s="56">
        <f>IF($C793="B",INDEX(Batters[[#All],[EYE P]],MATCH(Table5[[#This Row],[PID]],Batters[[#All],[PID]],0)),INDEX(Table3[[#All],[VELO]],MATCH(Table5[[#This Row],[PID]],Table3[[#All],[PID]],0)))</f>
        <v>5</v>
      </c>
      <c r="P793" s="56">
        <f>IF($C793="B",INDEX(Batters[[#All],[K P]],MATCH(Table5[[#This Row],[PID]],Batters[[#All],[PID]],0)),INDEX(Table3[[#All],[STM]],MATCH(Table5[[#This Row],[PID]],Table3[[#All],[PID]],0)))</f>
        <v>3</v>
      </c>
      <c r="Q793" s="61">
        <f>IF($C793="B",INDEX(Batters[[#All],[Tot]],MATCH(Table5[[#This Row],[PID]],Batters[[#All],[PID]],0)),INDEX(Table3[[#All],[Tot]],MATCH(Table5[[#This Row],[PID]],Table3[[#All],[PID]],0)))</f>
        <v>43.02064962084345</v>
      </c>
      <c r="R793" s="52">
        <f>IF($C793="B",INDEX(Batters[[#All],[zScore]],MATCH(Table5[[#This Row],[PID]],Batters[[#All],[PID]],0)),INDEX(Table3[[#All],[zScore]],MATCH(Table5[[#This Row],[PID]],Table3[[#All],[PID]],0)))</f>
        <v>-0.24638052696919341</v>
      </c>
      <c r="S793" s="58" t="str">
        <f>IF($C793="B",INDEX(Batters[[#All],[DEM]],MATCH(Table5[[#This Row],[PID]],Batters[[#All],[PID]],0)),INDEX(Table3[[#All],[DEM]],MATCH(Table5[[#This Row],[PID]],Table3[[#All],[PID]],0)))</f>
        <v>$75k</v>
      </c>
      <c r="T793" s="62">
        <f>IF($C793="B",INDEX(Batters[[#All],[Rnk]],MATCH(Table5[[#This Row],[PID]],Batters[[#All],[PID]],0)),INDEX(Table3[[#All],[Rnk]],MATCH(Table5[[#This Row],[PID]],Table3[[#All],[PID]],0)))</f>
        <v>293</v>
      </c>
      <c r="U793" s="68">
        <f>IF($C793="B",VLOOKUP($A793,Bat!$A$4:$BA$1621,47,FALSE),VLOOKUP($A793,Pit!$A$4:$BF$1557,56,FALSE))</f>
        <v>0</v>
      </c>
      <c r="V793" s="50">
        <f>IF($C793="B",VLOOKUP($A793,Bat!$A$4:$BA$1621,48,FALSE),VLOOKUP($A793,Pit!$A$4:$BF$1557,57,FALSE))</f>
        <v>0</v>
      </c>
      <c r="W793" s="50">
        <f>Table5[[#This Row],[posRnk]]+Table5[[#This Row],[zRnk]]+IF($W$3&lt;&gt;Table5[[#This Row],[Type]],50,0)</f>
        <v>1039</v>
      </c>
      <c r="X793" s="51">
        <f>RANK(Table5[[#This Row],[zScore]],Table5[[#All],[zScore]])</f>
        <v>696</v>
      </c>
      <c r="Y793" s="50" t="str">
        <f>IFERROR(INDEX(DraftResults[[#All],[OVR]],MATCH(Table5[[#This Row],[PID]],DraftResults[[#All],[Player ID]],0)),"")</f>
        <v/>
      </c>
      <c r="Z7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3" s="50" t="str">
        <f>IFERROR(INDEX(DraftResults[[#All],[Pick in Round]],MATCH(Table5[[#This Row],[PID]],DraftResults[[#All],[Player ID]],0)),"")</f>
        <v/>
      </c>
      <c r="AB793" s="50" t="str">
        <f>IFERROR(INDEX(DraftResults[[#All],[Team Name]],MATCH(Table5[[#This Row],[PID]],DraftResults[[#All],[Player ID]],0)),"")</f>
        <v/>
      </c>
      <c r="AC793" s="50" t="str">
        <f>IF(Table5[[#This Row],[Ovr]]="","",IF(Table5[[#This Row],[cmbList]]="","",Table5[[#This Row],[cmbList]]-Table5[[#This Row],[Ovr]]))</f>
        <v/>
      </c>
      <c r="AD793" s="54" t="str">
        <f>IF(ISERROR(VLOOKUP($AB793&amp;"-"&amp;$E793&amp;" "&amp;F793,Bonuses!$B$1:$G$1006,4,FALSE)),"",INT(VLOOKUP($AB793&amp;"-"&amp;$E793&amp;" "&amp;$F793,Bonuses!$B$1:$G$1006,4,FALSE)))</f>
        <v/>
      </c>
      <c r="AE7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4" spans="1:31" s="50" customFormat="1" x14ac:dyDescent="0.25">
      <c r="A794" s="50">
        <v>20321</v>
      </c>
      <c r="B794" s="50">
        <f>COUNTIF(Table5[PID],A794)</f>
        <v>1</v>
      </c>
      <c r="C794" s="50" t="str">
        <f>IF(COUNTIF(Table3[[#All],[PID]],A794)&gt;0,"P","B")</f>
        <v>P</v>
      </c>
      <c r="D794" s="59" t="str">
        <f>IF($C794="B",INDEX(Batters[[#All],[POS]],MATCH(Table5[[#This Row],[PID]],Batters[[#All],[PID]],0)),INDEX(Table3[[#All],[POS]],MATCH(Table5[[#This Row],[PID]],Table3[[#All],[PID]],0)))</f>
        <v>RP</v>
      </c>
      <c r="E794" s="52" t="str">
        <f>IF($C794="B",INDEX(Batters[[#All],[First]],MATCH(Table5[[#This Row],[PID]],Batters[[#All],[PID]],0)),INDEX(Table3[[#All],[First]],MATCH(Table5[[#This Row],[PID]],Table3[[#All],[PID]],0)))</f>
        <v>Sun</v>
      </c>
      <c r="F794" s="50" t="str">
        <f>IF($C794="B",INDEX(Batters[[#All],[Last]],MATCH(A794,Batters[[#All],[PID]],0)),INDEX(Table3[[#All],[Last]],MATCH(A794,Table3[[#All],[PID]],0)))</f>
        <v>Chon</v>
      </c>
      <c r="G794" s="56">
        <f>IF($C794="B",INDEX(Batters[[#All],[Age]],MATCH(Table5[[#This Row],[PID]],Batters[[#All],[PID]],0)),INDEX(Table3[[#All],[Age]],MATCH(Table5[[#This Row],[PID]],Table3[[#All],[PID]],0)))</f>
        <v>16</v>
      </c>
      <c r="H794" s="52" t="str">
        <f>IF($C794="B",INDEX(Batters[[#All],[B]],MATCH(Table5[[#This Row],[PID]],Batters[[#All],[PID]],0)),INDEX(Table3[[#All],[B]],MATCH(Table5[[#This Row],[PID]],Table3[[#All],[PID]],0)))</f>
        <v>R</v>
      </c>
      <c r="I794" s="52" t="str">
        <f>IF($C794="B",INDEX(Batters[[#All],[T]],MATCH(Table5[[#This Row],[PID]],Batters[[#All],[PID]],0)),INDEX(Table3[[#All],[T]],MATCH(Table5[[#This Row],[PID]],Table3[[#All],[PID]],0)))</f>
        <v>L</v>
      </c>
      <c r="J794" s="52" t="str">
        <f>IF($C794="B",INDEX(Batters[[#All],[WE]],MATCH(Table5[[#This Row],[PID]],Batters[[#All],[PID]],0)),INDEX(Table3[[#All],[WE]],MATCH(Table5[[#This Row],[PID]],Table3[[#All],[PID]],0)))</f>
        <v>High</v>
      </c>
      <c r="K794" s="52" t="str">
        <f>IF($C794="B",INDEX(Batters[[#All],[INT]],MATCH(Table5[[#This Row],[PID]],Batters[[#All],[PID]],0)),INDEX(Table3[[#All],[INT]],MATCH(Table5[[#This Row],[PID]],Table3[[#All],[PID]],0)))</f>
        <v>Normal</v>
      </c>
      <c r="L794" s="60">
        <f>IF($C794="B",INDEX(Batters[[#All],[CON P]],MATCH(Table5[[#This Row],[PID]],Batters[[#All],[PID]],0)),INDEX(Table3[[#All],[STU P]],MATCH(Table5[[#This Row],[PID]],Table3[[#All],[PID]],0)))</f>
        <v>4</v>
      </c>
      <c r="M794" s="56">
        <f>IF($C794="B",INDEX(Batters[[#All],[GAP P]],MATCH(Table5[[#This Row],[PID]],Batters[[#All],[PID]],0)),INDEX(Table3[[#All],[MOV P]],MATCH(Table5[[#This Row],[PID]],Table3[[#All],[PID]],0)))</f>
        <v>2</v>
      </c>
      <c r="N794" s="56">
        <f>IF($C794="B",INDEX(Batters[[#All],[POW P]],MATCH(Table5[[#This Row],[PID]],Batters[[#All],[PID]],0)),INDEX(Table3[[#All],[CON P]],MATCH(Table5[[#This Row],[PID]],Table3[[#All],[PID]],0)))</f>
        <v>2</v>
      </c>
      <c r="O794" s="56" t="str">
        <f>IF($C794="B",INDEX(Batters[[#All],[EYE P]],MATCH(Table5[[#This Row],[PID]],Batters[[#All],[PID]],0)),INDEX(Table3[[#All],[VELO]],MATCH(Table5[[#This Row],[PID]],Table3[[#All],[PID]],0)))</f>
        <v>84-86 Mph</v>
      </c>
      <c r="P794" s="56">
        <f>IF($C794="B",INDEX(Batters[[#All],[K P]],MATCH(Table5[[#This Row],[PID]],Batters[[#All],[PID]],0)),INDEX(Table3[[#All],[STM]],MATCH(Table5[[#This Row],[PID]],Table3[[#All],[PID]],0)))</f>
        <v>7</v>
      </c>
      <c r="Q794" s="61">
        <f>IF($C794="B",INDEX(Batters[[#All],[Tot]],MATCH(Table5[[#This Row],[PID]],Batters[[#All],[PID]],0)),INDEX(Table3[[#All],[Tot]],MATCH(Table5[[#This Row],[PID]],Table3[[#All],[PID]],0)))</f>
        <v>32.144016822595773</v>
      </c>
      <c r="R794" s="52">
        <f>IF($C794="B",INDEX(Batters[[#All],[zScore]],MATCH(Table5[[#This Row],[PID]],Batters[[#All],[PID]],0)),INDEX(Table3[[#All],[zScore]],MATCH(Table5[[#This Row],[PID]],Table3[[#All],[PID]],0)))</f>
        <v>-0.24791896392186263</v>
      </c>
      <c r="S794" s="58" t="str">
        <f>IF($C794="B",INDEX(Batters[[#All],[DEM]],MATCH(Table5[[#This Row],[PID]],Batters[[#All],[PID]],0)),INDEX(Table3[[#All],[DEM]],MATCH(Table5[[#This Row],[PID]],Table3[[#All],[PID]],0)))</f>
        <v>$65k</v>
      </c>
      <c r="T794" s="62">
        <f>IF($C794="B",INDEX(Batters[[#All],[Rnk]],MATCH(Table5[[#This Row],[PID]],Batters[[#All],[PID]],0)),INDEX(Table3[[#All],[Rnk]],MATCH(Table5[[#This Row],[PID]],Table3[[#All],[PID]],0)))</f>
        <v>404</v>
      </c>
      <c r="U794" s="68">
        <f>IF($C794="B",VLOOKUP($A794,Bat!$A$4:$BA$1621,47,FALSE),VLOOKUP($A794,Pit!$A$4:$BF$1557,56,FALSE))</f>
        <v>0</v>
      </c>
      <c r="V794" s="50">
        <f>IF($C794="B",VLOOKUP($A794,Bat!$A$4:$BA$1621,48,FALSE),VLOOKUP($A794,Pit!$A$4:$BF$1557,57,FALSE))</f>
        <v>0</v>
      </c>
      <c r="W794" s="50">
        <f>Table5[[#This Row],[posRnk]]+Table5[[#This Row],[zRnk]]+IF($W$3&lt;&gt;Table5[[#This Row],[Type]],50,0)</f>
        <v>1151</v>
      </c>
      <c r="X794" s="51">
        <f>RANK(Table5[[#This Row],[zScore]],Table5[[#All],[zScore]])</f>
        <v>697</v>
      </c>
      <c r="Y794" s="50" t="str">
        <f>IFERROR(INDEX(DraftResults[[#All],[OVR]],MATCH(Table5[[#This Row],[PID]],DraftResults[[#All],[Player ID]],0)),"")</f>
        <v/>
      </c>
      <c r="Z7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4" s="50" t="str">
        <f>IFERROR(INDEX(DraftResults[[#All],[Pick in Round]],MATCH(Table5[[#This Row],[PID]],DraftResults[[#All],[Player ID]],0)),"")</f>
        <v/>
      </c>
      <c r="AB794" s="50" t="str">
        <f>IFERROR(INDEX(DraftResults[[#All],[Team Name]],MATCH(Table5[[#This Row],[PID]],DraftResults[[#All],[Player ID]],0)),"")</f>
        <v/>
      </c>
      <c r="AC794" s="50" t="str">
        <f>IF(Table5[[#This Row],[Ovr]]="","",IF(Table5[[#This Row],[cmbList]]="","",Table5[[#This Row],[cmbList]]-Table5[[#This Row],[Ovr]]))</f>
        <v/>
      </c>
      <c r="AD794" s="54" t="str">
        <f>IF(ISERROR(VLOOKUP($AB794&amp;"-"&amp;$E794&amp;" "&amp;F794,Bonuses!$B$1:$G$1006,4,FALSE)),"",INT(VLOOKUP($AB794&amp;"-"&amp;$E794&amp;" "&amp;$F794,Bonuses!$B$1:$G$1006,4,FALSE)))</f>
        <v/>
      </c>
      <c r="AE7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5" spans="1:31" s="50" customFormat="1" x14ac:dyDescent="0.25">
      <c r="A795" s="50">
        <v>20857</v>
      </c>
      <c r="B795" s="50">
        <f>COUNTIF(Table5[PID],A795)</f>
        <v>1</v>
      </c>
      <c r="C795" s="50" t="str">
        <f>IF(COUNTIF(Table3[[#All],[PID]],A795)&gt;0,"P","B")</f>
        <v>P</v>
      </c>
      <c r="D795" s="59" t="str">
        <f>IF($C795="B",INDEX(Batters[[#All],[POS]],MATCH(Table5[[#This Row],[PID]],Batters[[#All],[PID]],0)),INDEX(Table3[[#All],[POS]],MATCH(Table5[[#This Row],[PID]],Table3[[#All],[PID]],0)))</f>
        <v>CL</v>
      </c>
      <c r="E795" s="52" t="str">
        <f>IF($C795="B",INDEX(Batters[[#All],[First]],MATCH(Table5[[#This Row],[PID]],Batters[[#All],[PID]],0)),INDEX(Table3[[#All],[First]],MATCH(Table5[[#This Row],[PID]],Table3[[#All],[PID]],0)))</f>
        <v>Oliver</v>
      </c>
      <c r="F795" s="50" t="str">
        <f>IF($C795="B",INDEX(Batters[[#All],[Last]],MATCH(A795,Batters[[#All],[PID]],0)),INDEX(Table3[[#All],[Last]],MATCH(A795,Table3[[#All],[PID]],0)))</f>
        <v>Lowe</v>
      </c>
      <c r="G795" s="56">
        <f>IF($C795="B",INDEX(Batters[[#All],[Age]],MATCH(Table5[[#This Row],[PID]],Batters[[#All],[PID]],0)),INDEX(Table3[[#All],[Age]],MATCH(Table5[[#This Row],[PID]],Table3[[#All],[PID]],0)))</f>
        <v>17</v>
      </c>
      <c r="H795" s="52" t="str">
        <f>IF($C795="B",INDEX(Batters[[#All],[B]],MATCH(Table5[[#This Row],[PID]],Batters[[#All],[PID]],0)),INDEX(Table3[[#All],[B]],MATCH(Table5[[#This Row],[PID]],Table3[[#All],[PID]],0)))</f>
        <v>S</v>
      </c>
      <c r="I795" s="52" t="str">
        <f>IF($C795="B",INDEX(Batters[[#All],[T]],MATCH(Table5[[#This Row],[PID]],Batters[[#All],[PID]],0)),INDEX(Table3[[#All],[T]],MATCH(Table5[[#This Row],[PID]],Table3[[#All],[PID]],0)))</f>
        <v>R</v>
      </c>
      <c r="J795" s="52" t="str">
        <f>IF($C795="B",INDEX(Batters[[#All],[WE]],MATCH(Table5[[#This Row],[PID]],Batters[[#All],[PID]],0)),INDEX(Table3[[#All],[WE]],MATCH(Table5[[#This Row],[PID]],Table3[[#All],[PID]],0)))</f>
        <v>Normal</v>
      </c>
      <c r="K795" s="52" t="str">
        <f>IF($C795="B",INDEX(Batters[[#All],[INT]],MATCH(Table5[[#This Row],[PID]],Batters[[#All],[PID]],0)),INDEX(Table3[[#All],[INT]],MATCH(Table5[[#This Row],[PID]],Table3[[#All],[PID]],0)))</f>
        <v>Normal</v>
      </c>
      <c r="L795" s="60">
        <f>IF($C795="B",INDEX(Batters[[#All],[CON P]],MATCH(Table5[[#This Row],[PID]],Batters[[#All],[PID]],0)),INDEX(Table3[[#All],[STU P]],MATCH(Table5[[#This Row],[PID]],Table3[[#All],[PID]],0)))</f>
        <v>4</v>
      </c>
      <c r="M795" s="56">
        <f>IF($C795="B",INDEX(Batters[[#All],[GAP P]],MATCH(Table5[[#This Row],[PID]],Batters[[#All],[PID]],0)),INDEX(Table3[[#All],[MOV P]],MATCH(Table5[[#This Row],[PID]],Table3[[#All],[PID]],0)))</f>
        <v>2</v>
      </c>
      <c r="N795" s="56">
        <f>IF($C795="B",INDEX(Batters[[#All],[POW P]],MATCH(Table5[[#This Row],[PID]],Batters[[#All],[PID]],0)),INDEX(Table3[[#All],[CON P]],MATCH(Table5[[#This Row],[PID]],Table3[[#All],[PID]],0)))</f>
        <v>3</v>
      </c>
      <c r="O795" s="56" t="str">
        <f>IF($C795="B",INDEX(Batters[[#All],[EYE P]],MATCH(Table5[[#This Row],[PID]],Batters[[#All],[PID]],0)),INDEX(Table3[[#All],[VELO]],MATCH(Table5[[#This Row],[PID]],Table3[[#All],[PID]],0)))</f>
        <v>90-92 Mph</v>
      </c>
      <c r="P795" s="56">
        <f>IF($C795="B",INDEX(Batters[[#All],[K P]],MATCH(Table5[[#This Row],[PID]],Batters[[#All],[PID]],0)),INDEX(Table3[[#All],[STM]],MATCH(Table5[[#This Row],[PID]],Table3[[#All],[PID]],0)))</f>
        <v>2</v>
      </c>
      <c r="Q795" s="61">
        <f>IF($C795="B",INDEX(Batters[[#All],[Tot]],MATCH(Table5[[#This Row],[PID]],Batters[[#All],[PID]],0)),INDEX(Table3[[#All],[Tot]],MATCH(Table5[[#This Row],[PID]],Table3[[#All],[PID]],0)))</f>
        <v>32.140830734434743</v>
      </c>
      <c r="R795" s="52">
        <f>IF($C795="B",INDEX(Batters[[#All],[zScore]],MATCH(Table5[[#This Row],[PID]],Batters[[#All],[PID]],0)),INDEX(Table3[[#All],[zScore]],MATCH(Table5[[#This Row],[PID]],Table3[[#All],[PID]],0)))</f>
        <v>-0.24813092949852647</v>
      </c>
      <c r="S795" s="58" t="str">
        <f>IF($C795="B",INDEX(Batters[[#All],[DEM]],MATCH(Table5[[#This Row],[PID]],Batters[[#All],[PID]],0)),INDEX(Table3[[#All],[DEM]],MATCH(Table5[[#This Row],[PID]],Table3[[#All],[PID]],0)))</f>
        <v>$65k</v>
      </c>
      <c r="T795" s="62">
        <f>IF($C795="B",INDEX(Batters[[#All],[Rnk]],MATCH(Table5[[#This Row],[PID]],Batters[[#All],[PID]],0)),INDEX(Table3[[#All],[Rnk]],MATCH(Table5[[#This Row],[PID]],Table3[[#All],[PID]],0)))</f>
        <v>405</v>
      </c>
      <c r="U795" s="68">
        <f>IF($C795="B",VLOOKUP($A795,Bat!$A$4:$BA$1621,47,FALSE),VLOOKUP($A795,Pit!$A$4:$BF$1557,56,FALSE))</f>
        <v>0</v>
      </c>
      <c r="V795" s="50">
        <f>IF($C795="B",VLOOKUP($A795,Bat!$A$4:$BA$1621,48,FALSE),VLOOKUP($A795,Pit!$A$4:$BF$1557,57,FALSE))</f>
        <v>0</v>
      </c>
      <c r="W795" s="50">
        <f>Table5[[#This Row],[posRnk]]+Table5[[#This Row],[zRnk]]+IF($W$3&lt;&gt;Table5[[#This Row],[Type]],50,0)</f>
        <v>1153</v>
      </c>
      <c r="X795" s="51">
        <f>RANK(Table5[[#This Row],[zScore]],Table5[[#All],[zScore]])</f>
        <v>698</v>
      </c>
      <c r="Y795" s="50" t="str">
        <f>IFERROR(INDEX(DraftResults[[#All],[OVR]],MATCH(Table5[[#This Row],[PID]],DraftResults[[#All],[Player ID]],0)),"")</f>
        <v/>
      </c>
      <c r="Z7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5" s="50" t="str">
        <f>IFERROR(INDEX(DraftResults[[#All],[Pick in Round]],MATCH(Table5[[#This Row],[PID]],DraftResults[[#All],[Player ID]],0)),"")</f>
        <v/>
      </c>
      <c r="AB795" s="50" t="str">
        <f>IFERROR(INDEX(DraftResults[[#All],[Team Name]],MATCH(Table5[[#This Row],[PID]],DraftResults[[#All],[Player ID]],0)),"")</f>
        <v/>
      </c>
      <c r="AC795" s="50" t="str">
        <f>IF(Table5[[#This Row],[Ovr]]="","",IF(Table5[[#This Row],[cmbList]]="","",Table5[[#This Row],[cmbList]]-Table5[[#This Row],[Ovr]]))</f>
        <v/>
      </c>
      <c r="AD795" s="54" t="str">
        <f>IF(ISERROR(VLOOKUP($AB795&amp;"-"&amp;$E795&amp;" "&amp;F795,Bonuses!$B$1:$G$1006,4,FALSE)),"",INT(VLOOKUP($AB795&amp;"-"&amp;$E795&amp;" "&amp;$F795,Bonuses!$B$1:$G$1006,4,FALSE)))</f>
        <v/>
      </c>
      <c r="AE7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6" spans="1:31" s="50" customFormat="1" x14ac:dyDescent="0.25">
      <c r="A796" s="50">
        <v>20930</v>
      </c>
      <c r="B796" s="50">
        <f>COUNTIF(Table5[PID],A796)</f>
        <v>1</v>
      </c>
      <c r="C796" s="50" t="str">
        <f>IF(COUNTIF(Table3[[#All],[PID]],A796)&gt;0,"P","B")</f>
        <v>P</v>
      </c>
      <c r="D796" s="59" t="str">
        <f>IF($C796="B",INDEX(Batters[[#All],[POS]],MATCH(Table5[[#This Row],[PID]],Batters[[#All],[PID]],0)),INDEX(Table3[[#All],[POS]],MATCH(Table5[[#This Row],[PID]],Table3[[#All],[PID]],0)))</f>
        <v>RP</v>
      </c>
      <c r="E796" s="52" t="str">
        <f>IF($C796="B",INDEX(Batters[[#All],[First]],MATCH(Table5[[#This Row],[PID]],Batters[[#All],[PID]],0)),INDEX(Table3[[#All],[First]],MATCH(Table5[[#This Row],[PID]],Table3[[#All],[PID]],0)))</f>
        <v>Sherwood</v>
      </c>
      <c r="F796" s="50" t="str">
        <f>IF($C796="B",INDEX(Batters[[#All],[Last]],MATCH(A796,Batters[[#All],[PID]],0)),INDEX(Table3[[#All],[Last]],MATCH(A796,Table3[[#All],[PID]],0)))</f>
        <v>Phillips</v>
      </c>
      <c r="G796" s="56">
        <f>IF($C796="B",INDEX(Batters[[#All],[Age]],MATCH(Table5[[#This Row],[PID]],Batters[[#All],[PID]],0)),INDEX(Table3[[#All],[Age]],MATCH(Table5[[#This Row],[PID]],Table3[[#All],[PID]],0)))</f>
        <v>19</v>
      </c>
      <c r="H796" s="52" t="str">
        <f>IF($C796="B",INDEX(Batters[[#All],[B]],MATCH(Table5[[#This Row],[PID]],Batters[[#All],[PID]],0)),INDEX(Table3[[#All],[B]],MATCH(Table5[[#This Row],[PID]],Table3[[#All],[PID]],0)))</f>
        <v>R</v>
      </c>
      <c r="I796" s="52" t="str">
        <f>IF($C796="B",INDEX(Batters[[#All],[T]],MATCH(Table5[[#This Row],[PID]],Batters[[#All],[PID]],0)),INDEX(Table3[[#All],[T]],MATCH(Table5[[#This Row],[PID]],Table3[[#All],[PID]],0)))</f>
        <v>R</v>
      </c>
      <c r="J796" s="52" t="str">
        <f>IF($C796="B",INDEX(Batters[[#All],[WE]],MATCH(Table5[[#This Row],[PID]],Batters[[#All],[PID]],0)),INDEX(Table3[[#All],[WE]],MATCH(Table5[[#This Row],[PID]],Table3[[#All],[PID]],0)))</f>
        <v>Normal</v>
      </c>
      <c r="K796" s="52" t="str">
        <f>IF($C796="B",INDEX(Batters[[#All],[INT]],MATCH(Table5[[#This Row],[PID]],Batters[[#All],[PID]],0)),INDEX(Table3[[#All],[INT]],MATCH(Table5[[#This Row],[PID]],Table3[[#All],[PID]],0)))</f>
        <v>Normal</v>
      </c>
      <c r="L796" s="60">
        <f>IF($C796="B",INDEX(Batters[[#All],[CON P]],MATCH(Table5[[#This Row],[PID]],Batters[[#All],[PID]],0)),INDEX(Table3[[#All],[STU P]],MATCH(Table5[[#This Row],[PID]],Table3[[#All],[PID]],0)))</f>
        <v>4</v>
      </c>
      <c r="M796" s="56">
        <f>IF($C796="B",INDEX(Batters[[#All],[GAP P]],MATCH(Table5[[#This Row],[PID]],Batters[[#All],[PID]],0)),INDEX(Table3[[#All],[MOV P]],MATCH(Table5[[#This Row],[PID]],Table3[[#All],[PID]],0)))</f>
        <v>2</v>
      </c>
      <c r="N796" s="56">
        <f>IF($C796="B",INDEX(Batters[[#All],[POW P]],MATCH(Table5[[#This Row],[PID]],Batters[[#All],[PID]],0)),INDEX(Table3[[#All],[CON P]],MATCH(Table5[[#This Row],[PID]],Table3[[#All],[PID]],0)))</f>
        <v>3</v>
      </c>
      <c r="O796" s="56" t="str">
        <f>IF($C796="B",INDEX(Batters[[#All],[EYE P]],MATCH(Table5[[#This Row],[PID]],Batters[[#All],[PID]],0)),INDEX(Table3[[#All],[VELO]],MATCH(Table5[[#This Row],[PID]],Table3[[#All],[PID]],0)))</f>
        <v>89-91 Mph</v>
      </c>
      <c r="P796" s="56">
        <f>IF($C796="B",INDEX(Batters[[#All],[K P]],MATCH(Table5[[#This Row],[PID]],Batters[[#All],[PID]],0)),INDEX(Table3[[#All],[STM]],MATCH(Table5[[#This Row],[PID]],Table3[[#All],[PID]],0)))</f>
        <v>4</v>
      </c>
      <c r="Q796" s="61">
        <f>IF($C796="B",INDEX(Batters[[#All],[Tot]],MATCH(Table5[[#This Row],[PID]],Batters[[#All],[PID]],0)),INDEX(Table3[[#All],[Tot]],MATCH(Table5[[#This Row],[PID]],Table3[[#All],[PID]],0)))</f>
        <v>32.140830734434743</v>
      </c>
      <c r="R796" s="52">
        <f>IF($C796="B",INDEX(Batters[[#All],[zScore]],MATCH(Table5[[#This Row],[PID]],Batters[[#All],[PID]],0)),INDEX(Table3[[#All],[zScore]],MATCH(Table5[[#This Row],[PID]],Table3[[#All],[PID]],0)))</f>
        <v>-0.24813092949852647</v>
      </c>
      <c r="S796" s="58" t="str">
        <f>IF($C796="B",INDEX(Batters[[#All],[DEM]],MATCH(Table5[[#This Row],[PID]],Batters[[#All],[PID]],0)),INDEX(Table3[[#All],[DEM]],MATCH(Table5[[#This Row],[PID]],Table3[[#All],[PID]],0)))</f>
        <v>$65k</v>
      </c>
      <c r="T796" s="62">
        <f>IF($C796="B",INDEX(Batters[[#All],[Rnk]],MATCH(Table5[[#This Row],[PID]],Batters[[#All],[PID]],0)),INDEX(Table3[[#All],[Rnk]],MATCH(Table5[[#This Row],[PID]],Table3[[#All],[PID]],0)))</f>
        <v>405</v>
      </c>
      <c r="U796" s="68">
        <f>IF($C796="B",VLOOKUP($A796,Bat!$A$4:$BA$1621,47,FALSE),VLOOKUP($A796,Pit!$A$4:$BF$1557,56,FALSE))</f>
        <v>0</v>
      </c>
      <c r="V796" s="50">
        <f>IF($C796="B",VLOOKUP($A796,Bat!$A$4:$BA$1621,48,FALSE),VLOOKUP($A796,Pit!$A$4:$BF$1557,57,FALSE))</f>
        <v>0</v>
      </c>
      <c r="W796" s="50">
        <f>Table5[[#This Row],[posRnk]]+Table5[[#This Row],[zRnk]]+IF($W$3&lt;&gt;Table5[[#This Row],[Type]],50,0)</f>
        <v>1153</v>
      </c>
      <c r="X796" s="51">
        <f>RANK(Table5[[#This Row],[zScore]],Table5[[#All],[zScore]])</f>
        <v>698</v>
      </c>
      <c r="Y796" s="50" t="str">
        <f>IFERROR(INDEX(DraftResults[[#All],[OVR]],MATCH(Table5[[#This Row],[PID]],DraftResults[[#All],[Player ID]],0)),"")</f>
        <v/>
      </c>
      <c r="Z7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6" s="50" t="str">
        <f>IFERROR(INDEX(DraftResults[[#All],[Pick in Round]],MATCH(Table5[[#This Row],[PID]],DraftResults[[#All],[Player ID]],0)),"")</f>
        <v/>
      </c>
      <c r="AB796" s="50" t="str">
        <f>IFERROR(INDEX(DraftResults[[#All],[Team Name]],MATCH(Table5[[#This Row],[PID]],DraftResults[[#All],[Player ID]],0)),"")</f>
        <v/>
      </c>
      <c r="AC796" s="50" t="str">
        <f>IF(Table5[[#This Row],[Ovr]]="","",IF(Table5[[#This Row],[cmbList]]="","",Table5[[#This Row],[cmbList]]-Table5[[#This Row],[Ovr]]))</f>
        <v/>
      </c>
      <c r="AD796" s="54" t="str">
        <f>IF(ISERROR(VLOOKUP($AB796&amp;"-"&amp;$E796&amp;" "&amp;F796,Bonuses!$B$1:$G$1006,4,FALSE)),"",INT(VLOOKUP($AB796&amp;"-"&amp;$E796&amp;" "&amp;$F796,Bonuses!$B$1:$G$1006,4,FALSE)))</f>
        <v/>
      </c>
      <c r="AE7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7" spans="1:31" s="50" customFormat="1" x14ac:dyDescent="0.25">
      <c r="A797" s="50">
        <v>20725</v>
      </c>
      <c r="B797" s="50">
        <f>COUNTIF(Table5[PID],A797)</f>
        <v>1</v>
      </c>
      <c r="C797" s="50" t="str">
        <f>IF(COUNTIF(Table3[[#All],[PID]],A797)&gt;0,"P","B")</f>
        <v>P</v>
      </c>
      <c r="D797" s="59" t="str">
        <f>IF($C797="B",INDEX(Batters[[#All],[POS]],MATCH(Table5[[#This Row],[PID]],Batters[[#All],[PID]],0)),INDEX(Table3[[#All],[POS]],MATCH(Table5[[#This Row],[PID]],Table3[[#All],[PID]],0)))</f>
        <v>RP</v>
      </c>
      <c r="E797" s="52" t="str">
        <f>IF($C797="B",INDEX(Batters[[#All],[First]],MATCH(Table5[[#This Row],[PID]],Batters[[#All],[PID]],0)),INDEX(Table3[[#All],[First]],MATCH(Table5[[#This Row],[PID]],Table3[[#All],[PID]],0)))</f>
        <v>Rob</v>
      </c>
      <c r="F797" s="50" t="str">
        <f>IF($C797="B",INDEX(Batters[[#All],[Last]],MATCH(A797,Batters[[#All],[PID]],0)),INDEX(Table3[[#All],[Last]],MATCH(A797,Table3[[#All],[PID]],0)))</f>
        <v>Reed</v>
      </c>
      <c r="G797" s="56">
        <f>IF($C797="B",INDEX(Batters[[#All],[Age]],MATCH(Table5[[#This Row],[PID]],Batters[[#All],[PID]],0)),INDEX(Table3[[#All],[Age]],MATCH(Table5[[#This Row],[PID]],Table3[[#All],[PID]],0)))</f>
        <v>16</v>
      </c>
      <c r="H797" s="52" t="str">
        <f>IF($C797="B",INDEX(Batters[[#All],[B]],MATCH(Table5[[#This Row],[PID]],Batters[[#All],[PID]],0)),INDEX(Table3[[#All],[B]],MATCH(Table5[[#This Row],[PID]],Table3[[#All],[PID]],0)))</f>
        <v>R</v>
      </c>
      <c r="I797" s="52" t="str">
        <f>IF($C797="B",INDEX(Batters[[#All],[T]],MATCH(Table5[[#This Row],[PID]],Batters[[#All],[PID]],0)),INDEX(Table3[[#All],[T]],MATCH(Table5[[#This Row],[PID]],Table3[[#All],[PID]],0)))</f>
        <v>R</v>
      </c>
      <c r="J797" s="52" t="str">
        <f>IF($C797="B",INDEX(Batters[[#All],[WE]],MATCH(Table5[[#This Row],[PID]],Batters[[#All],[PID]],0)),INDEX(Table3[[#All],[WE]],MATCH(Table5[[#This Row],[PID]],Table3[[#All],[PID]],0)))</f>
        <v>Low</v>
      </c>
      <c r="K797" s="52" t="str">
        <f>IF($C797="B",INDEX(Batters[[#All],[INT]],MATCH(Table5[[#This Row],[PID]],Batters[[#All],[PID]],0)),INDEX(Table3[[#All],[INT]],MATCH(Table5[[#This Row],[PID]],Table3[[#All],[PID]],0)))</f>
        <v>Normal</v>
      </c>
      <c r="L797" s="60">
        <f>IF($C797="B",INDEX(Batters[[#All],[CON P]],MATCH(Table5[[#This Row],[PID]],Batters[[#All],[PID]],0)),INDEX(Table3[[#All],[STU P]],MATCH(Table5[[#This Row],[PID]],Table3[[#All],[PID]],0)))</f>
        <v>2</v>
      </c>
      <c r="M797" s="56">
        <f>IF($C797="B",INDEX(Batters[[#All],[GAP P]],MATCH(Table5[[#This Row],[PID]],Batters[[#All],[PID]],0)),INDEX(Table3[[#All],[MOV P]],MATCH(Table5[[#This Row],[PID]],Table3[[#All],[PID]],0)))</f>
        <v>2</v>
      </c>
      <c r="N797" s="56">
        <f>IF($C797="B",INDEX(Batters[[#All],[POW P]],MATCH(Table5[[#This Row],[PID]],Batters[[#All],[PID]],0)),INDEX(Table3[[#All],[CON P]],MATCH(Table5[[#This Row],[PID]],Table3[[#All],[PID]],0)))</f>
        <v>4</v>
      </c>
      <c r="O797" s="56" t="str">
        <f>IF($C797="B",INDEX(Batters[[#All],[EYE P]],MATCH(Table5[[#This Row],[PID]],Batters[[#All],[PID]],0)),INDEX(Table3[[#All],[VELO]],MATCH(Table5[[#This Row],[PID]],Table3[[#All],[PID]],0)))</f>
        <v>83-85 Mph</v>
      </c>
      <c r="P797" s="56">
        <f>IF($C797="B",INDEX(Batters[[#All],[K P]],MATCH(Table5[[#This Row],[PID]],Batters[[#All],[PID]],0)),INDEX(Table3[[#All],[STM]],MATCH(Table5[[#This Row],[PID]],Table3[[#All],[PID]],0)))</f>
        <v>7</v>
      </c>
      <c r="Q797" s="61">
        <f>IF($C797="B",INDEX(Batters[[#All],[Tot]],MATCH(Table5[[#This Row],[PID]],Batters[[#All],[PID]],0)),INDEX(Table3[[#All],[Tot]],MATCH(Table5[[#This Row],[PID]],Table3[[#All],[PID]],0)))</f>
        <v>32.098625079801849</v>
      </c>
      <c r="R797" s="52">
        <f>IF($C797="B",INDEX(Batters[[#All],[zScore]],MATCH(Table5[[#This Row],[PID]],Batters[[#All],[PID]],0)),INDEX(Table3[[#All],[zScore]],MATCH(Table5[[#This Row],[PID]],Table3[[#All],[PID]],0)))</f>
        <v>-0.25093880720641892</v>
      </c>
      <c r="S797" s="58" t="str">
        <f>IF($C797="B",INDEX(Batters[[#All],[DEM]],MATCH(Table5[[#This Row],[PID]],Batters[[#All],[PID]],0)),INDEX(Table3[[#All],[DEM]],MATCH(Table5[[#This Row],[PID]],Table3[[#All],[PID]],0)))</f>
        <v>$70k</v>
      </c>
      <c r="T797" s="62">
        <f>IF($C797="B",INDEX(Batters[[#All],[Rnk]],MATCH(Table5[[#This Row],[PID]],Batters[[#All],[PID]],0)),INDEX(Table3[[#All],[Rnk]],MATCH(Table5[[#This Row],[PID]],Table3[[#All],[PID]],0)))</f>
        <v>407</v>
      </c>
      <c r="U797" s="68">
        <f>IF($C797="B",VLOOKUP($A797,Bat!$A$4:$BA$1621,47,FALSE),VLOOKUP($A797,Pit!$A$4:$BF$1557,56,FALSE))</f>
        <v>0</v>
      </c>
      <c r="V797" s="50">
        <f>IF($C797="B",VLOOKUP($A797,Bat!$A$4:$BA$1621,48,FALSE),VLOOKUP($A797,Pit!$A$4:$BF$1557,57,FALSE))</f>
        <v>0</v>
      </c>
      <c r="W797" s="50">
        <f>Table5[[#This Row],[posRnk]]+Table5[[#This Row],[zRnk]]+IF($W$3&lt;&gt;Table5[[#This Row],[Type]],50,0)</f>
        <v>1157</v>
      </c>
      <c r="X797" s="51">
        <f>RANK(Table5[[#This Row],[zScore]],Table5[[#All],[zScore]])</f>
        <v>700</v>
      </c>
      <c r="Y797" s="50" t="str">
        <f>IFERROR(INDEX(DraftResults[[#All],[OVR]],MATCH(Table5[[#This Row],[PID]],DraftResults[[#All],[Player ID]],0)),"")</f>
        <v/>
      </c>
      <c r="Z7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7" s="50" t="str">
        <f>IFERROR(INDEX(DraftResults[[#All],[Pick in Round]],MATCH(Table5[[#This Row],[PID]],DraftResults[[#All],[Player ID]],0)),"")</f>
        <v/>
      </c>
      <c r="AB797" s="50" t="str">
        <f>IFERROR(INDEX(DraftResults[[#All],[Team Name]],MATCH(Table5[[#This Row],[PID]],DraftResults[[#All],[Player ID]],0)),"")</f>
        <v/>
      </c>
      <c r="AC797" s="50" t="str">
        <f>IF(Table5[[#This Row],[Ovr]]="","",IF(Table5[[#This Row],[cmbList]]="","",Table5[[#This Row],[cmbList]]-Table5[[#This Row],[Ovr]]))</f>
        <v/>
      </c>
      <c r="AD797" s="54" t="str">
        <f>IF(ISERROR(VLOOKUP($AB797&amp;"-"&amp;$E797&amp;" "&amp;F797,Bonuses!$B$1:$G$1006,4,FALSE)),"",INT(VLOOKUP($AB797&amp;"-"&amp;$E797&amp;" "&amp;$F797,Bonuses!$B$1:$G$1006,4,FALSE)))</f>
        <v/>
      </c>
      <c r="AE7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8" spans="1:31" s="50" customFormat="1" x14ac:dyDescent="0.25">
      <c r="A798" s="50">
        <v>17824</v>
      </c>
      <c r="B798" s="50">
        <f>COUNTIF(Table5[PID],A798)</f>
        <v>1</v>
      </c>
      <c r="C798" s="50" t="str">
        <f>IF(COUNTIF(Table3[[#All],[PID]],A798)&gt;0,"P","B")</f>
        <v>P</v>
      </c>
      <c r="D798" s="59" t="str">
        <f>IF($C798="B",INDEX(Batters[[#All],[POS]],MATCH(Table5[[#This Row],[PID]],Batters[[#All],[PID]],0)),INDEX(Table3[[#All],[POS]],MATCH(Table5[[#This Row],[PID]],Table3[[#All],[PID]],0)))</f>
        <v>RP</v>
      </c>
      <c r="E798" s="52" t="str">
        <f>IF($C798="B",INDEX(Batters[[#All],[First]],MATCH(Table5[[#This Row],[PID]],Batters[[#All],[PID]],0)),INDEX(Table3[[#All],[First]],MATCH(Table5[[#This Row],[PID]],Table3[[#All],[PID]],0)))</f>
        <v>Tomas</v>
      </c>
      <c r="F798" s="50" t="str">
        <f>IF($C798="B",INDEX(Batters[[#All],[Last]],MATCH(A798,Batters[[#All],[PID]],0)),INDEX(Table3[[#All],[Last]],MATCH(A798,Table3[[#All],[PID]],0)))</f>
        <v>Ruijghaver</v>
      </c>
      <c r="G798" s="56">
        <f>IF($C798="B",INDEX(Batters[[#All],[Age]],MATCH(Table5[[#This Row],[PID]],Batters[[#All],[PID]],0)),INDEX(Table3[[#All],[Age]],MATCH(Table5[[#This Row],[PID]],Table3[[#All],[PID]],0)))</f>
        <v>18</v>
      </c>
      <c r="H798" s="52" t="str">
        <f>IF($C798="B",INDEX(Batters[[#All],[B]],MATCH(Table5[[#This Row],[PID]],Batters[[#All],[PID]],0)),INDEX(Table3[[#All],[B]],MATCH(Table5[[#This Row],[PID]],Table3[[#All],[PID]],0)))</f>
        <v>R</v>
      </c>
      <c r="I798" s="52" t="str">
        <f>IF($C798="B",INDEX(Batters[[#All],[T]],MATCH(Table5[[#This Row],[PID]],Batters[[#All],[PID]],0)),INDEX(Table3[[#All],[T]],MATCH(Table5[[#This Row],[PID]],Table3[[#All],[PID]],0)))</f>
        <v>R</v>
      </c>
      <c r="J798" s="52" t="str">
        <f>IF($C798="B",INDEX(Batters[[#All],[WE]],MATCH(Table5[[#This Row],[PID]],Batters[[#All],[PID]],0)),INDEX(Table3[[#All],[WE]],MATCH(Table5[[#This Row],[PID]],Table3[[#All],[PID]],0)))</f>
        <v>Normal</v>
      </c>
      <c r="K798" s="52" t="str">
        <f>IF($C798="B",INDEX(Batters[[#All],[INT]],MATCH(Table5[[#This Row],[PID]],Batters[[#All],[PID]],0)),INDEX(Table3[[#All],[INT]],MATCH(Table5[[#This Row],[PID]],Table3[[#All],[PID]],0)))</f>
        <v>Normal</v>
      </c>
      <c r="L798" s="60">
        <f>IF($C798="B",INDEX(Batters[[#All],[CON P]],MATCH(Table5[[#This Row],[PID]],Batters[[#All],[PID]],0)),INDEX(Table3[[#All],[STU P]],MATCH(Table5[[#This Row],[PID]],Table3[[#All],[PID]],0)))</f>
        <v>4</v>
      </c>
      <c r="M798" s="56">
        <f>IF($C798="B",INDEX(Batters[[#All],[GAP P]],MATCH(Table5[[#This Row],[PID]],Batters[[#All],[PID]],0)),INDEX(Table3[[#All],[MOV P]],MATCH(Table5[[#This Row],[PID]],Table3[[#All],[PID]],0)))</f>
        <v>2</v>
      </c>
      <c r="N798" s="56">
        <f>IF($C798="B",INDEX(Batters[[#All],[POW P]],MATCH(Table5[[#This Row],[PID]],Batters[[#All],[PID]],0)),INDEX(Table3[[#All],[CON P]],MATCH(Table5[[#This Row],[PID]],Table3[[#All],[PID]],0)))</f>
        <v>3</v>
      </c>
      <c r="O798" s="56" t="str">
        <f>IF($C798="B",INDEX(Batters[[#All],[EYE P]],MATCH(Table5[[#This Row],[PID]],Batters[[#All],[PID]],0)),INDEX(Table3[[#All],[VELO]],MATCH(Table5[[#This Row],[PID]],Table3[[#All],[PID]],0)))</f>
        <v>86-88 Mph</v>
      </c>
      <c r="P798" s="56">
        <f>IF($C798="B",INDEX(Batters[[#All],[K P]],MATCH(Table5[[#This Row],[PID]],Batters[[#All],[PID]],0)),INDEX(Table3[[#All],[STM]],MATCH(Table5[[#This Row],[PID]],Table3[[#All],[PID]],0)))</f>
        <v>4</v>
      </c>
      <c r="Q798" s="61">
        <f>IF($C798="B",INDEX(Batters[[#All],[Tot]],MATCH(Table5[[#This Row],[PID]],Batters[[#All],[PID]],0)),INDEX(Table3[[#All],[Tot]],MATCH(Table5[[#This Row],[PID]],Table3[[#All],[PID]],0)))</f>
        <v>34.126772413639102</v>
      </c>
      <c r="R798" s="52">
        <f>IF($C798="B",INDEX(Batters[[#All],[zScore]],MATCH(Table5[[#This Row],[PID]],Batters[[#All],[PID]],0)),INDEX(Table3[[#All],[zScore]],MATCH(Table5[[#This Row],[PID]],Table3[[#All],[PID]],0)))</f>
        <v>-0.25187368326659565</v>
      </c>
      <c r="S798" s="58" t="str">
        <f>IF($C798="B",INDEX(Batters[[#All],[DEM]],MATCH(Table5[[#This Row],[PID]],Batters[[#All],[PID]],0)),INDEX(Table3[[#All],[DEM]],MATCH(Table5[[#This Row],[PID]],Table3[[#All],[PID]],0)))</f>
        <v>$65k</v>
      </c>
      <c r="T798" s="62">
        <f>IF($C798="B",INDEX(Batters[[#All],[Rnk]],MATCH(Table5[[#This Row],[PID]],Batters[[#All],[PID]],0)),INDEX(Table3[[#All],[Rnk]],MATCH(Table5[[#This Row],[PID]],Table3[[#All],[PID]],0)))</f>
        <v>408</v>
      </c>
      <c r="U798" s="68">
        <f>IF($C798="B",VLOOKUP($A798,Bat!$A$4:$BA$1621,47,FALSE),VLOOKUP($A798,Pit!$A$4:$BF$1557,56,FALSE))</f>
        <v>0</v>
      </c>
      <c r="V798" s="50">
        <f>IF($C798="B",VLOOKUP($A798,Bat!$A$4:$BA$1621,48,FALSE),VLOOKUP($A798,Pit!$A$4:$BF$1557,57,FALSE))</f>
        <v>0</v>
      </c>
      <c r="W798" s="50">
        <f>Table5[[#This Row],[posRnk]]+Table5[[#This Row],[zRnk]]+IF($W$3&lt;&gt;Table5[[#This Row],[Type]],50,0)</f>
        <v>1159</v>
      </c>
      <c r="X798" s="51">
        <f>RANK(Table5[[#This Row],[zScore]],Table5[[#All],[zScore]])</f>
        <v>701</v>
      </c>
      <c r="Y798" s="50" t="str">
        <f>IFERROR(INDEX(DraftResults[[#All],[OVR]],MATCH(Table5[[#This Row],[PID]],DraftResults[[#All],[Player ID]],0)),"")</f>
        <v/>
      </c>
      <c r="Z7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8" s="50" t="str">
        <f>IFERROR(INDEX(DraftResults[[#All],[Pick in Round]],MATCH(Table5[[#This Row],[PID]],DraftResults[[#All],[Player ID]],0)),"")</f>
        <v/>
      </c>
      <c r="AB798" s="50" t="str">
        <f>IFERROR(INDEX(DraftResults[[#All],[Team Name]],MATCH(Table5[[#This Row],[PID]],DraftResults[[#All],[Player ID]],0)),"")</f>
        <v/>
      </c>
      <c r="AC798" s="50" t="str">
        <f>IF(Table5[[#This Row],[Ovr]]="","",IF(Table5[[#This Row],[cmbList]]="","",Table5[[#This Row],[cmbList]]-Table5[[#This Row],[Ovr]]))</f>
        <v/>
      </c>
      <c r="AD798" s="54" t="str">
        <f>IF(ISERROR(VLOOKUP($AB798&amp;"-"&amp;$E798&amp;" "&amp;F798,Bonuses!$B$1:$G$1006,4,FALSE)),"",INT(VLOOKUP($AB798&amp;"-"&amp;$E798&amp;" "&amp;$F798,Bonuses!$B$1:$G$1006,4,FALSE)))</f>
        <v/>
      </c>
      <c r="AE7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799" spans="1:31" s="50" customFormat="1" x14ac:dyDescent="0.25">
      <c r="A799" s="68">
        <v>7940</v>
      </c>
      <c r="B799" s="69">
        <f>COUNTIF(Table5[PID],A799)</f>
        <v>1</v>
      </c>
      <c r="C799" s="69" t="str">
        <f>IF(COUNTIF(Table3[[#All],[PID]],A799)&gt;0,"P","B")</f>
        <v>P</v>
      </c>
      <c r="D799" s="59" t="str">
        <f>IF($C799="B",INDEX(Batters[[#All],[POS]],MATCH(Table5[[#This Row],[PID]],Batters[[#All],[PID]],0)),INDEX(Table3[[#All],[POS]],MATCH(Table5[[#This Row],[PID]],Table3[[#All],[PID]],0)))</f>
        <v>SP</v>
      </c>
      <c r="E799" s="52" t="str">
        <f>IF($C799="B",INDEX(Batters[[#All],[First]],MATCH(Table5[[#This Row],[PID]],Batters[[#All],[PID]],0)),INDEX(Table3[[#All],[First]],MATCH(Table5[[#This Row],[PID]],Table3[[#All],[PID]],0)))</f>
        <v>Kingo</v>
      </c>
      <c r="F799" s="55" t="str">
        <f>IF($C799="B",INDEX(Batters[[#All],[Last]],MATCH(A799,Batters[[#All],[PID]],0)),INDEX(Table3[[#All],[Last]],MATCH(A799,Table3[[#All],[PID]],0)))</f>
        <v>Kitamura</v>
      </c>
      <c r="G799" s="56">
        <f>IF($C799="B",INDEX(Batters[[#All],[Age]],MATCH(Table5[[#This Row],[PID]],Batters[[#All],[PID]],0)),INDEX(Table3[[#All],[Age]],MATCH(Table5[[#This Row],[PID]],Table3[[#All],[PID]],0)))</f>
        <v>22</v>
      </c>
      <c r="H799" s="52" t="str">
        <f>IF($C799="B",INDEX(Batters[[#All],[B]],MATCH(Table5[[#This Row],[PID]],Batters[[#All],[PID]],0)),INDEX(Table3[[#All],[B]],MATCH(Table5[[#This Row],[PID]],Table3[[#All],[PID]],0)))</f>
        <v>R</v>
      </c>
      <c r="I799" s="52" t="str">
        <f>IF($C799="B",INDEX(Batters[[#All],[T]],MATCH(Table5[[#This Row],[PID]],Batters[[#All],[PID]],0)),INDEX(Table3[[#All],[T]],MATCH(Table5[[#This Row],[PID]],Table3[[#All],[PID]],0)))</f>
        <v>R</v>
      </c>
      <c r="J799" s="71" t="str">
        <f>IF($C799="B",INDEX(Batters[[#All],[WE]],MATCH(Table5[[#This Row],[PID]],Batters[[#All],[PID]],0)),INDEX(Table3[[#All],[WE]],MATCH(Table5[[#This Row],[PID]],Table3[[#All],[PID]],0)))</f>
        <v>Normal</v>
      </c>
      <c r="K799" s="52" t="str">
        <f>IF($C799="B",INDEX(Batters[[#All],[INT]],MATCH(Table5[[#This Row],[PID]],Batters[[#All],[PID]],0)),INDEX(Table3[[#All],[INT]],MATCH(Table5[[#This Row],[PID]],Table3[[#All],[PID]],0)))</f>
        <v>Normal</v>
      </c>
      <c r="L799" s="60">
        <f>IF($C799="B",INDEX(Batters[[#All],[CON P]],MATCH(Table5[[#This Row],[PID]],Batters[[#All],[PID]],0)),INDEX(Table3[[#All],[STU P]],MATCH(Table5[[#This Row],[PID]],Table3[[#All],[PID]],0)))</f>
        <v>4</v>
      </c>
      <c r="M799" s="72">
        <f>IF($C799="B",INDEX(Batters[[#All],[GAP P]],MATCH(Table5[[#This Row],[PID]],Batters[[#All],[PID]],0)),INDEX(Table3[[#All],[MOV P]],MATCH(Table5[[#This Row],[PID]],Table3[[#All],[PID]],0)))</f>
        <v>1</v>
      </c>
      <c r="N799" s="72">
        <f>IF($C799="B",INDEX(Batters[[#All],[POW P]],MATCH(Table5[[#This Row],[PID]],Batters[[#All],[PID]],0)),INDEX(Table3[[#All],[CON P]],MATCH(Table5[[#This Row],[PID]],Table3[[#All],[PID]],0)))</f>
        <v>4</v>
      </c>
      <c r="O799" s="72" t="str">
        <f>IF($C799="B",INDEX(Batters[[#All],[EYE P]],MATCH(Table5[[#This Row],[PID]],Batters[[#All],[PID]],0)),INDEX(Table3[[#All],[VELO]],MATCH(Table5[[#This Row],[PID]],Table3[[#All],[PID]],0)))</f>
        <v>88-90 Mph</v>
      </c>
      <c r="P799" s="56">
        <f>IF($C799="B",INDEX(Batters[[#All],[K P]],MATCH(Table5[[#This Row],[PID]],Batters[[#All],[PID]],0)),INDEX(Table3[[#All],[STM]],MATCH(Table5[[#This Row],[PID]],Table3[[#All],[PID]],0)))</f>
        <v>5</v>
      </c>
      <c r="Q799" s="61">
        <f>IF($C799="B",INDEX(Batters[[#All],[Tot]],MATCH(Table5[[#This Row],[PID]],Batters[[#All],[PID]],0)),INDEX(Table3[[#All],[Tot]],MATCH(Table5[[#This Row],[PID]],Table3[[#All],[PID]],0)))</f>
        <v>32.079080999593558</v>
      </c>
      <c r="R799" s="52">
        <f>IF($C799="B",INDEX(Batters[[#All],[zScore]],MATCH(Table5[[#This Row],[PID]],Batters[[#All],[PID]],0)),INDEX(Table3[[#All],[zScore]],MATCH(Table5[[#This Row],[PID]],Table3[[#All],[PID]],0)))</f>
        <v>-0.25223904499719479</v>
      </c>
      <c r="S799" s="78" t="str">
        <f>IF($C799="B",INDEX(Batters[[#All],[DEM]],MATCH(Table5[[#This Row],[PID]],Batters[[#All],[PID]],0)),INDEX(Table3[[#All],[DEM]],MATCH(Table5[[#This Row],[PID]],Table3[[#All],[PID]],0)))</f>
        <v>-</v>
      </c>
      <c r="T799" s="75">
        <f>IF($C799="B",INDEX(Batters[[#All],[Rnk]],MATCH(Table5[[#This Row],[PID]],Batters[[#All],[PID]],0)),INDEX(Table3[[#All],[Rnk]],MATCH(Table5[[#This Row],[PID]],Table3[[#All],[PID]],0)))</f>
        <v>409</v>
      </c>
      <c r="U799" s="68">
        <f>IF($C799="B",VLOOKUP($A799,Bat!$A$4:$BA$1621,47,FALSE),VLOOKUP($A799,Pit!$A$4:$BF$1557,56,FALSE))</f>
        <v>0</v>
      </c>
      <c r="V799" s="50">
        <f>IF($C799="B",VLOOKUP($A799,Bat!$A$4:$BA$1621,48,FALSE),VLOOKUP($A799,Pit!$A$4:$BF$1557,57,FALSE))</f>
        <v>0</v>
      </c>
      <c r="W799" s="69">
        <f>Table5[[#This Row],[posRnk]]+Table5[[#This Row],[zRnk]]+IF($W$3&lt;&gt;Table5[[#This Row],[Type]],50,0)</f>
        <v>1161</v>
      </c>
      <c r="X799" s="73">
        <f>RANK(Table5[[#This Row],[zScore]],Table5[[#All],[zScore]])</f>
        <v>702</v>
      </c>
      <c r="Y799" s="69" t="str">
        <f>IFERROR(INDEX(DraftResults[[#All],[OVR]],MATCH(Table5[[#This Row],[PID]],DraftResults[[#All],[Player ID]],0)),"")</f>
        <v/>
      </c>
      <c r="Z7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799" s="69" t="str">
        <f>IFERROR(INDEX(DraftResults[[#All],[Pick in Round]],MATCH(Table5[[#This Row],[PID]],DraftResults[[#All],[Player ID]],0)),"")</f>
        <v/>
      </c>
      <c r="AB799" s="69" t="str">
        <f>IFERROR(INDEX(DraftResults[[#All],[Team Name]],MATCH(Table5[[#This Row],[PID]],DraftResults[[#All],[Player ID]],0)),"")</f>
        <v/>
      </c>
      <c r="AC799" s="69" t="str">
        <f>IF(Table5[[#This Row],[Ovr]]="","",IF(Table5[[#This Row],[cmbList]]="","",Table5[[#This Row],[cmbList]]-Table5[[#This Row],[Ovr]]))</f>
        <v/>
      </c>
      <c r="AD799" s="77" t="str">
        <f>IF(ISERROR(VLOOKUP($AB799&amp;"-"&amp;$E799&amp;" "&amp;F799,Bonuses!$B$1:$G$1006,4,FALSE)),"",INT(VLOOKUP($AB799&amp;"-"&amp;$E799&amp;" "&amp;$F799,Bonuses!$B$1:$G$1006,4,FALSE)))</f>
        <v/>
      </c>
      <c r="AE7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0" spans="1:31" s="50" customFormat="1" x14ac:dyDescent="0.25">
      <c r="A800" s="50">
        <v>18001</v>
      </c>
      <c r="B800" s="50">
        <f>COUNTIF(Table5[PID],A800)</f>
        <v>1</v>
      </c>
      <c r="C800" s="50" t="str">
        <f>IF(COUNTIF(Table3[[#All],[PID]],A800)&gt;0,"P","B")</f>
        <v>P</v>
      </c>
      <c r="D800" s="59" t="str">
        <f>IF($C800="B",INDEX(Batters[[#All],[POS]],MATCH(Table5[[#This Row],[PID]],Batters[[#All],[PID]],0)),INDEX(Table3[[#All],[POS]],MATCH(Table5[[#This Row],[PID]],Table3[[#All],[PID]],0)))</f>
        <v>RP</v>
      </c>
      <c r="E800" s="52" t="str">
        <f>IF($C800="B",INDEX(Batters[[#All],[First]],MATCH(Table5[[#This Row],[PID]],Batters[[#All],[PID]],0)),INDEX(Table3[[#All],[First]],MATCH(Table5[[#This Row],[PID]],Table3[[#All],[PID]],0)))</f>
        <v>Joe</v>
      </c>
      <c r="F800" s="50" t="str">
        <f>IF($C800="B",INDEX(Batters[[#All],[Last]],MATCH(A800,Batters[[#All],[PID]],0)),INDEX(Table3[[#All],[Last]],MATCH(A800,Table3[[#All],[PID]],0)))</f>
        <v>Wagner</v>
      </c>
      <c r="G800" s="56">
        <f>IF($C800="B",INDEX(Batters[[#All],[Age]],MATCH(Table5[[#This Row],[PID]],Batters[[#All],[PID]],0)),INDEX(Table3[[#All],[Age]],MATCH(Table5[[#This Row],[PID]],Table3[[#All],[PID]],0)))</f>
        <v>21</v>
      </c>
      <c r="H800" s="52" t="str">
        <f>IF($C800="B",INDEX(Batters[[#All],[B]],MATCH(Table5[[#This Row],[PID]],Batters[[#All],[PID]],0)),INDEX(Table3[[#All],[B]],MATCH(Table5[[#This Row],[PID]],Table3[[#All],[PID]],0)))</f>
        <v>R</v>
      </c>
      <c r="I800" s="52" t="str">
        <f>IF($C800="B",INDEX(Batters[[#All],[T]],MATCH(Table5[[#This Row],[PID]],Batters[[#All],[PID]],0)),INDEX(Table3[[#All],[T]],MATCH(Table5[[#This Row],[PID]],Table3[[#All],[PID]],0)))</f>
        <v>R</v>
      </c>
      <c r="J800" s="52" t="str">
        <f>IF($C800="B",INDEX(Batters[[#All],[WE]],MATCH(Table5[[#This Row],[PID]],Batters[[#All],[PID]],0)),INDEX(Table3[[#All],[WE]],MATCH(Table5[[#This Row],[PID]],Table3[[#All],[PID]],0)))</f>
        <v>Low</v>
      </c>
      <c r="K800" s="52" t="str">
        <f>IF($C800="B",INDEX(Batters[[#All],[INT]],MATCH(Table5[[#This Row],[PID]],Batters[[#All],[PID]],0)),INDEX(Table3[[#All],[INT]],MATCH(Table5[[#This Row],[PID]],Table3[[#All],[PID]],0)))</f>
        <v>Normal</v>
      </c>
      <c r="L800" s="60">
        <f>IF($C800="B",INDEX(Batters[[#All],[CON P]],MATCH(Table5[[#This Row],[PID]],Batters[[#All],[PID]],0)),INDEX(Table3[[#All],[STU P]],MATCH(Table5[[#This Row],[PID]],Table3[[#All],[PID]],0)))</f>
        <v>4</v>
      </c>
      <c r="M800" s="56">
        <f>IF($C800="B",INDEX(Batters[[#All],[GAP P]],MATCH(Table5[[#This Row],[PID]],Batters[[#All],[PID]],0)),INDEX(Table3[[#All],[MOV P]],MATCH(Table5[[#This Row],[PID]],Table3[[#All],[PID]],0)))</f>
        <v>2</v>
      </c>
      <c r="N800" s="56">
        <f>IF($C800="B",INDEX(Batters[[#All],[POW P]],MATCH(Table5[[#This Row],[PID]],Batters[[#All],[PID]],0)),INDEX(Table3[[#All],[CON P]],MATCH(Table5[[#This Row],[PID]],Table3[[#All],[PID]],0)))</f>
        <v>4</v>
      </c>
      <c r="O800" s="56" t="str">
        <f>IF($C800="B",INDEX(Batters[[#All],[EYE P]],MATCH(Table5[[#This Row],[PID]],Batters[[#All],[PID]],0)),INDEX(Table3[[#All],[VELO]],MATCH(Table5[[#This Row],[PID]],Table3[[#All],[PID]],0)))</f>
        <v>91-93 Mph</v>
      </c>
      <c r="P800" s="56">
        <f>IF($C800="B",INDEX(Batters[[#All],[K P]],MATCH(Table5[[#This Row],[PID]],Batters[[#All],[PID]],0)),INDEX(Table3[[#All],[STM]],MATCH(Table5[[#This Row],[PID]],Table3[[#All],[PID]],0)))</f>
        <v>7</v>
      </c>
      <c r="Q800" s="61">
        <f>IF($C800="B",INDEX(Batters[[#All],[Tot]],MATCH(Table5[[#This Row],[PID]],Batters[[#All],[PID]],0)),INDEX(Table3[[#All],[Tot]],MATCH(Table5[[#This Row],[PID]],Table3[[#All],[PID]],0)))</f>
        <v>33.256663548306754</v>
      </c>
      <c r="R800" s="52">
        <f>IF($C800="B",INDEX(Batters[[#All],[zScore]],MATCH(Table5[[#This Row],[PID]],Batters[[#All],[PID]],0)),INDEX(Table3[[#All],[zScore]],MATCH(Table5[[#This Row],[PID]],Table3[[#All],[PID]],0)))</f>
        <v>-0.25491946980958169</v>
      </c>
      <c r="S800" s="58" t="str">
        <f>IF($C800="B",INDEX(Batters[[#All],[DEM]],MATCH(Table5[[#This Row],[PID]],Batters[[#All],[PID]],0)),INDEX(Table3[[#All],[DEM]],MATCH(Table5[[#This Row],[PID]],Table3[[#All],[PID]],0)))</f>
        <v>-</v>
      </c>
      <c r="T800" s="62">
        <f>IF($C800="B",INDEX(Batters[[#All],[Rnk]],MATCH(Table5[[#This Row],[PID]],Batters[[#All],[PID]],0)),INDEX(Table3[[#All],[Rnk]],MATCH(Table5[[#This Row],[PID]],Table3[[#All],[PID]],0)))</f>
        <v>410</v>
      </c>
      <c r="U800" s="68">
        <f>IF($C800="B",VLOOKUP($A800,Bat!$A$4:$BA$1621,47,FALSE),VLOOKUP($A800,Pit!$A$4:$BF$1557,56,FALSE))</f>
        <v>0</v>
      </c>
      <c r="V800" s="50">
        <f>IF($C800="B",VLOOKUP($A800,Bat!$A$4:$BA$1621,48,FALSE),VLOOKUP($A800,Pit!$A$4:$BF$1557,57,FALSE))</f>
        <v>0</v>
      </c>
      <c r="W800" s="50">
        <f>Table5[[#This Row],[posRnk]]+Table5[[#This Row],[zRnk]]+IF($W$3&lt;&gt;Table5[[#This Row],[Type]],50,0)</f>
        <v>1163</v>
      </c>
      <c r="X800" s="51">
        <f>RANK(Table5[[#This Row],[zScore]],Table5[[#All],[zScore]])</f>
        <v>703</v>
      </c>
      <c r="Y800" s="50" t="str">
        <f>IFERROR(INDEX(DraftResults[[#All],[OVR]],MATCH(Table5[[#This Row],[PID]],DraftResults[[#All],[Player ID]],0)),"")</f>
        <v/>
      </c>
      <c r="Z8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0" s="50" t="str">
        <f>IFERROR(INDEX(DraftResults[[#All],[Pick in Round]],MATCH(Table5[[#This Row],[PID]],DraftResults[[#All],[Player ID]],0)),"")</f>
        <v/>
      </c>
      <c r="AB800" s="50" t="str">
        <f>IFERROR(INDEX(DraftResults[[#All],[Team Name]],MATCH(Table5[[#This Row],[PID]],DraftResults[[#All],[Player ID]],0)),"")</f>
        <v/>
      </c>
      <c r="AC800" s="50" t="str">
        <f>IF(Table5[[#This Row],[Ovr]]="","",IF(Table5[[#This Row],[cmbList]]="","",Table5[[#This Row],[cmbList]]-Table5[[#This Row],[Ovr]]))</f>
        <v/>
      </c>
      <c r="AD800" s="54" t="str">
        <f>IF(ISERROR(VLOOKUP($AB800&amp;"-"&amp;$E800&amp;" "&amp;F800,Bonuses!$B$1:$G$1006,4,FALSE)),"",INT(VLOOKUP($AB800&amp;"-"&amp;$E800&amp;" "&amp;$F800,Bonuses!$B$1:$G$1006,4,FALSE)))</f>
        <v/>
      </c>
      <c r="AE8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1" spans="1:31" s="50" customFormat="1" x14ac:dyDescent="0.25">
      <c r="A801" s="50">
        <v>20726</v>
      </c>
      <c r="B801" s="50">
        <f>COUNTIF(Table5[PID],A801)</f>
        <v>1</v>
      </c>
      <c r="C801" s="50" t="str">
        <f>IF(COUNTIF(Table3[[#All],[PID]],A801)&gt;0,"P","B")</f>
        <v>P</v>
      </c>
      <c r="D801" s="59" t="str">
        <f>IF($C801="B",INDEX(Batters[[#All],[POS]],MATCH(Table5[[#This Row],[PID]],Batters[[#All],[PID]],0)),INDEX(Table3[[#All],[POS]],MATCH(Table5[[#This Row],[PID]],Table3[[#All],[PID]],0)))</f>
        <v>RP</v>
      </c>
      <c r="E801" s="52" t="str">
        <f>IF($C801="B",INDEX(Batters[[#All],[First]],MATCH(Table5[[#This Row],[PID]],Batters[[#All],[PID]],0)),INDEX(Table3[[#All],[First]],MATCH(Table5[[#This Row],[PID]],Table3[[#All],[PID]],0)))</f>
        <v>Carl</v>
      </c>
      <c r="F801" s="50" t="str">
        <f>IF($C801="B",INDEX(Batters[[#All],[Last]],MATCH(A801,Batters[[#All],[PID]],0)),INDEX(Table3[[#All],[Last]],MATCH(A801,Table3[[#All],[PID]],0)))</f>
        <v>Woods</v>
      </c>
      <c r="G801" s="56">
        <f>IF($C801="B",INDEX(Batters[[#All],[Age]],MATCH(Table5[[#This Row],[PID]],Batters[[#All],[PID]],0)),INDEX(Table3[[#All],[Age]],MATCH(Table5[[#This Row],[PID]],Table3[[#All],[PID]],0)))</f>
        <v>17</v>
      </c>
      <c r="H801" s="52" t="str">
        <f>IF($C801="B",INDEX(Batters[[#All],[B]],MATCH(Table5[[#This Row],[PID]],Batters[[#All],[PID]],0)),INDEX(Table3[[#All],[B]],MATCH(Table5[[#This Row],[PID]],Table3[[#All],[PID]],0)))</f>
        <v>R</v>
      </c>
      <c r="I801" s="52" t="str">
        <f>IF($C801="B",INDEX(Batters[[#All],[T]],MATCH(Table5[[#This Row],[PID]],Batters[[#All],[PID]],0)),INDEX(Table3[[#All],[T]],MATCH(Table5[[#This Row],[PID]],Table3[[#All],[PID]],0)))</f>
        <v>R</v>
      </c>
      <c r="J801" s="52" t="str">
        <f>IF($C801="B",INDEX(Batters[[#All],[WE]],MATCH(Table5[[#This Row],[PID]],Batters[[#All],[PID]],0)),INDEX(Table3[[#All],[WE]],MATCH(Table5[[#This Row],[PID]],Table3[[#All],[PID]],0)))</f>
        <v>Normal</v>
      </c>
      <c r="K801" s="52" t="str">
        <f>IF($C801="B",INDEX(Batters[[#All],[INT]],MATCH(Table5[[#This Row],[PID]],Batters[[#All],[PID]],0)),INDEX(Table3[[#All],[INT]],MATCH(Table5[[#This Row],[PID]],Table3[[#All],[PID]],0)))</f>
        <v>Normal</v>
      </c>
      <c r="L801" s="60">
        <f>IF($C801="B",INDEX(Batters[[#All],[CON P]],MATCH(Table5[[#This Row],[PID]],Batters[[#All],[PID]],0)),INDEX(Table3[[#All],[STU P]],MATCH(Table5[[#This Row],[PID]],Table3[[#All],[PID]],0)))</f>
        <v>4</v>
      </c>
      <c r="M801" s="56">
        <f>IF($C801="B",INDEX(Batters[[#All],[GAP P]],MATCH(Table5[[#This Row],[PID]],Batters[[#All],[PID]],0)),INDEX(Table3[[#All],[MOV P]],MATCH(Table5[[#This Row],[PID]],Table3[[#All],[PID]],0)))</f>
        <v>2</v>
      </c>
      <c r="N801" s="56">
        <f>IF($C801="B",INDEX(Batters[[#All],[POW P]],MATCH(Table5[[#This Row],[PID]],Batters[[#All],[PID]],0)),INDEX(Table3[[#All],[CON P]],MATCH(Table5[[#This Row],[PID]],Table3[[#All],[PID]],0)))</f>
        <v>3</v>
      </c>
      <c r="O801" s="56" t="str">
        <f>IF($C801="B",INDEX(Batters[[#All],[EYE P]],MATCH(Table5[[#This Row],[PID]],Batters[[#All],[PID]],0)),INDEX(Table3[[#All],[VELO]],MATCH(Table5[[#This Row],[PID]],Table3[[#All],[PID]],0)))</f>
        <v>88-90 Mph</v>
      </c>
      <c r="P801" s="56">
        <f>IF($C801="B",INDEX(Batters[[#All],[K P]],MATCH(Table5[[#This Row],[PID]],Batters[[#All],[PID]],0)),INDEX(Table3[[#All],[STM]],MATCH(Table5[[#This Row],[PID]],Table3[[#All],[PID]],0)))</f>
        <v>4</v>
      </c>
      <c r="Q801" s="61">
        <f>IF($C801="B",INDEX(Batters[[#All],[Tot]],MATCH(Table5[[#This Row],[PID]],Batters[[#All],[PID]],0)),INDEX(Table3[[#All],[Tot]],MATCH(Table5[[#This Row],[PID]],Table3[[#All],[PID]],0)))</f>
        <v>33.178330734434745</v>
      </c>
      <c r="R801" s="52">
        <f>IF($C801="B",INDEX(Batters[[#All],[zScore]],MATCH(Table5[[#This Row],[PID]],Batters[[#All],[PID]],0)),INDEX(Table3[[#All],[zScore]],MATCH(Table5[[#This Row],[PID]],Table3[[#All],[PID]],0)))</f>
        <v>-0.260587825345938</v>
      </c>
      <c r="S801" s="58" t="str">
        <f>IF($C801="B",INDEX(Batters[[#All],[DEM]],MATCH(Table5[[#This Row],[PID]],Batters[[#All],[PID]],0)),INDEX(Table3[[#All],[DEM]],MATCH(Table5[[#This Row],[PID]],Table3[[#All],[PID]],0)))</f>
        <v>$100k</v>
      </c>
      <c r="T801" s="62">
        <f>IF($C801="B",INDEX(Batters[[#All],[Rnk]],MATCH(Table5[[#This Row],[PID]],Batters[[#All],[PID]],0)),INDEX(Table3[[#All],[Rnk]],MATCH(Table5[[#This Row],[PID]],Table3[[#All],[PID]],0)))</f>
        <v>411</v>
      </c>
      <c r="U801" s="68">
        <f>IF($C801="B",VLOOKUP($A801,Bat!$A$4:$BA$1621,47,FALSE),VLOOKUP($A801,Pit!$A$4:$BF$1557,56,FALSE))</f>
        <v>0</v>
      </c>
      <c r="V801" s="50">
        <f>IF($C801="B",VLOOKUP($A801,Bat!$A$4:$BA$1621,48,FALSE),VLOOKUP($A801,Pit!$A$4:$BF$1557,57,FALSE))</f>
        <v>0</v>
      </c>
      <c r="W801" s="50">
        <f>Table5[[#This Row],[posRnk]]+Table5[[#This Row],[zRnk]]+IF($W$3&lt;&gt;Table5[[#This Row],[Type]],50,0)</f>
        <v>1165</v>
      </c>
      <c r="X801" s="51">
        <f>RANK(Table5[[#This Row],[zScore]],Table5[[#All],[zScore]])</f>
        <v>704</v>
      </c>
      <c r="Y801" s="50" t="str">
        <f>IFERROR(INDEX(DraftResults[[#All],[OVR]],MATCH(Table5[[#This Row],[PID]],DraftResults[[#All],[Player ID]],0)),"")</f>
        <v/>
      </c>
      <c r="Z8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1" s="50" t="str">
        <f>IFERROR(INDEX(DraftResults[[#All],[Pick in Round]],MATCH(Table5[[#This Row],[PID]],DraftResults[[#All],[Player ID]],0)),"")</f>
        <v/>
      </c>
      <c r="AB801" s="50" t="str">
        <f>IFERROR(INDEX(DraftResults[[#All],[Team Name]],MATCH(Table5[[#This Row],[PID]],DraftResults[[#All],[Player ID]],0)),"")</f>
        <v/>
      </c>
      <c r="AC801" s="50" t="str">
        <f>IF(Table5[[#This Row],[Ovr]]="","",IF(Table5[[#This Row],[cmbList]]="","",Table5[[#This Row],[cmbList]]-Table5[[#This Row],[Ovr]]))</f>
        <v/>
      </c>
      <c r="AD801" s="54" t="str">
        <f>IF(ISERROR(VLOOKUP($AB801&amp;"-"&amp;$E801&amp;" "&amp;F801,Bonuses!$B$1:$G$1006,4,FALSE)),"",INT(VLOOKUP($AB801&amp;"-"&amp;$E801&amp;" "&amp;$F801,Bonuses!$B$1:$G$1006,4,FALSE)))</f>
        <v/>
      </c>
      <c r="AE8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2" spans="1:31" s="50" customFormat="1" x14ac:dyDescent="0.25">
      <c r="A802" s="50">
        <v>20790</v>
      </c>
      <c r="B802" s="55">
        <f>COUNTIF(Table5[PID],A802)</f>
        <v>1</v>
      </c>
      <c r="C802" s="55" t="str">
        <f>IF(COUNTIF(Table3[[#All],[PID]],A802)&gt;0,"P","B")</f>
        <v>B</v>
      </c>
      <c r="D802" s="59" t="str">
        <f>IF($C802="B",INDEX(Batters[[#All],[POS]],MATCH(Table5[[#This Row],[PID]],Batters[[#All],[PID]],0)),INDEX(Table3[[#All],[POS]],MATCH(Table5[[#This Row],[PID]],Table3[[#All],[PID]],0)))</f>
        <v>1B</v>
      </c>
      <c r="E802" s="52" t="str">
        <f>IF($C802="B",INDEX(Batters[[#All],[First]],MATCH(Table5[[#This Row],[PID]],Batters[[#All],[PID]],0)),INDEX(Table3[[#All],[First]],MATCH(Table5[[#This Row],[PID]],Table3[[#All],[PID]],0)))</f>
        <v>Willard</v>
      </c>
      <c r="F802" s="50" t="str">
        <f>IF($C802="B",INDEX(Batters[[#All],[Last]],MATCH(A802,Batters[[#All],[PID]],0)),INDEX(Table3[[#All],[Last]],MATCH(A802,Table3[[#All],[PID]],0)))</f>
        <v>Dunn</v>
      </c>
      <c r="G802" s="56">
        <f>IF($C802="B",INDEX(Batters[[#All],[Age]],MATCH(Table5[[#This Row],[PID]],Batters[[#All],[PID]],0)),INDEX(Table3[[#All],[Age]],MATCH(Table5[[#This Row],[PID]],Table3[[#All],[PID]],0)))</f>
        <v>17</v>
      </c>
      <c r="H802" s="52" t="str">
        <f>IF($C802="B",INDEX(Batters[[#All],[B]],MATCH(Table5[[#This Row],[PID]],Batters[[#All],[PID]],0)),INDEX(Table3[[#All],[B]],MATCH(Table5[[#This Row],[PID]],Table3[[#All],[PID]],0)))</f>
        <v>R</v>
      </c>
      <c r="I802" s="52" t="str">
        <f>IF($C802="B",INDEX(Batters[[#All],[T]],MATCH(Table5[[#This Row],[PID]],Batters[[#All],[PID]],0)),INDEX(Table3[[#All],[T]],MATCH(Table5[[#This Row],[PID]],Table3[[#All],[PID]],0)))</f>
        <v>R</v>
      </c>
      <c r="J802" s="52" t="str">
        <f>IF($C802="B",INDEX(Batters[[#All],[WE]],MATCH(Table5[[#This Row],[PID]],Batters[[#All],[PID]],0)),INDEX(Table3[[#All],[WE]],MATCH(Table5[[#This Row],[PID]],Table3[[#All],[PID]],0)))</f>
        <v>Low</v>
      </c>
      <c r="K802" s="52" t="str">
        <f>IF($C802="B",INDEX(Batters[[#All],[INT]],MATCH(Table5[[#This Row],[PID]],Batters[[#All],[PID]],0)),INDEX(Table3[[#All],[INT]],MATCH(Table5[[#This Row],[PID]],Table3[[#All],[PID]],0)))</f>
        <v>Normal</v>
      </c>
      <c r="L802" s="60">
        <f>IF($C802="B",INDEX(Batters[[#All],[CON P]],MATCH(Table5[[#This Row],[PID]],Batters[[#All],[PID]],0)),INDEX(Table3[[#All],[STU P]],MATCH(Table5[[#This Row],[PID]],Table3[[#All],[PID]],0)))</f>
        <v>3</v>
      </c>
      <c r="M802" s="56">
        <f>IF($C802="B",INDEX(Batters[[#All],[GAP P]],MATCH(Table5[[#This Row],[PID]],Batters[[#All],[PID]],0)),INDEX(Table3[[#All],[MOV P]],MATCH(Table5[[#This Row],[PID]],Table3[[#All],[PID]],0)))</f>
        <v>5</v>
      </c>
      <c r="N802" s="56">
        <f>IF($C802="B",INDEX(Batters[[#All],[POW P]],MATCH(Table5[[#This Row],[PID]],Batters[[#All],[PID]],0)),INDEX(Table3[[#All],[CON P]],MATCH(Table5[[#This Row],[PID]],Table3[[#All],[PID]],0)))</f>
        <v>4</v>
      </c>
      <c r="O802" s="56">
        <f>IF($C802="B",INDEX(Batters[[#All],[EYE P]],MATCH(Table5[[#This Row],[PID]],Batters[[#All],[PID]],0)),INDEX(Table3[[#All],[VELO]],MATCH(Table5[[#This Row],[PID]],Table3[[#All],[PID]],0)))</f>
        <v>5</v>
      </c>
      <c r="P802" s="56">
        <f>IF($C802="B",INDEX(Batters[[#All],[K P]],MATCH(Table5[[#This Row],[PID]],Batters[[#All],[PID]],0)),INDEX(Table3[[#All],[STM]],MATCH(Table5[[#This Row],[PID]],Table3[[#All],[PID]],0)))</f>
        <v>3</v>
      </c>
      <c r="Q802" s="61">
        <f>IF($C802="B",INDEX(Batters[[#All],[Tot]],MATCH(Table5[[#This Row],[PID]],Batters[[#All],[PID]],0)),INDEX(Table3[[#All],[Tot]],MATCH(Table5[[#This Row],[PID]],Table3[[#All],[PID]],0)))</f>
        <v>42.950707190943902</v>
      </c>
      <c r="R802" s="52">
        <f>IF($C802="B",INDEX(Batters[[#All],[zScore]],MATCH(Table5[[#This Row],[PID]],Batters[[#All],[PID]],0)),INDEX(Table3[[#All],[zScore]],MATCH(Table5[[#This Row],[PID]],Table3[[#All],[PID]],0)))</f>
        <v>-0.26188723644487311</v>
      </c>
      <c r="S802" s="58" t="str">
        <f>IF($C802="B",INDEX(Batters[[#All],[DEM]],MATCH(Table5[[#This Row],[PID]],Batters[[#All],[PID]],0)),INDEX(Table3[[#All],[DEM]],MATCH(Table5[[#This Row],[PID]],Table3[[#All],[PID]],0)))</f>
        <v>$70k</v>
      </c>
      <c r="T802" s="62">
        <f>IF($C802="B",INDEX(Batters[[#All],[Rnk]],MATCH(Table5[[#This Row],[PID]],Batters[[#All],[PID]],0)),INDEX(Table3[[#All],[Rnk]],MATCH(Table5[[#This Row],[PID]],Table3[[#All],[PID]],0)))</f>
        <v>294</v>
      </c>
      <c r="U802" s="68">
        <f>IF($C802="B",VLOOKUP($A802,Bat!$A$4:$BA$1621,47,FALSE),VLOOKUP($A802,Pit!$A$4:$BF$1557,56,FALSE))</f>
        <v>0</v>
      </c>
      <c r="V802" s="50">
        <f>IF($C802="B",VLOOKUP($A802,Bat!$A$4:$BA$1621,48,FALSE),VLOOKUP($A802,Pit!$A$4:$BF$1557,57,FALSE))</f>
        <v>0</v>
      </c>
      <c r="W802" s="50">
        <f>Table5[[#This Row],[posRnk]]+Table5[[#This Row],[zRnk]]+IF($W$3&lt;&gt;Table5[[#This Row],[Type]],50,0)</f>
        <v>1049</v>
      </c>
      <c r="X802" s="51">
        <f>RANK(Table5[[#This Row],[zScore]],Table5[[#All],[zScore]])</f>
        <v>705</v>
      </c>
      <c r="Y802" s="50" t="str">
        <f>IFERROR(INDEX(DraftResults[[#All],[OVR]],MATCH(Table5[[#This Row],[PID]],DraftResults[[#All],[Player ID]],0)),"")</f>
        <v/>
      </c>
      <c r="Z8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2" s="50" t="str">
        <f>IFERROR(INDEX(DraftResults[[#All],[Pick in Round]],MATCH(Table5[[#This Row],[PID]],DraftResults[[#All],[Player ID]],0)),"")</f>
        <v/>
      </c>
      <c r="AB802" s="50" t="str">
        <f>IFERROR(INDEX(DraftResults[[#All],[Team Name]],MATCH(Table5[[#This Row],[PID]],DraftResults[[#All],[Player ID]],0)),"")</f>
        <v/>
      </c>
      <c r="AC802" s="50" t="str">
        <f>IF(Table5[[#This Row],[Ovr]]="","",IF(Table5[[#This Row],[cmbList]]="","",Table5[[#This Row],[cmbList]]-Table5[[#This Row],[Ovr]]))</f>
        <v/>
      </c>
      <c r="AD802" s="54" t="str">
        <f>IF(ISERROR(VLOOKUP($AB802&amp;"-"&amp;$E802&amp;" "&amp;F802,Bonuses!$B$1:$G$1006,4,FALSE)),"",INT(VLOOKUP($AB802&amp;"-"&amp;$E802&amp;" "&amp;$F802,Bonuses!$B$1:$G$1006,4,FALSE)))</f>
        <v/>
      </c>
      <c r="AE8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3" spans="1:31" s="50" customFormat="1" x14ac:dyDescent="0.25">
      <c r="A803" s="50">
        <v>17866</v>
      </c>
      <c r="B803" s="50">
        <f>COUNTIF(Table5[PID],A803)</f>
        <v>1</v>
      </c>
      <c r="C803" s="50" t="str">
        <f>IF(COUNTIF(Table3[[#All],[PID]],A803)&gt;0,"P","B")</f>
        <v>P</v>
      </c>
      <c r="D803" s="59" t="str">
        <f>IF($C803="B",INDEX(Batters[[#All],[POS]],MATCH(Table5[[#This Row],[PID]],Batters[[#All],[PID]],0)),INDEX(Table3[[#All],[POS]],MATCH(Table5[[#This Row],[PID]],Table3[[#All],[PID]],0)))</f>
        <v>RP</v>
      </c>
      <c r="E803" s="52" t="str">
        <f>IF($C803="B",INDEX(Batters[[#All],[First]],MATCH(Table5[[#This Row],[PID]],Batters[[#All],[PID]],0)),INDEX(Table3[[#All],[First]],MATCH(Table5[[#This Row],[PID]],Table3[[#All],[PID]],0)))</f>
        <v>Kazuyoshi</v>
      </c>
      <c r="F803" s="50" t="str">
        <f>IF($C803="B",INDEX(Batters[[#All],[Last]],MATCH(A803,Batters[[#All],[PID]],0)),INDEX(Table3[[#All],[Last]],MATCH(A803,Table3[[#All],[PID]],0)))</f>
        <v>Kikuchi</v>
      </c>
      <c r="G803" s="56">
        <f>IF($C803="B",INDEX(Batters[[#All],[Age]],MATCH(Table5[[#This Row],[PID]],Batters[[#All],[PID]],0)),INDEX(Table3[[#All],[Age]],MATCH(Table5[[#This Row],[PID]],Table3[[#All],[PID]],0)))</f>
        <v>18</v>
      </c>
      <c r="H803" s="52" t="str">
        <f>IF($C803="B",INDEX(Batters[[#All],[B]],MATCH(Table5[[#This Row],[PID]],Batters[[#All],[PID]],0)),INDEX(Table3[[#All],[B]],MATCH(Table5[[#This Row],[PID]],Table3[[#All],[PID]],0)))</f>
        <v>R</v>
      </c>
      <c r="I803" s="52" t="str">
        <f>IF($C803="B",INDEX(Batters[[#All],[T]],MATCH(Table5[[#This Row],[PID]],Batters[[#All],[PID]],0)),INDEX(Table3[[#All],[T]],MATCH(Table5[[#This Row],[PID]],Table3[[#All],[PID]],0)))</f>
        <v>R</v>
      </c>
      <c r="J803" s="52" t="str">
        <f>IF($C803="B",INDEX(Batters[[#All],[WE]],MATCH(Table5[[#This Row],[PID]],Batters[[#All],[PID]],0)),INDEX(Table3[[#All],[WE]],MATCH(Table5[[#This Row],[PID]],Table3[[#All],[PID]],0)))</f>
        <v>Normal</v>
      </c>
      <c r="K803" s="52" t="str">
        <f>IF($C803="B",INDEX(Batters[[#All],[INT]],MATCH(Table5[[#This Row],[PID]],Batters[[#All],[PID]],0)),INDEX(Table3[[#All],[INT]],MATCH(Table5[[#This Row],[PID]],Table3[[#All],[PID]],0)))</f>
        <v>Normal</v>
      </c>
      <c r="L803" s="60">
        <f>IF($C803="B",INDEX(Batters[[#All],[CON P]],MATCH(Table5[[#This Row],[PID]],Batters[[#All],[PID]],0)),INDEX(Table3[[#All],[STU P]],MATCH(Table5[[#This Row],[PID]],Table3[[#All],[PID]],0)))</f>
        <v>3</v>
      </c>
      <c r="M803" s="56">
        <f>IF($C803="B",INDEX(Batters[[#All],[GAP P]],MATCH(Table5[[#This Row],[PID]],Batters[[#All],[PID]],0)),INDEX(Table3[[#All],[MOV P]],MATCH(Table5[[#This Row],[PID]],Table3[[#All],[PID]],0)))</f>
        <v>2</v>
      </c>
      <c r="N803" s="56">
        <f>IF($C803="B",INDEX(Batters[[#All],[POW P]],MATCH(Table5[[#This Row],[PID]],Batters[[#All],[PID]],0)),INDEX(Table3[[#All],[CON P]],MATCH(Table5[[#This Row],[PID]],Table3[[#All],[PID]],0)))</f>
        <v>3</v>
      </c>
      <c r="O803" s="56" t="str">
        <f>IF($C803="B",INDEX(Batters[[#All],[EYE P]],MATCH(Table5[[#This Row],[PID]],Batters[[#All],[PID]],0)),INDEX(Table3[[#All],[VELO]],MATCH(Table5[[#This Row],[PID]],Table3[[#All],[PID]],0)))</f>
        <v>84-86 Mph</v>
      </c>
      <c r="P803" s="56">
        <f>IF($C803="B",INDEX(Batters[[#All],[K P]],MATCH(Table5[[#This Row],[PID]],Batters[[#All],[PID]],0)),INDEX(Table3[[#All],[STM]],MATCH(Table5[[#This Row],[PID]],Table3[[#All],[PID]],0)))</f>
        <v>6</v>
      </c>
      <c r="Q803" s="61">
        <f>IF($C803="B",INDEX(Batters[[#All],[Tot]],MATCH(Table5[[#This Row],[PID]],Batters[[#All],[PID]],0)),INDEX(Table3[[#All],[Tot]],MATCH(Table5[[#This Row],[PID]],Table3[[#All],[PID]],0)))</f>
        <v>31.902766263693167</v>
      </c>
      <c r="R803" s="52">
        <f>IF($C803="B",INDEX(Batters[[#All],[zScore]],MATCH(Table5[[#This Row],[PID]],Batters[[#All],[PID]],0)),INDEX(Table3[[#All],[zScore]],MATCH(Table5[[#This Row],[PID]],Table3[[#All],[PID]],0)))</f>
        <v>-0.26396899494854087</v>
      </c>
      <c r="S803" s="58" t="str">
        <f>IF($C803="B",INDEX(Batters[[#All],[DEM]],MATCH(Table5[[#This Row],[PID]],Batters[[#All],[PID]],0)),INDEX(Table3[[#All],[DEM]],MATCH(Table5[[#This Row],[PID]],Table3[[#All],[PID]],0)))</f>
        <v>$100k</v>
      </c>
      <c r="T803" s="62">
        <f>IF($C803="B",INDEX(Batters[[#All],[Rnk]],MATCH(Table5[[#This Row],[PID]],Batters[[#All],[PID]],0)),INDEX(Table3[[#All],[Rnk]],MATCH(Table5[[#This Row],[PID]],Table3[[#All],[PID]],0)))</f>
        <v>412</v>
      </c>
      <c r="U803" s="68">
        <f>IF($C803="B",VLOOKUP($A803,Bat!$A$4:$BA$1621,47,FALSE),VLOOKUP($A803,Pit!$A$4:$BF$1557,56,FALSE))</f>
        <v>0</v>
      </c>
      <c r="V803" s="50">
        <f>IF($C803="B",VLOOKUP($A803,Bat!$A$4:$BA$1621,48,FALSE),VLOOKUP($A803,Pit!$A$4:$BF$1557,57,FALSE))</f>
        <v>0</v>
      </c>
      <c r="W803" s="50">
        <f>Table5[[#This Row],[posRnk]]+Table5[[#This Row],[zRnk]]+IF($W$3&lt;&gt;Table5[[#This Row],[Type]],50,0)</f>
        <v>1168</v>
      </c>
      <c r="X803" s="51">
        <f>RANK(Table5[[#This Row],[zScore]],Table5[[#All],[zScore]])</f>
        <v>706</v>
      </c>
      <c r="Y803" s="50" t="str">
        <f>IFERROR(INDEX(DraftResults[[#All],[OVR]],MATCH(Table5[[#This Row],[PID]],DraftResults[[#All],[Player ID]],0)),"")</f>
        <v/>
      </c>
      <c r="Z8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3" s="50" t="str">
        <f>IFERROR(INDEX(DraftResults[[#All],[Pick in Round]],MATCH(Table5[[#This Row],[PID]],DraftResults[[#All],[Player ID]],0)),"")</f>
        <v/>
      </c>
      <c r="AB803" s="50" t="str">
        <f>IFERROR(INDEX(DraftResults[[#All],[Team Name]],MATCH(Table5[[#This Row],[PID]],DraftResults[[#All],[Player ID]],0)),"")</f>
        <v/>
      </c>
      <c r="AC803" s="50" t="str">
        <f>IF(Table5[[#This Row],[Ovr]]="","",IF(Table5[[#This Row],[cmbList]]="","",Table5[[#This Row],[cmbList]]-Table5[[#This Row],[Ovr]]))</f>
        <v/>
      </c>
      <c r="AD803" s="54" t="str">
        <f>IF(ISERROR(VLOOKUP($AB803&amp;"-"&amp;$E803&amp;" "&amp;F803,Bonuses!$B$1:$G$1006,4,FALSE)),"",INT(VLOOKUP($AB803&amp;"-"&amp;$E803&amp;" "&amp;$F803,Bonuses!$B$1:$G$1006,4,FALSE)))</f>
        <v/>
      </c>
      <c r="AE8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4" spans="1:31" s="50" customFormat="1" x14ac:dyDescent="0.25">
      <c r="A804" s="68">
        <v>17868</v>
      </c>
      <c r="B804" s="69">
        <f>COUNTIF(Table5[PID],A804)</f>
        <v>1</v>
      </c>
      <c r="C804" s="69" t="str">
        <f>IF(COUNTIF(Table3[[#All],[PID]],A804)&gt;0,"P","B")</f>
        <v>P</v>
      </c>
      <c r="D804" s="59" t="str">
        <f>IF($C804="B",INDEX(Batters[[#All],[POS]],MATCH(Table5[[#This Row],[PID]],Batters[[#All],[PID]],0)),INDEX(Table3[[#All],[POS]],MATCH(Table5[[#This Row],[PID]],Table3[[#All],[PID]],0)))</f>
        <v>SP</v>
      </c>
      <c r="E804" s="52" t="str">
        <f>IF($C804="B",INDEX(Batters[[#All],[First]],MATCH(Table5[[#This Row],[PID]],Batters[[#All],[PID]],0)),INDEX(Table3[[#All],[First]],MATCH(Table5[[#This Row],[PID]],Table3[[#All],[PID]],0)))</f>
        <v>Mitsuhide</v>
      </c>
      <c r="F804" s="55" t="str">
        <f>IF($C804="B",INDEX(Batters[[#All],[Last]],MATCH(A804,Batters[[#All],[PID]],0)),INDEX(Table3[[#All],[Last]],MATCH(A804,Table3[[#All],[PID]],0)))</f>
        <v>Suzuki</v>
      </c>
      <c r="G804" s="56">
        <f>IF($C804="B",INDEX(Batters[[#All],[Age]],MATCH(Table5[[#This Row],[PID]],Batters[[#All],[PID]],0)),INDEX(Table3[[#All],[Age]],MATCH(Table5[[#This Row],[PID]],Table3[[#All],[PID]],0)))</f>
        <v>18</v>
      </c>
      <c r="H804" s="52" t="str">
        <f>IF($C804="B",INDEX(Batters[[#All],[B]],MATCH(Table5[[#This Row],[PID]],Batters[[#All],[PID]],0)),INDEX(Table3[[#All],[B]],MATCH(Table5[[#This Row],[PID]],Table3[[#All],[PID]],0)))</f>
        <v>L</v>
      </c>
      <c r="I804" s="52" t="str">
        <f>IF($C804="B",INDEX(Batters[[#All],[T]],MATCH(Table5[[#This Row],[PID]],Batters[[#All],[PID]],0)),INDEX(Table3[[#All],[T]],MATCH(Table5[[#This Row],[PID]],Table3[[#All],[PID]],0)))</f>
        <v>L</v>
      </c>
      <c r="J804" s="71" t="str">
        <f>IF($C804="B",INDEX(Batters[[#All],[WE]],MATCH(Table5[[#This Row],[PID]],Batters[[#All],[PID]],0)),INDEX(Table3[[#All],[WE]],MATCH(Table5[[#This Row],[PID]],Table3[[#All],[PID]],0)))</f>
        <v>High</v>
      </c>
      <c r="K804" s="52" t="str">
        <f>IF($C804="B",INDEX(Batters[[#All],[INT]],MATCH(Table5[[#This Row],[PID]],Batters[[#All],[PID]],0)),INDEX(Table3[[#All],[INT]],MATCH(Table5[[#This Row],[PID]],Table3[[#All],[PID]],0)))</f>
        <v>Normal</v>
      </c>
      <c r="L804" s="60">
        <f>IF($C804="B",INDEX(Batters[[#All],[CON P]],MATCH(Table5[[#This Row],[PID]],Batters[[#All],[PID]],0)),INDEX(Table3[[#All],[STU P]],MATCH(Table5[[#This Row],[PID]],Table3[[#All],[PID]],0)))</f>
        <v>4</v>
      </c>
      <c r="M804" s="72">
        <f>IF($C804="B",INDEX(Batters[[#All],[GAP P]],MATCH(Table5[[#This Row],[PID]],Batters[[#All],[PID]],0)),INDEX(Table3[[#All],[MOV P]],MATCH(Table5[[#This Row],[PID]],Table3[[#All],[PID]],0)))</f>
        <v>1</v>
      </c>
      <c r="N804" s="72">
        <f>IF($C804="B",INDEX(Batters[[#All],[POW P]],MATCH(Table5[[#This Row],[PID]],Batters[[#All],[PID]],0)),INDEX(Table3[[#All],[CON P]],MATCH(Table5[[#This Row],[PID]],Table3[[#All],[PID]],0)))</f>
        <v>3</v>
      </c>
      <c r="O804" s="72" t="str">
        <f>IF($C804="B",INDEX(Batters[[#All],[EYE P]],MATCH(Table5[[#This Row],[PID]],Batters[[#All],[PID]],0)),INDEX(Table3[[#All],[VELO]],MATCH(Table5[[#This Row],[PID]],Table3[[#All],[PID]],0)))</f>
        <v>89-91 Mph</v>
      </c>
      <c r="P804" s="56">
        <f>IF($C804="B",INDEX(Batters[[#All],[K P]],MATCH(Table5[[#This Row],[PID]],Batters[[#All],[PID]],0)),INDEX(Table3[[#All],[STM]],MATCH(Table5[[#This Row],[PID]],Table3[[#All],[PID]],0)))</f>
        <v>8</v>
      </c>
      <c r="Q804" s="61">
        <f>IF($C804="B",INDEX(Batters[[#All],[Tot]],MATCH(Table5[[#This Row],[PID]],Batters[[#All],[PID]],0)),INDEX(Table3[[#All],[Tot]],MATCH(Table5[[#This Row],[PID]],Table3[[#All],[PID]],0)))</f>
        <v>33.114215520510776</v>
      </c>
      <c r="R804" s="52">
        <f>IF($C804="B",INDEX(Batters[[#All],[zScore]],MATCH(Table5[[#This Row],[PID]],Batters[[#All],[PID]],0)),INDEX(Table3[[#All],[zScore]],MATCH(Table5[[#This Row],[PID]],Table3[[#All],[PID]],0)))</f>
        <v>-0.26522736029746441</v>
      </c>
      <c r="S804" s="78" t="str">
        <f>IF($C804="B",INDEX(Batters[[#All],[DEM]],MATCH(Table5[[#This Row],[PID]],Batters[[#All],[PID]],0)),INDEX(Table3[[#All],[DEM]],MATCH(Table5[[#This Row],[PID]],Table3[[#All],[PID]],0)))</f>
        <v>$75k</v>
      </c>
      <c r="T804" s="75">
        <f>IF($C804="B",INDEX(Batters[[#All],[Rnk]],MATCH(Table5[[#This Row],[PID]],Batters[[#All],[PID]],0)),INDEX(Table3[[#All],[Rnk]],MATCH(Table5[[#This Row],[PID]],Table3[[#All],[PID]],0)))</f>
        <v>413</v>
      </c>
      <c r="U804" s="68">
        <f>IF($C804="B",VLOOKUP($A804,Bat!$A$4:$BA$1621,47,FALSE),VLOOKUP($A804,Pit!$A$4:$BF$1557,56,FALSE))</f>
        <v>0</v>
      </c>
      <c r="V804" s="50">
        <f>IF($C804="B",VLOOKUP($A804,Bat!$A$4:$BA$1621,48,FALSE),VLOOKUP($A804,Pit!$A$4:$BF$1557,57,FALSE))</f>
        <v>0</v>
      </c>
      <c r="W804" s="69">
        <f>Table5[[#This Row],[posRnk]]+Table5[[#This Row],[zRnk]]+IF($W$3&lt;&gt;Table5[[#This Row],[Type]],50,0)</f>
        <v>1170</v>
      </c>
      <c r="X804" s="73">
        <f>RANK(Table5[[#This Row],[zScore]],Table5[[#All],[zScore]])</f>
        <v>707</v>
      </c>
      <c r="Y804" s="69" t="str">
        <f>IFERROR(INDEX(DraftResults[[#All],[OVR]],MATCH(Table5[[#This Row],[PID]],DraftResults[[#All],[Player ID]],0)),"")</f>
        <v/>
      </c>
      <c r="Z80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4" s="69" t="str">
        <f>IFERROR(INDEX(DraftResults[[#All],[Pick in Round]],MATCH(Table5[[#This Row],[PID]],DraftResults[[#All],[Player ID]],0)),"")</f>
        <v/>
      </c>
      <c r="AB804" s="69" t="str">
        <f>IFERROR(INDEX(DraftResults[[#All],[Team Name]],MATCH(Table5[[#This Row],[PID]],DraftResults[[#All],[Player ID]],0)),"")</f>
        <v/>
      </c>
      <c r="AC804" s="69" t="str">
        <f>IF(Table5[[#This Row],[Ovr]]="","",IF(Table5[[#This Row],[cmbList]]="","",Table5[[#This Row],[cmbList]]-Table5[[#This Row],[Ovr]]))</f>
        <v/>
      </c>
      <c r="AD804" s="77" t="str">
        <f>IF(ISERROR(VLOOKUP($AB804&amp;"-"&amp;$E804&amp;" "&amp;F804,Bonuses!$B$1:$G$1006,4,FALSE)),"",INT(VLOOKUP($AB804&amp;"-"&amp;$E804&amp;" "&amp;$F804,Bonuses!$B$1:$G$1006,4,FALSE)))</f>
        <v/>
      </c>
      <c r="AE80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5" spans="1:31" s="50" customFormat="1" x14ac:dyDescent="0.25">
      <c r="A805" s="68">
        <v>18305</v>
      </c>
      <c r="B805" s="69">
        <f>COUNTIF(Table5[PID],A805)</f>
        <v>1</v>
      </c>
      <c r="C805" s="69" t="str">
        <f>IF(COUNTIF(Table3[[#All],[PID]],A805)&gt;0,"P","B")</f>
        <v>P</v>
      </c>
      <c r="D805" s="59" t="str">
        <f>IF($C805="B",INDEX(Batters[[#All],[POS]],MATCH(Table5[[#This Row],[PID]],Batters[[#All],[PID]],0)),INDEX(Table3[[#All],[POS]],MATCH(Table5[[#This Row],[PID]],Table3[[#All],[PID]],0)))</f>
        <v>SP</v>
      </c>
      <c r="E805" s="52" t="str">
        <f>IF($C805="B",INDEX(Batters[[#All],[First]],MATCH(Table5[[#This Row],[PID]],Batters[[#All],[PID]],0)),INDEX(Table3[[#All],[First]],MATCH(Table5[[#This Row],[PID]],Table3[[#All],[PID]],0)))</f>
        <v>Lee</v>
      </c>
      <c r="F805" s="55" t="str">
        <f>IF($C805="B",INDEX(Batters[[#All],[Last]],MATCH(A805,Batters[[#All],[PID]],0)),INDEX(Table3[[#All],[Last]],MATCH(A805,Table3[[#All],[PID]],0)))</f>
        <v>Jackson</v>
      </c>
      <c r="G805" s="56">
        <f>IF($C805="B",INDEX(Batters[[#All],[Age]],MATCH(Table5[[#This Row],[PID]],Batters[[#All],[PID]],0)),INDEX(Table3[[#All],[Age]],MATCH(Table5[[#This Row],[PID]],Table3[[#All],[PID]],0)))</f>
        <v>21</v>
      </c>
      <c r="H805" s="52" t="str">
        <f>IF($C805="B",INDEX(Batters[[#All],[B]],MATCH(Table5[[#This Row],[PID]],Batters[[#All],[PID]],0)),INDEX(Table3[[#All],[B]],MATCH(Table5[[#This Row],[PID]],Table3[[#All],[PID]],0)))</f>
        <v>R</v>
      </c>
      <c r="I805" s="52" t="str">
        <f>IF($C805="B",INDEX(Batters[[#All],[T]],MATCH(Table5[[#This Row],[PID]],Batters[[#All],[PID]],0)),INDEX(Table3[[#All],[T]],MATCH(Table5[[#This Row],[PID]],Table3[[#All],[PID]],0)))</f>
        <v>R</v>
      </c>
      <c r="J805" s="71" t="str">
        <f>IF($C805="B",INDEX(Batters[[#All],[WE]],MATCH(Table5[[#This Row],[PID]],Batters[[#All],[PID]],0)),INDEX(Table3[[#All],[WE]],MATCH(Table5[[#This Row],[PID]],Table3[[#All],[PID]],0)))</f>
        <v>Normal</v>
      </c>
      <c r="K805" s="52" t="str">
        <f>IF($C805="B",INDEX(Batters[[#All],[INT]],MATCH(Table5[[#This Row],[PID]],Batters[[#All],[PID]],0)),INDEX(Table3[[#All],[INT]],MATCH(Table5[[#This Row],[PID]],Table3[[#All],[PID]],0)))</f>
        <v>Normal</v>
      </c>
      <c r="L805" s="60">
        <f>IF($C805="B",INDEX(Batters[[#All],[CON P]],MATCH(Table5[[#This Row],[PID]],Batters[[#All],[PID]],0)),INDEX(Table3[[#All],[STU P]],MATCH(Table5[[#This Row],[PID]],Table3[[#All],[PID]],0)))</f>
        <v>4</v>
      </c>
      <c r="M805" s="72">
        <f>IF($C805="B",INDEX(Batters[[#All],[GAP P]],MATCH(Table5[[#This Row],[PID]],Batters[[#All],[PID]],0)),INDEX(Table3[[#All],[MOV P]],MATCH(Table5[[#This Row],[PID]],Table3[[#All],[PID]],0)))</f>
        <v>2</v>
      </c>
      <c r="N805" s="72">
        <f>IF($C805="B",INDEX(Batters[[#All],[POW P]],MATCH(Table5[[#This Row],[PID]],Batters[[#All],[PID]],0)),INDEX(Table3[[#All],[CON P]],MATCH(Table5[[#This Row],[PID]],Table3[[#All],[PID]],0)))</f>
        <v>4</v>
      </c>
      <c r="O805" s="72" t="str">
        <f>IF($C805="B",INDEX(Batters[[#All],[EYE P]],MATCH(Table5[[#This Row],[PID]],Batters[[#All],[PID]],0)),INDEX(Table3[[#All],[VELO]],MATCH(Table5[[#This Row],[PID]],Table3[[#All],[PID]],0)))</f>
        <v>91-93 Mph</v>
      </c>
      <c r="P805" s="56">
        <f>IF($C805="B",INDEX(Batters[[#All],[K P]],MATCH(Table5[[#This Row],[PID]],Batters[[#All],[PID]],0)),INDEX(Table3[[#All],[STM]],MATCH(Table5[[#This Row],[PID]],Table3[[#All],[PID]],0)))</f>
        <v>5</v>
      </c>
      <c r="Q805" s="61">
        <f>IF($C805="B",INDEX(Batters[[#All],[Tot]],MATCH(Table5[[#This Row],[PID]],Batters[[#All],[PID]],0)),INDEX(Table3[[#All],[Tot]],MATCH(Table5[[#This Row],[PID]],Table3[[#All],[PID]],0)))</f>
        <v>33.913325973343333</v>
      </c>
      <c r="R805" s="52">
        <f>IF($C805="B",INDEX(Batters[[#All],[zScore]],MATCH(Table5[[#This Row],[PID]],Batters[[#All],[PID]],0)),INDEX(Table3[[#All],[zScore]],MATCH(Table5[[#This Row],[PID]],Table3[[#All],[PID]],0)))</f>
        <v>-0.26649470162482164</v>
      </c>
      <c r="S805" s="78" t="str">
        <f>IF($C805="B",INDEX(Batters[[#All],[DEM]],MATCH(Table5[[#This Row],[PID]],Batters[[#All],[PID]],0)),INDEX(Table3[[#All],[DEM]],MATCH(Table5[[#This Row],[PID]],Table3[[#All],[PID]],0)))</f>
        <v>-</v>
      </c>
      <c r="T805" s="75">
        <f>IF($C805="B",INDEX(Batters[[#All],[Rnk]],MATCH(Table5[[#This Row],[PID]],Batters[[#All],[PID]],0)),INDEX(Table3[[#All],[Rnk]],MATCH(Table5[[#This Row],[PID]],Table3[[#All],[PID]],0)))</f>
        <v>414</v>
      </c>
      <c r="U805" s="68">
        <f>IF($C805="B",VLOOKUP($A805,Bat!$A$4:$BA$1621,47,FALSE),VLOOKUP($A805,Pit!$A$4:$BF$1557,56,FALSE))</f>
        <v>0</v>
      </c>
      <c r="V805" s="50">
        <f>IF($C805="B",VLOOKUP($A805,Bat!$A$4:$BA$1621,48,FALSE),VLOOKUP($A805,Pit!$A$4:$BF$1557,57,FALSE))</f>
        <v>0</v>
      </c>
      <c r="W805" s="69">
        <f>Table5[[#This Row],[posRnk]]+Table5[[#This Row],[zRnk]]+IF($W$3&lt;&gt;Table5[[#This Row],[Type]],50,0)</f>
        <v>1172</v>
      </c>
      <c r="X805" s="73">
        <f>RANK(Table5[[#This Row],[zScore]],Table5[[#All],[zScore]])</f>
        <v>708</v>
      </c>
      <c r="Y805" s="69" t="str">
        <f>IFERROR(INDEX(DraftResults[[#All],[OVR]],MATCH(Table5[[#This Row],[PID]],DraftResults[[#All],[Player ID]],0)),"")</f>
        <v/>
      </c>
      <c r="Z80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5" s="69" t="str">
        <f>IFERROR(INDEX(DraftResults[[#All],[Pick in Round]],MATCH(Table5[[#This Row],[PID]],DraftResults[[#All],[Player ID]],0)),"")</f>
        <v/>
      </c>
      <c r="AB805" s="69" t="str">
        <f>IFERROR(INDEX(DraftResults[[#All],[Team Name]],MATCH(Table5[[#This Row],[PID]],DraftResults[[#All],[Player ID]],0)),"")</f>
        <v/>
      </c>
      <c r="AC805" s="69" t="str">
        <f>IF(Table5[[#This Row],[Ovr]]="","",IF(Table5[[#This Row],[cmbList]]="","",Table5[[#This Row],[cmbList]]-Table5[[#This Row],[Ovr]]))</f>
        <v/>
      </c>
      <c r="AD805" s="77" t="str">
        <f>IF(ISERROR(VLOOKUP($AB805&amp;"-"&amp;$E805&amp;" "&amp;F805,Bonuses!$B$1:$G$1006,4,FALSE)),"",INT(VLOOKUP($AB805&amp;"-"&amp;$E805&amp;" "&amp;$F805,Bonuses!$B$1:$G$1006,4,FALSE)))</f>
        <v/>
      </c>
      <c r="AE80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6" spans="1:31" s="50" customFormat="1" x14ac:dyDescent="0.25">
      <c r="A806" s="50">
        <v>20903</v>
      </c>
      <c r="B806" s="50">
        <f>COUNTIF(Table5[PID],A806)</f>
        <v>1</v>
      </c>
      <c r="C806" s="50" t="str">
        <f>IF(COUNTIF(Table3[[#All],[PID]],A806)&gt;0,"P","B")</f>
        <v>P</v>
      </c>
      <c r="D806" s="59" t="str">
        <f>IF($C806="B",INDEX(Batters[[#All],[POS]],MATCH(Table5[[#This Row],[PID]],Batters[[#All],[PID]],0)),INDEX(Table3[[#All],[POS]],MATCH(Table5[[#This Row],[PID]],Table3[[#All],[PID]],0)))</f>
        <v>RP</v>
      </c>
      <c r="E806" s="52" t="str">
        <f>IF($C806="B",INDEX(Batters[[#All],[First]],MATCH(Table5[[#This Row],[PID]],Batters[[#All],[PID]],0)),INDEX(Table3[[#All],[First]],MATCH(Table5[[#This Row],[PID]],Table3[[#All],[PID]],0)))</f>
        <v>Tony</v>
      </c>
      <c r="F806" s="50" t="str">
        <f>IF($C806="B",INDEX(Batters[[#All],[Last]],MATCH(A806,Batters[[#All],[PID]],0)),INDEX(Table3[[#All],[Last]],MATCH(A806,Table3[[#All],[PID]],0)))</f>
        <v>Scott</v>
      </c>
      <c r="G806" s="56">
        <f>IF($C806="B",INDEX(Batters[[#All],[Age]],MATCH(Table5[[#This Row],[PID]],Batters[[#All],[PID]],0)),INDEX(Table3[[#All],[Age]],MATCH(Table5[[#This Row],[PID]],Table3[[#All],[PID]],0)))</f>
        <v>17</v>
      </c>
      <c r="H806" s="52" t="str">
        <f>IF($C806="B",INDEX(Batters[[#All],[B]],MATCH(Table5[[#This Row],[PID]],Batters[[#All],[PID]],0)),INDEX(Table3[[#All],[B]],MATCH(Table5[[#This Row],[PID]],Table3[[#All],[PID]],0)))</f>
        <v>S</v>
      </c>
      <c r="I806" s="52" t="str">
        <f>IF($C806="B",INDEX(Batters[[#All],[T]],MATCH(Table5[[#This Row],[PID]],Batters[[#All],[PID]],0)),INDEX(Table3[[#All],[T]],MATCH(Table5[[#This Row],[PID]],Table3[[#All],[PID]],0)))</f>
        <v>R</v>
      </c>
      <c r="J806" s="52" t="str">
        <f>IF($C806="B",INDEX(Batters[[#All],[WE]],MATCH(Table5[[#This Row],[PID]],Batters[[#All],[PID]],0)),INDEX(Table3[[#All],[WE]],MATCH(Table5[[#This Row],[PID]],Table3[[#All],[PID]],0)))</f>
        <v>Normal</v>
      </c>
      <c r="K806" s="52" t="str">
        <f>IF($C806="B",INDEX(Batters[[#All],[INT]],MATCH(Table5[[#This Row],[PID]],Batters[[#All],[PID]],0)),INDEX(Table3[[#All],[INT]],MATCH(Table5[[#This Row],[PID]],Table3[[#All],[PID]],0)))</f>
        <v>Normal</v>
      </c>
      <c r="L806" s="60">
        <f>IF($C806="B",INDEX(Batters[[#All],[CON P]],MATCH(Table5[[#This Row],[PID]],Batters[[#All],[PID]],0)),INDEX(Table3[[#All],[STU P]],MATCH(Table5[[#This Row],[PID]],Table3[[#All],[PID]],0)))</f>
        <v>3</v>
      </c>
      <c r="M806" s="56">
        <f>IF($C806="B",INDEX(Batters[[#All],[GAP P]],MATCH(Table5[[#This Row],[PID]],Batters[[#All],[PID]],0)),INDEX(Table3[[#All],[MOV P]],MATCH(Table5[[#This Row],[PID]],Table3[[#All],[PID]],0)))</f>
        <v>2</v>
      </c>
      <c r="N806" s="56">
        <f>IF($C806="B",INDEX(Batters[[#All],[POW P]],MATCH(Table5[[#This Row],[PID]],Batters[[#All],[PID]],0)),INDEX(Table3[[#All],[CON P]],MATCH(Table5[[#This Row],[PID]],Table3[[#All],[PID]],0)))</f>
        <v>3</v>
      </c>
      <c r="O806" s="56" t="str">
        <f>IF($C806="B",INDEX(Batters[[#All],[EYE P]],MATCH(Table5[[#This Row],[PID]],Batters[[#All],[PID]],0)),INDEX(Table3[[#All],[VELO]],MATCH(Table5[[#This Row],[PID]],Table3[[#All],[PID]],0)))</f>
        <v>86-88 Mph</v>
      </c>
      <c r="P806" s="56">
        <f>IF($C806="B",INDEX(Batters[[#All],[K P]],MATCH(Table5[[#This Row],[PID]],Batters[[#All],[PID]],0)),INDEX(Table3[[#All],[STM]],MATCH(Table5[[#This Row],[PID]],Table3[[#All],[PID]],0)))</f>
        <v>7</v>
      </c>
      <c r="Q806" s="61">
        <f>IF($C806="B",INDEX(Batters[[#All],[Tot]],MATCH(Table5[[#This Row],[PID]],Batters[[#All],[PID]],0)),INDEX(Table3[[#All],[Tot]],MATCH(Table5[[#This Row],[PID]],Table3[[#All],[PID]],0)))</f>
        <v>31.829704217103711</v>
      </c>
      <c r="R806" s="52">
        <f>IF($C806="B",INDEX(Batters[[#All],[zScore]],MATCH(Table5[[#This Row],[PID]],Batters[[#All],[PID]],0)),INDEX(Table3[[#All],[zScore]],MATCH(Table5[[#This Row],[PID]],Table3[[#All],[PID]],0)))</f>
        <v>-0.26882970126137795</v>
      </c>
      <c r="S806" s="58" t="str">
        <f>IF($C806="B",INDEX(Batters[[#All],[DEM]],MATCH(Table5[[#This Row],[PID]],Batters[[#All],[PID]],0)),INDEX(Table3[[#All],[DEM]],MATCH(Table5[[#This Row],[PID]],Table3[[#All],[PID]],0)))</f>
        <v>$70k</v>
      </c>
      <c r="T806" s="62">
        <f>IF($C806="B",INDEX(Batters[[#All],[Rnk]],MATCH(Table5[[#This Row],[PID]],Batters[[#All],[PID]],0)),INDEX(Table3[[#All],[Rnk]],MATCH(Table5[[#This Row],[PID]],Table3[[#All],[PID]],0)))</f>
        <v>415</v>
      </c>
      <c r="U806" s="68">
        <f>IF($C806="B",VLOOKUP($A806,Bat!$A$4:$BA$1621,47,FALSE),VLOOKUP($A806,Pit!$A$4:$BF$1557,56,FALSE))</f>
        <v>0</v>
      </c>
      <c r="V806" s="50">
        <f>IF($C806="B",VLOOKUP($A806,Bat!$A$4:$BA$1621,48,FALSE),VLOOKUP($A806,Pit!$A$4:$BF$1557,57,FALSE))</f>
        <v>0</v>
      </c>
      <c r="W806" s="50">
        <f>Table5[[#This Row],[posRnk]]+Table5[[#This Row],[zRnk]]+IF($W$3&lt;&gt;Table5[[#This Row],[Type]],50,0)</f>
        <v>1174</v>
      </c>
      <c r="X806" s="51">
        <f>RANK(Table5[[#This Row],[zScore]],Table5[[#All],[zScore]])</f>
        <v>709</v>
      </c>
      <c r="Y806" s="50" t="str">
        <f>IFERROR(INDEX(DraftResults[[#All],[OVR]],MATCH(Table5[[#This Row],[PID]],DraftResults[[#All],[Player ID]],0)),"")</f>
        <v/>
      </c>
      <c r="Z8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6" s="50" t="str">
        <f>IFERROR(INDEX(DraftResults[[#All],[Pick in Round]],MATCH(Table5[[#This Row],[PID]],DraftResults[[#All],[Player ID]],0)),"")</f>
        <v/>
      </c>
      <c r="AB806" s="50" t="str">
        <f>IFERROR(INDEX(DraftResults[[#All],[Team Name]],MATCH(Table5[[#This Row],[PID]],DraftResults[[#All],[Player ID]],0)),"")</f>
        <v/>
      </c>
      <c r="AC806" s="50" t="str">
        <f>IF(Table5[[#This Row],[Ovr]]="","",IF(Table5[[#This Row],[cmbList]]="","",Table5[[#This Row],[cmbList]]-Table5[[#This Row],[Ovr]]))</f>
        <v/>
      </c>
      <c r="AD806" s="54" t="str">
        <f>IF(ISERROR(VLOOKUP($AB806&amp;"-"&amp;$E806&amp;" "&amp;F806,Bonuses!$B$1:$G$1006,4,FALSE)),"",INT(VLOOKUP($AB806&amp;"-"&amp;$E806&amp;" "&amp;$F806,Bonuses!$B$1:$G$1006,4,FALSE)))</f>
        <v/>
      </c>
      <c r="AE8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7" spans="1:31" s="50" customFormat="1" x14ac:dyDescent="0.25">
      <c r="A807" s="50">
        <v>20305</v>
      </c>
      <c r="B807" s="50">
        <f>COUNTIF(Table5[PID],A807)</f>
        <v>1</v>
      </c>
      <c r="C807" s="50" t="str">
        <f>IF(COUNTIF(Table3[[#All],[PID]],A807)&gt;0,"P","B")</f>
        <v>P</v>
      </c>
      <c r="D807" s="59" t="str">
        <f>IF($C807="B",INDEX(Batters[[#All],[POS]],MATCH(Table5[[#This Row],[PID]],Batters[[#All],[PID]],0)),INDEX(Table3[[#All],[POS]],MATCH(Table5[[#This Row],[PID]],Table3[[#All],[PID]],0)))</f>
        <v>RP</v>
      </c>
      <c r="E807" s="52" t="str">
        <f>IF($C807="B",INDEX(Batters[[#All],[First]],MATCH(Table5[[#This Row],[PID]],Batters[[#All],[PID]],0)),INDEX(Table3[[#All],[First]],MATCH(Table5[[#This Row],[PID]],Table3[[#All],[PID]],0)))</f>
        <v>Ju-chan</v>
      </c>
      <c r="F807" s="50" t="str">
        <f>IF($C807="B",INDEX(Batters[[#All],[Last]],MATCH(A807,Batters[[#All],[PID]],0)),INDEX(Table3[[#All],[Last]],MATCH(A807,Table3[[#All],[PID]],0)))</f>
        <v>Kim</v>
      </c>
      <c r="G807" s="56">
        <f>IF($C807="B",INDEX(Batters[[#All],[Age]],MATCH(Table5[[#This Row],[PID]],Batters[[#All],[PID]],0)),INDEX(Table3[[#All],[Age]],MATCH(Table5[[#This Row],[PID]],Table3[[#All],[PID]],0)))</f>
        <v>19</v>
      </c>
      <c r="H807" s="52" t="str">
        <f>IF($C807="B",INDEX(Batters[[#All],[B]],MATCH(Table5[[#This Row],[PID]],Batters[[#All],[PID]],0)),INDEX(Table3[[#All],[B]],MATCH(Table5[[#This Row],[PID]],Table3[[#All],[PID]],0)))</f>
        <v>R</v>
      </c>
      <c r="I807" s="52" t="str">
        <f>IF($C807="B",INDEX(Batters[[#All],[T]],MATCH(Table5[[#This Row],[PID]],Batters[[#All],[PID]],0)),INDEX(Table3[[#All],[T]],MATCH(Table5[[#This Row],[PID]],Table3[[#All],[PID]],0)))</f>
        <v>R</v>
      </c>
      <c r="J807" s="52" t="str">
        <f>IF($C807="B",INDEX(Batters[[#All],[WE]],MATCH(Table5[[#This Row],[PID]],Batters[[#All],[PID]],0)),INDEX(Table3[[#All],[WE]],MATCH(Table5[[#This Row],[PID]],Table3[[#All],[PID]],0)))</f>
        <v>Low</v>
      </c>
      <c r="K807" s="52" t="str">
        <f>IF($C807="B",INDEX(Batters[[#All],[INT]],MATCH(Table5[[#This Row],[PID]],Batters[[#All],[PID]],0)),INDEX(Table3[[#All],[INT]],MATCH(Table5[[#This Row],[PID]],Table3[[#All],[PID]],0)))</f>
        <v>Normal</v>
      </c>
      <c r="L807" s="60">
        <f>IF($C807="B",INDEX(Batters[[#All],[CON P]],MATCH(Table5[[#This Row],[PID]],Batters[[#All],[PID]],0)),INDEX(Table3[[#All],[STU P]],MATCH(Table5[[#This Row],[PID]],Table3[[#All],[PID]],0)))</f>
        <v>4</v>
      </c>
      <c r="M807" s="56">
        <f>IF($C807="B",INDEX(Batters[[#All],[GAP P]],MATCH(Table5[[#This Row],[PID]],Batters[[#All],[PID]],0)),INDEX(Table3[[#All],[MOV P]],MATCH(Table5[[#This Row],[PID]],Table3[[#All],[PID]],0)))</f>
        <v>2</v>
      </c>
      <c r="N807" s="56">
        <f>IF($C807="B",INDEX(Batters[[#All],[POW P]],MATCH(Table5[[#This Row],[PID]],Batters[[#All],[PID]],0)),INDEX(Table3[[#All],[CON P]],MATCH(Table5[[#This Row],[PID]],Table3[[#All],[PID]],0)))</f>
        <v>3</v>
      </c>
      <c r="O807" s="56" t="str">
        <f>IF($C807="B",INDEX(Batters[[#All],[EYE P]],MATCH(Table5[[#This Row],[PID]],Batters[[#All],[PID]],0)),INDEX(Table3[[#All],[VELO]],MATCH(Table5[[#This Row],[PID]],Table3[[#All],[PID]],0)))</f>
        <v>87-89 Mph</v>
      </c>
      <c r="P807" s="56">
        <f>IF($C807="B",INDEX(Batters[[#All],[K P]],MATCH(Table5[[#This Row],[PID]],Batters[[#All],[PID]],0)),INDEX(Table3[[#All],[STM]],MATCH(Table5[[#This Row],[PID]],Table3[[#All],[PID]],0)))</f>
        <v>4</v>
      </c>
      <c r="Q807" s="61">
        <f>IF($C807="B",INDEX(Batters[[#All],[Tot]],MATCH(Table5[[#This Row],[PID]],Batters[[#All],[PID]],0)),INDEX(Table3[[#All],[Tot]],MATCH(Table5[[#This Row],[PID]],Table3[[#All],[PID]],0)))</f>
        <v>31.803698708313032</v>
      </c>
      <c r="R807" s="52">
        <f>IF($C807="B",INDEX(Batters[[#All],[zScore]],MATCH(Table5[[#This Row],[PID]],Batters[[#All],[PID]],0)),INDEX(Table3[[#All],[zScore]],MATCH(Table5[[#This Row],[PID]],Table3[[#All],[PID]],0)))</f>
        <v>-0.27055980802197388</v>
      </c>
      <c r="S807" s="58" t="str">
        <f>IF($C807="B",INDEX(Batters[[#All],[DEM]],MATCH(Table5[[#This Row],[PID]],Batters[[#All],[PID]],0)),INDEX(Table3[[#All],[DEM]],MATCH(Table5[[#This Row],[PID]],Table3[[#All],[PID]],0)))</f>
        <v>$130k</v>
      </c>
      <c r="T807" s="62">
        <f>IF($C807="B",INDEX(Batters[[#All],[Rnk]],MATCH(Table5[[#This Row],[PID]],Batters[[#All],[PID]],0)),INDEX(Table3[[#All],[Rnk]],MATCH(Table5[[#This Row],[PID]],Table3[[#All],[PID]],0)))</f>
        <v>416</v>
      </c>
      <c r="U807" s="68">
        <f>IF($C807="B",VLOOKUP($A807,Bat!$A$4:$BA$1621,47,FALSE),VLOOKUP($A807,Pit!$A$4:$BF$1557,56,FALSE))</f>
        <v>0</v>
      </c>
      <c r="V807" s="50">
        <f>IF($C807="B",VLOOKUP($A807,Bat!$A$4:$BA$1621,48,FALSE),VLOOKUP($A807,Pit!$A$4:$BF$1557,57,FALSE))</f>
        <v>0</v>
      </c>
      <c r="W807" s="50">
        <f>Table5[[#This Row],[posRnk]]+Table5[[#This Row],[zRnk]]+IF($W$3&lt;&gt;Table5[[#This Row],[Type]],50,0)</f>
        <v>1176</v>
      </c>
      <c r="X807" s="51">
        <f>RANK(Table5[[#This Row],[zScore]],Table5[[#All],[zScore]])</f>
        <v>710</v>
      </c>
      <c r="Y807" s="50" t="str">
        <f>IFERROR(INDEX(DraftResults[[#All],[OVR]],MATCH(Table5[[#This Row],[PID]],DraftResults[[#All],[Player ID]],0)),"")</f>
        <v/>
      </c>
      <c r="Z8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7" s="50" t="str">
        <f>IFERROR(INDEX(DraftResults[[#All],[Pick in Round]],MATCH(Table5[[#This Row],[PID]],DraftResults[[#All],[Player ID]],0)),"")</f>
        <v/>
      </c>
      <c r="AB807" s="50" t="str">
        <f>IFERROR(INDEX(DraftResults[[#All],[Team Name]],MATCH(Table5[[#This Row],[PID]],DraftResults[[#All],[Player ID]],0)),"")</f>
        <v/>
      </c>
      <c r="AC807" s="50" t="str">
        <f>IF(Table5[[#This Row],[Ovr]]="","",IF(Table5[[#This Row],[cmbList]]="","",Table5[[#This Row],[cmbList]]-Table5[[#This Row],[Ovr]]))</f>
        <v/>
      </c>
      <c r="AD807" s="54" t="str">
        <f>IF(ISERROR(VLOOKUP($AB807&amp;"-"&amp;$E807&amp;" "&amp;F807,Bonuses!$B$1:$G$1006,4,FALSE)),"",INT(VLOOKUP($AB807&amp;"-"&amp;$E807&amp;" "&amp;$F807,Bonuses!$B$1:$G$1006,4,FALSE)))</f>
        <v/>
      </c>
      <c r="AE8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8" spans="1:31" s="50" customFormat="1" x14ac:dyDescent="0.25">
      <c r="A808" s="50">
        <v>17848</v>
      </c>
      <c r="B808" s="50">
        <f>COUNTIF(Table5[PID],A808)</f>
        <v>1</v>
      </c>
      <c r="C808" s="50" t="str">
        <f>IF(COUNTIF(Table3[[#All],[PID]],A808)&gt;0,"P","B")</f>
        <v>B</v>
      </c>
      <c r="D808" s="59" t="str">
        <f>IF($C808="B",INDEX(Batters[[#All],[POS]],MATCH(Table5[[#This Row],[PID]],Batters[[#All],[PID]],0)),INDEX(Table3[[#All],[POS]],MATCH(Table5[[#This Row],[PID]],Table3[[#All],[PID]],0)))</f>
        <v>CF</v>
      </c>
      <c r="E808" s="52" t="str">
        <f>IF($C808="B",INDEX(Batters[[#All],[First]],MATCH(Table5[[#This Row],[PID]],Batters[[#All],[PID]],0)),INDEX(Table3[[#All],[First]],MATCH(Table5[[#This Row],[PID]],Table3[[#All],[PID]],0)))</f>
        <v>Yuki</v>
      </c>
      <c r="F808" s="50" t="str">
        <f>IF($C808="B",INDEX(Batters[[#All],[Last]],MATCH(A808,Batters[[#All],[PID]],0)),INDEX(Table3[[#All],[Last]],MATCH(A808,Table3[[#All],[PID]],0)))</f>
        <v>Ishihara</v>
      </c>
      <c r="G808" s="56">
        <f>IF($C808="B",INDEX(Batters[[#All],[Age]],MATCH(Table5[[#This Row],[PID]],Batters[[#All],[PID]],0)),INDEX(Table3[[#All],[Age]],MATCH(Table5[[#This Row],[PID]],Table3[[#All],[PID]],0)))</f>
        <v>18</v>
      </c>
      <c r="H808" s="52" t="str">
        <f>IF($C808="B",INDEX(Batters[[#All],[B]],MATCH(Table5[[#This Row],[PID]],Batters[[#All],[PID]],0)),INDEX(Table3[[#All],[B]],MATCH(Table5[[#This Row],[PID]],Table3[[#All],[PID]],0)))</f>
        <v>L</v>
      </c>
      <c r="I808" s="52" t="str">
        <f>IF($C808="B",INDEX(Batters[[#All],[T]],MATCH(Table5[[#This Row],[PID]],Batters[[#All],[PID]],0)),INDEX(Table3[[#All],[T]],MATCH(Table5[[#This Row],[PID]],Table3[[#All],[PID]],0)))</f>
        <v>L</v>
      </c>
      <c r="J808" s="52" t="str">
        <f>IF($C808="B",INDEX(Batters[[#All],[WE]],MATCH(Table5[[#This Row],[PID]],Batters[[#All],[PID]],0)),INDEX(Table3[[#All],[WE]],MATCH(Table5[[#This Row],[PID]],Table3[[#All],[PID]],0)))</f>
        <v>Low</v>
      </c>
      <c r="K808" s="52" t="str">
        <f>IF($C808="B",INDEX(Batters[[#All],[INT]],MATCH(Table5[[#This Row],[PID]],Batters[[#All],[PID]],0)),INDEX(Table3[[#All],[INT]],MATCH(Table5[[#This Row],[PID]],Table3[[#All],[PID]],0)))</f>
        <v>Normal</v>
      </c>
      <c r="L808" s="60">
        <f>IF($C808="B",INDEX(Batters[[#All],[CON P]],MATCH(Table5[[#This Row],[PID]],Batters[[#All],[PID]],0)),INDEX(Table3[[#All],[STU P]],MATCH(Table5[[#This Row],[PID]],Table3[[#All],[PID]],0)))</f>
        <v>3</v>
      </c>
      <c r="M808" s="56">
        <f>IF($C808="B",INDEX(Batters[[#All],[GAP P]],MATCH(Table5[[#This Row],[PID]],Batters[[#All],[PID]],0)),INDEX(Table3[[#All],[MOV P]],MATCH(Table5[[#This Row],[PID]],Table3[[#All],[PID]],0)))</f>
        <v>4</v>
      </c>
      <c r="N808" s="56">
        <f>IF($C808="B",INDEX(Batters[[#All],[POW P]],MATCH(Table5[[#This Row],[PID]],Batters[[#All],[PID]],0)),INDEX(Table3[[#All],[CON P]],MATCH(Table5[[#This Row],[PID]],Table3[[#All],[PID]],0)))</f>
        <v>3</v>
      </c>
      <c r="O808" s="56">
        <f>IF($C808="B",INDEX(Batters[[#All],[EYE P]],MATCH(Table5[[#This Row],[PID]],Batters[[#All],[PID]],0)),INDEX(Table3[[#All],[VELO]],MATCH(Table5[[#This Row],[PID]],Table3[[#All],[PID]],0)))</f>
        <v>6</v>
      </c>
      <c r="P808" s="56">
        <f>IF($C808="B",INDEX(Batters[[#All],[K P]],MATCH(Table5[[#This Row],[PID]],Batters[[#All],[PID]],0)),INDEX(Table3[[#All],[STM]],MATCH(Table5[[#This Row],[PID]],Table3[[#All],[PID]],0)))</f>
        <v>4</v>
      </c>
      <c r="Q808" s="61">
        <f>IF($C808="B",INDEX(Batters[[#All],[Tot]],MATCH(Table5[[#This Row],[PID]],Batters[[#All],[PID]],0)),INDEX(Table3[[#All],[Tot]],MATCH(Table5[[#This Row],[PID]],Table3[[#All],[PID]],0)))</f>
        <v>42.901963019134328</v>
      </c>
      <c r="R808" s="52">
        <f>IF($C808="B",INDEX(Batters[[#All],[zScore]],MATCH(Table5[[#This Row],[PID]],Batters[[#All],[PID]],0)),INDEX(Table3[[#All],[zScore]],MATCH(Table5[[#This Row],[PID]],Table3[[#All],[PID]],0)))</f>
        <v>-0.27269414881507892</v>
      </c>
      <c r="S808" s="58" t="str">
        <f>IF($C808="B",INDEX(Batters[[#All],[DEM]],MATCH(Table5[[#This Row],[PID]],Batters[[#All],[PID]],0)),INDEX(Table3[[#All],[DEM]],MATCH(Table5[[#This Row],[PID]],Table3[[#All],[PID]],0)))</f>
        <v>$38k</v>
      </c>
      <c r="T808" s="62">
        <f>IF($C808="B",INDEX(Batters[[#All],[Rnk]],MATCH(Table5[[#This Row],[PID]],Batters[[#All],[PID]],0)),INDEX(Table3[[#All],[Rnk]],MATCH(Table5[[#This Row],[PID]],Table3[[#All],[PID]],0)))</f>
        <v>295</v>
      </c>
      <c r="U808" s="68">
        <f>IF($C808="B",VLOOKUP($A808,Bat!$A$4:$BA$1621,47,FALSE),VLOOKUP($A808,Pit!$A$4:$BF$1557,56,FALSE))</f>
        <v>0</v>
      </c>
      <c r="V808" s="50">
        <f>IF($C808="B",VLOOKUP($A808,Bat!$A$4:$BA$1621,48,FALSE),VLOOKUP($A808,Pit!$A$4:$BF$1557,57,FALSE))</f>
        <v>0</v>
      </c>
      <c r="W808" s="50">
        <f>Table5[[#This Row],[posRnk]]+Table5[[#This Row],[zRnk]]+IF($W$3&lt;&gt;Table5[[#This Row],[Type]],50,0)</f>
        <v>1056</v>
      </c>
      <c r="X808" s="51">
        <f>RANK(Table5[[#This Row],[zScore]],Table5[[#All],[zScore]])</f>
        <v>711</v>
      </c>
      <c r="Y808" s="50" t="str">
        <f>IFERROR(INDEX(DraftResults[[#All],[OVR]],MATCH(Table5[[#This Row],[PID]],DraftResults[[#All],[Player ID]],0)),"")</f>
        <v/>
      </c>
      <c r="Z8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8" s="50" t="str">
        <f>IFERROR(INDEX(DraftResults[[#All],[Pick in Round]],MATCH(Table5[[#This Row],[PID]],DraftResults[[#All],[Player ID]],0)),"")</f>
        <v/>
      </c>
      <c r="AB808" s="50" t="str">
        <f>IFERROR(INDEX(DraftResults[[#All],[Team Name]],MATCH(Table5[[#This Row],[PID]],DraftResults[[#All],[Player ID]],0)),"")</f>
        <v/>
      </c>
      <c r="AC808" s="50" t="str">
        <f>IF(Table5[[#This Row],[Ovr]]="","",IF(Table5[[#This Row],[cmbList]]="","",Table5[[#This Row],[cmbList]]-Table5[[#This Row],[Ovr]]))</f>
        <v/>
      </c>
      <c r="AD808" s="54" t="str">
        <f>IF(ISERROR(VLOOKUP($AB808&amp;"-"&amp;$E808&amp;" "&amp;F808,Bonuses!$B$1:$G$1006,4,FALSE)),"",INT(VLOOKUP($AB808&amp;"-"&amp;$E808&amp;" "&amp;$F808,Bonuses!$B$1:$G$1006,4,FALSE)))</f>
        <v/>
      </c>
      <c r="AE8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09" spans="1:31" s="50" customFormat="1" x14ac:dyDescent="0.25">
      <c r="A809" s="68">
        <v>10310</v>
      </c>
      <c r="B809" s="69">
        <f>COUNTIF(Table5[PID],A809)</f>
        <v>1</v>
      </c>
      <c r="C809" s="69" t="str">
        <f>IF(COUNTIF(Table3[[#All],[PID]],A809)&gt;0,"P","B")</f>
        <v>P</v>
      </c>
      <c r="D809" s="59" t="str">
        <f>IF($C809="B",INDEX(Batters[[#All],[POS]],MATCH(Table5[[#This Row],[PID]],Batters[[#All],[PID]],0)),INDEX(Table3[[#All],[POS]],MATCH(Table5[[#This Row],[PID]],Table3[[#All],[PID]],0)))</f>
        <v>SP</v>
      </c>
      <c r="E809" s="52" t="str">
        <f>IF($C809="B",INDEX(Batters[[#All],[First]],MATCH(Table5[[#This Row],[PID]],Batters[[#All],[PID]],0)),INDEX(Table3[[#All],[First]],MATCH(Table5[[#This Row],[PID]],Table3[[#All],[PID]],0)))</f>
        <v>Tony</v>
      </c>
      <c r="F809" s="55" t="str">
        <f>IF($C809="B",INDEX(Batters[[#All],[Last]],MATCH(A809,Batters[[#All],[PID]],0)),INDEX(Table3[[#All],[Last]],MATCH(A809,Table3[[#All],[PID]],0)))</f>
        <v>MacKinney</v>
      </c>
      <c r="G809" s="56">
        <f>IF($C809="B",INDEX(Batters[[#All],[Age]],MATCH(Table5[[#This Row],[PID]],Batters[[#All],[PID]],0)),INDEX(Table3[[#All],[Age]],MATCH(Table5[[#This Row],[PID]],Table3[[#All],[PID]],0)))</f>
        <v>22</v>
      </c>
      <c r="H809" s="52" t="str">
        <f>IF($C809="B",INDEX(Batters[[#All],[B]],MATCH(Table5[[#This Row],[PID]],Batters[[#All],[PID]],0)),INDEX(Table3[[#All],[B]],MATCH(Table5[[#This Row],[PID]],Table3[[#All],[PID]],0)))</f>
        <v>R</v>
      </c>
      <c r="I809" s="52" t="str">
        <f>IF($C809="B",INDEX(Batters[[#All],[T]],MATCH(Table5[[#This Row],[PID]],Batters[[#All],[PID]],0)),INDEX(Table3[[#All],[T]],MATCH(Table5[[#This Row],[PID]],Table3[[#All],[PID]],0)))</f>
        <v>R</v>
      </c>
      <c r="J809" s="71" t="str">
        <f>IF($C809="B",INDEX(Batters[[#All],[WE]],MATCH(Table5[[#This Row],[PID]],Batters[[#All],[PID]],0)),INDEX(Table3[[#All],[WE]],MATCH(Table5[[#This Row],[PID]],Table3[[#All],[PID]],0)))</f>
        <v>Low</v>
      </c>
      <c r="K809" s="52" t="str">
        <f>IF($C809="B",INDEX(Batters[[#All],[INT]],MATCH(Table5[[#This Row],[PID]],Batters[[#All],[PID]],0)),INDEX(Table3[[#All],[INT]],MATCH(Table5[[#This Row],[PID]],Table3[[#All],[PID]],0)))</f>
        <v>Normal</v>
      </c>
      <c r="L809" s="60">
        <f>IF($C809="B",INDEX(Batters[[#All],[CON P]],MATCH(Table5[[#This Row],[PID]],Batters[[#All],[PID]],0)),INDEX(Table3[[#All],[STU P]],MATCH(Table5[[#This Row],[PID]],Table3[[#All],[PID]],0)))</f>
        <v>4</v>
      </c>
      <c r="M809" s="72">
        <f>IF($C809="B",INDEX(Batters[[#All],[GAP P]],MATCH(Table5[[#This Row],[PID]],Batters[[#All],[PID]],0)),INDEX(Table3[[#All],[MOV P]],MATCH(Table5[[#This Row],[PID]],Table3[[#All],[PID]],0)))</f>
        <v>2</v>
      </c>
      <c r="N809" s="72">
        <f>IF($C809="B",INDEX(Batters[[#All],[POW P]],MATCH(Table5[[#This Row],[PID]],Batters[[#All],[PID]],0)),INDEX(Table3[[#All],[CON P]],MATCH(Table5[[#This Row],[PID]],Table3[[#All],[PID]],0)))</f>
        <v>3</v>
      </c>
      <c r="O809" s="72" t="str">
        <f>IF($C809="B",INDEX(Batters[[#All],[EYE P]],MATCH(Table5[[#This Row],[PID]],Batters[[#All],[PID]],0)),INDEX(Table3[[#All],[VELO]],MATCH(Table5[[#This Row],[PID]],Table3[[#All],[PID]],0)))</f>
        <v>94-96 Mph</v>
      </c>
      <c r="P809" s="56">
        <f>IF($C809="B",INDEX(Batters[[#All],[K P]],MATCH(Table5[[#This Row],[PID]],Batters[[#All],[PID]],0)),INDEX(Table3[[#All],[STM]],MATCH(Table5[[#This Row],[PID]],Table3[[#All],[PID]],0)))</f>
        <v>6</v>
      </c>
      <c r="Q809" s="61">
        <f>IF($C809="B",INDEX(Batters[[#All],[Tot]],MATCH(Table5[[#This Row],[PID]],Batters[[#All],[PID]],0)),INDEX(Table3[[#All],[Tot]],MATCH(Table5[[#This Row],[PID]],Table3[[#All],[PID]],0)))</f>
        <v>31.747627912390257</v>
      </c>
      <c r="R809" s="52">
        <f>IF($C809="B",INDEX(Batters[[#All],[zScore]],MATCH(Table5[[#This Row],[PID]],Batters[[#All],[PID]],0)),INDEX(Table3[[#All],[zScore]],MATCH(Table5[[#This Row],[PID]],Table3[[#All],[PID]],0)))</f>
        <v>-0.27429011239243706</v>
      </c>
      <c r="S809" s="78" t="str">
        <f>IF($C809="B",INDEX(Batters[[#All],[DEM]],MATCH(Table5[[#This Row],[PID]],Batters[[#All],[PID]],0)),INDEX(Table3[[#All],[DEM]],MATCH(Table5[[#This Row],[PID]],Table3[[#All],[PID]],0)))</f>
        <v>-</v>
      </c>
      <c r="T809" s="75">
        <f>IF($C809="B",INDEX(Batters[[#All],[Rnk]],MATCH(Table5[[#This Row],[PID]],Batters[[#All],[PID]],0)),INDEX(Table3[[#All],[Rnk]],MATCH(Table5[[#This Row],[PID]],Table3[[#All],[PID]],0)))</f>
        <v>417</v>
      </c>
      <c r="U809" s="68">
        <f>IF($C809="B",VLOOKUP($A809,Bat!$A$4:$BA$1621,47,FALSE),VLOOKUP($A809,Pit!$A$4:$BF$1557,56,FALSE))</f>
        <v>0</v>
      </c>
      <c r="V809" s="50">
        <f>IF($C809="B",VLOOKUP($A809,Bat!$A$4:$BA$1621,48,FALSE),VLOOKUP($A809,Pit!$A$4:$BF$1557,57,FALSE))</f>
        <v>0</v>
      </c>
      <c r="W809" s="69">
        <f>Table5[[#This Row],[posRnk]]+Table5[[#This Row],[zRnk]]+IF($W$3&lt;&gt;Table5[[#This Row],[Type]],50,0)</f>
        <v>1179</v>
      </c>
      <c r="X809" s="73">
        <f>RANK(Table5[[#This Row],[zScore]],Table5[[#All],[zScore]])</f>
        <v>712</v>
      </c>
      <c r="Y809" s="69" t="str">
        <f>IFERROR(INDEX(DraftResults[[#All],[OVR]],MATCH(Table5[[#This Row],[PID]],DraftResults[[#All],[Player ID]],0)),"")</f>
        <v/>
      </c>
      <c r="Z80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09" s="69" t="str">
        <f>IFERROR(INDEX(DraftResults[[#All],[Pick in Round]],MATCH(Table5[[#This Row],[PID]],DraftResults[[#All],[Player ID]],0)),"")</f>
        <v/>
      </c>
      <c r="AB809" s="69" t="str">
        <f>IFERROR(INDEX(DraftResults[[#All],[Team Name]],MATCH(Table5[[#This Row],[PID]],DraftResults[[#All],[Player ID]],0)),"")</f>
        <v/>
      </c>
      <c r="AC809" s="69" t="str">
        <f>IF(Table5[[#This Row],[Ovr]]="","",IF(Table5[[#This Row],[cmbList]]="","",Table5[[#This Row],[cmbList]]-Table5[[#This Row],[Ovr]]))</f>
        <v/>
      </c>
      <c r="AD809" s="77" t="str">
        <f>IF(ISERROR(VLOOKUP($AB809&amp;"-"&amp;$E809&amp;" "&amp;F809,Bonuses!$B$1:$G$1006,4,FALSE)),"",INT(VLOOKUP($AB809&amp;"-"&amp;$E809&amp;" "&amp;$F809,Bonuses!$B$1:$G$1006,4,FALSE)))</f>
        <v/>
      </c>
      <c r="AE80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0" spans="1:31" s="50" customFormat="1" x14ac:dyDescent="0.25">
      <c r="A810" s="50">
        <v>20695</v>
      </c>
      <c r="B810" s="50">
        <f>COUNTIF(Table5[PID],A810)</f>
        <v>1</v>
      </c>
      <c r="C810" s="50" t="str">
        <f>IF(COUNTIF(Table3[[#All],[PID]],A810)&gt;0,"P","B")</f>
        <v>B</v>
      </c>
      <c r="D810" s="59" t="str">
        <f>IF($C810="B",INDEX(Batters[[#All],[POS]],MATCH(Table5[[#This Row],[PID]],Batters[[#All],[PID]],0)),INDEX(Table3[[#All],[POS]],MATCH(Table5[[#This Row],[PID]],Table3[[#All],[PID]],0)))</f>
        <v>CF</v>
      </c>
      <c r="E810" s="52" t="str">
        <f>IF($C810="B",INDEX(Batters[[#All],[First]],MATCH(Table5[[#This Row],[PID]],Batters[[#All],[PID]],0)),INDEX(Table3[[#All],[First]],MATCH(Table5[[#This Row],[PID]],Table3[[#All],[PID]],0)))</f>
        <v>Zhong-shan</v>
      </c>
      <c r="F810" s="50" t="str">
        <f>IF($C810="B",INDEX(Batters[[#All],[Last]],MATCH(A810,Batters[[#All],[PID]],0)),INDEX(Table3[[#All],[Last]],MATCH(A810,Table3[[#All],[PID]],0)))</f>
        <v>Geng</v>
      </c>
      <c r="G810" s="56">
        <f>IF($C810="B",INDEX(Batters[[#All],[Age]],MATCH(Table5[[#This Row],[PID]],Batters[[#All],[PID]],0)),INDEX(Table3[[#All],[Age]],MATCH(Table5[[#This Row],[PID]],Table3[[#All],[PID]],0)))</f>
        <v>17</v>
      </c>
      <c r="H810" s="52" t="str">
        <f>IF($C810="B",INDEX(Batters[[#All],[B]],MATCH(Table5[[#This Row],[PID]],Batters[[#All],[PID]],0)),INDEX(Table3[[#All],[B]],MATCH(Table5[[#This Row],[PID]],Table3[[#All],[PID]],0)))</f>
        <v>R</v>
      </c>
      <c r="I810" s="52" t="str">
        <f>IF($C810="B",INDEX(Batters[[#All],[T]],MATCH(Table5[[#This Row],[PID]],Batters[[#All],[PID]],0)),INDEX(Table3[[#All],[T]],MATCH(Table5[[#This Row],[PID]],Table3[[#All],[PID]],0)))</f>
        <v>R</v>
      </c>
      <c r="J810" s="52" t="str">
        <f>IF($C810="B",INDEX(Batters[[#All],[WE]],MATCH(Table5[[#This Row],[PID]],Batters[[#All],[PID]],0)),INDEX(Table3[[#All],[WE]],MATCH(Table5[[#This Row],[PID]],Table3[[#All],[PID]],0)))</f>
        <v>Normal</v>
      </c>
      <c r="K810" s="52" t="str">
        <f>IF($C810="B",INDEX(Batters[[#All],[INT]],MATCH(Table5[[#This Row],[PID]],Batters[[#All],[PID]],0)),INDEX(Table3[[#All],[INT]],MATCH(Table5[[#This Row],[PID]],Table3[[#All],[PID]],0)))</f>
        <v>Low</v>
      </c>
      <c r="L810" s="60">
        <f>IF($C810="B",INDEX(Batters[[#All],[CON P]],MATCH(Table5[[#This Row],[PID]],Batters[[#All],[PID]],0)),INDEX(Table3[[#All],[STU P]],MATCH(Table5[[#This Row],[PID]],Table3[[#All],[PID]],0)))</f>
        <v>3</v>
      </c>
      <c r="M810" s="56">
        <f>IF($C810="B",INDEX(Batters[[#All],[GAP P]],MATCH(Table5[[#This Row],[PID]],Batters[[#All],[PID]],0)),INDEX(Table3[[#All],[MOV P]],MATCH(Table5[[#This Row],[PID]],Table3[[#All],[PID]],0)))</f>
        <v>6</v>
      </c>
      <c r="N810" s="56">
        <f>IF($C810="B",INDEX(Batters[[#All],[POW P]],MATCH(Table5[[#This Row],[PID]],Batters[[#All],[PID]],0)),INDEX(Table3[[#All],[CON P]],MATCH(Table5[[#This Row],[PID]],Table3[[#All],[PID]],0)))</f>
        <v>2</v>
      </c>
      <c r="O810" s="56">
        <f>IF($C810="B",INDEX(Batters[[#All],[EYE P]],MATCH(Table5[[#This Row],[PID]],Batters[[#All],[PID]],0)),INDEX(Table3[[#All],[VELO]],MATCH(Table5[[#This Row],[PID]],Table3[[#All],[PID]],0)))</f>
        <v>5</v>
      </c>
      <c r="P810" s="56">
        <f>IF($C810="B",INDEX(Batters[[#All],[K P]],MATCH(Table5[[#This Row],[PID]],Batters[[#All],[PID]],0)),INDEX(Table3[[#All],[STM]],MATCH(Table5[[#This Row],[PID]],Table3[[#All],[PID]],0)))</f>
        <v>4</v>
      </c>
      <c r="Q810" s="61">
        <f>IF($C810="B",INDEX(Batters[[#All],[Tot]],MATCH(Table5[[#This Row],[PID]],Batters[[#All],[PID]],0)),INDEX(Table3[[#All],[Tot]],MATCH(Table5[[#This Row],[PID]],Table3[[#All],[PID]],0)))</f>
        <v>42.888585288894916</v>
      </c>
      <c r="R810" s="52">
        <f>IF($C810="B",INDEX(Batters[[#All],[zScore]],MATCH(Table5[[#This Row],[PID]],Batters[[#All],[PID]],0)),INDEX(Table3[[#All],[zScore]],MATCH(Table5[[#This Row],[PID]],Table3[[#All],[PID]],0)))</f>
        <v>-0.27566008203422093</v>
      </c>
      <c r="S810" s="58" t="str">
        <f>IF($C810="B",INDEX(Batters[[#All],[DEM]],MATCH(Table5[[#This Row],[PID]],Batters[[#All],[PID]],0)),INDEX(Table3[[#All],[DEM]],MATCH(Table5[[#This Row],[PID]],Table3[[#All],[PID]],0)))</f>
        <v>$75k</v>
      </c>
      <c r="T810" s="62">
        <f>IF($C810="B",INDEX(Batters[[#All],[Rnk]],MATCH(Table5[[#This Row],[PID]],Batters[[#All],[PID]],0)),INDEX(Table3[[#All],[Rnk]],MATCH(Table5[[#This Row],[PID]],Table3[[#All],[PID]],0)))</f>
        <v>296</v>
      </c>
      <c r="U810" s="68">
        <f>IF($C810="B",VLOOKUP($A810,Bat!$A$4:$BA$1621,47,FALSE),VLOOKUP($A810,Pit!$A$4:$BF$1557,56,FALSE))</f>
        <v>0</v>
      </c>
      <c r="V810" s="50">
        <f>IF($C810="B",VLOOKUP($A810,Bat!$A$4:$BA$1621,48,FALSE),VLOOKUP($A810,Pit!$A$4:$BF$1557,57,FALSE))</f>
        <v>0</v>
      </c>
      <c r="W810" s="50">
        <f>Table5[[#This Row],[posRnk]]+Table5[[#This Row],[zRnk]]+IF($W$3&lt;&gt;Table5[[#This Row],[Type]],50,0)</f>
        <v>1059</v>
      </c>
      <c r="X810" s="51">
        <f>RANK(Table5[[#This Row],[zScore]],Table5[[#All],[zScore]])</f>
        <v>713</v>
      </c>
      <c r="Y810" s="50" t="str">
        <f>IFERROR(INDEX(DraftResults[[#All],[OVR]],MATCH(Table5[[#This Row],[PID]],DraftResults[[#All],[Player ID]],0)),"")</f>
        <v/>
      </c>
      <c r="Z8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0" s="50" t="str">
        <f>IFERROR(INDEX(DraftResults[[#All],[Pick in Round]],MATCH(Table5[[#This Row],[PID]],DraftResults[[#All],[Player ID]],0)),"")</f>
        <v/>
      </c>
      <c r="AB810" s="50" t="str">
        <f>IFERROR(INDEX(DraftResults[[#All],[Team Name]],MATCH(Table5[[#This Row],[PID]],DraftResults[[#All],[Player ID]],0)),"")</f>
        <v/>
      </c>
      <c r="AC810" s="50" t="str">
        <f>IF(Table5[[#This Row],[Ovr]]="","",IF(Table5[[#This Row],[cmbList]]="","",Table5[[#This Row],[cmbList]]-Table5[[#This Row],[Ovr]]))</f>
        <v/>
      </c>
      <c r="AD810" s="54" t="str">
        <f>IF(ISERROR(VLOOKUP($AB810&amp;"-"&amp;$E810&amp;" "&amp;F810,Bonuses!$B$1:$G$1006,4,FALSE)),"",INT(VLOOKUP($AB810&amp;"-"&amp;$E810&amp;" "&amp;$F810,Bonuses!$B$1:$G$1006,4,FALSE)))</f>
        <v/>
      </c>
      <c r="AE8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1" spans="1:31" s="50" customFormat="1" x14ac:dyDescent="0.25">
      <c r="A811" s="50">
        <v>18231</v>
      </c>
      <c r="B811" s="50">
        <f>COUNTIF(Table5[PID],A811)</f>
        <v>1</v>
      </c>
      <c r="C811" s="50" t="str">
        <f>IF(COUNTIF(Table3[[#All],[PID]],A811)&gt;0,"P","B")</f>
        <v>B</v>
      </c>
      <c r="D811" s="59" t="str">
        <f>IF($C811="B",INDEX(Batters[[#All],[POS]],MATCH(Table5[[#This Row],[PID]],Batters[[#All],[PID]],0)),INDEX(Table3[[#All],[POS]],MATCH(Table5[[#This Row],[PID]],Table3[[#All],[PID]],0)))</f>
        <v>3B</v>
      </c>
      <c r="E811" s="52" t="str">
        <f>IF($C811="B",INDEX(Batters[[#All],[First]],MATCH(Table5[[#This Row],[PID]],Batters[[#All],[PID]],0)),INDEX(Table3[[#All],[First]],MATCH(Table5[[#This Row],[PID]],Table3[[#All],[PID]],0)))</f>
        <v>Brad</v>
      </c>
      <c r="F811" s="50" t="str">
        <f>IF($C811="B",INDEX(Batters[[#All],[Last]],MATCH(A811,Batters[[#All],[PID]],0)),INDEX(Table3[[#All],[Last]],MATCH(A811,Table3[[#All],[PID]],0)))</f>
        <v>Hardy</v>
      </c>
      <c r="G811" s="56">
        <f>IF($C811="B",INDEX(Batters[[#All],[Age]],MATCH(Table5[[#This Row],[PID]],Batters[[#All],[PID]],0)),INDEX(Table3[[#All],[Age]],MATCH(Table5[[#This Row],[PID]],Table3[[#All],[PID]],0)))</f>
        <v>18</v>
      </c>
      <c r="H811" s="52" t="str">
        <f>IF($C811="B",INDEX(Batters[[#All],[B]],MATCH(Table5[[#This Row],[PID]],Batters[[#All],[PID]],0)),INDEX(Table3[[#All],[B]],MATCH(Table5[[#This Row],[PID]],Table3[[#All],[PID]],0)))</f>
        <v>R</v>
      </c>
      <c r="I811" s="52" t="str">
        <f>IF($C811="B",INDEX(Batters[[#All],[T]],MATCH(Table5[[#This Row],[PID]],Batters[[#All],[PID]],0)),INDEX(Table3[[#All],[T]],MATCH(Table5[[#This Row],[PID]],Table3[[#All],[PID]],0)))</f>
        <v>R</v>
      </c>
      <c r="J811" s="52" t="str">
        <f>IF($C811="B",INDEX(Batters[[#All],[WE]],MATCH(Table5[[#This Row],[PID]],Batters[[#All],[PID]],0)),INDEX(Table3[[#All],[WE]],MATCH(Table5[[#This Row],[PID]],Table3[[#All],[PID]],0)))</f>
        <v>Low</v>
      </c>
      <c r="K811" s="52" t="str">
        <f>IF($C811="B",INDEX(Batters[[#All],[INT]],MATCH(Table5[[#This Row],[PID]],Batters[[#All],[PID]],0)),INDEX(Table3[[#All],[INT]],MATCH(Table5[[#This Row],[PID]],Table3[[#All],[PID]],0)))</f>
        <v>Low</v>
      </c>
      <c r="L811" s="60">
        <f>IF($C811="B",INDEX(Batters[[#All],[CON P]],MATCH(Table5[[#This Row],[PID]],Batters[[#All],[PID]],0)),INDEX(Table3[[#All],[STU P]],MATCH(Table5[[#This Row],[PID]],Table3[[#All],[PID]],0)))</f>
        <v>3</v>
      </c>
      <c r="M811" s="56">
        <f>IF($C811="B",INDEX(Batters[[#All],[GAP P]],MATCH(Table5[[#This Row],[PID]],Batters[[#All],[PID]],0)),INDEX(Table3[[#All],[MOV P]],MATCH(Table5[[#This Row],[PID]],Table3[[#All],[PID]],0)))</f>
        <v>7</v>
      </c>
      <c r="N811" s="56">
        <f>IF($C811="B",INDEX(Batters[[#All],[POW P]],MATCH(Table5[[#This Row],[PID]],Batters[[#All],[PID]],0)),INDEX(Table3[[#All],[CON P]],MATCH(Table5[[#This Row],[PID]],Table3[[#All],[PID]],0)))</f>
        <v>3</v>
      </c>
      <c r="O811" s="56">
        <f>IF($C811="B",INDEX(Batters[[#All],[EYE P]],MATCH(Table5[[#This Row],[PID]],Batters[[#All],[PID]],0)),INDEX(Table3[[#All],[VELO]],MATCH(Table5[[#This Row],[PID]],Table3[[#All],[PID]],0)))</f>
        <v>5</v>
      </c>
      <c r="P811" s="56">
        <f>IF($C811="B",INDEX(Batters[[#All],[K P]],MATCH(Table5[[#This Row],[PID]],Batters[[#All],[PID]],0)),INDEX(Table3[[#All],[STM]],MATCH(Table5[[#This Row],[PID]],Table3[[#All],[PID]],0)))</f>
        <v>3</v>
      </c>
      <c r="Q811" s="61">
        <f>IF($C811="B",INDEX(Batters[[#All],[Tot]],MATCH(Table5[[#This Row],[PID]],Batters[[#All],[PID]],0)),INDEX(Table3[[#All],[Tot]],MATCH(Table5[[#This Row],[PID]],Table3[[#All],[PID]],0)))</f>
        <v>42.870435418505011</v>
      </c>
      <c r="R811" s="52">
        <f>IF($C811="B",INDEX(Batters[[#All],[zScore]],MATCH(Table5[[#This Row],[PID]],Batters[[#All],[PID]],0)),INDEX(Table3[[#All],[zScore]],MATCH(Table5[[#This Row],[PID]],Table3[[#All],[PID]],0)))</f>
        <v>-0.27968403098140099</v>
      </c>
      <c r="S811" s="58" t="str">
        <f>IF($C811="B",INDEX(Batters[[#All],[DEM]],MATCH(Table5[[#This Row],[PID]],Batters[[#All],[PID]],0)),INDEX(Table3[[#All],[DEM]],MATCH(Table5[[#This Row],[PID]],Table3[[#All],[PID]],0)))</f>
        <v>$80k</v>
      </c>
      <c r="T811" s="62">
        <f>IF($C811="B",INDEX(Batters[[#All],[Rnk]],MATCH(Table5[[#This Row],[PID]],Batters[[#All],[PID]],0)),INDEX(Table3[[#All],[Rnk]],MATCH(Table5[[#This Row],[PID]],Table3[[#All],[PID]],0)))</f>
        <v>297</v>
      </c>
      <c r="U811" s="68">
        <f>IF($C811="B",VLOOKUP($A811,Bat!$A$4:$BA$1621,47,FALSE),VLOOKUP($A811,Pit!$A$4:$BF$1557,56,FALSE))</f>
        <v>0</v>
      </c>
      <c r="V811" s="50">
        <f>IF($C811="B",VLOOKUP($A811,Bat!$A$4:$BA$1621,48,FALSE),VLOOKUP($A811,Pit!$A$4:$BF$1557,57,FALSE))</f>
        <v>0</v>
      </c>
      <c r="W811" s="50">
        <f>Table5[[#This Row],[posRnk]]+Table5[[#This Row],[zRnk]]+IF($W$3&lt;&gt;Table5[[#This Row],[Type]],50,0)</f>
        <v>1061</v>
      </c>
      <c r="X811" s="51">
        <f>RANK(Table5[[#This Row],[zScore]],Table5[[#All],[zScore]])</f>
        <v>714</v>
      </c>
      <c r="Y811" s="50" t="str">
        <f>IFERROR(INDEX(DraftResults[[#All],[OVR]],MATCH(Table5[[#This Row],[PID]],DraftResults[[#All],[Player ID]],0)),"")</f>
        <v/>
      </c>
      <c r="Z8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1" s="50" t="str">
        <f>IFERROR(INDEX(DraftResults[[#All],[Pick in Round]],MATCH(Table5[[#This Row],[PID]],DraftResults[[#All],[Player ID]],0)),"")</f>
        <v/>
      </c>
      <c r="AB811" s="50" t="str">
        <f>IFERROR(INDEX(DraftResults[[#All],[Team Name]],MATCH(Table5[[#This Row],[PID]],DraftResults[[#All],[Player ID]],0)),"")</f>
        <v/>
      </c>
      <c r="AC811" s="50" t="str">
        <f>IF(Table5[[#This Row],[Ovr]]="","",IF(Table5[[#This Row],[cmbList]]="","",Table5[[#This Row],[cmbList]]-Table5[[#This Row],[Ovr]]))</f>
        <v/>
      </c>
      <c r="AD811" s="54" t="str">
        <f>IF(ISERROR(VLOOKUP($AB811&amp;"-"&amp;$E811&amp;" "&amp;F811,Bonuses!$B$1:$G$1006,4,FALSE)),"",INT(VLOOKUP($AB811&amp;"-"&amp;$E811&amp;" "&amp;$F811,Bonuses!$B$1:$G$1006,4,FALSE)))</f>
        <v/>
      </c>
      <c r="AE8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2" spans="1:31" s="50" customFormat="1" x14ac:dyDescent="0.25">
      <c r="A812" s="50">
        <v>9470</v>
      </c>
      <c r="B812" s="50">
        <f>COUNTIF(Table5[PID],A812)</f>
        <v>1</v>
      </c>
      <c r="C812" s="50" t="str">
        <f>IF(COUNTIF(Table3[[#All],[PID]],A812)&gt;0,"P","B")</f>
        <v>P</v>
      </c>
      <c r="D812" s="59" t="str">
        <f>IF($C812="B",INDEX(Batters[[#All],[POS]],MATCH(Table5[[#This Row],[PID]],Batters[[#All],[PID]],0)),INDEX(Table3[[#All],[POS]],MATCH(Table5[[#This Row],[PID]],Table3[[#All],[PID]],0)))</f>
        <v>RP</v>
      </c>
      <c r="E812" s="52" t="str">
        <f>IF($C812="B",INDEX(Batters[[#All],[First]],MATCH(Table5[[#This Row],[PID]],Batters[[#All],[PID]],0)),INDEX(Table3[[#All],[First]],MATCH(Table5[[#This Row],[PID]],Table3[[#All],[PID]],0)))</f>
        <v>Yoshitsune</v>
      </c>
      <c r="F812" s="50" t="str">
        <f>IF($C812="B",INDEX(Batters[[#All],[Last]],MATCH(A812,Batters[[#All],[PID]],0)),INDEX(Table3[[#All],[Last]],MATCH(A812,Table3[[#All],[PID]],0)))</f>
        <v>Yamane</v>
      </c>
      <c r="G812" s="56">
        <f>IF($C812="B",INDEX(Batters[[#All],[Age]],MATCH(Table5[[#This Row],[PID]],Batters[[#All],[PID]],0)),INDEX(Table3[[#All],[Age]],MATCH(Table5[[#This Row],[PID]],Table3[[#All],[PID]],0)))</f>
        <v>22</v>
      </c>
      <c r="H812" s="52" t="str">
        <f>IF($C812="B",INDEX(Batters[[#All],[B]],MATCH(Table5[[#This Row],[PID]],Batters[[#All],[PID]],0)),INDEX(Table3[[#All],[B]],MATCH(Table5[[#This Row],[PID]],Table3[[#All],[PID]],0)))</f>
        <v>R</v>
      </c>
      <c r="I812" s="52" t="str">
        <f>IF($C812="B",INDEX(Batters[[#All],[T]],MATCH(Table5[[#This Row],[PID]],Batters[[#All],[PID]],0)),INDEX(Table3[[#All],[T]],MATCH(Table5[[#This Row],[PID]],Table3[[#All],[PID]],0)))</f>
        <v>R</v>
      </c>
      <c r="J812" s="52" t="str">
        <f>IF($C812="B",INDEX(Batters[[#All],[WE]],MATCH(Table5[[#This Row],[PID]],Batters[[#All],[PID]],0)),INDEX(Table3[[#All],[WE]],MATCH(Table5[[#This Row],[PID]],Table3[[#All],[PID]],0)))</f>
        <v>Normal</v>
      </c>
      <c r="K812" s="52" t="str">
        <f>IF($C812="B",INDEX(Batters[[#All],[INT]],MATCH(Table5[[#This Row],[PID]],Batters[[#All],[PID]],0)),INDEX(Table3[[#All],[INT]],MATCH(Table5[[#This Row],[PID]],Table3[[#All],[PID]],0)))</f>
        <v>Normal</v>
      </c>
      <c r="L812" s="60">
        <f>IF($C812="B",INDEX(Batters[[#All],[CON P]],MATCH(Table5[[#This Row],[PID]],Batters[[#All],[PID]],0)),INDEX(Table3[[#All],[STU P]],MATCH(Table5[[#This Row],[PID]],Table3[[#All],[PID]],0)))</f>
        <v>5</v>
      </c>
      <c r="M812" s="56">
        <f>IF($C812="B",INDEX(Batters[[#All],[GAP P]],MATCH(Table5[[#This Row],[PID]],Batters[[#All],[PID]],0)),INDEX(Table3[[#All],[MOV P]],MATCH(Table5[[#This Row],[PID]],Table3[[#All],[PID]],0)))</f>
        <v>3</v>
      </c>
      <c r="N812" s="56">
        <f>IF($C812="B",INDEX(Batters[[#All],[POW P]],MATCH(Table5[[#This Row],[PID]],Batters[[#All],[PID]],0)),INDEX(Table3[[#All],[CON P]],MATCH(Table5[[#This Row],[PID]],Table3[[#All],[PID]],0)))</f>
        <v>2</v>
      </c>
      <c r="O812" s="56" t="str">
        <f>IF($C812="B",INDEX(Batters[[#All],[EYE P]],MATCH(Table5[[#This Row],[PID]],Batters[[#All],[PID]],0)),INDEX(Table3[[#All],[VELO]],MATCH(Table5[[#This Row],[PID]],Table3[[#All],[PID]],0)))</f>
        <v>90-92 Mph</v>
      </c>
      <c r="P812" s="56">
        <f>IF($C812="B",INDEX(Batters[[#All],[K P]],MATCH(Table5[[#This Row],[PID]],Batters[[#All],[PID]],0)),INDEX(Table3[[#All],[STM]],MATCH(Table5[[#This Row],[PID]],Table3[[#All],[PID]],0)))</f>
        <v>6</v>
      </c>
      <c r="Q812" s="61">
        <f>IF($C812="B",INDEX(Batters[[#All],[Tot]],MATCH(Table5[[#This Row],[PID]],Batters[[#All],[PID]],0)),INDEX(Table3[[#All],[Tot]],MATCH(Table5[[#This Row],[PID]],Table3[[#All],[PID]],0)))</f>
        <v>32.895077359490756</v>
      </c>
      <c r="R812" s="52">
        <f>IF($C812="B",INDEX(Batters[[#All],[zScore]],MATCH(Table5[[#This Row],[PID]],Batters[[#All],[PID]],0)),INDEX(Table3[[#All],[zScore]],MATCH(Table5[[#This Row],[PID]],Table3[[#All],[PID]],0)))</f>
        <v>-0.28108473790009164</v>
      </c>
      <c r="S812" s="58" t="str">
        <f>IF($C812="B",INDEX(Batters[[#All],[DEM]],MATCH(Table5[[#This Row],[PID]],Batters[[#All],[PID]],0)),INDEX(Table3[[#All],[DEM]],MATCH(Table5[[#This Row],[PID]],Table3[[#All],[PID]],0)))</f>
        <v>-</v>
      </c>
      <c r="T812" s="62">
        <f>IF($C812="B",INDEX(Batters[[#All],[Rnk]],MATCH(Table5[[#This Row],[PID]],Batters[[#All],[PID]],0)),INDEX(Table3[[#All],[Rnk]],MATCH(Table5[[#This Row],[PID]],Table3[[#All],[PID]],0)))</f>
        <v>418</v>
      </c>
      <c r="U812" s="68">
        <f>IF($C812="B",VLOOKUP($A812,Bat!$A$4:$BA$1621,47,FALSE),VLOOKUP($A812,Pit!$A$4:$BF$1557,56,FALSE))</f>
        <v>0</v>
      </c>
      <c r="V812" s="50">
        <f>IF($C812="B",VLOOKUP($A812,Bat!$A$4:$BA$1621,48,FALSE),VLOOKUP($A812,Pit!$A$4:$BF$1557,57,FALSE))</f>
        <v>0</v>
      </c>
      <c r="W812" s="50">
        <f>Table5[[#This Row],[posRnk]]+Table5[[#This Row],[zRnk]]+IF($W$3&lt;&gt;Table5[[#This Row],[Type]],50,0)</f>
        <v>1183</v>
      </c>
      <c r="X812" s="51">
        <f>RANK(Table5[[#This Row],[zScore]],Table5[[#All],[zScore]])</f>
        <v>715</v>
      </c>
      <c r="Y812" s="50" t="str">
        <f>IFERROR(INDEX(DraftResults[[#All],[OVR]],MATCH(Table5[[#This Row],[PID]],DraftResults[[#All],[Player ID]],0)),"")</f>
        <v/>
      </c>
      <c r="Z8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2" s="50" t="str">
        <f>IFERROR(INDEX(DraftResults[[#All],[Pick in Round]],MATCH(Table5[[#This Row],[PID]],DraftResults[[#All],[Player ID]],0)),"")</f>
        <v/>
      </c>
      <c r="AB812" s="50" t="str">
        <f>IFERROR(INDEX(DraftResults[[#All],[Team Name]],MATCH(Table5[[#This Row],[PID]],DraftResults[[#All],[Player ID]],0)),"")</f>
        <v/>
      </c>
      <c r="AC812" s="50" t="str">
        <f>IF(Table5[[#This Row],[Ovr]]="","",IF(Table5[[#This Row],[cmbList]]="","",Table5[[#This Row],[cmbList]]-Table5[[#This Row],[Ovr]]))</f>
        <v/>
      </c>
      <c r="AD812" s="54" t="str">
        <f>IF(ISERROR(VLOOKUP($AB812&amp;"-"&amp;$E812&amp;" "&amp;F812,Bonuses!$B$1:$G$1006,4,FALSE)),"",INT(VLOOKUP($AB812&amp;"-"&amp;$E812&amp;" "&amp;$F812,Bonuses!$B$1:$G$1006,4,FALSE)))</f>
        <v/>
      </c>
      <c r="AE8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3" spans="1:31" s="50" customFormat="1" x14ac:dyDescent="0.25">
      <c r="A813" s="50">
        <v>18133</v>
      </c>
      <c r="B813" s="50">
        <f>COUNTIF(Table5[PID],A813)</f>
        <v>1</v>
      </c>
      <c r="C813" s="50" t="str">
        <f>IF(COUNTIF(Table3[[#All],[PID]],A813)&gt;0,"P","B")</f>
        <v>P</v>
      </c>
      <c r="D813" s="59" t="str">
        <f>IF($C813="B",INDEX(Batters[[#All],[POS]],MATCH(Table5[[#This Row],[PID]],Batters[[#All],[PID]],0)),INDEX(Table3[[#All],[POS]],MATCH(Table5[[#This Row],[PID]],Table3[[#All],[PID]],0)))</f>
        <v>RP</v>
      </c>
      <c r="E813" s="52" t="str">
        <f>IF($C813="B",INDEX(Batters[[#All],[First]],MATCH(Table5[[#This Row],[PID]],Batters[[#All],[PID]],0)),INDEX(Table3[[#All],[First]],MATCH(Table5[[#This Row],[PID]],Table3[[#All],[PID]],0)))</f>
        <v>Jeffrey</v>
      </c>
      <c r="F813" s="50" t="str">
        <f>IF($C813="B",INDEX(Batters[[#All],[Last]],MATCH(A813,Batters[[#All],[PID]],0)),INDEX(Table3[[#All],[Last]],MATCH(A813,Table3[[#All],[PID]],0)))</f>
        <v>Edwards</v>
      </c>
      <c r="G813" s="56">
        <f>IF($C813="B",INDEX(Batters[[#All],[Age]],MATCH(Table5[[#This Row],[PID]],Batters[[#All],[PID]],0)),INDEX(Table3[[#All],[Age]],MATCH(Table5[[#This Row],[PID]],Table3[[#All],[PID]],0)))</f>
        <v>21</v>
      </c>
      <c r="H813" s="52" t="str">
        <f>IF($C813="B",INDEX(Batters[[#All],[B]],MATCH(Table5[[#This Row],[PID]],Batters[[#All],[PID]],0)),INDEX(Table3[[#All],[B]],MATCH(Table5[[#This Row],[PID]],Table3[[#All],[PID]],0)))</f>
        <v>R</v>
      </c>
      <c r="I813" s="52" t="str">
        <f>IF($C813="B",INDEX(Batters[[#All],[T]],MATCH(Table5[[#This Row],[PID]],Batters[[#All],[PID]],0)),INDEX(Table3[[#All],[T]],MATCH(Table5[[#This Row],[PID]],Table3[[#All],[PID]],0)))</f>
        <v>R</v>
      </c>
      <c r="J813" s="52" t="str">
        <f>IF($C813="B",INDEX(Batters[[#All],[WE]],MATCH(Table5[[#This Row],[PID]],Batters[[#All],[PID]],0)),INDEX(Table3[[#All],[WE]],MATCH(Table5[[#This Row],[PID]],Table3[[#All],[PID]],0)))</f>
        <v>High</v>
      </c>
      <c r="K813" s="52" t="str">
        <f>IF($C813="B",INDEX(Batters[[#All],[INT]],MATCH(Table5[[#This Row],[PID]],Batters[[#All],[PID]],0)),INDEX(Table3[[#All],[INT]],MATCH(Table5[[#This Row],[PID]],Table3[[#All],[PID]],0)))</f>
        <v>Normal</v>
      </c>
      <c r="L813" s="60">
        <f>IF($C813="B",INDEX(Batters[[#All],[CON P]],MATCH(Table5[[#This Row],[PID]],Batters[[#All],[PID]],0)),INDEX(Table3[[#All],[STU P]],MATCH(Table5[[#This Row],[PID]],Table3[[#All],[PID]],0)))</f>
        <v>5</v>
      </c>
      <c r="M813" s="56">
        <f>IF($C813="B",INDEX(Batters[[#All],[GAP P]],MATCH(Table5[[#This Row],[PID]],Batters[[#All],[PID]],0)),INDEX(Table3[[#All],[MOV P]],MATCH(Table5[[#This Row],[PID]],Table3[[#All],[PID]],0)))</f>
        <v>2</v>
      </c>
      <c r="N813" s="56">
        <f>IF($C813="B",INDEX(Batters[[#All],[POW P]],MATCH(Table5[[#This Row],[PID]],Batters[[#All],[PID]],0)),INDEX(Table3[[#All],[CON P]],MATCH(Table5[[#This Row],[PID]],Table3[[#All],[PID]],0)))</f>
        <v>2</v>
      </c>
      <c r="O813" s="56" t="str">
        <f>IF($C813="B",INDEX(Batters[[#All],[EYE P]],MATCH(Table5[[#This Row],[PID]],Batters[[#All],[PID]],0)),INDEX(Table3[[#All],[VELO]],MATCH(Table5[[#This Row],[PID]],Table3[[#All],[PID]],0)))</f>
        <v>92-94 Mph</v>
      </c>
      <c r="P813" s="56">
        <f>IF($C813="B",INDEX(Batters[[#All],[K P]],MATCH(Table5[[#This Row],[PID]],Batters[[#All],[PID]],0)),INDEX(Table3[[#All],[STM]],MATCH(Table5[[#This Row],[PID]],Table3[[#All],[PID]],0)))</f>
        <v>6</v>
      </c>
      <c r="Q813" s="61">
        <f>IF($C813="B",INDEX(Batters[[#All],[Tot]],MATCH(Table5[[#This Row],[PID]],Batters[[#All],[PID]],0)),INDEX(Table3[[#All],[Tot]],MATCH(Table5[[#This Row],[PID]],Table3[[#All],[PID]],0)))</f>
        <v>31.586297194020254</v>
      </c>
      <c r="R813" s="52">
        <f>IF($C813="B",INDEX(Batters[[#All],[zScore]],MATCH(Table5[[#This Row],[PID]],Batters[[#All],[PID]],0)),INDEX(Table3[[#All],[zScore]],MATCH(Table5[[#This Row],[PID]],Table3[[#All],[PID]],0)))</f>
        <v>-0.2850231985546961</v>
      </c>
      <c r="S813" s="58" t="str">
        <f>IF($C813="B",INDEX(Batters[[#All],[DEM]],MATCH(Table5[[#This Row],[PID]],Batters[[#All],[PID]],0)),INDEX(Table3[[#All],[DEM]],MATCH(Table5[[#This Row],[PID]],Table3[[#All],[PID]],0)))</f>
        <v>-</v>
      </c>
      <c r="T813" s="62">
        <f>IF($C813="B",INDEX(Batters[[#All],[Rnk]],MATCH(Table5[[#This Row],[PID]],Batters[[#All],[PID]],0)),INDEX(Table3[[#All],[Rnk]],MATCH(Table5[[#This Row],[PID]],Table3[[#All],[PID]],0)))</f>
        <v>420</v>
      </c>
      <c r="U813" s="68">
        <f>IF($C813="B",VLOOKUP($A813,Bat!$A$4:$BA$1621,47,FALSE),VLOOKUP($A813,Pit!$A$4:$BF$1557,56,FALSE))</f>
        <v>0</v>
      </c>
      <c r="V813" s="50">
        <f>IF($C813="B",VLOOKUP($A813,Bat!$A$4:$BA$1621,48,FALSE),VLOOKUP($A813,Pit!$A$4:$BF$1557,57,FALSE))</f>
        <v>0</v>
      </c>
      <c r="W813" s="50">
        <f>Table5[[#This Row],[posRnk]]+Table5[[#This Row],[zRnk]]+IF($W$3&lt;&gt;Table5[[#This Row],[Type]],50,0)</f>
        <v>1187</v>
      </c>
      <c r="X813" s="51">
        <f>RANK(Table5[[#This Row],[zScore]],Table5[[#All],[zScore]])</f>
        <v>717</v>
      </c>
      <c r="Y813" s="50" t="str">
        <f>IFERROR(INDEX(DraftResults[[#All],[OVR]],MATCH(Table5[[#This Row],[PID]],DraftResults[[#All],[Player ID]],0)),"")</f>
        <v/>
      </c>
      <c r="Z8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3" s="50" t="str">
        <f>IFERROR(INDEX(DraftResults[[#All],[Pick in Round]],MATCH(Table5[[#This Row],[PID]],DraftResults[[#All],[Player ID]],0)),"")</f>
        <v/>
      </c>
      <c r="AB813" s="50" t="str">
        <f>IFERROR(INDEX(DraftResults[[#All],[Team Name]],MATCH(Table5[[#This Row],[PID]],DraftResults[[#All],[Player ID]],0)),"")</f>
        <v/>
      </c>
      <c r="AC813" s="50" t="str">
        <f>IF(Table5[[#This Row],[Ovr]]="","",IF(Table5[[#This Row],[cmbList]]="","",Table5[[#This Row],[cmbList]]-Table5[[#This Row],[Ovr]]))</f>
        <v/>
      </c>
      <c r="AD813" s="54" t="str">
        <f>IF(ISERROR(VLOOKUP($AB813&amp;"-"&amp;$E813&amp;" "&amp;F813,Bonuses!$B$1:$G$1006,4,FALSE)),"",INT(VLOOKUP($AB813&amp;"-"&amp;$E813&amp;" "&amp;$F813,Bonuses!$B$1:$G$1006,4,FALSE)))</f>
        <v/>
      </c>
      <c r="AE8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4" spans="1:31" s="50" customFormat="1" x14ac:dyDescent="0.25">
      <c r="A814" s="50">
        <v>17962</v>
      </c>
      <c r="B814" s="50">
        <f>COUNTIF(Table5[PID],A814)</f>
        <v>1</v>
      </c>
      <c r="C814" s="50" t="str">
        <f>IF(COUNTIF(Table3[[#All],[PID]],A814)&gt;0,"P","B")</f>
        <v>P</v>
      </c>
      <c r="D814" s="59" t="str">
        <f>IF($C814="B",INDEX(Batters[[#All],[POS]],MATCH(Table5[[#This Row],[PID]],Batters[[#All],[PID]],0)),INDEX(Table3[[#All],[POS]],MATCH(Table5[[#This Row],[PID]],Table3[[#All],[PID]],0)))</f>
        <v>RP</v>
      </c>
      <c r="E814" s="52" t="str">
        <f>IF($C814="B",INDEX(Batters[[#All],[First]],MATCH(Table5[[#This Row],[PID]],Batters[[#All],[PID]],0)),INDEX(Table3[[#All],[First]],MATCH(Table5[[#This Row],[PID]],Table3[[#All],[PID]],0)))</f>
        <v>Jason</v>
      </c>
      <c r="F814" s="50" t="str">
        <f>IF($C814="B",INDEX(Batters[[#All],[Last]],MATCH(A814,Batters[[#All],[PID]],0)),INDEX(Table3[[#All],[Last]],MATCH(A814,Table3[[#All],[PID]],0)))</f>
        <v>Monroe</v>
      </c>
      <c r="G814" s="56">
        <f>IF($C814="B",INDEX(Batters[[#All],[Age]],MATCH(Table5[[#This Row],[PID]],Batters[[#All],[PID]],0)),INDEX(Table3[[#All],[Age]],MATCH(Table5[[#This Row],[PID]],Table3[[#All],[PID]],0)))</f>
        <v>21</v>
      </c>
      <c r="H814" s="52" t="str">
        <f>IF($C814="B",INDEX(Batters[[#All],[B]],MATCH(Table5[[#This Row],[PID]],Batters[[#All],[PID]],0)),INDEX(Table3[[#All],[B]],MATCH(Table5[[#This Row],[PID]],Table3[[#All],[PID]],0)))</f>
        <v>R</v>
      </c>
      <c r="I814" s="52" t="str">
        <f>IF($C814="B",INDEX(Batters[[#All],[T]],MATCH(Table5[[#This Row],[PID]],Batters[[#All],[PID]],0)),INDEX(Table3[[#All],[T]],MATCH(Table5[[#This Row],[PID]],Table3[[#All],[PID]],0)))</f>
        <v>R</v>
      </c>
      <c r="J814" s="52" t="str">
        <f>IF($C814="B",INDEX(Batters[[#All],[WE]],MATCH(Table5[[#This Row],[PID]],Batters[[#All],[PID]],0)),INDEX(Table3[[#All],[WE]],MATCH(Table5[[#This Row],[PID]],Table3[[#All],[PID]],0)))</f>
        <v>Normal</v>
      </c>
      <c r="K814" s="52" t="str">
        <f>IF($C814="B",INDEX(Batters[[#All],[INT]],MATCH(Table5[[#This Row],[PID]],Batters[[#All],[PID]],0)),INDEX(Table3[[#All],[INT]],MATCH(Table5[[#This Row],[PID]],Table3[[#All],[PID]],0)))</f>
        <v>Normal</v>
      </c>
      <c r="L814" s="60">
        <f>IF($C814="B",INDEX(Batters[[#All],[CON P]],MATCH(Table5[[#This Row],[PID]],Batters[[#All],[PID]],0)),INDEX(Table3[[#All],[STU P]],MATCH(Table5[[#This Row],[PID]],Table3[[#All],[PID]],0)))</f>
        <v>5</v>
      </c>
      <c r="M814" s="56">
        <f>IF($C814="B",INDEX(Batters[[#All],[GAP P]],MATCH(Table5[[#This Row],[PID]],Batters[[#All],[PID]],0)),INDEX(Table3[[#All],[MOV P]],MATCH(Table5[[#This Row],[PID]],Table3[[#All],[PID]],0)))</f>
        <v>2</v>
      </c>
      <c r="N814" s="56">
        <f>IF($C814="B",INDEX(Batters[[#All],[POW P]],MATCH(Table5[[#This Row],[PID]],Batters[[#All],[PID]],0)),INDEX(Table3[[#All],[CON P]],MATCH(Table5[[#This Row],[PID]],Table3[[#All],[PID]],0)))</f>
        <v>3</v>
      </c>
      <c r="O814" s="56" t="str">
        <f>IF($C814="B",INDEX(Batters[[#All],[EYE P]],MATCH(Table5[[#This Row],[PID]],Batters[[#All],[PID]],0)),INDEX(Table3[[#All],[VELO]],MATCH(Table5[[#This Row],[PID]],Table3[[#All],[PID]],0)))</f>
        <v>92-94 Mph</v>
      </c>
      <c r="P814" s="56">
        <f>IF($C814="B",INDEX(Batters[[#All],[K P]],MATCH(Table5[[#This Row],[PID]],Batters[[#All],[PID]],0)),INDEX(Table3[[#All],[STM]],MATCH(Table5[[#This Row],[PID]],Table3[[#All],[PID]],0)))</f>
        <v>6</v>
      </c>
      <c r="Q814" s="61">
        <f>IF($C814="B",INDEX(Batters[[#All],[Tot]],MATCH(Table5[[#This Row],[PID]],Batters[[#All],[PID]],0)),INDEX(Table3[[#All],[Tot]],MATCH(Table5[[#This Row],[PID]],Table3[[#All],[PID]],0)))</f>
        <v>33.574048232075413</v>
      </c>
      <c r="R814" s="52">
        <f>IF($C814="B",INDEX(Batters[[#All],[zScore]],MATCH(Table5[[#This Row],[PID]],Batters[[#All],[PID]],0)),INDEX(Table3[[#All],[zScore]],MATCH(Table5[[#This Row],[PID]],Table3[[#All],[PID]],0)))</f>
        <v>-0.28973512707648025</v>
      </c>
      <c r="S814" s="58" t="str">
        <f>IF($C814="B",INDEX(Batters[[#All],[DEM]],MATCH(Table5[[#This Row],[PID]],Batters[[#All],[PID]],0)),INDEX(Table3[[#All],[DEM]],MATCH(Table5[[#This Row],[PID]],Table3[[#All],[PID]],0)))</f>
        <v>-</v>
      </c>
      <c r="T814" s="62">
        <f>IF($C814="B",INDEX(Batters[[#All],[Rnk]],MATCH(Table5[[#This Row],[PID]],Batters[[#All],[PID]],0)),INDEX(Table3[[#All],[Rnk]],MATCH(Table5[[#This Row],[PID]],Table3[[#All],[PID]],0)))</f>
        <v>421</v>
      </c>
      <c r="U814" s="68">
        <f>IF($C814="B",VLOOKUP($A814,Bat!$A$4:$BA$1621,47,FALSE),VLOOKUP($A814,Pit!$A$4:$BF$1557,56,FALSE))</f>
        <v>0</v>
      </c>
      <c r="V814" s="50">
        <f>IF($C814="B",VLOOKUP($A814,Bat!$A$4:$BA$1621,48,FALSE),VLOOKUP($A814,Pit!$A$4:$BF$1557,57,FALSE))</f>
        <v>0</v>
      </c>
      <c r="W814" s="50">
        <f>Table5[[#This Row],[posRnk]]+Table5[[#This Row],[zRnk]]+IF($W$3&lt;&gt;Table5[[#This Row],[Type]],50,0)</f>
        <v>1189</v>
      </c>
      <c r="X814" s="51">
        <f>RANK(Table5[[#This Row],[zScore]],Table5[[#All],[zScore]])</f>
        <v>718</v>
      </c>
      <c r="Y814" s="50" t="str">
        <f>IFERROR(INDEX(DraftResults[[#All],[OVR]],MATCH(Table5[[#This Row],[PID]],DraftResults[[#All],[Player ID]],0)),"")</f>
        <v/>
      </c>
      <c r="Z8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4" s="50" t="str">
        <f>IFERROR(INDEX(DraftResults[[#All],[Pick in Round]],MATCH(Table5[[#This Row],[PID]],DraftResults[[#All],[Player ID]],0)),"")</f>
        <v/>
      </c>
      <c r="AB814" s="50" t="str">
        <f>IFERROR(INDEX(DraftResults[[#All],[Team Name]],MATCH(Table5[[#This Row],[PID]],DraftResults[[#All],[Player ID]],0)),"")</f>
        <v/>
      </c>
      <c r="AC814" s="50" t="str">
        <f>IF(Table5[[#This Row],[Ovr]]="","",IF(Table5[[#This Row],[cmbList]]="","",Table5[[#This Row],[cmbList]]-Table5[[#This Row],[Ovr]]))</f>
        <v/>
      </c>
      <c r="AD814" s="54" t="str">
        <f>IF(ISERROR(VLOOKUP($AB814&amp;"-"&amp;$E814&amp;" "&amp;F814,Bonuses!$B$1:$G$1006,4,FALSE)),"",INT(VLOOKUP($AB814&amp;"-"&amp;$E814&amp;" "&amp;$F814,Bonuses!$B$1:$G$1006,4,FALSE)))</f>
        <v/>
      </c>
      <c r="AE8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5" spans="1:31" s="50" customFormat="1" x14ac:dyDescent="0.25">
      <c r="A815" s="50">
        <v>18415</v>
      </c>
      <c r="B815" s="50">
        <f>COUNTIF(Table5[PID],A815)</f>
        <v>1</v>
      </c>
      <c r="C815" s="50" t="str">
        <f>IF(COUNTIF(Table3[[#All],[PID]],A815)&gt;0,"P","B")</f>
        <v>B</v>
      </c>
      <c r="D815" s="59" t="str">
        <f>IF($C815="B",INDEX(Batters[[#All],[POS]],MATCH(Table5[[#This Row],[PID]],Batters[[#All],[PID]],0)),INDEX(Table3[[#All],[POS]],MATCH(Table5[[#This Row],[PID]],Table3[[#All],[PID]],0)))</f>
        <v>3B</v>
      </c>
      <c r="E815" s="52" t="str">
        <f>IF($C815="B",INDEX(Batters[[#All],[First]],MATCH(Table5[[#This Row],[PID]],Batters[[#All],[PID]],0)),INDEX(Table3[[#All],[First]],MATCH(Table5[[#This Row],[PID]],Table3[[#All],[PID]],0)))</f>
        <v>Carlos</v>
      </c>
      <c r="F815" s="50" t="str">
        <f>IF($C815="B",INDEX(Batters[[#All],[Last]],MATCH(A815,Batters[[#All],[PID]],0)),INDEX(Table3[[#All],[Last]],MATCH(A815,Table3[[#All],[PID]],0)))</f>
        <v>Montaño</v>
      </c>
      <c r="G815" s="56">
        <f>IF($C815="B",INDEX(Batters[[#All],[Age]],MATCH(Table5[[#This Row],[PID]],Batters[[#All],[PID]],0)),INDEX(Table3[[#All],[Age]],MATCH(Table5[[#This Row],[PID]],Table3[[#All],[PID]],0)))</f>
        <v>18</v>
      </c>
      <c r="H815" s="52" t="str">
        <f>IF($C815="B",INDEX(Batters[[#All],[B]],MATCH(Table5[[#This Row],[PID]],Batters[[#All],[PID]],0)),INDEX(Table3[[#All],[B]],MATCH(Table5[[#This Row],[PID]],Table3[[#All],[PID]],0)))</f>
        <v>R</v>
      </c>
      <c r="I815" s="52" t="str">
        <f>IF($C815="B",INDEX(Batters[[#All],[T]],MATCH(Table5[[#This Row],[PID]],Batters[[#All],[PID]],0)),INDEX(Table3[[#All],[T]],MATCH(Table5[[#This Row],[PID]],Table3[[#All],[PID]],0)))</f>
        <v>R</v>
      </c>
      <c r="J815" s="52" t="str">
        <f>IF($C815="B",INDEX(Batters[[#All],[WE]],MATCH(Table5[[#This Row],[PID]],Batters[[#All],[PID]],0)),INDEX(Table3[[#All],[WE]],MATCH(Table5[[#This Row],[PID]],Table3[[#All],[PID]],0)))</f>
        <v>Low</v>
      </c>
      <c r="K815" s="52" t="str">
        <f>IF($C815="B",INDEX(Batters[[#All],[INT]],MATCH(Table5[[#This Row],[PID]],Batters[[#All],[PID]],0)),INDEX(Table3[[#All],[INT]],MATCH(Table5[[#This Row],[PID]],Table3[[#All],[PID]],0)))</f>
        <v>High</v>
      </c>
      <c r="L815" s="60">
        <f>IF($C815="B",INDEX(Batters[[#All],[CON P]],MATCH(Table5[[#This Row],[PID]],Batters[[#All],[PID]],0)),INDEX(Table3[[#All],[STU P]],MATCH(Table5[[#This Row],[PID]],Table3[[#All],[PID]],0)))</f>
        <v>3</v>
      </c>
      <c r="M815" s="56">
        <f>IF($C815="B",INDEX(Batters[[#All],[GAP P]],MATCH(Table5[[#This Row],[PID]],Batters[[#All],[PID]],0)),INDEX(Table3[[#All],[MOV P]],MATCH(Table5[[#This Row],[PID]],Table3[[#All],[PID]],0)))</f>
        <v>3</v>
      </c>
      <c r="N815" s="56">
        <f>IF($C815="B",INDEX(Batters[[#All],[POW P]],MATCH(Table5[[#This Row],[PID]],Batters[[#All],[PID]],0)),INDEX(Table3[[#All],[CON P]],MATCH(Table5[[#This Row],[PID]],Table3[[#All],[PID]],0)))</f>
        <v>3</v>
      </c>
      <c r="O815" s="56">
        <f>IF($C815="B",INDEX(Batters[[#All],[EYE P]],MATCH(Table5[[#This Row],[PID]],Batters[[#All],[PID]],0)),INDEX(Table3[[#All],[VELO]],MATCH(Table5[[#This Row],[PID]],Table3[[#All],[PID]],0)))</f>
        <v>5</v>
      </c>
      <c r="P815" s="56">
        <f>IF($C815="B",INDEX(Batters[[#All],[K P]],MATCH(Table5[[#This Row],[PID]],Batters[[#All],[PID]],0)),INDEX(Table3[[#All],[STM]],MATCH(Table5[[#This Row],[PID]],Table3[[#All],[PID]],0)))</f>
        <v>6</v>
      </c>
      <c r="Q815" s="61">
        <f>IF($C815="B",INDEX(Batters[[#All],[Tot]],MATCH(Table5[[#This Row],[PID]],Batters[[#All],[PID]],0)),INDEX(Table3[[#All],[Tot]],MATCH(Table5[[#This Row],[PID]],Table3[[#All],[PID]],0)))</f>
        <v>42.814761501940637</v>
      </c>
      <c r="R815" s="52">
        <f>IF($C815="B",INDEX(Batters[[#All],[zScore]],MATCH(Table5[[#This Row],[PID]],Batters[[#All],[PID]],0)),INDEX(Table3[[#All],[zScore]],MATCH(Table5[[#This Row],[PID]],Table3[[#All],[PID]],0)))</f>
        <v>-0.29202731460447323</v>
      </c>
      <c r="S815" s="58" t="str">
        <f>IF($C815="B",INDEX(Batters[[#All],[DEM]],MATCH(Table5[[#This Row],[PID]],Batters[[#All],[PID]],0)),INDEX(Table3[[#All],[DEM]],MATCH(Table5[[#This Row],[PID]],Table3[[#All],[PID]],0)))</f>
        <v>$65k</v>
      </c>
      <c r="T815" s="62">
        <f>IF($C815="B",INDEX(Batters[[#All],[Rnk]],MATCH(Table5[[#This Row],[PID]],Batters[[#All],[PID]],0)),INDEX(Table3[[#All],[Rnk]],MATCH(Table5[[#This Row],[PID]],Table3[[#All],[PID]],0)))</f>
        <v>299</v>
      </c>
      <c r="U815" s="68">
        <f>IF($C815="B",VLOOKUP($A815,Bat!$A$4:$BA$1621,47,FALSE),VLOOKUP($A815,Pit!$A$4:$BF$1557,56,FALSE))</f>
        <v>0</v>
      </c>
      <c r="V815" s="50">
        <f>IF($C815="B",VLOOKUP($A815,Bat!$A$4:$BA$1621,48,FALSE),VLOOKUP($A815,Pit!$A$4:$BF$1557,57,FALSE))</f>
        <v>0</v>
      </c>
      <c r="W815" s="50">
        <f>Table5[[#This Row],[posRnk]]+Table5[[#This Row],[zRnk]]+IF($W$3&lt;&gt;Table5[[#This Row],[Type]],50,0)</f>
        <v>1069</v>
      </c>
      <c r="X815" s="51">
        <f>RANK(Table5[[#This Row],[zScore]],Table5[[#All],[zScore]])</f>
        <v>720</v>
      </c>
      <c r="Y815" s="50" t="str">
        <f>IFERROR(INDEX(DraftResults[[#All],[OVR]],MATCH(Table5[[#This Row],[PID]],DraftResults[[#All],[Player ID]],0)),"")</f>
        <v/>
      </c>
      <c r="Z8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5" s="50" t="str">
        <f>IFERROR(INDEX(DraftResults[[#All],[Pick in Round]],MATCH(Table5[[#This Row],[PID]],DraftResults[[#All],[Player ID]],0)),"")</f>
        <v/>
      </c>
      <c r="AB815" s="50" t="str">
        <f>IFERROR(INDEX(DraftResults[[#All],[Team Name]],MATCH(Table5[[#This Row],[PID]],DraftResults[[#All],[Player ID]],0)),"")</f>
        <v/>
      </c>
      <c r="AC815" s="50" t="str">
        <f>IF(Table5[[#This Row],[Ovr]]="","",IF(Table5[[#This Row],[cmbList]]="","",Table5[[#This Row],[cmbList]]-Table5[[#This Row],[Ovr]]))</f>
        <v/>
      </c>
      <c r="AD815" s="54" t="str">
        <f>IF(ISERROR(VLOOKUP($AB815&amp;"-"&amp;$E815&amp;" "&amp;F815,Bonuses!$B$1:$G$1006,4,FALSE)),"",INT(VLOOKUP($AB815&amp;"-"&amp;$E815&amp;" "&amp;$F815,Bonuses!$B$1:$G$1006,4,FALSE)))</f>
        <v/>
      </c>
      <c r="AE8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6" spans="1:31" s="50" customFormat="1" x14ac:dyDescent="0.25">
      <c r="A816" s="50">
        <v>20886</v>
      </c>
      <c r="B816" s="50">
        <f>COUNTIF(Table5[PID],A816)</f>
        <v>1</v>
      </c>
      <c r="C816" s="50" t="str">
        <f>IF(COUNTIF(Table3[[#All],[PID]],A816)&gt;0,"P","B")</f>
        <v>P</v>
      </c>
      <c r="D816" s="59" t="str">
        <f>IF($C816="B",INDEX(Batters[[#All],[POS]],MATCH(Table5[[#This Row],[PID]],Batters[[#All],[PID]],0)),INDEX(Table3[[#All],[POS]],MATCH(Table5[[#This Row],[PID]],Table3[[#All],[PID]],0)))</f>
        <v>RP</v>
      </c>
      <c r="E816" s="52" t="str">
        <f>IF($C816="B",INDEX(Batters[[#All],[First]],MATCH(Table5[[#This Row],[PID]],Batters[[#All],[PID]],0)),INDEX(Table3[[#All],[First]],MATCH(Table5[[#This Row],[PID]],Table3[[#All],[PID]],0)))</f>
        <v>Joe</v>
      </c>
      <c r="F816" s="50" t="str">
        <f>IF($C816="B",INDEX(Batters[[#All],[Last]],MATCH(A816,Batters[[#All],[PID]],0)),INDEX(Table3[[#All],[Last]],MATCH(A816,Table3[[#All],[PID]],0)))</f>
        <v>McDonald</v>
      </c>
      <c r="G816" s="56">
        <f>IF($C816="B",INDEX(Batters[[#All],[Age]],MATCH(Table5[[#This Row],[PID]],Batters[[#All],[PID]],0)),INDEX(Table3[[#All],[Age]],MATCH(Table5[[#This Row],[PID]],Table3[[#All],[PID]],0)))</f>
        <v>17</v>
      </c>
      <c r="H816" s="52" t="str">
        <f>IF($C816="B",INDEX(Batters[[#All],[B]],MATCH(Table5[[#This Row],[PID]],Batters[[#All],[PID]],0)),INDEX(Table3[[#All],[B]],MATCH(Table5[[#This Row],[PID]],Table3[[#All],[PID]],0)))</f>
        <v>R</v>
      </c>
      <c r="I816" s="52" t="str">
        <f>IF($C816="B",INDEX(Batters[[#All],[T]],MATCH(Table5[[#This Row],[PID]],Batters[[#All],[PID]],0)),INDEX(Table3[[#All],[T]],MATCH(Table5[[#This Row],[PID]],Table3[[#All],[PID]],0)))</f>
        <v>R</v>
      </c>
      <c r="J816" s="52" t="str">
        <f>IF($C816="B",INDEX(Batters[[#All],[WE]],MATCH(Table5[[#This Row],[PID]],Batters[[#All],[PID]],0)),INDEX(Table3[[#All],[WE]],MATCH(Table5[[#This Row],[PID]],Table3[[#All],[PID]],0)))</f>
        <v>Low</v>
      </c>
      <c r="K816" s="52" t="str">
        <f>IF($C816="B",INDEX(Batters[[#All],[INT]],MATCH(Table5[[#This Row],[PID]],Batters[[#All],[PID]],0)),INDEX(Table3[[#All],[INT]],MATCH(Table5[[#This Row],[PID]],Table3[[#All],[PID]],0)))</f>
        <v>Low</v>
      </c>
      <c r="L816" s="60">
        <f>IF($C816="B",INDEX(Batters[[#All],[CON P]],MATCH(Table5[[#This Row],[PID]],Batters[[#All],[PID]],0)),INDEX(Table3[[#All],[STU P]],MATCH(Table5[[#This Row],[PID]],Table3[[#All],[PID]],0)))</f>
        <v>5</v>
      </c>
      <c r="M816" s="56">
        <f>IF($C816="B",INDEX(Batters[[#All],[GAP P]],MATCH(Table5[[#This Row],[PID]],Batters[[#All],[PID]],0)),INDEX(Table3[[#All],[MOV P]],MATCH(Table5[[#This Row],[PID]],Table3[[#All],[PID]],0)))</f>
        <v>1</v>
      </c>
      <c r="N816" s="56">
        <f>IF($C816="B",INDEX(Batters[[#All],[POW P]],MATCH(Table5[[#This Row],[PID]],Batters[[#All],[PID]],0)),INDEX(Table3[[#All],[CON P]],MATCH(Table5[[#This Row],[PID]],Table3[[#All],[PID]],0)))</f>
        <v>4</v>
      </c>
      <c r="O816" s="56" t="str">
        <f>IF($C816="B",INDEX(Batters[[#All],[EYE P]],MATCH(Table5[[#This Row],[PID]],Batters[[#All],[PID]],0)),INDEX(Table3[[#All],[VELO]],MATCH(Table5[[#This Row],[PID]],Table3[[#All],[PID]],0)))</f>
        <v>89-91 Mph</v>
      </c>
      <c r="P816" s="56">
        <f>IF($C816="B",INDEX(Batters[[#All],[K P]],MATCH(Table5[[#This Row],[PID]],Batters[[#All],[PID]],0)),INDEX(Table3[[#All],[STM]],MATCH(Table5[[#This Row],[PID]],Table3[[#All],[PID]],0)))</f>
        <v>6</v>
      </c>
      <c r="Q816" s="61">
        <f>IF($C816="B",INDEX(Batters[[#All],[Tot]],MATCH(Table5[[#This Row],[PID]],Batters[[#All],[PID]],0)),INDEX(Table3[[#All],[Tot]],MATCH(Table5[[#This Row],[PID]],Table3[[#All],[PID]],0)))</f>
        <v>31.474806806761332</v>
      </c>
      <c r="R816" s="52">
        <f>IF($C816="B",INDEX(Batters[[#All],[zScore]],MATCH(Table5[[#This Row],[PID]],Batters[[#All],[PID]],0)),INDEX(Table3[[#All],[zScore]],MATCH(Table5[[#This Row],[PID]],Table3[[#All],[PID]],0)))</f>
        <v>-0.29244048364958558</v>
      </c>
      <c r="S816" s="58" t="str">
        <f>IF($C816="B",INDEX(Batters[[#All],[DEM]],MATCH(Table5[[#This Row],[PID]],Batters[[#All],[PID]],0)),INDEX(Table3[[#All],[DEM]],MATCH(Table5[[#This Row],[PID]],Table3[[#All],[PID]],0)))</f>
        <v>$38k</v>
      </c>
      <c r="T816" s="62">
        <f>IF($C816="B",INDEX(Batters[[#All],[Rnk]],MATCH(Table5[[#This Row],[PID]],Batters[[#All],[PID]],0)),INDEX(Table3[[#All],[Rnk]],MATCH(Table5[[#This Row],[PID]],Table3[[#All],[PID]],0)))</f>
        <v>422</v>
      </c>
      <c r="U816" s="68">
        <f>IF($C816="B",VLOOKUP($A816,Bat!$A$4:$BA$1621,47,FALSE),VLOOKUP($A816,Pit!$A$4:$BF$1557,56,FALSE))</f>
        <v>0</v>
      </c>
      <c r="V816" s="50">
        <f>IF($C816="B",VLOOKUP($A816,Bat!$A$4:$BA$1621,48,FALSE),VLOOKUP($A816,Pit!$A$4:$BF$1557,57,FALSE))</f>
        <v>0</v>
      </c>
      <c r="W816" s="50">
        <f>Table5[[#This Row],[posRnk]]+Table5[[#This Row],[zRnk]]+IF($W$3&lt;&gt;Table5[[#This Row],[Type]],50,0)</f>
        <v>1193</v>
      </c>
      <c r="X816" s="51">
        <f>RANK(Table5[[#This Row],[zScore]],Table5[[#All],[zScore]])</f>
        <v>721</v>
      </c>
      <c r="Y816" s="50" t="str">
        <f>IFERROR(INDEX(DraftResults[[#All],[OVR]],MATCH(Table5[[#This Row],[PID]],DraftResults[[#All],[Player ID]],0)),"")</f>
        <v/>
      </c>
      <c r="Z8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6" s="50" t="str">
        <f>IFERROR(INDEX(DraftResults[[#All],[Pick in Round]],MATCH(Table5[[#This Row],[PID]],DraftResults[[#All],[Player ID]],0)),"")</f>
        <v/>
      </c>
      <c r="AB816" s="50" t="str">
        <f>IFERROR(INDEX(DraftResults[[#All],[Team Name]],MATCH(Table5[[#This Row],[PID]],DraftResults[[#All],[Player ID]],0)),"")</f>
        <v/>
      </c>
      <c r="AC816" s="50" t="str">
        <f>IF(Table5[[#This Row],[Ovr]]="","",IF(Table5[[#This Row],[cmbList]]="","",Table5[[#This Row],[cmbList]]-Table5[[#This Row],[Ovr]]))</f>
        <v/>
      </c>
      <c r="AD816" s="54" t="str">
        <f>IF(ISERROR(VLOOKUP($AB816&amp;"-"&amp;$E816&amp;" "&amp;F816,Bonuses!$B$1:$G$1006,4,FALSE)),"",INT(VLOOKUP($AB816&amp;"-"&amp;$E816&amp;" "&amp;$F816,Bonuses!$B$1:$G$1006,4,FALSE)))</f>
        <v/>
      </c>
      <c r="AE8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7" spans="1:31" s="50" customFormat="1" x14ac:dyDescent="0.25">
      <c r="A817" s="50">
        <v>18210</v>
      </c>
      <c r="B817" s="50">
        <f>COUNTIF(Table5[PID],A817)</f>
        <v>1</v>
      </c>
      <c r="C817" s="50" t="str">
        <f>IF(COUNTIF(Table3[[#All],[PID]],A817)&gt;0,"P","B")</f>
        <v>B</v>
      </c>
      <c r="D817" s="59" t="str">
        <f>IF($C817="B",INDEX(Batters[[#All],[POS]],MATCH(Table5[[#This Row],[PID]],Batters[[#All],[PID]],0)),INDEX(Table3[[#All],[POS]],MATCH(Table5[[#This Row],[PID]],Table3[[#All],[PID]],0)))</f>
        <v>LF</v>
      </c>
      <c r="E817" s="52" t="str">
        <f>IF($C817="B",INDEX(Batters[[#All],[First]],MATCH(Table5[[#This Row],[PID]],Batters[[#All],[PID]],0)),INDEX(Table3[[#All],[First]],MATCH(Table5[[#This Row],[PID]],Table3[[#All],[PID]],0)))</f>
        <v>Allan</v>
      </c>
      <c r="F817" s="50" t="str">
        <f>IF($C817="B",INDEX(Batters[[#All],[Last]],MATCH(A817,Batters[[#All],[PID]],0)),INDEX(Table3[[#All],[Last]],MATCH(A817,Table3[[#All],[PID]],0)))</f>
        <v>Samuels</v>
      </c>
      <c r="G817" s="56">
        <f>IF($C817="B",INDEX(Batters[[#All],[Age]],MATCH(Table5[[#This Row],[PID]],Batters[[#All],[PID]],0)),INDEX(Table3[[#All],[Age]],MATCH(Table5[[#This Row],[PID]],Table3[[#All],[PID]],0)))</f>
        <v>18</v>
      </c>
      <c r="H817" s="52" t="str">
        <f>IF($C817="B",INDEX(Batters[[#All],[B]],MATCH(Table5[[#This Row],[PID]],Batters[[#All],[PID]],0)),INDEX(Table3[[#All],[B]],MATCH(Table5[[#This Row],[PID]],Table3[[#All],[PID]],0)))</f>
        <v>L</v>
      </c>
      <c r="I817" s="52" t="str">
        <f>IF($C817="B",INDEX(Batters[[#All],[T]],MATCH(Table5[[#This Row],[PID]],Batters[[#All],[PID]],0)),INDEX(Table3[[#All],[T]],MATCH(Table5[[#This Row],[PID]],Table3[[#All],[PID]],0)))</f>
        <v>R</v>
      </c>
      <c r="J817" s="52" t="str">
        <f>IF($C817="B",INDEX(Batters[[#All],[WE]],MATCH(Table5[[#This Row],[PID]],Batters[[#All],[PID]],0)),INDEX(Table3[[#All],[WE]],MATCH(Table5[[#This Row],[PID]],Table3[[#All],[PID]],0)))</f>
        <v>Low</v>
      </c>
      <c r="K817" s="52" t="str">
        <f>IF($C817="B",INDEX(Batters[[#All],[INT]],MATCH(Table5[[#This Row],[PID]],Batters[[#All],[PID]],0)),INDEX(Table3[[#All],[INT]],MATCH(Table5[[#This Row],[PID]],Table3[[#All],[PID]],0)))</f>
        <v>Normal</v>
      </c>
      <c r="L817" s="60">
        <f>IF($C817="B",INDEX(Batters[[#All],[CON P]],MATCH(Table5[[#This Row],[PID]],Batters[[#All],[PID]],0)),INDEX(Table3[[#All],[STU P]],MATCH(Table5[[#This Row],[PID]],Table3[[#All],[PID]],0)))</f>
        <v>3</v>
      </c>
      <c r="M817" s="56">
        <f>IF($C817="B",INDEX(Batters[[#All],[GAP P]],MATCH(Table5[[#This Row],[PID]],Batters[[#All],[PID]],0)),INDEX(Table3[[#All],[MOV P]],MATCH(Table5[[#This Row],[PID]],Table3[[#All],[PID]],0)))</f>
        <v>4</v>
      </c>
      <c r="N817" s="56">
        <f>IF($C817="B",INDEX(Batters[[#All],[POW P]],MATCH(Table5[[#This Row],[PID]],Batters[[#All],[PID]],0)),INDEX(Table3[[#All],[CON P]],MATCH(Table5[[#This Row],[PID]],Table3[[#All],[PID]],0)))</f>
        <v>4</v>
      </c>
      <c r="O817" s="56">
        <f>IF($C817="B",INDEX(Batters[[#All],[EYE P]],MATCH(Table5[[#This Row],[PID]],Batters[[#All],[PID]],0)),INDEX(Table3[[#All],[VELO]],MATCH(Table5[[#This Row],[PID]],Table3[[#All],[PID]],0)))</f>
        <v>5</v>
      </c>
      <c r="P817" s="56">
        <f>IF($C817="B",INDEX(Batters[[#All],[K P]],MATCH(Table5[[#This Row],[PID]],Batters[[#All],[PID]],0)),INDEX(Table3[[#All],[STM]],MATCH(Table5[[#This Row],[PID]],Table3[[#All],[PID]],0)))</f>
        <v>4</v>
      </c>
      <c r="Q817" s="61">
        <f>IF($C817="B",INDEX(Batters[[#All],[Tot]],MATCH(Table5[[#This Row],[PID]],Batters[[#All],[PID]],0)),INDEX(Table3[[#All],[Tot]],MATCH(Table5[[#This Row],[PID]],Table3[[#All],[PID]],0)))</f>
        <v>42.809213758323509</v>
      </c>
      <c r="R817" s="52">
        <f>IF($C817="B",INDEX(Batters[[#All],[zScore]],MATCH(Table5[[#This Row],[PID]],Batters[[#All],[PID]],0)),INDEX(Table3[[#All],[zScore]],MATCH(Table5[[#This Row],[PID]],Table3[[#All],[PID]],0)))</f>
        <v>-0.29325728686365732</v>
      </c>
      <c r="S817" s="58" t="str">
        <f>IF($C817="B",INDEX(Batters[[#All],[DEM]],MATCH(Table5[[#This Row],[PID]],Batters[[#All],[PID]],0)),INDEX(Table3[[#All],[DEM]],MATCH(Table5[[#This Row],[PID]],Table3[[#All],[PID]],0)))</f>
        <v>$80k</v>
      </c>
      <c r="T817" s="62">
        <f>IF($C817="B",INDEX(Batters[[#All],[Rnk]],MATCH(Table5[[#This Row],[PID]],Batters[[#All],[PID]],0)),INDEX(Table3[[#All],[Rnk]],MATCH(Table5[[#This Row],[PID]],Table3[[#All],[PID]],0)))</f>
        <v>300</v>
      </c>
      <c r="U817" s="68">
        <f>IF($C817="B",VLOOKUP($A817,Bat!$A$4:$BA$1621,47,FALSE),VLOOKUP($A817,Pit!$A$4:$BF$1557,56,FALSE))</f>
        <v>0</v>
      </c>
      <c r="V817" s="50">
        <f>IF($C817="B",VLOOKUP($A817,Bat!$A$4:$BA$1621,48,FALSE),VLOOKUP($A817,Pit!$A$4:$BF$1557,57,FALSE))</f>
        <v>0</v>
      </c>
      <c r="W817" s="50">
        <f>Table5[[#This Row],[posRnk]]+Table5[[#This Row],[zRnk]]+IF($W$3&lt;&gt;Table5[[#This Row],[Type]],50,0)</f>
        <v>1072</v>
      </c>
      <c r="X817" s="51">
        <f>RANK(Table5[[#This Row],[zScore]],Table5[[#All],[zScore]])</f>
        <v>722</v>
      </c>
      <c r="Y817" s="50" t="str">
        <f>IFERROR(INDEX(DraftResults[[#All],[OVR]],MATCH(Table5[[#This Row],[PID]],DraftResults[[#All],[Player ID]],0)),"")</f>
        <v/>
      </c>
      <c r="Z8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7" s="50" t="str">
        <f>IFERROR(INDEX(DraftResults[[#All],[Pick in Round]],MATCH(Table5[[#This Row],[PID]],DraftResults[[#All],[Player ID]],0)),"")</f>
        <v/>
      </c>
      <c r="AB817" s="50" t="str">
        <f>IFERROR(INDEX(DraftResults[[#All],[Team Name]],MATCH(Table5[[#This Row],[PID]],DraftResults[[#All],[Player ID]],0)),"")</f>
        <v/>
      </c>
      <c r="AC817" s="50" t="str">
        <f>IF(Table5[[#This Row],[Ovr]]="","",IF(Table5[[#This Row],[cmbList]]="","",Table5[[#This Row],[cmbList]]-Table5[[#This Row],[Ovr]]))</f>
        <v/>
      </c>
      <c r="AD817" s="54" t="str">
        <f>IF(ISERROR(VLOOKUP($AB817&amp;"-"&amp;$E817&amp;" "&amp;F817,Bonuses!$B$1:$G$1006,4,FALSE)),"",INT(VLOOKUP($AB817&amp;"-"&amp;$E817&amp;" "&amp;$F817,Bonuses!$B$1:$G$1006,4,FALSE)))</f>
        <v/>
      </c>
      <c r="AE8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8" spans="1:31" s="50" customFormat="1" x14ac:dyDescent="0.25">
      <c r="A818" s="50">
        <v>17895</v>
      </c>
      <c r="B818" s="50">
        <f>COUNTIF(Table5[PID],A818)</f>
        <v>1</v>
      </c>
      <c r="C818" s="50" t="str">
        <f>IF(COUNTIF(Table3[[#All],[PID]],A818)&gt;0,"P","B")</f>
        <v>P</v>
      </c>
      <c r="D818" s="59" t="str">
        <f>IF($C818="B",INDEX(Batters[[#All],[POS]],MATCH(Table5[[#This Row],[PID]],Batters[[#All],[PID]],0)),INDEX(Table3[[#All],[POS]],MATCH(Table5[[#This Row],[PID]],Table3[[#All],[PID]],0)))</f>
        <v>RP</v>
      </c>
      <c r="E818" s="52" t="str">
        <f>IF($C818="B",INDEX(Batters[[#All],[First]],MATCH(Table5[[#This Row],[PID]],Batters[[#All],[PID]],0)),INDEX(Table3[[#All],[First]],MATCH(Table5[[#This Row],[PID]],Table3[[#All],[PID]],0)))</f>
        <v>Daisuke</v>
      </c>
      <c r="F818" s="50" t="str">
        <f>IF($C818="B",INDEX(Batters[[#All],[Last]],MATCH(A818,Batters[[#All],[PID]],0)),INDEX(Table3[[#All],[Last]],MATCH(A818,Table3[[#All],[PID]],0)))</f>
        <v>Kitahara</v>
      </c>
      <c r="G818" s="56">
        <f>IF($C818="B",INDEX(Batters[[#All],[Age]],MATCH(Table5[[#This Row],[PID]],Batters[[#All],[PID]],0)),INDEX(Table3[[#All],[Age]],MATCH(Table5[[#This Row],[PID]],Table3[[#All],[PID]],0)))</f>
        <v>18</v>
      </c>
      <c r="H818" s="52" t="str">
        <f>IF($C818="B",INDEX(Batters[[#All],[B]],MATCH(Table5[[#This Row],[PID]],Batters[[#All],[PID]],0)),INDEX(Table3[[#All],[B]],MATCH(Table5[[#This Row],[PID]],Table3[[#All],[PID]],0)))</f>
        <v>L</v>
      </c>
      <c r="I818" s="52" t="str">
        <f>IF($C818="B",INDEX(Batters[[#All],[T]],MATCH(Table5[[#This Row],[PID]],Batters[[#All],[PID]],0)),INDEX(Table3[[#All],[T]],MATCH(Table5[[#This Row],[PID]],Table3[[#All],[PID]],0)))</f>
        <v>R</v>
      </c>
      <c r="J818" s="52" t="str">
        <f>IF($C818="B",INDEX(Batters[[#All],[WE]],MATCH(Table5[[#This Row],[PID]],Batters[[#All],[PID]],0)),INDEX(Table3[[#All],[WE]],MATCH(Table5[[#This Row],[PID]],Table3[[#All],[PID]],0)))</f>
        <v>High</v>
      </c>
      <c r="K818" s="52" t="str">
        <f>IF($C818="B",INDEX(Batters[[#All],[INT]],MATCH(Table5[[#This Row],[PID]],Batters[[#All],[PID]],0)),INDEX(Table3[[#All],[INT]],MATCH(Table5[[#This Row],[PID]],Table3[[#All],[PID]],0)))</f>
        <v>High</v>
      </c>
      <c r="L818" s="60">
        <f>IF($C818="B",INDEX(Batters[[#All],[CON P]],MATCH(Table5[[#This Row],[PID]],Batters[[#All],[PID]],0)),INDEX(Table3[[#All],[STU P]],MATCH(Table5[[#This Row],[PID]],Table3[[#All],[PID]],0)))</f>
        <v>5</v>
      </c>
      <c r="M818" s="56">
        <f>IF($C818="B",INDEX(Batters[[#All],[GAP P]],MATCH(Table5[[#This Row],[PID]],Batters[[#All],[PID]],0)),INDEX(Table3[[#All],[MOV P]],MATCH(Table5[[#This Row],[PID]],Table3[[#All],[PID]],0)))</f>
        <v>1</v>
      </c>
      <c r="N818" s="56">
        <f>IF($C818="B",INDEX(Batters[[#All],[POW P]],MATCH(Table5[[#This Row],[PID]],Batters[[#All],[PID]],0)),INDEX(Table3[[#All],[CON P]],MATCH(Table5[[#This Row],[PID]],Table3[[#All],[PID]],0)))</f>
        <v>2</v>
      </c>
      <c r="O818" s="56" t="str">
        <f>IF($C818="B",INDEX(Batters[[#All],[EYE P]],MATCH(Table5[[#This Row],[PID]],Batters[[#All],[PID]],0)),INDEX(Table3[[#All],[VELO]],MATCH(Table5[[#This Row],[PID]],Table3[[#All],[PID]],0)))</f>
        <v>86-88 Mph</v>
      </c>
      <c r="P818" s="56">
        <f>IF($C818="B",INDEX(Batters[[#All],[K P]],MATCH(Table5[[#This Row],[PID]],Batters[[#All],[PID]],0)),INDEX(Table3[[#All],[STM]],MATCH(Table5[[#This Row],[PID]],Table3[[#All],[PID]],0)))</f>
        <v>8</v>
      </c>
      <c r="Q818" s="61">
        <f>IF($C818="B",INDEX(Batters[[#All],[Tot]],MATCH(Table5[[#This Row],[PID]],Batters[[#All],[PID]],0)),INDEX(Table3[[#All],[Tot]],MATCH(Table5[[#This Row],[PID]],Table3[[#All],[PID]],0)))</f>
        <v>31.461049155131438</v>
      </c>
      <c r="R818" s="52">
        <f>IF($C818="B",INDEX(Batters[[#All],[zScore]],MATCH(Table5[[#This Row],[PID]],Batters[[#All],[PID]],0)),INDEX(Table3[[#All],[zScore]],MATCH(Table5[[#This Row],[PID]],Table3[[#All],[PID]],0)))</f>
        <v>-0.29335575918933338</v>
      </c>
      <c r="S818" s="58" t="str">
        <f>IF($C818="B",INDEX(Batters[[#All],[DEM]],MATCH(Table5[[#This Row],[PID]],Batters[[#All],[PID]],0)),INDEX(Table3[[#All],[DEM]],MATCH(Table5[[#This Row],[PID]],Table3[[#All],[PID]],0)))</f>
        <v>$70k</v>
      </c>
      <c r="T818" s="62">
        <f>IF($C818="B",INDEX(Batters[[#All],[Rnk]],MATCH(Table5[[#This Row],[PID]],Batters[[#All],[PID]],0)),INDEX(Table3[[#All],[Rnk]],MATCH(Table5[[#This Row],[PID]],Table3[[#All],[PID]],0)))</f>
        <v>423</v>
      </c>
      <c r="U818" s="68">
        <f>IF($C818="B",VLOOKUP($A818,Bat!$A$4:$BA$1621,47,FALSE),VLOOKUP($A818,Pit!$A$4:$BF$1557,56,FALSE))</f>
        <v>0</v>
      </c>
      <c r="V818" s="50">
        <f>IF($C818="B",VLOOKUP($A818,Bat!$A$4:$BA$1621,48,FALSE),VLOOKUP($A818,Pit!$A$4:$BF$1557,57,FALSE))</f>
        <v>0</v>
      </c>
      <c r="W818" s="50">
        <f>Table5[[#This Row],[posRnk]]+Table5[[#This Row],[zRnk]]+IF($W$3&lt;&gt;Table5[[#This Row],[Type]],50,0)</f>
        <v>1196</v>
      </c>
      <c r="X818" s="51">
        <f>RANK(Table5[[#This Row],[zScore]],Table5[[#All],[zScore]])</f>
        <v>723</v>
      </c>
      <c r="Y818" s="50" t="str">
        <f>IFERROR(INDEX(DraftResults[[#All],[OVR]],MATCH(Table5[[#This Row],[PID]],DraftResults[[#All],[Player ID]],0)),"")</f>
        <v/>
      </c>
      <c r="Z8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8" s="50" t="str">
        <f>IFERROR(INDEX(DraftResults[[#All],[Pick in Round]],MATCH(Table5[[#This Row],[PID]],DraftResults[[#All],[Player ID]],0)),"")</f>
        <v/>
      </c>
      <c r="AB818" s="50" t="str">
        <f>IFERROR(INDEX(DraftResults[[#All],[Team Name]],MATCH(Table5[[#This Row],[PID]],DraftResults[[#All],[Player ID]],0)),"")</f>
        <v/>
      </c>
      <c r="AC818" s="50" t="str">
        <f>IF(Table5[[#This Row],[Ovr]]="","",IF(Table5[[#This Row],[cmbList]]="","",Table5[[#This Row],[cmbList]]-Table5[[#This Row],[Ovr]]))</f>
        <v/>
      </c>
      <c r="AD818" s="54" t="str">
        <f>IF(ISERROR(VLOOKUP($AB818&amp;"-"&amp;$E818&amp;" "&amp;F818,Bonuses!$B$1:$G$1006,4,FALSE)),"",INT(VLOOKUP($AB818&amp;"-"&amp;$E818&amp;" "&amp;$F818,Bonuses!$B$1:$G$1006,4,FALSE)))</f>
        <v/>
      </c>
      <c r="AE8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19" spans="1:31" s="50" customFormat="1" x14ac:dyDescent="0.25">
      <c r="A819" s="50">
        <v>17886</v>
      </c>
      <c r="B819" s="50">
        <f>COUNTIF(Table5[PID],A819)</f>
        <v>1</v>
      </c>
      <c r="C819" s="50" t="str">
        <f>IF(COUNTIF(Table3[[#All],[PID]],A819)&gt;0,"P","B")</f>
        <v>P</v>
      </c>
      <c r="D819" s="59" t="str">
        <f>IF($C819="B",INDEX(Batters[[#All],[POS]],MATCH(Table5[[#This Row],[PID]],Batters[[#All],[PID]],0)),INDEX(Table3[[#All],[POS]],MATCH(Table5[[#This Row],[PID]],Table3[[#All],[PID]],0)))</f>
        <v>CL</v>
      </c>
      <c r="E819" s="52" t="str">
        <f>IF($C819="B",INDEX(Batters[[#All],[First]],MATCH(Table5[[#This Row],[PID]],Batters[[#All],[PID]],0)),INDEX(Table3[[#All],[First]],MATCH(Table5[[#This Row],[PID]],Table3[[#All],[PID]],0)))</f>
        <v>Yunosuke</v>
      </c>
      <c r="F819" s="50" t="str">
        <f>IF($C819="B",INDEX(Batters[[#All],[Last]],MATCH(A819,Batters[[#All],[PID]],0)),INDEX(Table3[[#All],[Last]],MATCH(A819,Table3[[#All],[PID]],0)))</f>
        <v>Kobayashi</v>
      </c>
      <c r="G819" s="56">
        <f>IF($C819="B",INDEX(Batters[[#All],[Age]],MATCH(Table5[[#This Row],[PID]],Batters[[#All],[PID]],0)),INDEX(Table3[[#All],[Age]],MATCH(Table5[[#This Row],[PID]],Table3[[#All],[PID]],0)))</f>
        <v>18</v>
      </c>
      <c r="H819" s="52" t="str">
        <f>IF($C819="B",INDEX(Batters[[#All],[B]],MATCH(Table5[[#This Row],[PID]],Batters[[#All],[PID]],0)),INDEX(Table3[[#All],[B]],MATCH(Table5[[#This Row],[PID]],Table3[[#All],[PID]],0)))</f>
        <v>L</v>
      </c>
      <c r="I819" s="52" t="str">
        <f>IF($C819="B",INDEX(Batters[[#All],[T]],MATCH(Table5[[#This Row],[PID]],Batters[[#All],[PID]],0)),INDEX(Table3[[#All],[T]],MATCH(Table5[[#This Row],[PID]],Table3[[#All],[PID]],0)))</f>
        <v>R</v>
      </c>
      <c r="J819" s="52" t="str">
        <f>IF($C819="B",INDEX(Batters[[#All],[WE]],MATCH(Table5[[#This Row],[PID]],Batters[[#All],[PID]],0)),INDEX(Table3[[#All],[WE]],MATCH(Table5[[#This Row],[PID]],Table3[[#All],[PID]],0)))</f>
        <v>High</v>
      </c>
      <c r="K819" s="52" t="str">
        <f>IF($C819="B",INDEX(Batters[[#All],[INT]],MATCH(Table5[[#This Row],[PID]],Batters[[#All],[PID]],0)),INDEX(Table3[[#All],[INT]],MATCH(Table5[[#This Row],[PID]],Table3[[#All],[PID]],0)))</f>
        <v>Normal</v>
      </c>
      <c r="L819" s="60">
        <f>IF($C819="B",INDEX(Batters[[#All],[CON P]],MATCH(Table5[[#This Row],[PID]],Batters[[#All],[PID]],0)),INDEX(Table3[[#All],[STU P]],MATCH(Table5[[#This Row],[PID]],Table3[[#All],[PID]],0)))</f>
        <v>4</v>
      </c>
      <c r="M819" s="56">
        <f>IF($C819="B",INDEX(Batters[[#All],[GAP P]],MATCH(Table5[[#This Row],[PID]],Batters[[#All],[PID]],0)),INDEX(Table3[[#All],[MOV P]],MATCH(Table5[[#This Row],[PID]],Table3[[#All],[PID]],0)))</f>
        <v>2</v>
      </c>
      <c r="N819" s="56">
        <f>IF($C819="B",INDEX(Batters[[#All],[POW P]],MATCH(Table5[[#This Row],[PID]],Batters[[#All],[PID]],0)),INDEX(Table3[[#All],[CON P]],MATCH(Table5[[#This Row],[PID]],Table3[[#All],[PID]],0)))</f>
        <v>3</v>
      </c>
      <c r="O819" s="56" t="str">
        <f>IF($C819="B",INDEX(Batters[[#All],[EYE P]],MATCH(Table5[[#This Row],[PID]],Batters[[#All],[PID]],0)),INDEX(Table3[[#All],[VELO]],MATCH(Table5[[#This Row],[PID]],Table3[[#All],[PID]],0)))</f>
        <v>92-94 Mph</v>
      </c>
      <c r="P819" s="56">
        <f>IF($C819="B",INDEX(Batters[[#All],[K P]],MATCH(Table5[[#This Row],[PID]],Batters[[#All],[PID]],0)),INDEX(Table3[[#All],[STM]],MATCH(Table5[[#This Row],[PID]],Table3[[#All],[PID]],0)))</f>
        <v>8</v>
      </c>
      <c r="Q819" s="61">
        <f>IF($C819="B",INDEX(Batters[[#All],[Tot]],MATCH(Table5[[#This Row],[PID]],Batters[[#All],[PID]],0)),INDEX(Table3[[#All],[Tot]],MATCH(Table5[[#This Row],[PID]],Table3[[#All],[PID]],0)))</f>
        <v>33.500726378915559</v>
      </c>
      <c r="R819" s="52">
        <f>IF($C819="B",INDEX(Batters[[#All],[zScore]],MATCH(Table5[[#This Row],[PID]],Batters[[#All],[PID]],0)),INDEX(Table3[[#All],[zScore]],MATCH(Table5[[#This Row],[PID]],Table3[[#All],[PID]],0)))</f>
        <v>-0.29475765244454855</v>
      </c>
      <c r="S819" s="58" t="str">
        <f>IF($C819="B",INDEX(Batters[[#All],[DEM]],MATCH(Table5[[#This Row],[PID]],Batters[[#All],[PID]],0)),INDEX(Table3[[#All],[DEM]],MATCH(Table5[[#This Row],[PID]],Table3[[#All],[PID]],0)))</f>
        <v>$90k</v>
      </c>
      <c r="T819" s="62">
        <f>IF($C819="B",INDEX(Batters[[#All],[Rnk]],MATCH(Table5[[#This Row],[PID]],Batters[[#All],[PID]],0)),INDEX(Table3[[#All],[Rnk]],MATCH(Table5[[#This Row],[PID]],Table3[[#All],[PID]],0)))</f>
        <v>424</v>
      </c>
      <c r="U819" s="68">
        <f>IF($C819="B",VLOOKUP($A819,Bat!$A$4:$BA$1621,47,FALSE),VLOOKUP($A819,Pit!$A$4:$BF$1557,56,FALSE))</f>
        <v>0</v>
      </c>
      <c r="V819" s="50">
        <f>IF($C819="B",VLOOKUP($A819,Bat!$A$4:$BA$1621,48,FALSE),VLOOKUP($A819,Pit!$A$4:$BF$1557,57,FALSE))</f>
        <v>0</v>
      </c>
      <c r="W819" s="50">
        <f>Table5[[#This Row],[posRnk]]+Table5[[#This Row],[zRnk]]+IF($W$3&lt;&gt;Table5[[#This Row],[Type]],50,0)</f>
        <v>1198</v>
      </c>
      <c r="X819" s="51">
        <f>RANK(Table5[[#This Row],[zScore]],Table5[[#All],[zScore]])</f>
        <v>724</v>
      </c>
      <c r="Y819" s="50" t="str">
        <f>IFERROR(INDEX(DraftResults[[#All],[OVR]],MATCH(Table5[[#This Row],[PID]],DraftResults[[#All],[Player ID]],0)),"")</f>
        <v/>
      </c>
      <c r="Z8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19" s="50" t="str">
        <f>IFERROR(INDEX(DraftResults[[#All],[Pick in Round]],MATCH(Table5[[#This Row],[PID]],DraftResults[[#All],[Player ID]],0)),"")</f>
        <v/>
      </c>
      <c r="AB819" s="50" t="str">
        <f>IFERROR(INDEX(DraftResults[[#All],[Team Name]],MATCH(Table5[[#This Row],[PID]],DraftResults[[#All],[Player ID]],0)),"")</f>
        <v/>
      </c>
      <c r="AC819" s="50" t="str">
        <f>IF(Table5[[#This Row],[Ovr]]="","",IF(Table5[[#This Row],[cmbList]]="","",Table5[[#This Row],[cmbList]]-Table5[[#This Row],[Ovr]]))</f>
        <v/>
      </c>
      <c r="AD819" s="54" t="str">
        <f>IF(ISERROR(VLOOKUP($AB819&amp;"-"&amp;$E819&amp;" "&amp;F819,Bonuses!$B$1:$G$1006,4,FALSE)),"",INT(VLOOKUP($AB819&amp;"-"&amp;$E819&amp;" "&amp;$F819,Bonuses!$B$1:$G$1006,4,FALSE)))</f>
        <v/>
      </c>
      <c r="AE8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0" spans="1:31" s="50" customFormat="1" x14ac:dyDescent="0.25">
      <c r="A820" s="50">
        <v>18235</v>
      </c>
      <c r="B820" s="55">
        <f>COUNTIF(Table5[PID],A820)</f>
        <v>1</v>
      </c>
      <c r="C820" s="55" t="str">
        <f>IF(COUNTIF(Table3[[#All],[PID]],A820)&gt;0,"P","B")</f>
        <v>B</v>
      </c>
      <c r="D820" s="59" t="str">
        <f>IF($C820="B",INDEX(Batters[[#All],[POS]],MATCH(Table5[[#This Row],[PID]],Batters[[#All],[PID]],0)),INDEX(Table3[[#All],[POS]],MATCH(Table5[[#This Row],[PID]],Table3[[#All],[PID]],0)))</f>
        <v>C</v>
      </c>
      <c r="E820" s="52" t="str">
        <f>IF($C820="B",INDEX(Batters[[#All],[First]],MATCH(Table5[[#This Row],[PID]],Batters[[#All],[PID]],0)),INDEX(Table3[[#All],[First]],MATCH(Table5[[#This Row],[PID]],Table3[[#All],[PID]],0)))</f>
        <v>Alfonso</v>
      </c>
      <c r="F820" s="50" t="str">
        <f>IF($C820="B",INDEX(Batters[[#All],[Last]],MATCH(A820,Batters[[#All],[PID]],0)),INDEX(Table3[[#All],[Last]],MATCH(A820,Table3[[#All],[PID]],0)))</f>
        <v>Fernández</v>
      </c>
      <c r="G820" s="56">
        <f>IF($C820="B",INDEX(Batters[[#All],[Age]],MATCH(Table5[[#This Row],[PID]],Batters[[#All],[PID]],0)),INDEX(Table3[[#All],[Age]],MATCH(Table5[[#This Row],[PID]],Table3[[#All],[PID]],0)))</f>
        <v>18</v>
      </c>
      <c r="H820" s="52" t="str">
        <f>IF($C820="B",INDEX(Batters[[#All],[B]],MATCH(Table5[[#This Row],[PID]],Batters[[#All],[PID]],0)),INDEX(Table3[[#All],[B]],MATCH(Table5[[#This Row],[PID]],Table3[[#All],[PID]],0)))</f>
        <v>R</v>
      </c>
      <c r="I820" s="52" t="str">
        <f>IF($C820="B",INDEX(Batters[[#All],[T]],MATCH(Table5[[#This Row],[PID]],Batters[[#All],[PID]],0)),INDEX(Table3[[#All],[T]],MATCH(Table5[[#This Row],[PID]],Table3[[#All],[PID]],0)))</f>
        <v>R</v>
      </c>
      <c r="J820" s="52" t="str">
        <f>IF($C820="B",INDEX(Batters[[#All],[WE]],MATCH(Table5[[#This Row],[PID]],Batters[[#All],[PID]],0)),INDEX(Table3[[#All],[WE]],MATCH(Table5[[#This Row],[PID]],Table3[[#All],[PID]],0)))</f>
        <v>High</v>
      </c>
      <c r="K820" s="52" t="str">
        <f>IF($C820="B",INDEX(Batters[[#All],[INT]],MATCH(Table5[[#This Row],[PID]],Batters[[#All],[PID]],0)),INDEX(Table3[[#All],[INT]],MATCH(Table5[[#This Row],[PID]],Table3[[#All],[PID]],0)))</f>
        <v>Normal</v>
      </c>
      <c r="L820" s="60">
        <f>IF($C820="B",INDEX(Batters[[#All],[CON P]],MATCH(Table5[[#This Row],[PID]],Batters[[#All],[PID]],0)),INDEX(Table3[[#All],[STU P]],MATCH(Table5[[#This Row],[PID]],Table3[[#All],[PID]],0)))</f>
        <v>3</v>
      </c>
      <c r="M820" s="56">
        <f>IF($C820="B",INDEX(Batters[[#All],[GAP P]],MATCH(Table5[[#This Row],[PID]],Batters[[#All],[PID]],0)),INDEX(Table3[[#All],[MOV P]],MATCH(Table5[[#This Row],[PID]],Table3[[#All],[PID]],0)))</f>
        <v>3</v>
      </c>
      <c r="N820" s="56">
        <f>IF($C820="B",INDEX(Batters[[#All],[POW P]],MATCH(Table5[[#This Row],[PID]],Batters[[#All],[PID]],0)),INDEX(Table3[[#All],[CON P]],MATCH(Table5[[#This Row],[PID]],Table3[[#All],[PID]],0)))</f>
        <v>4</v>
      </c>
      <c r="O820" s="56">
        <f>IF($C820="B",INDEX(Batters[[#All],[EYE P]],MATCH(Table5[[#This Row],[PID]],Batters[[#All],[PID]],0)),INDEX(Table3[[#All],[VELO]],MATCH(Table5[[#This Row],[PID]],Table3[[#All],[PID]],0)))</f>
        <v>5</v>
      </c>
      <c r="P820" s="56">
        <f>IF($C820="B",INDEX(Batters[[#All],[K P]],MATCH(Table5[[#This Row],[PID]],Batters[[#All],[PID]],0)),INDEX(Table3[[#All],[STM]],MATCH(Table5[[#This Row],[PID]],Table3[[#All],[PID]],0)))</f>
        <v>4</v>
      </c>
      <c r="Q820" s="61">
        <f>IF($C820="B",INDEX(Batters[[#All],[Tot]],MATCH(Table5[[#This Row],[PID]],Batters[[#All],[PID]],0)),INDEX(Table3[[#All],[Tot]],MATCH(Table5[[#This Row],[PID]],Table3[[#All],[PID]],0)))</f>
        <v>42.800360169938152</v>
      </c>
      <c r="R820" s="52">
        <f>IF($C820="B",INDEX(Batters[[#All],[zScore]],MATCH(Table5[[#This Row],[PID]],Batters[[#All],[PID]],0)),INDEX(Table3[[#All],[zScore]],MATCH(Table5[[#This Row],[PID]],Table3[[#All],[PID]],0)))</f>
        <v>-0.29522018725339433</v>
      </c>
      <c r="S820" s="58" t="str">
        <f>IF($C820="B",INDEX(Batters[[#All],[DEM]],MATCH(Table5[[#This Row],[PID]],Batters[[#All],[PID]],0)),INDEX(Table3[[#All],[DEM]],MATCH(Table5[[#This Row],[PID]],Table3[[#All],[PID]],0)))</f>
        <v>$65k</v>
      </c>
      <c r="T820" s="62">
        <f>IF($C820="B",INDEX(Batters[[#All],[Rnk]],MATCH(Table5[[#This Row],[PID]],Batters[[#All],[PID]],0)),INDEX(Table3[[#All],[Rnk]],MATCH(Table5[[#This Row],[PID]],Table3[[#All],[PID]],0)))</f>
        <v>301</v>
      </c>
      <c r="U820" s="68">
        <f>IF($C820="B",VLOOKUP($A820,Bat!$A$4:$BA$1621,47,FALSE),VLOOKUP($A820,Pit!$A$4:$BF$1557,56,FALSE))</f>
        <v>0</v>
      </c>
      <c r="V820" s="50">
        <f>IF($C820="B",VLOOKUP($A820,Bat!$A$4:$BA$1621,48,FALSE),VLOOKUP($A820,Pit!$A$4:$BF$1557,57,FALSE))</f>
        <v>0</v>
      </c>
      <c r="W820" s="50">
        <f>Table5[[#This Row],[posRnk]]+Table5[[#This Row],[zRnk]]+IF($W$3&lt;&gt;Table5[[#This Row],[Type]],50,0)</f>
        <v>1076</v>
      </c>
      <c r="X820" s="51">
        <f>RANK(Table5[[#This Row],[zScore]],Table5[[#All],[zScore]])</f>
        <v>725</v>
      </c>
      <c r="Y820" s="50" t="str">
        <f>IFERROR(INDEX(DraftResults[[#All],[OVR]],MATCH(Table5[[#This Row],[PID]],DraftResults[[#All],[Player ID]],0)),"")</f>
        <v/>
      </c>
      <c r="Z8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0" s="50" t="str">
        <f>IFERROR(INDEX(DraftResults[[#All],[Pick in Round]],MATCH(Table5[[#This Row],[PID]],DraftResults[[#All],[Player ID]],0)),"")</f>
        <v/>
      </c>
      <c r="AB820" s="50" t="str">
        <f>IFERROR(INDEX(DraftResults[[#All],[Team Name]],MATCH(Table5[[#This Row],[PID]],DraftResults[[#All],[Player ID]],0)),"")</f>
        <v/>
      </c>
      <c r="AC820" s="50" t="str">
        <f>IF(Table5[[#This Row],[Ovr]]="","",IF(Table5[[#This Row],[cmbList]]="","",Table5[[#This Row],[cmbList]]-Table5[[#This Row],[Ovr]]))</f>
        <v/>
      </c>
      <c r="AD820" s="54" t="str">
        <f>IF(ISERROR(VLOOKUP($AB820&amp;"-"&amp;$E820&amp;" "&amp;F820,Bonuses!$B$1:$G$1006,4,FALSE)),"",INT(VLOOKUP($AB820&amp;"-"&amp;$E820&amp;" "&amp;$F820,Bonuses!$B$1:$G$1006,4,FALSE)))</f>
        <v/>
      </c>
      <c r="AE8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1" spans="1:31" s="50" customFormat="1" x14ac:dyDescent="0.25">
      <c r="A821" s="50">
        <v>20983</v>
      </c>
      <c r="B821" s="50">
        <f>COUNTIF(Table5[PID],A821)</f>
        <v>1</v>
      </c>
      <c r="C821" s="50" t="str">
        <f>IF(COUNTIF(Table3[[#All],[PID]],A821)&gt;0,"P","B")</f>
        <v>P</v>
      </c>
      <c r="D821" s="59" t="str">
        <f>IF($C821="B",INDEX(Batters[[#All],[POS]],MATCH(Table5[[#This Row],[PID]],Batters[[#All],[PID]],0)),INDEX(Table3[[#All],[POS]],MATCH(Table5[[#This Row],[PID]],Table3[[#All],[PID]],0)))</f>
        <v>RP</v>
      </c>
      <c r="E821" s="52" t="str">
        <f>IF($C821="B",INDEX(Batters[[#All],[First]],MATCH(Table5[[#This Row],[PID]],Batters[[#All],[PID]],0)),INDEX(Table3[[#All],[First]],MATCH(Table5[[#This Row],[PID]],Table3[[#All],[PID]],0)))</f>
        <v>Andrew</v>
      </c>
      <c r="F821" s="50" t="str">
        <f>IF($C821="B",INDEX(Batters[[#All],[Last]],MATCH(A821,Batters[[#All],[PID]],0)),INDEX(Table3[[#All],[Last]],MATCH(A821,Table3[[#All],[PID]],0)))</f>
        <v>Simmons</v>
      </c>
      <c r="G821" s="56">
        <f>IF($C821="B",INDEX(Batters[[#All],[Age]],MATCH(Table5[[#This Row],[PID]],Batters[[#All],[PID]],0)),INDEX(Table3[[#All],[Age]],MATCH(Table5[[#This Row],[PID]],Table3[[#All],[PID]],0)))</f>
        <v>18</v>
      </c>
      <c r="H821" s="52" t="str">
        <f>IF($C821="B",INDEX(Batters[[#All],[B]],MATCH(Table5[[#This Row],[PID]],Batters[[#All],[PID]],0)),INDEX(Table3[[#All],[B]],MATCH(Table5[[#This Row],[PID]],Table3[[#All],[PID]],0)))</f>
        <v>S</v>
      </c>
      <c r="I821" s="52" t="str">
        <f>IF($C821="B",INDEX(Batters[[#All],[T]],MATCH(Table5[[#This Row],[PID]],Batters[[#All],[PID]],0)),INDEX(Table3[[#All],[T]],MATCH(Table5[[#This Row],[PID]],Table3[[#All],[PID]],0)))</f>
        <v>R</v>
      </c>
      <c r="J821" s="52" t="str">
        <f>IF($C821="B",INDEX(Batters[[#All],[WE]],MATCH(Table5[[#This Row],[PID]],Batters[[#All],[PID]],0)),INDEX(Table3[[#All],[WE]],MATCH(Table5[[#This Row],[PID]],Table3[[#All],[PID]],0)))</f>
        <v>Normal</v>
      </c>
      <c r="K821" s="52" t="str">
        <f>IF($C821="B",INDEX(Batters[[#All],[INT]],MATCH(Table5[[#This Row],[PID]],Batters[[#All],[PID]],0)),INDEX(Table3[[#All],[INT]],MATCH(Table5[[#This Row],[PID]],Table3[[#All],[PID]],0)))</f>
        <v>Normal</v>
      </c>
      <c r="L821" s="60">
        <f>IF($C821="B",INDEX(Batters[[#All],[CON P]],MATCH(Table5[[#This Row],[PID]],Batters[[#All],[PID]],0)),INDEX(Table3[[#All],[STU P]],MATCH(Table5[[#This Row],[PID]],Table3[[#All],[PID]],0)))</f>
        <v>4</v>
      </c>
      <c r="M821" s="56">
        <f>IF($C821="B",INDEX(Batters[[#All],[GAP P]],MATCH(Table5[[#This Row],[PID]],Batters[[#All],[PID]],0)),INDEX(Table3[[#All],[MOV P]],MATCH(Table5[[#This Row],[PID]],Table3[[#All],[PID]],0)))</f>
        <v>2</v>
      </c>
      <c r="N821" s="56">
        <f>IF($C821="B",INDEX(Batters[[#All],[POW P]],MATCH(Table5[[#This Row],[PID]],Batters[[#All],[PID]],0)),INDEX(Table3[[#All],[CON P]],MATCH(Table5[[#This Row],[PID]],Table3[[#All],[PID]],0)))</f>
        <v>2</v>
      </c>
      <c r="O821" s="56" t="str">
        <f>IF($C821="B",INDEX(Batters[[#All],[EYE P]],MATCH(Table5[[#This Row],[PID]],Batters[[#All],[PID]],0)),INDEX(Table3[[#All],[VELO]],MATCH(Table5[[#This Row],[PID]],Table3[[#All],[PID]],0)))</f>
        <v>88-90 Mph</v>
      </c>
      <c r="P821" s="56">
        <f>IF($C821="B",INDEX(Batters[[#All],[K P]],MATCH(Table5[[#This Row],[PID]],Batters[[#All],[PID]],0)),INDEX(Table3[[#All],[STM]],MATCH(Table5[[#This Row],[PID]],Table3[[#All],[PID]],0)))</f>
        <v>5</v>
      </c>
      <c r="Q821" s="61">
        <f>IF($C821="B",INDEX(Batters[[#All],[Tot]],MATCH(Table5[[#This Row],[PID]],Batters[[#All],[PID]],0)),INDEX(Table3[[#All],[Tot]],MATCH(Table5[[#This Row],[PID]],Table3[[#All],[PID]],0)))</f>
        <v>31.383101557812086</v>
      </c>
      <c r="R821" s="52">
        <f>IF($C821="B",INDEX(Batters[[#All],[zScore]],MATCH(Table5[[#This Row],[PID]],Batters[[#All],[PID]],0)),INDEX(Table3[[#All],[zScore]],MATCH(Table5[[#This Row],[PID]],Table3[[#All],[PID]],0)))</f>
        <v>-0.29854149372657712</v>
      </c>
      <c r="S821" s="58" t="str">
        <f>IF($C821="B",INDEX(Batters[[#All],[DEM]],MATCH(Table5[[#This Row],[PID]],Batters[[#All],[PID]],0)),INDEX(Table3[[#All],[DEM]],MATCH(Table5[[#This Row],[PID]],Table3[[#All],[PID]],0)))</f>
        <v>$70k</v>
      </c>
      <c r="T821" s="62">
        <f>IF($C821="B",INDEX(Batters[[#All],[Rnk]],MATCH(Table5[[#This Row],[PID]],Batters[[#All],[PID]],0)),INDEX(Table3[[#All],[Rnk]],MATCH(Table5[[#This Row],[PID]],Table3[[#All],[PID]],0)))</f>
        <v>425</v>
      </c>
      <c r="U821" s="68">
        <f>IF($C821="B",VLOOKUP($A821,Bat!$A$4:$BA$1621,47,FALSE),VLOOKUP($A821,Pit!$A$4:$BF$1557,56,FALSE))</f>
        <v>0</v>
      </c>
      <c r="V821" s="50">
        <f>IF($C821="B",VLOOKUP($A821,Bat!$A$4:$BA$1621,48,FALSE),VLOOKUP($A821,Pit!$A$4:$BF$1557,57,FALSE))</f>
        <v>0</v>
      </c>
      <c r="W821" s="50">
        <f>Table5[[#This Row],[posRnk]]+Table5[[#This Row],[zRnk]]+IF($W$3&lt;&gt;Table5[[#This Row],[Type]],50,0)</f>
        <v>1201</v>
      </c>
      <c r="X821" s="51">
        <f>RANK(Table5[[#This Row],[zScore]],Table5[[#All],[zScore]])</f>
        <v>726</v>
      </c>
      <c r="Y821" s="50" t="str">
        <f>IFERROR(INDEX(DraftResults[[#All],[OVR]],MATCH(Table5[[#This Row],[PID]],DraftResults[[#All],[Player ID]],0)),"")</f>
        <v/>
      </c>
      <c r="Z8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1" s="50" t="str">
        <f>IFERROR(INDEX(DraftResults[[#All],[Pick in Round]],MATCH(Table5[[#This Row],[PID]],DraftResults[[#All],[Player ID]],0)),"")</f>
        <v/>
      </c>
      <c r="AB821" s="50" t="str">
        <f>IFERROR(INDEX(DraftResults[[#All],[Team Name]],MATCH(Table5[[#This Row],[PID]],DraftResults[[#All],[Player ID]],0)),"")</f>
        <v/>
      </c>
      <c r="AC821" s="50" t="str">
        <f>IF(Table5[[#This Row],[Ovr]]="","",IF(Table5[[#This Row],[cmbList]]="","",Table5[[#This Row],[cmbList]]-Table5[[#This Row],[Ovr]]))</f>
        <v/>
      </c>
      <c r="AD821" s="54" t="str">
        <f>IF(ISERROR(VLOOKUP($AB821&amp;"-"&amp;$E821&amp;" "&amp;F821,Bonuses!$B$1:$G$1006,4,FALSE)),"",INT(VLOOKUP($AB821&amp;"-"&amp;$E821&amp;" "&amp;$F821,Bonuses!$B$1:$G$1006,4,FALSE)))</f>
        <v/>
      </c>
      <c r="AE8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2" spans="1:31" s="50" customFormat="1" x14ac:dyDescent="0.25">
      <c r="A822" s="50">
        <v>21003</v>
      </c>
      <c r="B822" s="50">
        <f>COUNTIF(Table5[PID],A822)</f>
        <v>1</v>
      </c>
      <c r="C822" s="50" t="str">
        <f>IF(COUNTIF(Table3[[#All],[PID]],A822)&gt;0,"P","B")</f>
        <v>P</v>
      </c>
      <c r="D822" s="59" t="str">
        <f>IF($C822="B",INDEX(Batters[[#All],[POS]],MATCH(Table5[[#This Row],[PID]],Batters[[#All],[PID]],0)),INDEX(Table3[[#All],[POS]],MATCH(Table5[[#This Row],[PID]],Table3[[#All],[PID]],0)))</f>
        <v>RP</v>
      </c>
      <c r="E822" s="52" t="str">
        <f>IF($C822="B",INDEX(Batters[[#All],[First]],MATCH(Table5[[#This Row],[PID]],Batters[[#All],[PID]],0)),INDEX(Table3[[#All],[First]],MATCH(Table5[[#This Row],[PID]],Table3[[#All],[PID]],0)))</f>
        <v>Brant</v>
      </c>
      <c r="F822" s="50" t="str">
        <f>IF($C822="B",INDEX(Batters[[#All],[Last]],MATCH(A822,Batters[[#All],[PID]],0)),INDEX(Table3[[#All],[Last]],MATCH(A822,Table3[[#All],[PID]],0)))</f>
        <v>Taylor</v>
      </c>
      <c r="G822" s="56">
        <f>IF($C822="B",INDEX(Batters[[#All],[Age]],MATCH(Table5[[#This Row],[PID]],Batters[[#All],[PID]],0)),INDEX(Table3[[#All],[Age]],MATCH(Table5[[#This Row],[PID]],Table3[[#All],[PID]],0)))</f>
        <v>17</v>
      </c>
      <c r="H822" s="52" t="str">
        <f>IF($C822="B",INDEX(Batters[[#All],[B]],MATCH(Table5[[#This Row],[PID]],Batters[[#All],[PID]],0)),INDEX(Table3[[#All],[B]],MATCH(Table5[[#This Row],[PID]],Table3[[#All],[PID]],0)))</f>
        <v>L</v>
      </c>
      <c r="I822" s="52" t="str">
        <f>IF($C822="B",INDEX(Batters[[#All],[T]],MATCH(Table5[[#This Row],[PID]],Batters[[#All],[PID]],0)),INDEX(Table3[[#All],[T]],MATCH(Table5[[#This Row],[PID]],Table3[[#All],[PID]],0)))</f>
        <v>L</v>
      </c>
      <c r="J822" s="52" t="str">
        <f>IF($C822="B",INDEX(Batters[[#All],[WE]],MATCH(Table5[[#This Row],[PID]],Batters[[#All],[PID]],0)),INDEX(Table3[[#All],[WE]],MATCH(Table5[[#This Row],[PID]],Table3[[#All],[PID]],0)))</f>
        <v>Low</v>
      </c>
      <c r="K822" s="52" t="str">
        <f>IF($C822="B",INDEX(Batters[[#All],[INT]],MATCH(Table5[[#This Row],[PID]],Batters[[#All],[PID]],0)),INDEX(Table3[[#All],[INT]],MATCH(Table5[[#This Row],[PID]],Table3[[#All],[PID]],0)))</f>
        <v>High</v>
      </c>
      <c r="L822" s="60">
        <f>IF($C822="B",INDEX(Batters[[#All],[CON P]],MATCH(Table5[[#This Row],[PID]],Batters[[#All],[PID]],0)),INDEX(Table3[[#All],[STU P]],MATCH(Table5[[#This Row],[PID]],Table3[[#All],[PID]],0)))</f>
        <v>4</v>
      </c>
      <c r="M822" s="56">
        <f>IF($C822="B",INDEX(Batters[[#All],[GAP P]],MATCH(Table5[[#This Row],[PID]],Batters[[#All],[PID]],0)),INDEX(Table3[[#All],[MOV P]],MATCH(Table5[[#This Row],[PID]],Table3[[#All],[PID]],0)))</f>
        <v>1</v>
      </c>
      <c r="N822" s="56">
        <f>IF($C822="B",INDEX(Batters[[#All],[POW P]],MATCH(Table5[[#This Row],[PID]],Batters[[#All],[PID]],0)),INDEX(Table3[[#All],[CON P]],MATCH(Table5[[#This Row],[PID]],Table3[[#All],[PID]],0)))</f>
        <v>3</v>
      </c>
      <c r="O822" s="56" t="str">
        <f>IF($C822="B",INDEX(Batters[[#All],[EYE P]],MATCH(Table5[[#This Row],[PID]],Batters[[#All],[PID]],0)),INDEX(Table3[[#All],[VELO]],MATCH(Table5[[#This Row],[PID]],Table3[[#All],[PID]],0)))</f>
        <v>84-86 Mph</v>
      </c>
      <c r="P822" s="56">
        <f>IF($C822="B",INDEX(Batters[[#All],[K P]],MATCH(Table5[[#This Row],[PID]],Batters[[#All],[PID]],0)),INDEX(Table3[[#All],[STM]],MATCH(Table5[[#This Row],[PID]],Table3[[#All],[PID]],0)))</f>
        <v>8</v>
      </c>
      <c r="Q822" s="61">
        <f>IF($C822="B",INDEX(Batters[[#All],[Tot]],MATCH(Table5[[#This Row],[PID]],Batters[[#All],[PID]],0)),INDEX(Table3[[#All],[Tot]],MATCH(Table5[[#This Row],[PID]],Table3[[#All],[PID]],0)))</f>
        <v>32.617793968459694</v>
      </c>
      <c r="R822" s="52">
        <f>IF($C822="B",INDEX(Batters[[#All],[zScore]],MATCH(Table5[[#This Row],[PID]],Batters[[#All],[PID]],0)),INDEX(Table3[[#All],[zScore]],MATCH(Table5[[#This Row],[PID]],Table3[[#All],[PID]],0)))</f>
        <v>-0.30114964769968977</v>
      </c>
      <c r="S822" s="58" t="str">
        <f>IF($C822="B",INDEX(Batters[[#All],[DEM]],MATCH(Table5[[#This Row],[PID]],Batters[[#All],[PID]],0)),INDEX(Table3[[#All],[DEM]],MATCH(Table5[[#This Row],[PID]],Table3[[#All],[PID]],0)))</f>
        <v>$65k</v>
      </c>
      <c r="T822" s="62">
        <f>IF($C822="B",INDEX(Batters[[#All],[Rnk]],MATCH(Table5[[#This Row],[PID]],Batters[[#All],[PID]],0)),INDEX(Table3[[#All],[Rnk]],MATCH(Table5[[#This Row],[PID]],Table3[[#All],[PID]],0)))</f>
        <v>426</v>
      </c>
      <c r="U822" s="68">
        <f>IF($C822="B",VLOOKUP($A822,Bat!$A$4:$BA$1621,47,FALSE),VLOOKUP($A822,Pit!$A$4:$BF$1557,56,FALSE))</f>
        <v>0</v>
      </c>
      <c r="V822" s="50">
        <f>IF($C822="B",VLOOKUP($A822,Bat!$A$4:$BA$1621,48,FALSE),VLOOKUP($A822,Pit!$A$4:$BF$1557,57,FALSE))</f>
        <v>0</v>
      </c>
      <c r="W822" s="50">
        <f>Table5[[#This Row],[posRnk]]+Table5[[#This Row],[zRnk]]+IF($W$3&lt;&gt;Table5[[#This Row],[Type]],50,0)</f>
        <v>1203</v>
      </c>
      <c r="X822" s="51">
        <f>RANK(Table5[[#This Row],[zScore]],Table5[[#All],[zScore]])</f>
        <v>727</v>
      </c>
      <c r="Y822" s="50" t="str">
        <f>IFERROR(INDEX(DraftResults[[#All],[OVR]],MATCH(Table5[[#This Row],[PID]],DraftResults[[#All],[Player ID]],0)),"")</f>
        <v/>
      </c>
      <c r="Z8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2" s="50" t="str">
        <f>IFERROR(INDEX(DraftResults[[#All],[Pick in Round]],MATCH(Table5[[#This Row],[PID]],DraftResults[[#All],[Player ID]],0)),"")</f>
        <v/>
      </c>
      <c r="AB822" s="50" t="str">
        <f>IFERROR(INDEX(DraftResults[[#All],[Team Name]],MATCH(Table5[[#This Row],[PID]],DraftResults[[#All],[Player ID]],0)),"")</f>
        <v/>
      </c>
      <c r="AC822" s="50" t="str">
        <f>IF(Table5[[#This Row],[Ovr]]="","",IF(Table5[[#This Row],[cmbList]]="","",Table5[[#This Row],[cmbList]]-Table5[[#This Row],[Ovr]]))</f>
        <v/>
      </c>
      <c r="AD822" s="54" t="str">
        <f>IF(ISERROR(VLOOKUP($AB822&amp;"-"&amp;$E822&amp;" "&amp;F822,Bonuses!$B$1:$G$1006,4,FALSE)),"",INT(VLOOKUP($AB822&amp;"-"&amp;$E822&amp;" "&amp;$F822,Bonuses!$B$1:$G$1006,4,FALSE)))</f>
        <v/>
      </c>
      <c r="AE8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3" spans="1:31" s="50" customFormat="1" x14ac:dyDescent="0.25">
      <c r="A823" s="50">
        <v>18184</v>
      </c>
      <c r="B823" s="50">
        <f>COUNTIF(Table5[PID],A823)</f>
        <v>1</v>
      </c>
      <c r="C823" s="50" t="str">
        <f>IF(COUNTIF(Table3[[#All],[PID]],A823)&gt;0,"P","B")</f>
        <v>B</v>
      </c>
      <c r="D823" s="59" t="str">
        <f>IF($C823="B",INDEX(Batters[[#All],[POS]],MATCH(Table5[[#This Row],[PID]],Batters[[#All],[PID]],0)),INDEX(Table3[[#All],[POS]],MATCH(Table5[[#This Row],[PID]],Table3[[#All],[PID]],0)))</f>
        <v>1B</v>
      </c>
      <c r="E823" s="52" t="str">
        <f>IF($C823="B",INDEX(Batters[[#All],[First]],MATCH(Table5[[#This Row],[PID]],Batters[[#All],[PID]],0)),INDEX(Table3[[#All],[First]],MATCH(Table5[[#This Row],[PID]],Table3[[#All],[PID]],0)))</f>
        <v>Melvin</v>
      </c>
      <c r="F823" s="50" t="str">
        <f>IF($C823="B",INDEX(Batters[[#All],[Last]],MATCH(A823,Batters[[#All],[PID]],0)),INDEX(Table3[[#All],[Last]],MATCH(A823,Table3[[#All],[PID]],0)))</f>
        <v>Ramírez</v>
      </c>
      <c r="G823" s="56">
        <f>IF($C823="B",INDEX(Batters[[#All],[Age]],MATCH(Table5[[#This Row],[PID]],Batters[[#All],[PID]],0)),INDEX(Table3[[#All],[Age]],MATCH(Table5[[#This Row],[PID]],Table3[[#All],[PID]],0)))</f>
        <v>18</v>
      </c>
      <c r="H823" s="52" t="str">
        <f>IF($C823="B",INDEX(Batters[[#All],[B]],MATCH(Table5[[#This Row],[PID]],Batters[[#All],[PID]],0)),INDEX(Table3[[#All],[B]],MATCH(Table5[[#This Row],[PID]],Table3[[#All],[PID]],0)))</f>
        <v>S</v>
      </c>
      <c r="I823" s="52" t="str">
        <f>IF($C823="B",INDEX(Batters[[#All],[T]],MATCH(Table5[[#This Row],[PID]],Batters[[#All],[PID]],0)),INDEX(Table3[[#All],[T]],MATCH(Table5[[#This Row],[PID]],Table3[[#All],[PID]],0)))</f>
        <v>R</v>
      </c>
      <c r="J823" s="52" t="str">
        <f>IF($C823="B",INDEX(Batters[[#All],[WE]],MATCH(Table5[[#This Row],[PID]],Batters[[#All],[PID]],0)),INDEX(Table3[[#All],[WE]],MATCH(Table5[[#This Row],[PID]],Table3[[#All],[PID]],0)))</f>
        <v>Normal</v>
      </c>
      <c r="K823" s="52" t="str">
        <f>IF($C823="B",INDEX(Batters[[#All],[INT]],MATCH(Table5[[#This Row],[PID]],Batters[[#All],[PID]],0)),INDEX(Table3[[#All],[INT]],MATCH(Table5[[#This Row],[PID]],Table3[[#All],[PID]],0)))</f>
        <v>Normal</v>
      </c>
      <c r="L823" s="60">
        <f>IF($C823="B",INDEX(Batters[[#All],[CON P]],MATCH(Table5[[#This Row],[PID]],Batters[[#All],[PID]],0)),INDEX(Table3[[#All],[STU P]],MATCH(Table5[[#This Row],[PID]],Table3[[#All],[PID]],0)))</f>
        <v>3</v>
      </c>
      <c r="M823" s="56">
        <f>IF($C823="B",INDEX(Batters[[#All],[GAP P]],MATCH(Table5[[#This Row],[PID]],Batters[[#All],[PID]],0)),INDEX(Table3[[#All],[MOV P]],MATCH(Table5[[#This Row],[PID]],Table3[[#All],[PID]],0)))</f>
        <v>5</v>
      </c>
      <c r="N823" s="56">
        <f>IF($C823="B",INDEX(Batters[[#All],[POW P]],MATCH(Table5[[#This Row],[PID]],Batters[[#All],[PID]],0)),INDEX(Table3[[#All],[CON P]],MATCH(Table5[[#This Row],[PID]],Table3[[#All],[PID]],0)))</f>
        <v>4</v>
      </c>
      <c r="O823" s="56">
        <f>IF($C823="B",INDEX(Batters[[#All],[EYE P]],MATCH(Table5[[#This Row],[PID]],Batters[[#All],[PID]],0)),INDEX(Table3[[#All],[VELO]],MATCH(Table5[[#This Row],[PID]],Table3[[#All],[PID]],0)))</f>
        <v>5</v>
      </c>
      <c r="P823" s="56">
        <f>IF($C823="B",INDEX(Batters[[#All],[K P]],MATCH(Table5[[#This Row],[PID]],Batters[[#All],[PID]],0)),INDEX(Table3[[#All],[STM]],MATCH(Table5[[#This Row],[PID]],Table3[[#All],[PID]],0)))</f>
        <v>2</v>
      </c>
      <c r="Q823" s="61">
        <f>IF($C823="B",INDEX(Batters[[#All],[Tot]],MATCH(Table5[[#This Row],[PID]],Batters[[#All],[PID]],0)),INDEX(Table3[[#All],[Tot]],MATCH(Table5[[#This Row],[PID]],Table3[[#All],[PID]],0)))</f>
        <v>42.765405125177033</v>
      </c>
      <c r="R823" s="52">
        <f>IF($C823="B",INDEX(Batters[[#All],[zScore]],MATCH(Table5[[#This Row],[PID]],Batters[[#All],[PID]],0)),INDEX(Table3[[#All],[zScore]],MATCH(Table5[[#This Row],[PID]],Table3[[#All],[PID]],0)))</f>
        <v>-0.30296995695110912</v>
      </c>
      <c r="S823" s="58" t="str">
        <f>IF($C823="B",INDEX(Batters[[#All],[DEM]],MATCH(Table5[[#This Row],[PID]],Batters[[#All],[PID]],0)),INDEX(Table3[[#All],[DEM]],MATCH(Table5[[#This Row],[PID]],Table3[[#All],[PID]],0)))</f>
        <v>$65k</v>
      </c>
      <c r="T823" s="62">
        <f>IF($C823="B",INDEX(Batters[[#All],[Rnk]],MATCH(Table5[[#This Row],[PID]],Batters[[#All],[PID]],0)),INDEX(Table3[[#All],[Rnk]],MATCH(Table5[[#This Row],[PID]],Table3[[#All],[PID]],0)))</f>
        <v>302</v>
      </c>
      <c r="U823" s="68">
        <f>IF($C823="B",VLOOKUP($A823,Bat!$A$4:$BA$1621,47,FALSE),VLOOKUP($A823,Pit!$A$4:$BF$1557,56,FALSE))</f>
        <v>0</v>
      </c>
      <c r="V823" s="50">
        <f>IF($C823="B",VLOOKUP($A823,Bat!$A$4:$BA$1621,48,FALSE),VLOOKUP($A823,Pit!$A$4:$BF$1557,57,FALSE))</f>
        <v>0</v>
      </c>
      <c r="W823" s="50">
        <f>Table5[[#This Row],[posRnk]]+Table5[[#This Row],[zRnk]]+IF($W$3&lt;&gt;Table5[[#This Row],[Type]],50,0)</f>
        <v>1080</v>
      </c>
      <c r="X823" s="51">
        <f>RANK(Table5[[#This Row],[zScore]],Table5[[#All],[zScore]])</f>
        <v>728</v>
      </c>
      <c r="Y823" s="50" t="str">
        <f>IFERROR(INDEX(DraftResults[[#All],[OVR]],MATCH(Table5[[#This Row],[PID]],DraftResults[[#All],[Player ID]],0)),"")</f>
        <v/>
      </c>
      <c r="Z8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3" s="50" t="str">
        <f>IFERROR(INDEX(DraftResults[[#All],[Pick in Round]],MATCH(Table5[[#This Row],[PID]],DraftResults[[#All],[Player ID]],0)),"")</f>
        <v/>
      </c>
      <c r="AB823" s="50" t="str">
        <f>IFERROR(INDEX(DraftResults[[#All],[Team Name]],MATCH(Table5[[#This Row],[PID]],DraftResults[[#All],[Player ID]],0)),"")</f>
        <v/>
      </c>
      <c r="AC823" s="50" t="str">
        <f>IF(Table5[[#This Row],[Ovr]]="","",IF(Table5[[#This Row],[cmbList]]="","",Table5[[#This Row],[cmbList]]-Table5[[#This Row],[Ovr]]))</f>
        <v/>
      </c>
      <c r="AD823" s="54" t="str">
        <f>IF(ISERROR(VLOOKUP($AB823&amp;"-"&amp;$E823&amp;" "&amp;F823,Bonuses!$B$1:$G$1006,4,FALSE)),"",INT(VLOOKUP($AB823&amp;"-"&amp;$E823&amp;" "&amp;$F823,Bonuses!$B$1:$G$1006,4,FALSE)))</f>
        <v/>
      </c>
      <c r="AE8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4" spans="1:31" s="50" customFormat="1" x14ac:dyDescent="0.25">
      <c r="A824" s="68">
        <v>20750</v>
      </c>
      <c r="B824" s="69">
        <f>COUNTIF(Table5[PID],A824)</f>
        <v>1</v>
      </c>
      <c r="C824" s="69" t="str">
        <f>IF(COUNTIF(Table3[[#All],[PID]],A824)&gt;0,"P","B")</f>
        <v>P</v>
      </c>
      <c r="D824" s="59" t="str">
        <f>IF($C824="B",INDEX(Batters[[#All],[POS]],MATCH(Table5[[#This Row],[PID]],Batters[[#All],[PID]],0)),INDEX(Table3[[#All],[POS]],MATCH(Table5[[#This Row],[PID]],Table3[[#All],[PID]],0)))</f>
        <v>SP</v>
      </c>
      <c r="E824" s="52" t="str">
        <f>IF($C824="B",INDEX(Batters[[#All],[First]],MATCH(Table5[[#This Row],[PID]],Batters[[#All],[PID]],0)),INDEX(Table3[[#All],[First]],MATCH(Table5[[#This Row],[PID]],Table3[[#All],[PID]],0)))</f>
        <v>Júlio</v>
      </c>
      <c r="F824" s="55" t="str">
        <f>IF($C824="B",INDEX(Batters[[#All],[Last]],MATCH(A824,Batters[[#All],[PID]],0)),INDEX(Table3[[#All],[Last]],MATCH(A824,Table3[[#All],[PID]],0)))</f>
        <v>Costello</v>
      </c>
      <c r="G824" s="56">
        <f>IF($C824="B",INDEX(Batters[[#All],[Age]],MATCH(Table5[[#This Row],[PID]],Batters[[#All],[PID]],0)),INDEX(Table3[[#All],[Age]],MATCH(Table5[[#This Row],[PID]],Table3[[#All],[PID]],0)))</f>
        <v>17</v>
      </c>
      <c r="H824" s="52" t="str">
        <f>IF($C824="B",INDEX(Batters[[#All],[B]],MATCH(Table5[[#This Row],[PID]],Batters[[#All],[PID]],0)),INDEX(Table3[[#All],[B]],MATCH(Table5[[#This Row],[PID]],Table3[[#All],[PID]],0)))</f>
        <v>L</v>
      </c>
      <c r="I824" s="52" t="str">
        <f>IF($C824="B",INDEX(Batters[[#All],[T]],MATCH(Table5[[#This Row],[PID]],Batters[[#All],[PID]],0)),INDEX(Table3[[#All],[T]],MATCH(Table5[[#This Row],[PID]],Table3[[#All],[PID]],0)))</f>
        <v>L</v>
      </c>
      <c r="J824" s="71" t="str">
        <f>IF($C824="B",INDEX(Batters[[#All],[WE]],MATCH(Table5[[#This Row],[PID]],Batters[[#All],[PID]],0)),INDEX(Table3[[#All],[WE]],MATCH(Table5[[#This Row],[PID]],Table3[[#All],[PID]],0)))</f>
        <v>Low</v>
      </c>
      <c r="K824" s="52" t="str">
        <f>IF($C824="B",INDEX(Batters[[#All],[INT]],MATCH(Table5[[#This Row],[PID]],Batters[[#All],[PID]],0)),INDEX(Table3[[#All],[INT]],MATCH(Table5[[#This Row],[PID]],Table3[[#All],[PID]],0)))</f>
        <v>Normal</v>
      </c>
      <c r="L824" s="60">
        <f>IF($C824="B",INDEX(Batters[[#All],[CON P]],MATCH(Table5[[#This Row],[PID]],Batters[[#All],[PID]],0)),INDEX(Table3[[#All],[STU P]],MATCH(Table5[[#This Row],[PID]],Table3[[#All],[PID]],0)))</f>
        <v>3</v>
      </c>
      <c r="M824" s="72">
        <f>IF($C824="B",INDEX(Batters[[#All],[GAP P]],MATCH(Table5[[#This Row],[PID]],Batters[[#All],[PID]],0)),INDEX(Table3[[#All],[MOV P]],MATCH(Table5[[#This Row],[PID]],Table3[[#All],[PID]],0)))</f>
        <v>2</v>
      </c>
      <c r="N824" s="72">
        <f>IF($C824="B",INDEX(Batters[[#All],[POW P]],MATCH(Table5[[#This Row],[PID]],Batters[[#All],[PID]],0)),INDEX(Table3[[#All],[CON P]],MATCH(Table5[[#This Row],[PID]],Table3[[#All],[PID]],0)))</f>
        <v>3</v>
      </c>
      <c r="O824" s="72" t="str">
        <f>IF($C824="B",INDEX(Batters[[#All],[EYE P]],MATCH(Table5[[#This Row],[PID]],Batters[[#All],[PID]],0)),INDEX(Table3[[#All],[VELO]],MATCH(Table5[[#This Row],[PID]],Table3[[#All],[PID]],0)))</f>
        <v>85-87 Mph</v>
      </c>
      <c r="P824" s="56">
        <f>IF($C824="B",INDEX(Batters[[#All],[K P]],MATCH(Table5[[#This Row],[PID]],Batters[[#All],[PID]],0)),INDEX(Table3[[#All],[STM]],MATCH(Table5[[#This Row],[PID]],Table3[[#All],[PID]],0)))</f>
        <v>10</v>
      </c>
      <c r="Q824" s="61">
        <f>IF($C824="B",INDEX(Batters[[#All],[Tot]],MATCH(Table5[[#This Row],[PID]],Batters[[#All],[PID]],0)),INDEX(Table3[[#All],[Tot]],MATCH(Table5[[#This Row],[PID]],Table3[[#All],[PID]],0)))</f>
        <v>31.292204217103709</v>
      </c>
      <c r="R824" s="52">
        <f>IF($C824="B",INDEX(Batters[[#All],[zScore]],MATCH(Table5[[#This Row],[PID]],Batters[[#All],[PID]],0)),INDEX(Table3[[#All],[zScore]],MATCH(Table5[[#This Row],[PID]],Table3[[#All],[PID]],0)))</f>
        <v>-0.3045887549028754</v>
      </c>
      <c r="S824" s="78" t="str">
        <f>IF($C824="B",INDEX(Batters[[#All],[DEM]],MATCH(Table5[[#This Row],[PID]],Batters[[#All],[PID]],0)),INDEX(Table3[[#All],[DEM]],MATCH(Table5[[#This Row],[PID]],Table3[[#All],[PID]],0)))</f>
        <v>$65k</v>
      </c>
      <c r="T824" s="75">
        <f>IF($C824="B",INDEX(Batters[[#All],[Rnk]],MATCH(Table5[[#This Row],[PID]],Batters[[#All],[PID]],0)),INDEX(Table3[[#All],[Rnk]],MATCH(Table5[[#This Row],[PID]],Table3[[#All],[PID]],0)))</f>
        <v>427</v>
      </c>
      <c r="U824" s="68">
        <f>IF($C824="B",VLOOKUP($A824,Bat!$A$4:$BA$1621,47,FALSE),VLOOKUP($A824,Pit!$A$4:$BF$1557,56,FALSE))</f>
        <v>0</v>
      </c>
      <c r="V824" s="50">
        <f>IF($C824="B",VLOOKUP($A824,Bat!$A$4:$BA$1621,48,FALSE),VLOOKUP($A824,Pit!$A$4:$BF$1557,57,FALSE))</f>
        <v>0</v>
      </c>
      <c r="W824" s="69">
        <f>Table5[[#This Row],[posRnk]]+Table5[[#This Row],[zRnk]]+IF($W$3&lt;&gt;Table5[[#This Row],[Type]],50,0)</f>
        <v>1206</v>
      </c>
      <c r="X824" s="73">
        <f>RANK(Table5[[#This Row],[zScore]],Table5[[#All],[zScore]])</f>
        <v>729</v>
      </c>
      <c r="Y824" s="69" t="str">
        <f>IFERROR(INDEX(DraftResults[[#All],[OVR]],MATCH(Table5[[#This Row],[PID]],DraftResults[[#All],[Player ID]],0)),"")</f>
        <v/>
      </c>
      <c r="Z82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4" s="69" t="str">
        <f>IFERROR(INDEX(DraftResults[[#All],[Pick in Round]],MATCH(Table5[[#This Row],[PID]],DraftResults[[#All],[Player ID]],0)),"")</f>
        <v/>
      </c>
      <c r="AB824" s="69" t="str">
        <f>IFERROR(INDEX(DraftResults[[#All],[Team Name]],MATCH(Table5[[#This Row],[PID]],DraftResults[[#All],[Player ID]],0)),"")</f>
        <v/>
      </c>
      <c r="AC824" s="69" t="str">
        <f>IF(Table5[[#This Row],[Ovr]]="","",IF(Table5[[#This Row],[cmbList]]="","",Table5[[#This Row],[cmbList]]-Table5[[#This Row],[Ovr]]))</f>
        <v/>
      </c>
      <c r="AD824" s="77" t="str">
        <f>IF(ISERROR(VLOOKUP($AB824&amp;"-"&amp;$E824&amp;" "&amp;F824,Bonuses!$B$1:$G$1006,4,FALSE)),"",INT(VLOOKUP($AB824&amp;"-"&amp;$E824&amp;" "&amp;$F824,Bonuses!$B$1:$G$1006,4,FALSE)))</f>
        <v/>
      </c>
      <c r="AE82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5" spans="1:31" s="50" customFormat="1" x14ac:dyDescent="0.25">
      <c r="A825" s="68">
        <v>20801</v>
      </c>
      <c r="B825" s="69">
        <f>COUNTIF(Table5[PID],A825)</f>
        <v>1</v>
      </c>
      <c r="C825" s="69" t="str">
        <f>IF(COUNTIF(Table3[[#All],[PID]],A825)&gt;0,"P","B")</f>
        <v>P</v>
      </c>
      <c r="D825" s="59" t="str">
        <f>IF($C825="B",INDEX(Batters[[#All],[POS]],MATCH(Table5[[#This Row],[PID]],Batters[[#All],[PID]],0)),INDEX(Table3[[#All],[POS]],MATCH(Table5[[#This Row],[PID]],Table3[[#All],[PID]],0)))</f>
        <v>SP</v>
      </c>
      <c r="E825" s="52" t="str">
        <f>IF($C825="B",INDEX(Batters[[#All],[First]],MATCH(Table5[[#This Row],[PID]],Batters[[#All],[PID]],0)),INDEX(Table3[[#All],[First]],MATCH(Table5[[#This Row],[PID]],Table3[[#All],[PID]],0)))</f>
        <v>Murray</v>
      </c>
      <c r="F825" s="55" t="str">
        <f>IF($C825="B",INDEX(Batters[[#All],[Last]],MATCH(A825,Batters[[#All],[PID]],0)),INDEX(Table3[[#All],[Last]],MATCH(A825,Table3[[#All],[PID]],0)))</f>
        <v>Hall</v>
      </c>
      <c r="G825" s="56">
        <f>IF($C825="B",INDEX(Batters[[#All],[Age]],MATCH(Table5[[#This Row],[PID]],Batters[[#All],[PID]],0)),INDEX(Table3[[#All],[Age]],MATCH(Table5[[#This Row],[PID]],Table3[[#All],[PID]],0)))</f>
        <v>19</v>
      </c>
      <c r="H825" s="52" t="str">
        <f>IF($C825="B",INDEX(Batters[[#All],[B]],MATCH(Table5[[#This Row],[PID]],Batters[[#All],[PID]],0)),INDEX(Table3[[#All],[B]],MATCH(Table5[[#This Row],[PID]],Table3[[#All],[PID]],0)))</f>
        <v>L</v>
      </c>
      <c r="I825" s="52" t="str">
        <f>IF($C825="B",INDEX(Batters[[#All],[T]],MATCH(Table5[[#This Row],[PID]],Batters[[#All],[PID]],0)),INDEX(Table3[[#All],[T]],MATCH(Table5[[#This Row],[PID]],Table3[[#All],[PID]],0)))</f>
        <v>R</v>
      </c>
      <c r="J825" s="71" t="str">
        <f>IF($C825="B",INDEX(Batters[[#All],[WE]],MATCH(Table5[[#This Row],[PID]],Batters[[#All],[PID]],0)),INDEX(Table3[[#All],[WE]],MATCH(Table5[[#This Row],[PID]],Table3[[#All],[PID]],0)))</f>
        <v>Low</v>
      </c>
      <c r="K825" s="52" t="str">
        <f>IF($C825="B",INDEX(Batters[[#All],[INT]],MATCH(Table5[[#This Row],[PID]],Batters[[#All],[PID]],0)),INDEX(Table3[[#All],[INT]],MATCH(Table5[[#This Row],[PID]],Table3[[#All],[PID]],0)))</f>
        <v>Normal</v>
      </c>
      <c r="L825" s="60">
        <f>IF($C825="B",INDEX(Batters[[#All],[CON P]],MATCH(Table5[[#This Row],[PID]],Batters[[#All],[PID]],0)),INDEX(Table3[[#All],[STU P]],MATCH(Table5[[#This Row],[PID]],Table3[[#All],[PID]],0)))</f>
        <v>3</v>
      </c>
      <c r="M825" s="72">
        <f>IF($C825="B",INDEX(Batters[[#All],[GAP P]],MATCH(Table5[[#This Row],[PID]],Batters[[#All],[PID]],0)),INDEX(Table3[[#All],[MOV P]],MATCH(Table5[[#This Row],[PID]],Table3[[#All],[PID]],0)))</f>
        <v>2</v>
      </c>
      <c r="N825" s="72">
        <f>IF($C825="B",INDEX(Batters[[#All],[POW P]],MATCH(Table5[[#This Row],[PID]],Batters[[#All],[PID]],0)),INDEX(Table3[[#All],[CON P]],MATCH(Table5[[#This Row],[PID]],Table3[[#All],[PID]],0)))</f>
        <v>3</v>
      </c>
      <c r="O825" s="72" t="str">
        <f>IF($C825="B",INDEX(Batters[[#All],[EYE P]],MATCH(Table5[[#This Row],[PID]],Batters[[#All],[PID]],0)),INDEX(Table3[[#All],[VELO]],MATCH(Table5[[#This Row],[PID]],Table3[[#All],[PID]],0)))</f>
        <v>86-88 Mph</v>
      </c>
      <c r="P825" s="56">
        <f>IF($C825="B",INDEX(Batters[[#All],[K P]],MATCH(Table5[[#This Row],[PID]],Batters[[#All],[PID]],0)),INDEX(Table3[[#All],[STM]],MATCH(Table5[[#This Row],[PID]],Table3[[#All],[PID]],0)))</f>
        <v>9</v>
      </c>
      <c r="Q825" s="61">
        <f>IF($C825="B",INDEX(Batters[[#All],[Tot]],MATCH(Table5[[#This Row],[PID]],Batters[[#All],[PID]],0)),INDEX(Table3[[#All],[Tot]],MATCH(Table5[[#This Row],[PID]],Table3[[#All],[PID]],0)))</f>
        <v>31.292204217103709</v>
      </c>
      <c r="R825" s="52">
        <f>IF($C825="B",INDEX(Batters[[#All],[zScore]],MATCH(Table5[[#This Row],[PID]],Batters[[#All],[PID]],0)),INDEX(Table3[[#All],[zScore]],MATCH(Table5[[#This Row],[PID]],Table3[[#All],[PID]],0)))</f>
        <v>-0.3045887549028754</v>
      </c>
      <c r="S825" s="78" t="str">
        <f>IF($C825="B",INDEX(Batters[[#All],[DEM]],MATCH(Table5[[#This Row],[PID]],Batters[[#All],[PID]],0)),INDEX(Table3[[#All],[DEM]],MATCH(Table5[[#This Row],[PID]],Table3[[#All],[PID]],0)))</f>
        <v>$65k</v>
      </c>
      <c r="T825" s="75">
        <f>IF($C825="B",INDEX(Batters[[#All],[Rnk]],MATCH(Table5[[#This Row],[PID]],Batters[[#All],[PID]],0)),INDEX(Table3[[#All],[Rnk]],MATCH(Table5[[#This Row],[PID]],Table3[[#All],[PID]],0)))</f>
        <v>427</v>
      </c>
      <c r="U825" s="68">
        <f>IF($C825="B",VLOOKUP($A825,Bat!$A$4:$BA$1621,47,FALSE),VLOOKUP($A825,Pit!$A$4:$BF$1557,56,FALSE))</f>
        <v>0</v>
      </c>
      <c r="V825" s="50">
        <f>IF($C825="B",VLOOKUP($A825,Bat!$A$4:$BA$1621,48,FALSE),VLOOKUP($A825,Pit!$A$4:$BF$1557,57,FALSE))</f>
        <v>0</v>
      </c>
      <c r="W825" s="69">
        <f>Table5[[#This Row],[posRnk]]+Table5[[#This Row],[zRnk]]+IF($W$3&lt;&gt;Table5[[#This Row],[Type]],50,0)</f>
        <v>1206</v>
      </c>
      <c r="X825" s="73">
        <f>RANK(Table5[[#This Row],[zScore]],Table5[[#All],[zScore]])</f>
        <v>729</v>
      </c>
      <c r="Y825" s="69" t="str">
        <f>IFERROR(INDEX(DraftResults[[#All],[OVR]],MATCH(Table5[[#This Row],[PID]],DraftResults[[#All],[Player ID]],0)),"")</f>
        <v/>
      </c>
      <c r="Z82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5" s="69" t="str">
        <f>IFERROR(INDEX(DraftResults[[#All],[Pick in Round]],MATCH(Table5[[#This Row],[PID]],DraftResults[[#All],[Player ID]],0)),"")</f>
        <v/>
      </c>
      <c r="AB825" s="69" t="str">
        <f>IFERROR(INDEX(DraftResults[[#All],[Team Name]],MATCH(Table5[[#This Row],[PID]],DraftResults[[#All],[Player ID]],0)),"")</f>
        <v/>
      </c>
      <c r="AC825" s="69" t="str">
        <f>IF(Table5[[#This Row],[Ovr]]="","",IF(Table5[[#This Row],[cmbList]]="","",Table5[[#This Row],[cmbList]]-Table5[[#This Row],[Ovr]]))</f>
        <v/>
      </c>
      <c r="AD825" s="77" t="str">
        <f>IF(ISERROR(VLOOKUP($AB825&amp;"-"&amp;$E825&amp;" "&amp;F825,Bonuses!$B$1:$G$1006,4,FALSE)),"",INT(VLOOKUP($AB825&amp;"-"&amp;$E825&amp;" "&amp;$F825,Bonuses!$B$1:$G$1006,4,FALSE)))</f>
        <v/>
      </c>
      <c r="AE82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6" spans="1:31" s="50" customFormat="1" x14ac:dyDescent="0.25">
      <c r="A826" s="50">
        <v>14682</v>
      </c>
      <c r="B826" s="50">
        <f>COUNTIF(Table5[PID],A826)</f>
        <v>1</v>
      </c>
      <c r="C826" s="50" t="str">
        <f>IF(COUNTIF(Table3[[#All],[PID]],A826)&gt;0,"P","B")</f>
        <v>P</v>
      </c>
      <c r="D826" s="59" t="str">
        <f>IF($C826="B",INDEX(Batters[[#All],[POS]],MATCH(Table5[[#This Row],[PID]],Batters[[#All],[PID]],0)),INDEX(Table3[[#All],[POS]],MATCH(Table5[[#This Row],[PID]],Table3[[#All],[PID]],0)))</f>
        <v>RP</v>
      </c>
      <c r="E826" s="52" t="str">
        <f>IF($C826="B",INDEX(Batters[[#All],[First]],MATCH(Table5[[#This Row],[PID]],Batters[[#All],[PID]],0)),INDEX(Table3[[#All],[First]],MATCH(Table5[[#This Row],[PID]],Table3[[#All],[PID]],0)))</f>
        <v>Sumitomo</v>
      </c>
      <c r="F826" s="50" t="str">
        <f>IF($C826="B",INDEX(Batters[[#All],[Last]],MATCH(A826,Batters[[#All],[PID]],0)),INDEX(Table3[[#All],[Last]],MATCH(A826,Table3[[#All],[PID]],0)))</f>
        <v>Kokawa</v>
      </c>
      <c r="G826" s="56">
        <f>IF($C826="B",INDEX(Batters[[#All],[Age]],MATCH(Table5[[#This Row],[PID]],Batters[[#All],[PID]],0)),INDEX(Table3[[#All],[Age]],MATCH(Table5[[#This Row],[PID]],Table3[[#All],[PID]],0)))</f>
        <v>22</v>
      </c>
      <c r="H826" s="52" t="str">
        <f>IF($C826="B",INDEX(Batters[[#All],[B]],MATCH(Table5[[#This Row],[PID]],Batters[[#All],[PID]],0)),INDEX(Table3[[#All],[B]],MATCH(Table5[[#This Row],[PID]],Table3[[#All],[PID]],0)))</f>
        <v>L</v>
      </c>
      <c r="I826" s="52" t="str">
        <f>IF($C826="B",INDEX(Batters[[#All],[T]],MATCH(Table5[[#This Row],[PID]],Batters[[#All],[PID]],0)),INDEX(Table3[[#All],[T]],MATCH(Table5[[#This Row],[PID]],Table3[[#All],[PID]],0)))</f>
        <v>L</v>
      </c>
      <c r="J826" s="52" t="str">
        <f>IF($C826="B",INDEX(Batters[[#All],[WE]],MATCH(Table5[[#This Row],[PID]],Batters[[#All],[PID]],0)),INDEX(Table3[[#All],[WE]],MATCH(Table5[[#This Row],[PID]],Table3[[#All],[PID]],0)))</f>
        <v>Normal</v>
      </c>
      <c r="K826" s="52" t="str">
        <f>IF($C826="B",INDEX(Batters[[#All],[INT]],MATCH(Table5[[#This Row],[PID]],Batters[[#All],[PID]],0)),INDEX(Table3[[#All],[INT]],MATCH(Table5[[#This Row],[PID]],Table3[[#All],[PID]],0)))</f>
        <v>Low</v>
      </c>
      <c r="L826" s="60">
        <f>IF($C826="B",INDEX(Batters[[#All],[CON P]],MATCH(Table5[[#This Row],[PID]],Batters[[#All],[PID]],0)),INDEX(Table3[[#All],[STU P]],MATCH(Table5[[#This Row],[PID]],Table3[[#All],[PID]],0)))</f>
        <v>5</v>
      </c>
      <c r="M826" s="56">
        <f>IF($C826="B",INDEX(Batters[[#All],[GAP P]],MATCH(Table5[[#This Row],[PID]],Batters[[#All],[PID]],0)),INDEX(Table3[[#All],[MOV P]],MATCH(Table5[[#This Row],[PID]],Table3[[#All],[PID]],0)))</f>
        <v>1</v>
      </c>
      <c r="N826" s="56">
        <f>IF($C826="B",INDEX(Batters[[#All],[POW P]],MATCH(Table5[[#This Row],[PID]],Batters[[#All],[PID]],0)),INDEX(Table3[[#All],[CON P]],MATCH(Table5[[#This Row],[PID]],Table3[[#All],[PID]],0)))</f>
        <v>3</v>
      </c>
      <c r="O826" s="56" t="str">
        <f>IF($C826="B",INDEX(Batters[[#All],[EYE P]],MATCH(Table5[[#This Row],[PID]],Batters[[#All],[PID]],0)),INDEX(Table3[[#All],[VELO]],MATCH(Table5[[#This Row],[PID]],Table3[[#All],[PID]],0)))</f>
        <v>86-88 Mph</v>
      </c>
      <c r="P826" s="56">
        <f>IF($C826="B",INDEX(Batters[[#All],[K P]],MATCH(Table5[[#This Row],[PID]],Batters[[#All],[PID]],0)),INDEX(Table3[[#All],[STM]],MATCH(Table5[[#This Row],[PID]],Table3[[#All],[PID]],0)))</f>
        <v>8</v>
      </c>
      <c r="Q826" s="61">
        <f>IF($C826="B",INDEX(Batters[[#All],[Tot]],MATCH(Table5[[#This Row],[PID]],Batters[[#All],[PID]],0)),INDEX(Table3[[#All],[Tot]],MATCH(Table5[[#This Row],[PID]],Table3[[#All],[PID]],0)))</f>
        <v>31.247663521023298</v>
      </c>
      <c r="R826" s="52">
        <f>IF($C826="B",INDEX(Batters[[#All],[zScore]],MATCH(Table5[[#This Row],[PID]],Batters[[#All],[PID]],0)),INDEX(Table3[[#All],[zScore]],MATCH(Table5[[#This Row],[PID]],Table3[[#All],[PID]],0)))</f>
        <v>-0.30755197935007361</v>
      </c>
      <c r="S826" s="58" t="str">
        <f>IF($C826="B",INDEX(Batters[[#All],[DEM]],MATCH(Table5[[#This Row],[PID]],Batters[[#All],[PID]],0)),INDEX(Table3[[#All],[DEM]],MATCH(Table5[[#This Row],[PID]],Table3[[#All],[PID]],0)))</f>
        <v>-</v>
      </c>
      <c r="T826" s="62">
        <f>IF($C826="B",INDEX(Batters[[#All],[Rnk]],MATCH(Table5[[#This Row],[PID]],Batters[[#All],[PID]],0)),INDEX(Table3[[#All],[Rnk]],MATCH(Table5[[#This Row],[PID]],Table3[[#All],[PID]],0)))</f>
        <v>429</v>
      </c>
      <c r="U826" s="68">
        <f>IF($C826="B",VLOOKUP($A826,Bat!$A$4:$BA$1621,47,FALSE),VLOOKUP($A826,Pit!$A$4:$BF$1557,56,FALSE))</f>
        <v>0</v>
      </c>
      <c r="V826" s="50">
        <f>IF($C826="B",VLOOKUP($A826,Bat!$A$4:$BA$1621,48,FALSE),VLOOKUP($A826,Pit!$A$4:$BF$1557,57,FALSE))</f>
        <v>0</v>
      </c>
      <c r="W826" s="50">
        <f>Table5[[#This Row],[posRnk]]+Table5[[#This Row],[zRnk]]+IF($W$3&lt;&gt;Table5[[#This Row],[Type]],50,0)</f>
        <v>1210</v>
      </c>
      <c r="X826" s="51">
        <f>RANK(Table5[[#This Row],[zScore]],Table5[[#All],[zScore]])</f>
        <v>731</v>
      </c>
      <c r="Y826" s="50" t="str">
        <f>IFERROR(INDEX(DraftResults[[#All],[OVR]],MATCH(Table5[[#This Row],[PID]],DraftResults[[#All],[Player ID]],0)),"")</f>
        <v/>
      </c>
      <c r="Z8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6" s="50" t="str">
        <f>IFERROR(INDEX(DraftResults[[#All],[Pick in Round]],MATCH(Table5[[#This Row],[PID]],DraftResults[[#All],[Player ID]],0)),"")</f>
        <v/>
      </c>
      <c r="AB826" s="50" t="str">
        <f>IFERROR(INDEX(DraftResults[[#All],[Team Name]],MATCH(Table5[[#This Row],[PID]],DraftResults[[#All],[Player ID]],0)),"")</f>
        <v/>
      </c>
      <c r="AC826" s="50" t="str">
        <f>IF(Table5[[#This Row],[Ovr]]="","",IF(Table5[[#This Row],[cmbList]]="","",Table5[[#This Row],[cmbList]]-Table5[[#This Row],[Ovr]]))</f>
        <v/>
      </c>
      <c r="AD826" s="54" t="str">
        <f>IF(ISERROR(VLOOKUP($AB826&amp;"-"&amp;$E826&amp;" "&amp;F826,Bonuses!$B$1:$G$1006,4,FALSE)),"",INT(VLOOKUP($AB826&amp;"-"&amp;$E826&amp;" "&amp;$F826,Bonuses!$B$1:$G$1006,4,FALSE)))</f>
        <v/>
      </c>
      <c r="AE8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7" spans="1:31" s="50" customFormat="1" x14ac:dyDescent="0.25">
      <c r="A827" s="50">
        <v>20802</v>
      </c>
      <c r="B827" s="50">
        <f>COUNTIF(Table5[PID],A827)</f>
        <v>1</v>
      </c>
      <c r="C827" s="50" t="str">
        <f>IF(COUNTIF(Table3[[#All],[PID]],A827)&gt;0,"P","B")</f>
        <v>P</v>
      </c>
      <c r="D827" s="59" t="str">
        <f>IF($C827="B",INDEX(Batters[[#All],[POS]],MATCH(Table5[[#This Row],[PID]],Batters[[#All],[PID]],0)),INDEX(Table3[[#All],[POS]],MATCH(Table5[[#This Row],[PID]],Table3[[#All],[PID]],0)))</f>
        <v>RP</v>
      </c>
      <c r="E827" s="52" t="str">
        <f>IF($C827="B",INDEX(Batters[[#All],[First]],MATCH(Table5[[#This Row],[PID]],Batters[[#All],[PID]],0)),INDEX(Table3[[#All],[First]],MATCH(Table5[[#This Row],[PID]],Table3[[#All],[PID]],0)))</f>
        <v>Javier</v>
      </c>
      <c r="F827" s="50" t="str">
        <f>IF($C827="B",INDEX(Batters[[#All],[Last]],MATCH(A827,Batters[[#All],[PID]],0)),INDEX(Table3[[#All],[Last]],MATCH(A827,Table3[[#All],[PID]],0)))</f>
        <v>López</v>
      </c>
      <c r="G827" s="56">
        <f>IF($C827="B",INDEX(Batters[[#All],[Age]],MATCH(Table5[[#This Row],[PID]],Batters[[#All],[PID]],0)),INDEX(Table3[[#All],[Age]],MATCH(Table5[[#This Row],[PID]],Table3[[#All],[PID]],0)))</f>
        <v>17</v>
      </c>
      <c r="H827" s="52" t="str">
        <f>IF($C827="B",INDEX(Batters[[#All],[B]],MATCH(Table5[[#This Row],[PID]],Batters[[#All],[PID]],0)),INDEX(Table3[[#All],[B]],MATCH(Table5[[#This Row],[PID]],Table3[[#All],[PID]],0)))</f>
        <v>L</v>
      </c>
      <c r="I827" s="52" t="str">
        <f>IF($C827="B",INDEX(Batters[[#All],[T]],MATCH(Table5[[#This Row],[PID]],Batters[[#All],[PID]],0)),INDEX(Table3[[#All],[T]],MATCH(Table5[[#This Row],[PID]],Table3[[#All],[PID]],0)))</f>
        <v>L</v>
      </c>
      <c r="J827" s="52" t="str">
        <f>IF($C827="B",INDEX(Batters[[#All],[WE]],MATCH(Table5[[#This Row],[PID]],Batters[[#All],[PID]],0)),INDEX(Table3[[#All],[WE]],MATCH(Table5[[#This Row],[PID]],Table3[[#All],[PID]],0)))</f>
        <v>Low</v>
      </c>
      <c r="K827" s="52" t="str">
        <f>IF($C827="B",INDEX(Batters[[#All],[INT]],MATCH(Table5[[#This Row],[PID]],Batters[[#All],[PID]],0)),INDEX(Table3[[#All],[INT]],MATCH(Table5[[#This Row],[PID]],Table3[[#All],[PID]],0)))</f>
        <v>Normal</v>
      </c>
      <c r="L827" s="60">
        <f>IF($C827="B",INDEX(Batters[[#All],[CON P]],MATCH(Table5[[#This Row],[PID]],Batters[[#All],[PID]],0)),INDEX(Table3[[#All],[STU P]],MATCH(Table5[[#This Row],[PID]],Table3[[#All],[PID]],0)))</f>
        <v>3</v>
      </c>
      <c r="M827" s="56">
        <f>IF($C827="B",INDEX(Batters[[#All],[GAP P]],MATCH(Table5[[#This Row],[PID]],Batters[[#All],[PID]],0)),INDEX(Table3[[#All],[MOV P]],MATCH(Table5[[#This Row],[PID]],Table3[[#All],[PID]],0)))</f>
        <v>2</v>
      </c>
      <c r="N827" s="56">
        <f>IF($C827="B",INDEX(Batters[[#All],[POW P]],MATCH(Table5[[#This Row],[PID]],Batters[[#All],[PID]],0)),INDEX(Table3[[#All],[CON P]],MATCH(Table5[[#This Row],[PID]],Table3[[#All],[PID]],0)))</f>
        <v>3</v>
      </c>
      <c r="O827" s="56" t="str">
        <f>IF($C827="B",INDEX(Batters[[#All],[EYE P]],MATCH(Table5[[#This Row],[PID]],Batters[[#All],[PID]],0)),INDEX(Table3[[#All],[VELO]],MATCH(Table5[[#This Row],[PID]],Table3[[#All],[PID]],0)))</f>
        <v>83-85 Mph</v>
      </c>
      <c r="P827" s="56">
        <f>IF($C827="B",INDEX(Batters[[#All],[K P]],MATCH(Table5[[#This Row],[PID]],Batters[[#All],[PID]],0)),INDEX(Table3[[#All],[STM]],MATCH(Table5[[#This Row],[PID]],Table3[[#All],[PID]],0)))</f>
        <v>9</v>
      </c>
      <c r="Q827" s="61">
        <f>IF($C827="B",INDEX(Batters[[#All],[Tot]],MATCH(Table5[[#This Row],[PID]],Batters[[#All],[PID]],0)),INDEX(Table3[[#All],[Tot]],MATCH(Table5[[#This Row],[PID]],Table3[[#All],[PID]],0)))</f>
        <v>31.206121023035575</v>
      </c>
      <c r="R827" s="52">
        <f>IF($C827="B",INDEX(Batters[[#All],[zScore]],MATCH(Table5[[#This Row],[PID]],Batters[[#All],[PID]],0)),INDEX(Table3[[#All],[zScore]],MATCH(Table5[[#This Row],[PID]],Table3[[#All],[PID]],0)))</f>
        <v>-0.31031573825973835</v>
      </c>
      <c r="S827" s="58" t="str">
        <f>IF($C827="B",INDEX(Batters[[#All],[DEM]],MATCH(Table5[[#This Row],[PID]],Batters[[#All],[PID]],0)),INDEX(Table3[[#All],[DEM]],MATCH(Table5[[#This Row],[PID]],Table3[[#All],[PID]],0)))</f>
        <v>$65k</v>
      </c>
      <c r="T827" s="62">
        <f>IF($C827="B",INDEX(Batters[[#All],[Rnk]],MATCH(Table5[[#This Row],[PID]],Batters[[#All],[PID]],0)),INDEX(Table3[[#All],[Rnk]],MATCH(Table5[[#This Row],[PID]],Table3[[#All],[PID]],0)))</f>
        <v>430</v>
      </c>
      <c r="U827" s="68">
        <f>IF($C827="B",VLOOKUP($A827,Bat!$A$4:$BA$1621,47,FALSE),VLOOKUP($A827,Pit!$A$4:$BF$1557,56,FALSE))</f>
        <v>0</v>
      </c>
      <c r="V827" s="50">
        <f>IF($C827="B",VLOOKUP($A827,Bat!$A$4:$BA$1621,48,FALSE),VLOOKUP($A827,Pit!$A$4:$BF$1557,57,FALSE))</f>
        <v>0</v>
      </c>
      <c r="W827" s="50">
        <f>Table5[[#This Row],[posRnk]]+Table5[[#This Row],[zRnk]]+IF($W$3&lt;&gt;Table5[[#This Row],[Type]],50,0)</f>
        <v>1212</v>
      </c>
      <c r="X827" s="51">
        <f>RANK(Table5[[#This Row],[zScore]],Table5[[#All],[zScore]])</f>
        <v>732</v>
      </c>
      <c r="Y827" s="50" t="str">
        <f>IFERROR(INDEX(DraftResults[[#All],[OVR]],MATCH(Table5[[#This Row],[PID]],DraftResults[[#All],[Player ID]],0)),"")</f>
        <v/>
      </c>
      <c r="Z8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7" s="50" t="str">
        <f>IFERROR(INDEX(DraftResults[[#All],[Pick in Round]],MATCH(Table5[[#This Row],[PID]],DraftResults[[#All],[Player ID]],0)),"")</f>
        <v/>
      </c>
      <c r="AB827" s="50" t="str">
        <f>IFERROR(INDEX(DraftResults[[#All],[Team Name]],MATCH(Table5[[#This Row],[PID]],DraftResults[[#All],[Player ID]],0)),"")</f>
        <v/>
      </c>
      <c r="AC827" s="50" t="str">
        <f>IF(Table5[[#This Row],[Ovr]]="","",IF(Table5[[#This Row],[cmbList]]="","",Table5[[#This Row],[cmbList]]-Table5[[#This Row],[Ovr]]))</f>
        <v/>
      </c>
      <c r="AD827" s="54" t="str">
        <f>IF(ISERROR(VLOOKUP($AB827&amp;"-"&amp;$E827&amp;" "&amp;F827,Bonuses!$B$1:$G$1006,4,FALSE)),"",INT(VLOOKUP($AB827&amp;"-"&amp;$E827&amp;" "&amp;$F827,Bonuses!$B$1:$G$1006,4,FALSE)))</f>
        <v/>
      </c>
      <c r="AE8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8" spans="1:31" s="50" customFormat="1" x14ac:dyDescent="0.25">
      <c r="A828" s="50">
        <v>17602</v>
      </c>
      <c r="B828" s="50">
        <f>COUNTIF(Table5[PID],A828)</f>
        <v>1</v>
      </c>
      <c r="C828" s="50" t="str">
        <f>IF(COUNTIF(Table3[[#All],[PID]],A828)&gt;0,"P","B")</f>
        <v>P</v>
      </c>
      <c r="D828" s="59" t="str">
        <f>IF($C828="B",INDEX(Batters[[#All],[POS]],MATCH(Table5[[#This Row],[PID]],Batters[[#All],[PID]],0)),INDEX(Table3[[#All],[POS]],MATCH(Table5[[#This Row],[PID]],Table3[[#All],[PID]],0)))</f>
        <v>RP</v>
      </c>
      <c r="E828" s="52" t="str">
        <f>IF($C828="B",INDEX(Batters[[#All],[First]],MATCH(Table5[[#This Row],[PID]],Batters[[#All],[PID]],0)),INDEX(Table3[[#All],[First]],MATCH(Table5[[#This Row],[PID]],Table3[[#All],[PID]],0)))</f>
        <v>Kealaalohi</v>
      </c>
      <c r="F828" s="50" t="str">
        <f>IF($C828="B",INDEX(Batters[[#All],[Last]],MATCH(A828,Batters[[#All],[PID]],0)),INDEX(Table3[[#All],[Last]],MATCH(A828,Table3[[#All],[PID]],0)))</f>
        <v>Konanae</v>
      </c>
      <c r="G828" s="56">
        <f>IF($C828="B",INDEX(Batters[[#All],[Age]],MATCH(Table5[[#This Row],[PID]],Batters[[#All],[PID]],0)),INDEX(Table3[[#All],[Age]],MATCH(Table5[[#This Row],[PID]],Table3[[#All],[PID]],0)))</f>
        <v>18</v>
      </c>
      <c r="H828" s="52" t="str">
        <f>IF($C828="B",INDEX(Batters[[#All],[B]],MATCH(Table5[[#This Row],[PID]],Batters[[#All],[PID]],0)),INDEX(Table3[[#All],[B]],MATCH(Table5[[#This Row],[PID]],Table3[[#All],[PID]],0)))</f>
        <v>R</v>
      </c>
      <c r="I828" s="52" t="str">
        <f>IF($C828="B",INDEX(Batters[[#All],[T]],MATCH(Table5[[#This Row],[PID]],Batters[[#All],[PID]],0)),INDEX(Table3[[#All],[T]],MATCH(Table5[[#This Row],[PID]],Table3[[#All],[PID]],0)))</f>
        <v>R</v>
      </c>
      <c r="J828" s="52" t="str">
        <f>IF($C828="B",INDEX(Batters[[#All],[WE]],MATCH(Table5[[#This Row],[PID]],Batters[[#All],[PID]],0)),INDEX(Table3[[#All],[WE]],MATCH(Table5[[#This Row],[PID]],Table3[[#All],[PID]],0)))</f>
        <v>Normal</v>
      </c>
      <c r="K828" s="52" t="str">
        <f>IF($C828="B",INDEX(Batters[[#All],[INT]],MATCH(Table5[[#This Row],[PID]],Batters[[#All],[PID]],0)),INDEX(Table3[[#All],[INT]],MATCH(Table5[[#This Row],[PID]],Table3[[#All],[PID]],0)))</f>
        <v>Normal</v>
      </c>
      <c r="L828" s="60">
        <f>IF($C828="B",INDEX(Batters[[#All],[CON P]],MATCH(Table5[[#This Row],[PID]],Batters[[#All],[PID]],0)),INDEX(Table3[[#All],[STU P]],MATCH(Table5[[#This Row],[PID]],Table3[[#All],[PID]],0)))</f>
        <v>4</v>
      </c>
      <c r="M828" s="56">
        <f>IF($C828="B",INDEX(Batters[[#All],[GAP P]],MATCH(Table5[[#This Row],[PID]],Batters[[#All],[PID]],0)),INDEX(Table3[[#All],[MOV P]],MATCH(Table5[[#This Row],[PID]],Table3[[#All],[PID]],0)))</f>
        <v>2</v>
      </c>
      <c r="N828" s="56">
        <f>IF($C828="B",INDEX(Batters[[#All],[POW P]],MATCH(Table5[[#This Row],[PID]],Batters[[#All],[PID]],0)),INDEX(Table3[[#All],[CON P]],MATCH(Table5[[#This Row],[PID]],Table3[[#All],[PID]],0)))</f>
        <v>3</v>
      </c>
      <c r="O828" s="56" t="str">
        <f>IF($C828="B",INDEX(Batters[[#All],[EYE P]],MATCH(Table5[[#This Row],[PID]],Batters[[#All],[PID]],0)),INDEX(Table3[[#All],[VELO]],MATCH(Table5[[#This Row],[PID]],Table3[[#All],[PID]],0)))</f>
        <v>87-89 Mph</v>
      </c>
      <c r="P828" s="56">
        <f>IF($C828="B",INDEX(Batters[[#All],[K P]],MATCH(Table5[[#This Row],[PID]],Batters[[#All],[PID]],0)),INDEX(Table3[[#All],[STM]],MATCH(Table5[[#This Row],[PID]],Table3[[#All],[PID]],0)))</f>
        <v>8</v>
      </c>
      <c r="Q828" s="61">
        <f>IF($C828="B",INDEX(Batters[[#All],[Tot]],MATCH(Table5[[#This Row],[PID]],Batters[[#All],[PID]],0)),INDEX(Table3[[#All],[Tot]],MATCH(Table5[[#This Row],[PID]],Table3[[#All],[PID]],0)))</f>
        <v>33.200874457299733</v>
      </c>
      <c r="R828" s="52">
        <f>IF($C828="B",INDEX(Batters[[#All],[zScore]],MATCH(Table5[[#This Row],[PID]],Batters[[#All],[PID]],0)),INDEX(Table3[[#All],[zScore]],MATCH(Table5[[#This Row],[PID]],Table3[[#All],[PID]],0)))</f>
        <v>-0.31529742085023993</v>
      </c>
      <c r="S828" s="58" t="str">
        <f>IF($C828="B",INDEX(Batters[[#All],[DEM]],MATCH(Table5[[#This Row],[PID]],Batters[[#All],[PID]],0)),INDEX(Table3[[#All],[DEM]],MATCH(Table5[[#This Row],[PID]],Table3[[#All],[PID]],0)))</f>
        <v>$65k</v>
      </c>
      <c r="T828" s="62">
        <f>IF($C828="B",INDEX(Batters[[#All],[Rnk]],MATCH(Table5[[#This Row],[PID]],Batters[[#All],[PID]],0)),INDEX(Table3[[#All],[Rnk]],MATCH(Table5[[#This Row],[PID]],Table3[[#All],[PID]],0)))</f>
        <v>432</v>
      </c>
      <c r="U828" s="68">
        <f>IF($C828="B",VLOOKUP($A828,Bat!$A$4:$BA$1621,47,FALSE),VLOOKUP($A828,Pit!$A$4:$BF$1557,56,FALSE))</f>
        <v>0</v>
      </c>
      <c r="V828" s="50">
        <f>IF($C828="B",VLOOKUP($A828,Bat!$A$4:$BA$1621,48,FALSE),VLOOKUP($A828,Pit!$A$4:$BF$1557,57,FALSE))</f>
        <v>0</v>
      </c>
      <c r="W828" s="50">
        <f>Table5[[#This Row],[posRnk]]+Table5[[#This Row],[zRnk]]+IF($W$3&lt;&gt;Table5[[#This Row],[Type]],50,0)</f>
        <v>1217</v>
      </c>
      <c r="X828" s="51">
        <f>RANK(Table5[[#This Row],[zScore]],Table5[[#All],[zScore]])</f>
        <v>735</v>
      </c>
      <c r="Y828" s="50" t="str">
        <f>IFERROR(INDEX(DraftResults[[#All],[OVR]],MATCH(Table5[[#This Row],[PID]],DraftResults[[#All],[Player ID]],0)),"")</f>
        <v/>
      </c>
      <c r="Z8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8" s="50" t="str">
        <f>IFERROR(INDEX(DraftResults[[#All],[Pick in Round]],MATCH(Table5[[#This Row],[PID]],DraftResults[[#All],[Player ID]],0)),"")</f>
        <v/>
      </c>
      <c r="AB828" s="50" t="str">
        <f>IFERROR(INDEX(DraftResults[[#All],[Team Name]],MATCH(Table5[[#This Row],[PID]],DraftResults[[#All],[Player ID]],0)),"")</f>
        <v/>
      </c>
      <c r="AC828" s="50" t="str">
        <f>IF(Table5[[#This Row],[Ovr]]="","",IF(Table5[[#This Row],[cmbList]]="","",Table5[[#This Row],[cmbList]]-Table5[[#This Row],[Ovr]]))</f>
        <v/>
      </c>
      <c r="AD828" s="54" t="str">
        <f>IF(ISERROR(VLOOKUP($AB828&amp;"-"&amp;$E828&amp;" "&amp;F828,Bonuses!$B$1:$G$1006,4,FALSE)),"",INT(VLOOKUP($AB828&amp;"-"&amp;$E828&amp;" "&amp;$F828,Bonuses!$B$1:$G$1006,4,FALSE)))</f>
        <v/>
      </c>
      <c r="AE8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29" spans="1:31" s="50" customFormat="1" x14ac:dyDescent="0.25">
      <c r="A829" s="50">
        <v>20340</v>
      </c>
      <c r="B829" s="55">
        <f>COUNTIF(Table5[PID],A829)</f>
        <v>1</v>
      </c>
      <c r="C829" s="55" t="str">
        <f>IF(COUNTIF(Table3[[#All],[PID]],A829)&gt;0,"P","B")</f>
        <v>B</v>
      </c>
      <c r="D829" s="59" t="str">
        <f>IF($C829="B",INDEX(Batters[[#All],[POS]],MATCH(Table5[[#This Row],[PID]],Batters[[#All],[PID]],0)),INDEX(Table3[[#All],[POS]],MATCH(Table5[[#This Row],[PID]],Table3[[#All],[PID]],0)))</f>
        <v>1B</v>
      </c>
      <c r="E829" s="52" t="str">
        <f>IF($C829="B",INDEX(Batters[[#All],[First]],MATCH(Table5[[#This Row],[PID]],Batters[[#All],[PID]],0)),INDEX(Table3[[#All],[First]],MATCH(Table5[[#This Row],[PID]],Table3[[#All],[PID]],0)))</f>
        <v>Norm</v>
      </c>
      <c r="F829" s="50" t="str">
        <f>IF($C829="B",INDEX(Batters[[#All],[Last]],MATCH(A829,Batters[[#All],[PID]],0)),INDEX(Table3[[#All],[Last]],MATCH(A829,Table3[[#All],[PID]],0)))</f>
        <v>Stewart</v>
      </c>
      <c r="G829" s="56">
        <f>IF($C829="B",INDEX(Batters[[#All],[Age]],MATCH(Table5[[#This Row],[PID]],Batters[[#All],[PID]],0)),INDEX(Table3[[#All],[Age]],MATCH(Table5[[#This Row],[PID]],Table3[[#All],[PID]],0)))</f>
        <v>19</v>
      </c>
      <c r="H829" s="52" t="str">
        <f>IF($C829="B",INDEX(Batters[[#All],[B]],MATCH(Table5[[#This Row],[PID]],Batters[[#All],[PID]],0)),INDEX(Table3[[#All],[B]],MATCH(Table5[[#This Row],[PID]],Table3[[#All],[PID]],0)))</f>
        <v>R</v>
      </c>
      <c r="I829" s="52" t="str">
        <f>IF($C829="B",INDEX(Batters[[#All],[T]],MATCH(Table5[[#This Row],[PID]],Batters[[#All],[PID]],0)),INDEX(Table3[[#All],[T]],MATCH(Table5[[#This Row],[PID]],Table3[[#All],[PID]],0)))</f>
        <v>R</v>
      </c>
      <c r="J829" s="52" t="str">
        <f>IF($C829="B",INDEX(Batters[[#All],[WE]],MATCH(Table5[[#This Row],[PID]],Batters[[#All],[PID]],0)),INDEX(Table3[[#All],[WE]],MATCH(Table5[[#This Row],[PID]],Table3[[#All],[PID]],0)))</f>
        <v>Normal</v>
      </c>
      <c r="K829" s="52" t="str">
        <f>IF($C829="B",INDEX(Batters[[#All],[INT]],MATCH(Table5[[#This Row],[PID]],Batters[[#All],[PID]],0)),INDEX(Table3[[#All],[INT]],MATCH(Table5[[#This Row],[PID]],Table3[[#All],[PID]],0)))</f>
        <v>Normal</v>
      </c>
      <c r="L829" s="60">
        <f>IF($C829="B",INDEX(Batters[[#All],[CON P]],MATCH(Table5[[#This Row],[PID]],Batters[[#All],[PID]],0)),INDEX(Table3[[#All],[STU P]],MATCH(Table5[[#This Row],[PID]],Table3[[#All],[PID]],0)))</f>
        <v>2</v>
      </c>
      <c r="M829" s="56">
        <f>IF($C829="B",INDEX(Batters[[#All],[GAP P]],MATCH(Table5[[#This Row],[PID]],Batters[[#All],[PID]],0)),INDEX(Table3[[#All],[MOV P]],MATCH(Table5[[#This Row],[PID]],Table3[[#All],[PID]],0)))</f>
        <v>5</v>
      </c>
      <c r="N829" s="56">
        <f>IF($C829="B",INDEX(Batters[[#All],[POW P]],MATCH(Table5[[#This Row],[PID]],Batters[[#All],[PID]],0)),INDEX(Table3[[#All],[CON P]],MATCH(Table5[[#This Row],[PID]],Table3[[#All],[PID]],0)))</f>
        <v>6</v>
      </c>
      <c r="O829" s="56">
        <f>IF($C829="B",INDEX(Batters[[#All],[EYE P]],MATCH(Table5[[#This Row],[PID]],Batters[[#All],[PID]],0)),INDEX(Table3[[#All],[VELO]],MATCH(Table5[[#This Row],[PID]],Table3[[#All],[PID]],0)))</f>
        <v>6</v>
      </c>
      <c r="P829" s="56">
        <f>IF($C829="B",INDEX(Batters[[#All],[K P]],MATCH(Table5[[#This Row],[PID]],Batters[[#All],[PID]],0)),INDEX(Table3[[#All],[STM]],MATCH(Table5[[#This Row],[PID]],Table3[[#All],[PID]],0)))</f>
        <v>3</v>
      </c>
      <c r="Q829" s="61">
        <f>IF($C829="B",INDEX(Batters[[#All],[Tot]],MATCH(Table5[[#This Row],[PID]],Batters[[#All],[PID]],0)),INDEX(Table3[[#All],[Tot]],MATCH(Table5[[#This Row],[PID]],Table3[[#All],[PID]],0)))</f>
        <v>42.70958182200711</v>
      </c>
      <c r="R829" s="52">
        <f>IF($C829="B",INDEX(Batters[[#All],[zScore]],MATCH(Table5[[#This Row],[PID]],Batters[[#All],[PID]],0)),INDEX(Table3[[#All],[zScore]],MATCH(Table5[[#This Row],[PID]],Table3[[#All],[PID]],0)))</f>
        <v>-0.31534636059439147</v>
      </c>
      <c r="S829" s="58" t="str">
        <f>IF($C829="B",INDEX(Batters[[#All],[DEM]],MATCH(Table5[[#This Row],[PID]],Batters[[#All],[PID]],0)),INDEX(Table3[[#All],[DEM]],MATCH(Table5[[#This Row],[PID]],Table3[[#All],[PID]],0)))</f>
        <v>$100k</v>
      </c>
      <c r="T829" s="62">
        <f>IF($C829="B",INDEX(Batters[[#All],[Rnk]],MATCH(Table5[[#This Row],[PID]],Batters[[#All],[PID]],0)),INDEX(Table3[[#All],[Rnk]],MATCH(Table5[[#This Row],[PID]],Table3[[#All],[PID]],0)))</f>
        <v>304</v>
      </c>
      <c r="U829" s="68">
        <f>IF($C829="B",VLOOKUP($A829,Bat!$A$4:$BA$1621,47,FALSE),VLOOKUP($A829,Pit!$A$4:$BF$1557,56,FALSE))</f>
        <v>0</v>
      </c>
      <c r="V829" s="50">
        <f>IF($C829="B",VLOOKUP($A829,Bat!$A$4:$BA$1621,48,FALSE),VLOOKUP($A829,Pit!$A$4:$BF$1557,57,FALSE))</f>
        <v>0</v>
      </c>
      <c r="W829" s="50">
        <f>Table5[[#This Row],[posRnk]]+Table5[[#This Row],[zRnk]]+IF($W$3&lt;&gt;Table5[[#This Row],[Type]],50,0)</f>
        <v>1090</v>
      </c>
      <c r="X829" s="51">
        <f>RANK(Table5[[#This Row],[zScore]],Table5[[#All],[zScore]])</f>
        <v>736</v>
      </c>
      <c r="Y829" s="50" t="str">
        <f>IFERROR(INDEX(DraftResults[[#All],[OVR]],MATCH(Table5[[#This Row],[PID]],DraftResults[[#All],[Player ID]],0)),"")</f>
        <v/>
      </c>
      <c r="Z8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29" s="50" t="str">
        <f>IFERROR(INDEX(DraftResults[[#All],[Pick in Round]],MATCH(Table5[[#This Row],[PID]],DraftResults[[#All],[Player ID]],0)),"")</f>
        <v/>
      </c>
      <c r="AB829" s="50" t="str">
        <f>IFERROR(INDEX(DraftResults[[#All],[Team Name]],MATCH(Table5[[#This Row],[PID]],DraftResults[[#All],[Player ID]],0)),"")</f>
        <v/>
      </c>
      <c r="AC829" s="50" t="str">
        <f>IF(Table5[[#This Row],[Ovr]]="","",IF(Table5[[#This Row],[cmbList]]="","",Table5[[#This Row],[cmbList]]-Table5[[#This Row],[Ovr]]))</f>
        <v/>
      </c>
      <c r="AD829" s="54" t="str">
        <f>IF(ISERROR(VLOOKUP($AB829&amp;"-"&amp;$E829&amp;" "&amp;F829,Bonuses!$B$1:$G$1006,4,FALSE)),"",INT(VLOOKUP($AB829&amp;"-"&amp;$E829&amp;" "&amp;$F829,Bonuses!$B$1:$G$1006,4,FALSE)))</f>
        <v/>
      </c>
      <c r="AE8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0" spans="1:31" s="50" customFormat="1" x14ac:dyDescent="0.25">
      <c r="A830" s="50">
        <v>17936</v>
      </c>
      <c r="B830" s="50">
        <f>COUNTIF(Table5[PID],A830)</f>
        <v>1</v>
      </c>
      <c r="C830" s="50" t="str">
        <f>IF(COUNTIF(Table3[[#All],[PID]],A830)&gt;0,"P","B")</f>
        <v>P</v>
      </c>
      <c r="D830" s="59" t="str">
        <f>IF($C830="B",INDEX(Batters[[#All],[POS]],MATCH(Table5[[#This Row],[PID]],Batters[[#All],[PID]],0)),INDEX(Table3[[#All],[POS]],MATCH(Table5[[#This Row],[PID]],Table3[[#All],[PID]],0)))</f>
        <v>RP</v>
      </c>
      <c r="E830" s="52" t="str">
        <f>IF($C830="B",INDEX(Batters[[#All],[First]],MATCH(Table5[[#This Row],[PID]],Batters[[#All],[PID]],0)),INDEX(Table3[[#All],[First]],MATCH(Table5[[#This Row],[PID]],Table3[[#All],[PID]],0)))</f>
        <v>Yoshiki</v>
      </c>
      <c r="F830" s="50" t="str">
        <f>IF($C830="B",INDEX(Batters[[#All],[Last]],MATCH(A830,Batters[[#All],[PID]],0)),INDEX(Table3[[#All],[Last]],MATCH(A830,Table3[[#All],[PID]],0)))</f>
        <v>Hagi</v>
      </c>
      <c r="G830" s="56">
        <f>IF($C830="B",INDEX(Batters[[#All],[Age]],MATCH(Table5[[#This Row],[PID]],Batters[[#All],[PID]],0)),INDEX(Table3[[#All],[Age]],MATCH(Table5[[#This Row],[PID]],Table3[[#All],[PID]],0)))</f>
        <v>18</v>
      </c>
      <c r="H830" s="52" t="str">
        <f>IF($C830="B",INDEX(Batters[[#All],[B]],MATCH(Table5[[#This Row],[PID]],Batters[[#All],[PID]],0)),INDEX(Table3[[#All],[B]],MATCH(Table5[[#This Row],[PID]],Table3[[#All],[PID]],0)))</f>
        <v>R</v>
      </c>
      <c r="I830" s="52" t="str">
        <f>IF($C830="B",INDEX(Batters[[#All],[T]],MATCH(Table5[[#This Row],[PID]],Batters[[#All],[PID]],0)),INDEX(Table3[[#All],[T]],MATCH(Table5[[#This Row],[PID]],Table3[[#All],[PID]],0)))</f>
        <v>R</v>
      </c>
      <c r="J830" s="52" t="str">
        <f>IF($C830="B",INDEX(Batters[[#All],[WE]],MATCH(Table5[[#This Row],[PID]],Batters[[#All],[PID]],0)),INDEX(Table3[[#All],[WE]],MATCH(Table5[[#This Row],[PID]],Table3[[#All],[PID]],0)))</f>
        <v>High</v>
      </c>
      <c r="K830" s="52" t="str">
        <f>IF($C830="B",INDEX(Batters[[#All],[INT]],MATCH(Table5[[#This Row],[PID]],Batters[[#All],[PID]],0)),INDEX(Table3[[#All],[INT]],MATCH(Table5[[#This Row],[PID]],Table3[[#All],[PID]],0)))</f>
        <v>Low</v>
      </c>
      <c r="L830" s="60">
        <f>IF($C830="B",INDEX(Batters[[#All],[CON P]],MATCH(Table5[[#This Row],[PID]],Batters[[#All],[PID]],0)),INDEX(Table3[[#All],[STU P]],MATCH(Table5[[#This Row],[PID]],Table3[[#All],[PID]],0)))</f>
        <v>4</v>
      </c>
      <c r="M830" s="56">
        <f>IF($C830="B",INDEX(Batters[[#All],[GAP P]],MATCH(Table5[[#This Row],[PID]],Batters[[#All],[PID]],0)),INDEX(Table3[[#All],[MOV P]],MATCH(Table5[[#This Row],[PID]],Table3[[#All],[PID]],0)))</f>
        <v>1</v>
      </c>
      <c r="N830" s="56">
        <f>IF($C830="B",INDEX(Batters[[#All],[POW P]],MATCH(Table5[[#This Row],[PID]],Batters[[#All],[PID]],0)),INDEX(Table3[[#All],[CON P]],MATCH(Table5[[#This Row],[PID]],Table3[[#All],[PID]],0)))</f>
        <v>3</v>
      </c>
      <c r="O830" s="56" t="str">
        <f>IF($C830="B",INDEX(Batters[[#All],[EYE P]],MATCH(Table5[[#This Row],[PID]],Batters[[#All],[PID]],0)),INDEX(Table3[[#All],[VELO]],MATCH(Table5[[#This Row],[PID]],Table3[[#All],[PID]],0)))</f>
        <v>88-90 Mph</v>
      </c>
      <c r="P830" s="56">
        <f>IF($C830="B",INDEX(Batters[[#All],[K P]],MATCH(Table5[[#This Row],[PID]],Batters[[#All],[PID]],0)),INDEX(Table3[[#All],[STM]],MATCH(Table5[[#This Row],[PID]],Table3[[#All],[PID]],0)))</f>
        <v>6</v>
      </c>
      <c r="Q830" s="61">
        <f>IF($C830="B",INDEX(Batters[[#All],[Tot]],MATCH(Table5[[#This Row],[PID]],Batters[[#All],[PID]],0)),INDEX(Table3[[#All],[Tot]],MATCH(Table5[[#This Row],[PID]],Table3[[#All],[PID]],0)))</f>
        <v>31.125792259437134</v>
      </c>
      <c r="R830" s="52">
        <f>IF($C830="B",INDEX(Batters[[#All],[zScore]],MATCH(Table5[[#This Row],[PID]],Batters[[#All],[PID]],0)),INDEX(Table3[[#All],[zScore]],MATCH(Table5[[#This Row],[PID]],Table3[[#All],[PID]],0)))</f>
        <v>-0.31565988815084872</v>
      </c>
      <c r="S830" s="58" t="str">
        <f>IF($C830="B",INDEX(Batters[[#All],[DEM]],MATCH(Table5[[#This Row],[PID]],Batters[[#All],[PID]],0)),INDEX(Table3[[#All],[DEM]],MATCH(Table5[[#This Row],[PID]],Table3[[#All],[PID]],0)))</f>
        <v>$38k</v>
      </c>
      <c r="T830" s="62">
        <f>IF($C830="B",INDEX(Batters[[#All],[Rnk]],MATCH(Table5[[#This Row],[PID]],Batters[[#All],[PID]],0)),INDEX(Table3[[#All],[Rnk]],MATCH(Table5[[#This Row],[PID]],Table3[[#All],[PID]],0)))</f>
        <v>433</v>
      </c>
      <c r="U830" s="68">
        <f>IF($C830="B",VLOOKUP($A830,Bat!$A$4:$BA$1621,47,FALSE),VLOOKUP($A830,Pit!$A$4:$BF$1557,56,FALSE))</f>
        <v>0</v>
      </c>
      <c r="V830" s="50">
        <f>IF($C830="B",VLOOKUP($A830,Bat!$A$4:$BA$1621,48,FALSE),VLOOKUP($A830,Pit!$A$4:$BF$1557,57,FALSE))</f>
        <v>0</v>
      </c>
      <c r="W830" s="50">
        <f>Table5[[#This Row],[posRnk]]+Table5[[#This Row],[zRnk]]+IF($W$3&lt;&gt;Table5[[#This Row],[Type]],50,0)</f>
        <v>1220</v>
      </c>
      <c r="X830" s="51">
        <f>RANK(Table5[[#This Row],[zScore]],Table5[[#All],[zScore]])</f>
        <v>737</v>
      </c>
      <c r="Y830" s="50" t="str">
        <f>IFERROR(INDEX(DraftResults[[#All],[OVR]],MATCH(Table5[[#This Row],[PID]],DraftResults[[#All],[Player ID]],0)),"")</f>
        <v/>
      </c>
      <c r="Z8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0" s="50" t="str">
        <f>IFERROR(INDEX(DraftResults[[#All],[Pick in Round]],MATCH(Table5[[#This Row],[PID]],DraftResults[[#All],[Player ID]],0)),"")</f>
        <v/>
      </c>
      <c r="AB830" s="50" t="str">
        <f>IFERROR(INDEX(DraftResults[[#All],[Team Name]],MATCH(Table5[[#This Row],[PID]],DraftResults[[#All],[Player ID]],0)),"")</f>
        <v/>
      </c>
      <c r="AC830" s="50" t="str">
        <f>IF(Table5[[#This Row],[Ovr]]="","",IF(Table5[[#This Row],[cmbList]]="","",Table5[[#This Row],[cmbList]]-Table5[[#This Row],[Ovr]]))</f>
        <v/>
      </c>
      <c r="AD830" s="54" t="str">
        <f>IF(ISERROR(VLOOKUP($AB830&amp;"-"&amp;$E830&amp;" "&amp;F830,Bonuses!$B$1:$G$1006,4,FALSE)),"",INT(VLOOKUP($AB830&amp;"-"&amp;$E830&amp;" "&amp;$F830,Bonuses!$B$1:$G$1006,4,FALSE)))</f>
        <v/>
      </c>
      <c r="AE8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1" spans="1:31" s="50" customFormat="1" x14ac:dyDescent="0.25">
      <c r="A831" s="68">
        <v>17783</v>
      </c>
      <c r="B831" s="69">
        <f>COUNTIF(Table5[PID],A831)</f>
        <v>1</v>
      </c>
      <c r="C831" s="69" t="str">
        <f>IF(COUNTIF(Table3[[#All],[PID]],A831)&gt;0,"P","B")</f>
        <v>P</v>
      </c>
      <c r="D831" s="59" t="str">
        <f>IF($C831="B",INDEX(Batters[[#All],[POS]],MATCH(Table5[[#This Row],[PID]],Batters[[#All],[PID]],0)),INDEX(Table3[[#All],[POS]],MATCH(Table5[[#This Row],[PID]],Table3[[#All],[PID]],0)))</f>
        <v>SP</v>
      </c>
      <c r="E831" s="52" t="str">
        <f>IF($C831="B",INDEX(Batters[[#All],[First]],MATCH(Table5[[#This Row],[PID]],Batters[[#All],[PID]],0)),INDEX(Table3[[#All],[First]],MATCH(Table5[[#This Row],[PID]],Table3[[#All],[PID]],0)))</f>
        <v>Ronald</v>
      </c>
      <c r="F831" s="55" t="str">
        <f>IF($C831="B",INDEX(Batters[[#All],[Last]],MATCH(A831,Batters[[#All],[PID]],0)),INDEX(Table3[[#All],[Last]],MATCH(A831,Table3[[#All],[PID]],0)))</f>
        <v>Borman</v>
      </c>
      <c r="G831" s="56">
        <f>IF($C831="B",INDEX(Batters[[#All],[Age]],MATCH(Table5[[#This Row],[PID]],Batters[[#All],[PID]],0)),INDEX(Table3[[#All],[Age]],MATCH(Table5[[#This Row],[PID]],Table3[[#All],[PID]],0)))</f>
        <v>21</v>
      </c>
      <c r="H831" s="52" t="str">
        <f>IF($C831="B",INDEX(Batters[[#All],[B]],MATCH(Table5[[#This Row],[PID]],Batters[[#All],[PID]],0)),INDEX(Table3[[#All],[B]],MATCH(Table5[[#This Row],[PID]],Table3[[#All],[PID]],0)))</f>
        <v>L</v>
      </c>
      <c r="I831" s="52" t="str">
        <f>IF($C831="B",INDEX(Batters[[#All],[T]],MATCH(Table5[[#This Row],[PID]],Batters[[#All],[PID]],0)),INDEX(Table3[[#All],[T]],MATCH(Table5[[#This Row],[PID]],Table3[[#All],[PID]],0)))</f>
        <v>L</v>
      </c>
      <c r="J831" s="71" t="str">
        <f>IF($C831="B",INDEX(Batters[[#All],[WE]],MATCH(Table5[[#This Row],[PID]],Batters[[#All],[PID]],0)),INDEX(Table3[[#All],[WE]],MATCH(Table5[[#This Row],[PID]],Table3[[#All],[PID]],0)))</f>
        <v>Normal</v>
      </c>
      <c r="K831" s="52" t="str">
        <f>IF($C831="B",INDEX(Batters[[#All],[INT]],MATCH(Table5[[#This Row],[PID]],Batters[[#All],[PID]],0)),INDEX(Table3[[#All],[INT]],MATCH(Table5[[#This Row],[PID]],Table3[[#All],[PID]],0)))</f>
        <v>Normal</v>
      </c>
      <c r="L831" s="60">
        <f>IF($C831="B",INDEX(Batters[[#All],[CON P]],MATCH(Table5[[#This Row],[PID]],Batters[[#All],[PID]],0)),INDEX(Table3[[#All],[STU P]],MATCH(Table5[[#This Row],[PID]],Table3[[#All],[PID]],0)))</f>
        <v>5</v>
      </c>
      <c r="M831" s="72">
        <f>IF($C831="B",INDEX(Batters[[#All],[GAP P]],MATCH(Table5[[#This Row],[PID]],Batters[[#All],[PID]],0)),INDEX(Table3[[#All],[MOV P]],MATCH(Table5[[#This Row],[PID]],Table3[[#All],[PID]],0)))</f>
        <v>1</v>
      </c>
      <c r="N831" s="72">
        <f>IF($C831="B",INDEX(Batters[[#All],[POW P]],MATCH(Table5[[#This Row],[PID]],Batters[[#All],[PID]],0)),INDEX(Table3[[#All],[CON P]],MATCH(Table5[[#This Row],[PID]],Table3[[#All],[PID]],0)))</f>
        <v>3</v>
      </c>
      <c r="O831" s="72" t="str">
        <f>IF($C831="B",INDEX(Batters[[#All],[EYE P]],MATCH(Table5[[#This Row],[PID]],Batters[[#All],[PID]],0)),INDEX(Table3[[#All],[VELO]],MATCH(Table5[[#This Row],[PID]],Table3[[#All],[PID]],0)))</f>
        <v>90-92 Mph</v>
      </c>
      <c r="P831" s="56">
        <f>IF($C831="B",INDEX(Batters[[#All],[K P]],MATCH(Table5[[#This Row],[PID]],Batters[[#All],[PID]],0)),INDEX(Table3[[#All],[STM]],MATCH(Table5[[#This Row],[PID]],Table3[[#All],[PID]],0)))</f>
        <v>6</v>
      </c>
      <c r="Q831" s="61">
        <f>IF($C831="B",INDEX(Batters[[#All],[Tot]],MATCH(Table5[[#This Row],[PID]],Batters[[#All],[PID]],0)),INDEX(Table3[[#All],[Tot]],MATCH(Table5[[#This Row],[PID]],Table3[[#All],[PID]],0)))</f>
        <v>31.055805768706179</v>
      </c>
      <c r="R831" s="52">
        <f>IF($C831="B",INDEX(Batters[[#All],[zScore]],MATCH(Table5[[#This Row],[PID]],Batters[[#All],[PID]],0)),INDEX(Table3[[#All],[zScore]],MATCH(Table5[[#This Row],[PID]],Table3[[#All],[PID]],0)))</f>
        <v>-0.32031598243220383</v>
      </c>
      <c r="S831" s="78" t="str">
        <f>IF($C831="B",INDEX(Batters[[#All],[DEM]],MATCH(Table5[[#This Row],[PID]],Batters[[#All],[PID]],0)),INDEX(Table3[[#All],[DEM]],MATCH(Table5[[#This Row],[PID]],Table3[[#All],[PID]],0)))</f>
        <v>-</v>
      </c>
      <c r="T831" s="75">
        <f>IF($C831="B",INDEX(Batters[[#All],[Rnk]],MATCH(Table5[[#This Row],[PID]],Batters[[#All],[PID]],0)),INDEX(Table3[[#All],[Rnk]],MATCH(Table5[[#This Row],[PID]],Table3[[#All],[PID]],0)))</f>
        <v>434</v>
      </c>
      <c r="U831" s="68">
        <f>IF($C831="B",VLOOKUP($A831,Bat!$A$4:$BA$1621,47,FALSE),VLOOKUP($A831,Pit!$A$4:$BF$1557,56,FALSE))</f>
        <v>0</v>
      </c>
      <c r="V831" s="50">
        <f>IF($C831="B",VLOOKUP($A831,Bat!$A$4:$BA$1621,48,FALSE),VLOOKUP($A831,Pit!$A$4:$BF$1557,57,FALSE))</f>
        <v>0</v>
      </c>
      <c r="W831" s="69">
        <f>Table5[[#This Row],[posRnk]]+Table5[[#This Row],[zRnk]]+IF($W$3&lt;&gt;Table5[[#This Row],[Type]],50,0)</f>
        <v>1223</v>
      </c>
      <c r="X831" s="73">
        <f>RANK(Table5[[#This Row],[zScore]],Table5[[#All],[zScore]])</f>
        <v>739</v>
      </c>
      <c r="Y831" s="69" t="str">
        <f>IFERROR(INDEX(DraftResults[[#All],[OVR]],MATCH(Table5[[#This Row],[PID]],DraftResults[[#All],[Player ID]],0)),"")</f>
        <v/>
      </c>
      <c r="Z83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1" s="69" t="str">
        <f>IFERROR(INDEX(DraftResults[[#All],[Pick in Round]],MATCH(Table5[[#This Row],[PID]],DraftResults[[#All],[Player ID]],0)),"")</f>
        <v/>
      </c>
      <c r="AB831" s="69" t="str">
        <f>IFERROR(INDEX(DraftResults[[#All],[Team Name]],MATCH(Table5[[#This Row],[PID]],DraftResults[[#All],[Player ID]],0)),"")</f>
        <v/>
      </c>
      <c r="AC831" s="69" t="str">
        <f>IF(Table5[[#This Row],[Ovr]]="","",IF(Table5[[#This Row],[cmbList]]="","",Table5[[#This Row],[cmbList]]-Table5[[#This Row],[Ovr]]))</f>
        <v/>
      </c>
      <c r="AD831" s="77" t="str">
        <f>IF(ISERROR(VLOOKUP($AB831&amp;"-"&amp;$E831&amp;" "&amp;F831,Bonuses!$B$1:$G$1006,4,FALSE)),"",INT(VLOOKUP($AB831&amp;"-"&amp;$E831&amp;" "&amp;$F831,Bonuses!$B$1:$G$1006,4,FALSE)))</f>
        <v/>
      </c>
      <c r="AE83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2" spans="1:31" s="50" customFormat="1" x14ac:dyDescent="0.25">
      <c r="A832" s="68">
        <v>20856</v>
      </c>
      <c r="B832" s="69">
        <f>COUNTIF(Table5[PID],A832)</f>
        <v>1</v>
      </c>
      <c r="C832" s="69" t="str">
        <f>IF(COUNTIF(Table3[[#All],[PID]],A832)&gt;0,"P","B")</f>
        <v>P</v>
      </c>
      <c r="D832" s="59" t="str">
        <f>IF($C832="B",INDEX(Batters[[#All],[POS]],MATCH(Table5[[#This Row],[PID]],Batters[[#All],[PID]],0)),INDEX(Table3[[#All],[POS]],MATCH(Table5[[#This Row],[PID]],Table3[[#All],[PID]],0)))</f>
        <v>SP</v>
      </c>
      <c r="E832" s="52" t="str">
        <f>IF($C832="B",INDEX(Batters[[#All],[First]],MATCH(Table5[[#This Row],[PID]],Batters[[#All],[PID]],0)),INDEX(Table3[[#All],[First]],MATCH(Table5[[#This Row],[PID]],Table3[[#All],[PID]],0)))</f>
        <v>Carlos</v>
      </c>
      <c r="F832" s="55" t="str">
        <f>IF($C832="B",INDEX(Batters[[#All],[Last]],MATCH(A832,Batters[[#All],[PID]],0)),INDEX(Table3[[#All],[Last]],MATCH(A832,Table3[[#All],[PID]],0)))</f>
        <v>Nieves</v>
      </c>
      <c r="G832" s="56">
        <f>IF($C832="B",INDEX(Batters[[#All],[Age]],MATCH(Table5[[#This Row],[PID]],Batters[[#All],[PID]],0)),INDEX(Table3[[#All],[Age]],MATCH(Table5[[#This Row],[PID]],Table3[[#All],[PID]],0)))</f>
        <v>17</v>
      </c>
      <c r="H832" s="52" t="str">
        <f>IF($C832="B",INDEX(Batters[[#All],[B]],MATCH(Table5[[#This Row],[PID]],Batters[[#All],[PID]],0)),INDEX(Table3[[#All],[B]],MATCH(Table5[[#This Row],[PID]],Table3[[#All],[PID]],0)))</f>
        <v>R</v>
      </c>
      <c r="I832" s="52" t="str">
        <f>IF($C832="B",INDEX(Batters[[#All],[T]],MATCH(Table5[[#This Row],[PID]],Batters[[#All],[PID]],0)),INDEX(Table3[[#All],[T]],MATCH(Table5[[#This Row],[PID]],Table3[[#All],[PID]],0)))</f>
        <v>L</v>
      </c>
      <c r="J832" s="71" t="str">
        <f>IF($C832="B",INDEX(Batters[[#All],[WE]],MATCH(Table5[[#This Row],[PID]],Batters[[#All],[PID]],0)),INDEX(Table3[[#All],[WE]],MATCH(Table5[[#This Row],[PID]],Table3[[#All],[PID]],0)))</f>
        <v>Low</v>
      </c>
      <c r="K832" s="52" t="str">
        <f>IF($C832="B",INDEX(Batters[[#All],[INT]],MATCH(Table5[[#This Row],[PID]],Batters[[#All],[PID]],0)),INDEX(Table3[[#All],[INT]],MATCH(Table5[[#This Row],[PID]],Table3[[#All],[PID]],0)))</f>
        <v>Normal</v>
      </c>
      <c r="L832" s="60">
        <f>IF($C832="B",INDEX(Batters[[#All],[CON P]],MATCH(Table5[[#This Row],[PID]],Batters[[#All],[PID]],0)),INDEX(Table3[[#All],[STU P]],MATCH(Table5[[#This Row],[PID]],Table3[[#All],[PID]],0)))</f>
        <v>4</v>
      </c>
      <c r="M832" s="72">
        <f>IF($C832="B",INDEX(Batters[[#All],[GAP P]],MATCH(Table5[[#This Row],[PID]],Batters[[#All],[PID]],0)),INDEX(Table3[[#All],[MOV P]],MATCH(Table5[[#This Row],[PID]],Table3[[#All],[PID]],0)))</f>
        <v>2</v>
      </c>
      <c r="N832" s="72">
        <f>IF($C832="B",INDEX(Batters[[#All],[POW P]],MATCH(Table5[[#This Row],[PID]],Batters[[#All],[PID]],0)),INDEX(Table3[[#All],[CON P]],MATCH(Table5[[#This Row],[PID]],Table3[[#All],[PID]],0)))</f>
        <v>2</v>
      </c>
      <c r="O832" s="72" t="str">
        <f>IF($C832="B",INDEX(Batters[[#All],[EYE P]],MATCH(Table5[[#This Row],[PID]],Batters[[#All],[PID]],0)),INDEX(Table3[[#All],[VELO]],MATCH(Table5[[#This Row],[PID]],Table3[[#All],[PID]],0)))</f>
        <v>88-90 Mph</v>
      </c>
      <c r="P832" s="56">
        <f>IF($C832="B",INDEX(Batters[[#All],[K P]],MATCH(Table5[[#This Row],[PID]],Batters[[#All],[PID]],0)),INDEX(Table3[[#All],[STM]],MATCH(Table5[[#This Row],[PID]],Table3[[#All],[PID]],0)))</f>
        <v>6</v>
      </c>
      <c r="Q832" s="61">
        <f>IF($C832="B",INDEX(Batters[[#All],[Tot]],MATCH(Table5[[#This Row],[PID]],Batters[[#All],[PID]],0)),INDEX(Table3[[#All],[Tot]],MATCH(Table5[[#This Row],[PID]],Table3[[#All],[PID]],0)))</f>
        <v>31.045136749532798</v>
      </c>
      <c r="R832" s="52">
        <f>IF($C832="B",INDEX(Batters[[#All],[zScore]],MATCH(Table5[[#This Row],[PID]],Batters[[#All],[PID]],0)),INDEX(Table3[[#All],[zScore]],MATCH(Table5[[#This Row],[PID]],Table3[[#All],[PID]],0)))</f>
        <v>-0.32102577597438631</v>
      </c>
      <c r="S832" s="78" t="str">
        <f>IF($C832="B",INDEX(Batters[[#All],[DEM]],MATCH(Table5[[#This Row],[PID]],Batters[[#All],[PID]],0)),INDEX(Table3[[#All],[DEM]],MATCH(Table5[[#This Row],[PID]],Table3[[#All],[PID]],0)))</f>
        <v>$75k</v>
      </c>
      <c r="T832" s="75">
        <f>IF($C832="B",INDEX(Batters[[#All],[Rnk]],MATCH(Table5[[#This Row],[PID]],Batters[[#All],[PID]],0)),INDEX(Table3[[#All],[Rnk]],MATCH(Table5[[#This Row],[PID]],Table3[[#All],[PID]],0)))</f>
        <v>435</v>
      </c>
      <c r="U832" s="68">
        <f>IF($C832="B",VLOOKUP($A832,Bat!$A$4:$BA$1621,47,FALSE),VLOOKUP($A832,Pit!$A$4:$BF$1557,56,FALSE))</f>
        <v>0</v>
      </c>
      <c r="V832" s="50">
        <f>IF($C832="B",VLOOKUP($A832,Bat!$A$4:$BA$1621,48,FALSE),VLOOKUP($A832,Pit!$A$4:$BF$1557,57,FALSE))</f>
        <v>0</v>
      </c>
      <c r="W832" s="69">
        <f>Table5[[#This Row],[posRnk]]+Table5[[#This Row],[zRnk]]+IF($W$3&lt;&gt;Table5[[#This Row],[Type]],50,0)</f>
        <v>1225</v>
      </c>
      <c r="X832" s="73">
        <f>RANK(Table5[[#This Row],[zScore]],Table5[[#All],[zScore]])</f>
        <v>740</v>
      </c>
      <c r="Y832" s="69" t="str">
        <f>IFERROR(INDEX(DraftResults[[#All],[OVR]],MATCH(Table5[[#This Row],[PID]],DraftResults[[#All],[Player ID]],0)),"")</f>
        <v/>
      </c>
      <c r="Z83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2" s="69" t="str">
        <f>IFERROR(INDEX(DraftResults[[#All],[Pick in Round]],MATCH(Table5[[#This Row],[PID]],DraftResults[[#All],[Player ID]],0)),"")</f>
        <v/>
      </c>
      <c r="AB832" s="69" t="str">
        <f>IFERROR(INDEX(DraftResults[[#All],[Team Name]],MATCH(Table5[[#This Row],[PID]],DraftResults[[#All],[Player ID]],0)),"")</f>
        <v/>
      </c>
      <c r="AC832" s="69" t="str">
        <f>IF(Table5[[#This Row],[Ovr]]="","",IF(Table5[[#This Row],[cmbList]]="","",Table5[[#This Row],[cmbList]]-Table5[[#This Row],[Ovr]]))</f>
        <v/>
      </c>
      <c r="AD832" s="77" t="str">
        <f>IF(ISERROR(VLOOKUP($AB832&amp;"-"&amp;$E832&amp;" "&amp;F832,Bonuses!$B$1:$G$1006,4,FALSE)),"",INT(VLOOKUP($AB832&amp;"-"&amp;$E832&amp;" "&amp;$F832,Bonuses!$B$1:$G$1006,4,FALSE)))</f>
        <v/>
      </c>
      <c r="AE83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3" spans="1:31" s="50" customFormat="1" x14ac:dyDescent="0.25">
      <c r="A833" s="50">
        <v>21078</v>
      </c>
      <c r="B833" s="50">
        <f>COUNTIF(Table5[PID],A833)</f>
        <v>1</v>
      </c>
      <c r="C833" s="50" t="str">
        <f>IF(COUNTIF(Table3[[#All],[PID]],A833)&gt;0,"P","B")</f>
        <v>P</v>
      </c>
      <c r="D833" s="59" t="str">
        <f>IF($C833="B",INDEX(Batters[[#All],[POS]],MATCH(Table5[[#This Row],[PID]],Batters[[#All],[PID]],0)),INDEX(Table3[[#All],[POS]],MATCH(Table5[[#This Row],[PID]],Table3[[#All],[PID]],0)))</f>
        <v>RP</v>
      </c>
      <c r="E833" s="52" t="str">
        <f>IF($C833="B",INDEX(Batters[[#All],[First]],MATCH(Table5[[#This Row],[PID]],Batters[[#All],[PID]],0)),INDEX(Table3[[#All],[First]],MATCH(Table5[[#This Row],[PID]],Table3[[#All],[PID]],0)))</f>
        <v>Gary</v>
      </c>
      <c r="F833" s="50" t="str">
        <f>IF($C833="B",INDEX(Batters[[#All],[Last]],MATCH(A833,Batters[[#All],[PID]],0)),INDEX(Table3[[#All],[Last]],MATCH(A833,Table3[[#All],[PID]],0)))</f>
        <v>Hendrix</v>
      </c>
      <c r="G833" s="56">
        <f>IF($C833="B",INDEX(Batters[[#All],[Age]],MATCH(Table5[[#This Row],[PID]],Batters[[#All],[PID]],0)),INDEX(Table3[[#All],[Age]],MATCH(Table5[[#This Row],[PID]],Table3[[#All],[PID]],0)))</f>
        <v>18</v>
      </c>
      <c r="H833" s="52" t="str">
        <f>IF($C833="B",INDEX(Batters[[#All],[B]],MATCH(Table5[[#This Row],[PID]],Batters[[#All],[PID]],0)),INDEX(Table3[[#All],[B]],MATCH(Table5[[#This Row],[PID]],Table3[[#All],[PID]],0)))</f>
        <v>S</v>
      </c>
      <c r="I833" s="52" t="str">
        <f>IF($C833="B",INDEX(Batters[[#All],[T]],MATCH(Table5[[#This Row],[PID]],Batters[[#All],[PID]],0)),INDEX(Table3[[#All],[T]],MATCH(Table5[[#This Row],[PID]],Table3[[#All],[PID]],0)))</f>
        <v>L</v>
      </c>
      <c r="J833" s="52" t="str">
        <f>IF($C833="B",INDEX(Batters[[#All],[WE]],MATCH(Table5[[#This Row],[PID]],Batters[[#All],[PID]],0)),INDEX(Table3[[#All],[WE]],MATCH(Table5[[#This Row],[PID]],Table3[[#All],[PID]],0)))</f>
        <v>Low</v>
      </c>
      <c r="K833" s="52" t="str">
        <f>IF($C833="B",INDEX(Batters[[#All],[INT]],MATCH(Table5[[#This Row],[PID]],Batters[[#All],[PID]],0)),INDEX(Table3[[#All],[INT]],MATCH(Table5[[#This Row],[PID]],Table3[[#All],[PID]],0)))</f>
        <v>High</v>
      </c>
      <c r="L833" s="60">
        <f>IF($C833="B",INDEX(Batters[[#All],[CON P]],MATCH(Table5[[#This Row],[PID]],Batters[[#All],[PID]],0)),INDEX(Table3[[#All],[STU P]],MATCH(Table5[[#This Row],[PID]],Table3[[#All],[PID]],0)))</f>
        <v>4</v>
      </c>
      <c r="M833" s="56">
        <f>IF($C833="B",INDEX(Batters[[#All],[GAP P]],MATCH(Table5[[#This Row],[PID]],Batters[[#All],[PID]],0)),INDEX(Table3[[#All],[MOV P]],MATCH(Table5[[#This Row],[PID]],Table3[[#All],[PID]],0)))</f>
        <v>2</v>
      </c>
      <c r="N833" s="56">
        <f>IF($C833="B",INDEX(Batters[[#All],[POW P]],MATCH(Table5[[#This Row],[PID]],Batters[[#All],[PID]],0)),INDEX(Table3[[#All],[CON P]],MATCH(Table5[[#This Row],[PID]],Table3[[#All],[PID]],0)))</f>
        <v>2</v>
      </c>
      <c r="O833" s="56" t="str">
        <f>IF($C833="B",INDEX(Batters[[#All],[EYE P]],MATCH(Table5[[#This Row],[PID]],Batters[[#All],[PID]],0)),INDEX(Table3[[#All],[VELO]],MATCH(Table5[[#This Row],[PID]],Table3[[#All],[PID]],0)))</f>
        <v>85-87 Mph</v>
      </c>
      <c r="P833" s="56">
        <f>IF($C833="B",INDEX(Batters[[#All],[K P]],MATCH(Table5[[#This Row],[PID]],Batters[[#All],[PID]],0)),INDEX(Table3[[#All],[STM]],MATCH(Table5[[#This Row],[PID]],Table3[[#All],[PID]],0)))</f>
        <v>7</v>
      </c>
      <c r="Q833" s="61">
        <f>IF($C833="B",INDEX(Batters[[#All],[Tot]],MATCH(Table5[[#This Row],[PID]],Batters[[#All],[PID]],0)),INDEX(Table3[[#All],[Tot]],MATCH(Table5[[#This Row],[PID]],Table3[[#All],[PID]],0)))</f>
        <v>31.012248627749905</v>
      </c>
      <c r="R833" s="52">
        <f>IF($C833="B",INDEX(Batters[[#All],[zScore]],MATCH(Table5[[#This Row],[PID]],Batters[[#All],[PID]],0)),INDEX(Table3[[#All],[zScore]],MATCH(Table5[[#This Row],[PID]],Table3[[#All],[PID]],0)))</f>
        <v>-0.32321377245997251</v>
      </c>
      <c r="S833" s="58" t="str">
        <f>IF($C833="B",INDEX(Batters[[#All],[DEM]],MATCH(Table5[[#This Row],[PID]],Batters[[#All],[PID]],0)),INDEX(Table3[[#All],[DEM]],MATCH(Table5[[#This Row],[PID]],Table3[[#All],[PID]],0)))</f>
        <v>$90k</v>
      </c>
      <c r="T833" s="62">
        <f>IF($C833="B",INDEX(Batters[[#All],[Rnk]],MATCH(Table5[[#This Row],[PID]],Batters[[#All],[PID]],0)),INDEX(Table3[[#All],[Rnk]],MATCH(Table5[[#This Row],[PID]],Table3[[#All],[PID]],0)))</f>
        <v>436</v>
      </c>
      <c r="U833" s="68">
        <f>IF($C833="B",VLOOKUP($A833,Bat!$A$4:$BA$1621,47,FALSE),VLOOKUP($A833,Pit!$A$4:$BF$1557,56,FALSE))</f>
        <v>0</v>
      </c>
      <c r="V833" s="50">
        <f>IF($C833="B",VLOOKUP($A833,Bat!$A$4:$BA$1621,48,FALSE),VLOOKUP($A833,Pit!$A$4:$BF$1557,57,FALSE))</f>
        <v>0</v>
      </c>
      <c r="W833" s="50">
        <f>Table5[[#This Row],[posRnk]]+Table5[[#This Row],[zRnk]]+IF($W$3&lt;&gt;Table5[[#This Row],[Type]],50,0)</f>
        <v>1227</v>
      </c>
      <c r="X833" s="51">
        <f>RANK(Table5[[#This Row],[zScore]],Table5[[#All],[zScore]])</f>
        <v>741</v>
      </c>
      <c r="Y833" s="50" t="str">
        <f>IFERROR(INDEX(DraftResults[[#All],[OVR]],MATCH(Table5[[#This Row],[PID]],DraftResults[[#All],[Player ID]],0)),"")</f>
        <v/>
      </c>
      <c r="Z8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3" s="50" t="str">
        <f>IFERROR(INDEX(DraftResults[[#All],[Pick in Round]],MATCH(Table5[[#This Row],[PID]],DraftResults[[#All],[Player ID]],0)),"")</f>
        <v/>
      </c>
      <c r="AB833" s="50" t="str">
        <f>IFERROR(INDEX(DraftResults[[#All],[Team Name]],MATCH(Table5[[#This Row],[PID]],DraftResults[[#All],[Player ID]],0)),"")</f>
        <v/>
      </c>
      <c r="AC833" s="50" t="str">
        <f>IF(Table5[[#This Row],[Ovr]]="","",IF(Table5[[#This Row],[cmbList]]="","",Table5[[#This Row],[cmbList]]-Table5[[#This Row],[Ovr]]))</f>
        <v/>
      </c>
      <c r="AD833" s="54" t="str">
        <f>IF(ISERROR(VLOOKUP($AB833&amp;"-"&amp;$E833&amp;" "&amp;F833,Bonuses!$B$1:$G$1006,4,FALSE)),"",INT(VLOOKUP($AB833&amp;"-"&amp;$E833&amp;" "&amp;$F833,Bonuses!$B$1:$G$1006,4,FALSE)))</f>
        <v/>
      </c>
      <c r="AE8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4" spans="1:31" s="50" customFormat="1" x14ac:dyDescent="0.25">
      <c r="A834" s="50">
        <v>5793</v>
      </c>
      <c r="B834" s="50">
        <f>COUNTIF(Table5[PID],A834)</f>
        <v>1</v>
      </c>
      <c r="C834" s="50" t="str">
        <f>IF(COUNTIF(Table3[[#All],[PID]],A834)&gt;0,"P","B")</f>
        <v>P</v>
      </c>
      <c r="D834" s="59" t="str">
        <f>IF($C834="B",INDEX(Batters[[#All],[POS]],MATCH(Table5[[#This Row],[PID]],Batters[[#All],[PID]],0)),INDEX(Table3[[#All],[POS]],MATCH(Table5[[#This Row],[PID]],Table3[[#All],[PID]],0)))</f>
        <v>RP</v>
      </c>
      <c r="E834" s="52" t="str">
        <f>IF($C834="B",INDEX(Batters[[#All],[First]],MATCH(Table5[[#This Row],[PID]],Batters[[#All],[PID]],0)),INDEX(Table3[[#All],[First]],MATCH(Table5[[#This Row],[PID]],Table3[[#All],[PID]],0)))</f>
        <v>Doug</v>
      </c>
      <c r="F834" s="50" t="str">
        <f>IF($C834="B",INDEX(Batters[[#All],[Last]],MATCH(A834,Batters[[#All],[PID]],0)),INDEX(Table3[[#All],[Last]],MATCH(A834,Table3[[#All],[PID]],0)))</f>
        <v>Davis</v>
      </c>
      <c r="G834" s="56">
        <f>IF($C834="B",INDEX(Batters[[#All],[Age]],MATCH(Table5[[#This Row],[PID]],Batters[[#All],[PID]],0)),INDEX(Table3[[#All],[Age]],MATCH(Table5[[#This Row],[PID]],Table3[[#All],[PID]],0)))</f>
        <v>21</v>
      </c>
      <c r="H834" s="52" t="str">
        <f>IF($C834="B",INDEX(Batters[[#All],[B]],MATCH(Table5[[#This Row],[PID]],Batters[[#All],[PID]],0)),INDEX(Table3[[#All],[B]],MATCH(Table5[[#This Row],[PID]],Table3[[#All],[PID]],0)))</f>
        <v>R</v>
      </c>
      <c r="I834" s="52" t="str">
        <f>IF($C834="B",INDEX(Batters[[#All],[T]],MATCH(Table5[[#This Row],[PID]],Batters[[#All],[PID]],0)),INDEX(Table3[[#All],[T]],MATCH(Table5[[#This Row],[PID]],Table3[[#All],[PID]],0)))</f>
        <v>R</v>
      </c>
      <c r="J834" s="52" t="str">
        <f>IF($C834="B",INDEX(Batters[[#All],[WE]],MATCH(Table5[[#This Row],[PID]],Batters[[#All],[PID]],0)),INDEX(Table3[[#All],[WE]],MATCH(Table5[[#This Row],[PID]],Table3[[#All],[PID]],0)))</f>
        <v>High</v>
      </c>
      <c r="K834" s="52" t="str">
        <f>IF($C834="B",INDEX(Batters[[#All],[INT]],MATCH(Table5[[#This Row],[PID]],Batters[[#All],[PID]],0)),INDEX(Table3[[#All],[INT]],MATCH(Table5[[#This Row],[PID]],Table3[[#All],[PID]],0)))</f>
        <v>Normal</v>
      </c>
      <c r="L834" s="60">
        <f>IF($C834="B",INDEX(Batters[[#All],[CON P]],MATCH(Table5[[#This Row],[PID]],Batters[[#All],[PID]],0)),INDEX(Table3[[#All],[STU P]],MATCH(Table5[[#This Row],[PID]],Table3[[#All],[PID]],0)))</f>
        <v>4</v>
      </c>
      <c r="M834" s="56">
        <f>IF($C834="B",INDEX(Batters[[#All],[GAP P]],MATCH(Table5[[#This Row],[PID]],Batters[[#All],[PID]],0)),INDEX(Table3[[#All],[MOV P]],MATCH(Table5[[#This Row],[PID]],Table3[[#All],[PID]],0)))</f>
        <v>2</v>
      </c>
      <c r="N834" s="56">
        <f>IF($C834="B",INDEX(Batters[[#All],[POW P]],MATCH(Table5[[#This Row],[PID]],Batters[[#All],[PID]],0)),INDEX(Table3[[#All],[CON P]],MATCH(Table5[[#This Row],[PID]],Table3[[#All],[PID]],0)))</f>
        <v>3</v>
      </c>
      <c r="O834" s="56" t="str">
        <f>IF($C834="B",INDEX(Batters[[#All],[EYE P]],MATCH(Table5[[#This Row],[PID]],Batters[[#All],[PID]],0)),INDEX(Table3[[#All],[VELO]],MATCH(Table5[[#This Row],[PID]],Table3[[#All],[PID]],0)))</f>
        <v>86-88 Mph</v>
      </c>
      <c r="P834" s="56">
        <f>IF($C834="B",INDEX(Batters[[#All],[K P]],MATCH(Table5[[#This Row],[PID]],Batters[[#All],[PID]],0)),INDEX(Table3[[#All],[STM]],MATCH(Table5[[#This Row],[PID]],Table3[[#All],[PID]],0)))</f>
        <v>6</v>
      </c>
      <c r="Q834" s="61">
        <f>IF($C834="B",INDEX(Batters[[#All],[Tot]],MATCH(Table5[[#This Row],[PID]],Batters[[#All],[PID]],0)),INDEX(Table3[[#All],[Tot]],MATCH(Table5[[#This Row],[PID]],Table3[[#All],[PID]],0)))</f>
        <v>31.009055898208555</v>
      </c>
      <c r="R834" s="52">
        <f>IF($C834="B",INDEX(Batters[[#All],[zScore]],MATCH(Table5[[#This Row],[PID]],Batters[[#All],[PID]],0)),INDEX(Table3[[#All],[zScore]],MATCH(Table5[[#This Row],[PID]],Table3[[#All],[PID]],0)))</f>
        <v>-0.32342617987752026</v>
      </c>
      <c r="S834" s="58" t="str">
        <f>IF($C834="B",INDEX(Batters[[#All],[DEM]],MATCH(Table5[[#This Row],[PID]],Batters[[#All],[PID]],0)),INDEX(Table3[[#All],[DEM]],MATCH(Table5[[#This Row],[PID]],Table3[[#All],[PID]],0)))</f>
        <v>$20k</v>
      </c>
      <c r="T834" s="62">
        <f>IF($C834="B",INDEX(Batters[[#All],[Rnk]],MATCH(Table5[[#This Row],[PID]],Batters[[#All],[PID]],0)),INDEX(Table3[[#All],[Rnk]],MATCH(Table5[[#This Row],[PID]],Table3[[#All],[PID]],0)))</f>
        <v>437</v>
      </c>
      <c r="U834" s="68">
        <f>IF($C834="B",VLOOKUP($A834,Bat!$A$4:$BA$1621,47,FALSE),VLOOKUP($A834,Pit!$A$4:$BF$1557,56,FALSE))</f>
        <v>0</v>
      </c>
      <c r="V834" s="50">
        <f>IF($C834="B",VLOOKUP($A834,Bat!$A$4:$BA$1621,48,FALSE),VLOOKUP($A834,Pit!$A$4:$BF$1557,57,FALSE))</f>
        <v>0</v>
      </c>
      <c r="W834" s="50">
        <f>Table5[[#This Row],[posRnk]]+Table5[[#This Row],[zRnk]]+IF($W$3&lt;&gt;Table5[[#This Row],[Type]],50,0)</f>
        <v>1229</v>
      </c>
      <c r="X834" s="51">
        <f>RANK(Table5[[#This Row],[zScore]],Table5[[#All],[zScore]])</f>
        <v>742</v>
      </c>
      <c r="Y834" s="50" t="str">
        <f>IFERROR(INDEX(DraftResults[[#All],[OVR]],MATCH(Table5[[#This Row],[PID]],DraftResults[[#All],[Player ID]],0)),"")</f>
        <v/>
      </c>
      <c r="Z8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4" s="50" t="str">
        <f>IFERROR(INDEX(DraftResults[[#All],[Pick in Round]],MATCH(Table5[[#This Row],[PID]],DraftResults[[#All],[Player ID]],0)),"")</f>
        <v/>
      </c>
      <c r="AB834" s="50" t="str">
        <f>IFERROR(INDEX(DraftResults[[#All],[Team Name]],MATCH(Table5[[#This Row],[PID]],DraftResults[[#All],[Player ID]],0)),"")</f>
        <v/>
      </c>
      <c r="AC834" s="50" t="str">
        <f>IF(Table5[[#This Row],[Ovr]]="","",IF(Table5[[#This Row],[cmbList]]="","",Table5[[#This Row],[cmbList]]-Table5[[#This Row],[Ovr]]))</f>
        <v/>
      </c>
      <c r="AD834" s="54" t="str">
        <f>IF(ISERROR(VLOOKUP($AB834&amp;"-"&amp;$E834&amp;" "&amp;F834,Bonuses!$B$1:$G$1006,4,FALSE)),"",INT(VLOOKUP($AB834&amp;"-"&amp;$E834&amp;" "&amp;$F834,Bonuses!$B$1:$G$1006,4,FALSE)))</f>
        <v/>
      </c>
      <c r="AE8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5" spans="1:31" s="50" customFormat="1" x14ac:dyDescent="0.25">
      <c r="A835" s="50">
        <v>20242</v>
      </c>
      <c r="B835" s="50">
        <f>COUNTIF(Table5[PID],A835)</f>
        <v>1</v>
      </c>
      <c r="C835" s="50" t="str">
        <f>IF(COUNTIF(Table3[[#All],[PID]],A835)&gt;0,"P","B")</f>
        <v>P</v>
      </c>
      <c r="D835" s="59" t="str">
        <f>IF($C835="B",INDEX(Batters[[#All],[POS]],MATCH(Table5[[#This Row],[PID]],Batters[[#All],[PID]],0)),INDEX(Table3[[#All],[POS]],MATCH(Table5[[#This Row],[PID]],Table3[[#All],[PID]],0)))</f>
        <v>RP</v>
      </c>
      <c r="E835" s="52" t="str">
        <f>IF($C835="B",INDEX(Batters[[#All],[First]],MATCH(Table5[[#This Row],[PID]],Batters[[#All],[PID]],0)),INDEX(Table3[[#All],[First]],MATCH(Table5[[#This Row],[PID]],Table3[[#All],[PID]],0)))</f>
        <v>Matt</v>
      </c>
      <c r="F835" s="50" t="str">
        <f>IF($C835="B",INDEX(Batters[[#All],[Last]],MATCH(A835,Batters[[#All],[PID]],0)),INDEX(Table3[[#All],[Last]],MATCH(A835,Table3[[#All],[PID]],0)))</f>
        <v>Aitken</v>
      </c>
      <c r="G835" s="56">
        <f>IF($C835="B",INDEX(Batters[[#All],[Age]],MATCH(Table5[[#This Row],[PID]],Batters[[#All],[PID]],0)),INDEX(Table3[[#All],[Age]],MATCH(Table5[[#This Row],[PID]],Table3[[#All],[PID]],0)))</f>
        <v>21</v>
      </c>
      <c r="H835" s="52" t="str">
        <f>IF($C835="B",INDEX(Batters[[#All],[B]],MATCH(Table5[[#This Row],[PID]],Batters[[#All],[PID]],0)),INDEX(Table3[[#All],[B]],MATCH(Table5[[#This Row],[PID]],Table3[[#All],[PID]],0)))</f>
        <v>R</v>
      </c>
      <c r="I835" s="52" t="str">
        <f>IF($C835="B",INDEX(Batters[[#All],[T]],MATCH(Table5[[#This Row],[PID]],Batters[[#All],[PID]],0)),INDEX(Table3[[#All],[T]],MATCH(Table5[[#This Row],[PID]],Table3[[#All],[PID]],0)))</f>
        <v>R</v>
      </c>
      <c r="J835" s="52" t="str">
        <f>IF($C835="B",INDEX(Batters[[#All],[WE]],MATCH(Table5[[#This Row],[PID]],Batters[[#All],[PID]],0)),INDEX(Table3[[#All],[WE]],MATCH(Table5[[#This Row],[PID]],Table3[[#All],[PID]],0)))</f>
        <v>Low</v>
      </c>
      <c r="K835" s="52" t="str">
        <f>IF($C835="B",INDEX(Batters[[#All],[INT]],MATCH(Table5[[#This Row],[PID]],Batters[[#All],[PID]],0)),INDEX(Table3[[#All],[INT]],MATCH(Table5[[#This Row],[PID]],Table3[[#All],[PID]],0)))</f>
        <v>Normal</v>
      </c>
      <c r="L835" s="60">
        <f>IF($C835="B",INDEX(Batters[[#All],[CON P]],MATCH(Table5[[#This Row],[PID]],Batters[[#All],[PID]],0)),INDEX(Table3[[#All],[STU P]],MATCH(Table5[[#This Row],[PID]],Table3[[#All],[PID]],0)))</f>
        <v>6</v>
      </c>
      <c r="M835" s="56">
        <f>IF($C835="B",INDEX(Batters[[#All],[GAP P]],MATCH(Table5[[#This Row],[PID]],Batters[[#All],[PID]],0)),INDEX(Table3[[#All],[MOV P]],MATCH(Table5[[#This Row],[PID]],Table3[[#All],[PID]],0)))</f>
        <v>2</v>
      </c>
      <c r="N835" s="56">
        <f>IF($C835="B",INDEX(Batters[[#All],[POW P]],MATCH(Table5[[#This Row],[PID]],Batters[[#All],[PID]],0)),INDEX(Table3[[#All],[CON P]],MATCH(Table5[[#This Row],[PID]],Table3[[#All],[PID]],0)))</f>
        <v>3</v>
      </c>
      <c r="O835" s="56" t="str">
        <f>IF($C835="B",INDEX(Batters[[#All],[EYE P]],MATCH(Table5[[#This Row],[PID]],Batters[[#All],[PID]],0)),INDEX(Table3[[#All],[VELO]],MATCH(Table5[[#This Row],[PID]],Table3[[#All],[PID]],0)))</f>
        <v>92-94 Mph</v>
      </c>
      <c r="P835" s="56">
        <f>IF($C835="B",INDEX(Batters[[#All],[K P]],MATCH(Table5[[#This Row],[PID]],Batters[[#All],[PID]],0)),INDEX(Table3[[#All],[STM]],MATCH(Table5[[#This Row],[PID]],Table3[[#All],[PID]],0)))</f>
        <v>5</v>
      </c>
      <c r="Q835" s="61">
        <f>IF($C835="B",INDEX(Batters[[#All],[Tot]],MATCH(Table5[[#This Row],[PID]],Batters[[#All],[PID]],0)),INDEX(Table3[[#All],[Tot]],MATCH(Table5[[#This Row],[PID]],Table3[[#All],[PID]],0)))</f>
        <v>30.989743868283583</v>
      </c>
      <c r="R835" s="52">
        <f>IF($C835="B",INDEX(Batters[[#All],[zScore]],MATCH(Table5[[#This Row],[PID]],Batters[[#All],[PID]],0)),INDEX(Table3[[#All],[zScore]],MATCH(Table5[[#This Row],[PID]],Table3[[#All],[PID]],0)))</f>
        <v>-0.32471097971754498</v>
      </c>
      <c r="S835" s="58" t="str">
        <f>IF($C835="B",INDEX(Batters[[#All],[DEM]],MATCH(Table5[[#This Row],[PID]],Batters[[#All],[PID]],0)),INDEX(Table3[[#All],[DEM]],MATCH(Table5[[#This Row],[PID]],Table3[[#All],[PID]],0)))</f>
        <v>-</v>
      </c>
      <c r="T835" s="62">
        <f>IF($C835="B",INDEX(Batters[[#All],[Rnk]],MATCH(Table5[[#This Row],[PID]],Batters[[#All],[PID]],0)),INDEX(Table3[[#All],[Rnk]],MATCH(Table5[[#This Row],[PID]],Table3[[#All],[PID]],0)))</f>
        <v>438</v>
      </c>
      <c r="U835" s="68">
        <f>IF($C835="B",VLOOKUP($A835,Bat!$A$4:$BA$1621,47,FALSE),VLOOKUP($A835,Pit!$A$4:$BF$1557,56,FALSE))</f>
        <v>0</v>
      </c>
      <c r="V835" s="50">
        <f>IF($C835="B",VLOOKUP($A835,Bat!$A$4:$BA$1621,48,FALSE),VLOOKUP($A835,Pit!$A$4:$BF$1557,57,FALSE))</f>
        <v>0</v>
      </c>
      <c r="W835" s="50">
        <f>Table5[[#This Row],[posRnk]]+Table5[[#This Row],[zRnk]]+IF($W$3&lt;&gt;Table5[[#This Row],[Type]],50,0)</f>
        <v>1231</v>
      </c>
      <c r="X835" s="51">
        <f>RANK(Table5[[#This Row],[zScore]],Table5[[#All],[zScore]])</f>
        <v>743</v>
      </c>
      <c r="Y835" s="50" t="str">
        <f>IFERROR(INDEX(DraftResults[[#All],[OVR]],MATCH(Table5[[#This Row],[PID]],DraftResults[[#All],[Player ID]],0)),"")</f>
        <v/>
      </c>
      <c r="Z8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5" s="50" t="str">
        <f>IFERROR(INDEX(DraftResults[[#All],[Pick in Round]],MATCH(Table5[[#This Row],[PID]],DraftResults[[#All],[Player ID]],0)),"")</f>
        <v/>
      </c>
      <c r="AB835" s="50" t="str">
        <f>IFERROR(INDEX(DraftResults[[#All],[Team Name]],MATCH(Table5[[#This Row],[PID]],DraftResults[[#All],[Player ID]],0)),"")</f>
        <v/>
      </c>
      <c r="AC835" s="50" t="str">
        <f>IF(Table5[[#This Row],[Ovr]]="","",IF(Table5[[#This Row],[cmbList]]="","",Table5[[#This Row],[cmbList]]-Table5[[#This Row],[Ovr]]))</f>
        <v/>
      </c>
      <c r="AD835" s="54" t="str">
        <f>IF(ISERROR(VLOOKUP($AB835&amp;"-"&amp;$E835&amp;" "&amp;F835,Bonuses!$B$1:$G$1006,4,FALSE)),"",INT(VLOOKUP($AB835&amp;"-"&amp;$E835&amp;" "&amp;$F835,Bonuses!$B$1:$G$1006,4,FALSE)))</f>
        <v/>
      </c>
      <c r="AE8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6" spans="1:31" s="50" customFormat="1" x14ac:dyDescent="0.25">
      <c r="A836" s="50">
        <v>18413</v>
      </c>
      <c r="B836" s="50">
        <f>COUNTIF(Table5[PID],A836)</f>
        <v>1</v>
      </c>
      <c r="C836" s="50" t="str">
        <f>IF(COUNTIF(Table3[[#All],[PID]],A836)&gt;0,"P","B")</f>
        <v>B</v>
      </c>
      <c r="D836" s="59" t="str">
        <f>IF($C836="B",INDEX(Batters[[#All],[POS]],MATCH(Table5[[#This Row],[PID]],Batters[[#All],[PID]],0)),INDEX(Table3[[#All],[POS]],MATCH(Table5[[#This Row],[PID]],Table3[[#All],[PID]],0)))</f>
        <v>C</v>
      </c>
      <c r="E836" s="52" t="str">
        <f>IF($C836="B",INDEX(Batters[[#All],[First]],MATCH(Table5[[#This Row],[PID]],Batters[[#All],[PID]],0)),INDEX(Table3[[#All],[First]],MATCH(Table5[[#This Row],[PID]],Table3[[#All],[PID]],0)))</f>
        <v>Adam</v>
      </c>
      <c r="F836" s="50" t="str">
        <f>IF($C836="B",INDEX(Batters[[#All],[Last]],MATCH(A836,Batters[[#All],[PID]],0)),INDEX(Table3[[#All],[Last]],MATCH(A836,Table3[[#All],[PID]],0)))</f>
        <v>McKelvey</v>
      </c>
      <c r="G836" s="56">
        <f>IF($C836="B",INDEX(Batters[[#All],[Age]],MATCH(Table5[[#This Row],[PID]],Batters[[#All],[PID]],0)),INDEX(Table3[[#All],[Age]],MATCH(Table5[[#This Row],[PID]],Table3[[#All],[PID]],0)))</f>
        <v>18</v>
      </c>
      <c r="H836" s="52" t="str">
        <f>IF($C836="B",INDEX(Batters[[#All],[B]],MATCH(Table5[[#This Row],[PID]],Batters[[#All],[PID]],0)),INDEX(Table3[[#All],[B]],MATCH(Table5[[#This Row],[PID]],Table3[[#All],[PID]],0)))</f>
        <v>R</v>
      </c>
      <c r="I836" s="52" t="str">
        <f>IF($C836="B",INDEX(Batters[[#All],[T]],MATCH(Table5[[#This Row],[PID]],Batters[[#All],[PID]],0)),INDEX(Table3[[#All],[T]],MATCH(Table5[[#This Row],[PID]],Table3[[#All],[PID]],0)))</f>
        <v>R</v>
      </c>
      <c r="J836" s="52" t="str">
        <f>IF($C836="B",INDEX(Batters[[#All],[WE]],MATCH(Table5[[#This Row],[PID]],Batters[[#All],[PID]],0)),INDEX(Table3[[#All],[WE]],MATCH(Table5[[#This Row],[PID]],Table3[[#All],[PID]],0)))</f>
        <v>Normal</v>
      </c>
      <c r="K836" s="52" t="str">
        <f>IF($C836="B",INDEX(Batters[[#All],[INT]],MATCH(Table5[[#This Row],[PID]],Batters[[#All],[PID]],0)),INDEX(Table3[[#All],[INT]],MATCH(Table5[[#This Row],[PID]],Table3[[#All],[PID]],0)))</f>
        <v>Low</v>
      </c>
      <c r="L836" s="60">
        <f>IF($C836="B",INDEX(Batters[[#All],[CON P]],MATCH(Table5[[#This Row],[PID]],Batters[[#All],[PID]],0)),INDEX(Table3[[#All],[STU P]],MATCH(Table5[[#This Row],[PID]],Table3[[#All],[PID]],0)))</f>
        <v>3</v>
      </c>
      <c r="M836" s="56">
        <f>IF($C836="B",INDEX(Batters[[#All],[GAP P]],MATCH(Table5[[#This Row],[PID]],Batters[[#All],[PID]],0)),INDEX(Table3[[#All],[MOV P]],MATCH(Table5[[#This Row],[PID]],Table3[[#All],[PID]],0)))</f>
        <v>4</v>
      </c>
      <c r="N836" s="56">
        <f>IF($C836="B",INDEX(Batters[[#All],[POW P]],MATCH(Table5[[#This Row],[PID]],Batters[[#All],[PID]],0)),INDEX(Table3[[#All],[CON P]],MATCH(Table5[[#This Row],[PID]],Table3[[#All],[PID]],0)))</f>
        <v>3</v>
      </c>
      <c r="O836" s="56">
        <f>IF($C836="B",INDEX(Batters[[#All],[EYE P]],MATCH(Table5[[#This Row],[PID]],Batters[[#All],[PID]],0)),INDEX(Table3[[#All],[VELO]],MATCH(Table5[[#This Row],[PID]],Table3[[#All],[PID]],0)))</f>
        <v>5</v>
      </c>
      <c r="P836" s="56">
        <f>IF($C836="B",INDEX(Batters[[#All],[K P]],MATCH(Table5[[#This Row],[PID]],Batters[[#All],[PID]],0)),INDEX(Table3[[#All],[STM]],MATCH(Table5[[#This Row],[PID]],Table3[[#All],[PID]],0)))</f>
        <v>3</v>
      </c>
      <c r="Q836" s="61">
        <f>IF($C836="B",INDEX(Batters[[#All],[Tot]],MATCH(Table5[[#This Row],[PID]],Batters[[#All],[PID]],0)),INDEX(Table3[[#All],[Tot]],MATCH(Table5[[#This Row],[PID]],Table3[[#All],[PID]],0)))</f>
        <v>42.666250707232635</v>
      </c>
      <c r="R836" s="52">
        <f>IF($C836="B",INDEX(Batters[[#All],[zScore]],MATCH(Table5[[#This Row],[PID]],Batters[[#All],[PID]],0)),INDEX(Table3[[#All],[zScore]],MATCH(Table5[[#This Row],[PID]],Table3[[#All],[PID]],0)))</f>
        <v>-0.32495316163104593</v>
      </c>
      <c r="S836" s="58" t="str">
        <f>IF($C836="B",INDEX(Batters[[#All],[DEM]],MATCH(Table5[[#This Row],[PID]],Batters[[#All],[PID]],0)),INDEX(Table3[[#All],[DEM]],MATCH(Table5[[#This Row],[PID]],Table3[[#All],[PID]],0)))</f>
        <v>$38k</v>
      </c>
      <c r="T836" s="62">
        <f>IF($C836="B",INDEX(Batters[[#All],[Rnk]],MATCH(Table5[[#This Row],[PID]],Batters[[#All],[PID]],0)),INDEX(Table3[[#All],[Rnk]],MATCH(Table5[[#This Row],[PID]],Table3[[#All],[PID]],0)))</f>
        <v>306</v>
      </c>
      <c r="U836" s="68">
        <f>IF($C836="B",VLOOKUP($A836,Bat!$A$4:$BA$1621,47,FALSE),VLOOKUP($A836,Pit!$A$4:$BF$1557,56,FALSE))</f>
        <v>0</v>
      </c>
      <c r="V836" s="50">
        <f>IF($C836="B",VLOOKUP($A836,Bat!$A$4:$BA$1621,48,FALSE),VLOOKUP($A836,Pit!$A$4:$BF$1557,57,FALSE))</f>
        <v>0</v>
      </c>
      <c r="W836" s="50">
        <f>Table5[[#This Row],[posRnk]]+Table5[[#This Row],[zRnk]]+IF($W$3&lt;&gt;Table5[[#This Row],[Type]],50,0)</f>
        <v>1100</v>
      </c>
      <c r="X836" s="51">
        <f>RANK(Table5[[#This Row],[zScore]],Table5[[#All],[zScore]])</f>
        <v>744</v>
      </c>
      <c r="Y836" s="50" t="str">
        <f>IFERROR(INDEX(DraftResults[[#All],[OVR]],MATCH(Table5[[#This Row],[PID]],DraftResults[[#All],[Player ID]],0)),"")</f>
        <v/>
      </c>
      <c r="Z8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6" s="50" t="str">
        <f>IFERROR(INDEX(DraftResults[[#All],[Pick in Round]],MATCH(Table5[[#This Row],[PID]],DraftResults[[#All],[Player ID]],0)),"")</f>
        <v/>
      </c>
      <c r="AB836" s="50" t="str">
        <f>IFERROR(INDEX(DraftResults[[#All],[Team Name]],MATCH(Table5[[#This Row],[PID]],DraftResults[[#All],[Player ID]],0)),"")</f>
        <v/>
      </c>
      <c r="AC836" s="50" t="str">
        <f>IF(Table5[[#This Row],[Ovr]]="","",IF(Table5[[#This Row],[cmbList]]="","",Table5[[#This Row],[cmbList]]-Table5[[#This Row],[Ovr]]))</f>
        <v/>
      </c>
      <c r="AD836" s="54" t="str">
        <f>IF(ISERROR(VLOOKUP($AB836&amp;"-"&amp;$E836&amp;" "&amp;F836,Bonuses!$B$1:$G$1006,4,FALSE)),"",INT(VLOOKUP($AB836&amp;"-"&amp;$E836&amp;" "&amp;$F836,Bonuses!$B$1:$G$1006,4,FALSE)))</f>
        <v/>
      </c>
      <c r="AE8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7" spans="1:31" s="50" customFormat="1" x14ac:dyDescent="0.25">
      <c r="A837" s="50">
        <v>18139</v>
      </c>
      <c r="B837" s="50">
        <f>COUNTIF(Table5[PID],A837)</f>
        <v>1</v>
      </c>
      <c r="C837" s="50" t="str">
        <f>IF(COUNTIF(Table3[[#All],[PID]],A837)&gt;0,"P","B")</f>
        <v>B</v>
      </c>
      <c r="D837" s="59" t="str">
        <f>IF($C837="B",INDEX(Batters[[#All],[POS]],MATCH(Table5[[#This Row],[PID]],Batters[[#All],[PID]],0)),INDEX(Table3[[#All],[POS]],MATCH(Table5[[#This Row],[PID]],Table3[[#All],[PID]],0)))</f>
        <v>2B</v>
      </c>
      <c r="E837" s="52" t="str">
        <f>IF($C837="B",INDEX(Batters[[#All],[First]],MATCH(Table5[[#This Row],[PID]],Batters[[#All],[PID]],0)),INDEX(Table3[[#All],[First]],MATCH(Table5[[#This Row],[PID]],Table3[[#All],[PID]],0)))</f>
        <v>Matt</v>
      </c>
      <c r="F837" s="50" t="str">
        <f>IF($C837="B",INDEX(Batters[[#All],[Last]],MATCH(A837,Batters[[#All],[PID]],0)),INDEX(Table3[[#All],[Last]],MATCH(A837,Table3[[#All],[PID]],0)))</f>
        <v>Simpson</v>
      </c>
      <c r="G837" s="56">
        <f>IF($C837="B",INDEX(Batters[[#All],[Age]],MATCH(Table5[[#This Row],[PID]],Batters[[#All],[PID]],0)),INDEX(Table3[[#All],[Age]],MATCH(Table5[[#This Row],[PID]],Table3[[#All],[PID]],0)))</f>
        <v>21</v>
      </c>
      <c r="H837" s="52" t="str">
        <f>IF($C837="B",INDEX(Batters[[#All],[B]],MATCH(Table5[[#This Row],[PID]],Batters[[#All],[PID]],0)),INDEX(Table3[[#All],[B]],MATCH(Table5[[#This Row],[PID]],Table3[[#All],[PID]],0)))</f>
        <v>R</v>
      </c>
      <c r="I837" s="52" t="str">
        <f>IF($C837="B",INDEX(Batters[[#All],[T]],MATCH(Table5[[#This Row],[PID]],Batters[[#All],[PID]],0)),INDEX(Table3[[#All],[T]],MATCH(Table5[[#This Row],[PID]],Table3[[#All],[PID]],0)))</f>
        <v>R</v>
      </c>
      <c r="J837" s="52" t="str">
        <f>IF($C837="B",INDEX(Batters[[#All],[WE]],MATCH(Table5[[#This Row],[PID]],Batters[[#All],[PID]],0)),INDEX(Table3[[#All],[WE]],MATCH(Table5[[#This Row],[PID]],Table3[[#All],[PID]],0)))</f>
        <v>Low</v>
      </c>
      <c r="K837" s="52" t="str">
        <f>IF($C837="B",INDEX(Batters[[#All],[INT]],MATCH(Table5[[#This Row],[PID]],Batters[[#All],[PID]],0)),INDEX(Table3[[#All],[INT]],MATCH(Table5[[#This Row],[PID]],Table3[[#All],[PID]],0)))</f>
        <v>High</v>
      </c>
      <c r="L837" s="60">
        <f>IF($C837="B",INDEX(Batters[[#All],[CON P]],MATCH(Table5[[#This Row],[PID]],Batters[[#All],[PID]],0)),INDEX(Table3[[#All],[STU P]],MATCH(Table5[[#This Row],[PID]],Table3[[#All],[PID]],0)))</f>
        <v>4</v>
      </c>
      <c r="M837" s="56">
        <f>IF($C837="B",INDEX(Batters[[#All],[GAP P]],MATCH(Table5[[#This Row],[PID]],Batters[[#All],[PID]],0)),INDEX(Table3[[#All],[MOV P]],MATCH(Table5[[#This Row],[PID]],Table3[[#All],[PID]],0)))</f>
        <v>5</v>
      </c>
      <c r="N837" s="56">
        <f>IF($C837="B",INDEX(Batters[[#All],[POW P]],MATCH(Table5[[#This Row],[PID]],Batters[[#All],[PID]],0)),INDEX(Table3[[#All],[CON P]],MATCH(Table5[[#This Row],[PID]],Table3[[#All],[PID]],0)))</f>
        <v>4</v>
      </c>
      <c r="O837" s="56">
        <f>IF($C837="B",INDEX(Batters[[#All],[EYE P]],MATCH(Table5[[#This Row],[PID]],Batters[[#All],[PID]],0)),INDEX(Table3[[#All],[VELO]],MATCH(Table5[[#This Row],[PID]],Table3[[#All],[PID]],0)))</f>
        <v>5</v>
      </c>
      <c r="P837" s="56">
        <f>IF($C837="B",INDEX(Batters[[#All],[K P]],MATCH(Table5[[#This Row],[PID]],Batters[[#All],[PID]],0)),INDEX(Table3[[#All],[STM]],MATCH(Table5[[#This Row],[PID]],Table3[[#All],[PID]],0)))</f>
        <v>4</v>
      </c>
      <c r="Q837" s="61">
        <f>IF($C837="B",INDEX(Batters[[#All],[Tot]],MATCH(Table5[[#This Row],[PID]],Batters[[#All],[PID]],0)),INDEX(Table3[[#All],[Tot]],MATCH(Table5[[#This Row],[PID]],Table3[[#All],[PID]],0)))</f>
        <v>42.656211979166486</v>
      </c>
      <c r="R837" s="52">
        <f>IF($C837="B",INDEX(Batters[[#All],[zScore]],MATCH(Table5[[#This Row],[PID]],Batters[[#All],[PID]],0)),INDEX(Table3[[#All],[zScore]],MATCH(Table5[[#This Row],[PID]],Table3[[#All],[PID]],0)))</f>
        <v>-0.3271788154988155</v>
      </c>
      <c r="S837" s="58" t="str">
        <f>IF($C837="B",INDEX(Batters[[#All],[DEM]],MATCH(Table5[[#This Row],[PID]],Batters[[#All],[PID]],0)),INDEX(Table3[[#All],[DEM]],MATCH(Table5[[#This Row],[PID]],Table3[[#All],[PID]],0)))</f>
        <v>-</v>
      </c>
      <c r="T837" s="62">
        <f>IF($C837="B",INDEX(Batters[[#All],[Rnk]],MATCH(Table5[[#This Row],[PID]],Batters[[#All],[PID]],0)),INDEX(Table3[[#All],[Rnk]],MATCH(Table5[[#This Row],[PID]],Table3[[#All],[PID]],0)))</f>
        <v>307</v>
      </c>
      <c r="U837" s="68">
        <f>IF($C837="B",VLOOKUP($A837,Bat!$A$4:$BA$1621,47,FALSE),VLOOKUP($A837,Pit!$A$4:$BF$1557,56,FALSE))</f>
        <v>0</v>
      </c>
      <c r="V837" s="50">
        <f>IF($C837="B",VLOOKUP($A837,Bat!$A$4:$BA$1621,48,FALSE),VLOOKUP($A837,Pit!$A$4:$BF$1557,57,FALSE))</f>
        <v>0</v>
      </c>
      <c r="W837" s="50">
        <f>Table5[[#This Row],[posRnk]]+Table5[[#This Row],[zRnk]]+IF($W$3&lt;&gt;Table5[[#This Row],[Type]],50,0)</f>
        <v>1102</v>
      </c>
      <c r="X837" s="51">
        <f>RANK(Table5[[#This Row],[zScore]],Table5[[#All],[zScore]])</f>
        <v>745</v>
      </c>
      <c r="Y837" s="50" t="str">
        <f>IFERROR(INDEX(DraftResults[[#All],[OVR]],MATCH(Table5[[#This Row],[PID]],DraftResults[[#All],[Player ID]],0)),"")</f>
        <v/>
      </c>
      <c r="Z8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7" s="50" t="str">
        <f>IFERROR(INDEX(DraftResults[[#All],[Pick in Round]],MATCH(Table5[[#This Row],[PID]],DraftResults[[#All],[Player ID]],0)),"")</f>
        <v/>
      </c>
      <c r="AB837" s="50" t="str">
        <f>IFERROR(INDEX(DraftResults[[#All],[Team Name]],MATCH(Table5[[#This Row],[PID]],DraftResults[[#All],[Player ID]],0)),"")</f>
        <v/>
      </c>
      <c r="AC837" s="50" t="str">
        <f>IF(Table5[[#This Row],[Ovr]]="","",IF(Table5[[#This Row],[cmbList]]="","",Table5[[#This Row],[cmbList]]-Table5[[#This Row],[Ovr]]))</f>
        <v/>
      </c>
      <c r="AD837" s="54" t="str">
        <f>IF(ISERROR(VLOOKUP($AB837&amp;"-"&amp;$E837&amp;" "&amp;F837,Bonuses!$B$1:$G$1006,4,FALSE)),"",INT(VLOOKUP($AB837&amp;"-"&amp;$E837&amp;" "&amp;$F837,Bonuses!$B$1:$G$1006,4,FALSE)))</f>
        <v/>
      </c>
      <c r="AE8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8" spans="1:31" s="50" customFormat="1" x14ac:dyDescent="0.25">
      <c r="A838" s="50">
        <v>20756</v>
      </c>
      <c r="B838" s="55">
        <f>COUNTIF(Table5[PID],A838)</f>
        <v>1</v>
      </c>
      <c r="C838" s="55" t="str">
        <f>IF(COUNTIF(Table3[[#All],[PID]],A838)&gt;0,"P","B")</f>
        <v>P</v>
      </c>
      <c r="D838" s="59" t="str">
        <f>IF($C838="B",INDEX(Batters[[#All],[POS]],MATCH(Table5[[#This Row],[PID]],Batters[[#All],[PID]],0)),INDEX(Table3[[#All],[POS]],MATCH(Table5[[#This Row],[PID]],Table3[[#All],[PID]],0)))</f>
        <v>RP</v>
      </c>
      <c r="E838" s="52" t="str">
        <f>IF($C838="B",INDEX(Batters[[#All],[First]],MATCH(Table5[[#This Row],[PID]],Batters[[#All],[PID]],0)),INDEX(Table3[[#All],[First]],MATCH(Table5[[#This Row],[PID]],Table3[[#All],[PID]],0)))</f>
        <v>Tim</v>
      </c>
      <c r="F838" s="50" t="str">
        <f>IF($C838="B",INDEX(Batters[[#All],[Last]],MATCH(A838,Batters[[#All],[PID]],0)),INDEX(Table3[[#All],[Last]],MATCH(A838,Table3[[#All],[PID]],0)))</f>
        <v>Russell</v>
      </c>
      <c r="G838" s="56">
        <f>IF($C838="B",INDEX(Batters[[#All],[Age]],MATCH(Table5[[#This Row],[PID]],Batters[[#All],[PID]],0)),INDEX(Table3[[#All],[Age]],MATCH(Table5[[#This Row],[PID]],Table3[[#All],[PID]],0)))</f>
        <v>17</v>
      </c>
      <c r="H838" s="52" t="str">
        <f>IF($C838="B",INDEX(Batters[[#All],[B]],MATCH(Table5[[#This Row],[PID]],Batters[[#All],[PID]],0)),INDEX(Table3[[#All],[B]],MATCH(Table5[[#This Row],[PID]],Table3[[#All],[PID]],0)))</f>
        <v>R</v>
      </c>
      <c r="I838" s="52" t="str">
        <f>IF($C838="B",INDEX(Batters[[#All],[T]],MATCH(Table5[[#This Row],[PID]],Batters[[#All],[PID]],0)),INDEX(Table3[[#All],[T]],MATCH(Table5[[#This Row],[PID]],Table3[[#All],[PID]],0)))</f>
        <v>R</v>
      </c>
      <c r="J838" s="52" t="str">
        <f>IF($C838="B",INDEX(Batters[[#All],[WE]],MATCH(Table5[[#This Row],[PID]],Batters[[#All],[PID]],0)),INDEX(Table3[[#All],[WE]],MATCH(Table5[[#This Row],[PID]],Table3[[#All],[PID]],0)))</f>
        <v>Normal</v>
      </c>
      <c r="K838" s="52" t="str">
        <f>IF($C838="B",INDEX(Batters[[#All],[INT]],MATCH(Table5[[#This Row],[PID]],Batters[[#All],[PID]],0)),INDEX(Table3[[#All],[INT]],MATCH(Table5[[#This Row],[PID]],Table3[[#All],[PID]],0)))</f>
        <v>Normal</v>
      </c>
      <c r="L838" s="60">
        <f>IF($C838="B",INDEX(Batters[[#All],[CON P]],MATCH(Table5[[#This Row],[PID]],Batters[[#All],[PID]],0)),INDEX(Table3[[#All],[STU P]],MATCH(Table5[[#This Row],[PID]],Table3[[#All],[PID]],0)))</f>
        <v>3</v>
      </c>
      <c r="M838" s="56">
        <f>IF($C838="B",INDEX(Batters[[#All],[GAP P]],MATCH(Table5[[#This Row],[PID]],Batters[[#All],[PID]],0)),INDEX(Table3[[#All],[MOV P]],MATCH(Table5[[#This Row],[PID]],Table3[[#All],[PID]],0)))</f>
        <v>2</v>
      </c>
      <c r="N838" s="56">
        <f>IF($C838="B",INDEX(Batters[[#All],[POW P]],MATCH(Table5[[#This Row],[PID]],Batters[[#All],[PID]],0)),INDEX(Table3[[#All],[CON P]],MATCH(Table5[[#This Row],[PID]],Table3[[#All],[PID]],0)))</f>
        <v>3</v>
      </c>
      <c r="O838" s="56" t="str">
        <f>IF($C838="B",INDEX(Batters[[#All],[EYE P]],MATCH(Table5[[#This Row],[PID]],Batters[[#All],[PID]],0)),INDEX(Table3[[#All],[VELO]],MATCH(Table5[[#This Row],[PID]],Table3[[#All],[PID]],0)))</f>
        <v>85-87 Mph</v>
      </c>
      <c r="P838" s="56">
        <f>IF($C838="B",INDEX(Batters[[#All],[K P]],MATCH(Table5[[#This Row],[PID]],Batters[[#All],[PID]],0)),INDEX(Table3[[#All],[STM]],MATCH(Table5[[#This Row],[PID]],Table3[[#All],[PID]],0)))</f>
        <v>6</v>
      </c>
      <c r="Q838" s="61">
        <f>IF($C838="B",INDEX(Batters[[#All],[Tot]],MATCH(Table5[[#This Row],[PID]],Batters[[#All],[PID]],0)),INDEX(Table3[[#All],[Tot]],MATCH(Table5[[#This Row],[PID]],Table3[[#All],[PID]],0)))</f>
        <v>30.944586611676119</v>
      </c>
      <c r="R838" s="52">
        <f>IF($C838="B",INDEX(Batters[[#All],[zScore]],MATCH(Table5[[#This Row],[PID]],Batters[[#All],[PID]],0)),INDEX(Table3[[#All],[zScore]],MATCH(Table5[[#This Row],[PID]],Table3[[#All],[PID]],0)))</f>
        <v>-0.32771522299443645</v>
      </c>
      <c r="S838" s="58" t="str">
        <f>IF($C838="B",INDEX(Batters[[#All],[DEM]],MATCH(Table5[[#This Row],[PID]],Batters[[#All],[PID]],0)),INDEX(Table3[[#All],[DEM]],MATCH(Table5[[#This Row],[PID]],Table3[[#All],[PID]],0)))</f>
        <v>$65k</v>
      </c>
      <c r="T838" s="62">
        <f>IF($C838="B",INDEX(Batters[[#All],[Rnk]],MATCH(Table5[[#This Row],[PID]],Batters[[#All],[PID]],0)),INDEX(Table3[[#All],[Rnk]],MATCH(Table5[[#This Row],[PID]],Table3[[#All],[PID]],0)))</f>
        <v>439</v>
      </c>
      <c r="U838" s="68">
        <f>IF($C838="B",VLOOKUP($A838,Bat!$A$4:$BA$1621,47,FALSE),VLOOKUP($A838,Pit!$A$4:$BF$1557,56,FALSE))</f>
        <v>0</v>
      </c>
      <c r="V838" s="50">
        <f>IF($C838="B",VLOOKUP($A838,Bat!$A$4:$BA$1621,48,FALSE),VLOOKUP($A838,Pit!$A$4:$BF$1557,57,FALSE))</f>
        <v>0</v>
      </c>
      <c r="W838" s="50">
        <f>Table5[[#This Row],[posRnk]]+Table5[[#This Row],[zRnk]]+IF($W$3&lt;&gt;Table5[[#This Row],[Type]],50,0)</f>
        <v>1235</v>
      </c>
      <c r="X838" s="51">
        <f>RANK(Table5[[#This Row],[zScore]],Table5[[#All],[zScore]])</f>
        <v>746</v>
      </c>
      <c r="Y838" s="50" t="str">
        <f>IFERROR(INDEX(DraftResults[[#All],[OVR]],MATCH(Table5[[#This Row],[PID]],DraftResults[[#All],[Player ID]],0)),"")</f>
        <v/>
      </c>
      <c r="Z8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8" s="50" t="str">
        <f>IFERROR(INDEX(DraftResults[[#All],[Pick in Round]],MATCH(Table5[[#This Row],[PID]],DraftResults[[#All],[Player ID]],0)),"")</f>
        <v/>
      </c>
      <c r="AB838" s="50" t="str">
        <f>IFERROR(INDEX(DraftResults[[#All],[Team Name]],MATCH(Table5[[#This Row],[PID]],DraftResults[[#All],[Player ID]],0)),"")</f>
        <v/>
      </c>
      <c r="AC838" s="50" t="str">
        <f>IF(Table5[[#This Row],[Ovr]]="","",IF(Table5[[#This Row],[cmbList]]="","",Table5[[#This Row],[cmbList]]-Table5[[#This Row],[Ovr]]))</f>
        <v/>
      </c>
      <c r="AD838" s="54" t="str">
        <f>IF(ISERROR(VLOOKUP($AB838&amp;"-"&amp;$E838&amp;" "&amp;F838,Bonuses!$B$1:$G$1006,4,FALSE)),"",INT(VLOOKUP($AB838&amp;"-"&amp;$E838&amp;" "&amp;$F838,Bonuses!$B$1:$G$1006,4,FALSE)))</f>
        <v/>
      </c>
      <c r="AE8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39" spans="1:31" s="50" customFormat="1" x14ac:dyDescent="0.25">
      <c r="A839" s="50">
        <v>20362</v>
      </c>
      <c r="B839" s="50">
        <f>COUNTIF(Table5[PID],A839)</f>
        <v>1</v>
      </c>
      <c r="C839" s="50" t="str">
        <f>IF(COUNTIF(Table3[[#All],[PID]],A839)&gt;0,"P","B")</f>
        <v>B</v>
      </c>
      <c r="D839" s="59" t="str">
        <f>IF($C839="B",INDEX(Batters[[#All],[POS]],MATCH(Table5[[#This Row],[PID]],Batters[[#All],[PID]],0)),INDEX(Table3[[#All],[POS]],MATCH(Table5[[#This Row],[PID]],Table3[[#All],[PID]],0)))</f>
        <v>C</v>
      </c>
      <c r="E839" s="52" t="str">
        <f>IF($C839="B",INDEX(Batters[[#All],[First]],MATCH(Table5[[#This Row],[PID]],Batters[[#All],[PID]],0)),INDEX(Table3[[#All],[First]],MATCH(Table5[[#This Row],[PID]],Table3[[#All],[PID]],0)))</f>
        <v>Wilber</v>
      </c>
      <c r="F839" s="50" t="str">
        <f>IF($C839="B",INDEX(Batters[[#All],[Last]],MATCH(A839,Batters[[#All],[PID]],0)),INDEX(Table3[[#All],[Last]],MATCH(A839,Table3[[#All],[PID]],0)))</f>
        <v>Perkins</v>
      </c>
      <c r="G839" s="56">
        <f>IF($C839="B",INDEX(Batters[[#All],[Age]],MATCH(Table5[[#This Row],[PID]],Batters[[#All],[PID]],0)),INDEX(Table3[[#All],[Age]],MATCH(Table5[[#This Row],[PID]],Table3[[#All],[PID]],0)))</f>
        <v>17</v>
      </c>
      <c r="H839" s="52" t="str">
        <f>IF($C839="B",INDEX(Batters[[#All],[B]],MATCH(Table5[[#This Row],[PID]],Batters[[#All],[PID]],0)),INDEX(Table3[[#All],[B]],MATCH(Table5[[#This Row],[PID]],Table3[[#All],[PID]],0)))</f>
        <v>R</v>
      </c>
      <c r="I839" s="52" t="str">
        <f>IF($C839="B",INDEX(Batters[[#All],[T]],MATCH(Table5[[#This Row],[PID]],Batters[[#All],[PID]],0)),INDEX(Table3[[#All],[T]],MATCH(Table5[[#This Row],[PID]],Table3[[#All],[PID]],0)))</f>
        <v>R</v>
      </c>
      <c r="J839" s="52" t="str">
        <f>IF($C839="B",INDEX(Batters[[#All],[WE]],MATCH(Table5[[#This Row],[PID]],Batters[[#All],[PID]],0)),INDEX(Table3[[#All],[WE]],MATCH(Table5[[#This Row],[PID]],Table3[[#All],[PID]],0)))</f>
        <v>Low</v>
      </c>
      <c r="K839" s="52" t="str">
        <f>IF($C839="B",INDEX(Batters[[#All],[INT]],MATCH(Table5[[#This Row],[PID]],Batters[[#All],[PID]],0)),INDEX(Table3[[#All],[INT]],MATCH(Table5[[#This Row],[PID]],Table3[[#All],[PID]],0)))</f>
        <v>Low</v>
      </c>
      <c r="L839" s="60">
        <f>IF($C839="B",INDEX(Batters[[#All],[CON P]],MATCH(Table5[[#This Row],[PID]],Batters[[#All],[PID]],0)),INDEX(Table3[[#All],[STU P]],MATCH(Table5[[#This Row],[PID]],Table3[[#All],[PID]],0)))</f>
        <v>3</v>
      </c>
      <c r="M839" s="56">
        <f>IF($C839="B",INDEX(Batters[[#All],[GAP P]],MATCH(Table5[[#This Row],[PID]],Batters[[#All],[PID]],0)),INDEX(Table3[[#All],[MOV P]],MATCH(Table5[[#This Row],[PID]],Table3[[#All],[PID]],0)))</f>
        <v>4</v>
      </c>
      <c r="N839" s="56">
        <f>IF($C839="B",INDEX(Batters[[#All],[POW P]],MATCH(Table5[[#This Row],[PID]],Batters[[#All],[PID]],0)),INDEX(Table3[[#All],[CON P]],MATCH(Table5[[#This Row],[PID]],Table3[[#All],[PID]],0)))</f>
        <v>4</v>
      </c>
      <c r="O839" s="56">
        <f>IF($C839="B",INDEX(Batters[[#All],[EYE P]],MATCH(Table5[[#This Row],[PID]],Batters[[#All],[PID]],0)),INDEX(Table3[[#All],[VELO]],MATCH(Table5[[#This Row],[PID]],Table3[[#All],[PID]],0)))</f>
        <v>6</v>
      </c>
      <c r="P839" s="56">
        <f>IF($C839="B",INDEX(Batters[[#All],[K P]],MATCH(Table5[[#This Row],[PID]],Batters[[#All],[PID]],0)),INDEX(Table3[[#All],[STM]],MATCH(Table5[[#This Row],[PID]],Table3[[#All],[PID]],0)))</f>
        <v>2</v>
      </c>
      <c r="Q839" s="61">
        <f>IF($C839="B",INDEX(Batters[[#All],[Tot]],MATCH(Table5[[#This Row],[PID]],Batters[[#All],[PID]],0)),INDEX(Table3[[#All],[Tot]],MATCH(Table5[[#This Row],[PID]],Table3[[#All],[PID]],0)))</f>
        <v>42.643278112830387</v>
      </c>
      <c r="R839" s="52">
        <f>IF($C839="B",INDEX(Batters[[#All],[zScore]],MATCH(Table5[[#This Row],[PID]],Batters[[#All],[PID]],0)),INDEX(Table3[[#All],[zScore]],MATCH(Table5[[#This Row],[PID]],Table3[[#All],[PID]],0)))</f>
        <v>-0.33004634109035125</v>
      </c>
      <c r="S839" s="58" t="str">
        <f>IF($C839="B",INDEX(Batters[[#All],[DEM]],MATCH(Table5[[#This Row],[PID]],Batters[[#All],[PID]],0)),INDEX(Table3[[#All],[DEM]],MATCH(Table5[[#This Row],[PID]],Table3[[#All],[PID]],0)))</f>
        <v>$85k</v>
      </c>
      <c r="T839" s="62">
        <f>IF($C839="B",INDEX(Batters[[#All],[Rnk]],MATCH(Table5[[#This Row],[PID]],Batters[[#All],[PID]],0)),INDEX(Table3[[#All],[Rnk]],MATCH(Table5[[#This Row],[PID]],Table3[[#All],[PID]],0)))</f>
        <v>309</v>
      </c>
      <c r="U839" s="68">
        <f>IF($C839="B",VLOOKUP($A839,Bat!$A$4:$BA$1621,47,FALSE),VLOOKUP($A839,Pit!$A$4:$BF$1557,56,FALSE))</f>
        <v>0</v>
      </c>
      <c r="V839" s="50">
        <f>IF($C839="B",VLOOKUP($A839,Bat!$A$4:$BA$1621,48,FALSE),VLOOKUP($A839,Pit!$A$4:$BF$1557,57,FALSE))</f>
        <v>0</v>
      </c>
      <c r="W839" s="50">
        <f>Table5[[#This Row],[posRnk]]+Table5[[#This Row],[zRnk]]+IF($W$3&lt;&gt;Table5[[#This Row],[Type]],50,0)</f>
        <v>1108</v>
      </c>
      <c r="X839" s="51">
        <f>RANK(Table5[[#This Row],[zScore]],Table5[[#All],[zScore]])</f>
        <v>749</v>
      </c>
      <c r="Y839" s="50" t="str">
        <f>IFERROR(INDEX(DraftResults[[#All],[OVR]],MATCH(Table5[[#This Row],[PID]],DraftResults[[#All],[Player ID]],0)),"")</f>
        <v/>
      </c>
      <c r="Z8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39" s="50" t="str">
        <f>IFERROR(INDEX(DraftResults[[#All],[Pick in Round]],MATCH(Table5[[#This Row],[PID]],DraftResults[[#All],[Player ID]],0)),"")</f>
        <v/>
      </c>
      <c r="AB839" s="50" t="str">
        <f>IFERROR(INDEX(DraftResults[[#All],[Team Name]],MATCH(Table5[[#This Row],[PID]],DraftResults[[#All],[Player ID]],0)),"")</f>
        <v/>
      </c>
      <c r="AC839" s="50" t="str">
        <f>IF(Table5[[#This Row],[Ovr]]="","",IF(Table5[[#This Row],[cmbList]]="","",Table5[[#This Row],[cmbList]]-Table5[[#This Row],[Ovr]]))</f>
        <v/>
      </c>
      <c r="AD839" s="54" t="str">
        <f>IF(ISERROR(VLOOKUP($AB839&amp;"-"&amp;$E839&amp;" "&amp;F839,Bonuses!$B$1:$G$1006,4,FALSE)),"",INT(VLOOKUP($AB839&amp;"-"&amp;$E839&amp;" "&amp;$F839,Bonuses!$B$1:$G$1006,4,FALSE)))</f>
        <v/>
      </c>
      <c r="AE8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0" spans="1:31" s="50" customFormat="1" x14ac:dyDescent="0.25">
      <c r="A840" s="68">
        <v>18007</v>
      </c>
      <c r="B840" s="69">
        <f>COUNTIF(Table5[PID],A840)</f>
        <v>1</v>
      </c>
      <c r="C840" s="69" t="str">
        <f>IF(COUNTIF(Table3[[#All],[PID]],A840)&gt;0,"P","B")</f>
        <v>P</v>
      </c>
      <c r="D840" s="59" t="str">
        <f>IF($C840="B",INDEX(Batters[[#All],[POS]],MATCH(Table5[[#This Row],[PID]],Batters[[#All],[PID]],0)),INDEX(Table3[[#All],[POS]],MATCH(Table5[[#This Row],[PID]],Table3[[#All],[PID]],0)))</f>
        <v>SP</v>
      </c>
      <c r="E840" s="52" t="str">
        <f>IF($C840="B",INDEX(Batters[[#All],[First]],MATCH(Table5[[#This Row],[PID]],Batters[[#All],[PID]],0)),INDEX(Table3[[#All],[First]],MATCH(Table5[[#This Row],[PID]],Table3[[#All],[PID]],0)))</f>
        <v>Bud</v>
      </c>
      <c r="F840" s="55" t="str">
        <f>IF($C840="B",INDEX(Batters[[#All],[Last]],MATCH(A840,Batters[[#All],[PID]],0)),INDEX(Table3[[#All],[Last]],MATCH(A840,Table3[[#All],[PID]],0)))</f>
        <v>De Jesús</v>
      </c>
      <c r="G840" s="56">
        <f>IF($C840="B",INDEX(Batters[[#All],[Age]],MATCH(Table5[[#This Row],[PID]],Batters[[#All],[PID]],0)),INDEX(Table3[[#All],[Age]],MATCH(Table5[[#This Row],[PID]],Table3[[#All],[PID]],0)))</f>
        <v>21</v>
      </c>
      <c r="H840" s="52" t="str">
        <f>IF($C840="B",INDEX(Batters[[#All],[B]],MATCH(Table5[[#This Row],[PID]],Batters[[#All],[PID]],0)),INDEX(Table3[[#All],[B]],MATCH(Table5[[#This Row],[PID]],Table3[[#All],[PID]],0)))</f>
        <v>R</v>
      </c>
      <c r="I840" s="52" t="str">
        <f>IF($C840="B",INDEX(Batters[[#All],[T]],MATCH(Table5[[#This Row],[PID]],Batters[[#All],[PID]],0)),INDEX(Table3[[#All],[T]],MATCH(Table5[[#This Row],[PID]],Table3[[#All],[PID]],0)))</f>
        <v>R</v>
      </c>
      <c r="J840" s="71" t="str">
        <f>IF($C840="B",INDEX(Batters[[#All],[WE]],MATCH(Table5[[#This Row],[PID]],Batters[[#All],[PID]],0)),INDEX(Table3[[#All],[WE]],MATCH(Table5[[#This Row],[PID]],Table3[[#All],[PID]],0)))</f>
        <v>Low</v>
      </c>
      <c r="K840" s="52" t="str">
        <f>IF($C840="B",INDEX(Batters[[#All],[INT]],MATCH(Table5[[#This Row],[PID]],Batters[[#All],[PID]],0)),INDEX(Table3[[#All],[INT]],MATCH(Table5[[#This Row],[PID]],Table3[[#All],[PID]],0)))</f>
        <v>Normal</v>
      </c>
      <c r="L840" s="60">
        <f>IF($C840="B",INDEX(Batters[[#All],[CON P]],MATCH(Table5[[#This Row],[PID]],Batters[[#All],[PID]],0)),INDEX(Table3[[#All],[STU P]],MATCH(Table5[[#This Row],[PID]],Table3[[#All],[PID]],0)))</f>
        <v>5</v>
      </c>
      <c r="M840" s="72">
        <f>IF($C840="B",INDEX(Batters[[#All],[GAP P]],MATCH(Table5[[#This Row],[PID]],Batters[[#All],[PID]],0)),INDEX(Table3[[#All],[MOV P]],MATCH(Table5[[#This Row],[PID]],Table3[[#All],[PID]],0)))</f>
        <v>1</v>
      </c>
      <c r="N840" s="72">
        <f>IF($C840="B",INDEX(Batters[[#All],[POW P]],MATCH(Table5[[#This Row],[PID]],Batters[[#All],[PID]],0)),INDEX(Table3[[#All],[CON P]],MATCH(Table5[[#This Row],[PID]],Table3[[#All],[PID]],0)))</f>
        <v>3</v>
      </c>
      <c r="O840" s="72" t="str">
        <f>IF($C840="B",INDEX(Batters[[#All],[EYE P]],MATCH(Table5[[#This Row],[PID]],Batters[[#All],[PID]],0)),INDEX(Table3[[#All],[VELO]],MATCH(Table5[[#This Row],[PID]],Table3[[#All],[PID]],0)))</f>
        <v>90-92 Mph</v>
      </c>
      <c r="P840" s="56">
        <f>IF($C840="B",INDEX(Batters[[#All],[K P]],MATCH(Table5[[#This Row],[PID]],Batters[[#All],[PID]],0)),INDEX(Table3[[#All],[STM]],MATCH(Table5[[#This Row],[PID]],Table3[[#All],[PID]],0)))</f>
        <v>8</v>
      </c>
      <c r="Q840" s="61">
        <f>IF($C840="B",INDEX(Batters[[#All],[Tot]],MATCH(Table5[[#This Row],[PID]],Batters[[#All],[PID]],0)),INDEX(Table3[[#All],[Tot]],MATCH(Table5[[#This Row],[PID]],Table3[[#All],[PID]],0)))</f>
        <v>30.895444388806901</v>
      </c>
      <c r="R840" s="52">
        <f>IF($C840="B",INDEX(Batters[[#All],[zScore]],MATCH(Table5[[#This Row],[PID]],Batters[[#All],[PID]],0)),INDEX(Table3[[#All],[zScore]],MATCH(Table5[[#This Row],[PID]],Table3[[#All],[PID]],0)))</f>
        <v>-0.33098457998726022</v>
      </c>
      <c r="S840" s="78" t="str">
        <f>IF($C840="B",INDEX(Batters[[#All],[DEM]],MATCH(Table5[[#This Row],[PID]],Batters[[#All],[PID]],0)),INDEX(Table3[[#All],[DEM]],MATCH(Table5[[#This Row],[PID]],Table3[[#All],[PID]],0)))</f>
        <v>-</v>
      </c>
      <c r="T840" s="75">
        <f>IF($C840="B",INDEX(Batters[[#All],[Rnk]],MATCH(Table5[[#This Row],[PID]],Batters[[#All],[PID]],0)),INDEX(Table3[[#All],[Rnk]],MATCH(Table5[[#This Row],[PID]],Table3[[#All],[PID]],0)))</f>
        <v>441</v>
      </c>
      <c r="U840" s="68">
        <f>IF($C840="B",VLOOKUP($A840,Bat!$A$4:$BA$1621,47,FALSE),VLOOKUP($A840,Pit!$A$4:$BF$1557,56,FALSE))</f>
        <v>0</v>
      </c>
      <c r="V840" s="50">
        <f>IF($C840="B",VLOOKUP($A840,Bat!$A$4:$BA$1621,48,FALSE),VLOOKUP($A840,Pit!$A$4:$BF$1557,57,FALSE))</f>
        <v>0</v>
      </c>
      <c r="W840" s="69">
        <f>Table5[[#This Row],[posRnk]]+Table5[[#This Row],[zRnk]]+IF($W$3&lt;&gt;Table5[[#This Row],[Type]],50,0)</f>
        <v>1241</v>
      </c>
      <c r="X840" s="73">
        <f>RANK(Table5[[#This Row],[zScore]],Table5[[#All],[zScore]])</f>
        <v>750</v>
      </c>
      <c r="Y840" s="69" t="str">
        <f>IFERROR(INDEX(DraftResults[[#All],[OVR]],MATCH(Table5[[#This Row],[PID]],DraftResults[[#All],[Player ID]],0)),"")</f>
        <v/>
      </c>
      <c r="Z84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0" s="69" t="str">
        <f>IFERROR(INDEX(DraftResults[[#All],[Pick in Round]],MATCH(Table5[[#This Row],[PID]],DraftResults[[#All],[Player ID]],0)),"")</f>
        <v/>
      </c>
      <c r="AB840" s="69" t="str">
        <f>IFERROR(INDEX(DraftResults[[#All],[Team Name]],MATCH(Table5[[#This Row],[PID]],DraftResults[[#All],[Player ID]],0)),"")</f>
        <v/>
      </c>
      <c r="AC840" s="69" t="str">
        <f>IF(Table5[[#This Row],[Ovr]]="","",IF(Table5[[#This Row],[cmbList]]="","",Table5[[#This Row],[cmbList]]-Table5[[#This Row],[Ovr]]))</f>
        <v/>
      </c>
      <c r="AD840" s="77" t="str">
        <f>IF(ISERROR(VLOOKUP($AB840&amp;"-"&amp;$E840&amp;" "&amp;F840,Bonuses!$B$1:$G$1006,4,FALSE)),"",INT(VLOOKUP($AB840&amp;"-"&amp;$E840&amp;" "&amp;$F840,Bonuses!$B$1:$G$1006,4,FALSE)))</f>
        <v/>
      </c>
      <c r="AE84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1" spans="1:31" s="50" customFormat="1" x14ac:dyDescent="0.25">
      <c r="A841" s="50">
        <v>20816</v>
      </c>
      <c r="B841" s="50">
        <f>COUNTIF(Table5[PID],A841)</f>
        <v>1</v>
      </c>
      <c r="C841" s="50" t="str">
        <f>IF(COUNTIF(Table3[[#All],[PID]],A841)&gt;0,"P","B")</f>
        <v>B</v>
      </c>
      <c r="D841" s="59" t="str">
        <f>IF($C841="B",INDEX(Batters[[#All],[POS]],MATCH(Table5[[#This Row],[PID]],Batters[[#All],[PID]],0)),INDEX(Table3[[#All],[POS]],MATCH(Table5[[#This Row],[PID]],Table3[[#All],[PID]],0)))</f>
        <v>2B</v>
      </c>
      <c r="E841" s="52" t="str">
        <f>IF($C841="B",INDEX(Batters[[#All],[First]],MATCH(Table5[[#This Row],[PID]],Batters[[#All],[PID]],0)),INDEX(Table3[[#All],[First]],MATCH(Table5[[#This Row],[PID]],Table3[[#All],[PID]],0)))</f>
        <v>Ed</v>
      </c>
      <c r="F841" s="50" t="str">
        <f>IF($C841="B",INDEX(Batters[[#All],[Last]],MATCH(A841,Batters[[#All],[PID]],0)),INDEX(Table3[[#All],[Last]],MATCH(A841,Table3[[#All],[PID]],0)))</f>
        <v>Bowman</v>
      </c>
      <c r="G841" s="56">
        <f>IF($C841="B",INDEX(Batters[[#All],[Age]],MATCH(Table5[[#This Row],[PID]],Batters[[#All],[PID]],0)),INDEX(Table3[[#All],[Age]],MATCH(Table5[[#This Row],[PID]],Table3[[#All],[PID]],0)))</f>
        <v>17</v>
      </c>
      <c r="H841" s="52" t="str">
        <f>IF($C841="B",INDEX(Batters[[#All],[B]],MATCH(Table5[[#This Row],[PID]],Batters[[#All],[PID]],0)),INDEX(Table3[[#All],[B]],MATCH(Table5[[#This Row],[PID]],Table3[[#All],[PID]],0)))</f>
        <v>R</v>
      </c>
      <c r="I841" s="52" t="str">
        <f>IF($C841="B",INDEX(Batters[[#All],[T]],MATCH(Table5[[#This Row],[PID]],Batters[[#All],[PID]],0)),INDEX(Table3[[#All],[T]],MATCH(Table5[[#This Row],[PID]],Table3[[#All],[PID]],0)))</f>
        <v>R</v>
      </c>
      <c r="J841" s="52" t="str">
        <f>IF($C841="B",INDEX(Batters[[#All],[WE]],MATCH(Table5[[#This Row],[PID]],Batters[[#All],[PID]],0)),INDEX(Table3[[#All],[WE]],MATCH(Table5[[#This Row],[PID]],Table3[[#All],[PID]],0)))</f>
        <v>High</v>
      </c>
      <c r="K841" s="52" t="str">
        <f>IF($C841="B",INDEX(Batters[[#All],[INT]],MATCH(Table5[[#This Row],[PID]],Batters[[#All],[PID]],0)),INDEX(Table3[[#All],[INT]],MATCH(Table5[[#This Row],[PID]],Table3[[#All],[PID]],0)))</f>
        <v>Normal</v>
      </c>
      <c r="L841" s="60">
        <f>IF($C841="B",INDEX(Batters[[#All],[CON P]],MATCH(Table5[[#This Row],[PID]],Batters[[#All],[PID]],0)),INDEX(Table3[[#All],[STU P]],MATCH(Table5[[#This Row],[PID]],Table3[[#All],[PID]],0)))</f>
        <v>3</v>
      </c>
      <c r="M841" s="56">
        <f>IF($C841="B",INDEX(Batters[[#All],[GAP P]],MATCH(Table5[[#This Row],[PID]],Batters[[#All],[PID]],0)),INDEX(Table3[[#All],[MOV P]],MATCH(Table5[[#This Row],[PID]],Table3[[#All],[PID]],0)))</f>
        <v>5</v>
      </c>
      <c r="N841" s="56">
        <f>IF($C841="B",INDEX(Batters[[#All],[POW P]],MATCH(Table5[[#This Row],[PID]],Batters[[#All],[PID]],0)),INDEX(Table3[[#All],[CON P]],MATCH(Table5[[#This Row],[PID]],Table3[[#All],[PID]],0)))</f>
        <v>2</v>
      </c>
      <c r="O841" s="56">
        <f>IF($C841="B",INDEX(Batters[[#All],[EYE P]],MATCH(Table5[[#This Row],[PID]],Batters[[#All],[PID]],0)),INDEX(Table3[[#All],[VELO]],MATCH(Table5[[#This Row],[PID]],Table3[[#All],[PID]],0)))</f>
        <v>6</v>
      </c>
      <c r="P841" s="56">
        <f>IF($C841="B",INDEX(Batters[[#All],[K P]],MATCH(Table5[[#This Row],[PID]],Batters[[#All],[PID]],0)),INDEX(Table3[[#All],[STM]],MATCH(Table5[[#This Row],[PID]],Table3[[#All],[PID]],0)))</f>
        <v>3</v>
      </c>
      <c r="Q841" s="61">
        <f>IF($C841="B",INDEX(Batters[[#All],[Tot]],MATCH(Table5[[#This Row],[PID]],Batters[[#All],[PID]],0)),INDEX(Table3[[#All],[Tot]],MATCH(Table5[[#This Row],[PID]],Table3[[#All],[PID]],0)))</f>
        <v>42.633745934485248</v>
      </c>
      <c r="R841" s="52">
        <f>IF($C841="B",INDEX(Batters[[#All],[zScore]],MATCH(Table5[[#This Row],[PID]],Batters[[#All],[PID]],0)),INDEX(Table3[[#All],[zScore]],MATCH(Table5[[#This Row],[PID]],Table3[[#All],[PID]],0)))</f>
        <v>-0.3321596894610146</v>
      </c>
      <c r="S841" s="58" t="str">
        <f>IF($C841="B",INDEX(Batters[[#All],[DEM]],MATCH(Table5[[#This Row],[PID]],Batters[[#All],[PID]],0)),INDEX(Table3[[#All],[DEM]],MATCH(Table5[[#This Row],[PID]],Table3[[#All],[PID]],0)))</f>
        <v>$75k</v>
      </c>
      <c r="T841" s="62">
        <f>IF($C841="B",INDEX(Batters[[#All],[Rnk]],MATCH(Table5[[#This Row],[PID]],Batters[[#All],[PID]],0)),INDEX(Table3[[#All],[Rnk]],MATCH(Table5[[#This Row],[PID]],Table3[[#All],[PID]],0)))</f>
        <v>310</v>
      </c>
      <c r="U841" s="68">
        <f>IF($C841="B",VLOOKUP($A841,Bat!$A$4:$BA$1621,47,FALSE),VLOOKUP($A841,Pit!$A$4:$BF$1557,56,FALSE))</f>
        <v>0</v>
      </c>
      <c r="V841" s="50">
        <f>IF($C841="B",VLOOKUP($A841,Bat!$A$4:$BA$1621,48,FALSE),VLOOKUP($A841,Pit!$A$4:$BF$1557,57,FALSE))</f>
        <v>0</v>
      </c>
      <c r="W841" s="50">
        <f>Table5[[#This Row],[posRnk]]+Table5[[#This Row],[zRnk]]+IF($W$3&lt;&gt;Table5[[#This Row],[Type]],50,0)</f>
        <v>1111</v>
      </c>
      <c r="X841" s="51">
        <f>RANK(Table5[[#This Row],[zScore]],Table5[[#All],[zScore]])</f>
        <v>751</v>
      </c>
      <c r="Y841" s="50" t="str">
        <f>IFERROR(INDEX(DraftResults[[#All],[OVR]],MATCH(Table5[[#This Row],[PID]],DraftResults[[#All],[Player ID]],0)),"")</f>
        <v/>
      </c>
      <c r="Z8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1" s="50" t="str">
        <f>IFERROR(INDEX(DraftResults[[#All],[Pick in Round]],MATCH(Table5[[#This Row],[PID]],DraftResults[[#All],[Player ID]],0)),"")</f>
        <v/>
      </c>
      <c r="AB841" s="50" t="str">
        <f>IFERROR(INDEX(DraftResults[[#All],[Team Name]],MATCH(Table5[[#This Row],[PID]],DraftResults[[#All],[Player ID]],0)),"")</f>
        <v/>
      </c>
      <c r="AC841" s="50" t="str">
        <f>IF(Table5[[#This Row],[Ovr]]="","",IF(Table5[[#This Row],[cmbList]]="","",Table5[[#This Row],[cmbList]]-Table5[[#This Row],[Ovr]]))</f>
        <v/>
      </c>
      <c r="AD841" s="54" t="str">
        <f>IF(ISERROR(VLOOKUP($AB841&amp;"-"&amp;$E841&amp;" "&amp;F841,Bonuses!$B$1:$G$1006,4,FALSE)),"",INT(VLOOKUP($AB841&amp;"-"&amp;$E841&amp;" "&amp;$F841,Bonuses!$B$1:$G$1006,4,FALSE)))</f>
        <v/>
      </c>
      <c r="AE8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2" spans="1:31" s="50" customFormat="1" x14ac:dyDescent="0.25">
      <c r="A842" s="50">
        <v>12196</v>
      </c>
      <c r="B842" s="50">
        <f>COUNTIF(Table5[PID],A842)</f>
        <v>1</v>
      </c>
      <c r="C842" s="50" t="str">
        <f>IF(COUNTIF(Table3[[#All],[PID]],A842)&gt;0,"P","B")</f>
        <v>P</v>
      </c>
      <c r="D842" s="59" t="str">
        <f>IF($C842="B",INDEX(Batters[[#All],[POS]],MATCH(Table5[[#This Row],[PID]],Batters[[#All],[PID]],0)),INDEX(Table3[[#All],[POS]],MATCH(Table5[[#This Row],[PID]],Table3[[#All],[PID]],0)))</f>
        <v>RP</v>
      </c>
      <c r="E842" s="52" t="str">
        <f>IF($C842="B",INDEX(Batters[[#All],[First]],MATCH(Table5[[#This Row],[PID]],Batters[[#All],[PID]],0)),INDEX(Table3[[#All],[First]],MATCH(Table5[[#This Row],[PID]],Table3[[#All],[PID]],0)))</f>
        <v>Clarence</v>
      </c>
      <c r="F842" s="50" t="str">
        <f>IF($C842="B",INDEX(Batters[[#All],[Last]],MATCH(A842,Batters[[#All],[PID]],0)),INDEX(Table3[[#All],[Last]],MATCH(A842,Table3[[#All],[PID]],0)))</f>
        <v>Morgan</v>
      </c>
      <c r="G842" s="56">
        <f>IF($C842="B",INDEX(Batters[[#All],[Age]],MATCH(Table5[[#This Row],[PID]],Batters[[#All],[PID]],0)),INDEX(Table3[[#All],[Age]],MATCH(Table5[[#This Row],[PID]],Table3[[#All],[PID]],0)))</f>
        <v>22</v>
      </c>
      <c r="H842" s="52" t="str">
        <f>IF($C842="B",INDEX(Batters[[#All],[B]],MATCH(Table5[[#This Row],[PID]],Batters[[#All],[PID]],0)),INDEX(Table3[[#All],[B]],MATCH(Table5[[#This Row],[PID]],Table3[[#All],[PID]],0)))</f>
        <v>S</v>
      </c>
      <c r="I842" s="52" t="str">
        <f>IF($C842="B",INDEX(Batters[[#All],[T]],MATCH(Table5[[#This Row],[PID]],Batters[[#All],[PID]],0)),INDEX(Table3[[#All],[T]],MATCH(Table5[[#This Row],[PID]],Table3[[#All],[PID]],0)))</f>
        <v>R</v>
      </c>
      <c r="J842" s="52" t="str">
        <f>IF($C842="B",INDEX(Batters[[#All],[WE]],MATCH(Table5[[#This Row],[PID]],Batters[[#All],[PID]],0)),INDEX(Table3[[#All],[WE]],MATCH(Table5[[#This Row],[PID]],Table3[[#All],[PID]],0)))</f>
        <v>Normal</v>
      </c>
      <c r="K842" s="52" t="str">
        <f>IF($C842="B",INDEX(Batters[[#All],[INT]],MATCH(Table5[[#This Row],[PID]],Batters[[#All],[PID]],0)),INDEX(Table3[[#All],[INT]],MATCH(Table5[[#This Row],[PID]],Table3[[#All],[PID]],0)))</f>
        <v>Normal</v>
      </c>
      <c r="L842" s="60">
        <f>IF($C842="B",INDEX(Batters[[#All],[CON P]],MATCH(Table5[[#This Row],[PID]],Batters[[#All],[PID]],0)),INDEX(Table3[[#All],[STU P]],MATCH(Table5[[#This Row],[PID]],Table3[[#All],[PID]],0)))</f>
        <v>4</v>
      </c>
      <c r="M842" s="56">
        <f>IF($C842="B",INDEX(Batters[[#All],[GAP P]],MATCH(Table5[[#This Row],[PID]],Batters[[#All],[PID]],0)),INDEX(Table3[[#All],[MOV P]],MATCH(Table5[[#This Row],[PID]],Table3[[#All],[PID]],0)))</f>
        <v>2</v>
      </c>
      <c r="N842" s="56">
        <f>IF($C842="B",INDEX(Batters[[#All],[POW P]],MATCH(Table5[[#This Row],[PID]],Batters[[#All],[PID]],0)),INDEX(Table3[[#All],[CON P]],MATCH(Table5[[#This Row],[PID]],Table3[[#All],[PID]],0)))</f>
        <v>3</v>
      </c>
      <c r="O842" s="56" t="str">
        <f>IF($C842="B",INDEX(Batters[[#All],[EYE P]],MATCH(Table5[[#This Row],[PID]],Batters[[#All],[PID]],0)),INDEX(Table3[[#All],[VELO]],MATCH(Table5[[#This Row],[PID]],Table3[[#All],[PID]],0)))</f>
        <v>86-88 Mph</v>
      </c>
      <c r="P842" s="56">
        <f>IF($C842="B",INDEX(Batters[[#All],[K P]],MATCH(Table5[[#This Row],[PID]],Batters[[#All],[PID]],0)),INDEX(Table3[[#All],[STM]],MATCH(Table5[[#This Row],[PID]],Table3[[#All],[PID]],0)))</f>
        <v>6</v>
      </c>
      <c r="Q842" s="61">
        <f>IF($C842="B",INDEX(Batters[[#All],[Tot]],MATCH(Table5[[#This Row],[PID]],Batters[[#All],[PID]],0)),INDEX(Table3[[#All],[Tot]],MATCH(Table5[[#This Row],[PID]],Table3[[#All],[PID]],0)))</f>
        <v>30.790012350935399</v>
      </c>
      <c r="R842" s="52">
        <f>IF($C842="B",INDEX(Batters[[#All],[zScore]],MATCH(Table5[[#This Row],[PID]],Batters[[#All],[PID]],0)),INDEX(Table3[[#All],[zScore]],MATCH(Table5[[#This Row],[PID]],Table3[[#All],[PID]],0)))</f>
        <v>-0.33799881235522194</v>
      </c>
      <c r="S842" s="58" t="str">
        <f>IF($C842="B",INDEX(Batters[[#All],[DEM]],MATCH(Table5[[#This Row],[PID]],Batters[[#All],[PID]],0)),INDEX(Table3[[#All],[DEM]],MATCH(Table5[[#This Row],[PID]],Table3[[#All],[PID]],0)))</f>
        <v>-</v>
      </c>
      <c r="T842" s="62">
        <f>IF($C842="B",INDEX(Batters[[#All],[Rnk]],MATCH(Table5[[#This Row],[PID]],Batters[[#All],[PID]],0)),INDEX(Table3[[#All],[Rnk]],MATCH(Table5[[#This Row],[PID]],Table3[[#All],[PID]],0)))</f>
        <v>442</v>
      </c>
      <c r="U842" s="68">
        <f>IF($C842="B",VLOOKUP($A842,Bat!$A$4:$BA$1621,47,FALSE),VLOOKUP($A842,Pit!$A$4:$BF$1557,56,FALSE))</f>
        <v>0</v>
      </c>
      <c r="V842" s="50">
        <f>IF($C842="B",VLOOKUP($A842,Bat!$A$4:$BA$1621,48,FALSE),VLOOKUP($A842,Pit!$A$4:$BF$1557,57,FALSE))</f>
        <v>0</v>
      </c>
      <c r="W842" s="50">
        <f>Table5[[#This Row],[posRnk]]+Table5[[#This Row],[zRnk]]+IF($W$3&lt;&gt;Table5[[#This Row],[Type]],50,0)</f>
        <v>1244</v>
      </c>
      <c r="X842" s="51">
        <f>RANK(Table5[[#This Row],[zScore]],Table5[[#All],[zScore]])</f>
        <v>752</v>
      </c>
      <c r="Y842" s="50" t="str">
        <f>IFERROR(INDEX(DraftResults[[#All],[OVR]],MATCH(Table5[[#This Row],[PID]],DraftResults[[#All],[Player ID]],0)),"")</f>
        <v/>
      </c>
      <c r="Z8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2" s="50" t="str">
        <f>IFERROR(INDEX(DraftResults[[#All],[Pick in Round]],MATCH(Table5[[#This Row],[PID]],DraftResults[[#All],[Player ID]],0)),"")</f>
        <v/>
      </c>
      <c r="AB842" s="50" t="str">
        <f>IFERROR(INDEX(DraftResults[[#All],[Team Name]],MATCH(Table5[[#This Row],[PID]],DraftResults[[#All],[Player ID]],0)),"")</f>
        <v/>
      </c>
      <c r="AC842" s="50" t="str">
        <f>IF(Table5[[#This Row],[Ovr]]="","",IF(Table5[[#This Row],[cmbList]]="","",Table5[[#This Row],[cmbList]]-Table5[[#This Row],[Ovr]]))</f>
        <v/>
      </c>
      <c r="AD842" s="54" t="str">
        <f>IF(ISERROR(VLOOKUP($AB842&amp;"-"&amp;$E842&amp;" "&amp;F842,Bonuses!$B$1:$G$1006,4,FALSE)),"",INT(VLOOKUP($AB842&amp;"-"&amp;$E842&amp;" "&amp;$F842,Bonuses!$B$1:$G$1006,4,FALSE)))</f>
        <v/>
      </c>
      <c r="AE8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3" spans="1:31" s="50" customFormat="1" x14ac:dyDescent="0.25">
      <c r="A843" s="50">
        <v>18225</v>
      </c>
      <c r="B843" s="50">
        <f>COUNTIF(Table5[PID],A843)</f>
        <v>1</v>
      </c>
      <c r="C843" s="50" t="str">
        <f>IF(COUNTIF(Table3[[#All],[PID]],A843)&gt;0,"P","B")</f>
        <v>P</v>
      </c>
      <c r="D843" s="59" t="str">
        <f>IF($C843="B",INDEX(Batters[[#All],[POS]],MATCH(Table5[[#This Row],[PID]],Batters[[#All],[PID]],0)),INDEX(Table3[[#All],[POS]],MATCH(Table5[[#This Row],[PID]],Table3[[#All],[PID]],0)))</f>
        <v>RP</v>
      </c>
      <c r="E843" s="52" t="str">
        <f>IF($C843="B",INDEX(Batters[[#All],[First]],MATCH(Table5[[#This Row],[PID]],Batters[[#All],[PID]],0)),INDEX(Table3[[#All],[First]],MATCH(Table5[[#This Row],[PID]],Table3[[#All],[PID]],0)))</f>
        <v>Lee</v>
      </c>
      <c r="F843" s="50" t="str">
        <f>IF($C843="B",INDEX(Batters[[#All],[Last]],MATCH(A843,Batters[[#All],[PID]],0)),INDEX(Table3[[#All],[Last]],MATCH(A843,Table3[[#All],[PID]],0)))</f>
        <v>Taylor</v>
      </c>
      <c r="G843" s="56">
        <f>IF($C843="B",INDEX(Batters[[#All],[Age]],MATCH(Table5[[#This Row],[PID]],Batters[[#All],[PID]],0)),INDEX(Table3[[#All],[Age]],MATCH(Table5[[#This Row],[PID]],Table3[[#All],[PID]],0)))</f>
        <v>18</v>
      </c>
      <c r="H843" s="52" t="str">
        <f>IF($C843="B",INDEX(Batters[[#All],[B]],MATCH(Table5[[#This Row],[PID]],Batters[[#All],[PID]],0)),INDEX(Table3[[#All],[B]],MATCH(Table5[[#This Row],[PID]],Table3[[#All],[PID]],0)))</f>
        <v>R</v>
      </c>
      <c r="I843" s="52" t="str">
        <f>IF($C843="B",INDEX(Batters[[#All],[T]],MATCH(Table5[[#This Row],[PID]],Batters[[#All],[PID]],0)),INDEX(Table3[[#All],[T]],MATCH(Table5[[#This Row],[PID]],Table3[[#All],[PID]],0)))</f>
        <v>R</v>
      </c>
      <c r="J843" s="52" t="str">
        <f>IF($C843="B",INDEX(Batters[[#All],[WE]],MATCH(Table5[[#This Row],[PID]],Batters[[#All],[PID]],0)),INDEX(Table3[[#All],[WE]],MATCH(Table5[[#This Row],[PID]],Table3[[#All],[PID]],0)))</f>
        <v>Low</v>
      </c>
      <c r="K843" s="52" t="str">
        <f>IF($C843="B",INDEX(Batters[[#All],[INT]],MATCH(Table5[[#This Row],[PID]],Batters[[#All],[PID]],0)),INDEX(Table3[[#All],[INT]],MATCH(Table5[[#This Row],[PID]],Table3[[#All],[PID]],0)))</f>
        <v>Normal</v>
      </c>
      <c r="L843" s="60">
        <f>IF($C843="B",INDEX(Batters[[#All],[CON P]],MATCH(Table5[[#This Row],[PID]],Batters[[#All],[PID]],0)),INDEX(Table3[[#All],[STU P]],MATCH(Table5[[#This Row],[PID]],Table3[[#All],[PID]],0)))</f>
        <v>3</v>
      </c>
      <c r="M843" s="56">
        <f>IF($C843="B",INDEX(Batters[[#All],[GAP P]],MATCH(Table5[[#This Row],[PID]],Batters[[#All],[PID]],0)),INDEX(Table3[[#All],[MOV P]],MATCH(Table5[[#This Row],[PID]],Table3[[#All],[PID]],0)))</f>
        <v>1</v>
      </c>
      <c r="N843" s="56">
        <f>IF($C843="B",INDEX(Batters[[#All],[POW P]],MATCH(Table5[[#This Row],[PID]],Batters[[#All],[PID]],0)),INDEX(Table3[[#All],[CON P]],MATCH(Table5[[#This Row],[PID]],Table3[[#All],[PID]],0)))</f>
        <v>4</v>
      </c>
      <c r="O843" s="56" t="str">
        <f>IF($C843="B",INDEX(Batters[[#All],[EYE P]],MATCH(Table5[[#This Row],[PID]],Batters[[#All],[PID]],0)),INDEX(Table3[[#All],[VELO]],MATCH(Table5[[#This Row],[PID]],Table3[[#All],[PID]],0)))</f>
        <v>84-86 Mph</v>
      </c>
      <c r="P843" s="56">
        <f>IF($C843="B",INDEX(Batters[[#All],[K P]],MATCH(Table5[[#This Row],[PID]],Batters[[#All],[PID]],0)),INDEX(Table3[[#All],[STM]],MATCH(Table5[[#This Row],[PID]],Table3[[#All],[PID]],0)))</f>
        <v>8</v>
      </c>
      <c r="Q843" s="61">
        <f>IF($C843="B",INDEX(Batters[[#All],[Tot]],MATCH(Table5[[#This Row],[PID]],Batters[[#All],[PID]],0)),INDEX(Table3[[#All],[Tot]],MATCH(Table5[[#This Row],[PID]],Table3[[#All],[PID]],0)))</f>
        <v>32.050120316268561</v>
      </c>
      <c r="R843" s="52">
        <f>IF($C843="B",INDEX(Batters[[#All],[zScore]],MATCH(Table5[[#This Row],[PID]],Batters[[#All],[PID]],0)),INDEX(Table3[[#All],[zScore]],MATCH(Table5[[#This Row],[PID]],Table3[[#All],[PID]],0)))</f>
        <v>-0.34222791273557684</v>
      </c>
      <c r="S843" s="58" t="str">
        <f>IF($C843="B",INDEX(Batters[[#All],[DEM]],MATCH(Table5[[#This Row],[PID]],Batters[[#All],[PID]],0)),INDEX(Table3[[#All],[DEM]],MATCH(Table5[[#This Row],[PID]],Table3[[#All],[PID]],0)))</f>
        <v>$70k</v>
      </c>
      <c r="T843" s="62">
        <f>IF($C843="B",INDEX(Batters[[#All],[Rnk]],MATCH(Table5[[#This Row],[PID]],Batters[[#All],[PID]],0)),INDEX(Table3[[#All],[Rnk]],MATCH(Table5[[#This Row],[PID]],Table3[[#All],[PID]],0)))</f>
        <v>444</v>
      </c>
      <c r="U843" s="68">
        <f>IF($C843="B",VLOOKUP($A843,Bat!$A$4:$BA$1621,47,FALSE),VLOOKUP($A843,Pit!$A$4:$BF$1557,56,FALSE))</f>
        <v>0</v>
      </c>
      <c r="V843" s="50">
        <f>IF($C843="B",VLOOKUP($A843,Bat!$A$4:$BA$1621,48,FALSE),VLOOKUP($A843,Pit!$A$4:$BF$1557,57,FALSE))</f>
        <v>0</v>
      </c>
      <c r="W843" s="50">
        <f>Table5[[#This Row],[posRnk]]+Table5[[#This Row],[zRnk]]+IF($W$3&lt;&gt;Table5[[#This Row],[Type]],50,0)</f>
        <v>1248</v>
      </c>
      <c r="X843" s="51">
        <f>RANK(Table5[[#This Row],[zScore]],Table5[[#All],[zScore]])</f>
        <v>754</v>
      </c>
      <c r="Y843" s="50" t="str">
        <f>IFERROR(INDEX(DraftResults[[#All],[OVR]],MATCH(Table5[[#This Row],[PID]],DraftResults[[#All],[Player ID]],0)),"")</f>
        <v/>
      </c>
      <c r="Z8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3" s="50" t="str">
        <f>IFERROR(INDEX(DraftResults[[#All],[Pick in Round]],MATCH(Table5[[#This Row],[PID]],DraftResults[[#All],[Player ID]],0)),"")</f>
        <v/>
      </c>
      <c r="AB843" s="50" t="str">
        <f>IFERROR(INDEX(DraftResults[[#All],[Team Name]],MATCH(Table5[[#This Row],[PID]],DraftResults[[#All],[Player ID]],0)),"")</f>
        <v/>
      </c>
      <c r="AC843" s="50" t="str">
        <f>IF(Table5[[#This Row],[Ovr]]="","",IF(Table5[[#This Row],[cmbList]]="","",Table5[[#This Row],[cmbList]]-Table5[[#This Row],[Ovr]]))</f>
        <v/>
      </c>
      <c r="AD843" s="54" t="str">
        <f>IF(ISERROR(VLOOKUP($AB843&amp;"-"&amp;$E843&amp;" "&amp;F843,Bonuses!$B$1:$G$1006,4,FALSE)),"",INT(VLOOKUP($AB843&amp;"-"&amp;$E843&amp;" "&amp;$F843,Bonuses!$B$1:$G$1006,4,FALSE)))</f>
        <v/>
      </c>
      <c r="AE8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4" spans="1:31" s="50" customFormat="1" x14ac:dyDescent="0.25">
      <c r="A844" s="68">
        <v>14643</v>
      </c>
      <c r="B844" s="69">
        <f>COUNTIF(Table5[PID],A844)</f>
        <v>1</v>
      </c>
      <c r="C844" s="69" t="str">
        <f>IF(COUNTIF(Table3[[#All],[PID]],A844)&gt;0,"P","B")</f>
        <v>P</v>
      </c>
      <c r="D844" s="59" t="str">
        <f>IF($C844="B",INDEX(Batters[[#All],[POS]],MATCH(Table5[[#This Row],[PID]],Batters[[#All],[PID]],0)),INDEX(Table3[[#All],[POS]],MATCH(Table5[[#This Row],[PID]],Table3[[#All],[PID]],0)))</f>
        <v>SP</v>
      </c>
      <c r="E844" s="52" t="str">
        <f>IF($C844="B",INDEX(Batters[[#All],[First]],MATCH(Table5[[#This Row],[PID]],Batters[[#All],[PID]],0)),INDEX(Table3[[#All],[First]],MATCH(Table5[[#This Row],[PID]],Table3[[#All],[PID]],0)))</f>
        <v>Mito</v>
      </c>
      <c r="F844" s="55" t="str">
        <f>IF($C844="B",INDEX(Batters[[#All],[Last]],MATCH(A844,Batters[[#All],[PID]],0)),INDEX(Table3[[#All],[Last]],MATCH(A844,Table3[[#All],[PID]],0)))</f>
        <v>Suzuki</v>
      </c>
      <c r="G844" s="56">
        <f>IF($C844="B",INDEX(Batters[[#All],[Age]],MATCH(Table5[[#This Row],[PID]],Batters[[#All],[PID]],0)),INDEX(Table3[[#All],[Age]],MATCH(Table5[[#This Row],[PID]],Table3[[#All],[PID]],0)))</f>
        <v>22</v>
      </c>
      <c r="H844" s="52" t="str">
        <f>IF($C844="B",INDEX(Batters[[#All],[B]],MATCH(Table5[[#This Row],[PID]],Batters[[#All],[PID]],0)),INDEX(Table3[[#All],[B]],MATCH(Table5[[#This Row],[PID]],Table3[[#All],[PID]],0)))</f>
        <v>R</v>
      </c>
      <c r="I844" s="52" t="str">
        <f>IF($C844="B",INDEX(Batters[[#All],[T]],MATCH(Table5[[#This Row],[PID]],Batters[[#All],[PID]],0)),INDEX(Table3[[#All],[T]],MATCH(Table5[[#This Row],[PID]],Table3[[#All],[PID]],0)))</f>
        <v>L</v>
      </c>
      <c r="J844" s="71" t="str">
        <f>IF($C844="B",INDEX(Batters[[#All],[WE]],MATCH(Table5[[#This Row],[PID]],Batters[[#All],[PID]],0)),INDEX(Table3[[#All],[WE]],MATCH(Table5[[#This Row],[PID]],Table3[[#All],[PID]],0)))</f>
        <v>Low</v>
      </c>
      <c r="K844" s="52" t="str">
        <f>IF($C844="B",INDEX(Batters[[#All],[INT]],MATCH(Table5[[#This Row],[PID]],Batters[[#All],[PID]],0)),INDEX(Table3[[#All],[INT]],MATCH(Table5[[#This Row],[PID]],Table3[[#All],[PID]],0)))</f>
        <v>Normal</v>
      </c>
      <c r="L844" s="60">
        <f>IF($C844="B",INDEX(Batters[[#All],[CON P]],MATCH(Table5[[#This Row],[PID]],Batters[[#All],[PID]],0)),INDEX(Table3[[#All],[STU P]],MATCH(Table5[[#This Row],[PID]],Table3[[#All],[PID]],0)))</f>
        <v>4</v>
      </c>
      <c r="M844" s="72">
        <f>IF($C844="B",INDEX(Batters[[#All],[GAP P]],MATCH(Table5[[#This Row],[PID]],Batters[[#All],[PID]],0)),INDEX(Table3[[#All],[MOV P]],MATCH(Table5[[#This Row],[PID]],Table3[[#All],[PID]],0)))</f>
        <v>2</v>
      </c>
      <c r="N844" s="72">
        <f>IF($C844="B",INDEX(Batters[[#All],[POW P]],MATCH(Table5[[#This Row],[PID]],Batters[[#All],[PID]],0)),INDEX(Table3[[#All],[CON P]],MATCH(Table5[[#This Row],[PID]],Table3[[#All],[PID]],0)))</f>
        <v>3</v>
      </c>
      <c r="O844" s="72" t="str">
        <f>IF($C844="B",INDEX(Batters[[#All],[EYE P]],MATCH(Table5[[#This Row],[PID]],Batters[[#All],[PID]],0)),INDEX(Table3[[#All],[VELO]],MATCH(Table5[[#This Row],[PID]],Table3[[#All],[PID]],0)))</f>
        <v>83-85 Mph</v>
      </c>
      <c r="P844" s="56">
        <f>IF($C844="B",INDEX(Batters[[#All],[K P]],MATCH(Table5[[#This Row],[PID]],Batters[[#All],[PID]],0)),INDEX(Table3[[#All],[STM]],MATCH(Table5[[#This Row],[PID]],Table3[[#All],[PID]],0)))</f>
        <v>9</v>
      </c>
      <c r="Q844" s="61">
        <f>IF($C844="B",INDEX(Batters[[#All],[Tot]],MATCH(Table5[[#This Row],[PID]],Batters[[#All],[PID]],0)),INDEX(Table3[[#All],[Tot]],MATCH(Table5[[#This Row],[PID]],Table3[[#All],[PID]],0)))</f>
        <v>32.039227004502081</v>
      </c>
      <c r="R844" s="52">
        <f>IF($C844="B",INDEX(Batters[[#All],[zScore]],MATCH(Table5[[#This Row],[PID]],Batters[[#All],[PID]],0)),INDEX(Table3[[#All],[zScore]],MATCH(Table5[[#This Row],[PID]],Table3[[#All],[PID]],0)))</f>
        <v>-0.34301617963176773</v>
      </c>
      <c r="S844" s="78" t="str">
        <f>IF($C844="B",INDEX(Batters[[#All],[DEM]],MATCH(Table5[[#This Row],[PID]],Batters[[#All],[PID]],0)),INDEX(Table3[[#All],[DEM]],MATCH(Table5[[#This Row],[PID]],Table3[[#All],[PID]],0)))</f>
        <v>-</v>
      </c>
      <c r="T844" s="75">
        <f>IF($C844="B",INDEX(Batters[[#All],[Rnk]],MATCH(Table5[[#This Row],[PID]],Batters[[#All],[PID]],0)),INDEX(Table3[[#All],[Rnk]],MATCH(Table5[[#This Row],[PID]],Table3[[#All],[PID]],0)))</f>
        <v>445</v>
      </c>
      <c r="U844" s="68">
        <f>IF($C844="B",VLOOKUP($A844,Bat!$A$4:$BA$1621,47,FALSE),VLOOKUP($A844,Pit!$A$4:$BF$1557,56,FALSE))</f>
        <v>0</v>
      </c>
      <c r="V844" s="50">
        <f>IF($C844="B",VLOOKUP($A844,Bat!$A$4:$BA$1621,48,FALSE),VLOOKUP($A844,Pit!$A$4:$BF$1557,57,FALSE))</f>
        <v>0</v>
      </c>
      <c r="W844" s="69">
        <f>Table5[[#This Row],[posRnk]]+Table5[[#This Row],[zRnk]]+IF($W$3&lt;&gt;Table5[[#This Row],[Type]],50,0)</f>
        <v>1250</v>
      </c>
      <c r="X844" s="73">
        <f>RANK(Table5[[#This Row],[zScore]],Table5[[#All],[zScore]])</f>
        <v>755</v>
      </c>
      <c r="Y844" s="69" t="str">
        <f>IFERROR(INDEX(DraftResults[[#All],[OVR]],MATCH(Table5[[#This Row],[PID]],DraftResults[[#All],[Player ID]],0)),"")</f>
        <v/>
      </c>
      <c r="Z84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4" s="69" t="str">
        <f>IFERROR(INDEX(DraftResults[[#All],[Pick in Round]],MATCH(Table5[[#This Row],[PID]],DraftResults[[#All],[Player ID]],0)),"")</f>
        <v/>
      </c>
      <c r="AB844" s="69" t="str">
        <f>IFERROR(INDEX(DraftResults[[#All],[Team Name]],MATCH(Table5[[#This Row],[PID]],DraftResults[[#All],[Player ID]],0)),"")</f>
        <v/>
      </c>
      <c r="AC844" s="69" t="str">
        <f>IF(Table5[[#This Row],[Ovr]]="","",IF(Table5[[#This Row],[cmbList]]="","",Table5[[#This Row],[cmbList]]-Table5[[#This Row],[Ovr]]))</f>
        <v/>
      </c>
      <c r="AD844" s="77" t="str">
        <f>IF(ISERROR(VLOOKUP($AB844&amp;"-"&amp;$E844&amp;" "&amp;F844,Bonuses!$B$1:$G$1006,4,FALSE)),"",INT(VLOOKUP($AB844&amp;"-"&amp;$E844&amp;" "&amp;$F844,Bonuses!$B$1:$G$1006,4,FALSE)))</f>
        <v/>
      </c>
      <c r="AE84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5" spans="1:31" s="50" customFormat="1" x14ac:dyDescent="0.25">
      <c r="A845" s="68">
        <v>20454</v>
      </c>
      <c r="B845" s="69">
        <f>COUNTIF(Table5[PID],A845)</f>
        <v>1</v>
      </c>
      <c r="C845" s="69" t="str">
        <f>IF(COUNTIF(Table3[[#All],[PID]],A845)&gt;0,"P","B")</f>
        <v>P</v>
      </c>
      <c r="D845" s="59" t="str">
        <f>IF($C845="B",INDEX(Batters[[#All],[POS]],MATCH(Table5[[#This Row],[PID]],Batters[[#All],[PID]],0)),INDEX(Table3[[#All],[POS]],MATCH(Table5[[#This Row],[PID]],Table3[[#All],[PID]],0)))</f>
        <v>SP</v>
      </c>
      <c r="E845" s="52" t="str">
        <f>IF($C845="B",INDEX(Batters[[#All],[First]],MATCH(Table5[[#This Row],[PID]],Batters[[#All],[PID]],0)),INDEX(Table3[[#All],[First]],MATCH(Table5[[#This Row],[PID]],Table3[[#All],[PID]],0)))</f>
        <v>Daniel</v>
      </c>
      <c r="F845" s="55" t="str">
        <f>IF($C845="B",INDEX(Batters[[#All],[Last]],MATCH(A845,Batters[[#All],[PID]],0)),INDEX(Table3[[#All],[Last]],MATCH(A845,Table3[[#All],[PID]],0)))</f>
        <v>MacRae</v>
      </c>
      <c r="G845" s="56">
        <f>IF($C845="B",INDEX(Batters[[#All],[Age]],MATCH(Table5[[#This Row],[PID]],Batters[[#All],[PID]],0)),INDEX(Table3[[#All],[Age]],MATCH(Table5[[#This Row],[PID]],Table3[[#All],[PID]],0)))</f>
        <v>18</v>
      </c>
      <c r="H845" s="52" t="str">
        <f>IF($C845="B",INDEX(Batters[[#All],[B]],MATCH(Table5[[#This Row],[PID]],Batters[[#All],[PID]],0)),INDEX(Table3[[#All],[B]],MATCH(Table5[[#This Row],[PID]],Table3[[#All],[PID]],0)))</f>
        <v>R</v>
      </c>
      <c r="I845" s="52" t="str">
        <f>IF($C845="B",INDEX(Batters[[#All],[T]],MATCH(Table5[[#This Row],[PID]],Batters[[#All],[PID]],0)),INDEX(Table3[[#All],[T]],MATCH(Table5[[#This Row],[PID]],Table3[[#All],[PID]],0)))</f>
        <v>R</v>
      </c>
      <c r="J845" s="71" t="str">
        <f>IF($C845="B",INDEX(Batters[[#All],[WE]],MATCH(Table5[[#This Row],[PID]],Batters[[#All],[PID]],0)),INDEX(Table3[[#All],[WE]],MATCH(Table5[[#This Row],[PID]],Table3[[#All],[PID]],0)))</f>
        <v>Low</v>
      </c>
      <c r="K845" s="52" t="str">
        <f>IF($C845="B",INDEX(Batters[[#All],[INT]],MATCH(Table5[[#This Row],[PID]],Batters[[#All],[PID]],0)),INDEX(Table3[[#All],[INT]],MATCH(Table5[[#This Row],[PID]],Table3[[#All],[PID]],0)))</f>
        <v>Normal</v>
      </c>
      <c r="L845" s="60">
        <f>IF($C845="B",INDEX(Batters[[#All],[CON P]],MATCH(Table5[[#This Row],[PID]],Batters[[#All],[PID]],0)),INDEX(Table3[[#All],[STU P]],MATCH(Table5[[#This Row],[PID]],Table3[[#All],[PID]],0)))</f>
        <v>4</v>
      </c>
      <c r="M845" s="72">
        <f>IF($C845="B",INDEX(Batters[[#All],[GAP P]],MATCH(Table5[[#This Row],[PID]],Batters[[#All],[PID]],0)),INDEX(Table3[[#All],[MOV P]],MATCH(Table5[[#This Row],[PID]],Table3[[#All],[PID]],0)))</f>
        <v>1</v>
      </c>
      <c r="N845" s="72">
        <f>IF($C845="B",INDEX(Batters[[#All],[POW P]],MATCH(Table5[[#This Row],[PID]],Batters[[#All],[PID]],0)),INDEX(Table3[[#All],[CON P]],MATCH(Table5[[#This Row],[PID]],Table3[[#All],[PID]],0)))</f>
        <v>3</v>
      </c>
      <c r="O845" s="72" t="str">
        <f>IF($C845="B",INDEX(Batters[[#All],[EYE P]],MATCH(Table5[[#This Row],[PID]],Batters[[#All],[PID]],0)),INDEX(Table3[[#All],[VELO]],MATCH(Table5[[#This Row],[PID]],Table3[[#All],[PID]],0)))</f>
        <v>88-90 Mph</v>
      </c>
      <c r="P845" s="56">
        <f>IF($C845="B",INDEX(Batters[[#All],[K P]],MATCH(Table5[[#This Row],[PID]],Batters[[#All],[PID]],0)),INDEX(Table3[[#All],[STM]],MATCH(Table5[[#This Row],[PID]],Table3[[#All],[PID]],0)))</f>
        <v>8</v>
      </c>
      <c r="Q845" s="61">
        <f>IF($C845="B",INDEX(Batters[[#All],[Tot]],MATCH(Table5[[#This Row],[PID]],Batters[[#All],[PID]],0)),INDEX(Table3[[#All],[Tot]],MATCH(Table5[[#This Row],[PID]],Table3[[#All],[PID]],0)))</f>
        <v>30.703153785412606</v>
      </c>
      <c r="R845" s="52">
        <f>IF($C845="B",INDEX(Batters[[#All],[zScore]],MATCH(Table5[[#This Row],[PID]],Batters[[#All],[PID]],0)),INDEX(Table3[[#All],[zScore]],MATCH(Table5[[#This Row],[PID]],Table3[[#All],[PID]],0)))</f>
        <v>-0.34377737999011132</v>
      </c>
      <c r="S845" s="78" t="str">
        <f>IF($C845="B",INDEX(Batters[[#All],[DEM]],MATCH(Table5[[#This Row],[PID]],Batters[[#All],[PID]],0)),INDEX(Table3[[#All],[DEM]],MATCH(Table5[[#This Row],[PID]],Table3[[#All],[PID]],0)))</f>
        <v>$65k</v>
      </c>
      <c r="T845" s="75">
        <f>IF($C845="B",INDEX(Batters[[#All],[Rnk]],MATCH(Table5[[#This Row],[PID]],Batters[[#All],[PID]],0)),INDEX(Table3[[#All],[Rnk]],MATCH(Table5[[#This Row],[PID]],Table3[[#All],[PID]],0)))</f>
        <v>447</v>
      </c>
      <c r="U845" s="68">
        <f>IF($C845="B",VLOOKUP($A845,Bat!$A$4:$BA$1621,47,FALSE),VLOOKUP($A845,Pit!$A$4:$BF$1557,56,FALSE))</f>
        <v>0</v>
      </c>
      <c r="V845" s="50">
        <f>IF($C845="B",VLOOKUP($A845,Bat!$A$4:$BA$1621,48,FALSE),VLOOKUP($A845,Pit!$A$4:$BF$1557,57,FALSE))</f>
        <v>0</v>
      </c>
      <c r="W845" s="69">
        <f>Table5[[#This Row],[posRnk]]+Table5[[#This Row],[zRnk]]+IF($W$3&lt;&gt;Table5[[#This Row],[Type]],50,0)</f>
        <v>1254</v>
      </c>
      <c r="X845" s="73">
        <f>RANK(Table5[[#This Row],[zScore]],Table5[[#All],[zScore]])</f>
        <v>757</v>
      </c>
      <c r="Y845" s="69" t="str">
        <f>IFERROR(INDEX(DraftResults[[#All],[OVR]],MATCH(Table5[[#This Row],[PID]],DraftResults[[#All],[Player ID]],0)),"")</f>
        <v/>
      </c>
      <c r="Z8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5" s="69" t="str">
        <f>IFERROR(INDEX(DraftResults[[#All],[Pick in Round]],MATCH(Table5[[#This Row],[PID]],DraftResults[[#All],[Player ID]],0)),"")</f>
        <v/>
      </c>
      <c r="AB845" s="69" t="str">
        <f>IFERROR(INDEX(DraftResults[[#All],[Team Name]],MATCH(Table5[[#This Row],[PID]],DraftResults[[#All],[Player ID]],0)),"")</f>
        <v/>
      </c>
      <c r="AC845" s="69" t="str">
        <f>IF(Table5[[#This Row],[Ovr]]="","",IF(Table5[[#This Row],[cmbList]]="","",Table5[[#This Row],[cmbList]]-Table5[[#This Row],[Ovr]]))</f>
        <v/>
      </c>
      <c r="AD845" s="77" t="str">
        <f>IF(ISERROR(VLOOKUP($AB845&amp;"-"&amp;$E845&amp;" "&amp;F845,Bonuses!$B$1:$G$1006,4,FALSE)),"",INT(VLOOKUP($AB845&amp;"-"&amp;$E845&amp;" "&amp;$F845,Bonuses!$B$1:$G$1006,4,FALSE)))</f>
        <v/>
      </c>
      <c r="AE8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6" spans="1:31" s="50" customFormat="1" x14ac:dyDescent="0.25">
      <c r="A846" s="50">
        <v>20682</v>
      </c>
      <c r="B846" s="50">
        <f>COUNTIF(Table5[PID],A846)</f>
        <v>1</v>
      </c>
      <c r="C846" s="50" t="str">
        <f>IF(COUNTIF(Table3[[#All],[PID]],A846)&gt;0,"P","B")</f>
        <v>P</v>
      </c>
      <c r="D846" s="59" t="str">
        <f>IF($C846="B",INDEX(Batters[[#All],[POS]],MATCH(Table5[[#This Row],[PID]],Batters[[#All],[PID]],0)),INDEX(Table3[[#All],[POS]],MATCH(Table5[[#This Row],[PID]],Table3[[#All],[PID]],0)))</f>
        <v>RP</v>
      </c>
      <c r="E846" s="52" t="str">
        <f>IF($C846="B",INDEX(Batters[[#All],[First]],MATCH(Table5[[#This Row],[PID]],Batters[[#All],[PID]],0)),INDEX(Table3[[#All],[First]],MATCH(Table5[[#This Row],[PID]],Table3[[#All],[PID]],0)))</f>
        <v>Yuan</v>
      </c>
      <c r="F846" s="50" t="str">
        <f>IF($C846="B",INDEX(Batters[[#All],[Last]],MATCH(A846,Batters[[#All],[PID]],0)),INDEX(Table3[[#All],[Last]],MATCH(A846,Table3[[#All],[PID]],0)))</f>
        <v>Chin</v>
      </c>
      <c r="G846" s="56">
        <f>IF($C846="B",INDEX(Batters[[#All],[Age]],MATCH(Table5[[#This Row],[PID]],Batters[[#All],[PID]],0)),INDEX(Table3[[#All],[Age]],MATCH(Table5[[#This Row],[PID]],Table3[[#All],[PID]],0)))</f>
        <v>18</v>
      </c>
      <c r="H846" s="52" t="str">
        <f>IF($C846="B",INDEX(Batters[[#All],[B]],MATCH(Table5[[#This Row],[PID]],Batters[[#All],[PID]],0)),INDEX(Table3[[#All],[B]],MATCH(Table5[[#This Row],[PID]],Table3[[#All],[PID]],0)))</f>
        <v>R</v>
      </c>
      <c r="I846" s="52" t="str">
        <f>IF($C846="B",INDEX(Batters[[#All],[T]],MATCH(Table5[[#This Row],[PID]],Batters[[#All],[PID]],0)),INDEX(Table3[[#All],[T]],MATCH(Table5[[#This Row],[PID]],Table3[[#All],[PID]],0)))</f>
        <v>R</v>
      </c>
      <c r="J846" s="52" t="str">
        <f>IF($C846="B",INDEX(Batters[[#All],[WE]],MATCH(Table5[[#This Row],[PID]],Batters[[#All],[PID]],0)),INDEX(Table3[[#All],[WE]],MATCH(Table5[[#This Row],[PID]],Table3[[#All],[PID]],0)))</f>
        <v>High</v>
      </c>
      <c r="K846" s="52" t="str">
        <f>IF($C846="B",INDEX(Batters[[#All],[INT]],MATCH(Table5[[#This Row],[PID]],Batters[[#All],[PID]],0)),INDEX(Table3[[#All],[INT]],MATCH(Table5[[#This Row],[PID]],Table3[[#All],[PID]],0)))</f>
        <v>Normal</v>
      </c>
      <c r="L846" s="60">
        <f>IF($C846="B",INDEX(Batters[[#All],[CON P]],MATCH(Table5[[#This Row],[PID]],Batters[[#All],[PID]],0)),INDEX(Table3[[#All],[STU P]],MATCH(Table5[[#This Row],[PID]],Table3[[#All],[PID]],0)))</f>
        <v>4</v>
      </c>
      <c r="M846" s="56">
        <f>IF($C846="B",INDEX(Batters[[#All],[GAP P]],MATCH(Table5[[#This Row],[PID]],Batters[[#All],[PID]],0)),INDEX(Table3[[#All],[MOV P]],MATCH(Table5[[#This Row],[PID]],Table3[[#All],[PID]],0)))</f>
        <v>2</v>
      </c>
      <c r="N846" s="56">
        <f>IF($C846="B",INDEX(Batters[[#All],[POW P]],MATCH(Table5[[#This Row],[PID]],Batters[[#All],[PID]],0)),INDEX(Table3[[#All],[CON P]],MATCH(Table5[[#This Row],[PID]],Table3[[#All],[PID]],0)))</f>
        <v>2</v>
      </c>
      <c r="O846" s="56" t="str">
        <f>IF($C846="B",INDEX(Batters[[#All],[EYE P]],MATCH(Table5[[#This Row],[PID]],Batters[[#All],[PID]],0)),INDEX(Table3[[#All],[VELO]],MATCH(Table5[[#This Row],[PID]],Table3[[#All],[PID]],0)))</f>
        <v>88-90 Mph</v>
      </c>
      <c r="P846" s="56">
        <f>IF($C846="B",INDEX(Batters[[#All],[K P]],MATCH(Table5[[#This Row],[PID]],Batters[[#All],[PID]],0)),INDEX(Table3[[#All],[STM]],MATCH(Table5[[#This Row],[PID]],Table3[[#All],[PID]],0)))</f>
        <v>5</v>
      </c>
      <c r="Q846" s="61">
        <f>IF($C846="B",INDEX(Batters[[#All],[Tot]],MATCH(Table5[[#This Row],[PID]],Batters[[#All],[PID]],0)),INDEX(Table3[[#All],[Tot]],MATCH(Table5[[#This Row],[PID]],Table3[[#All],[PID]],0)))</f>
        <v>30.689351557812085</v>
      </c>
      <c r="R846" s="52">
        <f>IF($C846="B",INDEX(Batters[[#All],[zScore]],MATCH(Table5[[#This Row],[PID]],Batters[[#All],[PID]],0)),INDEX(Table3[[#All],[zScore]],MATCH(Table5[[#This Row],[PID]],Table3[[#All],[PID]],0)))</f>
        <v>-0.34469562110106799</v>
      </c>
      <c r="S846" s="58" t="str">
        <f>IF($C846="B",INDEX(Batters[[#All],[DEM]],MATCH(Table5[[#This Row],[PID]],Batters[[#All],[PID]],0)),INDEX(Table3[[#All],[DEM]],MATCH(Table5[[#This Row],[PID]],Table3[[#All],[PID]],0)))</f>
        <v>$65k</v>
      </c>
      <c r="T846" s="62">
        <f>IF($C846="B",INDEX(Batters[[#All],[Rnk]],MATCH(Table5[[#This Row],[PID]],Batters[[#All],[PID]],0)),INDEX(Table3[[#All],[Rnk]],MATCH(Table5[[#This Row],[PID]],Table3[[#All],[PID]],0)))</f>
        <v>448</v>
      </c>
      <c r="U846" s="68">
        <f>IF($C846="B",VLOOKUP($A846,Bat!$A$4:$BA$1621,47,FALSE),VLOOKUP($A846,Pit!$A$4:$BF$1557,56,FALSE))</f>
        <v>0</v>
      </c>
      <c r="V846" s="50">
        <f>IF($C846="B",VLOOKUP($A846,Bat!$A$4:$BA$1621,48,FALSE),VLOOKUP($A846,Pit!$A$4:$BF$1557,57,FALSE))</f>
        <v>0</v>
      </c>
      <c r="W846" s="50">
        <f>Table5[[#This Row],[posRnk]]+Table5[[#This Row],[zRnk]]+IF($W$3&lt;&gt;Table5[[#This Row],[Type]],50,0)</f>
        <v>1256</v>
      </c>
      <c r="X846" s="51">
        <f>RANK(Table5[[#This Row],[zScore]],Table5[[#All],[zScore]])</f>
        <v>758</v>
      </c>
      <c r="Y846" s="50" t="str">
        <f>IFERROR(INDEX(DraftResults[[#All],[OVR]],MATCH(Table5[[#This Row],[PID]],DraftResults[[#All],[Player ID]],0)),"")</f>
        <v/>
      </c>
      <c r="Z8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6" s="50" t="str">
        <f>IFERROR(INDEX(DraftResults[[#All],[Pick in Round]],MATCH(Table5[[#This Row],[PID]],DraftResults[[#All],[Player ID]],0)),"")</f>
        <v/>
      </c>
      <c r="AB846" s="50" t="str">
        <f>IFERROR(INDEX(DraftResults[[#All],[Team Name]],MATCH(Table5[[#This Row],[PID]],DraftResults[[#All],[Player ID]],0)),"")</f>
        <v/>
      </c>
      <c r="AC846" s="50" t="str">
        <f>IF(Table5[[#This Row],[Ovr]]="","",IF(Table5[[#This Row],[cmbList]]="","",Table5[[#This Row],[cmbList]]-Table5[[#This Row],[Ovr]]))</f>
        <v/>
      </c>
      <c r="AD846" s="54" t="str">
        <f>IF(ISERROR(VLOOKUP($AB846&amp;"-"&amp;$E846&amp;" "&amp;F846,Bonuses!$B$1:$G$1006,4,FALSE)),"",INT(VLOOKUP($AB846&amp;"-"&amp;$E846&amp;" "&amp;$F846,Bonuses!$B$1:$G$1006,4,FALSE)))</f>
        <v/>
      </c>
      <c r="AE8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7" spans="1:31" s="50" customFormat="1" x14ac:dyDescent="0.25">
      <c r="A847" s="50">
        <v>20686</v>
      </c>
      <c r="B847" s="55">
        <f>COUNTIF(Table5[PID],A847)</f>
        <v>1</v>
      </c>
      <c r="C847" s="55" t="str">
        <f>IF(COUNTIF(Table3[[#All],[PID]],A847)&gt;0,"P","B")</f>
        <v>P</v>
      </c>
      <c r="D847" s="59" t="str">
        <f>IF($C847="B",INDEX(Batters[[#All],[POS]],MATCH(Table5[[#This Row],[PID]],Batters[[#All],[PID]],0)),INDEX(Table3[[#All],[POS]],MATCH(Table5[[#This Row],[PID]],Table3[[#All],[PID]],0)))</f>
        <v>RP</v>
      </c>
      <c r="E847" s="52" t="str">
        <f>IF($C847="B",INDEX(Batters[[#All],[First]],MATCH(Table5[[#This Row],[PID]],Batters[[#All],[PID]],0)),INDEX(Table3[[#All],[First]],MATCH(Table5[[#This Row],[PID]],Table3[[#All],[PID]],0)))</f>
        <v>Ke-yue</v>
      </c>
      <c r="F847" s="50" t="str">
        <f>IF($C847="B",INDEX(Batters[[#All],[Last]],MATCH(A847,Batters[[#All],[PID]],0)),INDEX(Table3[[#All],[Last]],MATCH(A847,Table3[[#All],[PID]],0)))</f>
        <v>Ngui</v>
      </c>
      <c r="G847" s="56">
        <f>IF($C847="B",INDEX(Batters[[#All],[Age]],MATCH(Table5[[#This Row],[PID]],Batters[[#All],[PID]],0)),INDEX(Table3[[#All],[Age]],MATCH(Table5[[#This Row],[PID]],Table3[[#All],[PID]],0)))</f>
        <v>17</v>
      </c>
      <c r="H847" s="52" t="str">
        <f>IF($C847="B",INDEX(Batters[[#All],[B]],MATCH(Table5[[#This Row],[PID]],Batters[[#All],[PID]],0)),INDEX(Table3[[#All],[B]],MATCH(Table5[[#This Row],[PID]],Table3[[#All],[PID]],0)))</f>
        <v>R</v>
      </c>
      <c r="I847" s="52" t="str">
        <f>IF($C847="B",INDEX(Batters[[#All],[T]],MATCH(Table5[[#This Row],[PID]],Batters[[#All],[PID]],0)),INDEX(Table3[[#All],[T]],MATCH(Table5[[#This Row],[PID]],Table3[[#All],[PID]],0)))</f>
        <v>R</v>
      </c>
      <c r="J847" s="52" t="str">
        <f>IF($C847="B",INDEX(Batters[[#All],[WE]],MATCH(Table5[[#This Row],[PID]],Batters[[#All],[PID]],0)),INDEX(Table3[[#All],[WE]],MATCH(Table5[[#This Row],[PID]],Table3[[#All],[PID]],0)))</f>
        <v>Low</v>
      </c>
      <c r="K847" s="52" t="str">
        <f>IF($C847="B",INDEX(Batters[[#All],[INT]],MATCH(Table5[[#This Row],[PID]],Batters[[#All],[PID]],0)),INDEX(Table3[[#All],[INT]],MATCH(Table5[[#This Row],[PID]],Table3[[#All],[PID]],0)))</f>
        <v>Low</v>
      </c>
      <c r="L847" s="60">
        <f>IF($C847="B",INDEX(Batters[[#All],[CON P]],MATCH(Table5[[#This Row],[PID]],Batters[[#All],[PID]],0)),INDEX(Table3[[#All],[STU P]],MATCH(Table5[[#This Row],[PID]],Table3[[#All],[PID]],0)))</f>
        <v>4</v>
      </c>
      <c r="M847" s="56">
        <f>IF($C847="B",INDEX(Batters[[#All],[GAP P]],MATCH(Table5[[#This Row],[PID]],Batters[[#All],[PID]],0)),INDEX(Table3[[#All],[MOV P]],MATCH(Table5[[#This Row],[PID]],Table3[[#All],[PID]],0)))</f>
        <v>2</v>
      </c>
      <c r="N847" s="56">
        <f>IF($C847="B",INDEX(Batters[[#All],[POW P]],MATCH(Table5[[#This Row],[PID]],Batters[[#All],[PID]],0)),INDEX(Table3[[#All],[CON P]],MATCH(Table5[[#This Row],[PID]],Table3[[#All],[PID]],0)))</f>
        <v>2</v>
      </c>
      <c r="O847" s="56" t="str">
        <f>IF($C847="B",INDEX(Batters[[#All],[EYE P]],MATCH(Table5[[#This Row],[PID]],Batters[[#All],[PID]],0)),INDEX(Table3[[#All],[VELO]],MATCH(Table5[[#This Row],[PID]],Table3[[#All],[PID]],0)))</f>
        <v>86-88 Mph</v>
      </c>
      <c r="P847" s="56">
        <f>IF($C847="B",INDEX(Batters[[#All],[K P]],MATCH(Table5[[#This Row],[PID]],Batters[[#All],[PID]],0)),INDEX(Table3[[#All],[STM]],MATCH(Table5[[#This Row],[PID]],Table3[[#All],[PID]],0)))</f>
        <v>5</v>
      </c>
      <c r="Q847" s="61">
        <f>IF($C847="B",INDEX(Batters[[#All],[Tot]],MATCH(Table5[[#This Row],[PID]],Batters[[#All],[PID]],0)),INDEX(Table3[[#All],[Tot]],MATCH(Table5[[#This Row],[PID]],Table3[[#All],[PID]],0)))</f>
        <v>30.656133979921485</v>
      </c>
      <c r="R847" s="52">
        <f>IF($C847="B",INDEX(Batters[[#All],[zScore]],MATCH(Table5[[#This Row],[PID]],Batters[[#All],[PID]],0)),INDEX(Table3[[#All],[zScore]],MATCH(Table5[[#This Row],[PID]],Table3[[#All],[PID]],0)))</f>
        <v>-0.34690553579805511</v>
      </c>
      <c r="S847" s="58" t="str">
        <f>IF($C847="B",INDEX(Batters[[#All],[DEM]],MATCH(Table5[[#This Row],[PID]],Batters[[#All],[PID]],0)),INDEX(Table3[[#All],[DEM]],MATCH(Table5[[#This Row],[PID]],Table3[[#All],[PID]],0)))</f>
        <v>$65k</v>
      </c>
      <c r="T847" s="62">
        <f>IF($C847="B",INDEX(Batters[[#All],[Rnk]],MATCH(Table5[[#This Row],[PID]],Batters[[#All],[PID]],0)),INDEX(Table3[[#All],[Rnk]],MATCH(Table5[[#This Row],[PID]],Table3[[#All],[PID]],0)))</f>
        <v>449</v>
      </c>
      <c r="U847" s="68">
        <f>IF($C847="B",VLOOKUP($A847,Bat!$A$4:$BA$1621,47,FALSE),VLOOKUP($A847,Pit!$A$4:$BF$1557,56,FALSE))</f>
        <v>0</v>
      </c>
      <c r="V847" s="50">
        <f>IF($C847="B",VLOOKUP($A847,Bat!$A$4:$BA$1621,48,FALSE),VLOOKUP($A847,Pit!$A$4:$BF$1557,57,FALSE))</f>
        <v>0</v>
      </c>
      <c r="W847" s="50">
        <f>Table5[[#This Row],[posRnk]]+Table5[[#This Row],[zRnk]]+IF($W$3&lt;&gt;Table5[[#This Row],[Type]],50,0)</f>
        <v>1258</v>
      </c>
      <c r="X847" s="51">
        <f>RANK(Table5[[#This Row],[zScore]],Table5[[#All],[zScore]])</f>
        <v>759</v>
      </c>
      <c r="Y847" s="50" t="str">
        <f>IFERROR(INDEX(DraftResults[[#All],[OVR]],MATCH(Table5[[#This Row],[PID]],DraftResults[[#All],[Player ID]],0)),"")</f>
        <v/>
      </c>
      <c r="Z8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7" s="50" t="str">
        <f>IFERROR(INDEX(DraftResults[[#All],[Pick in Round]],MATCH(Table5[[#This Row],[PID]],DraftResults[[#All],[Player ID]],0)),"")</f>
        <v/>
      </c>
      <c r="AB847" s="50" t="str">
        <f>IFERROR(INDEX(DraftResults[[#All],[Team Name]],MATCH(Table5[[#This Row],[PID]],DraftResults[[#All],[Player ID]],0)),"")</f>
        <v/>
      </c>
      <c r="AC847" s="50" t="str">
        <f>IF(Table5[[#This Row],[Ovr]]="","",IF(Table5[[#This Row],[cmbList]]="","",Table5[[#This Row],[cmbList]]-Table5[[#This Row],[Ovr]]))</f>
        <v/>
      </c>
      <c r="AD847" s="54" t="str">
        <f>IF(ISERROR(VLOOKUP($AB847&amp;"-"&amp;$E847&amp;" "&amp;F847,Bonuses!$B$1:$G$1006,4,FALSE)),"",INT(VLOOKUP($AB847&amp;"-"&amp;$E847&amp;" "&amp;$F847,Bonuses!$B$1:$G$1006,4,FALSE)))</f>
        <v/>
      </c>
      <c r="AE8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8" spans="1:31" s="50" customFormat="1" x14ac:dyDescent="0.25">
      <c r="A848" s="50">
        <v>20829</v>
      </c>
      <c r="B848" s="50">
        <f>COUNTIF(Table5[PID],A848)</f>
        <v>1</v>
      </c>
      <c r="C848" s="50" t="str">
        <f>IF(COUNTIF(Table3[[#All],[PID]],A848)&gt;0,"P","B")</f>
        <v>P</v>
      </c>
      <c r="D848" s="59" t="str">
        <f>IF($C848="B",INDEX(Batters[[#All],[POS]],MATCH(Table5[[#This Row],[PID]],Batters[[#All],[PID]],0)),INDEX(Table3[[#All],[POS]],MATCH(Table5[[#This Row],[PID]],Table3[[#All],[PID]],0)))</f>
        <v>RP</v>
      </c>
      <c r="E848" s="52" t="str">
        <f>IF($C848="B",INDEX(Batters[[#All],[First]],MATCH(Table5[[#This Row],[PID]],Batters[[#All],[PID]],0)),INDEX(Table3[[#All],[First]],MATCH(Table5[[#This Row],[PID]],Table3[[#All],[PID]],0)))</f>
        <v>Doug</v>
      </c>
      <c r="F848" s="50" t="str">
        <f>IF($C848="B",INDEX(Batters[[#All],[Last]],MATCH(A848,Batters[[#All],[PID]],0)),INDEX(Table3[[#All],[Last]],MATCH(A848,Table3[[#All],[PID]],0)))</f>
        <v>Jones</v>
      </c>
      <c r="G848" s="56">
        <f>IF($C848="B",INDEX(Batters[[#All],[Age]],MATCH(Table5[[#This Row],[PID]],Batters[[#All],[PID]],0)),INDEX(Table3[[#All],[Age]],MATCH(Table5[[#This Row],[PID]],Table3[[#All],[PID]],0)))</f>
        <v>17</v>
      </c>
      <c r="H848" s="52" t="str">
        <f>IF($C848="B",INDEX(Batters[[#All],[B]],MATCH(Table5[[#This Row],[PID]],Batters[[#All],[PID]],0)),INDEX(Table3[[#All],[B]],MATCH(Table5[[#This Row],[PID]],Table3[[#All],[PID]],0)))</f>
        <v>R</v>
      </c>
      <c r="I848" s="52" t="str">
        <f>IF($C848="B",INDEX(Batters[[#All],[T]],MATCH(Table5[[#This Row],[PID]],Batters[[#All],[PID]],0)),INDEX(Table3[[#All],[T]],MATCH(Table5[[#This Row],[PID]],Table3[[#All],[PID]],0)))</f>
        <v>R</v>
      </c>
      <c r="J848" s="52" t="str">
        <f>IF($C848="B",INDEX(Batters[[#All],[WE]],MATCH(Table5[[#This Row],[PID]],Batters[[#All],[PID]],0)),INDEX(Table3[[#All],[WE]],MATCH(Table5[[#This Row],[PID]],Table3[[#All],[PID]],0)))</f>
        <v>Normal</v>
      </c>
      <c r="K848" s="52" t="str">
        <f>IF($C848="B",INDEX(Batters[[#All],[INT]],MATCH(Table5[[#This Row],[PID]],Batters[[#All],[PID]],0)),INDEX(Table3[[#All],[INT]],MATCH(Table5[[#This Row],[PID]],Table3[[#All],[PID]],0)))</f>
        <v>Normal</v>
      </c>
      <c r="L848" s="60">
        <f>IF($C848="B",INDEX(Batters[[#All],[CON P]],MATCH(Table5[[#This Row],[PID]],Batters[[#All],[PID]],0)),INDEX(Table3[[#All],[STU P]],MATCH(Table5[[#This Row],[PID]],Table3[[#All],[PID]],0)))</f>
        <v>3</v>
      </c>
      <c r="M848" s="56">
        <f>IF($C848="B",INDEX(Batters[[#All],[GAP P]],MATCH(Table5[[#This Row],[PID]],Batters[[#All],[PID]],0)),INDEX(Table3[[#All],[MOV P]],MATCH(Table5[[#This Row],[PID]],Table3[[#All],[PID]],0)))</f>
        <v>2</v>
      </c>
      <c r="N848" s="56">
        <f>IF($C848="B",INDEX(Batters[[#All],[POW P]],MATCH(Table5[[#This Row],[PID]],Batters[[#All],[PID]],0)),INDEX(Table3[[#All],[CON P]],MATCH(Table5[[#This Row],[PID]],Table3[[#All],[PID]],0)))</f>
        <v>3</v>
      </c>
      <c r="O848" s="56" t="str">
        <f>IF($C848="B",INDEX(Batters[[#All],[EYE P]],MATCH(Table5[[#This Row],[PID]],Batters[[#All],[PID]],0)),INDEX(Table3[[#All],[VELO]],MATCH(Table5[[#This Row],[PID]],Table3[[#All],[PID]],0)))</f>
        <v>86-88 Mph</v>
      </c>
      <c r="P848" s="56">
        <f>IF($C848="B",INDEX(Batters[[#All],[K P]],MATCH(Table5[[#This Row],[PID]],Batters[[#All],[PID]],0)),INDEX(Table3[[#All],[STM]],MATCH(Table5[[#This Row],[PID]],Table3[[#All],[PID]],0)))</f>
        <v>8</v>
      </c>
      <c r="Q848" s="61">
        <f>IF($C848="B",INDEX(Batters[[#All],[Tot]],MATCH(Table5[[#This Row],[PID]],Batters[[#All],[PID]],0)),INDEX(Table3[[#All],[Tot]],MATCH(Table5[[#This Row],[PID]],Table3[[#All],[PID]],0)))</f>
        <v>30.629704217103708</v>
      </c>
      <c r="R848" s="52">
        <f>IF($C848="B",INDEX(Batters[[#All],[zScore]],MATCH(Table5[[#This Row],[PID]],Batters[[#All],[PID]],0)),INDEX(Table3[[#All],[zScore]],MATCH(Table5[[#This Row],[PID]],Table3[[#All],[PID]],0)))</f>
        <v>-0.34866386753076756</v>
      </c>
      <c r="S848" s="58" t="str">
        <f>IF($C848="B",INDEX(Batters[[#All],[DEM]],MATCH(Table5[[#This Row],[PID]],Batters[[#All],[PID]],0)),INDEX(Table3[[#All],[DEM]],MATCH(Table5[[#This Row],[PID]],Table3[[#All],[PID]],0)))</f>
        <v>$70k</v>
      </c>
      <c r="T848" s="62">
        <f>IF($C848="B",INDEX(Batters[[#All],[Rnk]],MATCH(Table5[[#This Row],[PID]],Batters[[#All],[PID]],0)),INDEX(Table3[[#All],[Rnk]],MATCH(Table5[[#This Row],[PID]],Table3[[#All],[PID]],0)))</f>
        <v>450</v>
      </c>
      <c r="U848" s="68">
        <f>IF($C848="B",VLOOKUP($A848,Bat!$A$4:$BA$1621,47,FALSE),VLOOKUP($A848,Pit!$A$4:$BF$1557,56,FALSE))</f>
        <v>0</v>
      </c>
      <c r="V848" s="50">
        <f>IF($C848="B",VLOOKUP($A848,Bat!$A$4:$BA$1621,48,FALSE),VLOOKUP($A848,Pit!$A$4:$BF$1557,57,FALSE))</f>
        <v>0</v>
      </c>
      <c r="W848" s="50">
        <f>Table5[[#This Row],[posRnk]]+Table5[[#This Row],[zRnk]]+IF($W$3&lt;&gt;Table5[[#This Row],[Type]],50,0)</f>
        <v>1260</v>
      </c>
      <c r="X848" s="51">
        <f>RANK(Table5[[#This Row],[zScore]],Table5[[#All],[zScore]])</f>
        <v>760</v>
      </c>
      <c r="Y848" s="50" t="str">
        <f>IFERROR(INDEX(DraftResults[[#All],[OVR]],MATCH(Table5[[#This Row],[PID]],DraftResults[[#All],[Player ID]],0)),"")</f>
        <v/>
      </c>
      <c r="Z8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8" s="50" t="str">
        <f>IFERROR(INDEX(DraftResults[[#All],[Pick in Round]],MATCH(Table5[[#This Row],[PID]],DraftResults[[#All],[Player ID]],0)),"")</f>
        <v/>
      </c>
      <c r="AB848" s="50" t="str">
        <f>IFERROR(INDEX(DraftResults[[#All],[Team Name]],MATCH(Table5[[#This Row],[PID]],DraftResults[[#All],[Player ID]],0)),"")</f>
        <v/>
      </c>
      <c r="AC848" s="50" t="str">
        <f>IF(Table5[[#This Row],[Ovr]]="","",IF(Table5[[#This Row],[cmbList]]="","",Table5[[#This Row],[cmbList]]-Table5[[#This Row],[Ovr]]))</f>
        <v/>
      </c>
      <c r="AD848" s="54" t="str">
        <f>IF(ISERROR(VLOOKUP($AB848&amp;"-"&amp;$E848&amp;" "&amp;F848,Bonuses!$B$1:$G$1006,4,FALSE)),"",INT(VLOOKUP($AB848&amp;"-"&amp;$E848&amp;" "&amp;$F848,Bonuses!$B$1:$G$1006,4,FALSE)))</f>
        <v/>
      </c>
      <c r="AE8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49" spans="1:31" s="50" customFormat="1" x14ac:dyDescent="0.25">
      <c r="A849" s="50">
        <v>17613</v>
      </c>
      <c r="B849" s="50">
        <f>COUNTIF(Table5[PID],A849)</f>
        <v>1</v>
      </c>
      <c r="C849" s="50" t="str">
        <f>IF(COUNTIF(Table3[[#All],[PID]],A849)&gt;0,"P","B")</f>
        <v>P</v>
      </c>
      <c r="D849" s="59" t="str">
        <f>IF($C849="B",INDEX(Batters[[#All],[POS]],MATCH(Table5[[#This Row],[PID]],Batters[[#All],[PID]],0)),INDEX(Table3[[#All],[POS]],MATCH(Table5[[#This Row],[PID]],Table3[[#All],[PID]],0)))</f>
        <v>RP</v>
      </c>
      <c r="E849" s="52" t="str">
        <f>IF($C849="B",INDEX(Batters[[#All],[First]],MATCH(Table5[[#This Row],[PID]],Batters[[#All],[PID]],0)),INDEX(Table3[[#All],[First]],MATCH(Table5[[#This Row],[PID]],Table3[[#All],[PID]],0)))</f>
        <v>Miguel</v>
      </c>
      <c r="F849" s="50" t="str">
        <f>IF($C849="B",INDEX(Batters[[#All],[Last]],MATCH(A849,Batters[[#All],[PID]],0)),INDEX(Table3[[#All],[Last]],MATCH(A849,Table3[[#All],[PID]],0)))</f>
        <v>Nleto</v>
      </c>
      <c r="G849" s="56">
        <f>IF($C849="B",INDEX(Batters[[#All],[Age]],MATCH(Table5[[#This Row],[PID]],Batters[[#All],[PID]],0)),INDEX(Table3[[#All],[Age]],MATCH(Table5[[#This Row],[PID]],Table3[[#All],[PID]],0)))</f>
        <v>18</v>
      </c>
      <c r="H849" s="52" t="str">
        <f>IF($C849="B",INDEX(Batters[[#All],[B]],MATCH(Table5[[#This Row],[PID]],Batters[[#All],[PID]],0)),INDEX(Table3[[#All],[B]],MATCH(Table5[[#This Row],[PID]],Table3[[#All],[PID]],0)))</f>
        <v>R</v>
      </c>
      <c r="I849" s="52" t="str">
        <f>IF($C849="B",INDEX(Batters[[#All],[T]],MATCH(Table5[[#This Row],[PID]],Batters[[#All],[PID]],0)),INDEX(Table3[[#All],[T]],MATCH(Table5[[#This Row],[PID]],Table3[[#All],[PID]],0)))</f>
        <v>R</v>
      </c>
      <c r="J849" s="52" t="str">
        <f>IF($C849="B",INDEX(Batters[[#All],[WE]],MATCH(Table5[[#This Row],[PID]],Batters[[#All],[PID]],0)),INDEX(Table3[[#All],[WE]],MATCH(Table5[[#This Row],[PID]],Table3[[#All],[PID]],0)))</f>
        <v>High</v>
      </c>
      <c r="K849" s="52" t="str">
        <f>IF($C849="B",INDEX(Batters[[#All],[INT]],MATCH(Table5[[#This Row],[PID]],Batters[[#All],[PID]],0)),INDEX(Table3[[#All],[INT]],MATCH(Table5[[#This Row],[PID]],Table3[[#All],[PID]],0)))</f>
        <v>Normal</v>
      </c>
      <c r="L849" s="60">
        <f>IF($C849="B",INDEX(Batters[[#All],[CON P]],MATCH(Table5[[#This Row],[PID]],Batters[[#All],[PID]],0)),INDEX(Table3[[#All],[STU P]],MATCH(Table5[[#This Row],[PID]],Table3[[#All],[PID]],0)))</f>
        <v>3</v>
      </c>
      <c r="M849" s="56">
        <f>IF($C849="B",INDEX(Batters[[#All],[GAP P]],MATCH(Table5[[#This Row],[PID]],Batters[[#All],[PID]],0)),INDEX(Table3[[#All],[MOV P]],MATCH(Table5[[#This Row],[PID]],Table3[[#All],[PID]],0)))</f>
        <v>1</v>
      </c>
      <c r="N849" s="56">
        <f>IF($C849="B",INDEX(Batters[[#All],[POW P]],MATCH(Table5[[#This Row],[PID]],Batters[[#All],[PID]],0)),INDEX(Table3[[#All],[CON P]],MATCH(Table5[[#This Row],[PID]],Table3[[#All],[PID]],0)))</f>
        <v>4</v>
      </c>
      <c r="O849" s="56" t="str">
        <f>IF($C849="B",INDEX(Batters[[#All],[EYE P]],MATCH(Table5[[#This Row],[PID]],Batters[[#All],[PID]],0)),INDEX(Table3[[#All],[VELO]],MATCH(Table5[[#This Row],[PID]],Table3[[#All],[PID]],0)))</f>
        <v>85-87 Mph</v>
      </c>
      <c r="P849" s="56">
        <f>IF($C849="B",INDEX(Batters[[#All],[K P]],MATCH(Table5[[#This Row],[PID]],Batters[[#All],[PID]],0)),INDEX(Table3[[#All],[STM]],MATCH(Table5[[#This Row],[PID]],Table3[[#All],[PID]],0)))</f>
        <v>4</v>
      </c>
      <c r="Q849" s="61">
        <f>IF($C849="B",INDEX(Batters[[#All],[Tot]],MATCH(Table5[[#This Row],[PID]],Batters[[#All],[PID]],0)),INDEX(Table3[[#All],[Tot]],MATCH(Table5[[#This Row],[PID]],Table3[[#All],[PID]],0)))</f>
        <v>30.595537317147091</v>
      </c>
      <c r="R849" s="52">
        <f>IF($C849="B",INDEX(Batters[[#All],[zScore]],MATCH(Table5[[#This Row],[PID]],Batters[[#All],[PID]],0)),INDEX(Table3[[#All],[zScore]],MATCH(Table5[[#This Row],[PID]],Table3[[#All],[PID]],0)))</f>
        <v>-0.35093693917413937</v>
      </c>
      <c r="S849" s="58" t="str">
        <f>IF($C849="B",INDEX(Batters[[#All],[DEM]],MATCH(Table5[[#This Row],[PID]],Batters[[#All],[PID]],0)),INDEX(Table3[[#All],[DEM]],MATCH(Table5[[#This Row],[PID]],Table3[[#All],[PID]],0)))</f>
        <v>$75k</v>
      </c>
      <c r="T849" s="62">
        <f>IF($C849="B",INDEX(Batters[[#All],[Rnk]],MATCH(Table5[[#This Row],[PID]],Batters[[#All],[PID]],0)),INDEX(Table3[[#All],[Rnk]],MATCH(Table5[[#This Row],[PID]],Table3[[#All],[PID]],0)))</f>
        <v>451</v>
      </c>
      <c r="U849" s="68">
        <f>IF($C849="B",VLOOKUP($A849,Bat!$A$4:$BA$1621,47,FALSE),VLOOKUP($A849,Pit!$A$4:$BF$1557,56,FALSE))</f>
        <v>0</v>
      </c>
      <c r="V849" s="50">
        <f>IF($C849="B",VLOOKUP($A849,Bat!$A$4:$BA$1621,48,FALSE),VLOOKUP($A849,Pit!$A$4:$BF$1557,57,FALSE))</f>
        <v>0</v>
      </c>
      <c r="W849" s="50">
        <f>Table5[[#This Row],[posRnk]]+Table5[[#This Row],[zRnk]]+IF($W$3&lt;&gt;Table5[[#This Row],[Type]],50,0)</f>
        <v>1262</v>
      </c>
      <c r="X849" s="51">
        <f>RANK(Table5[[#This Row],[zScore]],Table5[[#All],[zScore]])</f>
        <v>761</v>
      </c>
      <c r="Y849" s="50" t="str">
        <f>IFERROR(INDEX(DraftResults[[#All],[OVR]],MATCH(Table5[[#This Row],[PID]],DraftResults[[#All],[Player ID]],0)),"")</f>
        <v/>
      </c>
      <c r="Z8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49" s="50" t="str">
        <f>IFERROR(INDEX(DraftResults[[#All],[Pick in Round]],MATCH(Table5[[#This Row],[PID]],DraftResults[[#All],[Player ID]],0)),"")</f>
        <v/>
      </c>
      <c r="AB849" s="50" t="str">
        <f>IFERROR(INDEX(DraftResults[[#All],[Team Name]],MATCH(Table5[[#This Row],[PID]],DraftResults[[#All],[Player ID]],0)),"")</f>
        <v/>
      </c>
      <c r="AC849" s="50" t="str">
        <f>IF(Table5[[#This Row],[Ovr]]="","",IF(Table5[[#This Row],[cmbList]]="","",Table5[[#This Row],[cmbList]]-Table5[[#This Row],[Ovr]]))</f>
        <v/>
      </c>
      <c r="AD849" s="54" t="str">
        <f>IF(ISERROR(VLOOKUP($AB849&amp;"-"&amp;$E849&amp;" "&amp;F849,Bonuses!$B$1:$G$1006,4,FALSE)),"",INT(VLOOKUP($AB849&amp;"-"&amp;$E849&amp;" "&amp;$F849,Bonuses!$B$1:$G$1006,4,FALSE)))</f>
        <v/>
      </c>
      <c r="AE8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0" spans="1:31" s="50" customFormat="1" x14ac:dyDescent="0.25">
      <c r="A850" s="50">
        <v>18247</v>
      </c>
      <c r="B850" s="50">
        <f>COUNTIF(Table5[PID],A850)</f>
        <v>1</v>
      </c>
      <c r="C850" s="50" t="str">
        <f>IF(COUNTIF(Table3[[#All],[PID]],A850)&gt;0,"P","B")</f>
        <v>P</v>
      </c>
      <c r="D850" s="59" t="str">
        <f>IF($C850="B",INDEX(Batters[[#All],[POS]],MATCH(Table5[[#This Row],[PID]],Batters[[#All],[PID]],0)),INDEX(Table3[[#All],[POS]],MATCH(Table5[[#This Row],[PID]],Table3[[#All],[PID]],0)))</f>
        <v>RP</v>
      </c>
      <c r="E850" s="52" t="str">
        <f>IF($C850="B",INDEX(Batters[[#All],[First]],MATCH(Table5[[#This Row],[PID]],Batters[[#All],[PID]],0)),INDEX(Table3[[#All],[First]],MATCH(Table5[[#This Row],[PID]],Table3[[#All],[PID]],0)))</f>
        <v>Juan Carlos</v>
      </c>
      <c r="F850" s="50" t="str">
        <f>IF($C850="B",INDEX(Batters[[#All],[Last]],MATCH(A850,Batters[[#All],[PID]],0)),INDEX(Table3[[#All],[Last]],MATCH(A850,Table3[[#All],[PID]],0)))</f>
        <v>Sánchez</v>
      </c>
      <c r="G850" s="56">
        <f>IF($C850="B",INDEX(Batters[[#All],[Age]],MATCH(Table5[[#This Row],[PID]],Batters[[#All],[PID]],0)),INDEX(Table3[[#All],[Age]],MATCH(Table5[[#This Row],[PID]],Table3[[#All],[PID]],0)))</f>
        <v>18</v>
      </c>
      <c r="H850" s="52" t="str">
        <f>IF($C850="B",INDEX(Batters[[#All],[B]],MATCH(Table5[[#This Row],[PID]],Batters[[#All],[PID]],0)),INDEX(Table3[[#All],[B]],MATCH(Table5[[#This Row],[PID]],Table3[[#All],[PID]],0)))</f>
        <v>R</v>
      </c>
      <c r="I850" s="52" t="str">
        <f>IF($C850="B",INDEX(Batters[[#All],[T]],MATCH(Table5[[#This Row],[PID]],Batters[[#All],[PID]],0)),INDEX(Table3[[#All],[T]],MATCH(Table5[[#This Row],[PID]],Table3[[#All],[PID]],0)))</f>
        <v>R</v>
      </c>
      <c r="J850" s="52" t="str">
        <f>IF($C850="B",INDEX(Batters[[#All],[WE]],MATCH(Table5[[#This Row],[PID]],Batters[[#All],[PID]],0)),INDEX(Table3[[#All],[WE]],MATCH(Table5[[#This Row],[PID]],Table3[[#All],[PID]],0)))</f>
        <v>Normal</v>
      </c>
      <c r="K850" s="52" t="str">
        <f>IF($C850="B",INDEX(Batters[[#All],[INT]],MATCH(Table5[[#This Row],[PID]],Batters[[#All],[PID]],0)),INDEX(Table3[[#All],[INT]],MATCH(Table5[[#This Row],[PID]],Table3[[#All],[PID]],0)))</f>
        <v>Normal</v>
      </c>
      <c r="L850" s="60">
        <f>IF($C850="B",INDEX(Batters[[#All],[CON P]],MATCH(Table5[[#This Row],[PID]],Batters[[#All],[PID]],0)),INDEX(Table3[[#All],[STU P]],MATCH(Table5[[#This Row],[PID]],Table3[[#All],[PID]],0)))</f>
        <v>4</v>
      </c>
      <c r="M850" s="56">
        <f>IF($C850="B",INDEX(Batters[[#All],[GAP P]],MATCH(Table5[[#This Row],[PID]],Batters[[#All],[PID]],0)),INDEX(Table3[[#All],[MOV P]],MATCH(Table5[[#This Row],[PID]],Table3[[#All],[PID]],0)))</f>
        <v>1</v>
      </c>
      <c r="N850" s="56">
        <f>IF($C850="B",INDEX(Batters[[#All],[POW P]],MATCH(Table5[[#This Row],[PID]],Batters[[#All],[PID]],0)),INDEX(Table3[[#All],[CON P]],MATCH(Table5[[#This Row],[PID]],Table3[[#All],[PID]],0)))</f>
        <v>3</v>
      </c>
      <c r="O850" s="56" t="str">
        <f>IF($C850="B",INDEX(Batters[[#All],[EYE P]],MATCH(Table5[[#This Row],[PID]],Batters[[#All],[PID]],0)),INDEX(Table3[[#All],[VELO]],MATCH(Table5[[#This Row],[PID]],Table3[[#All],[PID]],0)))</f>
        <v>85-87 Mph</v>
      </c>
      <c r="P850" s="56">
        <f>IF($C850="B",INDEX(Batters[[#All],[K P]],MATCH(Table5[[#This Row],[PID]],Batters[[#All],[PID]],0)),INDEX(Table3[[#All],[STM]],MATCH(Table5[[#This Row],[PID]],Table3[[#All],[PID]],0)))</f>
        <v>4</v>
      </c>
      <c r="Q850" s="61">
        <f>IF($C850="B",INDEX(Batters[[#All],[Tot]],MATCH(Table5[[#This Row],[PID]],Batters[[#All],[PID]],0)),INDEX(Table3[[#All],[Tot]],MATCH(Table5[[#This Row],[PID]],Table3[[#All],[PID]],0)))</f>
        <v>30.563954507260974</v>
      </c>
      <c r="R850" s="52">
        <f>IF($C850="B",INDEX(Batters[[#All],[zScore]],MATCH(Table5[[#This Row],[PID]],Batters[[#All],[PID]],0)),INDEX(Table3[[#All],[zScore]],MATCH(Table5[[#This Row],[PID]],Table3[[#All],[PID]],0)))</f>
        <v>-0.35303809525389168</v>
      </c>
      <c r="S850" s="58" t="str">
        <f>IF($C850="B",INDEX(Batters[[#All],[DEM]],MATCH(Table5[[#This Row],[PID]],Batters[[#All],[PID]],0)),INDEX(Table3[[#All],[DEM]],MATCH(Table5[[#This Row],[PID]],Table3[[#All],[PID]],0)))</f>
        <v>$2.2m</v>
      </c>
      <c r="T850" s="62">
        <f>IF($C850="B",INDEX(Batters[[#All],[Rnk]],MATCH(Table5[[#This Row],[PID]],Batters[[#All],[PID]],0)),INDEX(Table3[[#All],[Rnk]],MATCH(Table5[[#This Row],[PID]],Table3[[#All],[PID]],0)))</f>
        <v>452</v>
      </c>
      <c r="U850" s="68">
        <f>IF($C850="B",VLOOKUP($A850,Bat!$A$4:$BA$1621,47,FALSE),VLOOKUP($A850,Pit!$A$4:$BF$1557,56,FALSE))</f>
        <v>0</v>
      </c>
      <c r="V850" s="50">
        <f>IF($C850="B",VLOOKUP($A850,Bat!$A$4:$BA$1621,48,FALSE),VLOOKUP($A850,Pit!$A$4:$BF$1557,57,FALSE))</f>
        <v>0</v>
      </c>
      <c r="W850" s="50">
        <f>Table5[[#This Row],[posRnk]]+Table5[[#This Row],[zRnk]]+IF($W$3&lt;&gt;Table5[[#This Row],[Type]],50,0)</f>
        <v>1264</v>
      </c>
      <c r="X850" s="51">
        <f>RANK(Table5[[#This Row],[zScore]],Table5[[#All],[zScore]])</f>
        <v>762</v>
      </c>
      <c r="Y850" s="50" t="str">
        <f>IFERROR(INDEX(DraftResults[[#All],[OVR]],MATCH(Table5[[#This Row],[PID]],DraftResults[[#All],[Player ID]],0)),"")</f>
        <v/>
      </c>
      <c r="Z8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0" s="50" t="str">
        <f>IFERROR(INDEX(DraftResults[[#All],[Pick in Round]],MATCH(Table5[[#This Row],[PID]],DraftResults[[#All],[Player ID]],0)),"")</f>
        <v/>
      </c>
      <c r="AB850" s="50" t="str">
        <f>IFERROR(INDEX(DraftResults[[#All],[Team Name]],MATCH(Table5[[#This Row],[PID]],DraftResults[[#All],[Player ID]],0)),"")</f>
        <v/>
      </c>
      <c r="AC850" s="50" t="str">
        <f>IF(Table5[[#This Row],[Ovr]]="","",IF(Table5[[#This Row],[cmbList]]="","",Table5[[#This Row],[cmbList]]-Table5[[#This Row],[Ovr]]))</f>
        <v/>
      </c>
      <c r="AD850" s="54" t="str">
        <f>IF(ISERROR(VLOOKUP($AB850&amp;"-"&amp;$E850&amp;" "&amp;F850,Bonuses!$B$1:$G$1006,4,FALSE)),"",INT(VLOOKUP($AB850&amp;"-"&amp;$E850&amp;" "&amp;$F850,Bonuses!$B$1:$G$1006,4,FALSE)))</f>
        <v/>
      </c>
      <c r="AE8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1" spans="1:31" s="50" customFormat="1" x14ac:dyDescent="0.25">
      <c r="A851" s="50">
        <v>8483</v>
      </c>
      <c r="B851" s="50">
        <f>COUNTIF(Table5[PID],A851)</f>
        <v>1</v>
      </c>
      <c r="C851" s="50" t="str">
        <f>IF(COUNTIF(Table3[[#All],[PID]],A851)&gt;0,"P","B")</f>
        <v>P</v>
      </c>
      <c r="D851" s="59" t="str">
        <f>IF($C851="B",INDEX(Batters[[#All],[POS]],MATCH(Table5[[#This Row],[PID]],Batters[[#All],[PID]],0)),INDEX(Table3[[#All],[POS]],MATCH(Table5[[#This Row],[PID]],Table3[[#All],[PID]],0)))</f>
        <v>RP</v>
      </c>
      <c r="E851" s="52" t="str">
        <f>IF($C851="B",INDEX(Batters[[#All],[First]],MATCH(Table5[[#This Row],[PID]],Batters[[#All],[PID]],0)),INDEX(Table3[[#All],[First]],MATCH(Table5[[#This Row],[PID]],Table3[[#All],[PID]],0)))</f>
        <v>Geoff</v>
      </c>
      <c r="F851" s="50" t="str">
        <f>IF($C851="B",INDEX(Batters[[#All],[Last]],MATCH(A851,Batters[[#All],[PID]],0)),INDEX(Table3[[#All],[Last]],MATCH(A851,Table3[[#All],[PID]],0)))</f>
        <v>Crawford</v>
      </c>
      <c r="G851" s="56">
        <f>IF($C851="B",INDEX(Batters[[#All],[Age]],MATCH(Table5[[#This Row],[PID]],Batters[[#All],[PID]],0)),INDEX(Table3[[#All],[Age]],MATCH(Table5[[#This Row],[PID]],Table3[[#All],[PID]],0)))</f>
        <v>22</v>
      </c>
      <c r="H851" s="52" t="str">
        <f>IF($C851="B",INDEX(Batters[[#All],[B]],MATCH(Table5[[#This Row],[PID]],Batters[[#All],[PID]],0)),INDEX(Table3[[#All],[B]],MATCH(Table5[[#This Row],[PID]],Table3[[#All],[PID]],0)))</f>
        <v>L</v>
      </c>
      <c r="I851" s="52" t="str">
        <f>IF($C851="B",INDEX(Batters[[#All],[T]],MATCH(Table5[[#This Row],[PID]],Batters[[#All],[PID]],0)),INDEX(Table3[[#All],[T]],MATCH(Table5[[#This Row],[PID]],Table3[[#All],[PID]],0)))</f>
        <v>L</v>
      </c>
      <c r="J851" s="52" t="str">
        <f>IF($C851="B",INDEX(Batters[[#All],[WE]],MATCH(Table5[[#This Row],[PID]],Batters[[#All],[PID]],0)),INDEX(Table3[[#All],[WE]],MATCH(Table5[[#This Row],[PID]],Table3[[#All],[PID]],0)))</f>
        <v>Low</v>
      </c>
      <c r="K851" s="52" t="str">
        <f>IF($C851="B",INDEX(Batters[[#All],[INT]],MATCH(Table5[[#This Row],[PID]],Batters[[#All],[PID]],0)),INDEX(Table3[[#All],[INT]],MATCH(Table5[[#This Row],[PID]],Table3[[#All],[PID]],0)))</f>
        <v>Low</v>
      </c>
      <c r="L851" s="60">
        <f>IF($C851="B",INDEX(Batters[[#All],[CON P]],MATCH(Table5[[#This Row],[PID]],Batters[[#All],[PID]],0)),INDEX(Table3[[#All],[STU P]],MATCH(Table5[[#This Row],[PID]],Table3[[#All],[PID]],0)))</f>
        <v>3</v>
      </c>
      <c r="M851" s="56">
        <f>IF($C851="B",INDEX(Batters[[#All],[GAP P]],MATCH(Table5[[#This Row],[PID]],Batters[[#All],[PID]],0)),INDEX(Table3[[#All],[MOV P]],MATCH(Table5[[#This Row],[PID]],Table3[[#All],[PID]],0)))</f>
        <v>2</v>
      </c>
      <c r="N851" s="56">
        <f>IF($C851="B",INDEX(Batters[[#All],[POW P]],MATCH(Table5[[#This Row],[PID]],Batters[[#All],[PID]],0)),INDEX(Table3[[#All],[CON P]],MATCH(Table5[[#This Row],[PID]],Table3[[#All],[PID]],0)))</f>
        <v>4</v>
      </c>
      <c r="O851" s="56" t="str">
        <f>IF($C851="B",INDEX(Batters[[#All],[EYE P]],MATCH(Table5[[#This Row],[PID]],Batters[[#All],[PID]],0)),INDEX(Table3[[#All],[VELO]],MATCH(Table5[[#This Row],[PID]],Table3[[#All],[PID]],0)))</f>
        <v>84-86 Mph</v>
      </c>
      <c r="P851" s="56">
        <f>IF($C851="B",INDEX(Batters[[#All],[K P]],MATCH(Table5[[#This Row],[PID]],Batters[[#All],[PID]],0)),INDEX(Table3[[#All],[STM]],MATCH(Table5[[#This Row],[PID]],Table3[[#All],[PID]],0)))</f>
        <v>6</v>
      </c>
      <c r="Q851" s="61">
        <f>IF($C851="B",INDEX(Batters[[#All],[Tot]],MATCH(Table5[[#This Row],[PID]],Batters[[#All],[PID]],0)),INDEX(Table3[[#All],[Tot]],MATCH(Table5[[#This Row],[PID]],Table3[[#All],[PID]],0)))</f>
        <v>30.563721191051819</v>
      </c>
      <c r="R851" s="52">
        <f>IF($C851="B",INDEX(Batters[[#All],[zScore]],MATCH(Table5[[#This Row],[PID]],Batters[[#All],[PID]],0)),INDEX(Table3[[#All],[zScore]],MATCH(Table5[[#This Row],[PID]],Table3[[#All],[PID]],0)))</f>
        <v>-0.35305361742475422</v>
      </c>
      <c r="S851" s="58" t="str">
        <f>IF($C851="B",INDEX(Batters[[#All],[DEM]],MATCH(Table5[[#This Row],[PID]],Batters[[#All],[PID]],0)),INDEX(Table3[[#All],[DEM]],MATCH(Table5[[#This Row],[PID]],Table3[[#All],[PID]],0)))</f>
        <v>-</v>
      </c>
      <c r="T851" s="62">
        <f>IF($C851="B",INDEX(Batters[[#All],[Rnk]],MATCH(Table5[[#This Row],[PID]],Batters[[#All],[PID]],0)),INDEX(Table3[[#All],[Rnk]],MATCH(Table5[[#This Row],[PID]],Table3[[#All],[PID]],0)))</f>
        <v>453</v>
      </c>
      <c r="U851" s="68">
        <f>IF($C851="B",VLOOKUP($A851,Bat!$A$4:$BA$1621,47,FALSE),VLOOKUP($A851,Pit!$A$4:$BF$1557,56,FALSE))</f>
        <v>0</v>
      </c>
      <c r="V851" s="50">
        <f>IF($C851="B",VLOOKUP($A851,Bat!$A$4:$BA$1621,48,FALSE),VLOOKUP($A851,Pit!$A$4:$BF$1557,57,FALSE))</f>
        <v>0</v>
      </c>
      <c r="W851" s="50">
        <f>Table5[[#This Row],[posRnk]]+Table5[[#This Row],[zRnk]]+IF($W$3&lt;&gt;Table5[[#This Row],[Type]],50,0)</f>
        <v>1266</v>
      </c>
      <c r="X851" s="51">
        <f>RANK(Table5[[#This Row],[zScore]],Table5[[#All],[zScore]])</f>
        <v>763</v>
      </c>
      <c r="Y851" s="50" t="str">
        <f>IFERROR(INDEX(DraftResults[[#All],[OVR]],MATCH(Table5[[#This Row],[PID]],DraftResults[[#All],[Player ID]],0)),"")</f>
        <v/>
      </c>
      <c r="Z8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1" s="50" t="str">
        <f>IFERROR(INDEX(DraftResults[[#All],[Pick in Round]],MATCH(Table5[[#This Row],[PID]],DraftResults[[#All],[Player ID]],0)),"")</f>
        <v/>
      </c>
      <c r="AB851" s="50" t="str">
        <f>IFERROR(INDEX(DraftResults[[#All],[Team Name]],MATCH(Table5[[#This Row],[PID]],DraftResults[[#All],[Player ID]],0)),"")</f>
        <v/>
      </c>
      <c r="AC851" s="50" t="str">
        <f>IF(Table5[[#This Row],[Ovr]]="","",IF(Table5[[#This Row],[cmbList]]="","",Table5[[#This Row],[cmbList]]-Table5[[#This Row],[Ovr]]))</f>
        <v/>
      </c>
      <c r="AD851" s="54" t="str">
        <f>IF(ISERROR(VLOOKUP($AB851&amp;"-"&amp;$E851&amp;" "&amp;F851,Bonuses!$B$1:$G$1006,4,FALSE)),"",INT(VLOOKUP($AB851&amp;"-"&amp;$E851&amp;" "&amp;$F851,Bonuses!$B$1:$G$1006,4,FALSE)))</f>
        <v/>
      </c>
      <c r="AE8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2" spans="1:31" s="50" customFormat="1" x14ac:dyDescent="0.25">
      <c r="A852" s="50">
        <v>8383</v>
      </c>
      <c r="B852" s="50">
        <f>COUNTIF(Table5[PID],A852)</f>
        <v>1</v>
      </c>
      <c r="C852" s="50" t="str">
        <f>IF(COUNTIF(Table3[[#All],[PID]],A852)&gt;0,"P","B")</f>
        <v>P</v>
      </c>
      <c r="D852" s="59" t="str">
        <f>IF($C852="B",INDEX(Batters[[#All],[POS]],MATCH(Table5[[#This Row],[PID]],Batters[[#All],[PID]],0)),INDEX(Table3[[#All],[POS]],MATCH(Table5[[#This Row],[PID]],Table3[[#All],[PID]],0)))</f>
        <v>RP</v>
      </c>
      <c r="E852" s="52" t="str">
        <f>IF($C852="B",INDEX(Batters[[#All],[First]],MATCH(Table5[[#This Row],[PID]],Batters[[#All],[PID]],0)),INDEX(Table3[[#All],[First]],MATCH(Table5[[#This Row],[PID]],Table3[[#All],[PID]],0)))</f>
        <v>Michizane</v>
      </c>
      <c r="F852" s="50" t="str">
        <f>IF($C852="B",INDEX(Batters[[#All],[Last]],MATCH(A852,Batters[[#All],[PID]],0)),INDEX(Table3[[#All],[Last]],MATCH(A852,Table3[[#All],[PID]],0)))</f>
        <v>Matsuo</v>
      </c>
      <c r="G852" s="56">
        <f>IF($C852="B",INDEX(Batters[[#All],[Age]],MATCH(Table5[[#This Row],[PID]],Batters[[#All],[PID]],0)),INDEX(Table3[[#All],[Age]],MATCH(Table5[[#This Row],[PID]],Table3[[#All],[PID]],0)))</f>
        <v>22</v>
      </c>
      <c r="H852" s="52" t="str">
        <f>IF($C852="B",INDEX(Batters[[#All],[B]],MATCH(Table5[[#This Row],[PID]],Batters[[#All],[PID]],0)),INDEX(Table3[[#All],[B]],MATCH(Table5[[#This Row],[PID]],Table3[[#All],[PID]],0)))</f>
        <v>R</v>
      </c>
      <c r="I852" s="52" t="str">
        <f>IF($C852="B",INDEX(Batters[[#All],[T]],MATCH(Table5[[#This Row],[PID]],Batters[[#All],[PID]],0)),INDEX(Table3[[#All],[T]],MATCH(Table5[[#This Row],[PID]],Table3[[#All],[PID]],0)))</f>
        <v>R</v>
      </c>
      <c r="J852" s="52" t="str">
        <f>IF($C852="B",INDEX(Batters[[#All],[WE]],MATCH(Table5[[#This Row],[PID]],Batters[[#All],[PID]],0)),INDEX(Table3[[#All],[WE]],MATCH(Table5[[#This Row],[PID]],Table3[[#All],[PID]],0)))</f>
        <v>Low</v>
      </c>
      <c r="K852" s="52" t="str">
        <f>IF($C852="B",INDEX(Batters[[#All],[INT]],MATCH(Table5[[#This Row],[PID]],Batters[[#All],[PID]],0)),INDEX(Table3[[#All],[INT]],MATCH(Table5[[#This Row],[PID]],Table3[[#All],[PID]],0)))</f>
        <v>Low</v>
      </c>
      <c r="L852" s="60">
        <f>IF($C852="B",INDEX(Batters[[#All],[CON P]],MATCH(Table5[[#This Row],[PID]],Batters[[#All],[PID]],0)),INDEX(Table3[[#All],[STU P]],MATCH(Table5[[#This Row],[PID]],Table3[[#All],[PID]],0)))</f>
        <v>5</v>
      </c>
      <c r="M852" s="56">
        <f>IF($C852="B",INDEX(Batters[[#All],[GAP P]],MATCH(Table5[[#This Row],[PID]],Batters[[#All],[PID]],0)),INDEX(Table3[[#All],[MOV P]],MATCH(Table5[[#This Row],[PID]],Table3[[#All],[PID]],0)))</f>
        <v>2</v>
      </c>
      <c r="N852" s="56">
        <f>IF($C852="B",INDEX(Batters[[#All],[POW P]],MATCH(Table5[[#This Row],[PID]],Batters[[#All],[PID]],0)),INDEX(Table3[[#All],[CON P]],MATCH(Table5[[#This Row],[PID]],Table3[[#All],[PID]],0)))</f>
        <v>3</v>
      </c>
      <c r="O852" s="56" t="str">
        <f>IF($C852="B",INDEX(Batters[[#All],[EYE P]],MATCH(Table5[[#This Row],[PID]],Batters[[#All],[PID]],0)),INDEX(Table3[[#All],[VELO]],MATCH(Table5[[#This Row],[PID]],Table3[[#All],[PID]],0)))</f>
        <v>89-91 Mph</v>
      </c>
      <c r="P852" s="56">
        <f>IF($C852="B",INDEX(Batters[[#All],[K P]],MATCH(Table5[[#This Row],[PID]],Batters[[#All],[PID]],0)),INDEX(Table3[[#All],[STM]],MATCH(Table5[[#This Row],[PID]],Table3[[#All],[PID]],0)))</f>
        <v>8</v>
      </c>
      <c r="Q852" s="61">
        <f>IF($C852="B",INDEX(Batters[[#All],[Tot]],MATCH(Table5[[#This Row],[PID]],Batters[[#All],[PID]],0)),INDEX(Table3[[#All],[Tot]],MATCH(Table5[[#This Row],[PID]],Table3[[#All],[PID]],0)))</f>
        <v>32.643165060694024</v>
      </c>
      <c r="R852" s="52">
        <f>IF($C852="B",INDEX(Batters[[#All],[zScore]],MATCH(Table5[[#This Row],[PID]],Batters[[#All],[PID]],0)),INDEX(Table3[[#All],[zScore]],MATCH(Table5[[#This Row],[PID]],Table3[[#All],[PID]],0)))</f>
        <v>-0.35350035042371031</v>
      </c>
      <c r="S852" s="58" t="str">
        <f>IF($C852="B",INDEX(Batters[[#All],[DEM]],MATCH(Table5[[#This Row],[PID]],Batters[[#All],[PID]],0)),INDEX(Table3[[#All],[DEM]],MATCH(Table5[[#This Row],[PID]],Table3[[#All],[PID]],0)))</f>
        <v>-</v>
      </c>
      <c r="T852" s="62">
        <f>IF($C852="B",INDEX(Batters[[#All],[Rnk]],MATCH(Table5[[#This Row],[PID]],Batters[[#All],[PID]],0)),INDEX(Table3[[#All],[Rnk]],MATCH(Table5[[#This Row],[PID]],Table3[[#All],[PID]],0)))</f>
        <v>454</v>
      </c>
      <c r="U852" s="68">
        <f>IF($C852="B",VLOOKUP($A852,Bat!$A$4:$BA$1621,47,FALSE),VLOOKUP($A852,Pit!$A$4:$BF$1557,56,FALSE))</f>
        <v>0</v>
      </c>
      <c r="V852" s="50">
        <f>IF($C852="B",VLOOKUP($A852,Bat!$A$4:$BA$1621,48,FALSE),VLOOKUP($A852,Pit!$A$4:$BF$1557,57,FALSE))</f>
        <v>0</v>
      </c>
      <c r="W852" s="50">
        <f>Table5[[#This Row],[posRnk]]+Table5[[#This Row],[zRnk]]+IF($W$3&lt;&gt;Table5[[#This Row],[Type]],50,0)</f>
        <v>1268</v>
      </c>
      <c r="X852" s="51">
        <f>RANK(Table5[[#This Row],[zScore]],Table5[[#All],[zScore]])</f>
        <v>764</v>
      </c>
      <c r="Y852" s="50" t="str">
        <f>IFERROR(INDEX(DraftResults[[#All],[OVR]],MATCH(Table5[[#This Row],[PID]],DraftResults[[#All],[Player ID]],0)),"")</f>
        <v/>
      </c>
      <c r="Z8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2" s="50" t="str">
        <f>IFERROR(INDEX(DraftResults[[#All],[Pick in Round]],MATCH(Table5[[#This Row],[PID]],DraftResults[[#All],[Player ID]],0)),"")</f>
        <v/>
      </c>
      <c r="AB852" s="50" t="str">
        <f>IFERROR(INDEX(DraftResults[[#All],[Team Name]],MATCH(Table5[[#This Row],[PID]],DraftResults[[#All],[Player ID]],0)),"")</f>
        <v/>
      </c>
      <c r="AC852" s="50" t="str">
        <f>IF(Table5[[#This Row],[Ovr]]="","",IF(Table5[[#This Row],[cmbList]]="","",Table5[[#This Row],[cmbList]]-Table5[[#This Row],[Ovr]]))</f>
        <v/>
      </c>
      <c r="AD852" s="54" t="str">
        <f>IF(ISERROR(VLOOKUP($AB852&amp;"-"&amp;$E852&amp;" "&amp;F852,Bonuses!$B$1:$G$1006,4,FALSE)),"",INT(VLOOKUP($AB852&amp;"-"&amp;$E852&amp;" "&amp;$F852,Bonuses!$B$1:$G$1006,4,FALSE)))</f>
        <v/>
      </c>
      <c r="AE8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3" spans="1:31" s="50" customFormat="1" x14ac:dyDescent="0.25">
      <c r="A853" s="50">
        <v>16883</v>
      </c>
      <c r="B853" s="50">
        <f>COUNTIF(Table5[PID],A853)</f>
        <v>1</v>
      </c>
      <c r="C853" s="50" t="str">
        <f>IF(COUNTIF(Table3[[#All],[PID]],A853)&gt;0,"P","B")</f>
        <v>P</v>
      </c>
      <c r="D853" s="59" t="str">
        <f>IF($C853="B",INDEX(Batters[[#All],[POS]],MATCH(Table5[[#This Row],[PID]],Batters[[#All],[PID]],0)),INDEX(Table3[[#All],[POS]],MATCH(Table5[[#This Row],[PID]],Table3[[#All],[PID]],0)))</f>
        <v>RP</v>
      </c>
      <c r="E853" s="52" t="str">
        <f>IF($C853="B",INDEX(Batters[[#All],[First]],MATCH(Table5[[#This Row],[PID]],Batters[[#All],[PID]],0)),INDEX(Table3[[#All],[First]],MATCH(Table5[[#This Row],[PID]],Table3[[#All],[PID]],0)))</f>
        <v>Tony</v>
      </c>
      <c r="F853" s="50" t="str">
        <f>IF($C853="B",INDEX(Batters[[#All],[Last]],MATCH(A853,Batters[[#All],[PID]],0)),INDEX(Table3[[#All],[Last]],MATCH(A853,Table3[[#All],[PID]],0)))</f>
        <v>Welch</v>
      </c>
      <c r="G853" s="56">
        <f>IF($C853="B",INDEX(Batters[[#All],[Age]],MATCH(Table5[[#This Row],[PID]],Batters[[#All],[PID]],0)),INDEX(Table3[[#All],[Age]],MATCH(Table5[[#This Row],[PID]],Table3[[#All],[PID]],0)))</f>
        <v>21</v>
      </c>
      <c r="H853" s="52" t="str">
        <f>IF($C853="B",INDEX(Batters[[#All],[B]],MATCH(Table5[[#This Row],[PID]],Batters[[#All],[PID]],0)),INDEX(Table3[[#All],[B]],MATCH(Table5[[#This Row],[PID]],Table3[[#All],[PID]],0)))</f>
        <v>L</v>
      </c>
      <c r="I853" s="52" t="str">
        <f>IF($C853="B",INDEX(Batters[[#All],[T]],MATCH(Table5[[#This Row],[PID]],Batters[[#All],[PID]],0)),INDEX(Table3[[#All],[T]],MATCH(Table5[[#This Row],[PID]],Table3[[#All],[PID]],0)))</f>
        <v>L</v>
      </c>
      <c r="J853" s="52" t="str">
        <f>IF($C853="B",INDEX(Batters[[#All],[WE]],MATCH(Table5[[#This Row],[PID]],Batters[[#All],[PID]],0)),INDEX(Table3[[#All],[WE]],MATCH(Table5[[#This Row],[PID]],Table3[[#All],[PID]],0)))</f>
        <v>High</v>
      </c>
      <c r="K853" s="52" t="str">
        <f>IF($C853="B",INDEX(Batters[[#All],[INT]],MATCH(Table5[[#This Row],[PID]],Batters[[#All],[PID]],0)),INDEX(Table3[[#All],[INT]],MATCH(Table5[[#This Row],[PID]],Table3[[#All],[PID]],0)))</f>
        <v>Normal</v>
      </c>
      <c r="L853" s="60">
        <f>IF($C853="B",INDEX(Batters[[#All],[CON P]],MATCH(Table5[[#This Row],[PID]],Batters[[#All],[PID]],0)),INDEX(Table3[[#All],[STU P]],MATCH(Table5[[#This Row],[PID]],Table3[[#All],[PID]],0)))</f>
        <v>4</v>
      </c>
      <c r="M853" s="56">
        <f>IF($C853="B",INDEX(Batters[[#All],[GAP P]],MATCH(Table5[[#This Row],[PID]],Batters[[#All],[PID]],0)),INDEX(Table3[[#All],[MOV P]],MATCH(Table5[[#This Row],[PID]],Table3[[#All],[PID]],0)))</f>
        <v>2</v>
      </c>
      <c r="N853" s="56">
        <f>IF($C853="B",INDEX(Batters[[#All],[POW P]],MATCH(Table5[[#This Row],[PID]],Batters[[#All],[PID]],0)),INDEX(Table3[[#All],[CON P]],MATCH(Table5[[#This Row],[PID]],Table3[[#All],[PID]],0)))</f>
        <v>3</v>
      </c>
      <c r="O853" s="56" t="str">
        <f>IF($C853="B",INDEX(Batters[[#All],[EYE P]],MATCH(Table5[[#This Row],[PID]],Batters[[#All],[PID]],0)),INDEX(Table3[[#All],[VELO]],MATCH(Table5[[#This Row],[PID]],Table3[[#All],[PID]],0)))</f>
        <v>84-86 Mph</v>
      </c>
      <c r="P853" s="56">
        <f>IF($C853="B",INDEX(Batters[[#All],[K P]],MATCH(Table5[[#This Row],[PID]],Batters[[#All],[PID]],0)),INDEX(Table3[[#All],[STM]],MATCH(Table5[[#This Row],[PID]],Table3[[#All],[PID]],0)))</f>
        <v>6</v>
      </c>
      <c r="Q853" s="61">
        <f>IF($C853="B",INDEX(Batters[[#All],[Tot]],MATCH(Table5[[#This Row],[PID]],Batters[[#All],[PID]],0)),INDEX(Table3[[#All],[Tot]],MATCH(Table5[[#This Row],[PID]],Table3[[#All],[PID]],0)))</f>
        <v>31.866474008829154</v>
      </c>
      <c r="R853" s="52">
        <f>IF($C853="B",INDEX(Batters[[#All],[zScore]],MATCH(Table5[[#This Row],[PID]],Batters[[#All],[PID]],0)),INDEX(Table3[[#All],[zScore]],MATCH(Table5[[#This Row],[PID]],Table3[[#All],[PID]],0)))</f>
        <v>-0.3555170123102</v>
      </c>
      <c r="S853" s="58" t="str">
        <f>IF($C853="B",INDEX(Batters[[#All],[DEM]],MATCH(Table5[[#This Row],[PID]],Batters[[#All],[PID]],0)),INDEX(Table3[[#All],[DEM]],MATCH(Table5[[#This Row],[PID]],Table3[[#All],[PID]],0)))</f>
        <v>-</v>
      </c>
      <c r="T853" s="62">
        <f>IF($C853="B",INDEX(Batters[[#All],[Rnk]],MATCH(Table5[[#This Row],[PID]],Batters[[#All],[PID]],0)),INDEX(Table3[[#All],[Rnk]],MATCH(Table5[[#This Row],[PID]],Table3[[#All],[PID]],0)))</f>
        <v>455</v>
      </c>
      <c r="U853" s="68">
        <f>IF($C853="B",VLOOKUP($A853,Bat!$A$4:$BA$1621,47,FALSE),VLOOKUP($A853,Pit!$A$4:$BF$1557,56,FALSE))</f>
        <v>0</v>
      </c>
      <c r="V853" s="50">
        <f>IF($C853="B",VLOOKUP($A853,Bat!$A$4:$BA$1621,48,FALSE),VLOOKUP($A853,Pit!$A$4:$BF$1557,57,FALSE))</f>
        <v>0</v>
      </c>
      <c r="W853" s="50">
        <f>Table5[[#This Row],[posRnk]]+Table5[[#This Row],[zRnk]]+IF($W$3&lt;&gt;Table5[[#This Row],[Type]],50,0)</f>
        <v>1270</v>
      </c>
      <c r="X853" s="51">
        <f>RANK(Table5[[#This Row],[zScore]],Table5[[#All],[zScore]])</f>
        <v>765</v>
      </c>
      <c r="Y853" s="50" t="str">
        <f>IFERROR(INDEX(DraftResults[[#All],[OVR]],MATCH(Table5[[#This Row],[PID]],DraftResults[[#All],[Player ID]],0)),"")</f>
        <v/>
      </c>
      <c r="Z8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3" s="50" t="str">
        <f>IFERROR(INDEX(DraftResults[[#All],[Pick in Round]],MATCH(Table5[[#This Row],[PID]],DraftResults[[#All],[Player ID]],0)),"")</f>
        <v/>
      </c>
      <c r="AB853" s="50" t="str">
        <f>IFERROR(INDEX(DraftResults[[#All],[Team Name]],MATCH(Table5[[#This Row],[PID]],DraftResults[[#All],[Player ID]],0)),"")</f>
        <v/>
      </c>
      <c r="AC853" s="50" t="str">
        <f>IF(Table5[[#This Row],[Ovr]]="","",IF(Table5[[#This Row],[cmbList]]="","",Table5[[#This Row],[cmbList]]-Table5[[#This Row],[Ovr]]))</f>
        <v/>
      </c>
      <c r="AD853" s="54" t="str">
        <f>IF(ISERROR(VLOOKUP($AB853&amp;"-"&amp;$E853&amp;" "&amp;F853,Bonuses!$B$1:$G$1006,4,FALSE)),"",INT(VLOOKUP($AB853&amp;"-"&amp;$E853&amp;" "&amp;$F853,Bonuses!$B$1:$G$1006,4,FALSE)))</f>
        <v/>
      </c>
      <c r="AE8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4" spans="1:31" s="50" customFormat="1" x14ac:dyDescent="0.25">
      <c r="A854" s="50">
        <v>18141</v>
      </c>
      <c r="B854" s="50">
        <f>COUNTIF(Table5[PID],A854)</f>
        <v>1</v>
      </c>
      <c r="C854" s="50" t="str">
        <f>IF(COUNTIF(Table3[[#All],[PID]],A854)&gt;0,"P","B")</f>
        <v>B</v>
      </c>
      <c r="D854" s="59" t="str">
        <f>IF($C854="B",INDEX(Batters[[#All],[POS]],MATCH(Table5[[#This Row],[PID]],Batters[[#All],[PID]],0)),INDEX(Table3[[#All],[POS]],MATCH(Table5[[#This Row],[PID]],Table3[[#All],[PID]],0)))</f>
        <v>1B</v>
      </c>
      <c r="E854" s="52" t="str">
        <f>IF($C854="B",INDEX(Batters[[#All],[First]],MATCH(Table5[[#This Row],[PID]],Batters[[#All],[PID]],0)),INDEX(Table3[[#All],[First]],MATCH(Table5[[#This Row],[PID]],Table3[[#All],[PID]],0)))</f>
        <v>Eddie</v>
      </c>
      <c r="F854" s="50" t="str">
        <f>IF($C854="B",INDEX(Batters[[#All],[Last]],MATCH(A854,Batters[[#All],[PID]],0)),INDEX(Table3[[#All],[Last]],MATCH(A854,Table3[[#All],[PID]],0)))</f>
        <v>Smith</v>
      </c>
      <c r="G854" s="56">
        <f>IF($C854="B",INDEX(Batters[[#All],[Age]],MATCH(Table5[[#This Row],[PID]],Batters[[#All],[PID]],0)),INDEX(Table3[[#All],[Age]],MATCH(Table5[[#This Row],[PID]],Table3[[#All],[PID]],0)))</f>
        <v>21</v>
      </c>
      <c r="H854" s="52" t="str">
        <f>IF($C854="B",INDEX(Batters[[#All],[B]],MATCH(Table5[[#This Row],[PID]],Batters[[#All],[PID]],0)),INDEX(Table3[[#All],[B]],MATCH(Table5[[#This Row],[PID]],Table3[[#All],[PID]],0)))</f>
        <v>L</v>
      </c>
      <c r="I854" s="52" t="str">
        <f>IF($C854="B",INDEX(Batters[[#All],[T]],MATCH(Table5[[#This Row],[PID]],Batters[[#All],[PID]],0)),INDEX(Table3[[#All],[T]],MATCH(Table5[[#This Row],[PID]],Table3[[#All],[PID]],0)))</f>
        <v>R</v>
      </c>
      <c r="J854" s="52" t="str">
        <f>IF($C854="B",INDEX(Batters[[#All],[WE]],MATCH(Table5[[#This Row],[PID]],Batters[[#All],[PID]],0)),INDEX(Table3[[#All],[WE]],MATCH(Table5[[#This Row],[PID]],Table3[[#All],[PID]],0)))</f>
        <v>Normal</v>
      </c>
      <c r="K854" s="52" t="str">
        <f>IF($C854="B",INDEX(Batters[[#All],[INT]],MATCH(Table5[[#This Row],[PID]],Batters[[#All],[PID]],0)),INDEX(Table3[[#All],[INT]],MATCH(Table5[[#This Row],[PID]],Table3[[#All],[PID]],0)))</f>
        <v>Normal</v>
      </c>
      <c r="L854" s="60">
        <f>IF($C854="B",INDEX(Batters[[#All],[CON P]],MATCH(Table5[[#This Row],[PID]],Batters[[#All],[PID]],0)),INDEX(Table3[[#All],[STU P]],MATCH(Table5[[#This Row],[PID]],Table3[[#All],[PID]],0)))</f>
        <v>4</v>
      </c>
      <c r="M854" s="56">
        <f>IF($C854="B",INDEX(Batters[[#All],[GAP P]],MATCH(Table5[[#This Row],[PID]],Batters[[#All],[PID]],0)),INDEX(Table3[[#All],[MOV P]],MATCH(Table5[[#This Row],[PID]],Table3[[#All],[PID]],0)))</f>
        <v>5</v>
      </c>
      <c r="N854" s="56">
        <f>IF($C854="B",INDEX(Batters[[#All],[POW P]],MATCH(Table5[[#This Row],[PID]],Batters[[#All],[PID]],0)),INDEX(Table3[[#All],[CON P]],MATCH(Table5[[#This Row],[PID]],Table3[[#All],[PID]],0)))</f>
        <v>5</v>
      </c>
      <c r="O854" s="56">
        <f>IF($C854="B",INDEX(Batters[[#All],[EYE P]],MATCH(Table5[[#This Row],[PID]],Batters[[#All],[PID]],0)),INDEX(Table3[[#All],[VELO]],MATCH(Table5[[#This Row],[PID]],Table3[[#All],[PID]],0)))</f>
        <v>5</v>
      </c>
      <c r="P854" s="56">
        <f>IF($C854="B",INDEX(Batters[[#All],[K P]],MATCH(Table5[[#This Row],[PID]],Batters[[#All],[PID]],0)),INDEX(Table3[[#All],[STM]],MATCH(Table5[[#This Row],[PID]],Table3[[#All],[PID]],0)))</f>
        <v>2</v>
      </c>
      <c r="Q854" s="61">
        <f>IF($C854="B",INDEX(Batters[[#All],[Tot]],MATCH(Table5[[#This Row],[PID]],Batters[[#All],[PID]],0)),INDEX(Table3[[#All],[Tot]],MATCH(Table5[[#This Row],[PID]],Table3[[#All],[PID]],0)))</f>
        <v>42.518608317625429</v>
      </c>
      <c r="R854" s="52">
        <f>IF($C854="B",INDEX(Batters[[#All],[zScore]],MATCH(Table5[[#This Row],[PID]],Batters[[#All],[PID]],0)),INDEX(Table3[[#All],[zScore]],MATCH(Table5[[#This Row],[PID]],Table3[[#All],[PID]],0)))</f>
        <v>-0.35768647737689846</v>
      </c>
      <c r="S854" s="58" t="str">
        <f>IF($C854="B",INDEX(Batters[[#All],[DEM]],MATCH(Table5[[#This Row],[PID]],Batters[[#All],[PID]],0)),INDEX(Table3[[#All],[DEM]],MATCH(Table5[[#This Row],[PID]],Table3[[#All],[PID]],0)))</f>
        <v>-</v>
      </c>
      <c r="T854" s="62">
        <f>IF($C854="B",INDEX(Batters[[#All],[Rnk]],MATCH(Table5[[#This Row],[PID]],Batters[[#All],[PID]],0)),INDEX(Table3[[#All],[Rnk]],MATCH(Table5[[#This Row],[PID]],Table3[[#All],[PID]],0)))</f>
        <v>311</v>
      </c>
      <c r="U854" s="68">
        <f>IF($C854="B",VLOOKUP($A854,Bat!$A$4:$BA$1621,47,FALSE),VLOOKUP($A854,Pit!$A$4:$BF$1557,56,FALSE))</f>
        <v>0</v>
      </c>
      <c r="V854" s="50">
        <f>IF($C854="B",VLOOKUP($A854,Bat!$A$4:$BA$1621,48,FALSE),VLOOKUP($A854,Pit!$A$4:$BF$1557,57,FALSE))</f>
        <v>0</v>
      </c>
      <c r="W854" s="50">
        <f>Table5[[#This Row],[posRnk]]+Table5[[#This Row],[zRnk]]+IF($W$3&lt;&gt;Table5[[#This Row],[Type]],50,0)</f>
        <v>1127</v>
      </c>
      <c r="X854" s="51">
        <f>RANK(Table5[[#This Row],[zScore]],Table5[[#All],[zScore]])</f>
        <v>766</v>
      </c>
      <c r="Y854" s="50" t="str">
        <f>IFERROR(INDEX(DraftResults[[#All],[OVR]],MATCH(Table5[[#This Row],[PID]],DraftResults[[#All],[Player ID]],0)),"")</f>
        <v/>
      </c>
      <c r="Z8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4" s="50" t="str">
        <f>IFERROR(INDEX(DraftResults[[#All],[Pick in Round]],MATCH(Table5[[#This Row],[PID]],DraftResults[[#All],[Player ID]],0)),"")</f>
        <v/>
      </c>
      <c r="AB854" s="50" t="str">
        <f>IFERROR(INDEX(DraftResults[[#All],[Team Name]],MATCH(Table5[[#This Row],[PID]],DraftResults[[#All],[Player ID]],0)),"")</f>
        <v/>
      </c>
      <c r="AC854" s="50" t="str">
        <f>IF(Table5[[#This Row],[Ovr]]="","",IF(Table5[[#This Row],[cmbList]]="","",Table5[[#This Row],[cmbList]]-Table5[[#This Row],[Ovr]]))</f>
        <v/>
      </c>
      <c r="AD854" s="54" t="str">
        <f>IF(ISERROR(VLOOKUP($AB854&amp;"-"&amp;$E854&amp;" "&amp;F854,Bonuses!$B$1:$G$1006,4,FALSE)),"",INT(VLOOKUP($AB854&amp;"-"&amp;$E854&amp;" "&amp;$F854,Bonuses!$B$1:$G$1006,4,FALSE)))</f>
        <v/>
      </c>
      <c r="AE8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5" spans="1:31" s="50" customFormat="1" x14ac:dyDescent="0.25">
      <c r="A855" s="68">
        <v>17801</v>
      </c>
      <c r="B855" s="69">
        <f>COUNTIF(Table5[PID],A855)</f>
        <v>1</v>
      </c>
      <c r="C855" s="69" t="str">
        <f>IF(COUNTIF(Table3[[#All],[PID]],A855)&gt;0,"P","B")</f>
        <v>P</v>
      </c>
      <c r="D855" s="59" t="str">
        <f>IF($C855="B",INDEX(Batters[[#All],[POS]],MATCH(Table5[[#This Row],[PID]],Batters[[#All],[PID]],0)),INDEX(Table3[[#All],[POS]],MATCH(Table5[[#This Row],[PID]],Table3[[#All],[PID]],0)))</f>
        <v>SP</v>
      </c>
      <c r="E855" s="52" t="str">
        <f>IF($C855="B",INDEX(Batters[[#All],[First]],MATCH(Table5[[#This Row],[PID]],Batters[[#All],[PID]],0)),INDEX(Table3[[#All],[First]],MATCH(Table5[[#This Row],[PID]],Table3[[#All],[PID]],0)))</f>
        <v>Rikyu</v>
      </c>
      <c r="F855" s="55" t="str">
        <f>IF($C855="B",INDEX(Batters[[#All],[Last]],MATCH(A855,Batters[[#All],[PID]],0)),INDEX(Table3[[#All],[Last]],MATCH(A855,Table3[[#All],[PID]],0)))</f>
        <v>Nakamura</v>
      </c>
      <c r="G855" s="56">
        <f>IF($C855="B",INDEX(Batters[[#All],[Age]],MATCH(Table5[[#This Row],[PID]],Batters[[#All],[PID]],0)),INDEX(Table3[[#All],[Age]],MATCH(Table5[[#This Row],[PID]],Table3[[#All],[PID]],0)))</f>
        <v>21</v>
      </c>
      <c r="H855" s="52" t="str">
        <f>IF($C855="B",INDEX(Batters[[#All],[B]],MATCH(Table5[[#This Row],[PID]],Batters[[#All],[PID]],0)),INDEX(Table3[[#All],[B]],MATCH(Table5[[#This Row],[PID]],Table3[[#All],[PID]],0)))</f>
        <v>R</v>
      </c>
      <c r="I855" s="52" t="str">
        <f>IF($C855="B",INDEX(Batters[[#All],[T]],MATCH(Table5[[#This Row],[PID]],Batters[[#All],[PID]],0)),INDEX(Table3[[#All],[T]],MATCH(Table5[[#This Row],[PID]],Table3[[#All],[PID]],0)))</f>
        <v>R</v>
      </c>
      <c r="J855" s="71" t="str">
        <f>IF($C855="B",INDEX(Batters[[#All],[WE]],MATCH(Table5[[#This Row],[PID]],Batters[[#All],[PID]],0)),INDEX(Table3[[#All],[WE]],MATCH(Table5[[#This Row],[PID]],Table3[[#All],[PID]],0)))</f>
        <v>Low</v>
      </c>
      <c r="K855" s="52" t="str">
        <f>IF($C855="B",INDEX(Batters[[#All],[INT]],MATCH(Table5[[#This Row],[PID]],Batters[[#All],[PID]],0)),INDEX(Table3[[#All],[INT]],MATCH(Table5[[#This Row],[PID]],Table3[[#All],[PID]],0)))</f>
        <v>Normal</v>
      </c>
      <c r="L855" s="60">
        <f>IF($C855="B",INDEX(Batters[[#All],[CON P]],MATCH(Table5[[#This Row],[PID]],Batters[[#All],[PID]],0)),INDEX(Table3[[#All],[STU P]],MATCH(Table5[[#This Row],[PID]],Table3[[#All],[PID]],0)))</f>
        <v>4</v>
      </c>
      <c r="M855" s="72">
        <f>IF($C855="B",INDEX(Batters[[#All],[GAP P]],MATCH(Table5[[#This Row],[PID]],Batters[[#All],[PID]],0)),INDEX(Table3[[#All],[MOV P]],MATCH(Table5[[#This Row],[PID]],Table3[[#All],[PID]],0)))</f>
        <v>2</v>
      </c>
      <c r="N855" s="72">
        <f>IF($C855="B",INDEX(Batters[[#All],[POW P]],MATCH(Table5[[#This Row],[PID]],Batters[[#All],[PID]],0)),INDEX(Table3[[#All],[CON P]],MATCH(Table5[[#This Row],[PID]],Table3[[#All],[PID]],0)))</f>
        <v>3</v>
      </c>
      <c r="O855" s="72" t="str">
        <f>IF($C855="B",INDEX(Batters[[#All],[EYE P]],MATCH(Table5[[#This Row],[PID]],Batters[[#All],[PID]],0)),INDEX(Table3[[#All],[VELO]],MATCH(Table5[[#This Row],[PID]],Table3[[#All],[PID]],0)))</f>
        <v>92-94 Mph</v>
      </c>
      <c r="P855" s="56">
        <f>IF($C855="B",INDEX(Batters[[#All],[K P]],MATCH(Table5[[#This Row],[PID]],Batters[[#All],[PID]],0)),INDEX(Table3[[#All],[STM]],MATCH(Table5[[#This Row],[PID]],Table3[[#All],[PID]],0)))</f>
        <v>10</v>
      </c>
      <c r="Q855" s="61">
        <f>IF($C855="B",INDEX(Batters[[#All],[Tot]],MATCH(Table5[[#This Row],[PID]],Batters[[#All],[PID]],0)),INDEX(Table3[[#All],[Tot]],MATCH(Table5[[#This Row],[PID]],Table3[[#All],[PID]],0)))</f>
        <v>30.449338570510552</v>
      </c>
      <c r="R855" s="52">
        <f>IF($C855="B",INDEX(Batters[[#All],[zScore]],MATCH(Table5[[#This Row],[PID]],Batters[[#All],[PID]],0)),INDEX(Table3[[#All],[zScore]],MATCH(Table5[[#This Row],[PID]],Table3[[#All],[PID]],0)))</f>
        <v>-0.36066331838027088</v>
      </c>
      <c r="S855" s="78" t="str">
        <f>IF($C855="B",INDEX(Batters[[#All],[DEM]],MATCH(Table5[[#This Row],[PID]],Batters[[#All],[PID]],0)),INDEX(Table3[[#All],[DEM]],MATCH(Table5[[#This Row],[PID]],Table3[[#All],[PID]],0)))</f>
        <v>-</v>
      </c>
      <c r="T855" s="75">
        <f>IF($C855="B",INDEX(Batters[[#All],[Rnk]],MATCH(Table5[[#This Row],[PID]],Batters[[#All],[PID]],0)),INDEX(Table3[[#All],[Rnk]],MATCH(Table5[[#This Row],[PID]],Table3[[#All],[PID]],0)))</f>
        <v>456</v>
      </c>
      <c r="U855" s="68">
        <f>IF($C855="B",VLOOKUP($A855,Bat!$A$4:$BA$1621,47,FALSE),VLOOKUP($A855,Pit!$A$4:$BF$1557,56,FALSE))</f>
        <v>0</v>
      </c>
      <c r="V855" s="50">
        <f>IF($C855="B",VLOOKUP($A855,Bat!$A$4:$BA$1621,48,FALSE),VLOOKUP($A855,Pit!$A$4:$BF$1557,57,FALSE))</f>
        <v>0</v>
      </c>
      <c r="W855" s="69">
        <f>Table5[[#This Row],[posRnk]]+Table5[[#This Row],[zRnk]]+IF($W$3&lt;&gt;Table5[[#This Row],[Type]],50,0)</f>
        <v>1274</v>
      </c>
      <c r="X855" s="73">
        <f>RANK(Table5[[#This Row],[zScore]],Table5[[#All],[zScore]])</f>
        <v>768</v>
      </c>
      <c r="Y855" s="69" t="str">
        <f>IFERROR(INDEX(DraftResults[[#All],[OVR]],MATCH(Table5[[#This Row],[PID]],DraftResults[[#All],[Player ID]],0)),"")</f>
        <v/>
      </c>
      <c r="Z85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5" s="69" t="str">
        <f>IFERROR(INDEX(DraftResults[[#All],[Pick in Round]],MATCH(Table5[[#This Row],[PID]],DraftResults[[#All],[Player ID]],0)),"")</f>
        <v/>
      </c>
      <c r="AB855" s="69" t="str">
        <f>IFERROR(INDEX(DraftResults[[#All],[Team Name]],MATCH(Table5[[#This Row],[PID]],DraftResults[[#All],[Player ID]],0)),"")</f>
        <v/>
      </c>
      <c r="AC855" s="69" t="str">
        <f>IF(Table5[[#This Row],[Ovr]]="","",IF(Table5[[#This Row],[cmbList]]="","",Table5[[#This Row],[cmbList]]-Table5[[#This Row],[Ovr]]))</f>
        <v/>
      </c>
      <c r="AD855" s="77" t="str">
        <f>IF(ISERROR(VLOOKUP($AB855&amp;"-"&amp;$E855&amp;" "&amp;F855,Bonuses!$B$1:$G$1006,4,FALSE)),"",INT(VLOOKUP($AB855&amp;"-"&amp;$E855&amp;" "&amp;$F855,Bonuses!$B$1:$G$1006,4,FALSE)))</f>
        <v/>
      </c>
      <c r="AE85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6" spans="1:31" s="50" customFormat="1" x14ac:dyDescent="0.25">
      <c r="A856" s="68">
        <v>12259</v>
      </c>
      <c r="B856" s="69">
        <f>COUNTIF(Table5[PID],A856)</f>
        <v>1</v>
      </c>
      <c r="C856" s="69" t="str">
        <f>IF(COUNTIF(Table3[[#All],[PID]],A856)&gt;0,"P","B")</f>
        <v>P</v>
      </c>
      <c r="D856" s="59" t="str">
        <f>IF($C856="B",INDEX(Batters[[#All],[POS]],MATCH(Table5[[#This Row],[PID]],Batters[[#All],[PID]],0)),INDEX(Table3[[#All],[POS]],MATCH(Table5[[#This Row],[PID]],Table3[[#All],[PID]],0)))</f>
        <v>SP</v>
      </c>
      <c r="E856" s="52" t="str">
        <f>IF($C856="B",INDEX(Batters[[#All],[First]],MATCH(Table5[[#This Row],[PID]],Batters[[#All],[PID]],0)),INDEX(Table3[[#All],[First]],MATCH(Table5[[#This Row],[PID]],Table3[[#All],[PID]],0)))</f>
        <v>Kitahachi</v>
      </c>
      <c r="F856" s="55" t="str">
        <f>IF($C856="B",INDEX(Batters[[#All],[Last]],MATCH(A856,Batters[[#All],[PID]],0)),INDEX(Table3[[#All],[Last]],MATCH(A856,Table3[[#All],[PID]],0)))</f>
        <v>Kawakami</v>
      </c>
      <c r="G856" s="56">
        <f>IF($C856="B",INDEX(Batters[[#All],[Age]],MATCH(Table5[[#This Row],[PID]],Batters[[#All],[PID]],0)),INDEX(Table3[[#All],[Age]],MATCH(Table5[[#This Row],[PID]],Table3[[#All],[PID]],0)))</f>
        <v>22</v>
      </c>
      <c r="H856" s="52" t="str">
        <f>IF($C856="B",INDEX(Batters[[#All],[B]],MATCH(Table5[[#This Row],[PID]],Batters[[#All],[PID]],0)),INDEX(Table3[[#All],[B]],MATCH(Table5[[#This Row],[PID]],Table3[[#All],[PID]],0)))</f>
        <v>R</v>
      </c>
      <c r="I856" s="52" t="str">
        <f>IF($C856="B",INDEX(Batters[[#All],[T]],MATCH(Table5[[#This Row],[PID]],Batters[[#All],[PID]],0)),INDEX(Table3[[#All],[T]],MATCH(Table5[[#This Row],[PID]],Table3[[#All],[PID]],0)))</f>
        <v>R</v>
      </c>
      <c r="J856" s="71" t="str">
        <f>IF($C856="B",INDEX(Batters[[#All],[WE]],MATCH(Table5[[#This Row],[PID]],Batters[[#All],[PID]],0)),INDEX(Table3[[#All],[WE]],MATCH(Table5[[#This Row],[PID]],Table3[[#All],[PID]],0)))</f>
        <v>Low</v>
      </c>
      <c r="K856" s="52" t="str">
        <f>IF($C856="B",INDEX(Batters[[#All],[INT]],MATCH(Table5[[#This Row],[PID]],Batters[[#All],[PID]],0)),INDEX(Table3[[#All],[INT]],MATCH(Table5[[#This Row],[PID]],Table3[[#All],[PID]],0)))</f>
        <v>Normal</v>
      </c>
      <c r="L856" s="60">
        <f>IF($C856="B",INDEX(Batters[[#All],[CON P]],MATCH(Table5[[#This Row],[PID]],Batters[[#All],[PID]],0)),INDEX(Table3[[#All],[STU P]],MATCH(Table5[[#This Row],[PID]],Table3[[#All],[PID]],0)))</f>
        <v>4</v>
      </c>
      <c r="M856" s="72">
        <f>IF($C856="B",INDEX(Batters[[#All],[GAP P]],MATCH(Table5[[#This Row],[PID]],Batters[[#All],[PID]],0)),INDEX(Table3[[#All],[MOV P]],MATCH(Table5[[#This Row],[PID]],Table3[[#All],[PID]],0)))</f>
        <v>1</v>
      </c>
      <c r="N856" s="72">
        <f>IF($C856="B",INDEX(Batters[[#All],[POW P]],MATCH(Table5[[#This Row],[PID]],Batters[[#All],[PID]],0)),INDEX(Table3[[#All],[CON P]],MATCH(Table5[[#This Row],[PID]],Table3[[#All],[PID]],0)))</f>
        <v>4</v>
      </c>
      <c r="O856" s="72" t="str">
        <f>IF($C856="B",INDEX(Batters[[#All],[EYE P]],MATCH(Table5[[#This Row],[PID]],Batters[[#All],[PID]],0)),INDEX(Table3[[#All],[VELO]],MATCH(Table5[[#This Row],[PID]],Table3[[#All],[PID]],0)))</f>
        <v>90-92 Mph</v>
      </c>
      <c r="P856" s="56">
        <f>IF($C856="B",INDEX(Batters[[#All],[K P]],MATCH(Table5[[#This Row],[PID]],Batters[[#All],[PID]],0)),INDEX(Table3[[#All],[STM]],MATCH(Table5[[#This Row],[PID]],Table3[[#All],[PID]],0)))</f>
        <v>6</v>
      </c>
      <c r="Q856" s="61">
        <f>IF($C856="B",INDEX(Batters[[#All],[Tot]],MATCH(Table5[[#This Row],[PID]],Batters[[#All],[PID]],0)),INDEX(Table3[[#All],[Tot]],MATCH(Table5[[#This Row],[PID]],Table3[[#All],[PID]],0)))</f>
        <v>30.448295807872839</v>
      </c>
      <c r="R856" s="52">
        <f>IF($C856="B",INDEX(Batters[[#All],[zScore]],MATCH(Table5[[#This Row],[PID]],Batters[[#All],[PID]],0)),INDEX(Table3[[#All],[zScore]],MATCH(Table5[[#This Row],[PID]],Table3[[#All],[PID]],0)))</f>
        <v>-0.36073269178510309</v>
      </c>
      <c r="S856" s="78" t="str">
        <f>IF($C856="B",INDEX(Batters[[#All],[DEM]],MATCH(Table5[[#This Row],[PID]],Batters[[#All],[PID]],0)),INDEX(Table3[[#All],[DEM]],MATCH(Table5[[#This Row],[PID]],Table3[[#All],[PID]],0)))</f>
        <v>-</v>
      </c>
      <c r="T856" s="75">
        <f>IF($C856="B",INDEX(Batters[[#All],[Rnk]],MATCH(Table5[[#This Row],[PID]],Batters[[#All],[PID]],0)),INDEX(Table3[[#All],[Rnk]],MATCH(Table5[[#This Row],[PID]],Table3[[#All],[PID]],0)))</f>
        <v>457</v>
      </c>
      <c r="U856" s="68">
        <f>IF($C856="B",VLOOKUP($A856,Bat!$A$4:$BA$1621,47,FALSE),VLOOKUP($A856,Pit!$A$4:$BF$1557,56,FALSE))</f>
        <v>0</v>
      </c>
      <c r="V856" s="50">
        <f>IF($C856="B",VLOOKUP($A856,Bat!$A$4:$BA$1621,48,FALSE),VLOOKUP($A856,Pit!$A$4:$BF$1557,57,FALSE))</f>
        <v>0</v>
      </c>
      <c r="W856" s="69">
        <f>Table5[[#This Row],[posRnk]]+Table5[[#This Row],[zRnk]]+IF($W$3&lt;&gt;Table5[[#This Row],[Type]],50,0)</f>
        <v>1276</v>
      </c>
      <c r="X856" s="73">
        <f>RANK(Table5[[#This Row],[zScore]],Table5[[#All],[zScore]])</f>
        <v>769</v>
      </c>
      <c r="Y856" s="69" t="str">
        <f>IFERROR(INDEX(DraftResults[[#All],[OVR]],MATCH(Table5[[#This Row],[PID]],DraftResults[[#All],[Player ID]],0)),"")</f>
        <v/>
      </c>
      <c r="Z8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6" s="69" t="str">
        <f>IFERROR(INDEX(DraftResults[[#All],[Pick in Round]],MATCH(Table5[[#This Row],[PID]],DraftResults[[#All],[Player ID]],0)),"")</f>
        <v/>
      </c>
      <c r="AB856" s="69" t="str">
        <f>IFERROR(INDEX(DraftResults[[#All],[Team Name]],MATCH(Table5[[#This Row],[PID]],DraftResults[[#All],[Player ID]],0)),"")</f>
        <v/>
      </c>
      <c r="AC856" s="69" t="str">
        <f>IF(Table5[[#This Row],[Ovr]]="","",IF(Table5[[#This Row],[cmbList]]="","",Table5[[#This Row],[cmbList]]-Table5[[#This Row],[Ovr]]))</f>
        <v/>
      </c>
      <c r="AD856" s="77" t="str">
        <f>IF(ISERROR(VLOOKUP($AB856&amp;"-"&amp;$E856&amp;" "&amp;F856,Bonuses!$B$1:$G$1006,4,FALSE)),"",INT(VLOOKUP($AB856&amp;"-"&amp;$E856&amp;" "&amp;$F856,Bonuses!$B$1:$G$1006,4,FALSE)))</f>
        <v/>
      </c>
      <c r="AE8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7" spans="1:31" s="50" customFormat="1" x14ac:dyDescent="0.25">
      <c r="A857" s="50">
        <v>20529</v>
      </c>
      <c r="B857" s="50">
        <f>COUNTIF(Table5[PID],A857)</f>
        <v>1</v>
      </c>
      <c r="C857" s="50" t="str">
        <f>IF(COUNTIF(Table3[[#All],[PID]],A857)&gt;0,"P","B")</f>
        <v>P</v>
      </c>
      <c r="D857" s="59" t="str">
        <f>IF($C857="B",INDEX(Batters[[#All],[POS]],MATCH(Table5[[#This Row],[PID]],Batters[[#All],[PID]],0)),INDEX(Table3[[#All],[POS]],MATCH(Table5[[#This Row],[PID]],Table3[[#All],[PID]],0)))</f>
        <v>RP</v>
      </c>
      <c r="E857" s="52" t="str">
        <f>IF($C857="B",INDEX(Batters[[#All],[First]],MATCH(Table5[[#This Row],[PID]],Batters[[#All],[PID]],0)),INDEX(Table3[[#All],[First]],MATCH(Table5[[#This Row],[PID]],Table3[[#All],[PID]],0)))</f>
        <v>Hai-feng</v>
      </c>
      <c r="F857" s="50" t="str">
        <f>IF($C857="B",INDEX(Batters[[#All],[Last]],MATCH(A857,Batters[[#All],[PID]],0)),INDEX(Table3[[#All],[Last]],MATCH(A857,Table3[[#All],[PID]],0)))</f>
        <v>Ding</v>
      </c>
      <c r="G857" s="56">
        <f>IF($C857="B",INDEX(Batters[[#All],[Age]],MATCH(Table5[[#This Row],[PID]],Batters[[#All],[PID]],0)),INDEX(Table3[[#All],[Age]],MATCH(Table5[[#This Row],[PID]],Table3[[#All],[PID]],0)))</f>
        <v>18</v>
      </c>
      <c r="H857" s="52" t="str">
        <f>IF($C857="B",INDEX(Batters[[#All],[B]],MATCH(Table5[[#This Row],[PID]],Batters[[#All],[PID]],0)),INDEX(Table3[[#All],[B]],MATCH(Table5[[#This Row],[PID]],Table3[[#All],[PID]],0)))</f>
        <v>R</v>
      </c>
      <c r="I857" s="52" t="str">
        <f>IF($C857="B",INDEX(Batters[[#All],[T]],MATCH(Table5[[#This Row],[PID]],Batters[[#All],[PID]],0)),INDEX(Table3[[#All],[T]],MATCH(Table5[[#This Row],[PID]],Table3[[#All],[PID]],0)))</f>
        <v>R</v>
      </c>
      <c r="J857" s="52" t="str">
        <f>IF($C857="B",INDEX(Batters[[#All],[WE]],MATCH(Table5[[#This Row],[PID]],Batters[[#All],[PID]],0)),INDEX(Table3[[#All],[WE]],MATCH(Table5[[#This Row],[PID]],Table3[[#All],[PID]],0)))</f>
        <v>Low</v>
      </c>
      <c r="K857" s="52" t="str">
        <f>IF($C857="B",INDEX(Batters[[#All],[INT]],MATCH(Table5[[#This Row],[PID]],Batters[[#All],[PID]],0)),INDEX(Table3[[#All],[INT]],MATCH(Table5[[#This Row],[PID]],Table3[[#All],[PID]],0)))</f>
        <v>Normal</v>
      </c>
      <c r="L857" s="60">
        <f>IF($C857="B",INDEX(Batters[[#All],[CON P]],MATCH(Table5[[#This Row],[PID]],Batters[[#All],[PID]],0)),INDEX(Table3[[#All],[STU P]],MATCH(Table5[[#This Row],[PID]],Table3[[#All],[PID]],0)))</f>
        <v>4</v>
      </c>
      <c r="M857" s="56">
        <f>IF($C857="B",INDEX(Batters[[#All],[GAP P]],MATCH(Table5[[#This Row],[PID]],Batters[[#All],[PID]],0)),INDEX(Table3[[#All],[MOV P]],MATCH(Table5[[#This Row],[PID]],Table3[[#All],[PID]],0)))</f>
        <v>2</v>
      </c>
      <c r="N857" s="56">
        <f>IF($C857="B",INDEX(Batters[[#All],[POW P]],MATCH(Table5[[#This Row],[PID]],Batters[[#All],[PID]],0)),INDEX(Table3[[#All],[CON P]],MATCH(Table5[[#This Row],[PID]],Table3[[#All],[PID]],0)))</f>
        <v>2</v>
      </c>
      <c r="O857" s="56" t="str">
        <f>IF($C857="B",INDEX(Batters[[#All],[EYE P]],MATCH(Table5[[#This Row],[PID]],Batters[[#All],[PID]],0)),INDEX(Table3[[#All],[VELO]],MATCH(Table5[[#This Row],[PID]],Table3[[#All],[PID]],0)))</f>
        <v>85-87 Mph</v>
      </c>
      <c r="P857" s="56">
        <f>IF($C857="B",INDEX(Batters[[#All],[K P]],MATCH(Table5[[#This Row],[PID]],Batters[[#All],[PID]],0)),INDEX(Table3[[#All],[STM]],MATCH(Table5[[#This Row],[PID]],Table3[[#All],[PID]],0)))</f>
        <v>9</v>
      </c>
      <c r="Q857" s="61">
        <f>IF($C857="B",INDEX(Batters[[#All],[Tot]],MATCH(Table5[[#This Row],[PID]],Batters[[#All],[PID]],0)),INDEX(Table3[[#All],[Tot]],MATCH(Table5[[#This Row],[PID]],Table3[[#All],[PID]],0)))</f>
        <v>30.42423997940665</v>
      </c>
      <c r="R857" s="52">
        <f>IF($C857="B",INDEX(Batters[[#All],[zScore]],MATCH(Table5[[#This Row],[PID]],Batters[[#All],[PID]],0)),INDEX(Table3[[#All],[zScore]],MATCH(Table5[[#This Row],[PID]],Table3[[#All],[PID]],0)))</f>
        <v>-0.36233308929303448</v>
      </c>
      <c r="S857" s="58" t="str">
        <f>IF($C857="B",INDEX(Batters[[#All],[DEM]],MATCH(Table5[[#This Row],[PID]],Batters[[#All],[PID]],0)),INDEX(Table3[[#All],[DEM]],MATCH(Table5[[#This Row],[PID]],Table3[[#All],[PID]],0)))</f>
        <v>$65k</v>
      </c>
      <c r="T857" s="62">
        <f>IF($C857="B",INDEX(Batters[[#All],[Rnk]],MATCH(Table5[[#This Row],[PID]],Batters[[#All],[PID]],0)),INDEX(Table3[[#All],[Rnk]],MATCH(Table5[[#This Row],[PID]],Table3[[#All],[PID]],0)))</f>
        <v>458</v>
      </c>
      <c r="U857" s="68">
        <f>IF($C857="B",VLOOKUP($A857,Bat!$A$4:$BA$1621,47,FALSE),VLOOKUP($A857,Pit!$A$4:$BF$1557,56,FALSE))</f>
        <v>0</v>
      </c>
      <c r="V857" s="50">
        <f>IF($C857="B",VLOOKUP($A857,Bat!$A$4:$BA$1621,48,FALSE),VLOOKUP($A857,Pit!$A$4:$BF$1557,57,FALSE))</f>
        <v>0</v>
      </c>
      <c r="W857" s="50">
        <f>Table5[[#This Row],[posRnk]]+Table5[[#This Row],[zRnk]]+IF($W$3&lt;&gt;Table5[[#This Row],[Type]],50,0)</f>
        <v>1278</v>
      </c>
      <c r="X857" s="51">
        <f>RANK(Table5[[#This Row],[zScore]],Table5[[#All],[zScore]])</f>
        <v>770</v>
      </c>
      <c r="Y857" s="50" t="str">
        <f>IFERROR(INDEX(DraftResults[[#All],[OVR]],MATCH(Table5[[#This Row],[PID]],DraftResults[[#All],[Player ID]],0)),"")</f>
        <v/>
      </c>
      <c r="Z8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7" s="50" t="str">
        <f>IFERROR(INDEX(DraftResults[[#All],[Pick in Round]],MATCH(Table5[[#This Row],[PID]],DraftResults[[#All],[Player ID]],0)),"")</f>
        <v/>
      </c>
      <c r="AB857" s="50" t="str">
        <f>IFERROR(INDEX(DraftResults[[#All],[Team Name]],MATCH(Table5[[#This Row],[PID]],DraftResults[[#All],[Player ID]],0)),"")</f>
        <v/>
      </c>
      <c r="AC857" s="50" t="str">
        <f>IF(Table5[[#This Row],[Ovr]]="","",IF(Table5[[#This Row],[cmbList]]="","",Table5[[#This Row],[cmbList]]-Table5[[#This Row],[Ovr]]))</f>
        <v/>
      </c>
      <c r="AD857" s="54" t="str">
        <f>IF(ISERROR(VLOOKUP($AB857&amp;"-"&amp;$E857&amp;" "&amp;F857,Bonuses!$B$1:$G$1006,4,FALSE)),"",INT(VLOOKUP($AB857&amp;"-"&amp;$E857&amp;" "&amp;$F857,Bonuses!$B$1:$G$1006,4,FALSE)))</f>
        <v/>
      </c>
      <c r="AE8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8" spans="1:31" s="50" customFormat="1" x14ac:dyDescent="0.25">
      <c r="A858" s="50">
        <v>18332</v>
      </c>
      <c r="B858" s="50">
        <f>COUNTIF(Table5[PID],A858)</f>
        <v>1</v>
      </c>
      <c r="C858" s="50" t="str">
        <f>IF(COUNTIF(Table3[[#All],[PID]],A858)&gt;0,"P","B")</f>
        <v>B</v>
      </c>
      <c r="D858" s="59" t="str">
        <f>IF($C858="B",INDEX(Batters[[#All],[POS]],MATCH(Table5[[#This Row],[PID]],Batters[[#All],[PID]],0)),INDEX(Table3[[#All],[POS]],MATCH(Table5[[#This Row],[PID]],Table3[[#All],[PID]],0)))</f>
        <v>1B</v>
      </c>
      <c r="E858" s="52" t="str">
        <f>IF($C858="B",INDEX(Batters[[#All],[First]],MATCH(Table5[[#This Row],[PID]],Batters[[#All],[PID]],0)),INDEX(Table3[[#All],[First]],MATCH(Table5[[#This Row],[PID]],Table3[[#All],[PID]],0)))</f>
        <v>Kenshin</v>
      </c>
      <c r="F858" s="50" t="str">
        <f>IF($C858="B",INDEX(Batters[[#All],[Last]],MATCH(A858,Batters[[#All],[PID]],0)),INDEX(Table3[[#All],[Last]],MATCH(A858,Table3[[#All],[PID]],0)))</f>
        <v>Kataoka</v>
      </c>
      <c r="G858" s="56">
        <f>IF($C858="B",INDEX(Batters[[#All],[Age]],MATCH(Table5[[#This Row],[PID]],Batters[[#All],[PID]],0)),INDEX(Table3[[#All],[Age]],MATCH(Table5[[#This Row],[PID]],Table3[[#All],[PID]],0)))</f>
        <v>18</v>
      </c>
      <c r="H858" s="52" t="str">
        <f>IF($C858="B",INDEX(Batters[[#All],[B]],MATCH(Table5[[#This Row],[PID]],Batters[[#All],[PID]],0)),INDEX(Table3[[#All],[B]],MATCH(Table5[[#This Row],[PID]],Table3[[#All],[PID]],0)))</f>
        <v>R</v>
      </c>
      <c r="I858" s="52" t="str">
        <f>IF($C858="B",INDEX(Batters[[#All],[T]],MATCH(Table5[[#This Row],[PID]],Batters[[#All],[PID]],0)),INDEX(Table3[[#All],[T]],MATCH(Table5[[#This Row],[PID]],Table3[[#All],[PID]],0)))</f>
        <v>R</v>
      </c>
      <c r="J858" s="52" t="str">
        <f>IF($C858="B",INDEX(Batters[[#All],[WE]],MATCH(Table5[[#This Row],[PID]],Batters[[#All],[PID]],0)),INDEX(Table3[[#All],[WE]],MATCH(Table5[[#This Row],[PID]],Table3[[#All],[PID]],0)))</f>
        <v>Normal</v>
      </c>
      <c r="K858" s="52" t="str">
        <f>IF($C858="B",INDEX(Batters[[#All],[INT]],MATCH(Table5[[#This Row],[PID]],Batters[[#All],[PID]],0)),INDEX(Table3[[#All],[INT]],MATCH(Table5[[#This Row],[PID]],Table3[[#All],[PID]],0)))</f>
        <v>Normal</v>
      </c>
      <c r="L858" s="60">
        <f>IF($C858="B",INDEX(Batters[[#All],[CON P]],MATCH(Table5[[#This Row],[PID]],Batters[[#All],[PID]],0)),INDEX(Table3[[#All],[STU P]],MATCH(Table5[[#This Row],[PID]],Table3[[#All],[PID]],0)))</f>
        <v>3</v>
      </c>
      <c r="M858" s="56">
        <f>IF($C858="B",INDEX(Batters[[#All],[GAP P]],MATCH(Table5[[#This Row],[PID]],Batters[[#All],[PID]],0)),INDEX(Table3[[#All],[MOV P]],MATCH(Table5[[#This Row],[PID]],Table3[[#All],[PID]],0)))</f>
        <v>4</v>
      </c>
      <c r="N858" s="56">
        <f>IF($C858="B",INDEX(Batters[[#All],[POW P]],MATCH(Table5[[#This Row],[PID]],Batters[[#All],[PID]],0)),INDEX(Table3[[#All],[CON P]],MATCH(Table5[[#This Row],[PID]],Table3[[#All],[PID]],0)))</f>
        <v>4</v>
      </c>
      <c r="O858" s="56">
        <f>IF($C858="B",INDEX(Batters[[#All],[EYE P]],MATCH(Table5[[#This Row],[PID]],Batters[[#All],[PID]],0)),INDEX(Table3[[#All],[VELO]],MATCH(Table5[[#This Row],[PID]],Table3[[#All],[PID]],0)))</f>
        <v>5</v>
      </c>
      <c r="P858" s="56">
        <f>IF($C858="B",INDEX(Batters[[#All],[K P]],MATCH(Table5[[#This Row],[PID]],Batters[[#All],[PID]],0)),INDEX(Table3[[#All],[STM]],MATCH(Table5[[#This Row],[PID]],Table3[[#All],[PID]],0)))</f>
        <v>3</v>
      </c>
      <c r="Q858" s="61">
        <f>IF($C858="B",INDEX(Batters[[#All],[Tot]],MATCH(Table5[[#This Row],[PID]],Batters[[#All],[PID]],0)),INDEX(Table3[[#All],[Tot]],MATCH(Table5[[#This Row],[PID]],Table3[[#All],[PID]],0)))</f>
        <v>42.496294784921858</v>
      </c>
      <c r="R858" s="52">
        <f>IF($C858="B",INDEX(Batters[[#All],[zScore]],MATCH(Table5[[#This Row],[PID]],Batters[[#All],[PID]],0)),INDEX(Table3[[#All],[zScore]],MATCH(Table5[[#This Row],[PID]],Table3[[#All],[PID]],0)))</f>
        <v>-0.36263353840276341</v>
      </c>
      <c r="S858" s="58" t="str">
        <f>IF($C858="B",INDEX(Batters[[#All],[DEM]],MATCH(Table5[[#This Row],[PID]],Batters[[#All],[PID]],0)),INDEX(Table3[[#All],[DEM]],MATCH(Table5[[#This Row],[PID]],Table3[[#All],[PID]],0)))</f>
        <v>$65k</v>
      </c>
      <c r="T858" s="62">
        <f>IF($C858="B",INDEX(Batters[[#All],[Rnk]],MATCH(Table5[[#This Row],[PID]],Batters[[#All],[PID]],0)),INDEX(Table3[[#All],[Rnk]],MATCH(Table5[[#This Row],[PID]],Table3[[#All],[PID]],0)))</f>
        <v>313</v>
      </c>
      <c r="U858" s="68">
        <f>IF($C858="B",VLOOKUP($A858,Bat!$A$4:$BA$1621,47,FALSE),VLOOKUP($A858,Pit!$A$4:$BF$1557,56,FALSE))</f>
        <v>0</v>
      </c>
      <c r="V858" s="50">
        <f>IF($C858="B",VLOOKUP($A858,Bat!$A$4:$BA$1621,48,FALSE),VLOOKUP($A858,Pit!$A$4:$BF$1557,57,FALSE))</f>
        <v>0</v>
      </c>
      <c r="W858" s="50">
        <f>Table5[[#This Row],[posRnk]]+Table5[[#This Row],[zRnk]]+IF($W$3&lt;&gt;Table5[[#This Row],[Type]],50,0)</f>
        <v>1134</v>
      </c>
      <c r="X858" s="51">
        <f>RANK(Table5[[#This Row],[zScore]],Table5[[#All],[zScore]])</f>
        <v>771</v>
      </c>
      <c r="Y858" s="50" t="str">
        <f>IFERROR(INDEX(DraftResults[[#All],[OVR]],MATCH(Table5[[#This Row],[PID]],DraftResults[[#All],[Player ID]],0)),"")</f>
        <v/>
      </c>
      <c r="Z8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8" s="50" t="str">
        <f>IFERROR(INDEX(DraftResults[[#All],[Pick in Round]],MATCH(Table5[[#This Row],[PID]],DraftResults[[#All],[Player ID]],0)),"")</f>
        <v/>
      </c>
      <c r="AB858" s="50" t="str">
        <f>IFERROR(INDEX(DraftResults[[#All],[Team Name]],MATCH(Table5[[#This Row],[PID]],DraftResults[[#All],[Player ID]],0)),"")</f>
        <v/>
      </c>
      <c r="AC858" s="50" t="str">
        <f>IF(Table5[[#This Row],[Ovr]]="","",IF(Table5[[#This Row],[cmbList]]="","",Table5[[#This Row],[cmbList]]-Table5[[#This Row],[Ovr]]))</f>
        <v/>
      </c>
      <c r="AD858" s="54" t="str">
        <f>IF(ISERROR(VLOOKUP($AB858&amp;"-"&amp;$E858&amp;" "&amp;F858,Bonuses!$B$1:$G$1006,4,FALSE)),"",INT(VLOOKUP($AB858&amp;"-"&amp;$E858&amp;" "&amp;$F858,Bonuses!$B$1:$G$1006,4,FALSE)))</f>
        <v/>
      </c>
      <c r="AE8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59" spans="1:31" s="50" customFormat="1" x14ac:dyDescent="0.25">
      <c r="A859" s="50">
        <v>17894</v>
      </c>
      <c r="B859" s="50">
        <f>COUNTIF(Table5[PID],A859)</f>
        <v>1</v>
      </c>
      <c r="C859" s="50" t="str">
        <f>IF(COUNTIF(Table3[[#All],[PID]],A859)&gt;0,"P","B")</f>
        <v>P</v>
      </c>
      <c r="D859" s="59" t="str">
        <f>IF($C859="B",INDEX(Batters[[#All],[POS]],MATCH(Table5[[#This Row],[PID]],Batters[[#All],[PID]],0)),INDEX(Table3[[#All],[POS]],MATCH(Table5[[#This Row],[PID]],Table3[[#All],[PID]],0)))</f>
        <v>RP</v>
      </c>
      <c r="E859" s="52" t="str">
        <f>IF($C859="B",INDEX(Batters[[#All],[First]],MATCH(Table5[[#This Row],[PID]],Batters[[#All],[PID]],0)),INDEX(Table3[[#All],[First]],MATCH(Table5[[#This Row],[PID]],Table3[[#All],[PID]],0)))</f>
        <v>Akihito</v>
      </c>
      <c r="F859" s="50" t="str">
        <f>IF($C859="B",INDEX(Batters[[#All],[Last]],MATCH(A859,Batters[[#All],[PID]],0)),INDEX(Table3[[#All],[Last]],MATCH(A859,Table3[[#All],[PID]],0)))</f>
        <v>Kobayashi</v>
      </c>
      <c r="G859" s="56">
        <f>IF($C859="B",INDEX(Batters[[#All],[Age]],MATCH(Table5[[#This Row],[PID]],Batters[[#All],[PID]],0)),INDEX(Table3[[#All],[Age]],MATCH(Table5[[#This Row],[PID]],Table3[[#All],[PID]],0)))</f>
        <v>18</v>
      </c>
      <c r="H859" s="52" t="str">
        <f>IF($C859="B",INDEX(Batters[[#All],[B]],MATCH(Table5[[#This Row],[PID]],Batters[[#All],[PID]],0)),INDEX(Table3[[#All],[B]],MATCH(Table5[[#This Row],[PID]],Table3[[#All],[PID]],0)))</f>
        <v>L</v>
      </c>
      <c r="I859" s="52" t="str">
        <f>IF($C859="B",INDEX(Batters[[#All],[T]],MATCH(Table5[[#This Row],[PID]],Batters[[#All],[PID]],0)),INDEX(Table3[[#All],[T]],MATCH(Table5[[#This Row],[PID]],Table3[[#All],[PID]],0)))</f>
        <v>L</v>
      </c>
      <c r="J859" s="52" t="str">
        <f>IF($C859="B",INDEX(Batters[[#All],[WE]],MATCH(Table5[[#This Row],[PID]],Batters[[#All],[PID]],0)),INDEX(Table3[[#All],[WE]],MATCH(Table5[[#This Row],[PID]],Table3[[#All],[PID]],0)))</f>
        <v>Low</v>
      </c>
      <c r="K859" s="52" t="str">
        <f>IF($C859="B",INDEX(Batters[[#All],[INT]],MATCH(Table5[[#This Row],[PID]],Batters[[#All],[PID]],0)),INDEX(Table3[[#All],[INT]],MATCH(Table5[[#This Row],[PID]],Table3[[#All],[PID]],0)))</f>
        <v>Normal</v>
      </c>
      <c r="L859" s="60">
        <f>IF($C859="B",INDEX(Batters[[#All],[CON P]],MATCH(Table5[[#This Row],[PID]],Batters[[#All],[PID]],0)),INDEX(Table3[[#All],[STU P]],MATCH(Table5[[#This Row],[PID]],Table3[[#All],[PID]],0)))</f>
        <v>5</v>
      </c>
      <c r="M859" s="56">
        <f>IF($C859="B",INDEX(Batters[[#All],[GAP P]],MATCH(Table5[[#This Row],[PID]],Batters[[#All],[PID]],0)),INDEX(Table3[[#All],[MOV P]],MATCH(Table5[[#This Row],[PID]],Table3[[#All],[PID]],0)))</f>
        <v>1</v>
      </c>
      <c r="N859" s="56">
        <f>IF($C859="B",INDEX(Batters[[#All],[POW P]],MATCH(Table5[[#This Row],[PID]],Batters[[#All],[PID]],0)),INDEX(Table3[[#All],[CON P]],MATCH(Table5[[#This Row],[PID]],Table3[[#All],[PID]],0)))</f>
        <v>2</v>
      </c>
      <c r="O859" s="56" t="str">
        <f>IF($C859="B",INDEX(Batters[[#All],[EYE P]],MATCH(Table5[[#This Row],[PID]],Batters[[#All],[PID]],0)),INDEX(Table3[[#All],[VELO]],MATCH(Table5[[#This Row],[PID]],Table3[[#All],[PID]],0)))</f>
        <v>85-87 Mph</v>
      </c>
      <c r="P859" s="56">
        <f>IF($C859="B",INDEX(Batters[[#All],[K P]],MATCH(Table5[[#This Row],[PID]],Batters[[#All],[PID]],0)),INDEX(Table3[[#All],[STM]],MATCH(Table5[[#This Row],[PID]],Table3[[#All],[PID]],0)))</f>
        <v>9</v>
      </c>
      <c r="Q859" s="61">
        <f>IF($C859="B",INDEX(Batters[[#All],[Tot]],MATCH(Table5[[#This Row],[PID]],Batters[[#All],[PID]],0)),INDEX(Table3[[#All],[Tot]],MATCH(Table5[[#This Row],[PID]],Table3[[#All],[PID]],0)))</f>
        <v>30.373040506788183</v>
      </c>
      <c r="R859" s="52">
        <f>IF($C859="B",INDEX(Batters[[#All],[zScore]],MATCH(Table5[[#This Row],[PID]],Batters[[#All],[PID]],0)),INDEX(Table3[[#All],[zScore]],MATCH(Table5[[#This Row],[PID]],Table3[[#All],[PID]],0)))</f>
        <v>-0.36573931196797427</v>
      </c>
      <c r="S859" s="58" t="str">
        <f>IF($C859="B",INDEX(Batters[[#All],[DEM]],MATCH(Table5[[#This Row],[PID]],Batters[[#All],[PID]],0)),INDEX(Table3[[#All],[DEM]],MATCH(Table5[[#This Row],[PID]],Table3[[#All],[PID]],0)))</f>
        <v>$65k</v>
      </c>
      <c r="T859" s="62">
        <f>IF($C859="B",INDEX(Batters[[#All],[Rnk]],MATCH(Table5[[#This Row],[PID]],Batters[[#All],[PID]],0)),INDEX(Table3[[#All],[Rnk]],MATCH(Table5[[#This Row],[PID]],Table3[[#All],[PID]],0)))</f>
        <v>459</v>
      </c>
      <c r="U859" s="68">
        <f>IF($C859="B",VLOOKUP($A859,Bat!$A$4:$BA$1621,47,FALSE),VLOOKUP($A859,Pit!$A$4:$BF$1557,56,FALSE))</f>
        <v>0</v>
      </c>
      <c r="V859" s="50">
        <f>IF($C859="B",VLOOKUP($A859,Bat!$A$4:$BA$1621,48,FALSE),VLOOKUP($A859,Pit!$A$4:$BF$1557,57,FALSE))</f>
        <v>0</v>
      </c>
      <c r="W859" s="50">
        <f>Table5[[#This Row],[posRnk]]+Table5[[#This Row],[zRnk]]+IF($W$3&lt;&gt;Table5[[#This Row],[Type]],50,0)</f>
        <v>1281</v>
      </c>
      <c r="X859" s="51">
        <f>RANK(Table5[[#This Row],[zScore]],Table5[[#All],[zScore]])</f>
        <v>772</v>
      </c>
      <c r="Y859" s="50" t="str">
        <f>IFERROR(INDEX(DraftResults[[#All],[OVR]],MATCH(Table5[[#This Row],[PID]],DraftResults[[#All],[Player ID]],0)),"")</f>
        <v/>
      </c>
      <c r="Z8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59" s="50" t="str">
        <f>IFERROR(INDEX(DraftResults[[#All],[Pick in Round]],MATCH(Table5[[#This Row],[PID]],DraftResults[[#All],[Player ID]],0)),"")</f>
        <v/>
      </c>
      <c r="AB859" s="50" t="str">
        <f>IFERROR(INDEX(DraftResults[[#All],[Team Name]],MATCH(Table5[[#This Row],[PID]],DraftResults[[#All],[Player ID]],0)),"")</f>
        <v/>
      </c>
      <c r="AC859" s="50" t="str">
        <f>IF(Table5[[#This Row],[Ovr]]="","",IF(Table5[[#This Row],[cmbList]]="","",Table5[[#This Row],[cmbList]]-Table5[[#This Row],[Ovr]]))</f>
        <v/>
      </c>
      <c r="AD859" s="54" t="str">
        <f>IF(ISERROR(VLOOKUP($AB859&amp;"-"&amp;$E859&amp;" "&amp;F859,Bonuses!$B$1:$G$1006,4,FALSE)),"",INT(VLOOKUP($AB859&amp;"-"&amp;$E859&amp;" "&amp;$F859,Bonuses!$B$1:$G$1006,4,FALSE)))</f>
        <v/>
      </c>
      <c r="AE8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0" spans="1:31" s="50" customFormat="1" x14ac:dyDescent="0.25">
      <c r="A860" s="50">
        <v>21010</v>
      </c>
      <c r="B860" s="50">
        <f>COUNTIF(Table5[PID],A860)</f>
        <v>1</v>
      </c>
      <c r="C860" s="50" t="str">
        <f>IF(COUNTIF(Table3[[#All],[PID]],A860)&gt;0,"P","B")</f>
        <v>P</v>
      </c>
      <c r="D860" s="59" t="str">
        <f>IF($C860="B",INDEX(Batters[[#All],[POS]],MATCH(Table5[[#This Row],[PID]],Batters[[#All],[PID]],0)),INDEX(Table3[[#All],[POS]],MATCH(Table5[[#This Row],[PID]],Table3[[#All],[PID]],0)))</f>
        <v>RP</v>
      </c>
      <c r="E860" s="52" t="str">
        <f>IF($C860="B",INDEX(Batters[[#All],[First]],MATCH(Table5[[#This Row],[PID]],Batters[[#All],[PID]],0)),INDEX(Table3[[#All],[First]],MATCH(Table5[[#This Row],[PID]],Table3[[#All],[PID]],0)))</f>
        <v>Norberto</v>
      </c>
      <c r="F860" s="50" t="str">
        <f>IF($C860="B",INDEX(Batters[[#All],[Last]],MATCH(A860,Batters[[#All],[PID]],0)),INDEX(Table3[[#All],[Last]],MATCH(A860,Table3[[#All],[PID]],0)))</f>
        <v>Lucero</v>
      </c>
      <c r="G860" s="56">
        <f>IF($C860="B",INDEX(Batters[[#All],[Age]],MATCH(Table5[[#This Row],[PID]],Batters[[#All],[PID]],0)),INDEX(Table3[[#All],[Age]],MATCH(Table5[[#This Row],[PID]],Table3[[#All],[PID]],0)))</f>
        <v>17</v>
      </c>
      <c r="H860" s="52" t="str">
        <f>IF($C860="B",INDEX(Batters[[#All],[B]],MATCH(Table5[[#This Row],[PID]],Batters[[#All],[PID]],0)),INDEX(Table3[[#All],[B]],MATCH(Table5[[#This Row],[PID]],Table3[[#All],[PID]],0)))</f>
        <v>L</v>
      </c>
      <c r="I860" s="52" t="str">
        <f>IF($C860="B",INDEX(Batters[[#All],[T]],MATCH(Table5[[#This Row],[PID]],Batters[[#All],[PID]],0)),INDEX(Table3[[#All],[T]],MATCH(Table5[[#This Row],[PID]],Table3[[#All],[PID]],0)))</f>
        <v>R</v>
      </c>
      <c r="J860" s="52" t="str">
        <f>IF($C860="B",INDEX(Batters[[#All],[WE]],MATCH(Table5[[#This Row],[PID]],Batters[[#All],[PID]],0)),INDEX(Table3[[#All],[WE]],MATCH(Table5[[#This Row],[PID]],Table3[[#All],[PID]],0)))</f>
        <v>Normal</v>
      </c>
      <c r="K860" s="52" t="str">
        <f>IF($C860="B",INDEX(Batters[[#All],[INT]],MATCH(Table5[[#This Row],[PID]],Batters[[#All],[PID]],0)),INDEX(Table3[[#All],[INT]],MATCH(Table5[[#This Row],[PID]],Table3[[#All],[PID]],0)))</f>
        <v>Normal</v>
      </c>
      <c r="L860" s="60">
        <f>IF($C860="B",INDEX(Batters[[#All],[CON P]],MATCH(Table5[[#This Row],[PID]],Batters[[#All],[PID]],0)),INDEX(Table3[[#All],[STU P]],MATCH(Table5[[#This Row],[PID]],Table3[[#All],[PID]],0)))</f>
        <v>3</v>
      </c>
      <c r="M860" s="56">
        <f>IF($C860="B",INDEX(Batters[[#All],[GAP P]],MATCH(Table5[[#This Row],[PID]],Batters[[#All],[PID]],0)),INDEX(Table3[[#All],[MOV P]],MATCH(Table5[[#This Row],[PID]],Table3[[#All],[PID]],0)))</f>
        <v>2</v>
      </c>
      <c r="N860" s="56">
        <f>IF($C860="B",INDEX(Batters[[#All],[POW P]],MATCH(Table5[[#This Row],[PID]],Batters[[#All],[PID]],0)),INDEX(Table3[[#All],[CON P]],MATCH(Table5[[#This Row],[PID]],Table3[[#All],[PID]],0)))</f>
        <v>3</v>
      </c>
      <c r="O860" s="56" t="str">
        <f>IF($C860="B",INDEX(Batters[[#All],[EYE P]],MATCH(Table5[[#This Row],[PID]],Batters[[#All],[PID]],0)),INDEX(Table3[[#All],[VELO]],MATCH(Table5[[#This Row],[PID]],Table3[[#All],[PID]],0)))</f>
        <v>87-89 Mph</v>
      </c>
      <c r="P860" s="56">
        <f>IF($C860="B",INDEX(Batters[[#All],[K P]],MATCH(Table5[[#This Row],[PID]],Batters[[#All],[PID]],0)),INDEX(Table3[[#All],[STM]],MATCH(Table5[[#This Row],[PID]],Table3[[#All],[PID]],0)))</f>
        <v>5</v>
      </c>
      <c r="Q860" s="61">
        <f>IF($C860="B",INDEX(Batters[[#All],[Tot]],MATCH(Table5[[#This Row],[PID]],Batters[[#All],[PID]],0)),INDEX(Table3[[#All],[Tot]],MATCH(Table5[[#This Row],[PID]],Table3[[#All],[PID]],0)))</f>
        <v>30.361871767938361</v>
      </c>
      <c r="R860" s="52">
        <f>IF($C860="B",INDEX(Batters[[#All],[zScore]],MATCH(Table5[[#This Row],[PID]],Batters[[#All],[PID]],0)),INDEX(Table3[[#All],[zScore]],MATCH(Table5[[#This Row],[PID]],Table3[[#All],[PID]],0)))</f>
        <v>-0.36648235109660432</v>
      </c>
      <c r="S860" s="58" t="str">
        <f>IF($C860="B",INDEX(Batters[[#All],[DEM]],MATCH(Table5[[#This Row],[PID]],Batters[[#All],[PID]],0)),INDEX(Table3[[#All],[DEM]],MATCH(Table5[[#This Row],[PID]],Table3[[#All],[PID]],0)))</f>
        <v>$80k</v>
      </c>
      <c r="T860" s="62">
        <f>IF($C860="B",INDEX(Batters[[#All],[Rnk]],MATCH(Table5[[#This Row],[PID]],Batters[[#All],[PID]],0)),INDEX(Table3[[#All],[Rnk]],MATCH(Table5[[#This Row],[PID]],Table3[[#All],[PID]],0)))</f>
        <v>460</v>
      </c>
      <c r="U860" s="68">
        <f>IF($C860="B",VLOOKUP($A860,Bat!$A$4:$BA$1621,47,FALSE),VLOOKUP($A860,Pit!$A$4:$BF$1557,56,FALSE))</f>
        <v>0</v>
      </c>
      <c r="V860" s="50">
        <f>IF($C860="B",VLOOKUP($A860,Bat!$A$4:$BA$1621,48,FALSE),VLOOKUP($A860,Pit!$A$4:$BF$1557,57,FALSE))</f>
        <v>0</v>
      </c>
      <c r="W860" s="50">
        <f>Table5[[#This Row],[posRnk]]+Table5[[#This Row],[zRnk]]+IF($W$3&lt;&gt;Table5[[#This Row],[Type]],50,0)</f>
        <v>1283</v>
      </c>
      <c r="X860" s="51">
        <f>RANK(Table5[[#This Row],[zScore]],Table5[[#All],[zScore]])</f>
        <v>773</v>
      </c>
      <c r="Y860" s="50" t="str">
        <f>IFERROR(INDEX(DraftResults[[#All],[OVR]],MATCH(Table5[[#This Row],[PID]],DraftResults[[#All],[Player ID]],0)),"")</f>
        <v/>
      </c>
      <c r="Z8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0" s="50" t="str">
        <f>IFERROR(INDEX(DraftResults[[#All],[Pick in Round]],MATCH(Table5[[#This Row],[PID]],DraftResults[[#All],[Player ID]],0)),"")</f>
        <v/>
      </c>
      <c r="AB860" s="50" t="str">
        <f>IFERROR(INDEX(DraftResults[[#All],[Team Name]],MATCH(Table5[[#This Row],[PID]],DraftResults[[#All],[Player ID]],0)),"")</f>
        <v/>
      </c>
      <c r="AC860" s="50" t="str">
        <f>IF(Table5[[#This Row],[Ovr]]="","",IF(Table5[[#This Row],[cmbList]]="","",Table5[[#This Row],[cmbList]]-Table5[[#This Row],[Ovr]]))</f>
        <v/>
      </c>
      <c r="AD860" s="54" t="str">
        <f>IF(ISERROR(VLOOKUP($AB860&amp;"-"&amp;$E860&amp;" "&amp;F860,Bonuses!$B$1:$G$1006,4,FALSE)),"",INT(VLOOKUP($AB860&amp;"-"&amp;$E860&amp;" "&amp;$F860,Bonuses!$B$1:$G$1006,4,FALSE)))</f>
        <v/>
      </c>
      <c r="AE8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1" spans="1:31" s="50" customFormat="1" x14ac:dyDescent="0.25">
      <c r="A861" s="50">
        <v>18425</v>
      </c>
      <c r="B861" s="50">
        <f>COUNTIF(Table5[PID],A861)</f>
        <v>1</v>
      </c>
      <c r="C861" s="50" t="str">
        <f>IF(COUNTIF(Table3[[#All],[PID]],A861)&gt;0,"P","B")</f>
        <v>B</v>
      </c>
      <c r="D861" s="59" t="str">
        <f>IF($C861="B",INDEX(Batters[[#All],[POS]],MATCH(Table5[[#This Row],[PID]],Batters[[#All],[PID]],0)),INDEX(Table3[[#All],[POS]],MATCH(Table5[[#This Row],[PID]],Table3[[#All],[PID]],0)))</f>
        <v>C</v>
      </c>
      <c r="E861" s="52" t="str">
        <f>IF($C861="B",INDEX(Batters[[#All],[First]],MATCH(Table5[[#This Row],[PID]],Batters[[#All],[PID]],0)),INDEX(Table3[[#All],[First]],MATCH(Table5[[#This Row],[PID]],Table3[[#All],[PID]],0)))</f>
        <v>Sam</v>
      </c>
      <c r="F861" s="50" t="str">
        <f>IF($C861="B",INDEX(Batters[[#All],[Last]],MATCH(A861,Batters[[#All],[PID]],0)),INDEX(Table3[[#All],[Last]],MATCH(A861,Table3[[#All],[PID]],0)))</f>
        <v>Reagh</v>
      </c>
      <c r="G861" s="56">
        <f>IF($C861="B",INDEX(Batters[[#All],[Age]],MATCH(Table5[[#This Row],[PID]],Batters[[#All],[PID]],0)),INDEX(Table3[[#All],[Age]],MATCH(Table5[[#This Row],[PID]],Table3[[#All],[PID]],0)))</f>
        <v>18</v>
      </c>
      <c r="H861" s="52" t="str">
        <f>IF($C861="B",INDEX(Batters[[#All],[B]],MATCH(Table5[[#This Row],[PID]],Batters[[#All],[PID]],0)),INDEX(Table3[[#All],[B]],MATCH(Table5[[#This Row],[PID]],Table3[[#All],[PID]],0)))</f>
        <v>R</v>
      </c>
      <c r="I861" s="52" t="str">
        <f>IF($C861="B",INDEX(Batters[[#All],[T]],MATCH(Table5[[#This Row],[PID]],Batters[[#All],[PID]],0)),INDEX(Table3[[#All],[T]],MATCH(Table5[[#This Row],[PID]],Table3[[#All],[PID]],0)))</f>
        <v>R</v>
      </c>
      <c r="J861" s="52" t="str">
        <f>IF($C861="B",INDEX(Batters[[#All],[WE]],MATCH(Table5[[#This Row],[PID]],Batters[[#All],[PID]],0)),INDEX(Table3[[#All],[WE]],MATCH(Table5[[#This Row],[PID]],Table3[[#All],[PID]],0)))</f>
        <v>High</v>
      </c>
      <c r="K861" s="52" t="str">
        <f>IF($C861="B",INDEX(Batters[[#All],[INT]],MATCH(Table5[[#This Row],[PID]],Batters[[#All],[PID]],0)),INDEX(Table3[[#All],[INT]],MATCH(Table5[[#This Row],[PID]],Table3[[#All],[PID]],0)))</f>
        <v>Normal</v>
      </c>
      <c r="L861" s="60">
        <f>IF($C861="B",INDEX(Batters[[#All],[CON P]],MATCH(Table5[[#This Row],[PID]],Batters[[#All],[PID]],0)),INDEX(Table3[[#All],[STU P]],MATCH(Table5[[#This Row],[PID]],Table3[[#All],[PID]],0)))</f>
        <v>3</v>
      </c>
      <c r="M861" s="56">
        <f>IF($C861="B",INDEX(Batters[[#All],[GAP P]],MATCH(Table5[[#This Row],[PID]],Batters[[#All],[PID]],0)),INDEX(Table3[[#All],[MOV P]],MATCH(Table5[[#This Row],[PID]],Table3[[#All],[PID]],0)))</f>
        <v>5</v>
      </c>
      <c r="N861" s="56">
        <f>IF($C861="B",INDEX(Batters[[#All],[POW P]],MATCH(Table5[[#This Row],[PID]],Batters[[#All],[PID]],0)),INDEX(Table3[[#All],[CON P]],MATCH(Table5[[#This Row],[PID]],Table3[[#All],[PID]],0)))</f>
        <v>4</v>
      </c>
      <c r="O861" s="56">
        <f>IF($C861="B",INDEX(Batters[[#All],[EYE P]],MATCH(Table5[[#This Row],[PID]],Batters[[#All],[PID]],0)),INDEX(Table3[[#All],[VELO]],MATCH(Table5[[#This Row],[PID]],Table3[[#All],[PID]],0)))</f>
        <v>4</v>
      </c>
      <c r="P861" s="56">
        <f>IF($C861="B",INDEX(Batters[[#All],[K P]],MATCH(Table5[[#This Row],[PID]],Batters[[#All],[PID]],0)),INDEX(Table3[[#All],[STM]],MATCH(Table5[[#This Row],[PID]],Table3[[#All],[PID]],0)))</f>
        <v>3</v>
      </c>
      <c r="Q861" s="61">
        <f>IF($C861="B",INDEX(Batters[[#All],[Tot]],MATCH(Table5[[#This Row],[PID]],Batters[[#All],[PID]],0)),INDEX(Table3[[#All],[Tot]],MATCH(Table5[[#This Row],[PID]],Table3[[#All],[PID]],0)))</f>
        <v>42.478633773192236</v>
      </c>
      <c r="R861" s="52">
        <f>IF($C861="B",INDEX(Batters[[#All],[zScore]],MATCH(Table5[[#This Row],[PID]],Batters[[#All],[PID]],0)),INDEX(Table3[[#All],[zScore]],MATCH(Table5[[#This Row],[PID]],Table3[[#All],[PID]],0)))</f>
        <v>-0.36654910408058083</v>
      </c>
      <c r="S861" s="58" t="str">
        <f>IF($C861="B",INDEX(Batters[[#All],[DEM]],MATCH(Table5[[#This Row],[PID]],Batters[[#All],[PID]],0)),INDEX(Table3[[#All],[DEM]],MATCH(Table5[[#This Row],[PID]],Table3[[#All],[PID]],0)))</f>
        <v>$65k</v>
      </c>
      <c r="T861" s="62">
        <f>IF($C861="B",INDEX(Batters[[#All],[Rnk]],MATCH(Table5[[#This Row],[PID]],Batters[[#All],[PID]],0)),INDEX(Table3[[#All],[Rnk]],MATCH(Table5[[#This Row],[PID]],Table3[[#All],[PID]],0)))</f>
        <v>314</v>
      </c>
      <c r="U861" s="68">
        <f>IF($C861="B",VLOOKUP($A861,Bat!$A$4:$BA$1621,47,FALSE),VLOOKUP($A861,Pit!$A$4:$BF$1557,56,FALSE))</f>
        <v>0</v>
      </c>
      <c r="V861" s="50">
        <f>IF($C861="B",VLOOKUP($A861,Bat!$A$4:$BA$1621,48,FALSE),VLOOKUP($A861,Pit!$A$4:$BF$1557,57,FALSE))</f>
        <v>0</v>
      </c>
      <c r="W861" s="50">
        <f>Table5[[#This Row],[posRnk]]+Table5[[#This Row],[zRnk]]+IF($W$3&lt;&gt;Table5[[#This Row],[Type]],50,0)</f>
        <v>1138</v>
      </c>
      <c r="X861" s="51">
        <f>RANK(Table5[[#This Row],[zScore]],Table5[[#All],[zScore]])</f>
        <v>774</v>
      </c>
      <c r="Y861" s="50" t="str">
        <f>IFERROR(INDEX(DraftResults[[#All],[OVR]],MATCH(Table5[[#This Row],[PID]],DraftResults[[#All],[Player ID]],0)),"")</f>
        <v/>
      </c>
      <c r="Z8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1" s="50" t="str">
        <f>IFERROR(INDEX(DraftResults[[#All],[Pick in Round]],MATCH(Table5[[#This Row],[PID]],DraftResults[[#All],[Player ID]],0)),"")</f>
        <v/>
      </c>
      <c r="AB861" s="50" t="str">
        <f>IFERROR(INDEX(DraftResults[[#All],[Team Name]],MATCH(Table5[[#This Row],[PID]],DraftResults[[#All],[Player ID]],0)),"")</f>
        <v/>
      </c>
      <c r="AC861" s="50" t="str">
        <f>IF(Table5[[#This Row],[Ovr]]="","",IF(Table5[[#This Row],[cmbList]]="","",Table5[[#This Row],[cmbList]]-Table5[[#This Row],[Ovr]]))</f>
        <v/>
      </c>
      <c r="AD861" s="54" t="str">
        <f>IF(ISERROR(VLOOKUP($AB861&amp;"-"&amp;$E861&amp;" "&amp;F861,Bonuses!$B$1:$G$1006,4,FALSE)),"",INT(VLOOKUP($AB861&amp;"-"&amp;$E861&amp;" "&amp;$F861,Bonuses!$B$1:$G$1006,4,FALSE)))</f>
        <v/>
      </c>
      <c r="AE8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2" spans="1:31" s="50" customFormat="1" x14ac:dyDescent="0.25">
      <c r="A862" s="50">
        <v>20625</v>
      </c>
      <c r="B862" s="50">
        <f>COUNTIF(Table5[PID],A862)</f>
        <v>1</v>
      </c>
      <c r="C862" s="50" t="str">
        <f>IF(COUNTIF(Table3[[#All],[PID]],A862)&gt;0,"P","B")</f>
        <v>P</v>
      </c>
      <c r="D862" s="59" t="str">
        <f>IF($C862="B",INDEX(Batters[[#All],[POS]],MATCH(Table5[[#This Row],[PID]],Batters[[#All],[PID]],0)),INDEX(Table3[[#All],[POS]],MATCH(Table5[[#This Row],[PID]],Table3[[#All],[PID]],0)))</f>
        <v>RP</v>
      </c>
      <c r="E862" s="52" t="str">
        <f>IF($C862="B",INDEX(Batters[[#All],[First]],MATCH(Table5[[#This Row],[PID]],Batters[[#All],[PID]],0)),INDEX(Table3[[#All],[First]],MATCH(Table5[[#This Row],[PID]],Table3[[#All],[PID]],0)))</f>
        <v>Duk-yoon</v>
      </c>
      <c r="F862" s="50" t="str">
        <f>IF($C862="B",INDEX(Batters[[#All],[Last]],MATCH(A862,Batters[[#All],[PID]],0)),INDEX(Table3[[#All],[Last]],MATCH(A862,Table3[[#All],[PID]],0)))</f>
        <v>Yun</v>
      </c>
      <c r="G862" s="56">
        <f>IF($C862="B",INDEX(Batters[[#All],[Age]],MATCH(Table5[[#This Row],[PID]],Batters[[#All],[PID]],0)),INDEX(Table3[[#All],[Age]],MATCH(Table5[[#This Row],[PID]],Table3[[#All],[PID]],0)))</f>
        <v>18</v>
      </c>
      <c r="H862" s="52" t="str">
        <f>IF($C862="B",INDEX(Batters[[#All],[B]],MATCH(Table5[[#This Row],[PID]],Batters[[#All],[PID]],0)),INDEX(Table3[[#All],[B]],MATCH(Table5[[#This Row],[PID]],Table3[[#All],[PID]],0)))</f>
        <v>R</v>
      </c>
      <c r="I862" s="52" t="str">
        <f>IF($C862="B",INDEX(Batters[[#All],[T]],MATCH(Table5[[#This Row],[PID]],Batters[[#All],[PID]],0)),INDEX(Table3[[#All],[T]],MATCH(Table5[[#This Row],[PID]],Table3[[#All],[PID]],0)))</f>
        <v>R</v>
      </c>
      <c r="J862" s="52" t="str">
        <f>IF($C862="B",INDEX(Batters[[#All],[WE]],MATCH(Table5[[#This Row],[PID]],Batters[[#All],[PID]],0)),INDEX(Table3[[#All],[WE]],MATCH(Table5[[#This Row],[PID]],Table3[[#All],[PID]],0)))</f>
        <v>Normal</v>
      </c>
      <c r="K862" s="52" t="str">
        <f>IF($C862="B",INDEX(Batters[[#All],[INT]],MATCH(Table5[[#This Row],[PID]],Batters[[#All],[PID]],0)),INDEX(Table3[[#All],[INT]],MATCH(Table5[[#This Row],[PID]],Table3[[#All],[PID]],0)))</f>
        <v>Low</v>
      </c>
      <c r="L862" s="60">
        <f>IF($C862="B",INDEX(Batters[[#All],[CON P]],MATCH(Table5[[#This Row],[PID]],Batters[[#All],[PID]],0)),INDEX(Table3[[#All],[STU P]],MATCH(Table5[[#This Row],[PID]],Table3[[#All],[PID]],0)))</f>
        <v>3</v>
      </c>
      <c r="M862" s="56">
        <f>IF($C862="B",INDEX(Batters[[#All],[GAP P]],MATCH(Table5[[#This Row],[PID]],Batters[[#All],[PID]],0)),INDEX(Table3[[#All],[MOV P]],MATCH(Table5[[#This Row],[PID]],Table3[[#All],[PID]],0)))</f>
        <v>1</v>
      </c>
      <c r="N862" s="56">
        <f>IF($C862="B",INDEX(Batters[[#All],[POW P]],MATCH(Table5[[#This Row],[PID]],Batters[[#All],[PID]],0)),INDEX(Table3[[#All],[CON P]],MATCH(Table5[[#This Row],[PID]],Table3[[#All],[PID]],0)))</f>
        <v>4</v>
      </c>
      <c r="O862" s="56" t="str">
        <f>IF($C862="B",INDEX(Batters[[#All],[EYE P]],MATCH(Table5[[#This Row],[PID]],Batters[[#All],[PID]],0)),INDEX(Table3[[#All],[VELO]],MATCH(Table5[[#This Row],[PID]],Table3[[#All],[PID]],0)))</f>
        <v>85-87 Mph</v>
      </c>
      <c r="P862" s="56">
        <f>IF($C862="B",INDEX(Batters[[#All],[K P]],MATCH(Table5[[#This Row],[PID]],Batters[[#All],[PID]],0)),INDEX(Table3[[#All],[STM]],MATCH(Table5[[#This Row],[PID]],Table3[[#All],[PID]],0)))</f>
        <v>8</v>
      </c>
      <c r="Q862" s="61">
        <f>IF($C862="B",INDEX(Batters[[#All],[Tot]],MATCH(Table5[[#This Row],[PID]],Batters[[#All],[PID]],0)),INDEX(Table3[[#All],[Tot]],MATCH(Table5[[#This Row],[PID]],Table3[[#All],[PID]],0)))</f>
        <v>31.658460333839038</v>
      </c>
      <c r="R862" s="52">
        <f>IF($C862="B",INDEX(Batters[[#All],[zScore]],MATCH(Table5[[#This Row],[PID]],Batters[[#All],[PID]],0)),INDEX(Table3[[#All],[zScore]],MATCH(Table5[[#This Row],[PID]],Table3[[#All],[PID]],0)))</f>
        <v>-0.37056939467698968</v>
      </c>
      <c r="S862" s="58" t="str">
        <f>IF($C862="B",INDEX(Batters[[#All],[DEM]],MATCH(Table5[[#This Row],[PID]],Batters[[#All],[PID]],0)),INDEX(Table3[[#All],[DEM]],MATCH(Table5[[#This Row],[PID]],Table3[[#All],[PID]],0)))</f>
        <v>$65k</v>
      </c>
      <c r="T862" s="62">
        <f>IF($C862="B",INDEX(Batters[[#All],[Rnk]],MATCH(Table5[[#This Row],[PID]],Batters[[#All],[PID]],0)),INDEX(Table3[[#All],[Rnk]],MATCH(Table5[[#This Row],[PID]],Table3[[#All],[PID]],0)))</f>
        <v>461</v>
      </c>
      <c r="U862" s="68">
        <f>IF($C862="B",VLOOKUP($A862,Bat!$A$4:$BA$1621,47,FALSE),VLOOKUP($A862,Pit!$A$4:$BF$1557,56,FALSE))</f>
        <v>0</v>
      </c>
      <c r="V862" s="50">
        <f>IF($C862="B",VLOOKUP($A862,Bat!$A$4:$BA$1621,48,FALSE),VLOOKUP($A862,Pit!$A$4:$BF$1557,57,FALSE))</f>
        <v>0</v>
      </c>
      <c r="W862" s="50">
        <f>Table5[[#This Row],[posRnk]]+Table5[[#This Row],[zRnk]]+IF($W$3&lt;&gt;Table5[[#This Row],[Type]],50,0)</f>
        <v>1287</v>
      </c>
      <c r="X862" s="51">
        <f>RANK(Table5[[#This Row],[zScore]],Table5[[#All],[zScore]])</f>
        <v>776</v>
      </c>
      <c r="Y862" s="50" t="str">
        <f>IFERROR(INDEX(DraftResults[[#All],[OVR]],MATCH(Table5[[#This Row],[PID]],DraftResults[[#All],[Player ID]],0)),"")</f>
        <v/>
      </c>
      <c r="Z8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2" s="50" t="str">
        <f>IFERROR(INDEX(DraftResults[[#All],[Pick in Round]],MATCH(Table5[[#This Row],[PID]],DraftResults[[#All],[Player ID]],0)),"")</f>
        <v/>
      </c>
      <c r="AB862" s="50" t="str">
        <f>IFERROR(INDEX(DraftResults[[#All],[Team Name]],MATCH(Table5[[#This Row],[PID]],DraftResults[[#All],[Player ID]],0)),"")</f>
        <v/>
      </c>
      <c r="AC862" s="50" t="str">
        <f>IF(Table5[[#This Row],[Ovr]]="","",IF(Table5[[#This Row],[cmbList]]="","",Table5[[#This Row],[cmbList]]-Table5[[#This Row],[Ovr]]))</f>
        <v/>
      </c>
      <c r="AD862" s="54" t="str">
        <f>IF(ISERROR(VLOOKUP($AB862&amp;"-"&amp;$E862&amp;" "&amp;F862,Bonuses!$B$1:$G$1006,4,FALSE)),"",INT(VLOOKUP($AB862&amp;"-"&amp;$E862&amp;" "&amp;$F862,Bonuses!$B$1:$G$1006,4,FALSE)))</f>
        <v/>
      </c>
      <c r="AE8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3" spans="1:31" s="50" customFormat="1" x14ac:dyDescent="0.25">
      <c r="A863" s="50">
        <v>21101</v>
      </c>
      <c r="B863" s="50">
        <f>COUNTIF(Table5[PID],A863)</f>
        <v>1</v>
      </c>
      <c r="C863" s="50" t="str">
        <f>IF(COUNTIF(Table3[[#All],[PID]],A863)&gt;0,"P","B")</f>
        <v>P</v>
      </c>
      <c r="D863" s="59" t="str">
        <f>IF($C863="B",INDEX(Batters[[#All],[POS]],MATCH(Table5[[#This Row],[PID]],Batters[[#All],[PID]],0)),INDEX(Table3[[#All],[POS]],MATCH(Table5[[#This Row],[PID]],Table3[[#All],[PID]],0)))</f>
        <v>RP</v>
      </c>
      <c r="E863" s="52" t="str">
        <f>IF($C863="B",INDEX(Batters[[#All],[First]],MATCH(Table5[[#This Row],[PID]],Batters[[#All],[PID]],0)),INDEX(Table3[[#All],[First]],MATCH(Table5[[#This Row],[PID]],Table3[[#All],[PID]],0)))</f>
        <v>Enos</v>
      </c>
      <c r="F863" s="50" t="str">
        <f>IF($C863="B",INDEX(Batters[[#All],[Last]],MATCH(A863,Batters[[#All],[PID]],0)),INDEX(Table3[[#All],[Last]],MATCH(A863,Table3[[#All],[PID]],0)))</f>
        <v>Michell</v>
      </c>
      <c r="G863" s="56">
        <f>IF($C863="B",INDEX(Batters[[#All],[Age]],MATCH(Table5[[#This Row],[PID]],Batters[[#All],[PID]],0)),INDEX(Table3[[#All],[Age]],MATCH(Table5[[#This Row],[PID]],Table3[[#All],[PID]],0)))</f>
        <v>17</v>
      </c>
      <c r="H863" s="52" t="str">
        <f>IF($C863="B",INDEX(Batters[[#All],[B]],MATCH(Table5[[#This Row],[PID]],Batters[[#All],[PID]],0)),INDEX(Table3[[#All],[B]],MATCH(Table5[[#This Row],[PID]],Table3[[#All],[PID]],0)))</f>
        <v>R</v>
      </c>
      <c r="I863" s="52" t="str">
        <f>IF($C863="B",INDEX(Batters[[#All],[T]],MATCH(Table5[[#This Row],[PID]],Batters[[#All],[PID]],0)),INDEX(Table3[[#All],[T]],MATCH(Table5[[#This Row],[PID]],Table3[[#All],[PID]],0)))</f>
        <v>R</v>
      </c>
      <c r="J863" s="52" t="str">
        <f>IF($C863="B",INDEX(Batters[[#All],[WE]],MATCH(Table5[[#This Row],[PID]],Batters[[#All],[PID]],0)),INDEX(Table3[[#All],[WE]],MATCH(Table5[[#This Row],[PID]],Table3[[#All],[PID]],0)))</f>
        <v>Normal</v>
      </c>
      <c r="K863" s="52" t="str">
        <f>IF($C863="B",INDEX(Batters[[#All],[INT]],MATCH(Table5[[#This Row],[PID]],Batters[[#All],[PID]],0)),INDEX(Table3[[#All],[INT]],MATCH(Table5[[#This Row],[PID]],Table3[[#All],[PID]],0)))</f>
        <v>Normal</v>
      </c>
      <c r="L863" s="60">
        <f>IF($C863="B",INDEX(Batters[[#All],[CON P]],MATCH(Table5[[#This Row],[PID]],Batters[[#All],[PID]],0)),INDEX(Table3[[#All],[STU P]],MATCH(Table5[[#This Row],[PID]],Table3[[#All],[PID]],0)))</f>
        <v>3</v>
      </c>
      <c r="M863" s="56">
        <f>IF($C863="B",INDEX(Batters[[#All],[GAP P]],MATCH(Table5[[#This Row],[PID]],Batters[[#All],[PID]],0)),INDEX(Table3[[#All],[MOV P]],MATCH(Table5[[#This Row],[PID]],Table3[[#All],[PID]],0)))</f>
        <v>1</v>
      </c>
      <c r="N863" s="56">
        <f>IF($C863="B",INDEX(Batters[[#All],[POW P]],MATCH(Table5[[#This Row],[PID]],Batters[[#All],[PID]],0)),INDEX(Table3[[#All],[CON P]],MATCH(Table5[[#This Row],[PID]],Table3[[#All],[PID]],0)))</f>
        <v>4</v>
      </c>
      <c r="O863" s="56" t="str">
        <f>IF($C863="B",INDEX(Batters[[#All],[EYE P]],MATCH(Table5[[#This Row],[PID]],Batters[[#All],[PID]],0)),INDEX(Table3[[#All],[VELO]],MATCH(Table5[[#This Row],[PID]],Table3[[#All],[PID]],0)))</f>
        <v>86-88 Mph</v>
      </c>
      <c r="P863" s="56">
        <f>IF($C863="B",INDEX(Batters[[#All],[K P]],MATCH(Table5[[#This Row],[PID]],Batters[[#All],[PID]],0)),INDEX(Table3[[#All],[STM]],MATCH(Table5[[#This Row],[PID]],Table3[[#All],[PID]],0)))</f>
        <v>2</v>
      </c>
      <c r="Q863" s="61">
        <f>IF($C863="B",INDEX(Batters[[#All],[Tot]],MATCH(Table5[[#This Row],[PID]],Batters[[#All],[PID]],0)),INDEX(Table3[[#All],[Tot]],MATCH(Table5[[#This Row],[PID]],Table3[[#All],[PID]],0)))</f>
        <v>30.29553731714709</v>
      </c>
      <c r="R863" s="52">
        <f>IF($C863="B",INDEX(Batters[[#All],[zScore]],MATCH(Table5[[#This Row],[PID]],Batters[[#All],[PID]],0)),INDEX(Table3[[#All],[zScore]],MATCH(Table5[[#This Row],[PID]],Table3[[#All],[PID]],0)))</f>
        <v>-0.37089548074148676</v>
      </c>
      <c r="S863" s="58" t="str">
        <f>IF($C863="B",INDEX(Batters[[#All],[DEM]],MATCH(Table5[[#This Row],[PID]],Batters[[#All],[PID]],0)),INDEX(Table3[[#All],[DEM]],MATCH(Table5[[#This Row],[PID]],Table3[[#All],[PID]],0)))</f>
        <v>$70k</v>
      </c>
      <c r="T863" s="62">
        <f>IF($C863="B",INDEX(Batters[[#All],[Rnk]],MATCH(Table5[[#This Row],[PID]],Batters[[#All],[PID]],0)),INDEX(Table3[[#All],[Rnk]],MATCH(Table5[[#This Row],[PID]],Table3[[#All],[PID]],0)))</f>
        <v>462</v>
      </c>
      <c r="U863" s="68">
        <f>IF($C863="B",VLOOKUP($A863,Bat!$A$4:$BA$1621,47,FALSE),VLOOKUP($A863,Pit!$A$4:$BF$1557,56,FALSE))</f>
        <v>0</v>
      </c>
      <c r="V863" s="50">
        <f>IF($C863="B",VLOOKUP($A863,Bat!$A$4:$BA$1621,48,FALSE),VLOOKUP($A863,Pit!$A$4:$BF$1557,57,FALSE))</f>
        <v>0</v>
      </c>
      <c r="W863" s="50">
        <f>Table5[[#This Row],[posRnk]]+Table5[[#This Row],[zRnk]]+IF($W$3&lt;&gt;Table5[[#This Row],[Type]],50,0)</f>
        <v>1289</v>
      </c>
      <c r="X863" s="51">
        <f>RANK(Table5[[#This Row],[zScore]],Table5[[#All],[zScore]])</f>
        <v>777</v>
      </c>
      <c r="Y863" s="50" t="str">
        <f>IFERROR(INDEX(DraftResults[[#All],[OVR]],MATCH(Table5[[#This Row],[PID]],DraftResults[[#All],[Player ID]],0)),"")</f>
        <v/>
      </c>
      <c r="Z8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3" s="50" t="str">
        <f>IFERROR(INDEX(DraftResults[[#All],[Pick in Round]],MATCH(Table5[[#This Row],[PID]],DraftResults[[#All],[Player ID]],0)),"")</f>
        <v/>
      </c>
      <c r="AB863" s="50" t="str">
        <f>IFERROR(INDEX(DraftResults[[#All],[Team Name]],MATCH(Table5[[#This Row],[PID]],DraftResults[[#All],[Player ID]],0)),"")</f>
        <v/>
      </c>
      <c r="AC863" s="50" t="str">
        <f>IF(Table5[[#This Row],[Ovr]]="","",IF(Table5[[#This Row],[cmbList]]="","",Table5[[#This Row],[cmbList]]-Table5[[#This Row],[Ovr]]))</f>
        <v/>
      </c>
      <c r="AD863" s="54" t="str">
        <f>IF(ISERROR(VLOOKUP($AB863&amp;"-"&amp;$E863&amp;" "&amp;F863,Bonuses!$B$1:$G$1006,4,FALSE)),"",INT(VLOOKUP($AB863&amp;"-"&amp;$E863&amp;" "&amp;$F863,Bonuses!$B$1:$G$1006,4,FALSE)))</f>
        <v/>
      </c>
      <c r="AE8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4" spans="1:31" s="50" customFormat="1" x14ac:dyDescent="0.25">
      <c r="A864" s="50">
        <v>14002</v>
      </c>
      <c r="B864" s="50">
        <f>COUNTIF(Table5[PID],A864)</f>
        <v>1</v>
      </c>
      <c r="C864" s="50" t="str">
        <f>IF(COUNTIF(Table3[[#All],[PID]],A864)&gt;0,"P","B")</f>
        <v>B</v>
      </c>
      <c r="D864" s="59" t="str">
        <f>IF($C864="B",INDEX(Batters[[#All],[POS]],MATCH(Table5[[#This Row],[PID]],Batters[[#All],[PID]],0)),INDEX(Table3[[#All],[POS]],MATCH(Table5[[#This Row],[PID]],Table3[[#All],[PID]],0)))</f>
        <v>RF</v>
      </c>
      <c r="E864" s="52" t="str">
        <f>IF($C864="B",INDEX(Batters[[#All],[First]],MATCH(Table5[[#This Row],[PID]],Batters[[#All],[PID]],0)),INDEX(Table3[[#All],[First]],MATCH(Table5[[#This Row],[PID]],Table3[[#All],[PID]],0)))</f>
        <v>Jesús</v>
      </c>
      <c r="F864" s="50" t="str">
        <f>IF($C864="B",INDEX(Batters[[#All],[Last]],MATCH(A864,Batters[[#All],[PID]],0)),INDEX(Table3[[#All],[Last]],MATCH(A864,Table3[[#All],[PID]],0)))</f>
        <v>Benetiz</v>
      </c>
      <c r="G864" s="56">
        <f>IF($C864="B",INDEX(Batters[[#All],[Age]],MATCH(Table5[[#This Row],[PID]],Batters[[#All],[PID]],0)),INDEX(Table3[[#All],[Age]],MATCH(Table5[[#This Row],[PID]],Table3[[#All],[PID]],0)))</f>
        <v>18</v>
      </c>
      <c r="H864" s="52" t="str">
        <f>IF($C864="B",INDEX(Batters[[#All],[B]],MATCH(Table5[[#This Row],[PID]],Batters[[#All],[PID]],0)),INDEX(Table3[[#All],[B]],MATCH(Table5[[#This Row],[PID]],Table3[[#All],[PID]],0)))</f>
        <v>L</v>
      </c>
      <c r="I864" s="52" t="str">
        <f>IF($C864="B",INDEX(Batters[[#All],[T]],MATCH(Table5[[#This Row],[PID]],Batters[[#All],[PID]],0)),INDEX(Table3[[#All],[T]],MATCH(Table5[[#This Row],[PID]],Table3[[#All],[PID]],0)))</f>
        <v>L</v>
      </c>
      <c r="J864" s="52" t="str">
        <f>IF($C864="B",INDEX(Batters[[#All],[WE]],MATCH(Table5[[#This Row],[PID]],Batters[[#All],[PID]],0)),INDEX(Table3[[#All],[WE]],MATCH(Table5[[#This Row],[PID]],Table3[[#All],[PID]],0)))</f>
        <v>Normal</v>
      </c>
      <c r="K864" s="52" t="str">
        <f>IF($C864="B",INDEX(Batters[[#All],[INT]],MATCH(Table5[[#This Row],[PID]],Batters[[#All],[PID]],0)),INDEX(Table3[[#All],[INT]],MATCH(Table5[[#This Row],[PID]],Table3[[#All],[PID]],0)))</f>
        <v>Normal</v>
      </c>
      <c r="L864" s="60">
        <f>IF($C864="B",INDEX(Batters[[#All],[CON P]],MATCH(Table5[[#This Row],[PID]],Batters[[#All],[PID]],0)),INDEX(Table3[[#All],[STU P]],MATCH(Table5[[#This Row],[PID]],Table3[[#All],[PID]],0)))</f>
        <v>3</v>
      </c>
      <c r="M864" s="56">
        <f>IF($C864="B",INDEX(Batters[[#All],[GAP P]],MATCH(Table5[[#This Row],[PID]],Batters[[#All],[PID]],0)),INDEX(Table3[[#All],[MOV P]],MATCH(Table5[[#This Row],[PID]],Table3[[#All],[PID]],0)))</f>
        <v>4</v>
      </c>
      <c r="N864" s="56">
        <f>IF($C864="B",INDEX(Batters[[#All],[POW P]],MATCH(Table5[[#This Row],[PID]],Batters[[#All],[PID]],0)),INDEX(Table3[[#All],[CON P]],MATCH(Table5[[#This Row],[PID]],Table3[[#All],[PID]],0)))</f>
        <v>3</v>
      </c>
      <c r="O864" s="56">
        <f>IF($C864="B",INDEX(Batters[[#All],[EYE P]],MATCH(Table5[[#This Row],[PID]],Batters[[#All],[PID]],0)),INDEX(Table3[[#All],[VELO]],MATCH(Table5[[#This Row],[PID]],Table3[[#All],[PID]],0)))</f>
        <v>5</v>
      </c>
      <c r="P864" s="56">
        <f>IF($C864="B",INDEX(Batters[[#All],[K P]],MATCH(Table5[[#This Row],[PID]],Batters[[#All],[PID]],0)),INDEX(Table3[[#All],[STM]],MATCH(Table5[[#This Row],[PID]],Table3[[#All],[PID]],0)))</f>
        <v>4</v>
      </c>
      <c r="Q864" s="61">
        <f>IF($C864="B",INDEX(Batters[[#All],[Tot]],MATCH(Table5[[#This Row],[PID]],Batters[[#All],[PID]],0)),INDEX(Table3[[#All],[Tot]],MATCH(Table5[[#This Row],[PID]],Table3[[#All],[PID]],0)))</f>
        <v>42.453675764390816</v>
      </c>
      <c r="R864" s="52">
        <f>IF($C864="B",INDEX(Batters[[#All],[zScore]],MATCH(Table5[[#This Row],[PID]],Batters[[#All],[PID]],0)),INDEX(Table3[[#All],[zScore]],MATCH(Table5[[#This Row],[PID]],Table3[[#All],[PID]],0)))</f>
        <v>-0.37208246333233846</v>
      </c>
      <c r="S864" s="58" t="str">
        <f>IF($C864="B",INDEX(Batters[[#All],[DEM]],MATCH(Table5[[#This Row],[PID]],Batters[[#All],[PID]],0)),INDEX(Table3[[#All],[DEM]],MATCH(Table5[[#This Row],[PID]],Table3[[#All],[PID]],0)))</f>
        <v>$130k</v>
      </c>
      <c r="T864" s="62">
        <f>IF($C864="B",INDEX(Batters[[#All],[Rnk]],MATCH(Table5[[#This Row],[PID]],Batters[[#All],[PID]],0)),INDEX(Table3[[#All],[Rnk]],MATCH(Table5[[#This Row],[PID]],Table3[[#All],[PID]],0)))</f>
        <v>316</v>
      </c>
      <c r="U864" s="68">
        <f>IF($C864="B",VLOOKUP($A864,Bat!$A$4:$BA$1621,47,FALSE),VLOOKUP($A864,Pit!$A$4:$BF$1557,56,FALSE))</f>
        <v>0</v>
      </c>
      <c r="V864" s="50">
        <f>IF($C864="B",VLOOKUP($A864,Bat!$A$4:$BA$1621,48,FALSE),VLOOKUP($A864,Pit!$A$4:$BF$1557,57,FALSE))</f>
        <v>0</v>
      </c>
      <c r="W864" s="50">
        <f>Table5[[#This Row],[posRnk]]+Table5[[#This Row],[zRnk]]+IF($W$3&lt;&gt;Table5[[#This Row],[Type]],50,0)</f>
        <v>1144</v>
      </c>
      <c r="X864" s="51">
        <f>RANK(Table5[[#This Row],[zScore]],Table5[[#All],[zScore]])</f>
        <v>778</v>
      </c>
      <c r="Y864" s="50" t="str">
        <f>IFERROR(INDEX(DraftResults[[#All],[OVR]],MATCH(Table5[[#This Row],[PID]],DraftResults[[#All],[Player ID]],0)),"")</f>
        <v/>
      </c>
      <c r="Z8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4" s="50" t="str">
        <f>IFERROR(INDEX(DraftResults[[#All],[Pick in Round]],MATCH(Table5[[#This Row],[PID]],DraftResults[[#All],[Player ID]],0)),"")</f>
        <v/>
      </c>
      <c r="AB864" s="50" t="str">
        <f>IFERROR(INDEX(DraftResults[[#All],[Team Name]],MATCH(Table5[[#This Row],[PID]],DraftResults[[#All],[Player ID]],0)),"")</f>
        <v/>
      </c>
      <c r="AC864" s="50" t="str">
        <f>IF(Table5[[#This Row],[Ovr]]="","",IF(Table5[[#This Row],[cmbList]]="","",Table5[[#This Row],[cmbList]]-Table5[[#This Row],[Ovr]]))</f>
        <v/>
      </c>
      <c r="AD864" s="54" t="str">
        <f>IF(ISERROR(VLOOKUP($AB864&amp;"-"&amp;$E864&amp;" "&amp;F864,Bonuses!$B$1:$G$1006,4,FALSE)),"",INT(VLOOKUP($AB864&amp;"-"&amp;$E864&amp;" "&amp;$F864,Bonuses!$B$1:$G$1006,4,FALSE)))</f>
        <v/>
      </c>
      <c r="AE8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5" spans="1:31" s="50" customFormat="1" x14ac:dyDescent="0.25">
      <c r="A865" s="68">
        <v>13238</v>
      </c>
      <c r="B865" s="69">
        <f>COUNTIF(Table5[PID],A865)</f>
        <v>1</v>
      </c>
      <c r="C865" s="69" t="str">
        <f>IF(COUNTIF(Table3[[#All],[PID]],A865)&gt;0,"P","B")</f>
        <v>P</v>
      </c>
      <c r="D865" s="59" t="str">
        <f>IF($C865="B",INDEX(Batters[[#All],[POS]],MATCH(Table5[[#This Row],[PID]],Batters[[#All],[PID]],0)),INDEX(Table3[[#All],[POS]],MATCH(Table5[[#This Row],[PID]],Table3[[#All],[PID]],0)))</f>
        <v>SP</v>
      </c>
      <c r="E865" s="52" t="str">
        <f>IF($C865="B",INDEX(Batters[[#All],[First]],MATCH(Table5[[#This Row],[PID]],Batters[[#All],[PID]],0)),INDEX(Table3[[#All],[First]],MATCH(Table5[[#This Row],[PID]],Table3[[#All],[PID]],0)))</f>
        <v>Sotan</v>
      </c>
      <c r="F865" s="55" t="str">
        <f>IF($C865="B",INDEX(Batters[[#All],[Last]],MATCH(A865,Batters[[#All],[PID]],0)),INDEX(Table3[[#All],[Last]],MATCH(A865,Table3[[#All],[PID]],0)))</f>
        <v>Tanabe</v>
      </c>
      <c r="G865" s="56">
        <f>IF($C865="B",INDEX(Batters[[#All],[Age]],MATCH(Table5[[#This Row],[PID]],Batters[[#All],[PID]],0)),INDEX(Table3[[#All],[Age]],MATCH(Table5[[#This Row],[PID]],Table3[[#All],[PID]],0)))</f>
        <v>22</v>
      </c>
      <c r="H865" s="52" t="str">
        <f>IF($C865="B",INDEX(Batters[[#All],[B]],MATCH(Table5[[#This Row],[PID]],Batters[[#All],[PID]],0)),INDEX(Table3[[#All],[B]],MATCH(Table5[[#This Row],[PID]],Table3[[#All],[PID]],0)))</f>
        <v>R</v>
      </c>
      <c r="I865" s="52" t="str">
        <f>IF($C865="B",INDEX(Batters[[#All],[T]],MATCH(Table5[[#This Row],[PID]],Batters[[#All],[PID]],0)),INDEX(Table3[[#All],[T]],MATCH(Table5[[#This Row],[PID]],Table3[[#All],[PID]],0)))</f>
        <v>R</v>
      </c>
      <c r="J865" s="71" t="str">
        <f>IF($C865="B",INDEX(Batters[[#All],[WE]],MATCH(Table5[[#This Row],[PID]],Batters[[#All],[PID]],0)),INDEX(Table3[[#All],[WE]],MATCH(Table5[[#This Row],[PID]],Table3[[#All],[PID]],0)))</f>
        <v>Low</v>
      </c>
      <c r="K865" s="52" t="str">
        <f>IF($C865="B",INDEX(Batters[[#All],[INT]],MATCH(Table5[[#This Row],[PID]],Batters[[#All],[PID]],0)),INDEX(Table3[[#All],[INT]],MATCH(Table5[[#This Row],[PID]],Table3[[#All],[PID]],0)))</f>
        <v>Normal</v>
      </c>
      <c r="L865" s="60">
        <f>IF($C865="B",INDEX(Batters[[#All],[CON P]],MATCH(Table5[[#This Row],[PID]],Batters[[#All],[PID]],0)),INDEX(Table3[[#All],[STU P]],MATCH(Table5[[#This Row],[PID]],Table3[[#All],[PID]],0)))</f>
        <v>4</v>
      </c>
      <c r="M865" s="72">
        <f>IF($C865="B",INDEX(Batters[[#All],[GAP P]],MATCH(Table5[[#This Row],[PID]],Batters[[#All],[PID]],0)),INDEX(Table3[[#All],[MOV P]],MATCH(Table5[[#This Row],[PID]],Table3[[#All],[PID]],0)))</f>
        <v>2</v>
      </c>
      <c r="N865" s="72">
        <f>IF($C865="B",INDEX(Batters[[#All],[POW P]],MATCH(Table5[[#This Row],[PID]],Batters[[#All],[PID]],0)),INDEX(Table3[[#All],[CON P]],MATCH(Table5[[#This Row],[PID]],Table3[[#All],[PID]],0)))</f>
        <v>3</v>
      </c>
      <c r="O865" s="72" t="str">
        <f>IF($C865="B",INDEX(Batters[[#All],[EYE P]],MATCH(Table5[[#This Row],[PID]],Batters[[#All],[PID]],0)),INDEX(Table3[[#All],[VELO]],MATCH(Table5[[#This Row],[PID]],Table3[[#All],[PID]],0)))</f>
        <v>86-88 Mph</v>
      </c>
      <c r="P865" s="56">
        <f>IF($C865="B",INDEX(Batters[[#All],[K P]],MATCH(Table5[[#This Row],[PID]],Batters[[#All],[PID]],0)),INDEX(Table3[[#All],[STM]],MATCH(Table5[[#This Row],[PID]],Table3[[#All],[PID]],0)))</f>
        <v>6</v>
      </c>
      <c r="Q865" s="61">
        <f>IF($C865="B",INDEX(Batters[[#All],[Tot]],MATCH(Table5[[#This Row],[PID]],Batters[[#All],[PID]],0)),INDEX(Table3[[#All],[Tot]],MATCH(Table5[[#This Row],[PID]],Table3[[#All],[PID]],0)))</f>
        <v>31.611621125466733</v>
      </c>
      <c r="R865" s="52">
        <f>IF($C865="B",INDEX(Batters[[#All],[zScore]],MATCH(Table5[[#This Row],[PID]],Batters[[#All],[PID]],0)),INDEX(Table3[[#All],[zScore]],MATCH(Table5[[#This Row],[PID]],Table3[[#All],[PID]],0)))</f>
        <v>-0.37395879527390313</v>
      </c>
      <c r="S865" s="78" t="str">
        <f>IF($C865="B",INDEX(Batters[[#All],[DEM]],MATCH(Table5[[#This Row],[PID]],Batters[[#All],[PID]],0)),INDEX(Table3[[#All],[DEM]],MATCH(Table5[[#This Row],[PID]],Table3[[#All],[PID]],0)))</f>
        <v>-</v>
      </c>
      <c r="T865" s="75">
        <f>IF($C865="B",INDEX(Batters[[#All],[Rnk]],MATCH(Table5[[#This Row],[PID]],Batters[[#All],[PID]],0)),INDEX(Table3[[#All],[Rnk]],MATCH(Table5[[#This Row],[PID]],Table3[[#All],[PID]],0)))</f>
        <v>463</v>
      </c>
      <c r="U865" s="68">
        <f>IF($C865="B",VLOOKUP($A865,Bat!$A$4:$BA$1621,47,FALSE),VLOOKUP($A865,Pit!$A$4:$BF$1557,56,FALSE))</f>
        <v>0</v>
      </c>
      <c r="V865" s="50">
        <f>IF($C865="B",VLOOKUP($A865,Bat!$A$4:$BA$1621,48,FALSE),VLOOKUP($A865,Pit!$A$4:$BF$1557,57,FALSE))</f>
        <v>0</v>
      </c>
      <c r="W865" s="69">
        <f>Table5[[#This Row],[posRnk]]+Table5[[#This Row],[zRnk]]+IF($W$3&lt;&gt;Table5[[#This Row],[Type]],50,0)</f>
        <v>1292</v>
      </c>
      <c r="X865" s="73">
        <f>RANK(Table5[[#This Row],[zScore]],Table5[[#All],[zScore]])</f>
        <v>779</v>
      </c>
      <c r="Y865" s="69" t="str">
        <f>IFERROR(INDEX(DraftResults[[#All],[OVR]],MATCH(Table5[[#This Row],[PID]],DraftResults[[#All],[Player ID]],0)),"")</f>
        <v/>
      </c>
      <c r="Z86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5" s="69" t="str">
        <f>IFERROR(INDEX(DraftResults[[#All],[Pick in Round]],MATCH(Table5[[#This Row],[PID]],DraftResults[[#All],[Player ID]],0)),"")</f>
        <v/>
      </c>
      <c r="AB865" s="69" t="str">
        <f>IFERROR(INDEX(DraftResults[[#All],[Team Name]],MATCH(Table5[[#This Row],[PID]],DraftResults[[#All],[Player ID]],0)),"")</f>
        <v/>
      </c>
      <c r="AC865" s="69" t="str">
        <f>IF(Table5[[#This Row],[Ovr]]="","",IF(Table5[[#This Row],[cmbList]]="","",Table5[[#This Row],[cmbList]]-Table5[[#This Row],[Ovr]]))</f>
        <v/>
      </c>
      <c r="AD865" s="77" t="str">
        <f>IF(ISERROR(VLOOKUP($AB865&amp;"-"&amp;$E865&amp;" "&amp;F865,Bonuses!$B$1:$G$1006,4,FALSE)),"",INT(VLOOKUP($AB865&amp;"-"&amp;$E865&amp;" "&amp;$F865,Bonuses!$B$1:$G$1006,4,FALSE)))</f>
        <v/>
      </c>
      <c r="AE86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6" spans="1:31" s="50" customFormat="1" x14ac:dyDescent="0.25">
      <c r="A866" s="50">
        <v>20825</v>
      </c>
      <c r="B866" s="50">
        <f>COUNTIF(Table5[PID],A866)</f>
        <v>1</v>
      </c>
      <c r="C866" s="50" t="str">
        <f>IF(COUNTIF(Table3[[#All],[PID]],A866)&gt;0,"P","B")</f>
        <v>P</v>
      </c>
      <c r="D866" s="59" t="str">
        <f>IF($C866="B",INDEX(Batters[[#All],[POS]],MATCH(Table5[[#This Row],[PID]],Batters[[#All],[PID]],0)),INDEX(Table3[[#All],[POS]],MATCH(Table5[[#This Row],[PID]],Table3[[#All],[PID]],0)))</f>
        <v>RP</v>
      </c>
      <c r="E866" s="52" t="str">
        <f>IF($C866="B",INDEX(Batters[[#All],[First]],MATCH(Table5[[#This Row],[PID]],Batters[[#All],[PID]],0)),INDEX(Table3[[#All],[First]],MATCH(Table5[[#This Row],[PID]],Table3[[#All],[PID]],0)))</f>
        <v>Pete</v>
      </c>
      <c r="F866" s="50" t="str">
        <f>IF($C866="B",INDEX(Batters[[#All],[Last]],MATCH(A866,Batters[[#All],[PID]],0)),INDEX(Table3[[#All],[Last]],MATCH(A866,Table3[[#All],[PID]],0)))</f>
        <v>Kent</v>
      </c>
      <c r="G866" s="56">
        <f>IF($C866="B",INDEX(Batters[[#All],[Age]],MATCH(Table5[[#This Row],[PID]],Batters[[#All],[PID]],0)),INDEX(Table3[[#All],[Age]],MATCH(Table5[[#This Row],[PID]],Table3[[#All],[PID]],0)))</f>
        <v>17</v>
      </c>
      <c r="H866" s="52" t="str">
        <f>IF($C866="B",INDEX(Batters[[#All],[B]],MATCH(Table5[[#This Row],[PID]],Batters[[#All],[PID]],0)),INDEX(Table3[[#All],[B]],MATCH(Table5[[#This Row],[PID]],Table3[[#All],[PID]],0)))</f>
        <v>R</v>
      </c>
      <c r="I866" s="52" t="str">
        <f>IF($C866="B",INDEX(Batters[[#All],[T]],MATCH(Table5[[#This Row],[PID]],Batters[[#All],[PID]],0)),INDEX(Table3[[#All],[T]],MATCH(Table5[[#This Row],[PID]],Table3[[#All],[PID]],0)))</f>
        <v>R</v>
      </c>
      <c r="J866" s="52" t="str">
        <f>IF($C866="B",INDEX(Batters[[#All],[WE]],MATCH(Table5[[#This Row],[PID]],Batters[[#All],[PID]],0)),INDEX(Table3[[#All],[WE]],MATCH(Table5[[#This Row],[PID]],Table3[[#All],[PID]],0)))</f>
        <v>Low</v>
      </c>
      <c r="K866" s="52" t="str">
        <f>IF($C866="B",INDEX(Batters[[#All],[INT]],MATCH(Table5[[#This Row],[PID]],Batters[[#All],[PID]],0)),INDEX(Table3[[#All],[INT]],MATCH(Table5[[#This Row],[PID]],Table3[[#All],[PID]],0)))</f>
        <v>Low</v>
      </c>
      <c r="L866" s="60">
        <f>IF($C866="B",INDEX(Batters[[#All],[CON P]],MATCH(Table5[[#This Row],[PID]],Batters[[#All],[PID]],0)),INDEX(Table3[[#All],[STU P]],MATCH(Table5[[#This Row],[PID]],Table3[[#All],[PID]],0)))</f>
        <v>4</v>
      </c>
      <c r="M866" s="56">
        <f>IF($C866="B",INDEX(Batters[[#All],[GAP P]],MATCH(Table5[[#This Row],[PID]],Batters[[#All],[PID]],0)),INDEX(Table3[[#All],[MOV P]],MATCH(Table5[[#This Row],[PID]],Table3[[#All],[PID]],0)))</f>
        <v>2</v>
      </c>
      <c r="N866" s="56">
        <f>IF($C866="B",INDEX(Batters[[#All],[POW P]],MATCH(Table5[[#This Row],[PID]],Batters[[#All],[PID]],0)),INDEX(Table3[[#All],[CON P]],MATCH(Table5[[#This Row],[PID]],Table3[[#All],[PID]],0)))</f>
        <v>2</v>
      </c>
      <c r="O866" s="56" t="str">
        <f>IF($C866="B",INDEX(Batters[[#All],[EYE P]],MATCH(Table5[[#This Row],[PID]],Batters[[#All],[PID]],0)),INDEX(Table3[[#All],[VELO]],MATCH(Table5[[#This Row],[PID]],Table3[[#All],[PID]],0)))</f>
        <v>86-88 Mph</v>
      </c>
      <c r="P866" s="56">
        <f>IF($C866="B",INDEX(Batters[[#All],[K P]],MATCH(Table5[[#This Row],[PID]],Batters[[#All],[PID]],0)),INDEX(Table3[[#All],[STM]],MATCH(Table5[[#This Row],[PID]],Table3[[#All],[PID]],0)))</f>
        <v>6</v>
      </c>
      <c r="Q866" s="61">
        <f>IF($C866="B",INDEX(Batters[[#All],[Tot]],MATCH(Table5[[#This Row],[PID]],Batters[[#All],[PID]],0)),INDEX(Table3[[#All],[Tot]],MATCH(Table5[[#This Row],[PID]],Table3[[#All],[PID]],0)))</f>
        <v>30.238504912056158</v>
      </c>
      <c r="R866" s="52">
        <f>IF($C866="B",INDEX(Batters[[#All],[zScore]],MATCH(Table5[[#This Row],[PID]],Batters[[#All],[PID]],0)),INDEX(Table3[[#All],[zScore]],MATCH(Table5[[#This Row],[PID]],Table3[[#All],[PID]],0)))</f>
        <v>-0.37468975950046401</v>
      </c>
      <c r="S866" s="58" t="str">
        <f>IF($C866="B",INDEX(Batters[[#All],[DEM]],MATCH(Table5[[#This Row],[PID]],Batters[[#All],[PID]],0)),INDEX(Table3[[#All],[DEM]],MATCH(Table5[[#This Row],[PID]],Table3[[#All],[PID]],0)))</f>
        <v>$85k</v>
      </c>
      <c r="T866" s="62">
        <f>IF($C866="B",INDEX(Batters[[#All],[Rnk]],MATCH(Table5[[#This Row],[PID]],Batters[[#All],[PID]],0)),INDEX(Table3[[#All],[Rnk]],MATCH(Table5[[#This Row],[PID]],Table3[[#All],[PID]],0)))</f>
        <v>464</v>
      </c>
      <c r="U866" s="68">
        <f>IF($C866="B",VLOOKUP($A866,Bat!$A$4:$BA$1621,47,FALSE),VLOOKUP($A866,Pit!$A$4:$BF$1557,56,FALSE))</f>
        <v>0</v>
      </c>
      <c r="V866" s="50">
        <f>IF($C866="B",VLOOKUP($A866,Bat!$A$4:$BA$1621,48,FALSE),VLOOKUP($A866,Pit!$A$4:$BF$1557,57,FALSE))</f>
        <v>0</v>
      </c>
      <c r="W866" s="50">
        <f>Table5[[#This Row],[posRnk]]+Table5[[#This Row],[zRnk]]+IF($W$3&lt;&gt;Table5[[#This Row],[Type]],50,0)</f>
        <v>1294</v>
      </c>
      <c r="X866" s="51">
        <f>RANK(Table5[[#This Row],[zScore]],Table5[[#All],[zScore]])</f>
        <v>780</v>
      </c>
      <c r="Y866" s="50" t="str">
        <f>IFERROR(INDEX(DraftResults[[#All],[OVR]],MATCH(Table5[[#This Row],[PID]],DraftResults[[#All],[Player ID]],0)),"")</f>
        <v/>
      </c>
      <c r="Z8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6" s="50" t="str">
        <f>IFERROR(INDEX(DraftResults[[#All],[Pick in Round]],MATCH(Table5[[#This Row],[PID]],DraftResults[[#All],[Player ID]],0)),"")</f>
        <v/>
      </c>
      <c r="AB866" s="50" t="str">
        <f>IFERROR(INDEX(DraftResults[[#All],[Team Name]],MATCH(Table5[[#This Row],[PID]],DraftResults[[#All],[Player ID]],0)),"")</f>
        <v/>
      </c>
      <c r="AC866" s="50" t="str">
        <f>IF(Table5[[#This Row],[Ovr]]="","",IF(Table5[[#This Row],[cmbList]]="","",Table5[[#This Row],[cmbList]]-Table5[[#This Row],[Ovr]]))</f>
        <v/>
      </c>
      <c r="AD866" s="54" t="str">
        <f>IF(ISERROR(VLOOKUP($AB866&amp;"-"&amp;$E866&amp;" "&amp;F866,Bonuses!$B$1:$G$1006,4,FALSE)),"",INT(VLOOKUP($AB866&amp;"-"&amp;$E866&amp;" "&amp;$F866,Bonuses!$B$1:$G$1006,4,FALSE)))</f>
        <v/>
      </c>
      <c r="AE8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7" spans="1:31" s="50" customFormat="1" x14ac:dyDescent="0.25">
      <c r="A867" s="68">
        <v>20925</v>
      </c>
      <c r="B867" s="69">
        <f>COUNTIF(Table5[PID],A867)</f>
        <v>1</v>
      </c>
      <c r="C867" s="69" t="str">
        <f>IF(COUNTIF(Table3[[#All],[PID]],A867)&gt;0,"P","B")</f>
        <v>P</v>
      </c>
      <c r="D867" s="59" t="str">
        <f>IF($C867="B",INDEX(Batters[[#All],[POS]],MATCH(Table5[[#This Row],[PID]],Batters[[#All],[PID]],0)),INDEX(Table3[[#All],[POS]],MATCH(Table5[[#This Row],[PID]],Table3[[#All],[PID]],0)))</f>
        <v>SP</v>
      </c>
      <c r="E867" s="52" t="str">
        <f>IF($C867="B",INDEX(Batters[[#All],[First]],MATCH(Table5[[#This Row],[PID]],Batters[[#All],[PID]],0)),INDEX(Table3[[#All],[First]],MATCH(Table5[[#This Row],[PID]],Table3[[#All],[PID]],0)))</f>
        <v>Doug</v>
      </c>
      <c r="F867" s="55" t="str">
        <f>IF($C867="B",INDEX(Batters[[#All],[Last]],MATCH(A867,Batters[[#All],[PID]],0)),INDEX(Table3[[#All],[Last]],MATCH(A867,Table3[[#All],[PID]],0)))</f>
        <v>Bryan</v>
      </c>
      <c r="G867" s="56">
        <f>IF($C867="B",INDEX(Batters[[#All],[Age]],MATCH(Table5[[#This Row],[PID]],Batters[[#All],[PID]],0)),INDEX(Table3[[#All],[Age]],MATCH(Table5[[#This Row],[PID]],Table3[[#All],[PID]],0)))</f>
        <v>16</v>
      </c>
      <c r="H867" s="52" t="str">
        <f>IF($C867="B",INDEX(Batters[[#All],[B]],MATCH(Table5[[#This Row],[PID]],Batters[[#All],[PID]],0)),INDEX(Table3[[#All],[B]],MATCH(Table5[[#This Row],[PID]],Table3[[#All],[PID]],0)))</f>
        <v>L</v>
      </c>
      <c r="I867" s="52" t="str">
        <f>IF($C867="B",INDEX(Batters[[#All],[T]],MATCH(Table5[[#This Row],[PID]],Batters[[#All],[PID]],0)),INDEX(Table3[[#All],[T]],MATCH(Table5[[#This Row],[PID]],Table3[[#All],[PID]],0)))</f>
        <v>L</v>
      </c>
      <c r="J867" s="71" t="str">
        <f>IF($C867="B",INDEX(Batters[[#All],[WE]],MATCH(Table5[[#This Row],[PID]],Batters[[#All],[PID]],0)),INDEX(Table3[[#All],[WE]],MATCH(Table5[[#This Row],[PID]],Table3[[#All],[PID]],0)))</f>
        <v>Normal</v>
      </c>
      <c r="K867" s="52" t="str">
        <f>IF($C867="B",INDEX(Batters[[#All],[INT]],MATCH(Table5[[#This Row],[PID]],Batters[[#All],[PID]],0)),INDEX(Table3[[#All],[INT]],MATCH(Table5[[#This Row],[PID]],Table3[[#All],[PID]],0)))</f>
        <v>Normal</v>
      </c>
      <c r="L867" s="60">
        <f>IF($C867="B",INDEX(Batters[[#All],[CON P]],MATCH(Table5[[#This Row],[PID]],Batters[[#All],[PID]],0)),INDEX(Table3[[#All],[STU P]],MATCH(Table5[[#This Row],[PID]],Table3[[#All],[PID]],0)))</f>
        <v>3</v>
      </c>
      <c r="M867" s="72">
        <f>IF($C867="B",INDEX(Batters[[#All],[GAP P]],MATCH(Table5[[#This Row],[PID]],Batters[[#All],[PID]],0)),INDEX(Table3[[#All],[MOV P]],MATCH(Table5[[#This Row],[PID]],Table3[[#All],[PID]],0)))</f>
        <v>1</v>
      </c>
      <c r="N867" s="72">
        <f>IF($C867="B",INDEX(Batters[[#All],[POW P]],MATCH(Table5[[#This Row],[PID]],Batters[[#All],[PID]],0)),INDEX(Table3[[#All],[CON P]],MATCH(Table5[[#This Row],[PID]],Table3[[#All],[PID]],0)))</f>
        <v>3</v>
      </c>
      <c r="O867" s="72" t="str">
        <f>IF($C867="B",INDEX(Batters[[#All],[EYE P]],MATCH(Table5[[#This Row],[PID]],Batters[[#All],[PID]],0)),INDEX(Table3[[#All],[VELO]],MATCH(Table5[[#This Row],[PID]],Table3[[#All],[PID]],0)))</f>
        <v>83-85 Mph</v>
      </c>
      <c r="P867" s="56">
        <f>IF($C867="B",INDEX(Batters[[#All],[K P]],MATCH(Table5[[#This Row],[PID]],Batters[[#All],[PID]],0)),INDEX(Table3[[#All],[STM]],MATCH(Table5[[#This Row],[PID]],Table3[[#All],[PID]],0)))</f>
        <v>8</v>
      </c>
      <c r="Q867" s="61">
        <f>IF($C867="B",INDEX(Batters[[#All],[Tot]],MATCH(Table5[[#This Row],[PID]],Batters[[#All],[PID]],0)),INDEX(Table3[[#All],[Tot]],MATCH(Table5[[#This Row],[PID]],Table3[[#All],[PID]],0)))</f>
        <v>30.238350127294577</v>
      </c>
      <c r="R867" s="52">
        <f>IF($C867="B",INDEX(Batters[[#All],[zScore]],MATCH(Table5[[#This Row],[PID]],Batters[[#All],[PID]],0)),INDEX(Table3[[#All],[zScore]],MATCH(Table5[[#This Row],[PID]],Table3[[#All],[PID]],0)))</f>
        <v>-0.37470005709412396</v>
      </c>
      <c r="S867" s="78" t="str">
        <f>IF($C867="B",INDEX(Batters[[#All],[DEM]],MATCH(Table5[[#This Row],[PID]],Batters[[#All],[PID]],0)),INDEX(Table3[[#All],[DEM]],MATCH(Table5[[#This Row],[PID]],Table3[[#All],[PID]],0)))</f>
        <v>$75k</v>
      </c>
      <c r="T867" s="75">
        <f>IF($C867="B",INDEX(Batters[[#All],[Rnk]],MATCH(Table5[[#This Row],[PID]],Batters[[#All],[PID]],0)),INDEX(Table3[[#All],[Rnk]],MATCH(Table5[[#This Row],[PID]],Table3[[#All],[PID]],0)))</f>
        <v>465</v>
      </c>
      <c r="U867" s="68">
        <f>IF($C867="B",VLOOKUP($A867,Bat!$A$4:$BA$1621,47,FALSE),VLOOKUP($A867,Pit!$A$4:$BF$1557,56,FALSE))</f>
        <v>0</v>
      </c>
      <c r="V867" s="50">
        <f>IF($C867="B",VLOOKUP($A867,Bat!$A$4:$BA$1621,48,FALSE),VLOOKUP($A867,Pit!$A$4:$BF$1557,57,FALSE))</f>
        <v>0</v>
      </c>
      <c r="W867" s="69">
        <f>Table5[[#This Row],[posRnk]]+Table5[[#This Row],[zRnk]]+IF($W$3&lt;&gt;Table5[[#This Row],[Type]],50,0)</f>
        <v>1296</v>
      </c>
      <c r="X867" s="73">
        <f>RANK(Table5[[#This Row],[zScore]],Table5[[#All],[zScore]])</f>
        <v>781</v>
      </c>
      <c r="Y867" s="69" t="str">
        <f>IFERROR(INDEX(DraftResults[[#All],[OVR]],MATCH(Table5[[#This Row],[PID]],DraftResults[[#All],[Player ID]],0)),"")</f>
        <v/>
      </c>
      <c r="Z86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7" s="69" t="str">
        <f>IFERROR(INDEX(DraftResults[[#All],[Pick in Round]],MATCH(Table5[[#This Row],[PID]],DraftResults[[#All],[Player ID]],0)),"")</f>
        <v/>
      </c>
      <c r="AB867" s="69" t="str">
        <f>IFERROR(INDEX(DraftResults[[#All],[Team Name]],MATCH(Table5[[#This Row],[PID]],DraftResults[[#All],[Player ID]],0)),"")</f>
        <v/>
      </c>
      <c r="AC867" s="69" t="str">
        <f>IF(Table5[[#This Row],[Ovr]]="","",IF(Table5[[#This Row],[cmbList]]="","",Table5[[#This Row],[cmbList]]-Table5[[#This Row],[Ovr]]))</f>
        <v/>
      </c>
      <c r="AD867" s="77" t="str">
        <f>IF(ISERROR(VLOOKUP($AB867&amp;"-"&amp;$E867&amp;" "&amp;F867,Bonuses!$B$1:$G$1006,4,FALSE)),"",INT(VLOOKUP($AB867&amp;"-"&amp;$E867&amp;" "&amp;$F867,Bonuses!$B$1:$G$1006,4,FALSE)))</f>
        <v/>
      </c>
      <c r="AE86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8" spans="1:31" s="50" customFormat="1" x14ac:dyDescent="0.25">
      <c r="A868" s="50">
        <v>20663</v>
      </c>
      <c r="B868" s="50">
        <f>COUNTIF(Table5[PID],A868)</f>
        <v>1</v>
      </c>
      <c r="C868" s="50" t="str">
        <f>IF(COUNTIF(Table3[[#All],[PID]],A868)&gt;0,"P","B")</f>
        <v>B</v>
      </c>
      <c r="D868" s="59" t="str">
        <f>IF($C868="B",INDEX(Batters[[#All],[POS]],MATCH(Table5[[#This Row],[PID]],Batters[[#All],[PID]],0)),INDEX(Table3[[#All],[POS]],MATCH(Table5[[#This Row],[PID]],Table3[[#All],[PID]],0)))</f>
        <v>C</v>
      </c>
      <c r="E868" s="52" t="str">
        <f>IF($C868="B",INDEX(Batters[[#All],[First]],MATCH(Table5[[#This Row],[PID]],Batters[[#All],[PID]],0)),INDEX(Table3[[#All],[First]],MATCH(Table5[[#This Row],[PID]],Table3[[#All],[PID]],0)))</f>
        <v>Jong-beom</v>
      </c>
      <c r="F868" s="50" t="str">
        <f>IF($C868="B",INDEX(Batters[[#All],[Last]],MATCH(A868,Batters[[#All],[PID]],0)),INDEX(Table3[[#All],[Last]],MATCH(A868,Table3[[#All],[PID]],0)))</f>
        <v>Pak</v>
      </c>
      <c r="G868" s="56">
        <f>IF($C868="B",INDEX(Batters[[#All],[Age]],MATCH(Table5[[#This Row],[PID]],Batters[[#All],[PID]],0)),INDEX(Table3[[#All],[Age]],MATCH(Table5[[#This Row],[PID]],Table3[[#All],[PID]],0)))</f>
        <v>17</v>
      </c>
      <c r="H868" s="52" t="str">
        <f>IF($C868="B",INDEX(Batters[[#All],[B]],MATCH(Table5[[#This Row],[PID]],Batters[[#All],[PID]],0)),INDEX(Table3[[#All],[B]],MATCH(Table5[[#This Row],[PID]],Table3[[#All],[PID]],0)))</f>
        <v>R</v>
      </c>
      <c r="I868" s="52" t="str">
        <f>IF($C868="B",INDEX(Batters[[#All],[T]],MATCH(Table5[[#This Row],[PID]],Batters[[#All],[PID]],0)),INDEX(Table3[[#All],[T]],MATCH(Table5[[#This Row],[PID]],Table3[[#All],[PID]],0)))</f>
        <v>R</v>
      </c>
      <c r="J868" s="52" t="str">
        <f>IF($C868="B",INDEX(Batters[[#All],[WE]],MATCH(Table5[[#This Row],[PID]],Batters[[#All],[PID]],0)),INDEX(Table3[[#All],[WE]],MATCH(Table5[[#This Row],[PID]],Table3[[#All],[PID]],0)))</f>
        <v>Low</v>
      </c>
      <c r="K868" s="52" t="str">
        <f>IF($C868="B",INDEX(Batters[[#All],[INT]],MATCH(Table5[[#This Row],[PID]],Batters[[#All],[PID]],0)),INDEX(Table3[[#All],[INT]],MATCH(Table5[[#This Row],[PID]],Table3[[#All],[PID]],0)))</f>
        <v>Normal</v>
      </c>
      <c r="L868" s="60">
        <f>IF($C868="B",INDEX(Batters[[#All],[CON P]],MATCH(Table5[[#This Row],[PID]],Batters[[#All],[PID]],0)),INDEX(Table3[[#All],[STU P]],MATCH(Table5[[#This Row],[PID]],Table3[[#All],[PID]],0)))</f>
        <v>3</v>
      </c>
      <c r="M868" s="56">
        <f>IF($C868="B",INDEX(Batters[[#All],[GAP P]],MATCH(Table5[[#This Row],[PID]],Batters[[#All],[PID]],0)),INDEX(Table3[[#All],[MOV P]],MATCH(Table5[[#This Row],[PID]],Table3[[#All],[PID]],0)))</f>
        <v>4</v>
      </c>
      <c r="N868" s="56">
        <f>IF($C868="B",INDEX(Batters[[#All],[POW P]],MATCH(Table5[[#This Row],[PID]],Batters[[#All],[PID]],0)),INDEX(Table3[[#All],[CON P]],MATCH(Table5[[#This Row],[PID]],Table3[[#All],[PID]],0)))</f>
        <v>3</v>
      </c>
      <c r="O868" s="56">
        <f>IF($C868="B",INDEX(Batters[[#All],[EYE P]],MATCH(Table5[[#This Row],[PID]],Batters[[#All],[PID]],0)),INDEX(Table3[[#All],[VELO]],MATCH(Table5[[#This Row],[PID]],Table3[[#All],[PID]],0)))</f>
        <v>6</v>
      </c>
      <c r="P868" s="56">
        <f>IF($C868="B",INDEX(Batters[[#All],[K P]],MATCH(Table5[[#This Row],[PID]],Batters[[#All],[PID]],0)),INDEX(Table3[[#All],[STM]],MATCH(Table5[[#This Row],[PID]],Table3[[#All],[PID]],0)))</f>
        <v>3</v>
      </c>
      <c r="Q868" s="61">
        <f>IF($C868="B",INDEX(Batters[[#All],[Tot]],MATCH(Table5[[#This Row],[PID]],Batters[[#All],[PID]],0)),INDEX(Table3[[#All],[Tot]],MATCH(Table5[[#This Row],[PID]],Table3[[#All],[PID]],0)))</f>
        <v>42.426736262348577</v>
      </c>
      <c r="R868" s="52">
        <f>IF($C868="B",INDEX(Batters[[#All],[zScore]],MATCH(Table5[[#This Row],[PID]],Batters[[#All],[PID]],0)),INDEX(Table3[[#All],[zScore]],MATCH(Table5[[#This Row],[PID]],Table3[[#All],[PID]],0)))</f>
        <v>-0.3780551330292371</v>
      </c>
      <c r="S868" s="58" t="str">
        <f>IF($C868="B",INDEX(Batters[[#All],[DEM]],MATCH(Table5[[#This Row],[PID]],Batters[[#All],[PID]],0)),INDEX(Table3[[#All],[DEM]],MATCH(Table5[[#This Row],[PID]],Table3[[#All],[PID]],0)))</f>
        <v>$65k</v>
      </c>
      <c r="T868" s="62">
        <f>IF($C868="B",INDEX(Batters[[#All],[Rnk]],MATCH(Table5[[#This Row],[PID]],Batters[[#All],[PID]],0)),INDEX(Table3[[#All],[Rnk]],MATCH(Table5[[#This Row],[PID]],Table3[[#All],[PID]],0)))</f>
        <v>318</v>
      </c>
      <c r="U868" s="68">
        <f>IF($C868="B",VLOOKUP($A868,Bat!$A$4:$BA$1621,47,FALSE),VLOOKUP($A868,Pit!$A$4:$BF$1557,56,FALSE))</f>
        <v>0</v>
      </c>
      <c r="V868" s="50">
        <f>IF($C868="B",VLOOKUP($A868,Bat!$A$4:$BA$1621,48,FALSE),VLOOKUP($A868,Pit!$A$4:$BF$1557,57,FALSE))</f>
        <v>0</v>
      </c>
      <c r="W868" s="50">
        <f>Table5[[#This Row],[posRnk]]+Table5[[#This Row],[zRnk]]+IF($W$3&lt;&gt;Table5[[#This Row],[Type]],50,0)</f>
        <v>1151</v>
      </c>
      <c r="X868" s="51">
        <f>RANK(Table5[[#This Row],[zScore]],Table5[[#All],[zScore]])</f>
        <v>783</v>
      </c>
      <c r="Y868" s="50" t="str">
        <f>IFERROR(INDEX(DraftResults[[#All],[OVR]],MATCH(Table5[[#This Row],[PID]],DraftResults[[#All],[Player ID]],0)),"")</f>
        <v/>
      </c>
      <c r="Z8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8" s="50" t="str">
        <f>IFERROR(INDEX(DraftResults[[#All],[Pick in Round]],MATCH(Table5[[#This Row],[PID]],DraftResults[[#All],[Player ID]],0)),"")</f>
        <v/>
      </c>
      <c r="AB868" s="50" t="str">
        <f>IFERROR(INDEX(DraftResults[[#All],[Team Name]],MATCH(Table5[[#This Row],[PID]],DraftResults[[#All],[Player ID]],0)),"")</f>
        <v/>
      </c>
      <c r="AC868" s="50" t="str">
        <f>IF(Table5[[#This Row],[Ovr]]="","",IF(Table5[[#This Row],[cmbList]]="","",Table5[[#This Row],[cmbList]]-Table5[[#This Row],[Ovr]]))</f>
        <v/>
      </c>
      <c r="AD868" s="54" t="str">
        <f>IF(ISERROR(VLOOKUP($AB868&amp;"-"&amp;$E868&amp;" "&amp;F868,Bonuses!$B$1:$G$1006,4,FALSE)),"",INT(VLOOKUP($AB868&amp;"-"&amp;$E868&amp;" "&amp;$F868,Bonuses!$B$1:$G$1006,4,FALSE)))</f>
        <v/>
      </c>
      <c r="AE8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69" spans="1:31" s="50" customFormat="1" x14ac:dyDescent="0.25">
      <c r="A869" s="50">
        <v>17937</v>
      </c>
      <c r="B869" s="50">
        <f>COUNTIF(Table5[PID],A869)</f>
        <v>1</v>
      </c>
      <c r="C869" s="50" t="str">
        <f>IF(COUNTIF(Table3[[#All],[PID]],A869)&gt;0,"P","B")</f>
        <v>P</v>
      </c>
      <c r="D869" s="59" t="str">
        <f>IF($C869="B",INDEX(Batters[[#All],[POS]],MATCH(Table5[[#This Row],[PID]],Batters[[#All],[PID]],0)),INDEX(Table3[[#All],[POS]],MATCH(Table5[[#This Row],[PID]],Table3[[#All],[PID]],0)))</f>
        <v>RP</v>
      </c>
      <c r="E869" s="52" t="str">
        <f>IF($C869="B",INDEX(Batters[[#All],[First]],MATCH(Table5[[#This Row],[PID]],Batters[[#All],[PID]],0)),INDEX(Table3[[#All],[First]],MATCH(Table5[[#This Row],[PID]],Table3[[#All],[PID]],0)))</f>
        <v>Tome</v>
      </c>
      <c r="F869" s="50" t="str">
        <f>IF($C869="B",INDEX(Batters[[#All],[Last]],MATCH(A869,Batters[[#All],[PID]],0)),INDEX(Table3[[#All],[Last]],MATCH(A869,Table3[[#All],[PID]],0)))</f>
        <v>Alegrete</v>
      </c>
      <c r="G869" s="56">
        <f>IF($C869="B",INDEX(Batters[[#All],[Age]],MATCH(Table5[[#This Row],[PID]],Batters[[#All],[PID]],0)),INDEX(Table3[[#All],[Age]],MATCH(Table5[[#This Row],[PID]],Table3[[#All],[PID]],0)))</f>
        <v>18</v>
      </c>
      <c r="H869" s="52" t="str">
        <f>IF($C869="B",INDEX(Batters[[#All],[B]],MATCH(Table5[[#This Row],[PID]],Batters[[#All],[PID]],0)),INDEX(Table3[[#All],[B]],MATCH(Table5[[#This Row],[PID]],Table3[[#All],[PID]],0)))</f>
        <v>R</v>
      </c>
      <c r="I869" s="52" t="str">
        <f>IF($C869="B",INDEX(Batters[[#All],[T]],MATCH(Table5[[#This Row],[PID]],Batters[[#All],[PID]],0)),INDEX(Table3[[#All],[T]],MATCH(Table5[[#This Row],[PID]],Table3[[#All],[PID]],0)))</f>
        <v>R</v>
      </c>
      <c r="J869" s="52" t="str">
        <f>IF($C869="B",INDEX(Batters[[#All],[WE]],MATCH(Table5[[#This Row],[PID]],Batters[[#All],[PID]],0)),INDEX(Table3[[#All],[WE]],MATCH(Table5[[#This Row],[PID]],Table3[[#All],[PID]],0)))</f>
        <v>Low</v>
      </c>
      <c r="K869" s="52" t="str">
        <f>IF($C869="B",INDEX(Batters[[#All],[INT]],MATCH(Table5[[#This Row],[PID]],Batters[[#All],[PID]],0)),INDEX(Table3[[#All],[INT]],MATCH(Table5[[#This Row],[PID]],Table3[[#All],[PID]],0)))</f>
        <v>Normal</v>
      </c>
      <c r="L869" s="60">
        <f>IF($C869="B",INDEX(Batters[[#All],[CON P]],MATCH(Table5[[#This Row],[PID]],Batters[[#All],[PID]],0)),INDEX(Table3[[#All],[STU P]],MATCH(Table5[[#This Row],[PID]],Table3[[#All],[PID]],0)))</f>
        <v>3</v>
      </c>
      <c r="M869" s="56">
        <f>IF($C869="B",INDEX(Batters[[#All],[GAP P]],MATCH(Table5[[#This Row],[PID]],Batters[[#All],[PID]],0)),INDEX(Table3[[#All],[MOV P]],MATCH(Table5[[#This Row],[PID]],Table3[[#All],[PID]],0)))</f>
        <v>2</v>
      </c>
      <c r="N869" s="56">
        <f>IF($C869="B",INDEX(Batters[[#All],[POW P]],MATCH(Table5[[#This Row],[PID]],Batters[[#All],[PID]],0)),INDEX(Table3[[#All],[CON P]],MATCH(Table5[[#This Row],[PID]],Table3[[#All],[PID]],0)))</f>
        <v>3</v>
      </c>
      <c r="O869" s="56" t="str">
        <f>IF($C869="B",INDEX(Batters[[#All],[EYE P]],MATCH(Table5[[#This Row],[PID]],Batters[[#All],[PID]],0)),INDEX(Table3[[#All],[VELO]],MATCH(Table5[[#This Row],[PID]],Table3[[#All],[PID]],0)))</f>
        <v>85-87 Mph</v>
      </c>
      <c r="P869" s="56">
        <f>IF($C869="B",INDEX(Batters[[#All],[K P]],MATCH(Table5[[#This Row],[PID]],Batters[[#All],[PID]],0)),INDEX(Table3[[#All],[STM]],MATCH(Table5[[#This Row],[PID]],Table3[[#All],[PID]],0)))</f>
        <v>7</v>
      </c>
      <c r="Q869" s="61">
        <f>IF($C869="B",INDEX(Batters[[#All],[Tot]],MATCH(Table5[[#This Row],[PID]],Batters[[#All],[PID]],0)),INDEX(Table3[[#All],[Tot]],MATCH(Table5[[#This Row],[PID]],Table3[[#All],[PID]],0)))</f>
        <v>30.141695568760451</v>
      </c>
      <c r="R869" s="52">
        <f>IF($C869="B",INDEX(Batters[[#All],[zScore]],MATCH(Table5[[#This Row],[PID]],Batters[[#All],[PID]],0)),INDEX(Table3[[#All],[zScore]],MATCH(Table5[[#This Row],[PID]],Table3[[#All],[PID]],0)))</f>
        <v>-0.3811303371747139</v>
      </c>
      <c r="S869" s="58" t="str">
        <f>IF($C869="B",INDEX(Batters[[#All],[DEM]],MATCH(Table5[[#This Row],[PID]],Batters[[#All],[PID]],0)),INDEX(Table3[[#All],[DEM]],MATCH(Table5[[#This Row],[PID]],Table3[[#All],[PID]],0)))</f>
        <v>$65k</v>
      </c>
      <c r="T869" s="62">
        <f>IF($C869="B",INDEX(Batters[[#All],[Rnk]],MATCH(Table5[[#This Row],[PID]],Batters[[#All],[PID]],0)),INDEX(Table3[[#All],[Rnk]],MATCH(Table5[[#This Row],[PID]],Table3[[#All],[PID]],0)))</f>
        <v>466</v>
      </c>
      <c r="U869" s="68">
        <f>IF($C869="B",VLOOKUP($A869,Bat!$A$4:$BA$1621,47,FALSE),VLOOKUP($A869,Pit!$A$4:$BF$1557,56,FALSE))</f>
        <v>0</v>
      </c>
      <c r="V869" s="50">
        <f>IF($C869="B",VLOOKUP($A869,Bat!$A$4:$BA$1621,48,FALSE),VLOOKUP($A869,Pit!$A$4:$BF$1557,57,FALSE))</f>
        <v>0</v>
      </c>
      <c r="W869" s="50">
        <f>Table5[[#This Row],[posRnk]]+Table5[[#This Row],[zRnk]]+IF($W$3&lt;&gt;Table5[[#This Row],[Type]],50,0)</f>
        <v>1300</v>
      </c>
      <c r="X869" s="51">
        <f>RANK(Table5[[#This Row],[zScore]],Table5[[#All],[zScore]])</f>
        <v>784</v>
      </c>
      <c r="Y869" s="50" t="str">
        <f>IFERROR(INDEX(DraftResults[[#All],[OVR]],MATCH(Table5[[#This Row],[PID]],DraftResults[[#All],[Player ID]],0)),"")</f>
        <v/>
      </c>
      <c r="Z8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69" s="50" t="str">
        <f>IFERROR(INDEX(DraftResults[[#All],[Pick in Round]],MATCH(Table5[[#This Row],[PID]],DraftResults[[#All],[Player ID]],0)),"")</f>
        <v/>
      </c>
      <c r="AB869" s="50" t="str">
        <f>IFERROR(INDEX(DraftResults[[#All],[Team Name]],MATCH(Table5[[#This Row],[PID]],DraftResults[[#All],[Player ID]],0)),"")</f>
        <v/>
      </c>
      <c r="AC869" s="50" t="str">
        <f>IF(Table5[[#This Row],[Ovr]]="","",IF(Table5[[#This Row],[cmbList]]="","",Table5[[#This Row],[cmbList]]-Table5[[#This Row],[Ovr]]))</f>
        <v/>
      </c>
      <c r="AD869" s="54" t="str">
        <f>IF(ISERROR(VLOOKUP($AB869&amp;"-"&amp;$E869&amp;" "&amp;F869,Bonuses!$B$1:$G$1006,4,FALSE)),"",INT(VLOOKUP($AB869&amp;"-"&amp;$E869&amp;" "&amp;$F869,Bonuses!$B$1:$G$1006,4,FALSE)))</f>
        <v/>
      </c>
      <c r="AE8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0" spans="1:31" s="50" customFormat="1" x14ac:dyDescent="0.25">
      <c r="A870" s="50">
        <v>20791</v>
      </c>
      <c r="B870" s="50">
        <f>COUNTIF(Table5[PID],A870)</f>
        <v>1</v>
      </c>
      <c r="C870" s="50" t="str">
        <f>IF(COUNTIF(Table3[[#All],[PID]],A870)&gt;0,"P","B")</f>
        <v>B</v>
      </c>
      <c r="D870" s="59" t="str">
        <f>IF($C870="B",INDEX(Batters[[#All],[POS]],MATCH(Table5[[#This Row],[PID]],Batters[[#All],[PID]],0)),INDEX(Table3[[#All],[POS]],MATCH(Table5[[#This Row],[PID]],Table3[[#All],[PID]],0)))</f>
        <v>2B</v>
      </c>
      <c r="E870" s="52" t="str">
        <f>IF($C870="B",INDEX(Batters[[#All],[First]],MATCH(Table5[[#This Row],[PID]],Batters[[#All],[PID]],0)),INDEX(Table3[[#All],[First]],MATCH(Table5[[#This Row],[PID]],Table3[[#All],[PID]],0)))</f>
        <v>Ryan</v>
      </c>
      <c r="F870" s="50" t="str">
        <f>IF($C870="B",INDEX(Batters[[#All],[Last]],MATCH(A870,Batters[[#All],[PID]],0)),INDEX(Table3[[#All],[Last]],MATCH(A870,Table3[[#All],[PID]],0)))</f>
        <v>López</v>
      </c>
      <c r="G870" s="56">
        <f>IF($C870="B",INDEX(Batters[[#All],[Age]],MATCH(Table5[[#This Row],[PID]],Batters[[#All],[PID]],0)),INDEX(Table3[[#All],[Age]],MATCH(Table5[[#This Row],[PID]],Table3[[#All],[PID]],0)))</f>
        <v>17</v>
      </c>
      <c r="H870" s="52" t="str">
        <f>IF($C870="B",INDEX(Batters[[#All],[B]],MATCH(Table5[[#This Row],[PID]],Batters[[#All],[PID]],0)),INDEX(Table3[[#All],[B]],MATCH(Table5[[#This Row],[PID]],Table3[[#All],[PID]],0)))</f>
        <v>R</v>
      </c>
      <c r="I870" s="52" t="str">
        <f>IF($C870="B",INDEX(Batters[[#All],[T]],MATCH(Table5[[#This Row],[PID]],Batters[[#All],[PID]],0)),INDEX(Table3[[#All],[T]],MATCH(Table5[[#This Row],[PID]],Table3[[#All],[PID]],0)))</f>
        <v>R</v>
      </c>
      <c r="J870" s="52" t="str">
        <f>IF($C870="B",INDEX(Batters[[#All],[WE]],MATCH(Table5[[#This Row],[PID]],Batters[[#All],[PID]],0)),INDEX(Table3[[#All],[WE]],MATCH(Table5[[#This Row],[PID]],Table3[[#All],[PID]],0)))</f>
        <v>Low</v>
      </c>
      <c r="K870" s="52" t="str">
        <f>IF($C870="B",INDEX(Batters[[#All],[INT]],MATCH(Table5[[#This Row],[PID]],Batters[[#All],[PID]],0)),INDEX(Table3[[#All],[INT]],MATCH(Table5[[#This Row],[PID]],Table3[[#All],[PID]],0)))</f>
        <v>Normal</v>
      </c>
      <c r="L870" s="60">
        <f>IF($C870="B",INDEX(Batters[[#All],[CON P]],MATCH(Table5[[#This Row],[PID]],Batters[[#All],[PID]],0)),INDEX(Table3[[#All],[STU P]],MATCH(Table5[[#This Row],[PID]],Table3[[#All],[PID]],0)))</f>
        <v>3</v>
      </c>
      <c r="M870" s="56">
        <f>IF($C870="B",INDEX(Batters[[#All],[GAP P]],MATCH(Table5[[#This Row],[PID]],Batters[[#All],[PID]],0)),INDEX(Table3[[#All],[MOV P]],MATCH(Table5[[#This Row],[PID]],Table3[[#All],[PID]],0)))</f>
        <v>4</v>
      </c>
      <c r="N870" s="56">
        <f>IF($C870="B",INDEX(Batters[[#All],[POW P]],MATCH(Table5[[#This Row],[PID]],Batters[[#All],[PID]],0)),INDEX(Table3[[#All],[CON P]],MATCH(Table5[[#This Row],[PID]],Table3[[#All],[PID]],0)))</f>
        <v>3</v>
      </c>
      <c r="O870" s="56">
        <f>IF($C870="B",INDEX(Batters[[#All],[EYE P]],MATCH(Table5[[#This Row],[PID]],Batters[[#All],[PID]],0)),INDEX(Table3[[#All],[VELO]],MATCH(Table5[[#This Row],[PID]],Table3[[#All],[PID]],0)))</f>
        <v>6</v>
      </c>
      <c r="P870" s="56">
        <f>IF($C870="B",INDEX(Batters[[#All],[K P]],MATCH(Table5[[#This Row],[PID]],Batters[[#All],[PID]],0)),INDEX(Table3[[#All],[STM]],MATCH(Table5[[#This Row],[PID]],Table3[[#All],[PID]],0)))</f>
        <v>3</v>
      </c>
      <c r="Q870" s="61">
        <f>IF($C870="B",INDEX(Batters[[#All],[Tot]],MATCH(Table5[[#This Row],[PID]],Batters[[#All],[PID]],0)),INDEX(Table3[[#All],[Tot]],MATCH(Table5[[#This Row],[PID]],Table3[[#All],[PID]],0)))</f>
        <v>42.412659319385746</v>
      </c>
      <c r="R870" s="52">
        <f>IF($C870="B",INDEX(Batters[[#All],[zScore]],MATCH(Table5[[#This Row],[PID]],Batters[[#All],[PID]],0)),INDEX(Table3[[#All],[zScore]],MATCH(Table5[[#This Row],[PID]],Table3[[#All],[PID]],0)))</f>
        <v>-0.38117608643540035</v>
      </c>
      <c r="S870" s="58" t="str">
        <f>IF($C870="B",INDEX(Batters[[#All],[DEM]],MATCH(Table5[[#This Row],[PID]],Batters[[#All],[PID]],0)),INDEX(Table3[[#All],[DEM]],MATCH(Table5[[#This Row],[PID]],Table3[[#All],[PID]],0)))</f>
        <v>$65k</v>
      </c>
      <c r="T870" s="62">
        <f>IF($C870="B",INDEX(Batters[[#All],[Rnk]],MATCH(Table5[[#This Row],[PID]],Batters[[#All],[PID]],0)),INDEX(Table3[[#All],[Rnk]],MATCH(Table5[[#This Row],[PID]],Table3[[#All],[PID]],0)))</f>
        <v>319</v>
      </c>
      <c r="U870" s="68">
        <f>IF($C870="B",VLOOKUP($A870,Bat!$A$4:$BA$1621,47,FALSE),VLOOKUP($A870,Pit!$A$4:$BF$1557,56,FALSE))</f>
        <v>0</v>
      </c>
      <c r="V870" s="50">
        <f>IF($C870="B",VLOOKUP($A870,Bat!$A$4:$BA$1621,48,FALSE),VLOOKUP($A870,Pit!$A$4:$BF$1557,57,FALSE))</f>
        <v>0</v>
      </c>
      <c r="W870" s="50">
        <f>Table5[[#This Row],[posRnk]]+Table5[[#This Row],[zRnk]]+IF($W$3&lt;&gt;Table5[[#This Row],[Type]],50,0)</f>
        <v>1154</v>
      </c>
      <c r="X870" s="51">
        <f>RANK(Table5[[#This Row],[zScore]],Table5[[#All],[zScore]])</f>
        <v>785</v>
      </c>
      <c r="Y870" s="50" t="str">
        <f>IFERROR(INDEX(DraftResults[[#All],[OVR]],MATCH(Table5[[#This Row],[PID]],DraftResults[[#All],[Player ID]],0)),"")</f>
        <v/>
      </c>
      <c r="Z8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0" s="50" t="str">
        <f>IFERROR(INDEX(DraftResults[[#All],[Pick in Round]],MATCH(Table5[[#This Row],[PID]],DraftResults[[#All],[Player ID]],0)),"")</f>
        <v/>
      </c>
      <c r="AB870" s="50" t="str">
        <f>IFERROR(INDEX(DraftResults[[#All],[Team Name]],MATCH(Table5[[#This Row],[PID]],DraftResults[[#All],[Player ID]],0)),"")</f>
        <v/>
      </c>
      <c r="AC870" s="50" t="str">
        <f>IF(Table5[[#This Row],[Ovr]]="","",IF(Table5[[#This Row],[cmbList]]="","",Table5[[#This Row],[cmbList]]-Table5[[#This Row],[Ovr]]))</f>
        <v/>
      </c>
      <c r="AD870" s="54" t="str">
        <f>IF(ISERROR(VLOOKUP($AB870&amp;"-"&amp;$E870&amp;" "&amp;F870,Bonuses!$B$1:$G$1006,4,FALSE)),"",INT(VLOOKUP($AB870&amp;"-"&amp;$E870&amp;" "&amp;$F870,Bonuses!$B$1:$G$1006,4,FALSE)))</f>
        <v/>
      </c>
      <c r="AE8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1" spans="1:31" s="50" customFormat="1" x14ac:dyDescent="0.25">
      <c r="A871" s="50">
        <v>20778</v>
      </c>
      <c r="B871" s="50">
        <f>COUNTIF(Table5[PID],A871)</f>
        <v>1</v>
      </c>
      <c r="C871" s="50" t="str">
        <f>IF(COUNTIF(Table3[[#All],[PID]],A871)&gt;0,"P","B")</f>
        <v>P</v>
      </c>
      <c r="D871" s="59" t="str">
        <f>IF($C871="B",INDEX(Batters[[#All],[POS]],MATCH(Table5[[#This Row],[PID]],Batters[[#All],[PID]],0)),INDEX(Table3[[#All],[POS]],MATCH(Table5[[#This Row],[PID]],Table3[[#All],[PID]],0)))</f>
        <v>RP</v>
      </c>
      <c r="E871" s="52" t="str">
        <f>IF($C871="B",INDEX(Batters[[#All],[First]],MATCH(Table5[[#This Row],[PID]],Batters[[#All],[PID]],0)),INDEX(Table3[[#All],[First]],MATCH(Table5[[#This Row],[PID]],Table3[[#All],[PID]],0)))</f>
        <v>Alejandro</v>
      </c>
      <c r="F871" s="50" t="str">
        <f>IF($C871="B",INDEX(Batters[[#All],[Last]],MATCH(A871,Batters[[#All],[PID]],0)),INDEX(Table3[[#All],[Last]],MATCH(A871,Table3[[#All],[PID]],0)))</f>
        <v>Maldonado</v>
      </c>
      <c r="G871" s="56">
        <f>IF($C871="B",INDEX(Batters[[#All],[Age]],MATCH(Table5[[#This Row],[PID]],Batters[[#All],[PID]],0)),INDEX(Table3[[#All],[Age]],MATCH(Table5[[#This Row],[PID]],Table3[[#All],[PID]],0)))</f>
        <v>17</v>
      </c>
      <c r="H871" s="52" t="str">
        <f>IF($C871="B",INDEX(Batters[[#All],[B]],MATCH(Table5[[#This Row],[PID]],Batters[[#All],[PID]],0)),INDEX(Table3[[#All],[B]],MATCH(Table5[[#This Row],[PID]],Table3[[#All],[PID]],0)))</f>
        <v>L</v>
      </c>
      <c r="I871" s="52" t="str">
        <f>IF($C871="B",INDEX(Batters[[#All],[T]],MATCH(Table5[[#This Row],[PID]],Batters[[#All],[PID]],0)),INDEX(Table3[[#All],[T]],MATCH(Table5[[#This Row],[PID]],Table3[[#All],[PID]],0)))</f>
        <v>R</v>
      </c>
      <c r="J871" s="52" t="str">
        <f>IF($C871="B",INDEX(Batters[[#All],[WE]],MATCH(Table5[[#This Row],[PID]],Batters[[#All],[PID]],0)),INDEX(Table3[[#All],[WE]],MATCH(Table5[[#This Row],[PID]],Table3[[#All],[PID]],0)))</f>
        <v>Low</v>
      </c>
      <c r="K871" s="52" t="str">
        <f>IF($C871="B",INDEX(Batters[[#All],[INT]],MATCH(Table5[[#This Row],[PID]],Batters[[#All],[PID]],0)),INDEX(Table3[[#All],[INT]],MATCH(Table5[[#This Row],[PID]],Table3[[#All],[PID]],0)))</f>
        <v>Normal</v>
      </c>
      <c r="L871" s="60">
        <f>IF($C871="B",INDEX(Batters[[#All],[CON P]],MATCH(Table5[[#This Row],[PID]],Batters[[#All],[PID]],0)),INDEX(Table3[[#All],[STU P]],MATCH(Table5[[#This Row],[PID]],Table3[[#All],[PID]],0)))</f>
        <v>3</v>
      </c>
      <c r="M871" s="56">
        <f>IF($C871="B",INDEX(Batters[[#All],[GAP P]],MATCH(Table5[[#This Row],[PID]],Batters[[#All],[PID]],0)),INDEX(Table3[[#All],[MOV P]],MATCH(Table5[[#This Row],[PID]],Table3[[#All],[PID]],0)))</f>
        <v>2</v>
      </c>
      <c r="N871" s="56">
        <f>IF($C871="B",INDEX(Batters[[#All],[POW P]],MATCH(Table5[[#This Row],[PID]],Batters[[#All],[PID]],0)),INDEX(Table3[[#All],[CON P]],MATCH(Table5[[#This Row],[PID]],Table3[[#All],[PID]],0)))</f>
        <v>3</v>
      </c>
      <c r="O871" s="56" t="str">
        <f>IF($C871="B",INDEX(Batters[[#All],[EYE P]],MATCH(Table5[[#This Row],[PID]],Batters[[#All],[PID]],0)),INDEX(Table3[[#All],[VELO]],MATCH(Table5[[#This Row],[PID]],Table3[[#All],[PID]],0)))</f>
        <v>86-88 Mph</v>
      </c>
      <c r="P871" s="56">
        <f>IF($C871="B",INDEX(Batters[[#All],[K P]],MATCH(Table5[[#This Row],[PID]],Batters[[#All],[PID]],0)),INDEX(Table3[[#All],[STM]],MATCH(Table5[[#This Row],[PID]],Table3[[#All],[PID]],0)))</f>
        <v>9</v>
      </c>
      <c r="Q871" s="61">
        <f>IF($C871="B",INDEX(Batters[[#All],[Tot]],MATCH(Table5[[#This Row],[PID]],Batters[[#All],[PID]],0)),INDEX(Table3[[#All],[Tot]],MATCH(Table5[[#This Row],[PID]],Table3[[#All],[PID]],0)))</f>
        <v>30.067572190981998</v>
      </c>
      <c r="R871" s="52">
        <f>IF($C871="B",INDEX(Batters[[#All],[zScore]],MATCH(Table5[[#This Row],[PID]],Batters[[#All],[PID]],0)),INDEX(Table3[[#All],[zScore]],MATCH(Table5[[#This Row],[PID]],Table3[[#All],[PID]],0)))</f>
        <v>-0.38606165222972533</v>
      </c>
      <c r="S871" s="58" t="str">
        <f>IF($C871="B",INDEX(Batters[[#All],[DEM]],MATCH(Table5[[#This Row],[PID]],Batters[[#All],[PID]],0)),INDEX(Table3[[#All],[DEM]],MATCH(Table5[[#This Row],[PID]],Table3[[#All],[PID]],0)))</f>
        <v>$75k</v>
      </c>
      <c r="T871" s="62">
        <f>IF($C871="B",INDEX(Batters[[#All],[Rnk]],MATCH(Table5[[#This Row],[PID]],Batters[[#All],[PID]],0)),INDEX(Table3[[#All],[Rnk]],MATCH(Table5[[#This Row],[PID]],Table3[[#All],[PID]],0)))</f>
        <v>467</v>
      </c>
      <c r="U871" s="68">
        <f>IF($C871="B",VLOOKUP($A871,Bat!$A$4:$BA$1621,47,FALSE),VLOOKUP($A871,Pit!$A$4:$BF$1557,56,FALSE))</f>
        <v>0</v>
      </c>
      <c r="V871" s="50">
        <f>IF($C871="B",VLOOKUP($A871,Bat!$A$4:$BA$1621,48,FALSE),VLOOKUP($A871,Pit!$A$4:$BF$1557,57,FALSE))</f>
        <v>0</v>
      </c>
      <c r="W871" s="50">
        <f>Table5[[#This Row],[posRnk]]+Table5[[#This Row],[zRnk]]+IF($W$3&lt;&gt;Table5[[#This Row],[Type]],50,0)</f>
        <v>1304</v>
      </c>
      <c r="X871" s="51">
        <f>RANK(Table5[[#This Row],[zScore]],Table5[[#All],[zScore]])</f>
        <v>787</v>
      </c>
      <c r="Y871" s="50" t="str">
        <f>IFERROR(INDEX(DraftResults[[#All],[OVR]],MATCH(Table5[[#This Row],[PID]],DraftResults[[#All],[Player ID]],0)),"")</f>
        <v/>
      </c>
      <c r="Z8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1" s="50" t="str">
        <f>IFERROR(INDEX(DraftResults[[#All],[Pick in Round]],MATCH(Table5[[#This Row],[PID]],DraftResults[[#All],[Player ID]],0)),"")</f>
        <v/>
      </c>
      <c r="AB871" s="50" t="str">
        <f>IFERROR(INDEX(DraftResults[[#All],[Team Name]],MATCH(Table5[[#This Row],[PID]],DraftResults[[#All],[Player ID]],0)),"")</f>
        <v/>
      </c>
      <c r="AC871" s="50" t="str">
        <f>IF(Table5[[#This Row],[Ovr]]="","",IF(Table5[[#This Row],[cmbList]]="","",Table5[[#This Row],[cmbList]]-Table5[[#This Row],[Ovr]]))</f>
        <v/>
      </c>
      <c r="AD871" s="54" t="str">
        <f>IF(ISERROR(VLOOKUP($AB871&amp;"-"&amp;$E871&amp;" "&amp;F871,Bonuses!$B$1:$G$1006,4,FALSE)),"",INT(VLOOKUP($AB871&amp;"-"&amp;$E871&amp;" "&amp;$F871,Bonuses!$B$1:$G$1006,4,FALSE)))</f>
        <v/>
      </c>
      <c r="AE8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2" spans="1:31" s="50" customFormat="1" x14ac:dyDescent="0.25">
      <c r="A872" s="50">
        <v>17639</v>
      </c>
      <c r="B872" s="50">
        <f>COUNTIF(Table5[PID],A872)</f>
        <v>1</v>
      </c>
      <c r="C872" s="50" t="str">
        <f>IF(COUNTIF(Table3[[#All],[PID]],A872)&gt;0,"P","B")</f>
        <v>P</v>
      </c>
      <c r="D872" s="59" t="str">
        <f>IF($C872="B",INDEX(Batters[[#All],[POS]],MATCH(Table5[[#This Row],[PID]],Batters[[#All],[PID]],0)),INDEX(Table3[[#All],[POS]],MATCH(Table5[[#This Row],[PID]],Table3[[#All],[PID]],0)))</f>
        <v>RP</v>
      </c>
      <c r="E872" s="52" t="str">
        <f>IF($C872="B",INDEX(Batters[[#All],[First]],MATCH(Table5[[#This Row],[PID]],Batters[[#All],[PID]],0)),INDEX(Table3[[#All],[First]],MATCH(Table5[[#This Row],[PID]],Table3[[#All],[PID]],0)))</f>
        <v>Phil</v>
      </c>
      <c r="F872" s="50" t="str">
        <f>IF($C872="B",INDEX(Batters[[#All],[Last]],MATCH(A872,Batters[[#All],[PID]],0)),INDEX(Table3[[#All],[Last]],MATCH(A872,Table3[[#All],[PID]],0)))</f>
        <v>Gregg</v>
      </c>
      <c r="G872" s="56">
        <f>IF($C872="B",INDEX(Batters[[#All],[Age]],MATCH(Table5[[#This Row],[PID]],Batters[[#All],[PID]],0)),INDEX(Table3[[#All],[Age]],MATCH(Table5[[#This Row],[PID]],Table3[[#All],[PID]],0)))</f>
        <v>18</v>
      </c>
      <c r="H872" s="52" t="str">
        <f>IF($C872="B",INDEX(Batters[[#All],[B]],MATCH(Table5[[#This Row],[PID]],Batters[[#All],[PID]],0)),INDEX(Table3[[#All],[B]],MATCH(Table5[[#This Row],[PID]],Table3[[#All],[PID]],0)))</f>
        <v>S</v>
      </c>
      <c r="I872" s="52" t="str">
        <f>IF($C872="B",INDEX(Batters[[#All],[T]],MATCH(Table5[[#This Row],[PID]],Batters[[#All],[PID]],0)),INDEX(Table3[[#All],[T]],MATCH(Table5[[#This Row],[PID]],Table3[[#All],[PID]],0)))</f>
        <v>R</v>
      </c>
      <c r="J872" s="52" t="str">
        <f>IF($C872="B",INDEX(Batters[[#All],[WE]],MATCH(Table5[[#This Row],[PID]],Batters[[#All],[PID]],0)),INDEX(Table3[[#All],[WE]],MATCH(Table5[[#This Row],[PID]],Table3[[#All],[PID]],0)))</f>
        <v>Low</v>
      </c>
      <c r="K872" s="52" t="str">
        <f>IF($C872="B",INDEX(Batters[[#All],[INT]],MATCH(Table5[[#This Row],[PID]],Batters[[#All],[PID]],0)),INDEX(Table3[[#All],[INT]],MATCH(Table5[[#This Row],[PID]],Table3[[#All],[PID]],0)))</f>
        <v>Normal</v>
      </c>
      <c r="L872" s="60">
        <f>IF($C872="B",INDEX(Batters[[#All],[CON P]],MATCH(Table5[[#This Row],[PID]],Batters[[#All],[PID]],0)),INDEX(Table3[[#All],[STU P]],MATCH(Table5[[#This Row],[PID]],Table3[[#All],[PID]],0)))</f>
        <v>3</v>
      </c>
      <c r="M872" s="56">
        <f>IF($C872="B",INDEX(Batters[[#All],[GAP P]],MATCH(Table5[[#This Row],[PID]],Batters[[#All],[PID]],0)),INDEX(Table3[[#All],[MOV P]],MATCH(Table5[[#This Row],[PID]],Table3[[#All],[PID]],0)))</f>
        <v>2</v>
      </c>
      <c r="N872" s="56">
        <f>IF($C872="B",INDEX(Batters[[#All],[POW P]],MATCH(Table5[[#This Row],[PID]],Batters[[#All],[PID]],0)),INDEX(Table3[[#All],[CON P]],MATCH(Table5[[#This Row],[PID]],Table3[[#All],[PID]],0)))</f>
        <v>3</v>
      </c>
      <c r="O872" s="56" t="str">
        <f>IF($C872="B",INDEX(Batters[[#All],[EYE P]],MATCH(Table5[[#This Row],[PID]],Batters[[#All],[PID]],0)),INDEX(Table3[[#All],[VELO]],MATCH(Table5[[#This Row],[PID]],Table3[[#All],[PID]],0)))</f>
        <v>90-92 Mph</v>
      </c>
      <c r="P872" s="56">
        <f>IF($C872="B",INDEX(Batters[[#All],[K P]],MATCH(Table5[[#This Row],[PID]],Batters[[#All],[PID]],0)),INDEX(Table3[[#All],[STM]],MATCH(Table5[[#This Row],[PID]],Table3[[#All],[PID]],0)))</f>
        <v>6</v>
      </c>
      <c r="Q872" s="61">
        <f>IF($C872="B",INDEX(Batters[[#All],[Tot]],MATCH(Table5[[#This Row],[PID]],Batters[[#All],[PID]],0)),INDEX(Table3[[#All],[Tot]],MATCH(Table5[[#This Row],[PID]],Table3[[#All],[PID]],0)))</f>
        <v>30.06187176793836</v>
      </c>
      <c r="R872" s="52">
        <f>IF($C872="B",INDEX(Batters[[#All],[zScore]],MATCH(Table5[[#This Row],[PID]],Batters[[#All],[PID]],0)),INDEX(Table3[[#All],[zScore]],MATCH(Table5[[#This Row],[PID]],Table3[[#All],[PID]],0)))</f>
        <v>-0.38644089266395176</v>
      </c>
      <c r="S872" s="58" t="str">
        <f>IF($C872="B",INDEX(Batters[[#All],[DEM]],MATCH(Table5[[#This Row],[PID]],Batters[[#All],[PID]],0)),INDEX(Table3[[#All],[DEM]],MATCH(Table5[[#This Row],[PID]],Table3[[#All],[PID]],0)))</f>
        <v>$65k</v>
      </c>
      <c r="T872" s="62">
        <f>IF($C872="B",INDEX(Batters[[#All],[Rnk]],MATCH(Table5[[#This Row],[PID]],Batters[[#All],[PID]],0)),INDEX(Table3[[#All],[Rnk]],MATCH(Table5[[#This Row],[PID]],Table3[[#All],[PID]],0)))</f>
        <v>468</v>
      </c>
      <c r="U872" s="68">
        <f>IF($C872="B",VLOOKUP($A872,Bat!$A$4:$BA$1621,47,FALSE),VLOOKUP($A872,Pit!$A$4:$BF$1557,56,FALSE))</f>
        <v>0</v>
      </c>
      <c r="V872" s="50">
        <f>IF($C872="B",VLOOKUP($A872,Bat!$A$4:$BA$1621,48,FALSE),VLOOKUP($A872,Pit!$A$4:$BF$1557,57,FALSE))</f>
        <v>0</v>
      </c>
      <c r="W872" s="50">
        <f>Table5[[#This Row],[posRnk]]+Table5[[#This Row],[zRnk]]+IF($W$3&lt;&gt;Table5[[#This Row],[Type]],50,0)</f>
        <v>1306</v>
      </c>
      <c r="X872" s="51">
        <f>RANK(Table5[[#This Row],[zScore]],Table5[[#All],[zScore]])</f>
        <v>788</v>
      </c>
      <c r="Y872" s="50" t="str">
        <f>IFERROR(INDEX(DraftResults[[#All],[OVR]],MATCH(Table5[[#This Row],[PID]],DraftResults[[#All],[Player ID]],0)),"")</f>
        <v/>
      </c>
      <c r="Z8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2" s="50" t="str">
        <f>IFERROR(INDEX(DraftResults[[#All],[Pick in Round]],MATCH(Table5[[#This Row],[PID]],DraftResults[[#All],[Player ID]],0)),"")</f>
        <v/>
      </c>
      <c r="AB872" s="50" t="str">
        <f>IFERROR(INDEX(DraftResults[[#All],[Team Name]],MATCH(Table5[[#This Row],[PID]],DraftResults[[#All],[Player ID]],0)),"")</f>
        <v/>
      </c>
      <c r="AC872" s="50" t="str">
        <f>IF(Table5[[#This Row],[Ovr]]="","",IF(Table5[[#This Row],[cmbList]]="","",Table5[[#This Row],[cmbList]]-Table5[[#This Row],[Ovr]]))</f>
        <v/>
      </c>
      <c r="AD872" s="54" t="str">
        <f>IF(ISERROR(VLOOKUP($AB872&amp;"-"&amp;$E872&amp;" "&amp;F872,Bonuses!$B$1:$G$1006,4,FALSE)),"",INT(VLOOKUP($AB872&amp;"-"&amp;$E872&amp;" "&amp;$F872,Bonuses!$B$1:$G$1006,4,FALSE)))</f>
        <v/>
      </c>
      <c r="AE8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3" spans="1:31" s="50" customFormat="1" x14ac:dyDescent="0.25">
      <c r="A873" s="50">
        <v>10958</v>
      </c>
      <c r="B873" s="50">
        <f>COUNTIF(Table5[PID],A873)</f>
        <v>1</v>
      </c>
      <c r="C873" s="50" t="str">
        <f>IF(COUNTIF(Table3[[#All],[PID]],A873)&gt;0,"P","B")</f>
        <v>P</v>
      </c>
      <c r="D873" s="59" t="str">
        <f>IF($C873="B",INDEX(Batters[[#All],[POS]],MATCH(Table5[[#This Row],[PID]],Batters[[#All],[PID]],0)),INDEX(Table3[[#All],[POS]],MATCH(Table5[[#This Row],[PID]],Table3[[#All],[PID]],0)))</f>
        <v>RP</v>
      </c>
      <c r="E873" s="52" t="str">
        <f>IF($C873="B",INDEX(Batters[[#All],[First]],MATCH(Table5[[#This Row],[PID]],Batters[[#All],[PID]],0)),INDEX(Table3[[#All],[First]],MATCH(Table5[[#This Row],[PID]],Table3[[#All],[PID]],0)))</f>
        <v>Tadamasa</v>
      </c>
      <c r="F873" s="50" t="str">
        <f>IF($C873="B",INDEX(Batters[[#All],[Last]],MATCH(A873,Batters[[#All],[PID]],0)),INDEX(Table3[[#All],[Last]],MATCH(A873,Table3[[#All],[PID]],0)))</f>
        <v>Oda</v>
      </c>
      <c r="G873" s="56">
        <f>IF($C873="B",INDEX(Batters[[#All],[Age]],MATCH(Table5[[#This Row],[PID]],Batters[[#All],[PID]],0)),INDEX(Table3[[#All],[Age]],MATCH(Table5[[#This Row],[PID]],Table3[[#All],[PID]],0)))</f>
        <v>21</v>
      </c>
      <c r="H873" s="52" t="str">
        <f>IF($C873="B",INDEX(Batters[[#All],[B]],MATCH(Table5[[#This Row],[PID]],Batters[[#All],[PID]],0)),INDEX(Table3[[#All],[B]],MATCH(Table5[[#This Row],[PID]],Table3[[#All],[PID]],0)))</f>
        <v>L</v>
      </c>
      <c r="I873" s="52" t="str">
        <f>IF($C873="B",INDEX(Batters[[#All],[T]],MATCH(Table5[[#This Row],[PID]],Batters[[#All],[PID]],0)),INDEX(Table3[[#All],[T]],MATCH(Table5[[#This Row],[PID]],Table3[[#All],[PID]],0)))</f>
        <v>L</v>
      </c>
      <c r="J873" s="52" t="str">
        <f>IF($C873="B",INDEX(Batters[[#All],[WE]],MATCH(Table5[[#This Row],[PID]],Batters[[#All],[PID]],0)),INDEX(Table3[[#All],[WE]],MATCH(Table5[[#This Row],[PID]],Table3[[#All],[PID]],0)))</f>
        <v>Normal</v>
      </c>
      <c r="K873" s="52" t="str">
        <f>IF($C873="B",INDEX(Batters[[#All],[INT]],MATCH(Table5[[#This Row],[PID]],Batters[[#All],[PID]],0)),INDEX(Table3[[#All],[INT]],MATCH(Table5[[#This Row],[PID]],Table3[[#All],[PID]],0)))</f>
        <v>Normal</v>
      </c>
      <c r="L873" s="60">
        <f>IF($C873="B",INDEX(Batters[[#All],[CON P]],MATCH(Table5[[#This Row],[PID]],Batters[[#All],[PID]],0)),INDEX(Table3[[#All],[STU P]],MATCH(Table5[[#This Row],[PID]],Table3[[#All],[PID]],0)))</f>
        <v>4</v>
      </c>
      <c r="M873" s="56">
        <f>IF($C873="B",INDEX(Batters[[#All],[GAP P]],MATCH(Table5[[#This Row],[PID]],Batters[[#All],[PID]],0)),INDEX(Table3[[#All],[MOV P]],MATCH(Table5[[#This Row],[PID]],Table3[[#All],[PID]],0)))</f>
        <v>2</v>
      </c>
      <c r="N873" s="56">
        <f>IF($C873="B",INDEX(Batters[[#All],[POW P]],MATCH(Table5[[#This Row],[PID]],Batters[[#All],[PID]],0)),INDEX(Table3[[#All],[CON P]],MATCH(Table5[[#This Row],[PID]],Table3[[#All],[PID]],0)))</f>
        <v>3</v>
      </c>
      <c r="O873" s="56" t="str">
        <f>IF($C873="B",INDEX(Batters[[#All],[EYE P]],MATCH(Table5[[#This Row],[PID]],Batters[[#All],[PID]],0)),INDEX(Table3[[#All],[VELO]],MATCH(Table5[[#This Row],[PID]],Table3[[#All],[PID]],0)))</f>
        <v>88-90 Mph</v>
      </c>
      <c r="P873" s="56">
        <f>IF($C873="B",INDEX(Batters[[#All],[K P]],MATCH(Table5[[#This Row],[PID]],Batters[[#All],[PID]],0)),INDEX(Table3[[#All],[STM]],MATCH(Table5[[#This Row],[PID]],Table3[[#All],[PID]],0)))</f>
        <v>7</v>
      </c>
      <c r="Q873" s="61">
        <f>IF($C873="B",INDEX(Batters[[#All],[Tot]],MATCH(Table5[[#This Row],[PID]],Batters[[#All],[PID]],0)),INDEX(Table3[[#All],[Tot]],MATCH(Table5[[#This Row],[PID]],Table3[[#All],[PID]],0)))</f>
        <v>29.950874457299729</v>
      </c>
      <c r="R873" s="52">
        <f>IF($C873="B",INDEX(Batters[[#All],[zScore]],MATCH(Table5[[#This Row],[PID]],Batters[[#All],[PID]],0)),INDEX(Table3[[#All],[zScore]],MATCH(Table5[[#This Row],[PID]],Table3[[#All],[PID]],0)))</f>
        <v>-0.39382537412476798</v>
      </c>
      <c r="S873" s="58" t="str">
        <f>IF($C873="B",INDEX(Batters[[#All],[DEM]],MATCH(Table5[[#This Row],[PID]],Batters[[#All],[PID]],0)),INDEX(Table3[[#All],[DEM]],MATCH(Table5[[#This Row],[PID]],Table3[[#All],[PID]],0)))</f>
        <v>-</v>
      </c>
      <c r="T873" s="62">
        <f>IF($C873="B",INDEX(Batters[[#All],[Rnk]],MATCH(Table5[[#This Row],[PID]],Batters[[#All],[PID]],0)),INDEX(Table3[[#All],[Rnk]],MATCH(Table5[[#This Row],[PID]],Table3[[#All],[PID]],0)))</f>
        <v>469</v>
      </c>
      <c r="U873" s="68">
        <f>IF($C873="B",VLOOKUP($A873,Bat!$A$4:$BA$1621,47,FALSE),VLOOKUP($A873,Pit!$A$4:$BF$1557,56,FALSE))</f>
        <v>0</v>
      </c>
      <c r="V873" s="50">
        <f>IF($C873="B",VLOOKUP($A873,Bat!$A$4:$BA$1621,48,FALSE),VLOOKUP($A873,Pit!$A$4:$BF$1557,57,FALSE))</f>
        <v>0</v>
      </c>
      <c r="W873" s="50">
        <f>Table5[[#This Row],[posRnk]]+Table5[[#This Row],[zRnk]]+IF($W$3&lt;&gt;Table5[[#This Row],[Type]],50,0)</f>
        <v>1308</v>
      </c>
      <c r="X873" s="51">
        <f>RANK(Table5[[#This Row],[zScore]],Table5[[#All],[zScore]])</f>
        <v>789</v>
      </c>
      <c r="Y873" s="50" t="str">
        <f>IFERROR(INDEX(DraftResults[[#All],[OVR]],MATCH(Table5[[#This Row],[PID]],DraftResults[[#All],[Player ID]],0)),"")</f>
        <v/>
      </c>
      <c r="Z8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3" s="50" t="str">
        <f>IFERROR(INDEX(DraftResults[[#All],[Pick in Round]],MATCH(Table5[[#This Row],[PID]],DraftResults[[#All],[Player ID]],0)),"")</f>
        <v/>
      </c>
      <c r="AB873" s="50" t="str">
        <f>IFERROR(INDEX(DraftResults[[#All],[Team Name]],MATCH(Table5[[#This Row],[PID]],DraftResults[[#All],[Player ID]],0)),"")</f>
        <v/>
      </c>
      <c r="AC873" s="50" t="str">
        <f>IF(Table5[[#This Row],[Ovr]]="","",IF(Table5[[#This Row],[cmbList]]="","",Table5[[#This Row],[cmbList]]-Table5[[#This Row],[Ovr]]))</f>
        <v/>
      </c>
      <c r="AD873" s="54" t="str">
        <f>IF(ISERROR(VLOOKUP($AB873&amp;"-"&amp;$E873&amp;" "&amp;F873,Bonuses!$B$1:$G$1006,4,FALSE)),"",INT(VLOOKUP($AB873&amp;"-"&amp;$E873&amp;" "&amp;$F873,Bonuses!$B$1:$G$1006,4,FALSE)))</f>
        <v/>
      </c>
      <c r="AE8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4" spans="1:31" s="50" customFormat="1" x14ac:dyDescent="0.25">
      <c r="A874" s="50">
        <v>18035</v>
      </c>
      <c r="B874" s="50">
        <f>COUNTIF(Table5[PID],A874)</f>
        <v>1</v>
      </c>
      <c r="C874" s="50" t="str">
        <f>IF(COUNTIF(Table3[[#All],[PID]],A874)&gt;0,"P","B")</f>
        <v>P</v>
      </c>
      <c r="D874" s="59" t="str">
        <f>IF($C874="B",INDEX(Batters[[#All],[POS]],MATCH(Table5[[#This Row],[PID]],Batters[[#All],[PID]],0)),INDEX(Table3[[#All],[POS]],MATCH(Table5[[#This Row],[PID]],Table3[[#All],[PID]],0)))</f>
        <v>RP</v>
      </c>
      <c r="E874" s="52" t="str">
        <f>IF($C874="B",INDEX(Batters[[#All],[First]],MATCH(Table5[[#This Row],[PID]],Batters[[#All],[PID]],0)),INDEX(Table3[[#All],[First]],MATCH(Table5[[#This Row],[PID]],Table3[[#All],[PID]],0)))</f>
        <v>Danny</v>
      </c>
      <c r="F874" s="50" t="str">
        <f>IF($C874="B",INDEX(Batters[[#All],[Last]],MATCH(A874,Batters[[#All],[PID]],0)),INDEX(Table3[[#All],[Last]],MATCH(A874,Table3[[#All],[PID]],0)))</f>
        <v>Hunter</v>
      </c>
      <c r="G874" s="56">
        <f>IF($C874="B",INDEX(Batters[[#All],[Age]],MATCH(Table5[[#This Row],[PID]],Batters[[#All],[PID]],0)),INDEX(Table3[[#All],[Age]],MATCH(Table5[[#This Row],[PID]],Table3[[#All],[PID]],0)))</f>
        <v>21</v>
      </c>
      <c r="H874" s="52" t="str">
        <f>IF($C874="B",INDEX(Batters[[#All],[B]],MATCH(Table5[[#This Row],[PID]],Batters[[#All],[PID]],0)),INDEX(Table3[[#All],[B]],MATCH(Table5[[#This Row],[PID]],Table3[[#All],[PID]],0)))</f>
        <v>S</v>
      </c>
      <c r="I874" s="52" t="str">
        <f>IF($C874="B",INDEX(Batters[[#All],[T]],MATCH(Table5[[#This Row],[PID]],Batters[[#All],[PID]],0)),INDEX(Table3[[#All],[T]],MATCH(Table5[[#This Row],[PID]],Table3[[#All],[PID]],0)))</f>
        <v>R</v>
      </c>
      <c r="J874" s="52" t="str">
        <f>IF($C874="B",INDEX(Batters[[#All],[WE]],MATCH(Table5[[#This Row],[PID]],Batters[[#All],[PID]],0)),INDEX(Table3[[#All],[WE]],MATCH(Table5[[#This Row],[PID]],Table3[[#All],[PID]],0)))</f>
        <v>High</v>
      </c>
      <c r="K874" s="52" t="str">
        <f>IF($C874="B",INDEX(Batters[[#All],[INT]],MATCH(Table5[[#This Row],[PID]],Batters[[#All],[PID]],0)),INDEX(Table3[[#All],[INT]],MATCH(Table5[[#This Row],[PID]],Table3[[#All],[PID]],0)))</f>
        <v>Normal</v>
      </c>
      <c r="L874" s="60">
        <f>IF($C874="B",INDEX(Batters[[#All],[CON P]],MATCH(Table5[[#This Row],[PID]],Batters[[#All],[PID]],0)),INDEX(Table3[[#All],[STU P]],MATCH(Table5[[#This Row],[PID]],Table3[[#All],[PID]],0)))</f>
        <v>4</v>
      </c>
      <c r="M874" s="56">
        <f>IF($C874="B",INDEX(Batters[[#All],[GAP P]],MATCH(Table5[[#This Row],[PID]],Batters[[#All],[PID]],0)),INDEX(Table3[[#All],[MOV P]],MATCH(Table5[[#This Row],[PID]],Table3[[#All],[PID]],0)))</f>
        <v>2</v>
      </c>
      <c r="N874" s="56">
        <f>IF($C874="B",INDEX(Batters[[#All],[POW P]],MATCH(Table5[[#This Row],[PID]],Batters[[#All],[PID]],0)),INDEX(Table3[[#All],[CON P]],MATCH(Table5[[#This Row],[PID]],Table3[[#All],[PID]],0)))</f>
        <v>3</v>
      </c>
      <c r="O874" s="56" t="str">
        <f>IF($C874="B",INDEX(Batters[[#All],[EYE P]],MATCH(Table5[[#This Row],[PID]],Batters[[#All],[PID]],0)),INDEX(Table3[[#All],[VELO]],MATCH(Table5[[#This Row],[PID]],Table3[[#All],[PID]],0)))</f>
        <v>89-91 Mph</v>
      </c>
      <c r="P874" s="56">
        <f>IF($C874="B",INDEX(Batters[[#All],[K P]],MATCH(Table5[[#This Row],[PID]],Batters[[#All],[PID]],0)),INDEX(Table3[[#All],[STM]],MATCH(Table5[[#This Row],[PID]],Table3[[#All],[PID]],0)))</f>
        <v>6</v>
      </c>
      <c r="Q874" s="61">
        <f>IF($C874="B",INDEX(Batters[[#All],[Tot]],MATCH(Table5[[#This Row],[PID]],Batters[[#All],[PID]],0)),INDEX(Table3[[#All],[Tot]],MATCH(Table5[[#This Row],[PID]],Table3[[#All],[PID]],0)))</f>
        <v>29.945852595867237</v>
      </c>
      <c r="R874" s="52">
        <f>IF($C874="B",INDEX(Batters[[#All],[zScore]],MATCH(Table5[[#This Row],[PID]],Batters[[#All],[PID]],0)),INDEX(Table3[[#All],[zScore]],MATCH(Table5[[#This Row],[PID]],Table3[[#All],[PID]],0)))</f>
        <v>-0.39415947089192088</v>
      </c>
      <c r="S874" s="58" t="str">
        <f>IF($C874="B",INDEX(Batters[[#All],[DEM]],MATCH(Table5[[#This Row],[PID]],Batters[[#All],[PID]],0)),INDEX(Table3[[#All],[DEM]],MATCH(Table5[[#This Row],[PID]],Table3[[#All],[PID]],0)))</f>
        <v>-</v>
      </c>
      <c r="T874" s="62">
        <f>IF($C874="B",INDEX(Batters[[#All],[Rnk]],MATCH(Table5[[#This Row],[PID]],Batters[[#All],[PID]],0)),INDEX(Table3[[#All],[Rnk]],MATCH(Table5[[#This Row],[PID]],Table3[[#All],[PID]],0)))</f>
        <v>470</v>
      </c>
      <c r="U874" s="68">
        <f>IF($C874="B",VLOOKUP($A874,Bat!$A$4:$BA$1621,47,FALSE),VLOOKUP($A874,Pit!$A$4:$BF$1557,56,FALSE))</f>
        <v>0</v>
      </c>
      <c r="V874" s="50">
        <f>IF($C874="B",VLOOKUP($A874,Bat!$A$4:$BA$1621,48,FALSE),VLOOKUP($A874,Pit!$A$4:$BF$1557,57,FALSE))</f>
        <v>0</v>
      </c>
      <c r="W874" s="50">
        <f>Table5[[#This Row],[posRnk]]+Table5[[#This Row],[zRnk]]+IF($W$3&lt;&gt;Table5[[#This Row],[Type]],50,0)</f>
        <v>1310</v>
      </c>
      <c r="X874" s="51">
        <f>RANK(Table5[[#This Row],[zScore]],Table5[[#All],[zScore]])</f>
        <v>790</v>
      </c>
      <c r="Y874" s="50" t="str">
        <f>IFERROR(INDEX(DraftResults[[#All],[OVR]],MATCH(Table5[[#This Row],[PID]],DraftResults[[#All],[Player ID]],0)),"")</f>
        <v/>
      </c>
      <c r="Z8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4" s="50" t="str">
        <f>IFERROR(INDEX(DraftResults[[#All],[Pick in Round]],MATCH(Table5[[#This Row],[PID]],DraftResults[[#All],[Player ID]],0)),"")</f>
        <v/>
      </c>
      <c r="AB874" s="50" t="str">
        <f>IFERROR(INDEX(DraftResults[[#All],[Team Name]],MATCH(Table5[[#This Row],[PID]],DraftResults[[#All],[Player ID]],0)),"")</f>
        <v/>
      </c>
      <c r="AC874" s="50" t="str">
        <f>IF(Table5[[#This Row],[Ovr]]="","",IF(Table5[[#This Row],[cmbList]]="","",Table5[[#This Row],[cmbList]]-Table5[[#This Row],[Ovr]]))</f>
        <v/>
      </c>
      <c r="AD874" s="54" t="str">
        <f>IF(ISERROR(VLOOKUP($AB874&amp;"-"&amp;$E874&amp;" "&amp;F874,Bonuses!$B$1:$G$1006,4,FALSE)),"",INT(VLOOKUP($AB874&amp;"-"&amp;$E874&amp;" "&amp;$F874,Bonuses!$B$1:$G$1006,4,FALSE)))</f>
        <v/>
      </c>
      <c r="AE8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5" spans="1:31" s="50" customFormat="1" x14ac:dyDescent="0.25">
      <c r="A875" s="50">
        <v>12669</v>
      </c>
      <c r="B875" s="50">
        <f>COUNTIF(Table5[PID],A875)</f>
        <v>1</v>
      </c>
      <c r="C875" s="50" t="str">
        <f>IF(COUNTIF(Table3[[#All],[PID]],A875)&gt;0,"P","B")</f>
        <v>P</v>
      </c>
      <c r="D875" s="59" t="str">
        <f>IF($C875="B",INDEX(Batters[[#All],[POS]],MATCH(Table5[[#This Row],[PID]],Batters[[#All],[PID]],0)),INDEX(Table3[[#All],[POS]],MATCH(Table5[[#This Row],[PID]],Table3[[#All],[PID]],0)))</f>
        <v>RP</v>
      </c>
      <c r="E875" s="52" t="str">
        <f>IF($C875="B",INDEX(Batters[[#All],[First]],MATCH(Table5[[#This Row],[PID]],Batters[[#All],[PID]],0)),INDEX(Table3[[#All],[First]],MATCH(Table5[[#This Row],[PID]],Table3[[#All],[PID]],0)))</f>
        <v>Yoshiaga</v>
      </c>
      <c r="F875" s="50" t="str">
        <f>IF($C875="B",INDEX(Batters[[#All],[Last]],MATCH(A875,Batters[[#All],[PID]],0)),INDEX(Table3[[#All],[Last]],MATCH(A875,Table3[[#All],[PID]],0)))</f>
        <v>Kobayashi</v>
      </c>
      <c r="G875" s="56">
        <f>IF($C875="B",INDEX(Batters[[#All],[Age]],MATCH(Table5[[#This Row],[PID]],Batters[[#All],[PID]],0)),INDEX(Table3[[#All],[Age]],MATCH(Table5[[#This Row],[PID]],Table3[[#All],[PID]],0)))</f>
        <v>22</v>
      </c>
      <c r="H875" s="52" t="str">
        <f>IF($C875="B",INDEX(Batters[[#All],[B]],MATCH(Table5[[#This Row],[PID]],Batters[[#All],[PID]],0)),INDEX(Table3[[#All],[B]],MATCH(Table5[[#This Row],[PID]],Table3[[#All],[PID]],0)))</f>
        <v>R</v>
      </c>
      <c r="I875" s="52" t="str">
        <f>IF($C875="B",INDEX(Batters[[#All],[T]],MATCH(Table5[[#This Row],[PID]],Batters[[#All],[PID]],0)),INDEX(Table3[[#All],[T]],MATCH(Table5[[#This Row],[PID]],Table3[[#All],[PID]],0)))</f>
        <v>R</v>
      </c>
      <c r="J875" s="52" t="str">
        <f>IF($C875="B",INDEX(Batters[[#All],[WE]],MATCH(Table5[[#This Row],[PID]],Batters[[#All],[PID]],0)),INDEX(Table3[[#All],[WE]],MATCH(Table5[[#This Row],[PID]],Table3[[#All],[PID]],0)))</f>
        <v>Normal</v>
      </c>
      <c r="K875" s="52" t="str">
        <f>IF($C875="B",INDEX(Batters[[#All],[INT]],MATCH(Table5[[#This Row],[PID]],Batters[[#All],[PID]],0)),INDEX(Table3[[#All],[INT]],MATCH(Table5[[#This Row],[PID]],Table3[[#All],[PID]],0)))</f>
        <v>Low</v>
      </c>
      <c r="L875" s="60">
        <f>IF($C875="B",INDEX(Batters[[#All],[CON P]],MATCH(Table5[[#This Row],[PID]],Batters[[#All],[PID]],0)),INDEX(Table3[[#All],[STU P]],MATCH(Table5[[#This Row],[PID]],Table3[[#All],[PID]],0)))</f>
        <v>3</v>
      </c>
      <c r="M875" s="56">
        <f>IF($C875="B",INDEX(Batters[[#All],[GAP P]],MATCH(Table5[[#This Row],[PID]],Batters[[#All],[PID]],0)),INDEX(Table3[[#All],[MOV P]],MATCH(Table5[[#This Row],[PID]],Table3[[#All],[PID]],0)))</f>
        <v>2</v>
      </c>
      <c r="N875" s="56">
        <f>IF($C875="B",INDEX(Batters[[#All],[POW P]],MATCH(Table5[[#This Row],[PID]],Batters[[#All],[PID]],0)),INDEX(Table3[[#All],[CON P]],MATCH(Table5[[#This Row],[PID]],Table3[[#All],[PID]],0)))</f>
        <v>4</v>
      </c>
      <c r="O875" s="56" t="str">
        <f>IF($C875="B",INDEX(Batters[[#All],[EYE P]],MATCH(Table5[[#This Row],[PID]],Batters[[#All],[PID]],0)),INDEX(Table3[[#All],[VELO]],MATCH(Table5[[#This Row],[PID]],Table3[[#All],[PID]],0)))</f>
        <v>88-90 Mph</v>
      </c>
      <c r="P875" s="56">
        <f>IF($C875="B",INDEX(Batters[[#All],[K P]],MATCH(Table5[[#This Row],[PID]],Batters[[#All],[PID]],0)),INDEX(Table3[[#All],[STM]],MATCH(Table5[[#This Row],[PID]],Table3[[#All],[PID]],0)))</f>
        <v>6</v>
      </c>
      <c r="Q875" s="61">
        <f>IF($C875="B",INDEX(Batters[[#All],[Tot]],MATCH(Table5[[#This Row],[PID]],Batters[[#All],[PID]],0)),INDEX(Table3[[#All],[Tot]],MATCH(Table5[[#This Row],[PID]],Table3[[#All],[PID]],0)))</f>
        <v>29.881627826754613</v>
      </c>
      <c r="R875" s="52">
        <f>IF($C875="B",INDEX(Batters[[#All],[zScore]],MATCH(Table5[[#This Row],[PID]],Batters[[#All],[PID]],0)),INDEX(Table3[[#All],[zScore]],MATCH(Table5[[#This Row],[PID]],Table3[[#All],[PID]],0)))</f>
        <v>-0.39843224663854615</v>
      </c>
      <c r="S875" s="58" t="str">
        <f>IF($C875="B",INDEX(Batters[[#All],[DEM]],MATCH(Table5[[#This Row],[PID]],Batters[[#All],[PID]],0)),INDEX(Table3[[#All],[DEM]],MATCH(Table5[[#This Row],[PID]],Table3[[#All],[PID]],0)))</f>
        <v>-</v>
      </c>
      <c r="T875" s="62">
        <f>IF($C875="B",INDEX(Batters[[#All],[Rnk]],MATCH(Table5[[#This Row],[PID]],Batters[[#All],[PID]],0)),INDEX(Table3[[#All],[Rnk]],MATCH(Table5[[#This Row],[PID]],Table3[[#All],[PID]],0)))</f>
        <v>471</v>
      </c>
      <c r="U875" s="68">
        <f>IF($C875="B",VLOOKUP($A875,Bat!$A$4:$BA$1621,47,FALSE),VLOOKUP($A875,Pit!$A$4:$BF$1557,56,FALSE))</f>
        <v>0</v>
      </c>
      <c r="V875" s="50">
        <f>IF($C875="B",VLOOKUP($A875,Bat!$A$4:$BA$1621,48,FALSE),VLOOKUP($A875,Pit!$A$4:$BF$1557,57,FALSE))</f>
        <v>0</v>
      </c>
      <c r="W875" s="50">
        <f>Table5[[#This Row],[posRnk]]+Table5[[#This Row],[zRnk]]+IF($W$3&lt;&gt;Table5[[#This Row],[Type]],50,0)</f>
        <v>1312</v>
      </c>
      <c r="X875" s="51">
        <f>RANK(Table5[[#This Row],[zScore]],Table5[[#All],[zScore]])</f>
        <v>791</v>
      </c>
      <c r="Y875" s="50" t="str">
        <f>IFERROR(INDEX(DraftResults[[#All],[OVR]],MATCH(Table5[[#This Row],[PID]],DraftResults[[#All],[Player ID]],0)),"")</f>
        <v/>
      </c>
      <c r="Z8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5" s="50" t="str">
        <f>IFERROR(INDEX(DraftResults[[#All],[Pick in Round]],MATCH(Table5[[#This Row],[PID]],DraftResults[[#All],[Player ID]],0)),"")</f>
        <v/>
      </c>
      <c r="AB875" s="50" t="str">
        <f>IFERROR(INDEX(DraftResults[[#All],[Team Name]],MATCH(Table5[[#This Row],[PID]],DraftResults[[#All],[Player ID]],0)),"")</f>
        <v/>
      </c>
      <c r="AC875" s="50" t="str">
        <f>IF(Table5[[#This Row],[Ovr]]="","",IF(Table5[[#This Row],[cmbList]]="","",Table5[[#This Row],[cmbList]]-Table5[[#This Row],[Ovr]]))</f>
        <v/>
      </c>
      <c r="AD875" s="54" t="str">
        <f>IF(ISERROR(VLOOKUP($AB875&amp;"-"&amp;$E875&amp;" "&amp;F875,Bonuses!$B$1:$G$1006,4,FALSE)),"",INT(VLOOKUP($AB875&amp;"-"&amp;$E875&amp;" "&amp;$F875,Bonuses!$B$1:$G$1006,4,FALSE)))</f>
        <v/>
      </c>
      <c r="AE8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6" spans="1:31" s="50" customFormat="1" x14ac:dyDescent="0.25">
      <c r="A876" s="50">
        <v>18259</v>
      </c>
      <c r="B876" s="50">
        <f>COUNTIF(Table5[PID],A876)</f>
        <v>1</v>
      </c>
      <c r="C876" s="50" t="str">
        <f>IF(COUNTIF(Table3[[#All],[PID]],A876)&gt;0,"P","B")</f>
        <v>B</v>
      </c>
      <c r="D876" s="59" t="str">
        <f>IF($C876="B",INDEX(Batters[[#All],[POS]],MATCH(Table5[[#This Row],[PID]],Batters[[#All],[PID]],0)),INDEX(Table3[[#All],[POS]],MATCH(Table5[[#This Row],[PID]],Table3[[#All],[PID]],0)))</f>
        <v>C</v>
      </c>
      <c r="E876" s="52" t="str">
        <f>IF($C876="B",INDEX(Batters[[#All],[First]],MATCH(Table5[[#This Row],[PID]],Batters[[#All],[PID]],0)),INDEX(Table3[[#All],[First]],MATCH(Table5[[#This Row],[PID]],Table3[[#All],[PID]],0)))</f>
        <v>Travis</v>
      </c>
      <c r="F876" s="50" t="str">
        <f>IF($C876="B",INDEX(Batters[[#All],[Last]],MATCH(A876,Batters[[#All],[PID]],0)),INDEX(Table3[[#All],[Last]],MATCH(A876,Table3[[#All],[PID]],0)))</f>
        <v>Pritchard</v>
      </c>
      <c r="G876" s="56">
        <f>IF($C876="B",INDEX(Batters[[#All],[Age]],MATCH(Table5[[#This Row],[PID]],Batters[[#All],[PID]],0)),INDEX(Table3[[#All],[Age]],MATCH(Table5[[#This Row],[PID]],Table3[[#All],[PID]],0)))</f>
        <v>18</v>
      </c>
      <c r="H876" s="52" t="str">
        <f>IF($C876="B",INDEX(Batters[[#All],[B]],MATCH(Table5[[#This Row],[PID]],Batters[[#All],[PID]],0)),INDEX(Table3[[#All],[B]],MATCH(Table5[[#This Row],[PID]],Table3[[#All],[PID]],0)))</f>
        <v>L</v>
      </c>
      <c r="I876" s="52" t="str">
        <f>IF($C876="B",INDEX(Batters[[#All],[T]],MATCH(Table5[[#This Row],[PID]],Batters[[#All],[PID]],0)),INDEX(Table3[[#All],[T]],MATCH(Table5[[#This Row],[PID]],Table3[[#All],[PID]],0)))</f>
        <v>R</v>
      </c>
      <c r="J876" s="52" t="str">
        <f>IF($C876="B",INDEX(Batters[[#All],[WE]],MATCH(Table5[[#This Row],[PID]],Batters[[#All],[PID]],0)),INDEX(Table3[[#All],[WE]],MATCH(Table5[[#This Row],[PID]],Table3[[#All],[PID]],0)))</f>
        <v>High</v>
      </c>
      <c r="K876" s="52" t="str">
        <f>IF($C876="B",INDEX(Batters[[#All],[INT]],MATCH(Table5[[#This Row],[PID]],Batters[[#All],[PID]],0)),INDEX(Table3[[#All],[INT]],MATCH(Table5[[#This Row],[PID]],Table3[[#All],[PID]],0)))</f>
        <v>Normal</v>
      </c>
      <c r="L876" s="60">
        <f>IF($C876="B",INDEX(Batters[[#All],[CON P]],MATCH(Table5[[#This Row],[PID]],Batters[[#All],[PID]],0)),INDEX(Table3[[#All],[STU P]],MATCH(Table5[[#This Row],[PID]],Table3[[#All],[PID]],0)))</f>
        <v>3</v>
      </c>
      <c r="M876" s="56">
        <f>IF($C876="B",INDEX(Batters[[#All],[GAP P]],MATCH(Table5[[#This Row],[PID]],Batters[[#All],[PID]],0)),INDEX(Table3[[#All],[MOV P]],MATCH(Table5[[#This Row],[PID]],Table3[[#All],[PID]],0)))</f>
        <v>3</v>
      </c>
      <c r="N876" s="56">
        <f>IF($C876="B",INDEX(Batters[[#All],[POW P]],MATCH(Table5[[#This Row],[PID]],Batters[[#All],[PID]],0)),INDEX(Table3[[#All],[CON P]],MATCH(Table5[[#This Row],[PID]],Table3[[#All],[PID]],0)))</f>
        <v>4</v>
      </c>
      <c r="O876" s="56">
        <f>IF($C876="B",INDEX(Batters[[#All],[EYE P]],MATCH(Table5[[#This Row],[PID]],Batters[[#All],[PID]],0)),INDEX(Table3[[#All],[VELO]],MATCH(Table5[[#This Row],[PID]],Table3[[#All],[PID]],0)))</f>
        <v>5</v>
      </c>
      <c r="P876" s="56">
        <f>IF($C876="B",INDEX(Batters[[#All],[K P]],MATCH(Table5[[#This Row],[PID]],Batters[[#All],[PID]],0)),INDEX(Table3[[#All],[STM]],MATCH(Table5[[#This Row],[PID]],Table3[[#All],[PID]],0)))</f>
        <v>3</v>
      </c>
      <c r="Q876" s="61">
        <f>IF($C876="B",INDEX(Batters[[#All],[Tot]],MATCH(Table5[[#This Row],[PID]],Batters[[#All],[PID]],0)),INDEX(Table3[[#All],[Tot]],MATCH(Table5[[#This Row],[PID]],Table3[[#All],[PID]],0)))</f>
        <v>42.320164092133155</v>
      </c>
      <c r="R876" s="52">
        <f>IF($C876="B",INDEX(Batters[[#All],[zScore]],MATCH(Table5[[#This Row],[PID]],Batters[[#All],[PID]],0)),INDEX(Table3[[#All],[zScore]],MATCH(Table5[[#This Row],[PID]],Table3[[#All],[PID]],0)))</f>
        <v>-0.40168290352701208</v>
      </c>
      <c r="S876" s="58" t="str">
        <f>IF($C876="B",INDEX(Batters[[#All],[DEM]],MATCH(Table5[[#This Row],[PID]],Batters[[#All],[PID]],0)),INDEX(Table3[[#All],[DEM]],MATCH(Table5[[#This Row],[PID]],Table3[[#All],[PID]],0)))</f>
        <v>$65k</v>
      </c>
      <c r="T876" s="62">
        <f>IF($C876="B",INDEX(Batters[[#All],[Rnk]],MATCH(Table5[[#This Row],[PID]],Batters[[#All],[PID]],0)),INDEX(Table3[[#All],[Rnk]],MATCH(Table5[[#This Row],[PID]],Table3[[#All],[PID]],0)))</f>
        <v>321</v>
      </c>
      <c r="U876" s="68">
        <f>IF($C876="B",VLOOKUP($A876,Bat!$A$4:$BA$1621,47,FALSE),VLOOKUP($A876,Pit!$A$4:$BF$1557,56,FALSE))</f>
        <v>0</v>
      </c>
      <c r="V876" s="50">
        <f>IF($C876="B",VLOOKUP($A876,Bat!$A$4:$BA$1621,48,FALSE),VLOOKUP($A876,Pit!$A$4:$BF$1557,57,FALSE))</f>
        <v>0</v>
      </c>
      <c r="W876" s="50">
        <f>Table5[[#This Row],[posRnk]]+Table5[[#This Row],[zRnk]]+IF($W$3&lt;&gt;Table5[[#This Row],[Type]],50,0)</f>
        <v>1163</v>
      </c>
      <c r="X876" s="51">
        <f>RANK(Table5[[#This Row],[zScore]],Table5[[#All],[zScore]])</f>
        <v>792</v>
      </c>
      <c r="Y876" s="50" t="str">
        <f>IFERROR(INDEX(DraftResults[[#All],[OVR]],MATCH(Table5[[#This Row],[PID]],DraftResults[[#All],[Player ID]],0)),"")</f>
        <v/>
      </c>
      <c r="Z8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6" s="50" t="str">
        <f>IFERROR(INDEX(DraftResults[[#All],[Pick in Round]],MATCH(Table5[[#This Row],[PID]],DraftResults[[#All],[Player ID]],0)),"")</f>
        <v/>
      </c>
      <c r="AB876" s="50" t="str">
        <f>IFERROR(INDEX(DraftResults[[#All],[Team Name]],MATCH(Table5[[#This Row],[PID]],DraftResults[[#All],[Player ID]],0)),"")</f>
        <v/>
      </c>
      <c r="AC876" s="50" t="str">
        <f>IF(Table5[[#This Row],[Ovr]]="","",IF(Table5[[#This Row],[cmbList]]="","",Table5[[#This Row],[cmbList]]-Table5[[#This Row],[Ovr]]))</f>
        <v/>
      </c>
      <c r="AD876" s="54" t="str">
        <f>IF(ISERROR(VLOOKUP($AB876&amp;"-"&amp;$E876&amp;" "&amp;F876,Bonuses!$B$1:$G$1006,4,FALSE)),"",INT(VLOOKUP($AB876&amp;"-"&amp;$E876&amp;" "&amp;$F876,Bonuses!$B$1:$G$1006,4,FALSE)))</f>
        <v/>
      </c>
      <c r="AE8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7" spans="1:31" s="50" customFormat="1" x14ac:dyDescent="0.25">
      <c r="A877" s="50">
        <v>17864</v>
      </c>
      <c r="B877" s="50">
        <f>COUNTIF(Table5[PID],A877)</f>
        <v>1</v>
      </c>
      <c r="C877" s="50" t="str">
        <f>IF(COUNTIF(Table3[[#All],[PID]],A877)&gt;0,"P","B")</f>
        <v>P</v>
      </c>
      <c r="D877" s="59" t="str">
        <f>IF($C877="B",INDEX(Batters[[#All],[POS]],MATCH(Table5[[#This Row],[PID]],Batters[[#All],[PID]],0)),INDEX(Table3[[#All],[POS]],MATCH(Table5[[#This Row],[PID]],Table3[[#All],[PID]],0)))</f>
        <v>RP</v>
      </c>
      <c r="E877" s="52" t="str">
        <f>IF($C877="B",INDEX(Batters[[#All],[First]],MATCH(Table5[[#This Row],[PID]],Batters[[#All],[PID]],0)),INDEX(Table3[[#All],[First]],MATCH(Table5[[#This Row],[PID]],Table3[[#All],[PID]],0)))</f>
        <v>Naoki</v>
      </c>
      <c r="F877" s="50" t="str">
        <f>IF($C877="B",INDEX(Batters[[#All],[Last]],MATCH(A877,Batters[[#All],[PID]],0)),INDEX(Table3[[#All],[Last]],MATCH(A877,Table3[[#All],[PID]],0)))</f>
        <v>Kamihara</v>
      </c>
      <c r="G877" s="56">
        <f>IF($C877="B",INDEX(Batters[[#All],[Age]],MATCH(Table5[[#This Row],[PID]],Batters[[#All],[PID]],0)),INDEX(Table3[[#All],[Age]],MATCH(Table5[[#This Row],[PID]],Table3[[#All],[PID]],0)))</f>
        <v>18</v>
      </c>
      <c r="H877" s="52" t="str">
        <f>IF($C877="B",INDEX(Batters[[#All],[B]],MATCH(Table5[[#This Row],[PID]],Batters[[#All],[PID]],0)),INDEX(Table3[[#All],[B]],MATCH(Table5[[#This Row],[PID]],Table3[[#All],[PID]],0)))</f>
        <v>L</v>
      </c>
      <c r="I877" s="52" t="str">
        <f>IF($C877="B",INDEX(Batters[[#All],[T]],MATCH(Table5[[#This Row],[PID]],Batters[[#All],[PID]],0)),INDEX(Table3[[#All],[T]],MATCH(Table5[[#This Row],[PID]],Table3[[#All],[PID]],0)))</f>
        <v>L</v>
      </c>
      <c r="J877" s="52" t="str">
        <f>IF($C877="B",INDEX(Batters[[#All],[WE]],MATCH(Table5[[#This Row],[PID]],Batters[[#All],[PID]],0)),INDEX(Table3[[#All],[WE]],MATCH(Table5[[#This Row],[PID]],Table3[[#All],[PID]],0)))</f>
        <v>Normal</v>
      </c>
      <c r="K877" s="52" t="str">
        <f>IF($C877="B",INDEX(Batters[[#All],[INT]],MATCH(Table5[[#This Row],[PID]],Batters[[#All],[PID]],0)),INDEX(Table3[[#All],[INT]],MATCH(Table5[[#This Row],[PID]],Table3[[#All],[PID]],0)))</f>
        <v>Normal</v>
      </c>
      <c r="L877" s="60">
        <f>IF($C877="B",INDEX(Batters[[#All],[CON P]],MATCH(Table5[[#This Row],[PID]],Batters[[#All],[PID]],0)),INDEX(Table3[[#All],[STU P]],MATCH(Table5[[#This Row],[PID]],Table3[[#All],[PID]],0)))</f>
        <v>3</v>
      </c>
      <c r="M877" s="56">
        <f>IF($C877="B",INDEX(Batters[[#All],[GAP P]],MATCH(Table5[[#This Row],[PID]],Batters[[#All],[PID]],0)),INDEX(Table3[[#All],[MOV P]],MATCH(Table5[[#This Row],[PID]],Table3[[#All],[PID]],0)))</f>
        <v>2</v>
      </c>
      <c r="N877" s="56">
        <f>IF($C877="B",INDEX(Batters[[#All],[POW P]],MATCH(Table5[[#This Row],[PID]],Batters[[#All],[PID]],0)),INDEX(Table3[[#All],[CON P]],MATCH(Table5[[#This Row],[PID]],Table3[[#All],[PID]],0)))</f>
        <v>3</v>
      </c>
      <c r="O877" s="56" t="str">
        <f>IF($C877="B",INDEX(Batters[[#All],[EYE P]],MATCH(Table5[[#This Row],[PID]],Batters[[#All],[PID]],0)),INDEX(Table3[[#All],[VELO]],MATCH(Table5[[#This Row],[PID]],Table3[[#All],[PID]],0)))</f>
        <v>88-90 Mph</v>
      </c>
      <c r="P877" s="56">
        <f>IF($C877="B",INDEX(Batters[[#All],[K P]],MATCH(Table5[[#This Row],[PID]],Batters[[#All],[PID]],0)),INDEX(Table3[[#All],[STM]],MATCH(Table5[[#This Row],[PID]],Table3[[#All],[PID]],0)))</f>
        <v>10</v>
      </c>
      <c r="Q877" s="61">
        <f>IF($C877="B",INDEX(Batters[[#All],[Tot]],MATCH(Table5[[#This Row],[PID]],Batters[[#All],[PID]],0)),INDEX(Table3[[#All],[Tot]],MATCH(Table5[[#This Row],[PID]],Table3[[#All],[PID]],0)))</f>
        <v>29.807047967116265</v>
      </c>
      <c r="R877" s="52">
        <f>IF($C877="B",INDEX(Batters[[#All],[zScore]],MATCH(Table5[[#This Row],[PID]],Batters[[#All],[PID]],0)),INDEX(Table3[[#All],[zScore]],MATCH(Table5[[#This Row],[PID]],Table3[[#All],[PID]],0)))</f>
        <v>-0.40339393073414248</v>
      </c>
      <c r="S877" s="58" t="str">
        <f>IF($C877="B",INDEX(Batters[[#All],[DEM]],MATCH(Table5[[#This Row],[PID]],Batters[[#All],[PID]],0)),INDEX(Table3[[#All],[DEM]],MATCH(Table5[[#This Row],[PID]],Table3[[#All],[PID]],0)))</f>
        <v>$70k</v>
      </c>
      <c r="T877" s="62">
        <f>IF($C877="B",INDEX(Batters[[#All],[Rnk]],MATCH(Table5[[#This Row],[PID]],Batters[[#All],[PID]],0)),INDEX(Table3[[#All],[Rnk]],MATCH(Table5[[#This Row],[PID]],Table3[[#All],[PID]],0)))</f>
        <v>472</v>
      </c>
      <c r="U877" s="68">
        <f>IF($C877="B",VLOOKUP($A877,Bat!$A$4:$BA$1621,47,FALSE),VLOOKUP($A877,Pit!$A$4:$BF$1557,56,FALSE))</f>
        <v>0</v>
      </c>
      <c r="V877" s="50">
        <f>IF($C877="B",VLOOKUP($A877,Bat!$A$4:$BA$1621,48,FALSE),VLOOKUP($A877,Pit!$A$4:$BF$1557,57,FALSE))</f>
        <v>0</v>
      </c>
      <c r="W877" s="50">
        <f>Table5[[#This Row],[posRnk]]+Table5[[#This Row],[zRnk]]+IF($W$3&lt;&gt;Table5[[#This Row],[Type]],50,0)</f>
        <v>1316</v>
      </c>
      <c r="X877" s="51">
        <f>RANK(Table5[[#This Row],[zScore]],Table5[[#All],[zScore]])</f>
        <v>794</v>
      </c>
      <c r="Y877" s="50" t="str">
        <f>IFERROR(INDEX(DraftResults[[#All],[OVR]],MATCH(Table5[[#This Row],[PID]],DraftResults[[#All],[Player ID]],0)),"")</f>
        <v/>
      </c>
      <c r="Z8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7" s="50" t="str">
        <f>IFERROR(INDEX(DraftResults[[#All],[Pick in Round]],MATCH(Table5[[#This Row],[PID]],DraftResults[[#All],[Player ID]],0)),"")</f>
        <v/>
      </c>
      <c r="AB877" s="50" t="str">
        <f>IFERROR(INDEX(DraftResults[[#All],[Team Name]],MATCH(Table5[[#This Row],[PID]],DraftResults[[#All],[Player ID]],0)),"")</f>
        <v/>
      </c>
      <c r="AC877" s="50" t="str">
        <f>IF(Table5[[#This Row],[Ovr]]="","",IF(Table5[[#This Row],[cmbList]]="","",Table5[[#This Row],[cmbList]]-Table5[[#This Row],[Ovr]]))</f>
        <v/>
      </c>
      <c r="AD877" s="54" t="str">
        <f>IF(ISERROR(VLOOKUP($AB877&amp;"-"&amp;$E877&amp;" "&amp;F877,Bonuses!$B$1:$G$1006,4,FALSE)),"",INT(VLOOKUP($AB877&amp;"-"&amp;$E877&amp;" "&amp;$F877,Bonuses!$B$1:$G$1006,4,FALSE)))</f>
        <v/>
      </c>
      <c r="AE8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8" spans="1:31" s="50" customFormat="1" x14ac:dyDescent="0.25">
      <c r="A878" s="50">
        <v>9377</v>
      </c>
      <c r="B878" s="50">
        <f>COUNTIF(Table5[PID],A878)</f>
        <v>1</v>
      </c>
      <c r="C878" s="50" t="str">
        <f>IF(COUNTIF(Table3[[#All],[PID]],A878)&gt;0,"P","B")</f>
        <v>P</v>
      </c>
      <c r="D878" s="59" t="str">
        <f>IF($C878="B",INDEX(Batters[[#All],[POS]],MATCH(Table5[[#This Row],[PID]],Batters[[#All],[PID]],0)),INDEX(Table3[[#All],[POS]],MATCH(Table5[[#This Row],[PID]],Table3[[#All],[PID]],0)))</f>
        <v>RP</v>
      </c>
      <c r="E878" s="52" t="str">
        <f>IF($C878="B",INDEX(Batters[[#All],[First]],MATCH(Table5[[#This Row],[PID]],Batters[[#All],[PID]],0)),INDEX(Table3[[#All],[First]],MATCH(Table5[[#This Row],[PID]],Table3[[#All],[PID]],0)))</f>
        <v>Bill</v>
      </c>
      <c r="F878" s="50" t="str">
        <f>IF($C878="B",INDEX(Batters[[#All],[Last]],MATCH(A878,Batters[[#All],[PID]],0)),INDEX(Table3[[#All],[Last]],MATCH(A878,Table3[[#All],[PID]],0)))</f>
        <v>Rich</v>
      </c>
      <c r="G878" s="56">
        <f>IF($C878="B",INDEX(Batters[[#All],[Age]],MATCH(Table5[[#This Row],[PID]],Batters[[#All],[PID]],0)),INDEX(Table3[[#All],[Age]],MATCH(Table5[[#This Row],[PID]],Table3[[#All],[PID]],0)))</f>
        <v>22</v>
      </c>
      <c r="H878" s="52" t="str">
        <f>IF($C878="B",INDEX(Batters[[#All],[B]],MATCH(Table5[[#This Row],[PID]],Batters[[#All],[PID]],0)),INDEX(Table3[[#All],[B]],MATCH(Table5[[#This Row],[PID]],Table3[[#All],[PID]],0)))</f>
        <v>L</v>
      </c>
      <c r="I878" s="52" t="str">
        <f>IF($C878="B",INDEX(Batters[[#All],[T]],MATCH(Table5[[#This Row],[PID]],Batters[[#All],[PID]],0)),INDEX(Table3[[#All],[T]],MATCH(Table5[[#This Row],[PID]],Table3[[#All],[PID]],0)))</f>
        <v>L</v>
      </c>
      <c r="J878" s="52" t="str">
        <f>IF($C878="B",INDEX(Batters[[#All],[WE]],MATCH(Table5[[#This Row],[PID]],Batters[[#All],[PID]],0)),INDEX(Table3[[#All],[WE]],MATCH(Table5[[#This Row],[PID]],Table3[[#All],[PID]],0)))</f>
        <v>Normal</v>
      </c>
      <c r="K878" s="52" t="str">
        <f>IF($C878="B",INDEX(Batters[[#All],[INT]],MATCH(Table5[[#This Row],[PID]],Batters[[#All],[PID]],0)),INDEX(Table3[[#All],[INT]],MATCH(Table5[[#This Row],[PID]],Table3[[#All],[PID]],0)))</f>
        <v>Normal</v>
      </c>
      <c r="L878" s="60">
        <f>IF($C878="B",INDEX(Batters[[#All],[CON P]],MATCH(Table5[[#This Row],[PID]],Batters[[#All],[PID]],0)),INDEX(Table3[[#All],[STU P]],MATCH(Table5[[#This Row],[PID]],Table3[[#All],[PID]],0)))</f>
        <v>4</v>
      </c>
      <c r="M878" s="56">
        <f>IF($C878="B",INDEX(Batters[[#All],[GAP P]],MATCH(Table5[[#This Row],[PID]],Batters[[#All],[PID]],0)),INDEX(Table3[[#All],[MOV P]],MATCH(Table5[[#This Row],[PID]],Table3[[#All],[PID]],0)))</f>
        <v>2</v>
      </c>
      <c r="N878" s="56">
        <f>IF($C878="B",INDEX(Batters[[#All],[POW P]],MATCH(Table5[[#This Row],[PID]],Batters[[#All],[PID]],0)),INDEX(Table3[[#All],[CON P]],MATCH(Table5[[#This Row],[PID]],Table3[[#All],[PID]],0)))</f>
        <v>3</v>
      </c>
      <c r="O878" s="56" t="str">
        <f>IF($C878="B",INDEX(Batters[[#All],[EYE P]],MATCH(Table5[[#This Row],[PID]],Batters[[#All],[PID]],0)),INDEX(Table3[[#All],[VELO]],MATCH(Table5[[#This Row],[PID]],Table3[[#All],[PID]],0)))</f>
        <v>88-90 Mph</v>
      </c>
      <c r="P878" s="56">
        <f>IF($C878="B",INDEX(Batters[[#All],[K P]],MATCH(Table5[[#This Row],[PID]],Batters[[#All],[PID]],0)),INDEX(Table3[[#All],[STM]],MATCH(Table5[[#This Row],[PID]],Table3[[#All],[PID]],0)))</f>
        <v>6</v>
      </c>
      <c r="Q878" s="61">
        <f>IF($C878="B",INDEX(Batters[[#All],[Tot]],MATCH(Table5[[#This Row],[PID]],Batters[[#All],[PID]],0)),INDEX(Table3[[#All],[Tot]],MATCH(Table5[[#This Row],[PID]],Table3[[#All],[PID]],0)))</f>
        <v>29.693105106247788</v>
      </c>
      <c r="R878" s="52">
        <f>IF($C878="B",INDEX(Batters[[#All],[zScore]],MATCH(Table5[[#This Row],[PID]],Batters[[#All],[PID]],0)),INDEX(Table3[[#All],[zScore]],MATCH(Table5[[#This Row],[PID]],Table3[[#All],[PID]],0)))</f>
        <v>-0.41097437515062907</v>
      </c>
      <c r="S878" s="58" t="str">
        <f>IF($C878="B",INDEX(Batters[[#All],[DEM]],MATCH(Table5[[#This Row],[PID]],Batters[[#All],[PID]],0)),INDEX(Table3[[#All],[DEM]],MATCH(Table5[[#This Row],[PID]],Table3[[#All],[PID]],0)))</f>
        <v>-</v>
      </c>
      <c r="T878" s="62">
        <f>IF($C878="B",INDEX(Batters[[#All],[Rnk]],MATCH(Table5[[#This Row],[PID]],Batters[[#All],[PID]],0)),INDEX(Table3[[#All],[Rnk]],MATCH(Table5[[#This Row],[PID]],Table3[[#All],[PID]],0)))</f>
        <v>474</v>
      </c>
      <c r="U878" s="68">
        <f>IF($C878="B",VLOOKUP($A878,Bat!$A$4:$BA$1621,47,FALSE),VLOOKUP($A878,Pit!$A$4:$BF$1557,56,FALSE))</f>
        <v>0</v>
      </c>
      <c r="V878" s="50">
        <f>IF($C878="B",VLOOKUP($A878,Bat!$A$4:$BA$1621,48,FALSE),VLOOKUP($A878,Pit!$A$4:$BF$1557,57,FALSE))</f>
        <v>0</v>
      </c>
      <c r="W878" s="50">
        <f>Table5[[#This Row],[posRnk]]+Table5[[#This Row],[zRnk]]+IF($W$3&lt;&gt;Table5[[#This Row],[Type]],50,0)</f>
        <v>1321</v>
      </c>
      <c r="X878" s="51">
        <f>RANK(Table5[[#This Row],[zScore]],Table5[[#All],[zScore]])</f>
        <v>797</v>
      </c>
      <c r="Y878" s="50" t="str">
        <f>IFERROR(INDEX(DraftResults[[#All],[OVR]],MATCH(Table5[[#This Row],[PID]],DraftResults[[#All],[Player ID]],0)),"")</f>
        <v/>
      </c>
      <c r="Z8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8" s="50" t="str">
        <f>IFERROR(INDEX(DraftResults[[#All],[Pick in Round]],MATCH(Table5[[#This Row],[PID]],DraftResults[[#All],[Player ID]],0)),"")</f>
        <v/>
      </c>
      <c r="AB878" s="50" t="str">
        <f>IFERROR(INDEX(DraftResults[[#All],[Team Name]],MATCH(Table5[[#This Row],[PID]],DraftResults[[#All],[Player ID]],0)),"")</f>
        <v/>
      </c>
      <c r="AC878" s="50" t="str">
        <f>IF(Table5[[#This Row],[Ovr]]="","",IF(Table5[[#This Row],[cmbList]]="","",Table5[[#This Row],[cmbList]]-Table5[[#This Row],[Ovr]]))</f>
        <v/>
      </c>
      <c r="AD878" s="54" t="str">
        <f>IF(ISERROR(VLOOKUP($AB878&amp;"-"&amp;$E878&amp;" "&amp;F878,Bonuses!$B$1:$G$1006,4,FALSE)),"",INT(VLOOKUP($AB878&amp;"-"&amp;$E878&amp;" "&amp;$F878,Bonuses!$B$1:$G$1006,4,FALSE)))</f>
        <v/>
      </c>
      <c r="AE8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79" spans="1:31" s="50" customFormat="1" x14ac:dyDescent="0.25">
      <c r="A879" s="50">
        <v>17809</v>
      </c>
      <c r="B879" s="50">
        <f>COUNTIF(Table5[PID],A879)</f>
        <v>1</v>
      </c>
      <c r="C879" s="50" t="str">
        <f>IF(COUNTIF(Table3[[#All],[PID]],A879)&gt;0,"P","B")</f>
        <v>P</v>
      </c>
      <c r="D879" s="59" t="str">
        <f>IF($C879="B",INDEX(Batters[[#All],[POS]],MATCH(Table5[[#This Row],[PID]],Batters[[#All],[PID]],0)),INDEX(Table3[[#All],[POS]],MATCH(Table5[[#This Row],[PID]],Table3[[#All],[PID]],0)))</f>
        <v>RP</v>
      </c>
      <c r="E879" s="52" t="str">
        <f>IF($C879="B",INDEX(Batters[[#All],[First]],MATCH(Table5[[#This Row],[PID]],Batters[[#All],[PID]],0)),INDEX(Table3[[#All],[First]],MATCH(Table5[[#This Row],[PID]],Table3[[#All],[PID]],0)))</f>
        <v>Masanori</v>
      </c>
      <c r="F879" s="50" t="str">
        <f>IF($C879="B",INDEX(Batters[[#All],[Last]],MATCH(A879,Batters[[#All],[PID]],0)),INDEX(Table3[[#All],[Last]],MATCH(A879,Table3[[#All],[PID]],0)))</f>
        <v>Sakamoto</v>
      </c>
      <c r="G879" s="56">
        <f>IF($C879="B",INDEX(Batters[[#All],[Age]],MATCH(Table5[[#This Row],[PID]],Batters[[#All],[PID]],0)),INDEX(Table3[[#All],[Age]],MATCH(Table5[[#This Row],[PID]],Table3[[#All],[PID]],0)))</f>
        <v>22</v>
      </c>
      <c r="H879" s="52" t="str">
        <f>IF($C879="B",INDEX(Batters[[#All],[B]],MATCH(Table5[[#This Row],[PID]],Batters[[#All],[PID]],0)),INDEX(Table3[[#All],[B]],MATCH(Table5[[#This Row],[PID]],Table3[[#All],[PID]],0)))</f>
        <v>R</v>
      </c>
      <c r="I879" s="52" t="str">
        <f>IF($C879="B",INDEX(Batters[[#All],[T]],MATCH(Table5[[#This Row],[PID]],Batters[[#All],[PID]],0)),INDEX(Table3[[#All],[T]],MATCH(Table5[[#This Row],[PID]],Table3[[#All],[PID]],0)))</f>
        <v>R</v>
      </c>
      <c r="J879" s="52" t="str">
        <f>IF($C879="B",INDEX(Batters[[#All],[WE]],MATCH(Table5[[#This Row],[PID]],Batters[[#All],[PID]],0)),INDEX(Table3[[#All],[WE]],MATCH(Table5[[#This Row],[PID]],Table3[[#All],[PID]],0)))</f>
        <v>Low</v>
      </c>
      <c r="K879" s="52" t="str">
        <f>IF($C879="B",INDEX(Batters[[#All],[INT]],MATCH(Table5[[#This Row],[PID]],Batters[[#All],[PID]],0)),INDEX(Table3[[#All],[INT]],MATCH(Table5[[#This Row],[PID]],Table3[[#All],[PID]],0)))</f>
        <v>Normal</v>
      </c>
      <c r="L879" s="60">
        <f>IF($C879="B",INDEX(Batters[[#All],[CON P]],MATCH(Table5[[#This Row],[PID]],Batters[[#All],[PID]],0)),INDEX(Table3[[#All],[STU P]],MATCH(Table5[[#This Row],[PID]],Table3[[#All],[PID]],0)))</f>
        <v>5</v>
      </c>
      <c r="M879" s="56">
        <f>IF($C879="B",INDEX(Batters[[#All],[GAP P]],MATCH(Table5[[#This Row],[PID]],Batters[[#All],[PID]],0)),INDEX(Table3[[#All],[MOV P]],MATCH(Table5[[#This Row],[PID]],Table3[[#All],[PID]],0)))</f>
        <v>1</v>
      </c>
      <c r="N879" s="56">
        <f>IF($C879="B",INDEX(Batters[[#All],[POW P]],MATCH(Table5[[#This Row],[PID]],Batters[[#All],[PID]],0)),INDEX(Table3[[#All],[CON P]],MATCH(Table5[[#This Row],[PID]],Table3[[#All],[PID]],0)))</f>
        <v>3</v>
      </c>
      <c r="O879" s="56" t="str">
        <f>IF($C879="B",INDEX(Batters[[#All],[EYE P]],MATCH(Table5[[#This Row],[PID]],Batters[[#All],[PID]],0)),INDEX(Table3[[#All],[VELO]],MATCH(Table5[[#This Row],[PID]],Table3[[#All],[PID]],0)))</f>
        <v>88-90 Mph</v>
      </c>
      <c r="P879" s="56">
        <f>IF($C879="B",INDEX(Batters[[#All],[K P]],MATCH(Table5[[#This Row],[PID]],Batters[[#All],[PID]],0)),INDEX(Table3[[#All],[STM]],MATCH(Table5[[#This Row],[PID]],Table3[[#All],[PID]],0)))</f>
        <v>7</v>
      </c>
      <c r="Q879" s="61">
        <f>IF($C879="B",INDEX(Batters[[#All],[Tot]],MATCH(Table5[[#This Row],[PID]],Batters[[#All],[PID]],0)),INDEX(Table3[[#All],[Tot]],MATCH(Table5[[#This Row],[PID]],Table3[[#All],[PID]],0)))</f>
        <v>29.684382653708735</v>
      </c>
      <c r="R879" s="52">
        <f>IF($C879="B",INDEX(Batters[[#All],[zScore]],MATCH(Table5[[#This Row],[PID]],Batters[[#All],[PID]],0)),INDEX(Table3[[#All],[zScore]],MATCH(Table5[[#This Row],[PID]],Table3[[#All],[PID]],0)))</f>
        <v>-0.41155466658919548</v>
      </c>
      <c r="S879" s="58" t="str">
        <f>IF($C879="B",INDEX(Batters[[#All],[DEM]],MATCH(Table5[[#This Row],[PID]],Batters[[#All],[PID]],0)),INDEX(Table3[[#All],[DEM]],MATCH(Table5[[#This Row],[PID]],Table3[[#All],[PID]],0)))</f>
        <v>-</v>
      </c>
      <c r="T879" s="62">
        <f>IF($C879="B",INDEX(Batters[[#All],[Rnk]],MATCH(Table5[[#This Row],[PID]],Batters[[#All],[PID]],0)),INDEX(Table3[[#All],[Rnk]],MATCH(Table5[[#This Row],[PID]],Table3[[#All],[PID]],0)))</f>
        <v>475</v>
      </c>
      <c r="U879" s="68">
        <f>IF($C879="B",VLOOKUP($A879,Bat!$A$4:$BA$1621,47,FALSE),VLOOKUP($A879,Pit!$A$4:$BF$1557,56,FALSE))</f>
        <v>0</v>
      </c>
      <c r="V879" s="50">
        <f>IF($C879="B",VLOOKUP($A879,Bat!$A$4:$BA$1621,48,FALSE),VLOOKUP($A879,Pit!$A$4:$BF$1557,57,FALSE))</f>
        <v>0</v>
      </c>
      <c r="W879" s="50">
        <f>Table5[[#This Row],[posRnk]]+Table5[[#This Row],[zRnk]]+IF($W$3&lt;&gt;Table5[[#This Row],[Type]],50,0)</f>
        <v>1323</v>
      </c>
      <c r="X879" s="51">
        <f>RANK(Table5[[#This Row],[zScore]],Table5[[#All],[zScore]])</f>
        <v>798</v>
      </c>
      <c r="Y879" s="50" t="str">
        <f>IFERROR(INDEX(DraftResults[[#All],[OVR]],MATCH(Table5[[#This Row],[PID]],DraftResults[[#All],[Player ID]],0)),"")</f>
        <v/>
      </c>
      <c r="Z8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79" s="50" t="str">
        <f>IFERROR(INDEX(DraftResults[[#All],[Pick in Round]],MATCH(Table5[[#This Row],[PID]],DraftResults[[#All],[Player ID]],0)),"")</f>
        <v/>
      </c>
      <c r="AB879" s="50" t="str">
        <f>IFERROR(INDEX(DraftResults[[#All],[Team Name]],MATCH(Table5[[#This Row],[PID]],DraftResults[[#All],[Player ID]],0)),"")</f>
        <v/>
      </c>
      <c r="AC879" s="50" t="str">
        <f>IF(Table5[[#This Row],[Ovr]]="","",IF(Table5[[#This Row],[cmbList]]="","",Table5[[#This Row],[cmbList]]-Table5[[#This Row],[Ovr]]))</f>
        <v/>
      </c>
      <c r="AD879" s="54" t="str">
        <f>IF(ISERROR(VLOOKUP($AB879&amp;"-"&amp;$E879&amp;" "&amp;F879,Bonuses!$B$1:$G$1006,4,FALSE)),"",INT(VLOOKUP($AB879&amp;"-"&amp;$E879&amp;" "&amp;$F879,Bonuses!$B$1:$G$1006,4,FALSE)))</f>
        <v/>
      </c>
      <c r="AE8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0" spans="1:31" s="50" customFormat="1" x14ac:dyDescent="0.25">
      <c r="A880" s="50">
        <v>9388</v>
      </c>
      <c r="B880" s="55">
        <f>COUNTIF(Table5[PID],A880)</f>
        <v>1</v>
      </c>
      <c r="C880" s="55" t="str">
        <f>IF(COUNTIF(Table3[[#All],[PID]],A880)&gt;0,"P","B")</f>
        <v>P</v>
      </c>
      <c r="D880" s="59" t="str">
        <f>IF($C880="B",INDEX(Batters[[#All],[POS]],MATCH(Table5[[#This Row],[PID]],Batters[[#All],[PID]],0)),INDEX(Table3[[#All],[POS]],MATCH(Table5[[#This Row],[PID]],Table3[[#All],[PID]],0)))</f>
        <v>RP</v>
      </c>
      <c r="E880" s="52" t="str">
        <f>IF($C880="B",INDEX(Batters[[#All],[First]],MATCH(Table5[[#This Row],[PID]],Batters[[#All],[PID]],0)),INDEX(Table3[[#All],[First]],MATCH(Table5[[#This Row],[PID]],Table3[[#All],[PID]],0)))</f>
        <v>Tyson</v>
      </c>
      <c r="F880" s="50" t="str">
        <f>IF($C880="B",INDEX(Batters[[#All],[Last]],MATCH(A880,Batters[[#All],[PID]],0)),INDEX(Table3[[#All],[Last]],MATCH(A880,Table3[[#All],[PID]],0)))</f>
        <v>Vaughn</v>
      </c>
      <c r="G880" s="56">
        <f>IF($C880="B",INDEX(Batters[[#All],[Age]],MATCH(Table5[[#This Row],[PID]],Batters[[#All],[PID]],0)),INDEX(Table3[[#All],[Age]],MATCH(Table5[[#This Row],[PID]],Table3[[#All],[PID]],0)))</f>
        <v>22</v>
      </c>
      <c r="H880" s="52" t="str">
        <f>IF($C880="B",INDEX(Batters[[#All],[B]],MATCH(Table5[[#This Row],[PID]],Batters[[#All],[PID]],0)),INDEX(Table3[[#All],[B]],MATCH(Table5[[#This Row],[PID]],Table3[[#All],[PID]],0)))</f>
        <v>L</v>
      </c>
      <c r="I880" s="52" t="str">
        <f>IF($C880="B",INDEX(Batters[[#All],[T]],MATCH(Table5[[#This Row],[PID]],Batters[[#All],[PID]],0)),INDEX(Table3[[#All],[T]],MATCH(Table5[[#This Row],[PID]],Table3[[#All],[PID]],0)))</f>
        <v>L</v>
      </c>
      <c r="J880" s="52" t="str">
        <f>IF($C880="B",INDEX(Batters[[#All],[WE]],MATCH(Table5[[#This Row],[PID]],Batters[[#All],[PID]],0)),INDEX(Table3[[#All],[WE]],MATCH(Table5[[#This Row],[PID]],Table3[[#All],[PID]],0)))</f>
        <v>Normal</v>
      </c>
      <c r="K880" s="52" t="str">
        <f>IF($C880="B",INDEX(Batters[[#All],[INT]],MATCH(Table5[[#This Row],[PID]],Batters[[#All],[PID]],0)),INDEX(Table3[[#All],[INT]],MATCH(Table5[[#This Row],[PID]],Table3[[#All],[PID]],0)))</f>
        <v>High</v>
      </c>
      <c r="L880" s="60">
        <f>IF($C880="B",INDEX(Batters[[#All],[CON P]],MATCH(Table5[[#This Row],[PID]],Batters[[#All],[PID]],0)),INDEX(Table3[[#All],[STU P]],MATCH(Table5[[#This Row],[PID]],Table3[[#All],[PID]],0)))</f>
        <v>5</v>
      </c>
      <c r="M880" s="56">
        <f>IF($C880="B",INDEX(Batters[[#All],[GAP P]],MATCH(Table5[[#This Row],[PID]],Batters[[#All],[PID]],0)),INDEX(Table3[[#All],[MOV P]],MATCH(Table5[[#This Row],[PID]],Table3[[#All],[PID]],0)))</f>
        <v>1</v>
      </c>
      <c r="N880" s="56">
        <f>IF($C880="B",INDEX(Batters[[#All],[POW P]],MATCH(Table5[[#This Row],[PID]],Batters[[#All],[PID]],0)),INDEX(Table3[[#All],[CON P]],MATCH(Table5[[#This Row],[PID]],Table3[[#All],[PID]],0)))</f>
        <v>3</v>
      </c>
      <c r="O880" s="56" t="str">
        <f>IF($C880="B",INDEX(Batters[[#All],[EYE P]],MATCH(Table5[[#This Row],[PID]],Batters[[#All],[PID]],0)),INDEX(Table3[[#All],[VELO]],MATCH(Table5[[#This Row],[PID]],Table3[[#All],[PID]],0)))</f>
        <v>92-94 Mph</v>
      </c>
      <c r="P880" s="56">
        <f>IF($C880="B",INDEX(Batters[[#All],[K P]],MATCH(Table5[[#This Row],[PID]],Batters[[#All],[PID]],0)),INDEX(Table3[[#All],[STM]],MATCH(Table5[[#This Row],[PID]],Table3[[#All],[PID]],0)))</f>
        <v>8</v>
      </c>
      <c r="Q880" s="61">
        <f>IF($C880="B",INDEX(Batters[[#All],[Tot]],MATCH(Table5[[#This Row],[PID]],Batters[[#All],[PID]],0)),INDEX(Table3[[#All],[Tot]],MATCH(Table5[[#This Row],[PID]],Table3[[#All],[PID]],0)))</f>
        <v>31.034382653708736</v>
      </c>
      <c r="R880" s="52">
        <f>IF($C880="B",INDEX(Batters[[#All],[zScore]],MATCH(Table5[[#This Row],[PID]],Batters[[#All],[PID]],0)),INDEX(Table3[[#All],[zScore]],MATCH(Table5[[#This Row],[PID]],Table3[[#All],[PID]],0)))</f>
        <v>-0.41572919423510374</v>
      </c>
      <c r="S880" s="58" t="str">
        <f>IF($C880="B",INDEX(Batters[[#All],[DEM]],MATCH(Table5[[#This Row],[PID]],Batters[[#All],[PID]],0)),INDEX(Table3[[#All],[DEM]],MATCH(Table5[[#This Row],[PID]],Table3[[#All],[PID]],0)))</f>
        <v>-</v>
      </c>
      <c r="T880" s="62">
        <f>IF($C880="B",INDEX(Batters[[#All],[Rnk]],MATCH(Table5[[#This Row],[PID]],Batters[[#All],[PID]],0)),INDEX(Table3[[#All],[Rnk]],MATCH(Table5[[#This Row],[PID]],Table3[[#All],[PID]],0)))</f>
        <v>476</v>
      </c>
      <c r="U880" s="68">
        <f>IF($C880="B",VLOOKUP($A880,Bat!$A$4:$BA$1621,47,FALSE),VLOOKUP($A880,Pit!$A$4:$BF$1557,56,FALSE))</f>
        <v>0</v>
      </c>
      <c r="V880" s="50">
        <f>IF($C880="B",VLOOKUP($A880,Bat!$A$4:$BA$1621,48,FALSE),VLOOKUP($A880,Pit!$A$4:$BF$1557,57,FALSE))</f>
        <v>0</v>
      </c>
      <c r="W880" s="50">
        <f>Table5[[#This Row],[posRnk]]+Table5[[#This Row],[zRnk]]+IF($W$3&lt;&gt;Table5[[#This Row],[Type]],50,0)</f>
        <v>1325</v>
      </c>
      <c r="X880" s="51">
        <f>RANK(Table5[[#This Row],[zScore]],Table5[[#All],[zScore]])</f>
        <v>799</v>
      </c>
      <c r="Y880" s="50" t="str">
        <f>IFERROR(INDEX(DraftResults[[#All],[OVR]],MATCH(Table5[[#This Row],[PID]],DraftResults[[#All],[Player ID]],0)),"")</f>
        <v/>
      </c>
      <c r="Z8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0" s="50" t="str">
        <f>IFERROR(INDEX(DraftResults[[#All],[Pick in Round]],MATCH(Table5[[#This Row],[PID]],DraftResults[[#All],[Player ID]],0)),"")</f>
        <v/>
      </c>
      <c r="AB880" s="50" t="str">
        <f>IFERROR(INDEX(DraftResults[[#All],[Team Name]],MATCH(Table5[[#This Row],[PID]],DraftResults[[#All],[Player ID]],0)),"")</f>
        <v/>
      </c>
      <c r="AC880" s="50" t="str">
        <f>IF(Table5[[#This Row],[Ovr]]="","",IF(Table5[[#This Row],[cmbList]]="","",Table5[[#This Row],[cmbList]]-Table5[[#This Row],[Ovr]]))</f>
        <v/>
      </c>
      <c r="AD880" s="54" t="str">
        <f>IF(ISERROR(VLOOKUP($AB880&amp;"-"&amp;$E880&amp;" "&amp;F880,Bonuses!$B$1:$G$1006,4,FALSE)),"",INT(VLOOKUP($AB880&amp;"-"&amp;$E880&amp;" "&amp;$F880,Bonuses!$B$1:$G$1006,4,FALSE)))</f>
        <v/>
      </c>
      <c r="AE8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1" spans="1:31" s="50" customFormat="1" x14ac:dyDescent="0.25">
      <c r="A881" s="50">
        <v>20759</v>
      </c>
      <c r="B881" s="50">
        <f>COUNTIF(Table5[PID],A881)</f>
        <v>1</v>
      </c>
      <c r="C881" s="50" t="str">
        <f>IF(COUNTIF(Table3[[#All],[PID]],A881)&gt;0,"P","B")</f>
        <v>P</v>
      </c>
      <c r="D881" s="59" t="str">
        <f>IF($C881="B",INDEX(Batters[[#All],[POS]],MATCH(Table5[[#This Row],[PID]],Batters[[#All],[PID]],0)),INDEX(Table3[[#All],[POS]],MATCH(Table5[[#This Row],[PID]],Table3[[#All],[PID]],0)))</f>
        <v>RP</v>
      </c>
      <c r="E881" s="52" t="str">
        <f>IF($C881="B",INDEX(Batters[[#All],[First]],MATCH(Table5[[#This Row],[PID]],Batters[[#All],[PID]],0)),INDEX(Table3[[#All],[First]],MATCH(Table5[[#This Row],[PID]],Table3[[#All],[PID]],0)))</f>
        <v>Jesús</v>
      </c>
      <c r="F881" s="50" t="str">
        <f>IF($C881="B",INDEX(Batters[[#All],[Last]],MATCH(A881,Batters[[#All],[PID]],0)),INDEX(Table3[[#All],[Last]],MATCH(A881,Table3[[#All],[PID]],0)))</f>
        <v>Colón</v>
      </c>
      <c r="G881" s="56">
        <f>IF($C881="B",INDEX(Batters[[#All],[Age]],MATCH(Table5[[#This Row],[PID]],Batters[[#All],[PID]],0)),INDEX(Table3[[#All],[Age]],MATCH(Table5[[#This Row],[PID]],Table3[[#All],[PID]],0)))</f>
        <v>16</v>
      </c>
      <c r="H881" s="52" t="str">
        <f>IF($C881="B",INDEX(Batters[[#All],[B]],MATCH(Table5[[#This Row],[PID]],Batters[[#All],[PID]],0)),INDEX(Table3[[#All],[B]],MATCH(Table5[[#This Row],[PID]],Table3[[#All],[PID]],0)))</f>
        <v>R</v>
      </c>
      <c r="I881" s="52" t="str">
        <f>IF($C881="B",INDEX(Batters[[#All],[T]],MATCH(Table5[[#This Row],[PID]],Batters[[#All],[PID]],0)),INDEX(Table3[[#All],[T]],MATCH(Table5[[#This Row],[PID]],Table3[[#All],[PID]],0)))</f>
        <v>R</v>
      </c>
      <c r="J881" s="52" t="str">
        <f>IF($C881="B",INDEX(Batters[[#All],[WE]],MATCH(Table5[[#This Row],[PID]],Batters[[#All],[PID]],0)),INDEX(Table3[[#All],[WE]],MATCH(Table5[[#This Row],[PID]],Table3[[#All],[PID]],0)))</f>
        <v>High</v>
      </c>
      <c r="K881" s="52" t="str">
        <f>IF($C881="B",INDEX(Batters[[#All],[INT]],MATCH(Table5[[#This Row],[PID]],Batters[[#All],[PID]],0)),INDEX(Table3[[#All],[INT]],MATCH(Table5[[#This Row],[PID]],Table3[[#All],[PID]],0)))</f>
        <v>High</v>
      </c>
      <c r="L881" s="60">
        <f>IF($C881="B",INDEX(Batters[[#All],[CON P]],MATCH(Table5[[#This Row],[PID]],Batters[[#All],[PID]],0)),INDEX(Table3[[#All],[STU P]],MATCH(Table5[[#This Row],[PID]],Table3[[#All],[PID]],0)))</f>
        <v>5</v>
      </c>
      <c r="M881" s="56">
        <f>IF($C881="B",INDEX(Batters[[#All],[GAP P]],MATCH(Table5[[#This Row],[PID]],Batters[[#All],[PID]],0)),INDEX(Table3[[#All],[MOV P]],MATCH(Table5[[#This Row],[PID]],Table3[[#All],[PID]],0)))</f>
        <v>1</v>
      </c>
      <c r="N881" s="56">
        <f>IF($C881="B",INDEX(Batters[[#All],[POW P]],MATCH(Table5[[#This Row],[PID]],Batters[[#All],[PID]],0)),INDEX(Table3[[#All],[CON P]],MATCH(Table5[[#This Row],[PID]],Table3[[#All],[PID]],0)))</f>
        <v>3</v>
      </c>
      <c r="O881" s="56" t="str">
        <f>IF($C881="B",INDEX(Batters[[#All],[EYE P]],MATCH(Table5[[#This Row],[PID]],Batters[[#All],[PID]],0)),INDEX(Table3[[#All],[VELO]],MATCH(Table5[[#This Row],[PID]],Table3[[#All],[PID]],0)))</f>
        <v>91-93 Mph</v>
      </c>
      <c r="P881" s="56">
        <f>IF($C881="B",INDEX(Batters[[#All],[K P]],MATCH(Table5[[#This Row],[PID]],Batters[[#All],[PID]],0)),INDEX(Table3[[#All],[STM]],MATCH(Table5[[#This Row],[PID]],Table3[[#All],[PID]],0)))</f>
        <v>3</v>
      </c>
      <c r="Q881" s="61">
        <f>IF($C881="B",INDEX(Batters[[#All],[Tot]],MATCH(Table5[[#This Row],[PID]],Batters[[#All],[PID]],0)),INDEX(Table3[[#All],[Tot]],MATCH(Table5[[#This Row],[PID]],Table3[[#All],[PID]],0)))</f>
        <v>29.589631261816276</v>
      </c>
      <c r="R881" s="52">
        <f>IF($C881="B",INDEX(Batters[[#All],[zScore]],MATCH(Table5[[#This Row],[PID]],Batters[[#All],[PID]],0)),INDEX(Table3[[#All],[zScore]],MATCH(Table5[[#This Row],[PID]],Table3[[#All],[PID]],0)))</f>
        <v>-0.41785833190136096</v>
      </c>
      <c r="S881" s="58" t="str">
        <f>IF($C881="B",INDEX(Batters[[#All],[DEM]],MATCH(Table5[[#This Row],[PID]],Batters[[#All],[PID]],0)),INDEX(Table3[[#All],[DEM]],MATCH(Table5[[#This Row],[PID]],Table3[[#All],[PID]],0)))</f>
        <v>$65k</v>
      </c>
      <c r="T881" s="62">
        <f>IF($C881="B",INDEX(Batters[[#All],[Rnk]],MATCH(Table5[[#This Row],[PID]],Batters[[#All],[PID]],0)),INDEX(Table3[[#All],[Rnk]],MATCH(Table5[[#This Row],[PID]],Table3[[#All],[PID]],0)))</f>
        <v>477</v>
      </c>
      <c r="U881" s="68">
        <f>IF($C881="B",VLOOKUP($A881,Bat!$A$4:$BA$1621,47,FALSE),VLOOKUP($A881,Pit!$A$4:$BF$1557,56,FALSE))</f>
        <v>0</v>
      </c>
      <c r="V881" s="50">
        <f>IF($C881="B",VLOOKUP($A881,Bat!$A$4:$BA$1621,48,FALSE),VLOOKUP($A881,Pit!$A$4:$BF$1557,57,FALSE))</f>
        <v>0</v>
      </c>
      <c r="W881" s="50">
        <f>Table5[[#This Row],[posRnk]]+Table5[[#This Row],[zRnk]]+IF($W$3&lt;&gt;Table5[[#This Row],[Type]],50,0)</f>
        <v>1327</v>
      </c>
      <c r="X881" s="51">
        <f>RANK(Table5[[#This Row],[zScore]],Table5[[#All],[zScore]])</f>
        <v>800</v>
      </c>
      <c r="Y881" s="50" t="str">
        <f>IFERROR(INDEX(DraftResults[[#All],[OVR]],MATCH(Table5[[#This Row],[PID]],DraftResults[[#All],[Player ID]],0)),"")</f>
        <v/>
      </c>
      <c r="Z8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1" s="50" t="str">
        <f>IFERROR(INDEX(DraftResults[[#All],[Pick in Round]],MATCH(Table5[[#This Row],[PID]],DraftResults[[#All],[Player ID]],0)),"")</f>
        <v/>
      </c>
      <c r="AB881" s="50" t="str">
        <f>IFERROR(INDEX(DraftResults[[#All],[Team Name]],MATCH(Table5[[#This Row],[PID]],DraftResults[[#All],[Player ID]],0)),"")</f>
        <v/>
      </c>
      <c r="AC881" s="50" t="str">
        <f>IF(Table5[[#This Row],[Ovr]]="","",IF(Table5[[#This Row],[cmbList]]="","",Table5[[#This Row],[cmbList]]-Table5[[#This Row],[Ovr]]))</f>
        <v/>
      </c>
      <c r="AD881" s="54" t="str">
        <f>IF(ISERROR(VLOOKUP($AB881&amp;"-"&amp;$E881&amp;" "&amp;F881,Bonuses!$B$1:$G$1006,4,FALSE)),"",INT(VLOOKUP($AB881&amp;"-"&amp;$E881&amp;" "&amp;$F881,Bonuses!$B$1:$G$1006,4,FALSE)))</f>
        <v/>
      </c>
      <c r="AE8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2" spans="1:31" s="50" customFormat="1" x14ac:dyDescent="0.25">
      <c r="A882" s="68">
        <v>18165</v>
      </c>
      <c r="B882" s="69">
        <f>COUNTIF(Table5[PID],A882)</f>
        <v>1</v>
      </c>
      <c r="C882" s="69" t="str">
        <f>IF(COUNTIF(Table3[[#All],[PID]],A882)&gt;0,"P","B")</f>
        <v>P</v>
      </c>
      <c r="D882" s="59" t="str">
        <f>IF($C882="B",INDEX(Batters[[#All],[POS]],MATCH(Table5[[#This Row],[PID]],Batters[[#All],[PID]],0)),INDEX(Table3[[#All],[POS]],MATCH(Table5[[#This Row],[PID]],Table3[[#All],[PID]],0)))</f>
        <v>SP</v>
      </c>
      <c r="E882" s="52" t="str">
        <f>IF($C882="B",INDEX(Batters[[#All],[First]],MATCH(Table5[[#This Row],[PID]],Batters[[#All],[PID]],0)),INDEX(Table3[[#All],[First]],MATCH(Table5[[#This Row],[PID]],Table3[[#All],[PID]],0)))</f>
        <v>Phil</v>
      </c>
      <c r="F882" s="55" t="str">
        <f>IF($C882="B",INDEX(Batters[[#All],[Last]],MATCH(A882,Batters[[#All],[PID]],0)),INDEX(Table3[[#All],[Last]],MATCH(A882,Table3[[#All],[PID]],0)))</f>
        <v>Goode</v>
      </c>
      <c r="G882" s="56">
        <f>IF($C882="B",INDEX(Batters[[#All],[Age]],MATCH(Table5[[#This Row],[PID]],Batters[[#All],[PID]],0)),INDEX(Table3[[#All],[Age]],MATCH(Table5[[#This Row],[PID]],Table3[[#All],[PID]],0)))</f>
        <v>21</v>
      </c>
      <c r="H882" s="52" t="str">
        <f>IF($C882="B",INDEX(Batters[[#All],[B]],MATCH(Table5[[#This Row],[PID]],Batters[[#All],[PID]],0)),INDEX(Table3[[#All],[B]],MATCH(Table5[[#This Row],[PID]],Table3[[#All],[PID]],0)))</f>
        <v>L</v>
      </c>
      <c r="I882" s="52" t="str">
        <f>IF($C882="B",INDEX(Batters[[#All],[T]],MATCH(Table5[[#This Row],[PID]],Batters[[#All],[PID]],0)),INDEX(Table3[[#All],[T]],MATCH(Table5[[#This Row],[PID]],Table3[[#All],[PID]],0)))</f>
        <v>L</v>
      </c>
      <c r="J882" s="71" t="str">
        <f>IF($C882="B",INDEX(Batters[[#All],[WE]],MATCH(Table5[[#This Row],[PID]],Batters[[#All],[PID]],0)),INDEX(Table3[[#All],[WE]],MATCH(Table5[[#This Row],[PID]],Table3[[#All],[PID]],0)))</f>
        <v>Low</v>
      </c>
      <c r="K882" s="52" t="str">
        <f>IF($C882="B",INDEX(Batters[[#All],[INT]],MATCH(Table5[[#This Row],[PID]],Batters[[#All],[PID]],0)),INDEX(Table3[[#All],[INT]],MATCH(Table5[[#This Row],[PID]],Table3[[#All],[PID]],0)))</f>
        <v>Normal</v>
      </c>
      <c r="L882" s="60">
        <f>IF($C882="B",INDEX(Batters[[#All],[CON P]],MATCH(Table5[[#This Row],[PID]],Batters[[#All],[PID]],0)),INDEX(Table3[[#All],[STU P]],MATCH(Table5[[#This Row],[PID]],Table3[[#All],[PID]],0)))</f>
        <v>4</v>
      </c>
      <c r="M882" s="72">
        <f>IF($C882="B",INDEX(Batters[[#All],[GAP P]],MATCH(Table5[[#This Row],[PID]],Batters[[#All],[PID]],0)),INDEX(Table3[[#All],[MOV P]],MATCH(Table5[[#This Row],[PID]],Table3[[#All],[PID]],0)))</f>
        <v>2</v>
      </c>
      <c r="N882" s="72">
        <f>IF($C882="B",INDEX(Batters[[#All],[POW P]],MATCH(Table5[[#This Row],[PID]],Batters[[#All],[PID]],0)),INDEX(Table3[[#All],[CON P]],MATCH(Table5[[#This Row],[PID]],Table3[[#All],[PID]],0)))</f>
        <v>3</v>
      </c>
      <c r="O882" s="72" t="str">
        <f>IF($C882="B",INDEX(Batters[[#All],[EYE P]],MATCH(Table5[[#This Row],[PID]],Batters[[#All],[PID]],0)),INDEX(Table3[[#All],[VELO]],MATCH(Table5[[#This Row],[PID]],Table3[[#All],[PID]],0)))</f>
        <v>88-90 Mph</v>
      </c>
      <c r="P882" s="56">
        <f>IF($C882="B",INDEX(Batters[[#All],[K P]],MATCH(Table5[[#This Row],[PID]],Batters[[#All],[PID]],0)),INDEX(Table3[[#All],[STM]],MATCH(Table5[[#This Row],[PID]],Table3[[#All],[PID]],0)))</f>
        <v>5</v>
      </c>
      <c r="Q882" s="61">
        <f>IF($C882="B",INDEX(Batters[[#All],[Tot]],MATCH(Table5[[#This Row],[PID]],Batters[[#All],[PID]],0)),INDEX(Table3[[#All],[Tot]],MATCH(Table5[[#This Row],[PID]],Table3[[#All],[PID]],0)))</f>
        <v>29.589602595867238</v>
      </c>
      <c r="R882" s="52">
        <f>IF($C882="B",INDEX(Batters[[#All],[zScore]],MATCH(Table5[[#This Row],[PID]],Batters[[#All],[PID]],0)),INDEX(Table3[[#All],[zScore]],MATCH(Table5[[#This Row],[PID]],Table3[[#All],[PID]],0)))</f>
        <v>-0.41786023900314578</v>
      </c>
      <c r="S882" s="78" t="str">
        <f>IF($C882="B",INDEX(Batters[[#All],[DEM]],MATCH(Table5[[#This Row],[PID]],Batters[[#All],[PID]],0)),INDEX(Table3[[#All],[DEM]],MATCH(Table5[[#This Row],[PID]],Table3[[#All],[PID]],0)))</f>
        <v>-</v>
      </c>
      <c r="T882" s="75">
        <f>IF($C882="B",INDEX(Batters[[#All],[Rnk]],MATCH(Table5[[#This Row],[PID]],Batters[[#All],[PID]],0)),INDEX(Table3[[#All],[Rnk]],MATCH(Table5[[#This Row],[PID]],Table3[[#All],[PID]],0)))</f>
        <v>478</v>
      </c>
      <c r="U882" s="68">
        <f>IF($C882="B",VLOOKUP($A882,Bat!$A$4:$BA$1621,47,FALSE),VLOOKUP($A882,Pit!$A$4:$BF$1557,56,FALSE))</f>
        <v>0</v>
      </c>
      <c r="V882" s="50">
        <f>IF($C882="B",VLOOKUP($A882,Bat!$A$4:$BA$1621,48,FALSE),VLOOKUP($A882,Pit!$A$4:$BF$1557,57,FALSE))</f>
        <v>0</v>
      </c>
      <c r="W882" s="69">
        <f>Table5[[#This Row],[posRnk]]+Table5[[#This Row],[zRnk]]+IF($W$3&lt;&gt;Table5[[#This Row],[Type]],50,0)</f>
        <v>1329</v>
      </c>
      <c r="X882" s="73">
        <f>RANK(Table5[[#This Row],[zScore]],Table5[[#All],[zScore]])</f>
        <v>801</v>
      </c>
      <c r="Y882" s="69" t="str">
        <f>IFERROR(INDEX(DraftResults[[#All],[OVR]],MATCH(Table5[[#This Row],[PID]],DraftResults[[#All],[Player ID]],0)),"")</f>
        <v/>
      </c>
      <c r="Z88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2" s="69" t="str">
        <f>IFERROR(INDEX(DraftResults[[#All],[Pick in Round]],MATCH(Table5[[#This Row],[PID]],DraftResults[[#All],[Player ID]],0)),"")</f>
        <v/>
      </c>
      <c r="AB882" s="69" t="str">
        <f>IFERROR(INDEX(DraftResults[[#All],[Team Name]],MATCH(Table5[[#This Row],[PID]],DraftResults[[#All],[Player ID]],0)),"")</f>
        <v/>
      </c>
      <c r="AC882" s="69" t="str">
        <f>IF(Table5[[#This Row],[Ovr]]="","",IF(Table5[[#This Row],[cmbList]]="","",Table5[[#This Row],[cmbList]]-Table5[[#This Row],[Ovr]]))</f>
        <v/>
      </c>
      <c r="AD882" s="77" t="str">
        <f>IF(ISERROR(VLOOKUP($AB882&amp;"-"&amp;$E882&amp;" "&amp;F882,Bonuses!$B$1:$G$1006,4,FALSE)),"",INT(VLOOKUP($AB882&amp;"-"&amp;$E882&amp;" "&amp;$F882,Bonuses!$B$1:$G$1006,4,FALSE)))</f>
        <v/>
      </c>
      <c r="AE88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3" spans="1:31" s="50" customFormat="1" x14ac:dyDescent="0.25">
      <c r="A883" s="50">
        <v>13578</v>
      </c>
      <c r="B883" s="50">
        <f>COUNTIF(Table5[PID],A883)</f>
        <v>1</v>
      </c>
      <c r="C883" s="50" t="str">
        <f>IF(COUNTIF(Table3[[#All],[PID]],A883)&gt;0,"P","B")</f>
        <v>B</v>
      </c>
      <c r="D883" s="59" t="str">
        <f>IF($C883="B",INDEX(Batters[[#All],[POS]],MATCH(Table5[[#This Row],[PID]],Batters[[#All],[PID]],0)),INDEX(Table3[[#All],[POS]],MATCH(Table5[[#This Row],[PID]],Table3[[#All],[PID]],0)))</f>
        <v>LF</v>
      </c>
      <c r="E883" s="52" t="str">
        <f>IF($C883="B",INDEX(Batters[[#All],[First]],MATCH(Table5[[#This Row],[PID]],Batters[[#All],[PID]],0)),INDEX(Table3[[#All],[First]],MATCH(Table5[[#This Row],[PID]],Table3[[#All],[PID]],0)))</f>
        <v>Andy</v>
      </c>
      <c r="F883" s="50" t="str">
        <f>IF($C883="B",INDEX(Batters[[#All],[Last]],MATCH(A883,Batters[[#All],[PID]],0)),INDEX(Table3[[#All],[Last]],MATCH(A883,Table3[[#All],[PID]],0)))</f>
        <v>Howell</v>
      </c>
      <c r="G883" s="56">
        <f>IF($C883="B",INDEX(Batters[[#All],[Age]],MATCH(Table5[[#This Row],[PID]],Batters[[#All],[PID]],0)),INDEX(Table3[[#All],[Age]],MATCH(Table5[[#This Row],[PID]],Table3[[#All],[PID]],0)))</f>
        <v>18</v>
      </c>
      <c r="H883" s="52" t="str">
        <f>IF($C883="B",INDEX(Batters[[#All],[B]],MATCH(Table5[[#This Row],[PID]],Batters[[#All],[PID]],0)),INDEX(Table3[[#All],[B]],MATCH(Table5[[#This Row],[PID]],Table3[[#All],[PID]],0)))</f>
        <v>L</v>
      </c>
      <c r="I883" s="52" t="str">
        <f>IF($C883="B",INDEX(Batters[[#All],[T]],MATCH(Table5[[#This Row],[PID]],Batters[[#All],[PID]],0)),INDEX(Table3[[#All],[T]],MATCH(Table5[[#This Row],[PID]],Table3[[#All],[PID]],0)))</f>
        <v>L</v>
      </c>
      <c r="J883" s="52" t="str">
        <f>IF($C883="B",INDEX(Batters[[#All],[WE]],MATCH(Table5[[#This Row],[PID]],Batters[[#All],[PID]],0)),INDEX(Table3[[#All],[WE]],MATCH(Table5[[#This Row],[PID]],Table3[[#All],[PID]],0)))</f>
        <v>Normal</v>
      </c>
      <c r="K883" s="52" t="str">
        <f>IF($C883="B",INDEX(Batters[[#All],[INT]],MATCH(Table5[[#This Row],[PID]],Batters[[#All],[PID]],0)),INDEX(Table3[[#All],[INT]],MATCH(Table5[[#This Row],[PID]],Table3[[#All],[PID]],0)))</f>
        <v>Normal</v>
      </c>
      <c r="L883" s="60">
        <f>IF($C883="B",INDEX(Batters[[#All],[CON P]],MATCH(Table5[[#This Row],[PID]],Batters[[#All],[PID]],0)),INDEX(Table3[[#All],[STU P]],MATCH(Table5[[#This Row],[PID]],Table3[[#All],[PID]],0)))</f>
        <v>3</v>
      </c>
      <c r="M883" s="56">
        <f>IF($C883="B",INDEX(Batters[[#All],[GAP P]],MATCH(Table5[[#This Row],[PID]],Batters[[#All],[PID]],0)),INDEX(Table3[[#All],[MOV P]],MATCH(Table5[[#This Row],[PID]],Table3[[#All],[PID]],0)))</f>
        <v>3</v>
      </c>
      <c r="N883" s="56">
        <f>IF($C883="B",INDEX(Batters[[#All],[POW P]],MATCH(Table5[[#This Row],[PID]],Batters[[#All],[PID]],0)),INDEX(Table3[[#All],[CON P]],MATCH(Table5[[#This Row],[PID]],Table3[[#All],[PID]],0)))</f>
        <v>4</v>
      </c>
      <c r="O883" s="56">
        <f>IF($C883="B",INDEX(Batters[[#All],[EYE P]],MATCH(Table5[[#This Row],[PID]],Batters[[#All],[PID]],0)),INDEX(Table3[[#All],[VELO]],MATCH(Table5[[#This Row],[PID]],Table3[[#All],[PID]],0)))</f>
        <v>5</v>
      </c>
      <c r="P883" s="56">
        <f>IF($C883="B",INDEX(Batters[[#All],[K P]],MATCH(Table5[[#This Row],[PID]],Batters[[#All],[PID]],0)),INDEX(Table3[[#All],[STM]],MATCH(Table5[[#This Row],[PID]],Table3[[#All],[PID]],0)))</f>
        <v>3</v>
      </c>
      <c r="Q883" s="61">
        <f>IF($C883="B",INDEX(Batters[[#All],[Tot]],MATCH(Table5[[#This Row],[PID]],Batters[[#All],[PID]],0)),INDEX(Table3[[#All],[Tot]],MATCH(Table5[[#This Row],[PID]],Table3[[#All],[PID]],0)))</f>
        <v>42.245164092133152</v>
      </c>
      <c r="R883" s="52">
        <f>IF($C883="B",INDEX(Batters[[#All],[zScore]],MATCH(Table5[[#This Row],[PID]],Batters[[#All],[PID]],0)),INDEX(Table3[[#All],[zScore]],MATCH(Table5[[#This Row],[PID]],Table3[[#All],[PID]],0)))</f>
        <v>-0.41831091047996377</v>
      </c>
      <c r="S883" s="58" t="str">
        <f>IF($C883="B",INDEX(Batters[[#All],[DEM]],MATCH(Table5[[#This Row],[PID]],Batters[[#All],[PID]],0)),INDEX(Table3[[#All],[DEM]],MATCH(Table5[[#This Row],[PID]],Table3[[#All],[PID]],0)))</f>
        <v>-</v>
      </c>
      <c r="T883" s="62">
        <f>IF($C883="B",INDEX(Batters[[#All],[Rnk]],MATCH(Table5[[#This Row],[PID]],Batters[[#All],[PID]],0)),INDEX(Table3[[#All],[Rnk]],MATCH(Table5[[#This Row],[PID]],Table3[[#All],[PID]],0)))</f>
        <v>324</v>
      </c>
      <c r="U883" s="68">
        <f>IF($C883="B",VLOOKUP($A883,Bat!$A$4:$BA$1621,47,FALSE),VLOOKUP($A883,Pit!$A$4:$BF$1557,56,FALSE))</f>
        <v>0</v>
      </c>
      <c r="V883" s="50">
        <f>IF($C883="B",VLOOKUP($A883,Bat!$A$4:$BA$1621,48,FALSE),VLOOKUP($A883,Pit!$A$4:$BF$1557,57,FALSE))</f>
        <v>0</v>
      </c>
      <c r="W883" s="50">
        <f>Table5[[#This Row],[posRnk]]+Table5[[#This Row],[zRnk]]+IF($W$3&lt;&gt;Table5[[#This Row],[Type]],50,0)</f>
        <v>1176</v>
      </c>
      <c r="X883" s="51">
        <f>RANK(Table5[[#This Row],[zScore]],Table5[[#All],[zScore]])</f>
        <v>802</v>
      </c>
      <c r="Y883" s="50" t="str">
        <f>IFERROR(INDEX(DraftResults[[#All],[OVR]],MATCH(Table5[[#This Row],[PID]],DraftResults[[#All],[Player ID]],0)),"")</f>
        <v/>
      </c>
      <c r="Z8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3" s="50" t="str">
        <f>IFERROR(INDEX(DraftResults[[#All],[Pick in Round]],MATCH(Table5[[#This Row],[PID]],DraftResults[[#All],[Player ID]],0)),"")</f>
        <v/>
      </c>
      <c r="AB883" s="50" t="str">
        <f>IFERROR(INDEX(DraftResults[[#All],[Team Name]],MATCH(Table5[[#This Row],[PID]],DraftResults[[#All],[Player ID]],0)),"")</f>
        <v/>
      </c>
      <c r="AC883" s="50" t="str">
        <f>IF(Table5[[#This Row],[Ovr]]="","",IF(Table5[[#This Row],[cmbList]]="","",Table5[[#This Row],[cmbList]]-Table5[[#This Row],[Ovr]]))</f>
        <v/>
      </c>
      <c r="AD883" s="54" t="str">
        <f>IF(ISERROR(VLOOKUP($AB883&amp;"-"&amp;$E883&amp;" "&amp;F883,Bonuses!$B$1:$G$1006,4,FALSE)),"",INT(VLOOKUP($AB883&amp;"-"&amp;$E883&amp;" "&amp;$F883,Bonuses!$B$1:$G$1006,4,FALSE)))</f>
        <v/>
      </c>
      <c r="AE8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4" spans="1:31" s="50" customFormat="1" x14ac:dyDescent="0.25">
      <c r="A884" s="50">
        <v>20509</v>
      </c>
      <c r="B884" s="50">
        <f>COUNTIF(Table5[PID],A884)</f>
        <v>1</v>
      </c>
      <c r="C884" s="50" t="str">
        <f>IF(COUNTIF(Table3[[#All],[PID]],A884)&gt;0,"P","B")</f>
        <v>P</v>
      </c>
      <c r="D884" s="59" t="str">
        <f>IF($C884="B",INDEX(Batters[[#All],[POS]],MATCH(Table5[[#This Row],[PID]],Batters[[#All],[PID]],0)),INDEX(Table3[[#All],[POS]],MATCH(Table5[[#This Row],[PID]],Table3[[#All],[PID]],0)))</f>
        <v>RP</v>
      </c>
      <c r="E884" s="52" t="str">
        <f>IF($C884="B",INDEX(Batters[[#All],[First]],MATCH(Table5[[#This Row],[PID]],Batters[[#All],[PID]],0)),INDEX(Table3[[#All],[First]],MATCH(Table5[[#This Row],[PID]],Table3[[#All],[PID]],0)))</f>
        <v>Joey</v>
      </c>
      <c r="F884" s="50" t="str">
        <f>IF($C884="B",INDEX(Batters[[#All],[Last]],MATCH(A884,Batters[[#All],[PID]],0)),INDEX(Table3[[#All],[Last]],MATCH(A884,Table3[[#All],[PID]],0)))</f>
        <v>Guevarra</v>
      </c>
      <c r="G884" s="56">
        <f>IF($C884="B",INDEX(Batters[[#All],[Age]],MATCH(Table5[[#This Row],[PID]],Batters[[#All],[PID]],0)),INDEX(Table3[[#All],[Age]],MATCH(Table5[[#This Row],[PID]],Table3[[#All],[PID]],0)))</f>
        <v>17</v>
      </c>
      <c r="H884" s="52" t="str">
        <f>IF($C884="B",INDEX(Batters[[#All],[B]],MATCH(Table5[[#This Row],[PID]],Batters[[#All],[PID]],0)),INDEX(Table3[[#All],[B]],MATCH(Table5[[#This Row],[PID]],Table3[[#All],[PID]],0)))</f>
        <v>R</v>
      </c>
      <c r="I884" s="52" t="str">
        <f>IF($C884="B",INDEX(Batters[[#All],[T]],MATCH(Table5[[#This Row],[PID]],Batters[[#All],[PID]],0)),INDEX(Table3[[#All],[T]],MATCH(Table5[[#This Row],[PID]],Table3[[#All],[PID]],0)))</f>
        <v>R</v>
      </c>
      <c r="J884" s="52" t="str">
        <f>IF($C884="B",INDEX(Batters[[#All],[WE]],MATCH(Table5[[#This Row],[PID]],Batters[[#All],[PID]],0)),INDEX(Table3[[#All],[WE]],MATCH(Table5[[#This Row],[PID]],Table3[[#All],[PID]],0)))</f>
        <v>Normal</v>
      </c>
      <c r="K884" s="52" t="str">
        <f>IF($C884="B",INDEX(Batters[[#All],[INT]],MATCH(Table5[[#This Row],[PID]],Batters[[#All],[PID]],0)),INDEX(Table3[[#All],[INT]],MATCH(Table5[[#This Row],[PID]],Table3[[#All],[PID]],0)))</f>
        <v>Low</v>
      </c>
      <c r="L884" s="60">
        <f>IF($C884="B",INDEX(Batters[[#All],[CON P]],MATCH(Table5[[#This Row],[PID]],Batters[[#All],[PID]],0)),INDEX(Table3[[#All],[STU P]],MATCH(Table5[[#This Row],[PID]],Table3[[#All],[PID]],0)))</f>
        <v>5</v>
      </c>
      <c r="M884" s="56">
        <f>IF($C884="B",INDEX(Batters[[#All],[GAP P]],MATCH(Table5[[#This Row],[PID]],Batters[[#All],[PID]],0)),INDEX(Table3[[#All],[MOV P]],MATCH(Table5[[#This Row],[PID]],Table3[[#All],[PID]],0)))</f>
        <v>1</v>
      </c>
      <c r="N884" s="56">
        <f>IF($C884="B",INDEX(Batters[[#All],[POW P]],MATCH(Table5[[#This Row],[PID]],Batters[[#All],[PID]],0)),INDEX(Table3[[#All],[CON P]],MATCH(Table5[[#This Row],[PID]],Table3[[#All],[PID]],0)))</f>
        <v>2</v>
      </c>
      <c r="O884" s="56" t="str">
        <f>IF($C884="B",INDEX(Batters[[#All],[EYE P]],MATCH(Table5[[#This Row],[PID]],Batters[[#All],[PID]],0)),INDEX(Table3[[#All],[VELO]],MATCH(Table5[[#This Row],[PID]],Table3[[#All],[PID]],0)))</f>
        <v>90-92 Mph</v>
      </c>
      <c r="P884" s="56">
        <f>IF($C884="B",INDEX(Batters[[#All],[K P]],MATCH(Table5[[#This Row],[PID]],Batters[[#All],[PID]],0)),INDEX(Table3[[#All],[STM]],MATCH(Table5[[#This Row],[PID]],Table3[[#All],[PID]],0)))</f>
        <v>4</v>
      </c>
      <c r="Q884" s="61">
        <f>IF($C884="B",INDEX(Batters[[#All],[Tot]],MATCH(Table5[[#This Row],[PID]],Batters[[#All],[PID]],0)),INDEX(Table3[[#All],[Tot]],MATCH(Table5[[#This Row],[PID]],Table3[[#All],[PID]],0)))</f>
        <v>29.560540506788183</v>
      </c>
      <c r="R884" s="52">
        <f>IF($C884="B",INDEX(Batters[[#All],[zScore]],MATCH(Table5[[#This Row],[PID]],Batters[[#All],[PID]],0)),INDEX(Table3[[#All],[zScore]],MATCH(Table5[[#This Row],[PID]],Table3[[#All],[PID]],0)))</f>
        <v>-0.41979369537954003</v>
      </c>
      <c r="S884" s="58" t="str">
        <f>IF($C884="B",INDEX(Batters[[#All],[DEM]],MATCH(Table5[[#This Row],[PID]],Batters[[#All],[PID]],0)),INDEX(Table3[[#All],[DEM]],MATCH(Table5[[#This Row],[PID]],Table3[[#All],[PID]],0)))</f>
        <v>$100k</v>
      </c>
      <c r="T884" s="62">
        <f>IF($C884="B",INDEX(Batters[[#All],[Rnk]],MATCH(Table5[[#This Row],[PID]],Batters[[#All],[PID]],0)),INDEX(Table3[[#All],[Rnk]],MATCH(Table5[[#This Row],[PID]],Table3[[#All],[PID]],0)))</f>
        <v>479</v>
      </c>
      <c r="U884" s="68">
        <f>IF($C884="B",VLOOKUP($A884,Bat!$A$4:$BA$1621,47,FALSE),VLOOKUP($A884,Pit!$A$4:$BF$1557,56,FALSE))</f>
        <v>0</v>
      </c>
      <c r="V884" s="50">
        <f>IF($C884="B",VLOOKUP($A884,Bat!$A$4:$BA$1621,48,FALSE),VLOOKUP($A884,Pit!$A$4:$BF$1557,57,FALSE))</f>
        <v>0</v>
      </c>
      <c r="W884" s="50">
        <f>Table5[[#This Row],[posRnk]]+Table5[[#This Row],[zRnk]]+IF($W$3&lt;&gt;Table5[[#This Row],[Type]],50,0)</f>
        <v>1332</v>
      </c>
      <c r="X884" s="51">
        <f>RANK(Table5[[#This Row],[zScore]],Table5[[#All],[zScore]])</f>
        <v>803</v>
      </c>
      <c r="Y884" s="50" t="str">
        <f>IFERROR(INDEX(DraftResults[[#All],[OVR]],MATCH(Table5[[#This Row],[PID]],DraftResults[[#All],[Player ID]],0)),"")</f>
        <v/>
      </c>
      <c r="Z8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4" s="50" t="str">
        <f>IFERROR(INDEX(DraftResults[[#All],[Pick in Round]],MATCH(Table5[[#This Row],[PID]],DraftResults[[#All],[Player ID]],0)),"")</f>
        <v/>
      </c>
      <c r="AB884" s="50" t="str">
        <f>IFERROR(INDEX(DraftResults[[#All],[Team Name]],MATCH(Table5[[#This Row],[PID]],DraftResults[[#All],[Player ID]],0)),"")</f>
        <v/>
      </c>
      <c r="AC884" s="50" t="str">
        <f>IF(Table5[[#This Row],[Ovr]]="","",IF(Table5[[#This Row],[cmbList]]="","",Table5[[#This Row],[cmbList]]-Table5[[#This Row],[Ovr]]))</f>
        <v/>
      </c>
      <c r="AD884" s="54" t="str">
        <f>IF(ISERROR(VLOOKUP($AB884&amp;"-"&amp;$E884&amp;" "&amp;F884,Bonuses!$B$1:$G$1006,4,FALSE)),"",INT(VLOOKUP($AB884&amp;"-"&amp;$E884&amp;" "&amp;$F884,Bonuses!$B$1:$G$1006,4,FALSE)))</f>
        <v/>
      </c>
      <c r="AE8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5" spans="1:31" s="50" customFormat="1" x14ac:dyDescent="0.25">
      <c r="A885" s="50">
        <v>15686</v>
      </c>
      <c r="B885" s="50">
        <f>COUNTIF(Table5[PID],A885)</f>
        <v>1</v>
      </c>
      <c r="C885" s="50" t="str">
        <f>IF(COUNTIF(Table3[[#All],[PID]],A885)&gt;0,"P","B")</f>
        <v>P</v>
      </c>
      <c r="D885" s="59" t="str">
        <f>IF($C885="B",INDEX(Batters[[#All],[POS]],MATCH(Table5[[#This Row],[PID]],Batters[[#All],[PID]],0)),INDEX(Table3[[#All],[POS]],MATCH(Table5[[#This Row],[PID]],Table3[[#All],[PID]],0)))</f>
        <v>RP</v>
      </c>
      <c r="E885" s="52" t="str">
        <f>IF($C885="B",INDEX(Batters[[#All],[First]],MATCH(Table5[[#This Row],[PID]],Batters[[#All],[PID]],0)),INDEX(Table3[[#All],[First]],MATCH(Table5[[#This Row],[PID]],Table3[[#All],[PID]],0)))</f>
        <v>Daniel</v>
      </c>
      <c r="F885" s="50" t="str">
        <f>IF($C885="B",INDEX(Batters[[#All],[Last]],MATCH(A885,Batters[[#All],[PID]],0)),INDEX(Table3[[#All],[Last]],MATCH(A885,Table3[[#All],[PID]],0)))</f>
        <v>Watt</v>
      </c>
      <c r="G885" s="56">
        <f>IF($C885="B",INDEX(Batters[[#All],[Age]],MATCH(Table5[[#This Row],[PID]],Batters[[#All],[PID]],0)),INDEX(Table3[[#All],[Age]],MATCH(Table5[[#This Row],[PID]],Table3[[#All],[PID]],0)))</f>
        <v>22</v>
      </c>
      <c r="H885" s="52" t="str">
        <f>IF($C885="B",INDEX(Batters[[#All],[B]],MATCH(Table5[[#This Row],[PID]],Batters[[#All],[PID]],0)),INDEX(Table3[[#All],[B]],MATCH(Table5[[#This Row],[PID]],Table3[[#All],[PID]],0)))</f>
        <v>R</v>
      </c>
      <c r="I885" s="52" t="str">
        <f>IF($C885="B",INDEX(Batters[[#All],[T]],MATCH(Table5[[#This Row],[PID]],Batters[[#All],[PID]],0)),INDEX(Table3[[#All],[T]],MATCH(Table5[[#This Row],[PID]],Table3[[#All],[PID]],0)))</f>
        <v>R</v>
      </c>
      <c r="J885" s="52" t="str">
        <f>IF($C885="B",INDEX(Batters[[#All],[WE]],MATCH(Table5[[#This Row],[PID]],Batters[[#All],[PID]],0)),INDEX(Table3[[#All],[WE]],MATCH(Table5[[#This Row],[PID]],Table3[[#All],[PID]],0)))</f>
        <v>Low</v>
      </c>
      <c r="K885" s="52" t="str">
        <f>IF($C885="B",INDEX(Batters[[#All],[INT]],MATCH(Table5[[#This Row],[PID]],Batters[[#All],[PID]],0)),INDEX(Table3[[#All],[INT]],MATCH(Table5[[#This Row],[PID]],Table3[[#All],[PID]],0)))</f>
        <v>Normal</v>
      </c>
      <c r="L885" s="60">
        <f>IF($C885="B",INDEX(Batters[[#All],[CON P]],MATCH(Table5[[#This Row],[PID]],Batters[[#All],[PID]],0)),INDEX(Table3[[#All],[STU P]],MATCH(Table5[[#This Row],[PID]],Table3[[#All],[PID]],0)))</f>
        <v>4</v>
      </c>
      <c r="M885" s="56">
        <f>IF($C885="B",INDEX(Batters[[#All],[GAP P]],MATCH(Table5[[#This Row],[PID]],Batters[[#All],[PID]],0)),INDEX(Table3[[#All],[MOV P]],MATCH(Table5[[#This Row],[PID]],Table3[[#All],[PID]],0)))</f>
        <v>2</v>
      </c>
      <c r="N885" s="56">
        <f>IF($C885="B",INDEX(Batters[[#All],[POW P]],MATCH(Table5[[#This Row],[PID]],Batters[[#All],[PID]],0)),INDEX(Table3[[#All],[CON P]],MATCH(Table5[[#This Row],[PID]],Table3[[#All],[PID]],0)))</f>
        <v>3</v>
      </c>
      <c r="O885" s="56" t="str">
        <f>IF($C885="B",INDEX(Batters[[#All],[EYE P]],MATCH(Table5[[#This Row],[PID]],Batters[[#All],[PID]],0)),INDEX(Table3[[#All],[VELO]],MATCH(Table5[[#This Row],[PID]],Table3[[#All],[PID]],0)))</f>
        <v>86-88 Mph</v>
      </c>
      <c r="P885" s="56">
        <f>IF($C885="B",INDEX(Batters[[#All],[K P]],MATCH(Table5[[#This Row],[PID]],Batters[[#All],[PID]],0)),INDEX(Table3[[#All],[STM]],MATCH(Table5[[#This Row],[PID]],Table3[[#All],[PID]],0)))</f>
        <v>6</v>
      </c>
      <c r="Q885" s="61">
        <f>IF($C885="B",INDEX(Batters[[#All],[Tot]],MATCH(Table5[[#This Row],[PID]],Batters[[#All],[PID]],0)),INDEX(Table3[[#All],[Tot]],MATCH(Table5[[#This Row],[PID]],Table3[[#All],[PID]],0)))</f>
        <v>30.9531373509354</v>
      </c>
      <c r="R885" s="52">
        <f>IF($C885="B",INDEX(Batters[[#All],[zScore]],MATCH(Table5[[#This Row],[PID]],Batters[[#All],[PID]],0)),INDEX(Table3[[#All],[zScore]],MATCH(Table5[[#This Row],[PID]],Table3[[#All],[PID]],0)))</f>
        <v>-0.42160830464891647</v>
      </c>
      <c r="S885" s="58" t="str">
        <f>IF($C885="B",INDEX(Batters[[#All],[DEM]],MATCH(Table5[[#This Row],[PID]],Batters[[#All],[PID]],0)),INDEX(Table3[[#All],[DEM]],MATCH(Table5[[#This Row],[PID]],Table3[[#All],[PID]],0)))</f>
        <v>-</v>
      </c>
      <c r="T885" s="62">
        <f>IF($C885="B",INDEX(Batters[[#All],[Rnk]],MATCH(Table5[[#This Row],[PID]],Batters[[#All],[PID]],0)),INDEX(Table3[[#All],[Rnk]],MATCH(Table5[[#This Row],[PID]],Table3[[#All],[PID]],0)))</f>
        <v>480</v>
      </c>
      <c r="U885" s="68">
        <f>IF($C885="B",VLOOKUP($A885,Bat!$A$4:$BA$1621,47,FALSE),VLOOKUP($A885,Pit!$A$4:$BF$1557,56,FALSE))</f>
        <v>0</v>
      </c>
      <c r="V885" s="50">
        <f>IF($C885="B",VLOOKUP($A885,Bat!$A$4:$BA$1621,48,FALSE),VLOOKUP($A885,Pit!$A$4:$BF$1557,57,FALSE))</f>
        <v>0</v>
      </c>
      <c r="W885" s="50">
        <f>Table5[[#This Row],[posRnk]]+Table5[[#This Row],[zRnk]]+IF($W$3&lt;&gt;Table5[[#This Row],[Type]],50,0)</f>
        <v>1334</v>
      </c>
      <c r="X885" s="51">
        <f>RANK(Table5[[#This Row],[zScore]],Table5[[#All],[zScore]])</f>
        <v>804</v>
      </c>
      <c r="Y885" s="50" t="str">
        <f>IFERROR(INDEX(DraftResults[[#All],[OVR]],MATCH(Table5[[#This Row],[PID]],DraftResults[[#All],[Player ID]],0)),"")</f>
        <v/>
      </c>
      <c r="Z8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5" s="50" t="str">
        <f>IFERROR(INDEX(DraftResults[[#All],[Pick in Round]],MATCH(Table5[[#This Row],[PID]],DraftResults[[#All],[Player ID]],0)),"")</f>
        <v/>
      </c>
      <c r="AB885" s="50" t="str">
        <f>IFERROR(INDEX(DraftResults[[#All],[Team Name]],MATCH(Table5[[#This Row],[PID]],DraftResults[[#All],[Player ID]],0)),"")</f>
        <v/>
      </c>
      <c r="AC885" s="50" t="str">
        <f>IF(Table5[[#This Row],[Ovr]]="","",IF(Table5[[#This Row],[cmbList]]="","",Table5[[#This Row],[cmbList]]-Table5[[#This Row],[Ovr]]))</f>
        <v/>
      </c>
      <c r="AD885" s="54" t="str">
        <f>IF(ISERROR(VLOOKUP($AB885&amp;"-"&amp;$E885&amp;" "&amp;F885,Bonuses!$B$1:$G$1006,4,FALSE)),"",INT(VLOOKUP($AB885&amp;"-"&amp;$E885&amp;" "&amp;$F885,Bonuses!$B$1:$G$1006,4,FALSE)))</f>
        <v/>
      </c>
      <c r="AE8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6" spans="1:31" s="50" customFormat="1" x14ac:dyDescent="0.25">
      <c r="A886" s="50">
        <v>17610</v>
      </c>
      <c r="B886" s="50">
        <f>COUNTIF(Table5[PID],A886)</f>
        <v>1</v>
      </c>
      <c r="C886" s="50" t="str">
        <f>IF(COUNTIF(Table3[[#All],[PID]],A886)&gt;0,"P","B")</f>
        <v>P</v>
      </c>
      <c r="D886" s="59" t="str">
        <f>IF($C886="B",INDEX(Batters[[#All],[POS]],MATCH(Table5[[#This Row],[PID]],Batters[[#All],[PID]],0)),INDEX(Table3[[#All],[POS]],MATCH(Table5[[#This Row],[PID]],Table3[[#All],[PID]],0)))</f>
        <v>RP</v>
      </c>
      <c r="E886" s="52" t="str">
        <f>IF($C886="B",INDEX(Batters[[#All],[First]],MATCH(Table5[[#This Row],[PID]],Batters[[#All],[PID]],0)),INDEX(Table3[[#All],[First]],MATCH(Table5[[#This Row],[PID]],Table3[[#All],[PID]],0)))</f>
        <v>Eduardo</v>
      </c>
      <c r="F886" s="50" t="str">
        <f>IF($C886="B",INDEX(Batters[[#All],[Last]],MATCH(A886,Batters[[#All],[PID]],0)),INDEX(Table3[[#All],[Last]],MATCH(A886,Table3[[#All],[PID]],0)))</f>
        <v>Morín</v>
      </c>
      <c r="G886" s="56">
        <f>IF($C886="B",INDEX(Batters[[#All],[Age]],MATCH(Table5[[#This Row],[PID]],Batters[[#All],[PID]],0)),INDEX(Table3[[#All],[Age]],MATCH(Table5[[#This Row],[PID]],Table3[[#All],[PID]],0)))</f>
        <v>18</v>
      </c>
      <c r="H886" s="52" t="str">
        <f>IF($C886="B",INDEX(Batters[[#All],[B]],MATCH(Table5[[#This Row],[PID]],Batters[[#All],[PID]],0)),INDEX(Table3[[#All],[B]],MATCH(Table5[[#This Row],[PID]],Table3[[#All],[PID]],0)))</f>
        <v>R</v>
      </c>
      <c r="I886" s="52" t="str">
        <f>IF($C886="B",INDEX(Batters[[#All],[T]],MATCH(Table5[[#This Row],[PID]],Batters[[#All],[PID]],0)),INDEX(Table3[[#All],[T]],MATCH(Table5[[#This Row],[PID]],Table3[[#All],[PID]],0)))</f>
        <v>R</v>
      </c>
      <c r="J886" s="52" t="str">
        <f>IF($C886="B",INDEX(Batters[[#All],[WE]],MATCH(Table5[[#This Row],[PID]],Batters[[#All],[PID]],0)),INDEX(Table3[[#All],[WE]],MATCH(Table5[[#This Row],[PID]],Table3[[#All],[PID]],0)))</f>
        <v>Low</v>
      </c>
      <c r="K886" s="52" t="str">
        <f>IF($C886="B",INDEX(Batters[[#All],[INT]],MATCH(Table5[[#This Row],[PID]],Batters[[#All],[PID]],0)),INDEX(Table3[[#All],[INT]],MATCH(Table5[[#This Row],[PID]],Table3[[#All],[PID]],0)))</f>
        <v>Normal</v>
      </c>
      <c r="L886" s="60">
        <f>IF($C886="B",INDEX(Batters[[#All],[CON P]],MATCH(Table5[[#This Row],[PID]],Batters[[#All],[PID]],0)),INDEX(Table3[[#All],[STU P]],MATCH(Table5[[#This Row],[PID]],Table3[[#All],[PID]],0)))</f>
        <v>4</v>
      </c>
      <c r="M886" s="56">
        <f>IF($C886="B",INDEX(Batters[[#All],[GAP P]],MATCH(Table5[[#This Row],[PID]],Batters[[#All],[PID]],0)),INDEX(Table3[[#All],[MOV P]],MATCH(Table5[[#This Row],[PID]],Table3[[#All],[PID]],0)))</f>
        <v>1</v>
      </c>
      <c r="N886" s="56">
        <f>IF($C886="B",INDEX(Batters[[#All],[POW P]],MATCH(Table5[[#This Row],[PID]],Batters[[#All],[PID]],0)),INDEX(Table3[[#All],[CON P]],MATCH(Table5[[#This Row],[PID]],Table3[[#All],[PID]],0)))</f>
        <v>3</v>
      </c>
      <c r="O886" s="56" t="str">
        <f>IF($C886="B",INDEX(Batters[[#All],[EYE P]],MATCH(Table5[[#This Row],[PID]],Batters[[#All],[PID]],0)),INDEX(Table3[[#All],[VELO]],MATCH(Table5[[#This Row],[PID]],Table3[[#All],[PID]],0)))</f>
        <v>90-92 Mph</v>
      </c>
      <c r="P886" s="56">
        <f>IF($C886="B",INDEX(Batters[[#All],[K P]],MATCH(Table5[[#This Row],[PID]],Batters[[#All],[PID]],0)),INDEX(Table3[[#All],[STM]],MATCH(Table5[[#This Row],[PID]],Table3[[#All],[PID]],0)))</f>
        <v>6</v>
      </c>
      <c r="Q886" s="61">
        <f>IF($C886="B",INDEX(Batters[[#All],[Tot]],MATCH(Table5[[#This Row],[PID]],Batters[[#All],[PID]],0)),INDEX(Table3[[#All],[Tot]],MATCH(Table5[[#This Row],[PID]],Table3[[#All],[PID]],0)))</f>
        <v>29.521824940777293</v>
      </c>
      <c r="R886" s="52">
        <f>IF($C886="B",INDEX(Batters[[#All],[zScore]],MATCH(Table5[[#This Row],[PID]],Batters[[#All],[PID]],0)),INDEX(Table3[[#All],[zScore]],MATCH(Table5[[#This Row],[PID]],Table3[[#All],[PID]],0)))</f>
        <v>-0.42236938282464576</v>
      </c>
      <c r="S886" s="58" t="str">
        <f>IF($C886="B",INDEX(Batters[[#All],[DEM]],MATCH(Table5[[#This Row],[PID]],Batters[[#All],[PID]],0)),INDEX(Table3[[#All],[DEM]],MATCH(Table5[[#This Row],[PID]],Table3[[#All],[PID]],0)))</f>
        <v>$70k</v>
      </c>
      <c r="T886" s="62">
        <f>IF($C886="B",INDEX(Batters[[#All],[Rnk]],MATCH(Table5[[#This Row],[PID]],Batters[[#All],[PID]],0)),INDEX(Table3[[#All],[Rnk]],MATCH(Table5[[#This Row],[PID]],Table3[[#All],[PID]],0)))</f>
        <v>481</v>
      </c>
      <c r="U886" s="68">
        <f>IF($C886="B",VLOOKUP($A886,Bat!$A$4:$BA$1621,47,FALSE),VLOOKUP($A886,Pit!$A$4:$BF$1557,56,FALSE))</f>
        <v>0</v>
      </c>
      <c r="V886" s="50">
        <f>IF($C886="B",VLOOKUP($A886,Bat!$A$4:$BA$1621,48,FALSE),VLOOKUP($A886,Pit!$A$4:$BF$1557,57,FALSE))</f>
        <v>0</v>
      </c>
      <c r="W886" s="50">
        <f>Table5[[#This Row],[posRnk]]+Table5[[#This Row],[zRnk]]+IF($W$3&lt;&gt;Table5[[#This Row],[Type]],50,0)</f>
        <v>1336</v>
      </c>
      <c r="X886" s="51">
        <f>RANK(Table5[[#This Row],[zScore]],Table5[[#All],[zScore]])</f>
        <v>805</v>
      </c>
      <c r="Y886" s="50" t="str">
        <f>IFERROR(INDEX(DraftResults[[#All],[OVR]],MATCH(Table5[[#This Row],[PID]],DraftResults[[#All],[Player ID]],0)),"")</f>
        <v/>
      </c>
      <c r="Z8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6" s="50" t="str">
        <f>IFERROR(INDEX(DraftResults[[#All],[Pick in Round]],MATCH(Table5[[#This Row],[PID]],DraftResults[[#All],[Player ID]],0)),"")</f>
        <v/>
      </c>
      <c r="AB886" s="50" t="str">
        <f>IFERROR(INDEX(DraftResults[[#All],[Team Name]],MATCH(Table5[[#This Row],[PID]],DraftResults[[#All],[Player ID]],0)),"")</f>
        <v/>
      </c>
      <c r="AC886" s="50" t="str">
        <f>IF(Table5[[#This Row],[Ovr]]="","",IF(Table5[[#This Row],[cmbList]]="","",Table5[[#This Row],[cmbList]]-Table5[[#This Row],[Ovr]]))</f>
        <v/>
      </c>
      <c r="AD886" s="54" t="str">
        <f>IF(ISERROR(VLOOKUP($AB886&amp;"-"&amp;$E886&amp;" "&amp;F886,Bonuses!$B$1:$G$1006,4,FALSE)),"",INT(VLOOKUP($AB886&amp;"-"&amp;$E886&amp;" "&amp;$F886,Bonuses!$B$1:$G$1006,4,FALSE)))</f>
        <v/>
      </c>
      <c r="AE8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7" spans="1:31" s="50" customFormat="1" x14ac:dyDescent="0.25">
      <c r="A887" s="50">
        <v>17594</v>
      </c>
      <c r="B887" s="50">
        <f>COUNTIF(Table5[PID],A887)</f>
        <v>1</v>
      </c>
      <c r="C887" s="50" t="str">
        <f>IF(COUNTIF(Table3[[#All],[PID]],A887)&gt;0,"P","B")</f>
        <v>P</v>
      </c>
      <c r="D887" s="59" t="str">
        <f>IF($C887="B",INDEX(Batters[[#All],[POS]],MATCH(Table5[[#This Row],[PID]],Batters[[#All],[PID]],0)),INDEX(Table3[[#All],[POS]],MATCH(Table5[[#This Row],[PID]],Table3[[#All],[PID]],0)))</f>
        <v>RP</v>
      </c>
      <c r="E887" s="52" t="str">
        <f>IF($C887="B",INDEX(Batters[[#All],[First]],MATCH(Table5[[#This Row],[PID]],Batters[[#All],[PID]],0)),INDEX(Table3[[#All],[First]],MATCH(Table5[[#This Row],[PID]],Table3[[#All],[PID]],0)))</f>
        <v>Adam</v>
      </c>
      <c r="F887" s="50" t="str">
        <f>IF($C887="B",INDEX(Batters[[#All],[Last]],MATCH(A887,Batters[[#All],[PID]],0)),INDEX(Table3[[#All],[Last]],MATCH(A887,Table3[[#All],[PID]],0)))</f>
        <v>Wolfe</v>
      </c>
      <c r="G887" s="56">
        <f>IF($C887="B",INDEX(Batters[[#All],[Age]],MATCH(Table5[[#This Row],[PID]],Batters[[#All],[PID]],0)),INDEX(Table3[[#All],[Age]],MATCH(Table5[[#This Row],[PID]],Table3[[#All],[PID]],0)))</f>
        <v>18</v>
      </c>
      <c r="H887" s="52" t="str">
        <f>IF($C887="B",INDEX(Batters[[#All],[B]],MATCH(Table5[[#This Row],[PID]],Batters[[#All],[PID]],0)),INDEX(Table3[[#All],[B]],MATCH(Table5[[#This Row],[PID]],Table3[[#All],[PID]],0)))</f>
        <v>L</v>
      </c>
      <c r="I887" s="52" t="str">
        <f>IF($C887="B",INDEX(Batters[[#All],[T]],MATCH(Table5[[#This Row],[PID]],Batters[[#All],[PID]],0)),INDEX(Table3[[#All],[T]],MATCH(Table5[[#This Row],[PID]],Table3[[#All],[PID]],0)))</f>
        <v>L</v>
      </c>
      <c r="J887" s="52" t="str">
        <f>IF($C887="B",INDEX(Batters[[#All],[WE]],MATCH(Table5[[#This Row],[PID]],Batters[[#All],[PID]],0)),INDEX(Table3[[#All],[WE]],MATCH(Table5[[#This Row],[PID]],Table3[[#All],[PID]],0)))</f>
        <v>Low</v>
      </c>
      <c r="K887" s="52" t="str">
        <f>IF($C887="B",INDEX(Batters[[#All],[INT]],MATCH(Table5[[#This Row],[PID]],Batters[[#All],[PID]],0)),INDEX(Table3[[#All],[INT]],MATCH(Table5[[#This Row],[PID]],Table3[[#All],[PID]],0)))</f>
        <v>Normal</v>
      </c>
      <c r="L887" s="60">
        <f>IF($C887="B",INDEX(Batters[[#All],[CON P]],MATCH(Table5[[#This Row],[PID]],Batters[[#All],[PID]],0)),INDEX(Table3[[#All],[STU P]],MATCH(Table5[[#This Row],[PID]],Table3[[#All],[PID]],0)))</f>
        <v>4</v>
      </c>
      <c r="M887" s="56">
        <f>IF($C887="B",INDEX(Batters[[#All],[GAP P]],MATCH(Table5[[#This Row],[PID]],Batters[[#All],[PID]],0)),INDEX(Table3[[#All],[MOV P]],MATCH(Table5[[#This Row],[PID]],Table3[[#All],[PID]],0)))</f>
        <v>2</v>
      </c>
      <c r="N887" s="56">
        <f>IF($C887="B",INDEX(Batters[[#All],[POW P]],MATCH(Table5[[#This Row],[PID]],Batters[[#All],[PID]],0)),INDEX(Table3[[#All],[CON P]],MATCH(Table5[[#This Row],[PID]],Table3[[#All],[PID]],0)))</f>
        <v>2</v>
      </c>
      <c r="O887" s="56" t="str">
        <f>IF($C887="B",INDEX(Batters[[#All],[EYE P]],MATCH(Table5[[#This Row],[PID]],Batters[[#All],[PID]],0)),INDEX(Table3[[#All],[VELO]],MATCH(Table5[[#This Row],[PID]],Table3[[#All],[PID]],0)))</f>
        <v>85-87 Mph</v>
      </c>
      <c r="P887" s="56">
        <f>IF($C887="B",INDEX(Batters[[#All],[K P]],MATCH(Table5[[#This Row],[PID]],Batters[[#All],[PID]],0)),INDEX(Table3[[#All],[STM]],MATCH(Table5[[#This Row],[PID]],Table3[[#All],[PID]],0)))</f>
        <v>5</v>
      </c>
      <c r="Q887" s="61">
        <f>IF($C887="B",INDEX(Batters[[#All],[Tot]],MATCH(Table5[[#This Row],[PID]],Batters[[#All],[PID]],0)),INDEX(Table3[[#All],[Tot]],MATCH(Table5[[#This Row],[PID]],Table3[[#All],[PID]],0)))</f>
        <v>30.920067412056163</v>
      </c>
      <c r="R887" s="52">
        <f>IF($C887="B",INDEX(Batters[[#All],[zScore]],MATCH(Table5[[#This Row],[PID]],Batters[[#All],[PID]],0)),INDEX(Table3[[#All],[zScore]],MATCH(Table5[[#This Row],[PID]],Table3[[#All],[PID]],0)))</f>
        <v>-0.42400132695805209</v>
      </c>
      <c r="S887" s="58" t="str">
        <f>IF($C887="B",INDEX(Batters[[#All],[DEM]],MATCH(Table5[[#This Row],[PID]],Batters[[#All],[PID]],0)),INDEX(Table3[[#All],[DEM]],MATCH(Table5[[#This Row],[PID]],Table3[[#All],[PID]],0)))</f>
        <v>$65k</v>
      </c>
      <c r="T887" s="62">
        <f>IF($C887="B",INDEX(Batters[[#All],[Rnk]],MATCH(Table5[[#This Row],[PID]],Batters[[#All],[PID]],0)),INDEX(Table3[[#All],[Rnk]],MATCH(Table5[[#This Row],[PID]],Table3[[#All],[PID]],0)))</f>
        <v>482</v>
      </c>
      <c r="U887" s="68">
        <f>IF($C887="B",VLOOKUP($A887,Bat!$A$4:$BA$1621,47,FALSE),VLOOKUP($A887,Pit!$A$4:$BF$1557,56,FALSE))</f>
        <v>0</v>
      </c>
      <c r="V887" s="50">
        <f>IF($C887="B",VLOOKUP($A887,Bat!$A$4:$BA$1621,48,FALSE),VLOOKUP($A887,Pit!$A$4:$BF$1557,57,FALSE))</f>
        <v>0</v>
      </c>
      <c r="W887" s="50">
        <f>Table5[[#This Row],[posRnk]]+Table5[[#This Row],[zRnk]]+IF($W$3&lt;&gt;Table5[[#This Row],[Type]],50,0)</f>
        <v>1338</v>
      </c>
      <c r="X887" s="51">
        <f>RANK(Table5[[#This Row],[zScore]],Table5[[#All],[zScore]])</f>
        <v>806</v>
      </c>
      <c r="Y887" s="50" t="str">
        <f>IFERROR(INDEX(DraftResults[[#All],[OVR]],MATCH(Table5[[#This Row],[PID]],DraftResults[[#All],[Player ID]],0)),"")</f>
        <v/>
      </c>
      <c r="Z8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7" s="50" t="str">
        <f>IFERROR(INDEX(DraftResults[[#All],[Pick in Round]],MATCH(Table5[[#This Row],[PID]],DraftResults[[#All],[Player ID]],0)),"")</f>
        <v/>
      </c>
      <c r="AB887" s="50" t="str">
        <f>IFERROR(INDEX(DraftResults[[#All],[Team Name]],MATCH(Table5[[#This Row],[PID]],DraftResults[[#All],[Player ID]],0)),"")</f>
        <v/>
      </c>
      <c r="AC887" s="50" t="str">
        <f>IF(Table5[[#This Row],[Ovr]]="","",IF(Table5[[#This Row],[cmbList]]="","",Table5[[#This Row],[cmbList]]-Table5[[#This Row],[Ovr]]))</f>
        <v/>
      </c>
      <c r="AD887" s="54" t="str">
        <f>IF(ISERROR(VLOOKUP($AB887&amp;"-"&amp;$E887&amp;" "&amp;F887,Bonuses!$B$1:$G$1006,4,FALSE)),"",INT(VLOOKUP($AB887&amp;"-"&amp;$E887&amp;" "&amp;$F887,Bonuses!$B$1:$G$1006,4,FALSE)))</f>
        <v/>
      </c>
      <c r="AE8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8" spans="1:31" s="50" customFormat="1" x14ac:dyDescent="0.25">
      <c r="A888" s="68">
        <v>20729</v>
      </c>
      <c r="B888" s="69">
        <f>COUNTIF(Table5[PID],A888)</f>
        <v>1</v>
      </c>
      <c r="C888" s="69" t="str">
        <f>IF(COUNTIF(Table3[[#All],[PID]],A888)&gt;0,"P","B")</f>
        <v>P</v>
      </c>
      <c r="D888" s="59" t="str">
        <f>IF($C888="B",INDEX(Batters[[#All],[POS]],MATCH(Table5[[#This Row],[PID]],Batters[[#All],[PID]],0)),INDEX(Table3[[#All],[POS]],MATCH(Table5[[#This Row],[PID]],Table3[[#All],[PID]],0)))</f>
        <v>SP</v>
      </c>
      <c r="E888" s="52" t="str">
        <f>IF($C888="B",INDEX(Batters[[#All],[First]],MATCH(Table5[[#This Row],[PID]],Batters[[#All],[PID]],0)),INDEX(Table3[[#All],[First]],MATCH(Table5[[#This Row],[PID]],Table3[[#All],[PID]],0)))</f>
        <v>Randy</v>
      </c>
      <c r="F888" s="55" t="str">
        <f>IF($C888="B",INDEX(Batters[[#All],[Last]],MATCH(A888,Batters[[#All],[PID]],0)),INDEX(Table3[[#All],[Last]],MATCH(A888,Table3[[#All],[PID]],0)))</f>
        <v>Ramsey</v>
      </c>
      <c r="G888" s="56">
        <f>IF($C888="B",INDEX(Batters[[#All],[Age]],MATCH(Table5[[#This Row],[PID]],Batters[[#All],[PID]],0)),INDEX(Table3[[#All],[Age]],MATCH(Table5[[#This Row],[PID]],Table3[[#All],[PID]],0)))</f>
        <v>18</v>
      </c>
      <c r="H888" s="52" t="str">
        <f>IF($C888="B",INDEX(Batters[[#All],[B]],MATCH(Table5[[#This Row],[PID]],Batters[[#All],[PID]],0)),INDEX(Table3[[#All],[B]],MATCH(Table5[[#This Row],[PID]],Table3[[#All],[PID]],0)))</f>
        <v>R</v>
      </c>
      <c r="I888" s="52" t="str">
        <f>IF($C888="B",INDEX(Batters[[#All],[T]],MATCH(Table5[[#This Row],[PID]],Batters[[#All],[PID]],0)),INDEX(Table3[[#All],[T]],MATCH(Table5[[#This Row],[PID]],Table3[[#All],[PID]],0)))</f>
        <v>R</v>
      </c>
      <c r="J888" s="71" t="str">
        <f>IF($C888="B",INDEX(Batters[[#All],[WE]],MATCH(Table5[[#This Row],[PID]],Batters[[#All],[PID]],0)),INDEX(Table3[[#All],[WE]],MATCH(Table5[[#This Row],[PID]],Table3[[#All],[PID]],0)))</f>
        <v>High</v>
      </c>
      <c r="K888" s="52" t="str">
        <f>IF($C888="B",INDEX(Batters[[#All],[INT]],MATCH(Table5[[#This Row],[PID]],Batters[[#All],[PID]],0)),INDEX(Table3[[#All],[INT]],MATCH(Table5[[#This Row],[PID]],Table3[[#All],[PID]],0)))</f>
        <v>Normal</v>
      </c>
      <c r="L888" s="60">
        <f>IF($C888="B",INDEX(Batters[[#All],[CON P]],MATCH(Table5[[#This Row],[PID]],Batters[[#All],[PID]],0)),INDEX(Table3[[#All],[STU P]],MATCH(Table5[[#This Row],[PID]],Table3[[#All],[PID]],0)))</f>
        <v>4</v>
      </c>
      <c r="M888" s="72">
        <f>IF($C888="B",INDEX(Batters[[#All],[GAP P]],MATCH(Table5[[#This Row],[PID]],Batters[[#All],[PID]],0)),INDEX(Table3[[#All],[MOV P]],MATCH(Table5[[#This Row],[PID]],Table3[[#All],[PID]],0)))</f>
        <v>2</v>
      </c>
      <c r="N888" s="72">
        <f>IF($C888="B",INDEX(Batters[[#All],[POW P]],MATCH(Table5[[#This Row],[PID]],Batters[[#All],[PID]],0)),INDEX(Table3[[#All],[CON P]],MATCH(Table5[[#This Row],[PID]],Table3[[#All],[PID]],0)))</f>
        <v>2</v>
      </c>
      <c r="O888" s="72" t="str">
        <f>IF($C888="B",INDEX(Batters[[#All],[EYE P]],MATCH(Table5[[#This Row],[PID]],Batters[[#All],[PID]],0)),INDEX(Table3[[#All],[VELO]],MATCH(Table5[[#This Row],[PID]],Table3[[#All],[PID]],0)))</f>
        <v>87-89 Mph</v>
      </c>
      <c r="P888" s="56">
        <f>IF($C888="B",INDEX(Batters[[#All],[K P]],MATCH(Table5[[#This Row],[PID]],Batters[[#All],[PID]],0)),INDEX(Table3[[#All],[STM]],MATCH(Table5[[#This Row],[PID]],Table3[[#All],[PID]],0)))</f>
        <v>6</v>
      </c>
      <c r="Q888" s="61">
        <f>IF($C888="B",INDEX(Batters[[#All],[Tot]],MATCH(Table5[[#This Row],[PID]],Batters[[#All],[PID]],0)),INDEX(Table3[[#All],[Tot]],MATCH(Table5[[#This Row],[PID]],Table3[[#All],[PID]],0)))</f>
        <v>31.60702756482894</v>
      </c>
      <c r="R888" s="52">
        <f>IF($C888="B",INDEX(Batters[[#All],[zScore]],MATCH(Table5[[#This Row],[PID]],Batters[[#All],[PID]],0)),INDEX(Table3[[#All],[zScore]],MATCH(Table5[[#This Row],[PID]],Table3[[#All],[PID]],0)))</f>
        <v>-0.42447546402924746</v>
      </c>
      <c r="S888" s="78" t="str">
        <f>IF($C888="B",INDEX(Batters[[#All],[DEM]],MATCH(Table5[[#This Row],[PID]],Batters[[#All],[PID]],0)),INDEX(Table3[[#All],[DEM]],MATCH(Table5[[#This Row],[PID]],Table3[[#All],[PID]],0)))</f>
        <v>$65k</v>
      </c>
      <c r="T888" s="75">
        <f>IF($C888="B",INDEX(Batters[[#All],[Rnk]],MATCH(Table5[[#This Row],[PID]],Batters[[#All],[PID]],0)),INDEX(Table3[[#All],[Rnk]],MATCH(Table5[[#This Row],[PID]],Table3[[#All],[PID]],0)))</f>
        <v>483</v>
      </c>
      <c r="U888" s="68">
        <f>IF($C888="B",VLOOKUP($A888,Bat!$A$4:$BA$1621,47,FALSE),VLOOKUP($A888,Pit!$A$4:$BF$1557,56,FALSE))</f>
        <v>0</v>
      </c>
      <c r="V888" s="50">
        <f>IF($C888="B",VLOOKUP($A888,Bat!$A$4:$BA$1621,48,FALSE),VLOOKUP($A888,Pit!$A$4:$BF$1557,57,FALSE))</f>
        <v>0</v>
      </c>
      <c r="W888" s="69">
        <f>Table5[[#This Row],[posRnk]]+Table5[[#This Row],[zRnk]]+IF($W$3&lt;&gt;Table5[[#This Row],[Type]],50,0)</f>
        <v>1340</v>
      </c>
      <c r="X888" s="73">
        <f>RANK(Table5[[#This Row],[zScore]],Table5[[#All],[zScore]])</f>
        <v>807</v>
      </c>
      <c r="Y888" s="69" t="str">
        <f>IFERROR(INDEX(DraftResults[[#All],[OVR]],MATCH(Table5[[#This Row],[PID]],DraftResults[[#All],[Player ID]],0)),"")</f>
        <v/>
      </c>
      <c r="Z88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8" s="69" t="str">
        <f>IFERROR(INDEX(DraftResults[[#All],[Pick in Round]],MATCH(Table5[[#This Row],[PID]],DraftResults[[#All],[Player ID]],0)),"")</f>
        <v/>
      </c>
      <c r="AB888" s="69" t="str">
        <f>IFERROR(INDEX(DraftResults[[#All],[Team Name]],MATCH(Table5[[#This Row],[PID]],DraftResults[[#All],[Player ID]],0)),"")</f>
        <v/>
      </c>
      <c r="AC888" s="69" t="str">
        <f>IF(Table5[[#This Row],[Ovr]]="","",IF(Table5[[#This Row],[cmbList]]="","",Table5[[#This Row],[cmbList]]-Table5[[#This Row],[Ovr]]))</f>
        <v/>
      </c>
      <c r="AD888" s="77" t="str">
        <f>IF(ISERROR(VLOOKUP($AB888&amp;"-"&amp;$E888&amp;" "&amp;F888,Bonuses!$B$1:$G$1006,4,FALSE)),"",INT(VLOOKUP($AB888&amp;"-"&amp;$E888&amp;" "&amp;$F888,Bonuses!$B$1:$G$1006,4,FALSE)))</f>
        <v/>
      </c>
      <c r="AE88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89" spans="1:31" s="50" customFormat="1" x14ac:dyDescent="0.25">
      <c r="A889" s="50">
        <v>20547</v>
      </c>
      <c r="B889" s="50">
        <f>COUNTIF(Table5[PID],A889)</f>
        <v>1</v>
      </c>
      <c r="C889" s="50" t="str">
        <f>IF(COUNTIF(Table3[[#All],[PID]],A889)&gt;0,"P","B")</f>
        <v>B</v>
      </c>
      <c r="D889" s="59" t="str">
        <f>IF($C889="B",INDEX(Batters[[#All],[POS]],MATCH(Table5[[#This Row],[PID]],Batters[[#All],[PID]],0)),INDEX(Table3[[#All],[POS]],MATCH(Table5[[#This Row],[PID]],Table3[[#All],[PID]],0)))</f>
        <v>3B</v>
      </c>
      <c r="E889" s="52" t="str">
        <f>IF($C889="B",INDEX(Batters[[#All],[First]],MATCH(Table5[[#This Row],[PID]],Batters[[#All],[PID]],0)),INDEX(Table3[[#All],[First]],MATCH(Table5[[#This Row],[PID]],Table3[[#All],[PID]],0)))</f>
        <v>Wesley</v>
      </c>
      <c r="F889" s="50" t="str">
        <f>IF($C889="B",INDEX(Batters[[#All],[Last]],MATCH(A889,Batters[[#All],[PID]],0)),INDEX(Table3[[#All],[Last]],MATCH(A889,Table3[[#All],[PID]],0)))</f>
        <v>Whitford</v>
      </c>
      <c r="G889" s="56">
        <f>IF($C889="B",INDEX(Batters[[#All],[Age]],MATCH(Table5[[#This Row],[PID]],Batters[[#All],[PID]],0)),INDEX(Table3[[#All],[Age]],MATCH(Table5[[#This Row],[PID]],Table3[[#All],[PID]],0)))</f>
        <v>17</v>
      </c>
      <c r="H889" s="52" t="str">
        <f>IF($C889="B",INDEX(Batters[[#All],[B]],MATCH(Table5[[#This Row],[PID]],Batters[[#All],[PID]],0)),INDEX(Table3[[#All],[B]],MATCH(Table5[[#This Row],[PID]],Table3[[#All],[PID]],0)))</f>
        <v>L</v>
      </c>
      <c r="I889" s="52" t="str">
        <f>IF($C889="B",INDEX(Batters[[#All],[T]],MATCH(Table5[[#This Row],[PID]],Batters[[#All],[PID]],0)),INDEX(Table3[[#All],[T]],MATCH(Table5[[#This Row],[PID]],Table3[[#All],[PID]],0)))</f>
        <v>R</v>
      </c>
      <c r="J889" s="52" t="str">
        <f>IF($C889="B",INDEX(Batters[[#All],[WE]],MATCH(Table5[[#This Row],[PID]],Batters[[#All],[PID]],0)),INDEX(Table3[[#All],[WE]],MATCH(Table5[[#This Row],[PID]],Table3[[#All],[PID]],0)))</f>
        <v>Normal</v>
      </c>
      <c r="K889" s="52" t="str">
        <f>IF($C889="B",INDEX(Batters[[#All],[INT]],MATCH(Table5[[#This Row],[PID]],Batters[[#All],[PID]],0)),INDEX(Table3[[#All],[INT]],MATCH(Table5[[#This Row],[PID]],Table3[[#All],[PID]],0)))</f>
        <v>Normal</v>
      </c>
      <c r="L889" s="60">
        <f>IF($C889="B",INDEX(Batters[[#All],[CON P]],MATCH(Table5[[#This Row],[PID]],Batters[[#All],[PID]],0)),INDEX(Table3[[#All],[STU P]],MATCH(Table5[[#This Row],[PID]],Table3[[#All],[PID]],0)))</f>
        <v>3</v>
      </c>
      <c r="M889" s="56">
        <f>IF($C889="B",INDEX(Batters[[#All],[GAP P]],MATCH(Table5[[#This Row],[PID]],Batters[[#All],[PID]],0)),INDEX(Table3[[#All],[MOV P]],MATCH(Table5[[#This Row],[PID]],Table3[[#All],[PID]],0)))</f>
        <v>4</v>
      </c>
      <c r="N889" s="56">
        <f>IF($C889="B",INDEX(Batters[[#All],[POW P]],MATCH(Table5[[#This Row],[PID]],Batters[[#All],[PID]],0)),INDEX(Table3[[#All],[CON P]],MATCH(Table5[[#This Row],[PID]],Table3[[#All],[PID]],0)))</f>
        <v>2</v>
      </c>
      <c r="O889" s="56">
        <f>IF($C889="B",INDEX(Batters[[#All],[EYE P]],MATCH(Table5[[#This Row],[PID]],Batters[[#All],[PID]],0)),INDEX(Table3[[#All],[VELO]],MATCH(Table5[[#This Row],[PID]],Table3[[#All],[PID]],0)))</f>
        <v>6</v>
      </c>
      <c r="P889" s="56">
        <f>IF($C889="B",INDEX(Batters[[#All],[K P]],MATCH(Table5[[#This Row],[PID]],Batters[[#All],[PID]],0)),INDEX(Table3[[#All],[STM]],MATCH(Table5[[#This Row],[PID]],Table3[[#All],[PID]],0)))</f>
        <v>4</v>
      </c>
      <c r="Q889" s="61">
        <f>IF($C889="B",INDEX(Batters[[#All],[Tot]],MATCH(Table5[[#This Row],[PID]],Batters[[#All],[PID]],0)),INDEX(Table3[[#All],[Tot]],MATCH(Table5[[#This Row],[PID]],Table3[[#All],[PID]],0)))</f>
        <v>42.214196045848468</v>
      </c>
      <c r="R889" s="52">
        <f>IF($C889="B",INDEX(Batters[[#All],[zScore]],MATCH(Table5[[#This Row],[PID]],Batters[[#All],[PID]],0)),INDEX(Table3[[#All],[zScore]],MATCH(Table5[[#This Row],[PID]],Table3[[#All],[PID]],0)))</f>
        <v>-0.4251767356658443</v>
      </c>
      <c r="S889" s="58" t="str">
        <f>IF($C889="B",INDEX(Batters[[#All],[DEM]],MATCH(Table5[[#This Row],[PID]],Batters[[#All],[PID]],0)),INDEX(Table3[[#All],[DEM]],MATCH(Table5[[#This Row],[PID]],Table3[[#All],[PID]],0)))</f>
        <v>$75k</v>
      </c>
      <c r="T889" s="62">
        <f>IF($C889="B",INDEX(Batters[[#All],[Rnk]],MATCH(Table5[[#This Row],[PID]],Batters[[#All],[PID]],0)),INDEX(Table3[[#All],[Rnk]],MATCH(Table5[[#This Row],[PID]],Table3[[#All],[PID]],0)))</f>
        <v>325</v>
      </c>
      <c r="U889" s="68">
        <f>IF($C889="B",VLOOKUP($A889,Bat!$A$4:$BA$1621,47,FALSE),VLOOKUP($A889,Pit!$A$4:$BF$1557,56,FALSE))</f>
        <v>0</v>
      </c>
      <c r="V889" s="50">
        <f>IF($C889="B",VLOOKUP($A889,Bat!$A$4:$BA$1621,48,FALSE),VLOOKUP($A889,Pit!$A$4:$BF$1557,57,FALSE))</f>
        <v>0</v>
      </c>
      <c r="W889" s="50">
        <f>Table5[[#This Row],[posRnk]]+Table5[[#This Row],[zRnk]]+IF($W$3&lt;&gt;Table5[[#This Row],[Type]],50,0)</f>
        <v>1183</v>
      </c>
      <c r="X889" s="51">
        <f>RANK(Table5[[#This Row],[zScore]],Table5[[#All],[zScore]])</f>
        <v>808</v>
      </c>
      <c r="Y889" s="50" t="str">
        <f>IFERROR(INDEX(DraftResults[[#All],[OVR]],MATCH(Table5[[#This Row],[PID]],DraftResults[[#All],[Player ID]],0)),"")</f>
        <v/>
      </c>
      <c r="Z8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89" s="50" t="str">
        <f>IFERROR(INDEX(DraftResults[[#All],[Pick in Round]],MATCH(Table5[[#This Row],[PID]],DraftResults[[#All],[Player ID]],0)),"")</f>
        <v/>
      </c>
      <c r="AB889" s="50" t="str">
        <f>IFERROR(INDEX(DraftResults[[#All],[Team Name]],MATCH(Table5[[#This Row],[PID]],DraftResults[[#All],[Player ID]],0)),"")</f>
        <v/>
      </c>
      <c r="AC889" s="50" t="str">
        <f>IF(Table5[[#This Row],[Ovr]]="","",IF(Table5[[#This Row],[cmbList]]="","",Table5[[#This Row],[cmbList]]-Table5[[#This Row],[Ovr]]))</f>
        <v/>
      </c>
      <c r="AD889" s="54" t="str">
        <f>IF(ISERROR(VLOOKUP($AB889&amp;"-"&amp;$E889&amp;" "&amp;F889,Bonuses!$B$1:$G$1006,4,FALSE)),"",INT(VLOOKUP($AB889&amp;"-"&amp;$E889&amp;" "&amp;$F889,Bonuses!$B$1:$G$1006,4,FALSE)))</f>
        <v/>
      </c>
      <c r="AE8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0" spans="1:31" s="50" customFormat="1" x14ac:dyDescent="0.25">
      <c r="A890" s="50">
        <v>20667</v>
      </c>
      <c r="B890" s="50">
        <f>COUNTIF(Table5[PID],A890)</f>
        <v>1</v>
      </c>
      <c r="C890" s="50" t="str">
        <f>IF(COUNTIF(Table3[[#All],[PID]],A890)&gt;0,"P","B")</f>
        <v>B</v>
      </c>
      <c r="D890" s="59" t="str">
        <f>IF($C890="B",INDEX(Batters[[#All],[POS]],MATCH(Table5[[#This Row],[PID]],Batters[[#All],[PID]],0)),INDEX(Table3[[#All],[POS]],MATCH(Table5[[#This Row],[PID]],Table3[[#All],[PID]],0)))</f>
        <v>3B</v>
      </c>
      <c r="E890" s="52" t="str">
        <f>IF($C890="B",INDEX(Batters[[#All],[First]],MATCH(Table5[[#This Row],[PID]],Batters[[#All],[PID]],0)),INDEX(Table3[[#All],[First]],MATCH(Table5[[#This Row],[PID]],Table3[[#All],[PID]],0)))</f>
        <v>Chae-heui</v>
      </c>
      <c r="F890" s="50" t="str">
        <f>IF($C890="B",INDEX(Batters[[#All],[Last]],MATCH(A890,Batters[[#All],[PID]],0)),INDEX(Table3[[#All],[Last]],MATCH(A890,Table3[[#All],[PID]],0)))</f>
        <v>Chang</v>
      </c>
      <c r="G890" s="56">
        <f>IF($C890="B",INDEX(Batters[[#All],[Age]],MATCH(Table5[[#This Row],[PID]],Batters[[#All],[PID]],0)),INDEX(Table3[[#All],[Age]],MATCH(Table5[[#This Row],[PID]],Table3[[#All],[PID]],0)))</f>
        <v>18</v>
      </c>
      <c r="H890" s="52" t="str">
        <f>IF($C890="B",INDEX(Batters[[#All],[B]],MATCH(Table5[[#This Row],[PID]],Batters[[#All],[PID]],0)),INDEX(Table3[[#All],[B]],MATCH(Table5[[#This Row],[PID]],Table3[[#All],[PID]],0)))</f>
        <v>R</v>
      </c>
      <c r="I890" s="52" t="str">
        <f>IF($C890="B",INDEX(Batters[[#All],[T]],MATCH(Table5[[#This Row],[PID]],Batters[[#All],[PID]],0)),INDEX(Table3[[#All],[T]],MATCH(Table5[[#This Row],[PID]],Table3[[#All],[PID]],0)))</f>
        <v>R</v>
      </c>
      <c r="J890" s="52" t="str">
        <f>IF($C890="B",INDEX(Batters[[#All],[WE]],MATCH(Table5[[#This Row],[PID]],Batters[[#All],[PID]],0)),INDEX(Table3[[#All],[WE]],MATCH(Table5[[#This Row],[PID]],Table3[[#All],[PID]],0)))</f>
        <v>Low</v>
      </c>
      <c r="K890" s="52" t="str">
        <f>IF($C890="B",INDEX(Batters[[#All],[INT]],MATCH(Table5[[#This Row],[PID]],Batters[[#All],[PID]],0)),INDEX(Table3[[#All],[INT]],MATCH(Table5[[#This Row],[PID]],Table3[[#All],[PID]],0)))</f>
        <v>Normal</v>
      </c>
      <c r="L890" s="60">
        <f>IF($C890="B",INDEX(Batters[[#All],[CON P]],MATCH(Table5[[#This Row],[PID]],Batters[[#All],[PID]],0)),INDEX(Table3[[#All],[STU P]],MATCH(Table5[[#This Row],[PID]],Table3[[#All],[PID]],0)))</f>
        <v>3</v>
      </c>
      <c r="M890" s="56">
        <f>IF($C890="B",INDEX(Batters[[#All],[GAP P]],MATCH(Table5[[#This Row],[PID]],Batters[[#All],[PID]],0)),INDEX(Table3[[#All],[MOV P]],MATCH(Table5[[#This Row],[PID]],Table3[[#All],[PID]],0)))</f>
        <v>4</v>
      </c>
      <c r="N890" s="56">
        <f>IF($C890="B",INDEX(Batters[[#All],[POW P]],MATCH(Table5[[#This Row],[PID]],Batters[[#All],[PID]],0)),INDEX(Table3[[#All],[CON P]],MATCH(Table5[[#This Row],[PID]],Table3[[#All],[PID]],0)))</f>
        <v>4</v>
      </c>
      <c r="O890" s="56">
        <f>IF($C890="B",INDEX(Batters[[#All],[EYE P]],MATCH(Table5[[#This Row],[PID]],Batters[[#All],[PID]],0)),INDEX(Table3[[#All],[VELO]],MATCH(Table5[[#This Row],[PID]],Table3[[#All],[PID]],0)))</f>
        <v>5</v>
      </c>
      <c r="P890" s="56">
        <f>IF($C890="B",INDEX(Batters[[#All],[K P]],MATCH(Table5[[#This Row],[PID]],Batters[[#All],[PID]],0)),INDEX(Table3[[#All],[STM]],MATCH(Table5[[#This Row],[PID]],Table3[[#All],[PID]],0)))</f>
        <v>3</v>
      </c>
      <c r="Q890" s="61">
        <f>IF($C890="B",INDEX(Batters[[#All],[Tot]],MATCH(Table5[[#This Row],[PID]],Batters[[#All],[PID]],0)),INDEX(Table3[[#All],[Tot]],MATCH(Table5[[#This Row],[PID]],Table3[[#All],[PID]],0)))</f>
        <v>42.202065578482291</v>
      </c>
      <c r="R890" s="52">
        <f>IF($C890="B",INDEX(Batters[[#All],[zScore]],MATCH(Table5[[#This Row],[PID]],Batters[[#All],[PID]],0)),INDEX(Table3[[#All],[zScore]],MATCH(Table5[[#This Row],[PID]],Table3[[#All],[PID]],0)))</f>
        <v>-0.42786614227527542</v>
      </c>
      <c r="S890" s="58" t="str">
        <f>IF($C890="B",INDEX(Batters[[#All],[DEM]],MATCH(Table5[[#This Row],[PID]],Batters[[#All],[PID]],0)),INDEX(Table3[[#All],[DEM]],MATCH(Table5[[#This Row],[PID]],Table3[[#All],[PID]],0)))</f>
        <v>$65k</v>
      </c>
      <c r="T890" s="62">
        <f>IF($C890="B",INDEX(Batters[[#All],[Rnk]],MATCH(Table5[[#This Row],[PID]],Batters[[#All],[PID]],0)),INDEX(Table3[[#All],[Rnk]],MATCH(Table5[[#This Row],[PID]],Table3[[#All],[PID]],0)))</f>
        <v>326</v>
      </c>
      <c r="U890" s="68">
        <f>IF($C890="B",VLOOKUP($A890,Bat!$A$4:$BA$1621,47,FALSE),VLOOKUP($A890,Pit!$A$4:$BF$1557,56,FALSE))</f>
        <v>0</v>
      </c>
      <c r="V890" s="50">
        <f>IF($C890="B",VLOOKUP($A890,Bat!$A$4:$BA$1621,48,FALSE),VLOOKUP($A890,Pit!$A$4:$BF$1557,57,FALSE))</f>
        <v>0</v>
      </c>
      <c r="W890" s="50">
        <f>Table5[[#This Row],[posRnk]]+Table5[[#This Row],[zRnk]]+IF($W$3&lt;&gt;Table5[[#This Row],[Type]],50,0)</f>
        <v>1185</v>
      </c>
      <c r="X890" s="51">
        <f>RANK(Table5[[#This Row],[zScore]],Table5[[#All],[zScore]])</f>
        <v>809</v>
      </c>
      <c r="Y890" s="50" t="str">
        <f>IFERROR(INDEX(DraftResults[[#All],[OVR]],MATCH(Table5[[#This Row],[PID]],DraftResults[[#All],[Player ID]],0)),"")</f>
        <v/>
      </c>
      <c r="Z8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0" s="50" t="str">
        <f>IFERROR(INDEX(DraftResults[[#All],[Pick in Round]],MATCH(Table5[[#This Row],[PID]],DraftResults[[#All],[Player ID]],0)),"")</f>
        <v/>
      </c>
      <c r="AB890" s="50" t="str">
        <f>IFERROR(INDEX(DraftResults[[#All],[Team Name]],MATCH(Table5[[#This Row],[PID]],DraftResults[[#All],[Player ID]],0)),"")</f>
        <v/>
      </c>
      <c r="AC890" s="50" t="str">
        <f>IF(Table5[[#This Row],[Ovr]]="","",IF(Table5[[#This Row],[cmbList]]="","",Table5[[#This Row],[cmbList]]-Table5[[#This Row],[Ovr]]))</f>
        <v/>
      </c>
      <c r="AD890" s="54" t="str">
        <f>IF(ISERROR(VLOOKUP($AB890&amp;"-"&amp;$E890&amp;" "&amp;F890,Bonuses!$B$1:$G$1006,4,FALSE)),"",INT(VLOOKUP($AB890&amp;"-"&amp;$E890&amp;" "&amp;$F890,Bonuses!$B$1:$G$1006,4,FALSE)))</f>
        <v/>
      </c>
      <c r="AE8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1" spans="1:31" s="50" customFormat="1" x14ac:dyDescent="0.25">
      <c r="A891" s="50">
        <v>17963</v>
      </c>
      <c r="B891" s="50">
        <f>COUNTIF(Table5[PID],A891)</f>
        <v>1</v>
      </c>
      <c r="C891" s="50" t="str">
        <f>IF(COUNTIF(Table3[[#All],[PID]],A891)&gt;0,"P","B")</f>
        <v>P</v>
      </c>
      <c r="D891" s="59" t="str">
        <f>IF($C891="B",INDEX(Batters[[#All],[POS]],MATCH(Table5[[#This Row],[PID]],Batters[[#All],[PID]],0)),INDEX(Table3[[#All],[POS]],MATCH(Table5[[#This Row],[PID]],Table3[[#All],[PID]],0)))</f>
        <v>RP</v>
      </c>
      <c r="E891" s="52" t="str">
        <f>IF($C891="B",INDEX(Batters[[#All],[First]],MATCH(Table5[[#This Row],[PID]],Batters[[#All],[PID]],0)),INDEX(Table3[[#All],[First]],MATCH(Table5[[#This Row],[PID]],Table3[[#All],[PID]],0)))</f>
        <v>Roberto</v>
      </c>
      <c r="F891" s="50" t="str">
        <f>IF($C891="B",INDEX(Batters[[#All],[Last]],MATCH(A891,Batters[[#All],[PID]],0)),INDEX(Table3[[#All],[Last]],MATCH(A891,Table3[[#All],[PID]],0)))</f>
        <v>Morales</v>
      </c>
      <c r="G891" s="56">
        <f>IF($C891="B",INDEX(Batters[[#All],[Age]],MATCH(Table5[[#This Row],[PID]],Batters[[#All],[PID]],0)),INDEX(Table3[[#All],[Age]],MATCH(Table5[[#This Row],[PID]],Table3[[#All],[PID]],0)))</f>
        <v>21</v>
      </c>
      <c r="H891" s="52" t="str">
        <f>IF($C891="B",INDEX(Batters[[#All],[B]],MATCH(Table5[[#This Row],[PID]],Batters[[#All],[PID]],0)),INDEX(Table3[[#All],[B]],MATCH(Table5[[#This Row],[PID]],Table3[[#All],[PID]],0)))</f>
        <v>R</v>
      </c>
      <c r="I891" s="52" t="str">
        <f>IF($C891="B",INDEX(Batters[[#All],[T]],MATCH(Table5[[#This Row],[PID]],Batters[[#All],[PID]],0)),INDEX(Table3[[#All],[T]],MATCH(Table5[[#This Row],[PID]],Table3[[#All],[PID]],0)))</f>
        <v>R</v>
      </c>
      <c r="J891" s="52" t="str">
        <f>IF($C891="B",INDEX(Batters[[#All],[WE]],MATCH(Table5[[#This Row],[PID]],Batters[[#All],[PID]],0)),INDEX(Table3[[#All],[WE]],MATCH(Table5[[#This Row],[PID]],Table3[[#All],[PID]],0)))</f>
        <v>Low</v>
      </c>
      <c r="K891" s="52" t="str">
        <f>IF($C891="B",INDEX(Batters[[#All],[INT]],MATCH(Table5[[#This Row],[PID]],Batters[[#All],[PID]],0)),INDEX(Table3[[#All],[INT]],MATCH(Table5[[#This Row],[PID]],Table3[[#All],[PID]],0)))</f>
        <v>Low</v>
      </c>
      <c r="L891" s="60">
        <f>IF($C891="B",INDEX(Batters[[#All],[CON P]],MATCH(Table5[[#This Row],[PID]],Batters[[#All],[PID]],0)),INDEX(Table3[[#All],[STU P]],MATCH(Table5[[#This Row],[PID]],Table3[[#All],[PID]],0)))</f>
        <v>4</v>
      </c>
      <c r="M891" s="56">
        <f>IF($C891="B",INDEX(Batters[[#All],[GAP P]],MATCH(Table5[[#This Row],[PID]],Batters[[#All],[PID]],0)),INDEX(Table3[[#All],[MOV P]],MATCH(Table5[[#This Row],[PID]],Table3[[#All],[PID]],0)))</f>
        <v>2</v>
      </c>
      <c r="N891" s="56">
        <f>IF($C891="B",INDEX(Batters[[#All],[POW P]],MATCH(Table5[[#This Row],[PID]],Batters[[#All],[PID]],0)),INDEX(Table3[[#All],[CON P]],MATCH(Table5[[#This Row],[PID]],Table3[[#All],[PID]],0)))</f>
        <v>3</v>
      </c>
      <c r="O891" s="56" t="str">
        <f>IF($C891="B",INDEX(Batters[[#All],[EYE P]],MATCH(Table5[[#This Row],[PID]],Batters[[#All],[PID]],0)),INDEX(Table3[[#All],[VELO]],MATCH(Table5[[#This Row],[PID]],Table3[[#All],[PID]],0)))</f>
        <v>89-91 Mph</v>
      </c>
      <c r="P891" s="56">
        <f>IF($C891="B",INDEX(Batters[[#All],[K P]],MATCH(Table5[[#This Row],[PID]],Batters[[#All],[PID]],0)),INDEX(Table3[[#All],[STM]],MATCH(Table5[[#This Row],[PID]],Table3[[#All],[PID]],0)))</f>
        <v>8</v>
      </c>
      <c r="Q891" s="61">
        <f>IF($C891="B",INDEX(Batters[[#All],[Tot]],MATCH(Table5[[#This Row],[PID]],Batters[[#All],[PID]],0)),INDEX(Table3[[#All],[Tot]],MATCH(Table5[[#This Row],[PID]],Table3[[#All],[PID]],0)))</f>
        <v>29.438276835412385</v>
      </c>
      <c r="R891" s="52">
        <f>IF($C891="B",INDEX(Batters[[#All],[zScore]],MATCH(Table5[[#This Row],[PID]],Batters[[#All],[PID]],0)),INDEX(Table3[[#All],[zScore]],MATCH(Table5[[#This Row],[PID]],Table3[[#All],[PID]],0)))</f>
        <v>-0.42792771060397455</v>
      </c>
      <c r="S891" s="58" t="str">
        <f>IF($C891="B",INDEX(Batters[[#All],[DEM]],MATCH(Table5[[#This Row],[PID]],Batters[[#All],[PID]],0)),INDEX(Table3[[#All],[DEM]],MATCH(Table5[[#This Row],[PID]],Table3[[#All],[PID]],0)))</f>
        <v>-</v>
      </c>
      <c r="T891" s="62">
        <f>IF($C891="B",INDEX(Batters[[#All],[Rnk]],MATCH(Table5[[#This Row],[PID]],Batters[[#All],[PID]],0)),INDEX(Table3[[#All],[Rnk]],MATCH(Table5[[#This Row],[PID]],Table3[[#All],[PID]],0)))</f>
        <v>484</v>
      </c>
      <c r="U891" s="68">
        <f>IF($C891="B",VLOOKUP($A891,Bat!$A$4:$BA$1621,47,FALSE),VLOOKUP($A891,Pit!$A$4:$BF$1557,56,FALSE))</f>
        <v>0</v>
      </c>
      <c r="V891" s="50">
        <f>IF($C891="B",VLOOKUP($A891,Bat!$A$4:$BA$1621,48,FALSE),VLOOKUP($A891,Pit!$A$4:$BF$1557,57,FALSE))</f>
        <v>0</v>
      </c>
      <c r="W891" s="50">
        <f>Table5[[#This Row],[posRnk]]+Table5[[#This Row],[zRnk]]+IF($W$3&lt;&gt;Table5[[#This Row],[Type]],50,0)</f>
        <v>1344</v>
      </c>
      <c r="X891" s="51">
        <f>RANK(Table5[[#This Row],[zScore]],Table5[[#All],[zScore]])</f>
        <v>810</v>
      </c>
      <c r="Y891" s="50" t="str">
        <f>IFERROR(INDEX(DraftResults[[#All],[OVR]],MATCH(Table5[[#This Row],[PID]],DraftResults[[#All],[Player ID]],0)),"")</f>
        <v/>
      </c>
      <c r="Z8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1" s="50" t="str">
        <f>IFERROR(INDEX(DraftResults[[#All],[Pick in Round]],MATCH(Table5[[#This Row],[PID]],DraftResults[[#All],[Player ID]],0)),"")</f>
        <v/>
      </c>
      <c r="AB891" s="50" t="str">
        <f>IFERROR(INDEX(DraftResults[[#All],[Team Name]],MATCH(Table5[[#This Row],[PID]],DraftResults[[#All],[Player ID]],0)),"")</f>
        <v/>
      </c>
      <c r="AC891" s="50" t="str">
        <f>IF(Table5[[#This Row],[Ovr]]="","",IF(Table5[[#This Row],[cmbList]]="","",Table5[[#This Row],[cmbList]]-Table5[[#This Row],[Ovr]]))</f>
        <v/>
      </c>
      <c r="AD891" s="54" t="str">
        <f>IF(ISERROR(VLOOKUP($AB891&amp;"-"&amp;$E891&amp;" "&amp;F891,Bonuses!$B$1:$G$1006,4,FALSE)),"",INT(VLOOKUP($AB891&amp;"-"&amp;$E891&amp;" "&amp;$F891,Bonuses!$B$1:$G$1006,4,FALSE)))</f>
        <v/>
      </c>
      <c r="AE8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2" spans="1:31" s="50" customFormat="1" x14ac:dyDescent="0.25">
      <c r="A892" s="50">
        <v>20780</v>
      </c>
      <c r="B892" s="50">
        <f>COUNTIF(Table5[PID],A892)</f>
        <v>1</v>
      </c>
      <c r="C892" s="50" t="str">
        <f>IF(COUNTIF(Table3[[#All],[PID]],A892)&gt;0,"P","B")</f>
        <v>P</v>
      </c>
      <c r="D892" s="59" t="str">
        <f>IF($C892="B",INDEX(Batters[[#All],[POS]],MATCH(Table5[[#This Row],[PID]],Batters[[#All],[PID]],0)),INDEX(Table3[[#All],[POS]],MATCH(Table5[[#This Row],[PID]],Table3[[#All],[PID]],0)))</f>
        <v>RP</v>
      </c>
      <c r="E892" s="52" t="str">
        <f>IF($C892="B",INDEX(Batters[[#All],[First]],MATCH(Table5[[#This Row],[PID]],Batters[[#All],[PID]],0)),INDEX(Table3[[#All],[First]],MATCH(Table5[[#This Row],[PID]],Table3[[#All],[PID]],0)))</f>
        <v>Scott</v>
      </c>
      <c r="F892" s="50" t="str">
        <f>IF($C892="B",INDEX(Batters[[#All],[Last]],MATCH(A892,Batters[[#All],[PID]],0)),INDEX(Table3[[#All],[Last]],MATCH(A892,Table3[[#All],[PID]],0)))</f>
        <v>Moore</v>
      </c>
      <c r="G892" s="56">
        <f>IF($C892="B",INDEX(Batters[[#All],[Age]],MATCH(Table5[[#This Row],[PID]],Batters[[#All],[PID]],0)),INDEX(Table3[[#All],[Age]],MATCH(Table5[[#This Row],[PID]],Table3[[#All],[PID]],0)))</f>
        <v>17</v>
      </c>
      <c r="H892" s="52" t="str">
        <f>IF($C892="B",INDEX(Batters[[#All],[B]],MATCH(Table5[[#This Row],[PID]],Batters[[#All],[PID]],0)),INDEX(Table3[[#All],[B]],MATCH(Table5[[#This Row],[PID]],Table3[[#All],[PID]],0)))</f>
        <v>R</v>
      </c>
      <c r="I892" s="52" t="str">
        <f>IF($C892="B",INDEX(Batters[[#All],[T]],MATCH(Table5[[#This Row],[PID]],Batters[[#All],[PID]],0)),INDEX(Table3[[#All],[T]],MATCH(Table5[[#This Row],[PID]],Table3[[#All],[PID]],0)))</f>
        <v>R</v>
      </c>
      <c r="J892" s="52" t="str">
        <f>IF($C892="B",INDEX(Batters[[#All],[WE]],MATCH(Table5[[#This Row],[PID]],Batters[[#All],[PID]],0)),INDEX(Table3[[#All],[WE]],MATCH(Table5[[#This Row],[PID]],Table3[[#All],[PID]],0)))</f>
        <v>Normal</v>
      </c>
      <c r="K892" s="52" t="str">
        <f>IF($C892="B",INDEX(Batters[[#All],[INT]],MATCH(Table5[[#This Row],[PID]],Batters[[#All],[PID]],0)),INDEX(Table3[[#All],[INT]],MATCH(Table5[[#This Row],[PID]],Table3[[#All],[PID]],0)))</f>
        <v>Normal</v>
      </c>
      <c r="L892" s="60">
        <f>IF($C892="B",INDEX(Batters[[#All],[CON P]],MATCH(Table5[[#This Row],[PID]],Batters[[#All],[PID]],0)),INDEX(Table3[[#All],[STU P]],MATCH(Table5[[#This Row],[PID]],Table3[[#All],[PID]],0)))</f>
        <v>4</v>
      </c>
      <c r="M892" s="56">
        <f>IF($C892="B",INDEX(Batters[[#All],[GAP P]],MATCH(Table5[[#This Row],[PID]],Batters[[#All],[PID]],0)),INDEX(Table3[[#All],[MOV P]],MATCH(Table5[[#This Row],[PID]],Table3[[#All],[PID]],0)))</f>
        <v>2</v>
      </c>
      <c r="N892" s="56">
        <f>IF($C892="B",INDEX(Batters[[#All],[POW P]],MATCH(Table5[[#This Row],[PID]],Batters[[#All],[PID]],0)),INDEX(Table3[[#All],[CON P]],MATCH(Table5[[#This Row],[PID]],Table3[[#All],[PID]],0)))</f>
        <v>2</v>
      </c>
      <c r="O892" s="56" t="str">
        <f>IF($C892="B",INDEX(Batters[[#All],[EYE P]],MATCH(Table5[[#This Row],[PID]],Batters[[#All],[PID]],0)),INDEX(Table3[[#All],[VELO]],MATCH(Table5[[#This Row],[PID]],Table3[[#All],[PID]],0)))</f>
        <v>88-90 Mph</v>
      </c>
      <c r="P892" s="56">
        <f>IF($C892="B",INDEX(Batters[[#All],[K P]],MATCH(Table5[[#This Row],[PID]],Batters[[#All],[PID]],0)),INDEX(Table3[[#All],[STM]],MATCH(Table5[[#This Row],[PID]],Table3[[#All],[PID]],0)))</f>
        <v>5</v>
      </c>
      <c r="Q892" s="61">
        <f>IF($C892="B",INDEX(Batters[[#All],[Tot]],MATCH(Table5[[#This Row],[PID]],Batters[[#All],[PID]],0)),INDEX(Table3[[#All],[Tot]],MATCH(Table5[[#This Row],[PID]],Table3[[#All],[PID]],0)))</f>
        <v>29.433101557812087</v>
      </c>
      <c r="R892" s="52">
        <f>IF($C892="B",INDEX(Batters[[#All],[zScore]],MATCH(Table5[[#This Row],[PID]],Batters[[#All],[PID]],0)),INDEX(Table3[[#All],[zScore]],MATCH(Table5[[#This Row],[PID]],Table3[[#All],[PID]],0)))</f>
        <v>-0.42827201391433495</v>
      </c>
      <c r="S892" s="58" t="str">
        <f>IF($C892="B",INDEX(Batters[[#All],[DEM]],MATCH(Table5[[#This Row],[PID]],Batters[[#All],[PID]],0)),INDEX(Table3[[#All],[DEM]],MATCH(Table5[[#This Row],[PID]],Table3[[#All],[PID]],0)))</f>
        <v>$65k</v>
      </c>
      <c r="T892" s="62">
        <f>IF($C892="B",INDEX(Batters[[#All],[Rnk]],MATCH(Table5[[#This Row],[PID]],Batters[[#All],[PID]],0)),INDEX(Table3[[#All],[Rnk]],MATCH(Table5[[#This Row],[PID]],Table3[[#All],[PID]],0)))</f>
        <v>485</v>
      </c>
      <c r="U892" s="68">
        <f>IF($C892="B",VLOOKUP($A892,Bat!$A$4:$BA$1621,47,FALSE),VLOOKUP($A892,Pit!$A$4:$BF$1557,56,FALSE))</f>
        <v>0</v>
      </c>
      <c r="V892" s="50">
        <f>IF($C892="B",VLOOKUP($A892,Bat!$A$4:$BA$1621,48,FALSE),VLOOKUP($A892,Pit!$A$4:$BF$1557,57,FALSE))</f>
        <v>0</v>
      </c>
      <c r="W892" s="50">
        <f>Table5[[#This Row],[posRnk]]+Table5[[#This Row],[zRnk]]+IF($W$3&lt;&gt;Table5[[#This Row],[Type]],50,0)</f>
        <v>1346</v>
      </c>
      <c r="X892" s="51">
        <f>RANK(Table5[[#This Row],[zScore]],Table5[[#All],[zScore]])</f>
        <v>811</v>
      </c>
      <c r="Y892" s="50" t="str">
        <f>IFERROR(INDEX(DraftResults[[#All],[OVR]],MATCH(Table5[[#This Row],[PID]],DraftResults[[#All],[Player ID]],0)),"")</f>
        <v/>
      </c>
      <c r="Z8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2" s="50" t="str">
        <f>IFERROR(INDEX(DraftResults[[#All],[Pick in Round]],MATCH(Table5[[#This Row],[PID]],DraftResults[[#All],[Player ID]],0)),"")</f>
        <v/>
      </c>
      <c r="AB892" s="50" t="str">
        <f>IFERROR(INDEX(DraftResults[[#All],[Team Name]],MATCH(Table5[[#This Row],[PID]],DraftResults[[#All],[Player ID]],0)),"")</f>
        <v/>
      </c>
      <c r="AC892" s="50" t="str">
        <f>IF(Table5[[#This Row],[Ovr]]="","",IF(Table5[[#This Row],[cmbList]]="","",Table5[[#This Row],[cmbList]]-Table5[[#This Row],[Ovr]]))</f>
        <v/>
      </c>
      <c r="AD892" s="54" t="str">
        <f>IF(ISERROR(VLOOKUP($AB892&amp;"-"&amp;$E892&amp;" "&amp;F892,Bonuses!$B$1:$G$1006,4,FALSE)),"",INT(VLOOKUP($AB892&amp;"-"&amp;$E892&amp;" "&amp;$F892,Bonuses!$B$1:$G$1006,4,FALSE)))</f>
        <v/>
      </c>
      <c r="AE8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3" spans="1:31" s="50" customFormat="1" x14ac:dyDescent="0.25">
      <c r="A893" s="68">
        <v>20324</v>
      </c>
      <c r="B893" s="69">
        <f>COUNTIF(Table5[PID],A893)</f>
        <v>1</v>
      </c>
      <c r="C893" s="69" t="str">
        <f>IF(COUNTIF(Table3[[#All],[PID]],A893)&gt;0,"P","B")</f>
        <v>P</v>
      </c>
      <c r="D893" s="59" t="str">
        <f>IF($C893="B",INDEX(Batters[[#All],[POS]],MATCH(Table5[[#This Row],[PID]],Batters[[#All],[PID]],0)),INDEX(Table3[[#All],[POS]],MATCH(Table5[[#This Row],[PID]],Table3[[#All],[PID]],0)))</f>
        <v>SP</v>
      </c>
      <c r="E893" s="52" t="str">
        <f>IF($C893="B",INDEX(Batters[[#All],[First]],MATCH(Table5[[#This Row],[PID]],Batters[[#All],[PID]],0)),INDEX(Table3[[#All],[First]],MATCH(Table5[[#This Row],[PID]],Table3[[#All],[PID]],0)))</f>
        <v>Hyung-ki</v>
      </c>
      <c r="F893" s="55" t="str">
        <f>IF($C893="B",INDEX(Batters[[#All],[Last]],MATCH(A893,Batters[[#All],[PID]],0)),INDEX(Table3[[#All],[Last]],MATCH(A893,Table3[[#All],[PID]],0)))</f>
        <v>Pak</v>
      </c>
      <c r="G893" s="56">
        <f>IF($C893="B",INDEX(Batters[[#All],[Age]],MATCH(Table5[[#This Row],[PID]],Batters[[#All],[PID]],0)),INDEX(Table3[[#All],[Age]],MATCH(Table5[[#This Row],[PID]],Table3[[#All],[PID]],0)))</f>
        <v>19</v>
      </c>
      <c r="H893" s="52" t="str">
        <f>IF($C893="B",INDEX(Batters[[#All],[B]],MATCH(Table5[[#This Row],[PID]],Batters[[#All],[PID]],0)),INDEX(Table3[[#All],[B]],MATCH(Table5[[#This Row],[PID]],Table3[[#All],[PID]],0)))</f>
        <v>S</v>
      </c>
      <c r="I893" s="52" t="str">
        <f>IF($C893="B",INDEX(Batters[[#All],[T]],MATCH(Table5[[#This Row],[PID]],Batters[[#All],[PID]],0)),INDEX(Table3[[#All],[T]],MATCH(Table5[[#This Row],[PID]],Table3[[#All],[PID]],0)))</f>
        <v>R</v>
      </c>
      <c r="J893" s="71" t="str">
        <f>IF($C893="B",INDEX(Batters[[#All],[WE]],MATCH(Table5[[#This Row],[PID]],Batters[[#All],[PID]],0)),INDEX(Table3[[#All],[WE]],MATCH(Table5[[#This Row],[PID]],Table3[[#All],[PID]],0)))</f>
        <v>Low</v>
      </c>
      <c r="K893" s="52" t="str">
        <f>IF($C893="B",INDEX(Batters[[#All],[INT]],MATCH(Table5[[#This Row],[PID]],Batters[[#All],[PID]],0)),INDEX(Table3[[#All],[INT]],MATCH(Table5[[#This Row],[PID]],Table3[[#All],[PID]],0)))</f>
        <v>Normal</v>
      </c>
      <c r="L893" s="60">
        <f>IF($C893="B",INDEX(Batters[[#All],[CON P]],MATCH(Table5[[#This Row],[PID]],Batters[[#All],[PID]],0)),INDEX(Table3[[#All],[STU P]],MATCH(Table5[[#This Row],[PID]],Table3[[#All],[PID]],0)))</f>
        <v>4</v>
      </c>
      <c r="M893" s="72">
        <f>IF($C893="B",INDEX(Batters[[#All],[GAP P]],MATCH(Table5[[#This Row],[PID]],Batters[[#All],[PID]],0)),INDEX(Table3[[#All],[MOV P]],MATCH(Table5[[#This Row],[PID]],Table3[[#All],[PID]],0)))</f>
        <v>1</v>
      </c>
      <c r="N893" s="72">
        <f>IF($C893="B",INDEX(Batters[[#All],[POW P]],MATCH(Table5[[#This Row],[PID]],Batters[[#All],[PID]],0)),INDEX(Table3[[#All],[CON P]],MATCH(Table5[[#This Row],[PID]],Table3[[#All],[PID]],0)))</f>
        <v>3</v>
      </c>
      <c r="O893" s="72" t="str">
        <f>IF($C893="B",INDEX(Batters[[#All],[EYE P]],MATCH(Table5[[#This Row],[PID]],Batters[[#All],[PID]],0)),INDEX(Table3[[#All],[VELO]],MATCH(Table5[[#This Row],[PID]],Table3[[#All],[PID]],0)))</f>
        <v>89-91 Mph</v>
      </c>
      <c r="P893" s="56">
        <f>IF($C893="B",INDEX(Batters[[#All],[K P]],MATCH(Table5[[#This Row],[PID]],Batters[[#All],[PID]],0)),INDEX(Table3[[#All],[STM]],MATCH(Table5[[#This Row],[PID]],Table3[[#All],[PID]],0)))</f>
        <v>8</v>
      </c>
      <c r="Q893" s="61">
        <f>IF($C893="B",INDEX(Batters[[#All],[Tot]],MATCH(Table5[[#This Row],[PID]],Batters[[#All],[PID]],0)),INDEX(Table3[[#All],[Tot]],MATCH(Table5[[#This Row],[PID]],Table3[[#All],[PID]],0)))</f>
        <v>29.303153785412604</v>
      </c>
      <c r="R893" s="52">
        <f>IF($C893="B",INDEX(Batters[[#All],[zScore]],MATCH(Table5[[#This Row],[PID]],Batters[[#All],[PID]],0)),INDEX(Table3[[#All],[zScore]],MATCH(Table5[[#This Row],[PID]],Table3[[#All],[PID]],0)))</f>
        <v>-0.43691724063773246</v>
      </c>
      <c r="S893" s="78" t="str">
        <f>IF($C893="B",INDEX(Batters[[#All],[DEM]],MATCH(Table5[[#This Row],[PID]],Batters[[#All],[PID]],0)),INDEX(Table3[[#All],[DEM]],MATCH(Table5[[#This Row],[PID]],Table3[[#All],[PID]],0)))</f>
        <v>$95k</v>
      </c>
      <c r="T893" s="75">
        <f>IF($C893="B",INDEX(Batters[[#All],[Rnk]],MATCH(Table5[[#This Row],[PID]],Batters[[#All],[PID]],0)),INDEX(Table3[[#All],[Rnk]],MATCH(Table5[[#This Row],[PID]],Table3[[#All],[PID]],0)))</f>
        <v>486</v>
      </c>
      <c r="U893" s="68">
        <f>IF($C893="B",VLOOKUP($A893,Bat!$A$4:$BA$1621,47,FALSE),VLOOKUP($A893,Pit!$A$4:$BF$1557,56,FALSE))</f>
        <v>0</v>
      </c>
      <c r="V893" s="50">
        <f>IF($C893="B",VLOOKUP($A893,Bat!$A$4:$BA$1621,48,FALSE),VLOOKUP($A893,Pit!$A$4:$BF$1557,57,FALSE))</f>
        <v>0</v>
      </c>
      <c r="W893" s="69">
        <f>Table5[[#This Row],[posRnk]]+Table5[[#This Row],[zRnk]]+IF($W$3&lt;&gt;Table5[[#This Row],[Type]],50,0)</f>
        <v>1348</v>
      </c>
      <c r="X893" s="73">
        <f>RANK(Table5[[#This Row],[zScore]],Table5[[#All],[zScore]])</f>
        <v>812</v>
      </c>
      <c r="Y893" s="69" t="str">
        <f>IFERROR(INDEX(DraftResults[[#All],[OVR]],MATCH(Table5[[#This Row],[PID]],DraftResults[[#All],[Player ID]],0)),"")</f>
        <v/>
      </c>
      <c r="Z89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3" s="69" t="str">
        <f>IFERROR(INDEX(DraftResults[[#All],[Pick in Round]],MATCH(Table5[[#This Row],[PID]],DraftResults[[#All],[Player ID]],0)),"")</f>
        <v/>
      </c>
      <c r="AB893" s="69" t="str">
        <f>IFERROR(INDEX(DraftResults[[#All],[Team Name]],MATCH(Table5[[#This Row],[PID]],DraftResults[[#All],[Player ID]],0)),"")</f>
        <v/>
      </c>
      <c r="AC893" s="69" t="str">
        <f>IF(Table5[[#This Row],[Ovr]]="","",IF(Table5[[#This Row],[cmbList]]="","",Table5[[#This Row],[cmbList]]-Table5[[#This Row],[Ovr]]))</f>
        <v/>
      </c>
      <c r="AD893" s="77" t="str">
        <f>IF(ISERROR(VLOOKUP($AB893&amp;"-"&amp;$E893&amp;" "&amp;F893,Bonuses!$B$1:$G$1006,4,FALSE)),"",INT(VLOOKUP($AB893&amp;"-"&amp;$E893&amp;" "&amp;$F893,Bonuses!$B$1:$G$1006,4,FALSE)))</f>
        <v/>
      </c>
      <c r="AE89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4" spans="1:31" s="50" customFormat="1" x14ac:dyDescent="0.25">
      <c r="A894" s="50">
        <v>17835</v>
      </c>
      <c r="B894" s="50">
        <f>COUNTIF(Table5[PID],A894)</f>
        <v>1</v>
      </c>
      <c r="C894" s="50" t="str">
        <f>IF(COUNTIF(Table3[[#All],[PID]],A894)&gt;0,"P","B")</f>
        <v>P</v>
      </c>
      <c r="D894" s="59" t="str">
        <f>IF($C894="B",INDEX(Batters[[#All],[POS]],MATCH(Table5[[#This Row],[PID]],Batters[[#All],[PID]],0)),INDEX(Table3[[#All],[POS]],MATCH(Table5[[#This Row],[PID]],Table3[[#All],[PID]],0)))</f>
        <v>RP</v>
      </c>
      <c r="E894" s="52" t="str">
        <f>IF($C894="B",INDEX(Batters[[#All],[First]],MATCH(Table5[[#This Row],[PID]],Batters[[#All],[PID]],0)),INDEX(Table3[[#All],[First]],MATCH(Table5[[#This Row],[PID]],Table3[[#All],[PID]],0)))</f>
        <v>Ron</v>
      </c>
      <c r="F894" s="50" t="str">
        <f>IF($C894="B",INDEX(Batters[[#All],[Last]],MATCH(A894,Batters[[#All],[PID]],0)),INDEX(Table3[[#All],[Last]],MATCH(A894,Table3[[#All],[PID]],0)))</f>
        <v>Jevons</v>
      </c>
      <c r="G894" s="56">
        <f>IF($C894="B",INDEX(Batters[[#All],[Age]],MATCH(Table5[[#This Row],[PID]],Batters[[#All],[PID]],0)),INDEX(Table3[[#All],[Age]],MATCH(Table5[[#This Row],[PID]],Table3[[#All],[PID]],0)))</f>
        <v>18</v>
      </c>
      <c r="H894" s="52" t="str">
        <f>IF($C894="B",INDEX(Batters[[#All],[B]],MATCH(Table5[[#This Row],[PID]],Batters[[#All],[PID]],0)),INDEX(Table3[[#All],[B]],MATCH(Table5[[#This Row],[PID]],Table3[[#All],[PID]],0)))</f>
        <v>R</v>
      </c>
      <c r="I894" s="52" t="str">
        <f>IF($C894="B",INDEX(Batters[[#All],[T]],MATCH(Table5[[#This Row],[PID]],Batters[[#All],[PID]],0)),INDEX(Table3[[#All],[T]],MATCH(Table5[[#This Row],[PID]],Table3[[#All],[PID]],0)))</f>
        <v>R</v>
      </c>
      <c r="J894" s="52" t="str">
        <f>IF($C894="B",INDEX(Batters[[#All],[WE]],MATCH(Table5[[#This Row],[PID]],Batters[[#All],[PID]],0)),INDEX(Table3[[#All],[WE]],MATCH(Table5[[#This Row],[PID]],Table3[[#All],[PID]],0)))</f>
        <v>Normal</v>
      </c>
      <c r="K894" s="52" t="str">
        <f>IF($C894="B",INDEX(Batters[[#All],[INT]],MATCH(Table5[[#This Row],[PID]],Batters[[#All],[PID]],0)),INDEX(Table3[[#All],[INT]],MATCH(Table5[[#This Row],[PID]],Table3[[#All],[PID]],0)))</f>
        <v>Low</v>
      </c>
      <c r="L894" s="60">
        <f>IF($C894="B",INDEX(Batters[[#All],[CON P]],MATCH(Table5[[#This Row],[PID]],Batters[[#All],[PID]],0)),INDEX(Table3[[#All],[STU P]],MATCH(Table5[[#This Row],[PID]],Table3[[#All],[PID]],0)))</f>
        <v>4</v>
      </c>
      <c r="M894" s="56">
        <f>IF($C894="B",INDEX(Batters[[#All],[GAP P]],MATCH(Table5[[#This Row],[PID]],Batters[[#All],[PID]],0)),INDEX(Table3[[#All],[MOV P]],MATCH(Table5[[#This Row],[PID]],Table3[[#All],[PID]],0)))</f>
        <v>1</v>
      </c>
      <c r="N894" s="56">
        <f>IF($C894="B",INDEX(Batters[[#All],[POW P]],MATCH(Table5[[#This Row],[PID]],Batters[[#All],[PID]],0)),INDEX(Table3[[#All],[CON P]],MATCH(Table5[[#This Row],[PID]],Table3[[#All],[PID]],0)))</f>
        <v>3</v>
      </c>
      <c r="O894" s="56" t="str">
        <f>IF($C894="B",INDEX(Batters[[#All],[EYE P]],MATCH(Table5[[#This Row],[PID]],Batters[[#All],[PID]],0)),INDEX(Table3[[#All],[VELO]],MATCH(Table5[[#This Row],[PID]],Table3[[#All],[PID]],0)))</f>
        <v>88-90 Mph</v>
      </c>
      <c r="P894" s="56">
        <f>IF($C894="B",INDEX(Batters[[#All],[K P]],MATCH(Table5[[#This Row],[PID]],Batters[[#All],[PID]],0)),INDEX(Table3[[#All],[STM]],MATCH(Table5[[#This Row],[PID]],Table3[[#All],[PID]],0)))</f>
        <v>4</v>
      </c>
      <c r="Q894" s="61">
        <f>IF($C894="B",INDEX(Batters[[#All],[Tot]],MATCH(Table5[[#This Row],[PID]],Batters[[#All],[PID]],0)),INDEX(Table3[[#All],[Tot]],MATCH(Table5[[#This Row],[PID]],Table3[[#All],[PID]],0)))</f>
        <v>29.277996096141976</v>
      </c>
      <c r="R894" s="52">
        <f>IF($C894="B",INDEX(Batters[[#All],[zScore]],MATCH(Table5[[#This Row],[PID]],Batters[[#All],[PID]],0)),INDEX(Table3[[#All],[zScore]],MATCH(Table5[[#This Row],[PID]],Table3[[#All],[PID]],0)))</f>
        <v>-0.43859094326121995</v>
      </c>
      <c r="S894" s="58" t="str">
        <f>IF($C894="B",INDEX(Batters[[#All],[DEM]],MATCH(Table5[[#This Row],[PID]],Batters[[#All],[PID]],0)),INDEX(Table3[[#All],[DEM]],MATCH(Table5[[#This Row],[PID]],Table3[[#All],[PID]],0)))</f>
        <v>$75k</v>
      </c>
      <c r="T894" s="62">
        <f>IF($C894="B",INDEX(Batters[[#All],[Rnk]],MATCH(Table5[[#This Row],[PID]],Batters[[#All],[PID]],0)),INDEX(Table3[[#All],[Rnk]],MATCH(Table5[[#This Row],[PID]],Table3[[#All],[PID]],0)))</f>
        <v>487</v>
      </c>
      <c r="U894" s="68">
        <f>IF($C894="B",VLOOKUP($A894,Bat!$A$4:$BA$1621,47,FALSE),VLOOKUP($A894,Pit!$A$4:$BF$1557,56,FALSE))</f>
        <v>0</v>
      </c>
      <c r="V894" s="50">
        <f>IF($C894="B",VLOOKUP($A894,Bat!$A$4:$BA$1621,48,FALSE),VLOOKUP($A894,Pit!$A$4:$BF$1557,57,FALSE))</f>
        <v>0</v>
      </c>
      <c r="W894" s="50">
        <f>Table5[[#This Row],[posRnk]]+Table5[[#This Row],[zRnk]]+IF($W$3&lt;&gt;Table5[[#This Row],[Type]],50,0)</f>
        <v>1350</v>
      </c>
      <c r="X894" s="51">
        <f>RANK(Table5[[#This Row],[zScore]],Table5[[#All],[zScore]])</f>
        <v>813</v>
      </c>
      <c r="Y894" s="50" t="str">
        <f>IFERROR(INDEX(DraftResults[[#All],[OVR]],MATCH(Table5[[#This Row],[PID]],DraftResults[[#All],[Player ID]],0)),"")</f>
        <v/>
      </c>
      <c r="Z8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4" s="50" t="str">
        <f>IFERROR(INDEX(DraftResults[[#All],[Pick in Round]],MATCH(Table5[[#This Row],[PID]],DraftResults[[#All],[Player ID]],0)),"")</f>
        <v/>
      </c>
      <c r="AB894" s="50" t="str">
        <f>IFERROR(INDEX(DraftResults[[#All],[Team Name]],MATCH(Table5[[#This Row],[PID]],DraftResults[[#All],[Player ID]],0)),"")</f>
        <v/>
      </c>
      <c r="AC894" s="50" t="str">
        <f>IF(Table5[[#This Row],[Ovr]]="","",IF(Table5[[#This Row],[cmbList]]="","",Table5[[#This Row],[cmbList]]-Table5[[#This Row],[Ovr]]))</f>
        <v/>
      </c>
      <c r="AD894" s="54" t="str">
        <f>IF(ISERROR(VLOOKUP($AB894&amp;"-"&amp;$E894&amp;" "&amp;F894,Bonuses!$B$1:$G$1006,4,FALSE)),"",INT(VLOOKUP($AB894&amp;"-"&amp;$E894&amp;" "&amp;$F894,Bonuses!$B$1:$G$1006,4,FALSE)))</f>
        <v/>
      </c>
      <c r="AE8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5" spans="1:31" s="50" customFormat="1" x14ac:dyDescent="0.25">
      <c r="A895" s="50">
        <v>20553</v>
      </c>
      <c r="B895" s="50">
        <f>COUNTIF(Table5[PID],A895)</f>
        <v>1</v>
      </c>
      <c r="C895" s="50" t="str">
        <f>IF(COUNTIF(Table3[[#All],[PID]],A895)&gt;0,"P","B")</f>
        <v>P</v>
      </c>
      <c r="D895" s="59" t="str">
        <f>IF($C895="B",INDEX(Batters[[#All],[POS]],MATCH(Table5[[#This Row],[PID]],Batters[[#All],[PID]],0)),INDEX(Table3[[#All],[POS]],MATCH(Table5[[#This Row],[PID]],Table3[[#All],[PID]],0)))</f>
        <v>RP</v>
      </c>
      <c r="E895" s="52" t="str">
        <f>IF($C895="B",INDEX(Batters[[#All],[First]],MATCH(Table5[[#This Row],[PID]],Batters[[#All],[PID]],0)),INDEX(Table3[[#All],[First]],MATCH(Table5[[#This Row],[PID]],Table3[[#All],[PID]],0)))</f>
        <v>Vic</v>
      </c>
      <c r="F895" s="50" t="str">
        <f>IF($C895="B",INDEX(Batters[[#All],[Last]],MATCH(A895,Batters[[#All],[PID]],0)),INDEX(Table3[[#All],[Last]],MATCH(A895,Table3[[#All],[PID]],0)))</f>
        <v>Bristcoe</v>
      </c>
      <c r="G895" s="56">
        <f>IF($C895="B",INDEX(Batters[[#All],[Age]],MATCH(Table5[[#This Row],[PID]],Batters[[#All],[PID]],0)),INDEX(Table3[[#All],[Age]],MATCH(Table5[[#This Row],[PID]],Table3[[#All],[PID]],0)))</f>
        <v>17</v>
      </c>
      <c r="H895" s="52" t="str">
        <f>IF($C895="B",INDEX(Batters[[#All],[B]],MATCH(Table5[[#This Row],[PID]],Batters[[#All],[PID]],0)),INDEX(Table3[[#All],[B]],MATCH(Table5[[#This Row],[PID]],Table3[[#All],[PID]],0)))</f>
        <v>S</v>
      </c>
      <c r="I895" s="52" t="str">
        <f>IF($C895="B",INDEX(Batters[[#All],[T]],MATCH(Table5[[#This Row],[PID]],Batters[[#All],[PID]],0)),INDEX(Table3[[#All],[T]],MATCH(Table5[[#This Row],[PID]],Table3[[#All],[PID]],0)))</f>
        <v>R</v>
      </c>
      <c r="J895" s="52" t="str">
        <f>IF($C895="B",INDEX(Batters[[#All],[WE]],MATCH(Table5[[#This Row],[PID]],Batters[[#All],[PID]],0)),INDEX(Table3[[#All],[WE]],MATCH(Table5[[#This Row],[PID]],Table3[[#All],[PID]],0)))</f>
        <v>Low</v>
      </c>
      <c r="K895" s="52" t="str">
        <f>IF($C895="B",INDEX(Batters[[#All],[INT]],MATCH(Table5[[#This Row],[PID]],Batters[[#All],[PID]],0)),INDEX(Table3[[#All],[INT]],MATCH(Table5[[#This Row],[PID]],Table3[[#All],[PID]],0)))</f>
        <v>Low</v>
      </c>
      <c r="L895" s="60">
        <f>IF($C895="B",INDEX(Batters[[#All],[CON P]],MATCH(Table5[[#This Row],[PID]],Batters[[#All],[PID]],0)),INDEX(Table3[[#All],[STU P]],MATCH(Table5[[#This Row],[PID]],Table3[[#All],[PID]],0)))</f>
        <v>3</v>
      </c>
      <c r="M895" s="56">
        <f>IF($C895="B",INDEX(Batters[[#All],[GAP P]],MATCH(Table5[[#This Row],[PID]],Batters[[#All],[PID]],0)),INDEX(Table3[[#All],[MOV P]],MATCH(Table5[[#This Row],[PID]],Table3[[#All],[PID]],0)))</f>
        <v>2</v>
      </c>
      <c r="N895" s="56">
        <f>IF($C895="B",INDEX(Batters[[#All],[POW P]],MATCH(Table5[[#This Row],[PID]],Batters[[#All],[PID]],0)),INDEX(Table3[[#All],[CON P]],MATCH(Table5[[#This Row],[PID]],Table3[[#All],[PID]],0)))</f>
        <v>3</v>
      </c>
      <c r="O895" s="56" t="str">
        <f>IF($C895="B",INDEX(Batters[[#All],[EYE P]],MATCH(Table5[[#This Row],[PID]],Batters[[#All],[PID]],0)),INDEX(Table3[[#All],[VELO]],MATCH(Table5[[#This Row],[PID]],Table3[[#All],[PID]],0)))</f>
        <v>87-89 Mph</v>
      </c>
      <c r="P895" s="56">
        <f>IF($C895="B",INDEX(Batters[[#All],[K P]],MATCH(Table5[[#This Row],[PID]],Batters[[#All],[PID]],0)),INDEX(Table3[[#All],[STM]],MATCH(Table5[[#This Row],[PID]],Table3[[#All],[PID]],0)))</f>
        <v>5</v>
      </c>
      <c r="Q895" s="61">
        <f>IF($C895="B",INDEX(Batters[[#All],[Tot]],MATCH(Table5[[#This Row],[PID]],Batters[[#All],[PID]],0)),INDEX(Table3[[#All],[Tot]],MATCH(Table5[[#This Row],[PID]],Table3[[#All],[PID]],0)))</f>
        <v>29.274371767938359</v>
      </c>
      <c r="R895" s="52">
        <f>IF($C895="B",INDEX(Batters[[#All],[zScore]],MATCH(Table5[[#This Row],[PID]],Batters[[#All],[PID]],0)),INDEX(Table3[[#All],[zScore]],MATCH(Table5[[#This Row],[PID]],Table3[[#All],[PID]],0)))</f>
        <v>-0.43883206427823868</v>
      </c>
      <c r="S895" s="58" t="str">
        <f>IF($C895="B",INDEX(Batters[[#All],[DEM]],MATCH(Table5[[#This Row],[PID]],Batters[[#All],[PID]],0)),INDEX(Table3[[#All],[DEM]],MATCH(Table5[[#This Row],[PID]],Table3[[#All],[PID]],0)))</f>
        <v>$75k</v>
      </c>
      <c r="T895" s="62">
        <f>IF($C895="B",INDEX(Batters[[#All],[Rnk]],MATCH(Table5[[#This Row],[PID]],Batters[[#All],[PID]],0)),INDEX(Table3[[#All],[Rnk]],MATCH(Table5[[#This Row],[PID]],Table3[[#All],[PID]],0)))</f>
        <v>488</v>
      </c>
      <c r="U895" s="68">
        <f>IF($C895="B",VLOOKUP($A895,Bat!$A$4:$BA$1621,47,FALSE),VLOOKUP($A895,Pit!$A$4:$BF$1557,56,FALSE))</f>
        <v>0</v>
      </c>
      <c r="V895" s="50">
        <f>IF($C895="B",VLOOKUP($A895,Bat!$A$4:$BA$1621,48,FALSE),VLOOKUP($A895,Pit!$A$4:$BF$1557,57,FALSE))</f>
        <v>0</v>
      </c>
      <c r="W895" s="50">
        <f>Table5[[#This Row],[posRnk]]+Table5[[#This Row],[zRnk]]+IF($W$3&lt;&gt;Table5[[#This Row],[Type]],50,0)</f>
        <v>1352</v>
      </c>
      <c r="X895" s="51">
        <f>RANK(Table5[[#This Row],[zScore]],Table5[[#All],[zScore]])</f>
        <v>814</v>
      </c>
      <c r="Y895" s="50" t="str">
        <f>IFERROR(INDEX(DraftResults[[#All],[OVR]],MATCH(Table5[[#This Row],[PID]],DraftResults[[#All],[Player ID]],0)),"")</f>
        <v/>
      </c>
      <c r="Z8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5" s="50" t="str">
        <f>IFERROR(INDEX(DraftResults[[#All],[Pick in Round]],MATCH(Table5[[#This Row],[PID]],DraftResults[[#All],[Player ID]],0)),"")</f>
        <v/>
      </c>
      <c r="AB895" s="50" t="str">
        <f>IFERROR(INDEX(DraftResults[[#All],[Team Name]],MATCH(Table5[[#This Row],[PID]],DraftResults[[#All],[Player ID]],0)),"")</f>
        <v/>
      </c>
      <c r="AC895" s="50" t="str">
        <f>IF(Table5[[#This Row],[Ovr]]="","",IF(Table5[[#This Row],[cmbList]]="","",Table5[[#This Row],[cmbList]]-Table5[[#This Row],[Ovr]]))</f>
        <v/>
      </c>
      <c r="AD895" s="54" t="str">
        <f>IF(ISERROR(VLOOKUP($AB895&amp;"-"&amp;$E895&amp;" "&amp;F895,Bonuses!$B$1:$G$1006,4,FALSE)),"",INT(VLOOKUP($AB895&amp;"-"&amp;$E895&amp;" "&amp;$F895,Bonuses!$B$1:$G$1006,4,FALSE)))</f>
        <v/>
      </c>
      <c r="AE8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6" spans="1:31" s="50" customFormat="1" x14ac:dyDescent="0.25">
      <c r="A896" s="68">
        <v>21004</v>
      </c>
      <c r="B896" s="69">
        <f>COUNTIF(Table5[PID],A896)</f>
        <v>1</v>
      </c>
      <c r="C896" s="69" t="str">
        <f>IF(COUNTIF(Table3[[#All],[PID]],A896)&gt;0,"P","B")</f>
        <v>P</v>
      </c>
      <c r="D896" s="59" t="str">
        <f>IF($C896="B",INDEX(Batters[[#All],[POS]],MATCH(Table5[[#This Row],[PID]],Batters[[#All],[PID]],0)),INDEX(Table3[[#All],[POS]],MATCH(Table5[[#This Row],[PID]],Table3[[#All],[PID]],0)))</f>
        <v>SP</v>
      </c>
      <c r="E896" s="52" t="str">
        <f>IF($C896="B",INDEX(Batters[[#All],[First]],MATCH(Table5[[#This Row],[PID]],Batters[[#All],[PID]],0)),INDEX(Table3[[#All],[First]],MATCH(Table5[[#This Row],[PID]],Table3[[#All],[PID]],0)))</f>
        <v>Mark</v>
      </c>
      <c r="F896" s="55" t="str">
        <f>IF($C896="B",INDEX(Batters[[#All],[Last]],MATCH(A896,Batters[[#All],[PID]],0)),INDEX(Table3[[#All],[Last]],MATCH(A896,Table3[[#All],[PID]],0)))</f>
        <v>Lenny</v>
      </c>
      <c r="G896" s="56">
        <f>IF($C896="B",INDEX(Batters[[#All],[Age]],MATCH(Table5[[#This Row],[PID]],Batters[[#All],[PID]],0)),INDEX(Table3[[#All],[Age]],MATCH(Table5[[#This Row],[PID]],Table3[[#All],[PID]],0)))</f>
        <v>18</v>
      </c>
      <c r="H896" s="52" t="str">
        <f>IF($C896="B",INDEX(Batters[[#All],[B]],MATCH(Table5[[#This Row],[PID]],Batters[[#All],[PID]],0)),INDEX(Table3[[#All],[B]],MATCH(Table5[[#This Row],[PID]],Table3[[#All],[PID]],0)))</f>
        <v>L</v>
      </c>
      <c r="I896" s="52" t="str">
        <f>IF($C896="B",INDEX(Batters[[#All],[T]],MATCH(Table5[[#This Row],[PID]],Batters[[#All],[PID]],0)),INDEX(Table3[[#All],[T]],MATCH(Table5[[#This Row],[PID]],Table3[[#All],[PID]],0)))</f>
        <v>L</v>
      </c>
      <c r="J896" s="71" t="str">
        <f>IF($C896="B",INDEX(Batters[[#All],[WE]],MATCH(Table5[[#This Row],[PID]],Batters[[#All],[PID]],0)),INDEX(Table3[[#All],[WE]],MATCH(Table5[[#This Row],[PID]],Table3[[#All],[PID]],0)))</f>
        <v>Normal</v>
      </c>
      <c r="K896" s="52" t="str">
        <f>IF($C896="B",INDEX(Batters[[#All],[INT]],MATCH(Table5[[#This Row],[PID]],Batters[[#All],[PID]],0)),INDEX(Table3[[#All],[INT]],MATCH(Table5[[#This Row],[PID]],Table3[[#All],[PID]],0)))</f>
        <v>Normal</v>
      </c>
      <c r="L896" s="60">
        <f>IF($C896="B",INDEX(Batters[[#All],[CON P]],MATCH(Table5[[#This Row],[PID]],Batters[[#All],[PID]],0)),INDEX(Table3[[#All],[STU P]],MATCH(Table5[[#This Row],[PID]],Table3[[#All],[PID]],0)))</f>
        <v>3</v>
      </c>
      <c r="M896" s="72">
        <f>IF($C896="B",INDEX(Batters[[#All],[GAP P]],MATCH(Table5[[#This Row],[PID]],Batters[[#All],[PID]],0)),INDEX(Table3[[#All],[MOV P]],MATCH(Table5[[#This Row],[PID]],Table3[[#All],[PID]],0)))</f>
        <v>2</v>
      </c>
      <c r="N896" s="72">
        <f>IF($C896="B",INDEX(Batters[[#All],[POW P]],MATCH(Table5[[#This Row],[PID]],Batters[[#All],[PID]],0)),INDEX(Table3[[#All],[CON P]],MATCH(Table5[[#This Row],[PID]],Table3[[#All],[PID]],0)))</f>
        <v>3</v>
      </c>
      <c r="O896" s="72" t="str">
        <f>IF($C896="B",INDEX(Batters[[#All],[EYE P]],MATCH(Table5[[#This Row],[PID]],Batters[[#All],[PID]],0)),INDEX(Table3[[#All],[VELO]],MATCH(Table5[[#This Row],[PID]],Table3[[#All],[PID]],0)))</f>
        <v>87-89 Mph</v>
      </c>
      <c r="P896" s="56">
        <f>IF($C896="B",INDEX(Batters[[#All],[K P]],MATCH(Table5[[#This Row],[PID]],Batters[[#All],[PID]],0)),INDEX(Table3[[#All],[STM]],MATCH(Table5[[#This Row],[PID]],Table3[[#All],[PID]],0)))</f>
        <v>10</v>
      </c>
      <c r="Q896" s="61">
        <f>IF($C896="B",INDEX(Batters[[#All],[Tot]],MATCH(Table5[[#This Row],[PID]],Batters[[#All],[PID]],0)),INDEX(Table3[[#All],[Tot]],MATCH(Table5[[#This Row],[PID]],Table3[[#All],[PID]],0)))</f>
        <v>29.268109702214431</v>
      </c>
      <c r="R896" s="52">
        <f>IF($C896="B",INDEX(Batters[[#All],[zScore]],MATCH(Table5[[#This Row],[PID]],Batters[[#All],[PID]],0)),INDEX(Table3[[#All],[zScore]],MATCH(Table5[[#This Row],[PID]],Table3[[#All],[PID]],0)))</f>
        <v>-0.4392486699417335</v>
      </c>
      <c r="S896" s="78" t="str">
        <f>IF($C896="B",INDEX(Batters[[#All],[DEM]],MATCH(Table5[[#This Row],[PID]],Batters[[#All],[PID]],0)),INDEX(Table3[[#All],[DEM]],MATCH(Table5[[#This Row],[PID]],Table3[[#All],[PID]],0)))</f>
        <v>$70k</v>
      </c>
      <c r="T896" s="75">
        <f>IF($C896="B",INDEX(Batters[[#All],[Rnk]],MATCH(Table5[[#This Row],[PID]],Batters[[#All],[PID]],0)),INDEX(Table3[[#All],[Rnk]],MATCH(Table5[[#This Row],[PID]],Table3[[#All],[PID]],0)))</f>
        <v>489</v>
      </c>
      <c r="U896" s="68">
        <f>IF($C896="B",VLOOKUP($A896,Bat!$A$4:$BA$1621,47,FALSE),VLOOKUP($A896,Pit!$A$4:$BF$1557,56,FALSE))</f>
        <v>0</v>
      </c>
      <c r="V896" s="50">
        <f>IF($C896="B",VLOOKUP($A896,Bat!$A$4:$BA$1621,48,FALSE),VLOOKUP($A896,Pit!$A$4:$BF$1557,57,FALSE))</f>
        <v>0</v>
      </c>
      <c r="W896" s="69">
        <f>Table5[[#This Row],[posRnk]]+Table5[[#This Row],[zRnk]]+IF($W$3&lt;&gt;Table5[[#This Row],[Type]],50,0)</f>
        <v>1354</v>
      </c>
      <c r="X896" s="73">
        <f>RANK(Table5[[#This Row],[zScore]],Table5[[#All],[zScore]])</f>
        <v>815</v>
      </c>
      <c r="Y896" s="69" t="str">
        <f>IFERROR(INDEX(DraftResults[[#All],[OVR]],MATCH(Table5[[#This Row],[PID]],DraftResults[[#All],[Player ID]],0)),"")</f>
        <v/>
      </c>
      <c r="Z89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6" s="69" t="str">
        <f>IFERROR(INDEX(DraftResults[[#All],[Pick in Round]],MATCH(Table5[[#This Row],[PID]],DraftResults[[#All],[Player ID]],0)),"")</f>
        <v/>
      </c>
      <c r="AB896" s="69" t="str">
        <f>IFERROR(INDEX(DraftResults[[#All],[Team Name]],MATCH(Table5[[#This Row],[PID]],DraftResults[[#All],[Player ID]],0)),"")</f>
        <v/>
      </c>
      <c r="AC896" s="69" t="str">
        <f>IF(Table5[[#This Row],[Ovr]]="","",IF(Table5[[#This Row],[cmbList]]="","",Table5[[#This Row],[cmbList]]-Table5[[#This Row],[Ovr]]))</f>
        <v/>
      </c>
      <c r="AD896" s="77" t="str">
        <f>IF(ISERROR(VLOOKUP($AB896&amp;"-"&amp;$E896&amp;" "&amp;F896,Bonuses!$B$1:$G$1006,4,FALSE)),"",INT(VLOOKUP($AB896&amp;"-"&amp;$E896&amp;" "&amp;$F896,Bonuses!$B$1:$G$1006,4,FALSE)))</f>
        <v/>
      </c>
      <c r="AE89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7" spans="1:31" s="50" customFormat="1" x14ac:dyDescent="0.25">
      <c r="A897" s="68">
        <v>17800</v>
      </c>
      <c r="B897" s="69">
        <f>COUNTIF(Table5[PID],A897)</f>
        <v>1</v>
      </c>
      <c r="C897" s="69" t="str">
        <f>IF(COUNTIF(Table3[[#All],[PID]],A897)&gt;0,"P","B")</f>
        <v>P</v>
      </c>
      <c r="D897" s="59" t="str">
        <f>IF($C897="B",INDEX(Batters[[#All],[POS]],MATCH(Table5[[#This Row],[PID]],Batters[[#All],[PID]],0)),INDEX(Table3[[#All],[POS]],MATCH(Table5[[#This Row],[PID]],Table3[[#All],[PID]],0)))</f>
        <v>SP</v>
      </c>
      <c r="E897" s="52" t="str">
        <f>IF($C897="B",INDEX(Batters[[#All],[First]],MATCH(Table5[[#This Row],[PID]],Batters[[#All],[PID]],0)),INDEX(Table3[[#All],[First]],MATCH(Table5[[#This Row],[PID]],Table3[[#All],[PID]],0)))</f>
        <v>Tim</v>
      </c>
      <c r="F897" s="55" t="str">
        <f>IF($C897="B",INDEX(Batters[[#All],[Last]],MATCH(A897,Batters[[#All],[PID]],0)),INDEX(Table3[[#All],[Last]],MATCH(A897,Table3[[#All],[PID]],0)))</f>
        <v>Tregear</v>
      </c>
      <c r="G897" s="56">
        <f>IF($C897="B",INDEX(Batters[[#All],[Age]],MATCH(Table5[[#This Row],[PID]],Batters[[#All],[PID]],0)),INDEX(Table3[[#All],[Age]],MATCH(Table5[[#This Row],[PID]],Table3[[#All],[PID]],0)))</f>
        <v>21</v>
      </c>
      <c r="H897" s="52" t="str">
        <f>IF($C897="B",INDEX(Batters[[#All],[B]],MATCH(Table5[[#This Row],[PID]],Batters[[#All],[PID]],0)),INDEX(Table3[[#All],[B]],MATCH(Table5[[#This Row],[PID]],Table3[[#All],[PID]],0)))</f>
        <v>R</v>
      </c>
      <c r="I897" s="52" t="str">
        <f>IF($C897="B",INDEX(Batters[[#All],[T]],MATCH(Table5[[#This Row],[PID]],Batters[[#All],[PID]],0)),INDEX(Table3[[#All],[T]],MATCH(Table5[[#This Row],[PID]],Table3[[#All],[PID]],0)))</f>
        <v>R</v>
      </c>
      <c r="J897" s="71" t="str">
        <f>IF($C897="B",INDEX(Batters[[#All],[WE]],MATCH(Table5[[#This Row],[PID]],Batters[[#All],[PID]],0)),INDEX(Table3[[#All],[WE]],MATCH(Table5[[#This Row],[PID]],Table3[[#All],[PID]],0)))</f>
        <v>Low</v>
      </c>
      <c r="K897" s="52" t="str">
        <f>IF($C897="B",INDEX(Batters[[#All],[INT]],MATCH(Table5[[#This Row],[PID]],Batters[[#All],[PID]],0)),INDEX(Table3[[#All],[INT]],MATCH(Table5[[#This Row],[PID]],Table3[[#All],[PID]],0)))</f>
        <v>High</v>
      </c>
      <c r="L897" s="60">
        <f>IF($C897="B",INDEX(Batters[[#All],[CON P]],MATCH(Table5[[#This Row],[PID]],Batters[[#All],[PID]],0)),INDEX(Table3[[#All],[STU P]],MATCH(Table5[[#This Row],[PID]],Table3[[#All],[PID]],0)))</f>
        <v>4</v>
      </c>
      <c r="M897" s="72">
        <f>IF($C897="B",INDEX(Batters[[#All],[GAP P]],MATCH(Table5[[#This Row],[PID]],Batters[[#All],[PID]],0)),INDEX(Table3[[#All],[MOV P]],MATCH(Table5[[#This Row],[PID]],Table3[[#All],[PID]],0)))</f>
        <v>2</v>
      </c>
      <c r="N897" s="72">
        <f>IF($C897="B",INDEX(Batters[[#All],[POW P]],MATCH(Table5[[#This Row],[PID]],Batters[[#All],[PID]],0)),INDEX(Table3[[#All],[CON P]],MATCH(Table5[[#This Row],[PID]],Table3[[#All],[PID]],0)))</f>
        <v>3</v>
      </c>
      <c r="O897" s="72" t="str">
        <f>IF($C897="B",INDEX(Batters[[#All],[EYE P]],MATCH(Table5[[#This Row],[PID]],Batters[[#All],[PID]],0)),INDEX(Table3[[#All],[VELO]],MATCH(Table5[[#This Row],[PID]],Table3[[#All],[PID]],0)))</f>
        <v>91-93 Mph</v>
      </c>
      <c r="P897" s="56">
        <f>IF($C897="B",INDEX(Batters[[#All],[K P]],MATCH(Table5[[#This Row],[PID]],Batters[[#All],[PID]],0)),INDEX(Table3[[#All],[STM]],MATCH(Table5[[#This Row],[PID]],Table3[[#All],[PID]],0)))</f>
        <v>7</v>
      </c>
      <c r="Q897" s="61">
        <f>IF($C897="B",INDEX(Batters[[#All],[Tot]],MATCH(Table5[[#This Row],[PID]],Batters[[#All],[PID]],0)),INDEX(Table3[[#All],[Tot]],MATCH(Table5[[#This Row],[PID]],Table3[[#All],[PID]],0)))</f>
        <v>30.661788114013717</v>
      </c>
      <c r="R897" s="52">
        <f>IF($C897="B",INDEX(Batters[[#All],[zScore]],MATCH(Table5[[#This Row],[PID]],Batters[[#All],[PID]],0)),INDEX(Table3[[#All],[zScore]],MATCH(Table5[[#This Row],[PID]],Table3[[#All],[PID]],0)))</f>
        <v>-0.44269105373560957</v>
      </c>
      <c r="S897" s="78" t="str">
        <f>IF($C897="B",INDEX(Batters[[#All],[DEM]],MATCH(Table5[[#This Row],[PID]],Batters[[#All],[PID]],0)),INDEX(Table3[[#All],[DEM]],MATCH(Table5[[#This Row],[PID]],Table3[[#All],[PID]],0)))</f>
        <v>-</v>
      </c>
      <c r="T897" s="75">
        <f>IF($C897="B",INDEX(Batters[[#All],[Rnk]],MATCH(Table5[[#This Row],[PID]],Batters[[#All],[PID]],0)),INDEX(Table3[[#All],[Rnk]],MATCH(Table5[[#This Row],[PID]],Table3[[#All],[PID]],0)))</f>
        <v>490</v>
      </c>
      <c r="U897" s="68">
        <f>IF($C897="B",VLOOKUP($A897,Bat!$A$4:$BA$1621,47,FALSE),VLOOKUP($A897,Pit!$A$4:$BF$1557,56,FALSE))</f>
        <v>0</v>
      </c>
      <c r="V897" s="50">
        <f>IF($C897="B",VLOOKUP($A897,Bat!$A$4:$BA$1621,48,FALSE),VLOOKUP($A897,Pit!$A$4:$BF$1557,57,FALSE))</f>
        <v>0</v>
      </c>
      <c r="W897" s="69">
        <f>Table5[[#This Row],[posRnk]]+Table5[[#This Row],[zRnk]]+IF($W$3&lt;&gt;Table5[[#This Row],[Type]],50,0)</f>
        <v>1356</v>
      </c>
      <c r="X897" s="73">
        <f>RANK(Table5[[#This Row],[zScore]],Table5[[#All],[zScore]])</f>
        <v>816</v>
      </c>
      <c r="Y897" s="69" t="str">
        <f>IFERROR(INDEX(DraftResults[[#All],[OVR]],MATCH(Table5[[#This Row],[PID]],DraftResults[[#All],[Player ID]],0)),"")</f>
        <v/>
      </c>
      <c r="Z89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7" s="69" t="str">
        <f>IFERROR(INDEX(DraftResults[[#All],[Pick in Round]],MATCH(Table5[[#This Row],[PID]],DraftResults[[#All],[Player ID]],0)),"")</f>
        <v/>
      </c>
      <c r="AB897" s="69" t="str">
        <f>IFERROR(INDEX(DraftResults[[#All],[Team Name]],MATCH(Table5[[#This Row],[PID]],DraftResults[[#All],[Player ID]],0)),"")</f>
        <v/>
      </c>
      <c r="AC897" s="69" t="str">
        <f>IF(Table5[[#This Row],[Ovr]]="","",IF(Table5[[#This Row],[cmbList]]="","",Table5[[#This Row],[cmbList]]-Table5[[#This Row],[Ovr]]))</f>
        <v/>
      </c>
      <c r="AD897" s="77" t="str">
        <f>IF(ISERROR(VLOOKUP($AB897&amp;"-"&amp;$E897&amp;" "&amp;F897,Bonuses!$B$1:$G$1006,4,FALSE)),"",INT(VLOOKUP($AB897&amp;"-"&amp;$E897&amp;" "&amp;$F897,Bonuses!$B$1:$G$1006,4,FALSE)))</f>
        <v/>
      </c>
      <c r="AE89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8" spans="1:31" s="50" customFormat="1" x14ac:dyDescent="0.25">
      <c r="A898" s="50">
        <v>18025</v>
      </c>
      <c r="B898" s="50">
        <f>COUNTIF(Table5[PID],A898)</f>
        <v>1</v>
      </c>
      <c r="C898" s="50" t="str">
        <f>IF(COUNTIF(Table3[[#All],[PID]],A898)&gt;0,"P","B")</f>
        <v>P</v>
      </c>
      <c r="D898" s="59" t="str">
        <f>IF($C898="B",INDEX(Batters[[#All],[POS]],MATCH(Table5[[#This Row],[PID]],Batters[[#All],[PID]],0)),INDEX(Table3[[#All],[POS]],MATCH(Table5[[#This Row],[PID]],Table3[[#All],[PID]],0)))</f>
        <v>RP</v>
      </c>
      <c r="E898" s="52" t="str">
        <f>IF($C898="B",INDEX(Batters[[#All],[First]],MATCH(Table5[[#This Row],[PID]],Batters[[#All],[PID]],0)),INDEX(Table3[[#All],[First]],MATCH(Table5[[#This Row],[PID]],Table3[[#All],[PID]],0)))</f>
        <v>Adam</v>
      </c>
      <c r="F898" s="50" t="str">
        <f>IF($C898="B",INDEX(Batters[[#All],[Last]],MATCH(A898,Batters[[#All],[PID]],0)),INDEX(Table3[[#All],[Last]],MATCH(A898,Table3[[#All],[PID]],0)))</f>
        <v>Gibson</v>
      </c>
      <c r="G898" s="56">
        <f>IF($C898="B",INDEX(Batters[[#All],[Age]],MATCH(Table5[[#This Row],[PID]],Batters[[#All],[PID]],0)),INDEX(Table3[[#All],[Age]],MATCH(Table5[[#This Row],[PID]],Table3[[#All],[PID]],0)))</f>
        <v>21</v>
      </c>
      <c r="H898" s="52" t="str">
        <f>IF($C898="B",INDEX(Batters[[#All],[B]],MATCH(Table5[[#This Row],[PID]],Batters[[#All],[PID]],0)),INDEX(Table3[[#All],[B]],MATCH(Table5[[#This Row],[PID]],Table3[[#All],[PID]],0)))</f>
        <v>L</v>
      </c>
      <c r="I898" s="52" t="str">
        <f>IF($C898="B",INDEX(Batters[[#All],[T]],MATCH(Table5[[#This Row],[PID]],Batters[[#All],[PID]],0)),INDEX(Table3[[#All],[T]],MATCH(Table5[[#This Row],[PID]],Table3[[#All],[PID]],0)))</f>
        <v>R</v>
      </c>
      <c r="J898" s="52" t="str">
        <f>IF($C898="B",INDEX(Batters[[#All],[WE]],MATCH(Table5[[#This Row],[PID]],Batters[[#All],[PID]],0)),INDEX(Table3[[#All],[WE]],MATCH(Table5[[#This Row],[PID]],Table3[[#All],[PID]],0)))</f>
        <v>Normal</v>
      </c>
      <c r="K898" s="52" t="str">
        <f>IF($C898="B",INDEX(Batters[[#All],[INT]],MATCH(Table5[[#This Row],[PID]],Batters[[#All],[PID]],0)),INDEX(Table3[[#All],[INT]],MATCH(Table5[[#This Row],[PID]],Table3[[#All],[PID]],0)))</f>
        <v>Normal</v>
      </c>
      <c r="L898" s="60">
        <f>IF($C898="B",INDEX(Batters[[#All],[CON P]],MATCH(Table5[[#This Row],[PID]],Batters[[#All],[PID]],0)),INDEX(Table3[[#All],[STU P]],MATCH(Table5[[#This Row],[PID]],Table3[[#All],[PID]],0)))</f>
        <v>4</v>
      </c>
      <c r="M898" s="56">
        <f>IF($C898="B",INDEX(Batters[[#All],[GAP P]],MATCH(Table5[[#This Row],[PID]],Batters[[#All],[PID]],0)),INDEX(Table3[[#All],[MOV P]],MATCH(Table5[[#This Row],[PID]],Table3[[#All],[PID]],0)))</f>
        <v>2</v>
      </c>
      <c r="N898" s="56">
        <f>IF($C898="B",INDEX(Batters[[#All],[POW P]],MATCH(Table5[[#This Row],[PID]],Batters[[#All],[PID]],0)),INDEX(Table3[[#All],[CON P]],MATCH(Table5[[#This Row],[PID]],Table3[[#All],[PID]],0)))</f>
        <v>3</v>
      </c>
      <c r="O898" s="56" t="str">
        <f>IF($C898="B",INDEX(Batters[[#All],[EYE P]],MATCH(Table5[[#This Row],[PID]],Batters[[#All],[PID]],0)),INDEX(Table3[[#All],[VELO]],MATCH(Table5[[#This Row],[PID]],Table3[[#All],[PID]],0)))</f>
        <v>89-91 Mph</v>
      </c>
      <c r="P898" s="56">
        <f>IF($C898="B",INDEX(Batters[[#All],[K P]],MATCH(Table5[[#This Row],[PID]],Batters[[#All],[PID]],0)),INDEX(Table3[[#All],[STM]],MATCH(Table5[[#This Row],[PID]],Table3[[#All],[PID]],0)))</f>
        <v>8</v>
      </c>
      <c r="Q898" s="61">
        <f>IF($C898="B",INDEX(Batters[[#All],[Tot]],MATCH(Table5[[#This Row],[PID]],Batters[[#All],[PID]],0)),INDEX(Table3[[#All],[Tot]],MATCH(Table5[[#This Row],[PID]],Table3[[#All],[PID]],0)))</f>
        <v>29.200874457299729</v>
      </c>
      <c r="R898" s="52">
        <f>IF($C898="B",INDEX(Batters[[#All],[zScore]],MATCH(Table5[[#This Row],[PID]],Batters[[#All],[PID]],0)),INDEX(Table3[[#All],[zScore]],MATCH(Table5[[#This Row],[PID]],Table3[[#All],[PID]],0)))</f>
        <v>-0.44372172804313642</v>
      </c>
      <c r="S898" s="58" t="str">
        <f>IF($C898="B",INDEX(Batters[[#All],[DEM]],MATCH(Table5[[#This Row],[PID]],Batters[[#All],[PID]],0)),INDEX(Table3[[#All],[DEM]],MATCH(Table5[[#This Row],[PID]],Table3[[#All],[PID]],0)))</f>
        <v>-</v>
      </c>
      <c r="T898" s="62">
        <f>IF($C898="B",INDEX(Batters[[#All],[Rnk]],MATCH(Table5[[#This Row],[PID]],Batters[[#All],[PID]],0)),INDEX(Table3[[#All],[Rnk]],MATCH(Table5[[#This Row],[PID]],Table3[[#All],[PID]],0)))</f>
        <v>491</v>
      </c>
      <c r="U898" s="68">
        <f>IF($C898="B",VLOOKUP($A898,Bat!$A$4:$BA$1621,47,FALSE),VLOOKUP($A898,Pit!$A$4:$BF$1557,56,FALSE))</f>
        <v>0</v>
      </c>
      <c r="V898" s="50">
        <f>IF($C898="B",VLOOKUP($A898,Bat!$A$4:$BA$1621,48,FALSE),VLOOKUP($A898,Pit!$A$4:$BF$1557,57,FALSE))</f>
        <v>0</v>
      </c>
      <c r="W898" s="50">
        <f>Table5[[#This Row],[posRnk]]+Table5[[#This Row],[zRnk]]+IF($W$3&lt;&gt;Table5[[#This Row],[Type]],50,0)</f>
        <v>1358</v>
      </c>
      <c r="X898" s="51">
        <f>RANK(Table5[[#This Row],[zScore]],Table5[[#All],[zScore]])</f>
        <v>817</v>
      </c>
      <c r="Y898" s="50" t="str">
        <f>IFERROR(INDEX(DraftResults[[#All],[OVR]],MATCH(Table5[[#This Row],[PID]],DraftResults[[#All],[Player ID]],0)),"")</f>
        <v/>
      </c>
      <c r="Z8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8" s="50" t="str">
        <f>IFERROR(INDEX(DraftResults[[#All],[Pick in Round]],MATCH(Table5[[#This Row],[PID]],DraftResults[[#All],[Player ID]],0)),"")</f>
        <v/>
      </c>
      <c r="AB898" s="50" t="str">
        <f>IFERROR(INDEX(DraftResults[[#All],[Team Name]],MATCH(Table5[[#This Row],[PID]],DraftResults[[#All],[Player ID]],0)),"")</f>
        <v/>
      </c>
      <c r="AC898" s="50" t="str">
        <f>IF(Table5[[#This Row],[Ovr]]="","",IF(Table5[[#This Row],[cmbList]]="","",Table5[[#This Row],[cmbList]]-Table5[[#This Row],[Ovr]]))</f>
        <v/>
      </c>
      <c r="AD898" s="54" t="str">
        <f>IF(ISERROR(VLOOKUP($AB898&amp;"-"&amp;$E898&amp;" "&amp;F898,Bonuses!$B$1:$G$1006,4,FALSE)),"",INT(VLOOKUP($AB898&amp;"-"&amp;$E898&amp;" "&amp;$F898,Bonuses!$B$1:$G$1006,4,FALSE)))</f>
        <v/>
      </c>
      <c r="AE8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899" spans="1:31" s="50" customFormat="1" x14ac:dyDescent="0.25">
      <c r="A899" s="50">
        <v>6047</v>
      </c>
      <c r="B899" s="50">
        <f>COUNTIF(Table5[PID],A899)</f>
        <v>1</v>
      </c>
      <c r="C899" s="50" t="str">
        <f>IF(COUNTIF(Table3[[#All],[PID]],A899)&gt;0,"P","B")</f>
        <v>P</v>
      </c>
      <c r="D899" s="59" t="str">
        <f>IF($C899="B",INDEX(Batters[[#All],[POS]],MATCH(Table5[[#This Row],[PID]],Batters[[#All],[PID]],0)),INDEX(Table3[[#All],[POS]],MATCH(Table5[[#This Row],[PID]],Table3[[#All],[PID]],0)))</f>
        <v>RP</v>
      </c>
      <c r="E899" s="52" t="str">
        <f>IF($C899="B",INDEX(Batters[[#All],[First]],MATCH(Table5[[#This Row],[PID]],Batters[[#All],[PID]],0)),INDEX(Table3[[#All],[First]],MATCH(Table5[[#This Row],[PID]],Table3[[#All],[PID]],0)))</f>
        <v>Bryant</v>
      </c>
      <c r="F899" s="50" t="str">
        <f>IF($C899="B",INDEX(Batters[[#All],[Last]],MATCH(A899,Batters[[#All],[PID]],0)),INDEX(Table3[[#All],[Last]],MATCH(A899,Table3[[#All],[PID]],0)))</f>
        <v>McConnell</v>
      </c>
      <c r="G899" s="56">
        <f>IF($C899="B",INDEX(Batters[[#All],[Age]],MATCH(Table5[[#This Row],[PID]],Batters[[#All],[PID]],0)),INDEX(Table3[[#All],[Age]],MATCH(Table5[[#This Row],[PID]],Table3[[#All],[PID]],0)))</f>
        <v>22</v>
      </c>
      <c r="H899" s="52" t="str">
        <f>IF($C899="B",INDEX(Batters[[#All],[B]],MATCH(Table5[[#This Row],[PID]],Batters[[#All],[PID]],0)),INDEX(Table3[[#All],[B]],MATCH(Table5[[#This Row],[PID]],Table3[[#All],[PID]],0)))</f>
        <v>R</v>
      </c>
      <c r="I899" s="52" t="str">
        <f>IF($C899="B",INDEX(Batters[[#All],[T]],MATCH(Table5[[#This Row],[PID]],Batters[[#All],[PID]],0)),INDEX(Table3[[#All],[T]],MATCH(Table5[[#This Row],[PID]],Table3[[#All],[PID]],0)))</f>
        <v>R</v>
      </c>
      <c r="J899" s="52" t="str">
        <f>IF($C899="B",INDEX(Batters[[#All],[WE]],MATCH(Table5[[#This Row],[PID]],Batters[[#All],[PID]],0)),INDEX(Table3[[#All],[WE]],MATCH(Table5[[#This Row],[PID]],Table3[[#All],[PID]],0)))</f>
        <v>Low</v>
      </c>
      <c r="K899" s="52" t="str">
        <f>IF($C899="B",INDEX(Batters[[#All],[INT]],MATCH(Table5[[#This Row],[PID]],Batters[[#All],[PID]],0)),INDEX(Table3[[#All],[INT]],MATCH(Table5[[#This Row],[PID]],Table3[[#All],[PID]],0)))</f>
        <v>Normal</v>
      </c>
      <c r="L899" s="60">
        <f>IF($C899="B",INDEX(Batters[[#All],[CON P]],MATCH(Table5[[#This Row],[PID]],Batters[[#All],[PID]],0)),INDEX(Table3[[#All],[STU P]],MATCH(Table5[[#This Row],[PID]],Table3[[#All],[PID]],0)))</f>
        <v>4</v>
      </c>
      <c r="M899" s="56">
        <f>IF($C899="B",INDEX(Batters[[#All],[GAP P]],MATCH(Table5[[#This Row],[PID]],Batters[[#All],[PID]],0)),INDEX(Table3[[#All],[MOV P]],MATCH(Table5[[#This Row],[PID]],Table3[[#All],[PID]],0)))</f>
        <v>2</v>
      </c>
      <c r="N899" s="56">
        <f>IF($C899="B",INDEX(Batters[[#All],[POW P]],MATCH(Table5[[#This Row],[PID]],Batters[[#All],[PID]],0)),INDEX(Table3[[#All],[CON P]],MATCH(Table5[[#This Row],[PID]],Table3[[#All],[PID]],0)))</f>
        <v>3</v>
      </c>
      <c r="O899" s="56" t="str">
        <f>IF($C899="B",INDEX(Batters[[#All],[EYE P]],MATCH(Table5[[#This Row],[PID]],Batters[[#All],[PID]],0)),INDEX(Table3[[#All],[VELO]],MATCH(Table5[[#This Row],[PID]],Table3[[#All],[PID]],0)))</f>
        <v>87-89 Mph</v>
      </c>
      <c r="P899" s="56">
        <f>IF($C899="B",INDEX(Batters[[#All],[K P]],MATCH(Table5[[#This Row],[PID]],Batters[[#All],[PID]],0)),INDEX(Table3[[#All],[STM]],MATCH(Table5[[#This Row],[PID]],Table3[[#All],[PID]],0)))</f>
        <v>9</v>
      </c>
      <c r="Q899" s="61">
        <f>IF($C899="B",INDEX(Batters[[#All],[Tot]],MATCH(Table5[[#This Row],[PID]],Batters[[#All],[PID]],0)),INDEX(Table3[[#All],[Tot]],MATCH(Table5[[#This Row],[PID]],Table3[[#All],[PID]],0)))</f>
        <v>29.199338570510552</v>
      </c>
      <c r="R899" s="52">
        <f>IF($C899="B",INDEX(Batters[[#All],[zScore]],MATCH(Table5[[#This Row],[PID]],Batters[[#All],[PID]],0)),INDEX(Table3[[#All],[zScore]],MATCH(Table5[[#This Row],[PID]],Table3[[#All],[PID]],0)))</f>
        <v>-0.44382390824421819</v>
      </c>
      <c r="S899" s="58" t="str">
        <f>IF($C899="B",INDEX(Batters[[#All],[DEM]],MATCH(Table5[[#This Row],[PID]],Batters[[#All],[PID]],0)),INDEX(Table3[[#All],[DEM]],MATCH(Table5[[#This Row],[PID]],Table3[[#All],[PID]],0)))</f>
        <v>-</v>
      </c>
      <c r="T899" s="62">
        <f>IF($C899="B",INDEX(Batters[[#All],[Rnk]],MATCH(Table5[[#This Row],[PID]],Batters[[#All],[PID]],0)),INDEX(Table3[[#All],[Rnk]],MATCH(Table5[[#This Row],[PID]],Table3[[#All],[PID]],0)))</f>
        <v>492</v>
      </c>
      <c r="U899" s="68">
        <f>IF($C899="B",VLOOKUP($A899,Bat!$A$4:$BA$1621,47,FALSE),VLOOKUP($A899,Pit!$A$4:$BF$1557,56,FALSE))</f>
        <v>0</v>
      </c>
      <c r="V899" s="50">
        <f>IF($C899="B",VLOOKUP($A899,Bat!$A$4:$BA$1621,48,FALSE),VLOOKUP($A899,Pit!$A$4:$BF$1557,57,FALSE))</f>
        <v>0</v>
      </c>
      <c r="W899" s="50">
        <f>Table5[[#This Row],[posRnk]]+Table5[[#This Row],[zRnk]]+IF($W$3&lt;&gt;Table5[[#This Row],[Type]],50,0)</f>
        <v>1360</v>
      </c>
      <c r="X899" s="51">
        <f>RANK(Table5[[#This Row],[zScore]],Table5[[#All],[zScore]])</f>
        <v>818</v>
      </c>
      <c r="Y899" s="50" t="str">
        <f>IFERROR(INDEX(DraftResults[[#All],[OVR]],MATCH(Table5[[#This Row],[PID]],DraftResults[[#All],[Player ID]],0)),"")</f>
        <v/>
      </c>
      <c r="Z8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899" s="50" t="str">
        <f>IFERROR(INDEX(DraftResults[[#All],[Pick in Round]],MATCH(Table5[[#This Row],[PID]],DraftResults[[#All],[Player ID]],0)),"")</f>
        <v/>
      </c>
      <c r="AB899" s="50" t="str">
        <f>IFERROR(INDEX(DraftResults[[#All],[Team Name]],MATCH(Table5[[#This Row],[PID]],DraftResults[[#All],[Player ID]],0)),"")</f>
        <v/>
      </c>
      <c r="AC899" s="50" t="str">
        <f>IF(Table5[[#This Row],[Ovr]]="","",IF(Table5[[#This Row],[cmbList]]="","",Table5[[#This Row],[cmbList]]-Table5[[#This Row],[Ovr]]))</f>
        <v/>
      </c>
      <c r="AD899" s="54" t="str">
        <f>IF(ISERROR(VLOOKUP($AB899&amp;"-"&amp;$E899&amp;" "&amp;F899,Bonuses!$B$1:$G$1006,4,FALSE)),"",INT(VLOOKUP($AB899&amp;"-"&amp;$E899&amp;" "&amp;$F899,Bonuses!$B$1:$G$1006,4,FALSE)))</f>
        <v/>
      </c>
      <c r="AE8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0" spans="1:31" s="50" customFormat="1" x14ac:dyDescent="0.25">
      <c r="A900" s="68">
        <v>17582</v>
      </c>
      <c r="B900" s="69">
        <f>COUNTIF(Table5[PID],A900)</f>
        <v>1</v>
      </c>
      <c r="C900" s="69" t="str">
        <f>IF(COUNTIF(Table3[[#All],[PID]],A900)&gt;0,"P","B")</f>
        <v>P</v>
      </c>
      <c r="D900" s="59" t="str">
        <f>IF($C900="B",INDEX(Batters[[#All],[POS]],MATCH(Table5[[#This Row],[PID]],Batters[[#All],[PID]],0)),INDEX(Table3[[#All],[POS]],MATCH(Table5[[#This Row],[PID]],Table3[[#All],[PID]],0)))</f>
        <v>SP</v>
      </c>
      <c r="E900" s="52" t="str">
        <f>IF($C900="B",INDEX(Batters[[#All],[First]],MATCH(Table5[[#This Row],[PID]],Batters[[#All],[PID]],0)),INDEX(Table3[[#All],[First]],MATCH(Table5[[#This Row],[PID]],Table3[[#All],[PID]],0)))</f>
        <v>Eduardo</v>
      </c>
      <c r="F900" s="55" t="str">
        <f>IF($C900="B",INDEX(Batters[[#All],[Last]],MATCH(A900,Batters[[#All],[PID]],0)),INDEX(Table3[[#All],[Last]],MATCH(A900,Table3[[#All],[PID]],0)))</f>
        <v>Monroe</v>
      </c>
      <c r="G900" s="56">
        <f>IF($C900="B",INDEX(Batters[[#All],[Age]],MATCH(Table5[[#This Row],[PID]],Batters[[#All],[PID]],0)),INDEX(Table3[[#All],[Age]],MATCH(Table5[[#This Row],[PID]],Table3[[#All],[PID]],0)))</f>
        <v>18</v>
      </c>
      <c r="H900" s="52" t="str">
        <f>IF($C900="B",INDEX(Batters[[#All],[B]],MATCH(Table5[[#This Row],[PID]],Batters[[#All],[PID]],0)),INDEX(Table3[[#All],[B]],MATCH(Table5[[#This Row],[PID]],Table3[[#All],[PID]],0)))</f>
        <v>L</v>
      </c>
      <c r="I900" s="52" t="str">
        <f>IF($C900="B",INDEX(Batters[[#All],[T]],MATCH(Table5[[#This Row],[PID]],Batters[[#All],[PID]],0)),INDEX(Table3[[#All],[T]],MATCH(Table5[[#This Row],[PID]],Table3[[#All],[PID]],0)))</f>
        <v>L</v>
      </c>
      <c r="J900" s="71" t="str">
        <f>IF($C900="B",INDEX(Batters[[#All],[WE]],MATCH(Table5[[#This Row],[PID]],Batters[[#All],[PID]],0)),INDEX(Table3[[#All],[WE]],MATCH(Table5[[#This Row],[PID]],Table3[[#All],[PID]],0)))</f>
        <v>High</v>
      </c>
      <c r="K900" s="52" t="str">
        <f>IF($C900="B",INDEX(Batters[[#All],[INT]],MATCH(Table5[[#This Row],[PID]],Batters[[#All],[PID]],0)),INDEX(Table3[[#All],[INT]],MATCH(Table5[[#This Row],[PID]],Table3[[#All],[PID]],0)))</f>
        <v>Low</v>
      </c>
      <c r="L900" s="60">
        <f>IF($C900="B",INDEX(Batters[[#All],[CON P]],MATCH(Table5[[#This Row],[PID]],Batters[[#All],[PID]],0)),INDEX(Table3[[#All],[STU P]],MATCH(Table5[[#This Row],[PID]],Table3[[#All],[PID]],0)))</f>
        <v>4</v>
      </c>
      <c r="M900" s="72">
        <f>IF($C900="B",INDEX(Batters[[#All],[GAP P]],MATCH(Table5[[#This Row],[PID]],Batters[[#All],[PID]],0)),INDEX(Table3[[#All],[MOV P]],MATCH(Table5[[#This Row],[PID]],Table3[[#All],[PID]],0)))</f>
        <v>1</v>
      </c>
      <c r="N900" s="72">
        <f>IF($C900="B",INDEX(Batters[[#All],[POW P]],MATCH(Table5[[#This Row],[PID]],Batters[[#All],[PID]],0)),INDEX(Table3[[#All],[CON P]],MATCH(Table5[[#This Row],[PID]],Table3[[#All],[PID]],0)))</f>
        <v>3</v>
      </c>
      <c r="O900" s="72" t="str">
        <f>IF($C900="B",INDEX(Batters[[#All],[EYE P]],MATCH(Table5[[#This Row],[PID]],Batters[[#All],[PID]],0)),INDEX(Table3[[#All],[VELO]],MATCH(Table5[[#This Row],[PID]],Table3[[#All],[PID]],0)))</f>
        <v>91-93 Mph</v>
      </c>
      <c r="P900" s="56">
        <f>IF($C900="B",INDEX(Batters[[#All],[K P]],MATCH(Table5[[#This Row],[PID]],Batters[[#All],[PID]],0)),INDEX(Table3[[#All],[STM]],MATCH(Table5[[#This Row],[PID]],Table3[[#All],[PID]],0)))</f>
        <v>4</v>
      </c>
      <c r="Q900" s="61">
        <f>IF($C900="B",INDEX(Batters[[#All],[Tot]],MATCH(Table5[[#This Row],[PID]],Batters[[#All],[PID]],0)),INDEX(Table3[[#All],[Tot]],MATCH(Table5[[#This Row],[PID]],Table3[[#All],[PID]],0)))</f>
        <v>29.190496096141977</v>
      </c>
      <c r="R900" s="52">
        <f>IF($C900="B",INDEX(Batters[[#All],[zScore]],MATCH(Table5[[#This Row],[PID]],Batters[[#All],[PID]],0)),INDEX(Table3[[#All],[zScore]],MATCH(Table5[[#This Row],[PID]],Table3[[#All],[PID]],0)))</f>
        <v>-0.44441218455169618</v>
      </c>
      <c r="S900" s="78" t="str">
        <f>IF($C900="B",INDEX(Batters[[#All],[DEM]],MATCH(Table5[[#This Row],[PID]],Batters[[#All],[PID]],0)),INDEX(Table3[[#All],[DEM]],MATCH(Table5[[#This Row],[PID]],Table3[[#All],[PID]],0)))</f>
        <v>$65k</v>
      </c>
      <c r="T900" s="75">
        <f>IF($C900="B",INDEX(Batters[[#All],[Rnk]],MATCH(Table5[[#This Row],[PID]],Batters[[#All],[PID]],0)),INDEX(Table3[[#All],[Rnk]],MATCH(Table5[[#This Row],[PID]],Table3[[#All],[PID]],0)))</f>
        <v>493</v>
      </c>
      <c r="U900" s="68">
        <f>IF($C900="B",VLOOKUP($A900,Bat!$A$4:$BA$1621,47,FALSE),VLOOKUP($A900,Pit!$A$4:$BF$1557,56,FALSE))</f>
        <v>0</v>
      </c>
      <c r="V900" s="50">
        <f>IF($C900="B",VLOOKUP($A900,Bat!$A$4:$BA$1621,48,FALSE),VLOOKUP($A900,Pit!$A$4:$BF$1557,57,FALSE))</f>
        <v>0</v>
      </c>
      <c r="W900" s="69">
        <f>Table5[[#This Row],[posRnk]]+Table5[[#This Row],[zRnk]]+IF($W$3&lt;&gt;Table5[[#This Row],[Type]],50,0)</f>
        <v>1362</v>
      </c>
      <c r="X900" s="73">
        <f>RANK(Table5[[#This Row],[zScore]],Table5[[#All],[zScore]])</f>
        <v>819</v>
      </c>
      <c r="Y900" s="69" t="str">
        <f>IFERROR(INDEX(DraftResults[[#All],[OVR]],MATCH(Table5[[#This Row],[PID]],DraftResults[[#All],[Player ID]],0)),"")</f>
        <v/>
      </c>
      <c r="Z90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0" s="69" t="str">
        <f>IFERROR(INDEX(DraftResults[[#All],[Pick in Round]],MATCH(Table5[[#This Row],[PID]],DraftResults[[#All],[Player ID]],0)),"")</f>
        <v/>
      </c>
      <c r="AB900" s="69" t="str">
        <f>IFERROR(INDEX(DraftResults[[#All],[Team Name]],MATCH(Table5[[#This Row],[PID]],DraftResults[[#All],[Player ID]],0)),"")</f>
        <v/>
      </c>
      <c r="AC900" s="69" t="str">
        <f>IF(Table5[[#This Row],[Ovr]]="","",IF(Table5[[#This Row],[cmbList]]="","",Table5[[#This Row],[cmbList]]-Table5[[#This Row],[Ovr]]))</f>
        <v/>
      </c>
      <c r="AD900" s="77" t="str">
        <f>IF(ISERROR(VLOOKUP($AB900&amp;"-"&amp;$E900&amp;" "&amp;F900,Bonuses!$B$1:$G$1006,4,FALSE)),"",INT(VLOOKUP($AB900&amp;"-"&amp;$E900&amp;" "&amp;$F900,Bonuses!$B$1:$G$1006,4,FALSE)))</f>
        <v/>
      </c>
      <c r="AE90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1" spans="1:31" s="50" customFormat="1" x14ac:dyDescent="0.25">
      <c r="A901" s="50">
        <v>20436</v>
      </c>
      <c r="B901" s="50">
        <f>COUNTIF(Table5[PID],A901)</f>
        <v>1</v>
      </c>
      <c r="C901" s="50" t="str">
        <f>IF(COUNTIF(Table3[[#All],[PID]],A901)&gt;0,"P","B")</f>
        <v>P</v>
      </c>
      <c r="D901" s="59" t="str">
        <f>IF($C901="B",INDEX(Batters[[#All],[POS]],MATCH(Table5[[#This Row],[PID]],Batters[[#All],[PID]],0)),INDEX(Table3[[#All],[POS]],MATCH(Table5[[#This Row],[PID]],Table3[[#All],[PID]],0)))</f>
        <v>RP</v>
      </c>
      <c r="E901" s="52" t="str">
        <f>IF($C901="B",INDEX(Batters[[#All],[First]],MATCH(Table5[[#This Row],[PID]],Batters[[#All],[PID]],0)),INDEX(Table3[[#All],[First]],MATCH(Table5[[#This Row],[PID]],Table3[[#All],[PID]],0)))</f>
        <v>Kuan-yew</v>
      </c>
      <c r="F901" s="50" t="str">
        <f>IF($C901="B",INDEX(Batters[[#All],[Last]],MATCH(A901,Batters[[#All],[PID]],0)),INDEX(Table3[[#All],[Last]],MATCH(A901,Table3[[#All],[PID]],0)))</f>
        <v>Lam</v>
      </c>
      <c r="G901" s="56">
        <f>IF($C901="B",INDEX(Batters[[#All],[Age]],MATCH(Table5[[#This Row],[PID]],Batters[[#All],[PID]],0)),INDEX(Table3[[#All],[Age]],MATCH(Table5[[#This Row],[PID]],Table3[[#All],[PID]],0)))</f>
        <v>18</v>
      </c>
      <c r="H901" s="52" t="str">
        <f>IF($C901="B",INDEX(Batters[[#All],[B]],MATCH(Table5[[#This Row],[PID]],Batters[[#All],[PID]],0)),INDEX(Table3[[#All],[B]],MATCH(Table5[[#This Row],[PID]],Table3[[#All],[PID]],0)))</f>
        <v>R</v>
      </c>
      <c r="I901" s="52" t="str">
        <f>IF($C901="B",INDEX(Batters[[#All],[T]],MATCH(Table5[[#This Row],[PID]],Batters[[#All],[PID]],0)),INDEX(Table3[[#All],[T]],MATCH(Table5[[#This Row],[PID]],Table3[[#All],[PID]],0)))</f>
        <v>R</v>
      </c>
      <c r="J901" s="52" t="str">
        <f>IF($C901="B",INDEX(Batters[[#All],[WE]],MATCH(Table5[[#This Row],[PID]],Batters[[#All],[PID]],0)),INDEX(Table3[[#All],[WE]],MATCH(Table5[[#This Row],[PID]],Table3[[#All],[PID]],0)))</f>
        <v>Low</v>
      </c>
      <c r="K901" s="52" t="str">
        <f>IF($C901="B",INDEX(Batters[[#All],[INT]],MATCH(Table5[[#This Row],[PID]],Batters[[#All],[PID]],0)),INDEX(Table3[[#All],[INT]],MATCH(Table5[[#This Row],[PID]],Table3[[#All],[PID]],0)))</f>
        <v>Normal</v>
      </c>
      <c r="L901" s="60">
        <f>IF($C901="B",INDEX(Batters[[#All],[CON P]],MATCH(Table5[[#This Row],[PID]],Batters[[#All],[PID]],0)),INDEX(Table3[[#All],[STU P]],MATCH(Table5[[#This Row],[PID]],Table3[[#All],[PID]],0)))</f>
        <v>3</v>
      </c>
      <c r="M901" s="56">
        <f>IF($C901="B",INDEX(Batters[[#All],[GAP P]],MATCH(Table5[[#This Row],[PID]],Batters[[#All],[PID]],0)),INDEX(Table3[[#All],[MOV P]],MATCH(Table5[[#This Row],[PID]],Table3[[#All],[PID]],0)))</f>
        <v>2</v>
      </c>
      <c r="N901" s="56">
        <f>IF($C901="B",INDEX(Batters[[#All],[POW P]],MATCH(Table5[[#This Row],[PID]],Batters[[#All],[PID]],0)),INDEX(Table3[[#All],[CON P]],MATCH(Table5[[#This Row],[PID]],Table3[[#All],[PID]],0)))</f>
        <v>3</v>
      </c>
      <c r="O901" s="56" t="str">
        <f>IF($C901="B",INDEX(Batters[[#All],[EYE P]],MATCH(Table5[[#This Row],[PID]],Batters[[#All],[PID]],0)),INDEX(Table3[[#All],[VELO]],MATCH(Table5[[#This Row],[PID]],Table3[[#All],[PID]],0)))</f>
        <v>86-88 Mph</v>
      </c>
      <c r="P901" s="56">
        <f>IF($C901="B",INDEX(Batters[[#All],[K P]],MATCH(Table5[[#This Row],[PID]],Batters[[#All],[PID]],0)),INDEX(Table3[[#All],[STM]],MATCH(Table5[[#This Row],[PID]],Table3[[#All],[PID]],0)))</f>
        <v>4</v>
      </c>
      <c r="Q901" s="61">
        <f>IF($C901="B",INDEX(Batters[[#All],[Tot]],MATCH(Table5[[#This Row],[PID]],Batters[[#All],[PID]],0)),INDEX(Table3[[#All],[Tot]],MATCH(Table5[[#This Row],[PID]],Table3[[#All],[PID]],0)))</f>
        <v>29.184469006248523</v>
      </c>
      <c r="R901" s="52">
        <f>IF($C901="B",INDEX(Batters[[#All],[zScore]],MATCH(Table5[[#This Row],[PID]],Batters[[#All],[PID]],0)),INDEX(Table3[[#All],[zScore]],MATCH(Table5[[#This Row],[PID]],Table3[[#All],[PID]],0)))</f>
        <v>-0.44481315763225832</v>
      </c>
      <c r="S901" s="58" t="str">
        <f>IF($C901="B",INDEX(Batters[[#All],[DEM]],MATCH(Table5[[#This Row],[PID]],Batters[[#All],[PID]],0)),INDEX(Table3[[#All],[DEM]],MATCH(Table5[[#This Row],[PID]],Table3[[#All],[PID]],0)))</f>
        <v>$75k</v>
      </c>
      <c r="T901" s="62">
        <f>IF($C901="B",INDEX(Batters[[#All],[Rnk]],MATCH(Table5[[#This Row],[PID]],Batters[[#All],[PID]],0)),INDEX(Table3[[#All],[Rnk]],MATCH(Table5[[#This Row],[PID]],Table3[[#All],[PID]],0)))</f>
        <v>494</v>
      </c>
      <c r="U901" s="68">
        <f>IF($C901="B",VLOOKUP($A901,Bat!$A$4:$BA$1621,47,FALSE),VLOOKUP($A901,Pit!$A$4:$BF$1557,56,FALSE))</f>
        <v>0</v>
      </c>
      <c r="V901" s="50">
        <f>IF($C901="B",VLOOKUP($A901,Bat!$A$4:$BA$1621,48,FALSE),VLOOKUP($A901,Pit!$A$4:$BF$1557,57,FALSE))</f>
        <v>0</v>
      </c>
      <c r="W901" s="50">
        <f>Table5[[#This Row],[posRnk]]+Table5[[#This Row],[zRnk]]+IF($W$3&lt;&gt;Table5[[#This Row],[Type]],50,0)</f>
        <v>1364</v>
      </c>
      <c r="X901" s="51">
        <f>RANK(Table5[[#This Row],[zScore]],Table5[[#All],[zScore]])</f>
        <v>820</v>
      </c>
      <c r="Y901" s="50" t="str">
        <f>IFERROR(INDEX(DraftResults[[#All],[OVR]],MATCH(Table5[[#This Row],[PID]],DraftResults[[#All],[Player ID]],0)),"")</f>
        <v/>
      </c>
      <c r="Z9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1" s="50" t="str">
        <f>IFERROR(INDEX(DraftResults[[#All],[Pick in Round]],MATCH(Table5[[#This Row],[PID]],DraftResults[[#All],[Player ID]],0)),"")</f>
        <v/>
      </c>
      <c r="AB901" s="50" t="str">
        <f>IFERROR(INDEX(DraftResults[[#All],[Team Name]],MATCH(Table5[[#This Row],[PID]],DraftResults[[#All],[Player ID]],0)),"")</f>
        <v/>
      </c>
      <c r="AC901" s="50" t="str">
        <f>IF(Table5[[#This Row],[Ovr]]="","",IF(Table5[[#This Row],[cmbList]]="","",Table5[[#This Row],[cmbList]]-Table5[[#This Row],[Ovr]]))</f>
        <v/>
      </c>
      <c r="AD901" s="54" t="str">
        <f>IF(ISERROR(VLOOKUP($AB901&amp;"-"&amp;$E901&amp;" "&amp;F901,Bonuses!$B$1:$G$1006,4,FALSE)),"",INT(VLOOKUP($AB901&amp;"-"&amp;$E901&amp;" "&amp;$F901,Bonuses!$B$1:$G$1006,4,FALSE)))</f>
        <v/>
      </c>
      <c r="AE9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2" spans="1:31" s="50" customFormat="1" x14ac:dyDescent="0.25">
      <c r="A902" s="50">
        <v>7507</v>
      </c>
      <c r="B902" s="50">
        <f>COUNTIF(Table5[PID],A902)</f>
        <v>1</v>
      </c>
      <c r="C902" s="50" t="str">
        <f>IF(COUNTIF(Table3[[#All],[PID]],A902)&gt;0,"P","B")</f>
        <v>P</v>
      </c>
      <c r="D902" s="59" t="str">
        <f>IF($C902="B",INDEX(Batters[[#All],[POS]],MATCH(Table5[[#This Row],[PID]],Batters[[#All],[PID]],0)),INDEX(Table3[[#All],[POS]],MATCH(Table5[[#This Row],[PID]],Table3[[#All],[PID]],0)))</f>
        <v>RP</v>
      </c>
      <c r="E902" s="52" t="str">
        <f>IF($C902="B",INDEX(Batters[[#All],[First]],MATCH(Table5[[#This Row],[PID]],Batters[[#All],[PID]],0)),INDEX(Table3[[#All],[First]],MATCH(Table5[[#This Row],[PID]],Table3[[#All],[PID]],0)))</f>
        <v>Bruce</v>
      </c>
      <c r="F902" s="50" t="str">
        <f>IF($C902="B",INDEX(Batters[[#All],[Last]],MATCH(A902,Batters[[#All],[PID]],0)),INDEX(Table3[[#All],[Last]],MATCH(A902,Table3[[#All],[PID]],0)))</f>
        <v>Deleón</v>
      </c>
      <c r="G902" s="56">
        <f>IF($C902="B",INDEX(Batters[[#All],[Age]],MATCH(Table5[[#This Row],[PID]],Batters[[#All],[PID]],0)),INDEX(Table3[[#All],[Age]],MATCH(Table5[[#This Row],[PID]],Table3[[#All],[PID]],0)))</f>
        <v>22</v>
      </c>
      <c r="H902" s="52" t="str">
        <f>IF($C902="B",INDEX(Batters[[#All],[B]],MATCH(Table5[[#This Row],[PID]],Batters[[#All],[PID]],0)),INDEX(Table3[[#All],[B]],MATCH(Table5[[#This Row],[PID]],Table3[[#All],[PID]],0)))</f>
        <v>R</v>
      </c>
      <c r="I902" s="52" t="str">
        <f>IF($C902="B",INDEX(Batters[[#All],[T]],MATCH(Table5[[#This Row],[PID]],Batters[[#All],[PID]],0)),INDEX(Table3[[#All],[T]],MATCH(Table5[[#This Row],[PID]],Table3[[#All],[PID]],0)))</f>
        <v>R</v>
      </c>
      <c r="J902" s="52" t="str">
        <f>IF($C902="B",INDEX(Batters[[#All],[WE]],MATCH(Table5[[#This Row],[PID]],Batters[[#All],[PID]],0)),INDEX(Table3[[#All],[WE]],MATCH(Table5[[#This Row],[PID]],Table3[[#All],[PID]],0)))</f>
        <v>Low</v>
      </c>
      <c r="K902" s="52" t="str">
        <f>IF($C902="B",INDEX(Batters[[#All],[INT]],MATCH(Table5[[#This Row],[PID]],Batters[[#All],[PID]],0)),INDEX(Table3[[#All],[INT]],MATCH(Table5[[#This Row],[PID]],Table3[[#All],[PID]],0)))</f>
        <v>Normal</v>
      </c>
      <c r="L902" s="60">
        <f>IF($C902="B",INDEX(Batters[[#All],[CON P]],MATCH(Table5[[#This Row],[PID]],Batters[[#All],[PID]],0)),INDEX(Table3[[#All],[STU P]],MATCH(Table5[[#This Row],[PID]],Table3[[#All],[PID]],0)))</f>
        <v>4</v>
      </c>
      <c r="M902" s="56">
        <f>IF($C902="B",INDEX(Batters[[#All],[GAP P]],MATCH(Table5[[#This Row],[PID]],Batters[[#All],[PID]],0)),INDEX(Table3[[#All],[MOV P]],MATCH(Table5[[#This Row],[PID]],Table3[[#All],[PID]],0)))</f>
        <v>2</v>
      </c>
      <c r="N902" s="56">
        <f>IF($C902="B",INDEX(Batters[[#All],[POW P]],MATCH(Table5[[#This Row],[PID]],Batters[[#All],[PID]],0)),INDEX(Table3[[#All],[CON P]],MATCH(Table5[[#This Row],[PID]],Table3[[#All],[PID]],0)))</f>
        <v>3</v>
      </c>
      <c r="O902" s="56" t="str">
        <f>IF($C902="B",INDEX(Batters[[#All],[EYE P]],MATCH(Table5[[#This Row],[PID]],Batters[[#All],[PID]],0)),INDEX(Table3[[#All],[VELO]],MATCH(Table5[[#This Row],[PID]],Table3[[#All],[PID]],0)))</f>
        <v>84-86 Mph</v>
      </c>
      <c r="P902" s="56">
        <f>IF($C902="B",INDEX(Batters[[#All],[K P]],MATCH(Table5[[#This Row],[PID]],Batters[[#All],[PID]],0)),INDEX(Table3[[#All],[STM]],MATCH(Table5[[#This Row],[PID]],Table3[[#All],[PID]],0)))</f>
        <v>5</v>
      </c>
      <c r="Q902" s="61">
        <f>IF($C902="B",INDEX(Batters[[#All],[Tot]],MATCH(Table5[[#This Row],[PID]],Batters[[#All],[PID]],0)),INDEX(Table3[[#All],[Tot]],MATCH(Table5[[#This Row],[PID]],Table3[[#All],[PID]],0)))</f>
        <v>31.309001268171649</v>
      </c>
      <c r="R902" s="52">
        <f>IF($C902="B",INDEX(Batters[[#All],[zScore]],MATCH(Table5[[#This Row],[PID]],Batters[[#All],[PID]],0)),INDEX(Table3[[#All],[zScore]],MATCH(Table5[[#This Row],[PID]],Table3[[#All],[PID]],0)))</f>
        <v>-0.44489017766243016</v>
      </c>
      <c r="S902" s="58" t="str">
        <f>IF($C902="B",INDEX(Batters[[#All],[DEM]],MATCH(Table5[[#This Row],[PID]],Batters[[#All],[PID]],0)),INDEX(Table3[[#All],[DEM]],MATCH(Table5[[#This Row],[PID]],Table3[[#All],[PID]],0)))</f>
        <v>-</v>
      </c>
      <c r="T902" s="62">
        <f>IF($C902="B",INDEX(Batters[[#All],[Rnk]],MATCH(Table5[[#This Row],[PID]],Batters[[#All],[PID]],0)),INDEX(Table3[[#All],[Rnk]],MATCH(Table5[[#This Row],[PID]],Table3[[#All],[PID]],0)))</f>
        <v>495</v>
      </c>
      <c r="U902" s="68">
        <f>IF($C902="B",VLOOKUP($A902,Bat!$A$4:$BA$1621,47,FALSE),VLOOKUP($A902,Pit!$A$4:$BF$1557,56,FALSE))</f>
        <v>0</v>
      </c>
      <c r="V902" s="50">
        <f>IF($C902="B",VLOOKUP($A902,Bat!$A$4:$BA$1621,48,FALSE),VLOOKUP($A902,Pit!$A$4:$BF$1557,57,FALSE))</f>
        <v>0</v>
      </c>
      <c r="W902" s="50">
        <f>Table5[[#This Row],[posRnk]]+Table5[[#This Row],[zRnk]]+IF($W$3&lt;&gt;Table5[[#This Row],[Type]],50,0)</f>
        <v>1366</v>
      </c>
      <c r="X902" s="51">
        <f>RANK(Table5[[#This Row],[zScore]],Table5[[#All],[zScore]])</f>
        <v>821</v>
      </c>
      <c r="Y902" s="50" t="str">
        <f>IFERROR(INDEX(DraftResults[[#All],[OVR]],MATCH(Table5[[#This Row],[PID]],DraftResults[[#All],[Player ID]],0)),"")</f>
        <v/>
      </c>
      <c r="Z9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2" s="50" t="str">
        <f>IFERROR(INDEX(DraftResults[[#All],[Pick in Round]],MATCH(Table5[[#This Row],[PID]],DraftResults[[#All],[Player ID]],0)),"")</f>
        <v/>
      </c>
      <c r="AB902" s="50" t="str">
        <f>IFERROR(INDEX(DraftResults[[#All],[Team Name]],MATCH(Table5[[#This Row],[PID]],DraftResults[[#All],[Player ID]],0)),"")</f>
        <v/>
      </c>
      <c r="AC902" s="50" t="str">
        <f>IF(Table5[[#This Row],[Ovr]]="","",IF(Table5[[#This Row],[cmbList]]="","",Table5[[#This Row],[cmbList]]-Table5[[#This Row],[Ovr]]))</f>
        <v/>
      </c>
      <c r="AD902" s="54" t="str">
        <f>IF(ISERROR(VLOOKUP($AB902&amp;"-"&amp;$E902&amp;" "&amp;F902,Bonuses!$B$1:$G$1006,4,FALSE)),"",INT(VLOOKUP($AB902&amp;"-"&amp;$E902&amp;" "&amp;$F902,Bonuses!$B$1:$G$1006,4,FALSE)))</f>
        <v/>
      </c>
      <c r="AE9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3" spans="1:31" s="50" customFormat="1" x14ac:dyDescent="0.25">
      <c r="A903" s="50">
        <v>17581</v>
      </c>
      <c r="B903" s="50">
        <f>COUNTIF(Table5[PID],A903)</f>
        <v>1</v>
      </c>
      <c r="C903" s="50" t="str">
        <f>IF(COUNTIF(Table3[[#All],[PID]],A903)&gt;0,"P","B")</f>
        <v>P</v>
      </c>
      <c r="D903" s="59" t="str">
        <f>IF($C903="B",INDEX(Batters[[#All],[POS]],MATCH(Table5[[#This Row],[PID]],Batters[[#All],[PID]],0)),INDEX(Table3[[#All],[POS]],MATCH(Table5[[#This Row],[PID]],Table3[[#All],[PID]],0)))</f>
        <v>RP</v>
      </c>
      <c r="E903" s="52" t="str">
        <f>IF($C903="B",INDEX(Batters[[#All],[First]],MATCH(Table5[[#This Row],[PID]],Batters[[#All],[PID]],0)),INDEX(Table3[[#All],[First]],MATCH(Table5[[#This Row],[PID]],Table3[[#All],[PID]],0)))</f>
        <v>John</v>
      </c>
      <c r="F903" s="50" t="str">
        <f>IF($C903="B",INDEX(Batters[[#All],[Last]],MATCH(A903,Batters[[#All],[PID]],0)),INDEX(Table3[[#All],[Last]],MATCH(A903,Table3[[#All],[PID]],0)))</f>
        <v>Bryant</v>
      </c>
      <c r="G903" s="56">
        <f>IF($C903="B",INDEX(Batters[[#All],[Age]],MATCH(Table5[[#This Row],[PID]],Batters[[#All],[PID]],0)),INDEX(Table3[[#All],[Age]],MATCH(Table5[[#This Row],[PID]],Table3[[#All],[PID]],0)))</f>
        <v>18</v>
      </c>
      <c r="H903" s="52" t="str">
        <f>IF($C903="B",INDEX(Batters[[#All],[B]],MATCH(Table5[[#This Row],[PID]],Batters[[#All],[PID]],0)),INDEX(Table3[[#All],[B]],MATCH(Table5[[#This Row],[PID]],Table3[[#All],[PID]],0)))</f>
        <v>R</v>
      </c>
      <c r="I903" s="52" t="str">
        <f>IF($C903="B",INDEX(Batters[[#All],[T]],MATCH(Table5[[#This Row],[PID]],Batters[[#All],[PID]],0)),INDEX(Table3[[#All],[T]],MATCH(Table5[[#This Row],[PID]],Table3[[#All],[PID]],0)))</f>
        <v>R</v>
      </c>
      <c r="J903" s="52" t="str">
        <f>IF($C903="B",INDEX(Batters[[#All],[WE]],MATCH(Table5[[#This Row],[PID]],Batters[[#All],[PID]],0)),INDEX(Table3[[#All],[WE]],MATCH(Table5[[#This Row],[PID]],Table3[[#All],[PID]],0)))</f>
        <v>High</v>
      </c>
      <c r="K903" s="52" t="str">
        <f>IF($C903="B",INDEX(Batters[[#All],[INT]],MATCH(Table5[[#This Row],[PID]],Batters[[#All],[PID]],0)),INDEX(Table3[[#All],[INT]],MATCH(Table5[[#This Row],[PID]],Table3[[#All],[PID]],0)))</f>
        <v>Normal</v>
      </c>
      <c r="L903" s="60">
        <f>IF($C903="B",INDEX(Batters[[#All],[CON P]],MATCH(Table5[[#This Row],[PID]],Batters[[#All],[PID]],0)),INDEX(Table3[[#All],[STU P]],MATCH(Table5[[#This Row],[PID]],Table3[[#All],[PID]],0)))</f>
        <v>4</v>
      </c>
      <c r="M903" s="56">
        <f>IF($C903="B",INDEX(Batters[[#All],[GAP P]],MATCH(Table5[[#This Row],[PID]],Batters[[#All],[PID]],0)),INDEX(Table3[[#All],[MOV P]],MATCH(Table5[[#This Row],[PID]],Table3[[#All],[PID]],0)))</f>
        <v>2</v>
      </c>
      <c r="N903" s="56">
        <f>IF($C903="B",INDEX(Batters[[#All],[POW P]],MATCH(Table5[[#This Row],[PID]],Batters[[#All],[PID]],0)),INDEX(Table3[[#All],[CON P]],MATCH(Table5[[#This Row],[PID]],Table3[[#All],[PID]],0)))</f>
        <v>2</v>
      </c>
      <c r="O903" s="56" t="str">
        <f>IF($C903="B",INDEX(Batters[[#All],[EYE P]],MATCH(Table5[[#This Row],[PID]],Batters[[#All],[PID]],0)),INDEX(Table3[[#All],[VELO]],MATCH(Table5[[#This Row],[PID]],Table3[[#All],[PID]],0)))</f>
        <v>88-90 Mph</v>
      </c>
      <c r="P903" s="56">
        <f>IF($C903="B",INDEX(Batters[[#All],[K P]],MATCH(Table5[[#This Row],[PID]],Batters[[#All],[PID]],0)),INDEX(Table3[[#All],[STM]],MATCH(Table5[[#This Row],[PID]],Table3[[#All],[PID]],0)))</f>
        <v>9</v>
      </c>
      <c r="Q903" s="61">
        <f>IF($C903="B",INDEX(Batters[[#All],[Tot]],MATCH(Table5[[#This Row],[PID]],Batters[[#All],[PID]],0)),INDEX(Table3[[#All],[Tot]],MATCH(Table5[[#This Row],[PID]],Table3[[#All],[PID]],0)))</f>
        <v>29.154463136217526</v>
      </c>
      <c r="R903" s="52">
        <f>IF($C903="B",INDEX(Batters[[#All],[zScore]],MATCH(Table5[[#This Row],[PID]],Batters[[#All],[PID]],0)),INDEX(Table3[[#All],[zScore]],MATCH(Table5[[#This Row],[PID]],Table3[[#All],[PID]],0)))</f>
        <v>-0.44680940231318528</v>
      </c>
      <c r="S903" s="58" t="str">
        <f>IF($C903="B",INDEX(Batters[[#All],[DEM]],MATCH(Table5[[#This Row],[PID]],Batters[[#All],[PID]],0)),INDEX(Table3[[#All],[DEM]],MATCH(Table5[[#This Row],[PID]],Table3[[#All],[PID]],0)))</f>
        <v>$65k</v>
      </c>
      <c r="T903" s="62">
        <f>IF($C903="B",INDEX(Batters[[#All],[Rnk]],MATCH(Table5[[#This Row],[PID]],Batters[[#All],[PID]],0)),INDEX(Table3[[#All],[Rnk]],MATCH(Table5[[#This Row],[PID]],Table3[[#All],[PID]],0)))</f>
        <v>496</v>
      </c>
      <c r="U903" s="68">
        <f>IF($C903="B",VLOOKUP($A903,Bat!$A$4:$BA$1621,47,FALSE),VLOOKUP($A903,Pit!$A$4:$BF$1557,56,FALSE))</f>
        <v>0</v>
      </c>
      <c r="V903" s="50">
        <f>IF($C903="B",VLOOKUP($A903,Bat!$A$4:$BA$1621,48,FALSE),VLOOKUP($A903,Pit!$A$4:$BF$1557,57,FALSE))</f>
        <v>0</v>
      </c>
      <c r="W903" s="50">
        <f>Table5[[#This Row],[posRnk]]+Table5[[#This Row],[zRnk]]+IF($W$3&lt;&gt;Table5[[#This Row],[Type]],50,0)</f>
        <v>1368</v>
      </c>
      <c r="X903" s="51">
        <f>RANK(Table5[[#This Row],[zScore]],Table5[[#All],[zScore]])</f>
        <v>822</v>
      </c>
      <c r="Y903" s="50" t="str">
        <f>IFERROR(INDEX(DraftResults[[#All],[OVR]],MATCH(Table5[[#This Row],[PID]],DraftResults[[#All],[Player ID]],0)),"")</f>
        <v/>
      </c>
      <c r="Z9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3" s="50" t="str">
        <f>IFERROR(INDEX(DraftResults[[#All],[Pick in Round]],MATCH(Table5[[#This Row],[PID]],DraftResults[[#All],[Player ID]],0)),"")</f>
        <v/>
      </c>
      <c r="AB903" s="50" t="str">
        <f>IFERROR(INDEX(DraftResults[[#All],[Team Name]],MATCH(Table5[[#This Row],[PID]],DraftResults[[#All],[Player ID]],0)),"")</f>
        <v/>
      </c>
      <c r="AC903" s="50" t="str">
        <f>IF(Table5[[#This Row],[Ovr]]="","",IF(Table5[[#This Row],[cmbList]]="","",Table5[[#This Row],[cmbList]]-Table5[[#This Row],[Ovr]]))</f>
        <v/>
      </c>
      <c r="AD903" s="54" t="str">
        <f>IF(ISERROR(VLOOKUP($AB903&amp;"-"&amp;$E903&amp;" "&amp;F903,Bonuses!$B$1:$G$1006,4,FALSE)),"",INT(VLOOKUP($AB903&amp;"-"&amp;$E903&amp;" "&amp;$F903,Bonuses!$B$1:$G$1006,4,FALSE)))</f>
        <v/>
      </c>
      <c r="AE9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4" spans="1:31" s="50" customFormat="1" x14ac:dyDescent="0.25">
      <c r="A904" s="50">
        <v>20351</v>
      </c>
      <c r="B904" s="50">
        <f>COUNTIF(Table5[PID],A904)</f>
        <v>1</v>
      </c>
      <c r="C904" s="50" t="str">
        <f>IF(COUNTIF(Table3[[#All],[PID]],A904)&gt;0,"P","B")</f>
        <v>P</v>
      </c>
      <c r="D904" s="59" t="str">
        <f>IF($C904="B",INDEX(Batters[[#All],[POS]],MATCH(Table5[[#This Row],[PID]],Batters[[#All],[PID]],0)),INDEX(Table3[[#All],[POS]],MATCH(Table5[[#This Row],[PID]],Table3[[#All],[PID]],0)))</f>
        <v>RP</v>
      </c>
      <c r="E904" s="52" t="str">
        <f>IF($C904="B",INDEX(Batters[[#All],[First]],MATCH(Table5[[#This Row],[PID]],Batters[[#All],[PID]],0)),INDEX(Table3[[#All],[First]],MATCH(Table5[[#This Row],[PID]],Table3[[#All],[PID]],0)))</f>
        <v>Virgil</v>
      </c>
      <c r="F904" s="50" t="str">
        <f>IF($C904="B",INDEX(Batters[[#All],[Last]],MATCH(A904,Batters[[#All],[PID]],0)),INDEX(Table3[[#All],[Last]],MATCH(A904,Table3[[#All],[PID]],0)))</f>
        <v>Marsh</v>
      </c>
      <c r="G904" s="56">
        <f>IF($C904="B",INDEX(Batters[[#All],[Age]],MATCH(Table5[[#This Row],[PID]],Batters[[#All],[PID]],0)),INDEX(Table3[[#All],[Age]],MATCH(Table5[[#This Row],[PID]],Table3[[#All],[PID]],0)))</f>
        <v>17</v>
      </c>
      <c r="H904" s="52" t="str">
        <f>IF($C904="B",INDEX(Batters[[#All],[B]],MATCH(Table5[[#This Row],[PID]],Batters[[#All],[PID]],0)),INDEX(Table3[[#All],[B]],MATCH(Table5[[#This Row],[PID]],Table3[[#All],[PID]],0)))</f>
        <v>R</v>
      </c>
      <c r="I904" s="52" t="str">
        <f>IF($C904="B",INDEX(Batters[[#All],[T]],MATCH(Table5[[#This Row],[PID]],Batters[[#All],[PID]],0)),INDEX(Table3[[#All],[T]],MATCH(Table5[[#This Row],[PID]],Table3[[#All],[PID]],0)))</f>
        <v>R</v>
      </c>
      <c r="J904" s="52" t="str">
        <f>IF($C904="B",INDEX(Batters[[#All],[WE]],MATCH(Table5[[#This Row],[PID]],Batters[[#All],[PID]],0)),INDEX(Table3[[#All],[WE]],MATCH(Table5[[#This Row],[PID]],Table3[[#All],[PID]],0)))</f>
        <v>Normal</v>
      </c>
      <c r="K904" s="52" t="str">
        <f>IF($C904="B",INDEX(Batters[[#All],[INT]],MATCH(Table5[[#This Row],[PID]],Batters[[#All],[PID]],0)),INDEX(Table3[[#All],[INT]],MATCH(Table5[[#This Row],[PID]],Table3[[#All],[PID]],0)))</f>
        <v>Low</v>
      </c>
      <c r="L904" s="60">
        <f>IF($C904="B",INDEX(Batters[[#All],[CON P]],MATCH(Table5[[#This Row],[PID]],Batters[[#All],[PID]],0)),INDEX(Table3[[#All],[STU P]],MATCH(Table5[[#This Row],[PID]],Table3[[#All],[PID]],0)))</f>
        <v>4</v>
      </c>
      <c r="M904" s="56">
        <f>IF($C904="B",INDEX(Batters[[#All],[GAP P]],MATCH(Table5[[#This Row],[PID]],Batters[[#All],[PID]],0)),INDEX(Table3[[#All],[MOV P]],MATCH(Table5[[#This Row],[PID]],Table3[[#All],[PID]],0)))</f>
        <v>1</v>
      </c>
      <c r="N904" s="56">
        <f>IF($C904="B",INDEX(Batters[[#All],[POW P]],MATCH(Table5[[#This Row],[PID]],Batters[[#All],[PID]],0)),INDEX(Table3[[#All],[CON P]],MATCH(Table5[[#This Row],[PID]],Table3[[#All],[PID]],0)))</f>
        <v>3</v>
      </c>
      <c r="O904" s="56" t="str">
        <f>IF($C904="B",INDEX(Batters[[#All],[EYE P]],MATCH(Table5[[#This Row],[PID]],Batters[[#All],[PID]],0)),INDEX(Table3[[#All],[VELO]],MATCH(Table5[[#This Row],[PID]],Table3[[#All],[PID]],0)))</f>
        <v>85-87 Mph</v>
      </c>
      <c r="P904" s="56">
        <f>IF($C904="B",INDEX(Batters[[#All],[K P]],MATCH(Table5[[#This Row],[PID]],Batters[[#All],[PID]],0)),INDEX(Table3[[#All],[STM]],MATCH(Table5[[#This Row],[PID]],Table3[[#All],[PID]],0)))</f>
        <v>9</v>
      </c>
      <c r="Q904" s="61">
        <f>IF($C904="B",INDEX(Batters[[#All],[Tot]],MATCH(Table5[[#This Row],[PID]],Batters[[#All],[PID]],0)),INDEX(Table3[[#All],[Tot]],MATCH(Table5[[#This Row],[PID]],Table3[[#All],[PID]],0)))</f>
        <v>31.277996096141976</v>
      </c>
      <c r="R904" s="52">
        <f>IF($C904="B",INDEX(Batters[[#All],[zScore]],MATCH(Table5[[#This Row],[PID]],Batters[[#All],[PID]],0)),INDEX(Table3[[#All],[zScore]],MATCH(Table5[[#This Row],[PID]],Table3[[#All],[PID]],0)))</f>
        <v>-0.44701402282385627</v>
      </c>
      <c r="S904" s="58" t="str">
        <f>IF($C904="B",INDEX(Batters[[#All],[DEM]],MATCH(Table5[[#This Row],[PID]],Batters[[#All],[PID]],0)),INDEX(Table3[[#All],[DEM]],MATCH(Table5[[#This Row],[PID]],Table3[[#All],[PID]],0)))</f>
        <v>$38k</v>
      </c>
      <c r="T904" s="62">
        <f>IF($C904="B",INDEX(Batters[[#All],[Rnk]],MATCH(Table5[[#This Row],[PID]],Batters[[#All],[PID]],0)),INDEX(Table3[[#All],[Rnk]],MATCH(Table5[[#This Row],[PID]],Table3[[#All],[PID]],0)))</f>
        <v>497</v>
      </c>
      <c r="U904" s="68">
        <f>IF($C904="B",VLOOKUP($A904,Bat!$A$4:$BA$1621,47,FALSE),VLOOKUP($A904,Pit!$A$4:$BF$1557,56,FALSE))</f>
        <v>0</v>
      </c>
      <c r="V904" s="50">
        <f>IF($C904="B",VLOOKUP($A904,Bat!$A$4:$BA$1621,48,FALSE),VLOOKUP($A904,Pit!$A$4:$BF$1557,57,FALSE))</f>
        <v>0</v>
      </c>
      <c r="W904" s="50">
        <f>Table5[[#This Row],[posRnk]]+Table5[[#This Row],[zRnk]]+IF($W$3&lt;&gt;Table5[[#This Row],[Type]],50,0)</f>
        <v>1370</v>
      </c>
      <c r="X904" s="51">
        <f>RANK(Table5[[#This Row],[zScore]],Table5[[#All],[zScore]])</f>
        <v>823</v>
      </c>
      <c r="Y904" s="50" t="str">
        <f>IFERROR(INDEX(DraftResults[[#All],[OVR]],MATCH(Table5[[#This Row],[PID]],DraftResults[[#All],[Player ID]],0)),"")</f>
        <v/>
      </c>
      <c r="Z9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4" s="50" t="str">
        <f>IFERROR(INDEX(DraftResults[[#All],[Pick in Round]],MATCH(Table5[[#This Row],[PID]],DraftResults[[#All],[Player ID]],0)),"")</f>
        <v/>
      </c>
      <c r="AB904" s="50" t="str">
        <f>IFERROR(INDEX(DraftResults[[#All],[Team Name]],MATCH(Table5[[#This Row],[PID]],DraftResults[[#All],[Player ID]],0)),"")</f>
        <v/>
      </c>
      <c r="AC904" s="50" t="str">
        <f>IF(Table5[[#This Row],[Ovr]]="","",IF(Table5[[#This Row],[cmbList]]="","",Table5[[#This Row],[cmbList]]-Table5[[#This Row],[Ovr]]))</f>
        <v/>
      </c>
      <c r="AD904" s="54" t="str">
        <f>IF(ISERROR(VLOOKUP($AB904&amp;"-"&amp;$E904&amp;" "&amp;F904,Bonuses!$B$1:$G$1006,4,FALSE)),"",INT(VLOOKUP($AB904&amp;"-"&amp;$E904&amp;" "&amp;$F904,Bonuses!$B$1:$G$1006,4,FALSE)))</f>
        <v/>
      </c>
      <c r="AE9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5" spans="1:31" s="50" customFormat="1" x14ac:dyDescent="0.25">
      <c r="A905" s="50">
        <v>17778</v>
      </c>
      <c r="B905" s="50">
        <f>COUNTIF(Table5[PID],A905)</f>
        <v>1</v>
      </c>
      <c r="C905" s="50" t="str">
        <f>IF(COUNTIF(Table3[[#All],[PID]],A905)&gt;0,"P","B")</f>
        <v>P</v>
      </c>
      <c r="D905" s="59" t="str">
        <f>IF($C905="B",INDEX(Batters[[#All],[POS]],MATCH(Table5[[#This Row],[PID]],Batters[[#All],[PID]],0)),INDEX(Table3[[#All],[POS]],MATCH(Table5[[#This Row],[PID]],Table3[[#All],[PID]],0)))</f>
        <v>RP</v>
      </c>
      <c r="E905" s="52" t="str">
        <f>IF($C905="B",INDEX(Batters[[#All],[First]],MATCH(Table5[[#This Row],[PID]],Batters[[#All],[PID]],0)),INDEX(Table3[[#All],[First]],MATCH(Table5[[#This Row],[PID]],Table3[[#All],[PID]],0)))</f>
        <v>Daniel</v>
      </c>
      <c r="F905" s="50" t="str">
        <f>IF($C905="B",INDEX(Batters[[#All],[Last]],MATCH(A905,Batters[[#All],[PID]],0)),INDEX(Table3[[#All],[Last]],MATCH(A905,Table3[[#All],[PID]],0)))</f>
        <v>Kenneil</v>
      </c>
      <c r="G905" s="56">
        <f>IF($C905="B",INDEX(Batters[[#All],[Age]],MATCH(Table5[[#This Row],[PID]],Batters[[#All],[PID]],0)),INDEX(Table3[[#All],[Age]],MATCH(Table5[[#This Row],[PID]],Table3[[#All],[PID]],0)))</f>
        <v>22</v>
      </c>
      <c r="H905" s="52" t="str">
        <f>IF($C905="B",INDEX(Batters[[#All],[B]],MATCH(Table5[[#This Row],[PID]],Batters[[#All],[PID]],0)),INDEX(Table3[[#All],[B]],MATCH(Table5[[#This Row],[PID]],Table3[[#All],[PID]],0)))</f>
        <v>L</v>
      </c>
      <c r="I905" s="52" t="str">
        <f>IF($C905="B",INDEX(Batters[[#All],[T]],MATCH(Table5[[#This Row],[PID]],Batters[[#All],[PID]],0)),INDEX(Table3[[#All],[T]],MATCH(Table5[[#This Row],[PID]],Table3[[#All],[PID]],0)))</f>
        <v>R</v>
      </c>
      <c r="J905" s="52" t="str">
        <f>IF($C905="B",INDEX(Batters[[#All],[WE]],MATCH(Table5[[#This Row],[PID]],Batters[[#All],[PID]],0)),INDEX(Table3[[#All],[WE]],MATCH(Table5[[#This Row],[PID]],Table3[[#All],[PID]],0)))</f>
        <v>Low</v>
      </c>
      <c r="K905" s="52" t="str">
        <f>IF($C905="B",INDEX(Batters[[#All],[INT]],MATCH(Table5[[#This Row],[PID]],Batters[[#All],[PID]],0)),INDEX(Table3[[#All],[INT]],MATCH(Table5[[#This Row],[PID]],Table3[[#All],[PID]],0)))</f>
        <v>Normal</v>
      </c>
      <c r="L905" s="60">
        <f>IF($C905="B",INDEX(Batters[[#All],[CON P]],MATCH(Table5[[#This Row],[PID]],Batters[[#All],[PID]],0)),INDEX(Table3[[#All],[STU P]],MATCH(Table5[[#This Row],[PID]],Table3[[#All],[PID]],0)))</f>
        <v>5</v>
      </c>
      <c r="M905" s="56">
        <f>IF($C905="B",INDEX(Batters[[#All],[GAP P]],MATCH(Table5[[#This Row],[PID]],Batters[[#All],[PID]],0)),INDEX(Table3[[#All],[MOV P]],MATCH(Table5[[#This Row],[PID]],Table3[[#All],[PID]],0)))</f>
        <v>1</v>
      </c>
      <c r="N905" s="56">
        <f>IF($C905="B",INDEX(Batters[[#All],[POW P]],MATCH(Table5[[#This Row],[PID]],Batters[[#All],[PID]],0)),INDEX(Table3[[#All],[CON P]],MATCH(Table5[[#This Row],[PID]],Table3[[#All],[PID]],0)))</f>
        <v>3</v>
      </c>
      <c r="O905" s="56" t="str">
        <f>IF($C905="B",INDEX(Batters[[#All],[EYE P]],MATCH(Table5[[#This Row],[PID]],Batters[[#All],[PID]],0)),INDEX(Table3[[#All],[VELO]],MATCH(Table5[[#This Row],[PID]],Table3[[#All],[PID]],0)))</f>
        <v>89-91 Mph</v>
      </c>
      <c r="P905" s="56">
        <f>IF($C905="B",INDEX(Batters[[#All],[K P]],MATCH(Table5[[#This Row],[PID]],Batters[[#All],[PID]],0)),INDEX(Table3[[#All],[STM]],MATCH(Table5[[#This Row],[PID]],Table3[[#All],[PID]],0)))</f>
        <v>7</v>
      </c>
      <c r="Q905" s="61">
        <f>IF($C905="B",INDEX(Batters[[#All],[Tot]],MATCH(Table5[[#This Row],[PID]],Batters[[#All],[PID]],0)),INDEX(Table3[[#All],[Tot]],MATCH(Table5[[#This Row],[PID]],Table3[[#All],[PID]],0)))</f>
        <v>29.145444388806901</v>
      </c>
      <c r="R905" s="52">
        <f>IF($C905="B",INDEX(Batters[[#All],[zScore]],MATCH(Table5[[#This Row],[PID]],Batters[[#All],[PID]],0)),INDEX(Table3[[#All],[zScore]],MATCH(Table5[[#This Row],[PID]],Table3[[#All],[PID]],0)))</f>
        <v>-0.44740940579678651</v>
      </c>
      <c r="S905" s="58" t="str">
        <f>IF($C905="B",INDEX(Batters[[#All],[DEM]],MATCH(Table5[[#This Row],[PID]],Batters[[#All],[PID]],0)),INDEX(Table3[[#All],[DEM]],MATCH(Table5[[#This Row],[PID]],Table3[[#All],[PID]],0)))</f>
        <v>-</v>
      </c>
      <c r="T905" s="62">
        <f>IF($C905="B",INDEX(Batters[[#All],[Rnk]],MATCH(Table5[[#This Row],[PID]],Batters[[#All],[PID]],0)),INDEX(Table3[[#All],[Rnk]],MATCH(Table5[[#This Row],[PID]],Table3[[#All],[PID]],0)))</f>
        <v>498</v>
      </c>
      <c r="U905" s="68">
        <f>IF($C905="B",VLOOKUP($A905,Bat!$A$4:$BA$1621,47,FALSE),VLOOKUP($A905,Pit!$A$4:$BF$1557,56,FALSE))</f>
        <v>0</v>
      </c>
      <c r="V905" s="50">
        <f>IF($C905="B",VLOOKUP($A905,Bat!$A$4:$BA$1621,48,FALSE),VLOOKUP($A905,Pit!$A$4:$BF$1557,57,FALSE))</f>
        <v>0</v>
      </c>
      <c r="W905" s="50">
        <f>Table5[[#This Row],[posRnk]]+Table5[[#This Row],[zRnk]]+IF($W$3&lt;&gt;Table5[[#This Row],[Type]],50,0)</f>
        <v>1372</v>
      </c>
      <c r="X905" s="51">
        <f>RANK(Table5[[#This Row],[zScore]],Table5[[#All],[zScore]])</f>
        <v>824</v>
      </c>
      <c r="Y905" s="50" t="str">
        <f>IFERROR(INDEX(DraftResults[[#All],[OVR]],MATCH(Table5[[#This Row],[PID]],DraftResults[[#All],[Player ID]],0)),"")</f>
        <v/>
      </c>
      <c r="Z9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5" s="50" t="str">
        <f>IFERROR(INDEX(DraftResults[[#All],[Pick in Round]],MATCH(Table5[[#This Row],[PID]],DraftResults[[#All],[Player ID]],0)),"")</f>
        <v/>
      </c>
      <c r="AB905" s="50" t="str">
        <f>IFERROR(INDEX(DraftResults[[#All],[Team Name]],MATCH(Table5[[#This Row],[PID]],DraftResults[[#All],[Player ID]],0)),"")</f>
        <v/>
      </c>
      <c r="AC905" s="50" t="str">
        <f>IF(Table5[[#This Row],[Ovr]]="","",IF(Table5[[#This Row],[cmbList]]="","",Table5[[#This Row],[cmbList]]-Table5[[#This Row],[Ovr]]))</f>
        <v/>
      </c>
      <c r="AD905" s="54" t="str">
        <f>IF(ISERROR(VLOOKUP($AB905&amp;"-"&amp;$E905&amp;" "&amp;F905,Bonuses!$B$1:$G$1006,4,FALSE)),"",INT(VLOOKUP($AB905&amp;"-"&amp;$E905&amp;" "&amp;$F905,Bonuses!$B$1:$G$1006,4,FALSE)))</f>
        <v/>
      </c>
      <c r="AE9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6" spans="1:31" s="50" customFormat="1" x14ac:dyDescent="0.25">
      <c r="A906" s="50">
        <v>17629</v>
      </c>
      <c r="B906" s="55">
        <f>COUNTIF(Table5[PID],A906)</f>
        <v>1</v>
      </c>
      <c r="C906" s="55" t="str">
        <f>IF(COUNTIF(Table3[[#All],[PID]],A906)&gt;0,"P","B")</f>
        <v>P</v>
      </c>
      <c r="D906" s="59" t="str">
        <f>IF($C906="B",INDEX(Batters[[#All],[POS]],MATCH(Table5[[#This Row],[PID]],Batters[[#All],[PID]],0)),INDEX(Table3[[#All],[POS]],MATCH(Table5[[#This Row],[PID]],Table3[[#All],[PID]],0)))</f>
        <v>RP</v>
      </c>
      <c r="E906" s="52" t="str">
        <f>IF($C906="B",INDEX(Batters[[#All],[First]],MATCH(Table5[[#This Row],[PID]],Batters[[#All],[PID]],0)),INDEX(Table3[[#All],[First]],MATCH(Table5[[#This Row],[PID]],Table3[[#All],[PID]],0)))</f>
        <v>León</v>
      </c>
      <c r="F906" s="50" t="str">
        <f>IF($C906="B",INDEX(Batters[[#All],[Last]],MATCH(A906,Batters[[#All],[PID]],0)),INDEX(Table3[[#All],[Last]],MATCH(A906,Table3[[#All],[PID]],0)))</f>
        <v>Guillén</v>
      </c>
      <c r="G906" s="56">
        <f>IF($C906="B",INDEX(Batters[[#All],[Age]],MATCH(Table5[[#This Row],[PID]],Batters[[#All],[PID]],0)),INDEX(Table3[[#All],[Age]],MATCH(Table5[[#This Row],[PID]],Table3[[#All],[PID]],0)))</f>
        <v>18</v>
      </c>
      <c r="H906" s="52" t="str">
        <f>IF($C906="B",INDEX(Batters[[#All],[B]],MATCH(Table5[[#This Row],[PID]],Batters[[#All],[PID]],0)),INDEX(Table3[[#All],[B]],MATCH(Table5[[#This Row],[PID]],Table3[[#All],[PID]],0)))</f>
        <v>R</v>
      </c>
      <c r="I906" s="52" t="str">
        <f>IF($C906="B",INDEX(Batters[[#All],[T]],MATCH(Table5[[#This Row],[PID]],Batters[[#All],[PID]],0)),INDEX(Table3[[#All],[T]],MATCH(Table5[[#This Row],[PID]],Table3[[#All],[PID]],0)))</f>
        <v>R</v>
      </c>
      <c r="J906" s="52" t="str">
        <f>IF($C906="B",INDEX(Batters[[#All],[WE]],MATCH(Table5[[#This Row],[PID]],Batters[[#All],[PID]],0)),INDEX(Table3[[#All],[WE]],MATCH(Table5[[#This Row],[PID]],Table3[[#All],[PID]],0)))</f>
        <v>Low</v>
      </c>
      <c r="K906" s="52" t="str">
        <f>IF($C906="B",INDEX(Batters[[#All],[INT]],MATCH(Table5[[#This Row],[PID]],Batters[[#All],[PID]],0)),INDEX(Table3[[#All],[INT]],MATCH(Table5[[#This Row],[PID]],Table3[[#All],[PID]],0)))</f>
        <v>Normal</v>
      </c>
      <c r="L906" s="60">
        <f>IF($C906="B",INDEX(Batters[[#All],[CON P]],MATCH(Table5[[#This Row],[PID]],Batters[[#All],[PID]],0)),INDEX(Table3[[#All],[STU P]],MATCH(Table5[[#This Row],[PID]],Table3[[#All],[PID]],0)))</f>
        <v>4</v>
      </c>
      <c r="M906" s="56">
        <f>IF($C906="B",INDEX(Batters[[#All],[GAP P]],MATCH(Table5[[#This Row],[PID]],Batters[[#All],[PID]],0)),INDEX(Table3[[#All],[MOV P]],MATCH(Table5[[#This Row],[PID]],Table3[[#All],[PID]],0)))</f>
        <v>2</v>
      </c>
      <c r="N906" s="56">
        <f>IF($C906="B",INDEX(Batters[[#All],[POW P]],MATCH(Table5[[#This Row],[PID]],Batters[[#All],[PID]],0)),INDEX(Table3[[#All],[CON P]],MATCH(Table5[[#This Row],[PID]],Table3[[#All],[PID]],0)))</f>
        <v>2</v>
      </c>
      <c r="O906" s="56" t="str">
        <f>IF($C906="B",INDEX(Batters[[#All],[EYE P]],MATCH(Table5[[#This Row],[PID]],Batters[[#All],[PID]],0)),INDEX(Table3[[#All],[VELO]],MATCH(Table5[[#This Row],[PID]],Table3[[#All],[PID]],0)))</f>
        <v>90-92 Mph</v>
      </c>
      <c r="P906" s="56">
        <f>IF($C906="B",INDEX(Batters[[#All],[K P]],MATCH(Table5[[#This Row],[PID]],Batters[[#All],[PID]],0)),INDEX(Table3[[#All],[STM]],MATCH(Table5[[#This Row],[PID]],Table3[[#All],[PID]],0)))</f>
        <v>6</v>
      </c>
      <c r="Q906" s="61">
        <f>IF($C906="B",INDEX(Batters[[#All],[Tot]],MATCH(Table5[[#This Row],[PID]],Batters[[#All],[PID]],0)),INDEX(Table3[[#All],[Tot]],MATCH(Table5[[#This Row],[PID]],Table3[[#All],[PID]],0)))</f>
        <v>29.133101557812086</v>
      </c>
      <c r="R906" s="52">
        <f>IF($C906="B",INDEX(Batters[[#All],[zScore]],MATCH(Table5[[#This Row],[PID]],Batters[[#All],[PID]],0)),INDEX(Table3[[#All],[zScore]],MATCH(Table5[[#This Row],[PID]],Table3[[#All],[PID]],0)))</f>
        <v>-0.44823055548168234</v>
      </c>
      <c r="S906" s="58" t="str">
        <f>IF($C906="B",INDEX(Batters[[#All],[DEM]],MATCH(Table5[[#This Row],[PID]],Batters[[#All],[PID]],0)),INDEX(Table3[[#All],[DEM]],MATCH(Table5[[#This Row],[PID]],Table3[[#All],[PID]],0)))</f>
        <v>$65k</v>
      </c>
      <c r="T906" s="62">
        <f>IF($C906="B",INDEX(Batters[[#All],[Rnk]],MATCH(Table5[[#This Row],[PID]],Batters[[#All],[PID]],0)),INDEX(Table3[[#All],[Rnk]],MATCH(Table5[[#This Row],[PID]],Table3[[#All],[PID]],0)))</f>
        <v>499</v>
      </c>
      <c r="U906" s="68">
        <f>IF($C906="B",VLOOKUP($A906,Bat!$A$4:$BA$1621,47,FALSE),VLOOKUP($A906,Pit!$A$4:$BF$1557,56,FALSE))</f>
        <v>0</v>
      </c>
      <c r="V906" s="50">
        <f>IF($C906="B",VLOOKUP($A906,Bat!$A$4:$BA$1621,48,FALSE),VLOOKUP($A906,Pit!$A$4:$BF$1557,57,FALSE))</f>
        <v>0</v>
      </c>
      <c r="W906" s="50">
        <f>Table5[[#This Row],[posRnk]]+Table5[[#This Row],[zRnk]]+IF($W$3&lt;&gt;Table5[[#This Row],[Type]],50,0)</f>
        <v>1374</v>
      </c>
      <c r="X906" s="51">
        <f>RANK(Table5[[#This Row],[zScore]],Table5[[#All],[zScore]])</f>
        <v>825</v>
      </c>
      <c r="Y906" s="50" t="str">
        <f>IFERROR(INDEX(DraftResults[[#All],[OVR]],MATCH(Table5[[#This Row],[PID]],DraftResults[[#All],[Player ID]],0)),"")</f>
        <v/>
      </c>
      <c r="Z9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6" s="50" t="str">
        <f>IFERROR(INDEX(DraftResults[[#All],[Pick in Round]],MATCH(Table5[[#This Row],[PID]],DraftResults[[#All],[Player ID]],0)),"")</f>
        <v/>
      </c>
      <c r="AB906" s="50" t="str">
        <f>IFERROR(INDEX(DraftResults[[#All],[Team Name]],MATCH(Table5[[#This Row],[PID]],DraftResults[[#All],[Player ID]],0)),"")</f>
        <v/>
      </c>
      <c r="AC906" s="50" t="str">
        <f>IF(Table5[[#This Row],[Ovr]]="","",IF(Table5[[#This Row],[cmbList]]="","",Table5[[#This Row],[cmbList]]-Table5[[#This Row],[Ovr]]))</f>
        <v/>
      </c>
      <c r="AD906" s="54" t="str">
        <f>IF(ISERROR(VLOOKUP($AB906&amp;"-"&amp;$E906&amp;" "&amp;F906,Bonuses!$B$1:$G$1006,4,FALSE)),"",INT(VLOOKUP($AB906&amp;"-"&amp;$E906&amp;" "&amp;$F906,Bonuses!$B$1:$G$1006,4,FALSE)))</f>
        <v/>
      </c>
      <c r="AE9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7" spans="1:31" s="50" customFormat="1" x14ac:dyDescent="0.25">
      <c r="A907" s="50">
        <v>20915</v>
      </c>
      <c r="B907" s="50">
        <f>COUNTIF(Table5[PID],A907)</f>
        <v>1</v>
      </c>
      <c r="C907" s="50" t="str">
        <f>IF(COUNTIF(Table3[[#All],[PID]],A907)&gt;0,"P","B")</f>
        <v>B</v>
      </c>
      <c r="D907" s="59" t="str">
        <f>IF($C907="B",INDEX(Batters[[#All],[POS]],MATCH(Table5[[#This Row],[PID]],Batters[[#All],[PID]],0)),INDEX(Table3[[#All],[POS]],MATCH(Table5[[#This Row],[PID]],Table3[[#All],[PID]],0)))</f>
        <v>1B</v>
      </c>
      <c r="E907" s="52" t="str">
        <f>IF($C907="B",INDEX(Batters[[#All],[First]],MATCH(Table5[[#This Row],[PID]],Batters[[#All],[PID]],0)),INDEX(Table3[[#All],[First]],MATCH(Table5[[#This Row],[PID]],Table3[[#All],[PID]],0)))</f>
        <v>Bob</v>
      </c>
      <c r="F907" s="50" t="str">
        <f>IF($C907="B",INDEX(Batters[[#All],[Last]],MATCH(A907,Batters[[#All],[PID]],0)),INDEX(Table3[[#All],[Last]],MATCH(A907,Table3[[#All],[PID]],0)))</f>
        <v>Tate</v>
      </c>
      <c r="G907" s="56">
        <f>IF($C907="B",INDEX(Batters[[#All],[Age]],MATCH(Table5[[#This Row],[PID]],Batters[[#All],[PID]],0)),INDEX(Table3[[#All],[Age]],MATCH(Table5[[#This Row],[PID]],Table3[[#All],[PID]],0)))</f>
        <v>17</v>
      </c>
      <c r="H907" s="52" t="str">
        <f>IF($C907="B",INDEX(Batters[[#All],[B]],MATCH(Table5[[#This Row],[PID]],Batters[[#All],[PID]],0)),INDEX(Table3[[#All],[B]],MATCH(Table5[[#This Row],[PID]],Table3[[#All],[PID]],0)))</f>
        <v>R</v>
      </c>
      <c r="I907" s="52" t="str">
        <f>IF($C907="B",INDEX(Batters[[#All],[T]],MATCH(Table5[[#This Row],[PID]],Batters[[#All],[PID]],0)),INDEX(Table3[[#All],[T]],MATCH(Table5[[#This Row],[PID]],Table3[[#All],[PID]],0)))</f>
        <v>R</v>
      </c>
      <c r="J907" s="52" t="str">
        <f>IF($C907="B",INDEX(Batters[[#All],[WE]],MATCH(Table5[[#This Row],[PID]],Batters[[#All],[PID]],0)),INDEX(Table3[[#All],[WE]],MATCH(Table5[[#This Row],[PID]],Table3[[#All],[PID]],0)))</f>
        <v>Normal</v>
      </c>
      <c r="K907" s="52" t="str">
        <f>IF($C907="B",INDEX(Batters[[#All],[INT]],MATCH(Table5[[#This Row],[PID]],Batters[[#All],[PID]],0)),INDEX(Table3[[#All],[INT]],MATCH(Table5[[#This Row],[PID]],Table3[[#All],[PID]],0)))</f>
        <v>Normal</v>
      </c>
      <c r="L907" s="60">
        <f>IF($C907="B",INDEX(Batters[[#All],[CON P]],MATCH(Table5[[#This Row],[PID]],Batters[[#All],[PID]],0)),INDEX(Table3[[#All],[STU P]],MATCH(Table5[[#This Row],[PID]],Table3[[#All],[PID]],0)))</f>
        <v>3</v>
      </c>
      <c r="M907" s="56">
        <f>IF($C907="B",INDEX(Batters[[#All],[GAP P]],MATCH(Table5[[#This Row],[PID]],Batters[[#All],[PID]],0)),INDEX(Table3[[#All],[MOV P]],MATCH(Table5[[#This Row],[PID]],Table3[[#All],[PID]],0)))</f>
        <v>4</v>
      </c>
      <c r="N907" s="56">
        <f>IF($C907="B",INDEX(Batters[[#All],[POW P]],MATCH(Table5[[#This Row],[PID]],Batters[[#All],[PID]],0)),INDEX(Table3[[#All],[CON P]],MATCH(Table5[[#This Row],[PID]],Table3[[#All],[PID]],0)))</f>
        <v>3</v>
      </c>
      <c r="O907" s="56">
        <f>IF($C907="B",INDEX(Batters[[#All],[EYE P]],MATCH(Table5[[#This Row],[PID]],Batters[[#All],[PID]],0)),INDEX(Table3[[#All],[VELO]],MATCH(Table5[[#This Row],[PID]],Table3[[#All],[PID]],0)))</f>
        <v>5</v>
      </c>
      <c r="P907" s="56">
        <f>IF($C907="B",INDEX(Batters[[#All],[K P]],MATCH(Table5[[#This Row],[PID]],Batters[[#All],[PID]],0)),INDEX(Table3[[#All],[STM]],MATCH(Table5[[#This Row],[PID]],Table3[[#All],[PID]],0)))</f>
        <v>4</v>
      </c>
      <c r="Q907" s="61">
        <f>IF($C907="B",INDEX(Batters[[#All],[Tot]],MATCH(Table5[[#This Row],[PID]],Batters[[#All],[PID]],0)),INDEX(Table3[[#All],[Tot]],MATCH(Table5[[#This Row],[PID]],Table3[[#All],[PID]],0)))</f>
        <v>42.107369842074817</v>
      </c>
      <c r="R907" s="52">
        <f>IF($C907="B",INDEX(Batters[[#All],[zScore]],MATCH(Table5[[#This Row],[PID]],Batters[[#All],[PID]],0)),INDEX(Table3[[#All],[zScore]],MATCH(Table5[[#This Row],[PID]],Table3[[#All],[PID]],0)))</f>
        <v>-0.44886082712058595</v>
      </c>
      <c r="S907" s="58" t="str">
        <f>IF($C907="B",INDEX(Batters[[#All],[DEM]],MATCH(Table5[[#This Row],[PID]],Batters[[#All],[PID]],0)),INDEX(Table3[[#All],[DEM]],MATCH(Table5[[#This Row],[PID]],Table3[[#All],[PID]],0)))</f>
        <v>$65k</v>
      </c>
      <c r="T907" s="62">
        <f>IF($C907="B",INDEX(Batters[[#All],[Rnk]],MATCH(Table5[[#This Row],[PID]],Batters[[#All],[PID]],0)),INDEX(Table3[[#All],[Rnk]],MATCH(Table5[[#This Row],[PID]],Table3[[#All],[PID]],0)))</f>
        <v>327</v>
      </c>
      <c r="U907" s="68">
        <f>IF($C907="B",VLOOKUP($A907,Bat!$A$4:$BA$1621,47,FALSE),VLOOKUP($A907,Pit!$A$4:$BF$1557,56,FALSE))</f>
        <v>0</v>
      </c>
      <c r="V907" s="50">
        <f>IF($C907="B",VLOOKUP($A907,Bat!$A$4:$BA$1621,48,FALSE),VLOOKUP($A907,Pit!$A$4:$BF$1557,57,FALSE))</f>
        <v>0</v>
      </c>
      <c r="W907" s="50">
        <f>Table5[[#This Row],[posRnk]]+Table5[[#This Row],[zRnk]]+IF($W$3&lt;&gt;Table5[[#This Row],[Type]],50,0)</f>
        <v>1203</v>
      </c>
      <c r="X907" s="51">
        <f>RANK(Table5[[#This Row],[zScore]],Table5[[#All],[zScore]])</f>
        <v>826</v>
      </c>
      <c r="Y907" s="50" t="str">
        <f>IFERROR(INDEX(DraftResults[[#All],[OVR]],MATCH(Table5[[#This Row],[PID]],DraftResults[[#All],[Player ID]],0)),"")</f>
        <v/>
      </c>
      <c r="Z9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7" s="50" t="str">
        <f>IFERROR(INDEX(DraftResults[[#All],[Pick in Round]],MATCH(Table5[[#This Row],[PID]],DraftResults[[#All],[Player ID]],0)),"")</f>
        <v/>
      </c>
      <c r="AB907" s="50" t="str">
        <f>IFERROR(INDEX(DraftResults[[#All],[Team Name]],MATCH(Table5[[#This Row],[PID]],DraftResults[[#All],[Player ID]],0)),"")</f>
        <v/>
      </c>
      <c r="AC907" s="50" t="str">
        <f>IF(Table5[[#This Row],[Ovr]]="","",IF(Table5[[#This Row],[cmbList]]="","",Table5[[#This Row],[cmbList]]-Table5[[#This Row],[Ovr]]))</f>
        <v/>
      </c>
      <c r="AD907" s="54" t="str">
        <f>IF(ISERROR(VLOOKUP($AB907&amp;"-"&amp;$E907&amp;" "&amp;F907,Bonuses!$B$1:$G$1006,4,FALSE)),"",INT(VLOOKUP($AB907&amp;"-"&amp;$E907&amp;" "&amp;$F907,Bonuses!$B$1:$G$1006,4,FALSE)))</f>
        <v/>
      </c>
      <c r="AE9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8" spans="1:31" s="50" customFormat="1" x14ac:dyDescent="0.25">
      <c r="A908" s="50">
        <v>20914</v>
      </c>
      <c r="B908" s="50">
        <f>COUNTIF(Table5[PID],A908)</f>
        <v>1</v>
      </c>
      <c r="C908" s="50" t="str">
        <f>IF(COUNTIF(Table3[[#All],[PID]],A908)&gt;0,"P","B")</f>
        <v>B</v>
      </c>
      <c r="D908" s="59" t="str">
        <f>IF($C908="B",INDEX(Batters[[#All],[POS]],MATCH(Table5[[#This Row],[PID]],Batters[[#All],[PID]],0)),INDEX(Table3[[#All],[POS]],MATCH(Table5[[#This Row],[PID]],Table3[[#All],[PID]],0)))</f>
        <v>C</v>
      </c>
      <c r="E908" s="52" t="str">
        <f>IF($C908="B",INDEX(Batters[[#All],[First]],MATCH(Table5[[#This Row],[PID]],Batters[[#All],[PID]],0)),INDEX(Table3[[#All],[First]],MATCH(Table5[[#This Row],[PID]],Table3[[#All],[PID]],0)))</f>
        <v>Elliot</v>
      </c>
      <c r="F908" s="50" t="str">
        <f>IF($C908="B",INDEX(Batters[[#All],[Last]],MATCH(A908,Batters[[#All],[PID]],0)),INDEX(Table3[[#All],[Last]],MATCH(A908,Table3[[#All],[PID]],0)))</f>
        <v>Marks</v>
      </c>
      <c r="G908" s="56">
        <f>IF($C908="B",INDEX(Batters[[#All],[Age]],MATCH(Table5[[#This Row],[PID]],Batters[[#All],[PID]],0)),INDEX(Table3[[#All],[Age]],MATCH(Table5[[#This Row],[PID]],Table3[[#All],[PID]],0)))</f>
        <v>18</v>
      </c>
      <c r="H908" s="52" t="str">
        <f>IF($C908="B",INDEX(Batters[[#All],[B]],MATCH(Table5[[#This Row],[PID]],Batters[[#All],[PID]],0)),INDEX(Table3[[#All],[B]],MATCH(Table5[[#This Row],[PID]],Table3[[#All],[PID]],0)))</f>
        <v>L</v>
      </c>
      <c r="I908" s="52" t="str">
        <f>IF($C908="B",INDEX(Batters[[#All],[T]],MATCH(Table5[[#This Row],[PID]],Batters[[#All],[PID]],0)),INDEX(Table3[[#All],[T]],MATCH(Table5[[#This Row],[PID]],Table3[[#All],[PID]],0)))</f>
        <v>R</v>
      </c>
      <c r="J908" s="52" t="str">
        <f>IF($C908="B",INDEX(Batters[[#All],[WE]],MATCH(Table5[[#This Row],[PID]],Batters[[#All],[PID]],0)),INDEX(Table3[[#All],[WE]],MATCH(Table5[[#This Row],[PID]],Table3[[#All],[PID]],0)))</f>
        <v>Normal</v>
      </c>
      <c r="K908" s="52" t="str">
        <f>IF($C908="B",INDEX(Batters[[#All],[INT]],MATCH(Table5[[#This Row],[PID]],Batters[[#All],[PID]],0)),INDEX(Table3[[#All],[INT]],MATCH(Table5[[#This Row],[PID]],Table3[[#All],[PID]],0)))</f>
        <v>Normal</v>
      </c>
      <c r="L908" s="60">
        <f>IF($C908="B",INDEX(Batters[[#All],[CON P]],MATCH(Table5[[#This Row],[PID]],Batters[[#All],[PID]],0)),INDEX(Table3[[#All],[STU P]],MATCH(Table5[[#This Row],[PID]],Table3[[#All],[PID]],0)))</f>
        <v>3</v>
      </c>
      <c r="M908" s="56">
        <f>IF($C908="B",INDEX(Batters[[#All],[GAP P]],MATCH(Table5[[#This Row],[PID]],Batters[[#All],[PID]],0)),INDEX(Table3[[#All],[MOV P]],MATCH(Table5[[#This Row],[PID]],Table3[[#All],[PID]],0)))</f>
        <v>3</v>
      </c>
      <c r="N908" s="56">
        <f>IF($C908="B",INDEX(Batters[[#All],[POW P]],MATCH(Table5[[#This Row],[PID]],Batters[[#All],[PID]],0)),INDEX(Table3[[#All],[CON P]],MATCH(Table5[[#This Row],[PID]],Table3[[#All],[PID]],0)))</f>
        <v>3</v>
      </c>
      <c r="O908" s="56">
        <f>IF($C908="B",INDEX(Batters[[#All],[EYE P]],MATCH(Table5[[#This Row],[PID]],Batters[[#All],[PID]],0)),INDEX(Table3[[#All],[VELO]],MATCH(Table5[[#This Row],[PID]],Table3[[#All],[PID]],0)))</f>
        <v>6</v>
      </c>
      <c r="P908" s="56">
        <f>IF($C908="B",INDEX(Batters[[#All],[K P]],MATCH(Table5[[#This Row],[PID]],Batters[[#All],[PID]],0)),INDEX(Table3[[#All],[STM]],MATCH(Table5[[#This Row],[PID]],Table3[[#All],[PID]],0)))</f>
        <v>3</v>
      </c>
      <c r="Q908" s="61">
        <f>IF($C908="B",INDEX(Batters[[#All],[Tot]],MATCH(Table5[[#This Row],[PID]],Batters[[#All],[PID]],0)),INDEX(Table3[[#All],[Tot]],MATCH(Table5[[#This Row],[PID]],Table3[[#All],[PID]],0)))</f>
        <v>42.099940763961307</v>
      </c>
      <c r="R908" s="52">
        <f>IF($C908="B",INDEX(Batters[[#All],[zScore]],MATCH(Table5[[#This Row],[PID]],Batters[[#All],[PID]],0)),INDEX(Table3[[#All],[zScore]],MATCH(Table5[[#This Row],[PID]],Table3[[#All],[PID]],0)))</f>
        <v>-0.45050790395425888</v>
      </c>
      <c r="S908" s="58" t="str">
        <f>IF($C908="B",INDEX(Batters[[#All],[DEM]],MATCH(Table5[[#This Row],[PID]],Batters[[#All],[PID]],0)),INDEX(Table3[[#All],[DEM]],MATCH(Table5[[#This Row],[PID]],Table3[[#All],[PID]],0)))</f>
        <v>$38k</v>
      </c>
      <c r="T908" s="62">
        <f>IF($C908="B",INDEX(Batters[[#All],[Rnk]],MATCH(Table5[[#This Row],[PID]],Batters[[#All],[PID]],0)),INDEX(Table3[[#All],[Rnk]],MATCH(Table5[[#This Row],[PID]],Table3[[#All],[PID]],0)))</f>
        <v>328</v>
      </c>
      <c r="U908" s="68">
        <f>IF($C908="B",VLOOKUP($A908,Bat!$A$4:$BA$1621,47,FALSE),VLOOKUP($A908,Pit!$A$4:$BF$1557,56,FALSE))</f>
        <v>0</v>
      </c>
      <c r="V908" s="50">
        <f>IF($C908="B",VLOOKUP($A908,Bat!$A$4:$BA$1621,48,FALSE),VLOOKUP($A908,Pit!$A$4:$BF$1557,57,FALSE))</f>
        <v>0</v>
      </c>
      <c r="W908" s="50">
        <f>Table5[[#This Row],[posRnk]]+Table5[[#This Row],[zRnk]]+IF($W$3&lt;&gt;Table5[[#This Row],[Type]],50,0)</f>
        <v>1205</v>
      </c>
      <c r="X908" s="51">
        <f>RANK(Table5[[#This Row],[zScore]],Table5[[#All],[zScore]])</f>
        <v>827</v>
      </c>
      <c r="Y908" s="50" t="str">
        <f>IFERROR(INDEX(DraftResults[[#All],[OVR]],MATCH(Table5[[#This Row],[PID]],DraftResults[[#All],[Player ID]],0)),"")</f>
        <v/>
      </c>
      <c r="Z9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8" s="50" t="str">
        <f>IFERROR(INDEX(DraftResults[[#All],[Pick in Round]],MATCH(Table5[[#This Row],[PID]],DraftResults[[#All],[Player ID]],0)),"")</f>
        <v/>
      </c>
      <c r="AB908" s="50" t="str">
        <f>IFERROR(INDEX(DraftResults[[#All],[Team Name]],MATCH(Table5[[#This Row],[PID]],DraftResults[[#All],[Player ID]],0)),"")</f>
        <v/>
      </c>
      <c r="AC908" s="50" t="str">
        <f>IF(Table5[[#This Row],[Ovr]]="","",IF(Table5[[#This Row],[cmbList]]="","",Table5[[#This Row],[cmbList]]-Table5[[#This Row],[Ovr]]))</f>
        <v/>
      </c>
      <c r="AD908" s="54" t="str">
        <f>IF(ISERROR(VLOOKUP($AB908&amp;"-"&amp;$E908&amp;" "&amp;F908,Bonuses!$B$1:$G$1006,4,FALSE)),"",INT(VLOOKUP($AB908&amp;"-"&amp;$E908&amp;" "&amp;$F908,Bonuses!$B$1:$G$1006,4,FALSE)))</f>
        <v/>
      </c>
      <c r="AE9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09" spans="1:31" s="50" customFormat="1" x14ac:dyDescent="0.25">
      <c r="A909" s="50">
        <v>20530</v>
      </c>
      <c r="B909" s="50">
        <f>COUNTIF(Table5[PID],A909)</f>
        <v>1</v>
      </c>
      <c r="C909" s="50" t="str">
        <f>IF(COUNTIF(Table3[[#All],[PID]],A909)&gt;0,"P","B")</f>
        <v>P</v>
      </c>
      <c r="D909" s="59" t="str">
        <f>IF($C909="B",INDEX(Batters[[#All],[POS]],MATCH(Table5[[#This Row],[PID]],Batters[[#All],[PID]],0)),INDEX(Table3[[#All],[POS]],MATCH(Table5[[#This Row],[PID]],Table3[[#All],[PID]],0)))</f>
        <v>RP</v>
      </c>
      <c r="E909" s="52" t="str">
        <f>IF($C909="B",INDEX(Batters[[#All],[First]],MATCH(Table5[[#This Row],[PID]],Batters[[#All],[PID]],0)),INDEX(Table3[[#All],[First]],MATCH(Table5[[#This Row],[PID]],Table3[[#All],[PID]],0)))</f>
        <v>Wally</v>
      </c>
      <c r="F909" s="50" t="str">
        <f>IF($C909="B",INDEX(Batters[[#All],[Last]],MATCH(A909,Batters[[#All],[PID]],0)),INDEX(Table3[[#All],[Last]],MATCH(A909,Table3[[#All],[PID]],0)))</f>
        <v>Blythe</v>
      </c>
      <c r="G909" s="56">
        <f>IF($C909="B",INDEX(Batters[[#All],[Age]],MATCH(Table5[[#This Row],[PID]],Batters[[#All],[PID]],0)),INDEX(Table3[[#All],[Age]],MATCH(Table5[[#This Row],[PID]],Table3[[#All],[PID]],0)))</f>
        <v>18</v>
      </c>
      <c r="H909" s="52" t="str">
        <f>IF($C909="B",INDEX(Batters[[#All],[B]],MATCH(Table5[[#This Row],[PID]],Batters[[#All],[PID]],0)),INDEX(Table3[[#All],[B]],MATCH(Table5[[#This Row],[PID]],Table3[[#All],[PID]],0)))</f>
        <v>L</v>
      </c>
      <c r="I909" s="52" t="str">
        <f>IF($C909="B",INDEX(Batters[[#All],[T]],MATCH(Table5[[#This Row],[PID]],Batters[[#All],[PID]],0)),INDEX(Table3[[#All],[T]],MATCH(Table5[[#This Row],[PID]],Table3[[#All],[PID]],0)))</f>
        <v>L</v>
      </c>
      <c r="J909" s="52" t="str">
        <f>IF($C909="B",INDEX(Batters[[#All],[WE]],MATCH(Table5[[#This Row],[PID]],Batters[[#All],[PID]],0)),INDEX(Table3[[#All],[WE]],MATCH(Table5[[#This Row],[PID]],Table3[[#All],[PID]],0)))</f>
        <v>Normal</v>
      </c>
      <c r="K909" s="52" t="str">
        <f>IF($C909="B",INDEX(Batters[[#All],[INT]],MATCH(Table5[[#This Row],[PID]],Batters[[#All],[PID]],0)),INDEX(Table3[[#All],[INT]],MATCH(Table5[[#This Row],[PID]],Table3[[#All],[PID]],0)))</f>
        <v>Low</v>
      </c>
      <c r="L909" s="60">
        <f>IF($C909="B",INDEX(Batters[[#All],[CON P]],MATCH(Table5[[#This Row],[PID]],Batters[[#All],[PID]],0)),INDEX(Table3[[#All],[STU P]],MATCH(Table5[[#This Row],[PID]],Table3[[#All],[PID]],0)))</f>
        <v>5</v>
      </c>
      <c r="M909" s="56">
        <f>IF($C909="B",INDEX(Batters[[#All],[GAP P]],MATCH(Table5[[#This Row],[PID]],Batters[[#All],[PID]],0)),INDEX(Table3[[#All],[MOV P]],MATCH(Table5[[#This Row],[PID]],Table3[[#All],[PID]],0)))</f>
        <v>1</v>
      </c>
      <c r="N909" s="56">
        <f>IF($C909="B",INDEX(Batters[[#All],[POW P]],MATCH(Table5[[#This Row],[PID]],Batters[[#All],[PID]],0)),INDEX(Table3[[#All],[CON P]],MATCH(Table5[[#This Row],[PID]],Table3[[#All],[PID]],0)))</f>
        <v>2</v>
      </c>
      <c r="O909" s="56" t="str">
        <f>IF($C909="B",INDEX(Batters[[#All],[EYE P]],MATCH(Table5[[#This Row],[PID]],Batters[[#All],[PID]],0)),INDEX(Table3[[#All],[VELO]],MATCH(Table5[[#This Row],[PID]],Table3[[#All],[PID]],0)))</f>
        <v>93-95 Mph</v>
      </c>
      <c r="P909" s="56">
        <f>IF($C909="B",INDEX(Batters[[#All],[K P]],MATCH(Table5[[#This Row],[PID]],Batters[[#All],[PID]],0)),INDEX(Table3[[#All],[STM]],MATCH(Table5[[#This Row],[PID]],Table3[[#All],[PID]],0)))</f>
        <v>3</v>
      </c>
      <c r="Q909" s="61">
        <f>IF($C909="B",INDEX(Batters[[#All],[Tot]],MATCH(Table5[[#This Row],[PID]],Batters[[#All],[PID]],0)),INDEX(Table3[[#All],[Tot]],MATCH(Table5[[#This Row],[PID]],Table3[[#All],[PID]],0)))</f>
        <v>29.094970154906051</v>
      </c>
      <c r="R909" s="52">
        <f>IF($C909="B",INDEX(Batters[[#All],[zScore]],MATCH(Table5[[#This Row],[PID]],Batters[[#All],[PID]],0)),INDEX(Table3[[#All],[zScore]],MATCH(Table5[[#This Row],[PID]],Table3[[#All],[PID]],0)))</f>
        <v>-0.45076737944808692</v>
      </c>
      <c r="S909" s="58" t="str">
        <f>IF($C909="B",INDEX(Batters[[#All],[DEM]],MATCH(Table5[[#This Row],[PID]],Batters[[#All],[PID]],0)),INDEX(Table3[[#All],[DEM]],MATCH(Table5[[#This Row],[PID]],Table3[[#All],[PID]],0)))</f>
        <v>$70k</v>
      </c>
      <c r="T909" s="62">
        <f>IF($C909="B",INDEX(Batters[[#All],[Rnk]],MATCH(Table5[[#This Row],[PID]],Batters[[#All],[PID]],0)),INDEX(Table3[[#All],[Rnk]],MATCH(Table5[[#This Row],[PID]],Table3[[#All],[PID]],0)))</f>
        <v>500</v>
      </c>
      <c r="U909" s="68">
        <f>IF($C909="B",VLOOKUP($A909,Bat!$A$4:$BA$1621,47,FALSE),VLOOKUP($A909,Pit!$A$4:$BF$1557,56,FALSE))</f>
        <v>0</v>
      </c>
      <c r="V909" s="50">
        <f>IF($C909="B",VLOOKUP($A909,Bat!$A$4:$BA$1621,48,FALSE),VLOOKUP($A909,Pit!$A$4:$BF$1557,57,FALSE))</f>
        <v>0</v>
      </c>
      <c r="W909" s="50">
        <f>Table5[[#This Row],[posRnk]]+Table5[[#This Row],[zRnk]]+IF($W$3&lt;&gt;Table5[[#This Row],[Type]],50,0)</f>
        <v>1378</v>
      </c>
      <c r="X909" s="51">
        <f>RANK(Table5[[#This Row],[zScore]],Table5[[#All],[zScore]])</f>
        <v>828</v>
      </c>
      <c r="Y909" s="50" t="str">
        <f>IFERROR(INDEX(DraftResults[[#All],[OVR]],MATCH(Table5[[#This Row],[PID]],DraftResults[[#All],[Player ID]],0)),"")</f>
        <v/>
      </c>
      <c r="Z9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09" s="50" t="str">
        <f>IFERROR(INDEX(DraftResults[[#All],[Pick in Round]],MATCH(Table5[[#This Row],[PID]],DraftResults[[#All],[Player ID]],0)),"")</f>
        <v/>
      </c>
      <c r="AB909" s="50" t="str">
        <f>IFERROR(INDEX(DraftResults[[#All],[Team Name]],MATCH(Table5[[#This Row],[PID]],DraftResults[[#All],[Player ID]],0)),"")</f>
        <v/>
      </c>
      <c r="AC909" s="50" t="str">
        <f>IF(Table5[[#This Row],[Ovr]]="","",IF(Table5[[#This Row],[cmbList]]="","",Table5[[#This Row],[cmbList]]-Table5[[#This Row],[Ovr]]))</f>
        <v/>
      </c>
      <c r="AD909" s="54" t="str">
        <f>IF(ISERROR(VLOOKUP($AB909&amp;"-"&amp;$E909&amp;" "&amp;F909,Bonuses!$B$1:$G$1006,4,FALSE)),"",INT(VLOOKUP($AB909&amp;"-"&amp;$E909&amp;" "&amp;$F909,Bonuses!$B$1:$G$1006,4,FALSE)))</f>
        <v/>
      </c>
      <c r="AE9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0" spans="1:31" s="50" customFormat="1" x14ac:dyDescent="0.25">
      <c r="A910" s="50">
        <v>20554</v>
      </c>
      <c r="B910" s="50">
        <f>COUNTIF(Table5[PID],A910)</f>
        <v>1</v>
      </c>
      <c r="C910" s="50" t="str">
        <f>IF(COUNTIF(Table3[[#All],[PID]],A910)&gt;0,"P","B")</f>
        <v>P</v>
      </c>
      <c r="D910" s="59" t="str">
        <f>IF($C910="B",INDEX(Batters[[#All],[POS]],MATCH(Table5[[#This Row],[PID]],Batters[[#All],[PID]],0)),INDEX(Table3[[#All],[POS]],MATCH(Table5[[#This Row],[PID]],Table3[[#All],[PID]],0)))</f>
        <v>RP</v>
      </c>
      <c r="E910" s="52" t="str">
        <f>IF($C910="B",INDEX(Batters[[#All],[First]],MATCH(Table5[[#This Row],[PID]],Batters[[#All],[PID]],0)),INDEX(Table3[[#All],[First]],MATCH(Table5[[#This Row],[PID]],Table3[[#All],[PID]],0)))</f>
        <v>Willem</v>
      </c>
      <c r="F910" s="50" t="str">
        <f>IF($C910="B",INDEX(Batters[[#All],[Last]],MATCH(A910,Batters[[#All],[PID]],0)),INDEX(Table3[[#All],[Last]],MATCH(A910,Table3[[#All],[PID]],0)))</f>
        <v>Acret</v>
      </c>
      <c r="G910" s="56">
        <f>IF($C910="B",INDEX(Batters[[#All],[Age]],MATCH(Table5[[#This Row],[PID]],Batters[[#All],[PID]],0)),INDEX(Table3[[#All],[Age]],MATCH(Table5[[#This Row],[PID]],Table3[[#All],[PID]],0)))</f>
        <v>19</v>
      </c>
      <c r="H910" s="52" t="str">
        <f>IF($C910="B",INDEX(Batters[[#All],[B]],MATCH(Table5[[#This Row],[PID]],Batters[[#All],[PID]],0)),INDEX(Table3[[#All],[B]],MATCH(Table5[[#This Row],[PID]],Table3[[#All],[PID]],0)))</f>
        <v>R</v>
      </c>
      <c r="I910" s="52" t="str">
        <f>IF($C910="B",INDEX(Batters[[#All],[T]],MATCH(Table5[[#This Row],[PID]],Batters[[#All],[PID]],0)),INDEX(Table3[[#All],[T]],MATCH(Table5[[#This Row],[PID]],Table3[[#All],[PID]],0)))</f>
        <v>R</v>
      </c>
      <c r="J910" s="52" t="str">
        <f>IF($C910="B",INDEX(Batters[[#All],[WE]],MATCH(Table5[[#This Row],[PID]],Batters[[#All],[PID]],0)),INDEX(Table3[[#All],[WE]],MATCH(Table5[[#This Row],[PID]],Table3[[#All],[PID]],0)))</f>
        <v>Low</v>
      </c>
      <c r="K910" s="52" t="str">
        <f>IF($C910="B",INDEX(Batters[[#All],[INT]],MATCH(Table5[[#This Row],[PID]],Batters[[#All],[PID]],0)),INDEX(Table3[[#All],[INT]],MATCH(Table5[[#This Row],[PID]],Table3[[#All],[PID]],0)))</f>
        <v>Normal</v>
      </c>
      <c r="L910" s="60">
        <f>IF($C910="B",INDEX(Batters[[#All],[CON P]],MATCH(Table5[[#This Row],[PID]],Batters[[#All],[PID]],0)),INDEX(Table3[[#All],[STU P]],MATCH(Table5[[#This Row],[PID]],Table3[[#All],[PID]],0)))</f>
        <v>4</v>
      </c>
      <c r="M910" s="56">
        <f>IF($C910="B",INDEX(Batters[[#All],[GAP P]],MATCH(Table5[[#This Row],[PID]],Batters[[#All],[PID]],0)),INDEX(Table3[[#All],[MOV P]],MATCH(Table5[[#This Row],[PID]],Table3[[#All],[PID]],0)))</f>
        <v>2</v>
      </c>
      <c r="N910" s="56">
        <f>IF($C910="B",INDEX(Batters[[#All],[POW P]],MATCH(Table5[[#This Row],[PID]],Batters[[#All],[PID]],0)),INDEX(Table3[[#All],[CON P]],MATCH(Table5[[#This Row],[PID]],Table3[[#All],[PID]],0)))</f>
        <v>2</v>
      </c>
      <c r="O910" s="56" t="str">
        <f>IF($C910="B",INDEX(Batters[[#All],[EYE P]],MATCH(Table5[[#This Row],[PID]],Batters[[#All],[PID]],0)),INDEX(Table3[[#All],[VELO]],MATCH(Table5[[#This Row],[PID]],Table3[[#All],[PID]],0)))</f>
        <v>86-88 Mph</v>
      </c>
      <c r="P910" s="56">
        <f>IF($C910="B",INDEX(Batters[[#All],[K P]],MATCH(Table5[[#This Row],[PID]],Batters[[#All],[PID]],0)),INDEX(Table3[[#All],[STM]],MATCH(Table5[[#This Row],[PID]],Table3[[#All],[PID]],0)))</f>
        <v>7</v>
      </c>
      <c r="Q910" s="61">
        <f>IF($C910="B",INDEX(Batters[[#All],[Tot]],MATCH(Table5[[#This Row],[PID]],Batters[[#All],[PID]],0)),INDEX(Table3[[#All],[Tot]],MATCH(Table5[[#This Row],[PID]],Table3[[#All],[PID]],0)))</f>
        <v>29.086739979406651</v>
      </c>
      <c r="R910" s="52">
        <f>IF($C910="B",INDEX(Batters[[#All],[zScore]],MATCH(Table5[[#This Row],[PID]],Batters[[#All],[PID]],0)),INDEX(Table3[[#All],[zScore]],MATCH(Table5[[#This Row],[PID]],Table3[[#All],[PID]],0)))</f>
        <v>-0.45131492044745802</v>
      </c>
      <c r="S910" s="58" t="str">
        <f>IF($C910="B",INDEX(Batters[[#All],[DEM]],MATCH(Table5[[#This Row],[PID]],Batters[[#All],[PID]],0)),INDEX(Table3[[#All],[DEM]],MATCH(Table5[[#This Row],[PID]],Table3[[#All],[PID]],0)))</f>
        <v>$90k</v>
      </c>
      <c r="T910" s="62">
        <f>IF($C910="B",INDEX(Batters[[#All],[Rnk]],MATCH(Table5[[#This Row],[PID]],Batters[[#All],[PID]],0)),INDEX(Table3[[#All],[Rnk]],MATCH(Table5[[#This Row],[PID]],Table3[[#All],[PID]],0)))</f>
        <v>501</v>
      </c>
      <c r="U910" s="68">
        <f>IF($C910="B",VLOOKUP($A910,Bat!$A$4:$BA$1621,47,FALSE),VLOOKUP($A910,Pit!$A$4:$BF$1557,56,FALSE))</f>
        <v>0</v>
      </c>
      <c r="V910" s="50">
        <f>IF($C910="B",VLOOKUP($A910,Bat!$A$4:$BA$1621,48,FALSE),VLOOKUP($A910,Pit!$A$4:$BF$1557,57,FALSE))</f>
        <v>0</v>
      </c>
      <c r="W910" s="50">
        <f>Table5[[#This Row],[posRnk]]+Table5[[#This Row],[zRnk]]+IF($W$3&lt;&gt;Table5[[#This Row],[Type]],50,0)</f>
        <v>1380</v>
      </c>
      <c r="X910" s="51">
        <f>RANK(Table5[[#This Row],[zScore]],Table5[[#All],[zScore]])</f>
        <v>829</v>
      </c>
      <c r="Y910" s="50" t="str">
        <f>IFERROR(INDEX(DraftResults[[#All],[OVR]],MATCH(Table5[[#This Row],[PID]],DraftResults[[#All],[Player ID]],0)),"")</f>
        <v/>
      </c>
      <c r="Z9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0" s="50" t="str">
        <f>IFERROR(INDEX(DraftResults[[#All],[Pick in Round]],MATCH(Table5[[#This Row],[PID]],DraftResults[[#All],[Player ID]],0)),"")</f>
        <v/>
      </c>
      <c r="AB910" s="50" t="str">
        <f>IFERROR(INDEX(DraftResults[[#All],[Team Name]],MATCH(Table5[[#This Row],[PID]],DraftResults[[#All],[Player ID]],0)),"")</f>
        <v/>
      </c>
      <c r="AC910" s="50" t="str">
        <f>IF(Table5[[#This Row],[Ovr]]="","",IF(Table5[[#This Row],[cmbList]]="","",Table5[[#This Row],[cmbList]]-Table5[[#This Row],[Ovr]]))</f>
        <v/>
      </c>
      <c r="AD910" s="54" t="str">
        <f>IF(ISERROR(VLOOKUP($AB910&amp;"-"&amp;$E910&amp;" "&amp;F910,Bonuses!$B$1:$G$1006,4,FALSE)),"",INT(VLOOKUP($AB910&amp;"-"&amp;$E910&amp;" "&amp;$F910,Bonuses!$B$1:$G$1006,4,FALSE)))</f>
        <v/>
      </c>
      <c r="AE9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1" spans="1:31" s="50" customFormat="1" x14ac:dyDescent="0.25">
      <c r="A911" s="50">
        <v>21081</v>
      </c>
      <c r="B911" s="50">
        <f>COUNTIF(Table5[PID],A911)</f>
        <v>1</v>
      </c>
      <c r="C911" s="50" t="str">
        <f>IF(COUNTIF(Table3[[#All],[PID]],A911)&gt;0,"P","B")</f>
        <v>P</v>
      </c>
      <c r="D911" s="59" t="str">
        <f>IF($C911="B",INDEX(Batters[[#All],[POS]],MATCH(Table5[[#This Row],[PID]],Batters[[#All],[PID]],0)),INDEX(Table3[[#All],[POS]],MATCH(Table5[[#This Row],[PID]],Table3[[#All],[PID]],0)))</f>
        <v>RP</v>
      </c>
      <c r="E911" s="52" t="str">
        <f>IF($C911="B",INDEX(Batters[[#All],[First]],MATCH(Table5[[#This Row],[PID]],Batters[[#All],[PID]],0)),INDEX(Table3[[#All],[First]],MATCH(Table5[[#This Row],[PID]],Table3[[#All],[PID]],0)))</f>
        <v>José</v>
      </c>
      <c r="F911" s="50" t="str">
        <f>IF($C911="B",INDEX(Batters[[#All],[Last]],MATCH(A911,Batters[[#All],[PID]],0)),INDEX(Table3[[#All],[Last]],MATCH(A911,Table3[[#All],[PID]],0)))</f>
        <v>Hurtado</v>
      </c>
      <c r="G911" s="56">
        <f>IF($C911="B",INDEX(Batters[[#All],[Age]],MATCH(Table5[[#This Row],[PID]],Batters[[#All],[PID]],0)),INDEX(Table3[[#All],[Age]],MATCH(Table5[[#This Row],[PID]],Table3[[#All],[PID]],0)))</f>
        <v>17</v>
      </c>
      <c r="H911" s="52" t="str">
        <f>IF($C911="B",INDEX(Batters[[#All],[B]],MATCH(Table5[[#This Row],[PID]],Batters[[#All],[PID]],0)),INDEX(Table3[[#All],[B]],MATCH(Table5[[#This Row],[PID]],Table3[[#All],[PID]],0)))</f>
        <v>R</v>
      </c>
      <c r="I911" s="52" t="str">
        <f>IF($C911="B",INDEX(Batters[[#All],[T]],MATCH(Table5[[#This Row],[PID]],Batters[[#All],[PID]],0)),INDEX(Table3[[#All],[T]],MATCH(Table5[[#This Row],[PID]],Table3[[#All],[PID]],0)))</f>
        <v>R</v>
      </c>
      <c r="J911" s="52" t="str">
        <f>IF($C911="B",INDEX(Batters[[#All],[WE]],MATCH(Table5[[#This Row],[PID]],Batters[[#All],[PID]],0)),INDEX(Table3[[#All],[WE]],MATCH(Table5[[#This Row],[PID]],Table3[[#All],[PID]],0)))</f>
        <v>High</v>
      </c>
      <c r="K911" s="52" t="str">
        <f>IF($C911="B",INDEX(Batters[[#All],[INT]],MATCH(Table5[[#This Row],[PID]],Batters[[#All],[PID]],0)),INDEX(Table3[[#All],[INT]],MATCH(Table5[[#This Row],[PID]],Table3[[#All],[PID]],0)))</f>
        <v>Normal</v>
      </c>
      <c r="L911" s="60">
        <f>IF($C911="B",INDEX(Batters[[#All],[CON P]],MATCH(Table5[[#This Row],[PID]],Batters[[#All],[PID]],0)),INDEX(Table3[[#All],[STU P]],MATCH(Table5[[#This Row],[PID]],Table3[[#All],[PID]],0)))</f>
        <v>4</v>
      </c>
      <c r="M911" s="56">
        <f>IF($C911="B",INDEX(Batters[[#All],[GAP P]],MATCH(Table5[[#This Row],[PID]],Batters[[#All],[PID]],0)),INDEX(Table3[[#All],[MOV P]],MATCH(Table5[[#This Row],[PID]],Table3[[#All],[PID]],0)))</f>
        <v>2</v>
      </c>
      <c r="N911" s="56">
        <f>IF($C911="B",INDEX(Batters[[#All],[POW P]],MATCH(Table5[[#This Row],[PID]],Batters[[#All],[PID]],0)),INDEX(Table3[[#All],[CON P]],MATCH(Table5[[#This Row],[PID]],Table3[[#All],[PID]],0)))</f>
        <v>3</v>
      </c>
      <c r="O911" s="56" t="str">
        <f>IF($C911="B",INDEX(Batters[[#All],[EYE P]],MATCH(Table5[[#This Row],[PID]],Batters[[#All],[PID]],0)),INDEX(Table3[[#All],[VELO]],MATCH(Table5[[#This Row],[PID]],Table3[[#All],[PID]],0)))</f>
        <v>85-87 Mph</v>
      </c>
      <c r="P911" s="56">
        <f>IF($C911="B",INDEX(Batters[[#All],[K P]],MATCH(Table5[[#This Row],[PID]],Batters[[#All],[PID]],0)),INDEX(Table3[[#All],[STM]],MATCH(Table5[[#This Row],[PID]],Table3[[#All],[PID]],0)))</f>
        <v>4</v>
      </c>
      <c r="Q911" s="61">
        <f>IF($C911="B",INDEX(Batters[[#All],[Tot]],MATCH(Table5[[#This Row],[PID]],Batters[[#All],[PID]],0)),INDEX(Table3[[#All],[Tot]],MATCH(Table5[[#This Row],[PID]],Table3[[#All],[PID]],0)))</f>
        <v>28.975522413639101</v>
      </c>
      <c r="R911" s="52">
        <f>IF($C911="B",INDEX(Batters[[#All],[zScore]],MATCH(Table5[[#This Row],[PID]],Batters[[#All],[PID]],0)),INDEX(Table3[[#All],[zScore]],MATCH(Table5[[#This Row],[PID]],Table3[[#All],[PID]],0)))</f>
        <v>-0.45871405514542746</v>
      </c>
      <c r="S911" s="58" t="str">
        <f>IF($C911="B",INDEX(Batters[[#All],[DEM]],MATCH(Table5[[#This Row],[PID]],Batters[[#All],[PID]],0)),INDEX(Table3[[#All],[DEM]],MATCH(Table5[[#This Row],[PID]],Table3[[#All],[PID]],0)))</f>
        <v>$38k</v>
      </c>
      <c r="T911" s="62">
        <f>IF($C911="B",INDEX(Batters[[#All],[Rnk]],MATCH(Table5[[#This Row],[PID]],Batters[[#All],[PID]],0)),INDEX(Table3[[#All],[Rnk]],MATCH(Table5[[#This Row],[PID]],Table3[[#All],[PID]],0)))</f>
        <v>502</v>
      </c>
      <c r="U911" s="68">
        <f>IF($C911="B",VLOOKUP($A911,Bat!$A$4:$BA$1621,47,FALSE),VLOOKUP($A911,Pit!$A$4:$BF$1557,56,FALSE))</f>
        <v>0</v>
      </c>
      <c r="V911" s="50">
        <f>IF($C911="B",VLOOKUP($A911,Bat!$A$4:$BA$1621,48,FALSE),VLOOKUP($A911,Pit!$A$4:$BF$1557,57,FALSE))</f>
        <v>0</v>
      </c>
      <c r="W911" s="50">
        <f>Table5[[#This Row],[posRnk]]+Table5[[#This Row],[zRnk]]+IF($W$3&lt;&gt;Table5[[#This Row],[Type]],50,0)</f>
        <v>1382</v>
      </c>
      <c r="X911" s="51">
        <f>RANK(Table5[[#This Row],[zScore]],Table5[[#All],[zScore]])</f>
        <v>830</v>
      </c>
      <c r="Y911" s="50" t="str">
        <f>IFERROR(INDEX(DraftResults[[#All],[OVR]],MATCH(Table5[[#This Row],[PID]],DraftResults[[#All],[Player ID]],0)),"")</f>
        <v/>
      </c>
      <c r="Z9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1" s="50" t="str">
        <f>IFERROR(INDEX(DraftResults[[#All],[Pick in Round]],MATCH(Table5[[#This Row],[PID]],DraftResults[[#All],[Player ID]],0)),"")</f>
        <v/>
      </c>
      <c r="AB911" s="50" t="str">
        <f>IFERROR(INDEX(DraftResults[[#All],[Team Name]],MATCH(Table5[[#This Row],[PID]],DraftResults[[#All],[Player ID]],0)),"")</f>
        <v/>
      </c>
      <c r="AC911" s="50" t="str">
        <f>IF(Table5[[#This Row],[Ovr]]="","",IF(Table5[[#This Row],[cmbList]]="","",Table5[[#This Row],[cmbList]]-Table5[[#This Row],[Ovr]]))</f>
        <v/>
      </c>
      <c r="AD911" s="54" t="str">
        <f>IF(ISERROR(VLOOKUP($AB911&amp;"-"&amp;$E911&amp;" "&amp;F911,Bonuses!$B$1:$G$1006,4,FALSE)),"",INT(VLOOKUP($AB911&amp;"-"&amp;$E911&amp;" "&amp;$F911,Bonuses!$B$1:$G$1006,4,FALSE)))</f>
        <v/>
      </c>
      <c r="AE9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2" spans="1:31" s="50" customFormat="1" x14ac:dyDescent="0.25">
      <c r="A912" s="50">
        <v>20832</v>
      </c>
      <c r="B912" s="50">
        <f>COUNTIF(Table5[PID],A912)</f>
        <v>1</v>
      </c>
      <c r="C912" s="50" t="str">
        <f>IF(COUNTIF(Table3[[#All],[PID]],A912)&gt;0,"P","B")</f>
        <v>P</v>
      </c>
      <c r="D912" s="59" t="str">
        <f>IF($C912="B",INDEX(Batters[[#All],[POS]],MATCH(Table5[[#This Row],[PID]],Batters[[#All],[PID]],0)),INDEX(Table3[[#All],[POS]],MATCH(Table5[[#This Row],[PID]],Table3[[#All],[PID]],0)))</f>
        <v>RP</v>
      </c>
      <c r="E912" s="52" t="str">
        <f>IF($C912="B",INDEX(Batters[[#All],[First]],MATCH(Table5[[#This Row],[PID]],Batters[[#All],[PID]],0)),INDEX(Table3[[#All],[First]],MATCH(Table5[[#This Row],[PID]],Table3[[#All],[PID]],0)))</f>
        <v>Brian</v>
      </c>
      <c r="F912" s="50" t="str">
        <f>IF($C912="B",INDEX(Batters[[#All],[Last]],MATCH(A912,Batters[[#All],[PID]],0)),INDEX(Table3[[#All],[Last]],MATCH(A912,Table3[[#All],[PID]],0)))</f>
        <v>Hamilton</v>
      </c>
      <c r="G912" s="56">
        <f>IF($C912="B",INDEX(Batters[[#All],[Age]],MATCH(Table5[[#This Row],[PID]],Batters[[#All],[PID]],0)),INDEX(Table3[[#All],[Age]],MATCH(Table5[[#This Row],[PID]],Table3[[#All],[PID]],0)))</f>
        <v>16</v>
      </c>
      <c r="H912" s="52" t="str">
        <f>IF($C912="B",INDEX(Batters[[#All],[B]],MATCH(Table5[[#This Row],[PID]],Batters[[#All],[PID]],0)),INDEX(Table3[[#All],[B]],MATCH(Table5[[#This Row],[PID]],Table3[[#All],[PID]],0)))</f>
        <v>L</v>
      </c>
      <c r="I912" s="52" t="str">
        <f>IF($C912="B",INDEX(Batters[[#All],[T]],MATCH(Table5[[#This Row],[PID]],Batters[[#All],[PID]],0)),INDEX(Table3[[#All],[T]],MATCH(Table5[[#This Row],[PID]],Table3[[#All],[PID]],0)))</f>
        <v>L</v>
      </c>
      <c r="J912" s="52" t="str">
        <f>IF($C912="B",INDEX(Batters[[#All],[WE]],MATCH(Table5[[#This Row],[PID]],Batters[[#All],[PID]],0)),INDEX(Table3[[#All],[WE]],MATCH(Table5[[#This Row],[PID]],Table3[[#All],[PID]],0)))</f>
        <v>Low</v>
      </c>
      <c r="K912" s="52" t="str">
        <f>IF($C912="B",INDEX(Batters[[#All],[INT]],MATCH(Table5[[#This Row],[PID]],Batters[[#All],[PID]],0)),INDEX(Table3[[#All],[INT]],MATCH(Table5[[#This Row],[PID]],Table3[[#All],[PID]],0)))</f>
        <v>Low</v>
      </c>
      <c r="L912" s="60">
        <f>IF($C912="B",INDEX(Batters[[#All],[CON P]],MATCH(Table5[[#This Row],[PID]],Batters[[#All],[PID]],0)),INDEX(Table3[[#All],[STU P]],MATCH(Table5[[#This Row],[PID]],Table3[[#All],[PID]],0)))</f>
        <v>4</v>
      </c>
      <c r="M912" s="56">
        <f>IF($C912="B",INDEX(Batters[[#All],[GAP P]],MATCH(Table5[[#This Row],[PID]],Batters[[#All],[PID]],0)),INDEX(Table3[[#All],[MOV P]],MATCH(Table5[[#This Row],[PID]],Table3[[#All],[PID]],0)))</f>
        <v>1</v>
      </c>
      <c r="N912" s="56">
        <f>IF($C912="B",INDEX(Batters[[#All],[POW P]],MATCH(Table5[[#This Row],[PID]],Batters[[#All],[PID]],0)),INDEX(Table3[[#All],[CON P]],MATCH(Table5[[#This Row],[PID]],Table3[[#All],[PID]],0)))</f>
        <v>3</v>
      </c>
      <c r="O912" s="56" t="str">
        <f>IF($C912="B",INDEX(Batters[[#All],[EYE P]],MATCH(Table5[[#This Row],[PID]],Batters[[#All],[PID]],0)),INDEX(Table3[[#All],[VELO]],MATCH(Table5[[#This Row],[PID]],Table3[[#All],[PID]],0)))</f>
        <v>87-89 Mph</v>
      </c>
      <c r="P912" s="56">
        <f>IF($C912="B",INDEX(Batters[[#All],[K P]],MATCH(Table5[[#This Row],[PID]],Batters[[#All],[PID]],0)),INDEX(Table3[[#All],[STM]],MATCH(Table5[[#This Row],[PID]],Table3[[#All],[PID]],0)))</f>
        <v>3</v>
      </c>
      <c r="Q912" s="61">
        <f>IF($C912="B",INDEX(Batters[[#All],[Tot]],MATCH(Table5[[#This Row],[PID]],Batters[[#All],[PID]],0)),INDEX(Table3[[#All],[Tot]],MATCH(Table5[[#This Row],[PID]],Table3[[#All],[PID]],0)))</f>
        <v>28.941004744485234</v>
      </c>
      <c r="R912" s="52">
        <f>IF($C912="B",INDEX(Batters[[#All],[zScore]],MATCH(Table5[[#This Row],[PID]],Batters[[#All],[PID]],0)),INDEX(Table3[[#All],[zScore]],MATCH(Table5[[#This Row],[PID]],Table3[[#All],[PID]],0)))</f>
        <v>-0.46101046292747883</v>
      </c>
      <c r="S912" s="58" t="str">
        <f>IF($C912="B",INDEX(Batters[[#All],[DEM]],MATCH(Table5[[#This Row],[PID]],Batters[[#All],[PID]],0)),INDEX(Table3[[#All],[DEM]],MATCH(Table5[[#This Row],[PID]],Table3[[#All],[PID]],0)))</f>
        <v>$70k</v>
      </c>
      <c r="T912" s="62">
        <f>IF($C912="B",INDEX(Batters[[#All],[Rnk]],MATCH(Table5[[#This Row],[PID]],Batters[[#All],[PID]],0)),INDEX(Table3[[#All],[Rnk]],MATCH(Table5[[#This Row],[PID]],Table3[[#All],[PID]],0)))</f>
        <v>503</v>
      </c>
      <c r="U912" s="68">
        <f>IF($C912="B",VLOOKUP($A912,Bat!$A$4:$BA$1621,47,FALSE),VLOOKUP($A912,Pit!$A$4:$BF$1557,56,FALSE))</f>
        <v>0</v>
      </c>
      <c r="V912" s="50">
        <f>IF($C912="B",VLOOKUP($A912,Bat!$A$4:$BA$1621,48,FALSE),VLOOKUP($A912,Pit!$A$4:$BF$1557,57,FALSE))</f>
        <v>0</v>
      </c>
      <c r="W912" s="50">
        <f>Table5[[#This Row],[posRnk]]+Table5[[#This Row],[zRnk]]+IF($W$3&lt;&gt;Table5[[#This Row],[Type]],50,0)</f>
        <v>1384</v>
      </c>
      <c r="X912" s="51">
        <f>RANK(Table5[[#This Row],[zScore]],Table5[[#All],[zScore]])</f>
        <v>831</v>
      </c>
      <c r="Y912" s="50" t="str">
        <f>IFERROR(INDEX(DraftResults[[#All],[OVR]],MATCH(Table5[[#This Row],[PID]],DraftResults[[#All],[Player ID]],0)),"")</f>
        <v/>
      </c>
      <c r="Z9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2" s="50" t="str">
        <f>IFERROR(INDEX(DraftResults[[#All],[Pick in Round]],MATCH(Table5[[#This Row],[PID]],DraftResults[[#All],[Player ID]],0)),"")</f>
        <v/>
      </c>
      <c r="AB912" s="50" t="str">
        <f>IFERROR(INDEX(DraftResults[[#All],[Team Name]],MATCH(Table5[[#This Row],[PID]],DraftResults[[#All],[Player ID]],0)),"")</f>
        <v/>
      </c>
      <c r="AC912" s="50" t="str">
        <f>IF(Table5[[#This Row],[Ovr]]="","",IF(Table5[[#This Row],[cmbList]]="","",Table5[[#This Row],[cmbList]]-Table5[[#This Row],[Ovr]]))</f>
        <v/>
      </c>
      <c r="AD912" s="54" t="str">
        <f>IF(ISERROR(VLOOKUP($AB912&amp;"-"&amp;$E912&amp;" "&amp;F912,Bonuses!$B$1:$G$1006,4,FALSE)),"",INT(VLOOKUP($AB912&amp;"-"&amp;$E912&amp;" "&amp;$F912,Bonuses!$B$1:$G$1006,4,FALSE)))</f>
        <v/>
      </c>
      <c r="AE9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3" spans="1:31" s="50" customFormat="1" x14ac:dyDescent="0.25">
      <c r="A913" s="68">
        <v>20676</v>
      </c>
      <c r="B913" s="69">
        <f>COUNTIF(Table5[PID],A913)</f>
        <v>1</v>
      </c>
      <c r="C913" s="69" t="str">
        <f>IF(COUNTIF(Table3[[#All],[PID]],A913)&gt;0,"P","B")</f>
        <v>P</v>
      </c>
      <c r="D913" s="59" t="str">
        <f>IF($C913="B",INDEX(Batters[[#All],[POS]],MATCH(Table5[[#This Row],[PID]],Batters[[#All],[PID]],0)),INDEX(Table3[[#All],[POS]],MATCH(Table5[[#This Row],[PID]],Table3[[#All],[PID]],0)))</f>
        <v>SP</v>
      </c>
      <c r="E913" s="52" t="str">
        <f>IF($C913="B",INDEX(Batters[[#All],[First]],MATCH(Table5[[#This Row],[PID]],Batters[[#All],[PID]],0)),INDEX(Table3[[#All],[First]],MATCH(Table5[[#This Row],[PID]],Table3[[#All],[PID]],0)))</f>
        <v>Yi-mou</v>
      </c>
      <c r="F913" s="55" t="str">
        <f>IF($C913="B",INDEX(Batters[[#All],[Last]],MATCH(A913,Batters[[#All],[PID]],0)),INDEX(Table3[[#All],[Last]],MATCH(A913,Table3[[#All],[PID]],0)))</f>
        <v>Won</v>
      </c>
      <c r="G913" s="56">
        <f>IF($C913="B",INDEX(Batters[[#All],[Age]],MATCH(Table5[[#This Row],[PID]],Batters[[#All],[PID]],0)),INDEX(Table3[[#All],[Age]],MATCH(Table5[[#This Row],[PID]],Table3[[#All],[PID]],0)))</f>
        <v>17</v>
      </c>
      <c r="H913" s="52" t="str">
        <f>IF($C913="B",INDEX(Batters[[#All],[B]],MATCH(Table5[[#This Row],[PID]],Batters[[#All],[PID]],0)),INDEX(Table3[[#All],[B]],MATCH(Table5[[#This Row],[PID]],Table3[[#All],[PID]],0)))</f>
        <v>L</v>
      </c>
      <c r="I913" s="52" t="str">
        <f>IF($C913="B",INDEX(Batters[[#All],[T]],MATCH(Table5[[#This Row],[PID]],Batters[[#All],[PID]],0)),INDEX(Table3[[#All],[T]],MATCH(Table5[[#This Row],[PID]],Table3[[#All],[PID]],0)))</f>
        <v>L</v>
      </c>
      <c r="J913" s="71" t="str">
        <f>IF($C913="B",INDEX(Batters[[#All],[WE]],MATCH(Table5[[#This Row],[PID]],Batters[[#All],[PID]],0)),INDEX(Table3[[#All],[WE]],MATCH(Table5[[#This Row],[PID]],Table3[[#All],[PID]],0)))</f>
        <v>Normal</v>
      </c>
      <c r="K913" s="52" t="str">
        <f>IF($C913="B",INDEX(Batters[[#All],[INT]],MATCH(Table5[[#This Row],[PID]],Batters[[#All],[PID]],0)),INDEX(Table3[[#All],[INT]],MATCH(Table5[[#This Row],[PID]],Table3[[#All],[PID]],0)))</f>
        <v>Normal</v>
      </c>
      <c r="L913" s="60">
        <f>IF($C913="B",INDEX(Batters[[#All],[CON P]],MATCH(Table5[[#This Row],[PID]],Batters[[#All],[PID]],0)),INDEX(Table3[[#All],[STU P]],MATCH(Table5[[#This Row],[PID]],Table3[[#All],[PID]],0)))</f>
        <v>3</v>
      </c>
      <c r="M913" s="72">
        <f>IF($C913="B",INDEX(Batters[[#All],[GAP P]],MATCH(Table5[[#This Row],[PID]],Batters[[#All],[PID]],0)),INDEX(Table3[[#All],[MOV P]],MATCH(Table5[[#This Row],[PID]],Table3[[#All],[PID]],0)))</f>
        <v>2</v>
      </c>
      <c r="N913" s="72">
        <f>IF($C913="B",INDEX(Batters[[#All],[POW P]],MATCH(Table5[[#This Row],[PID]],Batters[[#All],[PID]],0)),INDEX(Table3[[#All],[CON P]],MATCH(Table5[[#This Row],[PID]],Table3[[#All],[PID]],0)))</f>
        <v>3</v>
      </c>
      <c r="O913" s="72" t="str">
        <f>IF($C913="B",INDEX(Batters[[#All],[EYE P]],MATCH(Table5[[#This Row],[PID]],Batters[[#All],[PID]],0)),INDEX(Table3[[#All],[VELO]],MATCH(Table5[[#This Row],[PID]],Table3[[#All],[PID]],0)))</f>
        <v>86-88 Mph</v>
      </c>
      <c r="P913" s="56">
        <f>IF($C913="B",INDEX(Batters[[#All],[K P]],MATCH(Table5[[#This Row],[PID]],Batters[[#All],[PID]],0)),INDEX(Table3[[#All],[STM]],MATCH(Table5[[#This Row],[PID]],Table3[[#All],[PID]],0)))</f>
        <v>9</v>
      </c>
      <c r="Q913" s="61">
        <f>IF($C913="B",INDEX(Batters[[#All],[Tot]],MATCH(Table5[[#This Row],[PID]],Batters[[#All],[PID]],0)),INDEX(Table3[[#All],[Tot]],MATCH(Table5[[#This Row],[PID]],Table3[[#All],[PID]],0)))</f>
        <v>30.40470421710371</v>
      </c>
      <c r="R913" s="52">
        <f>IF($C913="B",INDEX(Batters[[#All],[zScore]],MATCH(Table5[[#This Row],[PID]],Batters[[#All],[PID]],0)),INDEX(Table3[[#All],[zScore]],MATCH(Table5[[#This Row],[PID]],Table3[[#All],[PID]],0)))</f>
        <v>-0.46129427834003828</v>
      </c>
      <c r="S913" s="78" t="str">
        <f>IF($C913="B",INDEX(Batters[[#All],[DEM]],MATCH(Table5[[#This Row],[PID]],Batters[[#All],[PID]],0)),INDEX(Table3[[#All],[DEM]],MATCH(Table5[[#This Row],[PID]],Table3[[#All],[PID]],0)))</f>
        <v>$70k</v>
      </c>
      <c r="T913" s="75">
        <f>IF($C913="B",INDEX(Batters[[#All],[Rnk]],MATCH(Table5[[#This Row],[PID]],Batters[[#All],[PID]],0)),INDEX(Table3[[#All],[Rnk]],MATCH(Table5[[#This Row],[PID]],Table3[[#All],[PID]],0)))</f>
        <v>504</v>
      </c>
      <c r="U913" s="68">
        <f>IF($C913="B",VLOOKUP($A913,Bat!$A$4:$BA$1621,47,FALSE),VLOOKUP($A913,Pit!$A$4:$BF$1557,56,FALSE))</f>
        <v>0</v>
      </c>
      <c r="V913" s="50">
        <f>IF($C913="B",VLOOKUP($A913,Bat!$A$4:$BA$1621,48,FALSE),VLOOKUP($A913,Pit!$A$4:$BF$1557,57,FALSE))</f>
        <v>0</v>
      </c>
      <c r="W913" s="69">
        <f>Table5[[#This Row],[posRnk]]+Table5[[#This Row],[zRnk]]+IF($W$3&lt;&gt;Table5[[#This Row],[Type]],50,0)</f>
        <v>1386</v>
      </c>
      <c r="X913" s="73">
        <f>RANK(Table5[[#This Row],[zScore]],Table5[[#All],[zScore]])</f>
        <v>832</v>
      </c>
      <c r="Y913" s="69" t="str">
        <f>IFERROR(INDEX(DraftResults[[#All],[OVR]],MATCH(Table5[[#This Row],[PID]],DraftResults[[#All],[Player ID]],0)),"")</f>
        <v/>
      </c>
      <c r="Z91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3" s="69" t="str">
        <f>IFERROR(INDEX(DraftResults[[#All],[Pick in Round]],MATCH(Table5[[#This Row],[PID]],DraftResults[[#All],[Player ID]],0)),"")</f>
        <v/>
      </c>
      <c r="AB913" s="69" t="str">
        <f>IFERROR(INDEX(DraftResults[[#All],[Team Name]],MATCH(Table5[[#This Row],[PID]],DraftResults[[#All],[Player ID]],0)),"")</f>
        <v/>
      </c>
      <c r="AC913" s="69" t="str">
        <f>IF(Table5[[#This Row],[Ovr]]="","",IF(Table5[[#This Row],[cmbList]]="","",Table5[[#This Row],[cmbList]]-Table5[[#This Row],[Ovr]]))</f>
        <v/>
      </c>
      <c r="AD913" s="77" t="str">
        <f>IF(ISERROR(VLOOKUP($AB913&amp;"-"&amp;$E913&amp;" "&amp;F913,Bonuses!$B$1:$G$1006,4,FALSE)),"",INT(VLOOKUP($AB913&amp;"-"&amp;$E913&amp;" "&amp;$F913,Bonuses!$B$1:$G$1006,4,FALSE)))</f>
        <v/>
      </c>
      <c r="AE91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4" spans="1:31" s="50" customFormat="1" x14ac:dyDescent="0.25">
      <c r="A914" s="50">
        <v>20384</v>
      </c>
      <c r="B914" s="50">
        <f>COUNTIF(Table5[PID],A914)</f>
        <v>1</v>
      </c>
      <c r="C914" s="50" t="str">
        <f>IF(COUNTIF(Table3[[#All],[PID]],A914)&gt;0,"P","B")</f>
        <v>P</v>
      </c>
      <c r="D914" s="59" t="str">
        <f>IF($C914="B",INDEX(Batters[[#All],[POS]],MATCH(Table5[[#This Row],[PID]],Batters[[#All],[PID]],0)),INDEX(Table3[[#All],[POS]],MATCH(Table5[[#This Row],[PID]],Table3[[#All],[PID]],0)))</f>
        <v>RP</v>
      </c>
      <c r="E914" s="52" t="str">
        <f>IF($C914="B",INDEX(Batters[[#All],[First]],MATCH(Table5[[#This Row],[PID]],Batters[[#All],[PID]],0)),INDEX(Table3[[#All],[First]],MATCH(Table5[[#This Row],[PID]],Table3[[#All],[PID]],0)))</f>
        <v>Malone</v>
      </c>
      <c r="F914" s="50" t="str">
        <f>IF($C914="B",INDEX(Batters[[#All],[Last]],MATCH(A914,Batters[[#All],[PID]],0)),INDEX(Table3[[#All],[Last]],MATCH(A914,Table3[[#All],[PID]],0)))</f>
        <v>Machon</v>
      </c>
      <c r="G914" s="56">
        <f>IF($C914="B",INDEX(Batters[[#All],[Age]],MATCH(Table5[[#This Row],[PID]],Batters[[#All],[PID]],0)),INDEX(Table3[[#All],[Age]],MATCH(Table5[[#This Row],[PID]],Table3[[#All],[PID]],0)))</f>
        <v>17</v>
      </c>
      <c r="H914" s="52" t="str">
        <f>IF($C914="B",INDEX(Batters[[#All],[B]],MATCH(Table5[[#This Row],[PID]],Batters[[#All],[PID]],0)),INDEX(Table3[[#All],[B]],MATCH(Table5[[#This Row],[PID]],Table3[[#All],[PID]],0)))</f>
        <v>R</v>
      </c>
      <c r="I914" s="52" t="str">
        <f>IF($C914="B",INDEX(Batters[[#All],[T]],MATCH(Table5[[#This Row],[PID]],Batters[[#All],[PID]],0)),INDEX(Table3[[#All],[T]],MATCH(Table5[[#This Row],[PID]],Table3[[#All],[PID]],0)))</f>
        <v>R</v>
      </c>
      <c r="J914" s="52" t="str">
        <f>IF($C914="B",INDEX(Batters[[#All],[WE]],MATCH(Table5[[#This Row],[PID]],Batters[[#All],[PID]],0)),INDEX(Table3[[#All],[WE]],MATCH(Table5[[#This Row],[PID]],Table3[[#All],[PID]],0)))</f>
        <v>Normal</v>
      </c>
      <c r="K914" s="52" t="str">
        <f>IF($C914="B",INDEX(Batters[[#All],[INT]],MATCH(Table5[[#This Row],[PID]],Batters[[#All],[PID]],0)),INDEX(Table3[[#All],[INT]],MATCH(Table5[[#This Row],[PID]],Table3[[#All],[PID]],0)))</f>
        <v>Normal</v>
      </c>
      <c r="L914" s="60">
        <f>IF($C914="B",INDEX(Batters[[#All],[CON P]],MATCH(Table5[[#This Row],[PID]],Batters[[#All],[PID]],0)),INDEX(Table3[[#All],[STU P]],MATCH(Table5[[#This Row],[PID]],Table3[[#All],[PID]],0)))</f>
        <v>4</v>
      </c>
      <c r="M914" s="56">
        <f>IF($C914="B",INDEX(Batters[[#All],[GAP P]],MATCH(Table5[[#This Row],[PID]],Batters[[#All],[PID]],0)),INDEX(Table3[[#All],[MOV P]],MATCH(Table5[[#This Row],[PID]],Table3[[#All],[PID]],0)))</f>
        <v>2</v>
      </c>
      <c r="N914" s="56">
        <f>IF($C914="B",INDEX(Batters[[#All],[POW P]],MATCH(Table5[[#This Row],[PID]],Batters[[#All],[PID]],0)),INDEX(Table3[[#All],[CON P]],MATCH(Table5[[#This Row],[PID]],Table3[[#All],[PID]],0)))</f>
        <v>3</v>
      </c>
      <c r="O914" s="56" t="str">
        <f>IF($C914="B",INDEX(Batters[[#All],[EYE P]],MATCH(Table5[[#This Row],[PID]],Batters[[#All],[PID]],0)),INDEX(Table3[[#All],[VELO]],MATCH(Table5[[#This Row],[PID]],Table3[[#All],[PID]],0)))</f>
        <v>86-88 Mph</v>
      </c>
      <c r="P914" s="56">
        <f>IF($C914="B",INDEX(Batters[[#All],[K P]],MATCH(Table5[[#This Row],[PID]],Batters[[#All],[PID]],0)),INDEX(Table3[[#All],[STM]],MATCH(Table5[[#This Row],[PID]],Table3[[#All],[PID]],0)))</f>
        <v>3</v>
      </c>
      <c r="Q914" s="61">
        <f>IF($C914="B",INDEX(Batters[[#All],[Tot]],MATCH(Table5[[#This Row],[PID]],Batters[[#All],[PID]],0)),INDEX(Table3[[#All],[Tot]],MATCH(Table5[[#This Row],[PID]],Table3[[#All],[PID]],0)))</f>
        <v>28.935664197713002</v>
      </c>
      <c r="R914" s="52">
        <f>IF($C914="B",INDEX(Batters[[#All],[zScore]],MATCH(Table5[[#This Row],[PID]],Batters[[#All],[PID]],0)),INDEX(Table3[[#All],[zScore]],MATCH(Table5[[#This Row],[PID]],Table3[[#All],[PID]],0)))</f>
        <v>-0.46136576134329865</v>
      </c>
      <c r="S914" s="58" t="str">
        <f>IF($C914="B",INDEX(Batters[[#All],[DEM]],MATCH(Table5[[#This Row],[PID]],Batters[[#All],[PID]],0)),INDEX(Table3[[#All],[DEM]],MATCH(Table5[[#This Row],[PID]],Table3[[#All],[PID]],0)))</f>
        <v>$65k</v>
      </c>
      <c r="T914" s="62">
        <f>IF($C914="B",INDEX(Batters[[#All],[Rnk]],MATCH(Table5[[#This Row],[PID]],Batters[[#All],[PID]],0)),INDEX(Table3[[#All],[Rnk]],MATCH(Table5[[#This Row],[PID]],Table3[[#All],[PID]],0)))</f>
        <v>505</v>
      </c>
      <c r="U914" s="68">
        <f>IF($C914="B",VLOOKUP($A914,Bat!$A$4:$BA$1621,47,FALSE),VLOOKUP($A914,Pit!$A$4:$BF$1557,56,FALSE))</f>
        <v>0</v>
      </c>
      <c r="V914" s="50">
        <f>IF($C914="B",VLOOKUP($A914,Bat!$A$4:$BA$1621,48,FALSE),VLOOKUP($A914,Pit!$A$4:$BF$1557,57,FALSE))</f>
        <v>0</v>
      </c>
      <c r="W914" s="50">
        <f>Table5[[#This Row],[posRnk]]+Table5[[#This Row],[zRnk]]+IF($W$3&lt;&gt;Table5[[#This Row],[Type]],50,0)</f>
        <v>1388</v>
      </c>
      <c r="X914" s="51">
        <f>RANK(Table5[[#This Row],[zScore]],Table5[[#All],[zScore]])</f>
        <v>833</v>
      </c>
      <c r="Y914" s="50" t="str">
        <f>IFERROR(INDEX(DraftResults[[#All],[OVR]],MATCH(Table5[[#This Row],[PID]],DraftResults[[#All],[Player ID]],0)),"")</f>
        <v/>
      </c>
      <c r="Z9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4" s="50" t="str">
        <f>IFERROR(INDEX(DraftResults[[#All],[Pick in Round]],MATCH(Table5[[#This Row],[PID]],DraftResults[[#All],[Player ID]],0)),"")</f>
        <v/>
      </c>
      <c r="AB914" s="50" t="str">
        <f>IFERROR(INDEX(DraftResults[[#All],[Team Name]],MATCH(Table5[[#This Row],[PID]],DraftResults[[#All],[Player ID]],0)),"")</f>
        <v/>
      </c>
      <c r="AC914" s="50" t="str">
        <f>IF(Table5[[#This Row],[Ovr]]="","",IF(Table5[[#This Row],[cmbList]]="","",Table5[[#This Row],[cmbList]]-Table5[[#This Row],[Ovr]]))</f>
        <v/>
      </c>
      <c r="AD914" s="54" t="str">
        <f>IF(ISERROR(VLOOKUP($AB914&amp;"-"&amp;$E914&amp;" "&amp;F914,Bonuses!$B$1:$G$1006,4,FALSE)),"",INT(VLOOKUP($AB914&amp;"-"&amp;$E914&amp;" "&amp;$F914,Bonuses!$B$1:$G$1006,4,FALSE)))</f>
        <v/>
      </c>
      <c r="AE9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5" spans="1:31" s="50" customFormat="1" x14ac:dyDescent="0.25">
      <c r="A915" s="50">
        <v>20365</v>
      </c>
      <c r="B915" s="50">
        <f>COUNTIF(Table5[PID],A915)</f>
        <v>1</v>
      </c>
      <c r="C915" s="50" t="str">
        <f>IF(COUNTIF(Table3[[#All],[PID]],A915)&gt;0,"P","B")</f>
        <v>B</v>
      </c>
      <c r="D915" s="59" t="str">
        <f>IF($C915="B",INDEX(Batters[[#All],[POS]],MATCH(Table5[[#This Row],[PID]],Batters[[#All],[PID]],0)),INDEX(Table3[[#All],[POS]],MATCH(Table5[[#This Row],[PID]],Table3[[#All],[PID]],0)))</f>
        <v>1B</v>
      </c>
      <c r="E915" s="52" t="str">
        <f>IF($C915="B",INDEX(Batters[[#All],[First]],MATCH(Table5[[#This Row],[PID]],Batters[[#All],[PID]],0)),INDEX(Table3[[#All],[First]],MATCH(Table5[[#This Row],[PID]],Table3[[#All],[PID]],0)))</f>
        <v>Callum</v>
      </c>
      <c r="F915" s="50" t="str">
        <f>IF($C915="B",INDEX(Batters[[#All],[Last]],MATCH(A915,Batters[[#All],[PID]],0)),INDEX(Table3[[#All],[Last]],MATCH(A915,Table3[[#All],[PID]],0)))</f>
        <v>Mott</v>
      </c>
      <c r="G915" s="56">
        <f>IF($C915="B",INDEX(Batters[[#All],[Age]],MATCH(Table5[[#This Row],[PID]],Batters[[#All],[PID]],0)),INDEX(Table3[[#All],[Age]],MATCH(Table5[[#This Row],[PID]],Table3[[#All],[PID]],0)))</f>
        <v>19</v>
      </c>
      <c r="H915" s="52" t="str">
        <f>IF($C915="B",INDEX(Batters[[#All],[B]],MATCH(Table5[[#This Row],[PID]],Batters[[#All],[PID]],0)),INDEX(Table3[[#All],[B]],MATCH(Table5[[#This Row],[PID]],Table3[[#All],[PID]],0)))</f>
        <v>L</v>
      </c>
      <c r="I915" s="52" t="str">
        <f>IF($C915="B",INDEX(Batters[[#All],[T]],MATCH(Table5[[#This Row],[PID]],Batters[[#All],[PID]],0)),INDEX(Table3[[#All],[T]],MATCH(Table5[[#This Row],[PID]],Table3[[#All],[PID]],0)))</f>
        <v>L</v>
      </c>
      <c r="J915" s="52" t="str">
        <f>IF($C915="B",INDEX(Batters[[#All],[WE]],MATCH(Table5[[#This Row],[PID]],Batters[[#All],[PID]],0)),INDEX(Table3[[#All],[WE]],MATCH(Table5[[#This Row],[PID]],Table3[[#All],[PID]],0)))</f>
        <v>Normal</v>
      </c>
      <c r="K915" s="52" t="str">
        <f>IF($C915="B",INDEX(Batters[[#All],[INT]],MATCH(Table5[[#This Row],[PID]],Batters[[#All],[PID]],0)),INDEX(Table3[[#All],[INT]],MATCH(Table5[[#This Row],[PID]],Table3[[#All],[PID]],0)))</f>
        <v>Low</v>
      </c>
      <c r="L915" s="60">
        <f>IF($C915="B",INDEX(Batters[[#All],[CON P]],MATCH(Table5[[#This Row],[PID]],Batters[[#All],[PID]],0)),INDEX(Table3[[#All],[STU P]],MATCH(Table5[[#This Row],[PID]],Table3[[#All],[PID]],0)))</f>
        <v>3</v>
      </c>
      <c r="M915" s="56">
        <f>IF($C915="B",INDEX(Batters[[#All],[GAP P]],MATCH(Table5[[#This Row],[PID]],Batters[[#All],[PID]],0)),INDEX(Table3[[#All],[MOV P]],MATCH(Table5[[#This Row],[PID]],Table3[[#All],[PID]],0)))</f>
        <v>4</v>
      </c>
      <c r="N915" s="56">
        <f>IF($C915="B",INDEX(Batters[[#All],[POW P]],MATCH(Table5[[#This Row],[PID]],Batters[[#All],[PID]],0)),INDEX(Table3[[#All],[CON P]],MATCH(Table5[[#This Row],[PID]],Table3[[#All],[PID]],0)))</f>
        <v>3</v>
      </c>
      <c r="O915" s="56">
        <f>IF($C915="B",INDEX(Batters[[#All],[EYE P]],MATCH(Table5[[#This Row],[PID]],Batters[[#All],[PID]],0)),INDEX(Table3[[#All],[VELO]],MATCH(Table5[[#This Row],[PID]],Table3[[#All],[PID]],0)))</f>
        <v>5</v>
      </c>
      <c r="P915" s="56">
        <f>IF($C915="B",INDEX(Batters[[#All],[K P]],MATCH(Table5[[#This Row],[PID]],Batters[[#All],[PID]],0)),INDEX(Table3[[#All],[STM]],MATCH(Table5[[#This Row],[PID]],Table3[[#All],[PID]],0)))</f>
        <v>4</v>
      </c>
      <c r="Q915" s="61">
        <f>IF($C915="B",INDEX(Batters[[#All],[Tot]],MATCH(Table5[[#This Row],[PID]],Batters[[#All],[PID]],0)),INDEX(Table3[[#All],[Tot]],MATCH(Table5[[#This Row],[PID]],Table3[[#All],[PID]],0)))</f>
        <v>42.046446785037645</v>
      </c>
      <c r="R915" s="52">
        <f>IF($C915="B",INDEX(Batters[[#All],[zScore]],MATCH(Table5[[#This Row],[PID]],Batters[[#All],[PID]],0)),INDEX(Table3[[#All],[zScore]],MATCH(Table5[[#This Row],[PID]],Table3[[#All],[PID]],0)))</f>
        <v>-0.46236788066737439</v>
      </c>
      <c r="S915" s="58" t="str">
        <f>IF($C915="B",INDEX(Batters[[#All],[DEM]],MATCH(Table5[[#This Row],[PID]],Batters[[#All],[PID]],0)),INDEX(Table3[[#All],[DEM]],MATCH(Table5[[#This Row],[PID]],Table3[[#All],[PID]],0)))</f>
        <v>-</v>
      </c>
      <c r="T915" s="62">
        <f>IF($C915="B",INDEX(Batters[[#All],[Rnk]],MATCH(Table5[[#This Row],[PID]],Batters[[#All],[PID]],0)),INDEX(Table3[[#All],[Rnk]],MATCH(Table5[[#This Row],[PID]],Table3[[#All],[PID]],0)))</f>
        <v>329</v>
      </c>
      <c r="U915" s="68">
        <f>IF($C915="B",VLOOKUP($A915,Bat!$A$4:$BA$1621,47,FALSE),VLOOKUP($A915,Pit!$A$4:$BF$1557,56,FALSE))</f>
        <v>0</v>
      </c>
      <c r="V915" s="50">
        <f>IF($C915="B",VLOOKUP($A915,Bat!$A$4:$BA$1621,48,FALSE),VLOOKUP($A915,Pit!$A$4:$BF$1557,57,FALSE))</f>
        <v>0</v>
      </c>
      <c r="W915" s="50">
        <f>Table5[[#This Row],[posRnk]]+Table5[[#This Row],[zRnk]]+IF($W$3&lt;&gt;Table5[[#This Row],[Type]],50,0)</f>
        <v>1213</v>
      </c>
      <c r="X915" s="51">
        <f>RANK(Table5[[#This Row],[zScore]],Table5[[#All],[zScore]])</f>
        <v>834</v>
      </c>
      <c r="Y915" s="50" t="str">
        <f>IFERROR(INDEX(DraftResults[[#All],[OVR]],MATCH(Table5[[#This Row],[PID]],DraftResults[[#All],[Player ID]],0)),"")</f>
        <v/>
      </c>
      <c r="Z9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5" s="50" t="str">
        <f>IFERROR(INDEX(DraftResults[[#All],[Pick in Round]],MATCH(Table5[[#This Row],[PID]],DraftResults[[#All],[Player ID]],0)),"")</f>
        <v/>
      </c>
      <c r="AB915" s="50" t="str">
        <f>IFERROR(INDEX(DraftResults[[#All],[Team Name]],MATCH(Table5[[#This Row],[PID]],DraftResults[[#All],[Player ID]],0)),"")</f>
        <v/>
      </c>
      <c r="AC915" s="50" t="str">
        <f>IF(Table5[[#This Row],[Ovr]]="","",IF(Table5[[#This Row],[cmbList]]="","",Table5[[#This Row],[cmbList]]-Table5[[#This Row],[Ovr]]))</f>
        <v/>
      </c>
      <c r="AD915" s="54" t="str">
        <f>IF(ISERROR(VLOOKUP($AB915&amp;"-"&amp;$E915&amp;" "&amp;F915,Bonuses!$B$1:$G$1006,4,FALSE)),"",INT(VLOOKUP($AB915&amp;"-"&amp;$E915&amp;" "&amp;$F915,Bonuses!$B$1:$G$1006,4,FALSE)))</f>
        <v/>
      </c>
      <c r="AE9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6" spans="1:31" s="50" customFormat="1" x14ac:dyDescent="0.25">
      <c r="A916" s="50">
        <v>20798</v>
      </c>
      <c r="B916" s="50">
        <f>COUNTIF(Table5[PID],A916)</f>
        <v>1</v>
      </c>
      <c r="C916" s="50" t="str">
        <f>IF(COUNTIF(Table3[[#All],[PID]],A916)&gt;0,"P","B")</f>
        <v>B</v>
      </c>
      <c r="D916" s="59" t="str">
        <f>IF($C916="B",INDEX(Batters[[#All],[POS]],MATCH(Table5[[#This Row],[PID]],Batters[[#All],[PID]],0)),INDEX(Table3[[#All],[POS]],MATCH(Table5[[#This Row],[PID]],Table3[[#All],[PID]],0)))</f>
        <v>LF</v>
      </c>
      <c r="E916" s="52" t="str">
        <f>IF($C916="B",INDEX(Batters[[#All],[First]],MATCH(Table5[[#This Row],[PID]],Batters[[#All],[PID]],0)),INDEX(Table3[[#All],[First]],MATCH(Table5[[#This Row],[PID]],Table3[[#All],[PID]],0)))</f>
        <v>Ron</v>
      </c>
      <c r="F916" s="50" t="str">
        <f>IF($C916="B",INDEX(Batters[[#All],[Last]],MATCH(A916,Batters[[#All],[PID]],0)),INDEX(Table3[[#All],[Last]],MATCH(A916,Table3[[#All],[PID]],0)))</f>
        <v>Byrne</v>
      </c>
      <c r="G916" s="56">
        <f>IF($C916="B",INDEX(Batters[[#All],[Age]],MATCH(Table5[[#This Row],[PID]],Batters[[#All],[PID]],0)),INDEX(Table3[[#All],[Age]],MATCH(Table5[[#This Row],[PID]],Table3[[#All],[PID]],0)))</f>
        <v>17</v>
      </c>
      <c r="H916" s="52" t="str">
        <f>IF($C916="B",INDEX(Batters[[#All],[B]],MATCH(Table5[[#This Row],[PID]],Batters[[#All],[PID]],0)),INDEX(Table3[[#All],[B]],MATCH(Table5[[#This Row],[PID]],Table3[[#All],[PID]],0)))</f>
        <v>L</v>
      </c>
      <c r="I916" s="52" t="str">
        <f>IF($C916="B",INDEX(Batters[[#All],[T]],MATCH(Table5[[#This Row],[PID]],Batters[[#All],[PID]],0)),INDEX(Table3[[#All],[T]],MATCH(Table5[[#This Row],[PID]],Table3[[#All],[PID]],0)))</f>
        <v>R</v>
      </c>
      <c r="J916" s="52" t="str">
        <f>IF($C916="B",INDEX(Batters[[#All],[WE]],MATCH(Table5[[#This Row],[PID]],Batters[[#All],[PID]],0)),INDEX(Table3[[#All],[WE]],MATCH(Table5[[#This Row],[PID]],Table3[[#All],[PID]],0)))</f>
        <v>Low</v>
      </c>
      <c r="K916" s="52" t="str">
        <f>IF($C916="B",INDEX(Batters[[#All],[INT]],MATCH(Table5[[#This Row],[PID]],Batters[[#All],[PID]],0)),INDEX(Table3[[#All],[INT]],MATCH(Table5[[#This Row],[PID]],Table3[[#All],[PID]],0)))</f>
        <v>Normal</v>
      </c>
      <c r="L916" s="60">
        <f>IF($C916="B",INDEX(Batters[[#All],[CON P]],MATCH(Table5[[#This Row],[PID]],Batters[[#All],[PID]],0)),INDEX(Table3[[#All],[STU P]],MATCH(Table5[[#This Row],[PID]],Table3[[#All],[PID]],0)))</f>
        <v>3</v>
      </c>
      <c r="M916" s="56">
        <f>IF($C916="B",INDEX(Batters[[#All],[GAP P]],MATCH(Table5[[#This Row],[PID]],Batters[[#All],[PID]],0)),INDEX(Table3[[#All],[MOV P]],MATCH(Table5[[#This Row],[PID]],Table3[[#All],[PID]],0)))</f>
        <v>5</v>
      </c>
      <c r="N916" s="56">
        <f>IF($C916="B",INDEX(Batters[[#All],[POW P]],MATCH(Table5[[#This Row],[PID]],Batters[[#All],[PID]],0)),INDEX(Table3[[#All],[CON P]],MATCH(Table5[[#This Row],[PID]],Table3[[#All],[PID]],0)))</f>
        <v>2</v>
      </c>
      <c r="O916" s="56">
        <f>IF($C916="B",INDEX(Batters[[#All],[EYE P]],MATCH(Table5[[#This Row],[PID]],Batters[[#All],[PID]],0)),INDEX(Table3[[#All],[VELO]],MATCH(Table5[[#This Row],[PID]],Table3[[#All],[PID]],0)))</f>
        <v>6</v>
      </c>
      <c r="P916" s="56">
        <f>IF($C916="B",INDEX(Batters[[#All],[K P]],MATCH(Table5[[#This Row],[PID]],Batters[[#All],[PID]],0)),INDEX(Table3[[#All],[STM]],MATCH(Table5[[#This Row],[PID]],Table3[[#All],[PID]],0)))</f>
        <v>3</v>
      </c>
      <c r="Q916" s="61">
        <f>IF($C916="B",INDEX(Batters[[#All],[Tot]],MATCH(Table5[[#This Row],[PID]],Batters[[#All],[PID]],0)),INDEX(Table3[[#All],[Tot]],MATCH(Table5[[#This Row],[PID]],Table3[[#All],[PID]],0)))</f>
        <v>42.038851922447108</v>
      </c>
      <c r="R916" s="52">
        <f>IF($C916="B",INDEX(Batters[[#All],[zScore]],MATCH(Table5[[#This Row],[PID]],Batters[[#All],[PID]],0)),INDEX(Table3[[#All],[zScore]],MATCH(Table5[[#This Row],[PID]],Table3[[#All],[PID]],0)))</f>
        <v>-0.46405171304020315</v>
      </c>
      <c r="S916" s="58" t="str">
        <f>IF($C916="B",INDEX(Batters[[#All],[DEM]],MATCH(Table5[[#This Row],[PID]],Batters[[#All],[PID]],0)),INDEX(Table3[[#All],[DEM]],MATCH(Table5[[#This Row],[PID]],Table3[[#All],[PID]],0)))</f>
        <v>$65k</v>
      </c>
      <c r="T916" s="62">
        <f>IF($C916="B",INDEX(Batters[[#All],[Rnk]],MATCH(Table5[[#This Row],[PID]],Batters[[#All],[PID]],0)),INDEX(Table3[[#All],[Rnk]],MATCH(Table5[[#This Row],[PID]],Table3[[#All],[PID]],0)))</f>
        <v>330</v>
      </c>
      <c r="U916" s="68">
        <f>IF($C916="B",VLOOKUP($A916,Bat!$A$4:$BA$1621,47,FALSE),VLOOKUP($A916,Pit!$A$4:$BF$1557,56,FALSE))</f>
        <v>0</v>
      </c>
      <c r="V916" s="50">
        <f>IF($C916="B",VLOOKUP($A916,Bat!$A$4:$BA$1621,48,FALSE),VLOOKUP($A916,Pit!$A$4:$BF$1557,57,FALSE))</f>
        <v>0</v>
      </c>
      <c r="W916" s="50">
        <f>Table5[[#This Row],[posRnk]]+Table5[[#This Row],[zRnk]]+IF($W$3&lt;&gt;Table5[[#This Row],[Type]],50,0)</f>
        <v>1215</v>
      </c>
      <c r="X916" s="51">
        <f>RANK(Table5[[#This Row],[zScore]],Table5[[#All],[zScore]])</f>
        <v>835</v>
      </c>
      <c r="Y916" s="50" t="str">
        <f>IFERROR(INDEX(DraftResults[[#All],[OVR]],MATCH(Table5[[#This Row],[PID]],DraftResults[[#All],[Player ID]],0)),"")</f>
        <v/>
      </c>
      <c r="Z9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6" s="50" t="str">
        <f>IFERROR(INDEX(DraftResults[[#All],[Pick in Round]],MATCH(Table5[[#This Row],[PID]],DraftResults[[#All],[Player ID]],0)),"")</f>
        <v/>
      </c>
      <c r="AB916" s="50" t="str">
        <f>IFERROR(INDEX(DraftResults[[#All],[Team Name]],MATCH(Table5[[#This Row],[PID]],DraftResults[[#All],[Player ID]],0)),"")</f>
        <v/>
      </c>
      <c r="AC916" s="50" t="str">
        <f>IF(Table5[[#This Row],[Ovr]]="","",IF(Table5[[#This Row],[cmbList]]="","",Table5[[#This Row],[cmbList]]-Table5[[#This Row],[Ovr]]))</f>
        <v/>
      </c>
      <c r="AD916" s="54" t="str">
        <f>IF(ISERROR(VLOOKUP($AB916&amp;"-"&amp;$E916&amp;" "&amp;F916,Bonuses!$B$1:$G$1006,4,FALSE)),"",INT(VLOOKUP($AB916&amp;"-"&amp;$E916&amp;" "&amp;$F916,Bonuses!$B$1:$G$1006,4,FALSE)))</f>
        <v/>
      </c>
      <c r="AE9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7" spans="1:31" s="50" customFormat="1" x14ac:dyDescent="0.25">
      <c r="A917" s="50">
        <v>17840</v>
      </c>
      <c r="B917" s="50">
        <f>COUNTIF(Table5[PID],A917)</f>
        <v>1</v>
      </c>
      <c r="C917" s="50" t="str">
        <f>IF(COUNTIF(Table3[[#All],[PID]],A917)&gt;0,"P","B")</f>
        <v>P</v>
      </c>
      <c r="D917" s="59" t="str">
        <f>IF($C917="B",INDEX(Batters[[#All],[POS]],MATCH(Table5[[#This Row],[PID]],Batters[[#All],[PID]],0)),INDEX(Table3[[#All],[POS]],MATCH(Table5[[#This Row],[PID]],Table3[[#All],[PID]],0)))</f>
        <v>RP</v>
      </c>
      <c r="E917" s="52" t="str">
        <f>IF($C917="B",INDEX(Batters[[#All],[First]],MATCH(Table5[[#This Row],[PID]],Batters[[#All],[PID]],0)),INDEX(Table3[[#All],[First]],MATCH(Table5[[#This Row],[PID]],Table3[[#All],[PID]],0)))</f>
        <v>Al</v>
      </c>
      <c r="F917" s="50" t="str">
        <f>IF($C917="B",INDEX(Batters[[#All],[Last]],MATCH(A917,Batters[[#All],[PID]],0)),INDEX(Table3[[#All],[Last]],MATCH(A917,Table3[[#All],[PID]],0)))</f>
        <v>Proctor</v>
      </c>
      <c r="G917" s="56">
        <f>IF($C917="B",INDEX(Batters[[#All],[Age]],MATCH(Table5[[#This Row],[PID]],Batters[[#All],[PID]],0)),INDEX(Table3[[#All],[Age]],MATCH(Table5[[#This Row],[PID]],Table3[[#All],[PID]],0)))</f>
        <v>18</v>
      </c>
      <c r="H917" s="52" t="str">
        <f>IF($C917="B",INDEX(Batters[[#All],[B]],MATCH(Table5[[#This Row],[PID]],Batters[[#All],[PID]],0)),INDEX(Table3[[#All],[B]],MATCH(Table5[[#This Row],[PID]],Table3[[#All],[PID]],0)))</f>
        <v>R</v>
      </c>
      <c r="I917" s="52" t="str">
        <f>IF($C917="B",INDEX(Batters[[#All],[T]],MATCH(Table5[[#This Row],[PID]],Batters[[#All],[PID]],0)),INDEX(Table3[[#All],[T]],MATCH(Table5[[#This Row],[PID]],Table3[[#All],[PID]],0)))</f>
        <v>R</v>
      </c>
      <c r="J917" s="52" t="str">
        <f>IF($C917="B",INDEX(Batters[[#All],[WE]],MATCH(Table5[[#This Row],[PID]],Batters[[#All],[PID]],0)),INDEX(Table3[[#All],[WE]],MATCH(Table5[[#This Row],[PID]],Table3[[#All],[PID]],0)))</f>
        <v>High</v>
      </c>
      <c r="K917" s="52" t="str">
        <f>IF($C917="B",INDEX(Batters[[#All],[INT]],MATCH(Table5[[#This Row],[PID]],Batters[[#All],[PID]],0)),INDEX(Table3[[#All],[INT]],MATCH(Table5[[#This Row],[PID]],Table3[[#All],[PID]],0)))</f>
        <v>Normal</v>
      </c>
      <c r="L917" s="60">
        <f>IF($C917="B",INDEX(Batters[[#All],[CON P]],MATCH(Table5[[#This Row],[PID]],Batters[[#All],[PID]],0)),INDEX(Table3[[#All],[STU P]],MATCH(Table5[[#This Row],[PID]],Table3[[#All],[PID]],0)))</f>
        <v>4</v>
      </c>
      <c r="M917" s="56">
        <f>IF($C917="B",INDEX(Batters[[#All],[GAP P]],MATCH(Table5[[#This Row],[PID]],Batters[[#All],[PID]],0)),INDEX(Table3[[#All],[MOV P]],MATCH(Table5[[#This Row],[PID]],Table3[[#All],[PID]],0)))</f>
        <v>1</v>
      </c>
      <c r="N917" s="56">
        <f>IF($C917="B",INDEX(Batters[[#All],[POW P]],MATCH(Table5[[#This Row],[PID]],Batters[[#All],[PID]],0)),INDEX(Table3[[#All],[CON P]],MATCH(Table5[[#This Row],[PID]],Table3[[#All],[PID]],0)))</f>
        <v>3</v>
      </c>
      <c r="O917" s="56" t="str">
        <f>IF($C917="B",INDEX(Batters[[#All],[EYE P]],MATCH(Table5[[#This Row],[PID]],Batters[[#All],[PID]],0)),INDEX(Table3[[#All],[VELO]],MATCH(Table5[[#This Row],[PID]],Table3[[#All],[PID]],0)))</f>
        <v>92-94 Mph</v>
      </c>
      <c r="P917" s="56">
        <f>IF($C917="B",INDEX(Batters[[#All],[K P]],MATCH(Table5[[#This Row],[PID]],Batters[[#All],[PID]],0)),INDEX(Table3[[#All],[STM]],MATCH(Table5[[#This Row],[PID]],Table3[[#All],[PID]],0)))</f>
        <v>8</v>
      </c>
      <c r="Q917" s="61">
        <f>IF($C917="B",INDEX(Batters[[#All],[Tot]],MATCH(Table5[[#This Row],[PID]],Batters[[#All],[PID]],0)),INDEX(Table3[[#All],[Tot]],MATCH(Table5[[#This Row],[PID]],Table3[[#All],[PID]],0)))</f>
        <v>31.028153785412606</v>
      </c>
      <c r="R917" s="52">
        <f>IF($C917="B",INDEX(Batters[[#All],[zScore]],MATCH(Table5[[#This Row],[PID]],Batters[[#All],[PID]],0)),INDEX(Table3[[#All],[zScore]],MATCH(Table5[[#This Row],[PID]],Table3[[#All],[PID]],0)))</f>
        <v>-0.46412814759808019</v>
      </c>
      <c r="S917" s="58" t="str">
        <f>IF($C917="B",INDEX(Batters[[#All],[DEM]],MATCH(Table5[[#This Row],[PID]],Batters[[#All],[PID]],0)),INDEX(Table3[[#All],[DEM]],MATCH(Table5[[#This Row],[PID]],Table3[[#All],[PID]],0)))</f>
        <v>$65k</v>
      </c>
      <c r="T917" s="62">
        <f>IF($C917="B",INDEX(Batters[[#All],[Rnk]],MATCH(Table5[[#This Row],[PID]],Batters[[#All],[PID]],0)),INDEX(Table3[[#All],[Rnk]],MATCH(Table5[[#This Row],[PID]],Table3[[#All],[PID]],0)))</f>
        <v>506</v>
      </c>
      <c r="U917" s="68">
        <f>IF($C917="B",VLOOKUP($A917,Bat!$A$4:$BA$1621,47,FALSE),VLOOKUP($A917,Pit!$A$4:$BF$1557,56,FALSE))</f>
        <v>0</v>
      </c>
      <c r="V917" s="50">
        <f>IF($C917="B",VLOOKUP($A917,Bat!$A$4:$BA$1621,48,FALSE),VLOOKUP($A917,Pit!$A$4:$BF$1557,57,FALSE))</f>
        <v>0</v>
      </c>
      <c r="W917" s="50">
        <f>Table5[[#This Row],[posRnk]]+Table5[[#This Row],[zRnk]]+IF($W$3&lt;&gt;Table5[[#This Row],[Type]],50,0)</f>
        <v>1392</v>
      </c>
      <c r="X917" s="51">
        <f>RANK(Table5[[#This Row],[zScore]],Table5[[#All],[zScore]])</f>
        <v>836</v>
      </c>
      <c r="Y917" s="50" t="str">
        <f>IFERROR(INDEX(DraftResults[[#All],[OVR]],MATCH(Table5[[#This Row],[PID]],DraftResults[[#All],[Player ID]],0)),"")</f>
        <v/>
      </c>
      <c r="Z9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7" s="50" t="str">
        <f>IFERROR(INDEX(DraftResults[[#All],[Pick in Round]],MATCH(Table5[[#This Row],[PID]],DraftResults[[#All],[Player ID]],0)),"")</f>
        <v/>
      </c>
      <c r="AB917" s="50" t="str">
        <f>IFERROR(INDEX(DraftResults[[#All],[Team Name]],MATCH(Table5[[#This Row],[PID]],DraftResults[[#All],[Player ID]],0)),"")</f>
        <v/>
      </c>
      <c r="AC917" s="50" t="str">
        <f>IF(Table5[[#This Row],[Ovr]]="","",IF(Table5[[#This Row],[cmbList]]="","",Table5[[#This Row],[cmbList]]-Table5[[#This Row],[Ovr]]))</f>
        <v/>
      </c>
      <c r="AD917" s="54" t="str">
        <f>IF(ISERROR(VLOOKUP($AB917&amp;"-"&amp;$E917&amp;" "&amp;F917,Bonuses!$B$1:$G$1006,4,FALSE)),"",INT(VLOOKUP($AB917&amp;"-"&amp;$E917&amp;" "&amp;$F917,Bonuses!$B$1:$G$1006,4,FALSE)))</f>
        <v/>
      </c>
      <c r="AE9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8" spans="1:31" s="50" customFormat="1" x14ac:dyDescent="0.25">
      <c r="A918" s="50">
        <v>18341</v>
      </c>
      <c r="B918" s="50">
        <f>COUNTIF(Table5[PID],A918)</f>
        <v>1</v>
      </c>
      <c r="C918" s="50" t="str">
        <f>IF(COUNTIF(Table3[[#All],[PID]],A918)&gt;0,"P","B")</f>
        <v>B</v>
      </c>
      <c r="D918" s="59" t="str">
        <f>IF($C918="B",INDEX(Batters[[#All],[POS]],MATCH(Table5[[#This Row],[PID]],Batters[[#All],[PID]],0)),INDEX(Table3[[#All],[POS]],MATCH(Table5[[#This Row],[PID]],Table3[[#All],[PID]],0)))</f>
        <v>C</v>
      </c>
      <c r="E918" s="52" t="str">
        <f>IF($C918="B",INDEX(Batters[[#All],[First]],MATCH(Table5[[#This Row],[PID]],Batters[[#All],[PID]],0)),INDEX(Table3[[#All],[First]],MATCH(Table5[[#This Row],[PID]],Table3[[#All],[PID]],0)))</f>
        <v>Soetsu</v>
      </c>
      <c r="F918" s="50" t="str">
        <f>IF($C918="B",INDEX(Batters[[#All],[Last]],MATCH(A918,Batters[[#All],[PID]],0)),INDEX(Table3[[#All],[Last]],MATCH(A918,Table3[[#All],[PID]],0)))</f>
        <v>Nakayama</v>
      </c>
      <c r="G918" s="56">
        <f>IF($C918="B",INDEX(Batters[[#All],[Age]],MATCH(Table5[[#This Row],[PID]],Batters[[#All],[PID]],0)),INDEX(Table3[[#All],[Age]],MATCH(Table5[[#This Row],[PID]],Table3[[#All],[PID]],0)))</f>
        <v>18</v>
      </c>
      <c r="H918" s="52" t="str">
        <f>IF($C918="B",INDEX(Batters[[#All],[B]],MATCH(Table5[[#This Row],[PID]],Batters[[#All],[PID]],0)),INDEX(Table3[[#All],[B]],MATCH(Table5[[#This Row],[PID]],Table3[[#All],[PID]],0)))</f>
        <v>S</v>
      </c>
      <c r="I918" s="52" t="str">
        <f>IF($C918="B",INDEX(Batters[[#All],[T]],MATCH(Table5[[#This Row],[PID]],Batters[[#All],[PID]],0)),INDEX(Table3[[#All],[T]],MATCH(Table5[[#This Row],[PID]],Table3[[#All],[PID]],0)))</f>
        <v>R</v>
      </c>
      <c r="J918" s="52" t="str">
        <f>IF($C918="B",INDEX(Batters[[#All],[WE]],MATCH(Table5[[#This Row],[PID]],Batters[[#All],[PID]],0)),INDEX(Table3[[#All],[WE]],MATCH(Table5[[#This Row],[PID]],Table3[[#All],[PID]],0)))</f>
        <v>Normal</v>
      </c>
      <c r="K918" s="52" t="str">
        <f>IF($C918="B",INDEX(Batters[[#All],[INT]],MATCH(Table5[[#This Row],[PID]],Batters[[#All],[PID]],0)),INDEX(Table3[[#All],[INT]],MATCH(Table5[[#This Row],[PID]],Table3[[#All],[PID]],0)))</f>
        <v>Normal</v>
      </c>
      <c r="L918" s="60">
        <f>IF($C918="B",INDEX(Batters[[#All],[CON P]],MATCH(Table5[[#This Row],[PID]],Batters[[#All],[PID]],0)),INDEX(Table3[[#All],[STU P]],MATCH(Table5[[#This Row],[PID]],Table3[[#All],[PID]],0)))</f>
        <v>3</v>
      </c>
      <c r="M918" s="56">
        <f>IF($C918="B",INDEX(Batters[[#All],[GAP P]],MATCH(Table5[[#This Row],[PID]],Batters[[#All],[PID]],0)),INDEX(Table3[[#All],[MOV P]],MATCH(Table5[[#This Row],[PID]],Table3[[#All],[PID]],0)))</f>
        <v>4</v>
      </c>
      <c r="N918" s="56">
        <f>IF($C918="B",INDEX(Batters[[#All],[POW P]],MATCH(Table5[[#This Row],[PID]],Batters[[#All],[PID]],0)),INDEX(Table3[[#All],[CON P]],MATCH(Table5[[#This Row],[PID]],Table3[[#All],[PID]],0)))</f>
        <v>4</v>
      </c>
      <c r="O918" s="56">
        <f>IF($C918="B",INDEX(Batters[[#All],[EYE P]],MATCH(Table5[[#This Row],[PID]],Batters[[#All],[PID]],0)),INDEX(Table3[[#All],[VELO]],MATCH(Table5[[#This Row],[PID]],Table3[[#All],[PID]],0)))</f>
        <v>4</v>
      </c>
      <c r="P918" s="56">
        <f>IF($C918="B",INDEX(Batters[[#All],[K P]],MATCH(Table5[[#This Row],[PID]],Batters[[#All],[PID]],0)),INDEX(Table3[[#All],[STM]],MATCH(Table5[[#This Row],[PID]],Table3[[#All],[PID]],0)))</f>
        <v>4</v>
      </c>
      <c r="Q918" s="61">
        <f>IF($C918="B",INDEX(Batters[[#All],[Tot]],MATCH(Table5[[#This Row],[PID]],Batters[[#All],[PID]],0)),INDEX(Table3[[#All],[Tot]],MATCH(Table5[[#This Row],[PID]],Table3[[#All],[PID]],0)))</f>
        <v>42.037805146170406</v>
      </c>
      <c r="R918" s="52">
        <f>IF($C918="B",INDEX(Batters[[#All],[zScore]],MATCH(Table5[[#This Row],[PID]],Batters[[#All],[PID]],0)),INDEX(Table3[[#All],[zScore]],MATCH(Table5[[#This Row],[PID]],Table3[[#All],[PID]],0)))</f>
        <v>-0.46428379041629897</v>
      </c>
      <c r="S918" s="58" t="str">
        <f>IF($C918="B",INDEX(Batters[[#All],[DEM]],MATCH(Table5[[#This Row],[PID]],Batters[[#All],[PID]],0)),INDEX(Table3[[#All],[DEM]],MATCH(Table5[[#This Row],[PID]],Table3[[#All],[PID]],0)))</f>
        <v>$65k</v>
      </c>
      <c r="T918" s="62">
        <f>IF($C918="B",INDEX(Batters[[#All],[Rnk]],MATCH(Table5[[#This Row],[PID]],Batters[[#All],[PID]],0)),INDEX(Table3[[#All],[Rnk]],MATCH(Table5[[#This Row],[PID]],Table3[[#All],[PID]],0)))</f>
        <v>331</v>
      </c>
      <c r="U918" s="68">
        <f>IF($C918="B",VLOOKUP($A918,Bat!$A$4:$BA$1621,47,FALSE),VLOOKUP($A918,Pit!$A$4:$BF$1557,56,FALSE))</f>
        <v>0</v>
      </c>
      <c r="V918" s="50">
        <f>IF($C918="B",VLOOKUP($A918,Bat!$A$4:$BA$1621,48,FALSE),VLOOKUP($A918,Pit!$A$4:$BF$1557,57,FALSE))</f>
        <v>0</v>
      </c>
      <c r="W918" s="50">
        <f>Table5[[#This Row],[posRnk]]+Table5[[#This Row],[zRnk]]+IF($W$3&lt;&gt;Table5[[#This Row],[Type]],50,0)</f>
        <v>1218</v>
      </c>
      <c r="X918" s="51">
        <f>RANK(Table5[[#This Row],[zScore]],Table5[[#All],[zScore]])</f>
        <v>837</v>
      </c>
      <c r="Y918" s="50" t="str">
        <f>IFERROR(INDEX(DraftResults[[#All],[OVR]],MATCH(Table5[[#This Row],[PID]],DraftResults[[#All],[Player ID]],0)),"")</f>
        <v/>
      </c>
      <c r="Z9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8" s="50" t="str">
        <f>IFERROR(INDEX(DraftResults[[#All],[Pick in Round]],MATCH(Table5[[#This Row],[PID]],DraftResults[[#All],[Player ID]],0)),"")</f>
        <v/>
      </c>
      <c r="AB918" s="50" t="str">
        <f>IFERROR(INDEX(DraftResults[[#All],[Team Name]],MATCH(Table5[[#This Row],[PID]],DraftResults[[#All],[Player ID]],0)),"")</f>
        <v/>
      </c>
      <c r="AC918" s="50" t="str">
        <f>IF(Table5[[#This Row],[Ovr]]="","",IF(Table5[[#This Row],[cmbList]]="","",Table5[[#This Row],[cmbList]]-Table5[[#This Row],[Ovr]]))</f>
        <v/>
      </c>
      <c r="AD918" s="54" t="str">
        <f>IF(ISERROR(VLOOKUP($AB918&amp;"-"&amp;$E918&amp;" "&amp;F918,Bonuses!$B$1:$G$1006,4,FALSE)),"",INT(VLOOKUP($AB918&amp;"-"&amp;$E918&amp;" "&amp;$F918,Bonuses!$B$1:$G$1006,4,FALSE)))</f>
        <v/>
      </c>
      <c r="AE9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19" spans="1:31" s="50" customFormat="1" x14ac:dyDescent="0.25">
      <c r="A919" s="50">
        <v>2589</v>
      </c>
      <c r="B919" s="50">
        <f>COUNTIF(Table5[PID],A919)</f>
        <v>1</v>
      </c>
      <c r="C919" s="50" t="str">
        <f>IF(COUNTIF(Table3[[#All],[PID]],A919)&gt;0,"P","B")</f>
        <v>P</v>
      </c>
      <c r="D919" s="59" t="str">
        <f>IF($C919="B",INDEX(Batters[[#All],[POS]],MATCH(Table5[[#This Row],[PID]],Batters[[#All],[PID]],0)),INDEX(Table3[[#All],[POS]],MATCH(Table5[[#This Row],[PID]],Table3[[#All],[PID]],0)))</f>
        <v>RP</v>
      </c>
      <c r="E919" s="52" t="str">
        <f>IF($C919="B",INDEX(Batters[[#All],[First]],MATCH(Table5[[#This Row],[PID]],Batters[[#All],[PID]],0)),INDEX(Table3[[#All],[First]],MATCH(Table5[[#This Row],[PID]],Table3[[#All],[PID]],0)))</f>
        <v>Jay</v>
      </c>
      <c r="F919" s="50" t="str">
        <f>IF($C919="B",INDEX(Batters[[#All],[Last]],MATCH(A919,Batters[[#All],[PID]],0)),INDEX(Table3[[#All],[Last]],MATCH(A919,Table3[[#All],[PID]],0)))</f>
        <v>Lloyd</v>
      </c>
      <c r="G919" s="56">
        <f>IF($C919="B",INDEX(Batters[[#All],[Age]],MATCH(Table5[[#This Row],[PID]],Batters[[#All],[PID]],0)),INDEX(Table3[[#All],[Age]],MATCH(Table5[[#This Row],[PID]],Table3[[#All],[PID]],0)))</f>
        <v>22</v>
      </c>
      <c r="H919" s="52" t="str">
        <f>IF($C919="B",INDEX(Batters[[#All],[B]],MATCH(Table5[[#This Row],[PID]],Batters[[#All],[PID]],0)),INDEX(Table3[[#All],[B]],MATCH(Table5[[#This Row],[PID]],Table3[[#All],[PID]],0)))</f>
        <v>L</v>
      </c>
      <c r="I919" s="52" t="str">
        <f>IF($C919="B",INDEX(Batters[[#All],[T]],MATCH(Table5[[#This Row],[PID]],Batters[[#All],[PID]],0)),INDEX(Table3[[#All],[T]],MATCH(Table5[[#This Row],[PID]],Table3[[#All],[PID]],0)))</f>
        <v>R</v>
      </c>
      <c r="J919" s="52" t="str">
        <f>IF($C919="B",INDEX(Batters[[#All],[WE]],MATCH(Table5[[#This Row],[PID]],Batters[[#All],[PID]],0)),INDEX(Table3[[#All],[WE]],MATCH(Table5[[#This Row],[PID]],Table3[[#All],[PID]],0)))</f>
        <v>Low</v>
      </c>
      <c r="K919" s="52" t="str">
        <f>IF($C919="B",INDEX(Batters[[#All],[INT]],MATCH(Table5[[#This Row],[PID]],Batters[[#All],[PID]],0)),INDEX(Table3[[#All],[INT]],MATCH(Table5[[#This Row],[PID]],Table3[[#All],[PID]],0)))</f>
        <v>Normal</v>
      </c>
      <c r="L919" s="60">
        <f>IF($C919="B",INDEX(Batters[[#All],[CON P]],MATCH(Table5[[#This Row],[PID]],Batters[[#All],[PID]],0)),INDEX(Table3[[#All],[STU P]],MATCH(Table5[[#This Row],[PID]],Table3[[#All],[PID]],0)))</f>
        <v>4</v>
      </c>
      <c r="M919" s="56">
        <f>IF($C919="B",INDEX(Batters[[#All],[GAP P]],MATCH(Table5[[#This Row],[PID]],Batters[[#All],[PID]],0)),INDEX(Table3[[#All],[MOV P]],MATCH(Table5[[#This Row],[PID]],Table3[[#All],[PID]],0)))</f>
        <v>2</v>
      </c>
      <c r="N919" s="56">
        <f>IF($C919="B",INDEX(Batters[[#All],[POW P]],MATCH(Table5[[#This Row],[PID]],Batters[[#All],[PID]],0)),INDEX(Table3[[#All],[CON P]],MATCH(Table5[[#This Row],[PID]],Table3[[#All],[PID]],0)))</f>
        <v>3</v>
      </c>
      <c r="O919" s="56" t="str">
        <f>IF($C919="B",INDEX(Batters[[#All],[EYE P]],MATCH(Table5[[#This Row],[PID]],Batters[[#All],[PID]],0)),INDEX(Table3[[#All],[VELO]],MATCH(Table5[[#This Row],[PID]],Table3[[#All],[PID]],0)))</f>
        <v>86-88 Mph</v>
      </c>
      <c r="P919" s="56">
        <f>IF($C919="B",INDEX(Batters[[#All],[K P]],MATCH(Table5[[#This Row],[PID]],Batters[[#All],[PID]],0)),INDEX(Table3[[#All],[STM]],MATCH(Table5[[#This Row],[PID]],Table3[[#All],[PID]],0)))</f>
        <v>7</v>
      </c>
      <c r="Q919" s="61">
        <f>IF($C919="B",INDEX(Batters[[#All],[Tot]],MATCH(Table5[[#This Row],[PID]],Batters[[#All],[PID]],0)),INDEX(Table3[[#All],[Tot]],MATCH(Table5[[#This Row],[PID]],Table3[[#All],[PID]],0)))</f>
        <v>28.849880290328283</v>
      </c>
      <c r="R919" s="52">
        <f>IF($C919="B",INDEX(Batters[[#All],[zScore]],MATCH(Table5[[#This Row],[PID]],Batters[[#All],[PID]],0)),INDEX(Table3[[#All],[zScore]],MATCH(Table5[[#This Row],[PID]],Table3[[#All],[PID]],0)))</f>
        <v>-0.46707283361445662</v>
      </c>
      <c r="S919" s="58" t="str">
        <f>IF($C919="B",INDEX(Batters[[#All],[DEM]],MATCH(Table5[[#This Row],[PID]],Batters[[#All],[PID]],0)),INDEX(Table3[[#All],[DEM]],MATCH(Table5[[#This Row],[PID]],Table3[[#All],[PID]],0)))</f>
        <v>-</v>
      </c>
      <c r="T919" s="62">
        <f>IF($C919="B",INDEX(Batters[[#All],[Rnk]],MATCH(Table5[[#This Row],[PID]],Batters[[#All],[PID]],0)),INDEX(Table3[[#All],[Rnk]],MATCH(Table5[[#This Row],[PID]],Table3[[#All],[PID]],0)))</f>
        <v>507</v>
      </c>
      <c r="U919" s="68">
        <f>IF($C919="B",VLOOKUP($A919,Bat!$A$4:$BA$1621,47,FALSE),VLOOKUP($A919,Pit!$A$4:$BF$1557,56,FALSE))</f>
        <v>0</v>
      </c>
      <c r="V919" s="50">
        <f>IF($C919="B",VLOOKUP($A919,Bat!$A$4:$BA$1621,48,FALSE),VLOOKUP($A919,Pit!$A$4:$BF$1557,57,FALSE))</f>
        <v>0</v>
      </c>
      <c r="W919" s="50">
        <f>Table5[[#This Row],[posRnk]]+Table5[[#This Row],[zRnk]]+IF($W$3&lt;&gt;Table5[[#This Row],[Type]],50,0)</f>
        <v>1395</v>
      </c>
      <c r="X919" s="51">
        <f>RANK(Table5[[#This Row],[zScore]],Table5[[#All],[zScore]])</f>
        <v>838</v>
      </c>
      <c r="Y919" s="50" t="str">
        <f>IFERROR(INDEX(DraftResults[[#All],[OVR]],MATCH(Table5[[#This Row],[PID]],DraftResults[[#All],[Player ID]],0)),"")</f>
        <v/>
      </c>
      <c r="Z9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19" s="50" t="str">
        <f>IFERROR(INDEX(DraftResults[[#All],[Pick in Round]],MATCH(Table5[[#This Row],[PID]],DraftResults[[#All],[Player ID]],0)),"")</f>
        <v/>
      </c>
      <c r="AB919" s="50" t="str">
        <f>IFERROR(INDEX(DraftResults[[#All],[Team Name]],MATCH(Table5[[#This Row],[PID]],DraftResults[[#All],[Player ID]],0)),"")</f>
        <v/>
      </c>
      <c r="AC919" s="50" t="str">
        <f>IF(Table5[[#This Row],[Ovr]]="","",IF(Table5[[#This Row],[cmbList]]="","",Table5[[#This Row],[cmbList]]-Table5[[#This Row],[Ovr]]))</f>
        <v/>
      </c>
      <c r="AD919" s="54" t="str">
        <f>IF(ISERROR(VLOOKUP($AB919&amp;"-"&amp;$E919&amp;" "&amp;F919,Bonuses!$B$1:$G$1006,4,FALSE)),"",INT(VLOOKUP($AB919&amp;"-"&amp;$E919&amp;" "&amp;$F919,Bonuses!$B$1:$G$1006,4,FALSE)))</f>
        <v/>
      </c>
      <c r="AE9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0" spans="1:31" s="50" customFormat="1" x14ac:dyDescent="0.25">
      <c r="A920" s="50">
        <v>17845</v>
      </c>
      <c r="B920" s="50">
        <f>COUNTIF(Table5[PID],A920)</f>
        <v>1</v>
      </c>
      <c r="C920" s="50" t="str">
        <f>IF(COUNTIF(Table3[[#All],[PID]],A920)&gt;0,"P","B")</f>
        <v>P</v>
      </c>
      <c r="D920" s="59" t="str">
        <f>IF($C920="B",INDEX(Batters[[#All],[POS]],MATCH(Table5[[#This Row],[PID]],Batters[[#All],[PID]],0)),INDEX(Table3[[#All],[POS]],MATCH(Table5[[#This Row],[PID]],Table3[[#All],[PID]],0)))</f>
        <v>RP</v>
      </c>
      <c r="E920" s="52" t="str">
        <f>IF($C920="B",INDEX(Batters[[#All],[First]],MATCH(Table5[[#This Row],[PID]],Batters[[#All],[PID]],0)),INDEX(Table3[[#All],[First]],MATCH(Table5[[#This Row],[PID]],Table3[[#All],[PID]],0)))</f>
        <v>Mink</v>
      </c>
      <c r="F920" s="50" t="str">
        <f>IF($C920="B",INDEX(Batters[[#All],[Last]],MATCH(A920,Batters[[#All],[PID]],0)),INDEX(Table3[[#All],[Last]],MATCH(A920,Table3[[#All],[PID]],0)))</f>
        <v>Walik</v>
      </c>
      <c r="G920" s="56">
        <f>IF($C920="B",INDEX(Batters[[#All],[Age]],MATCH(Table5[[#This Row],[PID]],Batters[[#All],[PID]],0)),INDEX(Table3[[#All],[Age]],MATCH(Table5[[#This Row],[PID]],Table3[[#All],[PID]],0)))</f>
        <v>18</v>
      </c>
      <c r="H920" s="52" t="str">
        <f>IF($C920="B",INDEX(Batters[[#All],[B]],MATCH(Table5[[#This Row],[PID]],Batters[[#All],[PID]],0)),INDEX(Table3[[#All],[B]],MATCH(Table5[[#This Row],[PID]],Table3[[#All],[PID]],0)))</f>
        <v>R</v>
      </c>
      <c r="I920" s="52" t="str">
        <f>IF($C920="B",INDEX(Batters[[#All],[T]],MATCH(Table5[[#This Row],[PID]],Batters[[#All],[PID]],0)),INDEX(Table3[[#All],[T]],MATCH(Table5[[#This Row],[PID]],Table3[[#All],[PID]],0)))</f>
        <v>R</v>
      </c>
      <c r="J920" s="52" t="str">
        <f>IF($C920="B",INDEX(Batters[[#All],[WE]],MATCH(Table5[[#This Row],[PID]],Batters[[#All],[PID]],0)),INDEX(Table3[[#All],[WE]],MATCH(Table5[[#This Row],[PID]],Table3[[#All],[PID]],0)))</f>
        <v>Normal</v>
      </c>
      <c r="K920" s="52" t="str">
        <f>IF($C920="B",INDEX(Batters[[#All],[INT]],MATCH(Table5[[#This Row],[PID]],Batters[[#All],[PID]],0)),INDEX(Table3[[#All],[INT]],MATCH(Table5[[#This Row],[PID]],Table3[[#All],[PID]],0)))</f>
        <v>Normal</v>
      </c>
      <c r="L920" s="60">
        <f>IF($C920="B",INDEX(Batters[[#All],[CON P]],MATCH(Table5[[#This Row],[PID]],Batters[[#All],[PID]],0)),INDEX(Table3[[#All],[STU P]],MATCH(Table5[[#This Row],[PID]],Table3[[#All],[PID]],0)))</f>
        <v>4</v>
      </c>
      <c r="M920" s="56">
        <f>IF($C920="B",INDEX(Batters[[#All],[GAP P]],MATCH(Table5[[#This Row],[PID]],Batters[[#All],[PID]],0)),INDEX(Table3[[#All],[MOV P]],MATCH(Table5[[#This Row],[PID]],Table3[[#All],[PID]],0)))</f>
        <v>1</v>
      </c>
      <c r="N920" s="56">
        <f>IF($C920="B",INDEX(Batters[[#All],[POW P]],MATCH(Table5[[#This Row],[PID]],Batters[[#All],[PID]],0)),INDEX(Table3[[#All],[CON P]],MATCH(Table5[[#This Row],[PID]],Table3[[#All],[PID]],0)))</f>
        <v>3</v>
      </c>
      <c r="O920" s="56" t="str">
        <f>IF($C920="B",INDEX(Batters[[#All],[EYE P]],MATCH(Table5[[#This Row],[PID]],Batters[[#All],[PID]],0)),INDEX(Table3[[#All],[VELO]],MATCH(Table5[[#This Row],[PID]],Table3[[#All],[PID]],0)))</f>
        <v>89-91 Mph</v>
      </c>
      <c r="P920" s="56">
        <f>IF($C920="B",INDEX(Batters[[#All],[K P]],MATCH(Table5[[#This Row],[PID]],Batters[[#All],[PID]],0)),INDEX(Table3[[#All],[STM]],MATCH(Table5[[#This Row],[PID]],Table3[[#All],[PID]],0)))</f>
        <v>9</v>
      </c>
      <c r="Q920" s="61">
        <f>IF($C920="B",INDEX(Batters[[#All],[Tot]],MATCH(Table5[[#This Row],[PID]],Batters[[#All],[PID]],0)),INDEX(Table3[[#All],[Tot]],MATCH(Table5[[#This Row],[PID]],Table3[[#All],[PID]],0)))</f>
        <v>30.253153785412607</v>
      </c>
      <c r="R920" s="52">
        <f>IF($C920="B",INDEX(Batters[[#All],[zScore]],MATCH(Table5[[#This Row],[PID]],Batters[[#All],[PID]],0)),INDEX(Table3[[#All],[zScore]],MATCH(Table5[[#This Row],[PID]],Table3[[#All],[PID]],0)))</f>
        <v>-0.47226084121517087</v>
      </c>
      <c r="S920" s="58" t="str">
        <f>IF($C920="B",INDEX(Batters[[#All],[DEM]],MATCH(Table5[[#This Row],[PID]],Batters[[#All],[PID]],0)),INDEX(Table3[[#All],[DEM]],MATCH(Table5[[#This Row],[PID]],Table3[[#All],[PID]],0)))</f>
        <v>$80k</v>
      </c>
      <c r="T920" s="62">
        <f>IF($C920="B",INDEX(Batters[[#All],[Rnk]],MATCH(Table5[[#This Row],[PID]],Batters[[#All],[PID]],0)),INDEX(Table3[[#All],[Rnk]],MATCH(Table5[[#This Row],[PID]],Table3[[#All],[PID]],0)))</f>
        <v>508</v>
      </c>
      <c r="U920" s="68">
        <f>IF($C920="B",VLOOKUP($A920,Bat!$A$4:$BA$1621,47,FALSE),VLOOKUP($A920,Pit!$A$4:$BF$1557,56,FALSE))</f>
        <v>0</v>
      </c>
      <c r="V920" s="50">
        <f>IF($C920="B",VLOOKUP($A920,Bat!$A$4:$BA$1621,48,FALSE),VLOOKUP($A920,Pit!$A$4:$BF$1557,57,FALSE))</f>
        <v>0</v>
      </c>
      <c r="W920" s="50">
        <f>Table5[[#This Row],[posRnk]]+Table5[[#This Row],[zRnk]]+IF($W$3&lt;&gt;Table5[[#This Row],[Type]],50,0)</f>
        <v>1397</v>
      </c>
      <c r="X920" s="51">
        <f>RANK(Table5[[#This Row],[zScore]],Table5[[#All],[zScore]])</f>
        <v>839</v>
      </c>
      <c r="Y920" s="50" t="str">
        <f>IFERROR(INDEX(DraftResults[[#All],[OVR]],MATCH(Table5[[#This Row],[PID]],DraftResults[[#All],[Player ID]],0)),"")</f>
        <v/>
      </c>
      <c r="Z9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0" s="50" t="str">
        <f>IFERROR(INDEX(DraftResults[[#All],[Pick in Round]],MATCH(Table5[[#This Row],[PID]],DraftResults[[#All],[Player ID]],0)),"")</f>
        <v/>
      </c>
      <c r="AB920" s="50" t="str">
        <f>IFERROR(INDEX(DraftResults[[#All],[Team Name]],MATCH(Table5[[#This Row],[PID]],DraftResults[[#All],[Player ID]],0)),"")</f>
        <v/>
      </c>
      <c r="AC920" s="50" t="str">
        <f>IF(Table5[[#This Row],[Ovr]]="","",IF(Table5[[#This Row],[cmbList]]="","",Table5[[#This Row],[cmbList]]-Table5[[#This Row],[Ovr]]))</f>
        <v/>
      </c>
      <c r="AD920" s="54" t="str">
        <f>IF(ISERROR(VLOOKUP($AB920&amp;"-"&amp;$E920&amp;" "&amp;F920,Bonuses!$B$1:$G$1006,4,FALSE)),"",INT(VLOOKUP($AB920&amp;"-"&amp;$E920&amp;" "&amp;$F920,Bonuses!$B$1:$G$1006,4,FALSE)))</f>
        <v/>
      </c>
      <c r="AE9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1" spans="1:31" s="50" customFormat="1" x14ac:dyDescent="0.25">
      <c r="A921" s="50">
        <v>1191</v>
      </c>
      <c r="B921" s="50">
        <f>COUNTIF(Table5[PID],A921)</f>
        <v>1</v>
      </c>
      <c r="C921" s="50" t="str">
        <f>IF(COUNTIF(Table3[[#All],[PID]],A921)&gt;0,"P","B")</f>
        <v>P</v>
      </c>
      <c r="D921" s="59" t="str">
        <f>IF($C921="B",INDEX(Batters[[#All],[POS]],MATCH(Table5[[#This Row],[PID]],Batters[[#All],[PID]],0)),INDEX(Table3[[#All],[POS]],MATCH(Table5[[#This Row],[PID]],Table3[[#All],[PID]],0)))</f>
        <v>RP</v>
      </c>
      <c r="E921" s="52" t="str">
        <f>IF($C921="B",INDEX(Batters[[#All],[First]],MATCH(Table5[[#This Row],[PID]],Batters[[#All],[PID]],0)),INDEX(Table3[[#All],[First]],MATCH(Table5[[#This Row],[PID]],Table3[[#All],[PID]],0)))</f>
        <v>Will</v>
      </c>
      <c r="F921" s="50" t="str">
        <f>IF($C921="B",INDEX(Batters[[#All],[Last]],MATCH(A921,Batters[[#All],[PID]],0)),INDEX(Table3[[#All],[Last]],MATCH(A921,Table3[[#All],[PID]],0)))</f>
        <v>Carlton</v>
      </c>
      <c r="G921" s="56">
        <f>IF($C921="B",INDEX(Batters[[#All],[Age]],MATCH(Table5[[#This Row],[PID]],Batters[[#All],[PID]],0)),INDEX(Table3[[#All],[Age]],MATCH(Table5[[#This Row],[PID]],Table3[[#All],[PID]],0)))</f>
        <v>18</v>
      </c>
      <c r="H921" s="52" t="str">
        <f>IF($C921="B",INDEX(Batters[[#All],[B]],MATCH(Table5[[#This Row],[PID]],Batters[[#All],[PID]],0)),INDEX(Table3[[#All],[B]],MATCH(Table5[[#This Row],[PID]],Table3[[#All],[PID]],0)))</f>
        <v>R</v>
      </c>
      <c r="I921" s="52" t="str">
        <f>IF($C921="B",INDEX(Batters[[#All],[T]],MATCH(Table5[[#This Row],[PID]],Batters[[#All],[PID]],0)),INDEX(Table3[[#All],[T]],MATCH(Table5[[#This Row],[PID]],Table3[[#All],[PID]],0)))</f>
        <v>R</v>
      </c>
      <c r="J921" s="52" t="str">
        <f>IF($C921="B",INDEX(Batters[[#All],[WE]],MATCH(Table5[[#This Row],[PID]],Batters[[#All],[PID]],0)),INDEX(Table3[[#All],[WE]],MATCH(Table5[[#This Row],[PID]],Table3[[#All],[PID]],0)))</f>
        <v>Normal</v>
      </c>
      <c r="K921" s="52" t="str">
        <f>IF($C921="B",INDEX(Batters[[#All],[INT]],MATCH(Table5[[#This Row],[PID]],Batters[[#All],[PID]],0)),INDEX(Table3[[#All],[INT]],MATCH(Table5[[#This Row],[PID]],Table3[[#All],[PID]],0)))</f>
        <v>Normal</v>
      </c>
      <c r="L921" s="60">
        <f>IF($C921="B",INDEX(Batters[[#All],[CON P]],MATCH(Table5[[#This Row],[PID]],Batters[[#All],[PID]],0)),INDEX(Table3[[#All],[STU P]],MATCH(Table5[[#This Row],[PID]],Table3[[#All],[PID]],0)))</f>
        <v>4</v>
      </c>
      <c r="M921" s="56">
        <f>IF($C921="B",INDEX(Batters[[#All],[GAP P]],MATCH(Table5[[#This Row],[PID]],Batters[[#All],[PID]],0)),INDEX(Table3[[#All],[MOV P]],MATCH(Table5[[#This Row],[PID]],Table3[[#All],[PID]],0)))</f>
        <v>1</v>
      </c>
      <c r="N921" s="56">
        <f>IF($C921="B",INDEX(Batters[[#All],[POW P]],MATCH(Table5[[#This Row],[PID]],Batters[[#All],[PID]],0)),INDEX(Table3[[#All],[CON P]],MATCH(Table5[[#This Row],[PID]],Table3[[#All],[PID]],0)))</f>
        <v>3</v>
      </c>
      <c r="O921" s="56" t="str">
        <f>IF($C921="B",INDEX(Batters[[#All],[EYE P]],MATCH(Table5[[#This Row],[PID]],Batters[[#All],[PID]],0)),INDEX(Table3[[#All],[VELO]],MATCH(Table5[[#This Row],[PID]],Table3[[#All],[PID]],0)))</f>
        <v>86-88 Mph</v>
      </c>
      <c r="P921" s="56">
        <f>IF($C921="B",INDEX(Batters[[#All],[K P]],MATCH(Table5[[#This Row],[PID]],Batters[[#All],[PID]],0)),INDEX(Table3[[#All],[STM]],MATCH(Table5[[#This Row],[PID]],Table3[[#All],[PID]],0)))</f>
        <v>6</v>
      </c>
      <c r="Q921" s="61">
        <f>IF($C921="B",INDEX(Batters[[#All],[Tot]],MATCH(Table5[[#This Row],[PID]],Batters[[#All],[PID]],0)),INDEX(Table3[[#All],[Tot]],MATCH(Table5[[#This Row],[PID]],Table3[[#All],[PID]],0)))</f>
        <v>30.894667125873106</v>
      </c>
      <c r="R921" s="52">
        <f>IF($C921="B",INDEX(Batters[[#All],[zScore]],MATCH(Table5[[#This Row],[PID]],Batters[[#All],[PID]],0)),INDEX(Table3[[#All],[zScore]],MATCH(Table5[[#This Row],[PID]],Table3[[#All],[PID]],0)))</f>
        <v>-0.47327194450095117</v>
      </c>
      <c r="S921" s="58" t="str">
        <f>IF($C921="B",INDEX(Batters[[#All],[DEM]],MATCH(Table5[[#This Row],[PID]],Batters[[#All],[PID]],0)),INDEX(Table3[[#All],[DEM]],MATCH(Table5[[#This Row],[PID]],Table3[[#All],[PID]],0)))</f>
        <v>$65k</v>
      </c>
      <c r="T921" s="62">
        <f>IF($C921="B",INDEX(Batters[[#All],[Rnk]],MATCH(Table5[[#This Row],[PID]],Batters[[#All],[PID]],0)),INDEX(Table3[[#All],[Rnk]],MATCH(Table5[[#This Row],[PID]],Table3[[#All],[PID]],0)))</f>
        <v>509</v>
      </c>
      <c r="U921" s="68">
        <f>IF($C921="B",VLOOKUP($A921,Bat!$A$4:$BA$1621,47,FALSE),VLOOKUP($A921,Pit!$A$4:$BF$1557,56,FALSE))</f>
        <v>0</v>
      </c>
      <c r="V921" s="50">
        <f>IF($C921="B",VLOOKUP($A921,Bat!$A$4:$BA$1621,48,FALSE),VLOOKUP($A921,Pit!$A$4:$BF$1557,57,FALSE))</f>
        <v>0</v>
      </c>
      <c r="W921" s="50">
        <f>Table5[[#This Row],[posRnk]]+Table5[[#This Row],[zRnk]]+IF($W$3&lt;&gt;Table5[[#This Row],[Type]],50,0)</f>
        <v>1399</v>
      </c>
      <c r="X921" s="51">
        <f>RANK(Table5[[#This Row],[zScore]],Table5[[#All],[zScore]])</f>
        <v>840</v>
      </c>
      <c r="Y921" s="50" t="str">
        <f>IFERROR(INDEX(DraftResults[[#All],[OVR]],MATCH(Table5[[#This Row],[PID]],DraftResults[[#All],[Player ID]],0)),"")</f>
        <v/>
      </c>
      <c r="Z9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1" s="50" t="str">
        <f>IFERROR(INDEX(DraftResults[[#All],[Pick in Round]],MATCH(Table5[[#This Row],[PID]],DraftResults[[#All],[Player ID]],0)),"")</f>
        <v/>
      </c>
      <c r="AB921" s="50" t="str">
        <f>IFERROR(INDEX(DraftResults[[#All],[Team Name]],MATCH(Table5[[#This Row],[PID]],DraftResults[[#All],[Player ID]],0)),"")</f>
        <v/>
      </c>
      <c r="AC921" s="50" t="str">
        <f>IF(Table5[[#This Row],[Ovr]]="","",IF(Table5[[#This Row],[cmbList]]="","",Table5[[#This Row],[cmbList]]-Table5[[#This Row],[Ovr]]))</f>
        <v/>
      </c>
      <c r="AD921" s="54" t="str">
        <f>IF(ISERROR(VLOOKUP($AB921&amp;"-"&amp;$E921&amp;" "&amp;F921,Bonuses!$B$1:$G$1006,4,FALSE)),"",INT(VLOOKUP($AB921&amp;"-"&amp;$E921&amp;" "&amp;$F921,Bonuses!$B$1:$G$1006,4,FALSE)))</f>
        <v/>
      </c>
      <c r="AE9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2" spans="1:31" s="50" customFormat="1" x14ac:dyDescent="0.25">
      <c r="A922" s="50">
        <v>7327</v>
      </c>
      <c r="B922" s="50">
        <f>COUNTIF(Table5[PID],A922)</f>
        <v>1</v>
      </c>
      <c r="C922" s="50" t="str">
        <f>IF(COUNTIF(Table3[[#All],[PID]],A922)&gt;0,"P","B")</f>
        <v>B</v>
      </c>
      <c r="D922" s="59" t="str">
        <f>IF($C922="B",INDEX(Batters[[#All],[POS]],MATCH(Table5[[#This Row],[PID]],Batters[[#All],[PID]],0)),INDEX(Table3[[#All],[POS]],MATCH(Table5[[#This Row],[PID]],Table3[[#All],[PID]],0)))</f>
        <v>RF</v>
      </c>
      <c r="E922" s="52" t="str">
        <f>IF($C922="B",INDEX(Batters[[#All],[First]],MATCH(Table5[[#This Row],[PID]],Batters[[#All],[PID]],0)),INDEX(Table3[[#All],[First]],MATCH(Table5[[#This Row],[PID]],Table3[[#All],[PID]],0)))</f>
        <v>Marihito</v>
      </c>
      <c r="F922" s="50" t="str">
        <f>IF($C922="B",INDEX(Batters[[#All],[Last]],MATCH(A922,Batters[[#All],[PID]],0)),INDEX(Table3[[#All],[Last]],MATCH(A922,Table3[[#All],[PID]],0)))</f>
        <v>Nagai</v>
      </c>
      <c r="G922" s="56">
        <f>IF($C922="B",INDEX(Batters[[#All],[Age]],MATCH(Table5[[#This Row],[PID]],Batters[[#All],[PID]],0)),INDEX(Table3[[#All],[Age]],MATCH(Table5[[#This Row],[PID]],Table3[[#All],[PID]],0)))</f>
        <v>22</v>
      </c>
      <c r="H922" s="52" t="str">
        <f>IF($C922="B",INDEX(Batters[[#All],[B]],MATCH(Table5[[#This Row],[PID]],Batters[[#All],[PID]],0)),INDEX(Table3[[#All],[B]],MATCH(Table5[[#This Row],[PID]],Table3[[#All],[PID]],0)))</f>
        <v>L</v>
      </c>
      <c r="I922" s="52" t="str">
        <f>IF($C922="B",INDEX(Batters[[#All],[T]],MATCH(Table5[[#This Row],[PID]],Batters[[#All],[PID]],0)),INDEX(Table3[[#All],[T]],MATCH(Table5[[#This Row],[PID]],Table3[[#All],[PID]],0)))</f>
        <v>R</v>
      </c>
      <c r="J922" s="52" t="str">
        <f>IF($C922="B",INDEX(Batters[[#All],[WE]],MATCH(Table5[[#This Row],[PID]],Batters[[#All],[PID]],0)),INDEX(Table3[[#All],[WE]],MATCH(Table5[[#This Row],[PID]],Table3[[#All],[PID]],0)))</f>
        <v>Low</v>
      </c>
      <c r="K922" s="52" t="str">
        <f>IF($C922="B",INDEX(Batters[[#All],[INT]],MATCH(Table5[[#This Row],[PID]],Batters[[#All],[PID]],0)),INDEX(Table3[[#All],[INT]],MATCH(Table5[[#This Row],[PID]],Table3[[#All],[PID]],0)))</f>
        <v>Low</v>
      </c>
      <c r="L922" s="60">
        <f>IF($C922="B",INDEX(Batters[[#All],[CON P]],MATCH(Table5[[#This Row],[PID]],Batters[[#All],[PID]],0)),INDEX(Table3[[#All],[STU P]],MATCH(Table5[[#This Row],[PID]],Table3[[#All],[PID]],0)))</f>
        <v>4</v>
      </c>
      <c r="M922" s="56">
        <f>IF($C922="B",INDEX(Batters[[#All],[GAP P]],MATCH(Table5[[#This Row],[PID]],Batters[[#All],[PID]],0)),INDEX(Table3[[#All],[MOV P]],MATCH(Table5[[#This Row],[PID]],Table3[[#All],[PID]],0)))</f>
        <v>4</v>
      </c>
      <c r="N922" s="56">
        <f>IF($C922="B",INDEX(Batters[[#All],[POW P]],MATCH(Table5[[#This Row],[PID]],Batters[[#All],[PID]],0)),INDEX(Table3[[#All],[CON P]],MATCH(Table5[[#This Row],[PID]],Table3[[#All],[PID]],0)))</f>
        <v>4</v>
      </c>
      <c r="O922" s="56">
        <f>IF($C922="B",INDEX(Batters[[#All],[EYE P]],MATCH(Table5[[#This Row],[PID]],Batters[[#All],[PID]],0)),INDEX(Table3[[#All],[VELO]],MATCH(Table5[[#This Row],[PID]],Table3[[#All],[PID]],0)))</f>
        <v>5</v>
      </c>
      <c r="P922" s="56">
        <f>IF($C922="B",INDEX(Batters[[#All],[K P]],MATCH(Table5[[#This Row],[PID]],Batters[[#All],[PID]],0)),INDEX(Table3[[#All],[STM]],MATCH(Table5[[#This Row],[PID]],Table3[[#All],[PID]],0)))</f>
        <v>5</v>
      </c>
      <c r="Q922" s="61">
        <f>IF($C922="B",INDEX(Batters[[#All],[Tot]],MATCH(Table5[[#This Row],[PID]],Batters[[#All],[PID]],0)),INDEX(Table3[[#All],[Tot]],MATCH(Table5[[#This Row],[PID]],Table3[[#All],[PID]],0)))</f>
        <v>41.994334713459367</v>
      </c>
      <c r="R922" s="52">
        <f>IF($C922="B",INDEX(Batters[[#All],[zScore]],MATCH(Table5[[#This Row],[PID]],Batters[[#All],[PID]],0)),INDEX(Table3[[#All],[zScore]],MATCH(Table5[[#This Row],[PID]],Table3[[#All],[PID]],0)))</f>
        <v>-0.47392147918119171</v>
      </c>
      <c r="S922" s="58" t="str">
        <f>IF($C922="B",INDEX(Batters[[#All],[DEM]],MATCH(Table5[[#This Row],[PID]],Batters[[#All],[PID]],0)),INDEX(Table3[[#All],[DEM]],MATCH(Table5[[#This Row],[PID]],Table3[[#All],[PID]],0)))</f>
        <v>-</v>
      </c>
      <c r="T922" s="62">
        <f>IF($C922="B",INDEX(Batters[[#All],[Rnk]],MATCH(Table5[[#This Row],[PID]],Batters[[#All],[PID]],0)),INDEX(Table3[[#All],[Rnk]],MATCH(Table5[[#This Row],[PID]],Table3[[#All],[PID]],0)))</f>
        <v>332</v>
      </c>
      <c r="U922" s="68">
        <f>IF($C922="B",VLOOKUP($A922,Bat!$A$4:$BA$1621,47,FALSE),VLOOKUP($A922,Pit!$A$4:$BF$1557,56,FALSE))</f>
        <v>0</v>
      </c>
      <c r="V922" s="50">
        <f>IF($C922="B",VLOOKUP($A922,Bat!$A$4:$BA$1621,48,FALSE),VLOOKUP($A922,Pit!$A$4:$BF$1557,57,FALSE))</f>
        <v>0</v>
      </c>
      <c r="W922" s="50">
        <f>Table5[[#This Row],[posRnk]]+Table5[[#This Row],[zRnk]]+IF($W$3&lt;&gt;Table5[[#This Row],[Type]],50,0)</f>
        <v>1223</v>
      </c>
      <c r="X922" s="51">
        <f>RANK(Table5[[#This Row],[zScore]],Table5[[#All],[zScore]])</f>
        <v>841</v>
      </c>
      <c r="Y922" s="50" t="str">
        <f>IFERROR(INDEX(DraftResults[[#All],[OVR]],MATCH(Table5[[#This Row],[PID]],DraftResults[[#All],[Player ID]],0)),"")</f>
        <v/>
      </c>
      <c r="Z9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2" s="50" t="str">
        <f>IFERROR(INDEX(DraftResults[[#All],[Pick in Round]],MATCH(Table5[[#This Row],[PID]],DraftResults[[#All],[Player ID]],0)),"")</f>
        <v/>
      </c>
      <c r="AB922" s="50" t="str">
        <f>IFERROR(INDEX(DraftResults[[#All],[Team Name]],MATCH(Table5[[#This Row],[PID]],DraftResults[[#All],[Player ID]],0)),"")</f>
        <v/>
      </c>
      <c r="AC922" s="50" t="str">
        <f>IF(Table5[[#This Row],[Ovr]]="","",IF(Table5[[#This Row],[cmbList]]="","",Table5[[#This Row],[cmbList]]-Table5[[#This Row],[Ovr]]))</f>
        <v/>
      </c>
      <c r="AD922" s="54" t="str">
        <f>IF(ISERROR(VLOOKUP($AB922&amp;"-"&amp;$E922&amp;" "&amp;F922,Bonuses!$B$1:$G$1006,4,FALSE)),"",INT(VLOOKUP($AB922&amp;"-"&amp;$E922&amp;" "&amp;$F922,Bonuses!$B$1:$G$1006,4,FALSE)))</f>
        <v/>
      </c>
      <c r="AE9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3" spans="1:31" s="50" customFormat="1" x14ac:dyDescent="0.25">
      <c r="A923" s="50">
        <v>20593</v>
      </c>
      <c r="B923" s="50">
        <f>COUNTIF(Table5[PID],A923)</f>
        <v>1</v>
      </c>
      <c r="C923" s="50" t="str">
        <f>IF(COUNTIF(Table3[[#All],[PID]],A923)&gt;0,"P","B")</f>
        <v>B</v>
      </c>
      <c r="D923" s="59" t="str">
        <f>IF($C923="B",INDEX(Batters[[#All],[POS]],MATCH(Table5[[#This Row],[PID]],Batters[[#All],[PID]],0)),INDEX(Table3[[#All],[POS]],MATCH(Table5[[#This Row],[PID]],Table3[[#All],[PID]],0)))</f>
        <v>SS</v>
      </c>
      <c r="E923" s="52" t="str">
        <f>IF($C923="B",INDEX(Batters[[#All],[First]],MATCH(Table5[[#This Row],[PID]],Batters[[#All],[PID]],0)),INDEX(Table3[[#All],[First]],MATCH(Table5[[#This Row],[PID]],Table3[[#All],[PID]],0)))</f>
        <v>Mike</v>
      </c>
      <c r="F923" s="50" t="str">
        <f>IF($C923="B",INDEX(Batters[[#All],[Last]],MATCH(A923,Batters[[#All],[PID]],0)),INDEX(Table3[[#All],[Last]],MATCH(A923,Table3[[#All],[PID]],0)))</f>
        <v>Woolfrey</v>
      </c>
      <c r="G923" s="56">
        <f>IF($C923="B",INDEX(Batters[[#All],[Age]],MATCH(Table5[[#This Row],[PID]],Batters[[#All],[PID]],0)),INDEX(Table3[[#All],[Age]],MATCH(Table5[[#This Row],[PID]],Table3[[#All],[PID]],0)))</f>
        <v>18</v>
      </c>
      <c r="H923" s="52" t="str">
        <f>IF($C923="B",INDEX(Batters[[#All],[B]],MATCH(Table5[[#This Row],[PID]],Batters[[#All],[PID]],0)),INDEX(Table3[[#All],[B]],MATCH(Table5[[#This Row],[PID]],Table3[[#All],[PID]],0)))</f>
        <v>L</v>
      </c>
      <c r="I923" s="52" t="str">
        <f>IF($C923="B",INDEX(Batters[[#All],[T]],MATCH(Table5[[#This Row],[PID]],Batters[[#All],[PID]],0)),INDEX(Table3[[#All],[T]],MATCH(Table5[[#This Row],[PID]],Table3[[#All],[PID]],0)))</f>
        <v>R</v>
      </c>
      <c r="J923" s="52" t="str">
        <f>IF($C923="B",INDEX(Batters[[#All],[WE]],MATCH(Table5[[#This Row],[PID]],Batters[[#All],[PID]],0)),INDEX(Table3[[#All],[WE]],MATCH(Table5[[#This Row],[PID]],Table3[[#All],[PID]],0)))</f>
        <v>Low</v>
      </c>
      <c r="K923" s="52" t="str">
        <f>IF($C923="B",INDEX(Batters[[#All],[INT]],MATCH(Table5[[#This Row],[PID]],Batters[[#All],[PID]],0)),INDEX(Table3[[#All],[INT]],MATCH(Table5[[#This Row],[PID]],Table3[[#All],[PID]],0)))</f>
        <v>Normal</v>
      </c>
      <c r="L923" s="60">
        <f>IF($C923="B",INDEX(Batters[[#All],[CON P]],MATCH(Table5[[#This Row],[PID]],Batters[[#All],[PID]],0)),INDEX(Table3[[#All],[STU P]],MATCH(Table5[[#This Row],[PID]],Table3[[#All],[PID]],0)))</f>
        <v>3</v>
      </c>
      <c r="M923" s="56">
        <f>IF($C923="B",INDEX(Batters[[#All],[GAP P]],MATCH(Table5[[#This Row],[PID]],Batters[[#All],[PID]],0)),INDEX(Table3[[#All],[MOV P]],MATCH(Table5[[#This Row],[PID]],Table3[[#All],[PID]],0)))</f>
        <v>4</v>
      </c>
      <c r="N923" s="56">
        <f>IF($C923="B",INDEX(Batters[[#All],[POW P]],MATCH(Table5[[#This Row],[PID]],Batters[[#All],[PID]],0)),INDEX(Table3[[#All],[CON P]],MATCH(Table5[[#This Row],[PID]],Table3[[#All],[PID]],0)))</f>
        <v>3</v>
      </c>
      <c r="O923" s="56">
        <f>IF($C923="B",INDEX(Batters[[#All],[EYE P]],MATCH(Table5[[#This Row],[PID]],Batters[[#All],[PID]],0)),INDEX(Table3[[#All],[VELO]],MATCH(Table5[[#This Row],[PID]],Table3[[#All],[PID]],0)))</f>
        <v>5</v>
      </c>
      <c r="P923" s="56">
        <f>IF($C923="B",INDEX(Batters[[#All],[K P]],MATCH(Table5[[#This Row],[PID]],Batters[[#All],[PID]],0)),INDEX(Table3[[#All],[STM]],MATCH(Table5[[#This Row],[PID]],Table3[[#All],[PID]],0)))</f>
        <v>4</v>
      </c>
      <c r="Q923" s="61">
        <f>IF($C923="B",INDEX(Batters[[#All],[Tot]],MATCH(Table5[[#This Row],[PID]],Batters[[#All],[PID]],0)),INDEX(Table3[[#All],[Tot]],MATCH(Table5[[#This Row],[PID]],Table3[[#All],[PID]],0)))</f>
        <v>41.988113451704315</v>
      </c>
      <c r="R923" s="52">
        <f>IF($C923="B",INDEX(Batters[[#All],[zScore]],MATCH(Table5[[#This Row],[PID]],Batters[[#All],[PID]],0)),INDEX(Table3[[#All],[zScore]],MATCH(Table5[[#This Row],[PID]],Table3[[#All],[PID]],0)))</f>
        <v>-0.47530077496411338</v>
      </c>
      <c r="S923" s="58" t="str">
        <f>IF($C923="B",INDEX(Batters[[#All],[DEM]],MATCH(Table5[[#This Row],[PID]],Batters[[#All],[PID]],0)),INDEX(Table3[[#All],[DEM]],MATCH(Table5[[#This Row],[PID]],Table3[[#All],[PID]],0)))</f>
        <v>$65k</v>
      </c>
      <c r="T923" s="62">
        <f>IF($C923="B",INDEX(Batters[[#All],[Rnk]],MATCH(Table5[[#This Row],[PID]],Batters[[#All],[PID]],0)),INDEX(Table3[[#All],[Rnk]],MATCH(Table5[[#This Row],[PID]],Table3[[#All],[PID]],0)))</f>
        <v>333</v>
      </c>
      <c r="U923" s="68">
        <f>IF($C923="B",VLOOKUP($A923,Bat!$A$4:$BA$1621,47,FALSE),VLOOKUP($A923,Pit!$A$4:$BF$1557,56,FALSE))</f>
        <v>0</v>
      </c>
      <c r="V923" s="50">
        <f>IF($C923="B",VLOOKUP($A923,Bat!$A$4:$BA$1621,48,FALSE),VLOOKUP($A923,Pit!$A$4:$BF$1557,57,FALSE))</f>
        <v>0</v>
      </c>
      <c r="W923" s="50">
        <f>Table5[[#This Row],[posRnk]]+Table5[[#This Row],[zRnk]]+IF($W$3&lt;&gt;Table5[[#This Row],[Type]],50,0)</f>
        <v>1225</v>
      </c>
      <c r="X923" s="51">
        <f>RANK(Table5[[#This Row],[zScore]],Table5[[#All],[zScore]])</f>
        <v>842</v>
      </c>
      <c r="Y923" s="50" t="str">
        <f>IFERROR(INDEX(DraftResults[[#All],[OVR]],MATCH(Table5[[#This Row],[PID]],DraftResults[[#All],[Player ID]],0)),"")</f>
        <v/>
      </c>
      <c r="Z9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3" s="50" t="str">
        <f>IFERROR(INDEX(DraftResults[[#All],[Pick in Round]],MATCH(Table5[[#This Row],[PID]],DraftResults[[#All],[Player ID]],0)),"")</f>
        <v/>
      </c>
      <c r="AB923" s="50" t="str">
        <f>IFERROR(INDEX(DraftResults[[#All],[Team Name]],MATCH(Table5[[#This Row],[PID]],DraftResults[[#All],[Player ID]],0)),"")</f>
        <v/>
      </c>
      <c r="AC923" s="50" t="str">
        <f>IF(Table5[[#This Row],[Ovr]]="","",IF(Table5[[#This Row],[cmbList]]="","",Table5[[#This Row],[cmbList]]-Table5[[#This Row],[Ovr]]))</f>
        <v/>
      </c>
      <c r="AD923" s="54" t="str">
        <f>IF(ISERROR(VLOOKUP($AB923&amp;"-"&amp;$E923&amp;" "&amp;F923,Bonuses!$B$1:$G$1006,4,FALSE)),"",INT(VLOOKUP($AB923&amp;"-"&amp;$E923&amp;" "&amp;$F923,Bonuses!$B$1:$G$1006,4,FALSE)))</f>
        <v/>
      </c>
      <c r="AE9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4" spans="1:31" s="50" customFormat="1" x14ac:dyDescent="0.25">
      <c r="A924" s="50">
        <v>18010</v>
      </c>
      <c r="B924" s="50">
        <f>COUNTIF(Table5[PID],A924)</f>
        <v>1</v>
      </c>
      <c r="C924" s="50" t="str">
        <f>IF(COUNTIF(Table3[[#All],[PID]],A924)&gt;0,"P","B")</f>
        <v>P</v>
      </c>
      <c r="D924" s="59" t="str">
        <f>IF($C924="B",INDEX(Batters[[#All],[POS]],MATCH(Table5[[#This Row],[PID]],Batters[[#All],[PID]],0)),INDEX(Table3[[#All],[POS]],MATCH(Table5[[#This Row],[PID]],Table3[[#All],[PID]],0)))</f>
        <v>RP</v>
      </c>
      <c r="E924" s="52" t="str">
        <f>IF($C924="B",INDEX(Batters[[#All],[First]],MATCH(Table5[[#This Row],[PID]],Batters[[#All],[PID]],0)),INDEX(Table3[[#All],[First]],MATCH(Table5[[#This Row],[PID]],Table3[[#All],[PID]],0)))</f>
        <v>Ernest</v>
      </c>
      <c r="F924" s="50" t="str">
        <f>IF($C924="B",INDEX(Batters[[#All],[Last]],MATCH(A924,Batters[[#All],[PID]],0)),INDEX(Table3[[#All],[Last]],MATCH(A924,Table3[[#All],[PID]],0)))</f>
        <v>Tucker</v>
      </c>
      <c r="G924" s="56">
        <f>IF($C924="B",INDEX(Batters[[#All],[Age]],MATCH(Table5[[#This Row],[PID]],Batters[[#All],[PID]],0)),INDEX(Table3[[#All],[Age]],MATCH(Table5[[#This Row],[PID]],Table3[[#All],[PID]],0)))</f>
        <v>21</v>
      </c>
      <c r="H924" s="52" t="str">
        <f>IF($C924="B",INDEX(Batters[[#All],[B]],MATCH(Table5[[#This Row],[PID]],Batters[[#All],[PID]],0)),INDEX(Table3[[#All],[B]],MATCH(Table5[[#This Row],[PID]],Table3[[#All],[PID]],0)))</f>
        <v>L</v>
      </c>
      <c r="I924" s="52" t="str">
        <f>IF($C924="B",INDEX(Batters[[#All],[T]],MATCH(Table5[[#This Row],[PID]],Batters[[#All],[PID]],0)),INDEX(Table3[[#All],[T]],MATCH(Table5[[#This Row],[PID]],Table3[[#All],[PID]],0)))</f>
        <v>L</v>
      </c>
      <c r="J924" s="52" t="str">
        <f>IF($C924="B",INDEX(Batters[[#All],[WE]],MATCH(Table5[[#This Row],[PID]],Batters[[#All],[PID]],0)),INDEX(Table3[[#All],[WE]],MATCH(Table5[[#This Row],[PID]],Table3[[#All],[PID]],0)))</f>
        <v>High</v>
      </c>
      <c r="K924" s="52" t="str">
        <f>IF($C924="B",INDEX(Batters[[#All],[INT]],MATCH(Table5[[#This Row],[PID]],Batters[[#All],[PID]],0)),INDEX(Table3[[#All],[INT]],MATCH(Table5[[#This Row],[PID]],Table3[[#All],[PID]],0)))</f>
        <v>Normal</v>
      </c>
      <c r="L924" s="60">
        <f>IF($C924="B",INDEX(Batters[[#All],[CON P]],MATCH(Table5[[#This Row],[PID]],Batters[[#All],[PID]],0)),INDEX(Table3[[#All],[STU P]],MATCH(Table5[[#This Row],[PID]],Table3[[#All],[PID]],0)))</f>
        <v>4</v>
      </c>
      <c r="M924" s="56">
        <f>IF($C924="B",INDEX(Batters[[#All],[GAP P]],MATCH(Table5[[#This Row],[PID]],Batters[[#All],[PID]],0)),INDEX(Table3[[#All],[MOV P]],MATCH(Table5[[#This Row],[PID]],Table3[[#All],[PID]],0)))</f>
        <v>1</v>
      </c>
      <c r="N924" s="56">
        <f>IF($C924="B",INDEX(Batters[[#All],[POW P]],MATCH(Table5[[#This Row],[PID]],Batters[[#All],[PID]],0)),INDEX(Table3[[#All],[CON P]],MATCH(Table5[[#This Row],[PID]],Table3[[#All],[PID]],0)))</f>
        <v>4</v>
      </c>
      <c r="O924" s="56" t="str">
        <f>IF($C924="B",INDEX(Batters[[#All],[EYE P]],MATCH(Table5[[#This Row],[PID]],Batters[[#All],[PID]],0)),INDEX(Table3[[#All],[VELO]],MATCH(Table5[[#This Row],[PID]],Table3[[#All],[PID]],0)))</f>
        <v>85-87 Mph</v>
      </c>
      <c r="P924" s="56">
        <f>IF($C924="B",INDEX(Batters[[#All],[K P]],MATCH(Table5[[#This Row],[PID]],Batters[[#All],[PID]],0)),INDEX(Table3[[#All],[STM]],MATCH(Table5[[#This Row],[PID]],Table3[[#All],[PID]],0)))</f>
        <v>4</v>
      </c>
      <c r="Q924" s="61">
        <f>IF($C924="B",INDEX(Batters[[#All],[Tot]],MATCH(Table5[[#This Row],[PID]],Batters[[#All],[PID]],0)),INDEX(Table3[[#All],[Tot]],MATCH(Table5[[#This Row],[PID]],Table3[[#All],[PID]],0)))</f>
        <v>30.210460232957111</v>
      </c>
      <c r="R924" s="52">
        <f>IF($C924="B",INDEX(Batters[[#All],[zScore]],MATCH(Table5[[#This Row],[PID]],Batters[[#All],[PID]],0)),INDEX(Table3[[#All],[zScore]],MATCH(Table5[[#This Row],[PID]],Table3[[#All],[PID]],0)))</f>
        <v>-0.47535025192909275</v>
      </c>
      <c r="S924" s="58" t="str">
        <f>IF($C924="B",INDEX(Batters[[#All],[DEM]],MATCH(Table5[[#This Row],[PID]],Batters[[#All],[PID]],0)),INDEX(Table3[[#All],[DEM]],MATCH(Table5[[#This Row],[PID]],Table3[[#All],[PID]],0)))</f>
        <v>-</v>
      </c>
      <c r="T924" s="62">
        <f>IF($C924="B",INDEX(Batters[[#All],[Rnk]],MATCH(Table5[[#This Row],[PID]],Batters[[#All],[PID]],0)),INDEX(Table3[[#All],[Rnk]],MATCH(Table5[[#This Row],[PID]],Table3[[#All],[PID]],0)))</f>
        <v>510</v>
      </c>
      <c r="U924" s="68">
        <f>IF($C924="B",VLOOKUP($A924,Bat!$A$4:$BA$1621,47,FALSE),VLOOKUP($A924,Pit!$A$4:$BF$1557,56,FALSE))</f>
        <v>0</v>
      </c>
      <c r="V924" s="50">
        <f>IF($C924="B",VLOOKUP($A924,Bat!$A$4:$BA$1621,48,FALSE),VLOOKUP($A924,Pit!$A$4:$BF$1557,57,FALSE))</f>
        <v>0</v>
      </c>
      <c r="W924" s="50">
        <f>Table5[[#This Row],[posRnk]]+Table5[[#This Row],[zRnk]]+IF($W$3&lt;&gt;Table5[[#This Row],[Type]],50,0)</f>
        <v>1403</v>
      </c>
      <c r="X924" s="51">
        <f>RANK(Table5[[#This Row],[zScore]],Table5[[#All],[zScore]])</f>
        <v>843</v>
      </c>
      <c r="Y924" s="50" t="str">
        <f>IFERROR(INDEX(DraftResults[[#All],[OVR]],MATCH(Table5[[#This Row],[PID]],DraftResults[[#All],[Player ID]],0)),"")</f>
        <v/>
      </c>
      <c r="Z9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4" s="50" t="str">
        <f>IFERROR(INDEX(DraftResults[[#All],[Pick in Round]],MATCH(Table5[[#This Row],[PID]],DraftResults[[#All],[Player ID]],0)),"")</f>
        <v/>
      </c>
      <c r="AB924" s="50" t="str">
        <f>IFERROR(INDEX(DraftResults[[#All],[Team Name]],MATCH(Table5[[#This Row],[PID]],DraftResults[[#All],[Player ID]],0)),"")</f>
        <v/>
      </c>
      <c r="AC924" s="50" t="str">
        <f>IF(Table5[[#This Row],[Ovr]]="","",IF(Table5[[#This Row],[cmbList]]="","",Table5[[#This Row],[cmbList]]-Table5[[#This Row],[Ovr]]))</f>
        <v/>
      </c>
      <c r="AD924" s="54" t="str">
        <f>IF(ISERROR(VLOOKUP($AB924&amp;"-"&amp;$E924&amp;" "&amp;F924,Bonuses!$B$1:$G$1006,4,FALSE)),"",INT(VLOOKUP($AB924&amp;"-"&amp;$E924&amp;" "&amp;$F924,Bonuses!$B$1:$G$1006,4,FALSE)))</f>
        <v/>
      </c>
      <c r="AE9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5" spans="1:31" s="50" customFormat="1" x14ac:dyDescent="0.25">
      <c r="A925" s="50">
        <v>17860</v>
      </c>
      <c r="B925" s="50">
        <f>COUNTIF(Table5[PID],A925)</f>
        <v>1</v>
      </c>
      <c r="C925" s="50" t="str">
        <f>IF(COUNTIF(Table3[[#All],[PID]],A925)&gt;0,"P","B")</f>
        <v>P</v>
      </c>
      <c r="D925" s="59" t="str">
        <f>IF($C925="B",INDEX(Batters[[#All],[POS]],MATCH(Table5[[#This Row],[PID]],Batters[[#All],[PID]],0)),INDEX(Table3[[#All],[POS]],MATCH(Table5[[#This Row],[PID]],Table3[[#All],[PID]],0)))</f>
        <v>RP</v>
      </c>
      <c r="E925" s="52" t="str">
        <f>IF($C925="B",INDEX(Batters[[#All],[First]],MATCH(Table5[[#This Row],[PID]],Batters[[#All],[PID]],0)),INDEX(Table3[[#All],[First]],MATCH(Table5[[#This Row],[PID]],Table3[[#All],[PID]],0)))</f>
        <v>Gavin</v>
      </c>
      <c r="F925" s="50" t="str">
        <f>IF($C925="B",INDEX(Batters[[#All],[Last]],MATCH(A925,Batters[[#All],[PID]],0)),INDEX(Table3[[#All],[Last]],MATCH(A925,Table3[[#All],[PID]],0)))</f>
        <v>Lodder</v>
      </c>
      <c r="G925" s="56">
        <f>IF($C925="B",INDEX(Batters[[#All],[Age]],MATCH(Table5[[#This Row],[PID]],Batters[[#All],[PID]],0)),INDEX(Table3[[#All],[Age]],MATCH(Table5[[#This Row],[PID]],Table3[[#All],[PID]],0)))</f>
        <v>18</v>
      </c>
      <c r="H925" s="52" t="str">
        <f>IF($C925="B",INDEX(Batters[[#All],[B]],MATCH(Table5[[#This Row],[PID]],Batters[[#All],[PID]],0)),INDEX(Table3[[#All],[B]],MATCH(Table5[[#This Row],[PID]],Table3[[#All],[PID]],0)))</f>
        <v>R</v>
      </c>
      <c r="I925" s="52" t="str">
        <f>IF($C925="B",INDEX(Batters[[#All],[T]],MATCH(Table5[[#This Row],[PID]],Batters[[#All],[PID]],0)),INDEX(Table3[[#All],[T]],MATCH(Table5[[#This Row],[PID]],Table3[[#All],[PID]],0)))</f>
        <v>R</v>
      </c>
      <c r="J925" s="52" t="str">
        <f>IF($C925="B",INDEX(Batters[[#All],[WE]],MATCH(Table5[[#This Row],[PID]],Batters[[#All],[PID]],0)),INDEX(Table3[[#All],[WE]],MATCH(Table5[[#This Row],[PID]],Table3[[#All],[PID]],0)))</f>
        <v>High</v>
      </c>
      <c r="K925" s="52" t="str">
        <f>IF($C925="B",INDEX(Batters[[#All],[INT]],MATCH(Table5[[#This Row],[PID]],Batters[[#All],[PID]],0)),INDEX(Table3[[#All],[INT]],MATCH(Table5[[#This Row],[PID]],Table3[[#All],[PID]],0)))</f>
        <v>Normal</v>
      </c>
      <c r="L925" s="60">
        <f>IF($C925="B",INDEX(Batters[[#All],[CON P]],MATCH(Table5[[#This Row],[PID]],Batters[[#All],[PID]],0)),INDEX(Table3[[#All],[STU P]],MATCH(Table5[[#This Row],[PID]],Table3[[#All],[PID]],0)))</f>
        <v>4</v>
      </c>
      <c r="M925" s="56">
        <f>IF($C925="B",INDEX(Batters[[#All],[GAP P]],MATCH(Table5[[#This Row],[PID]],Batters[[#All],[PID]],0)),INDEX(Table3[[#All],[MOV P]],MATCH(Table5[[#This Row],[PID]],Table3[[#All],[PID]],0)))</f>
        <v>1</v>
      </c>
      <c r="N925" s="56">
        <f>IF($C925="B",INDEX(Batters[[#All],[POW P]],MATCH(Table5[[#This Row],[PID]],Batters[[#All],[PID]],0)),INDEX(Table3[[#All],[CON P]],MATCH(Table5[[#This Row],[PID]],Table3[[#All],[PID]],0)))</f>
        <v>3</v>
      </c>
      <c r="O925" s="56" t="str">
        <f>IF($C925="B",INDEX(Batters[[#All],[EYE P]],MATCH(Table5[[#This Row],[PID]],Batters[[#All],[PID]],0)),INDEX(Table3[[#All],[VELO]],MATCH(Table5[[#This Row],[PID]],Table3[[#All],[PID]],0)))</f>
        <v>88-90 Mph</v>
      </c>
      <c r="P925" s="56">
        <f>IF($C925="B",INDEX(Batters[[#All],[K P]],MATCH(Table5[[#This Row],[PID]],Batters[[#All],[PID]],0)),INDEX(Table3[[#All],[STM]],MATCH(Table5[[#This Row],[PID]],Table3[[#All],[PID]],0)))</f>
        <v>7</v>
      </c>
      <c r="Q925" s="61">
        <f>IF($C925="B",INDEX(Batters[[#All],[Tot]],MATCH(Table5[[#This Row],[PID]],Batters[[#All],[PID]],0)),INDEX(Table3[[#All],[Tot]],MATCH(Table5[[#This Row],[PID]],Table3[[#All],[PID]],0)))</f>
        <v>30.803153785412608</v>
      </c>
      <c r="R925" s="52">
        <f>IF($C925="B",INDEX(Batters[[#All],[zScore]],MATCH(Table5[[#This Row],[PID]],Batters[[#All],[PID]],0)),INDEX(Table3[[#All],[zScore]],MATCH(Table5[[#This Row],[PID]],Table3[[#All],[PID]],0)))</f>
        <v>-0.47954058139665889</v>
      </c>
      <c r="S925" s="58" t="str">
        <f>IF($C925="B",INDEX(Batters[[#All],[DEM]],MATCH(Table5[[#This Row],[PID]],Batters[[#All],[PID]],0)),INDEX(Table3[[#All],[DEM]],MATCH(Table5[[#This Row],[PID]],Table3[[#All],[PID]],0)))</f>
        <v>$130k</v>
      </c>
      <c r="T925" s="62">
        <f>IF($C925="B",INDEX(Batters[[#All],[Rnk]],MATCH(Table5[[#This Row],[PID]],Batters[[#All],[PID]],0)),INDEX(Table3[[#All],[Rnk]],MATCH(Table5[[#This Row],[PID]],Table3[[#All],[PID]],0)))</f>
        <v>511</v>
      </c>
      <c r="U925" s="68">
        <f>IF($C925="B",VLOOKUP($A925,Bat!$A$4:$BA$1621,47,FALSE),VLOOKUP($A925,Pit!$A$4:$BF$1557,56,FALSE))</f>
        <v>0</v>
      </c>
      <c r="V925" s="50">
        <f>IF($C925="B",VLOOKUP($A925,Bat!$A$4:$BA$1621,48,FALSE),VLOOKUP($A925,Pit!$A$4:$BF$1557,57,FALSE))</f>
        <v>0</v>
      </c>
      <c r="W925" s="50">
        <f>Table5[[#This Row],[posRnk]]+Table5[[#This Row],[zRnk]]+IF($W$3&lt;&gt;Table5[[#This Row],[Type]],50,0)</f>
        <v>1405</v>
      </c>
      <c r="X925" s="51">
        <f>RANK(Table5[[#This Row],[zScore]],Table5[[#All],[zScore]])</f>
        <v>844</v>
      </c>
      <c r="Y925" s="50" t="str">
        <f>IFERROR(INDEX(DraftResults[[#All],[OVR]],MATCH(Table5[[#This Row],[PID]],DraftResults[[#All],[Player ID]],0)),"")</f>
        <v/>
      </c>
      <c r="Z9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5" s="50" t="str">
        <f>IFERROR(INDEX(DraftResults[[#All],[Pick in Round]],MATCH(Table5[[#This Row],[PID]],DraftResults[[#All],[Player ID]],0)),"")</f>
        <v/>
      </c>
      <c r="AB925" s="50" t="str">
        <f>IFERROR(INDEX(DraftResults[[#All],[Team Name]],MATCH(Table5[[#This Row],[PID]],DraftResults[[#All],[Player ID]],0)),"")</f>
        <v/>
      </c>
      <c r="AC925" s="50" t="str">
        <f>IF(Table5[[#This Row],[Ovr]]="","",IF(Table5[[#This Row],[cmbList]]="","",Table5[[#This Row],[cmbList]]-Table5[[#This Row],[Ovr]]))</f>
        <v/>
      </c>
      <c r="AD925" s="54" t="str">
        <f>IF(ISERROR(VLOOKUP($AB925&amp;"-"&amp;$E925&amp;" "&amp;F925,Bonuses!$B$1:$G$1006,4,FALSE)),"",INT(VLOOKUP($AB925&amp;"-"&amp;$E925&amp;" "&amp;$F925,Bonuses!$B$1:$G$1006,4,FALSE)))</f>
        <v/>
      </c>
      <c r="AE9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6" spans="1:31" s="50" customFormat="1" x14ac:dyDescent="0.25">
      <c r="A926" s="50">
        <v>21030</v>
      </c>
      <c r="B926" s="50">
        <f>COUNTIF(Table5[PID],A926)</f>
        <v>1</v>
      </c>
      <c r="C926" s="50" t="str">
        <f>IF(COUNTIF(Table3[[#All],[PID]],A926)&gt;0,"P","B")</f>
        <v>P</v>
      </c>
      <c r="D926" s="59" t="str">
        <f>IF($C926="B",INDEX(Batters[[#All],[POS]],MATCH(Table5[[#This Row],[PID]],Batters[[#All],[PID]],0)),INDEX(Table3[[#All],[POS]],MATCH(Table5[[#This Row],[PID]],Table3[[#All],[PID]],0)))</f>
        <v>RP</v>
      </c>
      <c r="E926" s="52" t="str">
        <f>IF($C926="B",INDEX(Batters[[#All],[First]],MATCH(Table5[[#This Row],[PID]],Batters[[#All],[PID]],0)),INDEX(Table3[[#All],[First]],MATCH(Table5[[#This Row],[PID]],Table3[[#All],[PID]],0)))</f>
        <v>Jeff</v>
      </c>
      <c r="F926" s="50" t="str">
        <f>IF($C926="B",INDEX(Batters[[#All],[Last]],MATCH(A926,Batters[[#All],[PID]],0)),INDEX(Table3[[#All],[Last]],MATCH(A926,Table3[[#All],[PID]],0)))</f>
        <v>Irwin</v>
      </c>
      <c r="G926" s="56">
        <f>IF($C926="B",INDEX(Batters[[#All],[Age]],MATCH(Table5[[#This Row],[PID]],Batters[[#All],[PID]],0)),INDEX(Table3[[#All],[Age]],MATCH(Table5[[#This Row],[PID]],Table3[[#All],[PID]],0)))</f>
        <v>16</v>
      </c>
      <c r="H926" s="52" t="str">
        <f>IF($C926="B",INDEX(Batters[[#All],[B]],MATCH(Table5[[#This Row],[PID]],Batters[[#All],[PID]],0)),INDEX(Table3[[#All],[B]],MATCH(Table5[[#This Row],[PID]],Table3[[#All],[PID]],0)))</f>
        <v>L</v>
      </c>
      <c r="I926" s="52" t="str">
        <f>IF($C926="B",INDEX(Batters[[#All],[T]],MATCH(Table5[[#This Row],[PID]],Batters[[#All],[PID]],0)),INDEX(Table3[[#All],[T]],MATCH(Table5[[#This Row],[PID]],Table3[[#All],[PID]],0)))</f>
        <v>R</v>
      </c>
      <c r="J926" s="52" t="str">
        <f>IF($C926="B",INDEX(Batters[[#All],[WE]],MATCH(Table5[[#This Row],[PID]],Batters[[#All],[PID]],0)),INDEX(Table3[[#All],[WE]],MATCH(Table5[[#This Row],[PID]],Table3[[#All],[PID]],0)))</f>
        <v>Normal</v>
      </c>
      <c r="K926" s="52" t="str">
        <f>IF($C926="B",INDEX(Batters[[#All],[INT]],MATCH(Table5[[#This Row],[PID]],Batters[[#All],[PID]],0)),INDEX(Table3[[#All],[INT]],MATCH(Table5[[#This Row],[PID]],Table3[[#All],[PID]],0)))</f>
        <v>High</v>
      </c>
      <c r="L926" s="60">
        <f>IF($C926="B",INDEX(Batters[[#All],[CON P]],MATCH(Table5[[#This Row],[PID]],Batters[[#All],[PID]],0)),INDEX(Table3[[#All],[STU P]],MATCH(Table5[[#This Row],[PID]],Table3[[#All],[PID]],0)))</f>
        <v>4</v>
      </c>
      <c r="M926" s="56">
        <f>IF($C926="B",INDEX(Batters[[#All],[GAP P]],MATCH(Table5[[#This Row],[PID]],Batters[[#All],[PID]],0)),INDEX(Table3[[#All],[MOV P]],MATCH(Table5[[#This Row],[PID]],Table3[[#All],[PID]],0)))</f>
        <v>2</v>
      </c>
      <c r="N926" s="56">
        <f>IF($C926="B",INDEX(Batters[[#All],[POW P]],MATCH(Table5[[#This Row],[PID]],Batters[[#All],[PID]],0)),INDEX(Table3[[#All],[CON P]],MATCH(Table5[[#This Row],[PID]],Table3[[#All],[PID]],0)))</f>
        <v>2</v>
      </c>
      <c r="O926" s="56" t="str">
        <f>IF($C926="B",INDEX(Batters[[#All],[EYE P]],MATCH(Table5[[#This Row],[PID]],Batters[[#All],[PID]],0)),INDEX(Table3[[#All],[VELO]],MATCH(Table5[[#This Row],[PID]],Table3[[#All],[PID]],0)))</f>
        <v>88-90 Mph</v>
      </c>
      <c r="P926" s="56">
        <f>IF($C926="B",INDEX(Batters[[#All],[K P]],MATCH(Table5[[#This Row],[PID]],Batters[[#All],[PID]],0)),INDEX(Table3[[#All],[STM]],MATCH(Table5[[#This Row],[PID]],Table3[[#All],[PID]],0)))</f>
        <v>8</v>
      </c>
      <c r="Q926" s="61">
        <f>IF($C926="B",INDEX(Batters[[#All],[Tot]],MATCH(Table5[[#This Row],[PID]],Batters[[#All],[PID]],0)),INDEX(Table3[[#All],[Tot]],MATCH(Table5[[#This Row],[PID]],Table3[[#All],[PID]],0)))</f>
        <v>28.654463136217526</v>
      </c>
      <c r="R926" s="52">
        <f>IF($C926="B",INDEX(Batters[[#All],[zScore]],MATCH(Table5[[#This Row],[PID]],Batters[[#All],[PID]],0)),INDEX(Table3[[#All],[zScore]],MATCH(Table5[[#This Row],[PID]],Table3[[#All],[PID]],0)))</f>
        <v>-0.4800736382587642</v>
      </c>
      <c r="S926" s="58" t="str">
        <f>IF($C926="B",INDEX(Batters[[#All],[DEM]],MATCH(Table5[[#This Row],[PID]],Batters[[#All],[PID]],0)),INDEX(Table3[[#All],[DEM]],MATCH(Table5[[#This Row],[PID]],Table3[[#All],[PID]],0)))</f>
        <v>$38k</v>
      </c>
      <c r="T926" s="62">
        <f>IF($C926="B",INDEX(Batters[[#All],[Rnk]],MATCH(Table5[[#This Row],[PID]],Batters[[#All],[PID]],0)),INDEX(Table3[[#All],[Rnk]],MATCH(Table5[[#This Row],[PID]],Table3[[#All],[PID]],0)))</f>
        <v>512</v>
      </c>
      <c r="U926" s="68">
        <f>IF($C926="B",VLOOKUP($A926,Bat!$A$4:$BA$1621,47,FALSE),VLOOKUP($A926,Pit!$A$4:$BF$1557,56,FALSE))</f>
        <v>0</v>
      </c>
      <c r="V926" s="50">
        <f>IF($C926="B",VLOOKUP($A926,Bat!$A$4:$BA$1621,48,FALSE),VLOOKUP($A926,Pit!$A$4:$BF$1557,57,FALSE))</f>
        <v>0</v>
      </c>
      <c r="W926" s="50">
        <f>Table5[[#This Row],[posRnk]]+Table5[[#This Row],[zRnk]]+IF($W$3&lt;&gt;Table5[[#This Row],[Type]],50,0)</f>
        <v>1407</v>
      </c>
      <c r="X926" s="51">
        <f>RANK(Table5[[#This Row],[zScore]],Table5[[#All],[zScore]])</f>
        <v>845</v>
      </c>
      <c r="Y926" s="50" t="str">
        <f>IFERROR(INDEX(DraftResults[[#All],[OVR]],MATCH(Table5[[#This Row],[PID]],DraftResults[[#All],[Player ID]],0)),"")</f>
        <v/>
      </c>
      <c r="Z9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6" s="50" t="str">
        <f>IFERROR(INDEX(DraftResults[[#All],[Pick in Round]],MATCH(Table5[[#This Row],[PID]],DraftResults[[#All],[Player ID]],0)),"")</f>
        <v/>
      </c>
      <c r="AB926" s="50" t="str">
        <f>IFERROR(INDEX(DraftResults[[#All],[Team Name]],MATCH(Table5[[#This Row],[PID]],DraftResults[[#All],[Player ID]],0)),"")</f>
        <v/>
      </c>
      <c r="AC926" s="50" t="str">
        <f>IF(Table5[[#This Row],[Ovr]]="","",IF(Table5[[#This Row],[cmbList]]="","",Table5[[#This Row],[cmbList]]-Table5[[#This Row],[Ovr]]))</f>
        <v/>
      </c>
      <c r="AD926" s="54" t="str">
        <f>IF(ISERROR(VLOOKUP($AB926&amp;"-"&amp;$E926&amp;" "&amp;F926,Bonuses!$B$1:$G$1006,4,FALSE)),"",INT(VLOOKUP($AB926&amp;"-"&amp;$E926&amp;" "&amp;$F926,Bonuses!$B$1:$G$1006,4,FALSE)))</f>
        <v/>
      </c>
      <c r="AE9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7" spans="1:31" s="50" customFormat="1" x14ac:dyDescent="0.25">
      <c r="A927" s="68">
        <v>18018</v>
      </c>
      <c r="B927" s="69">
        <f>COUNTIF(Table5[PID],A927)</f>
        <v>1</v>
      </c>
      <c r="C927" s="69" t="str">
        <f>IF(COUNTIF(Table3[[#All],[PID]],A927)&gt;0,"P","B")</f>
        <v>P</v>
      </c>
      <c r="D927" s="59" t="str">
        <f>IF($C927="B",INDEX(Batters[[#All],[POS]],MATCH(Table5[[#This Row],[PID]],Batters[[#All],[PID]],0)),INDEX(Table3[[#All],[POS]],MATCH(Table5[[#This Row],[PID]],Table3[[#All],[PID]],0)))</f>
        <v>SP</v>
      </c>
      <c r="E927" s="52" t="str">
        <f>IF($C927="B",INDEX(Batters[[#All],[First]],MATCH(Table5[[#This Row],[PID]],Batters[[#All],[PID]],0)),INDEX(Table3[[#All],[First]],MATCH(Table5[[#This Row],[PID]],Table3[[#All],[PID]],0)))</f>
        <v>Tom</v>
      </c>
      <c r="F927" s="55" t="str">
        <f>IF($C927="B",INDEX(Batters[[#All],[Last]],MATCH(A927,Batters[[#All],[PID]],0)),INDEX(Table3[[#All],[Last]],MATCH(A927,Table3[[#All],[PID]],0)))</f>
        <v>Hickman</v>
      </c>
      <c r="G927" s="56">
        <f>IF($C927="B",INDEX(Batters[[#All],[Age]],MATCH(Table5[[#This Row],[PID]],Batters[[#All],[PID]],0)),INDEX(Table3[[#All],[Age]],MATCH(Table5[[#This Row],[PID]],Table3[[#All],[PID]],0)))</f>
        <v>21</v>
      </c>
      <c r="H927" s="52" t="str">
        <f>IF($C927="B",INDEX(Batters[[#All],[B]],MATCH(Table5[[#This Row],[PID]],Batters[[#All],[PID]],0)),INDEX(Table3[[#All],[B]],MATCH(Table5[[#This Row],[PID]],Table3[[#All],[PID]],0)))</f>
        <v>R</v>
      </c>
      <c r="I927" s="52" t="str">
        <f>IF($C927="B",INDEX(Batters[[#All],[T]],MATCH(Table5[[#This Row],[PID]],Batters[[#All],[PID]],0)),INDEX(Table3[[#All],[T]],MATCH(Table5[[#This Row],[PID]],Table3[[#All],[PID]],0)))</f>
        <v>R</v>
      </c>
      <c r="J927" s="71" t="str">
        <f>IF($C927="B",INDEX(Batters[[#All],[WE]],MATCH(Table5[[#This Row],[PID]],Batters[[#All],[PID]],0)),INDEX(Table3[[#All],[WE]],MATCH(Table5[[#This Row],[PID]],Table3[[#All],[PID]],0)))</f>
        <v>High</v>
      </c>
      <c r="K927" s="52" t="str">
        <f>IF($C927="B",INDEX(Batters[[#All],[INT]],MATCH(Table5[[#This Row],[PID]],Batters[[#All],[PID]],0)),INDEX(Table3[[#All],[INT]],MATCH(Table5[[#This Row],[PID]],Table3[[#All],[PID]],0)))</f>
        <v>Normal</v>
      </c>
      <c r="L927" s="60">
        <f>IF($C927="B",INDEX(Batters[[#All],[CON P]],MATCH(Table5[[#This Row],[PID]],Batters[[#All],[PID]],0)),INDEX(Table3[[#All],[STU P]],MATCH(Table5[[#This Row],[PID]],Table3[[#All],[PID]],0)))</f>
        <v>5</v>
      </c>
      <c r="M927" s="72">
        <f>IF($C927="B",INDEX(Batters[[#All],[GAP P]],MATCH(Table5[[#This Row],[PID]],Batters[[#All],[PID]],0)),INDEX(Table3[[#All],[MOV P]],MATCH(Table5[[#This Row],[PID]],Table3[[#All],[PID]],0)))</f>
        <v>2</v>
      </c>
      <c r="N927" s="72">
        <f>IF($C927="B",INDEX(Batters[[#All],[POW P]],MATCH(Table5[[#This Row],[PID]],Batters[[#All],[PID]],0)),INDEX(Table3[[#All],[CON P]],MATCH(Table5[[#This Row],[PID]],Table3[[#All],[PID]],0)))</f>
        <v>2</v>
      </c>
      <c r="O927" s="72" t="str">
        <f>IF($C927="B",INDEX(Batters[[#All],[EYE P]],MATCH(Table5[[#This Row],[PID]],Batters[[#All],[PID]],0)),INDEX(Table3[[#All],[VELO]],MATCH(Table5[[#This Row],[PID]],Table3[[#All],[PID]],0)))</f>
        <v>92-94 Mph</v>
      </c>
      <c r="P927" s="56">
        <f>IF($C927="B",INDEX(Batters[[#All],[K P]],MATCH(Table5[[#This Row],[PID]],Batters[[#All],[PID]],0)),INDEX(Table3[[#All],[STM]],MATCH(Table5[[#This Row],[PID]],Table3[[#All],[PID]],0)))</f>
        <v>7</v>
      </c>
      <c r="Q927" s="61">
        <f>IF($C927="B",INDEX(Batters[[#All],[Tot]],MATCH(Table5[[#This Row],[PID]],Batters[[#All],[PID]],0)),INDEX(Table3[[#All],[Tot]],MATCH(Table5[[#This Row],[PID]],Table3[[#All],[PID]],0)))</f>
        <v>30.773289626400992</v>
      </c>
      <c r="R927" s="52">
        <f>IF($C927="B",INDEX(Batters[[#All],[zScore]],MATCH(Table5[[#This Row],[PID]],Batters[[#All],[PID]],0)),INDEX(Table3[[#All],[zScore]],MATCH(Table5[[#This Row],[PID]],Table3[[#All],[PID]],0)))</f>
        <v>-0.48158626750206673</v>
      </c>
      <c r="S927" s="78" t="str">
        <f>IF($C927="B",INDEX(Batters[[#All],[DEM]],MATCH(Table5[[#This Row],[PID]],Batters[[#All],[PID]],0)),INDEX(Table3[[#All],[DEM]],MATCH(Table5[[#This Row],[PID]],Table3[[#All],[PID]],0)))</f>
        <v>-</v>
      </c>
      <c r="T927" s="75">
        <f>IF($C927="B",INDEX(Batters[[#All],[Rnk]],MATCH(Table5[[#This Row],[PID]],Batters[[#All],[PID]],0)),INDEX(Table3[[#All],[Rnk]],MATCH(Table5[[#This Row],[PID]],Table3[[#All],[PID]],0)))</f>
        <v>513</v>
      </c>
      <c r="U927" s="68">
        <f>IF($C927="B",VLOOKUP($A927,Bat!$A$4:$BA$1621,47,FALSE),VLOOKUP($A927,Pit!$A$4:$BF$1557,56,FALSE))</f>
        <v>0</v>
      </c>
      <c r="V927" s="50">
        <f>IF($C927="B",VLOOKUP($A927,Bat!$A$4:$BA$1621,48,FALSE),VLOOKUP($A927,Pit!$A$4:$BF$1557,57,FALSE))</f>
        <v>0</v>
      </c>
      <c r="W927" s="69">
        <f>Table5[[#This Row],[posRnk]]+Table5[[#This Row],[zRnk]]+IF($W$3&lt;&gt;Table5[[#This Row],[Type]],50,0)</f>
        <v>1409</v>
      </c>
      <c r="X927" s="73">
        <f>RANK(Table5[[#This Row],[zScore]],Table5[[#All],[zScore]])</f>
        <v>846</v>
      </c>
      <c r="Y927" s="69" t="str">
        <f>IFERROR(INDEX(DraftResults[[#All],[OVR]],MATCH(Table5[[#This Row],[PID]],DraftResults[[#All],[Player ID]],0)),"")</f>
        <v/>
      </c>
      <c r="Z92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7" s="69" t="str">
        <f>IFERROR(INDEX(DraftResults[[#All],[Pick in Round]],MATCH(Table5[[#This Row],[PID]],DraftResults[[#All],[Player ID]],0)),"")</f>
        <v/>
      </c>
      <c r="AB927" s="69" t="str">
        <f>IFERROR(INDEX(DraftResults[[#All],[Team Name]],MATCH(Table5[[#This Row],[PID]],DraftResults[[#All],[Player ID]],0)),"")</f>
        <v/>
      </c>
      <c r="AC927" s="69" t="str">
        <f>IF(Table5[[#This Row],[Ovr]]="","",IF(Table5[[#This Row],[cmbList]]="","",Table5[[#This Row],[cmbList]]-Table5[[#This Row],[Ovr]]))</f>
        <v/>
      </c>
      <c r="AD927" s="77" t="str">
        <f>IF(ISERROR(VLOOKUP($AB927&amp;"-"&amp;$E927&amp;" "&amp;F927,Bonuses!$B$1:$G$1006,4,FALSE)),"",INT(VLOOKUP($AB927&amp;"-"&amp;$E927&amp;" "&amp;$F927,Bonuses!$B$1:$G$1006,4,FALSE)))</f>
        <v/>
      </c>
      <c r="AE92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8" spans="1:31" s="50" customFormat="1" x14ac:dyDescent="0.25">
      <c r="A928" s="50">
        <v>18366</v>
      </c>
      <c r="B928" s="50">
        <f>COUNTIF(Table5[PID],A928)</f>
        <v>1</v>
      </c>
      <c r="C928" s="50" t="str">
        <f>IF(COUNTIF(Table3[[#All],[PID]],A928)&gt;0,"P","B")</f>
        <v>B</v>
      </c>
      <c r="D928" s="59" t="str">
        <f>IF($C928="B",INDEX(Batters[[#All],[POS]],MATCH(Table5[[#This Row],[PID]],Batters[[#All],[PID]],0)),INDEX(Table3[[#All],[POS]],MATCH(Table5[[#This Row],[PID]],Table3[[#All],[PID]],0)))</f>
        <v>C</v>
      </c>
      <c r="E928" s="52" t="str">
        <f>IF($C928="B",INDEX(Batters[[#All],[First]],MATCH(Table5[[#This Row],[PID]],Batters[[#All],[PID]],0)),INDEX(Table3[[#All],[First]],MATCH(Table5[[#This Row],[PID]],Table3[[#All],[PID]],0)))</f>
        <v>Pedro</v>
      </c>
      <c r="F928" s="50" t="str">
        <f>IF($C928="B",INDEX(Batters[[#All],[Last]],MATCH(A928,Batters[[#All],[PID]],0)),INDEX(Table3[[#All],[Last]],MATCH(A928,Table3[[#All],[PID]],0)))</f>
        <v>Sánchez</v>
      </c>
      <c r="G928" s="56">
        <f>IF($C928="B",INDEX(Batters[[#All],[Age]],MATCH(Table5[[#This Row],[PID]],Batters[[#All],[PID]],0)),INDEX(Table3[[#All],[Age]],MATCH(Table5[[#This Row],[PID]],Table3[[#All],[PID]],0)))</f>
        <v>18</v>
      </c>
      <c r="H928" s="52" t="str">
        <f>IF($C928="B",INDEX(Batters[[#All],[B]],MATCH(Table5[[#This Row],[PID]],Batters[[#All],[PID]],0)),INDEX(Table3[[#All],[B]],MATCH(Table5[[#This Row],[PID]],Table3[[#All],[PID]],0)))</f>
        <v>R</v>
      </c>
      <c r="I928" s="52" t="str">
        <f>IF($C928="B",INDEX(Batters[[#All],[T]],MATCH(Table5[[#This Row],[PID]],Batters[[#All],[PID]],0)),INDEX(Table3[[#All],[T]],MATCH(Table5[[#This Row],[PID]],Table3[[#All],[PID]],0)))</f>
        <v>R</v>
      </c>
      <c r="J928" s="52" t="str">
        <f>IF($C928="B",INDEX(Batters[[#All],[WE]],MATCH(Table5[[#This Row],[PID]],Batters[[#All],[PID]],0)),INDEX(Table3[[#All],[WE]],MATCH(Table5[[#This Row],[PID]],Table3[[#All],[PID]],0)))</f>
        <v>Low</v>
      </c>
      <c r="K928" s="52" t="str">
        <f>IF($C928="B",INDEX(Batters[[#All],[INT]],MATCH(Table5[[#This Row],[PID]],Batters[[#All],[PID]],0)),INDEX(Table3[[#All],[INT]],MATCH(Table5[[#This Row],[PID]],Table3[[#All],[PID]],0)))</f>
        <v>Normal</v>
      </c>
      <c r="L928" s="60">
        <f>IF($C928="B",INDEX(Batters[[#All],[CON P]],MATCH(Table5[[#This Row],[PID]],Batters[[#All],[PID]],0)),INDEX(Table3[[#All],[STU P]],MATCH(Table5[[#This Row],[PID]],Table3[[#All],[PID]],0)))</f>
        <v>3</v>
      </c>
      <c r="M928" s="56">
        <f>IF($C928="B",INDEX(Batters[[#All],[GAP P]],MATCH(Table5[[#This Row],[PID]],Batters[[#All],[PID]],0)),INDEX(Table3[[#All],[MOV P]],MATCH(Table5[[#This Row],[PID]],Table3[[#All],[PID]],0)))</f>
        <v>5</v>
      </c>
      <c r="N928" s="56">
        <f>IF($C928="B",INDEX(Batters[[#All],[POW P]],MATCH(Table5[[#This Row],[PID]],Batters[[#All],[PID]],0)),INDEX(Table3[[#All],[CON P]],MATCH(Table5[[#This Row],[PID]],Table3[[#All],[PID]],0)))</f>
        <v>3</v>
      </c>
      <c r="O928" s="56">
        <f>IF($C928="B",INDEX(Batters[[#All],[EYE P]],MATCH(Table5[[#This Row],[PID]],Batters[[#All],[PID]],0)),INDEX(Table3[[#All],[VELO]],MATCH(Table5[[#This Row],[PID]],Table3[[#All],[PID]],0)))</f>
        <v>5</v>
      </c>
      <c r="P928" s="56">
        <f>IF($C928="B",INDEX(Batters[[#All],[K P]],MATCH(Table5[[#This Row],[PID]],Batters[[#All],[PID]],0)),INDEX(Table3[[#All],[STM]],MATCH(Table5[[#This Row],[PID]],Table3[[#All],[PID]],0)))</f>
        <v>3</v>
      </c>
      <c r="Q928" s="61">
        <f>IF($C928="B",INDEX(Batters[[#All],[Tot]],MATCH(Table5[[#This Row],[PID]],Batters[[#All],[PID]],0)),INDEX(Table3[[#All],[Tot]],MATCH(Table5[[#This Row],[PID]],Table3[[#All],[PID]],0)))</f>
        <v>41.953969262657083</v>
      </c>
      <c r="R928" s="52">
        <f>IF($C928="B",INDEX(Batters[[#All],[zScore]],MATCH(Table5[[#This Row],[PID]],Batters[[#All],[PID]],0)),INDEX(Table3[[#All],[zScore]],MATCH(Table5[[#This Row],[PID]],Table3[[#All],[PID]],0)))</f>
        <v>-0.48287077246918347</v>
      </c>
      <c r="S928" s="58" t="str">
        <f>IF($C928="B",INDEX(Batters[[#All],[DEM]],MATCH(Table5[[#This Row],[PID]],Batters[[#All],[PID]],0)),INDEX(Table3[[#All],[DEM]],MATCH(Table5[[#This Row],[PID]],Table3[[#All],[PID]],0)))</f>
        <v>$65k</v>
      </c>
      <c r="T928" s="62">
        <f>IF($C928="B",INDEX(Batters[[#All],[Rnk]],MATCH(Table5[[#This Row],[PID]],Batters[[#All],[PID]],0)),INDEX(Table3[[#All],[Rnk]],MATCH(Table5[[#This Row],[PID]],Table3[[#All],[PID]],0)))</f>
        <v>334</v>
      </c>
      <c r="U928" s="68">
        <f>IF($C928="B",VLOOKUP($A928,Bat!$A$4:$BA$1621,47,FALSE),VLOOKUP($A928,Pit!$A$4:$BF$1557,56,FALSE))</f>
        <v>0</v>
      </c>
      <c r="V928" s="50">
        <f>IF($C928="B",VLOOKUP($A928,Bat!$A$4:$BA$1621,48,FALSE),VLOOKUP($A928,Pit!$A$4:$BF$1557,57,FALSE))</f>
        <v>0</v>
      </c>
      <c r="W928" s="50">
        <f>Table5[[#This Row],[posRnk]]+Table5[[#This Row],[zRnk]]+IF($W$3&lt;&gt;Table5[[#This Row],[Type]],50,0)</f>
        <v>1231</v>
      </c>
      <c r="X928" s="51">
        <f>RANK(Table5[[#This Row],[zScore]],Table5[[#All],[zScore]])</f>
        <v>847</v>
      </c>
      <c r="Y928" s="50" t="str">
        <f>IFERROR(INDEX(DraftResults[[#All],[OVR]],MATCH(Table5[[#This Row],[PID]],DraftResults[[#All],[Player ID]],0)),"")</f>
        <v/>
      </c>
      <c r="Z9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8" s="50" t="str">
        <f>IFERROR(INDEX(DraftResults[[#All],[Pick in Round]],MATCH(Table5[[#This Row],[PID]],DraftResults[[#All],[Player ID]],0)),"")</f>
        <v/>
      </c>
      <c r="AB928" s="50" t="str">
        <f>IFERROR(INDEX(DraftResults[[#All],[Team Name]],MATCH(Table5[[#This Row],[PID]],DraftResults[[#All],[Player ID]],0)),"")</f>
        <v/>
      </c>
      <c r="AC928" s="50" t="str">
        <f>IF(Table5[[#This Row],[Ovr]]="","",IF(Table5[[#This Row],[cmbList]]="","",Table5[[#This Row],[cmbList]]-Table5[[#This Row],[Ovr]]))</f>
        <v/>
      </c>
      <c r="AD928" s="54" t="str">
        <f>IF(ISERROR(VLOOKUP($AB928&amp;"-"&amp;$E928&amp;" "&amp;F928,Bonuses!$B$1:$G$1006,4,FALSE)),"",INT(VLOOKUP($AB928&amp;"-"&amp;$E928&amp;" "&amp;$F928,Bonuses!$B$1:$G$1006,4,FALSE)))</f>
        <v/>
      </c>
      <c r="AE9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29" spans="1:31" s="50" customFormat="1" x14ac:dyDescent="0.25">
      <c r="A929" s="50">
        <v>17560</v>
      </c>
      <c r="B929" s="50">
        <f>COUNTIF(Table5[PID],A929)</f>
        <v>1</v>
      </c>
      <c r="C929" s="50" t="str">
        <f>IF(COUNTIF(Table3[[#All],[PID]],A929)&gt;0,"P","B")</f>
        <v>P</v>
      </c>
      <c r="D929" s="59" t="str">
        <f>IF($C929="B",INDEX(Batters[[#All],[POS]],MATCH(Table5[[#This Row],[PID]],Batters[[#All],[PID]],0)),INDEX(Table3[[#All],[POS]],MATCH(Table5[[#This Row],[PID]],Table3[[#All],[PID]],0)))</f>
        <v>RP</v>
      </c>
      <c r="E929" s="52" t="str">
        <f>IF($C929="B",INDEX(Batters[[#All],[First]],MATCH(Table5[[#This Row],[PID]],Batters[[#All],[PID]],0)),INDEX(Table3[[#All],[First]],MATCH(Table5[[#This Row],[PID]],Table3[[#All],[PID]],0)))</f>
        <v>Miguel</v>
      </c>
      <c r="F929" s="50" t="str">
        <f>IF($C929="B",INDEX(Batters[[#All],[Last]],MATCH(A929,Batters[[#All],[PID]],0)),INDEX(Table3[[#All],[Last]],MATCH(A929,Table3[[#All],[PID]],0)))</f>
        <v>García</v>
      </c>
      <c r="G929" s="56">
        <f>IF($C929="B",INDEX(Batters[[#All],[Age]],MATCH(Table5[[#This Row],[PID]],Batters[[#All],[PID]],0)),INDEX(Table3[[#All],[Age]],MATCH(Table5[[#This Row],[PID]],Table3[[#All],[PID]],0)))</f>
        <v>18</v>
      </c>
      <c r="H929" s="52" t="str">
        <f>IF($C929="B",INDEX(Batters[[#All],[B]],MATCH(Table5[[#This Row],[PID]],Batters[[#All],[PID]],0)),INDEX(Table3[[#All],[B]],MATCH(Table5[[#This Row],[PID]],Table3[[#All],[PID]],0)))</f>
        <v>R</v>
      </c>
      <c r="I929" s="52" t="str">
        <f>IF($C929="B",INDEX(Batters[[#All],[T]],MATCH(Table5[[#This Row],[PID]],Batters[[#All],[PID]],0)),INDEX(Table3[[#All],[T]],MATCH(Table5[[#This Row],[PID]],Table3[[#All],[PID]],0)))</f>
        <v>R</v>
      </c>
      <c r="J929" s="52" t="str">
        <f>IF($C929="B",INDEX(Batters[[#All],[WE]],MATCH(Table5[[#This Row],[PID]],Batters[[#All],[PID]],0)),INDEX(Table3[[#All],[WE]],MATCH(Table5[[#This Row],[PID]],Table3[[#All],[PID]],0)))</f>
        <v>Normal</v>
      </c>
      <c r="K929" s="52" t="str">
        <f>IF($C929="B",INDEX(Batters[[#All],[INT]],MATCH(Table5[[#This Row],[PID]],Batters[[#All],[PID]],0)),INDEX(Table3[[#All],[INT]],MATCH(Table5[[#This Row],[PID]],Table3[[#All],[PID]],0)))</f>
        <v>Normal</v>
      </c>
      <c r="L929" s="60">
        <f>IF($C929="B",INDEX(Batters[[#All],[CON P]],MATCH(Table5[[#This Row],[PID]],Batters[[#All],[PID]],0)),INDEX(Table3[[#All],[STU P]],MATCH(Table5[[#This Row],[PID]],Table3[[#All],[PID]],0)))</f>
        <v>3</v>
      </c>
      <c r="M929" s="56">
        <f>IF($C929="B",INDEX(Batters[[#All],[GAP P]],MATCH(Table5[[#This Row],[PID]],Batters[[#All],[PID]],0)),INDEX(Table3[[#All],[MOV P]],MATCH(Table5[[#This Row],[PID]],Table3[[#All],[PID]],0)))</f>
        <v>1</v>
      </c>
      <c r="N929" s="56">
        <f>IF($C929="B",INDEX(Batters[[#All],[POW P]],MATCH(Table5[[#This Row],[PID]],Batters[[#All],[PID]],0)),INDEX(Table3[[#All],[CON P]],MATCH(Table5[[#This Row],[PID]],Table3[[#All],[PID]],0)))</f>
        <v>3</v>
      </c>
      <c r="O929" s="56" t="str">
        <f>IF($C929="B",INDEX(Batters[[#All],[EYE P]],MATCH(Table5[[#This Row],[PID]],Batters[[#All],[PID]],0)),INDEX(Table3[[#All],[VELO]],MATCH(Table5[[#This Row],[PID]],Table3[[#All],[PID]],0)))</f>
        <v>84-86 Mph</v>
      </c>
      <c r="P929" s="56">
        <f>IF($C929="B",INDEX(Batters[[#All],[K P]],MATCH(Table5[[#This Row],[PID]],Batters[[#All],[PID]],0)),INDEX(Table3[[#All],[STM]],MATCH(Table5[[#This Row],[PID]],Table3[[#All],[PID]],0)))</f>
        <v>6</v>
      </c>
      <c r="Q929" s="61">
        <f>IF($C929="B",INDEX(Batters[[#All],[Tot]],MATCH(Table5[[#This Row],[PID]],Batters[[#All],[PID]],0)),INDEX(Table3[[#All],[Tot]],MATCH(Table5[[#This Row],[PID]],Table3[[#All],[PID]],0)))</f>
        <v>28.588641374112214</v>
      </c>
      <c r="R929" s="52">
        <f>IF($C929="B",INDEX(Batters[[#All],[zScore]],MATCH(Table5[[#This Row],[PID]],Batters[[#All],[PID]],0)),INDEX(Table3[[#All],[zScore]],MATCH(Table5[[#This Row],[PID]],Table3[[#All],[PID]],0)))</f>
        <v>-0.48445265950881394</v>
      </c>
      <c r="S929" s="58" t="str">
        <f>IF($C929="B",INDEX(Batters[[#All],[DEM]],MATCH(Table5[[#This Row],[PID]],Batters[[#All],[PID]],0)),INDEX(Table3[[#All],[DEM]],MATCH(Table5[[#This Row],[PID]],Table3[[#All],[PID]],0)))</f>
        <v>$65k</v>
      </c>
      <c r="T929" s="62">
        <f>IF($C929="B",INDEX(Batters[[#All],[Rnk]],MATCH(Table5[[#This Row],[PID]],Batters[[#All],[PID]],0)),INDEX(Table3[[#All],[Rnk]],MATCH(Table5[[#This Row],[PID]],Table3[[#All],[PID]],0)))</f>
        <v>514</v>
      </c>
      <c r="U929" s="68">
        <f>IF($C929="B",VLOOKUP($A929,Bat!$A$4:$BA$1621,47,FALSE),VLOOKUP($A929,Pit!$A$4:$BF$1557,56,FALSE))</f>
        <v>0</v>
      </c>
      <c r="V929" s="50">
        <f>IF($C929="B",VLOOKUP($A929,Bat!$A$4:$BA$1621,48,FALSE),VLOOKUP($A929,Pit!$A$4:$BF$1557,57,FALSE))</f>
        <v>0</v>
      </c>
      <c r="W929" s="50">
        <f>Table5[[#This Row],[posRnk]]+Table5[[#This Row],[zRnk]]+IF($W$3&lt;&gt;Table5[[#This Row],[Type]],50,0)</f>
        <v>1412</v>
      </c>
      <c r="X929" s="51">
        <f>RANK(Table5[[#This Row],[zScore]],Table5[[#All],[zScore]])</f>
        <v>848</v>
      </c>
      <c r="Y929" s="50" t="str">
        <f>IFERROR(INDEX(DraftResults[[#All],[OVR]],MATCH(Table5[[#This Row],[PID]],DraftResults[[#All],[Player ID]],0)),"")</f>
        <v/>
      </c>
      <c r="Z9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29" s="50" t="str">
        <f>IFERROR(INDEX(DraftResults[[#All],[Pick in Round]],MATCH(Table5[[#This Row],[PID]],DraftResults[[#All],[Player ID]],0)),"")</f>
        <v/>
      </c>
      <c r="AB929" s="50" t="str">
        <f>IFERROR(INDEX(DraftResults[[#All],[Team Name]],MATCH(Table5[[#This Row],[PID]],DraftResults[[#All],[Player ID]],0)),"")</f>
        <v/>
      </c>
      <c r="AC929" s="50" t="str">
        <f>IF(Table5[[#This Row],[Ovr]]="","",IF(Table5[[#This Row],[cmbList]]="","",Table5[[#This Row],[cmbList]]-Table5[[#This Row],[Ovr]]))</f>
        <v/>
      </c>
      <c r="AD929" s="54" t="str">
        <f>IF(ISERROR(VLOOKUP($AB929&amp;"-"&amp;$E929&amp;" "&amp;F929,Bonuses!$B$1:$G$1006,4,FALSE)),"",INT(VLOOKUP($AB929&amp;"-"&amp;$E929&amp;" "&amp;$F929,Bonuses!$B$1:$G$1006,4,FALSE)))</f>
        <v/>
      </c>
      <c r="AE9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0" spans="1:31" s="50" customFormat="1" x14ac:dyDescent="0.25">
      <c r="A930" s="50">
        <v>20510</v>
      </c>
      <c r="B930" s="50">
        <f>COUNTIF(Table5[PID],A930)</f>
        <v>1</v>
      </c>
      <c r="C930" s="50" t="str">
        <f>IF(COUNTIF(Table3[[#All],[PID]],A930)&gt;0,"P","B")</f>
        <v>P</v>
      </c>
      <c r="D930" s="59" t="str">
        <f>IF($C930="B",INDEX(Batters[[#All],[POS]],MATCH(Table5[[#This Row],[PID]],Batters[[#All],[PID]],0)),INDEX(Table3[[#All],[POS]],MATCH(Table5[[#This Row],[PID]],Table3[[#All],[PID]],0)))</f>
        <v>RP</v>
      </c>
      <c r="E930" s="52" t="str">
        <f>IF($C930="B",INDEX(Batters[[#All],[First]],MATCH(Table5[[#This Row],[PID]],Batters[[#All],[PID]],0)),INDEX(Table3[[#All],[First]],MATCH(Table5[[#This Row],[PID]],Table3[[#All],[PID]],0)))</f>
        <v>Ysmael</v>
      </c>
      <c r="F930" s="50" t="str">
        <f>IF($C930="B",INDEX(Batters[[#All],[Last]],MATCH(A930,Batters[[#All],[PID]],0)),INDEX(Table3[[#All],[Last]],MATCH(A930,Table3[[#All],[PID]],0)))</f>
        <v>Maligmat</v>
      </c>
      <c r="G930" s="56">
        <f>IF($C930="B",INDEX(Batters[[#All],[Age]],MATCH(Table5[[#This Row],[PID]],Batters[[#All],[PID]],0)),INDEX(Table3[[#All],[Age]],MATCH(Table5[[#This Row],[PID]],Table3[[#All],[PID]],0)))</f>
        <v>17</v>
      </c>
      <c r="H930" s="52" t="str">
        <f>IF($C930="B",INDEX(Batters[[#All],[B]],MATCH(Table5[[#This Row],[PID]],Batters[[#All],[PID]],0)),INDEX(Table3[[#All],[B]],MATCH(Table5[[#This Row],[PID]],Table3[[#All],[PID]],0)))</f>
        <v>L</v>
      </c>
      <c r="I930" s="52" t="str">
        <f>IF($C930="B",INDEX(Batters[[#All],[T]],MATCH(Table5[[#This Row],[PID]],Batters[[#All],[PID]],0)),INDEX(Table3[[#All],[T]],MATCH(Table5[[#This Row],[PID]],Table3[[#All],[PID]],0)))</f>
        <v>L</v>
      </c>
      <c r="J930" s="52" t="str">
        <f>IF($C930="B",INDEX(Batters[[#All],[WE]],MATCH(Table5[[#This Row],[PID]],Batters[[#All],[PID]],0)),INDEX(Table3[[#All],[WE]],MATCH(Table5[[#This Row],[PID]],Table3[[#All],[PID]],0)))</f>
        <v>Low</v>
      </c>
      <c r="K930" s="52" t="str">
        <f>IF($C930="B",INDEX(Batters[[#All],[INT]],MATCH(Table5[[#This Row],[PID]],Batters[[#All],[PID]],0)),INDEX(Table3[[#All],[INT]],MATCH(Table5[[#This Row],[PID]],Table3[[#All],[PID]],0)))</f>
        <v>Normal</v>
      </c>
      <c r="L930" s="60">
        <f>IF($C930="B",INDEX(Batters[[#All],[CON P]],MATCH(Table5[[#This Row],[PID]],Batters[[#All],[PID]],0)),INDEX(Table3[[#All],[STU P]],MATCH(Table5[[#This Row],[PID]],Table3[[#All],[PID]],0)))</f>
        <v>3</v>
      </c>
      <c r="M930" s="56">
        <f>IF($C930="B",INDEX(Batters[[#All],[GAP P]],MATCH(Table5[[#This Row],[PID]],Batters[[#All],[PID]],0)),INDEX(Table3[[#All],[MOV P]],MATCH(Table5[[#This Row],[PID]],Table3[[#All],[PID]],0)))</f>
        <v>2</v>
      </c>
      <c r="N930" s="56">
        <f>IF($C930="B",INDEX(Batters[[#All],[POW P]],MATCH(Table5[[#This Row],[PID]],Batters[[#All],[PID]],0)),INDEX(Table3[[#All],[CON P]],MATCH(Table5[[#This Row],[PID]],Table3[[#All],[PID]],0)))</f>
        <v>4</v>
      </c>
      <c r="O930" s="56" t="str">
        <f>IF($C930="B",INDEX(Batters[[#All],[EYE P]],MATCH(Table5[[#This Row],[PID]],Batters[[#All],[PID]],0)),INDEX(Table3[[#All],[VELO]],MATCH(Table5[[#This Row],[PID]],Table3[[#All],[PID]],0)))</f>
        <v>84-86 Mph</v>
      </c>
      <c r="P930" s="56">
        <f>IF($C930="B",INDEX(Batters[[#All],[K P]],MATCH(Table5[[#This Row],[PID]],Batters[[#All],[PID]],0)),INDEX(Table3[[#All],[STM]],MATCH(Table5[[#This Row],[PID]],Table3[[#All],[PID]],0)))</f>
        <v>5</v>
      </c>
      <c r="Q930" s="61">
        <f>IF($C930="B",INDEX(Batters[[#All],[Tot]],MATCH(Table5[[#This Row],[PID]],Batters[[#All],[PID]],0)),INDEX(Table3[[#All],[Tot]],MATCH(Table5[[#This Row],[PID]],Table3[[#All],[PID]],0)))</f>
        <v>28.566742197942794</v>
      </c>
      <c r="R930" s="52">
        <f>IF($C930="B",INDEX(Batters[[#All],[zScore]],MATCH(Table5[[#This Row],[PID]],Batters[[#All],[PID]],0)),INDEX(Table3[[#All],[zScore]],MATCH(Table5[[#This Row],[PID]],Table3[[#All],[PID]],0)))</f>
        <v>-0.48590957823504066</v>
      </c>
      <c r="S930" s="58" t="str">
        <f>IF($C930="B",INDEX(Batters[[#All],[DEM]],MATCH(Table5[[#This Row],[PID]],Batters[[#All],[PID]],0)),INDEX(Table3[[#All],[DEM]],MATCH(Table5[[#This Row],[PID]],Table3[[#All],[PID]],0)))</f>
        <v>$65k</v>
      </c>
      <c r="T930" s="62">
        <f>IF($C930="B",INDEX(Batters[[#All],[Rnk]],MATCH(Table5[[#This Row],[PID]],Batters[[#All],[PID]],0)),INDEX(Table3[[#All],[Rnk]],MATCH(Table5[[#This Row],[PID]],Table3[[#All],[PID]],0)))</f>
        <v>515</v>
      </c>
      <c r="U930" s="68">
        <f>IF($C930="B",VLOOKUP($A930,Bat!$A$4:$BA$1621,47,FALSE),VLOOKUP($A930,Pit!$A$4:$BF$1557,56,FALSE))</f>
        <v>0</v>
      </c>
      <c r="V930" s="50">
        <f>IF($C930="B",VLOOKUP($A930,Bat!$A$4:$BA$1621,48,FALSE),VLOOKUP($A930,Pit!$A$4:$BF$1557,57,FALSE))</f>
        <v>0</v>
      </c>
      <c r="W930" s="50">
        <f>Table5[[#This Row],[posRnk]]+Table5[[#This Row],[zRnk]]+IF($W$3&lt;&gt;Table5[[#This Row],[Type]],50,0)</f>
        <v>1414</v>
      </c>
      <c r="X930" s="51">
        <f>RANK(Table5[[#This Row],[zScore]],Table5[[#All],[zScore]])</f>
        <v>849</v>
      </c>
      <c r="Y930" s="50" t="str">
        <f>IFERROR(INDEX(DraftResults[[#All],[OVR]],MATCH(Table5[[#This Row],[PID]],DraftResults[[#All],[Player ID]],0)),"")</f>
        <v/>
      </c>
      <c r="Z9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0" s="50" t="str">
        <f>IFERROR(INDEX(DraftResults[[#All],[Pick in Round]],MATCH(Table5[[#This Row],[PID]],DraftResults[[#All],[Player ID]],0)),"")</f>
        <v/>
      </c>
      <c r="AB930" s="50" t="str">
        <f>IFERROR(INDEX(DraftResults[[#All],[Team Name]],MATCH(Table5[[#This Row],[PID]],DraftResults[[#All],[Player ID]],0)),"")</f>
        <v/>
      </c>
      <c r="AC930" s="50" t="str">
        <f>IF(Table5[[#This Row],[Ovr]]="","",IF(Table5[[#This Row],[cmbList]]="","",Table5[[#This Row],[cmbList]]-Table5[[#This Row],[Ovr]]))</f>
        <v/>
      </c>
      <c r="AD930" s="54" t="str">
        <f>IF(ISERROR(VLOOKUP($AB930&amp;"-"&amp;$E930&amp;" "&amp;F930,Bonuses!$B$1:$G$1006,4,FALSE)),"",INT(VLOOKUP($AB930&amp;"-"&amp;$E930&amp;" "&amp;$F930,Bonuses!$B$1:$G$1006,4,FALSE)))</f>
        <v/>
      </c>
      <c r="AE9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1" spans="1:31" s="50" customFormat="1" x14ac:dyDescent="0.25">
      <c r="A931" s="50">
        <v>17983</v>
      </c>
      <c r="B931" s="50">
        <f>COUNTIF(Table5[PID],A931)</f>
        <v>1</v>
      </c>
      <c r="C931" s="50" t="str">
        <f>IF(COUNTIF(Table3[[#All],[PID]],A931)&gt;0,"P","B")</f>
        <v>P</v>
      </c>
      <c r="D931" s="59" t="str">
        <f>IF($C931="B",INDEX(Batters[[#All],[POS]],MATCH(Table5[[#This Row],[PID]],Batters[[#All],[PID]],0)),INDEX(Table3[[#All],[POS]],MATCH(Table5[[#This Row],[PID]],Table3[[#All],[PID]],0)))</f>
        <v>RP</v>
      </c>
      <c r="E931" s="52" t="str">
        <f>IF($C931="B",INDEX(Batters[[#All],[First]],MATCH(Table5[[#This Row],[PID]],Batters[[#All],[PID]],0)),INDEX(Table3[[#All],[First]],MATCH(Table5[[#This Row],[PID]],Table3[[#All],[PID]],0)))</f>
        <v>Chris</v>
      </c>
      <c r="F931" s="50" t="str">
        <f>IF($C931="B",INDEX(Batters[[#All],[Last]],MATCH(A931,Batters[[#All],[PID]],0)),INDEX(Table3[[#All],[Last]],MATCH(A931,Table3[[#All],[PID]],0)))</f>
        <v>McDonald</v>
      </c>
      <c r="G931" s="56">
        <f>IF($C931="B",INDEX(Batters[[#All],[Age]],MATCH(Table5[[#This Row],[PID]],Batters[[#All],[PID]],0)),INDEX(Table3[[#All],[Age]],MATCH(Table5[[#This Row],[PID]],Table3[[#All],[PID]],0)))</f>
        <v>21</v>
      </c>
      <c r="H931" s="52" t="str">
        <f>IF($C931="B",INDEX(Batters[[#All],[B]],MATCH(Table5[[#This Row],[PID]],Batters[[#All],[PID]],0)),INDEX(Table3[[#All],[B]],MATCH(Table5[[#This Row],[PID]],Table3[[#All],[PID]],0)))</f>
        <v>R</v>
      </c>
      <c r="I931" s="52" t="str">
        <f>IF($C931="B",INDEX(Batters[[#All],[T]],MATCH(Table5[[#This Row],[PID]],Batters[[#All],[PID]],0)),INDEX(Table3[[#All],[T]],MATCH(Table5[[#This Row],[PID]],Table3[[#All],[PID]],0)))</f>
        <v>R</v>
      </c>
      <c r="J931" s="52" t="str">
        <f>IF($C931="B",INDEX(Batters[[#All],[WE]],MATCH(Table5[[#This Row],[PID]],Batters[[#All],[PID]],0)),INDEX(Table3[[#All],[WE]],MATCH(Table5[[#This Row],[PID]],Table3[[#All],[PID]],0)))</f>
        <v>Low</v>
      </c>
      <c r="K931" s="52" t="str">
        <f>IF($C931="B",INDEX(Batters[[#All],[INT]],MATCH(Table5[[#This Row],[PID]],Batters[[#All],[PID]],0)),INDEX(Table3[[#All],[INT]],MATCH(Table5[[#This Row],[PID]],Table3[[#All],[PID]],0)))</f>
        <v>High</v>
      </c>
      <c r="L931" s="60">
        <f>IF($C931="B",INDEX(Batters[[#All],[CON P]],MATCH(Table5[[#This Row],[PID]],Batters[[#All],[PID]],0)),INDEX(Table3[[#All],[STU P]],MATCH(Table5[[#This Row],[PID]],Table3[[#All],[PID]],0)))</f>
        <v>5</v>
      </c>
      <c r="M931" s="56">
        <f>IF($C931="B",INDEX(Batters[[#All],[GAP P]],MATCH(Table5[[#This Row],[PID]],Batters[[#All],[PID]],0)),INDEX(Table3[[#All],[MOV P]],MATCH(Table5[[#This Row],[PID]],Table3[[#All],[PID]],0)))</f>
        <v>2</v>
      </c>
      <c r="N931" s="56">
        <f>IF($C931="B",INDEX(Batters[[#All],[POW P]],MATCH(Table5[[#This Row],[PID]],Batters[[#All],[PID]],0)),INDEX(Table3[[#All],[CON P]],MATCH(Table5[[#This Row],[PID]],Table3[[#All],[PID]],0)))</f>
        <v>2</v>
      </c>
      <c r="O931" s="56" t="str">
        <f>IF($C931="B",INDEX(Batters[[#All],[EYE P]],MATCH(Table5[[#This Row],[PID]],Batters[[#All],[PID]],0)),INDEX(Table3[[#All],[VELO]],MATCH(Table5[[#This Row],[PID]],Table3[[#All],[PID]],0)))</f>
        <v>92-94 Mph</v>
      </c>
      <c r="P931" s="56">
        <f>IF($C931="B",INDEX(Batters[[#All],[K P]],MATCH(Table5[[#This Row],[PID]],Batters[[#All],[PID]],0)),INDEX(Table3[[#All],[STM]],MATCH(Table5[[#This Row],[PID]],Table3[[#All],[PID]],0)))</f>
        <v>4</v>
      </c>
      <c r="Q931" s="61">
        <f>IF($C931="B",INDEX(Batters[[#All],[Tot]],MATCH(Table5[[#This Row],[PID]],Batters[[#All],[PID]],0)),INDEX(Table3[[#All],[Tot]],MATCH(Table5[[#This Row],[PID]],Table3[[#All],[PID]],0)))</f>
        <v>28.543907404287971</v>
      </c>
      <c r="R931" s="52">
        <f>IF($C931="B",INDEX(Batters[[#All],[zScore]],MATCH(Table5[[#This Row],[PID]],Batters[[#All],[PID]],0)),INDEX(Table3[[#All],[zScore]],MATCH(Table5[[#This Row],[PID]],Table3[[#All],[PID]],0)))</f>
        <v>-0.48742874216284598</v>
      </c>
      <c r="S931" s="58" t="str">
        <f>IF($C931="B",INDEX(Batters[[#All],[DEM]],MATCH(Table5[[#This Row],[PID]],Batters[[#All],[PID]],0)),INDEX(Table3[[#All],[DEM]],MATCH(Table5[[#This Row],[PID]],Table3[[#All],[PID]],0)))</f>
        <v>-</v>
      </c>
      <c r="T931" s="62">
        <f>IF($C931="B",INDEX(Batters[[#All],[Rnk]],MATCH(Table5[[#This Row],[PID]],Batters[[#All],[PID]],0)),INDEX(Table3[[#All],[Rnk]],MATCH(Table5[[#This Row],[PID]],Table3[[#All],[PID]],0)))</f>
        <v>516</v>
      </c>
      <c r="U931" s="68">
        <f>IF($C931="B",VLOOKUP($A931,Bat!$A$4:$BA$1621,47,FALSE),VLOOKUP($A931,Pit!$A$4:$BF$1557,56,FALSE))</f>
        <v>0</v>
      </c>
      <c r="V931" s="50">
        <f>IF($C931="B",VLOOKUP($A931,Bat!$A$4:$BA$1621,48,FALSE),VLOOKUP($A931,Pit!$A$4:$BF$1557,57,FALSE))</f>
        <v>0</v>
      </c>
      <c r="W931" s="50">
        <f>Table5[[#This Row],[posRnk]]+Table5[[#This Row],[zRnk]]+IF($W$3&lt;&gt;Table5[[#This Row],[Type]],50,0)</f>
        <v>1416</v>
      </c>
      <c r="X931" s="51">
        <f>RANK(Table5[[#This Row],[zScore]],Table5[[#All],[zScore]])</f>
        <v>850</v>
      </c>
      <c r="Y931" s="50" t="str">
        <f>IFERROR(INDEX(DraftResults[[#All],[OVR]],MATCH(Table5[[#This Row],[PID]],DraftResults[[#All],[Player ID]],0)),"")</f>
        <v/>
      </c>
      <c r="Z9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1" s="50" t="str">
        <f>IFERROR(INDEX(DraftResults[[#All],[Pick in Round]],MATCH(Table5[[#This Row],[PID]],DraftResults[[#All],[Player ID]],0)),"")</f>
        <v/>
      </c>
      <c r="AB931" s="50" t="str">
        <f>IFERROR(INDEX(DraftResults[[#All],[Team Name]],MATCH(Table5[[#This Row],[PID]],DraftResults[[#All],[Player ID]],0)),"")</f>
        <v/>
      </c>
      <c r="AC931" s="50" t="str">
        <f>IF(Table5[[#This Row],[Ovr]]="","",IF(Table5[[#This Row],[cmbList]]="","",Table5[[#This Row],[cmbList]]-Table5[[#This Row],[Ovr]]))</f>
        <v/>
      </c>
      <c r="AD931" s="54" t="str">
        <f>IF(ISERROR(VLOOKUP($AB931&amp;"-"&amp;$E931&amp;" "&amp;F931,Bonuses!$B$1:$G$1006,4,FALSE)),"",INT(VLOOKUP($AB931&amp;"-"&amp;$E931&amp;" "&amp;$F931,Bonuses!$B$1:$G$1006,4,FALSE)))</f>
        <v/>
      </c>
      <c r="AE9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2" spans="1:31" s="50" customFormat="1" x14ac:dyDescent="0.25">
      <c r="A932" s="50">
        <v>20356</v>
      </c>
      <c r="B932" s="50">
        <f>COUNTIF(Table5[PID],A932)</f>
        <v>1</v>
      </c>
      <c r="C932" s="50" t="str">
        <f>IF(COUNTIF(Table3[[#All],[PID]],A932)&gt;0,"P","B")</f>
        <v>P</v>
      </c>
      <c r="D932" s="59" t="str">
        <f>IF($C932="B",INDEX(Batters[[#All],[POS]],MATCH(Table5[[#This Row],[PID]],Batters[[#All],[PID]],0)),INDEX(Table3[[#All],[POS]],MATCH(Table5[[#This Row],[PID]],Table3[[#All],[PID]],0)))</f>
        <v>RP</v>
      </c>
      <c r="E932" s="52" t="str">
        <f>IF($C932="B",INDEX(Batters[[#All],[First]],MATCH(Table5[[#This Row],[PID]],Batters[[#All],[PID]],0)),INDEX(Table3[[#All],[First]],MATCH(Table5[[#This Row],[PID]],Table3[[#All],[PID]],0)))</f>
        <v>Chris</v>
      </c>
      <c r="F932" s="50" t="str">
        <f>IF($C932="B",INDEX(Batters[[#All],[Last]],MATCH(A932,Batters[[#All],[PID]],0)),INDEX(Table3[[#All],[Last]],MATCH(A932,Table3[[#All],[PID]],0)))</f>
        <v>Martin</v>
      </c>
      <c r="G932" s="56">
        <f>IF($C932="B",INDEX(Batters[[#All],[Age]],MATCH(Table5[[#This Row],[PID]],Batters[[#All],[PID]],0)),INDEX(Table3[[#All],[Age]],MATCH(Table5[[#This Row],[PID]],Table3[[#All],[PID]],0)))</f>
        <v>16</v>
      </c>
      <c r="H932" s="52" t="str">
        <f>IF($C932="B",INDEX(Batters[[#All],[B]],MATCH(Table5[[#This Row],[PID]],Batters[[#All],[PID]],0)),INDEX(Table3[[#All],[B]],MATCH(Table5[[#This Row],[PID]],Table3[[#All],[PID]],0)))</f>
        <v>L</v>
      </c>
      <c r="I932" s="52" t="str">
        <f>IF($C932="B",INDEX(Batters[[#All],[T]],MATCH(Table5[[#This Row],[PID]],Batters[[#All],[PID]],0)),INDEX(Table3[[#All],[T]],MATCH(Table5[[#This Row],[PID]],Table3[[#All],[PID]],0)))</f>
        <v>R</v>
      </c>
      <c r="J932" s="52" t="str">
        <f>IF($C932="B",INDEX(Batters[[#All],[WE]],MATCH(Table5[[#This Row],[PID]],Batters[[#All],[PID]],0)),INDEX(Table3[[#All],[WE]],MATCH(Table5[[#This Row],[PID]],Table3[[#All],[PID]],0)))</f>
        <v>Low</v>
      </c>
      <c r="K932" s="52" t="str">
        <f>IF($C932="B",INDEX(Batters[[#All],[INT]],MATCH(Table5[[#This Row],[PID]],Batters[[#All],[PID]],0)),INDEX(Table3[[#All],[INT]],MATCH(Table5[[#This Row],[PID]],Table3[[#All],[PID]],0)))</f>
        <v>Normal</v>
      </c>
      <c r="L932" s="60">
        <f>IF($C932="B",INDEX(Batters[[#All],[CON P]],MATCH(Table5[[#This Row],[PID]],Batters[[#All],[PID]],0)),INDEX(Table3[[#All],[STU P]],MATCH(Table5[[#This Row],[PID]],Table3[[#All],[PID]],0)))</f>
        <v>5</v>
      </c>
      <c r="M932" s="56">
        <f>IF($C932="B",INDEX(Batters[[#All],[GAP P]],MATCH(Table5[[#This Row],[PID]],Batters[[#All],[PID]],0)),INDEX(Table3[[#All],[MOV P]],MATCH(Table5[[#This Row],[PID]],Table3[[#All],[PID]],0)))</f>
        <v>2</v>
      </c>
      <c r="N932" s="56">
        <f>IF($C932="B",INDEX(Batters[[#All],[POW P]],MATCH(Table5[[#This Row],[PID]],Batters[[#All],[PID]],0)),INDEX(Table3[[#All],[CON P]],MATCH(Table5[[#This Row],[PID]],Table3[[#All],[PID]],0)))</f>
        <v>2</v>
      </c>
      <c r="O932" s="56" t="str">
        <f>IF($C932="B",INDEX(Batters[[#All],[EYE P]],MATCH(Table5[[#This Row],[PID]],Batters[[#All],[PID]],0)),INDEX(Table3[[#All],[VELO]],MATCH(Table5[[#This Row],[PID]],Table3[[#All],[PID]],0)))</f>
        <v>86-88 Mph</v>
      </c>
      <c r="P932" s="56">
        <f>IF($C932="B",INDEX(Batters[[#All],[K P]],MATCH(Table5[[#This Row],[PID]],Batters[[#All],[PID]],0)),INDEX(Table3[[#All],[STM]],MATCH(Table5[[#This Row],[PID]],Table3[[#All],[PID]],0)))</f>
        <v>4</v>
      </c>
      <c r="Q932" s="61">
        <f>IF($C932="B",INDEX(Batters[[#All],[Tot]],MATCH(Table5[[#This Row],[PID]],Batters[[#All],[PID]],0)),INDEX(Table3[[#All],[Tot]],MATCH(Table5[[#This Row],[PID]],Table3[[#All],[PID]],0)))</f>
        <v>28.529081387826899</v>
      </c>
      <c r="R932" s="52">
        <f>IF($C932="B",INDEX(Batters[[#All],[zScore]],MATCH(Table5[[#This Row],[PID]],Batters[[#All],[PID]],0)),INDEX(Table3[[#All],[zScore]],MATCH(Table5[[#This Row],[PID]],Table3[[#All],[PID]],0)))</f>
        <v>-0.48841509438223424</v>
      </c>
      <c r="S932" s="58" t="str">
        <f>IF($C932="B",INDEX(Batters[[#All],[DEM]],MATCH(Table5[[#This Row],[PID]],Batters[[#All],[PID]],0)),INDEX(Table3[[#All],[DEM]],MATCH(Table5[[#This Row],[PID]],Table3[[#All],[PID]],0)))</f>
        <v>$70k</v>
      </c>
      <c r="T932" s="62">
        <f>IF($C932="B",INDEX(Batters[[#All],[Rnk]],MATCH(Table5[[#This Row],[PID]],Batters[[#All],[PID]],0)),INDEX(Table3[[#All],[Rnk]],MATCH(Table5[[#This Row],[PID]],Table3[[#All],[PID]],0)))</f>
        <v>517</v>
      </c>
      <c r="U932" s="68">
        <f>IF($C932="B",VLOOKUP($A932,Bat!$A$4:$BA$1621,47,FALSE),VLOOKUP($A932,Pit!$A$4:$BF$1557,56,FALSE))</f>
        <v>0</v>
      </c>
      <c r="V932" s="50">
        <f>IF($C932="B",VLOOKUP($A932,Bat!$A$4:$BA$1621,48,FALSE),VLOOKUP($A932,Pit!$A$4:$BF$1557,57,FALSE))</f>
        <v>0</v>
      </c>
      <c r="W932" s="50">
        <f>Table5[[#This Row],[posRnk]]+Table5[[#This Row],[zRnk]]+IF($W$3&lt;&gt;Table5[[#This Row],[Type]],50,0)</f>
        <v>1418</v>
      </c>
      <c r="X932" s="51">
        <f>RANK(Table5[[#This Row],[zScore]],Table5[[#All],[zScore]])</f>
        <v>851</v>
      </c>
      <c r="Y932" s="50" t="str">
        <f>IFERROR(INDEX(DraftResults[[#All],[OVR]],MATCH(Table5[[#This Row],[PID]],DraftResults[[#All],[Player ID]],0)),"")</f>
        <v/>
      </c>
      <c r="Z9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2" s="50" t="str">
        <f>IFERROR(INDEX(DraftResults[[#All],[Pick in Round]],MATCH(Table5[[#This Row],[PID]],DraftResults[[#All],[Player ID]],0)),"")</f>
        <v/>
      </c>
      <c r="AB932" s="50" t="str">
        <f>IFERROR(INDEX(DraftResults[[#All],[Team Name]],MATCH(Table5[[#This Row],[PID]],DraftResults[[#All],[Player ID]],0)),"")</f>
        <v/>
      </c>
      <c r="AC932" s="50" t="str">
        <f>IF(Table5[[#This Row],[Ovr]]="","",IF(Table5[[#This Row],[cmbList]]="","",Table5[[#This Row],[cmbList]]-Table5[[#This Row],[Ovr]]))</f>
        <v/>
      </c>
      <c r="AD932" s="54" t="str">
        <f>IF(ISERROR(VLOOKUP($AB932&amp;"-"&amp;$E932&amp;" "&amp;F932,Bonuses!$B$1:$G$1006,4,FALSE)),"",INT(VLOOKUP($AB932&amp;"-"&amp;$E932&amp;" "&amp;$F932,Bonuses!$B$1:$G$1006,4,FALSE)))</f>
        <v/>
      </c>
      <c r="AE9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3" spans="1:31" s="50" customFormat="1" x14ac:dyDescent="0.25">
      <c r="A933" s="68">
        <v>17769</v>
      </c>
      <c r="B933" s="69">
        <f>COUNTIF(Table5[PID],A933)</f>
        <v>1</v>
      </c>
      <c r="C933" s="69" t="str">
        <f>IF(COUNTIF(Table3[[#All],[PID]],A933)&gt;0,"P","B")</f>
        <v>P</v>
      </c>
      <c r="D933" s="59" t="str">
        <f>IF($C933="B",INDEX(Batters[[#All],[POS]],MATCH(Table5[[#This Row],[PID]],Batters[[#All],[PID]],0)),INDEX(Table3[[#All],[POS]],MATCH(Table5[[#This Row],[PID]],Table3[[#All],[PID]],0)))</f>
        <v>SP</v>
      </c>
      <c r="E933" s="52" t="str">
        <f>IF($C933="B",INDEX(Batters[[#All],[First]],MATCH(Table5[[#This Row],[PID]],Batters[[#All],[PID]],0)),INDEX(Table3[[#All],[First]],MATCH(Table5[[#This Row],[PID]],Table3[[#All],[PID]],0)))</f>
        <v>Gerald</v>
      </c>
      <c r="F933" s="55" t="str">
        <f>IF($C933="B",INDEX(Batters[[#All],[Last]],MATCH(A933,Batters[[#All],[PID]],0)),INDEX(Table3[[#All],[Last]],MATCH(A933,Table3[[#All],[PID]],0)))</f>
        <v>Whitwell</v>
      </c>
      <c r="G933" s="56">
        <f>IF($C933="B",INDEX(Batters[[#All],[Age]],MATCH(Table5[[#This Row],[PID]],Batters[[#All],[PID]],0)),INDEX(Table3[[#All],[Age]],MATCH(Table5[[#This Row],[PID]],Table3[[#All],[PID]],0)))</f>
        <v>21</v>
      </c>
      <c r="H933" s="52" t="str">
        <f>IF($C933="B",INDEX(Batters[[#All],[B]],MATCH(Table5[[#This Row],[PID]],Batters[[#All],[PID]],0)),INDEX(Table3[[#All],[B]],MATCH(Table5[[#This Row],[PID]],Table3[[#All],[PID]],0)))</f>
        <v>R</v>
      </c>
      <c r="I933" s="52" t="str">
        <f>IF($C933="B",INDEX(Batters[[#All],[T]],MATCH(Table5[[#This Row],[PID]],Batters[[#All],[PID]],0)),INDEX(Table3[[#All],[T]],MATCH(Table5[[#This Row],[PID]],Table3[[#All],[PID]],0)))</f>
        <v>R</v>
      </c>
      <c r="J933" s="71" t="str">
        <f>IF($C933="B",INDEX(Batters[[#All],[WE]],MATCH(Table5[[#This Row],[PID]],Batters[[#All],[PID]],0)),INDEX(Table3[[#All],[WE]],MATCH(Table5[[#This Row],[PID]],Table3[[#All],[PID]],0)))</f>
        <v>High</v>
      </c>
      <c r="K933" s="52" t="str">
        <f>IF($C933="B",INDEX(Batters[[#All],[INT]],MATCH(Table5[[#This Row],[PID]],Batters[[#All],[PID]],0)),INDEX(Table3[[#All],[INT]],MATCH(Table5[[#This Row],[PID]],Table3[[#All],[PID]],0)))</f>
        <v>Normal</v>
      </c>
      <c r="L933" s="60">
        <f>IF($C933="B",INDEX(Batters[[#All],[CON P]],MATCH(Table5[[#This Row],[PID]],Batters[[#All],[PID]],0)),INDEX(Table3[[#All],[STU P]],MATCH(Table5[[#This Row],[PID]],Table3[[#All],[PID]],0)))</f>
        <v>3</v>
      </c>
      <c r="M933" s="72">
        <f>IF($C933="B",INDEX(Batters[[#All],[GAP P]],MATCH(Table5[[#This Row],[PID]],Batters[[#All],[PID]],0)),INDEX(Table3[[#All],[MOV P]],MATCH(Table5[[#This Row],[PID]],Table3[[#All],[PID]],0)))</f>
        <v>2</v>
      </c>
      <c r="N933" s="72">
        <f>IF($C933="B",INDEX(Batters[[#All],[POW P]],MATCH(Table5[[#This Row],[PID]],Batters[[#All],[PID]],0)),INDEX(Table3[[#All],[CON P]],MATCH(Table5[[#This Row],[PID]],Table3[[#All],[PID]],0)))</f>
        <v>4</v>
      </c>
      <c r="O933" s="72" t="str">
        <f>IF($C933="B",INDEX(Batters[[#All],[EYE P]],MATCH(Table5[[#This Row],[PID]],Batters[[#All],[PID]],0)),INDEX(Table3[[#All],[VELO]],MATCH(Table5[[#This Row],[PID]],Table3[[#All],[PID]],0)))</f>
        <v>87-89 Mph</v>
      </c>
      <c r="P933" s="56">
        <f>IF($C933="B",INDEX(Batters[[#All],[K P]],MATCH(Table5[[#This Row],[PID]],Batters[[#All],[PID]],0)),INDEX(Table3[[#All],[STM]],MATCH(Table5[[#This Row],[PID]],Table3[[#All],[PID]],0)))</f>
        <v>7</v>
      </c>
      <c r="Q933" s="61">
        <f>IF($C933="B",INDEX(Batters[[#All],[Tot]],MATCH(Table5[[#This Row],[PID]],Batters[[#All],[PID]],0)),INDEX(Table3[[#All],[Tot]],MATCH(Table5[[#This Row],[PID]],Table3[[#All],[PID]],0)))</f>
        <v>30.001923401409293</v>
      </c>
      <c r="R933" s="52">
        <f>IF($C933="B",INDEX(Batters[[#All],[zScore]],MATCH(Table5[[#This Row],[PID]],Batters[[#All],[PID]],0)),INDEX(Table3[[#All],[zScore]],MATCH(Table5[[#This Row],[PID]],Table3[[#All],[PID]],0)))</f>
        <v>-0.49044049119420691</v>
      </c>
      <c r="S933" s="78" t="str">
        <f>IF($C933="B",INDEX(Batters[[#All],[DEM]],MATCH(Table5[[#This Row],[PID]],Batters[[#All],[PID]],0)),INDEX(Table3[[#All],[DEM]],MATCH(Table5[[#This Row],[PID]],Table3[[#All],[PID]],0)))</f>
        <v>-</v>
      </c>
      <c r="T933" s="75">
        <f>IF($C933="B",INDEX(Batters[[#All],[Rnk]],MATCH(Table5[[#This Row],[PID]],Batters[[#All],[PID]],0)),INDEX(Table3[[#All],[Rnk]],MATCH(Table5[[#This Row],[PID]],Table3[[#All],[PID]],0)))</f>
        <v>518</v>
      </c>
      <c r="U933" s="68">
        <f>IF($C933="B",VLOOKUP($A933,Bat!$A$4:$BA$1621,47,FALSE),VLOOKUP($A933,Pit!$A$4:$BF$1557,56,FALSE))</f>
        <v>0</v>
      </c>
      <c r="V933" s="50">
        <f>IF($C933="B",VLOOKUP($A933,Bat!$A$4:$BA$1621,48,FALSE),VLOOKUP($A933,Pit!$A$4:$BF$1557,57,FALSE))</f>
        <v>0</v>
      </c>
      <c r="W933" s="69">
        <f>Table5[[#This Row],[posRnk]]+Table5[[#This Row],[zRnk]]+IF($W$3&lt;&gt;Table5[[#This Row],[Type]],50,0)</f>
        <v>1420</v>
      </c>
      <c r="X933" s="73">
        <f>RANK(Table5[[#This Row],[zScore]],Table5[[#All],[zScore]])</f>
        <v>852</v>
      </c>
      <c r="Y933" s="69" t="str">
        <f>IFERROR(INDEX(DraftResults[[#All],[OVR]],MATCH(Table5[[#This Row],[PID]],DraftResults[[#All],[Player ID]],0)),"")</f>
        <v/>
      </c>
      <c r="Z93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3" s="69" t="str">
        <f>IFERROR(INDEX(DraftResults[[#All],[Pick in Round]],MATCH(Table5[[#This Row],[PID]],DraftResults[[#All],[Player ID]],0)),"")</f>
        <v/>
      </c>
      <c r="AB933" s="69" t="str">
        <f>IFERROR(INDEX(DraftResults[[#All],[Team Name]],MATCH(Table5[[#This Row],[PID]],DraftResults[[#All],[Player ID]],0)),"")</f>
        <v/>
      </c>
      <c r="AC933" s="69" t="str">
        <f>IF(Table5[[#This Row],[Ovr]]="","",IF(Table5[[#This Row],[cmbList]]="","",Table5[[#This Row],[cmbList]]-Table5[[#This Row],[Ovr]]))</f>
        <v/>
      </c>
      <c r="AD933" s="77" t="str">
        <f>IF(ISERROR(VLOOKUP($AB933&amp;"-"&amp;$E933&amp;" "&amp;F933,Bonuses!$B$1:$G$1006,4,FALSE)),"",INT(VLOOKUP($AB933&amp;"-"&amp;$E933&amp;" "&amp;$F933,Bonuses!$B$1:$G$1006,4,FALSE)))</f>
        <v/>
      </c>
      <c r="AE93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4" spans="1:31" s="50" customFormat="1" x14ac:dyDescent="0.25">
      <c r="A934" s="50">
        <v>20241</v>
      </c>
      <c r="B934" s="50">
        <f>COUNTIF(Table5[PID],A934)</f>
        <v>1</v>
      </c>
      <c r="C934" s="50" t="str">
        <f>IF(COUNTIF(Table3[[#All],[PID]],A934)&gt;0,"P","B")</f>
        <v>P</v>
      </c>
      <c r="D934" s="59" t="str">
        <f>IF($C934="B",INDEX(Batters[[#All],[POS]],MATCH(Table5[[#This Row],[PID]],Batters[[#All],[PID]],0)),INDEX(Table3[[#All],[POS]],MATCH(Table5[[#This Row],[PID]],Table3[[#All],[PID]],0)))</f>
        <v>RP</v>
      </c>
      <c r="E934" s="52" t="str">
        <f>IF($C934="B",INDEX(Batters[[#All],[First]],MATCH(Table5[[#This Row],[PID]],Batters[[#All],[PID]],0)),INDEX(Table3[[#All],[First]],MATCH(Table5[[#This Row],[PID]],Table3[[#All],[PID]],0)))</f>
        <v>Woody</v>
      </c>
      <c r="F934" s="50" t="str">
        <f>IF($C934="B",INDEX(Batters[[#All],[Last]],MATCH(A934,Batters[[#All],[PID]],0)),INDEX(Table3[[#All],[Last]],MATCH(A934,Table3[[#All],[PID]],0)))</f>
        <v>Follett</v>
      </c>
      <c r="G934" s="56">
        <f>IF($C934="B",INDEX(Batters[[#All],[Age]],MATCH(Table5[[#This Row],[PID]],Batters[[#All],[PID]],0)),INDEX(Table3[[#All],[Age]],MATCH(Table5[[#This Row],[PID]],Table3[[#All],[PID]],0)))</f>
        <v>21</v>
      </c>
      <c r="H934" s="52" t="str">
        <f>IF($C934="B",INDEX(Batters[[#All],[B]],MATCH(Table5[[#This Row],[PID]],Batters[[#All],[PID]],0)),INDEX(Table3[[#All],[B]],MATCH(Table5[[#This Row],[PID]],Table3[[#All],[PID]],0)))</f>
        <v>R</v>
      </c>
      <c r="I934" s="52" t="str">
        <f>IF($C934="B",INDEX(Batters[[#All],[T]],MATCH(Table5[[#This Row],[PID]],Batters[[#All],[PID]],0)),INDEX(Table3[[#All],[T]],MATCH(Table5[[#This Row],[PID]],Table3[[#All],[PID]],0)))</f>
        <v>R</v>
      </c>
      <c r="J934" s="52" t="str">
        <f>IF($C934="B",INDEX(Batters[[#All],[WE]],MATCH(Table5[[#This Row],[PID]],Batters[[#All],[PID]],0)),INDEX(Table3[[#All],[WE]],MATCH(Table5[[#This Row],[PID]],Table3[[#All],[PID]],0)))</f>
        <v>Low</v>
      </c>
      <c r="K934" s="52" t="str">
        <f>IF($C934="B",INDEX(Batters[[#All],[INT]],MATCH(Table5[[#This Row],[PID]],Batters[[#All],[PID]],0)),INDEX(Table3[[#All],[INT]],MATCH(Table5[[#This Row],[PID]],Table3[[#All],[PID]],0)))</f>
        <v>Normal</v>
      </c>
      <c r="L934" s="60">
        <f>IF($C934="B",INDEX(Batters[[#All],[CON P]],MATCH(Table5[[#This Row],[PID]],Batters[[#All],[PID]],0)),INDEX(Table3[[#All],[STU P]],MATCH(Table5[[#This Row],[PID]],Table3[[#All],[PID]],0)))</f>
        <v>4</v>
      </c>
      <c r="M934" s="56">
        <f>IF($C934="B",INDEX(Batters[[#All],[GAP P]],MATCH(Table5[[#This Row],[PID]],Batters[[#All],[PID]],0)),INDEX(Table3[[#All],[MOV P]],MATCH(Table5[[#This Row],[PID]],Table3[[#All],[PID]],0)))</f>
        <v>2</v>
      </c>
      <c r="N934" s="56">
        <f>IF($C934="B",INDEX(Batters[[#All],[POW P]],MATCH(Table5[[#This Row],[PID]],Batters[[#All],[PID]],0)),INDEX(Table3[[#All],[CON P]],MATCH(Table5[[#This Row],[PID]],Table3[[#All],[PID]],0)))</f>
        <v>3</v>
      </c>
      <c r="O934" s="56" t="str">
        <f>IF($C934="B",INDEX(Batters[[#All],[EYE P]],MATCH(Table5[[#This Row],[PID]],Batters[[#All],[PID]],0)),INDEX(Table3[[#All],[VELO]],MATCH(Table5[[#This Row],[PID]],Table3[[#All],[PID]],0)))</f>
        <v>90-92 Mph</v>
      </c>
      <c r="P934" s="56">
        <f>IF($C934="B",INDEX(Batters[[#All],[K P]],MATCH(Table5[[#This Row],[PID]],Batters[[#All],[PID]],0)),INDEX(Table3[[#All],[STM]],MATCH(Table5[[#This Row],[PID]],Table3[[#All],[PID]],0)))</f>
        <v>10</v>
      </c>
      <c r="Q934" s="61">
        <f>IF($C934="B",INDEX(Batters[[#All],[Tot]],MATCH(Table5[[#This Row],[PID]],Batters[[#All],[PID]],0)),INDEX(Table3[[#All],[Tot]],MATCH(Table5[[#This Row],[PID]],Table3[[#All],[PID]],0)))</f>
        <v>28.488276835412385</v>
      </c>
      <c r="R934" s="52">
        <f>IF($C934="B",INDEX(Batters[[#All],[zScore]],MATCH(Table5[[#This Row],[PID]],Batters[[#All],[PID]],0)),INDEX(Table3[[#All],[zScore]],MATCH(Table5[[#This Row],[PID]],Table3[[#All],[PID]],0)))</f>
        <v>-0.49112975890057448</v>
      </c>
      <c r="S934" s="58" t="str">
        <f>IF($C934="B",INDEX(Batters[[#All],[DEM]],MATCH(Table5[[#This Row],[PID]],Batters[[#All],[PID]],0)),INDEX(Table3[[#All],[DEM]],MATCH(Table5[[#This Row],[PID]],Table3[[#All],[PID]],0)))</f>
        <v>$20k</v>
      </c>
      <c r="T934" s="62">
        <f>IF($C934="B",INDEX(Batters[[#All],[Rnk]],MATCH(Table5[[#This Row],[PID]],Batters[[#All],[PID]],0)),INDEX(Table3[[#All],[Rnk]],MATCH(Table5[[#This Row],[PID]],Table3[[#All],[PID]],0)))</f>
        <v>519</v>
      </c>
      <c r="U934" s="68">
        <f>IF($C934="B",VLOOKUP($A934,Bat!$A$4:$BA$1621,47,FALSE),VLOOKUP($A934,Pit!$A$4:$BF$1557,56,FALSE))</f>
        <v>0</v>
      </c>
      <c r="V934" s="50">
        <f>IF($C934="B",VLOOKUP($A934,Bat!$A$4:$BA$1621,48,FALSE),VLOOKUP($A934,Pit!$A$4:$BF$1557,57,FALSE))</f>
        <v>0</v>
      </c>
      <c r="W934" s="50">
        <f>Table5[[#This Row],[posRnk]]+Table5[[#This Row],[zRnk]]+IF($W$3&lt;&gt;Table5[[#This Row],[Type]],50,0)</f>
        <v>1422</v>
      </c>
      <c r="X934" s="51">
        <f>RANK(Table5[[#This Row],[zScore]],Table5[[#All],[zScore]])</f>
        <v>853</v>
      </c>
      <c r="Y934" s="50" t="str">
        <f>IFERROR(INDEX(DraftResults[[#All],[OVR]],MATCH(Table5[[#This Row],[PID]],DraftResults[[#All],[Player ID]],0)),"")</f>
        <v/>
      </c>
      <c r="Z9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4" s="50" t="str">
        <f>IFERROR(INDEX(DraftResults[[#All],[Pick in Round]],MATCH(Table5[[#This Row],[PID]],DraftResults[[#All],[Player ID]],0)),"")</f>
        <v/>
      </c>
      <c r="AB934" s="50" t="str">
        <f>IFERROR(INDEX(DraftResults[[#All],[Team Name]],MATCH(Table5[[#This Row],[PID]],DraftResults[[#All],[Player ID]],0)),"")</f>
        <v/>
      </c>
      <c r="AC934" s="50" t="str">
        <f>IF(Table5[[#This Row],[Ovr]]="","",IF(Table5[[#This Row],[cmbList]]="","",Table5[[#This Row],[cmbList]]-Table5[[#This Row],[Ovr]]))</f>
        <v/>
      </c>
      <c r="AD934" s="54" t="str">
        <f>IF(ISERROR(VLOOKUP($AB934&amp;"-"&amp;$E934&amp;" "&amp;F934,Bonuses!$B$1:$G$1006,4,FALSE)),"",INT(VLOOKUP($AB934&amp;"-"&amp;$E934&amp;" "&amp;$F934,Bonuses!$B$1:$G$1006,4,FALSE)))</f>
        <v/>
      </c>
      <c r="AE9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5" spans="1:31" s="50" customFormat="1" x14ac:dyDescent="0.25">
      <c r="A935" s="50">
        <v>10101</v>
      </c>
      <c r="B935" s="50">
        <f>COUNTIF(Table5[PID],A935)</f>
        <v>1</v>
      </c>
      <c r="C935" s="50" t="str">
        <f>IF(COUNTIF(Table3[[#All],[PID]],A935)&gt;0,"P","B")</f>
        <v>P</v>
      </c>
      <c r="D935" s="59" t="str">
        <f>IF($C935="B",INDEX(Batters[[#All],[POS]],MATCH(Table5[[#This Row],[PID]],Batters[[#All],[PID]],0)),INDEX(Table3[[#All],[POS]],MATCH(Table5[[#This Row],[PID]],Table3[[#All],[PID]],0)))</f>
        <v>RP</v>
      </c>
      <c r="E935" s="52" t="str">
        <f>IF($C935="B",INDEX(Batters[[#All],[First]],MATCH(Table5[[#This Row],[PID]],Batters[[#All],[PID]],0)),INDEX(Table3[[#All],[First]],MATCH(Table5[[#This Row],[PID]],Table3[[#All],[PID]],0)))</f>
        <v>Roberto</v>
      </c>
      <c r="F935" s="50" t="str">
        <f>IF($C935="B",INDEX(Batters[[#All],[Last]],MATCH(A935,Batters[[#All],[PID]],0)),INDEX(Table3[[#All],[Last]],MATCH(A935,Table3[[#All],[PID]],0)))</f>
        <v>Núñez</v>
      </c>
      <c r="G935" s="56">
        <f>IF($C935="B",INDEX(Batters[[#All],[Age]],MATCH(Table5[[#This Row],[PID]],Batters[[#All],[PID]],0)),INDEX(Table3[[#All],[Age]],MATCH(Table5[[#This Row],[PID]],Table3[[#All],[PID]],0)))</f>
        <v>22</v>
      </c>
      <c r="H935" s="52" t="str">
        <f>IF($C935="B",INDEX(Batters[[#All],[B]],MATCH(Table5[[#This Row],[PID]],Batters[[#All],[PID]],0)),INDEX(Table3[[#All],[B]],MATCH(Table5[[#This Row],[PID]],Table3[[#All],[PID]],0)))</f>
        <v>R</v>
      </c>
      <c r="I935" s="52" t="str">
        <f>IF($C935="B",INDEX(Batters[[#All],[T]],MATCH(Table5[[#This Row],[PID]],Batters[[#All],[PID]],0)),INDEX(Table3[[#All],[T]],MATCH(Table5[[#This Row],[PID]],Table3[[#All],[PID]],0)))</f>
        <v>R</v>
      </c>
      <c r="J935" s="52" t="str">
        <f>IF($C935="B",INDEX(Batters[[#All],[WE]],MATCH(Table5[[#This Row],[PID]],Batters[[#All],[PID]],0)),INDEX(Table3[[#All],[WE]],MATCH(Table5[[#This Row],[PID]],Table3[[#All],[PID]],0)))</f>
        <v>Low</v>
      </c>
      <c r="K935" s="52" t="str">
        <f>IF($C935="B",INDEX(Batters[[#All],[INT]],MATCH(Table5[[#This Row],[PID]],Batters[[#All],[PID]],0)),INDEX(Table3[[#All],[INT]],MATCH(Table5[[#This Row],[PID]],Table3[[#All],[PID]],0)))</f>
        <v>Normal</v>
      </c>
      <c r="L935" s="60">
        <f>IF($C935="B",INDEX(Batters[[#All],[CON P]],MATCH(Table5[[#This Row],[PID]],Batters[[#All],[PID]],0)),INDEX(Table3[[#All],[STU P]],MATCH(Table5[[#This Row],[PID]],Table3[[#All],[PID]],0)))</f>
        <v>4</v>
      </c>
      <c r="M935" s="56">
        <f>IF($C935="B",INDEX(Batters[[#All],[GAP P]],MATCH(Table5[[#This Row],[PID]],Batters[[#All],[PID]],0)),INDEX(Table3[[#All],[MOV P]],MATCH(Table5[[#This Row],[PID]],Table3[[#All],[PID]],0)))</f>
        <v>2</v>
      </c>
      <c r="N935" s="56">
        <f>IF($C935="B",INDEX(Batters[[#All],[POW P]],MATCH(Table5[[#This Row],[PID]],Batters[[#All],[PID]],0)),INDEX(Table3[[#All],[CON P]],MATCH(Table5[[#This Row],[PID]],Table3[[#All],[PID]],0)))</f>
        <v>3</v>
      </c>
      <c r="O935" s="56" t="str">
        <f>IF($C935="B",INDEX(Batters[[#All],[EYE P]],MATCH(Table5[[#This Row],[PID]],Batters[[#All],[PID]],0)),INDEX(Table3[[#All],[VELO]],MATCH(Table5[[#This Row],[PID]],Table3[[#All],[PID]],0)))</f>
        <v>90-92 Mph</v>
      </c>
      <c r="P935" s="56">
        <f>IF($C935="B",INDEX(Batters[[#All],[K P]],MATCH(Table5[[#This Row],[PID]],Batters[[#All],[PID]],0)),INDEX(Table3[[#All],[STM]],MATCH(Table5[[#This Row],[PID]],Table3[[#All],[PID]],0)))</f>
        <v>6</v>
      </c>
      <c r="Q935" s="61">
        <f>IF($C935="B",INDEX(Batters[[#All],[Tot]],MATCH(Table5[[#This Row],[PID]],Batters[[#All],[PID]],0)),INDEX(Table3[[#All],[Tot]],MATCH(Table5[[#This Row],[PID]],Table3[[#All],[PID]],0)))</f>
        <v>28.417960729823214</v>
      </c>
      <c r="R935" s="52">
        <f>IF($C935="B",INDEX(Batters[[#All],[zScore]],MATCH(Table5[[#This Row],[PID]],Batters[[#All],[PID]],0)),INDEX(Table3[[#All],[zScore]],MATCH(Table5[[#This Row],[PID]],Table3[[#All],[PID]],0)))</f>
        <v>-0.49580778195475939</v>
      </c>
      <c r="S935" s="58" t="str">
        <f>IF($C935="B",INDEX(Batters[[#All],[DEM]],MATCH(Table5[[#This Row],[PID]],Batters[[#All],[PID]],0)),INDEX(Table3[[#All],[DEM]],MATCH(Table5[[#This Row],[PID]],Table3[[#All],[PID]],0)))</f>
        <v>-</v>
      </c>
      <c r="T935" s="62">
        <f>IF($C935="B",INDEX(Batters[[#All],[Rnk]],MATCH(Table5[[#This Row],[PID]],Batters[[#All],[PID]],0)),INDEX(Table3[[#All],[Rnk]],MATCH(Table5[[#This Row],[PID]],Table3[[#All],[PID]],0)))</f>
        <v>520</v>
      </c>
      <c r="U935" s="68">
        <f>IF($C935="B",VLOOKUP($A935,Bat!$A$4:$BA$1621,47,FALSE),VLOOKUP($A935,Pit!$A$4:$BF$1557,56,FALSE))</f>
        <v>0</v>
      </c>
      <c r="V935" s="50">
        <f>IF($C935="B",VLOOKUP($A935,Bat!$A$4:$BA$1621,48,FALSE),VLOOKUP($A935,Pit!$A$4:$BF$1557,57,FALSE))</f>
        <v>0</v>
      </c>
      <c r="W935" s="50">
        <f>Table5[[#This Row],[posRnk]]+Table5[[#This Row],[zRnk]]+IF($W$3&lt;&gt;Table5[[#This Row],[Type]],50,0)</f>
        <v>1424</v>
      </c>
      <c r="X935" s="51">
        <f>RANK(Table5[[#This Row],[zScore]],Table5[[#All],[zScore]])</f>
        <v>854</v>
      </c>
      <c r="Y935" s="50" t="str">
        <f>IFERROR(INDEX(DraftResults[[#All],[OVR]],MATCH(Table5[[#This Row],[PID]],DraftResults[[#All],[Player ID]],0)),"")</f>
        <v/>
      </c>
      <c r="Z9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5" s="50" t="str">
        <f>IFERROR(INDEX(DraftResults[[#All],[Pick in Round]],MATCH(Table5[[#This Row],[PID]],DraftResults[[#All],[Player ID]],0)),"")</f>
        <v/>
      </c>
      <c r="AB935" s="50" t="str">
        <f>IFERROR(INDEX(DraftResults[[#All],[Team Name]],MATCH(Table5[[#This Row],[PID]],DraftResults[[#All],[Player ID]],0)),"")</f>
        <v/>
      </c>
      <c r="AC935" s="50" t="str">
        <f>IF(Table5[[#This Row],[Ovr]]="","",IF(Table5[[#This Row],[cmbList]]="","",Table5[[#This Row],[cmbList]]-Table5[[#This Row],[Ovr]]))</f>
        <v/>
      </c>
      <c r="AD935" s="54" t="str">
        <f>IF(ISERROR(VLOOKUP($AB935&amp;"-"&amp;$E935&amp;" "&amp;F935,Bonuses!$B$1:$G$1006,4,FALSE)),"",INT(VLOOKUP($AB935&amp;"-"&amp;$E935&amp;" "&amp;$F935,Bonuses!$B$1:$G$1006,4,FALSE)))</f>
        <v/>
      </c>
      <c r="AE9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6" spans="1:31" s="50" customFormat="1" x14ac:dyDescent="0.25">
      <c r="A936" s="50">
        <v>20380</v>
      </c>
      <c r="B936" s="50">
        <f>COUNTIF(Table5[PID],A936)</f>
        <v>1</v>
      </c>
      <c r="C936" s="50" t="str">
        <f>IF(COUNTIF(Table3[[#All],[PID]],A936)&gt;0,"P","B")</f>
        <v>P</v>
      </c>
      <c r="D936" s="59" t="str">
        <f>IF($C936="B",INDEX(Batters[[#All],[POS]],MATCH(Table5[[#This Row],[PID]],Batters[[#All],[PID]],0)),INDEX(Table3[[#All],[POS]],MATCH(Table5[[#This Row],[PID]],Table3[[#All],[PID]],0)))</f>
        <v>RP</v>
      </c>
      <c r="E936" s="52" t="str">
        <f>IF($C936="B",INDEX(Batters[[#All],[First]],MATCH(Table5[[#This Row],[PID]],Batters[[#All],[PID]],0)),INDEX(Table3[[#All],[First]],MATCH(Table5[[#This Row],[PID]],Table3[[#All],[PID]],0)))</f>
        <v>Aodh</v>
      </c>
      <c r="F936" s="50" t="str">
        <f>IF($C936="B",INDEX(Batters[[#All],[Last]],MATCH(A936,Batters[[#All],[PID]],0)),INDEX(Table3[[#All],[Last]],MATCH(A936,Table3[[#All],[PID]],0)))</f>
        <v>Pickworth</v>
      </c>
      <c r="G936" s="56">
        <f>IF($C936="B",INDEX(Batters[[#All],[Age]],MATCH(Table5[[#This Row],[PID]],Batters[[#All],[PID]],0)),INDEX(Table3[[#All],[Age]],MATCH(Table5[[#This Row],[PID]],Table3[[#All],[PID]],0)))</f>
        <v>16</v>
      </c>
      <c r="H936" s="52" t="str">
        <f>IF($C936="B",INDEX(Batters[[#All],[B]],MATCH(Table5[[#This Row],[PID]],Batters[[#All],[PID]],0)),INDEX(Table3[[#All],[B]],MATCH(Table5[[#This Row],[PID]],Table3[[#All],[PID]],0)))</f>
        <v>R</v>
      </c>
      <c r="I936" s="52" t="str">
        <f>IF($C936="B",INDEX(Batters[[#All],[T]],MATCH(Table5[[#This Row],[PID]],Batters[[#All],[PID]],0)),INDEX(Table3[[#All],[T]],MATCH(Table5[[#This Row],[PID]],Table3[[#All],[PID]],0)))</f>
        <v>R</v>
      </c>
      <c r="J936" s="52" t="str">
        <f>IF($C936="B",INDEX(Batters[[#All],[WE]],MATCH(Table5[[#This Row],[PID]],Batters[[#All],[PID]],0)),INDEX(Table3[[#All],[WE]],MATCH(Table5[[#This Row],[PID]],Table3[[#All],[PID]],0)))</f>
        <v>Normal</v>
      </c>
      <c r="K936" s="52" t="str">
        <f>IF($C936="B",INDEX(Batters[[#All],[INT]],MATCH(Table5[[#This Row],[PID]],Batters[[#All],[PID]],0)),INDEX(Table3[[#All],[INT]],MATCH(Table5[[#This Row],[PID]],Table3[[#All],[PID]],0)))</f>
        <v>Normal</v>
      </c>
      <c r="L936" s="60">
        <f>IF($C936="B",INDEX(Batters[[#All],[CON P]],MATCH(Table5[[#This Row],[PID]],Batters[[#All],[PID]],0)),INDEX(Table3[[#All],[STU P]],MATCH(Table5[[#This Row],[PID]],Table3[[#All],[PID]],0)))</f>
        <v>4</v>
      </c>
      <c r="M936" s="56">
        <f>IF($C936="B",INDEX(Batters[[#All],[GAP P]],MATCH(Table5[[#This Row],[PID]],Batters[[#All],[PID]],0)),INDEX(Table3[[#All],[MOV P]],MATCH(Table5[[#This Row],[PID]],Table3[[#All],[PID]],0)))</f>
        <v>1</v>
      </c>
      <c r="N936" s="56">
        <f>IF($C936="B",INDEX(Batters[[#All],[POW P]],MATCH(Table5[[#This Row],[PID]],Batters[[#All],[PID]],0)),INDEX(Table3[[#All],[CON P]],MATCH(Table5[[#This Row],[PID]],Table3[[#All],[PID]],0)))</f>
        <v>3</v>
      </c>
      <c r="O936" s="56" t="str">
        <f>IF($C936="B",INDEX(Batters[[#All],[EYE P]],MATCH(Table5[[#This Row],[PID]],Batters[[#All],[PID]],0)),INDEX(Table3[[#All],[VELO]],MATCH(Table5[[#This Row],[PID]],Table3[[#All],[PID]],0)))</f>
        <v>85-87 Mph</v>
      </c>
      <c r="P936" s="56">
        <f>IF($C936="B",INDEX(Batters[[#All],[K P]],MATCH(Table5[[#This Row],[PID]],Batters[[#All],[PID]],0)),INDEX(Table3[[#All],[STM]],MATCH(Table5[[#This Row],[PID]],Table3[[#All],[PID]],0)))</f>
        <v>3</v>
      </c>
      <c r="Q936" s="61">
        <f>IF($C936="B",INDEX(Batters[[#All],[Tot]],MATCH(Table5[[#This Row],[PID]],Batters[[#All],[PID]],0)),INDEX(Table3[[#All],[Tot]],MATCH(Table5[[#This Row],[PID]],Table3[[#All],[PID]],0)))</f>
        <v>30.563954507260974</v>
      </c>
      <c r="R936" s="52">
        <f>IF($C936="B",INDEX(Batters[[#All],[zScore]],MATCH(Table5[[#This Row],[PID]],Batters[[#All],[PID]],0)),INDEX(Table3[[#All],[zScore]],MATCH(Table5[[#This Row],[PID]],Table3[[#All],[PID]],0)))</f>
        <v>-0.49592566157079182</v>
      </c>
      <c r="S936" s="58" t="str">
        <f>IF($C936="B",INDEX(Batters[[#All],[DEM]],MATCH(Table5[[#This Row],[PID]],Batters[[#All],[PID]],0)),INDEX(Table3[[#All],[DEM]],MATCH(Table5[[#This Row],[PID]],Table3[[#All],[PID]],0)))</f>
        <v>$38k</v>
      </c>
      <c r="T936" s="62">
        <f>IF($C936="B",INDEX(Batters[[#All],[Rnk]],MATCH(Table5[[#This Row],[PID]],Batters[[#All],[PID]],0)),INDEX(Table3[[#All],[Rnk]],MATCH(Table5[[#This Row],[PID]],Table3[[#All],[PID]],0)))</f>
        <v>521</v>
      </c>
      <c r="U936" s="68">
        <f>IF($C936="B",VLOOKUP($A936,Bat!$A$4:$BA$1621,47,FALSE),VLOOKUP($A936,Pit!$A$4:$BF$1557,56,FALSE))</f>
        <v>0</v>
      </c>
      <c r="V936" s="50">
        <f>IF($C936="B",VLOOKUP($A936,Bat!$A$4:$BA$1621,48,FALSE),VLOOKUP($A936,Pit!$A$4:$BF$1557,57,FALSE))</f>
        <v>0</v>
      </c>
      <c r="W936" s="50">
        <f>Table5[[#This Row],[posRnk]]+Table5[[#This Row],[zRnk]]+IF($W$3&lt;&gt;Table5[[#This Row],[Type]],50,0)</f>
        <v>1426</v>
      </c>
      <c r="X936" s="51">
        <f>RANK(Table5[[#This Row],[zScore]],Table5[[#All],[zScore]])</f>
        <v>855</v>
      </c>
      <c r="Y936" s="50" t="str">
        <f>IFERROR(INDEX(DraftResults[[#All],[OVR]],MATCH(Table5[[#This Row],[PID]],DraftResults[[#All],[Player ID]],0)),"")</f>
        <v/>
      </c>
      <c r="Z9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6" s="50" t="str">
        <f>IFERROR(INDEX(DraftResults[[#All],[Pick in Round]],MATCH(Table5[[#This Row],[PID]],DraftResults[[#All],[Player ID]],0)),"")</f>
        <v/>
      </c>
      <c r="AB936" s="50" t="str">
        <f>IFERROR(INDEX(DraftResults[[#All],[Team Name]],MATCH(Table5[[#This Row],[PID]],DraftResults[[#All],[Player ID]],0)),"")</f>
        <v/>
      </c>
      <c r="AC936" s="50" t="str">
        <f>IF(Table5[[#This Row],[Ovr]]="","",IF(Table5[[#This Row],[cmbList]]="","",Table5[[#This Row],[cmbList]]-Table5[[#This Row],[Ovr]]))</f>
        <v/>
      </c>
      <c r="AD936" s="54" t="str">
        <f>IF(ISERROR(VLOOKUP($AB936&amp;"-"&amp;$E936&amp;" "&amp;F936,Bonuses!$B$1:$G$1006,4,FALSE)),"",INT(VLOOKUP($AB936&amp;"-"&amp;$E936&amp;" "&amp;$F936,Bonuses!$B$1:$G$1006,4,FALSE)))</f>
        <v/>
      </c>
      <c r="AE9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7" spans="1:31" s="50" customFormat="1" x14ac:dyDescent="0.25">
      <c r="A937" s="68">
        <v>17982</v>
      </c>
      <c r="B937" s="69">
        <f>COUNTIF(Table5[PID],A937)</f>
        <v>1</v>
      </c>
      <c r="C937" s="69" t="str">
        <f>IF(COUNTIF(Table3[[#All],[PID]],A937)&gt;0,"P","B")</f>
        <v>P</v>
      </c>
      <c r="D937" s="59" t="str">
        <f>IF($C937="B",INDEX(Batters[[#All],[POS]],MATCH(Table5[[#This Row],[PID]],Batters[[#All],[PID]],0)),INDEX(Table3[[#All],[POS]],MATCH(Table5[[#This Row],[PID]],Table3[[#All],[PID]],0)))</f>
        <v>SP</v>
      </c>
      <c r="E937" s="52" t="str">
        <f>IF($C937="B",INDEX(Batters[[#All],[First]],MATCH(Table5[[#This Row],[PID]],Batters[[#All],[PID]],0)),INDEX(Table3[[#All],[First]],MATCH(Table5[[#This Row],[PID]],Table3[[#All],[PID]],0)))</f>
        <v>Craig</v>
      </c>
      <c r="F937" s="55" t="str">
        <f>IF($C937="B",INDEX(Batters[[#All],[Last]],MATCH(A937,Batters[[#All],[PID]],0)),INDEX(Table3[[#All],[Last]],MATCH(A937,Table3[[#All],[PID]],0)))</f>
        <v>Walker</v>
      </c>
      <c r="G937" s="56">
        <f>IF($C937="B",INDEX(Batters[[#All],[Age]],MATCH(Table5[[#This Row],[PID]],Batters[[#All],[PID]],0)),INDEX(Table3[[#All],[Age]],MATCH(Table5[[#This Row],[PID]],Table3[[#All],[PID]],0)))</f>
        <v>21</v>
      </c>
      <c r="H937" s="52" t="str">
        <f>IF($C937="B",INDEX(Batters[[#All],[B]],MATCH(Table5[[#This Row],[PID]],Batters[[#All],[PID]],0)),INDEX(Table3[[#All],[B]],MATCH(Table5[[#This Row],[PID]],Table3[[#All],[PID]],0)))</f>
        <v>L</v>
      </c>
      <c r="I937" s="52" t="str">
        <f>IF($C937="B",INDEX(Batters[[#All],[T]],MATCH(Table5[[#This Row],[PID]],Batters[[#All],[PID]],0)),INDEX(Table3[[#All],[T]],MATCH(Table5[[#This Row],[PID]],Table3[[#All],[PID]],0)))</f>
        <v>R</v>
      </c>
      <c r="J937" s="71" t="str">
        <f>IF($C937="B",INDEX(Batters[[#All],[WE]],MATCH(Table5[[#This Row],[PID]],Batters[[#All],[PID]],0)),INDEX(Table3[[#All],[WE]],MATCH(Table5[[#This Row],[PID]],Table3[[#All],[PID]],0)))</f>
        <v>Normal</v>
      </c>
      <c r="K937" s="52" t="str">
        <f>IF($C937="B",INDEX(Batters[[#All],[INT]],MATCH(Table5[[#This Row],[PID]],Batters[[#All],[PID]],0)),INDEX(Table3[[#All],[INT]],MATCH(Table5[[#This Row],[PID]],Table3[[#All],[PID]],0)))</f>
        <v>Normal</v>
      </c>
      <c r="L937" s="60">
        <f>IF($C937="B",INDEX(Batters[[#All],[CON P]],MATCH(Table5[[#This Row],[PID]],Batters[[#All],[PID]],0)),INDEX(Table3[[#All],[STU P]],MATCH(Table5[[#This Row],[PID]],Table3[[#All],[PID]],0)))</f>
        <v>4</v>
      </c>
      <c r="M937" s="72">
        <f>IF($C937="B",INDEX(Batters[[#All],[GAP P]],MATCH(Table5[[#This Row],[PID]],Batters[[#All],[PID]],0)),INDEX(Table3[[#All],[MOV P]],MATCH(Table5[[#This Row],[PID]],Table3[[#All],[PID]],0)))</f>
        <v>2</v>
      </c>
      <c r="N937" s="72">
        <f>IF($C937="B",INDEX(Batters[[#All],[POW P]],MATCH(Table5[[#This Row],[PID]],Batters[[#All],[PID]],0)),INDEX(Table3[[#All],[CON P]],MATCH(Table5[[#This Row],[PID]],Table3[[#All],[PID]],0)))</f>
        <v>3</v>
      </c>
      <c r="O937" s="72" t="str">
        <f>IF($C937="B",INDEX(Batters[[#All],[EYE P]],MATCH(Table5[[#This Row],[PID]],Batters[[#All],[PID]],0)),INDEX(Table3[[#All],[VELO]],MATCH(Table5[[#This Row],[PID]],Table3[[#All],[PID]],0)))</f>
        <v>89-91 Mph</v>
      </c>
      <c r="P937" s="56">
        <f>IF($C937="B",INDEX(Batters[[#All],[K P]],MATCH(Table5[[#This Row],[PID]],Batters[[#All],[PID]],0)),INDEX(Table3[[#All],[STM]],MATCH(Table5[[#This Row],[PID]],Table3[[#All],[PID]],0)))</f>
        <v>6</v>
      </c>
      <c r="Q937" s="61">
        <f>IF($C937="B",INDEX(Batters[[#All],[Tot]],MATCH(Table5[[#This Row],[PID]],Batters[[#All],[PID]],0)),INDEX(Table3[[#All],[Tot]],MATCH(Table5[[#This Row],[PID]],Table3[[#All],[PID]],0)))</f>
        <v>29.889602595867238</v>
      </c>
      <c r="R937" s="52">
        <f>IF($C937="B",INDEX(Batters[[#All],[zScore]],MATCH(Table5[[#This Row],[PID]],Batters[[#All],[PID]],0)),INDEX(Table3[[#All],[zScore]],MATCH(Table5[[#This Row],[PID]],Table3[[#All],[PID]],0)))</f>
        <v>-0.49856830160304261</v>
      </c>
      <c r="S937" s="78" t="str">
        <f>IF($C937="B",INDEX(Batters[[#All],[DEM]],MATCH(Table5[[#This Row],[PID]],Batters[[#All],[PID]],0)),INDEX(Table3[[#All],[DEM]],MATCH(Table5[[#This Row],[PID]],Table3[[#All],[PID]],0)))</f>
        <v>-</v>
      </c>
      <c r="T937" s="75">
        <f>IF($C937="B",INDEX(Batters[[#All],[Rnk]],MATCH(Table5[[#This Row],[PID]],Batters[[#All],[PID]],0)),INDEX(Table3[[#All],[Rnk]],MATCH(Table5[[#This Row],[PID]],Table3[[#All],[PID]],0)))</f>
        <v>522</v>
      </c>
      <c r="U937" s="68">
        <f>IF($C937="B",VLOOKUP($A937,Bat!$A$4:$BA$1621,47,FALSE),VLOOKUP($A937,Pit!$A$4:$BF$1557,56,FALSE))</f>
        <v>0</v>
      </c>
      <c r="V937" s="50">
        <f>IF($C937="B",VLOOKUP($A937,Bat!$A$4:$BA$1621,48,FALSE),VLOOKUP($A937,Pit!$A$4:$BF$1557,57,FALSE))</f>
        <v>0</v>
      </c>
      <c r="W937" s="69">
        <f>Table5[[#This Row],[posRnk]]+Table5[[#This Row],[zRnk]]+IF($W$3&lt;&gt;Table5[[#This Row],[Type]],50,0)</f>
        <v>1428</v>
      </c>
      <c r="X937" s="73">
        <f>RANK(Table5[[#This Row],[zScore]],Table5[[#All],[zScore]])</f>
        <v>856</v>
      </c>
      <c r="Y937" s="69" t="str">
        <f>IFERROR(INDEX(DraftResults[[#All],[OVR]],MATCH(Table5[[#This Row],[PID]],DraftResults[[#All],[Player ID]],0)),"")</f>
        <v/>
      </c>
      <c r="Z93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7" s="69" t="str">
        <f>IFERROR(INDEX(DraftResults[[#All],[Pick in Round]],MATCH(Table5[[#This Row],[PID]],DraftResults[[#All],[Player ID]],0)),"")</f>
        <v/>
      </c>
      <c r="AB937" s="69" t="str">
        <f>IFERROR(INDEX(DraftResults[[#All],[Team Name]],MATCH(Table5[[#This Row],[PID]],DraftResults[[#All],[Player ID]],0)),"")</f>
        <v/>
      </c>
      <c r="AC937" s="69" t="str">
        <f>IF(Table5[[#This Row],[Ovr]]="","",IF(Table5[[#This Row],[cmbList]]="","",Table5[[#This Row],[cmbList]]-Table5[[#This Row],[Ovr]]))</f>
        <v/>
      </c>
      <c r="AD937" s="77" t="str">
        <f>IF(ISERROR(VLOOKUP($AB937&amp;"-"&amp;$E937&amp;" "&amp;F937,Bonuses!$B$1:$G$1006,4,FALSE)),"",INT(VLOOKUP($AB937&amp;"-"&amp;$E937&amp;" "&amp;$F937,Bonuses!$B$1:$G$1006,4,FALSE)))</f>
        <v/>
      </c>
      <c r="AE93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8" spans="1:31" s="50" customFormat="1" x14ac:dyDescent="0.25">
      <c r="A938" s="68">
        <v>17873</v>
      </c>
      <c r="B938" s="69">
        <f>COUNTIF(Table5[PID],A938)</f>
        <v>1</v>
      </c>
      <c r="C938" s="69" t="str">
        <f>IF(COUNTIF(Table3[[#All],[PID]],A938)&gt;0,"P","B")</f>
        <v>P</v>
      </c>
      <c r="D938" s="59" t="str">
        <f>IF($C938="B",INDEX(Batters[[#All],[POS]],MATCH(Table5[[#This Row],[PID]],Batters[[#All],[PID]],0)),INDEX(Table3[[#All],[POS]],MATCH(Table5[[#This Row],[PID]],Table3[[#All],[PID]],0)))</f>
        <v>SP</v>
      </c>
      <c r="E938" s="52" t="str">
        <f>IF($C938="B",INDEX(Batters[[#All],[First]],MATCH(Table5[[#This Row],[PID]],Batters[[#All],[PID]],0)),INDEX(Table3[[#All],[First]],MATCH(Table5[[#This Row],[PID]],Table3[[#All],[PID]],0)))</f>
        <v>Josh</v>
      </c>
      <c r="F938" s="55" t="str">
        <f>IF($C938="B",INDEX(Batters[[#All],[Last]],MATCH(A938,Batters[[#All],[PID]],0)),INDEX(Table3[[#All],[Last]],MATCH(A938,Table3[[#All],[PID]],0)))</f>
        <v>MacCombie</v>
      </c>
      <c r="G938" s="56">
        <f>IF($C938="B",INDEX(Batters[[#All],[Age]],MATCH(Table5[[#This Row],[PID]],Batters[[#All],[PID]],0)),INDEX(Table3[[#All],[Age]],MATCH(Table5[[#This Row],[PID]],Table3[[#All],[PID]],0)))</f>
        <v>18</v>
      </c>
      <c r="H938" s="52" t="str">
        <f>IF($C938="B",INDEX(Batters[[#All],[B]],MATCH(Table5[[#This Row],[PID]],Batters[[#All],[PID]],0)),INDEX(Table3[[#All],[B]],MATCH(Table5[[#This Row],[PID]],Table3[[#All],[PID]],0)))</f>
        <v>L</v>
      </c>
      <c r="I938" s="52" t="str">
        <f>IF($C938="B",INDEX(Batters[[#All],[T]],MATCH(Table5[[#This Row],[PID]],Batters[[#All],[PID]],0)),INDEX(Table3[[#All],[T]],MATCH(Table5[[#This Row],[PID]],Table3[[#All],[PID]],0)))</f>
        <v>L</v>
      </c>
      <c r="J938" s="71" t="str">
        <f>IF($C938="B",INDEX(Batters[[#All],[WE]],MATCH(Table5[[#This Row],[PID]],Batters[[#All],[PID]],0)),INDEX(Table3[[#All],[WE]],MATCH(Table5[[#This Row],[PID]],Table3[[#All],[PID]],0)))</f>
        <v>Low</v>
      </c>
      <c r="K938" s="52" t="str">
        <f>IF($C938="B",INDEX(Batters[[#All],[INT]],MATCH(Table5[[#This Row],[PID]],Batters[[#All],[PID]],0)),INDEX(Table3[[#All],[INT]],MATCH(Table5[[#This Row],[PID]],Table3[[#All],[PID]],0)))</f>
        <v>Normal</v>
      </c>
      <c r="L938" s="60">
        <f>IF($C938="B",INDEX(Batters[[#All],[CON P]],MATCH(Table5[[#This Row],[PID]],Batters[[#All],[PID]],0)),INDEX(Table3[[#All],[STU P]],MATCH(Table5[[#This Row],[PID]],Table3[[#All],[PID]],0)))</f>
        <v>3</v>
      </c>
      <c r="M938" s="72">
        <f>IF($C938="B",INDEX(Batters[[#All],[GAP P]],MATCH(Table5[[#This Row],[PID]],Batters[[#All],[PID]],0)),INDEX(Table3[[#All],[MOV P]],MATCH(Table5[[#This Row],[PID]],Table3[[#All],[PID]],0)))</f>
        <v>2</v>
      </c>
      <c r="N938" s="72">
        <f>IF($C938="B",INDEX(Batters[[#All],[POW P]],MATCH(Table5[[#This Row],[PID]],Batters[[#All],[PID]],0)),INDEX(Table3[[#All],[CON P]],MATCH(Table5[[#This Row],[PID]],Table3[[#All],[PID]],0)))</f>
        <v>3</v>
      </c>
      <c r="O938" s="72" t="str">
        <f>IF($C938="B",INDEX(Batters[[#All],[EYE P]],MATCH(Table5[[#This Row],[PID]],Batters[[#All],[PID]],0)),INDEX(Table3[[#All],[VELO]],MATCH(Table5[[#This Row],[PID]],Table3[[#All],[PID]],0)))</f>
        <v>89-91 Mph</v>
      </c>
      <c r="P938" s="56">
        <f>IF($C938="B",INDEX(Batters[[#All],[K P]],MATCH(Table5[[#This Row],[PID]],Batters[[#All],[PID]],0)),INDEX(Table3[[#All],[STM]],MATCH(Table5[[#This Row],[PID]],Table3[[#All],[PID]],0)))</f>
        <v>8</v>
      </c>
      <c r="Q938" s="61">
        <f>IF($C938="B",INDEX(Batters[[#All],[Tot]],MATCH(Table5[[#This Row],[PID]],Batters[[#All],[PID]],0)),INDEX(Table3[[#All],[Tot]],MATCH(Table5[[#This Row],[PID]],Table3[[#All],[PID]],0)))</f>
        <v>30.507047967116264</v>
      </c>
      <c r="R938" s="52">
        <f>IF($C938="B",INDEX(Batters[[#All],[zScore]],MATCH(Table5[[#This Row],[PID]],Batters[[#All],[PID]],0)),INDEX(Table3[[#All],[zScore]],MATCH(Table5[[#This Row],[PID]],Table3[[#All],[PID]],0)))</f>
        <v>-0.49982374282717623</v>
      </c>
      <c r="S938" s="78" t="str">
        <f>IF($C938="B",INDEX(Batters[[#All],[DEM]],MATCH(Table5[[#This Row],[PID]],Batters[[#All],[PID]],0)),INDEX(Table3[[#All],[DEM]],MATCH(Table5[[#This Row],[PID]],Table3[[#All],[PID]],0)))</f>
        <v>$38k</v>
      </c>
      <c r="T938" s="75">
        <f>IF($C938="B",INDEX(Batters[[#All],[Rnk]],MATCH(Table5[[#This Row],[PID]],Batters[[#All],[PID]],0)),INDEX(Table3[[#All],[Rnk]],MATCH(Table5[[#This Row],[PID]],Table3[[#All],[PID]],0)))</f>
        <v>523</v>
      </c>
      <c r="U938" s="68">
        <f>IF($C938="B",VLOOKUP($A938,Bat!$A$4:$BA$1621,47,FALSE),VLOOKUP($A938,Pit!$A$4:$BF$1557,56,FALSE))</f>
        <v>0</v>
      </c>
      <c r="V938" s="50">
        <f>IF($C938="B",VLOOKUP($A938,Bat!$A$4:$BA$1621,48,FALSE),VLOOKUP($A938,Pit!$A$4:$BF$1557,57,FALSE))</f>
        <v>0</v>
      </c>
      <c r="W938" s="69">
        <f>Table5[[#This Row],[posRnk]]+Table5[[#This Row],[zRnk]]+IF($W$3&lt;&gt;Table5[[#This Row],[Type]],50,0)</f>
        <v>1430</v>
      </c>
      <c r="X938" s="73">
        <f>RANK(Table5[[#This Row],[zScore]],Table5[[#All],[zScore]])</f>
        <v>857</v>
      </c>
      <c r="Y938" s="69" t="str">
        <f>IFERROR(INDEX(DraftResults[[#All],[OVR]],MATCH(Table5[[#This Row],[PID]],DraftResults[[#All],[Player ID]],0)),"")</f>
        <v/>
      </c>
      <c r="Z93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8" s="69" t="str">
        <f>IFERROR(INDEX(DraftResults[[#All],[Pick in Round]],MATCH(Table5[[#This Row],[PID]],DraftResults[[#All],[Player ID]],0)),"")</f>
        <v/>
      </c>
      <c r="AB938" s="69" t="str">
        <f>IFERROR(INDEX(DraftResults[[#All],[Team Name]],MATCH(Table5[[#This Row],[PID]],DraftResults[[#All],[Player ID]],0)),"")</f>
        <v/>
      </c>
      <c r="AC938" s="69" t="str">
        <f>IF(Table5[[#This Row],[Ovr]]="","",IF(Table5[[#This Row],[cmbList]]="","",Table5[[#This Row],[cmbList]]-Table5[[#This Row],[Ovr]]))</f>
        <v/>
      </c>
      <c r="AD938" s="77" t="str">
        <f>IF(ISERROR(VLOOKUP($AB938&amp;"-"&amp;$E938&amp;" "&amp;F938,Bonuses!$B$1:$G$1006,4,FALSE)),"",INT(VLOOKUP($AB938&amp;"-"&amp;$E938&amp;" "&amp;$F938,Bonuses!$B$1:$G$1006,4,FALSE)))</f>
        <v/>
      </c>
      <c r="AE93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39" spans="1:31" s="50" customFormat="1" x14ac:dyDescent="0.25">
      <c r="A939" s="50">
        <v>18009</v>
      </c>
      <c r="B939" s="50">
        <f>COUNTIF(Table5[PID],A939)</f>
        <v>1</v>
      </c>
      <c r="C939" s="50" t="str">
        <f>IF(COUNTIF(Table3[[#All],[PID]],A939)&gt;0,"P","B")</f>
        <v>P</v>
      </c>
      <c r="D939" s="59" t="str">
        <f>IF($C939="B",INDEX(Batters[[#All],[POS]],MATCH(Table5[[#This Row],[PID]],Batters[[#All],[PID]],0)),INDEX(Table3[[#All],[POS]],MATCH(Table5[[#This Row],[PID]],Table3[[#All],[PID]],0)))</f>
        <v>RP</v>
      </c>
      <c r="E939" s="52" t="str">
        <f>IF($C939="B",INDEX(Batters[[#All],[First]],MATCH(Table5[[#This Row],[PID]],Batters[[#All],[PID]],0)),INDEX(Table3[[#All],[First]],MATCH(Table5[[#This Row],[PID]],Table3[[#All],[PID]],0)))</f>
        <v>Don</v>
      </c>
      <c r="F939" s="50" t="str">
        <f>IF($C939="B",INDEX(Batters[[#All],[Last]],MATCH(A939,Batters[[#All],[PID]],0)),INDEX(Table3[[#All],[Last]],MATCH(A939,Table3[[#All],[PID]],0)))</f>
        <v>Davis</v>
      </c>
      <c r="G939" s="56">
        <f>IF($C939="B",INDEX(Batters[[#All],[Age]],MATCH(Table5[[#This Row],[PID]],Batters[[#All],[PID]],0)),INDEX(Table3[[#All],[Age]],MATCH(Table5[[#This Row],[PID]],Table3[[#All],[PID]],0)))</f>
        <v>21</v>
      </c>
      <c r="H939" s="52" t="str">
        <f>IF($C939="B",INDEX(Batters[[#All],[B]],MATCH(Table5[[#This Row],[PID]],Batters[[#All],[PID]],0)),INDEX(Table3[[#All],[B]],MATCH(Table5[[#This Row],[PID]],Table3[[#All],[PID]],0)))</f>
        <v>R</v>
      </c>
      <c r="I939" s="52" t="str">
        <f>IF($C939="B",INDEX(Batters[[#All],[T]],MATCH(Table5[[#This Row],[PID]],Batters[[#All],[PID]],0)),INDEX(Table3[[#All],[T]],MATCH(Table5[[#This Row],[PID]],Table3[[#All],[PID]],0)))</f>
        <v>R</v>
      </c>
      <c r="J939" s="52" t="str">
        <f>IF($C939="B",INDEX(Batters[[#All],[WE]],MATCH(Table5[[#This Row],[PID]],Batters[[#All],[PID]],0)),INDEX(Table3[[#All],[WE]],MATCH(Table5[[#This Row],[PID]],Table3[[#All],[PID]],0)))</f>
        <v>Low</v>
      </c>
      <c r="K939" s="52" t="str">
        <f>IF($C939="B",INDEX(Batters[[#All],[INT]],MATCH(Table5[[#This Row],[PID]],Batters[[#All],[PID]],0)),INDEX(Table3[[#All],[INT]],MATCH(Table5[[#This Row],[PID]],Table3[[#All],[PID]],0)))</f>
        <v>High</v>
      </c>
      <c r="L939" s="60">
        <f>IF($C939="B",INDEX(Batters[[#All],[CON P]],MATCH(Table5[[#This Row],[PID]],Batters[[#All],[PID]],0)),INDEX(Table3[[#All],[STU P]],MATCH(Table5[[#This Row],[PID]],Table3[[#All],[PID]],0)))</f>
        <v>5</v>
      </c>
      <c r="M939" s="56">
        <f>IF($C939="B",INDEX(Batters[[#All],[GAP P]],MATCH(Table5[[#This Row],[PID]],Batters[[#All],[PID]],0)),INDEX(Table3[[#All],[MOV P]],MATCH(Table5[[#This Row],[PID]],Table3[[#All],[PID]],0)))</f>
        <v>1</v>
      </c>
      <c r="N939" s="56">
        <f>IF($C939="B",INDEX(Batters[[#All],[POW P]],MATCH(Table5[[#This Row],[PID]],Batters[[#All],[PID]],0)),INDEX(Table3[[#All],[CON P]],MATCH(Table5[[#This Row],[PID]],Table3[[#All],[PID]],0)))</f>
        <v>3</v>
      </c>
      <c r="O939" s="56" t="str">
        <f>IF($C939="B",INDEX(Batters[[#All],[EYE P]],MATCH(Table5[[#This Row],[PID]],Batters[[#All],[PID]],0)),INDEX(Table3[[#All],[VELO]],MATCH(Table5[[#This Row],[PID]],Table3[[#All],[PID]],0)))</f>
        <v>92-94 Mph</v>
      </c>
      <c r="P939" s="56">
        <f>IF($C939="B",INDEX(Batters[[#All],[K P]],MATCH(Table5[[#This Row],[PID]],Batters[[#All],[PID]],0)),INDEX(Table3[[#All],[STM]],MATCH(Table5[[#This Row],[PID]],Table3[[#All],[PID]],0)))</f>
        <v>2</v>
      </c>
      <c r="Q939" s="61">
        <f>IF($C939="B",INDEX(Batters[[#All],[Tot]],MATCH(Table5[[#This Row],[PID]],Batters[[#All],[PID]],0)),INDEX(Table3[[#All],[Tot]],MATCH(Table5[[#This Row],[PID]],Table3[[#All],[PID]],0)))</f>
        <v>28.323172169366558</v>
      </c>
      <c r="R939" s="52">
        <f>IF($C939="B",INDEX(Batters[[#All],[zScore]],MATCH(Table5[[#This Row],[PID]],Batters[[#All],[PID]],0)),INDEX(Table3[[#All],[zScore]],MATCH(Table5[[#This Row],[PID]],Table3[[#All],[PID]],0)))</f>
        <v>-0.50211392003470334</v>
      </c>
      <c r="S939" s="58" t="str">
        <f>IF($C939="B",INDEX(Batters[[#All],[DEM]],MATCH(Table5[[#This Row],[PID]],Batters[[#All],[PID]],0)),INDEX(Table3[[#All],[DEM]],MATCH(Table5[[#This Row],[PID]],Table3[[#All],[PID]],0)))</f>
        <v>-</v>
      </c>
      <c r="T939" s="62">
        <f>IF($C939="B",INDEX(Batters[[#All],[Rnk]],MATCH(Table5[[#This Row],[PID]],Batters[[#All],[PID]],0)),INDEX(Table3[[#All],[Rnk]],MATCH(Table5[[#This Row],[PID]],Table3[[#All],[PID]],0)))</f>
        <v>524</v>
      </c>
      <c r="U939" s="68">
        <f>IF($C939="B",VLOOKUP($A939,Bat!$A$4:$BA$1621,47,FALSE),VLOOKUP($A939,Pit!$A$4:$BF$1557,56,FALSE))</f>
        <v>0</v>
      </c>
      <c r="V939" s="50">
        <f>IF($C939="B",VLOOKUP($A939,Bat!$A$4:$BA$1621,48,FALSE),VLOOKUP($A939,Pit!$A$4:$BF$1557,57,FALSE))</f>
        <v>0</v>
      </c>
      <c r="W939" s="50">
        <f>Table5[[#This Row],[posRnk]]+Table5[[#This Row],[zRnk]]+IF($W$3&lt;&gt;Table5[[#This Row],[Type]],50,0)</f>
        <v>1432</v>
      </c>
      <c r="X939" s="51">
        <f>RANK(Table5[[#This Row],[zScore]],Table5[[#All],[zScore]])</f>
        <v>858</v>
      </c>
      <c r="Y939" s="50" t="str">
        <f>IFERROR(INDEX(DraftResults[[#All],[OVR]],MATCH(Table5[[#This Row],[PID]],DraftResults[[#All],[Player ID]],0)),"")</f>
        <v/>
      </c>
      <c r="Z9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39" s="50" t="str">
        <f>IFERROR(INDEX(DraftResults[[#All],[Pick in Round]],MATCH(Table5[[#This Row],[PID]],DraftResults[[#All],[Player ID]],0)),"")</f>
        <v/>
      </c>
      <c r="AB939" s="50" t="str">
        <f>IFERROR(INDEX(DraftResults[[#All],[Team Name]],MATCH(Table5[[#This Row],[PID]],DraftResults[[#All],[Player ID]],0)),"")</f>
        <v/>
      </c>
      <c r="AC939" s="50" t="str">
        <f>IF(Table5[[#This Row],[Ovr]]="","",IF(Table5[[#This Row],[cmbList]]="","",Table5[[#This Row],[cmbList]]-Table5[[#This Row],[Ovr]]))</f>
        <v/>
      </c>
      <c r="AD939" s="54" t="str">
        <f>IF(ISERROR(VLOOKUP($AB939&amp;"-"&amp;$E939&amp;" "&amp;F939,Bonuses!$B$1:$G$1006,4,FALSE)),"",INT(VLOOKUP($AB939&amp;"-"&amp;$E939&amp;" "&amp;$F939,Bonuses!$B$1:$G$1006,4,FALSE)))</f>
        <v/>
      </c>
      <c r="AE9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0" spans="1:31" s="50" customFormat="1" x14ac:dyDescent="0.25">
      <c r="A940" s="68">
        <v>17961</v>
      </c>
      <c r="B940" s="69">
        <f>COUNTIF(Table5[PID],A940)</f>
        <v>1</v>
      </c>
      <c r="C940" s="69" t="str">
        <f>IF(COUNTIF(Table3[[#All],[PID]],A940)&gt;0,"P","B")</f>
        <v>P</v>
      </c>
      <c r="D940" s="59" t="str">
        <f>IF($C940="B",INDEX(Batters[[#All],[POS]],MATCH(Table5[[#This Row],[PID]],Batters[[#All],[PID]],0)),INDEX(Table3[[#All],[POS]],MATCH(Table5[[#This Row],[PID]],Table3[[#All],[PID]],0)))</f>
        <v>SP</v>
      </c>
      <c r="E940" s="52" t="str">
        <f>IF($C940="B",INDEX(Batters[[#All],[First]],MATCH(Table5[[#This Row],[PID]],Batters[[#All],[PID]],0)),INDEX(Table3[[#All],[First]],MATCH(Table5[[#This Row],[PID]],Table3[[#All],[PID]],0)))</f>
        <v>Chris</v>
      </c>
      <c r="F940" s="55" t="str">
        <f>IF($C940="B",INDEX(Batters[[#All],[Last]],MATCH(A940,Batters[[#All],[PID]],0)),INDEX(Table3[[#All],[Last]],MATCH(A940,Table3[[#All],[PID]],0)))</f>
        <v>Quintero</v>
      </c>
      <c r="G940" s="56">
        <f>IF($C940="B",INDEX(Batters[[#All],[Age]],MATCH(Table5[[#This Row],[PID]],Batters[[#All],[PID]],0)),INDEX(Table3[[#All],[Age]],MATCH(Table5[[#This Row],[PID]],Table3[[#All],[PID]],0)))</f>
        <v>21</v>
      </c>
      <c r="H940" s="52" t="str">
        <f>IF($C940="B",INDEX(Batters[[#All],[B]],MATCH(Table5[[#This Row],[PID]],Batters[[#All],[PID]],0)),INDEX(Table3[[#All],[B]],MATCH(Table5[[#This Row],[PID]],Table3[[#All],[PID]],0)))</f>
        <v>L</v>
      </c>
      <c r="I940" s="52" t="str">
        <f>IF($C940="B",INDEX(Batters[[#All],[T]],MATCH(Table5[[#This Row],[PID]],Batters[[#All],[PID]],0)),INDEX(Table3[[#All],[T]],MATCH(Table5[[#This Row],[PID]],Table3[[#All],[PID]],0)))</f>
        <v>L</v>
      </c>
      <c r="J940" s="71" t="str">
        <f>IF($C940="B",INDEX(Batters[[#All],[WE]],MATCH(Table5[[#This Row],[PID]],Batters[[#All],[PID]],0)),INDEX(Table3[[#All],[WE]],MATCH(Table5[[#This Row],[PID]],Table3[[#All],[PID]],0)))</f>
        <v>Normal</v>
      </c>
      <c r="K940" s="52" t="str">
        <f>IF($C940="B",INDEX(Batters[[#All],[INT]],MATCH(Table5[[#This Row],[PID]],Batters[[#All],[PID]],0)),INDEX(Table3[[#All],[INT]],MATCH(Table5[[#This Row],[PID]],Table3[[#All],[PID]],0)))</f>
        <v>Normal</v>
      </c>
      <c r="L940" s="60">
        <f>IF($C940="B",INDEX(Batters[[#All],[CON P]],MATCH(Table5[[#This Row],[PID]],Batters[[#All],[PID]],0)),INDEX(Table3[[#All],[STU P]],MATCH(Table5[[#This Row],[PID]],Table3[[#All],[PID]],0)))</f>
        <v>4</v>
      </c>
      <c r="M940" s="72">
        <f>IF($C940="B",INDEX(Batters[[#All],[GAP P]],MATCH(Table5[[#This Row],[PID]],Batters[[#All],[PID]],0)),INDEX(Table3[[#All],[MOV P]],MATCH(Table5[[#This Row],[PID]],Table3[[#All],[PID]],0)))</f>
        <v>1</v>
      </c>
      <c r="N940" s="72">
        <f>IF($C940="B",INDEX(Batters[[#All],[POW P]],MATCH(Table5[[#This Row],[PID]],Batters[[#All],[PID]],0)),INDEX(Table3[[#All],[CON P]],MATCH(Table5[[#This Row],[PID]],Table3[[#All],[PID]],0)))</f>
        <v>4</v>
      </c>
      <c r="O940" s="72" t="str">
        <f>IF($C940="B",INDEX(Batters[[#All],[EYE P]],MATCH(Table5[[#This Row],[PID]],Batters[[#All],[PID]],0)),INDEX(Table3[[#All],[VELO]],MATCH(Table5[[#This Row],[PID]],Table3[[#All],[PID]],0)))</f>
        <v>90-92 Mph</v>
      </c>
      <c r="P940" s="56">
        <f>IF($C940="B",INDEX(Batters[[#All],[K P]],MATCH(Table5[[#This Row],[PID]],Batters[[#All],[PID]],0)),INDEX(Table3[[#All],[STM]],MATCH(Table5[[#This Row],[PID]],Table3[[#All],[PID]],0)))</f>
        <v>7</v>
      </c>
      <c r="Q940" s="61">
        <f>IF($C940="B",INDEX(Batters[[#All],[Tot]],MATCH(Table5[[#This Row],[PID]],Batters[[#All],[PID]],0)),INDEX(Table3[[#All],[Tot]],MATCH(Table5[[#This Row],[PID]],Table3[[#All],[PID]],0)))</f>
        <v>30.446493332916464</v>
      </c>
      <c r="R940" s="52">
        <f>IF($C940="B",INDEX(Batters[[#All],[zScore]],MATCH(Table5[[#This Row],[PID]],Batters[[#All],[PID]],0)),INDEX(Table3[[#All],[zScore]],MATCH(Table5[[#This Row],[PID]],Table3[[#All],[PID]],0)))</f>
        <v>-0.50397171745296099</v>
      </c>
      <c r="S940" s="78" t="str">
        <f>IF($C940="B",INDEX(Batters[[#All],[DEM]],MATCH(Table5[[#This Row],[PID]],Batters[[#All],[PID]],0)),INDEX(Table3[[#All],[DEM]],MATCH(Table5[[#This Row],[PID]],Table3[[#All],[PID]],0)))</f>
        <v>-</v>
      </c>
      <c r="T940" s="75">
        <f>IF($C940="B",INDEX(Batters[[#All],[Rnk]],MATCH(Table5[[#This Row],[PID]],Batters[[#All],[PID]],0)),INDEX(Table3[[#All],[Rnk]],MATCH(Table5[[#This Row],[PID]],Table3[[#All],[PID]],0)))</f>
        <v>525</v>
      </c>
      <c r="U940" s="68">
        <f>IF($C940="B",VLOOKUP($A940,Bat!$A$4:$BA$1621,47,FALSE),VLOOKUP($A940,Pit!$A$4:$BF$1557,56,FALSE))</f>
        <v>0</v>
      </c>
      <c r="V940" s="50">
        <f>IF($C940="B",VLOOKUP($A940,Bat!$A$4:$BA$1621,48,FALSE),VLOOKUP($A940,Pit!$A$4:$BF$1557,57,FALSE))</f>
        <v>0</v>
      </c>
      <c r="W940" s="69">
        <f>Table5[[#This Row],[posRnk]]+Table5[[#This Row],[zRnk]]+IF($W$3&lt;&gt;Table5[[#This Row],[Type]],50,0)</f>
        <v>1435</v>
      </c>
      <c r="X940" s="73">
        <f>RANK(Table5[[#This Row],[zScore]],Table5[[#All],[zScore]])</f>
        <v>860</v>
      </c>
      <c r="Y940" s="69" t="str">
        <f>IFERROR(INDEX(DraftResults[[#All],[OVR]],MATCH(Table5[[#This Row],[PID]],DraftResults[[#All],[Player ID]],0)),"")</f>
        <v/>
      </c>
      <c r="Z94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0" s="69" t="str">
        <f>IFERROR(INDEX(DraftResults[[#All],[Pick in Round]],MATCH(Table5[[#This Row],[PID]],DraftResults[[#All],[Player ID]],0)),"")</f>
        <v/>
      </c>
      <c r="AB940" s="69" t="str">
        <f>IFERROR(INDEX(DraftResults[[#All],[Team Name]],MATCH(Table5[[#This Row],[PID]],DraftResults[[#All],[Player ID]],0)),"")</f>
        <v/>
      </c>
      <c r="AC940" s="69" t="str">
        <f>IF(Table5[[#This Row],[Ovr]]="","",IF(Table5[[#This Row],[cmbList]]="","",Table5[[#This Row],[cmbList]]-Table5[[#This Row],[Ovr]]))</f>
        <v/>
      </c>
      <c r="AD940" s="77" t="str">
        <f>IF(ISERROR(VLOOKUP($AB940&amp;"-"&amp;$E940&amp;" "&amp;F940,Bonuses!$B$1:$G$1006,4,FALSE)),"",INT(VLOOKUP($AB940&amp;"-"&amp;$E940&amp;" "&amp;$F940,Bonuses!$B$1:$G$1006,4,FALSE)))</f>
        <v/>
      </c>
      <c r="AE94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1" spans="1:31" s="50" customFormat="1" x14ac:dyDescent="0.25">
      <c r="A941" s="50">
        <v>17968</v>
      </c>
      <c r="B941" s="50">
        <f>COUNTIF(Table5[PID],A941)</f>
        <v>1</v>
      </c>
      <c r="C941" s="50" t="str">
        <f>IF(COUNTIF(Table3[[#All],[PID]],A941)&gt;0,"P","B")</f>
        <v>P</v>
      </c>
      <c r="D941" s="59" t="str">
        <f>IF($C941="B",INDEX(Batters[[#All],[POS]],MATCH(Table5[[#This Row],[PID]],Batters[[#All],[PID]],0)),INDEX(Table3[[#All],[POS]],MATCH(Table5[[#This Row],[PID]],Table3[[#All],[PID]],0)))</f>
        <v>RP</v>
      </c>
      <c r="E941" s="52" t="str">
        <f>IF($C941="B",INDEX(Batters[[#All],[First]],MATCH(Table5[[#This Row],[PID]],Batters[[#All],[PID]],0)),INDEX(Table3[[#All],[First]],MATCH(Table5[[#This Row],[PID]],Table3[[#All],[PID]],0)))</f>
        <v>Jack</v>
      </c>
      <c r="F941" s="50" t="str">
        <f>IF($C941="B",INDEX(Batters[[#All],[Last]],MATCH(A941,Batters[[#All],[PID]],0)),INDEX(Table3[[#All],[Last]],MATCH(A941,Table3[[#All],[PID]],0)))</f>
        <v>Neal</v>
      </c>
      <c r="G941" s="56">
        <f>IF($C941="B",INDEX(Batters[[#All],[Age]],MATCH(Table5[[#This Row],[PID]],Batters[[#All],[PID]],0)),INDEX(Table3[[#All],[Age]],MATCH(Table5[[#This Row],[PID]],Table3[[#All],[PID]],0)))</f>
        <v>21</v>
      </c>
      <c r="H941" s="52" t="str">
        <f>IF($C941="B",INDEX(Batters[[#All],[B]],MATCH(Table5[[#This Row],[PID]],Batters[[#All],[PID]],0)),INDEX(Table3[[#All],[B]],MATCH(Table5[[#This Row],[PID]],Table3[[#All],[PID]],0)))</f>
        <v>R</v>
      </c>
      <c r="I941" s="52" t="str">
        <f>IF($C941="B",INDEX(Batters[[#All],[T]],MATCH(Table5[[#This Row],[PID]],Batters[[#All],[PID]],0)),INDEX(Table3[[#All],[T]],MATCH(Table5[[#This Row],[PID]],Table3[[#All],[PID]],0)))</f>
        <v>R</v>
      </c>
      <c r="J941" s="52" t="str">
        <f>IF($C941="B",INDEX(Batters[[#All],[WE]],MATCH(Table5[[#This Row],[PID]],Batters[[#All],[PID]],0)),INDEX(Table3[[#All],[WE]],MATCH(Table5[[#This Row],[PID]],Table3[[#All],[PID]],0)))</f>
        <v>Low</v>
      </c>
      <c r="K941" s="52" t="str">
        <f>IF($C941="B",INDEX(Batters[[#All],[INT]],MATCH(Table5[[#This Row],[PID]],Batters[[#All],[PID]],0)),INDEX(Table3[[#All],[INT]],MATCH(Table5[[#This Row],[PID]],Table3[[#All],[PID]],0)))</f>
        <v>Low</v>
      </c>
      <c r="L941" s="60">
        <f>IF($C941="B",INDEX(Batters[[#All],[CON P]],MATCH(Table5[[#This Row],[PID]],Batters[[#All],[PID]],0)),INDEX(Table3[[#All],[STU P]],MATCH(Table5[[#This Row],[PID]],Table3[[#All],[PID]],0)))</f>
        <v>4</v>
      </c>
      <c r="M941" s="56">
        <f>IF($C941="B",INDEX(Batters[[#All],[GAP P]],MATCH(Table5[[#This Row],[PID]],Batters[[#All],[PID]],0)),INDEX(Table3[[#All],[MOV P]],MATCH(Table5[[#This Row],[PID]],Table3[[#All],[PID]],0)))</f>
        <v>2</v>
      </c>
      <c r="N941" s="56">
        <f>IF($C941="B",INDEX(Batters[[#All],[POW P]],MATCH(Table5[[#This Row],[PID]],Batters[[#All],[PID]],0)),INDEX(Table3[[#All],[CON P]],MATCH(Table5[[#This Row],[PID]],Table3[[#All],[PID]],0)))</f>
        <v>3</v>
      </c>
      <c r="O941" s="56" t="str">
        <f>IF($C941="B",INDEX(Batters[[#All],[EYE P]],MATCH(Table5[[#This Row],[PID]],Batters[[#All],[PID]],0)),INDEX(Table3[[#All],[VELO]],MATCH(Table5[[#This Row],[PID]],Table3[[#All],[PID]],0)))</f>
        <v>93-95 Mph</v>
      </c>
      <c r="P941" s="56">
        <f>IF($C941="B",INDEX(Batters[[#All],[K P]],MATCH(Table5[[#This Row],[PID]],Batters[[#All],[PID]],0)),INDEX(Table3[[#All],[STM]],MATCH(Table5[[#This Row],[PID]],Table3[[#All],[PID]],0)))</f>
        <v>9</v>
      </c>
      <c r="Q941" s="61">
        <f>IF($C941="B",INDEX(Batters[[#All],[Tot]],MATCH(Table5[[#This Row],[PID]],Batters[[#All],[PID]],0)),INDEX(Table3[[#All],[Tot]],MATCH(Table5[[#This Row],[PID]],Table3[[#All],[PID]],0)))</f>
        <v>28.245483756297695</v>
      </c>
      <c r="R941" s="52">
        <f>IF($C941="B",INDEX(Batters[[#All],[zScore]],MATCH(Table5[[#This Row],[PID]],Batters[[#All],[PID]],0)),INDEX(Table3[[#All],[zScore]],MATCH(Table5[[#This Row],[PID]],Table3[[#All],[PID]],0)))</f>
        <v>-0.50728241143982389</v>
      </c>
      <c r="S941" s="58" t="str">
        <f>IF($C941="B",INDEX(Batters[[#All],[DEM]],MATCH(Table5[[#This Row],[PID]],Batters[[#All],[PID]],0)),INDEX(Table3[[#All],[DEM]],MATCH(Table5[[#This Row],[PID]],Table3[[#All],[PID]],0)))</f>
        <v>-</v>
      </c>
      <c r="T941" s="62">
        <f>IF($C941="B",INDEX(Batters[[#All],[Rnk]],MATCH(Table5[[#This Row],[PID]],Batters[[#All],[PID]],0)),INDEX(Table3[[#All],[Rnk]],MATCH(Table5[[#This Row],[PID]],Table3[[#All],[PID]],0)))</f>
        <v>526</v>
      </c>
      <c r="U941" s="68">
        <f>IF($C941="B",VLOOKUP($A941,Bat!$A$4:$BA$1621,47,FALSE),VLOOKUP($A941,Pit!$A$4:$BF$1557,56,FALSE))</f>
        <v>0</v>
      </c>
      <c r="V941" s="50">
        <f>IF($C941="B",VLOOKUP($A941,Bat!$A$4:$BA$1621,48,FALSE),VLOOKUP($A941,Pit!$A$4:$BF$1557,57,FALSE))</f>
        <v>0</v>
      </c>
      <c r="W941" s="50">
        <f>Table5[[#This Row],[posRnk]]+Table5[[#This Row],[zRnk]]+IF($W$3&lt;&gt;Table5[[#This Row],[Type]],50,0)</f>
        <v>1437</v>
      </c>
      <c r="X941" s="51">
        <f>RANK(Table5[[#This Row],[zScore]],Table5[[#All],[zScore]])</f>
        <v>861</v>
      </c>
      <c r="Y941" s="50" t="str">
        <f>IFERROR(INDEX(DraftResults[[#All],[OVR]],MATCH(Table5[[#This Row],[PID]],DraftResults[[#All],[Player ID]],0)),"")</f>
        <v/>
      </c>
      <c r="Z9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1" s="50" t="str">
        <f>IFERROR(INDEX(DraftResults[[#All],[Pick in Round]],MATCH(Table5[[#This Row],[PID]],DraftResults[[#All],[Player ID]],0)),"")</f>
        <v/>
      </c>
      <c r="AB941" s="50" t="str">
        <f>IFERROR(INDEX(DraftResults[[#All],[Team Name]],MATCH(Table5[[#This Row],[PID]],DraftResults[[#All],[Player ID]],0)),"")</f>
        <v/>
      </c>
      <c r="AC941" s="50" t="str">
        <f>IF(Table5[[#This Row],[Ovr]]="","",IF(Table5[[#This Row],[cmbList]]="","",Table5[[#This Row],[cmbList]]-Table5[[#This Row],[Ovr]]))</f>
        <v/>
      </c>
      <c r="AD941" s="54" t="str">
        <f>IF(ISERROR(VLOOKUP($AB941&amp;"-"&amp;$E941&amp;" "&amp;F941,Bonuses!$B$1:$G$1006,4,FALSE)),"",INT(VLOOKUP($AB941&amp;"-"&amp;$E941&amp;" "&amp;$F941,Bonuses!$B$1:$G$1006,4,FALSE)))</f>
        <v/>
      </c>
      <c r="AE9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2" spans="1:31" s="50" customFormat="1" x14ac:dyDescent="0.25">
      <c r="A942" s="50">
        <v>20277</v>
      </c>
      <c r="B942" s="50">
        <f>COUNTIF(Table5[PID],A942)</f>
        <v>2</v>
      </c>
      <c r="C942" s="50" t="str">
        <f>IF(COUNTIF(Table3[[#All],[PID]],A942)&gt;0,"P","B")</f>
        <v>P</v>
      </c>
      <c r="D942" s="59" t="str">
        <f>IF($C942="B",INDEX(Batters[[#All],[POS]],MATCH(Table5[[#This Row],[PID]],Batters[[#All],[PID]],0)),INDEX(Table3[[#All],[POS]],MATCH(Table5[[#This Row],[PID]],Table3[[#All],[PID]],0)))</f>
        <v>RP</v>
      </c>
      <c r="E942" s="52" t="str">
        <f>IF($C942="B",INDEX(Batters[[#All],[First]],MATCH(Table5[[#This Row],[PID]],Batters[[#All],[PID]],0)),INDEX(Table3[[#All],[First]],MATCH(Table5[[#This Row],[PID]],Table3[[#All],[PID]],0)))</f>
        <v>Hsin-pei</v>
      </c>
      <c r="F942" s="50" t="str">
        <f>IF($C942="B",INDEX(Batters[[#All],[Last]],MATCH(A942,Batters[[#All],[PID]],0)),INDEX(Table3[[#All],[Last]],MATCH(A942,Table3[[#All],[PID]],0)))</f>
        <v>Wang</v>
      </c>
      <c r="G942" s="56">
        <f>IF($C942="B",INDEX(Batters[[#All],[Age]],MATCH(Table5[[#This Row],[PID]],Batters[[#All],[PID]],0)),INDEX(Table3[[#All],[Age]],MATCH(Table5[[#This Row],[PID]],Table3[[#All],[PID]],0)))</f>
        <v>21</v>
      </c>
      <c r="H942" s="52" t="str">
        <f>IF($C942="B",INDEX(Batters[[#All],[B]],MATCH(Table5[[#This Row],[PID]],Batters[[#All],[PID]],0)),INDEX(Table3[[#All],[B]],MATCH(Table5[[#This Row],[PID]],Table3[[#All],[PID]],0)))</f>
        <v>R</v>
      </c>
      <c r="I942" s="52" t="str">
        <f>IF($C942="B",INDEX(Batters[[#All],[T]],MATCH(Table5[[#This Row],[PID]],Batters[[#All],[PID]],0)),INDEX(Table3[[#All],[T]],MATCH(Table5[[#This Row],[PID]],Table3[[#All],[PID]],0)))</f>
        <v>R</v>
      </c>
      <c r="J942" s="52" t="str">
        <f>IF($C942="B",INDEX(Batters[[#All],[WE]],MATCH(Table5[[#This Row],[PID]],Batters[[#All],[PID]],0)),INDEX(Table3[[#All],[WE]],MATCH(Table5[[#This Row],[PID]],Table3[[#All],[PID]],0)))</f>
        <v>Low</v>
      </c>
      <c r="K942" s="52" t="str">
        <f>IF($C942="B",INDEX(Batters[[#All],[INT]],MATCH(Table5[[#This Row],[PID]],Batters[[#All],[PID]],0)),INDEX(Table3[[#All],[INT]],MATCH(Table5[[#This Row],[PID]],Table3[[#All],[PID]],0)))</f>
        <v>Normal</v>
      </c>
      <c r="L942" s="60">
        <f>IF($C942="B",INDEX(Batters[[#All],[CON P]],MATCH(Table5[[#This Row],[PID]],Batters[[#All],[PID]],0)),INDEX(Table3[[#All],[STU P]],MATCH(Table5[[#This Row],[PID]],Table3[[#All],[PID]],0)))</f>
        <v>4</v>
      </c>
      <c r="M942" s="56">
        <f>IF($C942="B",INDEX(Batters[[#All],[GAP P]],MATCH(Table5[[#This Row],[PID]],Batters[[#All],[PID]],0)),INDEX(Table3[[#All],[MOV P]],MATCH(Table5[[#This Row],[PID]],Table3[[#All],[PID]],0)))</f>
        <v>3</v>
      </c>
      <c r="N942" s="56">
        <f>IF($C942="B",INDEX(Batters[[#All],[POW P]],MATCH(Table5[[#This Row],[PID]],Batters[[#All],[PID]],0)),INDEX(Table3[[#All],[CON P]],MATCH(Table5[[#This Row],[PID]],Table3[[#All],[PID]],0)))</f>
        <v>4</v>
      </c>
      <c r="O942" s="56" t="str">
        <f>IF($C942="B",INDEX(Batters[[#All],[EYE P]],MATCH(Table5[[#This Row],[PID]],Batters[[#All],[PID]],0)),INDEX(Table3[[#All],[VELO]],MATCH(Table5[[#This Row],[PID]],Table3[[#All],[PID]],0)))</f>
        <v>91-93 Mph</v>
      </c>
      <c r="P942" s="56">
        <f>IF($C942="B",INDEX(Batters[[#All],[K P]],MATCH(Table5[[#This Row],[PID]],Batters[[#All],[PID]],0)),INDEX(Table3[[#All],[STM]],MATCH(Table5[[#This Row],[PID]],Table3[[#All],[PID]],0)))</f>
        <v>1</v>
      </c>
      <c r="Q942" s="61">
        <f>IF($C942="B",INDEX(Batters[[#All],[Tot]],MATCH(Table5[[#This Row],[PID]],Batters[[#All],[PID]],0)),INDEX(Table3[[#All],[Tot]],MATCH(Table5[[#This Row],[PID]],Table3[[#All],[PID]],0)))</f>
        <v>29.766156360840917</v>
      </c>
      <c r="R942" s="52">
        <f>IF($C942="B",INDEX(Batters[[#All],[zScore]],MATCH(Table5[[#This Row],[PID]],Batters[[#All],[PID]],0)),INDEX(Table3[[#All],[zScore]],MATCH(Table5[[#This Row],[PID]],Table3[[#All],[PID]],0)))</f>
        <v>-0.50750117551839968</v>
      </c>
      <c r="S942" s="58" t="str">
        <f>IF($C942="B",INDEX(Batters[[#All],[DEM]],MATCH(Table5[[#This Row],[PID]],Batters[[#All],[PID]],0)),INDEX(Table3[[#All],[DEM]],MATCH(Table5[[#This Row],[PID]],Table3[[#All],[PID]],0)))</f>
        <v>$20k</v>
      </c>
      <c r="T942" s="62">
        <f>IF($C942="B",INDEX(Batters[[#All],[Rnk]],MATCH(Table5[[#This Row],[PID]],Batters[[#All],[PID]],0)),INDEX(Table3[[#All],[Rnk]],MATCH(Table5[[#This Row],[PID]],Table3[[#All],[PID]],0)))</f>
        <v>527</v>
      </c>
      <c r="U942" s="68">
        <f>IF($C942="B",VLOOKUP($A942,Bat!$A$4:$BA$1621,47,FALSE),VLOOKUP($A942,Pit!$A$4:$BF$1557,56,FALSE))</f>
        <v>0</v>
      </c>
      <c r="V942" s="50">
        <f>IF($C942="B",VLOOKUP($A942,Bat!$A$4:$BA$1621,48,FALSE),VLOOKUP($A942,Pit!$A$4:$BF$1557,57,FALSE))</f>
        <v>0</v>
      </c>
      <c r="W942" s="50">
        <f>Table5[[#This Row],[posRnk]]+Table5[[#This Row],[zRnk]]+IF($W$3&lt;&gt;Table5[[#This Row],[Type]],50,0)</f>
        <v>1439</v>
      </c>
      <c r="X942" s="51">
        <f>RANK(Table5[[#This Row],[zScore]],Table5[[#All],[zScore]])</f>
        <v>862</v>
      </c>
      <c r="Y942" s="50" t="str">
        <f>IFERROR(INDEX(DraftResults[[#All],[OVR]],MATCH(Table5[[#This Row],[PID]],DraftResults[[#All],[Player ID]],0)),"")</f>
        <v/>
      </c>
      <c r="Z9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2" s="50" t="str">
        <f>IFERROR(INDEX(DraftResults[[#All],[Pick in Round]],MATCH(Table5[[#This Row],[PID]],DraftResults[[#All],[Player ID]],0)),"")</f>
        <v/>
      </c>
      <c r="AB942" s="50" t="str">
        <f>IFERROR(INDEX(DraftResults[[#All],[Team Name]],MATCH(Table5[[#This Row],[PID]],DraftResults[[#All],[Player ID]],0)),"")</f>
        <v/>
      </c>
      <c r="AC942" s="50" t="str">
        <f>IF(Table5[[#This Row],[Ovr]]="","",IF(Table5[[#This Row],[cmbList]]="","",Table5[[#This Row],[cmbList]]-Table5[[#This Row],[Ovr]]))</f>
        <v/>
      </c>
      <c r="AD942" s="54" t="str">
        <f>IF(ISERROR(VLOOKUP($AB942&amp;"-"&amp;$E942&amp;" "&amp;F942,Bonuses!$B$1:$G$1006,4,FALSE)),"",INT(VLOOKUP($AB942&amp;"-"&amp;$E942&amp;" "&amp;$F942,Bonuses!$B$1:$G$1006,4,FALSE)))</f>
        <v/>
      </c>
      <c r="AE9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3" spans="1:31" s="50" customFormat="1" x14ac:dyDescent="0.25">
      <c r="A943" s="50">
        <v>20277</v>
      </c>
      <c r="B943" s="50">
        <f>COUNTIF(Table5[PID],A943)</f>
        <v>2</v>
      </c>
      <c r="C943" s="50" t="str">
        <f>IF(COUNTIF(Table3[[#All],[PID]],A943)&gt;0,"P","B")</f>
        <v>P</v>
      </c>
      <c r="D943" s="59" t="str">
        <f>IF($C943="B",INDEX(Batters[[#All],[POS]],MATCH(Table5[[#This Row],[PID]],Batters[[#All],[PID]],0)),INDEX(Table3[[#All],[POS]],MATCH(Table5[[#This Row],[PID]],Table3[[#All],[PID]],0)))</f>
        <v>RP</v>
      </c>
      <c r="E943" s="52" t="str">
        <f>IF($C943="B",INDEX(Batters[[#All],[First]],MATCH(Table5[[#This Row],[PID]],Batters[[#All],[PID]],0)),INDEX(Table3[[#All],[First]],MATCH(Table5[[#This Row],[PID]],Table3[[#All],[PID]],0)))</f>
        <v>Hsin-pei</v>
      </c>
      <c r="F943" s="50" t="str">
        <f>IF($C943="B",INDEX(Batters[[#All],[Last]],MATCH(A943,Batters[[#All],[PID]],0)),INDEX(Table3[[#All],[Last]],MATCH(A943,Table3[[#All],[PID]],0)))</f>
        <v>Wang</v>
      </c>
      <c r="G943" s="56">
        <f>IF($C943="B",INDEX(Batters[[#All],[Age]],MATCH(Table5[[#This Row],[PID]],Batters[[#All],[PID]],0)),INDEX(Table3[[#All],[Age]],MATCH(Table5[[#This Row],[PID]],Table3[[#All],[PID]],0)))</f>
        <v>21</v>
      </c>
      <c r="H943" s="52" t="str">
        <f>IF($C943="B",INDEX(Batters[[#All],[B]],MATCH(Table5[[#This Row],[PID]],Batters[[#All],[PID]],0)),INDEX(Table3[[#All],[B]],MATCH(Table5[[#This Row],[PID]],Table3[[#All],[PID]],0)))</f>
        <v>R</v>
      </c>
      <c r="I943" s="52" t="str">
        <f>IF($C943="B",INDEX(Batters[[#All],[T]],MATCH(Table5[[#This Row],[PID]],Batters[[#All],[PID]],0)),INDEX(Table3[[#All],[T]],MATCH(Table5[[#This Row],[PID]],Table3[[#All],[PID]],0)))</f>
        <v>R</v>
      </c>
      <c r="J943" s="52" t="str">
        <f>IF($C943="B",INDEX(Batters[[#All],[WE]],MATCH(Table5[[#This Row],[PID]],Batters[[#All],[PID]],0)),INDEX(Table3[[#All],[WE]],MATCH(Table5[[#This Row],[PID]],Table3[[#All],[PID]],0)))</f>
        <v>Low</v>
      </c>
      <c r="K943" s="52" t="str">
        <f>IF($C943="B",INDEX(Batters[[#All],[INT]],MATCH(Table5[[#This Row],[PID]],Batters[[#All],[PID]],0)),INDEX(Table3[[#All],[INT]],MATCH(Table5[[#This Row],[PID]],Table3[[#All],[PID]],0)))</f>
        <v>Normal</v>
      </c>
      <c r="L943" s="60">
        <f>IF($C943="B",INDEX(Batters[[#All],[CON P]],MATCH(Table5[[#This Row],[PID]],Batters[[#All],[PID]],0)),INDEX(Table3[[#All],[STU P]],MATCH(Table5[[#This Row],[PID]],Table3[[#All],[PID]],0)))</f>
        <v>4</v>
      </c>
      <c r="M943" s="56">
        <f>IF($C943="B",INDEX(Batters[[#All],[GAP P]],MATCH(Table5[[#This Row],[PID]],Batters[[#All],[PID]],0)),INDEX(Table3[[#All],[MOV P]],MATCH(Table5[[#This Row],[PID]],Table3[[#All],[PID]],0)))</f>
        <v>3</v>
      </c>
      <c r="N943" s="56">
        <f>IF($C943="B",INDEX(Batters[[#All],[POW P]],MATCH(Table5[[#This Row],[PID]],Batters[[#All],[PID]],0)),INDEX(Table3[[#All],[CON P]],MATCH(Table5[[#This Row],[PID]],Table3[[#All],[PID]],0)))</f>
        <v>4</v>
      </c>
      <c r="O943" s="56" t="str">
        <f>IF($C943="B",INDEX(Batters[[#All],[EYE P]],MATCH(Table5[[#This Row],[PID]],Batters[[#All],[PID]],0)),INDEX(Table3[[#All],[VELO]],MATCH(Table5[[#This Row],[PID]],Table3[[#All],[PID]],0)))</f>
        <v>91-93 Mph</v>
      </c>
      <c r="P943" s="56">
        <f>IF($C943="B",INDEX(Batters[[#All],[K P]],MATCH(Table5[[#This Row],[PID]],Batters[[#All],[PID]],0)),INDEX(Table3[[#All],[STM]],MATCH(Table5[[#This Row],[PID]],Table3[[#All],[PID]],0)))</f>
        <v>1</v>
      </c>
      <c r="Q943" s="61">
        <f>IF($C943="B",INDEX(Batters[[#All],[Tot]],MATCH(Table5[[#This Row],[PID]],Batters[[#All],[PID]],0)),INDEX(Table3[[#All],[Tot]],MATCH(Table5[[#This Row],[PID]],Table3[[#All],[PID]],0)))</f>
        <v>29.766156360840917</v>
      </c>
      <c r="R943" s="52">
        <f>IF($C943="B",INDEX(Batters[[#All],[zScore]],MATCH(Table5[[#This Row],[PID]],Batters[[#All],[PID]],0)),INDEX(Table3[[#All],[zScore]],MATCH(Table5[[#This Row],[PID]],Table3[[#All],[PID]],0)))</f>
        <v>-0.50750117551839968</v>
      </c>
      <c r="S943" s="58" t="str">
        <f>IF($C943="B",INDEX(Batters[[#All],[DEM]],MATCH(Table5[[#This Row],[PID]],Batters[[#All],[PID]],0)),INDEX(Table3[[#All],[DEM]],MATCH(Table5[[#This Row],[PID]],Table3[[#All],[PID]],0)))</f>
        <v>$20k</v>
      </c>
      <c r="T943" s="62">
        <f>IF($C943="B",INDEX(Batters[[#All],[Rnk]],MATCH(Table5[[#This Row],[PID]],Batters[[#All],[PID]],0)),INDEX(Table3[[#All],[Rnk]],MATCH(Table5[[#This Row],[PID]],Table3[[#All],[PID]],0)))</f>
        <v>527</v>
      </c>
      <c r="U943" s="68">
        <f>IF($C943="B",VLOOKUP($A943,Bat!$A$4:$BA$1621,47,FALSE),VLOOKUP($A943,Pit!$A$4:$BF$1557,56,FALSE))</f>
        <v>0</v>
      </c>
      <c r="V943" s="50">
        <f>IF($C943="B",VLOOKUP($A943,Bat!$A$4:$BA$1621,48,FALSE),VLOOKUP($A943,Pit!$A$4:$BF$1557,57,FALSE))</f>
        <v>0</v>
      </c>
      <c r="W943" s="50">
        <f>Table5[[#This Row],[posRnk]]+Table5[[#This Row],[zRnk]]+IF($W$3&lt;&gt;Table5[[#This Row],[Type]],50,0)</f>
        <v>1439</v>
      </c>
      <c r="X943" s="51">
        <f>RANK(Table5[[#This Row],[zScore]],Table5[[#All],[zScore]])</f>
        <v>862</v>
      </c>
      <c r="Y943" s="50" t="str">
        <f>IFERROR(INDEX(DraftResults[[#All],[OVR]],MATCH(Table5[[#This Row],[PID]],DraftResults[[#All],[Player ID]],0)),"")</f>
        <v/>
      </c>
      <c r="Z9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3" s="50" t="str">
        <f>IFERROR(INDEX(DraftResults[[#All],[Pick in Round]],MATCH(Table5[[#This Row],[PID]],DraftResults[[#All],[Player ID]],0)),"")</f>
        <v/>
      </c>
      <c r="AB943" s="50" t="str">
        <f>IFERROR(INDEX(DraftResults[[#All],[Team Name]],MATCH(Table5[[#This Row],[PID]],DraftResults[[#All],[Player ID]],0)),"")</f>
        <v/>
      </c>
      <c r="AC943" s="50" t="str">
        <f>IF(Table5[[#This Row],[Ovr]]="","",IF(Table5[[#This Row],[cmbList]]="","",Table5[[#This Row],[cmbList]]-Table5[[#This Row],[Ovr]]))</f>
        <v/>
      </c>
      <c r="AD943" s="54" t="str">
        <f>IF(ISERROR(VLOOKUP($AB943&amp;"-"&amp;$E943&amp;" "&amp;F943,Bonuses!$B$1:$G$1006,4,FALSE)),"",INT(VLOOKUP($AB943&amp;"-"&amp;$E943&amp;" "&amp;$F943,Bonuses!$B$1:$G$1006,4,FALSE)))</f>
        <v/>
      </c>
      <c r="AE9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4" spans="1:31" s="50" customFormat="1" x14ac:dyDescent="0.25">
      <c r="A944" s="50">
        <v>17777</v>
      </c>
      <c r="B944" s="50">
        <f>COUNTIF(Table5[PID],A944)</f>
        <v>1</v>
      </c>
      <c r="C944" s="50" t="str">
        <f>IF(COUNTIF(Table3[[#All],[PID]],A944)&gt;0,"P","B")</f>
        <v>P</v>
      </c>
      <c r="D944" s="59" t="str">
        <f>IF($C944="B",INDEX(Batters[[#All],[POS]],MATCH(Table5[[#This Row],[PID]],Batters[[#All],[PID]],0)),INDEX(Table3[[#All],[POS]],MATCH(Table5[[#This Row],[PID]],Table3[[#All],[PID]],0)))</f>
        <v>RP</v>
      </c>
      <c r="E944" s="52" t="str">
        <f>IF($C944="B",INDEX(Batters[[#All],[First]],MATCH(Table5[[#This Row],[PID]],Batters[[#All],[PID]],0)),INDEX(Table3[[#All],[First]],MATCH(Table5[[#This Row],[PID]],Table3[[#All],[PID]],0)))</f>
        <v>Kojuro</v>
      </c>
      <c r="F944" s="50" t="str">
        <f>IF($C944="B",INDEX(Batters[[#All],[Last]],MATCH(A944,Batters[[#All],[PID]],0)),INDEX(Table3[[#All],[Last]],MATCH(A944,Table3[[#All],[PID]],0)))</f>
        <v>Suzuki</v>
      </c>
      <c r="G944" s="56">
        <f>IF($C944="B",INDEX(Batters[[#All],[Age]],MATCH(Table5[[#This Row],[PID]],Batters[[#All],[PID]],0)),INDEX(Table3[[#All],[Age]],MATCH(Table5[[#This Row],[PID]],Table3[[#All],[PID]],0)))</f>
        <v>22</v>
      </c>
      <c r="H944" s="52" t="str">
        <f>IF($C944="B",INDEX(Batters[[#All],[B]],MATCH(Table5[[#This Row],[PID]],Batters[[#All],[PID]],0)),INDEX(Table3[[#All],[B]],MATCH(Table5[[#This Row],[PID]],Table3[[#All],[PID]],0)))</f>
        <v>L</v>
      </c>
      <c r="I944" s="52" t="str">
        <f>IF($C944="B",INDEX(Batters[[#All],[T]],MATCH(Table5[[#This Row],[PID]],Batters[[#All],[PID]],0)),INDEX(Table3[[#All],[T]],MATCH(Table5[[#This Row],[PID]],Table3[[#All],[PID]],0)))</f>
        <v>L</v>
      </c>
      <c r="J944" s="52" t="str">
        <f>IF($C944="B",INDEX(Batters[[#All],[WE]],MATCH(Table5[[#This Row],[PID]],Batters[[#All],[PID]],0)),INDEX(Table3[[#All],[WE]],MATCH(Table5[[#This Row],[PID]],Table3[[#All],[PID]],0)))</f>
        <v>Normal</v>
      </c>
      <c r="K944" s="52" t="str">
        <f>IF($C944="B",INDEX(Batters[[#All],[INT]],MATCH(Table5[[#This Row],[PID]],Batters[[#All],[PID]],0)),INDEX(Table3[[#All],[INT]],MATCH(Table5[[#This Row],[PID]],Table3[[#All],[PID]],0)))</f>
        <v>Normal</v>
      </c>
      <c r="L944" s="60">
        <f>IF($C944="B",INDEX(Batters[[#All],[CON P]],MATCH(Table5[[#This Row],[PID]],Batters[[#All],[PID]],0)),INDEX(Table3[[#All],[STU P]],MATCH(Table5[[#This Row],[PID]],Table3[[#All],[PID]],0)))</f>
        <v>5</v>
      </c>
      <c r="M944" s="56">
        <f>IF($C944="B",INDEX(Batters[[#All],[GAP P]],MATCH(Table5[[#This Row],[PID]],Batters[[#All],[PID]],0)),INDEX(Table3[[#All],[MOV P]],MATCH(Table5[[#This Row],[PID]],Table3[[#All],[PID]],0)))</f>
        <v>2</v>
      </c>
      <c r="N944" s="56">
        <f>IF($C944="B",INDEX(Batters[[#All],[POW P]],MATCH(Table5[[#This Row],[PID]],Batters[[#All],[PID]],0)),INDEX(Table3[[#All],[CON P]],MATCH(Table5[[#This Row],[PID]],Table3[[#All],[PID]],0)))</f>
        <v>2</v>
      </c>
      <c r="O944" s="56" t="str">
        <f>IF($C944="B",INDEX(Batters[[#All],[EYE P]],MATCH(Table5[[#This Row],[PID]],Batters[[#All],[PID]],0)),INDEX(Table3[[#All],[VELO]],MATCH(Table5[[#This Row],[PID]],Table3[[#All],[PID]],0)))</f>
        <v>87-89 Mph</v>
      </c>
      <c r="P944" s="56">
        <f>IF($C944="B",INDEX(Batters[[#All],[K P]],MATCH(Table5[[#This Row],[PID]],Batters[[#All],[PID]],0)),INDEX(Table3[[#All],[STM]],MATCH(Table5[[#This Row],[PID]],Table3[[#All],[PID]],0)))</f>
        <v>7</v>
      </c>
      <c r="Q944" s="61">
        <f>IF($C944="B",INDEX(Batters[[#All],[Tot]],MATCH(Table5[[#This Row],[PID]],Batters[[#All],[PID]],0)),INDEX(Table3[[#All],[Tot]],MATCH(Table5[[#This Row],[PID]],Table3[[#All],[PID]],0)))</f>
        <v>29.748289626400993</v>
      </c>
      <c r="R944" s="52">
        <f>IF($C944="B",INDEX(Batters[[#All],[zScore]],MATCH(Table5[[#This Row],[PID]],Batters[[#All],[PID]],0)),INDEX(Table3[[#All],[zScore]],MATCH(Table5[[#This Row],[PID]],Table3[[#All],[PID]],0)))</f>
        <v>-0.50879405647177156</v>
      </c>
      <c r="S944" s="58" t="str">
        <f>IF($C944="B",INDEX(Batters[[#All],[DEM]],MATCH(Table5[[#This Row],[PID]],Batters[[#All],[PID]],0)),INDEX(Table3[[#All],[DEM]],MATCH(Table5[[#This Row],[PID]],Table3[[#All],[PID]],0)))</f>
        <v>-</v>
      </c>
      <c r="T944" s="62">
        <f>IF($C944="B",INDEX(Batters[[#All],[Rnk]],MATCH(Table5[[#This Row],[PID]],Batters[[#All],[PID]],0)),INDEX(Table3[[#All],[Rnk]],MATCH(Table5[[#This Row],[PID]],Table3[[#All],[PID]],0)))</f>
        <v>528</v>
      </c>
      <c r="U944" s="68">
        <f>IF($C944="B",VLOOKUP($A944,Bat!$A$4:$BA$1621,47,FALSE),VLOOKUP($A944,Pit!$A$4:$BF$1557,56,FALSE))</f>
        <v>0</v>
      </c>
      <c r="V944" s="50">
        <f>IF($C944="B",VLOOKUP($A944,Bat!$A$4:$BA$1621,48,FALSE),VLOOKUP($A944,Pit!$A$4:$BF$1557,57,FALSE))</f>
        <v>0</v>
      </c>
      <c r="W944" s="50">
        <f>Table5[[#This Row],[posRnk]]+Table5[[#This Row],[zRnk]]+IF($W$3&lt;&gt;Table5[[#This Row],[Type]],50,0)</f>
        <v>1442</v>
      </c>
      <c r="X944" s="51">
        <f>RANK(Table5[[#This Row],[zScore]],Table5[[#All],[zScore]])</f>
        <v>864</v>
      </c>
      <c r="Y944" s="50" t="str">
        <f>IFERROR(INDEX(DraftResults[[#All],[OVR]],MATCH(Table5[[#This Row],[PID]],DraftResults[[#All],[Player ID]],0)),"")</f>
        <v/>
      </c>
      <c r="Z9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4" s="50" t="str">
        <f>IFERROR(INDEX(DraftResults[[#All],[Pick in Round]],MATCH(Table5[[#This Row],[PID]],DraftResults[[#All],[Player ID]],0)),"")</f>
        <v/>
      </c>
      <c r="AB944" s="50" t="str">
        <f>IFERROR(INDEX(DraftResults[[#All],[Team Name]],MATCH(Table5[[#This Row],[PID]],DraftResults[[#All],[Player ID]],0)),"")</f>
        <v/>
      </c>
      <c r="AC944" s="50" t="str">
        <f>IF(Table5[[#This Row],[Ovr]]="","",IF(Table5[[#This Row],[cmbList]]="","",Table5[[#This Row],[cmbList]]-Table5[[#This Row],[Ovr]]))</f>
        <v/>
      </c>
      <c r="AD944" s="54" t="str">
        <f>IF(ISERROR(VLOOKUP($AB944&amp;"-"&amp;$E944&amp;" "&amp;F944,Bonuses!$B$1:$G$1006,4,FALSE)),"",INT(VLOOKUP($AB944&amp;"-"&amp;$E944&amp;" "&amp;$F944,Bonuses!$B$1:$G$1006,4,FALSE)))</f>
        <v/>
      </c>
      <c r="AE9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5" spans="1:31" s="50" customFormat="1" x14ac:dyDescent="0.25">
      <c r="A945" s="68">
        <v>20878</v>
      </c>
      <c r="B945" s="69">
        <f>COUNTIF(Table5[PID],A945)</f>
        <v>1</v>
      </c>
      <c r="C945" s="69" t="str">
        <f>IF(COUNTIF(Table3[[#All],[PID]],A945)&gt;0,"P","B")</f>
        <v>P</v>
      </c>
      <c r="D945" s="59" t="str">
        <f>IF($C945="B",INDEX(Batters[[#All],[POS]],MATCH(Table5[[#This Row],[PID]],Batters[[#All],[PID]],0)),INDEX(Table3[[#All],[POS]],MATCH(Table5[[#This Row],[PID]],Table3[[#All],[PID]],0)))</f>
        <v>SP</v>
      </c>
      <c r="E945" s="52" t="str">
        <f>IF($C945="B",INDEX(Batters[[#All],[First]],MATCH(Table5[[#This Row],[PID]],Batters[[#All],[PID]],0)),INDEX(Table3[[#All],[First]],MATCH(Table5[[#This Row],[PID]],Table3[[#All],[PID]],0)))</f>
        <v>James</v>
      </c>
      <c r="F945" s="55" t="str">
        <f>IF($C945="B",INDEX(Batters[[#All],[Last]],MATCH(A945,Batters[[#All],[PID]],0)),INDEX(Table3[[#All],[Last]],MATCH(A945,Table3[[#All],[PID]],0)))</f>
        <v>Valdés</v>
      </c>
      <c r="G945" s="56">
        <f>IF($C945="B",INDEX(Batters[[#All],[Age]],MATCH(Table5[[#This Row],[PID]],Batters[[#All],[PID]],0)),INDEX(Table3[[#All],[Age]],MATCH(Table5[[#This Row],[PID]],Table3[[#All],[PID]],0)))</f>
        <v>18</v>
      </c>
      <c r="H945" s="52" t="str">
        <f>IF($C945="B",INDEX(Batters[[#All],[B]],MATCH(Table5[[#This Row],[PID]],Batters[[#All],[PID]],0)),INDEX(Table3[[#All],[B]],MATCH(Table5[[#This Row],[PID]],Table3[[#All],[PID]],0)))</f>
        <v>R</v>
      </c>
      <c r="I945" s="52" t="str">
        <f>IF($C945="B",INDEX(Batters[[#All],[T]],MATCH(Table5[[#This Row],[PID]],Batters[[#All],[PID]],0)),INDEX(Table3[[#All],[T]],MATCH(Table5[[#This Row],[PID]],Table3[[#All],[PID]],0)))</f>
        <v>L</v>
      </c>
      <c r="J945" s="71" t="str">
        <f>IF($C945="B",INDEX(Batters[[#All],[WE]],MATCH(Table5[[#This Row],[PID]],Batters[[#All],[PID]],0)),INDEX(Table3[[#All],[WE]],MATCH(Table5[[#This Row],[PID]],Table3[[#All],[PID]],0)))</f>
        <v>Normal</v>
      </c>
      <c r="K945" s="52" t="str">
        <f>IF($C945="B",INDEX(Batters[[#All],[INT]],MATCH(Table5[[#This Row],[PID]],Batters[[#All],[PID]],0)),INDEX(Table3[[#All],[INT]],MATCH(Table5[[#This Row],[PID]],Table3[[#All],[PID]],0)))</f>
        <v>Low</v>
      </c>
      <c r="L945" s="60">
        <f>IF($C945="B",INDEX(Batters[[#All],[CON P]],MATCH(Table5[[#This Row],[PID]],Batters[[#All],[PID]],0)),INDEX(Table3[[#All],[STU P]],MATCH(Table5[[#This Row],[PID]],Table3[[#All],[PID]],0)))</f>
        <v>3</v>
      </c>
      <c r="M945" s="72">
        <f>IF($C945="B",INDEX(Batters[[#All],[GAP P]],MATCH(Table5[[#This Row],[PID]],Batters[[#All],[PID]],0)),INDEX(Table3[[#All],[MOV P]],MATCH(Table5[[#This Row],[PID]],Table3[[#All],[PID]],0)))</f>
        <v>2</v>
      </c>
      <c r="N945" s="72">
        <f>IF($C945="B",INDEX(Batters[[#All],[POW P]],MATCH(Table5[[#This Row],[PID]],Batters[[#All],[PID]],0)),INDEX(Table3[[#All],[CON P]],MATCH(Table5[[#This Row],[PID]],Table3[[#All],[PID]],0)))</f>
        <v>3</v>
      </c>
      <c r="O945" s="72" t="str">
        <f>IF($C945="B",INDEX(Batters[[#All],[EYE P]],MATCH(Table5[[#This Row],[PID]],Batters[[#All],[PID]],0)),INDEX(Table3[[#All],[VELO]],MATCH(Table5[[#This Row],[PID]],Table3[[#All],[PID]],0)))</f>
        <v>87-89 Mph</v>
      </c>
      <c r="P945" s="56">
        <f>IF($C945="B",INDEX(Batters[[#All],[K P]],MATCH(Table5[[#This Row],[PID]],Batters[[#All],[PID]],0)),INDEX(Table3[[#All],[STM]],MATCH(Table5[[#This Row],[PID]],Table3[[#All],[PID]],0)))</f>
        <v>8</v>
      </c>
      <c r="Q945" s="61">
        <f>IF($C945="B",INDEX(Batters[[#All],[Tot]],MATCH(Table5[[#This Row],[PID]],Batters[[#All],[PID]],0)),INDEX(Table3[[#All],[Tot]],MATCH(Table5[[#This Row],[PID]],Table3[[#All],[PID]],0)))</f>
        <v>29.693109702214429</v>
      </c>
      <c r="R945" s="52">
        <f>IF($C945="B",INDEX(Batters[[#All],[zScore]],MATCH(Table5[[#This Row],[PID]],Batters[[#All],[PID]],0)),INDEX(Table3[[#All],[zScore]],MATCH(Table5[[#This Row],[PID]],Table3[[#All],[PID]],0)))</f>
        <v>-0.51278701182851005</v>
      </c>
      <c r="S945" s="78" t="str">
        <f>IF($C945="B",INDEX(Batters[[#All],[DEM]],MATCH(Table5[[#This Row],[PID]],Batters[[#All],[PID]],0)),INDEX(Table3[[#All],[DEM]],MATCH(Table5[[#This Row],[PID]],Table3[[#All],[PID]],0)))</f>
        <v>$70k</v>
      </c>
      <c r="T945" s="75">
        <f>IF($C945="B",INDEX(Batters[[#All],[Rnk]],MATCH(Table5[[#This Row],[PID]],Batters[[#All],[PID]],0)),INDEX(Table3[[#All],[Rnk]],MATCH(Table5[[#This Row],[PID]],Table3[[#All],[PID]],0)))</f>
        <v>530</v>
      </c>
      <c r="U945" s="68">
        <f>IF($C945="B",VLOOKUP($A945,Bat!$A$4:$BA$1621,47,FALSE),VLOOKUP($A945,Pit!$A$4:$BF$1557,56,FALSE))</f>
        <v>0</v>
      </c>
      <c r="V945" s="50">
        <f>IF($C945="B",VLOOKUP($A945,Bat!$A$4:$BA$1621,48,FALSE),VLOOKUP($A945,Pit!$A$4:$BF$1557,57,FALSE))</f>
        <v>0</v>
      </c>
      <c r="W945" s="69">
        <f>Table5[[#This Row],[posRnk]]+Table5[[#This Row],[zRnk]]+IF($W$3&lt;&gt;Table5[[#This Row],[Type]],50,0)</f>
        <v>1447</v>
      </c>
      <c r="X945" s="73">
        <f>RANK(Table5[[#This Row],[zScore]],Table5[[#All],[zScore]])</f>
        <v>867</v>
      </c>
      <c r="Y945" s="69" t="str">
        <f>IFERROR(INDEX(DraftResults[[#All],[OVR]],MATCH(Table5[[#This Row],[PID]],DraftResults[[#All],[Player ID]],0)),"")</f>
        <v/>
      </c>
      <c r="Z9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5" s="69" t="str">
        <f>IFERROR(INDEX(DraftResults[[#All],[Pick in Round]],MATCH(Table5[[#This Row],[PID]],DraftResults[[#All],[Player ID]],0)),"")</f>
        <v/>
      </c>
      <c r="AB945" s="69" t="str">
        <f>IFERROR(INDEX(DraftResults[[#All],[Team Name]],MATCH(Table5[[#This Row],[PID]],DraftResults[[#All],[Player ID]],0)),"")</f>
        <v/>
      </c>
      <c r="AC945" s="69" t="str">
        <f>IF(Table5[[#This Row],[Ovr]]="","",IF(Table5[[#This Row],[cmbList]]="","",Table5[[#This Row],[cmbList]]-Table5[[#This Row],[Ovr]]))</f>
        <v/>
      </c>
      <c r="AD945" s="77" t="str">
        <f>IF(ISERROR(VLOOKUP($AB945&amp;"-"&amp;$E945&amp;" "&amp;F945,Bonuses!$B$1:$G$1006,4,FALSE)),"",INT(VLOOKUP($AB945&amp;"-"&amp;$E945&amp;" "&amp;$F945,Bonuses!$B$1:$G$1006,4,FALSE)))</f>
        <v/>
      </c>
      <c r="AE9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6" spans="1:31" s="50" customFormat="1" x14ac:dyDescent="0.25">
      <c r="A946" s="50">
        <v>20948</v>
      </c>
      <c r="B946" s="50">
        <f>COUNTIF(Table5[PID],A946)</f>
        <v>1</v>
      </c>
      <c r="C946" s="50" t="str">
        <f>IF(COUNTIF(Table3[[#All],[PID]],A946)&gt;0,"P","B")</f>
        <v>B</v>
      </c>
      <c r="D946" s="59" t="str">
        <f>IF($C946="B",INDEX(Batters[[#All],[POS]],MATCH(Table5[[#This Row],[PID]],Batters[[#All],[PID]],0)),INDEX(Table3[[#All],[POS]],MATCH(Table5[[#This Row],[PID]],Table3[[#All],[PID]],0)))</f>
        <v>3B</v>
      </c>
      <c r="E946" s="52" t="str">
        <f>IF($C946="B",INDEX(Batters[[#All],[First]],MATCH(Table5[[#This Row],[PID]],Batters[[#All],[PID]],0)),INDEX(Table3[[#All],[First]],MATCH(Table5[[#This Row],[PID]],Table3[[#All],[PID]],0)))</f>
        <v>Gabriel</v>
      </c>
      <c r="F946" s="50" t="str">
        <f>IF($C946="B",INDEX(Batters[[#All],[Last]],MATCH(A946,Batters[[#All],[PID]],0)),INDEX(Table3[[#All],[Last]],MATCH(A946,Table3[[#All],[PID]],0)))</f>
        <v>Estrada</v>
      </c>
      <c r="G946" s="56">
        <f>IF($C946="B",INDEX(Batters[[#All],[Age]],MATCH(Table5[[#This Row],[PID]],Batters[[#All],[PID]],0)),INDEX(Table3[[#All],[Age]],MATCH(Table5[[#This Row],[PID]],Table3[[#All],[PID]],0)))</f>
        <v>17</v>
      </c>
      <c r="H946" s="52" t="str">
        <f>IF($C946="B",INDEX(Batters[[#All],[B]],MATCH(Table5[[#This Row],[PID]],Batters[[#All],[PID]],0)),INDEX(Table3[[#All],[B]],MATCH(Table5[[#This Row],[PID]],Table3[[#All],[PID]],0)))</f>
        <v>R</v>
      </c>
      <c r="I946" s="52" t="str">
        <f>IF($C946="B",INDEX(Batters[[#All],[T]],MATCH(Table5[[#This Row],[PID]],Batters[[#All],[PID]],0)),INDEX(Table3[[#All],[T]],MATCH(Table5[[#This Row],[PID]],Table3[[#All],[PID]],0)))</f>
        <v>R</v>
      </c>
      <c r="J946" s="52" t="str">
        <f>IF($C946="B",INDEX(Batters[[#All],[WE]],MATCH(Table5[[#This Row],[PID]],Batters[[#All],[PID]],0)),INDEX(Table3[[#All],[WE]],MATCH(Table5[[#This Row],[PID]],Table3[[#All],[PID]],0)))</f>
        <v>Low</v>
      </c>
      <c r="K946" s="52" t="str">
        <f>IF($C946="B",INDEX(Batters[[#All],[INT]],MATCH(Table5[[#This Row],[PID]],Batters[[#All],[PID]],0)),INDEX(Table3[[#All],[INT]],MATCH(Table5[[#This Row],[PID]],Table3[[#All],[PID]],0)))</f>
        <v>Normal</v>
      </c>
      <c r="L946" s="60">
        <f>IF($C946="B",INDEX(Batters[[#All],[CON P]],MATCH(Table5[[#This Row],[PID]],Batters[[#All],[PID]],0)),INDEX(Table3[[#All],[STU P]],MATCH(Table5[[#This Row],[PID]],Table3[[#All],[PID]],0)))</f>
        <v>3</v>
      </c>
      <c r="M946" s="56">
        <f>IF($C946="B",INDEX(Batters[[#All],[GAP P]],MATCH(Table5[[#This Row],[PID]],Batters[[#All],[PID]],0)),INDEX(Table3[[#All],[MOV P]],MATCH(Table5[[#This Row],[PID]],Table3[[#All],[PID]],0)))</f>
        <v>4</v>
      </c>
      <c r="N946" s="56">
        <f>IF($C946="B",INDEX(Batters[[#All],[POW P]],MATCH(Table5[[#This Row],[PID]],Batters[[#All],[PID]],0)),INDEX(Table3[[#All],[CON P]],MATCH(Table5[[#This Row],[PID]],Table3[[#All],[PID]],0)))</f>
        <v>3</v>
      </c>
      <c r="O946" s="56">
        <f>IF($C946="B",INDEX(Batters[[#All],[EYE P]],MATCH(Table5[[#This Row],[PID]],Batters[[#All],[PID]],0)),INDEX(Table3[[#All],[VELO]],MATCH(Table5[[#This Row],[PID]],Table3[[#All],[PID]],0)))</f>
        <v>5</v>
      </c>
      <c r="P946" s="56">
        <f>IF($C946="B",INDEX(Batters[[#All],[K P]],MATCH(Table5[[#This Row],[PID]],Batters[[#All],[PID]],0)),INDEX(Table3[[#All],[STM]],MATCH(Table5[[#This Row],[PID]],Table3[[#All],[PID]],0)))</f>
        <v>4</v>
      </c>
      <c r="Q946" s="61">
        <f>IF($C946="B",INDEX(Batters[[#All],[Tot]],MATCH(Table5[[#This Row],[PID]],Batters[[#All],[PID]],0)),INDEX(Table3[[#All],[Tot]],MATCH(Table5[[#This Row],[PID]],Table3[[#All],[PID]],0)))</f>
        <v>41.816340797075775</v>
      </c>
      <c r="R946" s="52">
        <f>IF($C946="B",INDEX(Batters[[#All],[zScore]],MATCH(Table5[[#This Row],[PID]],Batters[[#All],[PID]],0)),INDEX(Table3[[#All],[zScore]],MATCH(Table5[[#This Row],[PID]],Table3[[#All],[PID]],0)))</f>
        <v>-0.51338393357064982</v>
      </c>
      <c r="S946" s="58" t="str">
        <f>IF($C946="B",INDEX(Batters[[#All],[DEM]],MATCH(Table5[[#This Row],[PID]],Batters[[#All],[PID]],0)),INDEX(Table3[[#All],[DEM]],MATCH(Table5[[#This Row],[PID]],Table3[[#All],[PID]],0)))</f>
        <v>$65k</v>
      </c>
      <c r="T946" s="62">
        <f>IF($C946="B",INDEX(Batters[[#All],[Rnk]],MATCH(Table5[[#This Row],[PID]],Batters[[#All],[PID]],0)),INDEX(Table3[[#All],[Rnk]],MATCH(Table5[[#This Row],[PID]],Table3[[#All],[PID]],0)))</f>
        <v>337</v>
      </c>
      <c r="U946" s="68">
        <f>IF($C946="B",VLOOKUP($A946,Bat!$A$4:$BA$1621,47,FALSE),VLOOKUP($A946,Pit!$A$4:$BF$1557,56,FALSE))</f>
        <v>0</v>
      </c>
      <c r="V946" s="50">
        <f>IF($C946="B",VLOOKUP($A946,Bat!$A$4:$BA$1621,48,FALSE),VLOOKUP($A946,Pit!$A$4:$BF$1557,57,FALSE))</f>
        <v>0</v>
      </c>
      <c r="W946" s="50">
        <f>Table5[[#This Row],[posRnk]]+Table5[[#This Row],[zRnk]]+IF($W$3&lt;&gt;Table5[[#This Row],[Type]],50,0)</f>
        <v>1255</v>
      </c>
      <c r="X946" s="51">
        <f>RANK(Table5[[#This Row],[zScore]],Table5[[#All],[zScore]])</f>
        <v>868</v>
      </c>
      <c r="Y946" s="50" t="str">
        <f>IFERROR(INDEX(DraftResults[[#All],[OVR]],MATCH(Table5[[#This Row],[PID]],DraftResults[[#All],[Player ID]],0)),"")</f>
        <v/>
      </c>
      <c r="Z9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6" s="50" t="str">
        <f>IFERROR(INDEX(DraftResults[[#All],[Pick in Round]],MATCH(Table5[[#This Row],[PID]],DraftResults[[#All],[Player ID]],0)),"")</f>
        <v/>
      </c>
      <c r="AB946" s="50" t="str">
        <f>IFERROR(INDEX(DraftResults[[#All],[Team Name]],MATCH(Table5[[#This Row],[PID]],DraftResults[[#All],[Player ID]],0)),"")</f>
        <v/>
      </c>
      <c r="AC946" s="50" t="str">
        <f>IF(Table5[[#This Row],[Ovr]]="","",IF(Table5[[#This Row],[cmbList]]="","",Table5[[#This Row],[cmbList]]-Table5[[#This Row],[Ovr]]))</f>
        <v/>
      </c>
      <c r="AD946" s="54" t="str">
        <f>IF(ISERROR(VLOOKUP($AB946&amp;"-"&amp;$E946&amp;" "&amp;F946,Bonuses!$B$1:$G$1006,4,FALSE)),"",INT(VLOOKUP($AB946&amp;"-"&amp;$E946&amp;" "&amp;$F946,Bonuses!$B$1:$G$1006,4,FALSE)))</f>
        <v/>
      </c>
      <c r="AE9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7" spans="1:31" s="50" customFormat="1" x14ac:dyDescent="0.25">
      <c r="A947" s="50">
        <v>20888</v>
      </c>
      <c r="B947" s="50">
        <f>COUNTIF(Table5[PID],A947)</f>
        <v>1</v>
      </c>
      <c r="C947" s="50" t="str">
        <f>IF(COUNTIF(Table3[[#All],[PID]],A947)&gt;0,"P","B")</f>
        <v>B</v>
      </c>
      <c r="D947" s="59" t="str">
        <f>IF($C947="B",INDEX(Batters[[#All],[POS]],MATCH(Table5[[#This Row],[PID]],Batters[[#All],[PID]],0)),INDEX(Table3[[#All],[POS]],MATCH(Table5[[#This Row],[PID]],Table3[[#All],[PID]],0)))</f>
        <v>C</v>
      </c>
      <c r="E947" s="52" t="str">
        <f>IF($C947="B",INDEX(Batters[[#All],[First]],MATCH(Table5[[#This Row],[PID]],Batters[[#All],[PID]],0)),INDEX(Table3[[#All],[First]],MATCH(Table5[[#This Row],[PID]],Table3[[#All],[PID]],0)))</f>
        <v>Fred</v>
      </c>
      <c r="F947" s="50" t="str">
        <f>IF($C947="B",INDEX(Batters[[#All],[Last]],MATCH(A947,Batters[[#All],[PID]],0)),INDEX(Table3[[#All],[Last]],MATCH(A947,Table3[[#All],[PID]],0)))</f>
        <v>Gómez</v>
      </c>
      <c r="G947" s="56">
        <f>IF($C947="B",INDEX(Batters[[#All],[Age]],MATCH(Table5[[#This Row],[PID]],Batters[[#All],[PID]],0)),INDEX(Table3[[#All],[Age]],MATCH(Table5[[#This Row],[PID]],Table3[[#All],[PID]],0)))</f>
        <v>17</v>
      </c>
      <c r="H947" s="52" t="str">
        <f>IF($C947="B",INDEX(Batters[[#All],[B]],MATCH(Table5[[#This Row],[PID]],Batters[[#All],[PID]],0)),INDEX(Table3[[#All],[B]],MATCH(Table5[[#This Row],[PID]],Table3[[#All],[PID]],0)))</f>
        <v>R</v>
      </c>
      <c r="I947" s="52" t="str">
        <f>IF($C947="B",INDEX(Batters[[#All],[T]],MATCH(Table5[[#This Row],[PID]],Batters[[#All],[PID]],0)),INDEX(Table3[[#All],[T]],MATCH(Table5[[#This Row],[PID]],Table3[[#All],[PID]],0)))</f>
        <v>R</v>
      </c>
      <c r="J947" s="52" t="str">
        <f>IF($C947="B",INDEX(Batters[[#All],[WE]],MATCH(Table5[[#This Row],[PID]],Batters[[#All],[PID]],0)),INDEX(Table3[[#All],[WE]],MATCH(Table5[[#This Row],[PID]],Table3[[#All],[PID]],0)))</f>
        <v>Normal</v>
      </c>
      <c r="K947" s="52" t="str">
        <f>IF($C947="B",INDEX(Batters[[#All],[INT]],MATCH(Table5[[#This Row],[PID]],Batters[[#All],[PID]],0)),INDEX(Table3[[#All],[INT]],MATCH(Table5[[#This Row],[PID]],Table3[[#All],[PID]],0)))</f>
        <v>Low</v>
      </c>
      <c r="L947" s="60">
        <f>IF($C947="B",INDEX(Batters[[#All],[CON P]],MATCH(Table5[[#This Row],[PID]],Batters[[#All],[PID]],0)),INDEX(Table3[[#All],[STU P]],MATCH(Table5[[#This Row],[PID]],Table3[[#All],[PID]],0)))</f>
        <v>3</v>
      </c>
      <c r="M947" s="56">
        <f>IF($C947="B",INDEX(Batters[[#All],[GAP P]],MATCH(Table5[[#This Row],[PID]],Batters[[#All],[PID]],0)),INDEX(Table3[[#All],[MOV P]],MATCH(Table5[[#This Row],[PID]],Table3[[#All],[PID]],0)))</f>
        <v>4</v>
      </c>
      <c r="N947" s="56">
        <f>IF($C947="B",INDEX(Batters[[#All],[POW P]],MATCH(Table5[[#This Row],[PID]],Batters[[#All],[PID]],0)),INDEX(Table3[[#All],[CON P]],MATCH(Table5[[#This Row],[PID]],Table3[[#All],[PID]],0)))</f>
        <v>3</v>
      </c>
      <c r="O947" s="56">
        <f>IF($C947="B",INDEX(Batters[[#All],[EYE P]],MATCH(Table5[[#This Row],[PID]],Batters[[#All],[PID]],0)),INDEX(Table3[[#All],[VELO]],MATCH(Table5[[#This Row],[PID]],Table3[[#All],[PID]],0)))</f>
        <v>5</v>
      </c>
      <c r="P947" s="56">
        <f>IF($C947="B",INDEX(Batters[[#All],[K P]],MATCH(Table5[[#This Row],[PID]],Batters[[#All],[PID]],0)),INDEX(Table3[[#All],[STM]],MATCH(Table5[[#This Row],[PID]],Table3[[#All],[PID]],0)))</f>
        <v>4</v>
      </c>
      <c r="Q947" s="61">
        <f>IF($C947="B",INDEX(Batters[[#All],[Tot]],MATCH(Table5[[#This Row],[PID]],Batters[[#All],[PID]],0)),INDEX(Table3[[#All],[Tot]],MATCH(Table5[[#This Row],[PID]],Table3[[#All],[PID]],0)))</f>
        <v>41.816340797075775</v>
      </c>
      <c r="R947" s="52">
        <f>IF($C947="B",INDEX(Batters[[#All],[zScore]],MATCH(Table5[[#This Row],[PID]],Batters[[#All],[PID]],0)),INDEX(Table3[[#All],[zScore]],MATCH(Table5[[#This Row],[PID]],Table3[[#All],[PID]],0)))</f>
        <v>-0.51338393357064982</v>
      </c>
      <c r="S947" s="58" t="str">
        <f>IF($C947="B",INDEX(Batters[[#All],[DEM]],MATCH(Table5[[#This Row],[PID]],Batters[[#All],[PID]],0)),INDEX(Table3[[#All],[DEM]],MATCH(Table5[[#This Row],[PID]],Table3[[#All],[PID]],0)))</f>
        <v>$38k</v>
      </c>
      <c r="T947" s="62">
        <f>IF($C947="B",INDEX(Batters[[#All],[Rnk]],MATCH(Table5[[#This Row],[PID]],Batters[[#All],[PID]],0)),INDEX(Table3[[#All],[Rnk]],MATCH(Table5[[#This Row],[PID]],Table3[[#All],[PID]],0)))</f>
        <v>337</v>
      </c>
      <c r="U947" s="68">
        <f>IF($C947="B",VLOOKUP($A947,Bat!$A$4:$BA$1621,47,FALSE),VLOOKUP($A947,Pit!$A$4:$BF$1557,56,FALSE))</f>
        <v>0</v>
      </c>
      <c r="V947" s="50">
        <f>IF($C947="B",VLOOKUP($A947,Bat!$A$4:$BA$1621,48,FALSE),VLOOKUP($A947,Pit!$A$4:$BF$1557,57,FALSE))</f>
        <v>0</v>
      </c>
      <c r="W947" s="50">
        <f>Table5[[#This Row],[posRnk]]+Table5[[#This Row],[zRnk]]+IF($W$3&lt;&gt;Table5[[#This Row],[Type]],50,0)</f>
        <v>1255</v>
      </c>
      <c r="X947" s="51">
        <f>RANK(Table5[[#This Row],[zScore]],Table5[[#All],[zScore]])</f>
        <v>868</v>
      </c>
      <c r="Y947" s="50" t="str">
        <f>IFERROR(INDEX(DraftResults[[#All],[OVR]],MATCH(Table5[[#This Row],[PID]],DraftResults[[#All],[Player ID]],0)),"")</f>
        <v/>
      </c>
      <c r="Z9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7" s="50" t="str">
        <f>IFERROR(INDEX(DraftResults[[#All],[Pick in Round]],MATCH(Table5[[#This Row],[PID]],DraftResults[[#All],[Player ID]],0)),"")</f>
        <v/>
      </c>
      <c r="AB947" s="50" t="str">
        <f>IFERROR(INDEX(DraftResults[[#All],[Team Name]],MATCH(Table5[[#This Row],[PID]],DraftResults[[#All],[Player ID]],0)),"")</f>
        <v/>
      </c>
      <c r="AC947" s="50" t="str">
        <f>IF(Table5[[#This Row],[Ovr]]="","",IF(Table5[[#This Row],[cmbList]]="","",Table5[[#This Row],[cmbList]]-Table5[[#This Row],[Ovr]]))</f>
        <v/>
      </c>
      <c r="AD947" s="54" t="str">
        <f>IF(ISERROR(VLOOKUP($AB947&amp;"-"&amp;$E947&amp;" "&amp;F947,Bonuses!$B$1:$G$1006,4,FALSE)),"",INT(VLOOKUP($AB947&amp;"-"&amp;$E947&amp;" "&amp;$F947,Bonuses!$B$1:$G$1006,4,FALSE)))</f>
        <v/>
      </c>
      <c r="AE9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8" spans="1:31" s="50" customFormat="1" x14ac:dyDescent="0.25">
      <c r="A948" s="50">
        <v>17881</v>
      </c>
      <c r="B948" s="50">
        <f>COUNTIF(Table5[PID],A948)</f>
        <v>1</v>
      </c>
      <c r="C948" s="50" t="str">
        <f>IF(COUNTIF(Table3[[#All],[PID]],A948)&gt;0,"P","B")</f>
        <v>P</v>
      </c>
      <c r="D948" s="59" t="str">
        <f>IF($C948="B",INDEX(Batters[[#All],[POS]],MATCH(Table5[[#This Row],[PID]],Batters[[#All],[PID]],0)),INDEX(Table3[[#All],[POS]],MATCH(Table5[[#This Row],[PID]],Table3[[#All],[PID]],0)))</f>
        <v>RP</v>
      </c>
      <c r="E948" s="52" t="str">
        <f>IF($C948="B",INDEX(Batters[[#All],[First]],MATCH(Table5[[#This Row],[PID]],Batters[[#All],[PID]],0)),INDEX(Table3[[#All],[First]],MATCH(Table5[[#This Row],[PID]],Table3[[#All],[PID]],0)))</f>
        <v>Jack</v>
      </c>
      <c r="F948" s="50" t="str">
        <f>IF($C948="B",INDEX(Batters[[#All],[Last]],MATCH(A948,Batters[[#All],[PID]],0)),INDEX(Table3[[#All],[Last]],MATCH(A948,Table3[[#All],[PID]],0)))</f>
        <v>Naysmith</v>
      </c>
      <c r="G948" s="56">
        <f>IF($C948="B",INDEX(Batters[[#All],[Age]],MATCH(Table5[[#This Row],[PID]],Batters[[#All],[PID]],0)),INDEX(Table3[[#All],[Age]],MATCH(Table5[[#This Row],[PID]],Table3[[#All],[PID]],0)))</f>
        <v>18</v>
      </c>
      <c r="H948" s="52" t="str">
        <f>IF($C948="B",INDEX(Batters[[#All],[B]],MATCH(Table5[[#This Row],[PID]],Batters[[#All],[PID]],0)),INDEX(Table3[[#All],[B]],MATCH(Table5[[#This Row],[PID]],Table3[[#All],[PID]],0)))</f>
        <v>S</v>
      </c>
      <c r="I948" s="52" t="str">
        <f>IF($C948="B",INDEX(Batters[[#All],[T]],MATCH(Table5[[#This Row],[PID]],Batters[[#All],[PID]],0)),INDEX(Table3[[#All],[T]],MATCH(Table5[[#This Row],[PID]],Table3[[#All],[PID]],0)))</f>
        <v>R</v>
      </c>
      <c r="J948" s="52" t="str">
        <f>IF($C948="B",INDEX(Batters[[#All],[WE]],MATCH(Table5[[#This Row],[PID]],Batters[[#All],[PID]],0)),INDEX(Table3[[#All],[WE]],MATCH(Table5[[#This Row],[PID]],Table3[[#All],[PID]],0)))</f>
        <v>Low</v>
      </c>
      <c r="K948" s="52" t="str">
        <f>IF($C948="B",INDEX(Batters[[#All],[INT]],MATCH(Table5[[#This Row],[PID]],Batters[[#All],[PID]],0)),INDEX(Table3[[#All],[INT]],MATCH(Table5[[#This Row],[PID]],Table3[[#All],[PID]],0)))</f>
        <v>Normal</v>
      </c>
      <c r="L948" s="60">
        <f>IF($C948="B",INDEX(Batters[[#All],[CON P]],MATCH(Table5[[#This Row],[PID]],Batters[[#All],[PID]],0)),INDEX(Table3[[#All],[STU P]],MATCH(Table5[[#This Row],[PID]],Table3[[#All],[PID]],0)))</f>
        <v>3</v>
      </c>
      <c r="M948" s="56">
        <f>IF($C948="B",INDEX(Batters[[#All],[GAP P]],MATCH(Table5[[#This Row],[PID]],Batters[[#All],[PID]],0)),INDEX(Table3[[#All],[MOV P]],MATCH(Table5[[#This Row],[PID]],Table3[[#All],[PID]],0)))</f>
        <v>1</v>
      </c>
      <c r="N948" s="56">
        <f>IF($C948="B",INDEX(Batters[[#All],[POW P]],MATCH(Table5[[#This Row],[PID]],Batters[[#All],[PID]],0)),INDEX(Table3[[#All],[CON P]],MATCH(Table5[[#This Row],[PID]],Table3[[#All],[PID]],0)))</f>
        <v>3</v>
      </c>
      <c r="O948" s="56" t="str">
        <f>IF($C948="B",INDEX(Batters[[#All],[EYE P]],MATCH(Table5[[#This Row],[PID]],Batters[[#All],[PID]],0)),INDEX(Table3[[#All],[VELO]],MATCH(Table5[[#This Row],[PID]],Table3[[#All],[PID]],0)))</f>
        <v>84-86 Mph</v>
      </c>
      <c r="P948" s="56">
        <f>IF($C948="B",INDEX(Batters[[#All],[K P]],MATCH(Table5[[#This Row],[PID]],Batters[[#All],[PID]],0)),INDEX(Table3[[#All],[STM]],MATCH(Table5[[#This Row],[PID]],Table3[[#All],[PID]],0)))</f>
        <v>7</v>
      </c>
      <c r="Q948" s="61">
        <f>IF($C948="B",INDEX(Batters[[#All],[Tot]],MATCH(Table5[[#This Row],[PID]],Batters[[#All],[PID]],0)),INDEX(Table3[[#All],[Tot]],MATCH(Table5[[#This Row],[PID]],Table3[[#All],[PID]],0)))</f>
        <v>28.138350127294576</v>
      </c>
      <c r="R948" s="52">
        <f>IF($C948="B",INDEX(Batters[[#All],[zScore]],MATCH(Table5[[#This Row],[PID]],Batters[[#All],[PID]],0)),INDEX(Table3[[#All],[zScore]],MATCH(Table5[[#This Row],[PID]],Table3[[#All],[PID]],0)))</f>
        <v>-0.51440984806555556</v>
      </c>
      <c r="S948" s="58" t="str">
        <f>IF($C948="B",INDEX(Batters[[#All],[DEM]],MATCH(Table5[[#This Row],[PID]],Batters[[#All],[PID]],0)),INDEX(Table3[[#All],[DEM]],MATCH(Table5[[#This Row],[PID]],Table3[[#All],[PID]],0)))</f>
        <v>$38k</v>
      </c>
      <c r="T948" s="62">
        <f>IF($C948="B",INDEX(Batters[[#All],[Rnk]],MATCH(Table5[[#This Row],[PID]],Batters[[#All],[PID]],0)),INDEX(Table3[[#All],[Rnk]],MATCH(Table5[[#This Row],[PID]],Table3[[#All],[PID]],0)))</f>
        <v>531</v>
      </c>
      <c r="U948" s="68">
        <f>IF($C948="B",VLOOKUP($A948,Bat!$A$4:$BA$1621,47,FALSE),VLOOKUP($A948,Pit!$A$4:$BF$1557,56,FALSE))</f>
        <v>0</v>
      </c>
      <c r="V948" s="50">
        <f>IF($C948="B",VLOOKUP($A948,Bat!$A$4:$BA$1621,48,FALSE),VLOOKUP($A948,Pit!$A$4:$BF$1557,57,FALSE))</f>
        <v>0</v>
      </c>
      <c r="W948" s="50">
        <f>Table5[[#This Row],[posRnk]]+Table5[[#This Row],[zRnk]]+IF($W$3&lt;&gt;Table5[[#This Row],[Type]],50,0)</f>
        <v>1451</v>
      </c>
      <c r="X948" s="51">
        <f>RANK(Table5[[#This Row],[zScore]],Table5[[#All],[zScore]])</f>
        <v>870</v>
      </c>
      <c r="Y948" s="50" t="str">
        <f>IFERROR(INDEX(DraftResults[[#All],[OVR]],MATCH(Table5[[#This Row],[PID]],DraftResults[[#All],[Player ID]],0)),"")</f>
        <v/>
      </c>
      <c r="Z9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8" s="50" t="str">
        <f>IFERROR(INDEX(DraftResults[[#All],[Pick in Round]],MATCH(Table5[[#This Row],[PID]],DraftResults[[#All],[Player ID]],0)),"")</f>
        <v/>
      </c>
      <c r="AB948" s="50" t="str">
        <f>IFERROR(INDEX(DraftResults[[#All],[Team Name]],MATCH(Table5[[#This Row],[PID]],DraftResults[[#All],[Player ID]],0)),"")</f>
        <v/>
      </c>
      <c r="AC948" s="50" t="str">
        <f>IF(Table5[[#This Row],[Ovr]]="","",IF(Table5[[#This Row],[cmbList]]="","",Table5[[#This Row],[cmbList]]-Table5[[#This Row],[Ovr]]))</f>
        <v/>
      </c>
      <c r="AD948" s="54" t="str">
        <f>IF(ISERROR(VLOOKUP($AB948&amp;"-"&amp;$E948&amp;" "&amp;F948,Bonuses!$B$1:$G$1006,4,FALSE)),"",INT(VLOOKUP($AB948&amp;"-"&amp;$E948&amp;" "&amp;$F948,Bonuses!$B$1:$G$1006,4,FALSE)))</f>
        <v/>
      </c>
      <c r="AE9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49" spans="1:31" s="50" customFormat="1" x14ac:dyDescent="0.25">
      <c r="A949" s="50">
        <v>20373</v>
      </c>
      <c r="B949" s="50">
        <f>COUNTIF(Table5[PID],A949)</f>
        <v>1</v>
      </c>
      <c r="C949" s="50" t="str">
        <f>IF(COUNTIF(Table3[[#All],[PID]],A949)&gt;0,"P","B")</f>
        <v>B</v>
      </c>
      <c r="D949" s="59" t="str">
        <f>IF($C949="B",INDEX(Batters[[#All],[POS]],MATCH(Table5[[#This Row],[PID]],Batters[[#All],[PID]],0)),INDEX(Table3[[#All],[POS]],MATCH(Table5[[#This Row],[PID]],Table3[[#All],[PID]],0)))</f>
        <v>CF</v>
      </c>
      <c r="E949" s="52" t="str">
        <f>IF($C949="B",INDEX(Batters[[#All],[First]],MATCH(Table5[[#This Row],[PID]],Batters[[#All],[PID]],0)),INDEX(Table3[[#All],[First]],MATCH(Table5[[#This Row],[PID]],Table3[[#All],[PID]],0)))</f>
        <v>Ralph</v>
      </c>
      <c r="F949" s="50" t="str">
        <f>IF($C949="B",INDEX(Batters[[#All],[Last]],MATCH(A949,Batters[[#All],[PID]],0)),INDEX(Table3[[#All],[Last]],MATCH(A949,Table3[[#All],[PID]],0)))</f>
        <v>Carter</v>
      </c>
      <c r="G949" s="56">
        <f>IF($C949="B",INDEX(Batters[[#All],[Age]],MATCH(Table5[[#This Row],[PID]],Batters[[#All],[PID]],0)),INDEX(Table3[[#All],[Age]],MATCH(Table5[[#This Row],[PID]],Table3[[#All],[PID]],0)))</f>
        <v>17</v>
      </c>
      <c r="H949" s="52" t="str">
        <f>IF($C949="B",INDEX(Batters[[#All],[B]],MATCH(Table5[[#This Row],[PID]],Batters[[#All],[PID]],0)),INDEX(Table3[[#All],[B]],MATCH(Table5[[#This Row],[PID]],Table3[[#All],[PID]],0)))</f>
        <v>S</v>
      </c>
      <c r="I949" s="52" t="str">
        <f>IF($C949="B",INDEX(Batters[[#All],[T]],MATCH(Table5[[#This Row],[PID]],Batters[[#All],[PID]],0)),INDEX(Table3[[#All],[T]],MATCH(Table5[[#This Row],[PID]],Table3[[#All],[PID]],0)))</f>
        <v>R</v>
      </c>
      <c r="J949" s="52" t="str">
        <f>IF($C949="B",INDEX(Batters[[#All],[WE]],MATCH(Table5[[#This Row],[PID]],Batters[[#All],[PID]],0)),INDEX(Table3[[#All],[WE]],MATCH(Table5[[#This Row],[PID]],Table3[[#All],[PID]],0)))</f>
        <v>High</v>
      </c>
      <c r="K949" s="52" t="str">
        <f>IF($C949="B",INDEX(Batters[[#All],[INT]],MATCH(Table5[[#This Row],[PID]],Batters[[#All],[PID]],0)),INDEX(Table3[[#All],[INT]],MATCH(Table5[[#This Row],[PID]],Table3[[#All],[PID]],0)))</f>
        <v>Normal</v>
      </c>
      <c r="L949" s="60">
        <f>IF($C949="B",INDEX(Batters[[#All],[CON P]],MATCH(Table5[[#This Row],[PID]],Batters[[#All],[PID]],0)),INDEX(Table3[[#All],[STU P]],MATCH(Table5[[#This Row],[PID]],Table3[[#All],[PID]],0)))</f>
        <v>3</v>
      </c>
      <c r="M949" s="56">
        <f>IF($C949="B",INDEX(Batters[[#All],[GAP P]],MATCH(Table5[[#This Row],[PID]],Batters[[#All],[PID]],0)),INDEX(Table3[[#All],[MOV P]],MATCH(Table5[[#This Row],[PID]],Table3[[#All],[PID]],0)))</f>
        <v>4</v>
      </c>
      <c r="N949" s="56">
        <f>IF($C949="B",INDEX(Batters[[#All],[POW P]],MATCH(Table5[[#This Row],[PID]],Batters[[#All],[PID]],0)),INDEX(Table3[[#All],[CON P]],MATCH(Table5[[#This Row],[PID]],Table3[[#All],[PID]],0)))</f>
        <v>2</v>
      </c>
      <c r="O949" s="56">
        <f>IF($C949="B",INDEX(Batters[[#All],[EYE P]],MATCH(Table5[[#This Row],[PID]],Batters[[#All],[PID]],0)),INDEX(Table3[[#All],[VELO]],MATCH(Table5[[#This Row],[PID]],Table3[[#All],[PID]],0)))</f>
        <v>5</v>
      </c>
      <c r="P949" s="56">
        <f>IF($C949="B",INDEX(Batters[[#All],[K P]],MATCH(Table5[[#This Row],[PID]],Batters[[#All],[PID]],0)),INDEX(Table3[[#All],[STM]],MATCH(Table5[[#This Row],[PID]],Table3[[#All],[PID]],0)))</f>
        <v>4</v>
      </c>
      <c r="Q949" s="61">
        <f>IF($C949="B",INDEX(Batters[[#All],[Tot]],MATCH(Table5[[#This Row],[PID]],Batters[[#All],[PID]],0)),INDEX(Table3[[#All],[Tot]],MATCH(Table5[[#This Row],[PID]],Table3[[#All],[PID]],0)))</f>
        <v>41.758042190084161</v>
      </c>
      <c r="R949" s="52">
        <f>IF($C949="B",INDEX(Batters[[#All],[zScore]],MATCH(Table5[[#This Row],[PID]],Batters[[#All],[PID]],0)),INDEX(Table3[[#All],[zScore]],MATCH(Table5[[#This Row],[PID]],Table3[[#All],[PID]],0)))</f>
        <v>-0.52630912880270186</v>
      </c>
      <c r="S949" s="58" t="str">
        <f>IF($C949="B",INDEX(Batters[[#All],[DEM]],MATCH(Table5[[#This Row],[PID]],Batters[[#All],[PID]],0)),INDEX(Table3[[#All],[DEM]],MATCH(Table5[[#This Row],[PID]],Table3[[#All],[PID]],0)))</f>
        <v>$38k</v>
      </c>
      <c r="T949" s="62">
        <f>IF($C949="B",INDEX(Batters[[#All],[Rnk]],MATCH(Table5[[#This Row],[PID]],Batters[[#All],[PID]],0)),INDEX(Table3[[#All],[Rnk]],MATCH(Table5[[#This Row],[PID]],Table3[[#All],[PID]],0)))</f>
        <v>341</v>
      </c>
      <c r="U949" s="68">
        <f>IF($C949="B",VLOOKUP($A949,Bat!$A$4:$BA$1621,47,FALSE),VLOOKUP($A949,Pit!$A$4:$BF$1557,56,FALSE))</f>
        <v>0</v>
      </c>
      <c r="V949" s="50">
        <f>IF($C949="B",VLOOKUP($A949,Bat!$A$4:$BA$1621,48,FALSE),VLOOKUP($A949,Pit!$A$4:$BF$1557,57,FALSE))</f>
        <v>0</v>
      </c>
      <c r="W949" s="50">
        <f>Table5[[#This Row],[posRnk]]+Table5[[#This Row],[zRnk]]+IF($W$3&lt;&gt;Table5[[#This Row],[Type]],50,0)</f>
        <v>1264</v>
      </c>
      <c r="X949" s="51">
        <f>RANK(Table5[[#This Row],[zScore]],Table5[[#All],[zScore]])</f>
        <v>873</v>
      </c>
      <c r="Y949" s="50" t="str">
        <f>IFERROR(INDEX(DraftResults[[#All],[OVR]],MATCH(Table5[[#This Row],[PID]],DraftResults[[#All],[Player ID]],0)),"")</f>
        <v/>
      </c>
      <c r="Z9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49" s="50" t="str">
        <f>IFERROR(INDEX(DraftResults[[#All],[Pick in Round]],MATCH(Table5[[#This Row],[PID]],DraftResults[[#All],[Player ID]],0)),"")</f>
        <v/>
      </c>
      <c r="AB949" s="50" t="str">
        <f>IFERROR(INDEX(DraftResults[[#All],[Team Name]],MATCH(Table5[[#This Row],[PID]],DraftResults[[#All],[Player ID]],0)),"")</f>
        <v/>
      </c>
      <c r="AC949" s="50" t="str">
        <f>IF(Table5[[#This Row],[Ovr]]="","",IF(Table5[[#This Row],[cmbList]]="","",Table5[[#This Row],[cmbList]]-Table5[[#This Row],[Ovr]]))</f>
        <v/>
      </c>
      <c r="AD949" s="54" t="str">
        <f>IF(ISERROR(VLOOKUP($AB949&amp;"-"&amp;$E949&amp;" "&amp;F949,Bonuses!$B$1:$G$1006,4,FALSE)),"",INT(VLOOKUP($AB949&amp;"-"&amp;$E949&amp;" "&amp;$F949,Bonuses!$B$1:$G$1006,4,FALSE)))</f>
        <v/>
      </c>
      <c r="AE9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0" spans="1:31" s="50" customFormat="1" x14ac:dyDescent="0.25">
      <c r="A950" s="50">
        <v>18391</v>
      </c>
      <c r="B950" s="50">
        <f>COUNTIF(Table5[PID],A950)</f>
        <v>1</v>
      </c>
      <c r="C950" s="50" t="str">
        <f>IF(COUNTIF(Table3[[#All],[PID]],A950)&gt;0,"P","B")</f>
        <v>B</v>
      </c>
      <c r="D950" s="59" t="str">
        <f>IF($C950="B",INDEX(Batters[[#All],[POS]],MATCH(Table5[[#This Row],[PID]],Batters[[#All],[PID]],0)),INDEX(Table3[[#All],[POS]],MATCH(Table5[[#This Row],[PID]],Table3[[#All],[PID]],0)))</f>
        <v>CF</v>
      </c>
      <c r="E950" s="52" t="str">
        <f>IF($C950="B",INDEX(Batters[[#All],[First]],MATCH(Table5[[#This Row],[PID]],Batters[[#All],[PID]],0)),INDEX(Table3[[#All],[First]],MATCH(Table5[[#This Row],[PID]],Table3[[#All],[PID]],0)))</f>
        <v>Shuncho</v>
      </c>
      <c r="F950" s="50" t="str">
        <f>IF($C950="B",INDEX(Batters[[#All],[Last]],MATCH(A950,Batters[[#All],[PID]],0)),INDEX(Table3[[#All],[Last]],MATCH(A950,Table3[[#All],[PID]],0)))</f>
        <v>Taguchi</v>
      </c>
      <c r="G950" s="56">
        <f>IF($C950="B",INDEX(Batters[[#All],[Age]],MATCH(Table5[[#This Row],[PID]],Batters[[#All],[PID]],0)),INDEX(Table3[[#All],[Age]],MATCH(Table5[[#This Row],[PID]],Table3[[#All],[PID]],0)))</f>
        <v>18</v>
      </c>
      <c r="H950" s="52" t="str">
        <f>IF($C950="B",INDEX(Batters[[#All],[B]],MATCH(Table5[[#This Row],[PID]],Batters[[#All],[PID]],0)),INDEX(Table3[[#All],[B]],MATCH(Table5[[#This Row],[PID]],Table3[[#All],[PID]],0)))</f>
        <v>R</v>
      </c>
      <c r="I950" s="52" t="str">
        <f>IF($C950="B",INDEX(Batters[[#All],[T]],MATCH(Table5[[#This Row],[PID]],Batters[[#All],[PID]],0)),INDEX(Table3[[#All],[T]],MATCH(Table5[[#This Row],[PID]],Table3[[#All],[PID]],0)))</f>
        <v>R</v>
      </c>
      <c r="J950" s="52" t="str">
        <f>IF($C950="B",INDEX(Batters[[#All],[WE]],MATCH(Table5[[#This Row],[PID]],Batters[[#All],[PID]],0)),INDEX(Table3[[#All],[WE]],MATCH(Table5[[#This Row],[PID]],Table3[[#All],[PID]],0)))</f>
        <v>Normal</v>
      </c>
      <c r="K950" s="52" t="str">
        <f>IF($C950="B",INDEX(Batters[[#All],[INT]],MATCH(Table5[[#This Row],[PID]],Batters[[#All],[PID]],0)),INDEX(Table3[[#All],[INT]],MATCH(Table5[[#This Row],[PID]],Table3[[#All],[PID]],0)))</f>
        <v>Low</v>
      </c>
      <c r="L950" s="60">
        <f>IF($C950="B",INDEX(Batters[[#All],[CON P]],MATCH(Table5[[#This Row],[PID]],Batters[[#All],[PID]],0)),INDEX(Table3[[#All],[STU P]],MATCH(Table5[[#This Row],[PID]],Table3[[#All],[PID]],0)))</f>
        <v>3</v>
      </c>
      <c r="M950" s="56">
        <f>IF($C950="B",INDEX(Batters[[#All],[GAP P]],MATCH(Table5[[#This Row],[PID]],Batters[[#All],[PID]],0)),INDEX(Table3[[#All],[MOV P]],MATCH(Table5[[#This Row],[PID]],Table3[[#All],[PID]],0)))</f>
        <v>4</v>
      </c>
      <c r="N950" s="56">
        <f>IF($C950="B",INDEX(Batters[[#All],[POW P]],MATCH(Table5[[#This Row],[PID]],Batters[[#All],[PID]],0)),INDEX(Table3[[#All],[CON P]],MATCH(Table5[[#This Row],[PID]],Table3[[#All],[PID]],0)))</f>
        <v>2</v>
      </c>
      <c r="O950" s="56">
        <f>IF($C950="B",INDEX(Batters[[#All],[EYE P]],MATCH(Table5[[#This Row],[PID]],Batters[[#All],[PID]],0)),INDEX(Table3[[#All],[VELO]],MATCH(Table5[[#This Row],[PID]],Table3[[#All],[PID]],0)))</f>
        <v>5</v>
      </c>
      <c r="P950" s="56">
        <f>IF($C950="B",INDEX(Batters[[#All],[K P]],MATCH(Table5[[#This Row],[PID]],Batters[[#All],[PID]],0)),INDEX(Table3[[#All],[STM]],MATCH(Table5[[#This Row],[PID]],Table3[[#All],[PID]],0)))</f>
        <v>4</v>
      </c>
      <c r="Q950" s="61">
        <f>IF($C950="B",INDEX(Batters[[#All],[Tot]],MATCH(Table5[[#This Row],[PID]],Batters[[#All],[PID]],0)),INDEX(Table3[[#All],[Tot]],MATCH(Table5[[#This Row],[PID]],Table3[[#All],[PID]],0)))</f>
        <v>41.745377157399204</v>
      </c>
      <c r="R950" s="52">
        <f>IF($C950="B",INDEX(Batters[[#All],[zScore]],MATCH(Table5[[#This Row],[PID]],Batters[[#All],[PID]],0)),INDEX(Table3[[#All],[zScore]],MATCH(Table5[[#This Row],[PID]],Table3[[#All],[PID]],0)))</f>
        <v>-0.52911705215663285</v>
      </c>
      <c r="S950" s="58" t="str">
        <f>IF($C950="B",INDEX(Batters[[#All],[DEM]],MATCH(Table5[[#This Row],[PID]],Batters[[#All],[PID]],0)),INDEX(Table3[[#All],[DEM]],MATCH(Table5[[#This Row],[PID]],Table3[[#All],[PID]],0)))</f>
        <v>$38k</v>
      </c>
      <c r="T950" s="62">
        <f>IF($C950="B",INDEX(Batters[[#All],[Rnk]],MATCH(Table5[[#This Row],[PID]],Batters[[#All],[PID]],0)),INDEX(Table3[[#All],[Rnk]],MATCH(Table5[[#This Row],[PID]],Table3[[#All],[PID]],0)))</f>
        <v>343</v>
      </c>
      <c r="U950" s="68">
        <f>IF($C950="B",VLOOKUP($A950,Bat!$A$4:$BA$1621,47,FALSE),VLOOKUP($A950,Pit!$A$4:$BF$1557,56,FALSE))</f>
        <v>0</v>
      </c>
      <c r="V950" s="50">
        <f>IF($C950="B",VLOOKUP($A950,Bat!$A$4:$BA$1621,48,FALSE),VLOOKUP($A950,Pit!$A$4:$BF$1557,57,FALSE))</f>
        <v>0</v>
      </c>
      <c r="W950" s="50">
        <f>Table5[[#This Row],[posRnk]]+Table5[[#This Row],[zRnk]]+IF($W$3&lt;&gt;Table5[[#This Row],[Type]],50,0)</f>
        <v>1268</v>
      </c>
      <c r="X950" s="51">
        <f>RANK(Table5[[#This Row],[zScore]],Table5[[#All],[zScore]])</f>
        <v>875</v>
      </c>
      <c r="Y950" s="50" t="str">
        <f>IFERROR(INDEX(DraftResults[[#All],[OVR]],MATCH(Table5[[#This Row],[PID]],DraftResults[[#All],[Player ID]],0)),"")</f>
        <v/>
      </c>
      <c r="Z9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0" s="50" t="str">
        <f>IFERROR(INDEX(DraftResults[[#All],[Pick in Round]],MATCH(Table5[[#This Row],[PID]],DraftResults[[#All],[Player ID]],0)),"")</f>
        <v/>
      </c>
      <c r="AB950" s="50" t="str">
        <f>IFERROR(INDEX(DraftResults[[#All],[Team Name]],MATCH(Table5[[#This Row],[PID]],DraftResults[[#All],[Player ID]],0)),"")</f>
        <v/>
      </c>
      <c r="AC950" s="50" t="str">
        <f>IF(Table5[[#This Row],[Ovr]]="","",IF(Table5[[#This Row],[cmbList]]="","",Table5[[#This Row],[cmbList]]-Table5[[#This Row],[Ovr]]))</f>
        <v/>
      </c>
      <c r="AD950" s="54" t="str">
        <f>IF(ISERROR(VLOOKUP($AB950&amp;"-"&amp;$E950&amp;" "&amp;F950,Bonuses!$B$1:$G$1006,4,FALSE)),"",INT(VLOOKUP($AB950&amp;"-"&amp;$E950&amp;" "&amp;$F950,Bonuses!$B$1:$G$1006,4,FALSE)))</f>
        <v/>
      </c>
      <c r="AE9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1" spans="1:31" s="50" customFormat="1" x14ac:dyDescent="0.25">
      <c r="A951" s="50">
        <v>21084</v>
      </c>
      <c r="B951" s="50">
        <f>COUNTIF(Table5[PID],A951)</f>
        <v>1</v>
      </c>
      <c r="C951" s="50" t="str">
        <f>IF(COUNTIF(Table3[[#All],[PID]],A951)&gt;0,"P","B")</f>
        <v>P</v>
      </c>
      <c r="D951" s="59" t="str">
        <f>IF($C951="B",INDEX(Batters[[#All],[POS]],MATCH(Table5[[#This Row],[PID]],Batters[[#All],[PID]],0)),INDEX(Table3[[#All],[POS]],MATCH(Table5[[#This Row],[PID]],Table3[[#All],[PID]],0)))</f>
        <v>RP</v>
      </c>
      <c r="E951" s="52" t="str">
        <f>IF($C951="B",INDEX(Batters[[#All],[First]],MATCH(Table5[[#This Row],[PID]],Batters[[#All],[PID]],0)),INDEX(Table3[[#All],[First]],MATCH(Table5[[#This Row],[PID]],Table3[[#All],[PID]],0)))</f>
        <v>Dave</v>
      </c>
      <c r="F951" s="50" t="str">
        <f>IF($C951="B",INDEX(Batters[[#All],[Last]],MATCH(A951,Batters[[#All],[PID]],0)),INDEX(Table3[[#All],[Last]],MATCH(A951,Table3[[#All],[PID]],0)))</f>
        <v>Castro</v>
      </c>
      <c r="G951" s="56">
        <f>IF($C951="B",INDEX(Batters[[#All],[Age]],MATCH(Table5[[#This Row],[PID]],Batters[[#All],[PID]],0)),INDEX(Table3[[#All],[Age]],MATCH(Table5[[#This Row],[PID]],Table3[[#All],[PID]],0)))</f>
        <v>17</v>
      </c>
      <c r="H951" s="52" t="str">
        <f>IF($C951="B",INDEX(Batters[[#All],[B]],MATCH(Table5[[#This Row],[PID]],Batters[[#All],[PID]],0)),INDEX(Table3[[#All],[B]],MATCH(Table5[[#This Row],[PID]],Table3[[#All],[PID]],0)))</f>
        <v>L</v>
      </c>
      <c r="I951" s="52" t="str">
        <f>IF($C951="B",INDEX(Batters[[#All],[T]],MATCH(Table5[[#This Row],[PID]],Batters[[#All],[PID]],0)),INDEX(Table3[[#All],[T]],MATCH(Table5[[#This Row],[PID]],Table3[[#All],[PID]],0)))</f>
        <v>R</v>
      </c>
      <c r="J951" s="52" t="str">
        <f>IF($C951="B",INDEX(Batters[[#All],[WE]],MATCH(Table5[[#This Row],[PID]],Batters[[#All],[PID]],0)),INDEX(Table3[[#All],[WE]],MATCH(Table5[[#This Row],[PID]],Table3[[#All],[PID]],0)))</f>
        <v>High</v>
      </c>
      <c r="K951" s="52" t="str">
        <f>IF($C951="B",INDEX(Batters[[#All],[INT]],MATCH(Table5[[#This Row],[PID]],Batters[[#All],[PID]],0)),INDEX(Table3[[#All],[INT]],MATCH(Table5[[#This Row],[PID]],Table3[[#All],[PID]],0)))</f>
        <v>Normal</v>
      </c>
      <c r="L951" s="60">
        <f>IF($C951="B",INDEX(Batters[[#All],[CON P]],MATCH(Table5[[#This Row],[PID]],Batters[[#All],[PID]],0)),INDEX(Table3[[#All],[STU P]],MATCH(Table5[[#This Row],[PID]],Table3[[#All],[PID]],0)))</f>
        <v>4</v>
      </c>
      <c r="M951" s="56">
        <f>IF($C951="B",INDEX(Batters[[#All],[GAP P]],MATCH(Table5[[#This Row],[PID]],Batters[[#All],[PID]],0)),INDEX(Table3[[#All],[MOV P]],MATCH(Table5[[#This Row],[PID]],Table3[[#All],[PID]],0)))</f>
        <v>2</v>
      </c>
      <c r="N951" s="56">
        <f>IF($C951="B",INDEX(Batters[[#All],[POW P]],MATCH(Table5[[#This Row],[PID]],Batters[[#All],[PID]],0)),INDEX(Table3[[#All],[CON P]],MATCH(Table5[[#This Row],[PID]],Table3[[#All],[PID]],0)))</f>
        <v>3</v>
      </c>
      <c r="O951" s="56" t="str">
        <f>IF($C951="B",INDEX(Batters[[#All],[EYE P]],MATCH(Table5[[#This Row],[PID]],Batters[[#All],[PID]],0)),INDEX(Table3[[#All],[VELO]],MATCH(Table5[[#This Row],[PID]],Table3[[#All],[PID]],0)))</f>
        <v>86-88 Mph</v>
      </c>
      <c r="P951" s="56">
        <f>IF($C951="B",INDEX(Batters[[#All],[K P]],MATCH(Table5[[#This Row],[PID]],Batters[[#All],[PID]],0)),INDEX(Table3[[#All],[STM]],MATCH(Table5[[#This Row],[PID]],Table3[[#All],[PID]],0)))</f>
        <v>2</v>
      </c>
      <c r="Q951" s="61">
        <f>IF($C951="B",INDEX(Batters[[#All],[Tot]],MATCH(Table5[[#This Row],[PID]],Batters[[#All],[PID]],0)),INDEX(Table3[[#All],[Tot]],MATCH(Table5[[#This Row],[PID]],Table3[[#All],[PID]],0)))</f>
        <v>27.847397413639101</v>
      </c>
      <c r="R951" s="52">
        <f>IF($C951="B",INDEX(Batters[[#All],[zScore]],MATCH(Table5[[#This Row],[PID]],Batters[[#All],[PID]],0)),INDEX(Table3[[#All],[zScore]],MATCH(Table5[[#This Row],[PID]],Table3[[#All],[PID]],0)))</f>
        <v>-0.53376648749764</v>
      </c>
      <c r="S951" s="58" t="str">
        <f>IF($C951="B",INDEX(Batters[[#All],[DEM]],MATCH(Table5[[#This Row],[PID]],Batters[[#All],[PID]],0)),INDEX(Table3[[#All],[DEM]],MATCH(Table5[[#This Row],[PID]],Table3[[#All],[PID]],0)))</f>
        <v>$38k</v>
      </c>
      <c r="T951" s="62">
        <f>IF($C951="B",INDEX(Batters[[#All],[Rnk]],MATCH(Table5[[#This Row],[PID]],Batters[[#All],[PID]],0)),INDEX(Table3[[#All],[Rnk]],MATCH(Table5[[#This Row],[PID]],Table3[[#All],[PID]],0)))</f>
        <v>532</v>
      </c>
      <c r="U951" s="68">
        <f>IF($C951="B",VLOOKUP($A951,Bat!$A$4:$BA$1621,47,FALSE),VLOOKUP($A951,Pit!$A$4:$BF$1557,56,FALSE))</f>
        <v>0</v>
      </c>
      <c r="V951" s="50">
        <f>IF($C951="B",VLOOKUP($A951,Bat!$A$4:$BA$1621,48,FALSE),VLOOKUP($A951,Pit!$A$4:$BF$1557,57,FALSE))</f>
        <v>0</v>
      </c>
      <c r="W951" s="50">
        <f>Table5[[#This Row],[posRnk]]+Table5[[#This Row],[zRnk]]+IF($W$3&lt;&gt;Table5[[#This Row],[Type]],50,0)</f>
        <v>1458</v>
      </c>
      <c r="X951" s="51">
        <f>RANK(Table5[[#This Row],[zScore]],Table5[[#All],[zScore]])</f>
        <v>876</v>
      </c>
      <c r="Y951" s="50" t="str">
        <f>IFERROR(INDEX(DraftResults[[#All],[OVR]],MATCH(Table5[[#This Row],[PID]],DraftResults[[#All],[Player ID]],0)),"")</f>
        <v/>
      </c>
      <c r="Z9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1" s="50" t="str">
        <f>IFERROR(INDEX(DraftResults[[#All],[Pick in Round]],MATCH(Table5[[#This Row],[PID]],DraftResults[[#All],[Player ID]],0)),"")</f>
        <v/>
      </c>
      <c r="AB951" s="50" t="str">
        <f>IFERROR(INDEX(DraftResults[[#All],[Team Name]],MATCH(Table5[[#This Row],[PID]],DraftResults[[#All],[Player ID]],0)),"")</f>
        <v/>
      </c>
      <c r="AC951" s="50" t="str">
        <f>IF(Table5[[#This Row],[Ovr]]="","",IF(Table5[[#This Row],[cmbList]]="","",Table5[[#This Row],[cmbList]]-Table5[[#This Row],[Ovr]]))</f>
        <v/>
      </c>
      <c r="AD951" s="54" t="str">
        <f>IF(ISERROR(VLOOKUP($AB951&amp;"-"&amp;$E951&amp;" "&amp;F951,Bonuses!$B$1:$G$1006,4,FALSE)),"",INT(VLOOKUP($AB951&amp;"-"&amp;$E951&amp;" "&amp;$F951,Bonuses!$B$1:$G$1006,4,FALSE)))</f>
        <v/>
      </c>
      <c r="AE9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2" spans="1:31" s="50" customFormat="1" x14ac:dyDescent="0.25">
      <c r="A952" s="68">
        <v>20586</v>
      </c>
      <c r="B952" s="69">
        <f>COUNTIF(Table5[PID],A952)</f>
        <v>1</v>
      </c>
      <c r="C952" s="69" t="str">
        <f>IF(COUNTIF(Table3[[#All],[PID]],A952)&gt;0,"P","B")</f>
        <v>P</v>
      </c>
      <c r="D952" s="59" t="str">
        <f>IF($C952="B",INDEX(Batters[[#All],[POS]],MATCH(Table5[[#This Row],[PID]],Batters[[#All],[PID]],0)),INDEX(Table3[[#All],[POS]],MATCH(Table5[[#This Row],[PID]],Table3[[#All],[PID]],0)))</f>
        <v>SP</v>
      </c>
      <c r="E952" s="52" t="str">
        <f>IF($C952="B",INDEX(Batters[[#All],[First]],MATCH(Table5[[#This Row],[PID]],Batters[[#All],[PID]],0)),INDEX(Table3[[#All],[First]],MATCH(Table5[[#This Row],[PID]],Table3[[#All],[PID]],0)))</f>
        <v>Hao-hing</v>
      </c>
      <c r="F952" s="55" t="str">
        <f>IF($C952="B",INDEX(Batters[[#All],[Last]],MATCH(A952,Batters[[#All],[PID]],0)),INDEX(Table3[[#All],[Last]],MATCH(A952,Table3[[#All],[PID]],0)))</f>
        <v>Thien</v>
      </c>
      <c r="G952" s="56">
        <f>IF($C952="B",INDEX(Batters[[#All],[Age]],MATCH(Table5[[#This Row],[PID]],Batters[[#All],[PID]],0)),INDEX(Table3[[#All],[Age]],MATCH(Table5[[#This Row],[PID]],Table3[[#All],[PID]],0)))</f>
        <v>17</v>
      </c>
      <c r="H952" s="52" t="str">
        <f>IF($C952="B",INDEX(Batters[[#All],[B]],MATCH(Table5[[#This Row],[PID]],Batters[[#All],[PID]],0)),INDEX(Table3[[#All],[B]],MATCH(Table5[[#This Row],[PID]],Table3[[#All],[PID]],0)))</f>
        <v>R</v>
      </c>
      <c r="I952" s="52" t="str">
        <f>IF($C952="B",INDEX(Batters[[#All],[T]],MATCH(Table5[[#This Row],[PID]],Batters[[#All],[PID]],0)),INDEX(Table3[[#All],[T]],MATCH(Table5[[#This Row],[PID]],Table3[[#All],[PID]],0)))</f>
        <v>R</v>
      </c>
      <c r="J952" s="71" t="str">
        <f>IF($C952="B",INDEX(Batters[[#All],[WE]],MATCH(Table5[[#This Row],[PID]],Batters[[#All],[PID]],0)),INDEX(Table3[[#All],[WE]],MATCH(Table5[[#This Row],[PID]],Table3[[#All],[PID]],0)))</f>
        <v>Normal</v>
      </c>
      <c r="K952" s="52" t="str">
        <f>IF($C952="B",INDEX(Batters[[#All],[INT]],MATCH(Table5[[#This Row],[PID]],Batters[[#All],[PID]],0)),INDEX(Table3[[#All],[INT]],MATCH(Table5[[#This Row],[PID]],Table3[[#All],[PID]],0)))</f>
        <v>Normal</v>
      </c>
      <c r="L952" s="60">
        <f>IF($C952="B",INDEX(Batters[[#All],[CON P]],MATCH(Table5[[#This Row],[PID]],Batters[[#All],[PID]],0)),INDEX(Table3[[#All],[STU P]],MATCH(Table5[[#This Row],[PID]],Table3[[#All],[PID]],0)))</f>
        <v>4</v>
      </c>
      <c r="M952" s="72">
        <f>IF($C952="B",INDEX(Batters[[#All],[GAP P]],MATCH(Table5[[#This Row],[PID]],Batters[[#All],[PID]],0)),INDEX(Table3[[#All],[MOV P]],MATCH(Table5[[#This Row],[PID]],Table3[[#All],[PID]],0)))</f>
        <v>2</v>
      </c>
      <c r="N952" s="72">
        <f>IF($C952="B",INDEX(Batters[[#All],[POW P]],MATCH(Table5[[#This Row],[PID]],Batters[[#All],[PID]],0)),INDEX(Table3[[#All],[CON P]],MATCH(Table5[[#This Row],[PID]],Table3[[#All],[PID]],0)))</f>
        <v>2</v>
      </c>
      <c r="O952" s="72" t="str">
        <f>IF($C952="B",INDEX(Batters[[#All],[EYE P]],MATCH(Table5[[#This Row],[PID]],Batters[[#All],[PID]],0)),INDEX(Table3[[#All],[VELO]],MATCH(Table5[[#This Row],[PID]],Table3[[#All],[PID]],0)))</f>
        <v>90-92 Mph</v>
      </c>
      <c r="P952" s="56">
        <f>IF($C952="B",INDEX(Batters[[#All],[K P]],MATCH(Table5[[#This Row],[PID]],Batters[[#All],[PID]],0)),INDEX(Table3[[#All],[STM]],MATCH(Table5[[#This Row],[PID]],Table3[[#All],[PID]],0)))</f>
        <v>5</v>
      </c>
      <c r="Q952" s="61">
        <f>IF($C952="B",INDEX(Batters[[#All],[Tot]],MATCH(Table5[[#This Row],[PID]],Batters[[#All],[PID]],0)),INDEX(Table3[[#All],[Tot]],MATCH(Table5[[#This Row],[PID]],Table3[[#All],[PID]],0)))</f>
        <v>29.394992373108227</v>
      </c>
      <c r="R952" s="52">
        <f>IF($C952="B",INDEX(Batters[[#All],[zScore]],MATCH(Table5[[#This Row],[PID]],Batters[[#All],[PID]],0)),INDEX(Table3[[#All],[zScore]],MATCH(Table5[[#This Row],[PID]],Table3[[#All],[PID]],0)))</f>
        <v>-0.53435951675197635</v>
      </c>
      <c r="S952" s="78" t="str">
        <f>IF($C952="B",INDEX(Batters[[#All],[DEM]],MATCH(Table5[[#This Row],[PID]],Batters[[#All],[PID]],0)),INDEX(Table3[[#All],[DEM]],MATCH(Table5[[#This Row],[PID]],Table3[[#All],[PID]],0)))</f>
        <v>$70k</v>
      </c>
      <c r="T952" s="75">
        <f>IF($C952="B",INDEX(Batters[[#All],[Rnk]],MATCH(Table5[[#This Row],[PID]],Batters[[#All],[PID]],0)),INDEX(Table3[[#All],[Rnk]],MATCH(Table5[[#This Row],[PID]],Table3[[#All],[PID]],0)))</f>
        <v>533</v>
      </c>
      <c r="U952" s="68">
        <f>IF($C952="B",VLOOKUP($A952,Bat!$A$4:$BA$1621,47,FALSE),VLOOKUP($A952,Pit!$A$4:$BF$1557,56,FALSE))</f>
        <v>0</v>
      </c>
      <c r="V952" s="50">
        <f>IF($C952="B",VLOOKUP($A952,Bat!$A$4:$BA$1621,48,FALSE),VLOOKUP($A952,Pit!$A$4:$BF$1557,57,FALSE))</f>
        <v>0</v>
      </c>
      <c r="W952" s="69">
        <f>Table5[[#This Row],[posRnk]]+Table5[[#This Row],[zRnk]]+IF($W$3&lt;&gt;Table5[[#This Row],[Type]],50,0)</f>
        <v>1460</v>
      </c>
      <c r="X952" s="73">
        <f>RANK(Table5[[#This Row],[zScore]],Table5[[#All],[zScore]])</f>
        <v>877</v>
      </c>
      <c r="Y952" s="69" t="str">
        <f>IFERROR(INDEX(DraftResults[[#All],[OVR]],MATCH(Table5[[#This Row],[PID]],DraftResults[[#All],[Player ID]],0)),"")</f>
        <v/>
      </c>
      <c r="Z95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2" s="69" t="str">
        <f>IFERROR(INDEX(DraftResults[[#All],[Pick in Round]],MATCH(Table5[[#This Row],[PID]],DraftResults[[#All],[Player ID]],0)),"")</f>
        <v/>
      </c>
      <c r="AB952" s="69" t="str">
        <f>IFERROR(INDEX(DraftResults[[#All],[Team Name]],MATCH(Table5[[#This Row],[PID]],DraftResults[[#All],[Player ID]],0)),"")</f>
        <v/>
      </c>
      <c r="AC952" s="69" t="str">
        <f>IF(Table5[[#This Row],[Ovr]]="","",IF(Table5[[#This Row],[cmbList]]="","",Table5[[#This Row],[cmbList]]-Table5[[#This Row],[Ovr]]))</f>
        <v/>
      </c>
      <c r="AD952" s="77" t="str">
        <f>IF(ISERROR(VLOOKUP($AB952&amp;"-"&amp;$E952&amp;" "&amp;F952,Bonuses!$B$1:$G$1006,4,FALSE)),"",INT(VLOOKUP($AB952&amp;"-"&amp;$E952&amp;" "&amp;$F952,Bonuses!$B$1:$G$1006,4,FALSE)))</f>
        <v/>
      </c>
      <c r="AE95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3" spans="1:31" s="50" customFormat="1" x14ac:dyDescent="0.25">
      <c r="A953" s="50">
        <v>20186</v>
      </c>
      <c r="B953" s="50">
        <f>COUNTIF(Table5[PID],A953)</f>
        <v>1</v>
      </c>
      <c r="C953" s="50" t="str">
        <f>IF(COUNTIF(Table3[[#All],[PID]],A953)&gt;0,"P","B")</f>
        <v>P</v>
      </c>
      <c r="D953" s="59" t="str">
        <f>IF($C953="B",INDEX(Batters[[#All],[POS]],MATCH(Table5[[#This Row],[PID]],Batters[[#All],[PID]],0)),INDEX(Table3[[#All],[POS]],MATCH(Table5[[#This Row],[PID]],Table3[[#All],[PID]],0)))</f>
        <v>RP</v>
      </c>
      <c r="E953" s="52" t="str">
        <f>IF($C953="B",INDEX(Batters[[#All],[First]],MATCH(Table5[[#This Row],[PID]],Batters[[#All],[PID]],0)),INDEX(Table3[[#All],[First]],MATCH(Table5[[#This Row],[PID]],Table3[[#All],[PID]],0)))</f>
        <v>Brody</v>
      </c>
      <c r="F953" s="50" t="str">
        <f>IF($C953="B",INDEX(Batters[[#All],[Last]],MATCH(A953,Batters[[#All],[PID]],0)),INDEX(Table3[[#All],[Last]],MATCH(A953,Table3[[#All],[PID]],0)))</f>
        <v>Wurfel</v>
      </c>
      <c r="G953" s="56">
        <f>IF($C953="B",INDEX(Batters[[#All],[Age]],MATCH(Table5[[#This Row],[PID]],Batters[[#All],[PID]],0)),INDEX(Table3[[#All],[Age]],MATCH(Table5[[#This Row],[PID]],Table3[[#All],[PID]],0)))</f>
        <v>22</v>
      </c>
      <c r="H953" s="52" t="str">
        <f>IF($C953="B",INDEX(Batters[[#All],[B]],MATCH(Table5[[#This Row],[PID]],Batters[[#All],[PID]],0)),INDEX(Table3[[#All],[B]],MATCH(Table5[[#This Row],[PID]],Table3[[#All],[PID]],0)))</f>
        <v>L</v>
      </c>
      <c r="I953" s="52" t="str">
        <f>IF($C953="B",INDEX(Batters[[#All],[T]],MATCH(Table5[[#This Row],[PID]],Batters[[#All],[PID]],0)),INDEX(Table3[[#All],[T]],MATCH(Table5[[#This Row],[PID]],Table3[[#All],[PID]],0)))</f>
        <v>L</v>
      </c>
      <c r="J953" s="52" t="str">
        <f>IF($C953="B",INDEX(Batters[[#All],[WE]],MATCH(Table5[[#This Row],[PID]],Batters[[#All],[PID]],0)),INDEX(Table3[[#All],[WE]],MATCH(Table5[[#This Row],[PID]],Table3[[#All],[PID]],0)))</f>
        <v>Low</v>
      </c>
      <c r="K953" s="52" t="str">
        <f>IF($C953="B",INDEX(Batters[[#All],[INT]],MATCH(Table5[[#This Row],[PID]],Batters[[#All],[PID]],0)),INDEX(Table3[[#All],[INT]],MATCH(Table5[[#This Row],[PID]],Table3[[#All],[PID]],0)))</f>
        <v>Normal</v>
      </c>
      <c r="L953" s="60">
        <f>IF($C953="B",INDEX(Batters[[#All],[CON P]],MATCH(Table5[[#This Row],[PID]],Batters[[#All],[PID]],0)),INDEX(Table3[[#All],[STU P]],MATCH(Table5[[#This Row],[PID]],Table3[[#All],[PID]],0)))</f>
        <v>3</v>
      </c>
      <c r="M953" s="56">
        <f>IF($C953="B",INDEX(Batters[[#All],[GAP P]],MATCH(Table5[[#This Row],[PID]],Batters[[#All],[PID]],0)),INDEX(Table3[[#All],[MOV P]],MATCH(Table5[[#This Row],[PID]],Table3[[#All],[PID]],0)))</f>
        <v>2</v>
      </c>
      <c r="N953" s="56">
        <f>IF($C953="B",INDEX(Batters[[#All],[POW P]],MATCH(Table5[[#This Row],[PID]],Batters[[#All],[PID]],0)),INDEX(Table3[[#All],[CON P]],MATCH(Table5[[#This Row],[PID]],Table3[[#All],[PID]],0)))</f>
        <v>4</v>
      </c>
      <c r="O953" s="56" t="str">
        <f>IF($C953="B",INDEX(Batters[[#All],[EYE P]],MATCH(Table5[[#This Row],[PID]],Batters[[#All],[PID]],0)),INDEX(Table3[[#All],[VELO]],MATCH(Table5[[#This Row],[PID]],Table3[[#All],[PID]],0)))</f>
        <v>89-91 Mph</v>
      </c>
      <c r="P953" s="56">
        <f>IF($C953="B",INDEX(Batters[[#All],[K P]],MATCH(Table5[[#This Row],[PID]],Batters[[#All],[PID]],0)),INDEX(Table3[[#All],[STM]],MATCH(Table5[[#This Row],[PID]],Table3[[#All],[PID]],0)))</f>
        <v>6</v>
      </c>
      <c r="Q953" s="61">
        <f>IF($C953="B",INDEX(Batters[[#All],[Tot]],MATCH(Table5[[#This Row],[PID]],Batters[[#All],[PID]],0)),INDEX(Table3[[#All],[Tot]],MATCH(Table5[[#This Row],[PID]],Table3[[#All],[PID]],0)))</f>
        <v>29.384840124653348</v>
      </c>
      <c r="R953" s="52">
        <f>IF($C953="B",INDEX(Batters[[#All],[zScore]],MATCH(Table5[[#This Row],[PID]],Batters[[#All],[PID]],0)),INDEX(Table3[[#All],[zScore]],MATCH(Table5[[#This Row],[PID]],Table3[[#All],[PID]],0)))</f>
        <v>-0.53509415847989528</v>
      </c>
      <c r="S953" s="58" t="str">
        <f>IF($C953="B",INDEX(Batters[[#All],[DEM]],MATCH(Table5[[#This Row],[PID]],Batters[[#All],[PID]],0)),INDEX(Table3[[#All],[DEM]],MATCH(Table5[[#This Row],[PID]],Table3[[#All],[PID]],0)))</f>
        <v>-</v>
      </c>
      <c r="T953" s="62">
        <f>IF($C953="B",INDEX(Batters[[#All],[Rnk]],MATCH(Table5[[#This Row],[PID]],Batters[[#All],[PID]],0)),INDEX(Table3[[#All],[Rnk]],MATCH(Table5[[#This Row],[PID]],Table3[[#All],[PID]],0)))</f>
        <v>534</v>
      </c>
      <c r="U953" s="68">
        <f>IF($C953="B",VLOOKUP($A953,Bat!$A$4:$BA$1621,47,FALSE),VLOOKUP($A953,Pit!$A$4:$BF$1557,56,FALSE))</f>
        <v>0</v>
      </c>
      <c r="V953" s="50">
        <f>IF($C953="B",VLOOKUP($A953,Bat!$A$4:$BA$1621,48,FALSE),VLOOKUP($A953,Pit!$A$4:$BF$1557,57,FALSE))</f>
        <v>0</v>
      </c>
      <c r="W953" s="50">
        <f>Table5[[#This Row],[posRnk]]+Table5[[#This Row],[zRnk]]+IF($W$3&lt;&gt;Table5[[#This Row],[Type]],50,0)</f>
        <v>1462</v>
      </c>
      <c r="X953" s="51">
        <f>RANK(Table5[[#This Row],[zScore]],Table5[[#All],[zScore]])</f>
        <v>878</v>
      </c>
      <c r="Y953" s="50" t="str">
        <f>IFERROR(INDEX(DraftResults[[#All],[OVR]],MATCH(Table5[[#This Row],[PID]],DraftResults[[#All],[Player ID]],0)),"")</f>
        <v/>
      </c>
      <c r="Z9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3" s="50" t="str">
        <f>IFERROR(INDEX(DraftResults[[#All],[Pick in Round]],MATCH(Table5[[#This Row],[PID]],DraftResults[[#All],[Player ID]],0)),"")</f>
        <v/>
      </c>
      <c r="AB953" s="50" t="str">
        <f>IFERROR(INDEX(DraftResults[[#All],[Team Name]],MATCH(Table5[[#This Row],[PID]],DraftResults[[#All],[Player ID]],0)),"")</f>
        <v/>
      </c>
      <c r="AC953" s="50" t="str">
        <f>IF(Table5[[#This Row],[Ovr]]="","",IF(Table5[[#This Row],[cmbList]]="","",Table5[[#This Row],[cmbList]]-Table5[[#This Row],[Ovr]]))</f>
        <v/>
      </c>
      <c r="AD953" s="54" t="str">
        <f>IF(ISERROR(VLOOKUP($AB953&amp;"-"&amp;$E953&amp;" "&amp;F953,Bonuses!$B$1:$G$1006,4,FALSE)),"",INT(VLOOKUP($AB953&amp;"-"&amp;$E953&amp;" "&amp;$F953,Bonuses!$B$1:$G$1006,4,FALSE)))</f>
        <v/>
      </c>
      <c r="AE9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4" spans="1:31" s="50" customFormat="1" x14ac:dyDescent="0.25">
      <c r="A954" s="50">
        <v>9231</v>
      </c>
      <c r="B954" s="50">
        <f>COUNTIF(Table5[PID],A954)</f>
        <v>1</v>
      </c>
      <c r="C954" s="50" t="str">
        <f>IF(COUNTIF(Table3[[#All],[PID]],A954)&gt;0,"P","B")</f>
        <v>P</v>
      </c>
      <c r="D954" s="59" t="str">
        <f>IF($C954="B",INDEX(Batters[[#All],[POS]],MATCH(Table5[[#This Row],[PID]],Batters[[#All],[PID]],0)),INDEX(Table3[[#All],[POS]],MATCH(Table5[[#This Row],[PID]],Table3[[#All],[PID]],0)))</f>
        <v>RP</v>
      </c>
      <c r="E954" s="52" t="str">
        <f>IF($C954="B",INDEX(Batters[[#All],[First]],MATCH(Table5[[#This Row],[PID]],Batters[[#All],[PID]],0)),INDEX(Table3[[#All],[First]],MATCH(Table5[[#This Row],[PID]],Table3[[#All],[PID]],0)))</f>
        <v>Steve</v>
      </c>
      <c r="F954" s="50" t="str">
        <f>IF($C954="B",INDEX(Batters[[#All],[Last]],MATCH(A954,Batters[[#All],[PID]],0)),INDEX(Table3[[#All],[Last]],MATCH(A954,Table3[[#All],[PID]],0)))</f>
        <v>Horton</v>
      </c>
      <c r="G954" s="56">
        <f>IF($C954="B",INDEX(Batters[[#All],[Age]],MATCH(Table5[[#This Row],[PID]],Batters[[#All],[PID]],0)),INDEX(Table3[[#All],[Age]],MATCH(Table5[[#This Row],[PID]],Table3[[#All],[PID]],0)))</f>
        <v>22</v>
      </c>
      <c r="H954" s="52" t="str">
        <f>IF($C954="B",INDEX(Batters[[#All],[B]],MATCH(Table5[[#This Row],[PID]],Batters[[#All],[PID]],0)),INDEX(Table3[[#All],[B]],MATCH(Table5[[#This Row],[PID]],Table3[[#All],[PID]],0)))</f>
        <v>L</v>
      </c>
      <c r="I954" s="52" t="str">
        <f>IF($C954="B",INDEX(Batters[[#All],[T]],MATCH(Table5[[#This Row],[PID]],Batters[[#All],[PID]],0)),INDEX(Table3[[#All],[T]],MATCH(Table5[[#This Row],[PID]],Table3[[#All],[PID]],0)))</f>
        <v>L</v>
      </c>
      <c r="J954" s="52" t="str">
        <f>IF($C954="B",INDEX(Batters[[#All],[WE]],MATCH(Table5[[#This Row],[PID]],Batters[[#All],[PID]],0)),INDEX(Table3[[#All],[WE]],MATCH(Table5[[#This Row],[PID]],Table3[[#All],[PID]],0)))</f>
        <v>Normal</v>
      </c>
      <c r="K954" s="52" t="str">
        <f>IF($C954="B",INDEX(Batters[[#All],[INT]],MATCH(Table5[[#This Row],[PID]],Batters[[#All],[PID]],0)),INDEX(Table3[[#All],[INT]],MATCH(Table5[[#This Row],[PID]],Table3[[#All],[PID]],0)))</f>
        <v>Normal</v>
      </c>
      <c r="L954" s="60">
        <f>IF($C954="B",INDEX(Batters[[#All],[CON P]],MATCH(Table5[[#This Row],[PID]],Batters[[#All],[PID]],0)),INDEX(Table3[[#All],[STU P]],MATCH(Table5[[#This Row],[PID]],Table3[[#All],[PID]],0)))</f>
        <v>5</v>
      </c>
      <c r="M954" s="56">
        <f>IF($C954="B",INDEX(Batters[[#All],[GAP P]],MATCH(Table5[[#This Row],[PID]],Batters[[#All],[PID]],0)),INDEX(Table3[[#All],[MOV P]],MATCH(Table5[[#This Row],[PID]],Table3[[#All],[PID]],0)))</f>
        <v>2</v>
      </c>
      <c r="N954" s="56">
        <f>IF($C954="B",INDEX(Batters[[#All],[POW P]],MATCH(Table5[[#This Row],[PID]],Batters[[#All],[PID]],0)),INDEX(Table3[[#All],[CON P]],MATCH(Table5[[#This Row],[PID]],Table3[[#All],[PID]],0)))</f>
        <v>3</v>
      </c>
      <c r="O954" s="56" t="str">
        <f>IF($C954="B",INDEX(Batters[[#All],[EYE P]],MATCH(Table5[[#This Row],[PID]],Batters[[#All],[PID]],0)),INDEX(Table3[[#All],[VELO]],MATCH(Table5[[#This Row],[PID]],Table3[[#All],[PID]],0)))</f>
        <v>92-94 Mph</v>
      </c>
      <c r="P954" s="56">
        <f>IF($C954="B",INDEX(Batters[[#All],[K P]],MATCH(Table5[[#This Row],[PID]],Batters[[#All],[PID]],0)),INDEX(Table3[[#All],[STM]],MATCH(Table5[[#This Row],[PID]],Table3[[#All],[PID]],0)))</f>
        <v>3</v>
      </c>
      <c r="Q954" s="61">
        <f>IF($C954="B",INDEX(Batters[[#All],[Tot]],MATCH(Table5[[#This Row],[PID]],Batters[[#All],[PID]],0)),INDEX(Table3[[#All],[Tot]],MATCH(Table5[[#This Row],[PID]],Table3[[#All],[PID]],0)))</f>
        <v>27.822998159316072</v>
      </c>
      <c r="R954" s="52">
        <f>IF($C954="B",INDEX(Batters[[#All],[zScore]],MATCH(Table5[[#This Row],[PID]],Batters[[#All],[PID]],0)),INDEX(Table3[[#All],[zScore]],MATCH(Table5[[#This Row],[PID]],Table3[[#All],[PID]],0)))</f>
        <v>-0.5353897326030348</v>
      </c>
      <c r="S954" s="58" t="str">
        <f>IF($C954="B",INDEX(Batters[[#All],[DEM]],MATCH(Table5[[#This Row],[PID]],Batters[[#All],[PID]],0)),INDEX(Table3[[#All],[DEM]],MATCH(Table5[[#This Row],[PID]],Table3[[#All],[PID]],0)))</f>
        <v>-</v>
      </c>
      <c r="T954" s="62">
        <f>IF($C954="B",INDEX(Batters[[#All],[Rnk]],MATCH(Table5[[#This Row],[PID]],Batters[[#All],[PID]],0)),INDEX(Table3[[#All],[Rnk]],MATCH(Table5[[#This Row],[PID]],Table3[[#All],[PID]],0)))</f>
        <v>535</v>
      </c>
      <c r="U954" s="68">
        <f>IF($C954="B",VLOOKUP($A954,Bat!$A$4:$BA$1621,47,FALSE),VLOOKUP($A954,Pit!$A$4:$BF$1557,56,FALSE))</f>
        <v>0</v>
      </c>
      <c r="V954" s="50">
        <f>IF($C954="B",VLOOKUP($A954,Bat!$A$4:$BA$1621,48,FALSE),VLOOKUP($A954,Pit!$A$4:$BF$1557,57,FALSE))</f>
        <v>0</v>
      </c>
      <c r="W954" s="50">
        <f>Table5[[#This Row],[posRnk]]+Table5[[#This Row],[zRnk]]+IF($W$3&lt;&gt;Table5[[#This Row],[Type]],50,0)</f>
        <v>1464</v>
      </c>
      <c r="X954" s="51">
        <f>RANK(Table5[[#This Row],[zScore]],Table5[[#All],[zScore]])</f>
        <v>879</v>
      </c>
      <c r="Y954" s="50" t="str">
        <f>IFERROR(INDEX(DraftResults[[#All],[OVR]],MATCH(Table5[[#This Row],[PID]],DraftResults[[#All],[Player ID]],0)),"")</f>
        <v/>
      </c>
      <c r="Z9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4" s="50" t="str">
        <f>IFERROR(INDEX(DraftResults[[#All],[Pick in Round]],MATCH(Table5[[#This Row],[PID]],DraftResults[[#All],[Player ID]],0)),"")</f>
        <v/>
      </c>
      <c r="AB954" s="50" t="str">
        <f>IFERROR(INDEX(DraftResults[[#All],[Team Name]],MATCH(Table5[[#This Row],[PID]],DraftResults[[#All],[Player ID]],0)),"")</f>
        <v/>
      </c>
      <c r="AC954" s="50" t="str">
        <f>IF(Table5[[#This Row],[Ovr]]="","",IF(Table5[[#This Row],[cmbList]]="","",Table5[[#This Row],[cmbList]]-Table5[[#This Row],[Ovr]]))</f>
        <v/>
      </c>
      <c r="AD954" s="54" t="str">
        <f>IF(ISERROR(VLOOKUP($AB954&amp;"-"&amp;$E954&amp;" "&amp;F954,Bonuses!$B$1:$G$1006,4,FALSE)),"",INT(VLOOKUP($AB954&amp;"-"&amp;$E954&amp;" "&amp;$F954,Bonuses!$B$1:$G$1006,4,FALSE)))</f>
        <v/>
      </c>
      <c r="AE9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5" spans="1:31" s="50" customFormat="1" x14ac:dyDescent="0.25">
      <c r="A955" s="50">
        <v>17583</v>
      </c>
      <c r="B955" s="50">
        <f>COUNTIF(Table5[PID],A955)</f>
        <v>1</v>
      </c>
      <c r="C955" s="50" t="str">
        <f>IF(COUNTIF(Table3[[#All],[PID]],A955)&gt;0,"P","B")</f>
        <v>P</v>
      </c>
      <c r="D955" s="59" t="str">
        <f>IF($C955="B",INDEX(Batters[[#All],[POS]],MATCH(Table5[[#This Row],[PID]],Batters[[#All],[PID]],0)),INDEX(Table3[[#All],[POS]],MATCH(Table5[[#This Row],[PID]],Table3[[#All],[PID]],0)))</f>
        <v>RP</v>
      </c>
      <c r="E955" s="52" t="str">
        <f>IF($C955="B",INDEX(Batters[[#All],[First]],MATCH(Table5[[#This Row],[PID]],Batters[[#All],[PID]],0)),INDEX(Table3[[#All],[First]],MATCH(Table5[[#This Row],[PID]],Table3[[#All],[PID]],0)))</f>
        <v>Dave</v>
      </c>
      <c r="F955" s="50" t="str">
        <f>IF($C955="B",INDEX(Batters[[#All],[Last]],MATCH(A955,Batters[[#All],[PID]],0)),INDEX(Table3[[#All],[Last]],MATCH(A955,Table3[[#All],[PID]],0)))</f>
        <v>Brown</v>
      </c>
      <c r="G955" s="56">
        <f>IF($C955="B",INDEX(Batters[[#All],[Age]],MATCH(Table5[[#This Row],[PID]],Batters[[#All],[PID]],0)),INDEX(Table3[[#All],[Age]],MATCH(Table5[[#This Row],[PID]],Table3[[#All],[PID]],0)))</f>
        <v>18</v>
      </c>
      <c r="H955" s="52" t="str">
        <f>IF($C955="B",INDEX(Batters[[#All],[B]],MATCH(Table5[[#This Row],[PID]],Batters[[#All],[PID]],0)),INDEX(Table3[[#All],[B]],MATCH(Table5[[#This Row],[PID]],Table3[[#All],[PID]],0)))</f>
        <v>R</v>
      </c>
      <c r="I955" s="52" t="str">
        <f>IF($C955="B",INDEX(Batters[[#All],[T]],MATCH(Table5[[#This Row],[PID]],Batters[[#All],[PID]],0)),INDEX(Table3[[#All],[T]],MATCH(Table5[[#This Row],[PID]],Table3[[#All],[PID]],0)))</f>
        <v>R</v>
      </c>
      <c r="J955" s="52" t="str">
        <f>IF($C955="B",INDEX(Batters[[#All],[WE]],MATCH(Table5[[#This Row],[PID]],Batters[[#All],[PID]],0)),INDEX(Table3[[#All],[WE]],MATCH(Table5[[#This Row],[PID]],Table3[[#All],[PID]],0)))</f>
        <v>Low</v>
      </c>
      <c r="K955" s="52" t="str">
        <f>IF($C955="B",INDEX(Batters[[#All],[INT]],MATCH(Table5[[#This Row],[PID]],Batters[[#All],[PID]],0)),INDEX(Table3[[#All],[INT]],MATCH(Table5[[#This Row],[PID]],Table3[[#All],[PID]],0)))</f>
        <v>Normal</v>
      </c>
      <c r="L955" s="60">
        <f>IF($C955="B",INDEX(Batters[[#All],[CON P]],MATCH(Table5[[#This Row],[PID]],Batters[[#All],[PID]],0)),INDEX(Table3[[#All],[STU P]],MATCH(Table5[[#This Row],[PID]],Table3[[#All],[PID]],0)))</f>
        <v>3</v>
      </c>
      <c r="M955" s="56">
        <f>IF($C955="B",INDEX(Batters[[#All],[GAP P]],MATCH(Table5[[#This Row],[PID]],Batters[[#All],[PID]],0)),INDEX(Table3[[#All],[MOV P]],MATCH(Table5[[#This Row],[PID]],Table3[[#All],[PID]],0)))</f>
        <v>2</v>
      </c>
      <c r="N955" s="56">
        <f>IF($C955="B",INDEX(Batters[[#All],[POW P]],MATCH(Table5[[#This Row],[PID]],Batters[[#All],[PID]],0)),INDEX(Table3[[#All],[CON P]],MATCH(Table5[[#This Row],[PID]],Table3[[#All],[PID]],0)))</f>
        <v>3</v>
      </c>
      <c r="O955" s="56" t="str">
        <f>IF($C955="B",INDEX(Batters[[#All],[EYE P]],MATCH(Table5[[#This Row],[PID]],Batters[[#All],[PID]],0)),INDEX(Table3[[#All],[VELO]],MATCH(Table5[[#This Row],[PID]],Table3[[#All],[PID]],0)))</f>
        <v>86-88 Mph</v>
      </c>
      <c r="P955" s="56">
        <f>IF($C955="B",INDEX(Batters[[#All],[K P]],MATCH(Table5[[#This Row],[PID]],Batters[[#All],[PID]],0)),INDEX(Table3[[#All],[STM]],MATCH(Table5[[#This Row],[PID]],Table3[[#All],[PID]],0)))</f>
        <v>7</v>
      </c>
      <c r="Q955" s="61">
        <f>IF($C955="B",INDEX(Batters[[#All],[Tot]],MATCH(Table5[[#This Row],[PID]],Batters[[#All],[PID]],0)),INDEX(Table3[[#All],[Tot]],MATCH(Table5[[#This Row],[PID]],Table3[[#All],[PID]],0)))</f>
        <v>29.954704217103711</v>
      </c>
      <c r="R955" s="52">
        <f>IF($C955="B",INDEX(Batters[[#All],[zScore]],MATCH(Table5[[#This Row],[PID]],Batters[[#All],[PID]],0)),INDEX(Table3[[#All],[zScore]],MATCH(Table5[[#This Row],[PID]],Table3[[#All],[PID]],0)))</f>
        <v>-0.53765912718774189</v>
      </c>
      <c r="S955" s="58" t="str">
        <f>IF($C955="B",INDEX(Batters[[#All],[DEM]],MATCH(Table5[[#This Row],[PID]],Batters[[#All],[PID]],0)),INDEX(Table3[[#All],[DEM]],MATCH(Table5[[#This Row],[PID]],Table3[[#All],[PID]],0)))</f>
        <v>$65k</v>
      </c>
      <c r="T955" s="62">
        <f>IF($C955="B",INDEX(Batters[[#All],[Rnk]],MATCH(Table5[[#This Row],[PID]],Batters[[#All],[PID]],0)),INDEX(Table3[[#All],[Rnk]],MATCH(Table5[[#This Row],[PID]],Table3[[#All],[PID]],0)))</f>
        <v>536</v>
      </c>
      <c r="U955" s="68">
        <f>IF($C955="B",VLOOKUP($A955,Bat!$A$4:$BA$1621,47,FALSE),VLOOKUP($A955,Pit!$A$4:$BF$1557,56,FALSE))</f>
        <v>0</v>
      </c>
      <c r="V955" s="50">
        <f>IF($C955="B",VLOOKUP($A955,Bat!$A$4:$BA$1621,48,FALSE),VLOOKUP($A955,Pit!$A$4:$BF$1557,57,FALSE))</f>
        <v>0</v>
      </c>
      <c r="W955" s="50">
        <f>Table5[[#This Row],[posRnk]]+Table5[[#This Row],[zRnk]]+IF($W$3&lt;&gt;Table5[[#This Row],[Type]],50,0)</f>
        <v>1466</v>
      </c>
      <c r="X955" s="51">
        <f>RANK(Table5[[#This Row],[zScore]],Table5[[#All],[zScore]])</f>
        <v>880</v>
      </c>
      <c r="Y955" s="50" t="str">
        <f>IFERROR(INDEX(DraftResults[[#All],[OVR]],MATCH(Table5[[#This Row],[PID]],DraftResults[[#All],[Player ID]],0)),"")</f>
        <v/>
      </c>
      <c r="Z9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5" s="50" t="str">
        <f>IFERROR(INDEX(DraftResults[[#All],[Pick in Round]],MATCH(Table5[[#This Row],[PID]],DraftResults[[#All],[Player ID]],0)),"")</f>
        <v/>
      </c>
      <c r="AB955" s="50" t="str">
        <f>IFERROR(INDEX(DraftResults[[#All],[Team Name]],MATCH(Table5[[#This Row],[PID]],DraftResults[[#All],[Player ID]],0)),"")</f>
        <v/>
      </c>
      <c r="AC955" s="50" t="str">
        <f>IF(Table5[[#This Row],[Ovr]]="","",IF(Table5[[#This Row],[cmbList]]="","",Table5[[#This Row],[cmbList]]-Table5[[#This Row],[Ovr]]))</f>
        <v/>
      </c>
      <c r="AD955" s="54" t="str">
        <f>IF(ISERROR(VLOOKUP($AB955&amp;"-"&amp;$E955&amp;" "&amp;F955,Bonuses!$B$1:$G$1006,4,FALSE)),"",INT(VLOOKUP($AB955&amp;"-"&amp;$E955&amp;" "&amp;$F955,Bonuses!$B$1:$G$1006,4,FALSE)))</f>
        <v/>
      </c>
      <c r="AE9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6" spans="1:31" s="50" customFormat="1" x14ac:dyDescent="0.25">
      <c r="A956" s="50">
        <v>17827</v>
      </c>
      <c r="B956" s="50">
        <f>COUNTIF(Table5[PID],A956)</f>
        <v>1</v>
      </c>
      <c r="C956" s="50" t="str">
        <f>IF(COUNTIF(Table3[[#All],[PID]],A956)&gt;0,"P","B")</f>
        <v>P</v>
      </c>
      <c r="D956" s="59" t="str">
        <f>IF($C956="B",INDEX(Batters[[#All],[POS]],MATCH(Table5[[#This Row],[PID]],Batters[[#All],[PID]],0)),INDEX(Table3[[#All],[POS]],MATCH(Table5[[#This Row],[PID]],Table3[[#All],[PID]],0)))</f>
        <v>RP</v>
      </c>
      <c r="E956" s="52" t="str">
        <f>IF($C956="B",INDEX(Batters[[#All],[First]],MATCH(Table5[[#This Row],[PID]],Batters[[#All],[PID]],0)),INDEX(Table3[[#All],[First]],MATCH(Table5[[#This Row],[PID]],Table3[[#All],[PID]],0)))</f>
        <v>Liam</v>
      </c>
      <c r="F956" s="50" t="str">
        <f>IF($C956="B",INDEX(Batters[[#All],[Last]],MATCH(A956,Batters[[#All],[PID]],0)),INDEX(Table3[[#All],[Last]],MATCH(A956,Table3[[#All],[PID]],0)))</f>
        <v>Templeman</v>
      </c>
      <c r="G956" s="56">
        <f>IF($C956="B",INDEX(Batters[[#All],[Age]],MATCH(Table5[[#This Row],[PID]],Batters[[#All],[PID]],0)),INDEX(Table3[[#All],[Age]],MATCH(Table5[[#This Row],[PID]],Table3[[#All],[PID]],0)))</f>
        <v>18</v>
      </c>
      <c r="H956" s="52" t="str">
        <f>IF($C956="B",INDEX(Batters[[#All],[B]],MATCH(Table5[[#This Row],[PID]],Batters[[#All],[PID]],0)),INDEX(Table3[[#All],[B]],MATCH(Table5[[#This Row],[PID]],Table3[[#All],[PID]],0)))</f>
        <v>S</v>
      </c>
      <c r="I956" s="52" t="str">
        <f>IF($C956="B",INDEX(Batters[[#All],[T]],MATCH(Table5[[#This Row],[PID]],Batters[[#All],[PID]],0)),INDEX(Table3[[#All],[T]],MATCH(Table5[[#This Row],[PID]],Table3[[#All],[PID]],0)))</f>
        <v>R</v>
      </c>
      <c r="J956" s="52" t="str">
        <f>IF($C956="B",INDEX(Batters[[#All],[WE]],MATCH(Table5[[#This Row],[PID]],Batters[[#All],[PID]],0)),INDEX(Table3[[#All],[WE]],MATCH(Table5[[#This Row],[PID]],Table3[[#All],[PID]],0)))</f>
        <v>Low</v>
      </c>
      <c r="K956" s="52" t="str">
        <f>IF($C956="B",INDEX(Batters[[#All],[INT]],MATCH(Table5[[#This Row],[PID]],Batters[[#All],[PID]],0)),INDEX(Table3[[#All],[INT]],MATCH(Table5[[#This Row],[PID]],Table3[[#All],[PID]],0)))</f>
        <v>Normal</v>
      </c>
      <c r="L956" s="60">
        <f>IF($C956="B",INDEX(Batters[[#All],[CON P]],MATCH(Table5[[#This Row],[PID]],Batters[[#All],[PID]],0)),INDEX(Table3[[#All],[STU P]],MATCH(Table5[[#This Row],[PID]],Table3[[#All],[PID]],0)))</f>
        <v>4</v>
      </c>
      <c r="M956" s="56">
        <f>IF($C956="B",INDEX(Batters[[#All],[GAP P]],MATCH(Table5[[#This Row],[PID]],Batters[[#All],[PID]],0)),INDEX(Table3[[#All],[MOV P]],MATCH(Table5[[#This Row],[PID]],Table3[[#All],[PID]],0)))</f>
        <v>2</v>
      </c>
      <c r="N956" s="56">
        <f>IF($C956="B",INDEX(Batters[[#All],[POW P]],MATCH(Table5[[#This Row],[PID]],Batters[[#All],[PID]],0)),INDEX(Table3[[#All],[CON P]],MATCH(Table5[[#This Row],[PID]],Table3[[#All],[PID]],0)))</f>
        <v>2</v>
      </c>
      <c r="O956" s="56" t="str">
        <f>IF($C956="B",INDEX(Batters[[#All],[EYE P]],MATCH(Table5[[#This Row],[PID]],Batters[[#All],[PID]],0)),INDEX(Table3[[#All],[VELO]],MATCH(Table5[[#This Row],[PID]],Table3[[#All],[PID]],0)))</f>
        <v>87-89 Mph</v>
      </c>
      <c r="P956" s="56">
        <f>IF($C956="B",INDEX(Batters[[#All],[K P]],MATCH(Table5[[#This Row],[PID]],Batters[[#All],[PID]],0)),INDEX(Table3[[#All],[STM]],MATCH(Table5[[#This Row],[PID]],Table3[[#All],[PID]],0)))</f>
        <v>8</v>
      </c>
      <c r="Q956" s="61">
        <f>IF($C956="B",INDEX(Batters[[#All],[Tot]],MATCH(Table5[[#This Row],[PID]],Batters[[#All],[PID]],0)),INDEX(Table3[[#All],[Tot]],MATCH(Table5[[#This Row],[PID]],Table3[[#All],[PID]],0)))</f>
        <v>29.304463136217525</v>
      </c>
      <c r="R956" s="52">
        <f>IF($C956="B",INDEX(Batters[[#All],[zScore]],MATCH(Table5[[#This Row],[PID]],Batters[[#All],[PID]],0)),INDEX(Table3[[#All],[zScore]],MATCH(Table5[[#This Row],[PID]],Table3[[#All],[PID]],0)))</f>
        <v>-0.54091043552747164</v>
      </c>
      <c r="S956" s="58" t="str">
        <f>IF($C956="B",INDEX(Batters[[#All],[DEM]],MATCH(Table5[[#This Row],[PID]],Batters[[#All],[PID]],0)),INDEX(Table3[[#All],[DEM]],MATCH(Table5[[#This Row],[PID]],Table3[[#All],[PID]],0)))</f>
        <v>$65k</v>
      </c>
      <c r="T956" s="62">
        <f>IF($C956="B",INDEX(Batters[[#All],[Rnk]],MATCH(Table5[[#This Row],[PID]],Batters[[#All],[PID]],0)),INDEX(Table3[[#All],[Rnk]],MATCH(Table5[[#This Row],[PID]],Table3[[#All],[PID]],0)))</f>
        <v>538</v>
      </c>
      <c r="U956" s="68">
        <f>IF($C956="B",VLOOKUP($A956,Bat!$A$4:$BA$1621,47,FALSE),VLOOKUP($A956,Pit!$A$4:$BF$1557,56,FALSE))</f>
        <v>0</v>
      </c>
      <c r="V956" s="50">
        <f>IF($C956="B",VLOOKUP($A956,Bat!$A$4:$BA$1621,48,FALSE),VLOOKUP($A956,Pit!$A$4:$BF$1557,57,FALSE))</f>
        <v>0</v>
      </c>
      <c r="W956" s="50">
        <f>Table5[[#This Row],[posRnk]]+Table5[[#This Row],[zRnk]]+IF($W$3&lt;&gt;Table5[[#This Row],[Type]],50,0)</f>
        <v>1471</v>
      </c>
      <c r="X956" s="51">
        <f>RANK(Table5[[#This Row],[zScore]],Table5[[#All],[zScore]])</f>
        <v>883</v>
      </c>
      <c r="Y956" s="50" t="str">
        <f>IFERROR(INDEX(DraftResults[[#All],[OVR]],MATCH(Table5[[#This Row],[PID]],DraftResults[[#All],[Player ID]],0)),"")</f>
        <v/>
      </c>
      <c r="Z9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6" s="50" t="str">
        <f>IFERROR(INDEX(DraftResults[[#All],[Pick in Round]],MATCH(Table5[[#This Row],[PID]],DraftResults[[#All],[Player ID]],0)),"")</f>
        <v/>
      </c>
      <c r="AB956" s="50" t="str">
        <f>IFERROR(INDEX(DraftResults[[#All],[Team Name]],MATCH(Table5[[#This Row],[PID]],DraftResults[[#All],[Player ID]],0)),"")</f>
        <v/>
      </c>
      <c r="AC956" s="50" t="str">
        <f>IF(Table5[[#This Row],[Ovr]]="","",IF(Table5[[#This Row],[cmbList]]="","",Table5[[#This Row],[cmbList]]-Table5[[#This Row],[Ovr]]))</f>
        <v/>
      </c>
      <c r="AD956" s="54" t="str">
        <f>IF(ISERROR(VLOOKUP($AB956&amp;"-"&amp;$E956&amp;" "&amp;F956,Bonuses!$B$1:$G$1006,4,FALSE)),"",INT(VLOOKUP($AB956&amp;"-"&amp;$E956&amp;" "&amp;$F956,Bonuses!$B$1:$G$1006,4,FALSE)))</f>
        <v/>
      </c>
      <c r="AE9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7" spans="1:31" s="50" customFormat="1" x14ac:dyDescent="0.25">
      <c r="A957" s="50">
        <v>20425</v>
      </c>
      <c r="B957" s="50">
        <f>COUNTIF(Table5[PID],A957)</f>
        <v>1</v>
      </c>
      <c r="C957" s="50" t="str">
        <f>IF(COUNTIF(Table3[[#All],[PID]],A957)&gt;0,"P","B")</f>
        <v>P</v>
      </c>
      <c r="D957" s="59" t="str">
        <f>IF($C957="B",INDEX(Batters[[#All],[POS]],MATCH(Table5[[#This Row],[PID]],Batters[[#All],[PID]],0)),INDEX(Table3[[#All],[POS]],MATCH(Table5[[#This Row],[PID]],Table3[[#All],[PID]],0)))</f>
        <v>RP</v>
      </c>
      <c r="E957" s="52" t="str">
        <f>IF($C957="B",INDEX(Batters[[#All],[First]],MATCH(Table5[[#This Row],[PID]],Batters[[#All],[PID]],0)),INDEX(Table3[[#All],[First]],MATCH(Table5[[#This Row],[PID]],Table3[[#All],[PID]],0)))</f>
        <v>Yi-da</v>
      </c>
      <c r="F957" s="50" t="str">
        <f>IF($C957="B",INDEX(Batters[[#All],[Last]],MATCH(A957,Batters[[#All],[PID]],0)),INDEX(Table3[[#All],[Last]],MATCH(A957,Table3[[#All],[PID]],0)))</f>
        <v>Xú</v>
      </c>
      <c r="G957" s="56">
        <f>IF($C957="B",INDEX(Batters[[#All],[Age]],MATCH(Table5[[#This Row],[PID]],Batters[[#All],[PID]],0)),INDEX(Table3[[#All],[Age]],MATCH(Table5[[#This Row],[PID]],Table3[[#All],[PID]],0)))</f>
        <v>16</v>
      </c>
      <c r="H957" s="52" t="str">
        <f>IF($C957="B",INDEX(Batters[[#All],[B]],MATCH(Table5[[#This Row],[PID]],Batters[[#All],[PID]],0)),INDEX(Table3[[#All],[B]],MATCH(Table5[[#This Row],[PID]],Table3[[#All],[PID]],0)))</f>
        <v>R</v>
      </c>
      <c r="I957" s="52" t="str">
        <f>IF($C957="B",INDEX(Batters[[#All],[T]],MATCH(Table5[[#This Row],[PID]],Batters[[#All],[PID]],0)),INDEX(Table3[[#All],[T]],MATCH(Table5[[#This Row],[PID]],Table3[[#All],[PID]],0)))</f>
        <v>R</v>
      </c>
      <c r="J957" s="52" t="str">
        <f>IF($C957="B",INDEX(Batters[[#All],[WE]],MATCH(Table5[[#This Row],[PID]],Batters[[#All],[PID]],0)),INDEX(Table3[[#All],[WE]],MATCH(Table5[[#This Row],[PID]],Table3[[#All],[PID]],0)))</f>
        <v>Normal</v>
      </c>
      <c r="K957" s="52" t="str">
        <f>IF($C957="B",INDEX(Batters[[#All],[INT]],MATCH(Table5[[#This Row],[PID]],Batters[[#All],[PID]],0)),INDEX(Table3[[#All],[INT]],MATCH(Table5[[#This Row],[PID]],Table3[[#All],[PID]],0)))</f>
        <v>Normal</v>
      </c>
      <c r="L957" s="60">
        <f>IF($C957="B",INDEX(Batters[[#All],[CON P]],MATCH(Table5[[#This Row],[PID]],Batters[[#All],[PID]],0)),INDEX(Table3[[#All],[STU P]],MATCH(Table5[[#This Row],[PID]],Table3[[#All],[PID]],0)))</f>
        <v>4</v>
      </c>
      <c r="M957" s="56">
        <f>IF($C957="B",INDEX(Batters[[#All],[GAP P]],MATCH(Table5[[#This Row],[PID]],Batters[[#All],[PID]],0)),INDEX(Table3[[#All],[MOV P]],MATCH(Table5[[#This Row],[PID]],Table3[[#All],[PID]],0)))</f>
        <v>1</v>
      </c>
      <c r="N957" s="56">
        <f>IF($C957="B",INDEX(Batters[[#All],[POW P]],MATCH(Table5[[#This Row],[PID]],Batters[[#All],[PID]],0)),INDEX(Table3[[#All],[CON P]],MATCH(Table5[[#This Row],[PID]],Table3[[#All],[PID]],0)))</f>
        <v>3</v>
      </c>
      <c r="O957" s="56" t="str">
        <f>IF($C957="B",INDEX(Batters[[#All],[EYE P]],MATCH(Table5[[#This Row],[PID]],Batters[[#All],[PID]],0)),INDEX(Table3[[#All],[VELO]],MATCH(Table5[[#This Row],[PID]],Table3[[#All],[PID]],0)))</f>
        <v>87-89 Mph</v>
      </c>
      <c r="P957" s="56">
        <f>IF($C957="B",INDEX(Batters[[#All],[K P]],MATCH(Table5[[#This Row],[PID]],Batters[[#All],[PID]],0)),INDEX(Table3[[#All],[STM]],MATCH(Table5[[#This Row],[PID]],Table3[[#All],[PID]],0)))</f>
        <v>9</v>
      </c>
      <c r="Q957" s="61">
        <f>IF($C957="B",INDEX(Batters[[#All],[Tot]],MATCH(Table5[[#This Row],[PID]],Batters[[#All],[PID]],0)),INDEX(Table3[[#All],[Tot]],MATCH(Table5[[#This Row],[PID]],Table3[[#All],[PID]],0)))</f>
        <v>29.253153785412607</v>
      </c>
      <c r="R957" s="52">
        <f>IF($C957="B",INDEX(Batters[[#All],[zScore]],MATCH(Table5[[#This Row],[PID]],Batters[[#All],[PID]],0)),INDEX(Table3[[#All],[zScore]],MATCH(Table5[[#This Row],[PID]],Table3[[#All],[PID]],0)))</f>
        <v>-0.54462330665166125</v>
      </c>
      <c r="S957" s="58" t="str">
        <f>IF($C957="B",INDEX(Batters[[#All],[DEM]],MATCH(Table5[[#This Row],[PID]],Batters[[#All],[PID]],0)),INDEX(Table3[[#All],[DEM]],MATCH(Table5[[#This Row],[PID]],Table3[[#All],[PID]],0)))</f>
        <v>$65k</v>
      </c>
      <c r="T957" s="62">
        <f>IF($C957="B",INDEX(Batters[[#All],[Rnk]],MATCH(Table5[[#This Row],[PID]],Batters[[#All],[PID]],0)),INDEX(Table3[[#All],[Rnk]],MATCH(Table5[[#This Row],[PID]],Table3[[#All],[PID]],0)))</f>
        <v>539</v>
      </c>
      <c r="U957" s="68">
        <f>IF($C957="B",VLOOKUP($A957,Bat!$A$4:$BA$1621,47,FALSE),VLOOKUP($A957,Pit!$A$4:$BF$1557,56,FALSE))</f>
        <v>0</v>
      </c>
      <c r="V957" s="50">
        <f>IF($C957="B",VLOOKUP($A957,Bat!$A$4:$BA$1621,48,FALSE),VLOOKUP($A957,Pit!$A$4:$BF$1557,57,FALSE))</f>
        <v>0</v>
      </c>
      <c r="W957" s="50">
        <f>Table5[[#This Row],[posRnk]]+Table5[[#This Row],[zRnk]]+IF($W$3&lt;&gt;Table5[[#This Row],[Type]],50,0)</f>
        <v>1474</v>
      </c>
      <c r="X957" s="51">
        <f>RANK(Table5[[#This Row],[zScore]],Table5[[#All],[zScore]])</f>
        <v>885</v>
      </c>
      <c r="Y957" s="50" t="str">
        <f>IFERROR(INDEX(DraftResults[[#All],[OVR]],MATCH(Table5[[#This Row],[PID]],DraftResults[[#All],[Player ID]],0)),"")</f>
        <v/>
      </c>
      <c r="Z9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7" s="50" t="str">
        <f>IFERROR(INDEX(DraftResults[[#All],[Pick in Round]],MATCH(Table5[[#This Row],[PID]],DraftResults[[#All],[Player ID]],0)),"")</f>
        <v/>
      </c>
      <c r="AB957" s="50" t="str">
        <f>IFERROR(INDEX(DraftResults[[#All],[Team Name]],MATCH(Table5[[#This Row],[PID]],DraftResults[[#All],[Player ID]],0)),"")</f>
        <v/>
      </c>
      <c r="AC957" s="50" t="str">
        <f>IF(Table5[[#This Row],[Ovr]]="","",IF(Table5[[#This Row],[cmbList]]="","",Table5[[#This Row],[cmbList]]-Table5[[#This Row],[Ovr]]))</f>
        <v/>
      </c>
      <c r="AD957" s="54" t="str">
        <f>IF(ISERROR(VLOOKUP($AB957&amp;"-"&amp;$E957&amp;" "&amp;F957,Bonuses!$B$1:$G$1006,4,FALSE)),"",INT(VLOOKUP($AB957&amp;"-"&amp;$E957&amp;" "&amp;$F957,Bonuses!$B$1:$G$1006,4,FALSE)))</f>
        <v/>
      </c>
      <c r="AE9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8" spans="1:31" s="50" customFormat="1" x14ac:dyDescent="0.25">
      <c r="A958" s="50">
        <v>18346</v>
      </c>
      <c r="B958" s="50">
        <f>COUNTIF(Table5[PID],A958)</f>
        <v>1</v>
      </c>
      <c r="C958" s="50" t="str">
        <f>IF(COUNTIF(Table3[[#All],[PID]],A958)&gt;0,"P","B")</f>
        <v>B</v>
      </c>
      <c r="D958" s="59" t="str">
        <f>IF($C958="B",INDEX(Batters[[#All],[POS]],MATCH(Table5[[#This Row],[PID]],Batters[[#All],[PID]],0)),INDEX(Table3[[#All],[POS]],MATCH(Table5[[#This Row],[PID]],Table3[[#All],[PID]],0)))</f>
        <v>LF</v>
      </c>
      <c r="E958" s="52" t="str">
        <f>IF($C958="B",INDEX(Batters[[#All],[First]],MATCH(Table5[[#This Row],[PID]],Batters[[#All],[PID]],0)),INDEX(Table3[[#All],[First]],MATCH(Table5[[#This Row],[PID]],Table3[[#All],[PID]],0)))</f>
        <v>Sieb</v>
      </c>
      <c r="F958" s="50" t="str">
        <f>IF($C958="B",INDEX(Batters[[#All],[Last]],MATCH(A958,Batters[[#All],[PID]],0)),INDEX(Table3[[#All],[Last]],MATCH(A958,Table3[[#All],[PID]],0)))</f>
        <v>Adriani</v>
      </c>
      <c r="G958" s="56">
        <f>IF($C958="B",INDEX(Batters[[#All],[Age]],MATCH(Table5[[#This Row],[PID]],Batters[[#All],[PID]],0)),INDEX(Table3[[#All],[Age]],MATCH(Table5[[#This Row],[PID]],Table3[[#All],[PID]],0)))</f>
        <v>18</v>
      </c>
      <c r="H958" s="52" t="str">
        <f>IF($C958="B",INDEX(Batters[[#All],[B]],MATCH(Table5[[#This Row],[PID]],Batters[[#All],[PID]],0)),INDEX(Table3[[#All],[B]],MATCH(Table5[[#This Row],[PID]],Table3[[#All],[PID]],0)))</f>
        <v>R</v>
      </c>
      <c r="I958" s="52" t="str">
        <f>IF($C958="B",INDEX(Batters[[#All],[T]],MATCH(Table5[[#This Row],[PID]],Batters[[#All],[PID]],0)),INDEX(Table3[[#All],[T]],MATCH(Table5[[#This Row],[PID]],Table3[[#All],[PID]],0)))</f>
        <v>R</v>
      </c>
      <c r="J958" s="52" t="str">
        <f>IF($C958="B",INDEX(Batters[[#All],[WE]],MATCH(Table5[[#This Row],[PID]],Batters[[#All],[PID]],0)),INDEX(Table3[[#All],[WE]],MATCH(Table5[[#This Row],[PID]],Table3[[#All],[PID]],0)))</f>
        <v>Normal</v>
      </c>
      <c r="K958" s="52" t="str">
        <f>IF($C958="B",INDEX(Batters[[#All],[INT]],MATCH(Table5[[#This Row],[PID]],Batters[[#All],[PID]],0)),INDEX(Table3[[#All],[INT]],MATCH(Table5[[#This Row],[PID]],Table3[[#All],[PID]],0)))</f>
        <v>Normal</v>
      </c>
      <c r="L958" s="60">
        <f>IF($C958="B",INDEX(Batters[[#All],[CON P]],MATCH(Table5[[#This Row],[PID]],Batters[[#All],[PID]],0)),INDEX(Table3[[#All],[STU P]],MATCH(Table5[[#This Row],[PID]],Table3[[#All],[PID]],0)))</f>
        <v>3</v>
      </c>
      <c r="M958" s="56">
        <f>IF($C958="B",INDEX(Batters[[#All],[GAP P]],MATCH(Table5[[#This Row],[PID]],Batters[[#All],[PID]],0)),INDEX(Table3[[#All],[MOV P]],MATCH(Table5[[#This Row],[PID]],Table3[[#All],[PID]],0)))</f>
        <v>3</v>
      </c>
      <c r="N958" s="56">
        <f>IF($C958="B",INDEX(Batters[[#All],[POW P]],MATCH(Table5[[#This Row],[PID]],Batters[[#All],[PID]],0)),INDEX(Table3[[#All],[CON P]],MATCH(Table5[[#This Row],[PID]],Table3[[#All],[PID]],0)))</f>
        <v>3</v>
      </c>
      <c r="O958" s="56">
        <f>IF($C958="B",INDEX(Batters[[#All],[EYE P]],MATCH(Table5[[#This Row],[PID]],Batters[[#All],[PID]],0)),INDEX(Table3[[#All],[VELO]],MATCH(Table5[[#This Row],[PID]],Table3[[#All],[PID]],0)))</f>
        <v>5</v>
      </c>
      <c r="P958" s="56">
        <f>IF($C958="B",INDEX(Batters[[#All],[K P]],MATCH(Table5[[#This Row],[PID]],Batters[[#All],[PID]],0)),INDEX(Table3[[#All],[STM]],MATCH(Table5[[#This Row],[PID]],Table3[[#All],[PID]],0)))</f>
        <v>4</v>
      </c>
      <c r="Q958" s="61">
        <f>IF($C958="B",INDEX(Batters[[#All],[Tot]],MATCH(Table5[[#This Row],[PID]],Batters[[#All],[PID]],0)),INDEX(Table3[[#All],[Tot]],MATCH(Table5[[#This Row],[PID]],Table3[[#All],[PID]],0)))</f>
        <v>41.675394896279869</v>
      </c>
      <c r="R958" s="52">
        <f>IF($C958="B",INDEX(Batters[[#All],[zScore]],MATCH(Table5[[#This Row],[PID]],Batters[[#All],[PID]],0)),INDEX(Table3[[#All],[zScore]],MATCH(Table5[[#This Row],[PID]],Table3[[#All],[PID]],0)))</f>
        <v>-0.54463259248297347</v>
      </c>
      <c r="S958" s="58" t="str">
        <f>IF($C958="B",INDEX(Batters[[#All],[DEM]],MATCH(Table5[[#This Row],[PID]],Batters[[#All],[PID]],0)),INDEX(Table3[[#All],[DEM]],MATCH(Table5[[#This Row],[PID]],Table3[[#All],[PID]],0)))</f>
        <v>$65k</v>
      </c>
      <c r="T958" s="62">
        <f>IF($C958="B",INDEX(Batters[[#All],[Rnk]],MATCH(Table5[[#This Row],[PID]],Batters[[#All],[PID]],0)),INDEX(Table3[[#All],[Rnk]],MATCH(Table5[[#This Row],[PID]],Table3[[#All],[PID]],0)))</f>
        <v>346</v>
      </c>
      <c r="U958" s="68">
        <f>IF($C958="B",VLOOKUP($A958,Bat!$A$4:$BA$1621,47,FALSE),VLOOKUP($A958,Pit!$A$4:$BF$1557,56,FALSE))</f>
        <v>0</v>
      </c>
      <c r="V958" s="50">
        <f>IF($C958="B",VLOOKUP($A958,Bat!$A$4:$BA$1621,48,FALSE),VLOOKUP($A958,Pit!$A$4:$BF$1557,57,FALSE))</f>
        <v>0</v>
      </c>
      <c r="W958" s="50">
        <f>Table5[[#This Row],[posRnk]]+Table5[[#This Row],[zRnk]]+IF($W$3&lt;&gt;Table5[[#This Row],[Type]],50,0)</f>
        <v>1282</v>
      </c>
      <c r="X958" s="51">
        <f>RANK(Table5[[#This Row],[zScore]],Table5[[#All],[zScore]])</f>
        <v>886</v>
      </c>
      <c r="Y958" s="50" t="str">
        <f>IFERROR(INDEX(DraftResults[[#All],[OVR]],MATCH(Table5[[#This Row],[PID]],DraftResults[[#All],[Player ID]],0)),"")</f>
        <v/>
      </c>
      <c r="Z9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8" s="50" t="str">
        <f>IFERROR(INDEX(DraftResults[[#All],[Pick in Round]],MATCH(Table5[[#This Row],[PID]],DraftResults[[#All],[Player ID]],0)),"")</f>
        <v/>
      </c>
      <c r="AB958" s="50" t="str">
        <f>IFERROR(INDEX(DraftResults[[#All],[Team Name]],MATCH(Table5[[#This Row],[PID]],DraftResults[[#All],[Player ID]],0)),"")</f>
        <v/>
      </c>
      <c r="AC958" s="50" t="str">
        <f>IF(Table5[[#This Row],[Ovr]]="","",IF(Table5[[#This Row],[cmbList]]="","",Table5[[#This Row],[cmbList]]-Table5[[#This Row],[Ovr]]))</f>
        <v/>
      </c>
      <c r="AD958" s="54" t="str">
        <f>IF(ISERROR(VLOOKUP($AB958&amp;"-"&amp;$E958&amp;" "&amp;F958,Bonuses!$B$1:$G$1006,4,FALSE)),"",INT(VLOOKUP($AB958&amp;"-"&amp;$E958&amp;" "&amp;$F958,Bonuses!$B$1:$G$1006,4,FALSE)))</f>
        <v/>
      </c>
      <c r="AE9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59" spans="1:31" s="50" customFormat="1" x14ac:dyDescent="0.25">
      <c r="A959" s="50">
        <v>18042</v>
      </c>
      <c r="B959" s="50">
        <f>COUNTIF(Table5[PID],A959)</f>
        <v>1</v>
      </c>
      <c r="C959" s="50" t="str">
        <f>IF(COUNTIF(Table3[[#All],[PID]],A959)&gt;0,"P","B")</f>
        <v>P</v>
      </c>
      <c r="D959" s="59" t="str">
        <f>IF($C959="B",INDEX(Batters[[#All],[POS]],MATCH(Table5[[#This Row],[PID]],Batters[[#All],[PID]],0)),INDEX(Table3[[#All],[POS]],MATCH(Table5[[#This Row],[PID]],Table3[[#All],[PID]],0)))</f>
        <v>RP</v>
      </c>
      <c r="E959" s="52" t="str">
        <f>IF($C959="B",INDEX(Batters[[#All],[First]],MATCH(Table5[[#This Row],[PID]],Batters[[#All],[PID]],0)),INDEX(Table3[[#All],[First]],MATCH(Table5[[#This Row],[PID]],Table3[[#All],[PID]],0)))</f>
        <v>Stanley</v>
      </c>
      <c r="F959" s="50" t="str">
        <f>IF($C959="B",INDEX(Batters[[#All],[Last]],MATCH(A959,Batters[[#All],[PID]],0)),INDEX(Table3[[#All],[Last]],MATCH(A959,Table3[[#All],[PID]],0)))</f>
        <v>Randolph</v>
      </c>
      <c r="G959" s="56">
        <f>IF($C959="B",INDEX(Batters[[#All],[Age]],MATCH(Table5[[#This Row],[PID]],Batters[[#All],[PID]],0)),INDEX(Table3[[#All],[Age]],MATCH(Table5[[#This Row],[PID]],Table3[[#All],[PID]],0)))</f>
        <v>22</v>
      </c>
      <c r="H959" s="52" t="str">
        <f>IF($C959="B",INDEX(Batters[[#All],[B]],MATCH(Table5[[#This Row],[PID]],Batters[[#All],[PID]],0)),INDEX(Table3[[#All],[B]],MATCH(Table5[[#This Row],[PID]],Table3[[#All],[PID]],0)))</f>
        <v>L</v>
      </c>
      <c r="I959" s="52" t="str">
        <f>IF($C959="B",INDEX(Batters[[#All],[T]],MATCH(Table5[[#This Row],[PID]],Batters[[#All],[PID]],0)),INDEX(Table3[[#All],[T]],MATCH(Table5[[#This Row],[PID]],Table3[[#All],[PID]],0)))</f>
        <v>L</v>
      </c>
      <c r="J959" s="52" t="str">
        <f>IF($C959="B",INDEX(Batters[[#All],[WE]],MATCH(Table5[[#This Row],[PID]],Batters[[#All],[PID]],0)),INDEX(Table3[[#All],[WE]],MATCH(Table5[[#This Row],[PID]],Table3[[#All],[PID]],0)))</f>
        <v>Normal</v>
      </c>
      <c r="K959" s="52" t="str">
        <f>IF($C959="B",INDEX(Batters[[#All],[INT]],MATCH(Table5[[#This Row],[PID]],Batters[[#All],[PID]],0)),INDEX(Table3[[#All],[INT]],MATCH(Table5[[#This Row],[PID]],Table3[[#All],[PID]],0)))</f>
        <v>Normal</v>
      </c>
      <c r="L959" s="60">
        <f>IF($C959="B",INDEX(Batters[[#All],[CON P]],MATCH(Table5[[#This Row],[PID]],Batters[[#All],[PID]],0)),INDEX(Table3[[#All],[STU P]],MATCH(Table5[[#This Row],[PID]],Table3[[#All],[PID]],0)))</f>
        <v>5</v>
      </c>
      <c r="M959" s="56">
        <f>IF($C959="B",INDEX(Batters[[#All],[GAP P]],MATCH(Table5[[#This Row],[PID]],Batters[[#All],[PID]],0)),INDEX(Table3[[#All],[MOV P]],MATCH(Table5[[#This Row],[PID]],Table3[[#All],[PID]],0)))</f>
        <v>2</v>
      </c>
      <c r="N959" s="56">
        <f>IF($C959="B",INDEX(Batters[[#All],[POW P]],MATCH(Table5[[#This Row],[PID]],Batters[[#All],[PID]],0)),INDEX(Table3[[#All],[CON P]],MATCH(Table5[[#This Row],[PID]],Table3[[#All],[PID]],0)))</f>
        <v>3</v>
      </c>
      <c r="O959" s="56" t="str">
        <f>IF($C959="B",INDEX(Batters[[#All],[EYE P]],MATCH(Table5[[#This Row],[PID]],Batters[[#All],[PID]],0)),INDEX(Table3[[#All],[VELO]],MATCH(Table5[[#This Row],[PID]],Table3[[#All],[PID]],0)))</f>
        <v>91-93 Mph</v>
      </c>
      <c r="P959" s="56">
        <f>IF($C959="B",INDEX(Batters[[#All],[K P]],MATCH(Table5[[#This Row],[PID]],Batters[[#All],[PID]],0)),INDEX(Table3[[#All],[STM]],MATCH(Table5[[#This Row],[PID]],Table3[[#All],[PID]],0)))</f>
        <v>3</v>
      </c>
      <c r="Q959" s="61">
        <f>IF($C959="B",INDEX(Batters[[#All],[Tot]],MATCH(Table5[[#This Row],[PID]],Batters[[#All],[PID]],0)),INDEX(Table3[[#All],[Tot]],MATCH(Table5[[#This Row],[PID]],Table3[[#All],[PID]],0)))</f>
        <v>27.672998159316066</v>
      </c>
      <c r="R959" s="52">
        <f>IF($C959="B",INDEX(Batters[[#All],[zScore]],MATCH(Table5[[#This Row],[PID]],Batters[[#All],[PID]],0)),INDEX(Table3[[#All],[zScore]],MATCH(Table5[[#This Row],[PID]],Table3[[#All],[PID]],0)))</f>
        <v>-0.54536900338670891</v>
      </c>
      <c r="S959" s="58" t="str">
        <f>IF($C959="B",INDEX(Batters[[#All],[DEM]],MATCH(Table5[[#This Row],[PID]],Batters[[#All],[PID]],0)),INDEX(Table3[[#All],[DEM]],MATCH(Table5[[#This Row],[PID]],Table3[[#All],[PID]],0)))</f>
        <v>-</v>
      </c>
      <c r="T959" s="62">
        <f>IF($C959="B",INDEX(Batters[[#All],[Rnk]],MATCH(Table5[[#This Row],[PID]],Batters[[#All],[PID]],0)),INDEX(Table3[[#All],[Rnk]],MATCH(Table5[[#This Row],[PID]],Table3[[#All],[PID]],0)))</f>
        <v>540</v>
      </c>
      <c r="U959" s="68">
        <f>IF($C959="B",VLOOKUP($A959,Bat!$A$4:$BA$1621,47,FALSE),VLOOKUP($A959,Pit!$A$4:$BF$1557,56,FALSE))</f>
        <v>0</v>
      </c>
      <c r="V959" s="50">
        <f>IF($C959="B",VLOOKUP($A959,Bat!$A$4:$BA$1621,48,FALSE),VLOOKUP($A959,Pit!$A$4:$BF$1557,57,FALSE))</f>
        <v>0</v>
      </c>
      <c r="W959" s="50">
        <f>Table5[[#This Row],[posRnk]]+Table5[[#This Row],[zRnk]]+IF($W$3&lt;&gt;Table5[[#This Row],[Type]],50,0)</f>
        <v>1477</v>
      </c>
      <c r="X959" s="51">
        <f>RANK(Table5[[#This Row],[zScore]],Table5[[#All],[zScore]])</f>
        <v>887</v>
      </c>
      <c r="Y959" s="50" t="str">
        <f>IFERROR(INDEX(DraftResults[[#All],[OVR]],MATCH(Table5[[#This Row],[PID]],DraftResults[[#All],[Player ID]],0)),"")</f>
        <v/>
      </c>
      <c r="Z9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59" s="50" t="str">
        <f>IFERROR(INDEX(DraftResults[[#All],[Pick in Round]],MATCH(Table5[[#This Row],[PID]],DraftResults[[#All],[Player ID]],0)),"")</f>
        <v/>
      </c>
      <c r="AB959" s="50" t="str">
        <f>IFERROR(INDEX(DraftResults[[#All],[Team Name]],MATCH(Table5[[#This Row],[PID]],DraftResults[[#All],[Player ID]],0)),"")</f>
        <v/>
      </c>
      <c r="AC959" s="50" t="str">
        <f>IF(Table5[[#This Row],[Ovr]]="","",IF(Table5[[#This Row],[cmbList]]="","",Table5[[#This Row],[cmbList]]-Table5[[#This Row],[Ovr]]))</f>
        <v/>
      </c>
      <c r="AD959" s="54" t="str">
        <f>IF(ISERROR(VLOOKUP($AB959&amp;"-"&amp;$E959&amp;" "&amp;F959,Bonuses!$B$1:$G$1006,4,FALSE)),"",INT(VLOOKUP($AB959&amp;"-"&amp;$E959&amp;" "&amp;$F959,Bonuses!$B$1:$G$1006,4,FALSE)))</f>
        <v/>
      </c>
      <c r="AE9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0" spans="1:31" s="50" customFormat="1" x14ac:dyDescent="0.25">
      <c r="A960" s="50">
        <v>6275</v>
      </c>
      <c r="B960" s="55">
        <f>COUNTIF(Table5[PID],A960)</f>
        <v>1</v>
      </c>
      <c r="C960" s="55" t="str">
        <f>IF(COUNTIF(Table3[[#All],[PID]],A960)&gt;0,"P","B")</f>
        <v>B</v>
      </c>
      <c r="D960" s="59" t="str">
        <f>IF($C960="B",INDEX(Batters[[#All],[POS]],MATCH(Table5[[#This Row],[PID]],Batters[[#All],[PID]],0)),INDEX(Table3[[#All],[POS]],MATCH(Table5[[#This Row],[PID]],Table3[[#All],[PID]],0)))</f>
        <v>C</v>
      </c>
      <c r="E960" s="52" t="str">
        <f>IF($C960="B",INDEX(Batters[[#All],[First]],MATCH(Table5[[#This Row],[PID]],Batters[[#All],[PID]],0)),INDEX(Table3[[#All],[First]],MATCH(Table5[[#This Row],[PID]],Table3[[#All],[PID]],0)))</f>
        <v>Juan</v>
      </c>
      <c r="F960" s="50" t="str">
        <f>IF($C960="B",INDEX(Batters[[#All],[Last]],MATCH(A960,Batters[[#All],[PID]],0)),INDEX(Table3[[#All],[Last]],MATCH(A960,Table3[[#All],[PID]],0)))</f>
        <v>Escobar</v>
      </c>
      <c r="G960" s="56">
        <f>IF($C960="B",INDEX(Batters[[#All],[Age]],MATCH(Table5[[#This Row],[PID]],Batters[[#All],[PID]],0)),INDEX(Table3[[#All],[Age]],MATCH(Table5[[#This Row],[PID]],Table3[[#All],[PID]],0)))</f>
        <v>22</v>
      </c>
      <c r="H960" s="52" t="str">
        <f>IF($C960="B",INDEX(Batters[[#All],[B]],MATCH(Table5[[#This Row],[PID]],Batters[[#All],[PID]],0)),INDEX(Table3[[#All],[B]],MATCH(Table5[[#This Row],[PID]],Table3[[#All],[PID]],0)))</f>
        <v>L</v>
      </c>
      <c r="I960" s="52" t="str">
        <f>IF($C960="B",INDEX(Batters[[#All],[T]],MATCH(Table5[[#This Row],[PID]],Batters[[#All],[PID]],0)),INDEX(Table3[[#All],[T]],MATCH(Table5[[#This Row],[PID]],Table3[[#All],[PID]],0)))</f>
        <v>R</v>
      </c>
      <c r="J960" s="52" t="str">
        <f>IF($C960="B",INDEX(Batters[[#All],[WE]],MATCH(Table5[[#This Row],[PID]],Batters[[#All],[PID]],0)),INDEX(Table3[[#All],[WE]],MATCH(Table5[[#This Row],[PID]],Table3[[#All],[PID]],0)))</f>
        <v>High</v>
      </c>
      <c r="K960" s="52" t="str">
        <f>IF($C960="B",INDEX(Batters[[#All],[INT]],MATCH(Table5[[#This Row],[PID]],Batters[[#All],[PID]],0)),INDEX(Table3[[#All],[INT]],MATCH(Table5[[#This Row],[PID]],Table3[[#All],[PID]],0)))</f>
        <v>High</v>
      </c>
      <c r="L960" s="60">
        <f>IF($C960="B",INDEX(Batters[[#All],[CON P]],MATCH(Table5[[#This Row],[PID]],Batters[[#All],[PID]],0)),INDEX(Table3[[#All],[STU P]],MATCH(Table5[[#This Row],[PID]],Table3[[#All],[PID]],0)))</f>
        <v>4</v>
      </c>
      <c r="M960" s="56">
        <f>IF($C960="B",INDEX(Batters[[#All],[GAP P]],MATCH(Table5[[#This Row],[PID]],Batters[[#All],[PID]],0)),INDEX(Table3[[#All],[MOV P]],MATCH(Table5[[#This Row],[PID]],Table3[[#All],[PID]],0)))</f>
        <v>4</v>
      </c>
      <c r="N960" s="56">
        <f>IF($C960="B",INDEX(Batters[[#All],[POW P]],MATCH(Table5[[#This Row],[PID]],Batters[[#All],[PID]],0)),INDEX(Table3[[#All],[CON P]],MATCH(Table5[[#This Row],[PID]],Table3[[#All],[PID]],0)))</f>
        <v>3</v>
      </c>
      <c r="O960" s="56">
        <f>IF($C960="B",INDEX(Batters[[#All],[EYE P]],MATCH(Table5[[#This Row],[PID]],Batters[[#All],[PID]],0)),INDEX(Table3[[#All],[VELO]],MATCH(Table5[[#This Row],[PID]],Table3[[#All],[PID]],0)))</f>
        <v>4</v>
      </c>
      <c r="P960" s="56">
        <f>IF($C960="B",INDEX(Batters[[#All],[K P]],MATCH(Table5[[#This Row],[PID]],Batters[[#All],[PID]],0)),INDEX(Table3[[#All],[STM]],MATCH(Table5[[#This Row],[PID]],Table3[[#All],[PID]],0)))</f>
        <v>4</v>
      </c>
      <c r="Q960" s="61">
        <f>IF($C960="B",INDEX(Batters[[#All],[Tot]],MATCH(Table5[[#This Row],[PID]],Batters[[#All],[PID]],0)),INDEX(Table3[[#All],[Tot]],MATCH(Table5[[#This Row],[PID]],Table3[[#All],[PID]],0)))</f>
        <v>41.669938013901287</v>
      </c>
      <c r="R960" s="52">
        <f>IF($C960="B",INDEX(Batters[[#All],[zScore]],MATCH(Table5[[#This Row],[PID]],Batters[[#All],[PID]],0)),INDEX(Table3[[#All],[zScore]],MATCH(Table5[[#This Row],[PID]],Table3[[#All],[PID]],0)))</f>
        <v>-0.54584242019140661</v>
      </c>
      <c r="S960" s="58" t="str">
        <f>IF($C960="B",INDEX(Batters[[#All],[DEM]],MATCH(Table5[[#This Row],[PID]],Batters[[#All],[PID]],0)),INDEX(Table3[[#All],[DEM]],MATCH(Table5[[#This Row],[PID]],Table3[[#All],[PID]],0)))</f>
        <v>-</v>
      </c>
      <c r="T960" s="62">
        <f>IF($C960="B",INDEX(Batters[[#All],[Rnk]],MATCH(Table5[[#This Row],[PID]],Batters[[#All],[PID]],0)),INDEX(Table3[[#All],[Rnk]],MATCH(Table5[[#This Row],[PID]],Table3[[#All],[PID]],0)))</f>
        <v>347</v>
      </c>
      <c r="U960" s="68">
        <f>IF($C960="B",VLOOKUP($A960,Bat!$A$4:$BA$1621,47,FALSE),VLOOKUP($A960,Pit!$A$4:$BF$1557,56,FALSE))</f>
        <v>0</v>
      </c>
      <c r="V960" s="50">
        <f>IF($C960="B",VLOOKUP($A960,Bat!$A$4:$BA$1621,48,FALSE),VLOOKUP($A960,Pit!$A$4:$BF$1557,57,FALSE))</f>
        <v>0</v>
      </c>
      <c r="W960" s="50">
        <f>Table5[[#This Row],[posRnk]]+Table5[[#This Row],[zRnk]]+IF($W$3&lt;&gt;Table5[[#This Row],[Type]],50,0)</f>
        <v>1285</v>
      </c>
      <c r="X960" s="51">
        <f>RANK(Table5[[#This Row],[zScore]],Table5[[#All],[zScore]])</f>
        <v>888</v>
      </c>
      <c r="Y960" s="50" t="str">
        <f>IFERROR(INDEX(DraftResults[[#All],[OVR]],MATCH(Table5[[#This Row],[PID]],DraftResults[[#All],[Player ID]],0)),"")</f>
        <v/>
      </c>
      <c r="Z9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0" s="50" t="str">
        <f>IFERROR(INDEX(DraftResults[[#All],[Pick in Round]],MATCH(Table5[[#This Row],[PID]],DraftResults[[#All],[Player ID]],0)),"")</f>
        <v/>
      </c>
      <c r="AB960" s="50" t="str">
        <f>IFERROR(INDEX(DraftResults[[#All],[Team Name]],MATCH(Table5[[#This Row],[PID]],DraftResults[[#All],[Player ID]],0)),"")</f>
        <v/>
      </c>
      <c r="AC960" s="50" t="str">
        <f>IF(Table5[[#This Row],[Ovr]]="","",IF(Table5[[#This Row],[cmbList]]="","",Table5[[#This Row],[cmbList]]-Table5[[#This Row],[Ovr]]))</f>
        <v/>
      </c>
      <c r="AD960" s="54" t="str">
        <f>IF(ISERROR(VLOOKUP($AB960&amp;"-"&amp;$E960&amp;" "&amp;F960,Bonuses!$B$1:$G$1006,4,FALSE)),"",INT(VLOOKUP($AB960&amp;"-"&amp;$E960&amp;" "&amp;$F960,Bonuses!$B$1:$G$1006,4,FALSE)))</f>
        <v/>
      </c>
      <c r="AE9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1" spans="1:31" s="50" customFormat="1" x14ac:dyDescent="0.25">
      <c r="A961" s="50">
        <v>15320</v>
      </c>
      <c r="B961" s="55">
        <f>COUNTIF(Table5[PID],A961)</f>
        <v>1</v>
      </c>
      <c r="C961" s="55" t="str">
        <f>IF(COUNTIF(Table3[[#All],[PID]],A961)&gt;0,"P","B")</f>
        <v>B</v>
      </c>
      <c r="D961" s="59" t="str">
        <f>IF($C961="B",INDEX(Batters[[#All],[POS]],MATCH(Table5[[#This Row],[PID]],Batters[[#All],[PID]],0)),INDEX(Table3[[#All],[POS]],MATCH(Table5[[#This Row],[PID]],Table3[[#All],[PID]],0)))</f>
        <v>SS</v>
      </c>
      <c r="E961" s="52" t="str">
        <f>IF($C961="B",INDEX(Batters[[#All],[First]],MATCH(Table5[[#This Row],[PID]],Batters[[#All],[PID]],0)),INDEX(Table3[[#All],[First]],MATCH(Table5[[#This Row],[PID]],Table3[[#All],[PID]],0)))</f>
        <v>Fernando</v>
      </c>
      <c r="F961" s="50" t="str">
        <f>IF($C961="B",INDEX(Batters[[#All],[Last]],MATCH(A961,Batters[[#All],[PID]],0)),INDEX(Table3[[#All],[Last]],MATCH(A961,Table3[[#All],[PID]],0)))</f>
        <v>Gutiérrez</v>
      </c>
      <c r="G961" s="56">
        <f>IF($C961="B",INDEX(Batters[[#All],[Age]],MATCH(Table5[[#This Row],[PID]],Batters[[#All],[PID]],0)),INDEX(Table3[[#All],[Age]],MATCH(Table5[[#This Row],[PID]],Table3[[#All],[PID]],0)))</f>
        <v>18</v>
      </c>
      <c r="H961" s="52" t="str">
        <f>IF($C961="B",INDEX(Batters[[#All],[B]],MATCH(Table5[[#This Row],[PID]],Batters[[#All],[PID]],0)),INDEX(Table3[[#All],[B]],MATCH(Table5[[#This Row],[PID]],Table3[[#All],[PID]],0)))</f>
        <v>R</v>
      </c>
      <c r="I961" s="52" t="str">
        <f>IF($C961="B",INDEX(Batters[[#All],[T]],MATCH(Table5[[#This Row],[PID]],Batters[[#All],[PID]],0)),INDEX(Table3[[#All],[T]],MATCH(Table5[[#This Row],[PID]],Table3[[#All],[PID]],0)))</f>
        <v>R</v>
      </c>
      <c r="J961" s="52" t="str">
        <f>IF($C961="B",INDEX(Batters[[#All],[WE]],MATCH(Table5[[#This Row],[PID]],Batters[[#All],[PID]],0)),INDEX(Table3[[#All],[WE]],MATCH(Table5[[#This Row],[PID]],Table3[[#All],[PID]],0)))</f>
        <v>High</v>
      </c>
      <c r="K961" s="52" t="str">
        <f>IF($C961="B",INDEX(Batters[[#All],[INT]],MATCH(Table5[[#This Row],[PID]],Batters[[#All],[PID]],0)),INDEX(Table3[[#All],[INT]],MATCH(Table5[[#This Row],[PID]],Table3[[#All],[PID]],0)))</f>
        <v>Normal</v>
      </c>
      <c r="L961" s="60">
        <f>IF($C961="B",INDEX(Batters[[#All],[CON P]],MATCH(Table5[[#This Row],[PID]],Batters[[#All],[PID]],0)),INDEX(Table3[[#All],[STU P]],MATCH(Table5[[#This Row],[PID]],Table3[[#All],[PID]],0)))</f>
        <v>3</v>
      </c>
      <c r="M961" s="56">
        <f>IF($C961="B",INDEX(Batters[[#All],[GAP P]],MATCH(Table5[[#This Row],[PID]],Batters[[#All],[PID]],0)),INDEX(Table3[[#All],[MOV P]],MATCH(Table5[[#This Row],[PID]],Table3[[#All],[PID]],0)))</f>
        <v>3</v>
      </c>
      <c r="N961" s="56">
        <f>IF($C961="B",INDEX(Batters[[#All],[POW P]],MATCH(Table5[[#This Row],[PID]],Batters[[#All],[PID]],0)),INDEX(Table3[[#All],[CON P]],MATCH(Table5[[#This Row],[PID]],Table3[[#All],[PID]],0)))</f>
        <v>3</v>
      </c>
      <c r="O961" s="56">
        <f>IF($C961="B",INDEX(Batters[[#All],[EYE P]],MATCH(Table5[[#This Row],[PID]],Batters[[#All],[PID]],0)),INDEX(Table3[[#All],[VELO]],MATCH(Table5[[#This Row],[PID]],Table3[[#All],[PID]],0)))</f>
        <v>5</v>
      </c>
      <c r="P961" s="56">
        <f>IF($C961="B",INDEX(Batters[[#All],[K P]],MATCH(Table5[[#This Row],[PID]],Batters[[#All],[PID]],0)),INDEX(Table3[[#All],[STM]],MATCH(Table5[[#This Row],[PID]],Table3[[#All],[PID]],0)))</f>
        <v>4</v>
      </c>
      <c r="Q961" s="61">
        <f>IF($C961="B",INDEX(Batters[[#All],[Tot]],MATCH(Table5[[#This Row],[PID]],Batters[[#All],[PID]],0)),INDEX(Table3[[#All],[Tot]],MATCH(Table5[[#This Row],[PID]],Table3[[#All],[PID]],0)))</f>
        <v>41.658728229613203</v>
      </c>
      <c r="R961" s="52">
        <f>IF($C961="B",INDEX(Batters[[#All],[zScore]],MATCH(Table5[[#This Row],[PID]],Batters[[#All],[PID]],0)),INDEX(Table3[[#All],[zScore]],MATCH(Table5[[#This Row],[PID]],Table3[[#All],[PID]],0)))</f>
        <v>-0.54832770513918461</v>
      </c>
      <c r="S961" s="58" t="str">
        <f>IF($C961="B",INDEX(Batters[[#All],[DEM]],MATCH(Table5[[#This Row],[PID]],Batters[[#All],[PID]],0)),INDEX(Table3[[#All],[DEM]],MATCH(Table5[[#This Row],[PID]],Table3[[#All],[PID]],0)))</f>
        <v>$65k</v>
      </c>
      <c r="T961" s="62">
        <f>IF($C961="B",INDEX(Batters[[#All],[Rnk]],MATCH(Table5[[#This Row],[PID]],Batters[[#All],[PID]],0)),INDEX(Table3[[#All],[Rnk]],MATCH(Table5[[#This Row],[PID]],Table3[[#All],[PID]],0)))</f>
        <v>348</v>
      </c>
      <c r="U961" s="68">
        <f>IF($C961="B",VLOOKUP($A961,Bat!$A$4:$BA$1621,47,FALSE),VLOOKUP($A961,Pit!$A$4:$BF$1557,56,FALSE))</f>
        <v>0</v>
      </c>
      <c r="V961" s="50">
        <f>IF($C961="B",VLOOKUP($A961,Bat!$A$4:$BA$1621,48,FALSE),VLOOKUP($A961,Pit!$A$4:$BF$1557,57,FALSE))</f>
        <v>0</v>
      </c>
      <c r="W961" s="50">
        <f>Table5[[#This Row],[posRnk]]+Table5[[#This Row],[zRnk]]+IF($W$3&lt;&gt;Table5[[#This Row],[Type]],50,0)</f>
        <v>1287</v>
      </c>
      <c r="X961" s="51">
        <f>RANK(Table5[[#This Row],[zScore]],Table5[[#All],[zScore]])</f>
        <v>889</v>
      </c>
      <c r="Y961" s="50" t="str">
        <f>IFERROR(INDEX(DraftResults[[#All],[OVR]],MATCH(Table5[[#This Row],[PID]],DraftResults[[#All],[Player ID]],0)),"")</f>
        <v/>
      </c>
      <c r="Z9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1" s="50" t="str">
        <f>IFERROR(INDEX(DraftResults[[#All],[Pick in Round]],MATCH(Table5[[#This Row],[PID]],DraftResults[[#All],[Player ID]],0)),"")</f>
        <v/>
      </c>
      <c r="AB961" s="50" t="str">
        <f>IFERROR(INDEX(DraftResults[[#All],[Team Name]],MATCH(Table5[[#This Row],[PID]],DraftResults[[#All],[Player ID]],0)),"")</f>
        <v/>
      </c>
      <c r="AC961" s="50" t="str">
        <f>IF(Table5[[#This Row],[Ovr]]="","",IF(Table5[[#This Row],[cmbList]]="","",Table5[[#This Row],[cmbList]]-Table5[[#This Row],[Ovr]]))</f>
        <v/>
      </c>
      <c r="AD961" s="54" t="str">
        <f>IF(ISERROR(VLOOKUP($AB961&amp;"-"&amp;$E961&amp;" "&amp;F961,Bonuses!$B$1:$G$1006,4,FALSE)),"",INT(VLOOKUP($AB961&amp;"-"&amp;$E961&amp;" "&amp;$F961,Bonuses!$B$1:$G$1006,4,FALSE)))</f>
        <v/>
      </c>
      <c r="AE9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2" spans="1:31" s="50" customFormat="1" x14ac:dyDescent="0.25">
      <c r="A962" s="50">
        <v>8097</v>
      </c>
      <c r="B962" s="50">
        <f>COUNTIF(Table5[PID],A962)</f>
        <v>1</v>
      </c>
      <c r="C962" s="50" t="str">
        <f>IF(COUNTIF(Table3[[#All],[PID]],A962)&gt;0,"P","B")</f>
        <v>P</v>
      </c>
      <c r="D962" s="59" t="str">
        <f>IF($C962="B",INDEX(Batters[[#All],[POS]],MATCH(Table5[[#This Row],[PID]],Batters[[#All],[PID]],0)),INDEX(Table3[[#All],[POS]],MATCH(Table5[[#This Row],[PID]],Table3[[#All],[PID]],0)))</f>
        <v>RP</v>
      </c>
      <c r="E962" s="52" t="str">
        <f>IF($C962="B",INDEX(Batters[[#All],[First]],MATCH(Table5[[#This Row],[PID]],Batters[[#All],[PID]],0)),INDEX(Table3[[#All],[First]],MATCH(Table5[[#This Row],[PID]],Table3[[#All],[PID]],0)))</f>
        <v>Ogai</v>
      </c>
      <c r="F962" s="50" t="str">
        <f>IF($C962="B",INDEX(Batters[[#All],[Last]],MATCH(A962,Batters[[#All],[PID]],0)),INDEX(Table3[[#All],[Last]],MATCH(A962,Table3[[#All],[PID]],0)))</f>
        <v>Kamihara</v>
      </c>
      <c r="G962" s="56">
        <f>IF($C962="B",INDEX(Batters[[#All],[Age]],MATCH(Table5[[#This Row],[PID]],Batters[[#All],[PID]],0)),INDEX(Table3[[#All],[Age]],MATCH(Table5[[#This Row],[PID]],Table3[[#All],[PID]],0)))</f>
        <v>22</v>
      </c>
      <c r="H962" s="52" t="str">
        <f>IF($C962="B",INDEX(Batters[[#All],[B]],MATCH(Table5[[#This Row],[PID]],Batters[[#All],[PID]],0)),INDEX(Table3[[#All],[B]],MATCH(Table5[[#This Row],[PID]],Table3[[#All],[PID]],0)))</f>
        <v>L</v>
      </c>
      <c r="I962" s="52" t="str">
        <f>IF($C962="B",INDEX(Batters[[#All],[T]],MATCH(Table5[[#This Row],[PID]],Batters[[#All],[PID]],0)),INDEX(Table3[[#All],[T]],MATCH(Table5[[#This Row],[PID]],Table3[[#All],[PID]],0)))</f>
        <v>L</v>
      </c>
      <c r="J962" s="52" t="str">
        <f>IF($C962="B",INDEX(Batters[[#All],[WE]],MATCH(Table5[[#This Row],[PID]],Batters[[#All],[PID]],0)),INDEX(Table3[[#All],[WE]],MATCH(Table5[[#This Row],[PID]],Table3[[#All],[PID]],0)))</f>
        <v>Low</v>
      </c>
      <c r="K962" s="52" t="str">
        <f>IF($C962="B",INDEX(Batters[[#All],[INT]],MATCH(Table5[[#This Row],[PID]],Batters[[#All],[PID]],0)),INDEX(Table3[[#All],[INT]],MATCH(Table5[[#This Row],[PID]],Table3[[#All],[PID]],0)))</f>
        <v>High</v>
      </c>
      <c r="L962" s="60">
        <f>IF($C962="B",INDEX(Batters[[#All],[CON P]],MATCH(Table5[[#This Row],[PID]],Batters[[#All],[PID]],0)),INDEX(Table3[[#All],[STU P]],MATCH(Table5[[#This Row],[PID]],Table3[[#All],[PID]],0)))</f>
        <v>4</v>
      </c>
      <c r="M962" s="56">
        <f>IF($C962="B",INDEX(Batters[[#All],[GAP P]],MATCH(Table5[[#This Row],[PID]],Batters[[#All],[PID]],0)),INDEX(Table3[[#All],[MOV P]],MATCH(Table5[[#This Row],[PID]],Table3[[#All],[PID]],0)))</f>
        <v>1</v>
      </c>
      <c r="N962" s="56">
        <f>IF($C962="B",INDEX(Batters[[#All],[POW P]],MATCH(Table5[[#This Row],[PID]],Batters[[#All],[PID]],0)),INDEX(Table3[[#All],[CON P]],MATCH(Table5[[#This Row],[PID]],Table3[[#All],[PID]],0)))</f>
        <v>3</v>
      </c>
      <c r="O962" s="56" t="str">
        <f>IF($C962="B",INDEX(Batters[[#All],[EYE P]],MATCH(Table5[[#This Row],[PID]],Batters[[#All],[PID]],0)),INDEX(Table3[[#All],[VELO]],MATCH(Table5[[#This Row],[PID]],Table3[[#All],[PID]],0)))</f>
        <v>84-86 Mph</v>
      </c>
      <c r="P962" s="56">
        <f>IF($C962="B",INDEX(Batters[[#All],[K P]],MATCH(Table5[[#This Row],[PID]],Batters[[#All],[PID]],0)),INDEX(Table3[[#All],[STM]],MATCH(Table5[[#This Row],[PID]],Table3[[#All],[PID]],0)))</f>
        <v>7</v>
      </c>
      <c r="Q962" s="61">
        <f>IF($C962="B",INDEX(Batters[[#All],[Tot]],MATCH(Table5[[#This Row],[PID]],Batters[[#All],[PID]],0)),INDEX(Table3[[#All],[Tot]],MATCH(Table5[[#This Row],[PID]],Table3[[#All],[PID]],0)))</f>
        <v>27.617793968459697</v>
      </c>
      <c r="R962" s="52">
        <f>IF($C962="B",INDEX(Batters[[#All],[zScore]],MATCH(Table5[[#This Row],[PID]],Batters[[#All],[PID]],0)),INDEX(Table3[[#All],[zScore]],MATCH(Table5[[#This Row],[PID]],Table3[[#All],[PID]],0)))</f>
        <v>-0.54904165384637094</v>
      </c>
      <c r="S962" s="58" t="str">
        <f>IF($C962="B",INDEX(Batters[[#All],[DEM]],MATCH(Table5[[#This Row],[PID]],Batters[[#All],[PID]],0)),INDEX(Table3[[#All],[DEM]],MATCH(Table5[[#This Row],[PID]],Table3[[#All],[PID]],0)))</f>
        <v>-</v>
      </c>
      <c r="T962" s="62">
        <f>IF($C962="B",INDEX(Batters[[#All],[Rnk]],MATCH(Table5[[#This Row],[PID]],Batters[[#All],[PID]],0)),INDEX(Table3[[#All],[Rnk]],MATCH(Table5[[#This Row],[PID]],Table3[[#All],[PID]],0)))</f>
        <v>541</v>
      </c>
      <c r="U962" s="68">
        <f>IF($C962="B",VLOOKUP($A962,Bat!$A$4:$BA$1621,47,FALSE),VLOOKUP($A962,Pit!$A$4:$BF$1557,56,FALSE))</f>
        <v>0</v>
      </c>
      <c r="V962" s="50">
        <f>IF($C962="B",VLOOKUP($A962,Bat!$A$4:$BA$1621,48,FALSE),VLOOKUP($A962,Pit!$A$4:$BF$1557,57,FALSE))</f>
        <v>0</v>
      </c>
      <c r="W962" s="50">
        <f>Table5[[#This Row],[posRnk]]+Table5[[#This Row],[zRnk]]+IF($W$3&lt;&gt;Table5[[#This Row],[Type]],50,0)</f>
        <v>1481</v>
      </c>
      <c r="X962" s="51">
        <f>RANK(Table5[[#This Row],[zScore]],Table5[[#All],[zScore]])</f>
        <v>890</v>
      </c>
      <c r="Y962" s="50" t="str">
        <f>IFERROR(INDEX(DraftResults[[#All],[OVR]],MATCH(Table5[[#This Row],[PID]],DraftResults[[#All],[Player ID]],0)),"")</f>
        <v/>
      </c>
      <c r="Z9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2" s="50" t="str">
        <f>IFERROR(INDEX(DraftResults[[#All],[Pick in Round]],MATCH(Table5[[#This Row],[PID]],DraftResults[[#All],[Player ID]],0)),"")</f>
        <v/>
      </c>
      <c r="AB962" s="50" t="str">
        <f>IFERROR(INDEX(DraftResults[[#All],[Team Name]],MATCH(Table5[[#This Row],[PID]],DraftResults[[#All],[Player ID]],0)),"")</f>
        <v/>
      </c>
      <c r="AC962" s="50" t="str">
        <f>IF(Table5[[#This Row],[Ovr]]="","",IF(Table5[[#This Row],[cmbList]]="","",Table5[[#This Row],[cmbList]]-Table5[[#This Row],[Ovr]]))</f>
        <v/>
      </c>
      <c r="AD962" s="54" t="str">
        <f>IF(ISERROR(VLOOKUP($AB962&amp;"-"&amp;$E962&amp;" "&amp;F962,Bonuses!$B$1:$G$1006,4,FALSE)),"",INT(VLOOKUP($AB962&amp;"-"&amp;$E962&amp;" "&amp;$F962,Bonuses!$B$1:$G$1006,4,FALSE)))</f>
        <v/>
      </c>
      <c r="AE9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3" spans="1:31" s="50" customFormat="1" x14ac:dyDescent="0.25">
      <c r="A963" s="68">
        <v>9358</v>
      </c>
      <c r="B963" s="69">
        <f>COUNTIF(Table5[PID],A963)</f>
        <v>1</v>
      </c>
      <c r="C963" s="69" t="str">
        <f>IF(COUNTIF(Table3[[#All],[PID]],A963)&gt;0,"P","B")</f>
        <v>P</v>
      </c>
      <c r="D963" s="59" t="str">
        <f>IF($C963="B",INDEX(Batters[[#All],[POS]],MATCH(Table5[[#This Row],[PID]],Batters[[#All],[PID]],0)),INDEX(Table3[[#All],[POS]],MATCH(Table5[[#This Row],[PID]],Table3[[#All],[PID]],0)))</f>
        <v>SP</v>
      </c>
      <c r="E963" s="52" t="str">
        <f>IF($C963="B",INDEX(Batters[[#All],[First]],MATCH(Table5[[#This Row],[PID]],Batters[[#All],[PID]],0)),INDEX(Table3[[#All],[First]],MATCH(Table5[[#This Row],[PID]],Table3[[#All],[PID]],0)))</f>
        <v>Ralph</v>
      </c>
      <c r="F963" s="55" t="str">
        <f>IF($C963="B",INDEX(Batters[[#All],[Last]],MATCH(A963,Batters[[#All],[PID]],0)),INDEX(Table3[[#All],[Last]],MATCH(A963,Table3[[#All],[PID]],0)))</f>
        <v>Espinoza</v>
      </c>
      <c r="G963" s="56">
        <f>IF($C963="B",INDEX(Batters[[#All],[Age]],MATCH(Table5[[#This Row],[PID]],Batters[[#All],[PID]],0)),INDEX(Table3[[#All],[Age]],MATCH(Table5[[#This Row],[PID]],Table3[[#All],[PID]],0)))</f>
        <v>22</v>
      </c>
      <c r="H963" s="52" t="str">
        <f>IF($C963="B",INDEX(Batters[[#All],[B]],MATCH(Table5[[#This Row],[PID]],Batters[[#All],[PID]],0)),INDEX(Table3[[#All],[B]],MATCH(Table5[[#This Row],[PID]],Table3[[#All],[PID]],0)))</f>
        <v>L</v>
      </c>
      <c r="I963" s="52" t="str">
        <f>IF($C963="B",INDEX(Batters[[#All],[T]],MATCH(Table5[[#This Row],[PID]],Batters[[#All],[PID]],0)),INDEX(Table3[[#All],[T]],MATCH(Table5[[#This Row],[PID]],Table3[[#All],[PID]],0)))</f>
        <v>L</v>
      </c>
      <c r="J963" s="71" t="str">
        <f>IF($C963="B",INDEX(Batters[[#All],[WE]],MATCH(Table5[[#This Row],[PID]],Batters[[#All],[PID]],0)),INDEX(Table3[[#All],[WE]],MATCH(Table5[[#This Row],[PID]],Table3[[#All],[PID]],0)))</f>
        <v>High</v>
      </c>
      <c r="K963" s="52" t="str">
        <f>IF($C963="B",INDEX(Batters[[#All],[INT]],MATCH(Table5[[#This Row],[PID]],Batters[[#All],[PID]],0)),INDEX(Table3[[#All],[INT]],MATCH(Table5[[#This Row],[PID]],Table3[[#All],[PID]],0)))</f>
        <v>Normal</v>
      </c>
      <c r="L963" s="60">
        <f>IF($C963="B",INDEX(Batters[[#All],[CON P]],MATCH(Table5[[#This Row],[PID]],Batters[[#All],[PID]],0)),INDEX(Table3[[#All],[STU P]],MATCH(Table5[[#This Row],[PID]],Table3[[#All],[PID]],0)))</f>
        <v>4</v>
      </c>
      <c r="M963" s="72">
        <f>IF($C963="B",INDEX(Batters[[#All],[GAP P]],MATCH(Table5[[#This Row],[PID]],Batters[[#All],[PID]],0)),INDEX(Table3[[#All],[MOV P]],MATCH(Table5[[#This Row],[PID]],Table3[[#All],[PID]],0)))</f>
        <v>1</v>
      </c>
      <c r="N963" s="72">
        <f>IF($C963="B",INDEX(Batters[[#All],[POW P]],MATCH(Table5[[#This Row],[PID]],Batters[[#All],[PID]],0)),INDEX(Table3[[#All],[CON P]],MATCH(Table5[[#This Row],[PID]],Table3[[#All],[PID]],0)))</f>
        <v>3</v>
      </c>
      <c r="O963" s="72" t="str">
        <f>IF($C963="B",INDEX(Batters[[#All],[EYE P]],MATCH(Table5[[#This Row],[PID]],Batters[[#All],[PID]],0)),INDEX(Table3[[#All],[VELO]],MATCH(Table5[[#This Row],[PID]],Table3[[#All],[PID]],0)))</f>
        <v>90-92 Mph</v>
      </c>
      <c r="P963" s="56">
        <f>IF($C963="B",INDEX(Batters[[#All],[K P]],MATCH(Table5[[#This Row],[PID]],Batters[[#All],[PID]],0)),INDEX(Table3[[#All],[STM]],MATCH(Table5[[#This Row],[PID]],Table3[[#All],[PID]],0)))</f>
        <v>6</v>
      </c>
      <c r="Q963" s="61">
        <f>IF($C963="B",INDEX(Batters[[#All],[Tot]],MATCH(Table5[[#This Row],[PID]],Batters[[#All],[PID]],0)),INDEX(Table3[[#All],[Tot]],MATCH(Table5[[#This Row],[PID]],Table3[[#All],[PID]],0)))</f>
        <v>27.606577451157847</v>
      </c>
      <c r="R963" s="52">
        <f>IF($C963="B",INDEX(Batters[[#All],[zScore]],MATCH(Table5[[#This Row],[PID]],Batters[[#All],[PID]],0)),INDEX(Table3[[#All],[zScore]],MATCH(Table5[[#This Row],[PID]],Table3[[#All],[PID]],0)))</f>
        <v>-0.54978787160240372</v>
      </c>
      <c r="S963" s="78" t="str">
        <f>IF($C963="B",INDEX(Batters[[#All],[DEM]],MATCH(Table5[[#This Row],[PID]],Batters[[#All],[PID]],0)),INDEX(Table3[[#All],[DEM]],MATCH(Table5[[#This Row],[PID]],Table3[[#All],[PID]],0)))</f>
        <v>-</v>
      </c>
      <c r="T963" s="75">
        <f>IF($C963="B",INDEX(Batters[[#All],[Rnk]],MATCH(Table5[[#This Row],[PID]],Batters[[#All],[PID]],0)),INDEX(Table3[[#All],[Rnk]],MATCH(Table5[[#This Row],[PID]],Table3[[#All],[PID]],0)))</f>
        <v>542</v>
      </c>
      <c r="U963" s="68">
        <f>IF($C963="B",VLOOKUP($A963,Bat!$A$4:$BA$1621,47,FALSE),VLOOKUP($A963,Pit!$A$4:$BF$1557,56,FALSE))</f>
        <v>0</v>
      </c>
      <c r="V963" s="50">
        <f>IF($C963="B",VLOOKUP($A963,Bat!$A$4:$BA$1621,48,FALSE),VLOOKUP($A963,Pit!$A$4:$BF$1557,57,FALSE))</f>
        <v>0</v>
      </c>
      <c r="W963" s="69">
        <f>Table5[[#This Row],[posRnk]]+Table5[[#This Row],[zRnk]]+IF($W$3&lt;&gt;Table5[[#This Row],[Type]],50,0)</f>
        <v>1483</v>
      </c>
      <c r="X963" s="73">
        <f>RANK(Table5[[#This Row],[zScore]],Table5[[#All],[zScore]])</f>
        <v>891</v>
      </c>
      <c r="Y963" s="69" t="str">
        <f>IFERROR(INDEX(DraftResults[[#All],[OVR]],MATCH(Table5[[#This Row],[PID]],DraftResults[[#All],[Player ID]],0)),"")</f>
        <v/>
      </c>
      <c r="Z96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3" s="69" t="str">
        <f>IFERROR(INDEX(DraftResults[[#All],[Pick in Round]],MATCH(Table5[[#This Row],[PID]],DraftResults[[#All],[Player ID]],0)),"")</f>
        <v/>
      </c>
      <c r="AB963" s="69" t="str">
        <f>IFERROR(INDEX(DraftResults[[#All],[Team Name]],MATCH(Table5[[#This Row],[PID]],DraftResults[[#All],[Player ID]],0)),"")</f>
        <v/>
      </c>
      <c r="AC963" s="69" t="str">
        <f>IF(Table5[[#This Row],[Ovr]]="","",IF(Table5[[#This Row],[cmbList]]="","",Table5[[#This Row],[cmbList]]-Table5[[#This Row],[Ovr]]))</f>
        <v/>
      </c>
      <c r="AD963" s="77" t="str">
        <f>IF(ISERROR(VLOOKUP($AB963&amp;"-"&amp;$E963&amp;" "&amp;F963,Bonuses!$B$1:$G$1006,4,FALSE)),"",INT(VLOOKUP($AB963&amp;"-"&amp;$E963&amp;" "&amp;$F963,Bonuses!$B$1:$G$1006,4,FALSE)))</f>
        <v/>
      </c>
      <c r="AE96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4" spans="1:31" s="50" customFormat="1" x14ac:dyDescent="0.25">
      <c r="A964" s="50">
        <v>18444</v>
      </c>
      <c r="B964" s="50">
        <f>COUNTIF(Table5[PID],A964)</f>
        <v>1</v>
      </c>
      <c r="C964" s="50" t="str">
        <f>IF(COUNTIF(Table3[[#All],[PID]],A964)&gt;0,"P","B")</f>
        <v>B</v>
      </c>
      <c r="D964" s="59" t="str">
        <f>IF($C964="B",INDEX(Batters[[#All],[POS]],MATCH(Table5[[#This Row],[PID]],Batters[[#All],[PID]],0)),INDEX(Table3[[#All],[POS]],MATCH(Table5[[#This Row],[PID]],Table3[[#All],[PID]],0)))</f>
        <v>1B</v>
      </c>
      <c r="E964" s="52" t="str">
        <f>IF($C964="B",INDEX(Batters[[#All],[First]],MATCH(Table5[[#This Row],[PID]],Batters[[#All],[PID]],0)),INDEX(Table3[[#All],[First]],MATCH(Table5[[#This Row],[PID]],Table3[[#All],[PID]],0)))</f>
        <v>Chris</v>
      </c>
      <c r="F964" s="50" t="str">
        <f>IF($C964="B",INDEX(Batters[[#All],[Last]],MATCH(A964,Batters[[#All],[PID]],0)),INDEX(Table3[[#All],[Last]],MATCH(A964,Table3[[#All],[PID]],0)))</f>
        <v>Harland</v>
      </c>
      <c r="G964" s="56">
        <f>IF($C964="B",INDEX(Batters[[#All],[Age]],MATCH(Table5[[#This Row],[PID]],Batters[[#All],[PID]],0)),INDEX(Table3[[#All],[Age]],MATCH(Table5[[#This Row],[PID]],Table3[[#All],[PID]],0)))</f>
        <v>18</v>
      </c>
      <c r="H964" s="52" t="str">
        <f>IF($C964="B",INDEX(Batters[[#All],[B]],MATCH(Table5[[#This Row],[PID]],Batters[[#All],[PID]],0)),INDEX(Table3[[#All],[B]],MATCH(Table5[[#This Row],[PID]],Table3[[#All],[PID]],0)))</f>
        <v>R</v>
      </c>
      <c r="I964" s="52" t="str">
        <f>IF($C964="B",INDEX(Batters[[#All],[T]],MATCH(Table5[[#This Row],[PID]],Batters[[#All],[PID]],0)),INDEX(Table3[[#All],[T]],MATCH(Table5[[#This Row],[PID]],Table3[[#All],[PID]],0)))</f>
        <v>R</v>
      </c>
      <c r="J964" s="52" t="str">
        <f>IF($C964="B",INDEX(Batters[[#All],[WE]],MATCH(Table5[[#This Row],[PID]],Batters[[#All],[PID]],0)),INDEX(Table3[[#All],[WE]],MATCH(Table5[[#This Row],[PID]],Table3[[#All],[PID]],0)))</f>
        <v>Low</v>
      </c>
      <c r="K964" s="52" t="str">
        <f>IF($C964="B",INDEX(Batters[[#All],[INT]],MATCH(Table5[[#This Row],[PID]],Batters[[#All],[PID]],0)),INDEX(Table3[[#All],[INT]],MATCH(Table5[[#This Row],[PID]],Table3[[#All],[PID]],0)))</f>
        <v>High</v>
      </c>
      <c r="L964" s="60">
        <f>IF($C964="B",INDEX(Batters[[#All],[CON P]],MATCH(Table5[[#This Row],[PID]],Batters[[#All],[PID]],0)),INDEX(Table3[[#All],[STU P]],MATCH(Table5[[#This Row],[PID]],Table3[[#All],[PID]],0)))</f>
        <v>3</v>
      </c>
      <c r="M964" s="56">
        <f>IF($C964="B",INDEX(Batters[[#All],[GAP P]],MATCH(Table5[[#This Row],[PID]],Batters[[#All],[PID]],0)),INDEX(Table3[[#All],[MOV P]],MATCH(Table5[[#This Row],[PID]],Table3[[#All],[PID]],0)))</f>
        <v>4</v>
      </c>
      <c r="N964" s="56">
        <f>IF($C964="B",INDEX(Batters[[#All],[POW P]],MATCH(Table5[[#This Row],[PID]],Batters[[#All],[PID]],0)),INDEX(Table3[[#All],[CON P]],MATCH(Table5[[#This Row],[PID]],Table3[[#All],[PID]],0)))</f>
        <v>3</v>
      </c>
      <c r="O964" s="56">
        <f>IF($C964="B",INDEX(Batters[[#All],[EYE P]],MATCH(Table5[[#This Row],[PID]],Batters[[#All],[PID]],0)),INDEX(Table3[[#All],[VELO]],MATCH(Table5[[#This Row],[PID]],Table3[[#All],[PID]],0)))</f>
        <v>5</v>
      </c>
      <c r="P964" s="56">
        <f>IF($C964="B",INDEX(Batters[[#All],[K P]],MATCH(Table5[[#This Row],[PID]],Batters[[#All],[PID]],0)),INDEX(Table3[[#All],[STM]],MATCH(Table5[[#This Row],[PID]],Table3[[#All],[PID]],0)))</f>
        <v>3</v>
      </c>
      <c r="Q964" s="61">
        <f>IF($C964="B",INDEX(Batters[[#All],[Tot]],MATCH(Table5[[#This Row],[PID]],Batters[[#All],[PID]],0)),INDEX(Table3[[#All],[Tot]],MATCH(Table5[[#This Row],[PID]],Table3[[#All],[PID]],0)))</f>
        <v>41.641250707232643</v>
      </c>
      <c r="R964" s="52">
        <f>IF($C964="B",INDEX(Batters[[#All],[zScore]],MATCH(Table5[[#This Row],[PID]],Batters[[#All],[PID]],0)),INDEX(Table3[[#All],[zScore]],MATCH(Table5[[#This Row],[PID]],Table3[[#All],[PID]],0)))</f>
        <v>-0.55220258998804195</v>
      </c>
      <c r="S964" s="58" t="str">
        <f>IF($C964="B",INDEX(Batters[[#All],[DEM]],MATCH(Table5[[#This Row],[PID]],Batters[[#All],[PID]],0)),INDEX(Table3[[#All],[DEM]],MATCH(Table5[[#This Row],[PID]],Table3[[#All],[PID]],0)))</f>
        <v>$65k</v>
      </c>
      <c r="T964" s="62">
        <f>IF($C964="B",INDEX(Batters[[#All],[Rnk]],MATCH(Table5[[#This Row],[PID]],Batters[[#All],[PID]],0)),INDEX(Table3[[#All],[Rnk]],MATCH(Table5[[#This Row],[PID]],Table3[[#All],[PID]],0)))</f>
        <v>349</v>
      </c>
      <c r="U964" s="68">
        <f>IF($C964="B",VLOOKUP($A964,Bat!$A$4:$BA$1621,47,FALSE),VLOOKUP($A964,Pit!$A$4:$BF$1557,56,FALSE))</f>
        <v>0</v>
      </c>
      <c r="V964" s="50">
        <f>IF($C964="B",VLOOKUP($A964,Bat!$A$4:$BA$1621,48,FALSE),VLOOKUP($A964,Pit!$A$4:$BF$1557,57,FALSE))</f>
        <v>0</v>
      </c>
      <c r="W964" s="50">
        <f>Table5[[#This Row],[posRnk]]+Table5[[#This Row],[zRnk]]+IF($W$3&lt;&gt;Table5[[#This Row],[Type]],50,0)</f>
        <v>1291</v>
      </c>
      <c r="X964" s="51">
        <f>RANK(Table5[[#This Row],[zScore]],Table5[[#All],[zScore]])</f>
        <v>892</v>
      </c>
      <c r="Y964" s="50" t="str">
        <f>IFERROR(INDEX(DraftResults[[#All],[OVR]],MATCH(Table5[[#This Row],[PID]],DraftResults[[#All],[Player ID]],0)),"")</f>
        <v/>
      </c>
      <c r="Z9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4" s="50" t="str">
        <f>IFERROR(INDEX(DraftResults[[#All],[Pick in Round]],MATCH(Table5[[#This Row],[PID]],DraftResults[[#All],[Player ID]],0)),"")</f>
        <v/>
      </c>
      <c r="AB964" s="50" t="str">
        <f>IFERROR(INDEX(DraftResults[[#All],[Team Name]],MATCH(Table5[[#This Row],[PID]],DraftResults[[#All],[Player ID]],0)),"")</f>
        <v/>
      </c>
      <c r="AC964" s="50" t="str">
        <f>IF(Table5[[#This Row],[Ovr]]="","",IF(Table5[[#This Row],[cmbList]]="","",Table5[[#This Row],[cmbList]]-Table5[[#This Row],[Ovr]]))</f>
        <v/>
      </c>
      <c r="AD964" s="54" t="str">
        <f>IF(ISERROR(VLOOKUP($AB964&amp;"-"&amp;$E964&amp;" "&amp;F964,Bonuses!$B$1:$G$1006,4,FALSE)),"",INT(VLOOKUP($AB964&amp;"-"&amp;$E964&amp;" "&amp;$F964,Bonuses!$B$1:$G$1006,4,FALSE)))</f>
        <v/>
      </c>
      <c r="AE9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5" spans="1:31" s="50" customFormat="1" x14ac:dyDescent="0.25">
      <c r="A965" s="50">
        <v>20383</v>
      </c>
      <c r="B965" s="50">
        <f>COUNTIF(Table5[PID],A965)</f>
        <v>1</v>
      </c>
      <c r="C965" s="50" t="str">
        <f>IF(COUNTIF(Table3[[#All],[PID]],A965)&gt;0,"P","B")</f>
        <v>P</v>
      </c>
      <c r="D965" s="59" t="str">
        <f>IF($C965="B",INDEX(Batters[[#All],[POS]],MATCH(Table5[[#This Row],[PID]],Batters[[#All],[PID]],0)),INDEX(Table3[[#All],[POS]],MATCH(Table5[[#This Row],[PID]],Table3[[#All],[PID]],0)))</f>
        <v>RP</v>
      </c>
      <c r="E965" s="52" t="str">
        <f>IF($C965="B",INDEX(Batters[[#All],[First]],MATCH(Table5[[#This Row],[PID]],Batters[[#All],[PID]],0)),INDEX(Table3[[#All],[First]],MATCH(Table5[[#This Row],[PID]],Table3[[#All],[PID]],0)))</f>
        <v>Dempsey</v>
      </c>
      <c r="F965" s="50" t="str">
        <f>IF($C965="B",INDEX(Batters[[#All],[Last]],MATCH(A965,Batters[[#All],[PID]],0)),INDEX(Table3[[#All],[Last]],MATCH(A965,Table3[[#All],[PID]],0)))</f>
        <v>Excell</v>
      </c>
      <c r="G965" s="56">
        <f>IF($C965="B",INDEX(Batters[[#All],[Age]],MATCH(Table5[[#This Row],[PID]],Batters[[#All],[PID]],0)),INDEX(Table3[[#All],[Age]],MATCH(Table5[[#This Row],[PID]],Table3[[#All],[PID]],0)))</f>
        <v>19</v>
      </c>
      <c r="H965" s="52" t="str">
        <f>IF($C965="B",INDEX(Batters[[#All],[B]],MATCH(Table5[[#This Row],[PID]],Batters[[#All],[PID]],0)),INDEX(Table3[[#All],[B]],MATCH(Table5[[#This Row],[PID]],Table3[[#All],[PID]],0)))</f>
        <v>R</v>
      </c>
      <c r="I965" s="52" t="str">
        <f>IF($C965="B",INDEX(Batters[[#All],[T]],MATCH(Table5[[#This Row],[PID]],Batters[[#All],[PID]],0)),INDEX(Table3[[#All],[T]],MATCH(Table5[[#This Row],[PID]],Table3[[#All],[PID]],0)))</f>
        <v>R</v>
      </c>
      <c r="J965" s="52" t="str">
        <f>IF($C965="B",INDEX(Batters[[#All],[WE]],MATCH(Table5[[#This Row],[PID]],Batters[[#All],[PID]],0)),INDEX(Table3[[#All],[WE]],MATCH(Table5[[#This Row],[PID]],Table3[[#All],[PID]],0)))</f>
        <v>Low</v>
      </c>
      <c r="K965" s="52" t="str">
        <f>IF($C965="B",INDEX(Batters[[#All],[INT]],MATCH(Table5[[#This Row],[PID]],Batters[[#All],[PID]],0)),INDEX(Table3[[#All],[INT]],MATCH(Table5[[#This Row],[PID]],Table3[[#All],[PID]],0)))</f>
        <v>Normal</v>
      </c>
      <c r="L965" s="60">
        <f>IF($C965="B",INDEX(Batters[[#All],[CON P]],MATCH(Table5[[#This Row],[PID]],Batters[[#All],[PID]],0)),INDEX(Table3[[#All],[STU P]],MATCH(Table5[[#This Row],[PID]],Table3[[#All],[PID]],0)))</f>
        <v>4</v>
      </c>
      <c r="M965" s="56">
        <f>IF($C965="B",INDEX(Batters[[#All],[GAP P]],MATCH(Table5[[#This Row],[PID]],Batters[[#All],[PID]],0)),INDEX(Table3[[#All],[MOV P]],MATCH(Table5[[#This Row],[PID]],Table3[[#All],[PID]],0)))</f>
        <v>2</v>
      </c>
      <c r="N965" s="56">
        <f>IF($C965="B",INDEX(Batters[[#All],[POW P]],MATCH(Table5[[#This Row],[PID]],Batters[[#All],[PID]],0)),INDEX(Table3[[#All],[CON P]],MATCH(Table5[[#This Row],[PID]],Table3[[#All],[PID]],0)))</f>
        <v>3</v>
      </c>
      <c r="O965" s="56" t="str">
        <f>IF($C965="B",INDEX(Batters[[#All],[EYE P]],MATCH(Table5[[#This Row],[PID]],Batters[[#All],[PID]],0)),INDEX(Table3[[#All],[VELO]],MATCH(Table5[[#This Row],[PID]],Table3[[#All],[PID]],0)))</f>
        <v>88-90 Mph</v>
      </c>
      <c r="P965" s="56">
        <f>IF($C965="B",INDEX(Batters[[#All],[K P]],MATCH(Table5[[#This Row],[PID]],Batters[[#All],[PID]],0)),INDEX(Table3[[#All],[STM]],MATCH(Table5[[#This Row],[PID]],Table3[[#All],[PID]],0)))</f>
        <v>2</v>
      </c>
      <c r="Q965" s="61">
        <f>IF($C965="B",INDEX(Batters[[#All],[Tot]],MATCH(Table5[[#This Row],[PID]],Batters[[#All],[PID]],0)),INDEX(Table3[[#All],[Tot]],MATCH(Table5[[#This Row],[PID]],Table3[[#All],[PID]],0)))</f>
        <v>27.553330734434741</v>
      </c>
      <c r="R965" s="52">
        <f>IF($C965="B",INDEX(Batters[[#All],[zScore]],MATCH(Table5[[#This Row],[PID]],Batters[[#All],[PID]],0)),INDEX(Table3[[#All],[zScore]],MATCH(Table5[[#This Row],[PID]],Table3[[#All],[PID]],0)))</f>
        <v>-0.55333029429921332</v>
      </c>
      <c r="S965" s="58" t="str">
        <f>IF($C965="B",INDEX(Batters[[#All],[DEM]],MATCH(Table5[[#This Row],[PID]],Batters[[#All],[PID]],0)),INDEX(Table3[[#All],[DEM]],MATCH(Table5[[#This Row],[PID]],Table3[[#All],[PID]],0)))</f>
        <v>$70k</v>
      </c>
      <c r="T965" s="62">
        <f>IF($C965="B",INDEX(Batters[[#All],[Rnk]],MATCH(Table5[[#This Row],[PID]],Batters[[#All],[PID]],0)),INDEX(Table3[[#All],[Rnk]],MATCH(Table5[[#This Row],[PID]],Table3[[#All],[PID]],0)))</f>
        <v>543</v>
      </c>
      <c r="U965" s="68">
        <f>IF($C965="B",VLOOKUP($A965,Bat!$A$4:$BA$1621,47,FALSE),VLOOKUP($A965,Pit!$A$4:$BF$1557,56,FALSE))</f>
        <v>0</v>
      </c>
      <c r="V965" s="50">
        <f>IF($C965="B",VLOOKUP($A965,Bat!$A$4:$BA$1621,48,FALSE),VLOOKUP($A965,Pit!$A$4:$BF$1557,57,FALSE))</f>
        <v>0</v>
      </c>
      <c r="W965" s="50">
        <f>Table5[[#This Row],[posRnk]]+Table5[[#This Row],[zRnk]]+IF($W$3&lt;&gt;Table5[[#This Row],[Type]],50,0)</f>
        <v>1486</v>
      </c>
      <c r="X965" s="51">
        <f>RANK(Table5[[#This Row],[zScore]],Table5[[#All],[zScore]])</f>
        <v>893</v>
      </c>
      <c r="Y965" s="50" t="str">
        <f>IFERROR(INDEX(DraftResults[[#All],[OVR]],MATCH(Table5[[#This Row],[PID]],DraftResults[[#All],[Player ID]],0)),"")</f>
        <v/>
      </c>
      <c r="Z9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5" s="50" t="str">
        <f>IFERROR(INDEX(DraftResults[[#All],[Pick in Round]],MATCH(Table5[[#This Row],[PID]],DraftResults[[#All],[Player ID]],0)),"")</f>
        <v/>
      </c>
      <c r="AB965" s="50" t="str">
        <f>IFERROR(INDEX(DraftResults[[#All],[Team Name]],MATCH(Table5[[#This Row],[PID]],DraftResults[[#All],[Player ID]],0)),"")</f>
        <v/>
      </c>
      <c r="AC965" s="50" t="str">
        <f>IF(Table5[[#This Row],[Ovr]]="","",IF(Table5[[#This Row],[cmbList]]="","",Table5[[#This Row],[cmbList]]-Table5[[#This Row],[Ovr]]))</f>
        <v/>
      </c>
      <c r="AD965" s="54" t="str">
        <f>IF(ISERROR(VLOOKUP($AB965&amp;"-"&amp;$E965&amp;" "&amp;F965,Bonuses!$B$1:$G$1006,4,FALSE)),"",INT(VLOOKUP($AB965&amp;"-"&amp;$E965&amp;" "&amp;$F965,Bonuses!$B$1:$G$1006,4,FALSE)))</f>
        <v/>
      </c>
      <c r="AE9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6" spans="1:31" s="50" customFormat="1" x14ac:dyDescent="0.25">
      <c r="A966" s="50">
        <v>20556</v>
      </c>
      <c r="B966" s="50">
        <f>COUNTIF(Table5[PID],A966)</f>
        <v>1</v>
      </c>
      <c r="C966" s="50" t="str">
        <f>IF(COUNTIF(Table3[[#All],[PID]],A966)&gt;0,"P","B")</f>
        <v>P</v>
      </c>
      <c r="D966" s="59" t="str">
        <f>IF($C966="B",INDEX(Batters[[#All],[POS]],MATCH(Table5[[#This Row],[PID]],Batters[[#All],[PID]],0)),INDEX(Table3[[#All],[POS]],MATCH(Table5[[#This Row],[PID]],Table3[[#All],[PID]],0)))</f>
        <v>RP</v>
      </c>
      <c r="E966" s="52" t="str">
        <f>IF($C966="B",INDEX(Batters[[#All],[First]],MATCH(Table5[[#This Row],[PID]],Batters[[#All],[PID]],0)),INDEX(Table3[[#All],[First]],MATCH(Table5[[#This Row],[PID]],Table3[[#All],[PID]],0)))</f>
        <v>Vincent</v>
      </c>
      <c r="F966" s="50" t="str">
        <f>IF($C966="B",INDEX(Batters[[#All],[Last]],MATCH(A966,Batters[[#All],[PID]],0)),INDEX(Table3[[#All],[Last]],MATCH(A966,Table3[[#All],[PID]],0)))</f>
        <v>Jones</v>
      </c>
      <c r="G966" s="56">
        <f>IF($C966="B",INDEX(Batters[[#All],[Age]],MATCH(Table5[[#This Row],[PID]],Batters[[#All],[PID]],0)),INDEX(Table3[[#All],[Age]],MATCH(Table5[[#This Row],[PID]],Table3[[#All],[PID]],0)))</f>
        <v>18</v>
      </c>
      <c r="H966" s="52" t="str">
        <f>IF($C966="B",INDEX(Batters[[#All],[B]],MATCH(Table5[[#This Row],[PID]],Batters[[#All],[PID]],0)),INDEX(Table3[[#All],[B]],MATCH(Table5[[#This Row],[PID]],Table3[[#All],[PID]],0)))</f>
        <v>R</v>
      </c>
      <c r="I966" s="52" t="str">
        <f>IF($C966="B",INDEX(Batters[[#All],[T]],MATCH(Table5[[#This Row],[PID]],Batters[[#All],[PID]],0)),INDEX(Table3[[#All],[T]],MATCH(Table5[[#This Row],[PID]],Table3[[#All],[PID]],0)))</f>
        <v>R</v>
      </c>
      <c r="J966" s="52" t="str">
        <f>IF($C966="B",INDEX(Batters[[#All],[WE]],MATCH(Table5[[#This Row],[PID]],Batters[[#All],[PID]],0)),INDEX(Table3[[#All],[WE]],MATCH(Table5[[#This Row],[PID]],Table3[[#All],[PID]],0)))</f>
        <v>Low</v>
      </c>
      <c r="K966" s="52" t="str">
        <f>IF($C966="B",INDEX(Batters[[#All],[INT]],MATCH(Table5[[#This Row],[PID]],Batters[[#All],[PID]],0)),INDEX(Table3[[#All],[INT]],MATCH(Table5[[#This Row],[PID]],Table3[[#All],[PID]],0)))</f>
        <v>Normal</v>
      </c>
      <c r="L966" s="60">
        <f>IF($C966="B",INDEX(Batters[[#All],[CON P]],MATCH(Table5[[#This Row],[PID]],Batters[[#All],[PID]],0)),INDEX(Table3[[#All],[STU P]],MATCH(Table5[[#This Row],[PID]],Table3[[#All],[PID]],0)))</f>
        <v>4</v>
      </c>
      <c r="M966" s="56">
        <f>IF($C966="B",INDEX(Batters[[#All],[GAP P]],MATCH(Table5[[#This Row],[PID]],Batters[[#All],[PID]],0)),INDEX(Table3[[#All],[MOV P]],MATCH(Table5[[#This Row],[PID]],Table3[[#All],[PID]],0)))</f>
        <v>1</v>
      </c>
      <c r="N966" s="56">
        <f>IF($C966="B",INDEX(Batters[[#All],[POW P]],MATCH(Table5[[#This Row],[PID]],Batters[[#All],[PID]],0)),INDEX(Table3[[#All],[CON P]],MATCH(Table5[[#This Row],[PID]],Table3[[#All],[PID]],0)))</f>
        <v>4</v>
      </c>
      <c r="O966" s="56" t="str">
        <f>IF($C966="B",INDEX(Batters[[#All],[EYE P]],MATCH(Table5[[#This Row],[PID]],Batters[[#All],[PID]],0)),INDEX(Table3[[#All],[VELO]],MATCH(Table5[[#This Row],[PID]],Table3[[#All],[PID]],0)))</f>
        <v>89-91 Mph</v>
      </c>
      <c r="P966" s="56">
        <f>IF($C966="B",INDEX(Batters[[#All],[K P]],MATCH(Table5[[#This Row],[PID]],Batters[[#All],[PID]],0)),INDEX(Table3[[#All],[STM]],MATCH(Table5[[#This Row],[PID]],Table3[[#All],[PID]],0)))</f>
        <v>9</v>
      </c>
      <c r="Q966" s="61">
        <f>IF($C966="B",INDEX(Batters[[#All],[Tot]],MATCH(Table5[[#This Row],[PID]],Batters[[#All],[PID]],0)),INDEX(Table3[[#All],[Tot]],MATCH(Table5[[#This Row],[PID]],Table3[[#All],[PID]],0)))</f>
        <v>27.549565106494818</v>
      </c>
      <c r="R966" s="52">
        <f>IF($C966="B",INDEX(Batters[[#All],[zScore]],MATCH(Table5[[#This Row],[PID]],Batters[[#All],[PID]],0)),INDEX(Table3[[#All],[zScore]],MATCH(Table5[[#This Row],[PID]],Table3[[#All],[PID]],0)))</f>
        <v>-0.5535808157717671</v>
      </c>
      <c r="S966" s="58" t="str">
        <f>IF($C966="B",INDEX(Batters[[#All],[DEM]],MATCH(Table5[[#This Row],[PID]],Batters[[#All],[PID]],0)),INDEX(Table3[[#All],[DEM]],MATCH(Table5[[#This Row],[PID]],Table3[[#All],[PID]],0)))</f>
        <v>$70k</v>
      </c>
      <c r="T966" s="62">
        <f>IF($C966="B",INDEX(Batters[[#All],[Rnk]],MATCH(Table5[[#This Row],[PID]],Batters[[#All],[PID]],0)),INDEX(Table3[[#All],[Rnk]],MATCH(Table5[[#This Row],[PID]],Table3[[#All],[PID]],0)))</f>
        <v>544</v>
      </c>
      <c r="U966" s="68">
        <f>IF($C966="B",VLOOKUP($A966,Bat!$A$4:$BA$1621,47,FALSE),VLOOKUP($A966,Pit!$A$4:$BF$1557,56,FALSE))</f>
        <v>0</v>
      </c>
      <c r="V966" s="50">
        <f>IF($C966="B",VLOOKUP($A966,Bat!$A$4:$BA$1621,48,FALSE),VLOOKUP($A966,Pit!$A$4:$BF$1557,57,FALSE))</f>
        <v>0</v>
      </c>
      <c r="W966" s="50">
        <f>Table5[[#This Row],[posRnk]]+Table5[[#This Row],[zRnk]]+IF($W$3&lt;&gt;Table5[[#This Row],[Type]],50,0)</f>
        <v>1488</v>
      </c>
      <c r="X966" s="51">
        <f>RANK(Table5[[#This Row],[zScore]],Table5[[#All],[zScore]])</f>
        <v>894</v>
      </c>
      <c r="Y966" s="50" t="str">
        <f>IFERROR(INDEX(DraftResults[[#All],[OVR]],MATCH(Table5[[#This Row],[PID]],DraftResults[[#All],[Player ID]],0)),"")</f>
        <v/>
      </c>
      <c r="Z9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6" s="50" t="str">
        <f>IFERROR(INDEX(DraftResults[[#All],[Pick in Round]],MATCH(Table5[[#This Row],[PID]],DraftResults[[#All],[Player ID]],0)),"")</f>
        <v/>
      </c>
      <c r="AB966" s="50" t="str">
        <f>IFERROR(INDEX(DraftResults[[#All],[Team Name]],MATCH(Table5[[#This Row],[PID]],DraftResults[[#All],[Player ID]],0)),"")</f>
        <v/>
      </c>
      <c r="AC966" s="50" t="str">
        <f>IF(Table5[[#This Row],[Ovr]]="","",IF(Table5[[#This Row],[cmbList]]="","",Table5[[#This Row],[cmbList]]-Table5[[#This Row],[Ovr]]))</f>
        <v/>
      </c>
      <c r="AD966" s="54" t="str">
        <f>IF(ISERROR(VLOOKUP($AB966&amp;"-"&amp;$E966&amp;" "&amp;F966,Bonuses!$B$1:$G$1006,4,FALSE)),"",INT(VLOOKUP($AB966&amp;"-"&amp;$E966&amp;" "&amp;$F966,Bonuses!$B$1:$G$1006,4,FALSE)))</f>
        <v/>
      </c>
      <c r="AE9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7" spans="1:31" s="50" customFormat="1" x14ac:dyDescent="0.25">
      <c r="A967" s="50">
        <v>12660</v>
      </c>
      <c r="B967" s="50">
        <f>COUNTIF(Table5[PID],A967)</f>
        <v>1</v>
      </c>
      <c r="C967" s="50" t="str">
        <f>IF(COUNTIF(Table3[[#All],[PID]],A967)&gt;0,"P","B")</f>
        <v>B</v>
      </c>
      <c r="D967" s="59" t="str">
        <f>IF($C967="B",INDEX(Batters[[#All],[POS]],MATCH(Table5[[#This Row],[PID]],Batters[[#All],[PID]],0)),INDEX(Table3[[#All],[POS]],MATCH(Table5[[#This Row],[PID]],Table3[[#All],[PID]],0)))</f>
        <v>1B</v>
      </c>
      <c r="E967" s="52" t="str">
        <f>IF($C967="B",INDEX(Batters[[#All],[First]],MATCH(Table5[[#This Row],[PID]],Batters[[#All],[PID]],0)),INDEX(Table3[[#All],[First]],MATCH(Table5[[#This Row],[PID]],Table3[[#All],[PID]],0)))</f>
        <v>Joe</v>
      </c>
      <c r="F967" s="50" t="str">
        <f>IF($C967="B",INDEX(Batters[[#All],[Last]],MATCH(A967,Batters[[#All],[PID]],0)),INDEX(Table3[[#All],[Last]],MATCH(A967,Table3[[#All],[PID]],0)))</f>
        <v>Burns</v>
      </c>
      <c r="G967" s="56">
        <f>IF($C967="B",INDEX(Batters[[#All],[Age]],MATCH(Table5[[#This Row],[PID]],Batters[[#All],[PID]],0)),INDEX(Table3[[#All],[Age]],MATCH(Table5[[#This Row],[PID]],Table3[[#All],[PID]],0)))</f>
        <v>18</v>
      </c>
      <c r="H967" s="52" t="str">
        <f>IF($C967="B",INDEX(Batters[[#All],[B]],MATCH(Table5[[#This Row],[PID]],Batters[[#All],[PID]],0)),INDEX(Table3[[#All],[B]],MATCH(Table5[[#This Row],[PID]],Table3[[#All],[PID]],0)))</f>
        <v>R</v>
      </c>
      <c r="I967" s="52" t="str">
        <f>IF($C967="B",INDEX(Batters[[#All],[T]],MATCH(Table5[[#This Row],[PID]],Batters[[#All],[PID]],0)),INDEX(Table3[[#All],[T]],MATCH(Table5[[#This Row],[PID]],Table3[[#All],[PID]],0)))</f>
        <v>R</v>
      </c>
      <c r="J967" s="52" t="str">
        <f>IF($C967="B",INDEX(Batters[[#All],[WE]],MATCH(Table5[[#This Row],[PID]],Batters[[#All],[PID]],0)),INDEX(Table3[[#All],[WE]],MATCH(Table5[[#This Row],[PID]],Table3[[#All],[PID]],0)))</f>
        <v>Normal</v>
      </c>
      <c r="K967" s="52" t="str">
        <f>IF($C967="B",INDEX(Batters[[#All],[INT]],MATCH(Table5[[#This Row],[PID]],Batters[[#All],[PID]],0)),INDEX(Table3[[#All],[INT]],MATCH(Table5[[#This Row],[PID]],Table3[[#All],[PID]],0)))</f>
        <v>Normal</v>
      </c>
      <c r="L967" s="60">
        <f>IF($C967="B",INDEX(Batters[[#All],[CON P]],MATCH(Table5[[#This Row],[PID]],Batters[[#All],[PID]],0)),INDEX(Table3[[#All],[STU P]],MATCH(Table5[[#This Row],[PID]],Table3[[#All],[PID]],0)))</f>
        <v>3</v>
      </c>
      <c r="M967" s="56">
        <f>IF($C967="B",INDEX(Batters[[#All],[GAP P]],MATCH(Table5[[#This Row],[PID]],Batters[[#All],[PID]],0)),INDEX(Table3[[#All],[MOV P]],MATCH(Table5[[#This Row],[PID]],Table3[[#All],[PID]],0)))</f>
        <v>3</v>
      </c>
      <c r="N967" s="56">
        <f>IF($C967="B",INDEX(Batters[[#All],[POW P]],MATCH(Table5[[#This Row],[PID]],Batters[[#All],[PID]],0)),INDEX(Table3[[#All],[CON P]],MATCH(Table5[[#This Row],[PID]],Table3[[#All],[PID]],0)))</f>
        <v>3</v>
      </c>
      <c r="O967" s="56">
        <f>IF($C967="B",INDEX(Batters[[#All],[EYE P]],MATCH(Table5[[#This Row],[PID]],Batters[[#All],[PID]],0)),INDEX(Table3[[#All],[VELO]],MATCH(Table5[[#This Row],[PID]],Table3[[#All],[PID]],0)))</f>
        <v>6</v>
      </c>
      <c r="P967" s="56">
        <f>IF($C967="B",INDEX(Batters[[#All],[K P]],MATCH(Table5[[#This Row],[PID]],Batters[[#All],[PID]],0)),INDEX(Table3[[#All],[STM]],MATCH(Table5[[#This Row],[PID]],Table3[[#All],[PID]],0)))</f>
        <v>2</v>
      </c>
      <c r="Q967" s="61">
        <f>IF($C967="B",INDEX(Batters[[#All],[Tot]],MATCH(Table5[[#This Row],[PID]],Batters[[#All],[PID]],0)),INDEX(Table3[[#All],[Tot]],MATCH(Table5[[#This Row],[PID]],Table3[[#All],[PID]],0)))</f>
        <v>41.619744686156302</v>
      </c>
      <c r="R967" s="52">
        <f>IF($C967="B",INDEX(Batters[[#All],[zScore]],MATCH(Table5[[#This Row],[PID]],Batters[[#All],[PID]],0)),INDEX(Table3[[#All],[zScore]],MATCH(Table5[[#This Row],[PID]],Table3[[#All],[PID]],0)))</f>
        <v>-0.55697062022787813</v>
      </c>
      <c r="S967" s="58" t="str">
        <f>IF($C967="B",INDEX(Batters[[#All],[DEM]],MATCH(Table5[[#This Row],[PID]],Batters[[#All],[PID]],0)),INDEX(Table3[[#All],[DEM]],MATCH(Table5[[#This Row],[PID]],Table3[[#All],[PID]],0)))</f>
        <v>$130k</v>
      </c>
      <c r="T967" s="62">
        <f>IF($C967="B",INDEX(Batters[[#All],[Rnk]],MATCH(Table5[[#This Row],[PID]],Batters[[#All],[PID]],0)),INDEX(Table3[[#All],[Rnk]],MATCH(Table5[[#This Row],[PID]],Table3[[#All],[PID]],0)))</f>
        <v>351</v>
      </c>
      <c r="U967" s="68">
        <f>IF($C967="B",VLOOKUP($A967,Bat!$A$4:$BA$1621,47,FALSE),VLOOKUP($A967,Pit!$A$4:$BF$1557,56,FALSE))</f>
        <v>0</v>
      </c>
      <c r="V967" s="50">
        <f>IF($C967="B",VLOOKUP($A967,Bat!$A$4:$BA$1621,48,FALSE),VLOOKUP($A967,Pit!$A$4:$BF$1557,57,FALSE))</f>
        <v>0</v>
      </c>
      <c r="W967" s="50">
        <f>Table5[[#This Row],[posRnk]]+Table5[[#This Row],[zRnk]]+IF($W$3&lt;&gt;Table5[[#This Row],[Type]],50,0)</f>
        <v>1297</v>
      </c>
      <c r="X967" s="51">
        <f>RANK(Table5[[#This Row],[zScore]],Table5[[#All],[zScore]])</f>
        <v>896</v>
      </c>
      <c r="Y967" s="50" t="str">
        <f>IFERROR(INDEX(DraftResults[[#All],[OVR]],MATCH(Table5[[#This Row],[PID]],DraftResults[[#All],[Player ID]],0)),"")</f>
        <v/>
      </c>
      <c r="Z9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7" s="50" t="str">
        <f>IFERROR(INDEX(DraftResults[[#All],[Pick in Round]],MATCH(Table5[[#This Row],[PID]],DraftResults[[#All],[Player ID]],0)),"")</f>
        <v/>
      </c>
      <c r="AB967" s="50" t="str">
        <f>IFERROR(INDEX(DraftResults[[#All],[Team Name]],MATCH(Table5[[#This Row],[PID]],DraftResults[[#All],[Player ID]],0)),"")</f>
        <v/>
      </c>
      <c r="AC967" s="50" t="str">
        <f>IF(Table5[[#This Row],[Ovr]]="","",IF(Table5[[#This Row],[cmbList]]="","",Table5[[#This Row],[cmbList]]-Table5[[#This Row],[Ovr]]))</f>
        <v/>
      </c>
      <c r="AD967" s="54" t="str">
        <f>IF(ISERROR(VLOOKUP($AB967&amp;"-"&amp;$E967&amp;" "&amp;F967,Bonuses!$B$1:$G$1006,4,FALSE)),"",INT(VLOOKUP($AB967&amp;"-"&amp;$E967&amp;" "&amp;$F967,Bonuses!$B$1:$G$1006,4,FALSE)))</f>
        <v/>
      </c>
      <c r="AE9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8" spans="1:31" s="50" customFormat="1" x14ac:dyDescent="0.25">
      <c r="A968" s="50">
        <v>20755</v>
      </c>
      <c r="B968" s="50">
        <f>COUNTIF(Table5[PID],A968)</f>
        <v>1</v>
      </c>
      <c r="C968" s="50" t="str">
        <f>IF(COUNTIF(Table3[[#All],[PID]],A968)&gt;0,"P","B")</f>
        <v>P</v>
      </c>
      <c r="D968" s="59" t="str">
        <f>IF($C968="B",INDEX(Batters[[#All],[POS]],MATCH(Table5[[#This Row],[PID]],Batters[[#All],[PID]],0)),INDEX(Table3[[#All],[POS]],MATCH(Table5[[#This Row],[PID]],Table3[[#All],[PID]],0)))</f>
        <v>RP</v>
      </c>
      <c r="E968" s="52" t="str">
        <f>IF($C968="B",INDEX(Batters[[#All],[First]],MATCH(Table5[[#This Row],[PID]],Batters[[#All],[PID]],0)),INDEX(Table3[[#All],[First]],MATCH(Table5[[#This Row],[PID]],Table3[[#All],[PID]],0)))</f>
        <v>Edgar</v>
      </c>
      <c r="F968" s="50" t="str">
        <f>IF($C968="B",INDEX(Batters[[#All],[Last]],MATCH(A968,Batters[[#All],[PID]],0)),INDEX(Table3[[#All],[Last]],MATCH(A968,Table3[[#All],[PID]],0)))</f>
        <v>Parker</v>
      </c>
      <c r="G968" s="56">
        <f>IF($C968="B",INDEX(Batters[[#All],[Age]],MATCH(Table5[[#This Row],[PID]],Batters[[#All],[PID]],0)),INDEX(Table3[[#All],[Age]],MATCH(Table5[[#This Row],[PID]],Table3[[#All],[PID]],0)))</f>
        <v>17</v>
      </c>
      <c r="H968" s="52" t="str">
        <f>IF($C968="B",INDEX(Batters[[#All],[B]],MATCH(Table5[[#This Row],[PID]],Batters[[#All],[PID]],0)),INDEX(Table3[[#All],[B]],MATCH(Table5[[#This Row],[PID]],Table3[[#All],[PID]],0)))</f>
        <v>R</v>
      </c>
      <c r="I968" s="52" t="str">
        <f>IF($C968="B",INDEX(Batters[[#All],[T]],MATCH(Table5[[#This Row],[PID]],Batters[[#All],[PID]],0)),INDEX(Table3[[#All],[T]],MATCH(Table5[[#This Row],[PID]],Table3[[#All],[PID]],0)))</f>
        <v>L</v>
      </c>
      <c r="J968" s="52" t="str">
        <f>IF($C968="B",INDEX(Batters[[#All],[WE]],MATCH(Table5[[#This Row],[PID]],Batters[[#All],[PID]],0)),INDEX(Table3[[#All],[WE]],MATCH(Table5[[#This Row],[PID]],Table3[[#All],[PID]],0)))</f>
        <v>Normal</v>
      </c>
      <c r="K968" s="52" t="str">
        <f>IF($C968="B",INDEX(Batters[[#All],[INT]],MATCH(Table5[[#This Row],[PID]],Batters[[#All],[PID]],0)),INDEX(Table3[[#All],[INT]],MATCH(Table5[[#This Row],[PID]],Table3[[#All],[PID]],0)))</f>
        <v>Normal</v>
      </c>
      <c r="L968" s="60">
        <f>IF($C968="B",INDEX(Batters[[#All],[CON P]],MATCH(Table5[[#This Row],[PID]],Batters[[#All],[PID]],0)),INDEX(Table3[[#All],[STU P]],MATCH(Table5[[#This Row],[PID]],Table3[[#All],[PID]],0)))</f>
        <v>5</v>
      </c>
      <c r="M968" s="56">
        <f>IF($C968="B",INDEX(Batters[[#All],[GAP P]],MATCH(Table5[[#This Row],[PID]],Batters[[#All],[PID]],0)),INDEX(Table3[[#All],[MOV P]],MATCH(Table5[[#This Row],[PID]],Table3[[#All],[PID]],0)))</f>
        <v>2</v>
      </c>
      <c r="N968" s="56">
        <f>IF($C968="B",INDEX(Batters[[#All],[POW P]],MATCH(Table5[[#This Row],[PID]],Batters[[#All],[PID]],0)),INDEX(Table3[[#All],[CON P]],MATCH(Table5[[#This Row],[PID]],Table3[[#All],[PID]],0)))</f>
        <v>2</v>
      </c>
      <c r="O968" s="56" t="str">
        <f>IF($C968="B",INDEX(Batters[[#All],[EYE P]],MATCH(Table5[[#This Row],[PID]],Batters[[#All],[PID]],0)),INDEX(Table3[[#All],[VELO]],MATCH(Table5[[#This Row],[PID]],Table3[[#All],[PID]],0)))</f>
        <v>86-88 Mph</v>
      </c>
      <c r="P968" s="56">
        <f>IF($C968="B",INDEX(Batters[[#All],[K P]],MATCH(Table5[[#This Row],[PID]],Batters[[#All],[PID]],0)),INDEX(Table3[[#All],[STM]],MATCH(Table5[[#This Row],[PID]],Table3[[#All],[PID]],0)))</f>
        <v>6</v>
      </c>
      <c r="Q968" s="61">
        <f>IF($C968="B",INDEX(Batters[[#All],[Tot]],MATCH(Table5[[#This Row],[PID]],Batters[[#All],[PID]],0)),INDEX(Table3[[#All],[Tot]],MATCH(Table5[[#This Row],[PID]],Table3[[#All],[PID]],0)))</f>
        <v>27.363599198588599</v>
      </c>
      <c r="R968" s="52">
        <f>IF($C968="B",INDEX(Batters[[#All],[zScore]],MATCH(Table5[[#This Row],[PID]],Batters[[#All],[PID]],0)),INDEX(Table3[[#All],[zScore]],MATCH(Table5[[#This Row],[PID]],Table3[[#All],[PID]],0)))</f>
        <v>-0.56595284344861962</v>
      </c>
      <c r="S968" s="58" t="str">
        <f>IF($C968="B",INDEX(Batters[[#All],[DEM]],MATCH(Table5[[#This Row],[PID]],Batters[[#All],[PID]],0)),INDEX(Table3[[#All],[DEM]],MATCH(Table5[[#This Row],[PID]],Table3[[#All],[PID]],0)))</f>
        <v>$65k</v>
      </c>
      <c r="T968" s="62">
        <f>IF($C968="B",INDEX(Batters[[#All],[Rnk]],MATCH(Table5[[#This Row],[PID]],Batters[[#All],[PID]],0)),INDEX(Table3[[#All],[Rnk]],MATCH(Table5[[#This Row],[PID]],Table3[[#All],[PID]],0)))</f>
        <v>545</v>
      </c>
      <c r="U968" s="68">
        <f>IF($C968="B",VLOOKUP($A968,Bat!$A$4:$BA$1621,47,FALSE),VLOOKUP($A968,Pit!$A$4:$BF$1557,56,FALSE))</f>
        <v>0</v>
      </c>
      <c r="V968" s="50">
        <f>IF($C968="B",VLOOKUP($A968,Bat!$A$4:$BA$1621,48,FALSE),VLOOKUP($A968,Pit!$A$4:$BF$1557,57,FALSE))</f>
        <v>0</v>
      </c>
      <c r="W968" s="50">
        <f>Table5[[#This Row],[posRnk]]+Table5[[#This Row],[zRnk]]+IF($W$3&lt;&gt;Table5[[#This Row],[Type]],50,0)</f>
        <v>1492</v>
      </c>
      <c r="X968" s="51">
        <f>RANK(Table5[[#This Row],[zScore]],Table5[[#All],[zScore]])</f>
        <v>897</v>
      </c>
      <c r="Y968" s="50" t="str">
        <f>IFERROR(INDEX(DraftResults[[#All],[OVR]],MATCH(Table5[[#This Row],[PID]],DraftResults[[#All],[Player ID]],0)),"")</f>
        <v/>
      </c>
      <c r="Z9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8" s="50" t="str">
        <f>IFERROR(INDEX(DraftResults[[#All],[Pick in Round]],MATCH(Table5[[#This Row],[PID]],DraftResults[[#All],[Player ID]],0)),"")</f>
        <v/>
      </c>
      <c r="AB968" s="50" t="str">
        <f>IFERROR(INDEX(DraftResults[[#All],[Team Name]],MATCH(Table5[[#This Row],[PID]],DraftResults[[#All],[Player ID]],0)),"")</f>
        <v/>
      </c>
      <c r="AC968" s="50" t="str">
        <f>IF(Table5[[#This Row],[Ovr]]="","",IF(Table5[[#This Row],[cmbList]]="","",Table5[[#This Row],[cmbList]]-Table5[[#This Row],[Ovr]]))</f>
        <v/>
      </c>
      <c r="AD968" s="54" t="str">
        <f>IF(ISERROR(VLOOKUP($AB968&amp;"-"&amp;$E968&amp;" "&amp;F968,Bonuses!$B$1:$G$1006,4,FALSE)),"",INT(VLOOKUP($AB968&amp;"-"&amp;$E968&amp;" "&amp;$F968,Bonuses!$B$1:$G$1006,4,FALSE)))</f>
        <v/>
      </c>
      <c r="AE9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69" spans="1:31" s="50" customFormat="1" x14ac:dyDescent="0.25">
      <c r="A969" s="68">
        <v>20213</v>
      </c>
      <c r="B969" s="69">
        <f>COUNTIF(Table5[PID],A969)</f>
        <v>1</v>
      </c>
      <c r="C969" s="69" t="str">
        <f>IF(COUNTIF(Table3[[#All],[PID]],A969)&gt;0,"P","B")</f>
        <v>P</v>
      </c>
      <c r="D969" s="59" t="str">
        <f>IF($C969="B",INDEX(Batters[[#All],[POS]],MATCH(Table5[[#This Row],[PID]],Batters[[#All],[PID]],0)),INDEX(Table3[[#All],[POS]],MATCH(Table5[[#This Row],[PID]],Table3[[#All],[PID]],0)))</f>
        <v>SP</v>
      </c>
      <c r="E969" s="52" t="str">
        <f>IF($C969="B",INDEX(Batters[[#All],[First]],MATCH(Table5[[#This Row],[PID]],Batters[[#All],[PID]],0)),INDEX(Table3[[#All],[First]],MATCH(Table5[[#This Row],[PID]],Table3[[#All],[PID]],0)))</f>
        <v>Zhong</v>
      </c>
      <c r="F969" s="55" t="str">
        <f>IF($C969="B",INDEX(Batters[[#All],[Last]],MATCH(A969,Batters[[#All],[PID]],0)),INDEX(Table3[[#All],[Last]],MATCH(A969,Table3[[#All],[PID]],0)))</f>
        <v>Tsou</v>
      </c>
      <c r="G969" s="56">
        <f>IF($C969="B",INDEX(Batters[[#All],[Age]],MATCH(Table5[[#This Row],[PID]],Batters[[#All],[PID]],0)),INDEX(Table3[[#All],[Age]],MATCH(Table5[[#This Row],[PID]],Table3[[#All],[PID]],0)))</f>
        <v>22</v>
      </c>
      <c r="H969" s="52" t="str">
        <f>IF($C969="B",INDEX(Batters[[#All],[B]],MATCH(Table5[[#This Row],[PID]],Batters[[#All],[PID]],0)),INDEX(Table3[[#All],[B]],MATCH(Table5[[#This Row],[PID]],Table3[[#All],[PID]],0)))</f>
        <v>R</v>
      </c>
      <c r="I969" s="52" t="str">
        <f>IF($C969="B",INDEX(Batters[[#All],[T]],MATCH(Table5[[#This Row],[PID]],Batters[[#All],[PID]],0)),INDEX(Table3[[#All],[T]],MATCH(Table5[[#This Row],[PID]],Table3[[#All],[PID]],0)))</f>
        <v>R</v>
      </c>
      <c r="J969" s="71" t="str">
        <f>IF($C969="B",INDEX(Batters[[#All],[WE]],MATCH(Table5[[#This Row],[PID]],Batters[[#All],[PID]],0)),INDEX(Table3[[#All],[WE]],MATCH(Table5[[#This Row],[PID]],Table3[[#All],[PID]],0)))</f>
        <v>Low</v>
      </c>
      <c r="K969" s="52" t="str">
        <f>IF($C969="B",INDEX(Batters[[#All],[INT]],MATCH(Table5[[#This Row],[PID]],Batters[[#All],[PID]],0)),INDEX(Table3[[#All],[INT]],MATCH(Table5[[#This Row],[PID]],Table3[[#All],[PID]],0)))</f>
        <v>Low</v>
      </c>
      <c r="L969" s="60">
        <f>IF($C969="B",INDEX(Batters[[#All],[CON P]],MATCH(Table5[[#This Row],[PID]],Batters[[#All],[PID]],0)),INDEX(Table3[[#All],[STU P]],MATCH(Table5[[#This Row],[PID]],Table3[[#All],[PID]],0)))</f>
        <v>4</v>
      </c>
      <c r="M969" s="72">
        <f>IF($C969="B",INDEX(Batters[[#All],[GAP P]],MATCH(Table5[[#This Row],[PID]],Batters[[#All],[PID]],0)),INDEX(Table3[[#All],[MOV P]],MATCH(Table5[[#This Row],[PID]],Table3[[#All],[PID]],0)))</f>
        <v>2</v>
      </c>
      <c r="N969" s="72">
        <f>IF($C969="B",INDEX(Batters[[#All],[POW P]],MATCH(Table5[[#This Row],[PID]],Batters[[#All],[PID]],0)),INDEX(Table3[[#All],[CON P]],MATCH(Table5[[#This Row],[PID]],Table3[[#All],[PID]],0)))</f>
        <v>3</v>
      </c>
      <c r="O969" s="72" t="str">
        <f>IF($C969="B",INDEX(Batters[[#All],[EYE P]],MATCH(Table5[[#This Row],[PID]],Batters[[#All],[PID]],0)),INDEX(Table3[[#All],[VELO]],MATCH(Table5[[#This Row],[PID]],Table3[[#All],[PID]],0)))</f>
        <v>91-93 Mph</v>
      </c>
      <c r="P969" s="56">
        <f>IF($C969="B",INDEX(Batters[[#All],[K P]],MATCH(Table5[[#This Row],[PID]],Batters[[#All],[PID]],0)),INDEX(Table3[[#All],[STM]],MATCH(Table5[[#This Row],[PID]],Table3[[#All],[PID]],0)))</f>
        <v>8</v>
      </c>
      <c r="Q969" s="61">
        <f>IF($C969="B",INDEX(Batters[[#All],[Tot]],MATCH(Table5[[#This Row],[PID]],Batters[[#All],[PID]],0)),INDEX(Table3[[#All],[Tot]],MATCH(Table5[[#This Row],[PID]],Table3[[#All],[PID]],0)))</f>
        <v>28.938276835412385</v>
      </c>
      <c r="R969" s="52">
        <f>IF($C969="B",INDEX(Batters[[#All],[zScore]],MATCH(Table5[[#This Row],[PID]],Batters[[#All],[PID]],0)),INDEX(Table3[[#All],[zScore]],MATCH(Table5[[#This Row],[PID]],Table3[[#All],[PID]],0)))</f>
        <v>-0.56740857906279984</v>
      </c>
      <c r="S969" s="78" t="str">
        <f>IF($C969="B",INDEX(Batters[[#All],[DEM]],MATCH(Table5[[#This Row],[PID]],Batters[[#All],[PID]],0)),INDEX(Table3[[#All],[DEM]],MATCH(Table5[[#This Row],[PID]],Table3[[#All],[PID]],0)))</f>
        <v>-</v>
      </c>
      <c r="T969" s="75">
        <f>IF($C969="B",INDEX(Batters[[#All],[Rnk]],MATCH(Table5[[#This Row],[PID]],Batters[[#All],[PID]],0)),INDEX(Table3[[#All],[Rnk]],MATCH(Table5[[#This Row],[PID]],Table3[[#All],[PID]],0)))</f>
        <v>546</v>
      </c>
      <c r="U969" s="68">
        <f>IF($C969="B",VLOOKUP($A969,Bat!$A$4:$BA$1621,47,FALSE),VLOOKUP($A969,Pit!$A$4:$BF$1557,56,FALSE))</f>
        <v>0</v>
      </c>
      <c r="V969" s="50">
        <f>IF($C969="B",VLOOKUP($A969,Bat!$A$4:$BA$1621,48,FALSE),VLOOKUP($A969,Pit!$A$4:$BF$1557,57,FALSE))</f>
        <v>0</v>
      </c>
      <c r="W969" s="69">
        <f>Table5[[#This Row],[posRnk]]+Table5[[#This Row],[zRnk]]+IF($W$3&lt;&gt;Table5[[#This Row],[Type]],50,0)</f>
        <v>1494</v>
      </c>
      <c r="X969" s="73">
        <f>RANK(Table5[[#This Row],[zScore]],Table5[[#All],[zScore]])</f>
        <v>898</v>
      </c>
      <c r="Y969" s="69" t="str">
        <f>IFERROR(INDEX(DraftResults[[#All],[OVR]],MATCH(Table5[[#This Row],[PID]],DraftResults[[#All],[Player ID]],0)),"")</f>
        <v/>
      </c>
      <c r="Z96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69" s="69" t="str">
        <f>IFERROR(INDEX(DraftResults[[#All],[Pick in Round]],MATCH(Table5[[#This Row],[PID]],DraftResults[[#All],[Player ID]],0)),"")</f>
        <v/>
      </c>
      <c r="AB969" s="69" t="str">
        <f>IFERROR(INDEX(DraftResults[[#All],[Team Name]],MATCH(Table5[[#This Row],[PID]],DraftResults[[#All],[Player ID]],0)),"")</f>
        <v/>
      </c>
      <c r="AC969" s="69" t="str">
        <f>IF(Table5[[#This Row],[Ovr]]="","",IF(Table5[[#This Row],[cmbList]]="","",Table5[[#This Row],[cmbList]]-Table5[[#This Row],[Ovr]]))</f>
        <v/>
      </c>
      <c r="AD969" s="77" t="str">
        <f>IF(ISERROR(VLOOKUP($AB969&amp;"-"&amp;$E969&amp;" "&amp;F969,Bonuses!$B$1:$G$1006,4,FALSE)),"",INT(VLOOKUP($AB969&amp;"-"&amp;$E969&amp;" "&amp;$F969,Bonuses!$B$1:$G$1006,4,FALSE)))</f>
        <v/>
      </c>
      <c r="AE96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0" spans="1:31" s="50" customFormat="1" x14ac:dyDescent="0.25">
      <c r="A970" s="50">
        <v>15962</v>
      </c>
      <c r="B970" s="50">
        <f>COUNTIF(Table5[PID],A970)</f>
        <v>1</v>
      </c>
      <c r="C970" s="50" t="str">
        <f>IF(COUNTIF(Table3[[#All],[PID]],A970)&gt;0,"P","B")</f>
        <v>B</v>
      </c>
      <c r="D970" s="59" t="str">
        <f>IF($C970="B",INDEX(Batters[[#All],[POS]],MATCH(Table5[[#This Row],[PID]],Batters[[#All],[PID]],0)),INDEX(Table3[[#All],[POS]],MATCH(Table5[[#This Row],[PID]],Table3[[#All],[PID]],0)))</f>
        <v>C</v>
      </c>
      <c r="E970" s="52" t="str">
        <f>IF($C970="B",INDEX(Batters[[#All],[First]],MATCH(Table5[[#This Row],[PID]],Batters[[#All],[PID]],0)),INDEX(Table3[[#All],[First]],MATCH(Table5[[#This Row],[PID]],Table3[[#All],[PID]],0)))</f>
        <v>Noriaki</v>
      </c>
      <c r="F970" s="50" t="str">
        <f>IF($C970="B",INDEX(Batters[[#All],[Last]],MATCH(A970,Batters[[#All],[PID]],0)),INDEX(Table3[[#All],[Last]],MATCH(A970,Table3[[#All],[PID]],0)))</f>
        <v>Kichikawa</v>
      </c>
      <c r="G970" s="56">
        <f>IF($C970="B",INDEX(Batters[[#All],[Age]],MATCH(Table5[[#This Row],[PID]],Batters[[#All],[PID]],0)),INDEX(Table3[[#All],[Age]],MATCH(Table5[[#This Row],[PID]],Table3[[#All],[PID]],0)))</f>
        <v>18</v>
      </c>
      <c r="H970" s="52" t="str">
        <f>IF($C970="B",INDEX(Batters[[#All],[B]],MATCH(Table5[[#This Row],[PID]],Batters[[#All],[PID]],0)),INDEX(Table3[[#All],[B]],MATCH(Table5[[#This Row],[PID]],Table3[[#All],[PID]],0)))</f>
        <v>S</v>
      </c>
      <c r="I970" s="52" t="str">
        <f>IF($C970="B",INDEX(Batters[[#All],[T]],MATCH(Table5[[#This Row],[PID]],Batters[[#All],[PID]],0)),INDEX(Table3[[#All],[T]],MATCH(Table5[[#This Row],[PID]],Table3[[#All],[PID]],0)))</f>
        <v>R</v>
      </c>
      <c r="J970" s="52" t="str">
        <f>IF($C970="B",INDEX(Batters[[#All],[WE]],MATCH(Table5[[#This Row],[PID]],Batters[[#All],[PID]],0)),INDEX(Table3[[#All],[WE]],MATCH(Table5[[#This Row],[PID]],Table3[[#All],[PID]],0)))</f>
        <v>Normal</v>
      </c>
      <c r="K970" s="52" t="str">
        <f>IF($C970="B",INDEX(Batters[[#All],[INT]],MATCH(Table5[[#This Row],[PID]],Batters[[#All],[PID]],0)),INDEX(Table3[[#All],[INT]],MATCH(Table5[[#This Row],[PID]],Table3[[#All],[PID]],0)))</f>
        <v>Normal</v>
      </c>
      <c r="L970" s="60">
        <f>IF($C970="B",INDEX(Batters[[#All],[CON P]],MATCH(Table5[[#This Row],[PID]],Batters[[#All],[PID]],0)),INDEX(Table3[[#All],[STU P]],MATCH(Table5[[#This Row],[PID]],Table3[[#All],[PID]],0)))</f>
        <v>3</v>
      </c>
      <c r="M970" s="56">
        <f>IF($C970="B",INDEX(Batters[[#All],[GAP P]],MATCH(Table5[[#This Row],[PID]],Batters[[#All],[PID]],0)),INDEX(Table3[[#All],[MOV P]],MATCH(Table5[[#This Row],[PID]],Table3[[#All],[PID]],0)))</f>
        <v>3</v>
      </c>
      <c r="N970" s="56">
        <f>IF($C970="B",INDEX(Batters[[#All],[POW P]],MATCH(Table5[[#This Row],[PID]],Batters[[#All],[PID]],0)),INDEX(Table3[[#All],[CON P]],MATCH(Table5[[#This Row],[PID]],Table3[[#All],[PID]],0)))</f>
        <v>4</v>
      </c>
      <c r="O970" s="56">
        <f>IF($C970="B",INDEX(Batters[[#All],[EYE P]],MATCH(Table5[[#This Row],[PID]],Batters[[#All],[PID]],0)),INDEX(Table3[[#All],[VELO]],MATCH(Table5[[#This Row],[PID]],Table3[[#All],[PID]],0)))</f>
        <v>5</v>
      </c>
      <c r="P970" s="56">
        <f>IF($C970="B",INDEX(Batters[[#All],[K P]],MATCH(Table5[[#This Row],[PID]],Batters[[#All],[PID]],0)),INDEX(Table3[[#All],[STM]],MATCH(Table5[[#This Row],[PID]],Table3[[#All],[PID]],0)))</f>
        <v>2</v>
      </c>
      <c r="Q970" s="61">
        <f>IF($C970="B",INDEX(Batters[[#All],[Tot]],MATCH(Table5[[#This Row],[PID]],Batters[[#All],[PID]],0)),INDEX(Table3[[#All],[Tot]],MATCH(Table5[[#This Row],[PID]],Table3[[#All],[PID]],0)))</f>
        <v>41.545074002290022</v>
      </c>
      <c r="R970" s="52">
        <f>IF($C970="B",INDEX(Batters[[#All],[zScore]],MATCH(Table5[[#This Row],[PID]],Batters[[#All],[PID]],0)),INDEX(Table3[[#All],[zScore]],MATCH(Table5[[#This Row],[PID]],Table3[[#All],[PID]],0)))</f>
        <v>-0.57352561556801307</v>
      </c>
      <c r="S970" s="58" t="str">
        <f>IF($C970="B",INDEX(Batters[[#All],[DEM]],MATCH(Table5[[#This Row],[PID]],Batters[[#All],[PID]],0)),INDEX(Table3[[#All],[DEM]],MATCH(Table5[[#This Row],[PID]],Table3[[#All],[PID]],0)))</f>
        <v>$65k</v>
      </c>
      <c r="T970" s="62">
        <f>IF($C970="B",INDEX(Batters[[#All],[Rnk]],MATCH(Table5[[#This Row],[PID]],Batters[[#All],[PID]],0)),INDEX(Table3[[#All],[Rnk]],MATCH(Table5[[#This Row],[PID]],Table3[[#All],[PID]],0)))</f>
        <v>352</v>
      </c>
      <c r="U970" s="68">
        <f>IF($C970="B",VLOOKUP($A970,Bat!$A$4:$BA$1621,47,FALSE),VLOOKUP($A970,Pit!$A$4:$BF$1557,56,FALSE))</f>
        <v>0</v>
      </c>
      <c r="V970" s="50">
        <f>IF($C970="B",VLOOKUP($A970,Bat!$A$4:$BA$1621,48,FALSE),VLOOKUP($A970,Pit!$A$4:$BF$1557,57,FALSE))</f>
        <v>0</v>
      </c>
      <c r="W970" s="50">
        <f>Table5[[#This Row],[posRnk]]+Table5[[#This Row],[zRnk]]+IF($W$3&lt;&gt;Table5[[#This Row],[Type]],50,0)</f>
        <v>1301</v>
      </c>
      <c r="X970" s="51">
        <f>RANK(Table5[[#This Row],[zScore]],Table5[[#All],[zScore]])</f>
        <v>899</v>
      </c>
      <c r="Y970" s="50" t="str">
        <f>IFERROR(INDEX(DraftResults[[#All],[OVR]],MATCH(Table5[[#This Row],[PID]],DraftResults[[#All],[Player ID]],0)),"")</f>
        <v/>
      </c>
      <c r="Z9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0" s="50" t="str">
        <f>IFERROR(INDEX(DraftResults[[#All],[Pick in Round]],MATCH(Table5[[#This Row],[PID]],DraftResults[[#All],[Player ID]],0)),"")</f>
        <v/>
      </c>
      <c r="AB970" s="50" t="str">
        <f>IFERROR(INDEX(DraftResults[[#All],[Team Name]],MATCH(Table5[[#This Row],[PID]],DraftResults[[#All],[Player ID]],0)),"")</f>
        <v/>
      </c>
      <c r="AC970" s="50" t="str">
        <f>IF(Table5[[#This Row],[Ovr]]="","",IF(Table5[[#This Row],[cmbList]]="","",Table5[[#This Row],[cmbList]]-Table5[[#This Row],[Ovr]]))</f>
        <v/>
      </c>
      <c r="AD970" s="54" t="str">
        <f>IF(ISERROR(VLOOKUP($AB970&amp;"-"&amp;$E970&amp;" "&amp;F970,Bonuses!$B$1:$G$1006,4,FALSE)),"",INT(VLOOKUP($AB970&amp;"-"&amp;$E970&amp;" "&amp;$F970,Bonuses!$B$1:$G$1006,4,FALSE)))</f>
        <v/>
      </c>
      <c r="AE9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1" spans="1:31" s="50" customFormat="1" x14ac:dyDescent="0.25">
      <c r="A971" s="50">
        <v>20361</v>
      </c>
      <c r="B971" s="50">
        <f>COUNTIF(Table5[PID],A971)</f>
        <v>1</v>
      </c>
      <c r="C971" s="50" t="str">
        <f>IF(COUNTIF(Table3[[#All],[PID]],A971)&gt;0,"P","B")</f>
        <v>P</v>
      </c>
      <c r="D971" s="59" t="str">
        <f>IF($C971="B",INDEX(Batters[[#All],[POS]],MATCH(Table5[[#This Row],[PID]],Batters[[#All],[PID]],0)),INDEX(Table3[[#All],[POS]],MATCH(Table5[[#This Row],[PID]],Table3[[#All],[PID]],0)))</f>
        <v>RP</v>
      </c>
      <c r="E971" s="52" t="str">
        <f>IF($C971="B",INDEX(Batters[[#All],[First]],MATCH(Table5[[#This Row],[PID]],Batters[[#All],[PID]],0)),INDEX(Table3[[#All],[First]],MATCH(Table5[[#This Row],[PID]],Table3[[#All],[PID]],0)))</f>
        <v>Ivan</v>
      </c>
      <c r="F971" s="50" t="str">
        <f>IF($C971="B",INDEX(Batters[[#All],[Last]],MATCH(A971,Batters[[#All],[PID]],0)),INDEX(Table3[[#All],[Last]],MATCH(A971,Table3[[#All],[PID]],0)))</f>
        <v>Prouse</v>
      </c>
      <c r="G971" s="56">
        <f>IF($C971="B",INDEX(Batters[[#All],[Age]],MATCH(Table5[[#This Row],[PID]],Batters[[#All],[PID]],0)),INDEX(Table3[[#All],[Age]],MATCH(Table5[[#This Row],[PID]],Table3[[#All],[PID]],0)))</f>
        <v>18</v>
      </c>
      <c r="H971" s="52" t="str">
        <f>IF($C971="B",INDEX(Batters[[#All],[B]],MATCH(Table5[[#This Row],[PID]],Batters[[#All],[PID]],0)),INDEX(Table3[[#All],[B]],MATCH(Table5[[#This Row],[PID]],Table3[[#All],[PID]],0)))</f>
        <v>L</v>
      </c>
      <c r="I971" s="52" t="str">
        <f>IF($C971="B",INDEX(Batters[[#All],[T]],MATCH(Table5[[#This Row],[PID]],Batters[[#All],[PID]],0)),INDEX(Table3[[#All],[T]],MATCH(Table5[[#This Row],[PID]],Table3[[#All],[PID]],0)))</f>
        <v>L</v>
      </c>
      <c r="J971" s="52" t="str">
        <f>IF($C971="B",INDEX(Batters[[#All],[WE]],MATCH(Table5[[#This Row],[PID]],Batters[[#All],[PID]],0)),INDEX(Table3[[#All],[WE]],MATCH(Table5[[#This Row],[PID]],Table3[[#All],[PID]],0)))</f>
        <v>Low</v>
      </c>
      <c r="K971" s="52" t="str">
        <f>IF($C971="B",INDEX(Batters[[#All],[INT]],MATCH(Table5[[#This Row],[PID]],Batters[[#All],[PID]],0)),INDEX(Table3[[#All],[INT]],MATCH(Table5[[#This Row],[PID]],Table3[[#All],[PID]],0)))</f>
        <v>Normal</v>
      </c>
      <c r="L971" s="60">
        <f>IF($C971="B",INDEX(Batters[[#All],[CON P]],MATCH(Table5[[#This Row],[PID]],Batters[[#All],[PID]],0)),INDEX(Table3[[#All],[STU P]],MATCH(Table5[[#This Row],[PID]],Table3[[#All],[PID]],0)))</f>
        <v>5</v>
      </c>
      <c r="M971" s="56">
        <f>IF($C971="B",INDEX(Batters[[#All],[GAP P]],MATCH(Table5[[#This Row],[PID]],Batters[[#All],[PID]],0)),INDEX(Table3[[#All],[MOV P]],MATCH(Table5[[#This Row],[PID]],Table3[[#All],[PID]],0)))</f>
        <v>2</v>
      </c>
      <c r="N971" s="56">
        <f>IF($C971="B",INDEX(Batters[[#All],[POW P]],MATCH(Table5[[#This Row],[PID]],Batters[[#All],[PID]],0)),INDEX(Table3[[#All],[CON P]],MATCH(Table5[[#This Row],[PID]],Table3[[#All],[PID]],0)))</f>
        <v>2</v>
      </c>
      <c r="O971" s="56" t="str">
        <f>IF($C971="B",INDEX(Batters[[#All],[EYE P]],MATCH(Table5[[#This Row],[PID]],Batters[[#All],[PID]],0)),INDEX(Table3[[#All],[VELO]],MATCH(Table5[[#This Row],[PID]],Table3[[#All],[PID]],0)))</f>
        <v>89-91 Mph</v>
      </c>
      <c r="P971" s="56">
        <f>IF($C971="B",INDEX(Batters[[#All],[K P]],MATCH(Table5[[#This Row],[PID]],Batters[[#All],[PID]],0)),INDEX(Table3[[#All],[STM]],MATCH(Table5[[#This Row],[PID]],Table3[[#All],[PID]],0)))</f>
        <v>6</v>
      </c>
      <c r="Q971" s="61">
        <f>IF($C971="B",INDEX(Batters[[#All],[Tot]],MATCH(Table5[[#This Row],[PID]],Batters[[#All],[PID]],0)),INDEX(Table3[[#All],[Tot]],MATCH(Table5[[#This Row],[PID]],Table3[[#All],[PID]],0)))</f>
        <v>27.242082385740964</v>
      </c>
      <c r="R971" s="52">
        <f>IF($C971="B",INDEX(Batters[[#All],[zScore]],MATCH(Table5[[#This Row],[PID]],Batters[[#All],[PID]],0)),INDEX(Table3[[#All],[zScore]],MATCH(Table5[[#This Row],[PID]],Table3[[#All],[PID]],0)))</f>
        <v>-0.5740371713164566</v>
      </c>
      <c r="S971" s="58" t="str">
        <f>IF($C971="B",INDEX(Batters[[#All],[DEM]],MATCH(Table5[[#This Row],[PID]],Batters[[#All],[PID]],0)),INDEX(Table3[[#All],[DEM]],MATCH(Table5[[#This Row],[PID]],Table3[[#All],[PID]],0)))</f>
        <v>$75k</v>
      </c>
      <c r="T971" s="62">
        <f>IF($C971="B",INDEX(Batters[[#All],[Rnk]],MATCH(Table5[[#This Row],[PID]],Batters[[#All],[PID]],0)),INDEX(Table3[[#All],[Rnk]],MATCH(Table5[[#This Row],[PID]],Table3[[#All],[PID]],0)))</f>
        <v>547</v>
      </c>
      <c r="U971" s="68">
        <f>IF($C971="B",VLOOKUP($A971,Bat!$A$4:$BA$1621,47,FALSE),VLOOKUP($A971,Pit!$A$4:$BF$1557,56,FALSE))</f>
        <v>0</v>
      </c>
      <c r="V971" s="50">
        <f>IF($C971="B",VLOOKUP($A971,Bat!$A$4:$BA$1621,48,FALSE),VLOOKUP($A971,Pit!$A$4:$BF$1557,57,FALSE))</f>
        <v>0</v>
      </c>
      <c r="W971" s="50">
        <f>Table5[[#This Row],[posRnk]]+Table5[[#This Row],[zRnk]]+IF($W$3&lt;&gt;Table5[[#This Row],[Type]],50,0)</f>
        <v>1497</v>
      </c>
      <c r="X971" s="51">
        <f>RANK(Table5[[#This Row],[zScore]],Table5[[#All],[zScore]])</f>
        <v>900</v>
      </c>
      <c r="Y971" s="50" t="str">
        <f>IFERROR(INDEX(DraftResults[[#All],[OVR]],MATCH(Table5[[#This Row],[PID]],DraftResults[[#All],[Player ID]],0)),"")</f>
        <v/>
      </c>
      <c r="Z9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1" s="50" t="str">
        <f>IFERROR(INDEX(DraftResults[[#All],[Pick in Round]],MATCH(Table5[[#This Row],[PID]],DraftResults[[#All],[Player ID]],0)),"")</f>
        <v/>
      </c>
      <c r="AB971" s="50" t="str">
        <f>IFERROR(INDEX(DraftResults[[#All],[Team Name]],MATCH(Table5[[#This Row],[PID]],DraftResults[[#All],[Player ID]],0)),"")</f>
        <v/>
      </c>
      <c r="AC971" s="50" t="str">
        <f>IF(Table5[[#This Row],[Ovr]]="","",IF(Table5[[#This Row],[cmbList]]="","",Table5[[#This Row],[cmbList]]-Table5[[#This Row],[Ovr]]))</f>
        <v/>
      </c>
      <c r="AD971" s="54" t="str">
        <f>IF(ISERROR(VLOOKUP($AB971&amp;"-"&amp;$E971&amp;" "&amp;F971,Bonuses!$B$1:$G$1006,4,FALSE)),"",INT(VLOOKUP($AB971&amp;"-"&amp;$E971&amp;" "&amp;$F971,Bonuses!$B$1:$G$1006,4,FALSE)))</f>
        <v/>
      </c>
      <c r="AE9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2" spans="1:31" s="50" customFormat="1" x14ac:dyDescent="0.25">
      <c r="A972" s="50">
        <v>1117</v>
      </c>
      <c r="B972" s="50">
        <f>COUNTIF(Table5[PID],A972)</f>
        <v>1</v>
      </c>
      <c r="C972" s="50" t="str">
        <f>IF(COUNTIF(Table3[[#All],[PID]],A972)&gt;0,"P","B")</f>
        <v>B</v>
      </c>
      <c r="D972" s="59" t="str">
        <f>IF($C972="B",INDEX(Batters[[#All],[POS]],MATCH(Table5[[#This Row],[PID]],Batters[[#All],[PID]],0)),INDEX(Table3[[#All],[POS]],MATCH(Table5[[#This Row],[PID]],Table3[[#All],[PID]],0)))</f>
        <v>2B</v>
      </c>
      <c r="E972" s="52" t="str">
        <f>IF($C972="B",INDEX(Batters[[#All],[First]],MATCH(Table5[[#This Row],[PID]],Batters[[#All],[PID]],0)),INDEX(Table3[[#All],[First]],MATCH(Table5[[#This Row],[PID]],Table3[[#All],[PID]],0)))</f>
        <v>Juan</v>
      </c>
      <c r="F972" s="50" t="str">
        <f>IF($C972="B",INDEX(Batters[[#All],[Last]],MATCH(A972,Batters[[#All],[PID]],0)),INDEX(Table3[[#All],[Last]],MATCH(A972,Table3[[#All],[PID]],0)))</f>
        <v>Rentería</v>
      </c>
      <c r="G972" s="56">
        <f>IF($C972="B",INDEX(Batters[[#All],[Age]],MATCH(Table5[[#This Row],[PID]],Batters[[#All],[PID]],0)),INDEX(Table3[[#All],[Age]],MATCH(Table5[[#This Row],[PID]],Table3[[#All],[PID]],0)))</f>
        <v>18</v>
      </c>
      <c r="H972" s="52" t="str">
        <f>IF($C972="B",INDEX(Batters[[#All],[B]],MATCH(Table5[[#This Row],[PID]],Batters[[#All],[PID]],0)),INDEX(Table3[[#All],[B]],MATCH(Table5[[#This Row],[PID]],Table3[[#All],[PID]],0)))</f>
        <v>R</v>
      </c>
      <c r="I972" s="52" t="str">
        <f>IF($C972="B",INDEX(Batters[[#All],[T]],MATCH(Table5[[#This Row],[PID]],Batters[[#All],[PID]],0)),INDEX(Table3[[#All],[T]],MATCH(Table5[[#This Row],[PID]],Table3[[#All],[PID]],0)))</f>
        <v>R</v>
      </c>
      <c r="J972" s="52" t="str">
        <f>IF($C972="B",INDEX(Batters[[#All],[WE]],MATCH(Table5[[#This Row],[PID]],Batters[[#All],[PID]],0)),INDEX(Table3[[#All],[WE]],MATCH(Table5[[#This Row],[PID]],Table3[[#All],[PID]],0)))</f>
        <v>Normal</v>
      </c>
      <c r="K972" s="52" t="str">
        <f>IF($C972="B",INDEX(Batters[[#All],[INT]],MATCH(Table5[[#This Row],[PID]],Batters[[#All],[PID]],0)),INDEX(Table3[[#All],[INT]],MATCH(Table5[[#This Row],[PID]],Table3[[#All],[PID]],0)))</f>
        <v>Normal</v>
      </c>
      <c r="L972" s="60">
        <f>IF($C972="B",INDEX(Batters[[#All],[CON P]],MATCH(Table5[[#This Row],[PID]],Batters[[#All],[PID]],0)),INDEX(Table3[[#All],[STU P]],MATCH(Table5[[#This Row],[PID]],Table3[[#All],[PID]],0)))</f>
        <v>3</v>
      </c>
      <c r="M972" s="56">
        <f>IF($C972="B",INDEX(Batters[[#All],[GAP P]],MATCH(Table5[[#This Row],[PID]],Batters[[#All],[PID]],0)),INDEX(Table3[[#All],[MOV P]],MATCH(Table5[[#This Row],[PID]],Table3[[#All],[PID]],0)))</f>
        <v>3</v>
      </c>
      <c r="N972" s="56">
        <f>IF($C972="B",INDEX(Batters[[#All],[POW P]],MATCH(Table5[[#This Row],[PID]],Batters[[#All],[PID]],0)),INDEX(Table3[[#All],[CON P]],MATCH(Table5[[#This Row],[PID]],Table3[[#All],[PID]],0)))</f>
        <v>4</v>
      </c>
      <c r="O972" s="56">
        <f>IF($C972="B",INDEX(Batters[[#All],[EYE P]],MATCH(Table5[[#This Row],[PID]],Batters[[#All],[PID]],0)),INDEX(Table3[[#All],[VELO]],MATCH(Table5[[#This Row],[PID]],Table3[[#All],[PID]],0)))</f>
        <v>5</v>
      </c>
      <c r="P972" s="56">
        <f>IF($C972="B",INDEX(Batters[[#All],[K P]],MATCH(Table5[[#This Row],[PID]],Batters[[#All],[PID]],0)),INDEX(Table3[[#All],[STM]],MATCH(Table5[[#This Row],[PID]],Table3[[#All],[PID]],0)))</f>
        <v>2</v>
      </c>
      <c r="Q972" s="61">
        <f>IF($C972="B",INDEX(Batters[[#All],[Tot]],MATCH(Table5[[#This Row],[PID]],Batters[[#All],[PID]],0)),INDEX(Table3[[#All],[Tot]],MATCH(Table5[[#This Row],[PID]],Table3[[#All],[PID]],0)))</f>
        <v>41.539968014328153</v>
      </c>
      <c r="R972" s="52">
        <f>IF($C972="B",INDEX(Batters[[#All],[zScore]],MATCH(Table5[[#This Row],[PID]],Batters[[#All],[PID]],0)),INDEX(Table3[[#All],[zScore]],MATCH(Table5[[#This Row],[PID]],Table3[[#All],[PID]],0)))</f>
        <v>-0.57465764761243499</v>
      </c>
      <c r="S972" s="58" t="str">
        <f>IF($C972="B",INDEX(Batters[[#All],[DEM]],MATCH(Table5[[#This Row],[PID]],Batters[[#All],[PID]],0)),INDEX(Table3[[#All],[DEM]],MATCH(Table5[[#This Row],[PID]],Table3[[#All],[PID]],0)))</f>
        <v>$90k</v>
      </c>
      <c r="T972" s="62">
        <f>IF($C972="B",INDEX(Batters[[#All],[Rnk]],MATCH(Table5[[#This Row],[PID]],Batters[[#All],[PID]],0)),INDEX(Table3[[#All],[Rnk]],MATCH(Table5[[#This Row],[PID]],Table3[[#All],[PID]],0)))</f>
        <v>353</v>
      </c>
      <c r="U972" s="68">
        <f>IF($C972="B",VLOOKUP($A972,Bat!$A$4:$BA$1621,47,FALSE),VLOOKUP($A972,Pit!$A$4:$BF$1557,56,FALSE))</f>
        <v>0</v>
      </c>
      <c r="V972" s="50">
        <f>IF($C972="B",VLOOKUP($A972,Bat!$A$4:$BA$1621,48,FALSE),VLOOKUP($A972,Pit!$A$4:$BF$1557,57,FALSE))</f>
        <v>0</v>
      </c>
      <c r="W972" s="50">
        <f>Table5[[#This Row],[posRnk]]+Table5[[#This Row],[zRnk]]+IF($W$3&lt;&gt;Table5[[#This Row],[Type]],50,0)</f>
        <v>1304</v>
      </c>
      <c r="X972" s="51">
        <f>RANK(Table5[[#This Row],[zScore]],Table5[[#All],[zScore]])</f>
        <v>901</v>
      </c>
      <c r="Y972" s="50" t="str">
        <f>IFERROR(INDEX(DraftResults[[#All],[OVR]],MATCH(Table5[[#This Row],[PID]],DraftResults[[#All],[Player ID]],0)),"")</f>
        <v/>
      </c>
      <c r="Z9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2" s="50" t="str">
        <f>IFERROR(INDEX(DraftResults[[#All],[Pick in Round]],MATCH(Table5[[#This Row],[PID]],DraftResults[[#All],[Player ID]],0)),"")</f>
        <v/>
      </c>
      <c r="AB972" s="50" t="str">
        <f>IFERROR(INDEX(DraftResults[[#All],[Team Name]],MATCH(Table5[[#This Row],[PID]],DraftResults[[#All],[Player ID]],0)),"")</f>
        <v/>
      </c>
      <c r="AC972" s="50" t="str">
        <f>IF(Table5[[#This Row],[Ovr]]="","",IF(Table5[[#This Row],[cmbList]]="","",Table5[[#This Row],[cmbList]]-Table5[[#This Row],[Ovr]]))</f>
        <v/>
      </c>
      <c r="AD972" s="54" t="str">
        <f>IF(ISERROR(VLOOKUP($AB972&amp;"-"&amp;$E972&amp;" "&amp;F972,Bonuses!$B$1:$G$1006,4,FALSE)),"",INT(VLOOKUP($AB972&amp;"-"&amp;$E972&amp;" "&amp;$F972,Bonuses!$B$1:$G$1006,4,FALSE)))</f>
        <v/>
      </c>
      <c r="AE9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3" spans="1:31" s="50" customFormat="1" x14ac:dyDescent="0.25">
      <c r="A973" s="50">
        <v>20416</v>
      </c>
      <c r="B973" s="50">
        <f>COUNTIF(Table5[PID],A973)</f>
        <v>1</v>
      </c>
      <c r="C973" s="50" t="str">
        <f>IF(COUNTIF(Table3[[#All],[PID]],A973)&gt;0,"P","B")</f>
        <v>B</v>
      </c>
      <c r="D973" s="59" t="str">
        <f>IF($C973="B",INDEX(Batters[[#All],[POS]],MATCH(Table5[[#This Row],[PID]],Batters[[#All],[PID]],0)),INDEX(Table3[[#All],[POS]],MATCH(Table5[[#This Row],[PID]],Table3[[#All],[PID]],0)))</f>
        <v>2B</v>
      </c>
      <c r="E973" s="52" t="str">
        <f>IF($C973="B",INDEX(Batters[[#All],[First]],MATCH(Table5[[#This Row],[PID]],Batters[[#All],[PID]],0)),INDEX(Table3[[#All],[First]],MATCH(Table5[[#This Row],[PID]],Table3[[#All],[PID]],0)))</f>
        <v>Phillip</v>
      </c>
      <c r="F973" s="50" t="str">
        <f>IF($C973="B",INDEX(Batters[[#All],[Last]],MATCH(A973,Batters[[#All],[PID]],0)),INDEX(Table3[[#All],[Last]],MATCH(A973,Table3[[#All],[PID]],0)))</f>
        <v>Thatcher</v>
      </c>
      <c r="G973" s="56">
        <f>IF($C973="B",INDEX(Batters[[#All],[Age]],MATCH(Table5[[#This Row],[PID]],Batters[[#All],[PID]],0)),INDEX(Table3[[#All],[Age]],MATCH(Table5[[#This Row],[PID]],Table3[[#All],[PID]],0)))</f>
        <v>18</v>
      </c>
      <c r="H973" s="52" t="str">
        <f>IF($C973="B",INDEX(Batters[[#All],[B]],MATCH(Table5[[#This Row],[PID]],Batters[[#All],[PID]],0)),INDEX(Table3[[#All],[B]],MATCH(Table5[[#This Row],[PID]],Table3[[#All],[PID]],0)))</f>
        <v>R</v>
      </c>
      <c r="I973" s="52" t="str">
        <f>IF($C973="B",INDEX(Batters[[#All],[T]],MATCH(Table5[[#This Row],[PID]],Batters[[#All],[PID]],0)),INDEX(Table3[[#All],[T]],MATCH(Table5[[#This Row],[PID]],Table3[[#All],[PID]],0)))</f>
        <v>R</v>
      </c>
      <c r="J973" s="52" t="str">
        <f>IF($C973="B",INDEX(Batters[[#All],[WE]],MATCH(Table5[[#This Row],[PID]],Batters[[#All],[PID]],0)),INDEX(Table3[[#All],[WE]],MATCH(Table5[[#This Row],[PID]],Table3[[#All],[PID]],0)))</f>
        <v>Normal</v>
      </c>
      <c r="K973" s="52" t="str">
        <f>IF($C973="B",INDEX(Batters[[#All],[INT]],MATCH(Table5[[#This Row],[PID]],Batters[[#All],[PID]],0)),INDEX(Table3[[#All],[INT]],MATCH(Table5[[#This Row],[PID]],Table3[[#All],[PID]],0)))</f>
        <v>Normal</v>
      </c>
      <c r="L973" s="60">
        <f>IF($C973="B",INDEX(Batters[[#All],[CON P]],MATCH(Table5[[#This Row],[PID]],Batters[[#All],[PID]],0)),INDEX(Table3[[#All],[STU P]],MATCH(Table5[[#This Row],[PID]],Table3[[#All],[PID]],0)))</f>
        <v>3</v>
      </c>
      <c r="M973" s="56">
        <f>IF($C973="B",INDEX(Batters[[#All],[GAP P]],MATCH(Table5[[#This Row],[PID]],Batters[[#All],[PID]],0)),INDEX(Table3[[#All],[MOV P]],MATCH(Table5[[#This Row],[PID]],Table3[[#All],[PID]],0)))</f>
        <v>3</v>
      </c>
      <c r="N973" s="56">
        <f>IF($C973="B",INDEX(Batters[[#All],[POW P]],MATCH(Table5[[#This Row],[PID]],Batters[[#All],[PID]],0)),INDEX(Table3[[#All],[CON P]],MATCH(Table5[[#This Row],[PID]],Table3[[#All],[PID]],0)))</f>
        <v>3</v>
      </c>
      <c r="O973" s="56">
        <f>IF($C973="B",INDEX(Batters[[#All],[EYE P]],MATCH(Table5[[#This Row],[PID]],Batters[[#All],[PID]],0)),INDEX(Table3[[#All],[VELO]],MATCH(Table5[[#This Row],[PID]],Table3[[#All],[PID]],0)))</f>
        <v>5</v>
      </c>
      <c r="P973" s="56">
        <f>IF($C973="B",INDEX(Batters[[#All],[K P]],MATCH(Table5[[#This Row],[PID]],Batters[[#All],[PID]],0)),INDEX(Table3[[#All],[STM]],MATCH(Table5[[#This Row],[PID]],Table3[[#All],[PID]],0)))</f>
        <v>3</v>
      </c>
      <c r="Q973" s="61">
        <f>IF($C973="B",INDEX(Batters[[#All],[Tot]],MATCH(Table5[[#This Row],[PID]],Batters[[#All],[PID]],0)),INDEX(Table3[[#All],[Tot]],MATCH(Table5[[#This Row],[PID]],Table3[[#All],[PID]],0)))</f>
        <v>41.537503106809162</v>
      </c>
      <c r="R973" s="52">
        <f>IF($C973="B",INDEX(Batters[[#All],[zScore]],MATCH(Table5[[#This Row],[PID]],Batters[[#All],[PID]],0)),INDEX(Table3[[#All],[zScore]],MATCH(Table5[[#This Row],[PID]],Table3[[#All],[PID]],0)))</f>
        <v>-0.57520413427062389</v>
      </c>
      <c r="S973" s="58" t="str">
        <f>IF($C973="B",INDEX(Batters[[#All],[DEM]],MATCH(Table5[[#This Row],[PID]],Batters[[#All],[PID]],0)),INDEX(Table3[[#All],[DEM]],MATCH(Table5[[#This Row],[PID]],Table3[[#All],[PID]],0)))</f>
        <v>$65k</v>
      </c>
      <c r="T973" s="62">
        <f>IF($C973="B",INDEX(Batters[[#All],[Rnk]],MATCH(Table5[[#This Row],[PID]],Batters[[#All],[PID]],0)),INDEX(Table3[[#All],[Rnk]],MATCH(Table5[[#This Row],[PID]],Table3[[#All],[PID]],0)))</f>
        <v>354</v>
      </c>
      <c r="U973" s="68">
        <f>IF($C973="B",VLOOKUP($A973,Bat!$A$4:$BA$1621,47,FALSE),VLOOKUP($A973,Pit!$A$4:$BF$1557,56,FALSE))</f>
        <v>0</v>
      </c>
      <c r="V973" s="50">
        <f>IF($C973="B",VLOOKUP($A973,Bat!$A$4:$BA$1621,48,FALSE),VLOOKUP($A973,Pit!$A$4:$BF$1557,57,FALSE))</f>
        <v>0</v>
      </c>
      <c r="W973" s="50">
        <f>Table5[[#This Row],[posRnk]]+Table5[[#This Row],[zRnk]]+IF($W$3&lt;&gt;Table5[[#This Row],[Type]],50,0)</f>
        <v>1306</v>
      </c>
      <c r="X973" s="51">
        <f>RANK(Table5[[#This Row],[zScore]],Table5[[#All],[zScore]])</f>
        <v>902</v>
      </c>
      <c r="Y973" s="50" t="str">
        <f>IFERROR(INDEX(DraftResults[[#All],[OVR]],MATCH(Table5[[#This Row],[PID]],DraftResults[[#All],[Player ID]],0)),"")</f>
        <v/>
      </c>
      <c r="Z9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3" s="50" t="str">
        <f>IFERROR(INDEX(DraftResults[[#All],[Pick in Round]],MATCH(Table5[[#This Row],[PID]],DraftResults[[#All],[Player ID]],0)),"")</f>
        <v/>
      </c>
      <c r="AB973" s="50" t="str">
        <f>IFERROR(INDEX(DraftResults[[#All],[Team Name]],MATCH(Table5[[#This Row],[PID]],DraftResults[[#All],[Player ID]],0)),"")</f>
        <v/>
      </c>
      <c r="AC973" s="50" t="str">
        <f>IF(Table5[[#This Row],[Ovr]]="","",IF(Table5[[#This Row],[cmbList]]="","",Table5[[#This Row],[cmbList]]-Table5[[#This Row],[Ovr]]))</f>
        <v/>
      </c>
      <c r="AD973" s="54" t="str">
        <f>IF(ISERROR(VLOOKUP($AB973&amp;"-"&amp;$E973&amp;" "&amp;F973,Bonuses!$B$1:$G$1006,4,FALSE)),"",INT(VLOOKUP($AB973&amp;"-"&amp;$E973&amp;" "&amp;$F973,Bonuses!$B$1:$G$1006,4,FALSE)))</f>
        <v/>
      </c>
      <c r="AE9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4" spans="1:31" s="50" customFormat="1" x14ac:dyDescent="0.25">
      <c r="A974" s="50">
        <v>20804</v>
      </c>
      <c r="B974" s="50">
        <f>COUNTIF(Table5[PID],A974)</f>
        <v>1</v>
      </c>
      <c r="C974" s="50" t="str">
        <f>IF(COUNTIF(Table3[[#All],[PID]],A974)&gt;0,"P","B")</f>
        <v>P</v>
      </c>
      <c r="D974" s="59" t="str">
        <f>IF($C974="B",INDEX(Batters[[#All],[POS]],MATCH(Table5[[#This Row],[PID]],Batters[[#All],[PID]],0)),INDEX(Table3[[#All],[POS]],MATCH(Table5[[#This Row],[PID]],Table3[[#All],[PID]],0)))</f>
        <v>RP</v>
      </c>
      <c r="E974" s="52" t="str">
        <f>IF($C974="B",INDEX(Batters[[#All],[First]],MATCH(Table5[[#This Row],[PID]],Batters[[#All],[PID]],0)),INDEX(Table3[[#All],[First]],MATCH(Table5[[#This Row],[PID]],Table3[[#All],[PID]],0)))</f>
        <v>Leonard</v>
      </c>
      <c r="F974" s="50" t="str">
        <f>IF($C974="B",INDEX(Batters[[#All],[Last]],MATCH(A974,Batters[[#All],[PID]],0)),INDEX(Table3[[#All],[Last]],MATCH(A974,Table3[[#All],[PID]],0)))</f>
        <v>Moore</v>
      </c>
      <c r="G974" s="56">
        <f>IF($C974="B",INDEX(Batters[[#All],[Age]],MATCH(Table5[[#This Row],[PID]],Batters[[#All],[PID]],0)),INDEX(Table3[[#All],[Age]],MATCH(Table5[[#This Row],[PID]],Table3[[#All],[PID]],0)))</f>
        <v>18</v>
      </c>
      <c r="H974" s="52" t="str">
        <f>IF($C974="B",INDEX(Batters[[#All],[B]],MATCH(Table5[[#This Row],[PID]],Batters[[#All],[PID]],0)),INDEX(Table3[[#All],[B]],MATCH(Table5[[#This Row],[PID]],Table3[[#All],[PID]],0)))</f>
        <v>R</v>
      </c>
      <c r="I974" s="52" t="str">
        <f>IF($C974="B",INDEX(Batters[[#All],[T]],MATCH(Table5[[#This Row],[PID]],Batters[[#All],[PID]],0)),INDEX(Table3[[#All],[T]],MATCH(Table5[[#This Row],[PID]],Table3[[#All],[PID]],0)))</f>
        <v>R</v>
      </c>
      <c r="J974" s="52" t="str">
        <f>IF($C974="B",INDEX(Batters[[#All],[WE]],MATCH(Table5[[#This Row],[PID]],Batters[[#All],[PID]],0)),INDEX(Table3[[#All],[WE]],MATCH(Table5[[#This Row],[PID]],Table3[[#All],[PID]],0)))</f>
        <v>Low</v>
      </c>
      <c r="K974" s="52" t="str">
        <f>IF($C974="B",INDEX(Batters[[#All],[INT]],MATCH(Table5[[#This Row],[PID]],Batters[[#All],[PID]],0)),INDEX(Table3[[#All],[INT]],MATCH(Table5[[#This Row],[PID]],Table3[[#All],[PID]],0)))</f>
        <v>Normal</v>
      </c>
      <c r="L974" s="60">
        <f>IF($C974="B",INDEX(Batters[[#All],[CON P]],MATCH(Table5[[#This Row],[PID]],Batters[[#All],[PID]],0)),INDEX(Table3[[#All],[STU P]],MATCH(Table5[[#This Row],[PID]],Table3[[#All],[PID]],0)))</f>
        <v>3</v>
      </c>
      <c r="M974" s="56">
        <f>IF($C974="B",INDEX(Batters[[#All],[GAP P]],MATCH(Table5[[#This Row],[PID]],Batters[[#All],[PID]],0)),INDEX(Table3[[#All],[MOV P]],MATCH(Table5[[#This Row],[PID]],Table3[[#All],[PID]],0)))</f>
        <v>1</v>
      </c>
      <c r="N974" s="56">
        <f>IF($C974="B",INDEX(Batters[[#All],[POW P]],MATCH(Table5[[#This Row],[PID]],Batters[[#All],[PID]],0)),INDEX(Table3[[#All],[CON P]],MATCH(Table5[[#This Row],[PID]],Table3[[#All],[PID]],0)))</f>
        <v>3</v>
      </c>
      <c r="O974" s="56" t="str">
        <f>IF($C974="B",INDEX(Batters[[#All],[EYE P]],MATCH(Table5[[#This Row],[PID]],Batters[[#All],[PID]],0)),INDEX(Table3[[#All],[VELO]],MATCH(Table5[[#This Row],[PID]],Table3[[#All],[PID]],0)))</f>
        <v>85-87 Mph</v>
      </c>
      <c r="P974" s="56">
        <f>IF($C974="B",INDEX(Batters[[#All],[K P]],MATCH(Table5[[#This Row],[PID]],Batters[[#All],[PID]],0)),INDEX(Table3[[#All],[STM]],MATCH(Table5[[#This Row],[PID]],Table3[[#All],[PID]],0)))</f>
        <v>10</v>
      </c>
      <c r="Q974" s="61">
        <f>IF($C974="B",INDEX(Batters[[#All],[Tot]],MATCH(Table5[[#This Row],[PID]],Batters[[#All],[PID]],0)),INDEX(Table3[[#All],[Tot]],MATCH(Table5[[#This Row],[PID]],Table3[[#All],[PID]],0)))</f>
        <v>27.154369578810943</v>
      </c>
      <c r="R974" s="52">
        <f>IF($C974="B",INDEX(Batters[[#All],[zScore]],MATCH(Table5[[#This Row],[PID]],Batters[[#All],[PID]],0)),INDEX(Table3[[#All],[zScore]],MATCH(Table5[[#This Row],[PID]],Table3[[#All],[PID]],0)))</f>
        <v>-0.57987257032679507</v>
      </c>
      <c r="S974" s="58" t="str">
        <f>IF($C974="B",INDEX(Batters[[#All],[DEM]],MATCH(Table5[[#This Row],[PID]],Batters[[#All],[PID]],0)),INDEX(Table3[[#All],[DEM]],MATCH(Table5[[#This Row],[PID]],Table3[[#All],[PID]],0)))</f>
        <v>$85k</v>
      </c>
      <c r="T974" s="62">
        <f>IF($C974="B",INDEX(Batters[[#All],[Rnk]],MATCH(Table5[[#This Row],[PID]],Batters[[#All],[PID]],0)),INDEX(Table3[[#All],[Rnk]],MATCH(Table5[[#This Row],[PID]],Table3[[#All],[PID]],0)))</f>
        <v>548</v>
      </c>
      <c r="U974" s="68">
        <f>IF($C974="B",VLOOKUP($A974,Bat!$A$4:$BA$1621,47,FALSE),VLOOKUP($A974,Pit!$A$4:$BF$1557,56,FALSE))</f>
        <v>0</v>
      </c>
      <c r="V974" s="50">
        <f>IF($C974="B",VLOOKUP($A974,Bat!$A$4:$BA$1621,48,FALSE),VLOOKUP($A974,Pit!$A$4:$BF$1557,57,FALSE))</f>
        <v>0</v>
      </c>
      <c r="W974" s="50">
        <f>Table5[[#This Row],[posRnk]]+Table5[[#This Row],[zRnk]]+IF($W$3&lt;&gt;Table5[[#This Row],[Type]],50,0)</f>
        <v>1501</v>
      </c>
      <c r="X974" s="51">
        <f>RANK(Table5[[#This Row],[zScore]],Table5[[#All],[zScore]])</f>
        <v>903</v>
      </c>
      <c r="Y974" s="50" t="str">
        <f>IFERROR(INDEX(DraftResults[[#All],[OVR]],MATCH(Table5[[#This Row],[PID]],DraftResults[[#All],[Player ID]],0)),"")</f>
        <v/>
      </c>
      <c r="Z9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4" s="50" t="str">
        <f>IFERROR(INDEX(DraftResults[[#All],[Pick in Round]],MATCH(Table5[[#This Row],[PID]],DraftResults[[#All],[Player ID]],0)),"")</f>
        <v/>
      </c>
      <c r="AB974" s="50" t="str">
        <f>IFERROR(INDEX(DraftResults[[#All],[Team Name]],MATCH(Table5[[#This Row],[PID]],DraftResults[[#All],[Player ID]],0)),"")</f>
        <v/>
      </c>
      <c r="AC974" s="50" t="str">
        <f>IF(Table5[[#This Row],[Ovr]]="","",IF(Table5[[#This Row],[cmbList]]="","",Table5[[#This Row],[cmbList]]-Table5[[#This Row],[Ovr]]))</f>
        <v/>
      </c>
      <c r="AD974" s="54" t="str">
        <f>IF(ISERROR(VLOOKUP($AB974&amp;"-"&amp;$E974&amp;" "&amp;F974,Bonuses!$B$1:$G$1006,4,FALSE)),"",INT(VLOOKUP($AB974&amp;"-"&amp;$E974&amp;" "&amp;$F974,Bonuses!$B$1:$G$1006,4,FALSE)))</f>
        <v/>
      </c>
      <c r="AE9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5" spans="1:31" s="50" customFormat="1" x14ac:dyDescent="0.25">
      <c r="A975" s="50">
        <v>20887</v>
      </c>
      <c r="B975" s="50">
        <f>COUNTIF(Table5[PID],A975)</f>
        <v>1</v>
      </c>
      <c r="C975" s="50" t="str">
        <f>IF(COUNTIF(Table3[[#All],[PID]],A975)&gt;0,"P","B")</f>
        <v>B</v>
      </c>
      <c r="D975" s="59" t="str">
        <f>IF($C975="B",INDEX(Batters[[#All],[POS]],MATCH(Table5[[#This Row],[PID]],Batters[[#All],[PID]],0)),INDEX(Table3[[#All],[POS]],MATCH(Table5[[#This Row],[PID]],Table3[[#All],[PID]],0)))</f>
        <v>2B</v>
      </c>
      <c r="E975" s="52" t="str">
        <f>IF($C975="B",INDEX(Batters[[#All],[First]],MATCH(Table5[[#This Row],[PID]],Batters[[#All],[PID]],0)),INDEX(Table3[[#All],[First]],MATCH(Table5[[#This Row],[PID]],Table3[[#All],[PID]],0)))</f>
        <v>Kevin</v>
      </c>
      <c r="F975" s="50" t="str">
        <f>IF($C975="B",INDEX(Batters[[#All],[Last]],MATCH(A975,Batters[[#All],[PID]],0)),INDEX(Table3[[#All],[Last]],MATCH(A975,Table3[[#All],[PID]],0)))</f>
        <v>Harris</v>
      </c>
      <c r="G975" s="56">
        <f>IF($C975="B",INDEX(Batters[[#All],[Age]],MATCH(Table5[[#This Row],[PID]],Batters[[#All],[PID]],0)),INDEX(Table3[[#All],[Age]],MATCH(Table5[[#This Row],[PID]],Table3[[#All],[PID]],0)))</f>
        <v>16</v>
      </c>
      <c r="H975" s="52" t="str">
        <f>IF($C975="B",INDEX(Batters[[#All],[B]],MATCH(Table5[[#This Row],[PID]],Batters[[#All],[PID]],0)),INDEX(Table3[[#All],[B]],MATCH(Table5[[#This Row],[PID]],Table3[[#All],[PID]],0)))</f>
        <v>R</v>
      </c>
      <c r="I975" s="52" t="str">
        <f>IF($C975="B",INDEX(Batters[[#All],[T]],MATCH(Table5[[#This Row],[PID]],Batters[[#All],[PID]],0)),INDEX(Table3[[#All],[T]],MATCH(Table5[[#This Row],[PID]],Table3[[#All],[PID]],0)))</f>
        <v>R</v>
      </c>
      <c r="J975" s="52" t="str">
        <f>IF($C975="B",INDEX(Batters[[#All],[WE]],MATCH(Table5[[#This Row],[PID]],Batters[[#All],[PID]],0)),INDEX(Table3[[#All],[WE]],MATCH(Table5[[#This Row],[PID]],Table3[[#All],[PID]],0)))</f>
        <v>Normal</v>
      </c>
      <c r="K975" s="52" t="str">
        <f>IF($C975="B",INDEX(Batters[[#All],[INT]],MATCH(Table5[[#This Row],[PID]],Batters[[#All],[PID]],0)),INDEX(Table3[[#All],[INT]],MATCH(Table5[[#This Row],[PID]],Table3[[#All],[PID]],0)))</f>
        <v>Normal</v>
      </c>
      <c r="L975" s="60">
        <f>IF($C975="B",INDEX(Batters[[#All],[CON P]],MATCH(Table5[[#This Row],[PID]],Batters[[#All],[PID]],0)),INDEX(Table3[[#All],[STU P]],MATCH(Table5[[#This Row],[PID]],Table3[[#All],[PID]],0)))</f>
        <v>2</v>
      </c>
      <c r="M975" s="56">
        <f>IF($C975="B",INDEX(Batters[[#All],[GAP P]],MATCH(Table5[[#This Row],[PID]],Batters[[#All],[PID]],0)),INDEX(Table3[[#All],[MOV P]],MATCH(Table5[[#This Row],[PID]],Table3[[#All],[PID]],0)))</f>
        <v>6</v>
      </c>
      <c r="N975" s="56">
        <f>IF($C975="B",INDEX(Batters[[#All],[POW P]],MATCH(Table5[[#This Row],[PID]],Batters[[#All],[PID]],0)),INDEX(Table3[[#All],[CON P]],MATCH(Table5[[#This Row],[PID]],Table3[[#All],[PID]],0)))</f>
        <v>6</v>
      </c>
      <c r="O975" s="56">
        <f>IF($C975="B",INDEX(Batters[[#All],[EYE P]],MATCH(Table5[[#This Row],[PID]],Batters[[#All],[PID]],0)),INDEX(Table3[[#All],[VELO]],MATCH(Table5[[#This Row],[PID]],Table3[[#All],[PID]],0)))</f>
        <v>5</v>
      </c>
      <c r="P975" s="56">
        <f>IF($C975="B",INDEX(Batters[[#All],[K P]],MATCH(Table5[[#This Row],[PID]],Batters[[#All],[PID]],0)),INDEX(Table3[[#All],[STM]],MATCH(Table5[[#This Row],[PID]],Table3[[#All],[PID]],0)))</f>
        <v>2</v>
      </c>
      <c r="Q975" s="61">
        <f>IF($C975="B",INDEX(Batters[[#All],[Tot]],MATCH(Table5[[#This Row],[PID]],Batters[[#All],[PID]],0)),INDEX(Table3[[#All],[Tot]],MATCH(Table5[[#This Row],[PID]],Table3[[#All],[PID]],0)))</f>
        <v>41.514341640107276</v>
      </c>
      <c r="R975" s="52">
        <f>IF($C975="B",INDEX(Batters[[#All],[zScore]],MATCH(Table5[[#This Row],[PID]],Batters[[#All],[PID]],0)),INDEX(Table3[[#All],[zScore]],MATCH(Table5[[#This Row],[PID]],Table3[[#All],[PID]],0)))</f>
        <v>-0.58033918799541739</v>
      </c>
      <c r="S975" s="58" t="str">
        <f>IF($C975="B",INDEX(Batters[[#All],[DEM]],MATCH(Table5[[#This Row],[PID]],Batters[[#All],[PID]],0)),INDEX(Table3[[#All],[DEM]],MATCH(Table5[[#This Row],[PID]],Table3[[#All],[PID]],0)))</f>
        <v>$65k</v>
      </c>
      <c r="T975" s="62">
        <f>IF($C975="B",INDEX(Batters[[#All],[Rnk]],MATCH(Table5[[#This Row],[PID]],Batters[[#All],[PID]],0)),INDEX(Table3[[#All],[Rnk]],MATCH(Table5[[#This Row],[PID]],Table3[[#All],[PID]],0)))</f>
        <v>355</v>
      </c>
      <c r="U975" s="68">
        <f>IF($C975="B",VLOOKUP($A975,Bat!$A$4:$BA$1621,47,FALSE),VLOOKUP($A975,Pit!$A$4:$BF$1557,56,FALSE))</f>
        <v>0</v>
      </c>
      <c r="V975" s="50">
        <f>IF($C975="B",VLOOKUP($A975,Bat!$A$4:$BA$1621,48,FALSE),VLOOKUP($A975,Pit!$A$4:$BF$1557,57,FALSE))</f>
        <v>0</v>
      </c>
      <c r="W975" s="50">
        <f>Table5[[#This Row],[posRnk]]+Table5[[#This Row],[zRnk]]+IF($W$3&lt;&gt;Table5[[#This Row],[Type]],50,0)</f>
        <v>1309</v>
      </c>
      <c r="X975" s="51">
        <f>RANK(Table5[[#This Row],[zScore]],Table5[[#All],[zScore]])</f>
        <v>904</v>
      </c>
      <c r="Y975" s="50" t="str">
        <f>IFERROR(INDEX(DraftResults[[#All],[OVR]],MATCH(Table5[[#This Row],[PID]],DraftResults[[#All],[Player ID]],0)),"")</f>
        <v/>
      </c>
      <c r="Z9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5" s="50" t="str">
        <f>IFERROR(INDEX(DraftResults[[#All],[Pick in Round]],MATCH(Table5[[#This Row],[PID]],DraftResults[[#All],[Player ID]],0)),"")</f>
        <v/>
      </c>
      <c r="AB975" s="50" t="str">
        <f>IFERROR(INDEX(DraftResults[[#All],[Team Name]],MATCH(Table5[[#This Row],[PID]],DraftResults[[#All],[Player ID]],0)),"")</f>
        <v/>
      </c>
      <c r="AC975" s="50" t="str">
        <f>IF(Table5[[#This Row],[Ovr]]="","",IF(Table5[[#This Row],[cmbList]]="","",Table5[[#This Row],[cmbList]]-Table5[[#This Row],[Ovr]]))</f>
        <v/>
      </c>
      <c r="AD975" s="54" t="str">
        <f>IF(ISERROR(VLOOKUP($AB975&amp;"-"&amp;$E975&amp;" "&amp;F975,Bonuses!$B$1:$G$1006,4,FALSE)),"",INT(VLOOKUP($AB975&amp;"-"&amp;$E975&amp;" "&amp;$F975,Bonuses!$B$1:$G$1006,4,FALSE)))</f>
        <v/>
      </c>
      <c r="AE9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6" spans="1:31" s="50" customFormat="1" x14ac:dyDescent="0.25">
      <c r="A976" s="50">
        <v>18377</v>
      </c>
      <c r="B976" s="50">
        <f>COUNTIF(Table5[PID],A976)</f>
        <v>1</v>
      </c>
      <c r="C976" s="50" t="str">
        <f>IF(COUNTIF(Table3[[#All],[PID]],A976)&gt;0,"P","B")</f>
        <v>B</v>
      </c>
      <c r="D976" s="59" t="str">
        <f>IF($C976="B",INDEX(Batters[[#All],[POS]],MATCH(Table5[[#This Row],[PID]],Batters[[#All],[PID]],0)),INDEX(Table3[[#All],[POS]],MATCH(Table5[[#This Row],[PID]],Table3[[#All],[PID]],0)))</f>
        <v>1B</v>
      </c>
      <c r="E976" s="52" t="str">
        <f>IF($C976="B",INDEX(Batters[[#All],[First]],MATCH(Table5[[#This Row],[PID]],Batters[[#All],[PID]],0)),INDEX(Table3[[#All],[First]],MATCH(Table5[[#This Row],[PID]],Table3[[#All],[PID]],0)))</f>
        <v>Izo</v>
      </c>
      <c r="F976" s="50" t="str">
        <f>IF($C976="B",INDEX(Batters[[#All],[Last]],MATCH(A976,Batters[[#All],[PID]],0)),INDEX(Table3[[#All],[Last]],MATCH(A976,Table3[[#All],[PID]],0)))</f>
        <v>Inoue</v>
      </c>
      <c r="G976" s="56">
        <f>IF($C976="B",INDEX(Batters[[#All],[Age]],MATCH(Table5[[#This Row],[PID]],Batters[[#All],[PID]],0)),INDEX(Table3[[#All],[Age]],MATCH(Table5[[#This Row],[PID]],Table3[[#All],[PID]],0)))</f>
        <v>18</v>
      </c>
      <c r="H976" s="52" t="str">
        <f>IF($C976="B",INDEX(Batters[[#All],[B]],MATCH(Table5[[#This Row],[PID]],Batters[[#All],[PID]],0)),INDEX(Table3[[#All],[B]],MATCH(Table5[[#This Row],[PID]],Table3[[#All],[PID]],0)))</f>
        <v>R</v>
      </c>
      <c r="I976" s="52" t="str">
        <f>IF($C976="B",INDEX(Batters[[#All],[T]],MATCH(Table5[[#This Row],[PID]],Batters[[#All],[PID]],0)),INDEX(Table3[[#All],[T]],MATCH(Table5[[#This Row],[PID]],Table3[[#All],[PID]],0)))</f>
        <v>R</v>
      </c>
      <c r="J976" s="52" t="str">
        <f>IF($C976="B",INDEX(Batters[[#All],[WE]],MATCH(Table5[[#This Row],[PID]],Batters[[#All],[PID]],0)),INDEX(Table3[[#All],[WE]],MATCH(Table5[[#This Row],[PID]],Table3[[#All],[PID]],0)))</f>
        <v>Normal</v>
      </c>
      <c r="K976" s="52" t="str">
        <f>IF($C976="B",INDEX(Batters[[#All],[INT]],MATCH(Table5[[#This Row],[PID]],Batters[[#All],[PID]],0)),INDEX(Table3[[#All],[INT]],MATCH(Table5[[#This Row],[PID]],Table3[[#All],[PID]],0)))</f>
        <v>Normal</v>
      </c>
      <c r="L976" s="60">
        <f>IF($C976="B",INDEX(Batters[[#All],[CON P]],MATCH(Table5[[#This Row],[PID]],Batters[[#All],[PID]],0)),INDEX(Table3[[#All],[STU P]],MATCH(Table5[[#This Row],[PID]],Table3[[#All],[PID]],0)))</f>
        <v>3</v>
      </c>
      <c r="M976" s="56">
        <f>IF($C976="B",INDEX(Batters[[#All],[GAP P]],MATCH(Table5[[#This Row],[PID]],Batters[[#All],[PID]],0)),INDEX(Table3[[#All],[MOV P]],MATCH(Table5[[#This Row],[PID]],Table3[[#All],[PID]],0)))</f>
        <v>3</v>
      </c>
      <c r="N976" s="56">
        <f>IF($C976="B",INDEX(Batters[[#All],[POW P]],MATCH(Table5[[#This Row],[PID]],Batters[[#All],[PID]],0)),INDEX(Table3[[#All],[CON P]],MATCH(Table5[[#This Row],[PID]],Table3[[#All],[PID]],0)))</f>
        <v>3</v>
      </c>
      <c r="O976" s="56">
        <f>IF($C976="B",INDEX(Batters[[#All],[EYE P]],MATCH(Table5[[#This Row],[PID]],Batters[[#All],[PID]],0)),INDEX(Table3[[#All],[VELO]],MATCH(Table5[[#This Row],[PID]],Table3[[#All],[PID]],0)))</f>
        <v>5</v>
      </c>
      <c r="P976" s="56">
        <f>IF($C976="B",INDEX(Batters[[#All],[K P]],MATCH(Table5[[#This Row],[PID]],Batters[[#All],[PID]],0)),INDEX(Table3[[#All],[STM]],MATCH(Table5[[#This Row],[PID]],Table3[[#All],[PID]],0)))</f>
        <v>4</v>
      </c>
      <c r="Q976" s="61">
        <f>IF($C976="B",INDEX(Batters[[#All],[Tot]],MATCH(Table5[[#This Row],[PID]],Batters[[#All],[PID]],0)),INDEX(Table3[[#All],[Tot]],MATCH(Table5[[#This Row],[PID]],Table3[[#All],[PID]],0)))</f>
        <v>41.508728229613205</v>
      </c>
      <c r="R976" s="52">
        <f>IF($C976="B",INDEX(Batters[[#All],[zScore]],MATCH(Table5[[#This Row],[PID]],Batters[[#All],[PID]],0)),INDEX(Table3[[#All],[zScore]],MATCH(Table5[[#This Row],[PID]],Table3[[#All],[PID]],0)))</f>
        <v>-0.58158371904508643</v>
      </c>
      <c r="S976" s="58" t="str">
        <f>IF($C976="B",INDEX(Batters[[#All],[DEM]],MATCH(Table5[[#This Row],[PID]],Batters[[#All],[PID]],0)),INDEX(Table3[[#All],[DEM]],MATCH(Table5[[#This Row],[PID]],Table3[[#All],[PID]],0)))</f>
        <v>$70k</v>
      </c>
      <c r="T976" s="62">
        <f>IF($C976="B",INDEX(Batters[[#All],[Rnk]],MATCH(Table5[[#This Row],[PID]],Batters[[#All],[PID]],0)),INDEX(Table3[[#All],[Rnk]],MATCH(Table5[[#This Row],[PID]],Table3[[#All],[PID]],0)))</f>
        <v>356</v>
      </c>
      <c r="U976" s="68">
        <f>IF($C976="B",VLOOKUP($A976,Bat!$A$4:$BA$1621,47,FALSE),VLOOKUP($A976,Pit!$A$4:$BF$1557,56,FALSE))</f>
        <v>0</v>
      </c>
      <c r="V976" s="50">
        <f>IF($C976="B",VLOOKUP($A976,Bat!$A$4:$BA$1621,48,FALSE),VLOOKUP($A976,Pit!$A$4:$BF$1557,57,FALSE))</f>
        <v>0</v>
      </c>
      <c r="W976" s="50">
        <f>Table5[[#This Row],[posRnk]]+Table5[[#This Row],[zRnk]]+IF($W$3&lt;&gt;Table5[[#This Row],[Type]],50,0)</f>
        <v>1311</v>
      </c>
      <c r="X976" s="51">
        <f>RANK(Table5[[#This Row],[zScore]],Table5[[#All],[zScore]])</f>
        <v>905</v>
      </c>
      <c r="Y976" s="50" t="str">
        <f>IFERROR(INDEX(DraftResults[[#All],[OVR]],MATCH(Table5[[#This Row],[PID]],DraftResults[[#All],[Player ID]],0)),"")</f>
        <v/>
      </c>
      <c r="Z9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6" s="50" t="str">
        <f>IFERROR(INDEX(DraftResults[[#All],[Pick in Round]],MATCH(Table5[[#This Row],[PID]],DraftResults[[#All],[Player ID]],0)),"")</f>
        <v/>
      </c>
      <c r="AB976" s="50" t="str">
        <f>IFERROR(INDEX(DraftResults[[#All],[Team Name]],MATCH(Table5[[#This Row],[PID]],DraftResults[[#All],[Player ID]],0)),"")</f>
        <v/>
      </c>
      <c r="AC976" s="50" t="str">
        <f>IF(Table5[[#This Row],[Ovr]]="","",IF(Table5[[#This Row],[cmbList]]="","",Table5[[#This Row],[cmbList]]-Table5[[#This Row],[Ovr]]))</f>
        <v/>
      </c>
      <c r="AD976" s="54" t="str">
        <f>IF(ISERROR(VLOOKUP($AB976&amp;"-"&amp;$E976&amp;" "&amp;F976,Bonuses!$B$1:$G$1006,4,FALSE)),"",INT(VLOOKUP($AB976&amp;"-"&amp;$E976&amp;" "&amp;$F976,Bonuses!$B$1:$G$1006,4,FALSE)))</f>
        <v/>
      </c>
      <c r="AE9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7" spans="1:31" s="50" customFormat="1" x14ac:dyDescent="0.25">
      <c r="A977" s="68">
        <v>20685</v>
      </c>
      <c r="B977" s="69">
        <f>COUNTIF(Table5[PID],A977)</f>
        <v>1</v>
      </c>
      <c r="C977" s="69" t="str">
        <f>IF(COUNTIF(Table3[[#All],[PID]],A977)&gt;0,"P","B")</f>
        <v>P</v>
      </c>
      <c r="D977" s="59" t="str">
        <f>IF($C977="B",INDEX(Batters[[#All],[POS]],MATCH(Table5[[#This Row],[PID]],Batters[[#All],[PID]],0)),INDEX(Table3[[#All],[POS]],MATCH(Table5[[#This Row],[PID]],Table3[[#All],[PID]],0)))</f>
        <v>SP</v>
      </c>
      <c r="E977" s="52" t="str">
        <f>IF($C977="B",INDEX(Batters[[#All],[First]],MATCH(Table5[[#This Row],[PID]],Batters[[#All],[PID]],0)),INDEX(Table3[[#All],[First]],MATCH(Table5[[#This Row],[PID]],Table3[[#All],[PID]],0)))</f>
        <v>Cheng-en</v>
      </c>
      <c r="F977" s="55" t="str">
        <f>IF($C977="B",INDEX(Batters[[#All],[Last]],MATCH(A977,Batters[[#All],[PID]],0)),INDEX(Table3[[#All],[Last]],MATCH(A977,Table3[[#All],[PID]],0)))</f>
        <v>Xiao</v>
      </c>
      <c r="G977" s="56">
        <f>IF($C977="B",INDEX(Batters[[#All],[Age]],MATCH(Table5[[#This Row],[PID]],Batters[[#All],[PID]],0)),INDEX(Table3[[#All],[Age]],MATCH(Table5[[#This Row],[PID]],Table3[[#All],[PID]],0)))</f>
        <v>19</v>
      </c>
      <c r="H977" s="52" t="str">
        <f>IF($C977="B",INDEX(Batters[[#All],[B]],MATCH(Table5[[#This Row],[PID]],Batters[[#All],[PID]],0)),INDEX(Table3[[#All],[B]],MATCH(Table5[[#This Row],[PID]],Table3[[#All],[PID]],0)))</f>
        <v>R</v>
      </c>
      <c r="I977" s="52" t="str">
        <f>IF($C977="B",INDEX(Batters[[#All],[T]],MATCH(Table5[[#This Row],[PID]],Batters[[#All],[PID]],0)),INDEX(Table3[[#All],[T]],MATCH(Table5[[#This Row],[PID]],Table3[[#All],[PID]],0)))</f>
        <v>R</v>
      </c>
      <c r="J977" s="71" t="str">
        <f>IF($C977="B",INDEX(Batters[[#All],[WE]],MATCH(Table5[[#This Row],[PID]],Batters[[#All],[PID]],0)),INDEX(Table3[[#All],[WE]],MATCH(Table5[[#This Row],[PID]],Table3[[#All],[PID]],0)))</f>
        <v>Low</v>
      </c>
      <c r="K977" s="52" t="str">
        <f>IF($C977="B",INDEX(Batters[[#All],[INT]],MATCH(Table5[[#This Row],[PID]],Batters[[#All],[PID]],0)),INDEX(Table3[[#All],[INT]],MATCH(Table5[[#This Row],[PID]],Table3[[#All],[PID]],0)))</f>
        <v>Normal</v>
      </c>
      <c r="L977" s="60">
        <f>IF($C977="B",INDEX(Batters[[#All],[CON P]],MATCH(Table5[[#This Row],[PID]],Batters[[#All],[PID]],0)),INDEX(Table3[[#All],[STU P]],MATCH(Table5[[#This Row],[PID]],Table3[[#All],[PID]],0)))</f>
        <v>5</v>
      </c>
      <c r="M977" s="72">
        <f>IF($C977="B",INDEX(Batters[[#All],[GAP P]],MATCH(Table5[[#This Row],[PID]],Batters[[#All],[PID]],0)),INDEX(Table3[[#All],[MOV P]],MATCH(Table5[[#This Row],[PID]],Table3[[#All],[PID]],0)))</f>
        <v>1</v>
      </c>
      <c r="N977" s="72">
        <f>IF($C977="B",INDEX(Batters[[#All],[POW P]],MATCH(Table5[[#This Row],[PID]],Batters[[#All],[PID]],0)),INDEX(Table3[[#All],[CON P]],MATCH(Table5[[#This Row],[PID]],Table3[[#All],[PID]],0)))</f>
        <v>3</v>
      </c>
      <c r="O977" s="72" t="str">
        <f>IF($C977="B",INDEX(Batters[[#All],[EYE P]],MATCH(Table5[[#This Row],[PID]],Batters[[#All],[PID]],0)),INDEX(Table3[[#All],[VELO]],MATCH(Table5[[#This Row],[PID]],Table3[[#All],[PID]],0)))</f>
        <v>91-93 Mph</v>
      </c>
      <c r="P977" s="56">
        <f>IF($C977="B",INDEX(Batters[[#All],[K P]],MATCH(Table5[[#This Row],[PID]],Batters[[#All],[PID]],0)),INDEX(Table3[[#All],[STM]],MATCH(Table5[[#This Row],[PID]],Table3[[#All],[PID]],0)))</f>
        <v>4</v>
      </c>
      <c r="Q977" s="61">
        <f>IF($C977="B",INDEX(Batters[[#All],[Tot]],MATCH(Table5[[#This Row],[PID]],Batters[[#All],[PID]],0)),INDEX(Table3[[#All],[Tot]],MATCH(Table5[[#This Row],[PID]],Table3[[#All],[PID]],0)))</f>
        <v>28.689631261816274</v>
      </c>
      <c r="R977" s="52">
        <f>IF($C977="B",INDEX(Batters[[#All],[zScore]],MATCH(Table5[[#This Row],[PID]],Batters[[#All],[PID]],0)),INDEX(Table3[[#All],[zScore]],MATCH(Table5[[#This Row],[PID]],Table3[[#All],[PID]],0)))</f>
        <v>-0.58540118578808475</v>
      </c>
      <c r="S977" s="78" t="str">
        <f>IF($C977="B",INDEX(Batters[[#All],[DEM]],MATCH(Table5[[#This Row],[PID]],Batters[[#All],[PID]],0)),INDEX(Table3[[#All],[DEM]],MATCH(Table5[[#This Row],[PID]],Table3[[#All],[PID]],0)))</f>
        <v>$65k</v>
      </c>
      <c r="T977" s="75">
        <f>IF($C977="B",INDEX(Batters[[#All],[Rnk]],MATCH(Table5[[#This Row],[PID]],Batters[[#All],[PID]],0)),INDEX(Table3[[#All],[Rnk]],MATCH(Table5[[#This Row],[PID]],Table3[[#All],[PID]],0)))</f>
        <v>549</v>
      </c>
      <c r="U977" s="68">
        <f>IF($C977="B",VLOOKUP($A977,Bat!$A$4:$BA$1621,47,FALSE),VLOOKUP($A977,Pit!$A$4:$BF$1557,56,FALSE))</f>
        <v>0</v>
      </c>
      <c r="V977" s="50">
        <f>IF($C977="B",VLOOKUP($A977,Bat!$A$4:$BA$1621,48,FALSE),VLOOKUP($A977,Pit!$A$4:$BF$1557,57,FALSE))</f>
        <v>0</v>
      </c>
      <c r="W977" s="69">
        <f>Table5[[#This Row],[posRnk]]+Table5[[#This Row],[zRnk]]+IF($W$3&lt;&gt;Table5[[#This Row],[Type]],50,0)</f>
        <v>1505</v>
      </c>
      <c r="X977" s="73">
        <f>RANK(Table5[[#This Row],[zScore]],Table5[[#All],[zScore]])</f>
        <v>906</v>
      </c>
      <c r="Y977" s="69" t="str">
        <f>IFERROR(INDEX(DraftResults[[#All],[OVR]],MATCH(Table5[[#This Row],[PID]],DraftResults[[#All],[Player ID]],0)),"")</f>
        <v/>
      </c>
      <c r="Z97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7" s="69" t="str">
        <f>IFERROR(INDEX(DraftResults[[#All],[Pick in Round]],MATCH(Table5[[#This Row],[PID]],DraftResults[[#All],[Player ID]],0)),"")</f>
        <v/>
      </c>
      <c r="AB977" s="69" t="str">
        <f>IFERROR(INDEX(DraftResults[[#All],[Team Name]],MATCH(Table5[[#This Row],[PID]],DraftResults[[#All],[Player ID]],0)),"")</f>
        <v/>
      </c>
      <c r="AC977" s="69" t="str">
        <f>IF(Table5[[#This Row],[Ovr]]="","",IF(Table5[[#This Row],[cmbList]]="","",Table5[[#This Row],[cmbList]]-Table5[[#This Row],[Ovr]]))</f>
        <v/>
      </c>
      <c r="AD977" s="77" t="str">
        <f>IF(ISERROR(VLOOKUP($AB977&amp;"-"&amp;$E977&amp;" "&amp;F977,Bonuses!$B$1:$G$1006,4,FALSE)),"",INT(VLOOKUP($AB977&amp;"-"&amp;$E977&amp;" "&amp;$F977,Bonuses!$B$1:$G$1006,4,FALSE)))</f>
        <v/>
      </c>
      <c r="AE97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8" spans="1:31" s="50" customFormat="1" x14ac:dyDescent="0.25">
      <c r="A978" s="50">
        <v>17939</v>
      </c>
      <c r="B978" s="50">
        <f>COUNTIF(Table5[PID],A978)</f>
        <v>1</v>
      </c>
      <c r="C978" s="50" t="str">
        <f>IF(COUNTIF(Table3[[#All],[PID]],A978)&gt;0,"P","B")</f>
        <v>P</v>
      </c>
      <c r="D978" s="59" t="str">
        <f>IF($C978="B",INDEX(Batters[[#All],[POS]],MATCH(Table5[[#This Row],[PID]],Batters[[#All],[PID]],0)),INDEX(Table3[[#All],[POS]],MATCH(Table5[[#This Row],[PID]],Table3[[#All],[PID]],0)))</f>
        <v>RP</v>
      </c>
      <c r="E978" s="52" t="str">
        <f>IF($C978="B",INDEX(Batters[[#All],[First]],MATCH(Table5[[#This Row],[PID]],Batters[[#All],[PID]],0)),INDEX(Table3[[#All],[First]],MATCH(Table5[[#This Row],[PID]],Table3[[#All],[PID]],0)))</f>
        <v>Sang-kuk</v>
      </c>
      <c r="F978" s="50" t="str">
        <f>IF($C978="B",INDEX(Batters[[#All],[Last]],MATCH(A978,Batters[[#All],[PID]],0)),INDEX(Table3[[#All],[Last]],MATCH(A978,Table3[[#All],[PID]],0)))</f>
        <v>Yi</v>
      </c>
      <c r="G978" s="56">
        <f>IF($C978="B",INDEX(Batters[[#All],[Age]],MATCH(Table5[[#This Row],[PID]],Batters[[#All],[PID]],0)),INDEX(Table3[[#All],[Age]],MATCH(Table5[[#This Row],[PID]],Table3[[#All],[PID]],0)))</f>
        <v>18</v>
      </c>
      <c r="H978" s="52" t="str">
        <f>IF($C978="B",INDEX(Batters[[#All],[B]],MATCH(Table5[[#This Row],[PID]],Batters[[#All],[PID]],0)),INDEX(Table3[[#All],[B]],MATCH(Table5[[#This Row],[PID]],Table3[[#All],[PID]],0)))</f>
        <v>L</v>
      </c>
      <c r="I978" s="52" t="str">
        <f>IF($C978="B",INDEX(Batters[[#All],[T]],MATCH(Table5[[#This Row],[PID]],Batters[[#All],[PID]],0)),INDEX(Table3[[#All],[T]],MATCH(Table5[[#This Row],[PID]],Table3[[#All],[PID]],0)))</f>
        <v>L</v>
      </c>
      <c r="J978" s="52" t="str">
        <f>IF($C978="B",INDEX(Batters[[#All],[WE]],MATCH(Table5[[#This Row],[PID]],Batters[[#All],[PID]],0)),INDEX(Table3[[#All],[WE]],MATCH(Table5[[#This Row],[PID]],Table3[[#All],[PID]],0)))</f>
        <v>Normal</v>
      </c>
      <c r="K978" s="52" t="str">
        <f>IF($C978="B",INDEX(Batters[[#All],[INT]],MATCH(Table5[[#This Row],[PID]],Batters[[#All],[PID]],0)),INDEX(Table3[[#All],[INT]],MATCH(Table5[[#This Row],[PID]],Table3[[#All],[PID]],0)))</f>
        <v>Normal</v>
      </c>
      <c r="L978" s="60">
        <f>IF($C978="B",INDEX(Batters[[#All],[CON P]],MATCH(Table5[[#This Row],[PID]],Batters[[#All],[PID]],0)),INDEX(Table3[[#All],[STU P]],MATCH(Table5[[#This Row],[PID]],Table3[[#All],[PID]],0)))</f>
        <v>3</v>
      </c>
      <c r="M978" s="56">
        <f>IF($C978="B",INDEX(Batters[[#All],[GAP P]],MATCH(Table5[[#This Row],[PID]],Batters[[#All],[PID]],0)),INDEX(Table3[[#All],[MOV P]],MATCH(Table5[[#This Row],[PID]],Table3[[#All],[PID]],0)))</f>
        <v>1</v>
      </c>
      <c r="N978" s="56">
        <f>IF($C978="B",INDEX(Batters[[#All],[POW P]],MATCH(Table5[[#This Row],[PID]],Batters[[#All],[PID]],0)),INDEX(Table3[[#All],[CON P]],MATCH(Table5[[#This Row],[PID]],Table3[[#All],[PID]],0)))</f>
        <v>3</v>
      </c>
      <c r="O978" s="56" t="str">
        <f>IF($C978="B",INDEX(Batters[[#All],[EYE P]],MATCH(Table5[[#This Row],[PID]],Batters[[#All],[PID]],0)),INDEX(Table3[[#All],[VELO]],MATCH(Table5[[#This Row],[PID]],Table3[[#All],[PID]],0)))</f>
        <v>83-85 Mph</v>
      </c>
      <c r="P978" s="56">
        <f>IF($C978="B",INDEX(Batters[[#All],[K P]],MATCH(Table5[[#This Row],[PID]],Batters[[#All],[PID]],0)),INDEX(Table3[[#All],[STM]],MATCH(Table5[[#This Row],[PID]],Table3[[#All],[PID]],0)))</f>
        <v>4</v>
      </c>
      <c r="Q978" s="61">
        <f>IF($C978="B",INDEX(Batters[[#All],[Tot]],MATCH(Table5[[#This Row],[PID]],Batters[[#All],[PID]],0)),INDEX(Table3[[#All],[Tot]],MATCH(Table5[[#This Row],[PID]],Table3[[#All],[PID]],0)))</f>
        <v>28.685182620929847</v>
      </c>
      <c r="R978" s="52">
        <f>IF($C978="B",INDEX(Batters[[#All],[zScore]],MATCH(Table5[[#This Row],[PID]],Batters[[#All],[PID]],0)),INDEX(Table3[[#All],[zScore]],MATCH(Table5[[#This Row],[PID]],Table3[[#All],[PID]],0)))</f>
        <v>-0.58572310041046816</v>
      </c>
      <c r="S978" s="58" t="str">
        <f>IF($C978="B",INDEX(Batters[[#All],[DEM]],MATCH(Table5[[#This Row],[PID]],Batters[[#All],[PID]],0)),INDEX(Table3[[#All],[DEM]],MATCH(Table5[[#This Row],[PID]],Table3[[#All],[PID]],0)))</f>
        <v>$38k</v>
      </c>
      <c r="T978" s="62">
        <f>IF($C978="B",INDEX(Batters[[#All],[Rnk]],MATCH(Table5[[#This Row],[PID]],Batters[[#All],[PID]],0)),INDEX(Table3[[#All],[Rnk]],MATCH(Table5[[#This Row],[PID]],Table3[[#All],[PID]],0)))</f>
        <v>550</v>
      </c>
      <c r="U978" s="68">
        <f>IF($C978="B",VLOOKUP($A978,Bat!$A$4:$BA$1621,47,FALSE),VLOOKUP($A978,Pit!$A$4:$BF$1557,56,FALSE))</f>
        <v>0</v>
      </c>
      <c r="V978" s="50">
        <f>IF($C978="B",VLOOKUP($A978,Bat!$A$4:$BA$1621,48,FALSE),VLOOKUP($A978,Pit!$A$4:$BF$1557,57,FALSE))</f>
        <v>0</v>
      </c>
      <c r="W978" s="50">
        <f>Table5[[#This Row],[posRnk]]+Table5[[#This Row],[zRnk]]+IF($W$3&lt;&gt;Table5[[#This Row],[Type]],50,0)</f>
        <v>1507</v>
      </c>
      <c r="X978" s="51">
        <f>RANK(Table5[[#This Row],[zScore]],Table5[[#All],[zScore]])</f>
        <v>907</v>
      </c>
      <c r="Y978" s="50" t="str">
        <f>IFERROR(INDEX(DraftResults[[#All],[OVR]],MATCH(Table5[[#This Row],[PID]],DraftResults[[#All],[Player ID]],0)),"")</f>
        <v/>
      </c>
      <c r="Z9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8" s="50" t="str">
        <f>IFERROR(INDEX(DraftResults[[#All],[Pick in Round]],MATCH(Table5[[#This Row],[PID]],DraftResults[[#All],[Player ID]],0)),"")</f>
        <v/>
      </c>
      <c r="AB978" s="50" t="str">
        <f>IFERROR(INDEX(DraftResults[[#All],[Team Name]],MATCH(Table5[[#This Row],[PID]],DraftResults[[#All],[Player ID]],0)),"")</f>
        <v/>
      </c>
      <c r="AC978" s="50" t="str">
        <f>IF(Table5[[#This Row],[Ovr]]="","",IF(Table5[[#This Row],[cmbList]]="","",Table5[[#This Row],[cmbList]]-Table5[[#This Row],[Ovr]]))</f>
        <v/>
      </c>
      <c r="AD978" s="54" t="str">
        <f>IF(ISERROR(VLOOKUP($AB978&amp;"-"&amp;$E978&amp;" "&amp;F978,Bonuses!$B$1:$G$1006,4,FALSE)),"",INT(VLOOKUP($AB978&amp;"-"&amp;$E978&amp;" "&amp;$F978,Bonuses!$B$1:$G$1006,4,FALSE)))</f>
        <v/>
      </c>
      <c r="AE9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79" spans="1:31" s="50" customFormat="1" x14ac:dyDescent="0.25">
      <c r="A979" s="50">
        <v>20656</v>
      </c>
      <c r="B979" s="50">
        <f>COUNTIF(Table5[PID],A979)</f>
        <v>1</v>
      </c>
      <c r="C979" s="50" t="str">
        <f>IF(COUNTIF(Table3[[#All],[PID]],A979)&gt;0,"P","B")</f>
        <v>P</v>
      </c>
      <c r="D979" s="59" t="str">
        <f>IF($C979="B",INDEX(Batters[[#All],[POS]],MATCH(Table5[[#This Row],[PID]],Batters[[#All],[PID]],0)),INDEX(Table3[[#All],[POS]],MATCH(Table5[[#This Row],[PID]],Table3[[#All],[PID]],0)))</f>
        <v>RP</v>
      </c>
      <c r="E979" s="52" t="str">
        <f>IF($C979="B",INDEX(Batters[[#All],[First]],MATCH(Table5[[#This Row],[PID]],Batters[[#All],[PID]],0)),INDEX(Table3[[#All],[First]],MATCH(Table5[[#This Row],[PID]],Table3[[#All],[PID]],0)))</f>
        <v>Sae-wan</v>
      </c>
      <c r="F979" s="50" t="str">
        <f>IF($C979="B",INDEX(Batters[[#All],[Last]],MATCH(A979,Batters[[#All],[PID]],0)),INDEX(Table3[[#All],[Last]],MATCH(A979,Table3[[#All],[PID]],0)))</f>
        <v>T'ak</v>
      </c>
      <c r="G979" s="56">
        <f>IF($C979="B",INDEX(Batters[[#All],[Age]],MATCH(Table5[[#This Row],[PID]],Batters[[#All],[PID]],0)),INDEX(Table3[[#All],[Age]],MATCH(Table5[[#This Row],[PID]],Table3[[#All],[PID]],0)))</f>
        <v>17</v>
      </c>
      <c r="H979" s="52" t="str">
        <f>IF($C979="B",INDEX(Batters[[#All],[B]],MATCH(Table5[[#This Row],[PID]],Batters[[#All],[PID]],0)),INDEX(Table3[[#All],[B]],MATCH(Table5[[#This Row],[PID]],Table3[[#All],[PID]],0)))</f>
        <v>L</v>
      </c>
      <c r="I979" s="52" t="str">
        <f>IF($C979="B",INDEX(Batters[[#All],[T]],MATCH(Table5[[#This Row],[PID]],Batters[[#All],[PID]],0)),INDEX(Table3[[#All],[T]],MATCH(Table5[[#This Row],[PID]],Table3[[#All],[PID]],0)))</f>
        <v>L</v>
      </c>
      <c r="J979" s="52" t="str">
        <f>IF($C979="B",INDEX(Batters[[#All],[WE]],MATCH(Table5[[#This Row],[PID]],Batters[[#All],[PID]],0)),INDEX(Table3[[#All],[WE]],MATCH(Table5[[#This Row],[PID]],Table3[[#All],[PID]],0)))</f>
        <v>Low</v>
      </c>
      <c r="K979" s="52" t="str">
        <f>IF($C979="B",INDEX(Batters[[#All],[INT]],MATCH(Table5[[#This Row],[PID]],Batters[[#All],[PID]],0)),INDEX(Table3[[#All],[INT]],MATCH(Table5[[#This Row],[PID]],Table3[[#All],[PID]],0)))</f>
        <v>Normal</v>
      </c>
      <c r="L979" s="60">
        <f>IF($C979="B",INDEX(Batters[[#All],[CON P]],MATCH(Table5[[#This Row],[PID]],Batters[[#All],[PID]],0)),INDEX(Table3[[#All],[STU P]],MATCH(Table5[[#This Row],[PID]],Table3[[#All],[PID]],0)))</f>
        <v>5</v>
      </c>
      <c r="M979" s="56">
        <f>IF($C979="B",INDEX(Batters[[#All],[GAP P]],MATCH(Table5[[#This Row],[PID]],Batters[[#All],[PID]],0)),INDEX(Table3[[#All],[MOV P]],MATCH(Table5[[#This Row],[PID]],Table3[[#All],[PID]],0)))</f>
        <v>2</v>
      </c>
      <c r="N979" s="56">
        <f>IF($C979="B",INDEX(Batters[[#All],[POW P]],MATCH(Table5[[#This Row],[PID]],Batters[[#All],[PID]],0)),INDEX(Table3[[#All],[CON P]],MATCH(Table5[[#This Row],[PID]],Table3[[#All],[PID]],0)))</f>
        <v>2</v>
      </c>
      <c r="O979" s="56" t="str">
        <f>IF($C979="B",INDEX(Batters[[#All],[EYE P]],MATCH(Table5[[#This Row],[PID]],Batters[[#All],[PID]],0)),INDEX(Table3[[#All],[VELO]],MATCH(Table5[[#This Row],[PID]],Table3[[#All],[PID]],0)))</f>
        <v>86-88 Mph</v>
      </c>
      <c r="P979" s="56">
        <f>IF($C979="B",INDEX(Batters[[#All],[K P]],MATCH(Table5[[#This Row],[PID]],Batters[[#All],[PID]],0)),INDEX(Table3[[#All],[STM]],MATCH(Table5[[#This Row],[PID]],Table3[[#All],[PID]],0)))</f>
        <v>2</v>
      </c>
      <c r="Q979" s="61">
        <f>IF($C979="B",INDEX(Batters[[#All],[Tot]],MATCH(Table5[[#This Row],[PID]],Batters[[#All],[PID]],0)),INDEX(Table3[[#All],[Tot]],MATCH(Table5[[#This Row],[PID]],Table3[[#All],[PID]],0)))</f>
        <v>28.679081387826898</v>
      </c>
      <c r="R979" s="52">
        <f>IF($C979="B",INDEX(Batters[[#All],[zScore]],MATCH(Table5[[#This Row],[PID]],Batters[[#All],[PID]],0)),INDEX(Table3[[#All],[zScore]],MATCH(Table5[[#This Row],[PID]],Table3[[#All],[PID]],0)))</f>
        <v>-0.58616460068000031</v>
      </c>
      <c r="S979" s="58" t="str">
        <f>IF($C979="B",INDEX(Batters[[#All],[DEM]],MATCH(Table5[[#This Row],[PID]],Batters[[#All],[PID]],0)),INDEX(Table3[[#All],[DEM]],MATCH(Table5[[#This Row],[PID]],Table3[[#All],[PID]],0)))</f>
        <v>$38k</v>
      </c>
      <c r="T979" s="62">
        <f>IF($C979="B",INDEX(Batters[[#All],[Rnk]],MATCH(Table5[[#This Row],[PID]],Batters[[#All],[PID]],0)),INDEX(Table3[[#All],[Rnk]],MATCH(Table5[[#This Row],[PID]],Table3[[#All],[PID]],0)))</f>
        <v>551</v>
      </c>
      <c r="U979" s="68">
        <f>IF($C979="B",VLOOKUP($A979,Bat!$A$4:$BA$1621,47,FALSE),VLOOKUP($A979,Pit!$A$4:$BF$1557,56,FALSE))</f>
        <v>0</v>
      </c>
      <c r="V979" s="50">
        <f>IF($C979="B",VLOOKUP($A979,Bat!$A$4:$BA$1621,48,FALSE),VLOOKUP($A979,Pit!$A$4:$BF$1557,57,FALSE))</f>
        <v>0</v>
      </c>
      <c r="W979" s="50">
        <f>Table5[[#This Row],[posRnk]]+Table5[[#This Row],[zRnk]]+IF($W$3&lt;&gt;Table5[[#This Row],[Type]],50,0)</f>
        <v>1509</v>
      </c>
      <c r="X979" s="51">
        <f>RANK(Table5[[#This Row],[zScore]],Table5[[#All],[zScore]])</f>
        <v>908</v>
      </c>
      <c r="Y979" s="50" t="str">
        <f>IFERROR(INDEX(DraftResults[[#All],[OVR]],MATCH(Table5[[#This Row],[PID]],DraftResults[[#All],[Player ID]],0)),"")</f>
        <v/>
      </c>
      <c r="Z9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79" s="50" t="str">
        <f>IFERROR(INDEX(DraftResults[[#All],[Pick in Round]],MATCH(Table5[[#This Row],[PID]],DraftResults[[#All],[Player ID]],0)),"")</f>
        <v/>
      </c>
      <c r="AB979" s="50" t="str">
        <f>IFERROR(INDEX(DraftResults[[#All],[Team Name]],MATCH(Table5[[#This Row],[PID]],DraftResults[[#All],[Player ID]],0)),"")</f>
        <v/>
      </c>
      <c r="AC979" s="50" t="str">
        <f>IF(Table5[[#This Row],[Ovr]]="","",IF(Table5[[#This Row],[cmbList]]="","",Table5[[#This Row],[cmbList]]-Table5[[#This Row],[Ovr]]))</f>
        <v/>
      </c>
      <c r="AD979" s="54" t="str">
        <f>IF(ISERROR(VLOOKUP($AB979&amp;"-"&amp;$E979&amp;" "&amp;F979,Bonuses!$B$1:$G$1006,4,FALSE)),"",INT(VLOOKUP($AB979&amp;"-"&amp;$E979&amp;" "&amp;$F979,Bonuses!$B$1:$G$1006,4,FALSE)))</f>
        <v/>
      </c>
      <c r="AE9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0" spans="1:31" s="50" customFormat="1" x14ac:dyDescent="0.25">
      <c r="A980" s="68">
        <v>9713</v>
      </c>
      <c r="B980" s="69">
        <f>COUNTIF(Table5[PID],A980)</f>
        <v>1</v>
      </c>
      <c r="C980" s="69" t="str">
        <f>IF(COUNTIF(Table3[[#All],[PID]],A980)&gt;0,"P","B")</f>
        <v>P</v>
      </c>
      <c r="D980" s="59" t="str">
        <f>IF($C980="B",INDEX(Batters[[#All],[POS]],MATCH(Table5[[#This Row],[PID]],Batters[[#All],[PID]],0)),INDEX(Table3[[#All],[POS]],MATCH(Table5[[#This Row],[PID]],Table3[[#All],[PID]],0)))</f>
        <v>SP</v>
      </c>
      <c r="E980" s="52" t="str">
        <f>IF($C980="B",INDEX(Batters[[#All],[First]],MATCH(Table5[[#This Row],[PID]],Batters[[#All],[PID]],0)),INDEX(Table3[[#All],[First]],MATCH(Table5[[#This Row],[PID]],Table3[[#All],[PID]],0)))</f>
        <v>Zach</v>
      </c>
      <c r="F980" s="55" t="str">
        <f>IF($C980="B",INDEX(Batters[[#All],[Last]],MATCH(A980,Batters[[#All],[PID]],0)),INDEX(Table3[[#All],[Last]],MATCH(A980,Table3[[#All],[PID]],0)))</f>
        <v>Bell</v>
      </c>
      <c r="G980" s="56">
        <f>IF($C980="B",INDEX(Batters[[#All],[Age]],MATCH(Table5[[#This Row],[PID]],Batters[[#All],[PID]],0)),INDEX(Table3[[#All],[Age]],MATCH(Table5[[#This Row],[PID]],Table3[[#All],[PID]],0)))</f>
        <v>22</v>
      </c>
      <c r="H980" s="52" t="str">
        <f>IF($C980="B",INDEX(Batters[[#All],[B]],MATCH(Table5[[#This Row],[PID]],Batters[[#All],[PID]],0)),INDEX(Table3[[#All],[B]],MATCH(Table5[[#This Row],[PID]],Table3[[#All],[PID]],0)))</f>
        <v>R</v>
      </c>
      <c r="I980" s="52" t="str">
        <f>IF($C980="B",INDEX(Batters[[#All],[T]],MATCH(Table5[[#This Row],[PID]],Batters[[#All],[PID]],0)),INDEX(Table3[[#All],[T]],MATCH(Table5[[#This Row],[PID]],Table3[[#All],[PID]],0)))</f>
        <v>R</v>
      </c>
      <c r="J980" s="71" t="str">
        <f>IF($C980="B",INDEX(Batters[[#All],[WE]],MATCH(Table5[[#This Row],[PID]],Batters[[#All],[PID]],0)),INDEX(Table3[[#All],[WE]],MATCH(Table5[[#This Row],[PID]],Table3[[#All],[PID]],0)))</f>
        <v>Normal</v>
      </c>
      <c r="K980" s="52" t="str">
        <f>IF($C980="B",INDEX(Batters[[#All],[INT]],MATCH(Table5[[#This Row],[PID]],Batters[[#All],[PID]],0)),INDEX(Table3[[#All],[INT]],MATCH(Table5[[#This Row],[PID]],Table3[[#All],[PID]],0)))</f>
        <v>Normal</v>
      </c>
      <c r="L980" s="60">
        <f>IF($C980="B",INDEX(Batters[[#All],[CON P]],MATCH(Table5[[#This Row],[PID]],Batters[[#All],[PID]],0)),INDEX(Table3[[#All],[STU P]],MATCH(Table5[[#This Row],[PID]],Table3[[#All],[PID]],0)))</f>
        <v>4</v>
      </c>
      <c r="M980" s="72">
        <f>IF($C980="B",INDEX(Batters[[#All],[GAP P]],MATCH(Table5[[#This Row],[PID]],Batters[[#All],[PID]],0)),INDEX(Table3[[#All],[MOV P]],MATCH(Table5[[#This Row],[PID]],Table3[[#All],[PID]],0)))</f>
        <v>1</v>
      </c>
      <c r="N980" s="72">
        <f>IF($C980="B",INDEX(Batters[[#All],[POW P]],MATCH(Table5[[#This Row],[PID]],Batters[[#All],[PID]],0)),INDEX(Table3[[#All],[CON P]],MATCH(Table5[[#This Row],[PID]],Table3[[#All],[PID]],0)))</f>
        <v>3</v>
      </c>
      <c r="O980" s="72" t="str">
        <f>IF($C980="B",INDEX(Batters[[#All],[EYE P]],MATCH(Table5[[#This Row],[PID]],Batters[[#All],[PID]],0)),INDEX(Table3[[#All],[VELO]],MATCH(Table5[[#This Row],[PID]],Table3[[#All],[PID]],0)))</f>
        <v>93-95 Mph</v>
      </c>
      <c r="P980" s="56">
        <f>IF($C980="B",INDEX(Batters[[#All],[K P]],MATCH(Table5[[#This Row],[PID]],Batters[[#All],[PID]],0)),INDEX(Table3[[#All],[STM]],MATCH(Table5[[#This Row],[PID]],Table3[[#All],[PID]],0)))</f>
        <v>6</v>
      </c>
      <c r="Q980" s="61">
        <f>IF($C980="B",INDEX(Batters[[#All],[Tot]],MATCH(Table5[[#This Row],[PID]],Batters[[#All],[PID]],0)),INDEX(Table3[[#All],[Tot]],MATCH(Table5[[#This Row],[PID]],Table3[[#All],[PID]],0)))</f>
        <v>27.039241887436791</v>
      </c>
      <c r="R980" s="52">
        <f>IF($C980="B",INDEX(Batters[[#All],[zScore]],MATCH(Table5[[#This Row],[PID]],Batters[[#All],[PID]],0)),INDEX(Table3[[#All],[zScore]],MATCH(Table5[[#This Row],[PID]],Table3[[#All],[PID]],0)))</f>
        <v>-0.58753183970627421</v>
      </c>
      <c r="S980" s="78" t="str">
        <f>IF($C980="B",INDEX(Batters[[#All],[DEM]],MATCH(Table5[[#This Row],[PID]],Batters[[#All],[PID]],0)),INDEX(Table3[[#All],[DEM]],MATCH(Table5[[#This Row],[PID]],Table3[[#All],[PID]],0)))</f>
        <v>-</v>
      </c>
      <c r="T980" s="75">
        <f>IF($C980="B",INDEX(Batters[[#All],[Rnk]],MATCH(Table5[[#This Row],[PID]],Batters[[#All],[PID]],0)),INDEX(Table3[[#All],[Rnk]],MATCH(Table5[[#This Row],[PID]],Table3[[#All],[PID]],0)))</f>
        <v>552</v>
      </c>
      <c r="U980" s="68">
        <f>IF($C980="B",VLOOKUP($A980,Bat!$A$4:$BA$1621,47,FALSE),VLOOKUP($A980,Pit!$A$4:$BF$1557,56,FALSE))</f>
        <v>0</v>
      </c>
      <c r="V980" s="50">
        <f>IF($C980="B",VLOOKUP($A980,Bat!$A$4:$BA$1621,48,FALSE),VLOOKUP($A980,Pit!$A$4:$BF$1557,57,FALSE))</f>
        <v>0</v>
      </c>
      <c r="W980" s="69">
        <f>Table5[[#This Row],[posRnk]]+Table5[[#This Row],[zRnk]]+IF($W$3&lt;&gt;Table5[[#This Row],[Type]],50,0)</f>
        <v>1511</v>
      </c>
      <c r="X980" s="73">
        <f>RANK(Table5[[#This Row],[zScore]],Table5[[#All],[zScore]])</f>
        <v>909</v>
      </c>
      <c r="Y980" s="69" t="str">
        <f>IFERROR(INDEX(DraftResults[[#All],[OVR]],MATCH(Table5[[#This Row],[PID]],DraftResults[[#All],[Player ID]],0)),"")</f>
        <v/>
      </c>
      <c r="Z98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0" s="69" t="str">
        <f>IFERROR(INDEX(DraftResults[[#All],[Pick in Round]],MATCH(Table5[[#This Row],[PID]],DraftResults[[#All],[Player ID]],0)),"")</f>
        <v/>
      </c>
      <c r="AB980" s="69" t="str">
        <f>IFERROR(INDEX(DraftResults[[#All],[Team Name]],MATCH(Table5[[#This Row],[PID]],DraftResults[[#All],[Player ID]],0)),"")</f>
        <v/>
      </c>
      <c r="AC980" s="69" t="str">
        <f>IF(Table5[[#This Row],[Ovr]]="","",IF(Table5[[#This Row],[cmbList]]="","",Table5[[#This Row],[cmbList]]-Table5[[#This Row],[Ovr]]))</f>
        <v/>
      </c>
      <c r="AD980" s="77" t="str">
        <f>IF(ISERROR(VLOOKUP($AB980&amp;"-"&amp;$E980&amp;" "&amp;F980,Bonuses!$B$1:$G$1006,4,FALSE)),"",INT(VLOOKUP($AB980&amp;"-"&amp;$E980&amp;" "&amp;$F980,Bonuses!$B$1:$G$1006,4,FALSE)))</f>
        <v/>
      </c>
      <c r="AE98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1" spans="1:31" s="50" customFormat="1" x14ac:dyDescent="0.25">
      <c r="A981" s="50">
        <v>20807</v>
      </c>
      <c r="B981" s="50">
        <f>COUNTIF(Table5[PID],A981)</f>
        <v>1</v>
      </c>
      <c r="C981" s="50" t="str">
        <f>IF(COUNTIF(Table3[[#All],[PID]],A981)&gt;0,"P","B")</f>
        <v>P</v>
      </c>
      <c r="D981" s="59" t="str">
        <f>IF($C981="B",INDEX(Batters[[#All],[POS]],MATCH(Table5[[#This Row],[PID]],Batters[[#All],[PID]],0)),INDEX(Table3[[#All],[POS]],MATCH(Table5[[#This Row],[PID]],Table3[[#All],[PID]],0)))</f>
        <v>RP</v>
      </c>
      <c r="E981" s="52" t="str">
        <f>IF($C981="B",INDEX(Batters[[#All],[First]],MATCH(Table5[[#This Row],[PID]],Batters[[#All],[PID]],0)),INDEX(Table3[[#All],[First]],MATCH(Table5[[#This Row],[PID]],Table3[[#All],[PID]],0)))</f>
        <v>Eugenio</v>
      </c>
      <c r="F981" s="50" t="str">
        <f>IF($C981="B",INDEX(Batters[[#All],[Last]],MATCH(A981,Batters[[#All],[PID]],0)),INDEX(Table3[[#All],[Last]],MATCH(A981,Table3[[#All],[PID]],0)))</f>
        <v>Rodríguez</v>
      </c>
      <c r="G981" s="56">
        <f>IF($C981="B",INDEX(Batters[[#All],[Age]],MATCH(Table5[[#This Row],[PID]],Batters[[#All],[PID]],0)),INDEX(Table3[[#All],[Age]],MATCH(Table5[[#This Row],[PID]],Table3[[#All],[PID]],0)))</f>
        <v>17</v>
      </c>
      <c r="H981" s="52" t="str">
        <f>IF($C981="B",INDEX(Batters[[#All],[B]],MATCH(Table5[[#This Row],[PID]],Batters[[#All],[PID]],0)),INDEX(Table3[[#All],[B]],MATCH(Table5[[#This Row],[PID]],Table3[[#All],[PID]],0)))</f>
        <v>L</v>
      </c>
      <c r="I981" s="52" t="str">
        <f>IF($C981="B",INDEX(Batters[[#All],[T]],MATCH(Table5[[#This Row],[PID]],Batters[[#All],[PID]],0)),INDEX(Table3[[#All],[T]],MATCH(Table5[[#This Row],[PID]],Table3[[#All],[PID]],0)))</f>
        <v>L</v>
      </c>
      <c r="J981" s="52" t="str">
        <f>IF($C981="B",INDEX(Batters[[#All],[WE]],MATCH(Table5[[#This Row],[PID]],Batters[[#All],[PID]],0)),INDEX(Table3[[#All],[WE]],MATCH(Table5[[#This Row],[PID]],Table3[[#All],[PID]],0)))</f>
        <v>Low</v>
      </c>
      <c r="K981" s="52" t="str">
        <f>IF($C981="B",INDEX(Batters[[#All],[INT]],MATCH(Table5[[#This Row],[PID]],Batters[[#All],[PID]],0)),INDEX(Table3[[#All],[INT]],MATCH(Table5[[#This Row],[PID]],Table3[[#All],[PID]],0)))</f>
        <v>High</v>
      </c>
      <c r="L981" s="60">
        <f>IF($C981="B",INDEX(Batters[[#All],[CON P]],MATCH(Table5[[#This Row],[PID]],Batters[[#All],[PID]],0)),INDEX(Table3[[#All],[STU P]],MATCH(Table5[[#This Row],[PID]],Table3[[#All],[PID]],0)))</f>
        <v>4</v>
      </c>
      <c r="M981" s="56">
        <f>IF($C981="B",INDEX(Batters[[#All],[GAP P]],MATCH(Table5[[#This Row],[PID]],Batters[[#All],[PID]],0)),INDEX(Table3[[#All],[MOV P]],MATCH(Table5[[#This Row],[PID]],Table3[[#All],[PID]],0)))</f>
        <v>2</v>
      </c>
      <c r="N981" s="56">
        <f>IF($C981="B",INDEX(Batters[[#All],[POW P]],MATCH(Table5[[#This Row],[PID]],Batters[[#All],[PID]],0)),INDEX(Table3[[#All],[CON P]],MATCH(Table5[[#This Row],[PID]],Table3[[#All],[PID]],0)))</f>
        <v>2</v>
      </c>
      <c r="O981" s="56" t="str">
        <f>IF($C981="B",INDEX(Batters[[#All],[EYE P]],MATCH(Table5[[#This Row],[PID]],Batters[[#All],[PID]],0)),INDEX(Table3[[#All],[VELO]],MATCH(Table5[[#This Row],[PID]],Table3[[#All],[PID]],0)))</f>
        <v>87-89 Mph</v>
      </c>
      <c r="P981" s="56">
        <f>IF($C981="B",INDEX(Batters[[#All],[K P]],MATCH(Table5[[#This Row],[PID]],Batters[[#All],[PID]],0)),INDEX(Table3[[#All],[STM]],MATCH(Table5[[#This Row],[PID]],Table3[[#All],[PID]],0)))</f>
        <v>4</v>
      </c>
      <c r="Q981" s="61">
        <f>IF($C981="B",INDEX(Batters[[#All],[Tot]],MATCH(Table5[[#This Row],[PID]],Batters[[#All],[PID]],0)),INDEX(Table3[[#All],[Tot]],MATCH(Table5[[#This Row],[PID]],Table3[[#All],[PID]],0)))</f>
        <v>29.199239979406649</v>
      </c>
      <c r="R981" s="52">
        <f>IF($C981="B",INDEX(Batters[[#All],[zScore]],MATCH(Table5[[#This Row],[PID]],Batters[[#All],[PID]],0)),INDEX(Table3[[#All],[zScore]],MATCH(Table5[[#This Row],[PID]],Table3[[#All],[PID]],0)))</f>
        <v>-0.58940820519085202</v>
      </c>
      <c r="S981" s="58" t="str">
        <f>IF($C981="B",INDEX(Batters[[#All],[DEM]],MATCH(Table5[[#This Row],[PID]],Batters[[#All],[PID]],0)),INDEX(Table3[[#All],[DEM]],MATCH(Table5[[#This Row],[PID]],Table3[[#All],[PID]],0)))</f>
        <v>$80k</v>
      </c>
      <c r="T981" s="62">
        <f>IF($C981="B",INDEX(Batters[[#All],[Rnk]],MATCH(Table5[[#This Row],[PID]],Batters[[#All],[PID]],0)),INDEX(Table3[[#All],[Rnk]],MATCH(Table5[[#This Row],[PID]],Table3[[#All],[PID]],0)))</f>
        <v>553</v>
      </c>
      <c r="U981" s="68">
        <f>IF($C981="B",VLOOKUP($A981,Bat!$A$4:$BA$1621,47,FALSE),VLOOKUP($A981,Pit!$A$4:$BF$1557,56,FALSE))</f>
        <v>0</v>
      </c>
      <c r="V981" s="50">
        <f>IF($C981="B",VLOOKUP($A981,Bat!$A$4:$BA$1621,48,FALSE),VLOOKUP($A981,Pit!$A$4:$BF$1557,57,FALSE))</f>
        <v>0</v>
      </c>
      <c r="W981" s="50">
        <f>Table5[[#This Row],[posRnk]]+Table5[[#This Row],[zRnk]]+IF($W$3&lt;&gt;Table5[[#This Row],[Type]],50,0)</f>
        <v>1513</v>
      </c>
      <c r="X981" s="51">
        <f>RANK(Table5[[#This Row],[zScore]],Table5[[#All],[zScore]])</f>
        <v>910</v>
      </c>
      <c r="Y981" s="50" t="str">
        <f>IFERROR(INDEX(DraftResults[[#All],[OVR]],MATCH(Table5[[#This Row],[PID]],DraftResults[[#All],[Player ID]],0)),"")</f>
        <v/>
      </c>
      <c r="Z9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1" s="50" t="str">
        <f>IFERROR(INDEX(DraftResults[[#All],[Pick in Round]],MATCH(Table5[[#This Row],[PID]],DraftResults[[#All],[Player ID]],0)),"")</f>
        <v/>
      </c>
      <c r="AB981" s="50" t="str">
        <f>IFERROR(INDEX(DraftResults[[#All],[Team Name]],MATCH(Table5[[#This Row],[PID]],DraftResults[[#All],[Player ID]],0)),"")</f>
        <v/>
      </c>
      <c r="AC981" s="50" t="str">
        <f>IF(Table5[[#This Row],[Ovr]]="","",IF(Table5[[#This Row],[cmbList]]="","",Table5[[#This Row],[cmbList]]-Table5[[#This Row],[Ovr]]))</f>
        <v/>
      </c>
      <c r="AD981" s="54" t="str">
        <f>IF(ISERROR(VLOOKUP($AB981&amp;"-"&amp;$E981&amp;" "&amp;F981,Bonuses!$B$1:$G$1006,4,FALSE)),"",INT(VLOOKUP($AB981&amp;"-"&amp;$E981&amp;" "&amp;$F981,Bonuses!$B$1:$G$1006,4,FALSE)))</f>
        <v/>
      </c>
      <c r="AE9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2" spans="1:31" s="50" customFormat="1" x14ac:dyDescent="0.25">
      <c r="A982" s="50">
        <v>17758</v>
      </c>
      <c r="B982" s="50">
        <f>COUNTIF(Table5[PID],A982)</f>
        <v>1</v>
      </c>
      <c r="C982" s="50" t="str">
        <f>IF(COUNTIF(Table3[[#All],[PID]],A982)&gt;0,"P","B")</f>
        <v>P</v>
      </c>
      <c r="D982" s="59" t="str">
        <f>IF($C982="B",INDEX(Batters[[#All],[POS]],MATCH(Table5[[#This Row],[PID]],Batters[[#All],[PID]],0)),INDEX(Table3[[#All],[POS]],MATCH(Table5[[#This Row],[PID]],Table3[[#All],[PID]],0)))</f>
        <v>RP</v>
      </c>
      <c r="E982" s="52" t="str">
        <f>IF($C982="B",INDEX(Batters[[#All],[First]],MATCH(Table5[[#This Row],[PID]],Batters[[#All],[PID]],0)),INDEX(Table3[[#All],[First]],MATCH(Table5[[#This Row],[PID]],Table3[[#All],[PID]],0)))</f>
        <v>Rob</v>
      </c>
      <c r="F982" s="50" t="str">
        <f>IF($C982="B",INDEX(Batters[[#All],[Last]],MATCH(A982,Batters[[#All],[PID]],0)),INDEX(Table3[[#All],[Last]],MATCH(A982,Table3[[#All],[PID]],0)))</f>
        <v>Hyde</v>
      </c>
      <c r="G982" s="56">
        <f>IF($C982="B",INDEX(Batters[[#All],[Age]],MATCH(Table5[[#This Row],[PID]],Batters[[#All],[PID]],0)),INDEX(Table3[[#All],[Age]],MATCH(Table5[[#This Row],[PID]],Table3[[#All],[PID]],0)))</f>
        <v>21</v>
      </c>
      <c r="H982" s="52" t="str">
        <f>IF($C982="B",INDEX(Batters[[#All],[B]],MATCH(Table5[[#This Row],[PID]],Batters[[#All],[PID]],0)),INDEX(Table3[[#All],[B]],MATCH(Table5[[#This Row],[PID]],Table3[[#All],[PID]],0)))</f>
        <v>L</v>
      </c>
      <c r="I982" s="52" t="str">
        <f>IF($C982="B",INDEX(Batters[[#All],[T]],MATCH(Table5[[#This Row],[PID]],Batters[[#All],[PID]],0)),INDEX(Table3[[#All],[T]],MATCH(Table5[[#This Row],[PID]],Table3[[#All],[PID]],0)))</f>
        <v>R</v>
      </c>
      <c r="J982" s="52" t="str">
        <f>IF($C982="B",INDEX(Batters[[#All],[WE]],MATCH(Table5[[#This Row],[PID]],Batters[[#All],[PID]],0)),INDEX(Table3[[#All],[WE]],MATCH(Table5[[#This Row],[PID]],Table3[[#All],[PID]],0)))</f>
        <v>High</v>
      </c>
      <c r="K982" s="52" t="str">
        <f>IF($C982="B",INDEX(Batters[[#All],[INT]],MATCH(Table5[[#This Row],[PID]],Batters[[#All],[PID]],0)),INDEX(Table3[[#All],[INT]],MATCH(Table5[[#This Row],[PID]],Table3[[#All],[PID]],0)))</f>
        <v>High</v>
      </c>
      <c r="L982" s="60">
        <f>IF($C982="B",INDEX(Batters[[#All],[CON P]],MATCH(Table5[[#This Row],[PID]],Batters[[#All],[PID]],0)),INDEX(Table3[[#All],[STU P]],MATCH(Table5[[#This Row],[PID]],Table3[[#All],[PID]],0)))</f>
        <v>3</v>
      </c>
      <c r="M982" s="56">
        <f>IF($C982="B",INDEX(Batters[[#All],[GAP P]],MATCH(Table5[[#This Row],[PID]],Batters[[#All],[PID]],0)),INDEX(Table3[[#All],[MOV P]],MATCH(Table5[[#This Row],[PID]],Table3[[#All],[PID]],0)))</f>
        <v>2</v>
      </c>
      <c r="N982" s="56">
        <f>IF($C982="B",INDEX(Batters[[#All],[POW P]],MATCH(Table5[[#This Row],[PID]],Batters[[#All],[PID]],0)),INDEX(Table3[[#All],[CON P]],MATCH(Table5[[#This Row],[PID]],Table3[[#All],[PID]],0)))</f>
        <v>3</v>
      </c>
      <c r="O982" s="56" t="str">
        <f>IF($C982="B",INDEX(Batters[[#All],[EYE P]],MATCH(Table5[[#This Row],[PID]],Batters[[#All],[PID]],0)),INDEX(Table3[[#All],[VELO]],MATCH(Table5[[#This Row],[PID]],Table3[[#All],[PID]],0)))</f>
        <v>89-91 Mph</v>
      </c>
      <c r="P982" s="56">
        <f>IF($C982="B",INDEX(Batters[[#All],[K P]],MATCH(Table5[[#This Row],[PID]],Batters[[#All],[PID]],0)),INDEX(Table3[[#All],[STM]],MATCH(Table5[[#This Row],[PID]],Table3[[#All],[PID]],0)))</f>
        <v>6</v>
      </c>
      <c r="Q982" s="61">
        <f>IF($C982="B",INDEX(Batters[[#All],[Tot]],MATCH(Table5[[#This Row],[PID]],Batters[[#All],[PID]],0)),INDEX(Table3[[#All],[Tot]],MATCH(Table5[[#This Row],[PID]],Table3[[#All],[PID]],0)))</f>
        <v>26.984124278318912</v>
      </c>
      <c r="R982" s="52">
        <f>IF($C982="B",INDEX(Batters[[#All],[zScore]],MATCH(Table5[[#This Row],[PID]],Batters[[#All],[PID]],0)),INDEX(Table3[[#All],[zScore]],MATCH(Table5[[#This Row],[PID]],Table3[[#All],[PID]],0)))</f>
        <v>-0.59119873001518086</v>
      </c>
      <c r="S982" s="58" t="str">
        <f>IF($C982="B",INDEX(Batters[[#All],[DEM]],MATCH(Table5[[#This Row],[PID]],Batters[[#All],[PID]],0)),INDEX(Table3[[#All],[DEM]],MATCH(Table5[[#This Row],[PID]],Table3[[#All],[PID]],0)))</f>
        <v>-</v>
      </c>
      <c r="T982" s="62">
        <f>IF($C982="B",INDEX(Batters[[#All],[Rnk]],MATCH(Table5[[#This Row],[PID]],Batters[[#All],[PID]],0)),INDEX(Table3[[#All],[Rnk]],MATCH(Table5[[#This Row],[PID]],Table3[[#All],[PID]],0)))</f>
        <v>554</v>
      </c>
      <c r="U982" s="68">
        <f>IF($C982="B",VLOOKUP($A982,Bat!$A$4:$BA$1621,47,FALSE),VLOOKUP($A982,Pit!$A$4:$BF$1557,56,FALSE))</f>
        <v>0</v>
      </c>
      <c r="V982" s="50">
        <f>IF($C982="B",VLOOKUP($A982,Bat!$A$4:$BA$1621,48,FALSE),VLOOKUP($A982,Pit!$A$4:$BF$1557,57,FALSE))</f>
        <v>0</v>
      </c>
      <c r="W982" s="50">
        <f>Table5[[#This Row],[posRnk]]+Table5[[#This Row],[zRnk]]+IF($W$3&lt;&gt;Table5[[#This Row],[Type]],50,0)</f>
        <v>1515</v>
      </c>
      <c r="X982" s="51">
        <f>RANK(Table5[[#This Row],[zScore]],Table5[[#All],[zScore]])</f>
        <v>911</v>
      </c>
      <c r="Y982" s="50" t="str">
        <f>IFERROR(INDEX(DraftResults[[#All],[OVR]],MATCH(Table5[[#This Row],[PID]],DraftResults[[#All],[Player ID]],0)),"")</f>
        <v/>
      </c>
      <c r="Z9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2" s="50" t="str">
        <f>IFERROR(INDEX(DraftResults[[#All],[Pick in Round]],MATCH(Table5[[#This Row],[PID]],DraftResults[[#All],[Player ID]],0)),"")</f>
        <v/>
      </c>
      <c r="AB982" s="50" t="str">
        <f>IFERROR(INDEX(DraftResults[[#All],[Team Name]],MATCH(Table5[[#This Row],[PID]],DraftResults[[#All],[Player ID]],0)),"")</f>
        <v/>
      </c>
      <c r="AC982" s="50" t="str">
        <f>IF(Table5[[#This Row],[Ovr]]="","",IF(Table5[[#This Row],[cmbList]]="","",Table5[[#This Row],[cmbList]]-Table5[[#This Row],[Ovr]]))</f>
        <v/>
      </c>
      <c r="AD982" s="54" t="str">
        <f>IF(ISERROR(VLOOKUP($AB982&amp;"-"&amp;$E982&amp;" "&amp;F982,Bonuses!$B$1:$G$1006,4,FALSE)),"",INT(VLOOKUP($AB982&amp;"-"&amp;$E982&amp;" "&amp;$F982,Bonuses!$B$1:$G$1006,4,FALSE)))</f>
        <v/>
      </c>
      <c r="AE9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3" spans="1:31" s="50" customFormat="1" x14ac:dyDescent="0.25">
      <c r="A983" s="50">
        <v>1128</v>
      </c>
      <c r="B983" s="55">
        <f>COUNTIF(Table5[PID],A983)</f>
        <v>1</v>
      </c>
      <c r="C983" s="55" t="str">
        <f>IF(COUNTIF(Table3[[#All],[PID]],A983)&gt;0,"P","B")</f>
        <v>B</v>
      </c>
      <c r="D983" s="59" t="str">
        <f>IF($C983="B",INDEX(Batters[[#All],[POS]],MATCH(Table5[[#This Row],[PID]],Batters[[#All],[PID]],0)),INDEX(Table3[[#All],[POS]],MATCH(Table5[[#This Row],[PID]],Table3[[#All],[PID]],0)))</f>
        <v>3B</v>
      </c>
      <c r="E983" s="52" t="str">
        <f>IF($C983="B",INDEX(Batters[[#All],[First]],MATCH(Table5[[#This Row],[PID]],Batters[[#All],[PID]],0)),INDEX(Table3[[#All],[First]],MATCH(Table5[[#This Row],[PID]],Table3[[#All],[PID]],0)))</f>
        <v>Miguel</v>
      </c>
      <c r="F983" s="50" t="str">
        <f>IF($C983="B",INDEX(Batters[[#All],[Last]],MATCH(A983,Batters[[#All],[PID]],0)),INDEX(Table3[[#All],[Last]],MATCH(A983,Table3[[#All],[PID]],0)))</f>
        <v>López</v>
      </c>
      <c r="G983" s="56">
        <f>IF($C983="B",INDEX(Batters[[#All],[Age]],MATCH(Table5[[#This Row],[PID]],Batters[[#All],[PID]],0)),INDEX(Table3[[#All],[Age]],MATCH(Table5[[#This Row],[PID]],Table3[[#All],[PID]],0)))</f>
        <v>18</v>
      </c>
      <c r="H983" s="52" t="str">
        <f>IF($C983="B",INDEX(Batters[[#All],[B]],MATCH(Table5[[#This Row],[PID]],Batters[[#All],[PID]],0)),INDEX(Table3[[#All],[B]],MATCH(Table5[[#This Row],[PID]],Table3[[#All],[PID]],0)))</f>
        <v>R</v>
      </c>
      <c r="I983" s="52" t="str">
        <f>IF($C983="B",INDEX(Batters[[#All],[T]],MATCH(Table5[[#This Row],[PID]],Batters[[#All],[PID]],0)),INDEX(Table3[[#All],[T]],MATCH(Table5[[#This Row],[PID]],Table3[[#All],[PID]],0)))</f>
        <v>R</v>
      </c>
      <c r="J983" s="52" t="str">
        <f>IF($C983="B",INDEX(Batters[[#All],[WE]],MATCH(Table5[[#This Row],[PID]],Batters[[#All],[PID]],0)),INDEX(Table3[[#All],[WE]],MATCH(Table5[[#This Row],[PID]],Table3[[#All],[PID]],0)))</f>
        <v>High</v>
      </c>
      <c r="K983" s="52" t="str">
        <f>IF($C983="B",INDEX(Batters[[#All],[INT]],MATCH(Table5[[#This Row],[PID]],Batters[[#All],[PID]],0)),INDEX(Table3[[#All],[INT]],MATCH(Table5[[#This Row],[PID]],Table3[[#All],[PID]],0)))</f>
        <v>Normal</v>
      </c>
      <c r="L983" s="60">
        <f>IF($C983="B",INDEX(Batters[[#All],[CON P]],MATCH(Table5[[#This Row],[PID]],Batters[[#All],[PID]],0)),INDEX(Table3[[#All],[STU P]],MATCH(Table5[[#This Row],[PID]],Table3[[#All],[PID]],0)))</f>
        <v>3</v>
      </c>
      <c r="M983" s="56">
        <f>IF($C983="B",INDEX(Batters[[#All],[GAP P]],MATCH(Table5[[#This Row],[PID]],Batters[[#All],[PID]],0)),INDEX(Table3[[#All],[MOV P]],MATCH(Table5[[#This Row],[PID]],Table3[[#All],[PID]],0)))</f>
        <v>3</v>
      </c>
      <c r="N983" s="56">
        <f>IF($C983="B",INDEX(Batters[[#All],[POW P]],MATCH(Table5[[#This Row],[PID]],Batters[[#All],[PID]],0)),INDEX(Table3[[#All],[CON P]],MATCH(Table5[[#This Row],[PID]],Table3[[#All],[PID]],0)))</f>
        <v>4</v>
      </c>
      <c r="O983" s="56">
        <f>IF($C983="B",INDEX(Batters[[#All],[EYE P]],MATCH(Table5[[#This Row],[PID]],Batters[[#All],[PID]],0)),INDEX(Table3[[#All],[VELO]],MATCH(Table5[[#This Row],[PID]],Table3[[#All],[PID]],0)))</f>
        <v>4</v>
      </c>
      <c r="P983" s="56">
        <f>IF($C983="B",INDEX(Batters[[#All],[K P]],MATCH(Table5[[#This Row],[PID]],Batters[[#All],[PID]],0)),INDEX(Table3[[#All],[STM]],MATCH(Table5[[#This Row],[PID]],Table3[[#All],[PID]],0)))</f>
        <v>3</v>
      </c>
      <c r="Q983" s="61">
        <f>IF($C983="B",INDEX(Batters[[#All],[Tot]],MATCH(Table5[[#This Row],[PID]],Batters[[#All],[PID]],0)),INDEX(Table3[[#All],[Tot]],MATCH(Table5[[#This Row],[PID]],Table3[[#All],[PID]],0)))</f>
        <v>41.459678537017219</v>
      </c>
      <c r="R983" s="52">
        <f>IF($C983="B",INDEX(Batters[[#All],[zScore]],MATCH(Table5[[#This Row],[PID]],Batters[[#All],[PID]],0)),INDEX(Table3[[#All],[zScore]],MATCH(Table5[[#This Row],[PID]],Table3[[#All],[PID]],0)))</f>
        <v>-0.59245836743876867</v>
      </c>
      <c r="S983" s="58" t="str">
        <f>IF($C983="B",INDEX(Batters[[#All],[DEM]],MATCH(Table5[[#This Row],[PID]],Batters[[#All],[PID]],0)),INDEX(Table3[[#All],[DEM]],MATCH(Table5[[#This Row],[PID]],Table3[[#All],[PID]],0)))</f>
        <v>$65k</v>
      </c>
      <c r="T983" s="62">
        <f>IF($C983="B",INDEX(Batters[[#All],[Rnk]],MATCH(Table5[[#This Row],[PID]],Batters[[#All],[PID]],0)),INDEX(Table3[[#All],[Rnk]],MATCH(Table5[[#This Row],[PID]],Table3[[#All],[PID]],0)))</f>
        <v>357</v>
      </c>
      <c r="U983" s="68">
        <f>IF($C983="B",VLOOKUP($A983,Bat!$A$4:$BA$1621,47,FALSE),VLOOKUP($A983,Pit!$A$4:$BF$1557,56,FALSE))</f>
        <v>0</v>
      </c>
      <c r="V983" s="50">
        <f>IF($C983="B",VLOOKUP($A983,Bat!$A$4:$BA$1621,48,FALSE),VLOOKUP($A983,Pit!$A$4:$BF$1557,57,FALSE))</f>
        <v>0</v>
      </c>
      <c r="W983" s="50">
        <f>Table5[[#This Row],[posRnk]]+Table5[[#This Row],[zRnk]]+IF($W$3&lt;&gt;Table5[[#This Row],[Type]],50,0)</f>
        <v>1319</v>
      </c>
      <c r="X983" s="51">
        <f>RANK(Table5[[#This Row],[zScore]],Table5[[#All],[zScore]])</f>
        <v>912</v>
      </c>
      <c r="Y983" s="50" t="str">
        <f>IFERROR(INDEX(DraftResults[[#All],[OVR]],MATCH(Table5[[#This Row],[PID]],DraftResults[[#All],[Player ID]],0)),"")</f>
        <v/>
      </c>
      <c r="Z9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3" s="50" t="str">
        <f>IFERROR(INDEX(DraftResults[[#All],[Pick in Round]],MATCH(Table5[[#This Row],[PID]],DraftResults[[#All],[Player ID]],0)),"")</f>
        <v/>
      </c>
      <c r="AB983" s="50" t="str">
        <f>IFERROR(INDEX(DraftResults[[#All],[Team Name]],MATCH(Table5[[#This Row],[PID]],DraftResults[[#All],[Player ID]],0)),"")</f>
        <v/>
      </c>
      <c r="AC983" s="50" t="str">
        <f>IF(Table5[[#This Row],[Ovr]]="","",IF(Table5[[#This Row],[cmbList]]="","",Table5[[#This Row],[cmbList]]-Table5[[#This Row],[Ovr]]))</f>
        <v/>
      </c>
      <c r="AD983" s="54" t="str">
        <f>IF(ISERROR(VLOOKUP($AB983&amp;"-"&amp;$E983&amp;" "&amp;F983,Bonuses!$B$1:$G$1006,4,FALSE)),"",INT(VLOOKUP($AB983&amp;"-"&amp;$E983&amp;" "&amp;$F983,Bonuses!$B$1:$G$1006,4,FALSE)))</f>
        <v/>
      </c>
      <c r="AE9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4" spans="1:31" s="50" customFormat="1" x14ac:dyDescent="0.25">
      <c r="A984" s="50">
        <v>10321</v>
      </c>
      <c r="B984" s="50">
        <f>COUNTIF(Table5[PID],A984)</f>
        <v>1</v>
      </c>
      <c r="C984" s="50" t="str">
        <f>IF(COUNTIF(Table3[[#All],[PID]],A984)&gt;0,"P","B")</f>
        <v>P</v>
      </c>
      <c r="D984" s="59" t="str">
        <f>IF($C984="B",INDEX(Batters[[#All],[POS]],MATCH(Table5[[#This Row],[PID]],Batters[[#All],[PID]],0)),INDEX(Table3[[#All],[POS]],MATCH(Table5[[#This Row],[PID]],Table3[[#All],[PID]],0)))</f>
        <v>RP</v>
      </c>
      <c r="E984" s="52" t="str">
        <f>IF($C984="B",INDEX(Batters[[#All],[First]],MATCH(Table5[[#This Row],[PID]],Batters[[#All],[PID]],0)),INDEX(Table3[[#All],[First]],MATCH(Table5[[#This Row],[PID]],Table3[[#All],[PID]],0)))</f>
        <v>Logan</v>
      </c>
      <c r="F984" s="50" t="str">
        <f>IF($C984="B",INDEX(Batters[[#All],[Last]],MATCH(A984,Batters[[#All],[PID]],0)),INDEX(Table3[[#All],[Last]],MATCH(A984,Table3[[#All],[PID]],0)))</f>
        <v>MacCrum</v>
      </c>
      <c r="G984" s="56">
        <f>IF($C984="B",INDEX(Batters[[#All],[Age]],MATCH(Table5[[#This Row],[PID]],Batters[[#All],[PID]],0)),INDEX(Table3[[#All],[Age]],MATCH(Table5[[#This Row],[PID]],Table3[[#All],[PID]],0)))</f>
        <v>21</v>
      </c>
      <c r="H984" s="52" t="str">
        <f>IF($C984="B",INDEX(Batters[[#All],[B]],MATCH(Table5[[#This Row],[PID]],Batters[[#All],[PID]],0)),INDEX(Table3[[#All],[B]],MATCH(Table5[[#This Row],[PID]],Table3[[#All],[PID]],0)))</f>
        <v>S</v>
      </c>
      <c r="I984" s="52" t="str">
        <f>IF($C984="B",INDEX(Batters[[#All],[T]],MATCH(Table5[[#This Row],[PID]],Batters[[#All],[PID]],0)),INDEX(Table3[[#All],[T]],MATCH(Table5[[#This Row],[PID]],Table3[[#All],[PID]],0)))</f>
        <v>R</v>
      </c>
      <c r="J984" s="52" t="str">
        <f>IF($C984="B",INDEX(Batters[[#All],[WE]],MATCH(Table5[[#This Row],[PID]],Batters[[#All],[PID]],0)),INDEX(Table3[[#All],[WE]],MATCH(Table5[[#This Row],[PID]],Table3[[#All],[PID]],0)))</f>
        <v>Low</v>
      </c>
      <c r="K984" s="52" t="str">
        <f>IF($C984="B",INDEX(Batters[[#All],[INT]],MATCH(Table5[[#This Row],[PID]],Batters[[#All],[PID]],0)),INDEX(Table3[[#All],[INT]],MATCH(Table5[[#This Row],[PID]],Table3[[#All],[PID]],0)))</f>
        <v>Normal</v>
      </c>
      <c r="L984" s="60">
        <f>IF($C984="B",INDEX(Batters[[#All],[CON P]],MATCH(Table5[[#This Row],[PID]],Batters[[#All],[PID]],0)),INDEX(Table3[[#All],[STU P]],MATCH(Table5[[#This Row],[PID]],Table3[[#All],[PID]],0)))</f>
        <v>4</v>
      </c>
      <c r="M984" s="56">
        <f>IF($C984="B",INDEX(Batters[[#All],[GAP P]],MATCH(Table5[[#This Row],[PID]],Batters[[#All],[PID]],0)),INDEX(Table3[[#All],[MOV P]],MATCH(Table5[[#This Row],[PID]],Table3[[#All],[PID]],0)))</f>
        <v>3</v>
      </c>
      <c r="N984" s="56">
        <f>IF($C984="B",INDEX(Batters[[#All],[POW P]],MATCH(Table5[[#This Row],[PID]],Batters[[#All],[PID]],0)),INDEX(Table3[[#All],[CON P]],MATCH(Table5[[#This Row],[PID]],Table3[[#All],[PID]],0)))</f>
        <v>2</v>
      </c>
      <c r="O984" s="56" t="str">
        <f>IF($C984="B",INDEX(Batters[[#All],[EYE P]],MATCH(Table5[[#This Row],[PID]],Batters[[#All],[PID]],0)),INDEX(Table3[[#All],[VELO]],MATCH(Table5[[#This Row],[PID]],Table3[[#All],[PID]],0)))</f>
        <v>88-90 Mph</v>
      </c>
      <c r="P984" s="56">
        <f>IF($C984="B",INDEX(Batters[[#All],[K P]],MATCH(Table5[[#This Row],[PID]],Batters[[#All],[PID]],0)),INDEX(Table3[[#All],[STM]],MATCH(Table5[[#This Row],[PID]],Table3[[#All],[PID]],0)))</f>
        <v>9</v>
      </c>
      <c r="Q984" s="61">
        <f>IF($C984="B",INDEX(Batters[[#All],[Tot]],MATCH(Table5[[#This Row],[PID]],Batters[[#All],[PID]],0)),INDEX(Table3[[#All],[Tot]],MATCH(Table5[[#This Row],[PID]],Table3[[#All],[PID]],0)))</f>
        <v>26.963097464818635</v>
      </c>
      <c r="R984" s="52">
        <f>IF($C984="B",INDEX(Batters[[#All],[zScore]],MATCH(Table5[[#This Row],[PID]],Batters[[#All],[PID]],0)),INDEX(Table3[[#All],[zScore]],MATCH(Table5[[#This Row],[PID]],Table3[[#All],[PID]],0)))</f>
        <v>-0.59259761178609471</v>
      </c>
      <c r="S984" s="58" t="str">
        <f>IF($C984="B",INDEX(Batters[[#All],[DEM]],MATCH(Table5[[#This Row],[PID]],Batters[[#All],[PID]],0)),INDEX(Table3[[#All],[DEM]],MATCH(Table5[[#This Row],[PID]],Table3[[#All],[PID]],0)))</f>
        <v>-</v>
      </c>
      <c r="T984" s="62">
        <f>IF($C984="B",INDEX(Batters[[#All],[Rnk]],MATCH(Table5[[#This Row],[PID]],Batters[[#All],[PID]],0)),INDEX(Table3[[#All],[Rnk]],MATCH(Table5[[#This Row],[PID]],Table3[[#All],[PID]],0)))</f>
        <v>555</v>
      </c>
      <c r="U984" s="68">
        <f>IF($C984="B",VLOOKUP($A984,Bat!$A$4:$BA$1621,47,FALSE),VLOOKUP($A984,Pit!$A$4:$BF$1557,56,FALSE))</f>
        <v>0</v>
      </c>
      <c r="V984" s="50">
        <f>IF($C984="B",VLOOKUP($A984,Bat!$A$4:$BA$1621,48,FALSE),VLOOKUP($A984,Pit!$A$4:$BF$1557,57,FALSE))</f>
        <v>0</v>
      </c>
      <c r="W984" s="50">
        <f>Table5[[#This Row],[posRnk]]+Table5[[#This Row],[zRnk]]+IF($W$3&lt;&gt;Table5[[#This Row],[Type]],50,0)</f>
        <v>1518</v>
      </c>
      <c r="X984" s="51">
        <f>RANK(Table5[[#This Row],[zScore]],Table5[[#All],[zScore]])</f>
        <v>913</v>
      </c>
      <c r="Y984" s="50" t="str">
        <f>IFERROR(INDEX(DraftResults[[#All],[OVR]],MATCH(Table5[[#This Row],[PID]],DraftResults[[#All],[Player ID]],0)),"")</f>
        <v/>
      </c>
      <c r="Z9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4" s="50" t="str">
        <f>IFERROR(INDEX(DraftResults[[#All],[Pick in Round]],MATCH(Table5[[#This Row],[PID]],DraftResults[[#All],[Player ID]],0)),"")</f>
        <v/>
      </c>
      <c r="AB984" s="50" t="str">
        <f>IFERROR(INDEX(DraftResults[[#All],[Team Name]],MATCH(Table5[[#This Row],[PID]],DraftResults[[#All],[Player ID]],0)),"")</f>
        <v/>
      </c>
      <c r="AC984" s="50" t="str">
        <f>IF(Table5[[#This Row],[Ovr]]="","",IF(Table5[[#This Row],[cmbList]]="","",Table5[[#This Row],[cmbList]]-Table5[[#This Row],[Ovr]]))</f>
        <v/>
      </c>
      <c r="AD984" s="54" t="str">
        <f>IF(ISERROR(VLOOKUP($AB984&amp;"-"&amp;$E984&amp;" "&amp;F984,Bonuses!$B$1:$G$1006,4,FALSE)),"",INT(VLOOKUP($AB984&amp;"-"&amp;$E984&amp;" "&amp;$F984,Bonuses!$B$1:$G$1006,4,FALSE)))</f>
        <v/>
      </c>
      <c r="AE9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5" spans="1:31" s="50" customFormat="1" x14ac:dyDescent="0.25">
      <c r="A985" s="50">
        <v>20680</v>
      </c>
      <c r="B985" s="50">
        <f>COUNTIF(Table5[PID],A985)</f>
        <v>1</v>
      </c>
      <c r="C985" s="50" t="str">
        <f>IF(COUNTIF(Table3[[#All],[PID]],A985)&gt;0,"P","B")</f>
        <v>P</v>
      </c>
      <c r="D985" s="59" t="str">
        <f>IF($C985="B",INDEX(Batters[[#All],[POS]],MATCH(Table5[[#This Row],[PID]],Batters[[#All],[PID]],0)),INDEX(Table3[[#All],[POS]],MATCH(Table5[[#This Row],[PID]],Table3[[#All],[PID]],0)))</f>
        <v>RP</v>
      </c>
      <c r="E985" s="52" t="str">
        <f>IF($C985="B",INDEX(Batters[[#All],[First]],MATCH(Table5[[#This Row],[PID]],Batters[[#All],[PID]],0)),INDEX(Table3[[#All],[First]],MATCH(Table5[[#This Row],[PID]],Table3[[#All],[PID]],0)))</f>
        <v>Min</v>
      </c>
      <c r="F985" s="50" t="str">
        <f>IF($C985="B",INDEX(Batters[[#All],[Last]],MATCH(A985,Batters[[#All],[PID]],0)),INDEX(Table3[[#All],[Last]],MATCH(A985,Table3[[#All],[PID]],0)))</f>
        <v>Moy</v>
      </c>
      <c r="G985" s="56">
        <f>IF($C985="B",INDEX(Batters[[#All],[Age]],MATCH(Table5[[#This Row],[PID]],Batters[[#All],[PID]],0)),INDEX(Table3[[#All],[Age]],MATCH(Table5[[#This Row],[PID]],Table3[[#All],[PID]],0)))</f>
        <v>16</v>
      </c>
      <c r="H985" s="52" t="str">
        <f>IF($C985="B",INDEX(Batters[[#All],[B]],MATCH(Table5[[#This Row],[PID]],Batters[[#All],[PID]],0)),INDEX(Table3[[#All],[B]],MATCH(Table5[[#This Row],[PID]],Table3[[#All],[PID]],0)))</f>
        <v>L</v>
      </c>
      <c r="I985" s="52" t="str">
        <f>IF($C985="B",INDEX(Batters[[#All],[T]],MATCH(Table5[[#This Row],[PID]],Batters[[#All],[PID]],0)),INDEX(Table3[[#All],[T]],MATCH(Table5[[#This Row],[PID]],Table3[[#All],[PID]],0)))</f>
        <v>L</v>
      </c>
      <c r="J985" s="52" t="str">
        <f>IF($C985="B",INDEX(Batters[[#All],[WE]],MATCH(Table5[[#This Row],[PID]],Batters[[#All],[PID]],0)),INDEX(Table3[[#All],[WE]],MATCH(Table5[[#This Row],[PID]],Table3[[#All],[PID]],0)))</f>
        <v>Normal</v>
      </c>
      <c r="K985" s="52" t="str">
        <f>IF($C985="B",INDEX(Batters[[#All],[INT]],MATCH(Table5[[#This Row],[PID]],Batters[[#All],[PID]],0)),INDEX(Table3[[#All],[INT]],MATCH(Table5[[#This Row],[PID]],Table3[[#All],[PID]],0)))</f>
        <v>Normal</v>
      </c>
      <c r="L985" s="60">
        <f>IF($C985="B",INDEX(Batters[[#All],[CON P]],MATCH(Table5[[#This Row],[PID]],Batters[[#All],[PID]],0)),INDEX(Table3[[#All],[STU P]],MATCH(Table5[[#This Row],[PID]],Table3[[#All],[PID]],0)))</f>
        <v>3</v>
      </c>
      <c r="M985" s="56">
        <f>IF($C985="B",INDEX(Batters[[#All],[GAP P]],MATCH(Table5[[#This Row],[PID]],Batters[[#All],[PID]],0)),INDEX(Table3[[#All],[MOV P]],MATCH(Table5[[#This Row],[PID]],Table3[[#All],[PID]],0)))</f>
        <v>2</v>
      </c>
      <c r="N985" s="56">
        <f>IF($C985="B",INDEX(Batters[[#All],[POW P]],MATCH(Table5[[#This Row],[PID]],Batters[[#All],[PID]],0)),INDEX(Table3[[#All],[CON P]],MATCH(Table5[[#This Row],[PID]],Table3[[#All],[PID]],0)))</f>
        <v>2</v>
      </c>
      <c r="O985" s="56" t="str">
        <f>IF($C985="B",INDEX(Batters[[#All],[EYE P]],MATCH(Table5[[#This Row],[PID]],Batters[[#All],[PID]],0)),INDEX(Table3[[#All],[VELO]],MATCH(Table5[[#This Row],[PID]],Table3[[#All],[PID]],0)))</f>
        <v>86-88 Mph</v>
      </c>
      <c r="P985" s="56">
        <f>IF($C985="B",INDEX(Batters[[#All],[K P]],MATCH(Table5[[#This Row],[PID]],Batters[[#All],[PID]],0)),INDEX(Table3[[#All],[STM]],MATCH(Table5[[#This Row],[PID]],Table3[[#All],[PID]],0)))</f>
        <v>5</v>
      </c>
      <c r="Q985" s="61">
        <f>IF($C985="B",INDEX(Batters[[#All],[Tot]],MATCH(Table5[[#This Row],[PID]],Batters[[#All],[PID]],0)),INDEX(Table3[[#All],[Tot]],MATCH(Table5[[#This Row],[PID]],Table3[[#All],[PID]],0)))</f>
        <v>26.954789693389049</v>
      </c>
      <c r="R985" s="52">
        <f>IF($C985="B",INDEX(Batters[[#All],[zScore]],MATCH(Table5[[#This Row],[PID]],Batters[[#All],[PID]],0)),INDEX(Table3[[#All],[zScore]],MATCH(Table5[[#This Row],[PID]],Table3[[#All],[PID]],0)))</f>
        <v>-0.59315031512412608</v>
      </c>
      <c r="S985" s="58" t="str">
        <f>IF($C985="B",INDEX(Batters[[#All],[DEM]],MATCH(Table5[[#This Row],[PID]],Batters[[#All],[PID]],0)),INDEX(Table3[[#All],[DEM]],MATCH(Table5[[#This Row],[PID]],Table3[[#All],[PID]],0)))</f>
        <v>$75k</v>
      </c>
      <c r="T985" s="62">
        <f>IF($C985="B",INDEX(Batters[[#All],[Rnk]],MATCH(Table5[[#This Row],[PID]],Batters[[#All],[PID]],0)),INDEX(Table3[[#All],[Rnk]],MATCH(Table5[[#This Row],[PID]],Table3[[#All],[PID]],0)))</f>
        <v>556</v>
      </c>
      <c r="U985" s="68">
        <f>IF($C985="B",VLOOKUP($A985,Bat!$A$4:$BA$1621,47,FALSE),VLOOKUP($A985,Pit!$A$4:$BF$1557,56,FALSE))</f>
        <v>0</v>
      </c>
      <c r="V985" s="50">
        <f>IF($C985="B",VLOOKUP($A985,Bat!$A$4:$BA$1621,48,FALSE),VLOOKUP($A985,Pit!$A$4:$BF$1557,57,FALSE))</f>
        <v>0</v>
      </c>
      <c r="W985" s="50">
        <f>Table5[[#This Row],[posRnk]]+Table5[[#This Row],[zRnk]]+IF($W$3&lt;&gt;Table5[[#This Row],[Type]],50,0)</f>
        <v>1520</v>
      </c>
      <c r="X985" s="51">
        <f>RANK(Table5[[#This Row],[zScore]],Table5[[#All],[zScore]])</f>
        <v>914</v>
      </c>
      <c r="Y985" s="50" t="str">
        <f>IFERROR(INDEX(DraftResults[[#All],[OVR]],MATCH(Table5[[#This Row],[PID]],DraftResults[[#All],[Player ID]],0)),"")</f>
        <v/>
      </c>
      <c r="Z9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5" s="50" t="str">
        <f>IFERROR(INDEX(DraftResults[[#All],[Pick in Round]],MATCH(Table5[[#This Row],[PID]],DraftResults[[#All],[Player ID]],0)),"")</f>
        <v/>
      </c>
      <c r="AB985" s="50" t="str">
        <f>IFERROR(INDEX(DraftResults[[#All],[Team Name]],MATCH(Table5[[#This Row],[PID]],DraftResults[[#All],[Player ID]],0)),"")</f>
        <v/>
      </c>
      <c r="AC985" s="50" t="str">
        <f>IF(Table5[[#This Row],[Ovr]]="","",IF(Table5[[#This Row],[cmbList]]="","",Table5[[#This Row],[cmbList]]-Table5[[#This Row],[Ovr]]))</f>
        <v/>
      </c>
      <c r="AD985" s="54" t="str">
        <f>IF(ISERROR(VLOOKUP($AB985&amp;"-"&amp;$E985&amp;" "&amp;F985,Bonuses!$B$1:$G$1006,4,FALSE)),"",INT(VLOOKUP($AB985&amp;"-"&amp;$E985&amp;" "&amp;$F985,Bonuses!$B$1:$G$1006,4,FALSE)))</f>
        <v/>
      </c>
      <c r="AE9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6" spans="1:31" s="50" customFormat="1" x14ac:dyDescent="0.25">
      <c r="A986" s="68">
        <v>13917</v>
      </c>
      <c r="B986" s="69">
        <f>COUNTIF(Table5[PID],A986)</f>
        <v>1</v>
      </c>
      <c r="C986" s="69" t="str">
        <f>IF(COUNTIF(Table3[[#All],[PID]],A986)&gt;0,"P","B")</f>
        <v>P</v>
      </c>
      <c r="D986" s="59" t="str">
        <f>IF($C986="B",INDEX(Batters[[#All],[POS]],MATCH(Table5[[#This Row],[PID]],Batters[[#All],[PID]],0)),INDEX(Table3[[#All],[POS]],MATCH(Table5[[#This Row],[PID]],Table3[[#All],[PID]],0)))</f>
        <v>SP</v>
      </c>
      <c r="E986" s="52" t="str">
        <f>IF($C986="B",INDEX(Batters[[#All],[First]],MATCH(Table5[[#This Row],[PID]],Batters[[#All],[PID]],0)),INDEX(Table3[[#All],[First]],MATCH(Table5[[#This Row],[PID]],Table3[[#All],[PID]],0)))</f>
        <v>Luis</v>
      </c>
      <c r="F986" s="55" t="str">
        <f>IF($C986="B",INDEX(Batters[[#All],[Last]],MATCH(A986,Batters[[#All],[PID]],0)),INDEX(Table3[[#All],[Last]],MATCH(A986,Table3[[#All],[PID]],0)))</f>
        <v>Cervantes</v>
      </c>
      <c r="G986" s="56">
        <f>IF($C986="B",INDEX(Batters[[#All],[Age]],MATCH(Table5[[#This Row],[PID]],Batters[[#All],[PID]],0)),INDEX(Table3[[#All],[Age]],MATCH(Table5[[#This Row],[PID]],Table3[[#All],[PID]],0)))</f>
        <v>22</v>
      </c>
      <c r="H986" s="52" t="str">
        <f>IF($C986="B",INDEX(Batters[[#All],[B]],MATCH(Table5[[#This Row],[PID]],Batters[[#All],[PID]],0)),INDEX(Table3[[#All],[B]],MATCH(Table5[[#This Row],[PID]],Table3[[#All],[PID]],0)))</f>
        <v>S</v>
      </c>
      <c r="I986" s="52" t="str">
        <f>IF($C986="B",INDEX(Batters[[#All],[T]],MATCH(Table5[[#This Row],[PID]],Batters[[#All],[PID]],0)),INDEX(Table3[[#All],[T]],MATCH(Table5[[#This Row],[PID]],Table3[[#All],[PID]],0)))</f>
        <v>R</v>
      </c>
      <c r="J986" s="71" t="str">
        <f>IF($C986="B",INDEX(Batters[[#All],[WE]],MATCH(Table5[[#This Row],[PID]],Batters[[#All],[PID]],0)),INDEX(Table3[[#All],[WE]],MATCH(Table5[[#This Row],[PID]],Table3[[#All],[PID]],0)))</f>
        <v>Low</v>
      </c>
      <c r="K986" s="52" t="str">
        <f>IF($C986="B",INDEX(Batters[[#All],[INT]],MATCH(Table5[[#This Row],[PID]],Batters[[#All],[PID]],0)),INDEX(Table3[[#All],[INT]],MATCH(Table5[[#This Row],[PID]],Table3[[#All],[PID]],0)))</f>
        <v>Normal</v>
      </c>
      <c r="L986" s="60">
        <f>IF($C986="B",INDEX(Batters[[#All],[CON P]],MATCH(Table5[[#This Row],[PID]],Batters[[#All],[PID]],0)),INDEX(Table3[[#All],[STU P]],MATCH(Table5[[#This Row],[PID]],Table3[[#All],[PID]],0)))</f>
        <v>4</v>
      </c>
      <c r="M986" s="72">
        <f>IF($C986="B",INDEX(Batters[[#All],[GAP P]],MATCH(Table5[[#This Row],[PID]],Batters[[#All],[PID]],0)),INDEX(Table3[[#All],[MOV P]],MATCH(Table5[[#This Row],[PID]],Table3[[#All],[PID]],0)))</f>
        <v>2</v>
      </c>
      <c r="N986" s="72">
        <f>IF($C986="B",INDEX(Batters[[#All],[POW P]],MATCH(Table5[[#This Row],[PID]],Batters[[#All],[PID]],0)),INDEX(Table3[[#All],[CON P]],MATCH(Table5[[#This Row],[PID]],Table3[[#All],[PID]],0)))</f>
        <v>3</v>
      </c>
      <c r="O986" s="72" t="str">
        <f>IF($C986="B",INDEX(Batters[[#All],[EYE P]],MATCH(Table5[[#This Row],[PID]],Batters[[#All],[PID]],0)),INDEX(Table3[[#All],[VELO]],MATCH(Table5[[#This Row],[PID]],Table3[[#All],[PID]],0)))</f>
        <v>87-89 Mph</v>
      </c>
      <c r="P986" s="56">
        <f>IF($C986="B",INDEX(Batters[[#All],[K P]],MATCH(Table5[[#This Row],[PID]],Batters[[#All],[PID]],0)),INDEX(Table3[[#All],[STM]],MATCH(Table5[[#This Row],[PID]],Table3[[#All],[PID]],0)))</f>
        <v>7</v>
      </c>
      <c r="Q986" s="61">
        <f>IF($C986="B",INDEX(Batters[[#All],[Tot]],MATCH(Table5[[#This Row],[PID]],Batters[[#All],[PID]],0)),INDEX(Table3[[#All],[Tot]],MATCH(Table5[[#This Row],[PID]],Table3[[#All],[PID]],0)))</f>
        <v>29.111936192397895</v>
      </c>
      <c r="R986" s="52">
        <f>IF($C986="B",INDEX(Batters[[#All],[zScore]],MATCH(Table5[[#This Row],[PID]],Batters[[#All],[PID]],0)),INDEX(Table3[[#All],[zScore]],MATCH(Table5[[#This Row],[PID]],Table3[[#All],[PID]],0)))</f>
        <v>-0.59538848891368601</v>
      </c>
      <c r="S986" s="78" t="str">
        <f>IF($C986="B",INDEX(Batters[[#All],[DEM]],MATCH(Table5[[#This Row],[PID]],Batters[[#All],[PID]],0)),INDEX(Table3[[#All],[DEM]],MATCH(Table5[[#This Row],[PID]],Table3[[#All],[PID]],0)))</f>
        <v>-</v>
      </c>
      <c r="T986" s="75">
        <f>IF($C986="B",INDEX(Batters[[#All],[Rnk]],MATCH(Table5[[#This Row],[PID]],Batters[[#All],[PID]],0)),INDEX(Table3[[#All],[Rnk]],MATCH(Table5[[#This Row],[PID]],Table3[[#All],[PID]],0)))</f>
        <v>557</v>
      </c>
      <c r="U986" s="68">
        <f>IF($C986="B",VLOOKUP($A986,Bat!$A$4:$BA$1621,47,FALSE),VLOOKUP($A986,Pit!$A$4:$BF$1557,56,FALSE))</f>
        <v>0</v>
      </c>
      <c r="V986" s="50">
        <f>IF($C986="B",VLOOKUP($A986,Bat!$A$4:$BA$1621,48,FALSE),VLOOKUP($A986,Pit!$A$4:$BF$1557,57,FALSE))</f>
        <v>0</v>
      </c>
      <c r="W986" s="69">
        <f>Table5[[#This Row],[posRnk]]+Table5[[#This Row],[zRnk]]+IF($W$3&lt;&gt;Table5[[#This Row],[Type]],50,0)</f>
        <v>1522</v>
      </c>
      <c r="X986" s="73">
        <f>RANK(Table5[[#This Row],[zScore]],Table5[[#All],[zScore]])</f>
        <v>915</v>
      </c>
      <c r="Y986" s="69" t="str">
        <f>IFERROR(INDEX(DraftResults[[#All],[OVR]],MATCH(Table5[[#This Row],[PID]],DraftResults[[#All],[Player ID]],0)),"")</f>
        <v/>
      </c>
      <c r="Z9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6" s="69" t="str">
        <f>IFERROR(INDEX(DraftResults[[#All],[Pick in Round]],MATCH(Table5[[#This Row],[PID]],DraftResults[[#All],[Player ID]],0)),"")</f>
        <v/>
      </c>
      <c r="AB986" s="69" t="str">
        <f>IFERROR(INDEX(DraftResults[[#All],[Team Name]],MATCH(Table5[[#This Row],[PID]],DraftResults[[#All],[Player ID]],0)),"")</f>
        <v/>
      </c>
      <c r="AC986" s="69" t="str">
        <f>IF(Table5[[#This Row],[Ovr]]="","",IF(Table5[[#This Row],[cmbList]]="","",Table5[[#This Row],[cmbList]]-Table5[[#This Row],[Ovr]]))</f>
        <v/>
      </c>
      <c r="AD986" s="77" t="str">
        <f>IF(ISERROR(VLOOKUP($AB986&amp;"-"&amp;$E986&amp;" "&amp;F986,Bonuses!$B$1:$G$1006,4,FALSE)),"",INT(VLOOKUP($AB986&amp;"-"&amp;$E986&amp;" "&amp;$F986,Bonuses!$B$1:$G$1006,4,FALSE)))</f>
        <v/>
      </c>
      <c r="AE9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7" spans="1:31" s="50" customFormat="1" x14ac:dyDescent="0.25">
      <c r="A987" s="50">
        <v>11912</v>
      </c>
      <c r="B987" s="50">
        <f>COUNTIF(Table5[PID],A987)</f>
        <v>1</v>
      </c>
      <c r="C987" s="50" t="str">
        <f>IF(COUNTIF(Table3[[#All],[PID]],A987)&gt;0,"P","B")</f>
        <v>P</v>
      </c>
      <c r="D987" s="59" t="str">
        <f>IF($C987="B",INDEX(Batters[[#All],[POS]],MATCH(Table5[[#This Row],[PID]],Batters[[#All],[PID]],0)),INDEX(Table3[[#All],[POS]],MATCH(Table5[[#This Row],[PID]],Table3[[#All],[PID]],0)))</f>
        <v>RP</v>
      </c>
      <c r="E987" s="52" t="str">
        <f>IF($C987="B",INDEX(Batters[[#All],[First]],MATCH(Table5[[#This Row],[PID]],Batters[[#All],[PID]],0)),INDEX(Table3[[#All],[First]],MATCH(Table5[[#This Row],[PID]],Table3[[#All],[PID]],0)))</f>
        <v>Eric</v>
      </c>
      <c r="F987" s="50" t="str">
        <f>IF($C987="B",INDEX(Batters[[#All],[Last]],MATCH(A987,Batters[[#All],[PID]],0)),INDEX(Table3[[#All],[Last]],MATCH(A987,Table3[[#All],[PID]],0)))</f>
        <v>Abrams</v>
      </c>
      <c r="G987" s="56">
        <f>IF($C987="B",INDEX(Batters[[#All],[Age]],MATCH(Table5[[#This Row],[PID]],Batters[[#All],[PID]],0)),INDEX(Table3[[#All],[Age]],MATCH(Table5[[#This Row],[PID]],Table3[[#All],[PID]],0)))</f>
        <v>22</v>
      </c>
      <c r="H987" s="52" t="str">
        <f>IF($C987="B",INDEX(Batters[[#All],[B]],MATCH(Table5[[#This Row],[PID]],Batters[[#All],[PID]],0)),INDEX(Table3[[#All],[B]],MATCH(Table5[[#This Row],[PID]],Table3[[#All],[PID]],0)))</f>
        <v>R</v>
      </c>
      <c r="I987" s="52" t="str">
        <f>IF($C987="B",INDEX(Batters[[#All],[T]],MATCH(Table5[[#This Row],[PID]],Batters[[#All],[PID]],0)),INDEX(Table3[[#All],[T]],MATCH(Table5[[#This Row],[PID]],Table3[[#All],[PID]],0)))</f>
        <v>R</v>
      </c>
      <c r="J987" s="52" t="str">
        <f>IF($C987="B",INDEX(Batters[[#All],[WE]],MATCH(Table5[[#This Row],[PID]],Batters[[#All],[PID]],0)),INDEX(Table3[[#All],[WE]],MATCH(Table5[[#This Row],[PID]],Table3[[#All],[PID]],0)))</f>
        <v>Normal</v>
      </c>
      <c r="K987" s="52" t="str">
        <f>IF($C987="B",INDEX(Batters[[#All],[INT]],MATCH(Table5[[#This Row],[PID]],Batters[[#All],[PID]],0)),INDEX(Table3[[#All],[INT]],MATCH(Table5[[#This Row],[PID]],Table3[[#All],[PID]],0)))</f>
        <v>Low</v>
      </c>
      <c r="L987" s="60">
        <f>IF($C987="B",INDEX(Batters[[#All],[CON P]],MATCH(Table5[[#This Row],[PID]],Batters[[#All],[PID]],0)),INDEX(Table3[[#All],[STU P]],MATCH(Table5[[#This Row],[PID]],Table3[[#All],[PID]],0)))</f>
        <v>4</v>
      </c>
      <c r="M987" s="56">
        <f>IF($C987="B",INDEX(Batters[[#All],[GAP P]],MATCH(Table5[[#This Row],[PID]],Batters[[#All],[PID]],0)),INDEX(Table3[[#All],[MOV P]],MATCH(Table5[[#This Row],[PID]],Table3[[#All],[PID]],0)))</f>
        <v>2</v>
      </c>
      <c r="N987" s="56">
        <f>IF($C987="B",INDEX(Batters[[#All],[POW P]],MATCH(Table5[[#This Row],[PID]],Batters[[#All],[PID]],0)),INDEX(Table3[[#All],[CON P]],MATCH(Table5[[#This Row],[PID]],Table3[[#All],[PID]],0)))</f>
        <v>3</v>
      </c>
      <c r="O987" s="56" t="str">
        <f>IF($C987="B",INDEX(Batters[[#All],[EYE P]],MATCH(Table5[[#This Row],[PID]],Batters[[#All],[PID]],0)),INDEX(Table3[[#All],[VELO]],MATCH(Table5[[#This Row],[PID]],Table3[[#All],[PID]],0)))</f>
        <v>91-93 Mph</v>
      </c>
      <c r="P987" s="56">
        <f>IF($C987="B",INDEX(Batters[[#All],[K P]],MATCH(Table5[[#This Row],[PID]],Batters[[#All],[PID]],0)),INDEX(Table3[[#All],[STM]],MATCH(Table5[[#This Row],[PID]],Table3[[#All],[PID]],0)))</f>
        <v>2</v>
      </c>
      <c r="Q987" s="61">
        <f>IF($C987="B",INDEX(Batters[[#All],[Tot]],MATCH(Table5[[#This Row],[PID]],Batters[[#All],[PID]],0)),INDEX(Table3[[#All],[Tot]],MATCH(Table5[[#This Row],[PID]],Table3[[#All],[PID]],0)))</f>
        <v>26.886871641985024</v>
      </c>
      <c r="R987" s="52">
        <f>IF($C987="B",INDEX(Batters[[#All],[zScore]],MATCH(Table5[[#This Row],[PID]],Batters[[#All],[PID]],0)),INDEX(Table3[[#All],[zScore]],MATCH(Table5[[#This Row],[PID]],Table3[[#All],[PID]],0)))</f>
        <v>-0.59766879929786088</v>
      </c>
      <c r="S987" s="58" t="str">
        <f>IF($C987="B",INDEX(Batters[[#All],[DEM]],MATCH(Table5[[#This Row],[PID]],Batters[[#All],[PID]],0)),INDEX(Table3[[#All],[DEM]],MATCH(Table5[[#This Row],[PID]],Table3[[#All],[PID]],0)))</f>
        <v>-</v>
      </c>
      <c r="T987" s="62">
        <f>IF($C987="B",INDEX(Batters[[#All],[Rnk]],MATCH(Table5[[#This Row],[PID]],Batters[[#All],[PID]],0)),INDEX(Table3[[#All],[Rnk]],MATCH(Table5[[#This Row],[PID]],Table3[[#All],[PID]],0)))</f>
        <v>558</v>
      </c>
      <c r="U987" s="68">
        <f>IF($C987="B",VLOOKUP($A987,Bat!$A$4:$BA$1621,47,FALSE),VLOOKUP($A987,Pit!$A$4:$BF$1557,56,FALSE))</f>
        <v>0</v>
      </c>
      <c r="V987" s="50">
        <f>IF($C987="B",VLOOKUP($A987,Bat!$A$4:$BA$1621,48,FALSE),VLOOKUP($A987,Pit!$A$4:$BF$1557,57,FALSE))</f>
        <v>0</v>
      </c>
      <c r="W987" s="50">
        <f>Table5[[#This Row],[posRnk]]+Table5[[#This Row],[zRnk]]+IF($W$3&lt;&gt;Table5[[#This Row],[Type]],50,0)</f>
        <v>1524</v>
      </c>
      <c r="X987" s="51">
        <f>RANK(Table5[[#This Row],[zScore]],Table5[[#All],[zScore]])</f>
        <v>916</v>
      </c>
      <c r="Y987" s="50" t="str">
        <f>IFERROR(INDEX(DraftResults[[#All],[OVR]],MATCH(Table5[[#This Row],[PID]],DraftResults[[#All],[Player ID]],0)),"")</f>
        <v/>
      </c>
      <c r="Z9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7" s="50" t="str">
        <f>IFERROR(INDEX(DraftResults[[#All],[Pick in Round]],MATCH(Table5[[#This Row],[PID]],DraftResults[[#All],[Player ID]],0)),"")</f>
        <v/>
      </c>
      <c r="AB987" s="50" t="str">
        <f>IFERROR(INDEX(DraftResults[[#All],[Team Name]],MATCH(Table5[[#This Row],[PID]],DraftResults[[#All],[Player ID]],0)),"")</f>
        <v/>
      </c>
      <c r="AC987" s="50" t="str">
        <f>IF(Table5[[#This Row],[Ovr]]="","",IF(Table5[[#This Row],[cmbList]]="","",Table5[[#This Row],[cmbList]]-Table5[[#This Row],[Ovr]]))</f>
        <v/>
      </c>
      <c r="AD987" s="54" t="str">
        <f>IF(ISERROR(VLOOKUP($AB987&amp;"-"&amp;$E987&amp;" "&amp;F987,Bonuses!$B$1:$G$1006,4,FALSE)),"",INT(VLOOKUP($AB987&amp;"-"&amp;$E987&amp;" "&amp;$F987,Bonuses!$B$1:$G$1006,4,FALSE)))</f>
        <v/>
      </c>
      <c r="AE9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8" spans="1:31" s="50" customFormat="1" x14ac:dyDescent="0.25">
      <c r="A988" s="50">
        <v>20611</v>
      </c>
      <c r="B988" s="50">
        <f>COUNTIF(Table5[PID],A988)</f>
        <v>1</v>
      </c>
      <c r="C988" s="50" t="str">
        <f>IF(COUNTIF(Table3[[#All],[PID]],A988)&gt;0,"P","B")</f>
        <v>P</v>
      </c>
      <c r="D988" s="59" t="str">
        <f>IF($C988="B",INDEX(Batters[[#All],[POS]],MATCH(Table5[[#This Row],[PID]],Batters[[#All],[PID]],0)),INDEX(Table3[[#All],[POS]],MATCH(Table5[[#This Row],[PID]],Table3[[#All],[PID]],0)))</f>
        <v>RP</v>
      </c>
      <c r="E988" s="52" t="str">
        <f>IF($C988="B",INDEX(Batters[[#All],[First]],MATCH(Table5[[#This Row],[PID]],Batters[[#All],[PID]],0)),INDEX(Table3[[#All],[First]],MATCH(Table5[[#This Row],[PID]],Table3[[#All],[PID]],0)))</f>
        <v>Lu</v>
      </c>
      <c r="F988" s="50" t="str">
        <f>IF($C988="B",INDEX(Batters[[#All],[Last]],MATCH(A988,Batters[[#All],[PID]],0)),INDEX(Table3[[#All],[Last]],MATCH(A988,Table3[[#All],[PID]],0)))</f>
        <v>Mah</v>
      </c>
      <c r="G988" s="56">
        <f>IF($C988="B",INDEX(Batters[[#All],[Age]],MATCH(Table5[[#This Row],[PID]],Batters[[#All],[PID]],0)),INDEX(Table3[[#All],[Age]],MATCH(Table5[[#This Row],[PID]],Table3[[#All],[PID]],0)))</f>
        <v>18</v>
      </c>
      <c r="H988" s="52" t="str">
        <f>IF($C988="B",INDEX(Batters[[#All],[B]],MATCH(Table5[[#This Row],[PID]],Batters[[#All],[PID]],0)),INDEX(Table3[[#All],[B]],MATCH(Table5[[#This Row],[PID]],Table3[[#All],[PID]],0)))</f>
        <v>R</v>
      </c>
      <c r="I988" s="52" t="str">
        <f>IF($C988="B",INDEX(Batters[[#All],[T]],MATCH(Table5[[#This Row],[PID]],Batters[[#All],[PID]],0)),INDEX(Table3[[#All],[T]],MATCH(Table5[[#This Row],[PID]],Table3[[#All],[PID]],0)))</f>
        <v>R</v>
      </c>
      <c r="J988" s="52" t="str">
        <f>IF($C988="B",INDEX(Batters[[#All],[WE]],MATCH(Table5[[#This Row],[PID]],Batters[[#All],[PID]],0)),INDEX(Table3[[#All],[WE]],MATCH(Table5[[#This Row],[PID]],Table3[[#All],[PID]],0)))</f>
        <v>Low</v>
      </c>
      <c r="K988" s="52" t="str">
        <f>IF($C988="B",INDEX(Batters[[#All],[INT]],MATCH(Table5[[#This Row],[PID]],Batters[[#All],[PID]],0)),INDEX(Table3[[#All],[INT]],MATCH(Table5[[#This Row],[PID]],Table3[[#All],[PID]],0)))</f>
        <v>Normal</v>
      </c>
      <c r="L988" s="60">
        <f>IF($C988="B",INDEX(Batters[[#All],[CON P]],MATCH(Table5[[#This Row],[PID]],Batters[[#All],[PID]],0)),INDEX(Table3[[#All],[STU P]],MATCH(Table5[[#This Row],[PID]],Table3[[#All],[PID]],0)))</f>
        <v>3</v>
      </c>
      <c r="M988" s="56">
        <f>IF($C988="B",INDEX(Batters[[#All],[GAP P]],MATCH(Table5[[#This Row],[PID]],Batters[[#All],[PID]],0)),INDEX(Table3[[#All],[MOV P]],MATCH(Table5[[#This Row],[PID]],Table3[[#All],[PID]],0)))</f>
        <v>1</v>
      </c>
      <c r="N988" s="56">
        <f>IF($C988="B",INDEX(Batters[[#All],[POW P]],MATCH(Table5[[#This Row],[PID]],Batters[[#All],[PID]],0)),INDEX(Table3[[#All],[CON P]],MATCH(Table5[[#This Row],[PID]],Table3[[#All],[PID]],0)))</f>
        <v>3</v>
      </c>
      <c r="O988" s="56" t="str">
        <f>IF($C988="B",INDEX(Batters[[#All],[EYE P]],MATCH(Table5[[#This Row],[PID]],Batters[[#All],[PID]],0)),INDEX(Table3[[#All],[VELO]],MATCH(Table5[[#This Row],[PID]],Table3[[#All],[PID]],0)))</f>
        <v>86-88 Mph</v>
      </c>
      <c r="P988" s="56">
        <f>IF($C988="B",INDEX(Batters[[#All],[K P]],MATCH(Table5[[#This Row],[PID]],Batters[[#All],[PID]],0)),INDEX(Table3[[#All],[STM]],MATCH(Table5[[#This Row],[PID]],Table3[[#All],[PID]],0)))</f>
        <v>8</v>
      </c>
      <c r="Q988" s="61">
        <f>IF($C988="B",INDEX(Batters[[#All],[Tot]],MATCH(Table5[[#This Row],[PID]],Batters[[#All],[PID]],0)),INDEX(Table3[[#All],[Tot]],MATCH(Table5[[#This Row],[PID]],Table3[[#All],[PID]],0)))</f>
        <v>26.866360930467685</v>
      </c>
      <c r="R988" s="52">
        <f>IF($C988="B",INDEX(Batters[[#All],[zScore]],MATCH(Table5[[#This Row],[PID]],Batters[[#All],[PID]],0)),INDEX(Table3[[#All],[zScore]],MATCH(Table5[[#This Row],[PID]],Table3[[#All],[PID]],0)))</f>
        <v>-0.59903334559250987</v>
      </c>
      <c r="S988" s="58" t="str">
        <f>IF($C988="B",INDEX(Batters[[#All],[DEM]],MATCH(Table5[[#This Row],[PID]],Batters[[#All],[PID]],0)),INDEX(Table3[[#All],[DEM]],MATCH(Table5[[#This Row],[PID]],Table3[[#All],[PID]],0)))</f>
        <v>$65k</v>
      </c>
      <c r="T988" s="62">
        <f>IF($C988="B",INDEX(Batters[[#All],[Rnk]],MATCH(Table5[[#This Row],[PID]],Batters[[#All],[PID]],0)),INDEX(Table3[[#All],[Rnk]],MATCH(Table5[[#This Row],[PID]],Table3[[#All],[PID]],0)))</f>
        <v>559</v>
      </c>
      <c r="U988" s="68">
        <f>IF($C988="B",VLOOKUP($A988,Bat!$A$4:$BA$1621,47,FALSE),VLOOKUP($A988,Pit!$A$4:$BF$1557,56,FALSE))</f>
        <v>0</v>
      </c>
      <c r="V988" s="50">
        <f>IF($C988="B",VLOOKUP($A988,Bat!$A$4:$BA$1621,48,FALSE),VLOOKUP($A988,Pit!$A$4:$BF$1557,57,FALSE))</f>
        <v>0</v>
      </c>
      <c r="W988" s="50">
        <f>Table5[[#This Row],[posRnk]]+Table5[[#This Row],[zRnk]]+IF($W$3&lt;&gt;Table5[[#This Row],[Type]],50,0)</f>
        <v>1526</v>
      </c>
      <c r="X988" s="51">
        <f>RANK(Table5[[#This Row],[zScore]],Table5[[#All],[zScore]])</f>
        <v>917</v>
      </c>
      <c r="Y988" s="50" t="str">
        <f>IFERROR(INDEX(DraftResults[[#All],[OVR]],MATCH(Table5[[#This Row],[PID]],DraftResults[[#All],[Player ID]],0)),"")</f>
        <v/>
      </c>
      <c r="Z9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8" s="50" t="str">
        <f>IFERROR(INDEX(DraftResults[[#All],[Pick in Round]],MATCH(Table5[[#This Row],[PID]],DraftResults[[#All],[Player ID]],0)),"")</f>
        <v/>
      </c>
      <c r="AB988" s="50" t="str">
        <f>IFERROR(INDEX(DraftResults[[#All],[Team Name]],MATCH(Table5[[#This Row],[PID]],DraftResults[[#All],[Player ID]],0)),"")</f>
        <v/>
      </c>
      <c r="AC988" s="50" t="str">
        <f>IF(Table5[[#This Row],[Ovr]]="","",IF(Table5[[#This Row],[cmbList]]="","",Table5[[#This Row],[cmbList]]-Table5[[#This Row],[Ovr]]))</f>
        <v/>
      </c>
      <c r="AD988" s="54" t="str">
        <f>IF(ISERROR(VLOOKUP($AB988&amp;"-"&amp;$E988&amp;" "&amp;F988,Bonuses!$B$1:$G$1006,4,FALSE)),"",INT(VLOOKUP($AB988&amp;"-"&amp;$E988&amp;" "&amp;$F988,Bonuses!$B$1:$G$1006,4,FALSE)))</f>
        <v/>
      </c>
      <c r="AE9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89" spans="1:31" s="50" customFormat="1" x14ac:dyDescent="0.25">
      <c r="A989" s="50">
        <v>20592</v>
      </c>
      <c r="B989" s="50">
        <f>COUNTIF(Table5[PID],A989)</f>
        <v>1</v>
      </c>
      <c r="C989" s="50" t="str">
        <f>IF(COUNTIF(Table3[[#All],[PID]],A989)&gt;0,"P","B")</f>
        <v>B</v>
      </c>
      <c r="D989" s="59" t="str">
        <f>IF($C989="B",INDEX(Batters[[#All],[POS]],MATCH(Table5[[#This Row],[PID]],Batters[[#All],[PID]],0)),INDEX(Table3[[#All],[POS]],MATCH(Table5[[#This Row],[PID]],Table3[[#All],[PID]],0)))</f>
        <v>3B</v>
      </c>
      <c r="E989" s="52" t="str">
        <f>IF($C989="B",INDEX(Batters[[#All],[First]],MATCH(Table5[[#This Row],[PID]],Batters[[#All],[PID]],0)),INDEX(Table3[[#All],[First]],MATCH(Table5[[#This Row],[PID]],Table3[[#All],[PID]],0)))</f>
        <v>Zong-ming</v>
      </c>
      <c r="F989" s="50" t="str">
        <f>IF($C989="B",INDEX(Batters[[#All],[Last]],MATCH(A989,Batters[[#All],[PID]],0)),INDEX(Table3[[#All],[Last]],MATCH(A989,Table3[[#All],[PID]],0)))</f>
        <v>Mao</v>
      </c>
      <c r="G989" s="56">
        <f>IF($C989="B",INDEX(Batters[[#All],[Age]],MATCH(Table5[[#This Row],[PID]],Batters[[#All],[PID]],0)),INDEX(Table3[[#All],[Age]],MATCH(Table5[[#This Row],[PID]],Table3[[#All],[PID]],0)))</f>
        <v>17</v>
      </c>
      <c r="H989" s="52" t="str">
        <f>IF($C989="B",INDEX(Batters[[#All],[B]],MATCH(Table5[[#This Row],[PID]],Batters[[#All],[PID]],0)),INDEX(Table3[[#All],[B]],MATCH(Table5[[#This Row],[PID]],Table3[[#All],[PID]],0)))</f>
        <v>R</v>
      </c>
      <c r="I989" s="52" t="str">
        <f>IF($C989="B",INDEX(Batters[[#All],[T]],MATCH(Table5[[#This Row],[PID]],Batters[[#All],[PID]],0)),INDEX(Table3[[#All],[T]],MATCH(Table5[[#This Row],[PID]],Table3[[#All],[PID]],0)))</f>
        <v>R</v>
      </c>
      <c r="J989" s="52" t="str">
        <f>IF($C989="B",INDEX(Batters[[#All],[WE]],MATCH(Table5[[#This Row],[PID]],Batters[[#All],[PID]],0)),INDEX(Table3[[#All],[WE]],MATCH(Table5[[#This Row],[PID]],Table3[[#All],[PID]],0)))</f>
        <v>High</v>
      </c>
      <c r="K989" s="52" t="str">
        <f>IF($C989="B",INDEX(Batters[[#All],[INT]],MATCH(Table5[[#This Row],[PID]],Batters[[#All],[PID]],0)),INDEX(Table3[[#All],[INT]],MATCH(Table5[[#This Row],[PID]],Table3[[#All],[PID]],0)))</f>
        <v>Normal</v>
      </c>
      <c r="L989" s="60">
        <f>IF($C989="B",INDEX(Batters[[#All],[CON P]],MATCH(Table5[[#This Row],[PID]],Batters[[#All],[PID]],0)),INDEX(Table3[[#All],[STU P]],MATCH(Table5[[#This Row],[PID]],Table3[[#All],[PID]],0)))</f>
        <v>3</v>
      </c>
      <c r="M989" s="56">
        <f>IF($C989="B",INDEX(Batters[[#All],[GAP P]],MATCH(Table5[[#This Row],[PID]],Batters[[#All],[PID]],0)),INDEX(Table3[[#All],[MOV P]],MATCH(Table5[[#This Row],[PID]],Table3[[#All],[PID]],0)))</f>
        <v>4</v>
      </c>
      <c r="N989" s="56">
        <f>IF($C989="B",INDEX(Batters[[#All],[POW P]],MATCH(Table5[[#This Row],[PID]],Batters[[#All],[PID]],0)),INDEX(Table3[[#All],[CON P]],MATCH(Table5[[#This Row],[PID]],Table3[[#All],[PID]],0)))</f>
        <v>2</v>
      </c>
      <c r="O989" s="56">
        <f>IF($C989="B",INDEX(Batters[[#All],[EYE P]],MATCH(Table5[[#This Row],[PID]],Batters[[#All],[PID]],0)),INDEX(Table3[[#All],[VELO]],MATCH(Table5[[#This Row],[PID]],Table3[[#All],[PID]],0)))</f>
        <v>5</v>
      </c>
      <c r="P989" s="56">
        <f>IF($C989="B",INDEX(Batters[[#All],[K P]],MATCH(Table5[[#This Row],[PID]],Batters[[#All],[PID]],0)),INDEX(Table3[[#All],[STM]],MATCH(Table5[[#This Row],[PID]],Table3[[#All],[PID]],0)))</f>
        <v>4</v>
      </c>
      <c r="Q989" s="61">
        <f>IF($C989="B",INDEX(Batters[[#All],[Tot]],MATCH(Table5[[#This Row],[PID]],Batters[[#All],[PID]],0)),INDEX(Table3[[#All],[Tot]],MATCH(Table5[[#This Row],[PID]],Table3[[#All],[PID]],0)))</f>
        <v>41.429814844712702</v>
      </c>
      <c r="R989" s="52">
        <f>IF($C989="B",INDEX(Batters[[#All],[zScore]],MATCH(Table5[[#This Row],[PID]],Batters[[#All],[PID]],0)),INDEX(Table3[[#All],[zScore]],MATCH(Table5[[#This Row],[PID]],Table3[[#All],[PID]],0)))</f>
        <v>-0.59907934988250588</v>
      </c>
      <c r="S989" s="58" t="str">
        <f>IF($C989="B",INDEX(Batters[[#All],[DEM]],MATCH(Table5[[#This Row],[PID]],Batters[[#All],[PID]],0)),INDEX(Table3[[#All],[DEM]],MATCH(Table5[[#This Row],[PID]],Table3[[#All],[PID]],0)))</f>
        <v>$65k</v>
      </c>
      <c r="T989" s="62">
        <f>IF($C989="B",INDEX(Batters[[#All],[Rnk]],MATCH(Table5[[#This Row],[PID]],Batters[[#All],[PID]],0)),INDEX(Table3[[#All],[Rnk]],MATCH(Table5[[#This Row],[PID]],Table3[[#All],[PID]],0)))</f>
        <v>358</v>
      </c>
      <c r="U989" s="68">
        <f>IF($C989="B",VLOOKUP($A989,Bat!$A$4:$BA$1621,47,FALSE),VLOOKUP($A989,Pit!$A$4:$BF$1557,56,FALSE))</f>
        <v>0</v>
      </c>
      <c r="V989" s="50">
        <f>IF($C989="B",VLOOKUP($A989,Bat!$A$4:$BA$1621,48,FALSE),VLOOKUP($A989,Pit!$A$4:$BF$1557,57,FALSE))</f>
        <v>0</v>
      </c>
      <c r="W989" s="50">
        <f>Table5[[#This Row],[posRnk]]+Table5[[#This Row],[zRnk]]+IF($W$3&lt;&gt;Table5[[#This Row],[Type]],50,0)</f>
        <v>1326</v>
      </c>
      <c r="X989" s="51">
        <f>RANK(Table5[[#This Row],[zScore]],Table5[[#All],[zScore]])</f>
        <v>918</v>
      </c>
      <c r="Y989" s="50" t="str">
        <f>IFERROR(INDEX(DraftResults[[#All],[OVR]],MATCH(Table5[[#This Row],[PID]],DraftResults[[#All],[Player ID]],0)),"")</f>
        <v/>
      </c>
      <c r="Z9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89" s="50" t="str">
        <f>IFERROR(INDEX(DraftResults[[#All],[Pick in Round]],MATCH(Table5[[#This Row],[PID]],DraftResults[[#All],[Player ID]],0)),"")</f>
        <v/>
      </c>
      <c r="AB989" s="50" t="str">
        <f>IFERROR(INDEX(DraftResults[[#All],[Team Name]],MATCH(Table5[[#This Row],[PID]],DraftResults[[#All],[Player ID]],0)),"")</f>
        <v/>
      </c>
      <c r="AC989" s="50" t="str">
        <f>IF(Table5[[#This Row],[Ovr]]="","",IF(Table5[[#This Row],[cmbList]]="","",Table5[[#This Row],[cmbList]]-Table5[[#This Row],[Ovr]]))</f>
        <v/>
      </c>
      <c r="AD989" s="54" t="str">
        <f>IF(ISERROR(VLOOKUP($AB989&amp;"-"&amp;$E989&amp;" "&amp;F989,Bonuses!$B$1:$G$1006,4,FALSE)),"",INT(VLOOKUP($AB989&amp;"-"&amp;$E989&amp;" "&amp;$F989,Bonuses!$B$1:$G$1006,4,FALSE)))</f>
        <v/>
      </c>
      <c r="AE9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0" spans="1:31" s="50" customFormat="1" x14ac:dyDescent="0.25">
      <c r="A990" s="50">
        <v>17859</v>
      </c>
      <c r="B990" s="50">
        <f>COUNTIF(Table5[PID],A990)</f>
        <v>1</v>
      </c>
      <c r="C990" s="50" t="str">
        <f>IF(COUNTIF(Table3[[#All],[PID]],A990)&gt;0,"P","B")</f>
        <v>P</v>
      </c>
      <c r="D990" s="59" t="str">
        <f>IF($C990="B",INDEX(Batters[[#All],[POS]],MATCH(Table5[[#This Row],[PID]],Batters[[#All],[PID]],0)),INDEX(Table3[[#All],[POS]],MATCH(Table5[[#This Row],[PID]],Table3[[#All],[PID]],0)))</f>
        <v>RP</v>
      </c>
      <c r="E990" s="52" t="str">
        <f>IF($C990="B",INDEX(Batters[[#All],[First]],MATCH(Table5[[#This Row],[PID]],Batters[[#All],[PID]],0)),INDEX(Table3[[#All],[First]],MATCH(Table5[[#This Row],[PID]],Table3[[#All],[PID]],0)))</f>
        <v>Thomas</v>
      </c>
      <c r="F990" s="50" t="str">
        <f>IF($C990="B",INDEX(Batters[[#All],[Last]],MATCH(A990,Batters[[#All],[PID]],0)),INDEX(Table3[[#All],[Last]],MATCH(A990,Table3[[#All],[PID]],0)))</f>
        <v>Farquhar</v>
      </c>
      <c r="G990" s="56">
        <f>IF($C990="B",INDEX(Batters[[#All],[Age]],MATCH(Table5[[#This Row],[PID]],Batters[[#All],[PID]],0)),INDEX(Table3[[#All],[Age]],MATCH(Table5[[#This Row],[PID]],Table3[[#All],[PID]],0)))</f>
        <v>18</v>
      </c>
      <c r="H990" s="52" t="str">
        <f>IF($C990="B",INDEX(Batters[[#All],[B]],MATCH(Table5[[#This Row],[PID]],Batters[[#All],[PID]],0)),INDEX(Table3[[#All],[B]],MATCH(Table5[[#This Row],[PID]],Table3[[#All],[PID]],0)))</f>
        <v>S</v>
      </c>
      <c r="I990" s="52" t="str">
        <f>IF($C990="B",INDEX(Batters[[#All],[T]],MATCH(Table5[[#This Row],[PID]],Batters[[#All],[PID]],0)),INDEX(Table3[[#All],[T]],MATCH(Table5[[#This Row],[PID]],Table3[[#All],[PID]],0)))</f>
        <v>R</v>
      </c>
      <c r="J990" s="52" t="str">
        <f>IF($C990="B",INDEX(Batters[[#All],[WE]],MATCH(Table5[[#This Row],[PID]],Batters[[#All],[PID]],0)),INDEX(Table3[[#All],[WE]],MATCH(Table5[[#This Row],[PID]],Table3[[#All],[PID]],0)))</f>
        <v>Low</v>
      </c>
      <c r="K990" s="52" t="str">
        <f>IF($C990="B",INDEX(Batters[[#All],[INT]],MATCH(Table5[[#This Row],[PID]],Batters[[#All],[PID]],0)),INDEX(Table3[[#All],[INT]],MATCH(Table5[[#This Row],[PID]],Table3[[#All],[PID]],0)))</f>
        <v>Normal</v>
      </c>
      <c r="L990" s="60">
        <f>IF($C990="B",INDEX(Batters[[#All],[CON P]],MATCH(Table5[[#This Row],[PID]],Batters[[#All],[PID]],0)),INDEX(Table3[[#All],[STU P]],MATCH(Table5[[#This Row],[PID]],Table3[[#All],[PID]],0)))</f>
        <v>3</v>
      </c>
      <c r="M990" s="56">
        <f>IF($C990="B",INDEX(Batters[[#All],[GAP P]],MATCH(Table5[[#This Row],[PID]],Batters[[#All],[PID]],0)),INDEX(Table3[[#All],[MOV P]],MATCH(Table5[[#This Row],[PID]],Table3[[#All],[PID]],0)))</f>
        <v>1</v>
      </c>
      <c r="N990" s="56">
        <f>IF($C990="B",INDEX(Batters[[#All],[POW P]],MATCH(Table5[[#This Row],[PID]],Batters[[#All],[PID]],0)),INDEX(Table3[[#All],[CON P]],MATCH(Table5[[#This Row],[PID]],Table3[[#All],[PID]],0)))</f>
        <v>3</v>
      </c>
      <c r="O990" s="56" t="str">
        <f>IF($C990="B",INDEX(Batters[[#All],[EYE P]],MATCH(Table5[[#This Row],[PID]],Batters[[#All],[PID]],0)),INDEX(Table3[[#All],[VELO]],MATCH(Table5[[#This Row],[PID]],Table3[[#All],[PID]],0)))</f>
        <v>86-88 Mph</v>
      </c>
      <c r="P990" s="56">
        <f>IF($C990="B",INDEX(Batters[[#All],[K P]],MATCH(Table5[[#This Row],[PID]],Batters[[#All],[PID]],0)),INDEX(Table3[[#All],[STM]],MATCH(Table5[[#This Row],[PID]],Table3[[#All],[PID]],0)))</f>
        <v>10</v>
      </c>
      <c r="Q990" s="61">
        <f>IF($C990="B",INDEX(Batters[[#All],[Tot]],MATCH(Table5[[#This Row],[PID]],Batters[[#All],[PID]],0)),INDEX(Table3[[#All],[Tot]],MATCH(Table5[[#This Row],[PID]],Table3[[#All],[PID]],0)))</f>
        <v>26.829369578810944</v>
      </c>
      <c r="R990" s="52">
        <f>IF($C990="B",INDEX(Batters[[#All],[zScore]],MATCH(Table5[[#This Row],[PID]],Batters[[#All],[PID]],0)),INDEX(Table3[[#All],[zScore]],MATCH(Table5[[#This Row],[PID]],Table3[[#All],[PID]],0)))</f>
        <v>-0.60149432369142131</v>
      </c>
      <c r="S990" s="58" t="str">
        <f>IF($C990="B",INDEX(Batters[[#All],[DEM]],MATCH(Table5[[#This Row],[PID]],Batters[[#All],[PID]],0)),INDEX(Table3[[#All],[DEM]],MATCH(Table5[[#This Row],[PID]],Table3[[#All],[PID]],0)))</f>
        <v>$130k</v>
      </c>
      <c r="T990" s="62">
        <f>IF($C990="B",INDEX(Batters[[#All],[Rnk]],MATCH(Table5[[#This Row],[PID]],Batters[[#All],[PID]],0)),INDEX(Table3[[#All],[Rnk]],MATCH(Table5[[#This Row],[PID]],Table3[[#All],[PID]],0)))</f>
        <v>560</v>
      </c>
      <c r="U990" s="68">
        <f>IF($C990="B",VLOOKUP($A990,Bat!$A$4:$BA$1621,47,FALSE),VLOOKUP($A990,Pit!$A$4:$BF$1557,56,FALSE))</f>
        <v>0</v>
      </c>
      <c r="V990" s="50">
        <f>IF($C990="B",VLOOKUP($A990,Bat!$A$4:$BA$1621,48,FALSE),VLOOKUP($A990,Pit!$A$4:$BF$1557,57,FALSE))</f>
        <v>0</v>
      </c>
      <c r="W990" s="50">
        <f>Table5[[#This Row],[posRnk]]+Table5[[#This Row],[zRnk]]+IF($W$3&lt;&gt;Table5[[#This Row],[Type]],50,0)</f>
        <v>1529</v>
      </c>
      <c r="X990" s="51">
        <f>RANK(Table5[[#This Row],[zScore]],Table5[[#All],[zScore]])</f>
        <v>919</v>
      </c>
      <c r="Y990" s="50" t="str">
        <f>IFERROR(INDEX(DraftResults[[#All],[OVR]],MATCH(Table5[[#This Row],[PID]],DraftResults[[#All],[Player ID]],0)),"")</f>
        <v/>
      </c>
      <c r="Z9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0" s="50" t="str">
        <f>IFERROR(INDEX(DraftResults[[#All],[Pick in Round]],MATCH(Table5[[#This Row],[PID]],DraftResults[[#All],[Player ID]],0)),"")</f>
        <v/>
      </c>
      <c r="AB990" s="50" t="str">
        <f>IFERROR(INDEX(DraftResults[[#All],[Team Name]],MATCH(Table5[[#This Row],[PID]],DraftResults[[#All],[Player ID]],0)),"")</f>
        <v/>
      </c>
      <c r="AC990" s="50" t="str">
        <f>IF(Table5[[#This Row],[Ovr]]="","",IF(Table5[[#This Row],[cmbList]]="","",Table5[[#This Row],[cmbList]]-Table5[[#This Row],[Ovr]]))</f>
        <v/>
      </c>
      <c r="AD990" s="54" t="str">
        <f>IF(ISERROR(VLOOKUP($AB990&amp;"-"&amp;$E990&amp;" "&amp;F990,Bonuses!$B$1:$G$1006,4,FALSE)),"",INT(VLOOKUP($AB990&amp;"-"&amp;$E990&amp;" "&amp;$F990,Bonuses!$B$1:$G$1006,4,FALSE)))</f>
        <v/>
      </c>
      <c r="AE9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1" spans="1:31" s="50" customFormat="1" x14ac:dyDescent="0.25">
      <c r="A991" s="50">
        <v>20772</v>
      </c>
      <c r="B991" s="50">
        <f>COUNTIF(Table5[PID],A991)</f>
        <v>1</v>
      </c>
      <c r="C991" s="50" t="str">
        <f>IF(COUNTIF(Table3[[#All],[PID]],A991)&gt;0,"P","B")</f>
        <v>B</v>
      </c>
      <c r="D991" s="59" t="str">
        <f>IF($C991="B",INDEX(Batters[[#All],[POS]],MATCH(Table5[[#This Row],[PID]],Batters[[#All],[PID]],0)),INDEX(Table3[[#All],[POS]],MATCH(Table5[[#This Row],[PID]],Table3[[#All],[PID]],0)))</f>
        <v>SS</v>
      </c>
      <c r="E991" s="52" t="str">
        <f>IF($C991="B",INDEX(Batters[[#All],[First]],MATCH(Table5[[#This Row],[PID]],Batters[[#All],[PID]],0)),INDEX(Table3[[#All],[First]],MATCH(Table5[[#This Row],[PID]],Table3[[#All],[PID]],0)))</f>
        <v>Sandy</v>
      </c>
      <c r="F991" s="50" t="str">
        <f>IF($C991="B",INDEX(Batters[[#All],[Last]],MATCH(A991,Batters[[#All],[PID]],0)),INDEX(Table3[[#All],[Last]],MATCH(A991,Table3[[#All],[PID]],0)))</f>
        <v>Sims</v>
      </c>
      <c r="G991" s="56">
        <f>IF($C991="B",INDEX(Batters[[#All],[Age]],MATCH(Table5[[#This Row],[PID]],Batters[[#All],[PID]],0)),INDEX(Table3[[#All],[Age]],MATCH(Table5[[#This Row],[PID]],Table3[[#All],[PID]],0)))</f>
        <v>18</v>
      </c>
      <c r="H991" s="52" t="str">
        <f>IF($C991="B",INDEX(Batters[[#All],[B]],MATCH(Table5[[#This Row],[PID]],Batters[[#All],[PID]],0)),INDEX(Table3[[#All],[B]],MATCH(Table5[[#This Row],[PID]],Table3[[#All],[PID]],0)))</f>
        <v>L</v>
      </c>
      <c r="I991" s="52" t="str">
        <f>IF($C991="B",INDEX(Batters[[#All],[T]],MATCH(Table5[[#This Row],[PID]],Batters[[#All],[PID]],0)),INDEX(Table3[[#All],[T]],MATCH(Table5[[#This Row],[PID]],Table3[[#All],[PID]],0)))</f>
        <v>R</v>
      </c>
      <c r="J991" s="52" t="str">
        <f>IF($C991="B",INDEX(Batters[[#All],[WE]],MATCH(Table5[[#This Row],[PID]],Batters[[#All],[PID]],0)),INDEX(Table3[[#All],[WE]],MATCH(Table5[[#This Row],[PID]],Table3[[#All],[PID]],0)))</f>
        <v>High</v>
      </c>
      <c r="K991" s="52" t="str">
        <f>IF($C991="B",INDEX(Batters[[#All],[INT]],MATCH(Table5[[#This Row],[PID]],Batters[[#All],[PID]],0)),INDEX(Table3[[#All],[INT]],MATCH(Table5[[#This Row],[PID]],Table3[[#All],[PID]],0)))</f>
        <v>Normal</v>
      </c>
      <c r="L991" s="60">
        <f>IF($C991="B",INDEX(Batters[[#All],[CON P]],MATCH(Table5[[#This Row],[PID]],Batters[[#All],[PID]],0)),INDEX(Table3[[#All],[STU P]],MATCH(Table5[[#This Row],[PID]],Table3[[#All],[PID]],0)))</f>
        <v>3</v>
      </c>
      <c r="M991" s="56">
        <f>IF($C991="B",INDEX(Batters[[#All],[GAP P]],MATCH(Table5[[#This Row],[PID]],Batters[[#All],[PID]],0)),INDEX(Table3[[#All],[MOV P]],MATCH(Table5[[#This Row],[PID]],Table3[[#All],[PID]],0)))</f>
        <v>3</v>
      </c>
      <c r="N991" s="56">
        <f>IF($C991="B",INDEX(Batters[[#All],[POW P]],MATCH(Table5[[#This Row],[PID]],Batters[[#All],[PID]],0)),INDEX(Table3[[#All],[CON P]],MATCH(Table5[[#This Row],[PID]],Table3[[#All],[PID]],0)))</f>
        <v>2</v>
      </c>
      <c r="O991" s="56">
        <f>IF($C991="B",INDEX(Batters[[#All],[EYE P]],MATCH(Table5[[#This Row],[PID]],Batters[[#All],[PID]],0)),INDEX(Table3[[#All],[VELO]],MATCH(Table5[[#This Row],[PID]],Table3[[#All],[PID]],0)))</f>
        <v>6</v>
      </c>
      <c r="P991" s="56">
        <f>IF($C991="B",INDEX(Batters[[#All],[K P]],MATCH(Table5[[#This Row],[PID]],Batters[[#All],[PID]],0)),INDEX(Table3[[#All],[STM]],MATCH(Table5[[#This Row],[PID]],Table3[[#All],[PID]],0)))</f>
        <v>3</v>
      </c>
      <c r="Q991" s="61">
        <f>IF($C991="B",INDEX(Batters[[#All],[Tot]],MATCH(Table5[[#This Row],[PID]],Batters[[#All],[PID]],0)),INDEX(Table3[[#All],[Tot]],MATCH(Table5[[#This Row],[PID]],Table3[[#All],[PID]],0)))</f>
        <v>41.412173790675446</v>
      </c>
      <c r="R991" s="52">
        <f>IF($C991="B",INDEX(Batters[[#All],[zScore]],MATCH(Table5[[#This Row],[PID]],Batters[[#All],[PID]],0)),INDEX(Table3[[#All],[zScore]],MATCH(Table5[[#This Row],[PID]],Table3[[#All],[PID]],0)))</f>
        <v>-0.6029904908050242</v>
      </c>
      <c r="S991" s="58" t="str">
        <f>IF($C991="B",INDEX(Batters[[#All],[DEM]],MATCH(Table5[[#This Row],[PID]],Batters[[#All],[PID]],0)),INDEX(Table3[[#All],[DEM]],MATCH(Table5[[#This Row],[PID]],Table3[[#All],[PID]],0)))</f>
        <v>$65k</v>
      </c>
      <c r="T991" s="62">
        <f>IF($C991="B",INDEX(Batters[[#All],[Rnk]],MATCH(Table5[[#This Row],[PID]],Batters[[#All],[PID]],0)),INDEX(Table3[[#All],[Rnk]],MATCH(Table5[[#This Row],[PID]],Table3[[#All],[PID]],0)))</f>
        <v>359</v>
      </c>
      <c r="U991" s="68">
        <f>IF($C991="B",VLOOKUP($A991,Bat!$A$4:$BA$1621,47,FALSE),VLOOKUP($A991,Pit!$A$4:$BF$1557,56,FALSE))</f>
        <v>0</v>
      </c>
      <c r="V991" s="50">
        <f>IF($C991="B",VLOOKUP($A991,Bat!$A$4:$BA$1621,48,FALSE),VLOOKUP($A991,Pit!$A$4:$BF$1557,57,FALSE))</f>
        <v>0</v>
      </c>
      <c r="W991" s="50">
        <f>Table5[[#This Row],[posRnk]]+Table5[[#This Row],[zRnk]]+IF($W$3&lt;&gt;Table5[[#This Row],[Type]],50,0)</f>
        <v>1329</v>
      </c>
      <c r="X991" s="51">
        <f>RANK(Table5[[#This Row],[zScore]],Table5[[#All],[zScore]])</f>
        <v>920</v>
      </c>
      <c r="Y991" s="50" t="str">
        <f>IFERROR(INDEX(DraftResults[[#All],[OVR]],MATCH(Table5[[#This Row],[PID]],DraftResults[[#All],[Player ID]],0)),"")</f>
        <v/>
      </c>
      <c r="Z9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1" s="50" t="str">
        <f>IFERROR(INDEX(DraftResults[[#All],[Pick in Round]],MATCH(Table5[[#This Row],[PID]],DraftResults[[#All],[Player ID]],0)),"")</f>
        <v/>
      </c>
      <c r="AB991" s="50" t="str">
        <f>IFERROR(INDEX(DraftResults[[#All],[Team Name]],MATCH(Table5[[#This Row],[PID]],DraftResults[[#All],[Player ID]],0)),"")</f>
        <v/>
      </c>
      <c r="AC991" s="50" t="str">
        <f>IF(Table5[[#This Row],[Ovr]]="","",IF(Table5[[#This Row],[cmbList]]="","",Table5[[#This Row],[cmbList]]-Table5[[#This Row],[Ovr]]))</f>
        <v/>
      </c>
      <c r="AD991" s="54" t="str">
        <f>IF(ISERROR(VLOOKUP($AB991&amp;"-"&amp;$E991&amp;" "&amp;F991,Bonuses!$B$1:$G$1006,4,FALSE)),"",INT(VLOOKUP($AB991&amp;"-"&amp;$E991&amp;" "&amp;$F991,Bonuses!$B$1:$G$1006,4,FALSE)))</f>
        <v/>
      </c>
      <c r="AE9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2" spans="1:31" s="50" customFormat="1" x14ac:dyDescent="0.25">
      <c r="A992" s="68">
        <v>20236</v>
      </c>
      <c r="B992" s="69">
        <f>COUNTIF(Table5[PID],A992)</f>
        <v>1</v>
      </c>
      <c r="C992" s="69" t="str">
        <f>IF(COUNTIF(Table3[[#All],[PID]],A992)&gt;0,"P","B")</f>
        <v>P</v>
      </c>
      <c r="D992" s="59" t="str">
        <f>IF($C992="B",INDEX(Batters[[#All],[POS]],MATCH(Table5[[#This Row],[PID]],Batters[[#All],[PID]],0)),INDEX(Table3[[#All],[POS]],MATCH(Table5[[#This Row],[PID]],Table3[[#All],[PID]],0)))</f>
        <v>SP</v>
      </c>
      <c r="E992" s="52" t="str">
        <f>IF($C992="B",INDEX(Batters[[#All],[First]],MATCH(Table5[[#This Row],[PID]],Batters[[#All],[PID]],0)),INDEX(Table3[[#All],[First]],MATCH(Table5[[#This Row],[PID]],Table3[[#All],[PID]],0)))</f>
        <v>Ken</v>
      </c>
      <c r="F992" s="55" t="str">
        <f>IF($C992="B",INDEX(Batters[[#All],[Last]],MATCH(A992,Batters[[#All],[PID]],0)),INDEX(Table3[[#All],[Last]],MATCH(A992,Table3[[#All],[PID]],0)))</f>
        <v>Pilgrim</v>
      </c>
      <c r="G992" s="56">
        <f>IF($C992="B",INDEX(Batters[[#All],[Age]],MATCH(Table5[[#This Row],[PID]],Batters[[#All],[PID]],0)),INDEX(Table3[[#All],[Age]],MATCH(Table5[[#This Row],[PID]],Table3[[#All],[PID]],0)))</f>
        <v>22</v>
      </c>
      <c r="H992" s="52" t="str">
        <f>IF($C992="B",INDEX(Batters[[#All],[B]],MATCH(Table5[[#This Row],[PID]],Batters[[#All],[PID]],0)),INDEX(Table3[[#All],[B]],MATCH(Table5[[#This Row],[PID]],Table3[[#All],[PID]],0)))</f>
        <v>R</v>
      </c>
      <c r="I992" s="52" t="str">
        <f>IF($C992="B",INDEX(Batters[[#All],[T]],MATCH(Table5[[#This Row],[PID]],Batters[[#All],[PID]],0)),INDEX(Table3[[#All],[T]],MATCH(Table5[[#This Row],[PID]],Table3[[#All],[PID]],0)))</f>
        <v>R</v>
      </c>
      <c r="J992" s="71" t="str">
        <f>IF($C992="B",INDEX(Batters[[#All],[WE]],MATCH(Table5[[#This Row],[PID]],Batters[[#All],[PID]],0)),INDEX(Table3[[#All],[WE]],MATCH(Table5[[#This Row],[PID]],Table3[[#All],[PID]],0)))</f>
        <v>Low</v>
      </c>
      <c r="K992" s="52" t="str">
        <f>IF($C992="B",INDEX(Batters[[#All],[INT]],MATCH(Table5[[#This Row],[PID]],Batters[[#All],[PID]],0)),INDEX(Table3[[#All],[INT]],MATCH(Table5[[#This Row],[PID]],Table3[[#All],[PID]],0)))</f>
        <v>Normal</v>
      </c>
      <c r="L992" s="60">
        <f>IF($C992="B",INDEX(Batters[[#All],[CON P]],MATCH(Table5[[#This Row],[PID]],Batters[[#All],[PID]],0)),INDEX(Table3[[#All],[STU P]],MATCH(Table5[[#This Row],[PID]],Table3[[#All],[PID]],0)))</f>
        <v>5</v>
      </c>
      <c r="M992" s="72">
        <f>IF($C992="B",INDEX(Batters[[#All],[GAP P]],MATCH(Table5[[#This Row],[PID]],Batters[[#All],[PID]],0)),INDEX(Table3[[#All],[MOV P]],MATCH(Table5[[#This Row],[PID]],Table3[[#All],[PID]],0)))</f>
        <v>1</v>
      </c>
      <c r="N992" s="72">
        <f>IF($C992="B",INDEX(Batters[[#All],[POW P]],MATCH(Table5[[#This Row],[PID]],Batters[[#All],[PID]],0)),INDEX(Table3[[#All],[CON P]],MATCH(Table5[[#This Row],[PID]],Table3[[#All],[PID]],0)))</f>
        <v>2</v>
      </c>
      <c r="O992" s="72" t="str">
        <f>IF($C992="B",INDEX(Batters[[#All],[EYE P]],MATCH(Table5[[#This Row],[PID]],Batters[[#All],[PID]],0)),INDEX(Table3[[#All],[VELO]],MATCH(Table5[[#This Row],[PID]],Table3[[#All],[PID]],0)))</f>
        <v>94-96 Mph</v>
      </c>
      <c r="P992" s="56">
        <f>IF($C992="B",INDEX(Batters[[#All],[K P]],MATCH(Table5[[#This Row],[PID]],Batters[[#All],[PID]],0)),INDEX(Table3[[#All],[STM]],MATCH(Table5[[#This Row],[PID]],Table3[[#All],[PID]],0)))</f>
        <v>7</v>
      </c>
      <c r="Q992" s="61">
        <f>IF($C992="B",INDEX(Batters[[#All],[Tot]],MATCH(Table5[[#This Row],[PID]],Batters[[#All],[PID]],0)),INDEX(Table3[[#All],[Tot]],MATCH(Table5[[#This Row],[PID]],Table3[[#All],[PID]],0)))</f>
        <v>26.804244899901107</v>
      </c>
      <c r="R992" s="52">
        <f>IF($C992="B",INDEX(Batters[[#All],[zScore]],MATCH(Table5[[#This Row],[PID]],Batters[[#All],[PID]],0)),INDEX(Table3[[#All],[zScore]],MATCH(Table5[[#This Row],[PID]],Table3[[#All],[PID]],0)))</f>
        <v>-0.60316583018604875</v>
      </c>
      <c r="S992" s="78" t="str">
        <f>IF($C992="B",INDEX(Batters[[#All],[DEM]],MATCH(Table5[[#This Row],[PID]],Batters[[#All],[PID]],0)),INDEX(Table3[[#All],[DEM]],MATCH(Table5[[#This Row],[PID]],Table3[[#All],[PID]],0)))</f>
        <v>-</v>
      </c>
      <c r="T992" s="75">
        <f>IF($C992="B",INDEX(Batters[[#All],[Rnk]],MATCH(Table5[[#This Row],[PID]],Batters[[#All],[PID]],0)),INDEX(Table3[[#All],[Rnk]],MATCH(Table5[[#This Row],[PID]],Table3[[#All],[PID]],0)))</f>
        <v>561</v>
      </c>
      <c r="U992" s="68">
        <f>IF($C992="B",VLOOKUP($A992,Bat!$A$4:$BA$1621,47,FALSE),VLOOKUP($A992,Pit!$A$4:$BF$1557,56,FALSE))</f>
        <v>0</v>
      </c>
      <c r="V992" s="50">
        <f>IF($C992="B",VLOOKUP($A992,Bat!$A$4:$BA$1621,48,FALSE),VLOOKUP($A992,Pit!$A$4:$BF$1557,57,FALSE))</f>
        <v>0</v>
      </c>
      <c r="W992" s="69">
        <f>Table5[[#This Row],[posRnk]]+Table5[[#This Row],[zRnk]]+IF($W$3&lt;&gt;Table5[[#This Row],[Type]],50,0)</f>
        <v>1532</v>
      </c>
      <c r="X992" s="73">
        <f>RANK(Table5[[#This Row],[zScore]],Table5[[#All],[zScore]])</f>
        <v>921</v>
      </c>
      <c r="Y992" s="69" t="str">
        <f>IFERROR(INDEX(DraftResults[[#All],[OVR]],MATCH(Table5[[#This Row],[PID]],DraftResults[[#All],[Player ID]],0)),"")</f>
        <v/>
      </c>
      <c r="Z99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2" s="69" t="str">
        <f>IFERROR(INDEX(DraftResults[[#All],[Pick in Round]],MATCH(Table5[[#This Row],[PID]],DraftResults[[#All],[Player ID]],0)),"")</f>
        <v/>
      </c>
      <c r="AB992" s="69" t="str">
        <f>IFERROR(INDEX(DraftResults[[#All],[Team Name]],MATCH(Table5[[#This Row],[PID]],DraftResults[[#All],[Player ID]],0)),"")</f>
        <v/>
      </c>
      <c r="AC992" s="69" t="str">
        <f>IF(Table5[[#This Row],[Ovr]]="","",IF(Table5[[#This Row],[cmbList]]="","",Table5[[#This Row],[cmbList]]-Table5[[#This Row],[Ovr]]))</f>
        <v/>
      </c>
      <c r="AD992" s="77" t="str">
        <f>IF(ISERROR(VLOOKUP($AB992&amp;"-"&amp;$E992&amp;" "&amp;F992,Bonuses!$B$1:$G$1006,4,FALSE)),"",INT(VLOOKUP($AB992&amp;"-"&amp;$E992&amp;" "&amp;$F992,Bonuses!$B$1:$G$1006,4,FALSE)))</f>
        <v/>
      </c>
      <c r="AE99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3" spans="1:31" s="50" customFormat="1" x14ac:dyDescent="0.25">
      <c r="A993" s="50">
        <v>20341</v>
      </c>
      <c r="B993" s="50">
        <f>COUNTIF(Table5[PID],A993)</f>
        <v>1</v>
      </c>
      <c r="C993" s="50" t="str">
        <f>IF(COUNTIF(Table3[[#All],[PID]],A993)&gt;0,"P","B")</f>
        <v>B</v>
      </c>
      <c r="D993" s="59" t="str">
        <f>IF($C993="B",INDEX(Batters[[#All],[POS]],MATCH(Table5[[#This Row],[PID]],Batters[[#All],[PID]],0)),INDEX(Table3[[#All],[POS]],MATCH(Table5[[#This Row],[PID]],Table3[[#All],[PID]],0)))</f>
        <v>2B</v>
      </c>
      <c r="E993" s="52" t="str">
        <f>IF($C993="B",INDEX(Batters[[#All],[First]],MATCH(Table5[[#This Row],[PID]],Batters[[#All],[PID]],0)),INDEX(Table3[[#All],[First]],MATCH(Table5[[#This Row],[PID]],Table3[[#All],[PID]],0)))</f>
        <v>Al</v>
      </c>
      <c r="F993" s="50" t="str">
        <f>IF($C993="B",INDEX(Batters[[#All],[Last]],MATCH(A993,Batters[[#All],[PID]],0)),INDEX(Table3[[#All],[Last]],MATCH(A993,Table3[[#All],[PID]],0)))</f>
        <v>Hurlson</v>
      </c>
      <c r="G993" s="56">
        <f>IF($C993="B",INDEX(Batters[[#All],[Age]],MATCH(Table5[[#This Row],[PID]],Batters[[#All],[PID]],0)),INDEX(Table3[[#All],[Age]],MATCH(Table5[[#This Row],[PID]],Table3[[#All],[PID]],0)))</f>
        <v>17</v>
      </c>
      <c r="H993" s="52" t="str">
        <f>IF($C993="B",INDEX(Batters[[#All],[B]],MATCH(Table5[[#This Row],[PID]],Batters[[#All],[PID]],0)),INDEX(Table3[[#All],[B]],MATCH(Table5[[#This Row],[PID]],Table3[[#All],[PID]],0)))</f>
        <v>S</v>
      </c>
      <c r="I993" s="52" t="str">
        <f>IF($C993="B",INDEX(Batters[[#All],[T]],MATCH(Table5[[#This Row],[PID]],Batters[[#All],[PID]],0)),INDEX(Table3[[#All],[T]],MATCH(Table5[[#This Row],[PID]],Table3[[#All],[PID]],0)))</f>
        <v>R</v>
      </c>
      <c r="J993" s="52" t="str">
        <f>IF($C993="B",INDEX(Batters[[#All],[WE]],MATCH(Table5[[#This Row],[PID]],Batters[[#All],[PID]],0)),INDEX(Table3[[#All],[WE]],MATCH(Table5[[#This Row],[PID]],Table3[[#All],[PID]],0)))</f>
        <v>Low</v>
      </c>
      <c r="K993" s="52" t="str">
        <f>IF($C993="B",INDEX(Batters[[#All],[INT]],MATCH(Table5[[#This Row],[PID]],Batters[[#All],[PID]],0)),INDEX(Table3[[#All],[INT]],MATCH(Table5[[#This Row],[PID]],Table3[[#All],[PID]],0)))</f>
        <v>Low</v>
      </c>
      <c r="L993" s="60">
        <f>IF($C993="B",INDEX(Batters[[#All],[CON P]],MATCH(Table5[[#This Row],[PID]],Batters[[#All],[PID]],0)),INDEX(Table3[[#All],[STU P]],MATCH(Table5[[#This Row],[PID]],Table3[[#All],[PID]],0)))</f>
        <v>2</v>
      </c>
      <c r="M993" s="56">
        <f>IF($C993="B",INDEX(Batters[[#All],[GAP P]],MATCH(Table5[[#This Row],[PID]],Batters[[#All],[PID]],0)),INDEX(Table3[[#All],[MOV P]],MATCH(Table5[[#This Row],[PID]],Table3[[#All],[PID]],0)))</f>
        <v>5</v>
      </c>
      <c r="N993" s="56">
        <f>IF($C993="B",INDEX(Batters[[#All],[POW P]],MATCH(Table5[[#This Row],[PID]],Batters[[#All],[PID]],0)),INDEX(Table3[[#All],[CON P]],MATCH(Table5[[#This Row],[PID]],Table3[[#All],[PID]],0)))</f>
        <v>6</v>
      </c>
      <c r="O993" s="56">
        <f>IF($C993="B",INDEX(Batters[[#All],[EYE P]],MATCH(Table5[[#This Row],[PID]],Batters[[#All],[PID]],0)),INDEX(Table3[[#All],[VELO]],MATCH(Table5[[#This Row],[PID]],Table3[[#All],[PID]],0)))</f>
        <v>6</v>
      </c>
      <c r="P993" s="56">
        <f>IF($C993="B",INDEX(Batters[[#All],[K P]],MATCH(Table5[[#This Row],[PID]],Batters[[#All],[PID]],0)),INDEX(Table3[[#All],[STM]],MATCH(Table5[[#This Row],[PID]],Table3[[#All],[PID]],0)))</f>
        <v>2</v>
      </c>
      <c r="Q993" s="61">
        <f>IF($C993="B",INDEX(Batters[[#All],[Tot]],MATCH(Table5[[#This Row],[PID]],Batters[[#All],[PID]],0)),INDEX(Table3[[#All],[Tot]],MATCH(Table5[[#This Row],[PID]],Table3[[#All],[PID]],0)))</f>
        <v>41.392214627760637</v>
      </c>
      <c r="R993" s="52">
        <f>IF($C993="B",INDEX(Batters[[#All],[zScore]],MATCH(Table5[[#This Row],[PID]],Batters[[#All],[PID]],0)),INDEX(Table3[[#All],[zScore]],MATCH(Table5[[#This Row],[PID]],Table3[[#All],[PID]],0)))</f>
        <v>-0.60741557213465791</v>
      </c>
      <c r="S993" s="58" t="str">
        <f>IF($C993="B",INDEX(Batters[[#All],[DEM]],MATCH(Table5[[#This Row],[PID]],Batters[[#All],[PID]],0)),INDEX(Table3[[#All],[DEM]],MATCH(Table5[[#This Row],[PID]],Table3[[#All],[PID]],0)))</f>
        <v>$100k</v>
      </c>
      <c r="T993" s="62">
        <f>IF($C993="B",INDEX(Batters[[#All],[Rnk]],MATCH(Table5[[#This Row],[PID]],Batters[[#All],[PID]],0)),INDEX(Table3[[#All],[Rnk]],MATCH(Table5[[#This Row],[PID]],Table3[[#All],[PID]],0)))</f>
        <v>360</v>
      </c>
      <c r="U993" s="68">
        <f>IF($C993="B",VLOOKUP($A993,Bat!$A$4:$BA$1621,47,FALSE),VLOOKUP($A993,Pit!$A$4:$BF$1557,56,FALSE))</f>
        <v>0</v>
      </c>
      <c r="V993" s="50">
        <f>IF($C993="B",VLOOKUP($A993,Bat!$A$4:$BA$1621,48,FALSE),VLOOKUP($A993,Pit!$A$4:$BF$1557,57,FALSE))</f>
        <v>0</v>
      </c>
      <c r="W993" s="50">
        <f>Table5[[#This Row],[posRnk]]+Table5[[#This Row],[zRnk]]+IF($W$3&lt;&gt;Table5[[#This Row],[Type]],50,0)</f>
        <v>1332</v>
      </c>
      <c r="X993" s="51">
        <f>RANK(Table5[[#This Row],[zScore]],Table5[[#All],[zScore]])</f>
        <v>922</v>
      </c>
      <c r="Y993" s="50" t="str">
        <f>IFERROR(INDEX(DraftResults[[#All],[OVR]],MATCH(Table5[[#This Row],[PID]],DraftResults[[#All],[Player ID]],0)),"")</f>
        <v/>
      </c>
      <c r="Z9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3" s="50" t="str">
        <f>IFERROR(INDEX(DraftResults[[#All],[Pick in Round]],MATCH(Table5[[#This Row],[PID]],DraftResults[[#All],[Player ID]],0)),"")</f>
        <v/>
      </c>
      <c r="AB993" s="50" t="str">
        <f>IFERROR(INDEX(DraftResults[[#All],[Team Name]],MATCH(Table5[[#This Row],[PID]],DraftResults[[#All],[Player ID]],0)),"")</f>
        <v/>
      </c>
      <c r="AC993" s="50" t="str">
        <f>IF(Table5[[#This Row],[Ovr]]="","",IF(Table5[[#This Row],[cmbList]]="","",Table5[[#This Row],[cmbList]]-Table5[[#This Row],[Ovr]]))</f>
        <v/>
      </c>
      <c r="AD993" s="54" t="str">
        <f>IF(ISERROR(VLOOKUP($AB993&amp;"-"&amp;$E993&amp;" "&amp;F993,Bonuses!$B$1:$G$1006,4,FALSE)),"",INT(VLOOKUP($AB993&amp;"-"&amp;$E993&amp;" "&amp;$F993,Bonuses!$B$1:$G$1006,4,FALSE)))</f>
        <v/>
      </c>
      <c r="AE9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4" spans="1:31" s="50" customFormat="1" x14ac:dyDescent="0.25">
      <c r="A994" s="68">
        <v>17037</v>
      </c>
      <c r="B994" s="69">
        <f>COUNTIF(Table5[PID],A994)</f>
        <v>1</v>
      </c>
      <c r="C994" s="69" t="str">
        <f>IF(COUNTIF(Table3[[#All],[PID]],A994)&gt;0,"P","B")</f>
        <v>P</v>
      </c>
      <c r="D994" s="59" t="str">
        <f>IF($C994="B",INDEX(Batters[[#All],[POS]],MATCH(Table5[[#This Row],[PID]],Batters[[#All],[PID]],0)),INDEX(Table3[[#All],[POS]],MATCH(Table5[[#This Row],[PID]],Table3[[#All],[PID]],0)))</f>
        <v>SP</v>
      </c>
      <c r="E994" s="52" t="str">
        <f>IF($C994="B",INDEX(Batters[[#All],[First]],MATCH(Table5[[#This Row],[PID]],Batters[[#All],[PID]],0)),INDEX(Table3[[#All],[First]],MATCH(Table5[[#This Row],[PID]],Table3[[#All],[PID]],0)))</f>
        <v>Cris</v>
      </c>
      <c r="F994" s="55" t="str">
        <f>IF($C994="B",INDEX(Batters[[#All],[Last]],MATCH(A994,Batters[[#All],[PID]],0)),INDEX(Table3[[#All],[Last]],MATCH(A994,Table3[[#All],[PID]],0)))</f>
        <v>Pacheco</v>
      </c>
      <c r="G994" s="56">
        <f>IF($C994="B",INDEX(Batters[[#All],[Age]],MATCH(Table5[[#This Row],[PID]],Batters[[#All],[PID]],0)),INDEX(Table3[[#All],[Age]],MATCH(Table5[[#This Row],[PID]],Table3[[#All],[PID]],0)))</f>
        <v>21</v>
      </c>
      <c r="H994" s="52" t="str">
        <f>IF($C994="B",INDEX(Batters[[#All],[B]],MATCH(Table5[[#This Row],[PID]],Batters[[#All],[PID]],0)),INDEX(Table3[[#All],[B]],MATCH(Table5[[#This Row],[PID]],Table3[[#All],[PID]],0)))</f>
        <v>R</v>
      </c>
      <c r="I994" s="52" t="str">
        <f>IF($C994="B",INDEX(Batters[[#All],[T]],MATCH(Table5[[#This Row],[PID]],Batters[[#All],[PID]],0)),INDEX(Table3[[#All],[T]],MATCH(Table5[[#This Row],[PID]],Table3[[#All],[PID]],0)))</f>
        <v>R</v>
      </c>
      <c r="J994" s="71" t="str">
        <f>IF($C994="B",INDEX(Batters[[#All],[WE]],MATCH(Table5[[#This Row],[PID]],Batters[[#All],[PID]],0)),INDEX(Table3[[#All],[WE]],MATCH(Table5[[#This Row],[PID]],Table3[[#All],[PID]],0)))</f>
        <v>High</v>
      </c>
      <c r="K994" s="52" t="str">
        <f>IF($C994="B",INDEX(Batters[[#All],[INT]],MATCH(Table5[[#This Row],[PID]],Batters[[#All],[PID]],0)),INDEX(Table3[[#All],[INT]],MATCH(Table5[[#This Row],[PID]],Table3[[#All],[PID]],0)))</f>
        <v>Normal</v>
      </c>
      <c r="L994" s="60">
        <f>IF($C994="B",INDEX(Batters[[#All],[CON P]],MATCH(Table5[[#This Row],[PID]],Batters[[#All],[PID]],0)),INDEX(Table3[[#All],[STU P]],MATCH(Table5[[#This Row],[PID]],Table3[[#All],[PID]],0)))</f>
        <v>3</v>
      </c>
      <c r="M994" s="72">
        <f>IF($C994="B",INDEX(Batters[[#All],[GAP P]],MATCH(Table5[[#This Row],[PID]],Batters[[#All],[PID]],0)),INDEX(Table3[[#All],[MOV P]],MATCH(Table5[[#This Row],[PID]],Table3[[#All],[PID]],0)))</f>
        <v>2</v>
      </c>
      <c r="N994" s="72">
        <f>IF($C994="B",INDEX(Batters[[#All],[POW P]],MATCH(Table5[[#This Row],[PID]],Batters[[#All],[PID]],0)),INDEX(Table3[[#All],[CON P]],MATCH(Table5[[#This Row],[PID]],Table3[[#All],[PID]],0)))</f>
        <v>3</v>
      </c>
      <c r="O994" s="72" t="str">
        <f>IF($C994="B",INDEX(Batters[[#All],[EYE P]],MATCH(Table5[[#This Row],[PID]],Batters[[#All],[PID]],0)),INDEX(Table3[[#All],[VELO]],MATCH(Table5[[#This Row],[PID]],Table3[[#All],[PID]],0)))</f>
        <v>85-87 Mph</v>
      </c>
      <c r="P994" s="56">
        <f>IF($C994="B",INDEX(Batters[[#All],[K P]],MATCH(Table5[[#This Row],[PID]],Batters[[#All],[PID]],0)),INDEX(Table3[[#All],[STM]],MATCH(Table5[[#This Row],[PID]],Table3[[#All],[PID]],0)))</f>
        <v>6</v>
      </c>
      <c r="Q994" s="61">
        <f>IF($C994="B",INDEX(Batters[[#All],[Tot]],MATCH(Table5[[#This Row],[PID]],Batters[[#All],[PID]],0)),INDEX(Table3[[#All],[Tot]],MATCH(Table5[[#This Row],[PID]],Table3[[#All],[PID]],0)))</f>
        <v>26.707711611676121</v>
      </c>
      <c r="R994" s="52">
        <f>IF($C994="B",INDEX(Batters[[#All],[zScore]],MATCH(Table5[[#This Row],[PID]],Batters[[#All],[PID]],0)),INDEX(Table3[[#All],[zScore]],MATCH(Table5[[#This Row],[PID]],Table3[[#All],[PID]],0)))</f>
        <v>-0.60958804233828578</v>
      </c>
      <c r="S994" s="78" t="str">
        <f>IF($C994="B",INDEX(Batters[[#All],[DEM]],MATCH(Table5[[#This Row],[PID]],Batters[[#All],[PID]],0)),INDEX(Table3[[#All],[DEM]],MATCH(Table5[[#This Row],[PID]],Table3[[#All],[PID]],0)))</f>
        <v>$34k</v>
      </c>
      <c r="T994" s="75">
        <f>IF($C994="B",INDEX(Batters[[#All],[Rnk]],MATCH(Table5[[#This Row],[PID]],Batters[[#All],[PID]],0)),INDEX(Table3[[#All],[Rnk]],MATCH(Table5[[#This Row],[PID]],Table3[[#All],[PID]],0)))</f>
        <v>562</v>
      </c>
      <c r="U994" s="68">
        <f>IF($C994="B",VLOOKUP($A994,Bat!$A$4:$BA$1621,47,FALSE),VLOOKUP($A994,Pit!$A$4:$BF$1557,56,FALSE))</f>
        <v>0</v>
      </c>
      <c r="V994" s="50">
        <f>IF($C994="B",VLOOKUP($A994,Bat!$A$4:$BA$1621,48,FALSE),VLOOKUP($A994,Pit!$A$4:$BF$1557,57,FALSE))</f>
        <v>0</v>
      </c>
      <c r="W994" s="69">
        <f>Table5[[#This Row],[posRnk]]+Table5[[#This Row],[zRnk]]+IF($W$3&lt;&gt;Table5[[#This Row],[Type]],50,0)</f>
        <v>1536</v>
      </c>
      <c r="X994" s="73">
        <f>RANK(Table5[[#This Row],[zScore]],Table5[[#All],[zScore]])</f>
        <v>924</v>
      </c>
      <c r="Y994" s="69" t="str">
        <f>IFERROR(INDEX(DraftResults[[#All],[OVR]],MATCH(Table5[[#This Row],[PID]],DraftResults[[#All],[Player ID]],0)),"")</f>
        <v/>
      </c>
      <c r="Z99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4" s="69" t="str">
        <f>IFERROR(INDEX(DraftResults[[#All],[Pick in Round]],MATCH(Table5[[#This Row],[PID]],DraftResults[[#All],[Player ID]],0)),"")</f>
        <v/>
      </c>
      <c r="AB994" s="69" t="str">
        <f>IFERROR(INDEX(DraftResults[[#All],[Team Name]],MATCH(Table5[[#This Row],[PID]],DraftResults[[#All],[Player ID]],0)),"")</f>
        <v/>
      </c>
      <c r="AC994" s="69" t="str">
        <f>IF(Table5[[#This Row],[Ovr]]="","",IF(Table5[[#This Row],[cmbList]]="","",Table5[[#This Row],[cmbList]]-Table5[[#This Row],[Ovr]]))</f>
        <v/>
      </c>
      <c r="AD994" s="77" t="str">
        <f>IF(ISERROR(VLOOKUP($AB994&amp;"-"&amp;$E994&amp;" "&amp;F994,Bonuses!$B$1:$G$1006,4,FALSE)),"",INT(VLOOKUP($AB994&amp;"-"&amp;$E994&amp;" "&amp;$F994,Bonuses!$B$1:$G$1006,4,FALSE)))</f>
        <v/>
      </c>
      <c r="AE99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5" spans="1:31" s="50" customFormat="1" x14ac:dyDescent="0.25">
      <c r="A995" s="68">
        <v>12193</v>
      </c>
      <c r="B995" s="69">
        <f>COUNTIF(Table5[PID],A995)</f>
        <v>1</v>
      </c>
      <c r="C995" s="69" t="str">
        <f>IF(COUNTIF(Table3[[#All],[PID]],A995)&gt;0,"P","B")</f>
        <v>P</v>
      </c>
      <c r="D995" s="59" t="str">
        <f>IF($C995="B",INDEX(Batters[[#All],[POS]],MATCH(Table5[[#This Row],[PID]],Batters[[#All],[PID]],0)),INDEX(Table3[[#All],[POS]],MATCH(Table5[[#This Row],[PID]],Table3[[#All],[PID]],0)))</f>
        <v>SP</v>
      </c>
      <c r="E995" s="52" t="str">
        <f>IF($C995="B",INDEX(Batters[[#All],[First]],MATCH(Table5[[#This Row],[PID]],Batters[[#All],[PID]],0)),INDEX(Table3[[#All],[First]],MATCH(Table5[[#This Row],[PID]],Table3[[#All],[PID]],0)))</f>
        <v>Mark</v>
      </c>
      <c r="F995" s="55" t="str">
        <f>IF($C995="B",INDEX(Batters[[#All],[Last]],MATCH(A995,Batters[[#All],[PID]],0)),INDEX(Table3[[#All],[Last]],MATCH(A995,Table3[[#All],[PID]],0)))</f>
        <v>Brooks</v>
      </c>
      <c r="G995" s="56">
        <f>IF($C995="B",INDEX(Batters[[#All],[Age]],MATCH(Table5[[#This Row],[PID]],Batters[[#All],[PID]],0)),INDEX(Table3[[#All],[Age]],MATCH(Table5[[#This Row],[PID]],Table3[[#All],[PID]],0)))</f>
        <v>22</v>
      </c>
      <c r="H995" s="52" t="str">
        <f>IF($C995="B",INDEX(Batters[[#All],[B]],MATCH(Table5[[#This Row],[PID]],Batters[[#All],[PID]],0)),INDEX(Table3[[#All],[B]],MATCH(Table5[[#This Row],[PID]],Table3[[#All],[PID]],0)))</f>
        <v>R</v>
      </c>
      <c r="I995" s="52" t="str">
        <f>IF($C995="B",INDEX(Batters[[#All],[T]],MATCH(Table5[[#This Row],[PID]],Batters[[#All],[PID]],0)),INDEX(Table3[[#All],[T]],MATCH(Table5[[#This Row],[PID]],Table3[[#All],[PID]],0)))</f>
        <v>R</v>
      </c>
      <c r="J995" s="71" t="str">
        <f>IF($C995="B",INDEX(Batters[[#All],[WE]],MATCH(Table5[[#This Row],[PID]],Batters[[#All],[PID]],0)),INDEX(Table3[[#All],[WE]],MATCH(Table5[[#This Row],[PID]],Table3[[#All],[PID]],0)))</f>
        <v>High</v>
      </c>
      <c r="K995" s="52" t="str">
        <f>IF($C995="B",INDEX(Batters[[#All],[INT]],MATCH(Table5[[#This Row],[PID]],Batters[[#All],[PID]],0)),INDEX(Table3[[#All],[INT]],MATCH(Table5[[#This Row],[PID]],Table3[[#All],[PID]],0)))</f>
        <v>Normal</v>
      </c>
      <c r="L995" s="60">
        <f>IF($C995="B",INDEX(Batters[[#All],[CON P]],MATCH(Table5[[#This Row],[PID]],Batters[[#All],[PID]],0)),INDEX(Table3[[#All],[STU P]],MATCH(Table5[[#This Row],[PID]],Table3[[#All],[PID]],0)))</f>
        <v>4</v>
      </c>
      <c r="M995" s="72">
        <f>IF($C995="B",INDEX(Batters[[#All],[GAP P]],MATCH(Table5[[#This Row],[PID]],Batters[[#All],[PID]],0)),INDEX(Table3[[#All],[MOV P]],MATCH(Table5[[#This Row],[PID]],Table3[[#All],[PID]],0)))</f>
        <v>2</v>
      </c>
      <c r="N995" s="72">
        <f>IF($C995="B",INDEX(Batters[[#All],[POW P]],MATCH(Table5[[#This Row],[PID]],Batters[[#All],[PID]],0)),INDEX(Table3[[#All],[CON P]],MATCH(Table5[[#This Row],[PID]],Table3[[#All],[PID]],0)))</f>
        <v>2</v>
      </c>
      <c r="O995" s="72" t="str">
        <f>IF($C995="B",INDEX(Batters[[#All],[EYE P]],MATCH(Table5[[#This Row],[PID]],Batters[[#All],[PID]],0)),INDEX(Table3[[#All],[VELO]],MATCH(Table5[[#This Row],[PID]],Table3[[#All],[PID]],0)))</f>
        <v>93-95 Mph</v>
      </c>
      <c r="P995" s="56">
        <f>IF($C995="B",INDEX(Batters[[#All],[K P]],MATCH(Table5[[#This Row],[PID]],Batters[[#All],[PID]],0)),INDEX(Table3[[#All],[STM]],MATCH(Table5[[#This Row],[PID]],Table3[[#All],[PID]],0)))</f>
        <v>5</v>
      </c>
      <c r="Q995" s="61">
        <f>IF($C995="B",INDEX(Batters[[#All],[Tot]],MATCH(Table5[[#This Row],[PID]],Batters[[#All],[PID]],0)),INDEX(Table3[[#All],[Tot]],MATCH(Table5[[#This Row],[PID]],Table3[[#All],[PID]],0)))</f>
        <v>26.70628052524366</v>
      </c>
      <c r="R995" s="52">
        <f>IF($C995="B",INDEX(Batters[[#All],[zScore]],MATCH(Table5[[#This Row],[PID]],Batters[[#All],[PID]],0)),INDEX(Table3[[#All],[zScore]],MATCH(Table5[[#This Row],[PID]],Table3[[#All],[PID]],0)))</f>
        <v>-0.60968325033178161</v>
      </c>
      <c r="S995" s="78" t="str">
        <f>IF($C995="B",INDEX(Batters[[#All],[DEM]],MATCH(Table5[[#This Row],[PID]],Batters[[#All],[PID]],0)),INDEX(Table3[[#All],[DEM]],MATCH(Table5[[#This Row],[PID]],Table3[[#All],[PID]],0)))</f>
        <v>-</v>
      </c>
      <c r="T995" s="75">
        <f>IF($C995="B",INDEX(Batters[[#All],[Rnk]],MATCH(Table5[[#This Row],[PID]],Batters[[#All],[PID]],0)),INDEX(Table3[[#All],[Rnk]],MATCH(Table5[[#This Row],[PID]],Table3[[#All],[PID]],0)))</f>
        <v>563</v>
      </c>
      <c r="U995" s="68">
        <f>IF($C995="B",VLOOKUP($A995,Bat!$A$4:$BA$1621,47,FALSE),VLOOKUP($A995,Pit!$A$4:$BF$1557,56,FALSE))</f>
        <v>0</v>
      </c>
      <c r="V995" s="50">
        <f>IF($C995="B",VLOOKUP($A995,Bat!$A$4:$BA$1621,48,FALSE),VLOOKUP($A995,Pit!$A$4:$BF$1557,57,FALSE))</f>
        <v>0</v>
      </c>
      <c r="W995" s="69">
        <f>Table5[[#This Row],[posRnk]]+Table5[[#This Row],[zRnk]]+IF($W$3&lt;&gt;Table5[[#This Row],[Type]],50,0)</f>
        <v>1538</v>
      </c>
      <c r="X995" s="73">
        <f>RANK(Table5[[#This Row],[zScore]],Table5[[#All],[zScore]])</f>
        <v>925</v>
      </c>
      <c r="Y995" s="69" t="str">
        <f>IFERROR(INDEX(DraftResults[[#All],[OVR]],MATCH(Table5[[#This Row],[PID]],DraftResults[[#All],[Player ID]],0)),"")</f>
        <v/>
      </c>
      <c r="Z99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5" s="69" t="str">
        <f>IFERROR(INDEX(DraftResults[[#All],[Pick in Round]],MATCH(Table5[[#This Row],[PID]],DraftResults[[#All],[Player ID]],0)),"")</f>
        <v/>
      </c>
      <c r="AB995" s="69" t="str">
        <f>IFERROR(INDEX(DraftResults[[#All],[Team Name]],MATCH(Table5[[#This Row],[PID]],DraftResults[[#All],[Player ID]],0)),"")</f>
        <v/>
      </c>
      <c r="AC995" s="69" t="str">
        <f>IF(Table5[[#This Row],[Ovr]]="","",IF(Table5[[#This Row],[cmbList]]="","",Table5[[#This Row],[cmbList]]-Table5[[#This Row],[Ovr]]))</f>
        <v/>
      </c>
      <c r="AD995" s="77" t="str">
        <f>IF(ISERROR(VLOOKUP($AB995&amp;"-"&amp;$E995&amp;" "&amp;F995,Bonuses!$B$1:$G$1006,4,FALSE)),"",INT(VLOOKUP($AB995&amp;"-"&amp;$E995&amp;" "&amp;$F995,Bonuses!$B$1:$G$1006,4,FALSE)))</f>
        <v/>
      </c>
      <c r="AE99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6" spans="1:31" s="50" customFormat="1" x14ac:dyDescent="0.25">
      <c r="A996" s="50">
        <v>6953</v>
      </c>
      <c r="B996" s="50">
        <f>COUNTIF(Table5[PID],A996)</f>
        <v>1</v>
      </c>
      <c r="C996" s="50" t="str">
        <f>IF(COUNTIF(Table3[[#All],[PID]],A996)&gt;0,"P","B")</f>
        <v>P</v>
      </c>
      <c r="D996" s="59" t="str">
        <f>IF($C996="B",INDEX(Batters[[#All],[POS]],MATCH(Table5[[#This Row],[PID]],Batters[[#All],[PID]],0)),INDEX(Table3[[#All],[POS]],MATCH(Table5[[#This Row],[PID]],Table3[[#All],[PID]],0)))</f>
        <v>RP</v>
      </c>
      <c r="E996" s="52" t="str">
        <f>IF($C996="B",INDEX(Batters[[#All],[First]],MATCH(Table5[[#This Row],[PID]],Batters[[#All],[PID]],0)),INDEX(Table3[[#All],[First]],MATCH(Table5[[#This Row],[PID]],Table3[[#All],[PID]],0)))</f>
        <v>Takahashi</v>
      </c>
      <c r="F996" s="50" t="str">
        <f>IF($C996="B",INDEX(Batters[[#All],[Last]],MATCH(A996,Batters[[#All],[PID]],0)),INDEX(Table3[[#All],[Last]],MATCH(A996,Table3[[#All],[PID]],0)))</f>
        <v>Yoshida</v>
      </c>
      <c r="G996" s="56">
        <f>IF($C996="B",INDEX(Batters[[#All],[Age]],MATCH(Table5[[#This Row],[PID]],Batters[[#All],[PID]],0)),INDEX(Table3[[#All],[Age]],MATCH(Table5[[#This Row],[PID]],Table3[[#All],[PID]],0)))</f>
        <v>22</v>
      </c>
      <c r="H996" s="52" t="str">
        <f>IF($C996="B",INDEX(Batters[[#All],[B]],MATCH(Table5[[#This Row],[PID]],Batters[[#All],[PID]],0)),INDEX(Table3[[#All],[B]],MATCH(Table5[[#This Row],[PID]],Table3[[#All],[PID]],0)))</f>
        <v>R</v>
      </c>
      <c r="I996" s="52" t="str">
        <f>IF($C996="B",INDEX(Batters[[#All],[T]],MATCH(Table5[[#This Row],[PID]],Batters[[#All],[PID]],0)),INDEX(Table3[[#All],[T]],MATCH(Table5[[#This Row],[PID]],Table3[[#All],[PID]],0)))</f>
        <v>R</v>
      </c>
      <c r="J996" s="52" t="str">
        <f>IF($C996="B",INDEX(Batters[[#All],[WE]],MATCH(Table5[[#This Row],[PID]],Batters[[#All],[PID]],0)),INDEX(Table3[[#All],[WE]],MATCH(Table5[[#This Row],[PID]],Table3[[#All],[PID]],0)))</f>
        <v>Low</v>
      </c>
      <c r="K996" s="52" t="str">
        <f>IF($C996="B",INDEX(Batters[[#All],[INT]],MATCH(Table5[[#This Row],[PID]],Batters[[#All],[PID]],0)),INDEX(Table3[[#All],[INT]],MATCH(Table5[[#This Row],[PID]],Table3[[#All],[PID]],0)))</f>
        <v>Normal</v>
      </c>
      <c r="L996" s="60">
        <f>IF($C996="B",INDEX(Batters[[#All],[CON P]],MATCH(Table5[[#This Row],[PID]],Batters[[#All],[PID]],0)),INDEX(Table3[[#All],[STU P]],MATCH(Table5[[#This Row],[PID]],Table3[[#All],[PID]],0)))</f>
        <v>4</v>
      </c>
      <c r="M996" s="56">
        <f>IF($C996="B",INDEX(Batters[[#All],[GAP P]],MATCH(Table5[[#This Row],[PID]],Batters[[#All],[PID]],0)),INDEX(Table3[[#All],[MOV P]],MATCH(Table5[[#This Row],[PID]],Table3[[#All],[PID]],0)))</f>
        <v>2</v>
      </c>
      <c r="N996" s="56">
        <f>IF($C996="B",INDEX(Batters[[#All],[POW P]],MATCH(Table5[[#This Row],[PID]],Batters[[#All],[PID]],0)),INDEX(Table3[[#All],[CON P]],MATCH(Table5[[#This Row],[PID]],Table3[[#All],[PID]],0)))</f>
        <v>3</v>
      </c>
      <c r="O996" s="56" t="str">
        <f>IF($C996="B",INDEX(Batters[[#All],[EYE P]],MATCH(Table5[[#This Row],[PID]],Batters[[#All],[PID]],0)),INDEX(Table3[[#All],[VELO]],MATCH(Table5[[#This Row],[PID]],Table3[[#All],[PID]],0)))</f>
        <v>89-91 Mph</v>
      </c>
      <c r="P996" s="56">
        <f>IF($C996="B",INDEX(Batters[[#All],[K P]],MATCH(Table5[[#This Row],[PID]],Batters[[#All],[PID]],0)),INDEX(Table3[[#All],[STM]],MATCH(Table5[[#This Row],[PID]],Table3[[#All],[PID]],0)))</f>
        <v>8</v>
      </c>
      <c r="Q996" s="61">
        <f>IF($C996="B",INDEX(Batters[[#All],[Tot]],MATCH(Table5[[#This Row],[PID]],Batters[[#All],[PID]],0)),INDEX(Table3[[#All],[Tot]],MATCH(Table5[[#This Row],[PID]],Table3[[#All],[PID]],0)))</f>
        <v>28.338276835412387</v>
      </c>
      <c r="R996" s="52">
        <f>IF($C996="B",INDEX(Batters[[#All],[zScore]],MATCH(Table5[[#This Row],[PID]],Batters[[#All],[PID]],0)),INDEX(Table3[[#All],[zScore]],MATCH(Table5[[#This Row],[PID]],Table3[[#All],[PID]],0)))</f>
        <v>-0.61082605832469394</v>
      </c>
      <c r="S996" s="58" t="str">
        <f>IF($C996="B",INDEX(Batters[[#All],[DEM]],MATCH(Table5[[#This Row],[PID]],Batters[[#All],[PID]],0)),INDEX(Table3[[#All],[DEM]],MATCH(Table5[[#This Row],[PID]],Table3[[#All],[PID]],0)))</f>
        <v>-</v>
      </c>
      <c r="T996" s="62">
        <f>IF($C996="B",INDEX(Batters[[#All],[Rnk]],MATCH(Table5[[#This Row],[PID]],Batters[[#All],[PID]],0)),INDEX(Table3[[#All],[Rnk]],MATCH(Table5[[#This Row],[PID]],Table3[[#All],[PID]],0)))</f>
        <v>564</v>
      </c>
      <c r="U996" s="68">
        <f>IF($C996="B",VLOOKUP($A996,Bat!$A$4:$BA$1621,47,FALSE),VLOOKUP($A996,Pit!$A$4:$BF$1557,56,FALSE))</f>
        <v>0</v>
      </c>
      <c r="V996" s="50">
        <f>IF($C996="B",VLOOKUP($A996,Bat!$A$4:$BA$1621,48,FALSE),VLOOKUP($A996,Pit!$A$4:$BF$1557,57,FALSE))</f>
        <v>0</v>
      </c>
      <c r="W996" s="50">
        <f>Table5[[#This Row],[posRnk]]+Table5[[#This Row],[zRnk]]+IF($W$3&lt;&gt;Table5[[#This Row],[Type]],50,0)</f>
        <v>1540</v>
      </c>
      <c r="X996" s="51">
        <f>RANK(Table5[[#This Row],[zScore]],Table5[[#All],[zScore]])</f>
        <v>926</v>
      </c>
      <c r="Y996" s="50" t="str">
        <f>IFERROR(INDEX(DraftResults[[#All],[OVR]],MATCH(Table5[[#This Row],[PID]],DraftResults[[#All],[Player ID]],0)),"")</f>
        <v/>
      </c>
      <c r="Z9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6" s="50" t="str">
        <f>IFERROR(INDEX(DraftResults[[#All],[Pick in Round]],MATCH(Table5[[#This Row],[PID]],DraftResults[[#All],[Player ID]],0)),"")</f>
        <v/>
      </c>
      <c r="AB996" s="50" t="str">
        <f>IFERROR(INDEX(DraftResults[[#All],[Team Name]],MATCH(Table5[[#This Row],[PID]],DraftResults[[#All],[Player ID]],0)),"")</f>
        <v/>
      </c>
      <c r="AC996" s="50" t="str">
        <f>IF(Table5[[#This Row],[Ovr]]="","",IF(Table5[[#This Row],[cmbList]]="","",Table5[[#This Row],[cmbList]]-Table5[[#This Row],[Ovr]]))</f>
        <v/>
      </c>
      <c r="AD996" s="54" t="str">
        <f>IF(ISERROR(VLOOKUP($AB996&amp;"-"&amp;$E996&amp;" "&amp;F996,Bonuses!$B$1:$G$1006,4,FALSE)),"",INT(VLOOKUP($AB996&amp;"-"&amp;$E996&amp;" "&amp;$F996,Bonuses!$B$1:$G$1006,4,FALSE)))</f>
        <v/>
      </c>
      <c r="AE9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7" spans="1:31" s="50" customFormat="1" x14ac:dyDescent="0.25">
      <c r="A997" s="50">
        <v>17965</v>
      </c>
      <c r="B997" s="50">
        <f>COUNTIF(Table5[PID],A997)</f>
        <v>1</v>
      </c>
      <c r="C997" s="50" t="str">
        <f>IF(COUNTIF(Table3[[#All],[PID]],A997)&gt;0,"P","B")</f>
        <v>P</v>
      </c>
      <c r="D997" s="59" t="str">
        <f>IF($C997="B",INDEX(Batters[[#All],[POS]],MATCH(Table5[[#This Row],[PID]],Batters[[#All],[PID]],0)),INDEX(Table3[[#All],[POS]],MATCH(Table5[[#This Row],[PID]],Table3[[#All],[PID]],0)))</f>
        <v>RP</v>
      </c>
      <c r="E997" s="52" t="str">
        <f>IF($C997="B",INDEX(Batters[[#All],[First]],MATCH(Table5[[#This Row],[PID]],Batters[[#All],[PID]],0)),INDEX(Table3[[#All],[First]],MATCH(Table5[[#This Row],[PID]],Table3[[#All],[PID]],0)))</f>
        <v>Carson</v>
      </c>
      <c r="F997" s="50" t="str">
        <f>IF($C997="B",INDEX(Batters[[#All],[Last]],MATCH(A997,Batters[[#All],[PID]],0)),INDEX(Table3[[#All],[Last]],MATCH(A997,Table3[[#All],[PID]],0)))</f>
        <v>Butler</v>
      </c>
      <c r="G997" s="56">
        <f>IF($C997="B",INDEX(Batters[[#All],[Age]],MATCH(Table5[[#This Row],[PID]],Batters[[#All],[PID]],0)),INDEX(Table3[[#All],[Age]],MATCH(Table5[[#This Row],[PID]],Table3[[#All],[PID]],0)))</f>
        <v>21</v>
      </c>
      <c r="H997" s="52" t="str">
        <f>IF($C997="B",INDEX(Batters[[#All],[B]],MATCH(Table5[[#This Row],[PID]],Batters[[#All],[PID]],0)),INDEX(Table3[[#All],[B]],MATCH(Table5[[#This Row],[PID]],Table3[[#All],[PID]],0)))</f>
        <v>R</v>
      </c>
      <c r="I997" s="52" t="str">
        <f>IF($C997="B",INDEX(Batters[[#All],[T]],MATCH(Table5[[#This Row],[PID]],Batters[[#All],[PID]],0)),INDEX(Table3[[#All],[T]],MATCH(Table5[[#This Row],[PID]],Table3[[#All],[PID]],0)))</f>
        <v>R</v>
      </c>
      <c r="J997" s="52" t="str">
        <f>IF($C997="B",INDEX(Batters[[#All],[WE]],MATCH(Table5[[#This Row],[PID]],Batters[[#All],[PID]],0)),INDEX(Table3[[#All],[WE]],MATCH(Table5[[#This Row],[PID]],Table3[[#All],[PID]],0)))</f>
        <v>High</v>
      </c>
      <c r="K997" s="52" t="str">
        <f>IF($C997="B",INDEX(Batters[[#All],[INT]],MATCH(Table5[[#This Row],[PID]],Batters[[#All],[PID]],0)),INDEX(Table3[[#All],[INT]],MATCH(Table5[[#This Row],[PID]],Table3[[#All],[PID]],0)))</f>
        <v>Normal</v>
      </c>
      <c r="L997" s="60">
        <f>IF($C997="B",INDEX(Batters[[#All],[CON P]],MATCH(Table5[[#This Row],[PID]],Batters[[#All],[PID]],0)),INDEX(Table3[[#All],[STU P]],MATCH(Table5[[#This Row],[PID]],Table3[[#All],[PID]],0)))</f>
        <v>3</v>
      </c>
      <c r="M997" s="56">
        <f>IF($C997="B",INDEX(Batters[[#All],[GAP P]],MATCH(Table5[[#This Row],[PID]],Batters[[#All],[PID]],0)),INDEX(Table3[[#All],[MOV P]],MATCH(Table5[[#This Row],[PID]],Table3[[#All],[PID]],0)))</f>
        <v>3</v>
      </c>
      <c r="N997" s="56">
        <f>IF($C997="B",INDEX(Batters[[#All],[POW P]],MATCH(Table5[[#This Row],[PID]],Batters[[#All],[PID]],0)),INDEX(Table3[[#All],[CON P]],MATCH(Table5[[#This Row],[PID]],Table3[[#All],[PID]],0)))</f>
        <v>4</v>
      </c>
      <c r="O997" s="56" t="str">
        <f>IF($C997="B",INDEX(Batters[[#All],[EYE P]],MATCH(Table5[[#This Row],[PID]],Batters[[#All],[PID]],0)),INDEX(Table3[[#All],[VELO]],MATCH(Table5[[#This Row],[PID]],Table3[[#All],[PID]],0)))</f>
        <v>90-92 Mph</v>
      </c>
      <c r="P997" s="56">
        <f>IF($C997="B",INDEX(Batters[[#All],[K P]],MATCH(Table5[[#This Row],[PID]],Batters[[#All],[PID]],0)),INDEX(Table3[[#All],[STM]],MATCH(Table5[[#This Row],[PID]],Table3[[#All],[PID]],0)))</f>
        <v>4</v>
      </c>
      <c r="Q997" s="61">
        <f>IF($C997="B",INDEX(Batters[[#All],[Tot]],MATCH(Table5[[#This Row],[PID]],Batters[[#All],[PID]],0)),INDEX(Table3[[#All],[Tot]],MATCH(Table5[[#This Row],[PID]],Table3[[#All],[PID]],0)))</f>
        <v>26.667161869631595</v>
      </c>
      <c r="R997" s="52">
        <f>IF($C997="B",INDEX(Batters[[#All],[zScore]],MATCH(Table5[[#This Row],[PID]],Batters[[#All],[PID]],0)),INDEX(Table3[[#All],[zScore]],MATCH(Table5[[#This Row],[PID]],Table3[[#All],[PID]],0)))</f>
        <v>-0.61228575471208868</v>
      </c>
      <c r="S997" s="58" t="str">
        <f>IF($C997="B",INDEX(Batters[[#All],[DEM]],MATCH(Table5[[#This Row],[PID]],Batters[[#All],[PID]],0)),INDEX(Table3[[#All],[DEM]],MATCH(Table5[[#This Row],[PID]],Table3[[#All],[PID]],0)))</f>
        <v>-</v>
      </c>
      <c r="T997" s="62">
        <f>IF($C997="B",INDEX(Batters[[#All],[Rnk]],MATCH(Table5[[#This Row],[PID]],Batters[[#All],[PID]],0)),INDEX(Table3[[#All],[Rnk]],MATCH(Table5[[#This Row],[PID]],Table3[[#All],[PID]],0)))</f>
        <v>565</v>
      </c>
      <c r="U997" s="68">
        <f>IF($C997="B",VLOOKUP($A997,Bat!$A$4:$BA$1621,47,FALSE),VLOOKUP($A997,Pit!$A$4:$BF$1557,56,FALSE))</f>
        <v>0</v>
      </c>
      <c r="V997" s="50">
        <f>IF($C997="B",VLOOKUP($A997,Bat!$A$4:$BA$1621,48,FALSE),VLOOKUP($A997,Pit!$A$4:$BF$1557,57,FALSE))</f>
        <v>0</v>
      </c>
      <c r="W997" s="50">
        <f>Table5[[#This Row],[posRnk]]+Table5[[#This Row],[zRnk]]+IF($W$3&lt;&gt;Table5[[#This Row],[Type]],50,0)</f>
        <v>1543</v>
      </c>
      <c r="X997" s="51">
        <f>RANK(Table5[[#This Row],[zScore]],Table5[[#All],[zScore]])</f>
        <v>928</v>
      </c>
      <c r="Y997" s="50" t="str">
        <f>IFERROR(INDEX(DraftResults[[#All],[OVR]],MATCH(Table5[[#This Row],[PID]],DraftResults[[#All],[Player ID]],0)),"")</f>
        <v/>
      </c>
      <c r="Z9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7" s="50" t="str">
        <f>IFERROR(INDEX(DraftResults[[#All],[Pick in Round]],MATCH(Table5[[#This Row],[PID]],DraftResults[[#All],[Player ID]],0)),"")</f>
        <v/>
      </c>
      <c r="AB997" s="50" t="str">
        <f>IFERROR(INDEX(DraftResults[[#All],[Team Name]],MATCH(Table5[[#This Row],[PID]],DraftResults[[#All],[Player ID]],0)),"")</f>
        <v/>
      </c>
      <c r="AC997" s="50" t="str">
        <f>IF(Table5[[#This Row],[Ovr]]="","",IF(Table5[[#This Row],[cmbList]]="","",Table5[[#This Row],[cmbList]]-Table5[[#This Row],[Ovr]]))</f>
        <v/>
      </c>
      <c r="AD997" s="54" t="str">
        <f>IF(ISERROR(VLOOKUP($AB997&amp;"-"&amp;$E997&amp;" "&amp;F997,Bonuses!$B$1:$G$1006,4,FALSE)),"",INT(VLOOKUP($AB997&amp;"-"&amp;$E997&amp;" "&amp;$F997,Bonuses!$B$1:$G$1006,4,FALSE)))</f>
        <v/>
      </c>
      <c r="AE9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8" spans="1:31" s="50" customFormat="1" x14ac:dyDescent="0.25">
      <c r="A998" s="50">
        <v>20527</v>
      </c>
      <c r="B998" s="50">
        <f>COUNTIF(Table5[PID],A998)</f>
        <v>1</v>
      </c>
      <c r="C998" s="50" t="str">
        <f>IF(COUNTIF(Table3[[#All],[PID]],A998)&gt;0,"P","B")</f>
        <v>P</v>
      </c>
      <c r="D998" s="59" t="str">
        <f>IF($C998="B",INDEX(Batters[[#All],[POS]],MATCH(Table5[[#This Row],[PID]],Batters[[#All],[PID]],0)),INDEX(Table3[[#All],[POS]],MATCH(Table5[[#This Row],[PID]],Table3[[#All],[PID]],0)))</f>
        <v>RP</v>
      </c>
      <c r="E998" s="52" t="str">
        <f>IF($C998="B",INDEX(Batters[[#All],[First]],MATCH(Table5[[#This Row],[PID]],Batters[[#All],[PID]],0)),INDEX(Table3[[#All],[First]],MATCH(Table5[[#This Row],[PID]],Table3[[#All],[PID]],0)))</f>
        <v>Yoshihisa</v>
      </c>
      <c r="F998" s="50" t="str">
        <f>IF($C998="B",INDEX(Batters[[#All],[Last]],MATCH(A998,Batters[[#All],[PID]],0)),INDEX(Table3[[#All],[Last]],MATCH(A998,Table3[[#All],[PID]],0)))</f>
        <v>Kobayashi</v>
      </c>
      <c r="G998" s="56">
        <f>IF($C998="B",INDEX(Batters[[#All],[Age]],MATCH(Table5[[#This Row],[PID]],Batters[[#All],[PID]],0)),INDEX(Table3[[#All],[Age]],MATCH(Table5[[#This Row],[PID]],Table3[[#All],[PID]],0)))</f>
        <v>17</v>
      </c>
      <c r="H998" s="52" t="str">
        <f>IF($C998="B",INDEX(Batters[[#All],[B]],MATCH(Table5[[#This Row],[PID]],Batters[[#All],[PID]],0)),INDEX(Table3[[#All],[B]],MATCH(Table5[[#This Row],[PID]],Table3[[#All],[PID]],0)))</f>
        <v>S</v>
      </c>
      <c r="I998" s="52" t="str">
        <f>IF($C998="B",INDEX(Batters[[#All],[T]],MATCH(Table5[[#This Row],[PID]],Batters[[#All],[PID]],0)),INDEX(Table3[[#All],[T]],MATCH(Table5[[#This Row],[PID]],Table3[[#All],[PID]],0)))</f>
        <v>R</v>
      </c>
      <c r="J998" s="52" t="str">
        <f>IF($C998="B",INDEX(Batters[[#All],[WE]],MATCH(Table5[[#This Row],[PID]],Batters[[#All],[PID]],0)),INDEX(Table3[[#All],[WE]],MATCH(Table5[[#This Row],[PID]],Table3[[#All],[PID]],0)))</f>
        <v>Low</v>
      </c>
      <c r="K998" s="52" t="str">
        <f>IF($C998="B",INDEX(Batters[[#All],[INT]],MATCH(Table5[[#This Row],[PID]],Batters[[#All],[PID]],0)),INDEX(Table3[[#All],[INT]],MATCH(Table5[[#This Row],[PID]],Table3[[#All],[PID]],0)))</f>
        <v>Normal</v>
      </c>
      <c r="L998" s="60">
        <f>IF($C998="B",INDEX(Batters[[#All],[CON P]],MATCH(Table5[[#This Row],[PID]],Batters[[#All],[PID]],0)),INDEX(Table3[[#All],[STU P]],MATCH(Table5[[#This Row],[PID]],Table3[[#All],[PID]],0)))</f>
        <v>4</v>
      </c>
      <c r="M998" s="56">
        <f>IF($C998="B",INDEX(Batters[[#All],[GAP P]],MATCH(Table5[[#This Row],[PID]],Batters[[#All],[PID]],0)),INDEX(Table3[[#All],[MOV P]],MATCH(Table5[[#This Row],[PID]],Table3[[#All],[PID]],0)))</f>
        <v>2</v>
      </c>
      <c r="N998" s="56">
        <f>IF($C998="B",INDEX(Batters[[#All],[POW P]],MATCH(Table5[[#This Row],[PID]],Batters[[#All],[PID]],0)),INDEX(Table3[[#All],[CON P]],MATCH(Table5[[#This Row],[PID]],Table3[[#All],[PID]],0)))</f>
        <v>3</v>
      </c>
      <c r="O998" s="56" t="str">
        <f>IF($C998="B",INDEX(Batters[[#All],[EYE P]],MATCH(Table5[[#This Row],[PID]],Batters[[#All],[PID]],0)),INDEX(Table3[[#All],[VELO]],MATCH(Table5[[#This Row],[PID]],Table3[[#All],[PID]],0)))</f>
        <v>88-90 Mph</v>
      </c>
      <c r="P998" s="56">
        <f>IF($C998="B",INDEX(Batters[[#All],[K P]],MATCH(Table5[[#This Row],[PID]],Batters[[#All],[PID]],0)),INDEX(Table3[[#All],[STM]],MATCH(Table5[[#This Row],[PID]],Table3[[#All],[PID]],0)))</f>
        <v>8</v>
      </c>
      <c r="Q998" s="61">
        <f>IF($C998="B",INDEX(Batters[[#All],[Tot]],MATCH(Table5[[#This Row],[PID]],Batters[[#All],[PID]],0)),INDEX(Table3[[#All],[Tot]],MATCH(Table5[[#This Row],[PID]],Table3[[#All],[PID]],0)))</f>
        <v>26.650874457299729</v>
      </c>
      <c r="R998" s="52">
        <f>IF($C998="B",INDEX(Batters[[#All],[zScore]],MATCH(Table5[[#This Row],[PID]],Batters[[#All],[PID]],0)),INDEX(Table3[[#All],[zScore]],MATCH(Table5[[#This Row],[PID]],Table3[[#All],[PID]],0)))</f>
        <v>-0.61336933136558902</v>
      </c>
      <c r="S998" s="58" t="str">
        <f>IF($C998="B",INDEX(Batters[[#All],[DEM]],MATCH(Table5[[#This Row],[PID]],Batters[[#All],[PID]],0)),INDEX(Table3[[#All],[DEM]],MATCH(Table5[[#This Row],[PID]],Table3[[#All],[PID]],0)))</f>
        <v>$100k</v>
      </c>
      <c r="T998" s="62">
        <f>IF($C998="B",INDEX(Batters[[#All],[Rnk]],MATCH(Table5[[#This Row],[PID]],Batters[[#All],[PID]],0)),INDEX(Table3[[#All],[Rnk]],MATCH(Table5[[#This Row],[PID]],Table3[[#All],[PID]],0)))</f>
        <v>566</v>
      </c>
      <c r="U998" s="68">
        <f>IF($C998="B",VLOOKUP($A998,Bat!$A$4:$BA$1621,47,FALSE),VLOOKUP($A998,Pit!$A$4:$BF$1557,56,FALSE))</f>
        <v>0</v>
      </c>
      <c r="V998" s="50">
        <f>IF($C998="B",VLOOKUP($A998,Bat!$A$4:$BA$1621,48,FALSE),VLOOKUP($A998,Pit!$A$4:$BF$1557,57,FALSE))</f>
        <v>0</v>
      </c>
      <c r="W998" s="50">
        <f>Table5[[#This Row],[posRnk]]+Table5[[#This Row],[zRnk]]+IF($W$3&lt;&gt;Table5[[#This Row],[Type]],50,0)</f>
        <v>1545</v>
      </c>
      <c r="X998" s="51">
        <f>RANK(Table5[[#This Row],[zScore]],Table5[[#All],[zScore]])</f>
        <v>929</v>
      </c>
      <c r="Y998" s="50" t="str">
        <f>IFERROR(INDEX(DraftResults[[#All],[OVR]],MATCH(Table5[[#This Row],[PID]],DraftResults[[#All],[Player ID]],0)),"")</f>
        <v/>
      </c>
      <c r="Z9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8" s="50" t="str">
        <f>IFERROR(INDEX(DraftResults[[#All],[Pick in Round]],MATCH(Table5[[#This Row],[PID]],DraftResults[[#All],[Player ID]],0)),"")</f>
        <v/>
      </c>
      <c r="AB998" s="50" t="str">
        <f>IFERROR(INDEX(DraftResults[[#All],[Team Name]],MATCH(Table5[[#This Row],[PID]],DraftResults[[#All],[Player ID]],0)),"")</f>
        <v/>
      </c>
      <c r="AC998" s="50" t="str">
        <f>IF(Table5[[#This Row],[Ovr]]="","",IF(Table5[[#This Row],[cmbList]]="","",Table5[[#This Row],[cmbList]]-Table5[[#This Row],[Ovr]]))</f>
        <v/>
      </c>
      <c r="AD998" s="54" t="str">
        <f>IF(ISERROR(VLOOKUP($AB998&amp;"-"&amp;$E998&amp;" "&amp;F998,Bonuses!$B$1:$G$1006,4,FALSE)),"",INT(VLOOKUP($AB998&amp;"-"&amp;$E998&amp;" "&amp;$F998,Bonuses!$B$1:$G$1006,4,FALSE)))</f>
        <v/>
      </c>
      <c r="AE9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999" spans="1:31" s="50" customFormat="1" x14ac:dyDescent="0.25">
      <c r="A999" s="50">
        <v>21007</v>
      </c>
      <c r="B999" s="50">
        <f>COUNTIF(Table5[PID],A999)</f>
        <v>1</v>
      </c>
      <c r="C999" s="50" t="str">
        <f>IF(COUNTIF(Table3[[#All],[PID]],A999)&gt;0,"P","B")</f>
        <v>P</v>
      </c>
      <c r="D999" s="59" t="str">
        <f>IF($C999="B",INDEX(Batters[[#All],[POS]],MATCH(Table5[[#This Row],[PID]],Batters[[#All],[PID]],0)),INDEX(Table3[[#All],[POS]],MATCH(Table5[[#This Row],[PID]],Table3[[#All],[PID]],0)))</f>
        <v>RP</v>
      </c>
      <c r="E999" s="52" t="str">
        <f>IF($C999="B",INDEX(Batters[[#All],[First]],MATCH(Table5[[#This Row],[PID]],Batters[[#All],[PID]],0)),INDEX(Table3[[#All],[First]],MATCH(Table5[[#This Row],[PID]],Table3[[#All],[PID]],0)))</f>
        <v>Fernando</v>
      </c>
      <c r="F999" s="50" t="str">
        <f>IF($C999="B",INDEX(Batters[[#All],[Last]],MATCH(A999,Batters[[#All],[PID]],0)),INDEX(Table3[[#All],[Last]],MATCH(A999,Table3[[#All],[PID]],0)))</f>
        <v>Sánchez</v>
      </c>
      <c r="G999" s="56">
        <f>IF($C999="B",INDEX(Batters[[#All],[Age]],MATCH(Table5[[#This Row],[PID]],Batters[[#All],[PID]],0)),INDEX(Table3[[#All],[Age]],MATCH(Table5[[#This Row],[PID]],Table3[[#All],[PID]],0)))</f>
        <v>17</v>
      </c>
      <c r="H999" s="52" t="str">
        <f>IF($C999="B",INDEX(Batters[[#All],[B]],MATCH(Table5[[#This Row],[PID]],Batters[[#All],[PID]],0)),INDEX(Table3[[#All],[B]],MATCH(Table5[[#This Row],[PID]],Table3[[#All],[PID]],0)))</f>
        <v>L</v>
      </c>
      <c r="I999" s="52" t="str">
        <f>IF($C999="B",INDEX(Batters[[#All],[T]],MATCH(Table5[[#This Row],[PID]],Batters[[#All],[PID]],0)),INDEX(Table3[[#All],[T]],MATCH(Table5[[#This Row],[PID]],Table3[[#All],[PID]],0)))</f>
        <v>L</v>
      </c>
      <c r="J999" s="52" t="str">
        <f>IF($C999="B",INDEX(Batters[[#All],[WE]],MATCH(Table5[[#This Row],[PID]],Batters[[#All],[PID]],0)),INDEX(Table3[[#All],[WE]],MATCH(Table5[[#This Row],[PID]],Table3[[#All],[PID]],0)))</f>
        <v>Low</v>
      </c>
      <c r="K999" s="52" t="str">
        <f>IF($C999="B",INDEX(Batters[[#All],[INT]],MATCH(Table5[[#This Row],[PID]],Batters[[#All],[PID]],0)),INDEX(Table3[[#All],[INT]],MATCH(Table5[[#This Row],[PID]],Table3[[#All],[PID]],0)))</f>
        <v>Normal</v>
      </c>
      <c r="L999" s="60">
        <f>IF($C999="B",INDEX(Batters[[#All],[CON P]],MATCH(Table5[[#This Row],[PID]],Batters[[#All],[PID]],0)),INDEX(Table3[[#All],[STU P]],MATCH(Table5[[#This Row],[PID]],Table3[[#All],[PID]],0)))</f>
        <v>4</v>
      </c>
      <c r="M999" s="56">
        <f>IF($C999="B",INDEX(Batters[[#All],[GAP P]],MATCH(Table5[[#This Row],[PID]],Batters[[#All],[PID]],0)),INDEX(Table3[[#All],[MOV P]],MATCH(Table5[[#This Row],[PID]],Table3[[#All],[PID]],0)))</f>
        <v>3</v>
      </c>
      <c r="N999" s="56">
        <f>IF($C999="B",INDEX(Batters[[#All],[POW P]],MATCH(Table5[[#This Row],[PID]],Batters[[#All],[PID]],0)),INDEX(Table3[[#All],[CON P]],MATCH(Table5[[#This Row],[PID]],Table3[[#All],[PID]],0)))</f>
        <v>2</v>
      </c>
      <c r="O999" s="56" t="str">
        <f>IF($C999="B",INDEX(Batters[[#All],[EYE P]],MATCH(Table5[[#This Row],[PID]],Batters[[#All],[PID]],0)),INDEX(Table3[[#All],[VELO]],MATCH(Table5[[#This Row],[PID]],Table3[[#All],[PID]],0)))</f>
        <v>86-88 Mph</v>
      </c>
      <c r="P999" s="56">
        <f>IF($C999="B",INDEX(Batters[[#All],[K P]],MATCH(Table5[[#This Row],[PID]],Batters[[#All],[PID]],0)),INDEX(Table3[[#All],[STM]],MATCH(Table5[[#This Row],[PID]],Table3[[#All],[PID]],0)))</f>
        <v>10</v>
      </c>
      <c r="Q999" s="61">
        <f>IF($C999="B",INDEX(Batters[[#All],[Tot]],MATCH(Table5[[#This Row],[PID]],Batters[[#All],[PID]],0)),INDEX(Table3[[#All],[Tot]],MATCH(Table5[[#This Row],[PID]],Table3[[#All],[PID]],0)))</f>
        <v>26.625451239920963</v>
      </c>
      <c r="R999" s="52">
        <f>IF($C999="B",INDEX(Batters[[#All],[zScore]],MATCH(Table5[[#This Row],[PID]],Batters[[#All],[PID]],0)),INDEX(Table3[[#All],[zScore]],MATCH(Table5[[#This Row],[PID]],Table3[[#All],[PID]],0)))</f>
        <v>-0.61506069916835504</v>
      </c>
      <c r="S999" s="58" t="str">
        <f>IF($C999="B",INDEX(Batters[[#All],[DEM]],MATCH(Table5[[#This Row],[PID]],Batters[[#All],[PID]],0)),INDEX(Table3[[#All],[DEM]],MATCH(Table5[[#This Row],[PID]],Table3[[#All],[PID]],0)))</f>
        <v>$95k</v>
      </c>
      <c r="T999" s="62">
        <f>IF($C999="B",INDEX(Batters[[#All],[Rnk]],MATCH(Table5[[#This Row],[PID]],Batters[[#All],[PID]],0)),INDEX(Table3[[#All],[Rnk]],MATCH(Table5[[#This Row],[PID]],Table3[[#All],[PID]],0)))</f>
        <v>567</v>
      </c>
      <c r="U999" s="68">
        <f>IF($C999="B",VLOOKUP($A999,Bat!$A$4:$BA$1621,47,FALSE),VLOOKUP($A999,Pit!$A$4:$BF$1557,56,FALSE))</f>
        <v>0</v>
      </c>
      <c r="V999" s="50">
        <f>IF($C999="B",VLOOKUP($A999,Bat!$A$4:$BA$1621,48,FALSE),VLOOKUP($A999,Pit!$A$4:$BF$1557,57,FALSE))</f>
        <v>0</v>
      </c>
      <c r="W999" s="50">
        <f>Table5[[#This Row],[posRnk]]+Table5[[#This Row],[zRnk]]+IF($W$3&lt;&gt;Table5[[#This Row],[Type]],50,0)</f>
        <v>1547</v>
      </c>
      <c r="X999" s="51">
        <f>RANK(Table5[[#This Row],[zScore]],Table5[[#All],[zScore]])</f>
        <v>930</v>
      </c>
      <c r="Y999" s="50" t="str">
        <f>IFERROR(INDEX(DraftResults[[#All],[OVR]],MATCH(Table5[[#This Row],[PID]],DraftResults[[#All],[Player ID]],0)),"")</f>
        <v/>
      </c>
      <c r="Z9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999" s="50" t="str">
        <f>IFERROR(INDEX(DraftResults[[#All],[Pick in Round]],MATCH(Table5[[#This Row],[PID]],DraftResults[[#All],[Player ID]],0)),"")</f>
        <v/>
      </c>
      <c r="AB999" s="50" t="str">
        <f>IFERROR(INDEX(DraftResults[[#All],[Team Name]],MATCH(Table5[[#This Row],[PID]],DraftResults[[#All],[Player ID]],0)),"")</f>
        <v/>
      </c>
      <c r="AC999" s="50" t="str">
        <f>IF(Table5[[#This Row],[Ovr]]="","",IF(Table5[[#This Row],[cmbList]]="","",Table5[[#This Row],[cmbList]]-Table5[[#This Row],[Ovr]]))</f>
        <v/>
      </c>
      <c r="AD999" s="54" t="str">
        <f>IF(ISERROR(VLOOKUP($AB999&amp;"-"&amp;$E999&amp;" "&amp;F999,Bonuses!$B$1:$G$1006,4,FALSE)),"",INT(VLOOKUP($AB999&amp;"-"&amp;$E999&amp;" "&amp;$F999,Bonuses!$B$1:$G$1006,4,FALSE)))</f>
        <v/>
      </c>
      <c r="AE9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0" spans="1:31" s="50" customFormat="1" x14ac:dyDescent="0.25">
      <c r="A1000" s="50">
        <v>20880</v>
      </c>
      <c r="B1000" s="50">
        <f>COUNTIF(Table5[PID],A1000)</f>
        <v>1</v>
      </c>
      <c r="C1000" s="50" t="str">
        <f>IF(COUNTIF(Table3[[#All],[PID]],A1000)&gt;0,"P","B")</f>
        <v>P</v>
      </c>
      <c r="D1000" s="59" t="str">
        <f>IF($C1000="B",INDEX(Batters[[#All],[POS]],MATCH(Table5[[#This Row],[PID]],Batters[[#All],[PID]],0)),INDEX(Table3[[#All],[POS]],MATCH(Table5[[#This Row],[PID]],Table3[[#All],[PID]],0)))</f>
        <v>RP</v>
      </c>
      <c r="E1000" s="52" t="str">
        <f>IF($C1000="B",INDEX(Batters[[#All],[First]],MATCH(Table5[[#This Row],[PID]],Batters[[#All],[PID]],0)),INDEX(Table3[[#All],[First]],MATCH(Table5[[#This Row],[PID]],Table3[[#All],[PID]],0)))</f>
        <v>Steve</v>
      </c>
      <c r="F1000" s="50" t="str">
        <f>IF($C1000="B",INDEX(Batters[[#All],[Last]],MATCH(A1000,Batters[[#All],[PID]],0)),INDEX(Table3[[#All],[Last]],MATCH(A1000,Table3[[#All],[PID]],0)))</f>
        <v>Flores</v>
      </c>
      <c r="G1000" s="56">
        <f>IF($C1000="B",INDEX(Batters[[#All],[Age]],MATCH(Table5[[#This Row],[PID]],Batters[[#All],[PID]],0)),INDEX(Table3[[#All],[Age]],MATCH(Table5[[#This Row],[PID]],Table3[[#All],[PID]],0)))</f>
        <v>17</v>
      </c>
      <c r="H1000" s="52" t="str">
        <f>IF($C1000="B",INDEX(Batters[[#All],[B]],MATCH(Table5[[#This Row],[PID]],Batters[[#All],[PID]],0)),INDEX(Table3[[#All],[B]],MATCH(Table5[[#This Row],[PID]],Table3[[#All],[PID]],0)))</f>
        <v>R</v>
      </c>
      <c r="I1000" s="52" t="str">
        <f>IF($C1000="B",INDEX(Batters[[#All],[T]],MATCH(Table5[[#This Row],[PID]],Batters[[#All],[PID]],0)),INDEX(Table3[[#All],[T]],MATCH(Table5[[#This Row],[PID]],Table3[[#All],[PID]],0)))</f>
        <v>R</v>
      </c>
      <c r="J1000" s="52" t="str">
        <f>IF($C1000="B",INDEX(Batters[[#All],[WE]],MATCH(Table5[[#This Row],[PID]],Batters[[#All],[PID]],0)),INDEX(Table3[[#All],[WE]],MATCH(Table5[[#This Row],[PID]],Table3[[#All],[PID]],0)))</f>
        <v>Normal</v>
      </c>
      <c r="K1000" s="52" t="str">
        <f>IF($C1000="B",INDEX(Batters[[#All],[INT]],MATCH(Table5[[#This Row],[PID]],Batters[[#All],[PID]],0)),INDEX(Table3[[#All],[INT]],MATCH(Table5[[#This Row],[PID]],Table3[[#All],[PID]],0)))</f>
        <v>Normal</v>
      </c>
      <c r="L1000" s="60">
        <f>IF($C1000="B",INDEX(Batters[[#All],[CON P]],MATCH(Table5[[#This Row],[PID]],Batters[[#All],[PID]],0)),INDEX(Table3[[#All],[STU P]],MATCH(Table5[[#This Row],[PID]],Table3[[#All],[PID]],0)))</f>
        <v>4</v>
      </c>
      <c r="M1000" s="56">
        <f>IF($C1000="B",INDEX(Batters[[#All],[GAP P]],MATCH(Table5[[#This Row],[PID]],Batters[[#All],[PID]],0)),INDEX(Table3[[#All],[MOV P]],MATCH(Table5[[#This Row],[PID]],Table3[[#All],[PID]],0)))</f>
        <v>2</v>
      </c>
      <c r="N1000" s="56">
        <f>IF($C1000="B",INDEX(Batters[[#All],[POW P]],MATCH(Table5[[#This Row],[PID]],Batters[[#All],[PID]],0)),INDEX(Table3[[#All],[CON P]],MATCH(Table5[[#This Row],[PID]],Table3[[#All],[PID]],0)))</f>
        <v>3</v>
      </c>
      <c r="O1000" s="56" t="str">
        <f>IF($C1000="B",INDEX(Batters[[#All],[EYE P]],MATCH(Table5[[#This Row],[PID]],Batters[[#All],[PID]],0)),INDEX(Table3[[#All],[VELO]],MATCH(Table5[[#This Row],[PID]],Table3[[#All],[PID]],0)))</f>
        <v>87-89 Mph</v>
      </c>
      <c r="P1000" s="56">
        <f>IF($C1000="B",INDEX(Batters[[#All],[K P]],MATCH(Table5[[#This Row],[PID]],Batters[[#All],[PID]],0)),INDEX(Table3[[#All],[STM]],MATCH(Table5[[#This Row],[PID]],Table3[[#All],[PID]],0)))</f>
        <v>2</v>
      </c>
      <c r="Q1000" s="61">
        <f>IF($C1000="B",INDEX(Batters[[#All],[Tot]],MATCH(Table5[[#This Row],[PID]],Batters[[#All],[PID]],0)),INDEX(Table3[[#All],[Tot]],MATCH(Table5[[#This Row],[PID]],Table3[[#All],[PID]],0)))</f>
        <v>26.59170735665629</v>
      </c>
      <c r="R1000" s="52">
        <f>IF($C1000="B",INDEX(Batters[[#All],[zScore]],MATCH(Table5[[#This Row],[PID]],Batters[[#All],[PID]],0)),INDEX(Table3[[#All],[zScore]],MATCH(Table5[[#This Row],[PID]],Table3[[#All],[PID]],0)))</f>
        <v>-0.61730562815762735</v>
      </c>
      <c r="S1000" s="58" t="str">
        <f>IF($C1000="B",INDEX(Batters[[#All],[DEM]],MATCH(Table5[[#This Row],[PID]],Batters[[#All],[PID]],0)),INDEX(Table3[[#All],[DEM]],MATCH(Table5[[#This Row],[PID]],Table3[[#All],[PID]],0)))</f>
        <v>$75k</v>
      </c>
      <c r="T1000" s="62">
        <f>IF($C1000="B",INDEX(Batters[[#All],[Rnk]],MATCH(Table5[[#This Row],[PID]],Batters[[#All],[PID]],0)),INDEX(Table3[[#All],[Rnk]],MATCH(Table5[[#This Row],[PID]],Table3[[#All],[PID]],0)))</f>
        <v>568</v>
      </c>
      <c r="U1000" s="68">
        <f>IF($C1000="B",VLOOKUP($A1000,Bat!$A$4:$BA$1621,47,FALSE),VLOOKUP($A1000,Pit!$A$4:$BF$1557,56,FALSE))</f>
        <v>0</v>
      </c>
      <c r="V1000" s="50">
        <f>IF($C1000="B",VLOOKUP($A1000,Bat!$A$4:$BA$1621,48,FALSE),VLOOKUP($A1000,Pit!$A$4:$BF$1557,57,FALSE))</f>
        <v>0</v>
      </c>
      <c r="W1000" s="50">
        <f>Table5[[#This Row],[posRnk]]+Table5[[#This Row],[zRnk]]+IF($W$3&lt;&gt;Table5[[#This Row],[Type]],50,0)</f>
        <v>1549</v>
      </c>
      <c r="X1000" s="51">
        <f>RANK(Table5[[#This Row],[zScore]],Table5[[#All],[zScore]])</f>
        <v>931</v>
      </c>
      <c r="Y1000" s="50" t="str">
        <f>IFERROR(INDEX(DraftResults[[#All],[OVR]],MATCH(Table5[[#This Row],[PID]],DraftResults[[#All],[Player ID]],0)),"")</f>
        <v/>
      </c>
      <c r="Z10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0" s="50" t="str">
        <f>IFERROR(INDEX(DraftResults[[#All],[Pick in Round]],MATCH(Table5[[#This Row],[PID]],DraftResults[[#All],[Player ID]],0)),"")</f>
        <v/>
      </c>
      <c r="AB1000" s="50" t="str">
        <f>IFERROR(INDEX(DraftResults[[#All],[Team Name]],MATCH(Table5[[#This Row],[PID]],DraftResults[[#All],[Player ID]],0)),"")</f>
        <v/>
      </c>
      <c r="AC1000" s="50" t="str">
        <f>IF(Table5[[#This Row],[Ovr]]="","",IF(Table5[[#This Row],[cmbList]]="","",Table5[[#This Row],[cmbList]]-Table5[[#This Row],[Ovr]]))</f>
        <v/>
      </c>
      <c r="AD1000" s="54" t="str">
        <f>IF(ISERROR(VLOOKUP($AB1000&amp;"-"&amp;$E1000&amp;" "&amp;F1000,Bonuses!$B$1:$G$1006,4,FALSE)),"",INT(VLOOKUP($AB1000&amp;"-"&amp;$E1000&amp;" "&amp;$F1000,Bonuses!$B$1:$G$1006,4,FALSE)))</f>
        <v/>
      </c>
      <c r="AE10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1" spans="1:31" s="50" customFormat="1" x14ac:dyDescent="0.25">
      <c r="A1001" s="50">
        <v>17797</v>
      </c>
      <c r="B1001" s="50">
        <f>COUNTIF(Table5[PID],A1001)</f>
        <v>1</v>
      </c>
      <c r="C1001" s="50" t="str">
        <f>IF(COUNTIF(Table3[[#All],[PID]],A1001)&gt;0,"P","B")</f>
        <v>P</v>
      </c>
      <c r="D1001" s="59" t="str">
        <f>IF($C1001="B",INDEX(Batters[[#All],[POS]],MATCH(Table5[[#This Row],[PID]],Batters[[#All],[PID]],0)),INDEX(Table3[[#All],[POS]],MATCH(Table5[[#This Row],[PID]],Table3[[#All],[PID]],0)))</f>
        <v>CL</v>
      </c>
      <c r="E1001" s="52" t="str">
        <f>IF($C1001="B",INDEX(Batters[[#All],[First]],MATCH(Table5[[#This Row],[PID]],Batters[[#All],[PID]],0)),INDEX(Table3[[#All],[First]],MATCH(Table5[[#This Row],[PID]],Table3[[#All],[PID]],0)))</f>
        <v>Robbie</v>
      </c>
      <c r="F1001" s="50" t="str">
        <f>IF($C1001="B",INDEX(Batters[[#All],[Last]],MATCH(A1001,Batters[[#All],[PID]],0)),INDEX(Table3[[#All],[Last]],MATCH(A1001,Table3[[#All],[PID]],0)))</f>
        <v>Fairthorne</v>
      </c>
      <c r="G1001" s="56">
        <f>IF($C1001="B",INDEX(Batters[[#All],[Age]],MATCH(Table5[[#This Row],[PID]],Batters[[#All],[PID]],0)),INDEX(Table3[[#All],[Age]],MATCH(Table5[[#This Row],[PID]],Table3[[#All],[PID]],0)))</f>
        <v>21</v>
      </c>
      <c r="H1001" s="52" t="str">
        <f>IF($C1001="B",INDEX(Batters[[#All],[B]],MATCH(Table5[[#This Row],[PID]],Batters[[#All],[PID]],0)),INDEX(Table3[[#All],[B]],MATCH(Table5[[#This Row],[PID]],Table3[[#All],[PID]],0)))</f>
        <v>R</v>
      </c>
      <c r="I1001" s="52" t="str">
        <f>IF($C1001="B",INDEX(Batters[[#All],[T]],MATCH(Table5[[#This Row],[PID]],Batters[[#All],[PID]],0)),INDEX(Table3[[#All],[T]],MATCH(Table5[[#This Row],[PID]],Table3[[#All],[PID]],0)))</f>
        <v>R</v>
      </c>
      <c r="J1001" s="52" t="str">
        <f>IF($C1001="B",INDEX(Batters[[#All],[WE]],MATCH(Table5[[#This Row],[PID]],Batters[[#All],[PID]],0)),INDEX(Table3[[#All],[WE]],MATCH(Table5[[#This Row],[PID]],Table3[[#All],[PID]],0)))</f>
        <v>Normal</v>
      </c>
      <c r="K1001" s="52" t="str">
        <f>IF($C1001="B",INDEX(Batters[[#All],[INT]],MATCH(Table5[[#This Row],[PID]],Batters[[#All],[PID]],0)),INDEX(Table3[[#All],[INT]],MATCH(Table5[[#This Row],[PID]],Table3[[#All],[PID]],0)))</f>
        <v>Normal</v>
      </c>
      <c r="L1001" s="60">
        <f>IF($C1001="B",INDEX(Batters[[#All],[CON P]],MATCH(Table5[[#This Row],[PID]],Batters[[#All],[PID]],0)),INDEX(Table3[[#All],[STU P]],MATCH(Table5[[#This Row],[PID]],Table3[[#All],[PID]],0)))</f>
        <v>4</v>
      </c>
      <c r="M1001" s="56">
        <f>IF($C1001="B",INDEX(Batters[[#All],[GAP P]],MATCH(Table5[[#This Row],[PID]],Batters[[#All],[PID]],0)),INDEX(Table3[[#All],[MOV P]],MATCH(Table5[[#This Row],[PID]],Table3[[#All],[PID]],0)))</f>
        <v>1</v>
      </c>
      <c r="N1001" s="56">
        <f>IF($C1001="B",INDEX(Batters[[#All],[POW P]],MATCH(Table5[[#This Row],[PID]],Batters[[#All],[PID]],0)),INDEX(Table3[[#All],[CON P]],MATCH(Table5[[#This Row],[PID]],Table3[[#All],[PID]],0)))</f>
        <v>3</v>
      </c>
      <c r="O1001" s="56" t="str">
        <f>IF($C1001="B",INDEX(Batters[[#All],[EYE P]],MATCH(Table5[[#This Row],[PID]],Batters[[#All],[PID]],0)),INDEX(Table3[[#All],[VELO]],MATCH(Table5[[#This Row],[PID]],Table3[[#All],[PID]],0)))</f>
        <v>90-92 Mph</v>
      </c>
      <c r="P1001" s="56">
        <f>IF($C1001="B",INDEX(Batters[[#All],[K P]],MATCH(Table5[[#This Row],[PID]],Batters[[#All],[PID]],0)),INDEX(Table3[[#All],[STM]],MATCH(Table5[[#This Row],[PID]],Table3[[#All],[PID]],0)))</f>
        <v>6</v>
      </c>
      <c r="Q1001" s="61">
        <f>IF($C1001="B",INDEX(Batters[[#All],[Tot]],MATCH(Table5[[#This Row],[PID]],Batters[[#All],[PID]],0)),INDEX(Table3[[#All],[Tot]],MATCH(Table5[[#This Row],[PID]],Table3[[#All],[PID]],0)))</f>
        <v>26.575327451157843</v>
      </c>
      <c r="R1001" s="52">
        <f>IF($C1001="B",INDEX(Batters[[#All],[zScore]],MATCH(Table5[[#This Row],[PID]],Batters[[#All],[PID]],0)),INDEX(Table3[[#All],[zScore]],MATCH(Table5[[#This Row],[PID]],Table3[[#All],[PID]],0)))</f>
        <v>-0.61839535824016056</v>
      </c>
      <c r="S1001" s="58" t="str">
        <f>IF($C1001="B",INDEX(Batters[[#All],[DEM]],MATCH(Table5[[#This Row],[PID]],Batters[[#All],[PID]],0)),INDEX(Table3[[#All],[DEM]],MATCH(Table5[[#This Row],[PID]],Table3[[#All],[PID]],0)))</f>
        <v>-</v>
      </c>
      <c r="T1001" s="62">
        <f>IF($C1001="B",INDEX(Batters[[#All],[Rnk]],MATCH(Table5[[#This Row],[PID]],Batters[[#All],[PID]],0)),INDEX(Table3[[#All],[Rnk]],MATCH(Table5[[#This Row],[PID]],Table3[[#All],[PID]],0)))</f>
        <v>569</v>
      </c>
      <c r="U1001" s="68">
        <f>IF($C1001="B",VLOOKUP($A1001,Bat!$A$4:$BA$1621,47,FALSE),VLOOKUP($A1001,Pit!$A$4:$BF$1557,56,FALSE))</f>
        <v>0</v>
      </c>
      <c r="V1001" s="50">
        <f>IF($C1001="B",VLOOKUP($A1001,Bat!$A$4:$BA$1621,48,FALSE),VLOOKUP($A1001,Pit!$A$4:$BF$1557,57,FALSE))</f>
        <v>0</v>
      </c>
      <c r="W1001" s="50">
        <f>Table5[[#This Row],[posRnk]]+Table5[[#This Row],[zRnk]]+IF($W$3&lt;&gt;Table5[[#This Row],[Type]],50,0)</f>
        <v>1551</v>
      </c>
      <c r="X1001" s="51">
        <f>RANK(Table5[[#This Row],[zScore]],Table5[[#All],[zScore]])</f>
        <v>932</v>
      </c>
      <c r="Y1001" s="50" t="str">
        <f>IFERROR(INDEX(DraftResults[[#All],[OVR]],MATCH(Table5[[#This Row],[PID]],DraftResults[[#All],[Player ID]],0)),"")</f>
        <v/>
      </c>
      <c r="Z10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1" s="50" t="str">
        <f>IFERROR(INDEX(DraftResults[[#All],[Pick in Round]],MATCH(Table5[[#This Row],[PID]],DraftResults[[#All],[Player ID]],0)),"")</f>
        <v/>
      </c>
      <c r="AB1001" s="50" t="str">
        <f>IFERROR(INDEX(DraftResults[[#All],[Team Name]],MATCH(Table5[[#This Row],[PID]],DraftResults[[#All],[Player ID]],0)),"")</f>
        <v/>
      </c>
      <c r="AC1001" s="50" t="str">
        <f>IF(Table5[[#This Row],[Ovr]]="","",IF(Table5[[#This Row],[cmbList]]="","",Table5[[#This Row],[cmbList]]-Table5[[#This Row],[Ovr]]))</f>
        <v/>
      </c>
      <c r="AD1001" s="54" t="str">
        <f>IF(ISERROR(VLOOKUP($AB1001&amp;"-"&amp;$E1001&amp;" "&amp;F1001,Bonuses!$B$1:$G$1006,4,FALSE)),"",INT(VLOOKUP($AB1001&amp;"-"&amp;$E1001&amp;" "&amp;$F1001,Bonuses!$B$1:$G$1006,4,FALSE)))</f>
        <v/>
      </c>
      <c r="AE10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2" spans="1:31" s="50" customFormat="1" x14ac:dyDescent="0.25">
      <c r="A1002" s="50">
        <v>9256</v>
      </c>
      <c r="B1002" s="50">
        <f>COUNTIF(Table5[PID],A1002)</f>
        <v>1</v>
      </c>
      <c r="C1002" s="50" t="str">
        <f>IF(COUNTIF(Table3[[#All],[PID]],A1002)&gt;0,"P","B")</f>
        <v>P</v>
      </c>
      <c r="D1002" s="59" t="str">
        <f>IF($C1002="B",INDEX(Batters[[#All],[POS]],MATCH(Table5[[#This Row],[PID]],Batters[[#All],[PID]],0)),INDEX(Table3[[#All],[POS]],MATCH(Table5[[#This Row],[PID]],Table3[[#All],[PID]],0)))</f>
        <v>RP</v>
      </c>
      <c r="E1002" s="52" t="str">
        <f>IF($C1002="B",INDEX(Batters[[#All],[First]],MATCH(Table5[[#This Row],[PID]],Batters[[#All],[PID]],0)),INDEX(Table3[[#All],[First]],MATCH(Table5[[#This Row],[PID]],Table3[[#All],[PID]],0)))</f>
        <v>Pedro</v>
      </c>
      <c r="F1002" s="50" t="str">
        <f>IF($C1002="B",INDEX(Batters[[#All],[Last]],MATCH(A1002,Batters[[#All],[PID]],0)),INDEX(Table3[[#All],[Last]],MATCH(A1002,Table3[[#All],[PID]],0)))</f>
        <v>Aguilar</v>
      </c>
      <c r="G1002" s="56">
        <f>IF($C1002="B",INDEX(Batters[[#All],[Age]],MATCH(Table5[[#This Row],[PID]],Batters[[#All],[PID]],0)),INDEX(Table3[[#All],[Age]],MATCH(Table5[[#This Row],[PID]],Table3[[#All],[PID]],0)))</f>
        <v>22</v>
      </c>
      <c r="H1002" s="52" t="str">
        <f>IF($C1002="B",INDEX(Batters[[#All],[B]],MATCH(Table5[[#This Row],[PID]],Batters[[#All],[PID]],0)),INDEX(Table3[[#All],[B]],MATCH(Table5[[#This Row],[PID]],Table3[[#All],[PID]],0)))</f>
        <v>R</v>
      </c>
      <c r="I1002" s="52" t="str">
        <f>IF($C1002="B",INDEX(Batters[[#All],[T]],MATCH(Table5[[#This Row],[PID]],Batters[[#All],[PID]],0)),INDEX(Table3[[#All],[T]],MATCH(Table5[[#This Row],[PID]],Table3[[#All],[PID]],0)))</f>
        <v>R</v>
      </c>
      <c r="J1002" s="52" t="str">
        <f>IF($C1002="B",INDEX(Batters[[#All],[WE]],MATCH(Table5[[#This Row],[PID]],Batters[[#All],[PID]],0)),INDEX(Table3[[#All],[WE]],MATCH(Table5[[#This Row],[PID]],Table3[[#All],[PID]],0)))</f>
        <v>Low</v>
      </c>
      <c r="K1002" s="52" t="str">
        <f>IF($C1002="B",INDEX(Batters[[#All],[INT]],MATCH(Table5[[#This Row],[PID]],Batters[[#All],[PID]],0)),INDEX(Table3[[#All],[INT]],MATCH(Table5[[#This Row],[PID]],Table3[[#All],[PID]],0)))</f>
        <v>Normal</v>
      </c>
      <c r="L1002" s="60">
        <f>IF($C1002="B",INDEX(Batters[[#All],[CON P]],MATCH(Table5[[#This Row],[PID]],Batters[[#All],[PID]],0)),INDEX(Table3[[#All],[STU P]],MATCH(Table5[[#This Row],[PID]],Table3[[#All],[PID]],0)))</f>
        <v>4</v>
      </c>
      <c r="M1002" s="56">
        <f>IF($C1002="B",INDEX(Batters[[#All],[GAP P]],MATCH(Table5[[#This Row],[PID]],Batters[[#All],[PID]],0)),INDEX(Table3[[#All],[MOV P]],MATCH(Table5[[#This Row],[PID]],Table3[[#All],[PID]],0)))</f>
        <v>1</v>
      </c>
      <c r="N1002" s="56">
        <f>IF($C1002="B",INDEX(Batters[[#All],[POW P]],MATCH(Table5[[#This Row],[PID]],Batters[[#All],[PID]],0)),INDEX(Table3[[#All],[CON P]],MATCH(Table5[[#This Row],[PID]],Table3[[#All],[PID]],0)))</f>
        <v>3</v>
      </c>
      <c r="O1002" s="56" t="str">
        <f>IF($C1002="B",INDEX(Batters[[#All],[EYE P]],MATCH(Table5[[#This Row],[PID]],Batters[[#All],[PID]],0)),INDEX(Table3[[#All],[VELO]],MATCH(Table5[[#This Row],[PID]],Table3[[#All],[PID]],0)))</f>
        <v>91-93 Mph</v>
      </c>
      <c r="P1002" s="56">
        <f>IF($C1002="B",INDEX(Batters[[#All],[K P]],MATCH(Table5[[#This Row],[PID]],Batters[[#All],[PID]],0)),INDEX(Table3[[#All],[STM]],MATCH(Table5[[#This Row],[PID]],Table3[[#All],[PID]],0)))</f>
        <v>7</v>
      </c>
      <c r="Q1002" s="61">
        <f>IF($C1002="B",INDEX(Batters[[#All],[Tot]],MATCH(Table5[[#This Row],[PID]],Batters[[#All],[PID]],0)),INDEX(Table3[[#All],[Tot]],MATCH(Table5[[#This Row],[PID]],Table3[[#All],[PID]],0)))</f>
        <v>26.540556163525263</v>
      </c>
      <c r="R1002" s="52">
        <f>IF($C1002="B",INDEX(Batters[[#All],[zScore]],MATCH(Table5[[#This Row],[PID]],Batters[[#All],[PID]],0)),INDEX(Table3[[#All],[zScore]],MATCH(Table5[[#This Row],[PID]],Table3[[#All],[PID]],0)))</f>
        <v>-0.62070863887204408</v>
      </c>
      <c r="S1002" s="58" t="str">
        <f>IF($C1002="B",INDEX(Batters[[#All],[DEM]],MATCH(Table5[[#This Row],[PID]],Batters[[#All],[PID]],0)),INDEX(Table3[[#All],[DEM]],MATCH(Table5[[#This Row],[PID]],Table3[[#All],[PID]],0)))</f>
        <v>-</v>
      </c>
      <c r="T1002" s="62">
        <f>IF($C1002="B",INDEX(Batters[[#All],[Rnk]],MATCH(Table5[[#This Row],[PID]],Batters[[#All],[PID]],0)),INDEX(Table3[[#All],[Rnk]],MATCH(Table5[[#This Row],[PID]],Table3[[#All],[PID]],0)))</f>
        <v>570</v>
      </c>
      <c r="U1002" s="68">
        <f>IF($C1002="B",VLOOKUP($A1002,Bat!$A$4:$BA$1621,47,FALSE),VLOOKUP($A1002,Pit!$A$4:$BF$1557,56,FALSE))</f>
        <v>0</v>
      </c>
      <c r="V1002" s="50">
        <f>IF($C1002="B",VLOOKUP($A1002,Bat!$A$4:$BA$1621,48,FALSE),VLOOKUP($A1002,Pit!$A$4:$BF$1557,57,FALSE))</f>
        <v>0</v>
      </c>
      <c r="W1002" s="50">
        <f>Table5[[#This Row],[posRnk]]+Table5[[#This Row],[zRnk]]+IF($W$3&lt;&gt;Table5[[#This Row],[Type]],50,0)</f>
        <v>1553</v>
      </c>
      <c r="X1002" s="51">
        <f>RANK(Table5[[#This Row],[zScore]],Table5[[#All],[zScore]])</f>
        <v>933</v>
      </c>
      <c r="Y1002" s="50" t="str">
        <f>IFERROR(INDEX(DraftResults[[#All],[OVR]],MATCH(Table5[[#This Row],[PID]],DraftResults[[#All],[Player ID]],0)),"")</f>
        <v/>
      </c>
      <c r="Z10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2" s="50" t="str">
        <f>IFERROR(INDEX(DraftResults[[#All],[Pick in Round]],MATCH(Table5[[#This Row],[PID]],DraftResults[[#All],[Player ID]],0)),"")</f>
        <v/>
      </c>
      <c r="AB1002" s="50" t="str">
        <f>IFERROR(INDEX(DraftResults[[#All],[Team Name]],MATCH(Table5[[#This Row],[PID]],DraftResults[[#All],[Player ID]],0)),"")</f>
        <v/>
      </c>
      <c r="AC1002" s="50" t="str">
        <f>IF(Table5[[#This Row],[Ovr]]="","",IF(Table5[[#This Row],[cmbList]]="","",Table5[[#This Row],[cmbList]]-Table5[[#This Row],[Ovr]]))</f>
        <v/>
      </c>
      <c r="AD1002" s="54" t="str">
        <f>IF(ISERROR(VLOOKUP($AB1002&amp;"-"&amp;$E1002&amp;" "&amp;F1002,Bonuses!$B$1:$G$1006,4,FALSE)),"",INT(VLOOKUP($AB1002&amp;"-"&amp;$E1002&amp;" "&amp;$F1002,Bonuses!$B$1:$G$1006,4,FALSE)))</f>
        <v/>
      </c>
      <c r="AE10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3" spans="1:31" s="50" customFormat="1" x14ac:dyDescent="0.25">
      <c r="A1003" s="50">
        <v>20822</v>
      </c>
      <c r="B1003" s="50">
        <f>COUNTIF(Table5[PID],A1003)</f>
        <v>1</v>
      </c>
      <c r="C1003" s="50" t="str">
        <f>IF(COUNTIF(Table3[[#All],[PID]],A1003)&gt;0,"P","B")</f>
        <v>B</v>
      </c>
      <c r="D1003" s="59" t="str">
        <f>IF($C1003="B",INDEX(Batters[[#All],[POS]],MATCH(Table5[[#This Row],[PID]],Batters[[#All],[PID]],0)),INDEX(Table3[[#All],[POS]],MATCH(Table5[[#This Row],[PID]],Table3[[#All],[PID]],0)))</f>
        <v>CF</v>
      </c>
      <c r="E1003" s="52" t="str">
        <f>IF($C1003="B",INDEX(Batters[[#All],[First]],MATCH(Table5[[#This Row],[PID]],Batters[[#All],[PID]],0)),INDEX(Table3[[#All],[First]],MATCH(Table5[[#This Row],[PID]],Table3[[#All],[PID]],0)))</f>
        <v>Matt</v>
      </c>
      <c r="F1003" s="50" t="str">
        <f>IF($C1003="B",INDEX(Batters[[#All],[Last]],MATCH(A1003,Batters[[#All],[PID]],0)),INDEX(Table3[[#All],[Last]],MATCH(A1003,Table3[[#All],[PID]],0)))</f>
        <v>Davies</v>
      </c>
      <c r="G1003" s="56">
        <f>IF($C1003="B",INDEX(Batters[[#All],[Age]],MATCH(Table5[[#This Row],[PID]],Batters[[#All],[PID]],0)),INDEX(Table3[[#All],[Age]],MATCH(Table5[[#This Row],[PID]],Table3[[#All],[PID]],0)))</f>
        <v>16</v>
      </c>
      <c r="H1003" s="52" t="str">
        <f>IF($C1003="B",INDEX(Batters[[#All],[B]],MATCH(Table5[[#This Row],[PID]],Batters[[#All],[PID]],0)),INDEX(Table3[[#All],[B]],MATCH(Table5[[#This Row],[PID]],Table3[[#All],[PID]],0)))</f>
        <v>S</v>
      </c>
      <c r="I1003" s="52" t="str">
        <f>IF($C1003="B",INDEX(Batters[[#All],[T]],MATCH(Table5[[#This Row],[PID]],Batters[[#All],[PID]],0)),INDEX(Table3[[#All],[T]],MATCH(Table5[[#This Row],[PID]],Table3[[#All],[PID]],0)))</f>
        <v>R</v>
      </c>
      <c r="J1003" s="52" t="str">
        <f>IF($C1003="B",INDEX(Batters[[#All],[WE]],MATCH(Table5[[#This Row],[PID]],Batters[[#All],[PID]],0)),INDEX(Table3[[#All],[WE]],MATCH(Table5[[#This Row],[PID]],Table3[[#All],[PID]],0)))</f>
        <v>High</v>
      </c>
      <c r="K1003" s="52" t="str">
        <f>IF($C1003="B",INDEX(Batters[[#All],[INT]],MATCH(Table5[[#This Row],[PID]],Batters[[#All],[PID]],0)),INDEX(Table3[[#All],[INT]],MATCH(Table5[[#This Row],[PID]],Table3[[#All],[PID]],0)))</f>
        <v>Normal</v>
      </c>
      <c r="L1003" s="60">
        <f>IF($C1003="B",INDEX(Batters[[#All],[CON P]],MATCH(Table5[[#This Row],[PID]],Batters[[#All],[PID]],0)),INDEX(Table3[[#All],[STU P]],MATCH(Table5[[#This Row],[PID]],Table3[[#All],[PID]],0)))</f>
        <v>3</v>
      </c>
      <c r="M1003" s="56">
        <f>IF($C1003="B",INDEX(Batters[[#All],[GAP P]],MATCH(Table5[[#This Row],[PID]],Batters[[#All],[PID]],0)),INDEX(Table3[[#All],[MOV P]],MATCH(Table5[[#This Row],[PID]],Table3[[#All],[PID]],0)))</f>
        <v>4</v>
      </c>
      <c r="N1003" s="56">
        <f>IF($C1003="B",INDEX(Batters[[#All],[POW P]],MATCH(Table5[[#This Row],[PID]],Batters[[#All],[PID]],0)),INDEX(Table3[[#All],[CON P]],MATCH(Table5[[#This Row],[PID]],Table3[[#All],[PID]],0)))</f>
        <v>3</v>
      </c>
      <c r="O1003" s="56">
        <f>IF($C1003="B",INDEX(Batters[[#All],[EYE P]],MATCH(Table5[[#This Row],[PID]],Batters[[#All],[PID]],0)),INDEX(Table3[[#All],[VELO]],MATCH(Table5[[#This Row],[PID]],Table3[[#All],[PID]],0)))</f>
        <v>4</v>
      </c>
      <c r="P1003" s="56">
        <f>IF($C1003="B",INDEX(Batters[[#All],[K P]],MATCH(Table5[[#This Row],[PID]],Batters[[#All],[PID]],0)),INDEX(Table3[[#All],[STM]],MATCH(Table5[[#This Row],[PID]],Table3[[#All],[PID]],0)))</f>
        <v>4</v>
      </c>
      <c r="Q1003" s="61">
        <f>IF($C1003="B",INDEX(Batters[[#All],[Tot]],MATCH(Table5[[#This Row],[PID]],Batters[[#All],[PID]],0)),INDEX(Table3[[#All],[Tot]],MATCH(Table5[[#This Row],[PID]],Table3[[#All],[PID]],0)))</f>
        <v>41.330855241959846</v>
      </c>
      <c r="R1003" s="52">
        <f>IF($C1003="B",INDEX(Batters[[#All],[zScore]],MATCH(Table5[[#This Row],[PID]],Batters[[#All],[PID]],0)),INDEX(Table3[[#All],[zScore]],MATCH(Table5[[#This Row],[PID]],Table3[[#All],[PID]],0)))</f>
        <v>-0.62101936271764957</v>
      </c>
      <c r="S1003" s="58" t="str">
        <f>IF($C1003="B",INDEX(Batters[[#All],[DEM]],MATCH(Table5[[#This Row],[PID]],Batters[[#All],[PID]],0)),INDEX(Table3[[#All],[DEM]],MATCH(Table5[[#This Row],[PID]],Table3[[#All],[PID]],0)))</f>
        <v>$65k</v>
      </c>
      <c r="T1003" s="62">
        <f>IF($C1003="B",INDEX(Batters[[#All],[Rnk]],MATCH(Table5[[#This Row],[PID]],Batters[[#All],[PID]],0)),INDEX(Table3[[#All],[Rnk]],MATCH(Table5[[#This Row],[PID]],Table3[[#All],[PID]],0)))</f>
        <v>363</v>
      </c>
      <c r="U1003" s="68">
        <f>IF($C1003="B",VLOOKUP($A1003,Bat!$A$4:$BA$1621,47,FALSE),VLOOKUP($A1003,Pit!$A$4:$BF$1557,56,FALSE))</f>
        <v>0</v>
      </c>
      <c r="V1003" s="50">
        <f>IF($C1003="B",VLOOKUP($A1003,Bat!$A$4:$BA$1621,48,FALSE),VLOOKUP($A1003,Pit!$A$4:$BF$1557,57,FALSE))</f>
        <v>0</v>
      </c>
      <c r="W1003" s="50">
        <f>Table5[[#This Row],[posRnk]]+Table5[[#This Row],[zRnk]]+IF($W$3&lt;&gt;Table5[[#This Row],[Type]],50,0)</f>
        <v>1347</v>
      </c>
      <c r="X1003" s="51">
        <f>RANK(Table5[[#This Row],[zScore]],Table5[[#All],[zScore]])</f>
        <v>934</v>
      </c>
      <c r="Y1003" s="50" t="str">
        <f>IFERROR(INDEX(DraftResults[[#All],[OVR]],MATCH(Table5[[#This Row],[PID]],DraftResults[[#All],[Player ID]],0)),"")</f>
        <v/>
      </c>
      <c r="Z10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3" s="50" t="str">
        <f>IFERROR(INDEX(DraftResults[[#All],[Pick in Round]],MATCH(Table5[[#This Row],[PID]],DraftResults[[#All],[Player ID]],0)),"")</f>
        <v/>
      </c>
      <c r="AB1003" s="50" t="str">
        <f>IFERROR(INDEX(DraftResults[[#All],[Team Name]],MATCH(Table5[[#This Row],[PID]],DraftResults[[#All],[Player ID]],0)),"")</f>
        <v/>
      </c>
      <c r="AC1003" s="50" t="str">
        <f>IF(Table5[[#This Row],[Ovr]]="","",IF(Table5[[#This Row],[cmbList]]="","",Table5[[#This Row],[cmbList]]-Table5[[#This Row],[Ovr]]))</f>
        <v/>
      </c>
      <c r="AD1003" s="54" t="str">
        <f>IF(ISERROR(VLOOKUP($AB1003&amp;"-"&amp;$E1003&amp;" "&amp;F1003,Bonuses!$B$1:$G$1006,4,FALSE)),"",INT(VLOOKUP($AB1003&amp;"-"&amp;$E1003&amp;" "&amp;$F1003,Bonuses!$B$1:$G$1006,4,FALSE)))</f>
        <v/>
      </c>
      <c r="AE10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4" spans="1:31" s="50" customFormat="1" x14ac:dyDescent="0.25">
      <c r="A1004" s="50">
        <v>20577</v>
      </c>
      <c r="B1004" s="50">
        <f>COUNTIF(Table5[PID],A1004)</f>
        <v>1</v>
      </c>
      <c r="C1004" s="50" t="str">
        <f>IF(COUNTIF(Table3[[#All],[PID]],A1004)&gt;0,"P","B")</f>
        <v>P</v>
      </c>
      <c r="D1004" s="59" t="str">
        <f>IF($C1004="B",INDEX(Batters[[#All],[POS]],MATCH(Table5[[#This Row],[PID]],Batters[[#All],[PID]],0)),INDEX(Table3[[#All],[POS]],MATCH(Table5[[#This Row],[PID]],Table3[[#All],[PID]],0)))</f>
        <v>RP</v>
      </c>
      <c r="E1004" s="52" t="str">
        <f>IF($C1004="B",INDEX(Batters[[#All],[First]],MATCH(Table5[[#This Row],[PID]],Batters[[#All],[PID]],0)),INDEX(Table3[[#All],[First]],MATCH(Table5[[#This Row],[PID]],Table3[[#All],[PID]],0)))</f>
        <v>Lian-wei</v>
      </c>
      <c r="F1004" s="50" t="str">
        <f>IF($C1004="B",INDEX(Batters[[#All],[Last]],MATCH(A1004,Batters[[#All],[PID]],0)),INDEX(Table3[[#All],[Last]],MATCH(A1004,Table3[[#All],[PID]],0)))</f>
        <v>Qian</v>
      </c>
      <c r="G1004" s="56">
        <f>IF($C1004="B",INDEX(Batters[[#All],[Age]],MATCH(Table5[[#This Row],[PID]],Batters[[#All],[PID]],0)),INDEX(Table3[[#All],[Age]],MATCH(Table5[[#This Row],[PID]],Table3[[#All],[PID]],0)))</f>
        <v>17</v>
      </c>
      <c r="H1004" s="52" t="str">
        <f>IF($C1004="B",INDEX(Batters[[#All],[B]],MATCH(Table5[[#This Row],[PID]],Batters[[#All],[PID]],0)),INDEX(Table3[[#All],[B]],MATCH(Table5[[#This Row],[PID]],Table3[[#All],[PID]],0)))</f>
        <v>L</v>
      </c>
      <c r="I1004" s="52" t="str">
        <f>IF($C1004="B",INDEX(Batters[[#All],[T]],MATCH(Table5[[#This Row],[PID]],Batters[[#All],[PID]],0)),INDEX(Table3[[#All],[T]],MATCH(Table5[[#This Row],[PID]],Table3[[#All],[PID]],0)))</f>
        <v>L</v>
      </c>
      <c r="J1004" s="52" t="str">
        <f>IF($C1004="B",INDEX(Batters[[#All],[WE]],MATCH(Table5[[#This Row],[PID]],Batters[[#All],[PID]],0)),INDEX(Table3[[#All],[WE]],MATCH(Table5[[#This Row],[PID]],Table3[[#All],[PID]],0)))</f>
        <v>Low</v>
      </c>
      <c r="K1004" s="52" t="str">
        <f>IF($C1004="B",INDEX(Batters[[#All],[INT]],MATCH(Table5[[#This Row],[PID]],Batters[[#All],[PID]],0)),INDEX(Table3[[#All],[INT]],MATCH(Table5[[#This Row],[PID]],Table3[[#All],[PID]],0)))</f>
        <v>High</v>
      </c>
      <c r="L1004" s="60">
        <f>IF($C1004="B",INDEX(Batters[[#All],[CON P]],MATCH(Table5[[#This Row],[PID]],Batters[[#All],[PID]],0)),INDEX(Table3[[#All],[STU P]],MATCH(Table5[[#This Row],[PID]],Table3[[#All],[PID]],0)))</f>
        <v>3</v>
      </c>
      <c r="M1004" s="56">
        <f>IF($C1004="B",INDEX(Batters[[#All],[GAP P]],MATCH(Table5[[#This Row],[PID]],Batters[[#All],[PID]],0)),INDEX(Table3[[#All],[MOV P]],MATCH(Table5[[#This Row],[PID]],Table3[[#All],[PID]],0)))</f>
        <v>1</v>
      </c>
      <c r="N1004" s="56">
        <f>IF($C1004="B",INDEX(Batters[[#All],[POW P]],MATCH(Table5[[#This Row],[PID]],Batters[[#All],[PID]],0)),INDEX(Table3[[#All],[CON P]],MATCH(Table5[[#This Row],[PID]],Table3[[#All],[PID]],0)))</f>
        <v>3</v>
      </c>
      <c r="O1004" s="56" t="str">
        <f>IF($C1004="B",INDEX(Batters[[#All],[EYE P]],MATCH(Table5[[#This Row],[PID]],Batters[[#All],[PID]],0)),INDEX(Table3[[#All],[VELO]],MATCH(Table5[[#This Row],[PID]],Table3[[#All],[PID]],0)))</f>
        <v>87-89 Mph</v>
      </c>
      <c r="P1004" s="56">
        <f>IF($C1004="B",INDEX(Batters[[#All],[K P]],MATCH(Table5[[#This Row],[PID]],Batters[[#All],[PID]],0)),INDEX(Table3[[#All],[STM]],MATCH(Table5[[#This Row],[PID]],Table3[[#All],[PID]],0)))</f>
        <v>5</v>
      </c>
      <c r="Q1004" s="61">
        <f>IF($C1004="B",INDEX(Batters[[#All],[Tot]],MATCH(Table5[[#This Row],[PID]],Batters[[#All],[PID]],0)),INDEX(Table3[[#All],[Tot]],MATCH(Table5[[#This Row],[PID]],Table3[[#All],[PID]],0)))</f>
        <v>26.512844112848416</v>
      </c>
      <c r="R1004" s="52">
        <f>IF($C1004="B",INDEX(Batters[[#All],[zScore]],MATCH(Table5[[#This Row],[PID]],Batters[[#All],[PID]],0)),INDEX(Table3[[#All],[zScore]],MATCH(Table5[[#This Row],[PID]],Table3[[#All],[PID]],0)))</f>
        <v>-0.62255227925654499</v>
      </c>
      <c r="S1004" s="58" t="str">
        <f>IF($C1004="B",INDEX(Batters[[#All],[DEM]],MATCH(Table5[[#This Row],[PID]],Batters[[#All],[PID]],0)),INDEX(Table3[[#All],[DEM]],MATCH(Table5[[#This Row],[PID]],Table3[[#All],[PID]],0)))</f>
        <v>$38k</v>
      </c>
      <c r="T1004" s="62">
        <f>IF($C1004="B",INDEX(Batters[[#All],[Rnk]],MATCH(Table5[[#This Row],[PID]],Batters[[#All],[PID]],0)),INDEX(Table3[[#All],[Rnk]],MATCH(Table5[[#This Row],[PID]],Table3[[#All],[PID]],0)))</f>
        <v>571</v>
      </c>
      <c r="U1004" s="68">
        <f>IF($C1004="B",VLOOKUP($A1004,Bat!$A$4:$BA$1621,47,FALSE),VLOOKUP($A1004,Pit!$A$4:$BF$1557,56,FALSE))</f>
        <v>0</v>
      </c>
      <c r="V1004" s="50">
        <f>IF($C1004="B",VLOOKUP($A1004,Bat!$A$4:$BA$1621,48,FALSE),VLOOKUP($A1004,Pit!$A$4:$BF$1557,57,FALSE))</f>
        <v>0</v>
      </c>
      <c r="W1004" s="50">
        <f>Table5[[#This Row],[posRnk]]+Table5[[#This Row],[zRnk]]+IF($W$3&lt;&gt;Table5[[#This Row],[Type]],50,0)</f>
        <v>1556</v>
      </c>
      <c r="X1004" s="51">
        <f>RANK(Table5[[#This Row],[zScore]],Table5[[#All],[zScore]])</f>
        <v>935</v>
      </c>
      <c r="Y1004" s="50" t="str">
        <f>IFERROR(INDEX(DraftResults[[#All],[OVR]],MATCH(Table5[[#This Row],[PID]],DraftResults[[#All],[Player ID]],0)),"")</f>
        <v/>
      </c>
      <c r="Z10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4" s="50" t="str">
        <f>IFERROR(INDEX(DraftResults[[#All],[Pick in Round]],MATCH(Table5[[#This Row],[PID]],DraftResults[[#All],[Player ID]],0)),"")</f>
        <v/>
      </c>
      <c r="AB1004" s="50" t="str">
        <f>IFERROR(INDEX(DraftResults[[#All],[Team Name]],MATCH(Table5[[#This Row],[PID]],DraftResults[[#All],[Player ID]],0)),"")</f>
        <v/>
      </c>
      <c r="AC1004" s="50" t="str">
        <f>IF(Table5[[#This Row],[Ovr]]="","",IF(Table5[[#This Row],[cmbList]]="","",Table5[[#This Row],[cmbList]]-Table5[[#This Row],[Ovr]]))</f>
        <v/>
      </c>
      <c r="AD1004" s="54" t="str">
        <f>IF(ISERROR(VLOOKUP($AB1004&amp;"-"&amp;$E1004&amp;" "&amp;F1004,Bonuses!$B$1:$G$1006,4,FALSE)),"",INT(VLOOKUP($AB1004&amp;"-"&amp;$E1004&amp;" "&amp;$F1004,Bonuses!$B$1:$G$1006,4,FALSE)))</f>
        <v/>
      </c>
      <c r="AE10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5" spans="1:31" s="50" customFormat="1" x14ac:dyDescent="0.25">
      <c r="A1005" s="50">
        <v>17802</v>
      </c>
      <c r="B1005" s="50">
        <f>COUNTIF(Table5[PID],A1005)</f>
        <v>1</v>
      </c>
      <c r="C1005" s="50" t="str">
        <f>IF(COUNTIF(Table3[[#All],[PID]],A1005)&gt;0,"P","B")</f>
        <v>P</v>
      </c>
      <c r="D1005" s="59" t="str">
        <f>IF($C1005="B",INDEX(Batters[[#All],[POS]],MATCH(Table5[[#This Row],[PID]],Batters[[#All],[PID]],0)),INDEX(Table3[[#All],[POS]],MATCH(Table5[[#This Row],[PID]],Table3[[#All],[PID]],0)))</f>
        <v>RP</v>
      </c>
      <c r="E1005" s="52" t="str">
        <f>IF($C1005="B",INDEX(Batters[[#All],[First]],MATCH(Table5[[#This Row],[PID]],Batters[[#All],[PID]],0)),INDEX(Table3[[#All],[First]],MATCH(Table5[[#This Row],[PID]],Table3[[#All],[PID]],0)))</f>
        <v>Sergio</v>
      </c>
      <c r="F1005" s="50" t="str">
        <f>IF($C1005="B",INDEX(Batters[[#All],[Last]],MATCH(A1005,Batters[[#All],[PID]],0)),INDEX(Table3[[#All],[Last]],MATCH(A1005,Table3[[#All],[PID]],0)))</f>
        <v>González</v>
      </c>
      <c r="G1005" s="56">
        <f>IF($C1005="B",INDEX(Batters[[#All],[Age]],MATCH(Table5[[#This Row],[PID]],Batters[[#All],[PID]],0)),INDEX(Table3[[#All],[Age]],MATCH(Table5[[#This Row],[PID]],Table3[[#All],[PID]],0)))</f>
        <v>21</v>
      </c>
      <c r="H1005" s="52" t="str">
        <f>IF($C1005="B",INDEX(Batters[[#All],[B]],MATCH(Table5[[#This Row],[PID]],Batters[[#All],[PID]],0)),INDEX(Table3[[#All],[B]],MATCH(Table5[[#This Row],[PID]],Table3[[#All],[PID]],0)))</f>
        <v>R</v>
      </c>
      <c r="I1005" s="52" t="str">
        <f>IF($C1005="B",INDEX(Batters[[#All],[T]],MATCH(Table5[[#This Row],[PID]],Batters[[#All],[PID]],0)),INDEX(Table3[[#All],[T]],MATCH(Table5[[#This Row],[PID]],Table3[[#All],[PID]],0)))</f>
        <v>R</v>
      </c>
      <c r="J1005" s="52" t="str">
        <f>IF($C1005="B",INDEX(Batters[[#All],[WE]],MATCH(Table5[[#This Row],[PID]],Batters[[#All],[PID]],0)),INDEX(Table3[[#All],[WE]],MATCH(Table5[[#This Row],[PID]],Table3[[#All],[PID]],0)))</f>
        <v>Low</v>
      </c>
      <c r="K1005" s="52" t="str">
        <f>IF($C1005="B",INDEX(Batters[[#All],[INT]],MATCH(Table5[[#This Row],[PID]],Batters[[#All],[PID]],0)),INDEX(Table3[[#All],[INT]],MATCH(Table5[[#This Row],[PID]],Table3[[#All],[PID]],0)))</f>
        <v>Normal</v>
      </c>
      <c r="L1005" s="60">
        <f>IF($C1005="B",INDEX(Batters[[#All],[CON P]],MATCH(Table5[[#This Row],[PID]],Batters[[#All],[PID]],0)),INDEX(Table3[[#All],[STU P]],MATCH(Table5[[#This Row],[PID]],Table3[[#All],[PID]],0)))</f>
        <v>5</v>
      </c>
      <c r="M1005" s="56">
        <f>IF($C1005="B",INDEX(Batters[[#All],[GAP P]],MATCH(Table5[[#This Row],[PID]],Batters[[#All],[PID]],0)),INDEX(Table3[[#All],[MOV P]],MATCH(Table5[[#This Row],[PID]],Table3[[#All],[PID]],0)))</f>
        <v>2</v>
      </c>
      <c r="N1005" s="56">
        <f>IF($C1005="B",INDEX(Batters[[#All],[POW P]],MATCH(Table5[[#This Row],[PID]],Batters[[#All],[PID]],0)),INDEX(Table3[[#All],[CON P]],MATCH(Table5[[#This Row],[PID]],Table3[[#All],[PID]],0)))</f>
        <v>2</v>
      </c>
      <c r="O1005" s="56" t="str">
        <f>IF($C1005="B",INDEX(Batters[[#All],[EYE P]],MATCH(Table5[[#This Row],[PID]],Batters[[#All],[PID]],0)),INDEX(Table3[[#All],[VELO]],MATCH(Table5[[#This Row],[PID]],Table3[[#All],[PID]],0)))</f>
        <v>90-92 Mph</v>
      </c>
      <c r="P1005" s="56">
        <f>IF($C1005="B",INDEX(Batters[[#All],[K P]],MATCH(Table5[[#This Row],[PID]],Batters[[#All],[PID]],0)),INDEX(Table3[[#All],[STM]],MATCH(Table5[[#This Row],[PID]],Table3[[#All],[PID]],0)))</f>
        <v>6</v>
      </c>
      <c r="Q1005" s="61">
        <f>IF($C1005="B",INDEX(Batters[[#All],[Tot]],MATCH(Table5[[#This Row],[PID]],Batters[[#All],[PID]],0)),INDEX(Table3[[#All],[Tot]],MATCH(Table5[[#This Row],[PID]],Table3[[#All],[PID]],0)))</f>
        <v>28.70808489612152</v>
      </c>
      <c r="R1005" s="52">
        <f>IF($C1005="B",INDEX(Batters[[#All],[zScore]],MATCH(Table5[[#This Row],[PID]],Batters[[#All],[PID]],0)),INDEX(Table3[[#All],[zScore]],MATCH(Table5[[#This Row],[PID]],Table3[[#All],[PID]],0)))</f>
        <v>-0.62305218388404104</v>
      </c>
      <c r="S1005" s="58" t="str">
        <f>IF($C1005="B",INDEX(Batters[[#All],[DEM]],MATCH(Table5[[#This Row],[PID]],Batters[[#All],[PID]],0)),INDEX(Table3[[#All],[DEM]],MATCH(Table5[[#This Row],[PID]],Table3[[#All],[PID]],0)))</f>
        <v>-</v>
      </c>
      <c r="T1005" s="62">
        <f>IF($C1005="B",INDEX(Batters[[#All],[Rnk]],MATCH(Table5[[#This Row],[PID]],Batters[[#All],[PID]],0)),INDEX(Table3[[#All],[Rnk]],MATCH(Table5[[#This Row],[PID]],Table3[[#All],[PID]],0)))</f>
        <v>572</v>
      </c>
      <c r="U1005" s="68">
        <f>IF($C1005="B",VLOOKUP($A1005,Bat!$A$4:$BA$1621,47,FALSE),VLOOKUP($A1005,Pit!$A$4:$BF$1557,56,FALSE))</f>
        <v>0</v>
      </c>
      <c r="V1005" s="50">
        <f>IF($C1005="B",VLOOKUP($A1005,Bat!$A$4:$BA$1621,48,FALSE),VLOOKUP($A1005,Pit!$A$4:$BF$1557,57,FALSE))</f>
        <v>0</v>
      </c>
      <c r="W1005" s="50">
        <f>Table5[[#This Row],[posRnk]]+Table5[[#This Row],[zRnk]]+IF($W$3&lt;&gt;Table5[[#This Row],[Type]],50,0)</f>
        <v>1558</v>
      </c>
      <c r="X1005" s="51">
        <f>RANK(Table5[[#This Row],[zScore]],Table5[[#All],[zScore]])</f>
        <v>936</v>
      </c>
      <c r="Y1005" s="50" t="str">
        <f>IFERROR(INDEX(DraftResults[[#All],[OVR]],MATCH(Table5[[#This Row],[PID]],DraftResults[[#All],[Player ID]],0)),"")</f>
        <v/>
      </c>
      <c r="Z10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5" s="50" t="str">
        <f>IFERROR(INDEX(DraftResults[[#All],[Pick in Round]],MATCH(Table5[[#This Row],[PID]],DraftResults[[#All],[Player ID]],0)),"")</f>
        <v/>
      </c>
      <c r="AB1005" s="50" t="str">
        <f>IFERROR(INDEX(DraftResults[[#All],[Team Name]],MATCH(Table5[[#This Row],[PID]],DraftResults[[#All],[Player ID]],0)),"")</f>
        <v/>
      </c>
      <c r="AC1005" s="50" t="str">
        <f>IF(Table5[[#This Row],[Ovr]]="","",IF(Table5[[#This Row],[cmbList]]="","",Table5[[#This Row],[cmbList]]-Table5[[#This Row],[Ovr]]))</f>
        <v/>
      </c>
      <c r="AD1005" s="54" t="str">
        <f>IF(ISERROR(VLOOKUP($AB1005&amp;"-"&amp;$E1005&amp;" "&amp;F1005,Bonuses!$B$1:$G$1006,4,FALSE)),"",INT(VLOOKUP($AB1005&amp;"-"&amp;$E1005&amp;" "&amp;$F1005,Bonuses!$B$1:$G$1006,4,FALSE)))</f>
        <v/>
      </c>
      <c r="AE10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6" spans="1:31" s="50" customFormat="1" x14ac:dyDescent="0.25">
      <c r="A1006" s="50">
        <v>7733</v>
      </c>
      <c r="B1006" s="50">
        <f>COUNTIF(Table5[PID],A1006)</f>
        <v>1</v>
      </c>
      <c r="C1006" s="50" t="str">
        <f>IF(COUNTIF(Table3[[#All],[PID]],A1006)&gt;0,"P","B")</f>
        <v>P</v>
      </c>
      <c r="D1006" s="59" t="str">
        <f>IF($C1006="B",INDEX(Batters[[#All],[POS]],MATCH(Table5[[#This Row],[PID]],Batters[[#All],[PID]],0)),INDEX(Table3[[#All],[POS]],MATCH(Table5[[#This Row],[PID]],Table3[[#All],[PID]],0)))</f>
        <v>RP</v>
      </c>
      <c r="E1006" s="52" t="str">
        <f>IF($C1006="B",INDEX(Batters[[#All],[First]],MATCH(Table5[[#This Row],[PID]],Batters[[#All],[PID]],0)),INDEX(Table3[[#All],[First]],MATCH(Table5[[#This Row],[PID]],Table3[[#All],[PID]],0)))</f>
        <v>Denis</v>
      </c>
      <c r="F1006" s="50" t="str">
        <f>IF($C1006="B",INDEX(Batters[[#All],[Last]],MATCH(A1006,Batters[[#All],[PID]],0)),INDEX(Table3[[#All],[Last]],MATCH(A1006,Table3[[#All],[PID]],0)))</f>
        <v>Ingram</v>
      </c>
      <c r="G1006" s="56">
        <f>IF($C1006="B",INDEX(Batters[[#All],[Age]],MATCH(Table5[[#This Row],[PID]],Batters[[#All],[PID]],0)),INDEX(Table3[[#All],[Age]],MATCH(Table5[[#This Row],[PID]],Table3[[#All],[PID]],0)))</f>
        <v>22</v>
      </c>
      <c r="H1006" s="52" t="str">
        <f>IF($C1006="B",INDEX(Batters[[#All],[B]],MATCH(Table5[[#This Row],[PID]],Batters[[#All],[PID]],0)),INDEX(Table3[[#All],[B]],MATCH(Table5[[#This Row],[PID]],Table3[[#All],[PID]],0)))</f>
        <v>R</v>
      </c>
      <c r="I1006" s="52" t="str">
        <f>IF($C1006="B",INDEX(Batters[[#All],[T]],MATCH(Table5[[#This Row],[PID]],Batters[[#All],[PID]],0)),INDEX(Table3[[#All],[T]],MATCH(Table5[[#This Row],[PID]],Table3[[#All],[PID]],0)))</f>
        <v>R</v>
      </c>
      <c r="J1006" s="52" t="str">
        <f>IF($C1006="B",INDEX(Batters[[#All],[WE]],MATCH(Table5[[#This Row],[PID]],Batters[[#All],[PID]],0)),INDEX(Table3[[#All],[WE]],MATCH(Table5[[#This Row],[PID]],Table3[[#All],[PID]],0)))</f>
        <v>High</v>
      </c>
      <c r="K1006" s="52" t="str">
        <f>IF($C1006="B",INDEX(Batters[[#All],[INT]],MATCH(Table5[[#This Row],[PID]],Batters[[#All],[PID]],0)),INDEX(Table3[[#All],[INT]],MATCH(Table5[[#This Row],[PID]],Table3[[#All],[PID]],0)))</f>
        <v>Normal</v>
      </c>
      <c r="L1006" s="60">
        <f>IF($C1006="B",INDEX(Batters[[#All],[CON P]],MATCH(Table5[[#This Row],[PID]],Batters[[#All],[PID]],0)),INDEX(Table3[[#All],[STU P]],MATCH(Table5[[#This Row],[PID]],Table3[[#All],[PID]],0)))</f>
        <v>5</v>
      </c>
      <c r="M1006" s="56">
        <f>IF($C1006="B",INDEX(Batters[[#All],[GAP P]],MATCH(Table5[[#This Row],[PID]],Batters[[#All],[PID]],0)),INDEX(Table3[[#All],[MOV P]],MATCH(Table5[[#This Row],[PID]],Table3[[#All],[PID]],0)))</f>
        <v>1</v>
      </c>
      <c r="N1006" s="56">
        <f>IF($C1006="B",INDEX(Batters[[#All],[POW P]],MATCH(Table5[[#This Row],[PID]],Batters[[#All],[PID]],0)),INDEX(Table3[[#All],[CON P]],MATCH(Table5[[#This Row],[PID]],Table3[[#All],[PID]],0)))</f>
        <v>2</v>
      </c>
      <c r="O1006" s="56" t="str">
        <f>IF($C1006="B",INDEX(Batters[[#All],[EYE P]],MATCH(Table5[[#This Row],[PID]],Batters[[#All],[PID]],0)),INDEX(Table3[[#All],[VELO]],MATCH(Table5[[#This Row],[PID]],Table3[[#All],[PID]],0)))</f>
        <v>89-91 Mph</v>
      </c>
      <c r="P1006" s="56">
        <f>IF($C1006="B",INDEX(Batters[[#All],[K P]],MATCH(Table5[[#This Row],[PID]],Batters[[#All],[PID]],0)),INDEX(Table3[[#All],[STM]],MATCH(Table5[[#This Row],[PID]],Table3[[#All],[PID]],0)))</f>
        <v>6</v>
      </c>
      <c r="Q1006" s="61">
        <f>IF($C1006="B",INDEX(Batters[[#All],[Tot]],MATCH(Table5[[#This Row],[PID]],Batters[[#All],[PID]],0)),INDEX(Table3[[#All],[Tot]],MATCH(Table5[[#This Row],[PID]],Table3[[#All],[PID]],0)))</f>
        <v>26.480554730651029</v>
      </c>
      <c r="R1006" s="52">
        <f>IF($C1006="B",INDEX(Batters[[#All],[zScore]],MATCH(Table5[[#This Row],[PID]],Batters[[#All],[PID]],0)),INDEX(Table3[[#All],[zScore]],MATCH(Table5[[#This Row],[PID]],Table3[[#All],[PID]],0)))</f>
        <v>-0.62470044251244672</v>
      </c>
      <c r="S1006" s="58" t="str">
        <f>IF($C1006="B",INDEX(Batters[[#All],[DEM]],MATCH(Table5[[#This Row],[PID]],Batters[[#All],[PID]],0)),INDEX(Table3[[#All],[DEM]],MATCH(Table5[[#This Row],[PID]],Table3[[#All],[PID]],0)))</f>
        <v>-</v>
      </c>
      <c r="T1006" s="62">
        <f>IF($C1006="B",INDEX(Batters[[#All],[Rnk]],MATCH(Table5[[#This Row],[PID]],Batters[[#All],[PID]],0)),INDEX(Table3[[#All],[Rnk]],MATCH(Table5[[#This Row],[PID]],Table3[[#All],[PID]],0)))</f>
        <v>573</v>
      </c>
      <c r="U1006" s="68">
        <f>IF($C1006="B",VLOOKUP($A1006,Bat!$A$4:$BA$1621,47,FALSE),VLOOKUP($A1006,Pit!$A$4:$BF$1557,56,FALSE))</f>
        <v>0</v>
      </c>
      <c r="V1006" s="50">
        <f>IF($C1006="B",VLOOKUP($A1006,Bat!$A$4:$BA$1621,48,FALSE),VLOOKUP($A1006,Pit!$A$4:$BF$1557,57,FALSE))</f>
        <v>0</v>
      </c>
      <c r="W1006" s="50">
        <f>Table5[[#This Row],[posRnk]]+Table5[[#This Row],[zRnk]]+IF($W$3&lt;&gt;Table5[[#This Row],[Type]],50,0)</f>
        <v>1560</v>
      </c>
      <c r="X1006" s="51">
        <f>RANK(Table5[[#This Row],[zScore]],Table5[[#All],[zScore]])</f>
        <v>937</v>
      </c>
      <c r="Y1006" s="50" t="str">
        <f>IFERROR(INDEX(DraftResults[[#All],[OVR]],MATCH(Table5[[#This Row],[PID]],DraftResults[[#All],[Player ID]],0)),"")</f>
        <v/>
      </c>
      <c r="Z10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6" s="50" t="str">
        <f>IFERROR(INDEX(DraftResults[[#All],[Pick in Round]],MATCH(Table5[[#This Row],[PID]],DraftResults[[#All],[Player ID]],0)),"")</f>
        <v/>
      </c>
      <c r="AB1006" s="50" t="str">
        <f>IFERROR(INDEX(DraftResults[[#All],[Team Name]],MATCH(Table5[[#This Row],[PID]],DraftResults[[#All],[Player ID]],0)),"")</f>
        <v/>
      </c>
      <c r="AC1006" s="50" t="str">
        <f>IF(Table5[[#This Row],[Ovr]]="","",IF(Table5[[#This Row],[cmbList]]="","",Table5[[#This Row],[cmbList]]-Table5[[#This Row],[Ovr]]))</f>
        <v/>
      </c>
      <c r="AD1006" s="54" t="str">
        <f>IF(ISERROR(VLOOKUP($AB1006&amp;"-"&amp;$E1006&amp;" "&amp;F1006,Bonuses!$B$1:$G$1006,4,FALSE)),"",INT(VLOOKUP($AB1006&amp;"-"&amp;$E1006&amp;" "&amp;$F1006,Bonuses!$B$1:$G$1006,4,FALSE)))</f>
        <v/>
      </c>
      <c r="AE10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7" spans="1:31" s="50" customFormat="1" x14ac:dyDescent="0.25">
      <c r="A1007" s="50">
        <v>17829</v>
      </c>
      <c r="B1007" s="50">
        <f>COUNTIF(Table5[PID],A1007)</f>
        <v>1</v>
      </c>
      <c r="C1007" s="50" t="str">
        <f>IF(COUNTIF(Table3[[#All],[PID]],A1007)&gt;0,"P","B")</f>
        <v>P</v>
      </c>
      <c r="D1007" s="59" t="str">
        <f>IF($C1007="B",INDEX(Batters[[#All],[POS]],MATCH(Table5[[#This Row],[PID]],Batters[[#All],[PID]],0)),INDEX(Table3[[#All],[POS]],MATCH(Table5[[#This Row],[PID]],Table3[[#All],[PID]],0)))</f>
        <v>RP</v>
      </c>
      <c r="E1007" s="52" t="str">
        <f>IF($C1007="B",INDEX(Batters[[#All],[First]],MATCH(Table5[[#This Row],[PID]],Batters[[#All],[PID]],0)),INDEX(Table3[[#All],[First]],MATCH(Table5[[#This Row],[PID]],Table3[[#All],[PID]],0)))</f>
        <v>Mamoru</v>
      </c>
      <c r="F1007" s="50" t="str">
        <f>IF($C1007="B",INDEX(Batters[[#All],[Last]],MATCH(A1007,Batters[[#All],[PID]],0)),INDEX(Table3[[#All],[Last]],MATCH(A1007,Table3[[#All],[PID]],0)))</f>
        <v>Sano</v>
      </c>
      <c r="G1007" s="56">
        <f>IF($C1007="B",INDEX(Batters[[#All],[Age]],MATCH(Table5[[#This Row],[PID]],Batters[[#All],[PID]],0)),INDEX(Table3[[#All],[Age]],MATCH(Table5[[#This Row],[PID]],Table3[[#All],[PID]],0)))</f>
        <v>18</v>
      </c>
      <c r="H1007" s="52" t="str">
        <f>IF($C1007="B",INDEX(Batters[[#All],[B]],MATCH(Table5[[#This Row],[PID]],Batters[[#All],[PID]],0)),INDEX(Table3[[#All],[B]],MATCH(Table5[[#This Row],[PID]],Table3[[#All],[PID]],0)))</f>
        <v>R</v>
      </c>
      <c r="I1007" s="52" t="str">
        <f>IF($C1007="B",INDEX(Batters[[#All],[T]],MATCH(Table5[[#This Row],[PID]],Batters[[#All],[PID]],0)),INDEX(Table3[[#All],[T]],MATCH(Table5[[#This Row],[PID]],Table3[[#All],[PID]],0)))</f>
        <v>R</v>
      </c>
      <c r="J1007" s="52" t="str">
        <f>IF($C1007="B",INDEX(Batters[[#All],[WE]],MATCH(Table5[[#This Row],[PID]],Batters[[#All],[PID]],0)),INDEX(Table3[[#All],[WE]],MATCH(Table5[[#This Row],[PID]],Table3[[#All],[PID]],0)))</f>
        <v>Normal</v>
      </c>
      <c r="K1007" s="52" t="str">
        <f>IF($C1007="B",INDEX(Batters[[#All],[INT]],MATCH(Table5[[#This Row],[PID]],Batters[[#All],[PID]],0)),INDEX(Table3[[#All],[INT]],MATCH(Table5[[#This Row],[PID]],Table3[[#All],[PID]],0)))</f>
        <v>Normal</v>
      </c>
      <c r="L1007" s="60">
        <f>IF($C1007="B",INDEX(Batters[[#All],[CON P]],MATCH(Table5[[#This Row],[PID]],Batters[[#All],[PID]],0)),INDEX(Table3[[#All],[STU P]],MATCH(Table5[[#This Row],[PID]],Table3[[#All],[PID]],0)))</f>
        <v>5</v>
      </c>
      <c r="M1007" s="56">
        <f>IF($C1007="B",INDEX(Batters[[#All],[GAP P]],MATCH(Table5[[#This Row],[PID]],Batters[[#All],[PID]],0)),INDEX(Table3[[#All],[MOV P]],MATCH(Table5[[#This Row],[PID]],Table3[[#All],[PID]],0)))</f>
        <v>1</v>
      </c>
      <c r="N1007" s="56">
        <f>IF($C1007="B",INDEX(Batters[[#All],[POW P]],MATCH(Table5[[#This Row],[PID]],Batters[[#All],[PID]],0)),INDEX(Table3[[#All],[CON P]],MATCH(Table5[[#This Row],[PID]],Table3[[#All],[PID]],0)))</f>
        <v>2</v>
      </c>
      <c r="O1007" s="56" t="str">
        <f>IF($C1007="B",INDEX(Batters[[#All],[EYE P]],MATCH(Table5[[#This Row],[PID]],Batters[[#All],[PID]],0)),INDEX(Table3[[#All],[VELO]],MATCH(Table5[[#This Row],[PID]],Table3[[#All],[PID]],0)))</f>
        <v>89-91 Mph</v>
      </c>
      <c r="P1007" s="56">
        <f>IF($C1007="B",INDEX(Batters[[#All],[K P]],MATCH(Table5[[#This Row],[PID]],Batters[[#All],[PID]],0)),INDEX(Table3[[#All],[STM]],MATCH(Table5[[#This Row],[PID]],Table3[[#All],[PID]],0)))</f>
        <v>2</v>
      </c>
      <c r="Q1007" s="61">
        <f>IF($C1007="B",INDEX(Batters[[#All],[Tot]],MATCH(Table5[[#This Row],[PID]],Batters[[#All],[PID]],0)),INDEX(Table3[[#All],[Tot]],MATCH(Table5[[#This Row],[PID]],Table3[[#All],[PID]],0)))</f>
        <v>28.673040506788183</v>
      </c>
      <c r="R1007" s="52">
        <f>IF($C1007="B",INDEX(Batters[[#All],[zScore]],MATCH(Table5[[#This Row],[PID]],Batters[[#All],[PID]],0)),INDEX(Table3[[#All],[zScore]],MATCH(Table5[[#This Row],[PID]],Table3[[#All],[PID]],0)))</f>
        <v>-0.62545271424231508</v>
      </c>
      <c r="S1007" s="58" t="str">
        <f>IF($C1007="B",INDEX(Batters[[#All],[DEM]],MATCH(Table5[[#This Row],[PID]],Batters[[#All],[PID]],0)),INDEX(Table3[[#All],[DEM]],MATCH(Table5[[#This Row],[PID]],Table3[[#All],[PID]],0)))</f>
        <v>$65k</v>
      </c>
      <c r="T1007" s="62">
        <f>IF($C1007="B",INDEX(Batters[[#All],[Rnk]],MATCH(Table5[[#This Row],[PID]],Batters[[#All],[PID]],0)),INDEX(Table3[[#All],[Rnk]],MATCH(Table5[[#This Row],[PID]],Table3[[#All],[PID]],0)))</f>
        <v>574</v>
      </c>
      <c r="U1007" s="68">
        <f>IF($C1007="B",VLOOKUP($A1007,Bat!$A$4:$BA$1621,47,FALSE),VLOOKUP($A1007,Pit!$A$4:$BF$1557,56,FALSE))</f>
        <v>0</v>
      </c>
      <c r="V1007" s="50">
        <f>IF($C1007="B",VLOOKUP($A1007,Bat!$A$4:$BA$1621,48,FALSE),VLOOKUP($A1007,Pit!$A$4:$BF$1557,57,FALSE))</f>
        <v>0</v>
      </c>
      <c r="W1007" s="50">
        <f>Table5[[#This Row],[posRnk]]+Table5[[#This Row],[zRnk]]+IF($W$3&lt;&gt;Table5[[#This Row],[Type]],50,0)</f>
        <v>1562</v>
      </c>
      <c r="X1007" s="51">
        <f>RANK(Table5[[#This Row],[zScore]],Table5[[#All],[zScore]])</f>
        <v>938</v>
      </c>
      <c r="Y1007" s="50" t="str">
        <f>IFERROR(INDEX(DraftResults[[#All],[OVR]],MATCH(Table5[[#This Row],[PID]],DraftResults[[#All],[Player ID]],0)),"")</f>
        <v/>
      </c>
      <c r="Z10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7" s="50" t="str">
        <f>IFERROR(INDEX(DraftResults[[#All],[Pick in Round]],MATCH(Table5[[#This Row],[PID]],DraftResults[[#All],[Player ID]],0)),"")</f>
        <v/>
      </c>
      <c r="AB1007" s="50" t="str">
        <f>IFERROR(INDEX(DraftResults[[#All],[Team Name]],MATCH(Table5[[#This Row],[PID]],DraftResults[[#All],[Player ID]],0)),"")</f>
        <v/>
      </c>
      <c r="AC1007" s="50" t="str">
        <f>IF(Table5[[#This Row],[Ovr]]="","",IF(Table5[[#This Row],[cmbList]]="","",Table5[[#This Row],[cmbList]]-Table5[[#This Row],[Ovr]]))</f>
        <v/>
      </c>
      <c r="AD1007" s="54" t="str">
        <f>IF(ISERROR(VLOOKUP($AB1007&amp;"-"&amp;$E1007&amp;" "&amp;F1007,Bonuses!$B$1:$G$1006,4,FALSE)),"",INT(VLOOKUP($AB1007&amp;"-"&amp;$E1007&amp;" "&amp;$F1007,Bonuses!$B$1:$G$1006,4,FALSE)))</f>
        <v/>
      </c>
      <c r="AE10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8" spans="1:31" s="50" customFormat="1" x14ac:dyDescent="0.25">
      <c r="A1008" s="50">
        <v>20477</v>
      </c>
      <c r="B1008" s="50">
        <f>COUNTIF(Table5[PID],A1008)</f>
        <v>1</v>
      </c>
      <c r="C1008" s="50" t="str">
        <f>IF(COUNTIF(Table3[[#All],[PID]],A1008)&gt;0,"P","B")</f>
        <v>P</v>
      </c>
      <c r="D1008" s="59" t="str">
        <f>IF($C1008="B",INDEX(Batters[[#All],[POS]],MATCH(Table5[[#This Row],[PID]],Batters[[#All],[PID]],0)),INDEX(Table3[[#All],[POS]],MATCH(Table5[[#This Row],[PID]],Table3[[#All],[PID]],0)))</f>
        <v>RP</v>
      </c>
      <c r="E1008" s="52" t="str">
        <f>IF($C1008="B",INDEX(Batters[[#All],[First]],MATCH(Table5[[#This Row],[PID]],Batters[[#All],[PID]],0)),INDEX(Table3[[#All],[First]],MATCH(Table5[[#This Row],[PID]],Table3[[#All],[PID]],0)))</f>
        <v>Tobei</v>
      </c>
      <c r="F1008" s="50" t="str">
        <f>IF($C1008="B",INDEX(Batters[[#All],[Last]],MATCH(A1008,Batters[[#All],[PID]],0)),INDEX(Table3[[#All],[Last]],MATCH(A1008,Table3[[#All],[PID]],0)))</f>
        <v>Mori</v>
      </c>
      <c r="G1008" s="56">
        <f>IF($C1008="B",INDEX(Batters[[#All],[Age]],MATCH(Table5[[#This Row],[PID]],Batters[[#All],[PID]],0)),INDEX(Table3[[#All],[Age]],MATCH(Table5[[#This Row],[PID]],Table3[[#All],[PID]],0)))</f>
        <v>18</v>
      </c>
      <c r="H1008" s="52" t="str">
        <f>IF($C1008="B",INDEX(Batters[[#All],[B]],MATCH(Table5[[#This Row],[PID]],Batters[[#All],[PID]],0)),INDEX(Table3[[#All],[B]],MATCH(Table5[[#This Row],[PID]],Table3[[#All],[PID]],0)))</f>
        <v>R</v>
      </c>
      <c r="I1008" s="52" t="str">
        <f>IF($C1008="B",INDEX(Batters[[#All],[T]],MATCH(Table5[[#This Row],[PID]],Batters[[#All],[PID]],0)),INDEX(Table3[[#All],[T]],MATCH(Table5[[#This Row],[PID]],Table3[[#All],[PID]],0)))</f>
        <v>R</v>
      </c>
      <c r="J1008" s="52" t="str">
        <f>IF($C1008="B",INDEX(Batters[[#All],[WE]],MATCH(Table5[[#This Row],[PID]],Batters[[#All],[PID]],0)),INDEX(Table3[[#All],[WE]],MATCH(Table5[[#This Row],[PID]],Table3[[#All],[PID]],0)))</f>
        <v>Low</v>
      </c>
      <c r="K1008" s="52" t="str">
        <f>IF($C1008="B",INDEX(Batters[[#All],[INT]],MATCH(Table5[[#This Row],[PID]],Batters[[#All],[PID]],0)),INDEX(Table3[[#All],[INT]],MATCH(Table5[[#This Row],[PID]],Table3[[#All],[PID]],0)))</f>
        <v>Normal</v>
      </c>
      <c r="L1008" s="60">
        <f>IF($C1008="B",INDEX(Batters[[#All],[CON P]],MATCH(Table5[[#This Row],[PID]],Batters[[#All],[PID]],0)),INDEX(Table3[[#All],[STU P]],MATCH(Table5[[#This Row],[PID]],Table3[[#All],[PID]],0)))</f>
        <v>3</v>
      </c>
      <c r="M1008" s="56">
        <f>IF($C1008="B",INDEX(Batters[[#All],[GAP P]],MATCH(Table5[[#This Row],[PID]],Batters[[#All],[PID]],0)),INDEX(Table3[[#All],[MOV P]],MATCH(Table5[[#This Row],[PID]],Table3[[#All],[PID]],0)))</f>
        <v>1</v>
      </c>
      <c r="N1008" s="56">
        <f>IF($C1008="B",INDEX(Batters[[#All],[POW P]],MATCH(Table5[[#This Row],[PID]],Batters[[#All],[PID]],0)),INDEX(Table3[[#All],[CON P]],MATCH(Table5[[#This Row],[PID]],Table3[[#All],[PID]],0)))</f>
        <v>3</v>
      </c>
      <c r="O1008" s="56" t="str">
        <f>IF($C1008="B",INDEX(Batters[[#All],[EYE P]],MATCH(Table5[[#This Row],[PID]],Batters[[#All],[PID]],0)),INDEX(Table3[[#All],[VELO]],MATCH(Table5[[#This Row],[PID]],Table3[[#All],[PID]],0)))</f>
        <v>85-87 Mph</v>
      </c>
      <c r="P1008" s="56">
        <f>IF($C1008="B",INDEX(Batters[[#All],[K P]],MATCH(Table5[[#This Row],[PID]],Batters[[#All],[PID]],0)),INDEX(Table3[[#All],[STM]],MATCH(Table5[[#This Row],[PID]],Table3[[#All],[PID]],0)))</f>
        <v>9</v>
      </c>
      <c r="Q1008" s="61">
        <f>IF($C1008="B",INDEX(Batters[[#All],[Tot]],MATCH(Table5[[#This Row],[PID]],Batters[[#All],[PID]],0)),INDEX(Table3[[#All],[Tot]],MATCH(Table5[[#This Row],[PID]],Table3[[#All],[PID]],0)))</f>
        <v>26.354369578810942</v>
      </c>
      <c r="R1008" s="52">
        <f>IF($C1008="B",INDEX(Batters[[#All],[zScore]],MATCH(Table5[[#This Row],[PID]],Batters[[#All],[PID]],0)),INDEX(Table3[[#All],[zScore]],MATCH(Table5[[#This Row],[PID]],Table3[[#All],[PID]],0)))</f>
        <v>-0.63309534783972143</v>
      </c>
      <c r="S1008" s="58" t="str">
        <f>IF($C1008="B",INDEX(Batters[[#All],[DEM]],MATCH(Table5[[#This Row],[PID]],Batters[[#All],[PID]],0)),INDEX(Table3[[#All],[DEM]],MATCH(Table5[[#This Row],[PID]],Table3[[#All],[PID]],0)))</f>
        <v>$70k</v>
      </c>
      <c r="T1008" s="62">
        <f>IF($C1008="B",INDEX(Batters[[#All],[Rnk]],MATCH(Table5[[#This Row],[PID]],Batters[[#All],[PID]],0)),INDEX(Table3[[#All],[Rnk]],MATCH(Table5[[#This Row],[PID]],Table3[[#All],[PID]],0)))</f>
        <v>575</v>
      </c>
      <c r="U1008" s="68">
        <f>IF($C1008="B",VLOOKUP($A1008,Bat!$A$4:$BA$1621,47,FALSE),VLOOKUP($A1008,Pit!$A$4:$BF$1557,56,FALSE))</f>
        <v>0</v>
      </c>
      <c r="V1008" s="50">
        <f>IF($C1008="B",VLOOKUP($A1008,Bat!$A$4:$BA$1621,48,FALSE),VLOOKUP($A1008,Pit!$A$4:$BF$1557,57,FALSE))</f>
        <v>0</v>
      </c>
      <c r="W1008" s="50">
        <f>Table5[[#This Row],[posRnk]]+Table5[[#This Row],[zRnk]]+IF($W$3&lt;&gt;Table5[[#This Row],[Type]],50,0)</f>
        <v>1564</v>
      </c>
      <c r="X1008" s="51">
        <f>RANK(Table5[[#This Row],[zScore]],Table5[[#All],[zScore]])</f>
        <v>939</v>
      </c>
      <c r="Y1008" s="50" t="str">
        <f>IFERROR(INDEX(DraftResults[[#All],[OVR]],MATCH(Table5[[#This Row],[PID]],DraftResults[[#All],[Player ID]],0)),"")</f>
        <v/>
      </c>
      <c r="Z10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8" s="50" t="str">
        <f>IFERROR(INDEX(DraftResults[[#All],[Pick in Round]],MATCH(Table5[[#This Row],[PID]],DraftResults[[#All],[Player ID]],0)),"")</f>
        <v/>
      </c>
      <c r="AB1008" s="50" t="str">
        <f>IFERROR(INDEX(DraftResults[[#All],[Team Name]],MATCH(Table5[[#This Row],[PID]],DraftResults[[#All],[Player ID]],0)),"")</f>
        <v/>
      </c>
      <c r="AC1008" s="50" t="str">
        <f>IF(Table5[[#This Row],[Ovr]]="","",IF(Table5[[#This Row],[cmbList]]="","",Table5[[#This Row],[cmbList]]-Table5[[#This Row],[Ovr]]))</f>
        <v/>
      </c>
      <c r="AD1008" s="54" t="str">
        <f>IF(ISERROR(VLOOKUP($AB1008&amp;"-"&amp;$E1008&amp;" "&amp;F1008,Bonuses!$B$1:$G$1006,4,FALSE)),"",INT(VLOOKUP($AB1008&amp;"-"&amp;$E1008&amp;" "&amp;$F1008,Bonuses!$B$1:$G$1006,4,FALSE)))</f>
        <v/>
      </c>
      <c r="AE10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09" spans="1:31" s="50" customFormat="1" x14ac:dyDescent="0.25">
      <c r="A1009" s="50">
        <v>20728</v>
      </c>
      <c r="B1009" s="50">
        <f>COUNTIF(Table5[PID],A1009)</f>
        <v>1</v>
      </c>
      <c r="C1009" s="50" t="str">
        <f>IF(COUNTIF(Table3[[#All],[PID]],A1009)&gt;0,"P","B")</f>
        <v>P</v>
      </c>
      <c r="D1009" s="59" t="str">
        <f>IF($C1009="B",INDEX(Batters[[#All],[POS]],MATCH(Table5[[#This Row],[PID]],Batters[[#All],[PID]],0)),INDEX(Table3[[#All],[POS]],MATCH(Table5[[#This Row],[PID]],Table3[[#All],[PID]],0)))</f>
        <v>RP</v>
      </c>
      <c r="E1009" s="52" t="str">
        <f>IF($C1009="B",INDEX(Batters[[#All],[First]],MATCH(Table5[[#This Row],[PID]],Batters[[#All],[PID]],0)),INDEX(Table3[[#All],[First]],MATCH(Table5[[#This Row],[PID]],Table3[[#All],[PID]],0)))</f>
        <v>Billy</v>
      </c>
      <c r="F1009" s="50" t="str">
        <f>IF($C1009="B",INDEX(Batters[[#All],[Last]],MATCH(A1009,Batters[[#All],[PID]],0)),INDEX(Table3[[#All],[Last]],MATCH(A1009,Table3[[#All],[PID]],0)))</f>
        <v>Baker</v>
      </c>
      <c r="G1009" s="56">
        <f>IF($C1009="B",INDEX(Batters[[#All],[Age]],MATCH(Table5[[#This Row],[PID]],Batters[[#All],[PID]],0)),INDEX(Table3[[#All],[Age]],MATCH(Table5[[#This Row],[PID]],Table3[[#All],[PID]],0)))</f>
        <v>17</v>
      </c>
      <c r="H1009" s="52" t="str">
        <f>IF($C1009="B",INDEX(Batters[[#All],[B]],MATCH(Table5[[#This Row],[PID]],Batters[[#All],[PID]],0)),INDEX(Table3[[#All],[B]],MATCH(Table5[[#This Row],[PID]],Table3[[#All],[PID]],0)))</f>
        <v>L</v>
      </c>
      <c r="I1009" s="52" t="str">
        <f>IF($C1009="B",INDEX(Batters[[#All],[T]],MATCH(Table5[[#This Row],[PID]],Batters[[#All],[PID]],0)),INDEX(Table3[[#All],[T]],MATCH(Table5[[#This Row],[PID]],Table3[[#All],[PID]],0)))</f>
        <v>R</v>
      </c>
      <c r="J1009" s="52" t="str">
        <f>IF($C1009="B",INDEX(Batters[[#All],[WE]],MATCH(Table5[[#This Row],[PID]],Batters[[#All],[PID]],0)),INDEX(Table3[[#All],[WE]],MATCH(Table5[[#This Row],[PID]],Table3[[#All],[PID]],0)))</f>
        <v>Normal</v>
      </c>
      <c r="K1009" s="52" t="str">
        <f>IF($C1009="B",INDEX(Batters[[#All],[INT]],MATCH(Table5[[#This Row],[PID]],Batters[[#All],[PID]],0)),INDEX(Table3[[#All],[INT]],MATCH(Table5[[#This Row],[PID]],Table3[[#All],[PID]],0)))</f>
        <v>Normal</v>
      </c>
      <c r="L1009" s="60">
        <f>IF($C1009="B",INDEX(Batters[[#All],[CON P]],MATCH(Table5[[#This Row],[PID]],Batters[[#All],[PID]],0)),INDEX(Table3[[#All],[STU P]],MATCH(Table5[[#This Row],[PID]],Table3[[#All],[PID]],0)))</f>
        <v>3</v>
      </c>
      <c r="M1009" s="56">
        <f>IF($C1009="B",INDEX(Batters[[#All],[GAP P]],MATCH(Table5[[#This Row],[PID]],Batters[[#All],[PID]],0)),INDEX(Table3[[#All],[MOV P]],MATCH(Table5[[#This Row],[PID]],Table3[[#All],[PID]],0)))</f>
        <v>2</v>
      </c>
      <c r="N1009" s="56">
        <f>IF($C1009="B",INDEX(Batters[[#All],[POW P]],MATCH(Table5[[#This Row],[PID]],Batters[[#All],[PID]],0)),INDEX(Table3[[#All],[CON P]],MATCH(Table5[[#This Row],[PID]],Table3[[#All],[PID]],0)))</f>
        <v>2</v>
      </c>
      <c r="O1009" s="56" t="str">
        <f>IF($C1009="B",INDEX(Batters[[#All],[EYE P]],MATCH(Table5[[#This Row],[PID]],Batters[[#All],[PID]],0)),INDEX(Table3[[#All],[VELO]],MATCH(Table5[[#This Row],[PID]],Table3[[#All],[PID]],0)))</f>
        <v>85-87 Mph</v>
      </c>
      <c r="P1009" s="56">
        <f>IF($C1009="B",INDEX(Batters[[#All],[K P]],MATCH(Table5[[#This Row],[PID]],Batters[[#All],[PID]],0)),INDEX(Table3[[#All],[STM]],MATCH(Table5[[#This Row],[PID]],Table3[[#All],[PID]],0)))</f>
        <v>7</v>
      </c>
      <c r="Q1009" s="61">
        <f>IF($C1009="B",INDEX(Batters[[#All],[Tot]],MATCH(Table5[[#This Row],[PID]],Batters[[#All],[PID]],0)),INDEX(Table3[[#All],[Tot]],MATCH(Table5[[#This Row],[PID]],Table3[[#All],[PID]],0)))</f>
        <v>26.275613462075615</v>
      </c>
      <c r="R1009" s="52">
        <f>IF($C1009="B",INDEX(Batters[[#All],[zScore]],MATCH(Table5[[#This Row],[PID]],Batters[[#All],[PID]],0)),INDEX(Table3[[#All],[zScore]],MATCH(Table5[[#This Row],[PID]],Table3[[#All],[PID]],0)))</f>
        <v>-0.63833487193820437</v>
      </c>
      <c r="S1009" s="58" t="str">
        <f>IF($C1009="B",INDEX(Batters[[#All],[DEM]],MATCH(Table5[[#This Row],[PID]],Batters[[#All],[PID]],0)),INDEX(Table3[[#All],[DEM]],MATCH(Table5[[#This Row],[PID]],Table3[[#All],[PID]],0)))</f>
        <v>$65k</v>
      </c>
      <c r="T1009" s="62">
        <f>IF($C1009="B",INDEX(Batters[[#All],[Rnk]],MATCH(Table5[[#This Row],[PID]],Batters[[#All],[PID]],0)),INDEX(Table3[[#All],[Rnk]],MATCH(Table5[[#This Row],[PID]],Table3[[#All],[PID]],0)))</f>
        <v>576</v>
      </c>
      <c r="U1009" s="68">
        <f>IF($C1009="B",VLOOKUP($A1009,Bat!$A$4:$BA$1621,47,FALSE),VLOOKUP($A1009,Pit!$A$4:$BF$1557,56,FALSE))</f>
        <v>0</v>
      </c>
      <c r="V1009" s="50">
        <f>IF($C1009="B",VLOOKUP($A1009,Bat!$A$4:$BA$1621,48,FALSE),VLOOKUP($A1009,Pit!$A$4:$BF$1557,57,FALSE))</f>
        <v>0</v>
      </c>
      <c r="W1009" s="50">
        <f>Table5[[#This Row],[posRnk]]+Table5[[#This Row],[zRnk]]+IF($W$3&lt;&gt;Table5[[#This Row],[Type]],50,0)</f>
        <v>1566</v>
      </c>
      <c r="X1009" s="51">
        <f>RANK(Table5[[#This Row],[zScore]],Table5[[#All],[zScore]])</f>
        <v>940</v>
      </c>
      <c r="Y1009" s="50" t="str">
        <f>IFERROR(INDEX(DraftResults[[#All],[OVR]],MATCH(Table5[[#This Row],[PID]],DraftResults[[#All],[Player ID]],0)),"")</f>
        <v/>
      </c>
      <c r="Z10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09" s="50" t="str">
        <f>IFERROR(INDEX(DraftResults[[#All],[Pick in Round]],MATCH(Table5[[#This Row],[PID]],DraftResults[[#All],[Player ID]],0)),"")</f>
        <v/>
      </c>
      <c r="AB1009" s="50" t="str">
        <f>IFERROR(INDEX(DraftResults[[#All],[Team Name]],MATCH(Table5[[#This Row],[PID]],DraftResults[[#All],[Player ID]],0)),"")</f>
        <v/>
      </c>
      <c r="AC1009" s="50" t="str">
        <f>IF(Table5[[#This Row],[Ovr]]="","",IF(Table5[[#This Row],[cmbList]]="","",Table5[[#This Row],[cmbList]]-Table5[[#This Row],[Ovr]]))</f>
        <v/>
      </c>
      <c r="AD1009" s="54" t="str">
        <f>IF(ISERROR(VLOOKUP($AB1009&amp;"-"&amp;$E1009&amp;" "&amp;F1009,Bonuses!$B$1:$G$1006,4,FALSE)),"",INT(VLOOKUP($AB1009&amp;"-"&amp;$E1009&amp;" "&amp;$F1009,Bonuses!$B$1:$G$1006,4,FALSE)))</f>
        <v/>
      </c>
      <c r="AE10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0" spans="1:31" s="50" customFormat="1" x14ac:dyDescent="0.25">
      <c r="A1010" s="50">
        <v>21020</v>
      </c>
      <c r="B1010" s="50">
        <f>COUNTIF(Table5[PID],A1010)</f>
        <v>1</v>
      </c>
      <c r="C1010" s="50" t="str">
        <f>IF(COUNTIF(Table3[[#All],[PID]],A1010)&gt;0,"P","B")</f>
        <v>B</v>
      </c>
      <c r="D1010" s="59" t="str">
        <f>IF($C1010="B",INDEX(Batters[[#All],[POS]],MATCH(Table5[[#This Row],[PID]],Batters[[#All],[PID]],0)),INDEX(Table3[[#All],[POS]],MATCH(Table5[[#This Row],[PID]],Table3[[#All],[PID]],0)))</f>
        <v>LF</v>
      </c>
      <c r="E1010" s="52" t="str">
        <f>IF($C1010="B",INDEX(Batters[[#All],[First]],MATCH(Table5[[#This Row],[PID]],Batters[[#All],[PID]],0)),INDEX(Table3[[#All],[First]],MATCH(Table5[[#This Row],[PID]],Table3[[#All],[PID]],0)))</f>
        <v>Ron</v>
      </c>
      <c r="F1010" s="50" t="str">
        <f>IF($C1010="B",INDEX(Batters[[#All],[Last]],MATCH(A1010,Batters[[#All],[PID]],0)),INDEX(Table3[[#All],[Last]],MATCH(A1010,Table3[[#All],[PID]],0)))</f>
        <v>Craig</v>
      </c>
      <c r="G1010" s="56">
        <f>IF($C1010="B",INDEX(Batters[[#All],[Age]],MATCH(Table5[[#This Row],[PID]],Batters[[#All],[PID]],0)),INDEX(Table3[[#All],[Age]],MATCH(Table5[[#This Row],[PID]],Table3[[#All],[PID]],0)))</f>
        <v>17</v>
      </c>
      <c r="H1010" s="52" t="str">
        <f>IF($C1010="B",INDEX(Batters[[#All],[B]],MATCH(Table5[[#This Row],[PID]],Batters[[#All],[PID]],0)),INDEX(Table3[[#All],[B]],MATCH(Table5[[#This Row],[PID]],Table3[[#All],[PID]],0)))</f>
        <v>R</v>
      </c>
      <c r="I1010" s="52" t="str">
        <f>IF($C1010="B",INDEX(Batters[[#All],[T]],MATCH(Table5[[#This Row],[PID]],Batters[[#All],[PID]],0)),INDEX(Table3[[#All],[T]],MATCH(Table5[[#This Row],[PID]],Table3[[#All],[PID]],0)))</f>
        <v>R</v>
      </c>
      <c r="J1010" s="52" t="str">
        <f>IF($C1010="B",INDEX(Batters[[#All],[WE]],MATCH(Table5[[#This Row],[PID]],Batters[[#All],[PID]],0)),INDEX(Table3[[#All],[WE]],MATCH(Table5[[#This Row],[PID]],Table3[[#All],[PID]],0)))</f>
        <v>Low</v>
      </c>
      <c r="K1010" s="52" t="str">
        <f>IF($C1010="B",INDEX(Batters[[#All],[INT]],MATCH(Table5[[#This Row],[PID]],Batters[[#All],[PID]],0)),INDEX(Table3[[#All],[INT]],MATCH(Table5[[#This Row],[PID]],Table3[[#All],[PID]],0)))</f>
        <v>Normal</v>
      </c>
      <c r="L1010" s="60">
        <f>IF($C1010="B",INDEX(Batters[[#All],[CON P]],MATCH(Table5[[#This Row],[PID]],Batters[[#All],[PID]],0)),INDEX(Table3[[#All],[STU P]],MATCH(Table5[[#This Row],[PID]],Table3[[#All],[PID]],0)))</f>
        <v>3</v>
      </c>
      <c r="M1010" s="56">
        <f>IF($C1010="B",INDEX(Batters[[#All],[GAP P]],MATCH(Table5[[#This Row],[PID]],Batters[[#All],[PID]],0)),INDEX(Table3[[#All],[MOV P]],MATCH(Table5[[#This Row],[PID]],Table3[[#All],[PID]],0)))</f>
        <v>4</v>
      </c>
      <c r="N1010" s="56">
        <f>IF($C1010="B",INDEX(Batters[[#All],[POW P]],MATCH(Table5[[#This Row],[PID]],Batters[[#All],[PID]],0)),INDEX(Table3[[#All],[CON P]],MATCH(Table5[[#This Row],[PID]],Table3[[#All],[PID]],0)))</f>
        <v>4</v>
      </c>
      <c r="O1010" s="56">
        <f>IF($C1010="B",INDEX(Batters[[#All],[EYE P]],MATCH(Table5[[#This Row],[PID]],Batters[[#All],[PID]],0)),INDEX(Table3[[#All],[VELO]],MATCH(Table5[[#This Row],[PID]],Table3[[#All],[PID]],0)))</f>
        <v>4</v>
      </c>
      <c r="P1010" s="56">
        <f>IF($C1010="B",INDEX(Batters[[#All],[K P]],MATCH(Table5[[#This Row],[PID]],Batters[[#All],[PID]],0)),INDEX(Table3[[#All],[STM]],MATCH(Table5[[#This Row],[PID]],Table3[[#All],[PID]],0)))</f>
        <v>3</v>
      </c>
      <c r="Q1010" s="61">
        <f>IF($C1010="B",INDEX(Batters[[#All],[Tot]],MATCH(Table5[[#This Row],[PID]],Batters[[#All],[PID]],0)),INDEX(Table3[[#All],[Tot]],MATCH(Table5[[#This Row],[PID]],Table3[[#All],[PID]],0)))</f>
        <v>41.252503080403528</v>
      </c>
      <c r="R1010" s="52">
        <f>IF($C1010="B",INDEX(Batters[[#All],[zScore]],MATCH(Table5[[#This Row],[PID]],Batters[[#All],[PID]],0)),INDEX(Table3[[#All],[zScore]],MATCH(Table5[[#This Row],[PID]],Table3[[#All],[PID]],0)))</f>
        <v>-0.63839056654614545</v>
      </c>
      <c r="S1010" s="58" t="str">
        <f>IF($C1010="B",INDEX(Batters[[#All],[DEM]],MATCH(Table5[[#This Row],[PID]],Batters[[#All],[PID]],0)),INDEX(Table3[[#All],[DEM]],MATCH(Table5[[#This Row],[PID]],Table3[[#All],[PID]],0)))</f>
        <v>$38k</v>
      </c>
      <c r="T1010" s="62">
        <f>IF($C1010="B",INDEX(Batters[[#All],[Rnk]],MATCH(Table5[[#This Row],[PID]],Batters[[#All],[PID]],0)),INDEX(Table3[[#All],[Rnk]],MATCH(Table5[[#This Row],[PID]],Table3[[#All],[PID]],0)))</f>
        <v>364</v>
      </c>
      <c r="U1010" s="68">
        <f>IF($C1010="B",VLOOKUP($A1010,Bat!$A$4:$BA$1621,47,FALSE),VLOOKUP($A1010,Pit!$A$4:$BF$1557,56,FALSE))</f>
        <v>0</v>
      </c>
      <c r="V1010" s="50">
        <f>IF($C1010="B",VLOOKUP($A1010,Bat!$A$4:$BA$1621,48,FALSE),VLOOKUP($A1010,Pit!$A$4:$BF$1557,57,FALSE))</f>
        <v>0</v>
      </c>
      <c r="W1010" s="50">
        <f>Table5[[#This Row],[posRnk]]+Table5[[#This Row],[zRnk]]+IF($W$3&lt;&gt;Table5[[#This Row],[Type]],50,0)</f>
        <v>1355</v>
      </c>
      <c r="X1010" s="51">
        <f>RANK(Table5[[#This Row],[zScore]],Table5[[#All],[zScore]])</f>
        <v>941</v>
      </c>
      <c r="Y1010" s="50" t="str">
        <f>IFERROR(INDEX(DraftResults[[#All],[OVR]],MATCH(Table5[[#This Row],[PID]],DraftResults[[#All],[Player ID]],0)),"")</f>
        <v/>
      </c>
      <c r="Z10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0" s="50" t="str">
        <f>IFERROR(INDEX(DraftResults[[#All],[Pick in Round]],MATCH(Table5[[#This Row],[PID]],DraftResults[[#All],[Player ID]],0)),"")</f>
        <v/>
      </c>
      <c r="AB1010" s="50" t="str">
        <f>IFERROR(INDEX(DraftResults[[#All],[Team Name]],MATCH(Table5[[#This Row],[PID]],DraftResults[[#All],[Player ID]],0)),"")</f>
        <v/>
      </c>
      <c r="AC1010" s="50" t="str">
        <f>IF(Table5[[#This Row],[Ovr]]="","",IF(Table5[[#This Row],[cmbList]]="","",Table5[[#This Row],[cmbList]]-Table5[[#This Row],[Ovr]]))</f>
        <v/>
      </c>
      <c r="AD1010" s="54" t="str">
        <f>IF(ISERROR(VLOOKUP($AB1010&amp;"-"&amp;$E1010&amp;" "&amp;F1010,Bonuses!$B$1:$G$1006,4,FALSE)),"",INT(VLOOKUP($AB1010&amp;"-"&amp;$E1010&amp;" "&amp;$F1010,Bonuses!$B$1:$G$1006,4,FALSE)))</f>
        <v/>
      </c>
      <c r="AE10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1" spans="1:31" s="50" customFormat="1" x14ac:dyDescent="0.25">
      <c r="A1011" s="50">
        <v>20302</v>
      </c>
      <c r="B1011" s="50">
        <f>COUNTIF(Table5[PID],A1011)</f>
        <v>1</v>
      </c>
      <c r="C1011" s="50" t="str">
        <f>IF(COUNTIF(Table3[[#All],[PID]],A1011)&gt;0,"P","B")</f>
        <v>P</v>
      </c>
      <c r="D1011" s="59" t="str">
        <f>IF($C1011="B",INDEX(Batters[[#All],[POS]],MATCH(Table5[[#This Row],[PID]],Batters[[#All],[PID]],0)),INDEX(Table3[[#All],[POS]],MATCH(Table5[[#This Row],[PID]],Table3[[#All],[PID]],0)))</f>
        <v>RP</v>
      </c>
      <c r="E1011" s="52" t="str">
        <f>IF($C1011="B",INDEX(Batters[[#All],[First]],MATCH(Table5[[#This Row],[PID]],Batters[[#All],[PID]],0)),INDEX(Table3[[#All],[First]],MATCH(Table5[[#This Row],[PID]],Table3[[#All],[PID]],0)))</f>
        <v>Hong-yeol</v>
      </c>
      <c r="F1011" s="50" t="str">
        <f>IF($C1011="B",INDEX(Batters[[#All],[Last]],MATCH(A1011,Batters[[#All],[PID]],0)),INDEX(Table3[[#All],[Last]],MATCH(A1011,Table3[[#All],[PID]],0)))</f>
        <v>Yang</v>
      </c>
      <c r="G1011" s="56">
        <f>IF($C1011="B",INDEX(Batters[[#All],[Age]],MATCH(Table5[[#This Row],[PID]],Batters[[#All],[PID]],0)),INDEX(Table3[[#All],[Age]],MATCH(Table5[[#This Row],[PID]],Table3[[#All],[PID]],0)))</f>
        <v>17</v>
      </c>
      <c r="H1011" s="52" t="str">
        <f>IF($C1011="B",INDEX(Batters[[#All],[B]],MATCH(Table5[[#This Row],[PID]],Batters[[#All],[PID]],0)),INDEX(Table3[[#All],[B]],MATCH(Table5[[#This Row],[PID]],Table3[[#All],[PID]],0)))</f>
        <v>L</v>
      </c>
      <c r="I1011" s="52" t="str">
        <f>IF($C1011="B",INDEX(Batters[[#All],[T]],MATCH(Table5[[#This Row],[PID]],Batters[[#All],[PID]],0)),INDEX(Table3[[#All],[T]],MATCH(Table5[[#This Row],[PID]],Table3[[#All],[PID]],0)))</f>
        <v>L</v>
      </c>
      <c r="J1011" s="52" t="str">
        <f>IF($C1011="B",INDEX(Batters[[#All],[WE]],MATCH(Table5[[#This Row],[PID]],Batters[[#All],[PID]],0)),INDEX(Table3[[#All],[WE]],MATCH(Table5[[#This Row],[PID]],Table3[[#All],[PID]],0)))</f>
        <v>Low</v>
      </c>
      <c r="K1011" s="52" t="str">
        <f>IF($C1011="B",INDEX(Batters[[#All],[INT]],MATCH(Table5[[#This Row],[PID]],Batters[[#All],[PID]],0)),INDEX(Table3[[#All],[INT]],MATCH(Table5[[#This Row],[PID]],Table3[[#All],[PID]],0)))</f>
        <v>Normal</v>
      </c>
      <c r="L1011" s="60">
        <f>IF($C1011="B",INDEX(Batters[[#All],[CON P]],MATCH(Table5[[#This Row],[PID]],Batters[[#All],[PID]],0)),INDEX(Table3[[#All],[STU P]],MATCH(Table5[[#This Row],[PID]],Table3[[#All],[PID]],0)))</f>
        <v>5</v>
      </c>
      <c r="M1011" s="56">
        <f>IF($C1011="B",INDEX(Batters[[#All],[GAP P]],MATCH(Table5[[#This Row],[PID]],Batters[[#All],[PID]],0)),INDEX(Table3[[#All],[MOV P]],MATCH(Table5[[#This Row],[PID]],Table3[[#All],[PID]],0)))</f>
        <v>1</v>
      </c>
      <c r="N1011" s="56">
        <f>IF($C1011="B",INDEX(Batters[[#All],[POW P]],MATCH(Table5[[#This Row],[PID]],Batters[[#All],[PID]],0)),INDEX(Table3[[#All],[CON P]],MATCH(Table5[[#This Row],[PID]],Table3[[#All],[PID]],0)))</f>
        <v>3</v>
      </c>
      <c r="O1011" s="56" t="str">
        <f>IF($C1011="B",INDEX(Batters[[#All],[EYE P]],MATCH(Table5[[#This Row],[PID]],Batters[[#All],[PID]],0)),INDEX(Table3[[#All],[VELO]],MATCH(Table5[[#This Row],[PID]],Table3[[#All],[PID]],0)))</f>
        <v>85-87 Mph</v>
      </c>
      <c r="P1011" s="56">
        <f>IF($C1011="B",INDEX(Batters[[#All],[K P]],MATCH(Table5[[#This Row],[PID]],Batters[[#All],[PID]],0)),INDEX(Table3[[#All],[STM]],MATCH(Table5[[#This Row],[PID]],Table3[[#All],[PID]],0)))</f>
        <v>5</v>
      </c>
      <c r="Q1011" s="61">
        <f>IF($C1011="B",INDEX(Batters[[#All],[Tot]],MATCH(Table5[[#This Row],[PID]],Batters[[#All],[PID]],0)),INDEX(Table3[[#All],[Tot]],MATCH(Table5[[#This Row],[PID]],Table3[[#All],[PID]],0)))</f>
        <v>27.932077980270869</v>
      </c>
      <c r="R1011" s="52">
        <f>IF($C1011="B",INDEX(Batters[[#All],[zScore]],MATCH(Table5[[#This Row],[PID]],Batters[[#All],[PID]],0)),INDEX(Table3[[#All],[zScore]],MATCH(Table5[[#This Row],[PID]],Table3[[#All],[PID]],0)))</f>
        <v>-0.64021960894021412</v>
      </c>
      <c r="S1011" s="58" t="str">
        <f>IF($C1011="B",INDEX(Batters[[#All],[DEM]],MATCH(Table5[[#This Row],[PID]],Batters[[#All],[PID]],0)),INDEX(Table3[[#All],[DEM]],MATCH(Table5[[#This Row],[PID]],Table3[[#All],[PID]],0)))</f>
        <v>$80k</v>
      </c>
      <c r="T1011" s="62">
        <f>IF($C1011="B",INDEX(Batters[[#All],[Rnk]],MATCH(Table5[[#This Row],[PID]],Batters[[#All],[PID]],0)),INDEX(Table3[[#All],[Rnk]],MATCH(Table5[[#This Row],[PID]],Table3[[#All],[PID]],0)))</f>
        <v>577</v>
      </c>
      <c r="U1011" s="68">
        <f>IF($C1011="B",VLOOKUP($A1011,Bat!$A$4:$BA$1621,47,FALSE),VLOOKUP($A1011,Pit!$A$4:$BF$1557,56,FALSE))</f>
        <v>0</v>
      </c>
      <c r="V1011" s="50">
        <f>IF($C1011="B",VLOOKUP($A1011,Bat!$A$4:$BA$1621,48,FALSE),VLOOKUP($A1011,Pit!$A$4:$BF$1557,57,FALSE))</f>
        <v>0</v>
      </c>
      <c r="W1011" s="50">
        <f>Table5[[#This Row],[posRnk]]+Table5[[#This Row],[zRnk]]+IF($W$3&lt;&gt;Table5[[#This Row],[Type]],50,0)</f>
        <v>1569</v>
      </c>
      <c r="X1011" s="51">
        <f>RANK(Table5[[#This Row],[zScore]],Table5[[#All],[zScore]])</f>
        <v>942</v>
      </c>
      <c r="Y1011" s="50" t="str">
        <f>IFERROR(INDEX(DraftResults[[#All],[OVR]],MATCH(Table5[[#This Row],[PID]],DraftResults[[#All],[Player ID]],0)),"")</f>
        <v/>
      </c>
      <c r="Z10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1" s="50" t="str">
        <f>IFERROR(INDEX(DraftResults[[#All],[Pick in Round]],MATCH(Table5[[#This Row],[PID]],DraftResults[[#All],[Player ID]],0)),"")</f>
        <v/>
      </c>
      <c r="AB1011" s="50" t="str">
        <f>IFERROR(INDEX(DraftResults[[#All],[Team Name]],MATCH(Table5[[#This Row],[PID]],DraftResults[[#All],[Player ID]],0)),"")</f>
        <v/>
      </c>
      <c r="AC1011" s="50" t="str">
        <f>IF(Table5[[#This Row],[Ovr]]="","",IF(Table5[[#This Row],[cmbList]]="","",Table5[[#This Row],[cmbList]]-Table5[[#This Row],[Ovr]]))</f>
        <v/>
      </c>
      <c r="AD1011" s="54" t="str">
        <f>IF(ISERROR(VLOOKUP($AB1011&amp;"-"&amp;$E1011&amp;" "&amp;F1011,Bonuses!$B$1:$G$1006,4,FALSE)),"",INT(VLOOKUP($AB1011&amp;"-"&amp;$E1011&amp;" "&amp;$F1011,Bonuses!$B$1:$G$1006,4,FALSE)))</f>
        <v/>
      </c>
      <c r="AE10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2" spans="1:31" s="50" customFormat="1" x14ac:dyDescent="0.25">
      <c r="A1012" s="50">
        <v>18027</v>
      </c>
      <c r="B1012" s="50">
        <f>COUNTIF(Table5[PID],A1012)</f>
        <v>1</v>
      </c>
      <c r="C1012" s="50" t="str">
        <f>IF(COUNTIF(Table3[[#All],[PID]],A1012)&gt;0,"P","B")</f>
        <v>P</v>
      </c>
      <c r="D1012" s="59" t="str">
        <f>IF($C1012="B",INDEX(Batters[[#All],[POS]],MATCH(Table5[[#This Row],[PID]],Batters[[#All],[PID]],0)),INDEX(Table3[[#All],[POS]],MATCH(Table5[[#This Row],[PID]],Table3[[#All],[PID]],0)))</f>
        <v>RP</v>
      </c>
      <c r="E1012" s="52" t="str">
        <f>IF($C1012="B",INDEX(Batters[[#All],[First]],MATCH(Table5[[#This Row],[PID]],Batters[[#All],[PID]],0)),INDEX(Table3[[#All],[First]],MATCH(Table5[[#This Row],[PID]],Table3[[#All],[PID]],0)))</f>
        <v>Glenn</v>
      </c>
      <c r="F1012" s="50" t="str">
        <f>IF($C1012="B",INDEX(Batters[[#All],[Last]],MATCH(A1012,Batters[[#All],[PID]],0)),INDEX(Table3[[#All],[Last]],MATCH(A1012,Table3[[#All],[PID]],0)))</f>
        <v>Moore</v>
      </c>
      <c r="G1012" s="56">
        <f>IF($C1012="B",INDEX(Batters[[#All],[Age]],MATCH(Table5[[#This Row],[PID]],Batters[[#All],[PID]],0)),INDEX(Table3[[#All],[Age]],MATCH(Table5[[#This Row],[PID]],Table3[[#All],[PID]],0)))</f>
        <v>21</v>
      </c>
      <c r="H1012" s="52" t="str">
        <f>IF($C1012="B",INDEX(Batters[[#All],[B]],MATCH(Table5[[#This Row],[PID]],Batters[[#All],[PID]],0)),INDEX(Table3[[#All],[B]],MATCH(Table5[[#This Row],[PID]],Table3[[#All],[PID]],0)))</f>
        <v>R</v>
      </c>
      <c r="I1012" s="52" t="str">
        <f>IF($C1012="B",INDEX(Batters[[#All],[T]],MATCH(Table5[[#This Row],[PID]],Batters[[#All],[PID]],0)),INDEX(Table3[[#All],[T]],MATCH(Table5[[#This Row],[PID]],Table3[[#All],[PID]],0)))</f>
        <v>R</v>
      </c>
      <c r="J1012" s="52" t="str">
        <f>IF($C1012="B",INDEX(Batters[[#All],[WE]],MATCH(Table5[[#This Row],[PID]],Batters[[#All],[PID]],0)),INDEX(Table3[[#All],[WE]],MATCH(Table5[[#This Row],[PID]],Table3[[#All],[PID]],0)))</f>
        <v>High</v>
      </c>
      <c r="K1012" s="52" t="str">
        <f>IF($C1012="B",INDEX(Batters[[#All],[INT]],MATCH(Table5[[#This Row],[PID]],Batters[[#All],[PID]],0)),INDEX(Table3[[#All],[INT]],MATCH(Table5[[#This Row],[PID]],Table3[[#All],[PID]],0)))</f>
        <v>Normal</v>
      </c>
      <c r="L1012" s="60">
        <f>IF($C1012="B",INDEX(Batters[[#All],[CON P]],MATCH(Table5[[#This Row],[PID]],Batters[[#All],[PID]],0)),INDEX(Table3[[#All],[STU P]],MATCH(Table5[[#This Row],[PID]],Table3[[#All],[PID]],0)))</f>
        <v>4</v>
      </c>
      <c r="M1012" s="56">
        <f>IF($C1012="B",INDEX(Batters[[#All],[GAP P]],MATCH(Table5[[#This Row],[PID]],Batters[[#All],[PID]],0)),INDEX(Table3[[#All],[MOV P]],MATCH(Table5[[#This Row],[PID]],Table3[[#All],[PID]],0)))</f>
        <v>1</v>
      </c>
      <c r="N1012" s="56">
        <f>IF($C1012="B",INDEX(Batters[[#All],[POW P]],MATCH(Table5[[#This Row],[PID]],Batters[[#All],[PID]],0)),INDEX(Table3[[#All],[CON P]],MATCH(Table5[[#This Row],[PID]],Table3[[#All],[PID]],0)))</f>
        <v>3</v>
      </c>
      <c r="O1012" s="56" t="str">
        <f>IF($C1012="B",INDEX(Batters[[#All],[EYE P]],MATCH(Table5[[#This Row],[PID]],Batters[[#All],[PID]],0)),INDEX(Table3[[#All],[VELO]],MATCH(Table5[[#This Row],[PID]],Table3[[#All],[PID]],0)))</f>
        <v>90-92 Mph</v>
      </c>
      <c r="P1012" s="56">
        <f>IF($C1012="B",INDEX(Batters[[#All],[K P]],MATCH(Table5[[#This Row],[PID]],Batters[[#All],[PID]],0)),INDEX(Table3[[#All],[STM]],MATCH(Table5[[#This Row],[PID]],Table3[[#All],[PID]],0)))</f>
        <v>3</v>
      </c>
      <c r="Q1012" s="61">
        <f>IF($C1012="B",INDEX(Batters[[#All],[Tot]],MATCH(Table5[[#This Row],[PID]],Batters[[#All],[PID]],0)),INDEX(Table3[[#All],[Tot]],MATCH(Table5[[#This Row],[PID]],Table3[[#All],[PID]],0)))</f>
        <v>26.148528355349001</v>
      </c>
      <c r="R1012" s="52">
        <f>IF($C1012="B",INDEX(Batters[[#All],[zScore]],MATCH(Table5[[#This Row],[PID]],Batters[[#All],[PID]],0)),INDEX(Table3[[#All],[zScore]],MATCH(Table5[[#This Row],[PID]],Table3[[#All],[PID]],0)))</f>
        <v>-0.64678964988885079</v>
      </c>
      <c r="S1012" s="58" t="str">
        <f>IF($C1012="B",INDEX(Batters[[#All],[DEM]],MATCH(Table5[[#This Row],[PID]],Batters[[#All],[PID]],0)),INDEX(Table3[[#All],[DEM]],MATCH(Table5[[#This Row],[PID]],Table3[[#All],[PID]],0)))</f>
        <v>-</v>
      </c>
      <c r="T1012" s="62">
        <f>IF($C1012="B",INDEX(Batters[[#All],[Rnk]],MATCH(Table5[[#This Row],[PID]],Batters[[#All],[PID]],0)),INDEX(Table3[[#All],[Rnk]],MATCH(Table5[[#This Row],[PID]],Table3[[#All],[PID]],0)))</f>
        <v>578</v>
      </c>
      <c r="U1012" s="68">
        <f>IF($C1012="B",VLOOKUP($A1012,Bat!$A$4:$BA$1621,47,FALSE),VLOOKUP($A1012,Pit!$A$4:$BF$1557,56,FALSE))</f>
        <v>0</v>
      </c>
      <c r="V1012" s="50">
        <f>IF($C1012="B",VLOOKUP($A1012,Bat!$A$4:$BA$1621,48,FALSE),VLOOKUP($A1012,Pit!$A$4:$BF$1557,57,FALSE))</f>
        <v>0</v>
      </c>
      <c r="W1012" s="50">
        <f>Table5[[#This Row],[posRnk]]+Table5[[#This Row],[zRnk]]+IF($W$3&lt;&gt;Table5[[#This Row],[Type]],50,0)</f>
        <v>1572</v>
      </c>
      <c r="X1012" s="51">
        <f>RANK(Table5[[#This Row],[zScore]],Table5[[#All],[zScore]])</f>
        <v>944</v>
      </c>
      <c r="Y1012" s="50" t="str">
        <f>IFERROR(INDEX(DraftResults[[#All],[OVR]],MATCH(Table5[[#This Row],[PID]],DraftResults[[#All],[Player ID]],0)),"")</f>
        <v/>
      </c>
      <c r="Z10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2" s="50" t="str">
        <f>IFERROR(INDEX(DraftResults[[#All],[Pick in Round]],MATCH(Table5[[#This Row],[PID]],DraftResults[[#All],[Player ID]],0)),"")</f>
        <v/>
      </c>
      <c r="AB1012" s="50" t="str">
        <f>IFERROR(INDEX(DraftResults[[#All],[Team Name]],MATCH(Table5[[#This Row],[PID]],DraftResults[[#All],[Player ID]],0)),"")</f>
        <v/>
      </c>
      <c r="AC1012" s="50" t="str">
        <f>IF(Table5[[#This Row],[Ovr]]="","",IF(Table5[[#This Row],[cmbList]]="","",Table5[[#This Row],[cmbList]]-Table5[[#This Row],[Ovr]]))</f>
        <v/>
      </c>
      <c r="AD1012" s="54" t="str">
        <f>IF(ISERROR(VLOOKUP($AB1012&amp;"-"&amp;$E1012&amp;" "&amp;F1012,Bonuses!$B$1:$G$1006,4,FALSE)),"",INT(VLOOKUP($AB1012&amp;"-"&amp;$E1012&amp;" "&amp;$F1012,Bonuses!$B$1:$G$1006,4,FALSE)))</f>
        <v/>
      </c>
      <c r="AE10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3" spans="1:31" s="50" customFormat="1" x14ac:dyDescent="0.25">
      <c r="A1013" s="50">
        <v>17846</v>
      </c>
      <c r="B1013" s="50">
        <f>COUNTIF(Table5[PID],A1013)</f>
        <v>1</v>
      </c>
      <c r="C1013" s="50" t="str">
        <f>IF(COUNTIF(Table3[[#All],[PID]],A1013)&gt;0,"P","B")</f>
        <v>P</v>
      </c>
      <c r="D1013" s="59" t="str">
        <f>IF($C1013="B",INDEX(Batters[[#All],[POS]],MATCH(Table5[[#This Row],[PID]],Batters[[#All],[PID]],0)),INDEX(Table3[[#All],[POS]],MATCH(Table5[[#This Row],[PID]],Table3[[#All],[PID]],0)))</f>
        <v>CL</v>
      </c>
      <c r="E1013" s="52" t="str">
        <f>IF($C1013="B",INDEX(Batters[[#All],[First]],MATCH(Table5[[#This Row],[PID]],Batters[[#All],[PID]],0)),INDEX(Table3[[#All],[First]],MATCH(Table5[[#This Row],[PID]],Table3[[#All],[PID]],0)))</f>
        <v>Naoaki</v>
      </c>
      <c r="F1013" s="50" t="str">
        <f>IF($C1013="B",INDEX(Batters[[#All],[Last]],MATCH(A1013,Batters[[#All],[PID]],0)),INDEX(Table3[[#All],[Last]],MATCH(A1013,Table3[[#All],[PID]],0)))</f>
        <v>Shimizu</v>
      </c>
      <c r="G1013" s="56">
        <f>IF($C1013="B",INDEX(Batters[[#All],[Age]],MATCH(Table5[[#This Row],[PID]],Batters[[#All],[PID]],0)),INDEX(Table3[[#All],[Age]],MATCH(Table5[[#This Row],[PID]],Table3[[#All],[PID]],0)))</f>
        <v>18</v>
      </c>
      <c r="H1013" s="52" t="str">
        <f>IF($C1013="B",INDEX(Batters[[#All],[B]],MATCH(Table5[[#This Row],[PID]],Batters[[#All],[PID]],0)),INDEX(Table3[[#All],[B]],MATCH(Table5[[#This Row],[PID]],Table3[[#All],[PID]],0)))</f>
        <v>S</v>
      </c>
      <c r="I1013" s="52" t="str">
        <f>IF($C1013="B",INDEX(Batters[[#All],[T]],MATCH(Table5[[#This Row],[PID]],Batters[[#All],[PID]],0)),INDEX(Table3[[#All],[T]],MATCH(Table5[[#This Row],[PID]],Table3[[#All],[PID]],0)))</f>
        <v>R</v>
      </c>
      <c r="J1013" s="52" t="str">
        <f>IF($C1013="B",INDEX(Batters[[#All],[WE]],MATCH(Table5[[#This Row],[PID]],Batters[[#All],[PID]],0)),INDEX(Table3[[#All],[WE]],MATCH(Table5[[#This Row],[PID]],Table3[[#All],[PID]],0)))</f>
        <v>Low</v>
      </c>
      <c r="K1013" s="52" t="str">
        <f>IF($C1013="B",INDEX(Batters[[#All],[INT]],MATCH(Table5[[#This Row],[PID]],Batters[[#All],[PID]],0)),INDEX(Table3[[#All],[INT]],MATCH(Table5[[#This Row],[PID]],Table3[[#All],[PID]],0)))</f>
        <v>Normal</v>
      </c>
      <c r="L1013" s="60">
        <f>IF($C1013="B",INDEX(Batters[[#All],[CON P]],MATCH(Table5[[#This Row],[PID]],Batters[[#All],[PID]],0)),INDEX(Table3[[#All],[STU P]],MATCH(Table5[[#This Row],[PID]],Table3[[#All],[PID]],0)))</f>
        <v>5</v>
      </c>
      <c r="M1013" s="56">
        <f>IF($C1013="B",INDEX(Batters[[#All],[GAP P]],MATCH(Table5[[#This Row],[PID]],Batters[[#All],[PID]],0)),INDEX(Table3[[#All],[MOV P]],MATCH(Table5[[#This Row],[PID]],Table3[[#All],[PID]],0)))</f>
        <v>2</v>
      </c>
      <c r="N1013" s="56">
        <f>IF($C1013="B",INDEX(Batters[[#All],[POW P]],MATCH(Table5[[#This Row],[PID]],Batters[[#All],[PID]],0)),INDEX(Table3[[#All],[CON P]],MATCH(Table5[[#This Row],[PID]],Table3[[#All],[PID]],0)))</f>
        <v>2</v>
      </c>
      <c r="O1013" s="56" t="str">
        <f>IF($C1013="B",INDEX(Batters[[#All],[EYE P]],MATCH(Table5[[#This Row],[PID]],Batters[[#All],[PID]],0)),INDEX(Table3[[#All],[VELO]],MATCH(Table5[[#This Row],[PID]],Table3[[#All],[PID]],0)))</f>
        <v>88-90 Mph</v>
      </c>
      <c r="P1013" s="56">
        <f>IF($C1013="B",INDEX(Batters[[#All],[K P]],MATCH(Table5[[#This Row],[PID]],Batters[[#All],[PID]],0)),INDEX(Table3[[#All],[STM]],MATCH(Table5[[#This Row],[PID]],Table3[[#All],[PID]],0)))</f>
        <v>6</v>
      </c>
      <c r="Q1013" s="61">
        <f>IF($C1013="B",INDEX(Batters[[#All],[Tot]],MATCH(Table5[[#This Row],[PID]],Batters[[#All],[PID]],0)),INDEX(Table3[[#All],[Tot]],MATCH(Table5[[#This Row],[PID]],Table3[[#All],[PID]],0)))</f>
        <v>26.135367577461679</v>
      </c>
      <c r="R1013" s="52">
        <f>IF($C1013="B",INDEX(Batters[[#All],[zScore]],MATCH(Table5[[#This Row],[PID]],Batters[[#All],[PID]],0)),INDEX(Table3[[#All],[zScore]],MATCH(Table5[[#This Row],[PID]],Table3[[#All],[PID]],0)))</f>
        <v>-0.64766521633059315</v>
      </c>
      <c r="S1013" s="58" t="str">
        <f>IF($C1013="B",INDEX(Batters[[#All],[DEM]],MATCH(Table5[[#This Row],[PID]],Batters[[#All],[PID]],0)),INDEX(Table3[[#All],[DEM]],MATCH(Table5[[#This Row],[PID]],Table3[[#All],[PID]],0)))</f>
        <v>$75k</v>
      </c>
      <c r="T1013" s="62">
        <f>IF($C1013="B",INDEX(Batters[[#All],[Rnk]],MATCH(Table5[[#This Row],[PID]],Batters[[#All],[PID]],0)),INDEX(Table3[[#All],[Rnk]],MATCH(Table5[[#This Row],[PID]],Table3[[#All],[PID]],0)))</f>
        <v>579</v>
      </c>
      <c r="U1013" s="68">
        <f>IF($C1013="B",VLOOKUP($A1013,Bat!$A$4:$BA$1621,47,FALSE),VLOOKUP($A1013,Pit!$A$4:$BF$1557,56,FALSE))</f>
        <v>0</v>
      </c>
      <c r="V1013" s="50">
        <f>IF($C1013="B",VLOOKUP($A1013,Bat!$A$4:$BA$1621,48,FALSE),VLOOKUP($A1013,Pit!$A$4:$BF$1557,57,FALSE))</f>
        <v>0</v>
      </c>
      <c r="W1013" s="50">
        <f>Table5[[#This Row],[posRnk]]+Table5[[#This Row],[zRnk]]+IF($W$3&lt;&gt;Table5[[#This Row],[Type]],50,0)</f>
        <v>1574</v>
      </c>
      <c r="X1013" s="51">
        <f>RANK(Table5[[#This Row],[zScore]],Table5[[#All],[zScore]])</f>
        <v>945</v>
      </c>
      <c r="Y1013" s="50" t="str">
        <f>IFERROR(INDEX(DraftResults[[#All],[OVR]],MATCH(Table5[[#This Row],[PID]],DraftResults[[#All],[Player ID]],0)),"")</f>
        <v/>
      </c>
      <c r="Z10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3" s="50" t="str">
        <f>IFERROR(INDEX(DraftResults[[#All],[Pick in Round]],MATCH(Table5[[#This Row],[PID]],DraftResults[[#All],[Player ID]],0)),"")</f>
        <v/>
      </c>
      <c r="AB1013" s="50" t="str">
        <f>IFERROR(INDEX(DraftResults[[#All],[Team Name]],MATCH(Table5[[#This Row],[PID]],DraftResults[[#All],[Player ID]],0)),"")</f>
        <v/>
      </c>
      <c r="AC1013" s="50" t="str">
        <f>IF(Table5[[#This Row],[Ovr]]="","",IF(Table5[[#This Row],[cmbList]]="","",Table5[[#This Row],[cmbList]]-Table5[[#This Row],[Ovr]]))</f>
        <v/>
      </c>
      <c r="AD1013" s="54" t="str">
        <f>IF(ISERROR(VLOOKUP($AB1013&amp;"-"&amp;$E1013&amp;" "&amp;F1013,Bonuses!$B$1:$G$1006,4,FALSE)),"",INT(VLOOKUP($AB1013&amp;"-"&amp;$E1013&amp;" "&amp;$F1013,Bonuses!$B$1:$G$1006,4,FALSE)))</f>
        <v/>
      </c>
      <c r="AE10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4" spans="1:31" s="50" customFormat="1" x14ac:dyDescent="0.25">
      <c r="A1014" s="50">
        <v>20275</v>
      </c>
      <c r="B1014" s="50">
        <f>COUNTIF(Table5[PID],A1014)</f>
        <v>1</v>
      </c>
      <c r="C1014" s="50" t="str">
        <f>IF(COUNTIF(Table3[[#All],[PID]],A1014)&gt;0,"P","B")</f>
        <v>P</v>
      </c>
      <c r="D1014" s="59" t="str">
        <f>IF($C1014="B",INDEX(Batters[[#All],[POS]],MATCH(Table5[[#This Row],[PID]],Batters[[#All],[PID]],0)),INDEX(Table3[[#All],[POS]],MATCH(Table5[[#This Row],[PID]],Table3[[#All],[PID]],0)))</f>
        <v>RP</v>
      </c>
      <c r="E1014" s="52" t="str">
        <f>IF($C1014="B",INDEX(Batters[[#All],[First]],MATCH(Table5[[#This Row],[PID]],Batters[[#All],[PID]],0)),INDEX(Table3[[#All],[First]],MATCH(Table5[[#This Row],[PID]],Table3[[#All],[PID]],0)))</f>
        <v>José</v>
      </c>
      <c r="F1014" s="50" t="str">
        <f>IF($C1014="B",INDEX(Batters[[#All],[Last]],MATCH(A1014,Batters[[#All],[PID]],0)),INDEX(Table3[[#All],[Last]],MATCH(A1014,Table3[[#All],[PID]],0)))</f>
        <v>Contreras</v>
      </c>
      <c r="G1014" s="56">
        <f>IF($C1014="B",INDEX(Batters[[#All],[Age]],MATCH(Table5[[#This Row],[PID]],Batters[[#All],[PID]],0)),INDEX(Table3[[#All],[Age]],MATCH(Table5[[#This Row],[PID]],Table3[[#All],[PID]],0)))</f>
        <v>21</v>
      </c>
      <c r="H1014" s="52" t="str">
        <f>IF($C1014="B",INDEX(Batters[[#All],[B]],MATCH(Table5[[#This Row],[PID]],Batters[[#All],[PID]],0)),INDEX(Table3[[#All],[B]],MATCH(Table5[[#This Row],[PID]],Table3[[#All],[PID]],0)))</f>
        <v>R</v>
      </c>
      <c r="I1014" s="52" t="str">
        <f>IF($C1014="B",INDEX(Batters[[#All],[T]],MATCH(Table5[[#This Row],[PID]],Batters[[#All],[PID]],0)),INDEX(Table3[[#All],[T]],MATCH(Table5[[#This Row],[PID]],Table3[[#All],[PID]],0)))</f>
        <v>R</v>
      </c>
      <c r="J1014" s="52" t="str">
        <f>IF($C1014="B",INDEX(Batters[[#All],[WE]],MATCH(Table5[[#This Row],[PID]],Batters[[#All],[PID]],0)),INDEX(Table3[[#All],[WE]],MATCH(Table5[[#This Row],[PID]],Table3[[#All],[PID]],0)))</f>
        <v>Normal</v>
      </c>
      <c r="K1014" s="52" t="str">
        <f>IF($C1014="B",INDEX(Batters[[#All],[INT]],MATCH(Table5[[#This Row],[PID]],Batters[[#All],[PID]],0)),INDEX(Table3[[#All],[INT]],MATCH(Table5[[#This Row],[PID]],Table3[[#All],[PID]],0)))</f>
        <v>Normal</v>
      </c>
      <c r="L1014" s="60">
        <f>IF($C1014="B",INDEX(Batters[[#All],[CON P]],MATCH(Table5[[#This Row],[PID]],Batters[[#All],[PID]],0)),INDEX(Table3[[#All],[STU P]],MATCH(Table5[[#This Row],[PID]],Table3[[#All],[PID]],0)))</f>
        <v>4</v>
      </c>
      <c r="M1014" s="56">
        <f>IF($C1014="B",INDEX(Batters[[#All],[GAP P]],MATCH(Table5[[#This Row],[PID]],Batters[[#All],[PID]],0)),INDEX(Table3[[#All],[MOV P]],MATCH(Table5[[#This Row],[PID]],Table3[[#All],[PID]],0)))</f>
        <v>1</v>
      </c>
      <c r="N1014" s="56">
        <f>IF($C1014="B",INDEX(Batters[[#All],[POW P]],MATCH(Table5[[#This Row],[PID]],Batters[[#All],[PID]],0)),INDEX(Table3[[#All],[CON P]],MATCH(Table5[[#This Row],[PID]],Table3[[#All],[PID]],0)))</f>
        <v>3</v>
      </c>
      <c r="O1014" s="56" t="str">
        <f>IF($C1014="B",INDEX(Batters[[#All],[EYE P]],MATCH(Table5[[#This Row],[PID]],Batters[[#All],[PID]],0)),INDEX(Table3[[#All],[VELO]],MATCH(Table5[[#This Row],[PID]],Table3[[#All],[PID]],0)))</f>
        <v>88-90 Mph</v>
      </c>
      <c r="P1014" s="56">
        <f>IF($C1014="B",INDEX(Batters[[#All],[K P]],MATCH(Table5[[#This Row],[PID]],Batters[[#All],[PID]],0)),INDEX(Table3[[#All],[STM]],MATCH(Table5[[#This Row],[PID]],Table3[[#All],[PID]],0)))</f>
        <v>5</v>
      </c>
      <c r="Q1014" s="61">
        <f>IF($C1014="B",INDEX(Batters[[#All],[Tot]],MATCH(Table5[[#This Row],[PID]],Batters[[#All],[PID]],0)),INDEX(Table3[[#All],[Tot]],MATCH(Table5[[#This Row],[PID]],Table3[[#All],[PID]],0)))</f>
        <v>26.125792259437134</v>
      </c>
      <c r="R1014" s="52">
        <f>IF($C1014="B",INDEX(Batters[[#All],[zScore]],MATCH(Table5[[#This Row],[PID]],Batters[[#All],[PID]],0)),INDEX(Table3[[#All],[zScore]],MATCH(Table5[[#This Row],[PID]],Table3[[#All],[PID]],0)))</f>
        <v>-0.64830224760663802</v>
      </c>
      <c r="S1014" s="58" t="str">
        <f>IF($C1014="B",INDEX(Batters[[#All],[DEM]],MATCH(Table5[[#This Row],[PID]],Batters[[#All],[PID]],0)),INDEX(Table3[[#All],[DEM]],MATCH(Table5[[#This Row],[PID]],Table3[[#All],[PID]],0)))</f>
        <v>-</v>
      </c>
      <c r="T1014" s="62">
        <f>IF($C1014="B",INDEX(Batters[[#All],[Rnk]],MATCH(Table5[[#This Row],[PID]],Batters[[#All],[PID]],0)),INDEX(Table3[[#All],[Rnk]],MATCH(Table5[[#This Row],[PID]],Table3[[#All],[PID]],0)))</f>
        <v>580</v>
      </c>
      <c r="U1014" s="68">
        <f>IF($C1014="B",VLOOKUP($A1014,Bat!$A$4:$BA$1621,47,FALSE),VLOOKUP($A1014,Pit!$A$4:$BF$1557,56,FALSE))</f>
        <v>0</v>
      </c>
      <c r="V1014" s="50">
        <f>IF($C1014="B",VLOOKUP($A1014,Bat!$A$4:$BA$1621,48,FALSE),VLOOKUP($A1014,Pit!$A$4:$BF$1557,57,FALSE))</f>
        <v>0</v>
      </c>
      <c r="W1014" s="50">
        <f>Table5[[#This Row],[posRnk]]+Table5[[#This Row],[zRnk]]+IF($W$3&lt;&gt;Table5[[#This Row],[Type]],50,0)</f>
        <v>1576</v>
      </c>
      <c r="X1014" s="51">
        <f>RANK(Table5[[#This Row],[zScore]],Table5[[#All],[zScore]])</f>
        <v>946</v>
      </c>
      <c r="Y1014" s="50" t="str">
        <f>IFERROR(INDEX(DraftResults[[#All],[OVR]],MATCH(Table5[[#This Row],[PID]],DraftResults[[#All],[Player ID]],0)),"")</f>
        <v/>
      </c>
      <c r="Z10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4" s="50" t="str">
        <f>IFERROR(INDEX(DraftResults[[#All],[Pick in Round]],MATCH(Table5[[#This Row],[PID]],DraftResults[[#All],[Player ID]],0)),"")</f>
        <v/>
      </c>
      <c r="AB1014" s="50" t="str">
        <f>IFERROR(INDEX(DraftResults[[#All],[Team Name]],MATCH(Table5[[#This Row],[PID]],DraftResults[[#All],[Player ID]],0)),"")</f>
        <v/>
      </c>
      <c r="AC1014" s="50" t="str">
        <f>IF(Table5[[#This Row],[Ovr]]="","",IF(Table5[[#This Row],[cmbList]]="","",Table5[[#This Row],[cmbList]]-Table5[[#This Row],[Ovr]]))</f>
        <v/>
      </c>
      <c r="AD1014" s="54" t="str">
        <f>IF(ISERROR(VLOOKUP($AB1014&amp;"-"&amp;$E1014&amp;" "&amp;F1014,Bonuses!$B$1:$G$1006,4,FALSE)),"",INT(VLOOKUP($AB1014&amp;"-"&amp;$E1014&amp;" "&amp;$F1014,Bonuses!$B$1:$G$1006,4,FALSE)))</f>
        <v/>
      </c>
      <c r="AE10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5" spans="1:31" s="50" customFormat="1" x14ac:dyDescent="0.25">
      <c r="A1015" s="50">
        <v>9718</v>
      </c>
      <c r="B1015" s="50">
        <f>COUNTIF(Table5[PID],A1015)</f>
        <v>1</v>
      </c>
      <c r="C1015" s="50" t="str">
        <f>IF(COUNTIF(Table3[[#All],[PID]],A1015)&gt;0,"P","B")</f>
        <v>P</v>
      </c>
      <c r="D1015" s="59" t="str">
        <f>IF($C1015="B",INDEX(Batters[[#All],[POS]],MATCH(Table5[[#This Row],[PID]],Batters[[#All],[PID]],0)),INDEX(Table3[[#All],[POS]],MATCH(Table5[[#This Row],[PID]],Table3[[#All],[PID]],0)))</f>
        <v>RP</v>
      </c>
      <c r="E1015" s="52" t="str">
        <f>IF($C1015="B",INDEX(Batters[[#All],[First]],MATCH(Table5[[#This Row],[PID]],Batters[[#All],[PID]],0)),INDEX(Table3[[#All],[First]],MATCH(Table5[[#This Row],[PID]],Table3[[#All],[PID]],0)))</f>
        <v>Devin</v>
      </c>
      <c r="F1015" s="50" t="str">
        <f>IF($C1015="B",INDEX(Batters[[#All],[Last]],MATCH(A1015,Batters[[#All],[PID]],0)),INDEX(Table3[[#All],[Last]],MATCH(A1015,Table3[[#All],[PID]],0)))</f>
        <v>Meyers</v>
      </c>
      <c r="G1015" s="56">
        <f>IF($C1015="B",INDEX(Batters[[#All],[Age]],MATCH(Table5[[#This Row],[PID]],Batters[[#All],[PID]],0)),INDEX(Table3[[#All],[Age]],MATCH(Table5[[#This Row],[PID]],Table3[[#All],[PID]],0)))</f>
        <v>22</v>
      </c>
      <c r="H1015" s="52" t="str">
        <f>IF($C1015="B",INDEX(Batters[[#All],[B]],MATCH(Table5[[#This Row],[PID]],Batters[[#All],[PID]],0)),INDEX(Table3[[#All],[B]],MATCH(Table5[[#This Row],[PID]],Table3[[#All],[PID]],0)))</f>
        <v>R</v>
      </c>
      <c r="I1015" s="52" t="str">
        <f>IF($C1015="B",INDEX(Batters[[#All],[T]],MATCH(Table5[[#This Row],[PID]],Batters[[#All],[PID]],0)),INDEX(Table3[[#All],[T]],MATCH(Table5[[#This Row],[PID]],Table3[[#All],[PID]],0)))</f>
        <v>R</v>
      </c>
      <c r="J1015" s="52" t="str">
        <f>IF($C1015="B",INDEX(Batters[[#All],[WE]],MATCH(Table5[[#This Row],[PID]],Batters[[#All],[PID]],0)),INDEX(Table3[[#All],[WE]],MATCH(Table5[[#This Row],[PID]],Table3[[#All],[PID]],0)))</f>
        <v>Normal</v>
      </c>
      <c r="K1015" s="52" t="str">
        <f>IF($C1015="B",INDEX(Batters[[#All],[INT]],MATCH(Table5[[#This Row],[PID]],Batters[[#All],[PID]],0)),INDEX(Table3[[#All],[INT]],MATCH(Table5[[#This Row],[PID]],Table3[[#All],[PID]],0)))</f>
        <v>Normal</v>
      </c>
      <c r="L1015" s="60">
        <f>IF($C1015="B",INDEX(Batters[[#All],[CON P]],MATCH(Table5[[#This Row],[PID]],Batters[[#All],[PID]],0)),INDEX(Table3[[#All],[STU P]],MATCH(Table5[[#This Row],[PID]],Table3[[#All],[PID]],0)))</f>
        <v>4</v>
      </c>
      <c r="M1015" s="56">
        <f>IF($C1015="B",INDEX(Batters[[#All],[GAP P]],MATCH(Table5[[#This Row],[PID]],Batters[[#All],[PID]],0)),INDEX(Table3[[#All],[MOV P]],MATCH(Table5[[#This Row],[PID]],Table3[[#All],[PID]],0)))</f>
        <v>1</v>
      </c>
      <c r="N1015" s="56">
        <f>IF($C1015="B",INDEX(Batters[[#All],[POW P]],MATCH(Table5[[#This Row],[PID]],Batters[[#All],[PID]],0)),INDEX(Table3[[#All],[CON P]],MATCH(Table5[[#This Row],[PID]],Table3[[#All],[PID]],0)))</f>
        <v>3</v>
      </c>
      <c r="O1015" s="56" t="str">
        <f>IF($C1015="B",INDEX(Batters[[#All],[EYE P]],MATCH(Table5[[#This Row],[PID]],Batters[[#All],[PID]],0)),INDEX(Table3[[#All],[VELO]],MATCH(Table5[[#This Row],[PID]],Table3[[#All],[PID]],0)))</f>
        <v>88-90 Mph</v>
      </c>
      <c r="P1015" s="56">
        <f>IF($C1015="B",INDEX(Batters[[#All],[K P]],MATCH(Table5[[#This Row],[PID]],Batters[[#All],[PID]],0)),INDEX(Table3[[#All],[STM]],MATCH(Table5[[#This Row],[PID]],Table3[[#All],[PID]],0)))</f>
        <v>6</v>
      </c>
      <c r="Q1015" s="61">
        <f>IF($C1015="B",INDEX(Batters[[#All],[Tot]],MATCH(Table5[[#This Row],[PID]],Batters[[#All],[PID]],0)),INDEX(Table3[[#All],[Tot]],MATCH(Table5[[#This Row],[PID]],Table3[[#All],[PID]],0)))</f>
        <v>26.125792259437134</v>
      </c>
      <c r="R1015" s="52">
        <f>IF($C1015="B",INDEX(Batters[[#All],[zScore]],MATCH(Table5[[#This Row],[PID]],Batters[[#All],[PID]],0)),INDEX(Table3[[#All],[zScore]],MATCH(Table5[[#This Row],[PID]],Table3[[#All],[PID]],0)))</f>
        <v>-0.64830224760663802</v>
      </c>
      <c r="S1015" s="58" t="str">
        <f>IF($C1015="B",INDEX(Batters[[#All],[DEM]],MATCH(Table5[[#This Row],[PID]],Batters[[#All],[PID]],0)),INDEX(Table3[[#All],[DEM]],MATCH(Table5[[#This Row],[PID]],Table3[[#All],[PID]],0)))</f>
        <v>-</v>
      </c>
      <c r="T1015" s="62">
        <f>IF($C1015="B",INDEX(Batters[[#All],[Rnk]],MATCH(Table5[[#This Row],[PID]],Batters[[#All],[PID]],0)),INDEX(Table3[[#All],[Rnk]],MATCH(Table5[[#This Row],[PID]],Table3[[#All],[PID]],0)))</f>
        <v>580</v>
      </c>
      <c r="U1015" s="68">
        <f>IF($C1015="B",VLOOKUP($A1015,Bat!$A$4:$BA$1621,47,FALSE),VLOOKUP($A1015,Pit!$A$4:$BF$1557,56,FALSE))</f>
        <v>0</v>
      </c>
      <c r="V1015" s="50">
        <f>IF($C1015="B",VLOOKUP($A1015,Bat!$A$4:$BA$1621,48,FALSE),VLOOKUP($A1015,Pit!$A$4:$BF$1557,57,FALSE))</f>
        <v>0</v>
      </c>
      <c r="W1015" s="50">
        <f>Table5[[#This Row],[posRnk]]+Table5[[#This Row],[zRnk]]+IF($W$3&lt;&gt;Table5[[#This Row],[Type]],50,0)</f>
        <v>1576</v>
      </c>
      <c r="X1015" s="51">
        <f>RANK(Table5[[#This Row],[zScore]],Table5[[#All],[zScore]])</f>
        <v>946</v>
      </c>
      <c r="Y1015" s="50" t="str">
        <f>IFERROR(INDEX(DraftResults[[#All],[OVR]],MATCH(Table5[[#This Row],[PID]],DraftResults[[#All],[Player ID]],0)),"")</f>
        <v/>
      </c>
      <c r="Z10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5" s="50" t="str">
        <f>IFERROR(INDEX(DraftResults[[#All],[Pick in Round]],MATCH(Table5[[#This Row],[PID]],DraftResults[[#All],[Player ID]],0)),"")</f>
        <v/>
      </c>
      <c r="AB1015" s="50" t="str">
        <f>IFERROR(INDEX(DraftResults[[#All],[Team Name]],MATCH(Table5[[#This Row],[PID]],DraftResults[[#All],[Player ID]],0)),"")</f>
        <v/>
      </c>
      <c r="AC1015" s="50" t="str">
        <f>IF(Table5[[#This Row],[Ovr]]="","",IF(Table5[[#This Row],[cmbList]]="","",Table5[[#This Row],[cmbList]]-Table5[[#This Row],[Ovr]]))</f>
        <v/>
      </c>
      <c r="AD1015" s="54" t="str">
        <f>IF(ISERROR(VLOOKUP($AB1015&amp;"-"&amp;$E1015&amp;" "&amp;F1015,Bonuses!$B$1:$G$1006,4,FALSE)),"",INT(VLOOKUP($AB1015&amp;"-"&amp;$E1015&amp;" "&amp;$F1015,Bonuses!$B$1:$G$1006,4,FALSE)))</f>
        <v/>
      </c>
      <c r="AE10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6" spans="1:31" s="50" customFormat="1" x14ac:dyDescent="0.25">
      <c r="A1016" s="50">
        <v>9389</v>
      </c>
      <c r="B1016" s="50">
        <f>COUNTIF(Table5[PID],A1016)</f>
        <v>1</v>
      </c>
      <c r="C1016" s="50" t="str">
        <f>IF(COUNTIF(Table3[[#All],[PID]],A1016)&gt;0,"P","B")</f>
        <v>P</v>
      </c>
      <c r="D1016" s="59" t="str">
        <f>IF($C1016="B",INDEX(Batters[[#All],[POS]],MATCH(Table5[[#This Row],[PID]],Batters[[#All],[PID]],0)),INDEX(Table3[[#All],[POS]],MATCH(Table5[[#This Row],[PID]],Table3[[#All],[PID]],0)))</f>
        <v>RP</v>
      </c>
      <c r="E1016" s="52" t="str">
        <f>IF($C1016="B",INDEX(Batters[[#All],[First]],MATCH(Table5[[#This Row],[PID]],Batters[[#All],[PID]],0)),INDEX(Table3[[#All],[First]],MATCH(Table5[[#This Row],[PID]],Table3[[#All],[PID]],0)))</f>
        <v>Irwin</v>
      </c>
      <c r="F1016" s="50" t="str">
        <f>IF($C1016="B",INDEX(Batters[[#All],[Last]],MATCH(A1016,Batters[[#All],[PID]],0)),INDEX(Table3[[#All],[Last]],MATCH(A1016,Table3[[#All],[PID]],0)))</f>
        <v>Oglethorpe</v>
      </c>
      <c r="G1016" s="56">
        <f>IF($C1016="B",INDEX(Batters[[#All],[Age]],MATCH(Table5[[#This Row],[PID]],Batters[[#All],[PID]],0)),INDEX(Table3[[#All],[Age]],MATCH(Table5[[#This Row],[PID]],Table3[[#All],[PID]],0)))</f>
        <v>22</v>
      </c>
      <c r="H1016" s="52" t="str">
        <f>IF($C1016="B",INDEX(Batters[[#All],[B]],MATCH(Table5[[#This Row],[PID]],Batters[[#All],[PID]],0)),INDEX(Table3[[#All],[B]],MATCH(Table5[[#This Row],[PID]],Table3[[#All],[PID]],0)))</f>
        <v>L</v>
      </c>
      <c r="I1016" s="52" t="str">
        <f>IF($C1016="B",INDEX(Batters[[#All],[T]],MATCH(Table5[[#This Row],[PID]],Batters[[#All],[PID]],0)),INDEX(Table3[[#All],[T]],MATCH(Table5[[#This Row],[PID]],Table3[[#All],[PID]],0)))</f>
        <v>L</v>
      </c>
      <c r="J1016" s="52" t="str">
        <f>IF($C1016="B",INDEX(Batters[[#All],[WE]],MATCH(Table5[[#This Row],[PID]],Batters[[#All],[PID]],0)),INDEX(Table3[[#All],[WE]],MATCH(Table5[[#This Row],[PID]],Table3[[#All],[PID]],0)))</f>
        <v>Low</v>
      </c>
      <c r="K1016" s="52" t="str">
        <f>IF($C1016="B",INDEX(Batters[[#All],[INT]],MATCH(Table5[[#This Row],[PID]],Batters[[#All],[PID]],0)),INDEX(Table3[[#All],[INT]],MATCH(Table5[[#This Row],[PID]],Table3[[#All],[PID]],0)))</f>
        <v>High</v>
      </c>
      <c r="L1016" s="60">
        <f>IF($C1016="B",INDEX(Batters[[#All],[CON P]],MATCH(Table5[[#This Row],[PID]],Batters[[#All],[PID]],0)),INDEX(Table3[[#All],[STU P]],MATCH(Table5[[#This Row],[PID]],Table3[[#All],[PID]],0)))</f>
        <v>4</v>
      </c>
      <c r="M1016" s="56">
        <f>IF($C1016="B",INDEX(Batters[[#All],[GAP P]],MATCH(Table5[[#This Row],[PID]],Batters[[#All],[PID]],0)),INDEX(Table3[[#All],[MOV P]],MATCH(Table5[[#This Row],[PID]],Table3[[#All],[PID]],0)))</f>
        <v>1</v>
      </c>
      <c r="N1016" s="56">
        <f>IF($C1016="B",INDEX(Batters[[#All],[POW P]],MATCH(Table5[[#This Row],[PID]],Batters[[#All],[PID]],0)),INDEX(Table3[[#All],[CON P]],MATCH(Table5[[#This Row],[PID]],Table3[[#All],[PID]],0)))</f>
        <v>3</v>
      </c>
      <c r="O1016" s="56" t="str">
        <f>IF($C1016="B",INDEX(Batters[[#All],[EYE P]],MATCH(Table5[[#This Row],[PID]],Batters[[#All],[PID]],0)),INDEX(Table3[[#All],[VELO]],MATCH(Table5[[#This Row],[PID]],Table3[[#All],[PID]],0)))</f>
        <v>88-90 Mph</v>
      </c>
      <c r="P1016" s="56">
        <f>IF($C1016="B",INDEX(Batters[[#All],[K P]],MATCH(Table5[[#This Row],[PID]],Batters[[#All],[PID]],0)),INDEX(Table3[[#All],[STM]],MATCH(Table5[[#This Row],[PID]],Table3[[#All],[PID]],0)))</f>
        <v>6</v>
      </c>
      <c r="Q1016" s="61">
        <f>IF($C1016="B",INDEX(Batters[[#All],[Tot]],MATCH(Table5[[#This Row],[PID]],Batters[[#All],[PID]],0)),INDEX(Table3[[#All],[Tot]],MATCH(Table5[[#This Row],[PID]],Table3[[#All],[PID]],0)))</f>
        <v>26.125792259437134</v>
      </c>
      <c r="R1016" s="52">
        <f>IF($C1016="B",INDEX(Batters[[#All],[zScore]],MATCH(Table5[[#This Row],[PID]],Batters[[#All],[PID]],0)),INDEX(Table3[[#All],[zScore]],MATCH(Table5[[#This Row],[PID]],Table3[[#All],[PID]],0)))</f>
        <v>-0.64830224760663802</v>
      </c>
      <c r="S1016" s="58" t="str">
        <f>IF($C1016="B",INDEX(Batters[[#All],[DEM]],MATCH(Table5[[#This Row],[PID]],Batters[[#All],[PID]],0)),INDEX(Table3[[#All],[DEM]],MATCH(Table5[[#This Row],[PID]],Table3[[#All],[PID]],0)))</f>
        <v>-</v>
      </c>
      <c r="T1016" s="62">
        <f>IF($C1016="B",INDEX(Batters[[#All],[Rnk]],MATCH(Table5[[#This Row],[PID]],Batters[[#All],[PID]],0)),INDEX(Table3[[#All],[Rnk]],MATCH(Table5[[#This Row],[PID]],Table3[[#All],[PID]],0)))</f>
        <v>580</v>
      </c>
      <c r="U1016" s="68">
        <f>IF($C1016="B",VLOOKUP($A1016,Bat!$A$4:$BA$1621,47,FALSE),VLOOKUP($A1016,Pit!$A$4:$BF$1557,56,FALSE))</f>
        <v>0</v>
      </c>
      <c r="V1016" s="50">
        <f>IF($C1016="B",VLOOKUP($A1016,Bat!$A$4:$BA$1621,48,FALSE),VLOOKUP($A1016,Pit!$A$4:$BF$1557,57,FALSE))</f>
        <v>0</v>
      </c>
      <c r="W1016" s="50">
        <f>Table5[[#This Row],[posRnk]]+Table5[[#This Row],[zRnk]]+IF($W$3&lt;&gt;Table5[[#This Row],[Type]],50,0)</f>
        <v>1576</v>
      </c>
      <c r="X1016" s="51">
        <f>RANK(Table5[[#This Row],[zScore]],Table5[[#All],[zScore]])</f>
        <v>946</v>
      </c>
      <c r="Y1016" s="50" t="str">
        <f>IFERROR(INDEX(DraftResults[[#All],[OVR]],MATCH(Table5[[#This Row],[PID]],DraftResults[[#All],[Player ID]],0)),"")</f>
        <v/>
      </c>
      <c r="Z10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6" s="50" t="str">
        <f>IFERROR(INDEX(DraftResults[[#All],[Pick in Round]],MATCH(Table5[[#This Row],[PID]],DraftResults[[#All],[Player ID]],0)),"")</f>
        <v/>
      </c>
      <c r="AB1016" s="50" t="str">
        <f>IFERROR(INDEX(DraftResults[[#All],[Team Name]],MATCH(Table5[[#This Row],[PID]],DraftResults[[#All],[Player ID]],0)),"")</f>
        <v/>
      </c>
      <c r="AC1016" s="50" t="str">
        <f>IF(Table5[[#This Row],[Ovr]]="","",IF(Table5[[#This Row],[cmbList]]="","",Table5[[#This Row],[cmbList]]-Table5[[#This Row],[Ovr]]))</f>
        <v/>
      </c>
      <c r="AD1016" s="54" t="str">
        <f>IF(ISERROR(VLOOKUP($AB1016&amp;"-"&amp;$E1016&amp;" "&amp;F1016,Bonuses!$B$1:$G$1006,4,FALSE)),"",INT(VLOOKUP($AB1016&amp;"-"&amp;$E1016&amp;" "&amp;$F1016,Bonuses!$B$1:$G$1006,4,FALSE)))</f>
        <v/>
      </c>
      <c r="AE10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7" spans="1:31" s="50" customFormat="1" x14ac:dyDescent="0.25">
      <c r="A1017" s="68">
        <v>17966</v>
      </c>
      <c r="B1017" s="69">
        <f>COUNTIF(Table5[PID],A1017)</f>
        <v>1</v>
      </c>
      <c r="C1017" s="69" t="str">
        <f>IF(COUNTIF(Table3[[#All],[PID]],A1017)&gt;0,"P","B")</f>
        <v>P</v>
      </c>
      <c r="D1017" s="59" t="str">
        <f>IF($C1017="B",INDEX(Batters[[#All],[POS]],MATCH(Table5[[#This Row],[PID]],Batters[[#All],[PID]],0)),INDEX(Table3[[#All],[POS]],MATCH(Table5[[#This Row],[PID]],Table3[[#All],[PID]],0)))</f>
        <v>SP</v>
      </c>
      <c r="E1017" s="52" t="str">
        <f>IF($C1017="B",INDEX(Batters[[#All],[First]],MATCH(Table5[[#This Row],[PID]],Batters[[#All],[PID]],0)),INDEX(Table3[[#All],[First]],MATCH(Table5[[#This Row],[PID]],Table3[[#All],[PID]],0)))</f>
        <v>Scott</v>
      </c>
      <c r="F1017" s="55" t="str">
        <f>IF($C1017="B",INDEX(Batters[[#All],[Last]],MATCH(A1017,Batters[[#All],[PID]],0)),INDEX(Table3[[#All],[Last]],MATCH(A1017,Table3[[#All],[PID]],0)))</f>
        <v>O'Rorke</v>
      </c>
      <c r="G1017" s="56">
        <f>IF($C1017="B",INDEX(Batters[[#All],[Age]],MATCH(Table5[[#This Row],[PID]],Batters[[#All],[PID]],0)),INDEX(Table3[[#All],[Age]],MATCH(Table5[[#This Row],[PID]],Table3[[#All],[PID]],0)))</f>
        <v>21</v>
      </c>
      <c r="H1017" s="52" t="str">
        <f>IF($C1017="B",INDEX(Batters[[#All],[B]],MATCH(Table5[[#This Row],[PID]],Batters[[#All],[PID]],0)),INDEX(Table3[[#All],[B]],MATCH(Table5[[#This Row],[PID]],Table3[[#All],[PID]],0)))</f>
        <v>L</v>
      </c>
      <c r="I1017" s="52" t="str">
        <f>IF($C1017="B",INDEX(Batters[[#All],[T]],MATCH(Table5[[#This Row],[PID]],Batters[[#All],[PID]],0)),INDEX(Table3[[#All],[T]],MATCH(Table5[[#This Row],[PID]],Table3[[#All],[PID]],0)))</f>
        <v>L</v>
      </c>
      <c r="J1017" s="71" t="str">
        <f>IF($C1017="B",INDEX(Batters[[#All],[WE]],MATCH(Table5[[#This Row],[PID]],Batters[[#All],[PID]],0)),INDEX(Table3[[#All],[WE]],MATCH(Table5[[#This Row],[PID]],Table3[[#All],[PID]],0)))</f>
        <v>Normal</v>
      </c>
      <c r="K1017" s="52" t="str">
        <f>IF($C1017="B",INDEX(Batters[[#All],[INT]],MATCH(Table5[[#This Row],[PID]],Batters[[#All],[PID]],0)),INDEX(Table3[[#All],[INT]],MATCH(Table5[[#This Row],[PID]],Table3[[#All],[PID]],0)))</f>
        <v>Normal</v>
      </c>
      <c r="L1017" s="60">
        <f>IF($C1017="B",INDEX(Batters[[#All],[CON P]],MATCH(Table5[[#This Row],[PID]],Batters[[#All],[PID]],0)),INDEX(Table3[[#All],[STU P]],MATCH(Table5[[#This Row],[PID]],Table3[[#All],[PID]],0)))</f>
        <v>4</v>
      </c>
      <c r="M1017" s="72">
        <f>IF($C1017="B",INDEX(Batters[[#All],[GAP P]],MATCH(Table5[[#This Row],[PID]],Batters[[#All],[PID]],0)),INDEX(Table3[[#All],[MOV P]],MATCH(Table5[[#This Row],[PID]],Table3[[#All],[PID]],0)))</f>
        <v>2</v>
      </c>
      <c r="N1017" s="72">
        <f>IF($C1017="B",INDEX(Batters[[#All],[POW P]],MATCH(Table5[[#This Row],[PID]],Batters[[#All],[PID]],0)),INDEX(Table3[[#All],[CON P]],MATCH(Table5[[#This Row],[PID]],Table3[[#All],[PID]],0)))</f>
        <v>2</v>
      </c>
      <c r="O1017" s="72" t="str">
        <f>IF($C1017="B",INDEX(Batters[[#All],[EYE P]],MATCH(Table5[[#This Row],[PID]],Batters[[#All],[PID]],0)),INDEX(Table3[[#All],[VELO]],MATCH(Table5[[#This Row],[PID]],Table3[[#All],[PID]],0)))</f>
        <v>91-93 Mph</v>
      </c>
      <c r="P1017" s="56">
        <f>IF($C1017="B",INDEX(Batters[[#All],[K P]],MATCH(Table5[[#This Row],[PID]],Batters[[#All],[PID]],0)),INDEX(Table3[[#All],[STM]],MATCH(Table5[[#This Row],[PID]],Table3[[#All],[PID]],0)))</f>
        <v>4</v>
      </c>
      <c r="Q1017" s="61">
        <f>IF($C1017="B",INDEX(Batters[[#All],[Tot]],MATCH(Table5[[#This Row],[PID]],Batters[[#All],[PID]],0)),INDEX(Table3[[#All],[Tot]],MATCH(Table5[[#This Row],[PID]],Table3[[#All],[PID]],0)))</f>
        <v>26.099239979406651</v>
      </c>
      <c r="R1017" s="52">
        <f>IF($C1017="B",INDEX(Batters[[#All],[zScore]],MATCH(Table5[[#This Row],[PID]],Batters[[#All],[PID]],0)),INDEX(Table3[[#All],[zScore]],MATCH(Table5[[#This Row],[PID]],Table3[[#All],[PID]],0)))</f>
        <v>-0.65006873022229217</v>
      </c>
      <c r="S1017" s="78" t="str">
        <f>IF($C1017="B",INDEX(Batters[[#All],[DEM]],MATCH(Table5[[#This Row],[PID]],Batters[[#All],[PID]],0)),INDEX(Table3[[#All],[DEM]],MATCH(Table5[[#This Row],[PID]],Table3[[#All],[PID]],0)))</f>
        <v>-</v>
      </c>
      <c r="T1017" s="75">
        <f>IF($C1017="B",INDEX(Batters[[#All],[Rnk]],MATCH(Table5[[#This Row],[PID]],Batters[[#All],[PID]],0)),INDEX(Table3[[#All],[Rnk]],MATCH(Table5[[#This Row],[PID]],Table3[[#All],[PID]],0)))</f>
        <v>583</v>
      </c>
      <c r="U1017" s="68">
        <f>IF($C1017="B",VLOOKUP($A1017,Bat!$A$4:$BA$1621,47,FALSE),VLOOKUP($A1017,Pit!$A$4:$BF$1557,56,FALSE))</f>
        <v>0</v>
      </c>
      <c r="V1017" s="50">
        <f>IF($C1017="B",VLOOKUP($A1017,Bat!$A$4:$BA$1621,48,FALSE),VLOOKUP($A1017,Pit!$A$4:$BF$1557,57,FALSE))</f>
        <v>0</v>
      </c>
      <c r="W1017" s="69">
        <f>Table5[[#This Row],[posRnk]]+Table5[[#This Row],[zRnk]]+IF($W$3&lt;&gt;Table5[[#This Row],[Type]],50,0)</f>
        <v>1582</v>
      </c>
      <c r="X1017" s="73">
        <f>RANK(Table5[[#This Row],[zScore]],Table5[[#All],[zScore]])</f>
        <v>949</v>
      </c>
      <c r="Y1017" s="69" t="str">
        <f>IFERROR(INDEX(DraftResults[[#All],[OVR]],MATCH(Table5[[#This Row],[PID]],DraftResults[[#All],[Player ID]],0)),"")</f>
        <v/>
      </c>
      <c r="Z101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7" s="69" t="str">
        <f>IFERROR(INDEX(DraftResults[[#All],[Pick in Round]],MATCH(Table5[[#This Row],[PID]],DraftResults[[#All],[Player ID]],0)),"")</f>
        <v/>
      </c>
      <c r="AB1017" s="69" t="str">
        <f>IFERROR(INDEX(DraftResults[[#All],[Team Name]],MATCH(Table5[[#This Row],[PID]],DraftResults[[#All],[Player ID]],0)),"")</f>
        <v/>
      </c>
      <c r="AC1017" s="69" t="str">
        <f>IF(Table5[[#This Row],[Ovr]]="","",IF(Table5[[#This Row],[cmbList]]="","",Table5[[#This Row],[cmbList]]-Table5[[#This Row],[Ovr]]))</f>
        <v/>
      </c>
      <c r="AD1017" s="77" t="str">
        <f>IF(ISERROR(VLOOKUP($AB1017&amp;"-"&amp;$E1017&amp;" "&amp;F1017,Bonuses!$B$1:$G$1006,4,FALSE)),"",INT(VLOOKUP($AB1017&amp;"-"&amp;$E1017&amp;" "&amp;$F1017,Bonuses!$B$1:$G$1006,4,FALSE)))</f>
        <v/>
      </c>
      <c r="AE101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8" spans="1:31" s="50" customFormat="1" x14ac:dyDescent="0.25">
      <c r="A1018" s="50">
        <v>6026</v>
      </c>
      <c r="B1018" s="50">
        <f>COUNTIF(Table5[PID],A1018)</f>
        <v>1</v>
      </c>
      <c r="C1018" s="50" t="str">
        <f>IF(COUNTIF(Table3[[#All],[PID]],A1018)&gt;0,"P","B")</f>
        <v>P</v>
      </c>
      <c r="D1018" s="59" t="str">
        <f>IF($C1018="B",INDEX(Batters[[#All],[POS]],MATCH(Table5[[#This Row],[PID]],Batters[[#All],[PID]],0)),INDEX(Table3[[#All],[POS]],MATCH(Table5[[#This Row],[PID]],Table3[[#All],[PID]],0)))</f>
        <v>RP</v>
      </c>
      <c r="E1018" s="52" t="str">
        <f>IF($C1018="B",INDEX(Batters[[#All],[First]],MATCH(Table5[[#This Row],[PID]],Batters[[#All],[PID]],0)),INDEX(Table3[[#All],[First]],MATCH(Table5[[#This Row],[PID]],Table3[[#All],[PID]],0)))</f>
        <v>Bill</v>
      </c>
      <c r="F1018" s="50" t="str">
        <f>IF($C1018="B",INDEX(Batters[[#All],[Last]],MATCH(A1018,Batters[[#All],[PID]],0)),INDEX(Table3[[#All],[Last]],MATCH(A1018,Table3[[#All],[PID]],0)))</f>
        <v>George</v>
      </c>
      <c r="G1018" s="56">
        <f>IF($C1018="B",INDEX(Batters[[#All],[Age]],MATCH(Table5[[#This Row],[PID]],Batters[[#All],[PID]],0)),INDEX(Table3[[#All],[Age]],MATCH(Table5[[#This Row],[PID]],Table3[[#All],[PID]],0)))</f>
        <v>21</v>
      </c>
      <c r="H1018" s="52" t="str">
        <f>IF($C1018="B",INDEX(Batters[[#All],[B]],MATCH(Table5[[#This Row],[PID]],Batters[[#All],[PID]],0)),INDEX(Table3[[#All],[B]],MATCH(Table5[[#This Row],[PID]],Table3[[#All],[PID]],0)))</f>
        <v>S</v>
      </c>
      <c r="I1018" s="52" t="str">
        <f>IF($C1018="B",INDEX(Batters[[#All],[T]],MATCH(Table5[[#This Row],[PID]],Batters[[#All],[PID]],0)),INDEX(Table3[[#All],[T]],MATCH(Table5[[#This Row],[PID]],Table3[[#All],[PID]],0)))</f>
        <v>R</v>
      </c>
      <c r="J1018" s="52" t="str">
        <f>IF($C1018="B",INDEX(Batters[[#All],[WE]],MATCH(Table5[[#This Row],[PID]],Batters[[#All],[PID]],0)),INDEX(Table3[[#All],[WE]],MATCH(Table5[[#This Row],[PID]],Table3[[#All],[PID]],0)))</f>
        <v>Low</v>
      </c>
      <c r="K1018" s="52" t="str">
        <f>IF($C1018="B",INDEX(Batters[[#All],[INT]],MATCH(Table5[[#This Row],[PID]],Batters[[#All],[PID]],0)),INDEX(Table3[[#All],[INT]],MATCH(Table5[[#This Row],[PID]],Table3[[#All],[PID]],0)))</f>
        <v>Normal</v>
      </c>
      <c r="L1018" s="60">
        <f>IF($C1018="B",INDEX(Batters[[#All],[CON P]],MATCH(Table5[[#This Row],[PID]],Batters[[#All],[PID]],0)),INDEX(Table3[[#All],[STU P]],MATCH(Table5[[#This Row],[PID]],Table3[[#All],[PID]],0)))</f>
        <v>4</v>
      </c>
      <c r="M1018" s="56">
        <f>IF($C1018="B",INDEX(Batters[[#All],[GAP P]],MATCH(Table5[[#This Row],[PID]],Batters[[#All],[PID]],0)),INDEX(Table3[[#All],[MOV P]],MATCH(Table5[[#This Row],[PID]],Table3[[#All],[PID]],0)))</f>
        <v>1</v>
      </c>
      <c r="N1018" s="56">
        <f>IF($C1018="B",INDEX(Batters[[#All],[POW P]],MATCH(Table5[[#This Row],[PID]],Batters[[#All],[PID]],0)),INDEX(Table3[[#All],[CON P]],MATCH(Table5[[#This Row],[PID]],Table3[[#All],[PID]],0)))</f>
        <v>3</v>
      </c>
      <c r="O1018" s="56" t="str">
        <f>IF($C1018="B",INDEX(Batters[[#All],[EYE P]],MATCH(Table5[[#This Row],[PID]],Batters[[#All],[PID]],0)),INDEX(Table3[[#All],[VELO]],MATCH(Table5[[#This Row],[PID]],Table3[[#All],[PID]],0)))</f>
        <v>85-87 Mph</v>
      </c>
      <c r="P1018" s="56">
        <f>IF($C1018="B",INDEX(Batters[[#All],[K P]],MATCH(Table5[[#This Row],[PID]],Batters[[#All],[PID]],0)),INDEX(Table3[[#All],[STM]],MATCH(Table5[[#This Row],[PID]],Table3[[#All],[PID]],0)))</f>
        <v>5</v>
      </c>
      <c r="Q1018" s="61">
        <f>IF($C1018="B",INDEX(Batters[[#All],[Tot]],MATCH(Table5[[#This Row],[PID]],Batters[[#All],[PID]],0)),INDEX(Table3[[#All],[Tot]],MATCH(Table5[[#This Row],[PID]],Table3[[#All],[PID]],0)))</f>
        <v>26.057792125873107</v>
      </c>
      <c r="R1018" s="52">
        <f>IF($C1018="B",INDEX(Batters[[#All],[zScore]],MATCH(Table5[[#This Row],[PID]],Batters[[#All],[PID]],0)),INDEX(Table3[[#All],[zScore]],MATCH(Table5[[#This Row],[PID]],Table3[[#All],[PID]],0)))</f>
        <v>-0.65282619258104746</v>
      </c>
      <c r="S1018" s="58" t="str">
        <f>IF($C1018="B",INDEX(Batters[[#All],[DEM]],MATCH(Table5[[#This Row],[PID]],Batters[[#All],[PID]],0)),INDEX(Table3[[#All],[DEM]],MATCH(Table5[[#This Row],[PID]],Table3[[#All],[PID]],0)))</f>
        <v>$20k</v>
      </c>
      <c r="T1018" s="62">
        <f>IF($C1018="B",INDEX(Batters[[#All],[Rnk]],MATCH(Table5[[#This Row],[PID]],Batters[[#All],[PID]],0)),INDEX(Table3[[#All],[Rnk]],MATCH(Table5[[#This Row],[PID]],Table3[[#All],[PID]],0)))</f>
        <v>584</v>
      </c>
      <c r="U1018" s="68">
        <f>IF($C1018="B",VLOOKUP($A1018,Bat!$A$4:$BA$1621,47,FALSE),VLOOKUP($A1018,Pit!$A$4:$BF$1557,56,FALSE))</f>
        <v>0</v>
      </c>
      <c r="V1018" s="50">
        <f>IF($C1018="B",VLOOKUP($A1018,Bat!$A$4:$BA$1621,48,FALSE),VLOOKUP($A1018,Pit!$A$4:$BF$1557,57,FALSE))</f>
        <v>0</v>
      </c>
      <c r="W1018" s="50">
        <f>Table5[[#This Row],[posRnk]]+Table5[[#This Row],[zRnk]]+IF($W$3&lt;&gt;Table5[[#This Row],[Type]],50,0)</f>
        <v>1584</v>
      </c>
      <c r="X1018" s="51">
        <f>RANK(Table5[[#This Row],[zScore]],Table5[[#All],[zScore]])</f>
        <v>950</v>
      </c>
      <c r="Y1018" s="50" t="str">
        <f>IFERROR(INDEX(DraftResults[[#All],[OVR]],MATCH(Table5[[#This Row],[PID]],DraftResults[[#All],[Player ID]],0)),"")</f>
        <v/>
      </c>
      <c r="Z10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8" s="50" t="str">
        <f>IFERROR(INDEX(DraftResults[[#All],[Pick in Round]],MATCH(Table5[[#This Row],[PID]],DraftResults[[#All],[Player ID]],0)),"")</f>
        <v/>
      </c>
      <c r="AB1018" s="50" t="str">
        <f>IFERROR(INDEX(DraftResults[[#All],[Team Name]],MATCH(Table5[[#This Row],[PID]],DraftResults[[#All],[Player ID]],0)),"")</f>
        <v/>
      </c>
      <c r="AC1018" s="50" t="str">
        <f>IF(Table5[[#This Row],[Ovr]]="","",IF(Table5[[#This Row],[cmbList]]="","",Table5[[#This Row],[cmbList]]-Table5[[#This Row],[Ovr]]))</f>
        <v/>
      </c>
      <c r="AD1018" s="54" t="str">
        <f>IF(ISERROR(VLOOKUP($AB1018&amp;"-"&amp;$E1018&amp;" "&amp;F1018,Bonuses!$B$1:$G$1006,4,FALSE)),"",INT(VLOOKUP($AB1018&amp;"-"&amp;$E1018&amp;" "&amp;$F1018,Bonuses!$B$1:$G$1006,4,FALSE)))</f>
        <v/>
      </c>
      <c r="AE10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19" spans="1:31" s="50" customFormat="1" x14ac:dyDescent="0.25">
      <c r="A1019" s="50">
        <v>18360</v>
      </c>
      <c r="B1019" s="55">
        <f>COUNTIF(Table5[PID],A1019)</f>
        <v>1</v>
      </c>
      <c r="C1019" s="55" t="str">
        <f>IF(COUNTIF(Table3[[#All],[PID]],A1019)&gt;0,"P","B")</f>
        <v>B</v>
      </c>
      <c r="D1019" s="59" t="str">
        <f>IF($C1019="B",INDEX(Batters[[#All],[POS]],MATCH(Table5[[#This Row],[PID]],Batters[[#All],[PID]],0)),INDEX(Table3[[#All],[POS]],MATCH(Table5[[#This Row],[PID]],Table3[[#All],[PID]],0)))</f>
        <v>CF</v>
      </c>
      <c r="E1019" s="52" t="str">
        <f>IF($C1019="B",INDEX(Batters[[#All],[First]],MATCH(Table5[[#This Row],[PID]],Batters[[#All],[PID]],0)),INDEX(Table3[[#All],[First]],MATCH(Table5[[#This Row],[PID]],Table3[[#All],[PID]],0)))</f>
        <v>Ken</v>
      </c>
      <c r="F1019" s="50" t="str">
        <f>IF($C1019="B",INDEX(Batters[[#All],[Last]],MATCH(A1019,Batters[[#All],[PID]],0)),INDEX(Table3[[#All],[Last]],MATCH(A1019,Table3[[#All],[PID]],0)))</f>
        <v>Bloom</v>
      </c>
      <c r="G1019" s="56">
        <f>IF($C1019="B",INDEX(Batters[[#All],[Age]],MATCH(Table5[[#This Row],[PID]],Batters[[#All],[PID]],0)),INDEX(Table3[[#All],[Age]],MATCH(Table5[[#This Row],[PID]],Table3[[#All],[PID]],0)))</f>
        <v>18</v>
      </c>
      <c r="H1019" s="52" t="str">
        <f>IF($C1019="B",INDEX(Batters[[#All],[B]],MATCH(Table5[[#This Row],[PID]],Batters[[#All],[PID]],0)),INDEX(Table3[[#All],[B]],MATCH(Table5[[#This Row],[PID]],Table3[[#All],[PID]],0)))</f>
        <v>R</v>
      </c>
      <c r="I1019" s="52" t="str">
        <f>IF($C1019="B",INDEX(Batters[[#All],[T]],MATCH(Table5[[#This Row],[PID]],Batters[[#All],[PID]],0)),INDEX(Table3[[#All],[T]],MATCH(Table5[[#This Row],[PID]],Table3[[#All],[PID]],0)))</f>
        <v>L</v>
      </c>
      <c r="J1019" s="52" t="str">
        <f>IF($C1019="B",INDEX(Batters[[#All],[WE]],MATCH(Table5[[#This Row],[PID]],Batters[[#All],[PID]],0)),INDEX(Table3[[#All],[WE]],MATCH(Table5[[#This Row],[PID]],Table3[[#All],[PID]],0)))</f>
        <v>Low</v>
      </c>
      <c r="K1019" s="52" t="str">
        <f>IF($C1019="B",INDEX(Batters[[#All],[INT]],MATCH(Table5[[#This Row],[PID]],Batters[[#All],[PID]],0)),INDEX(Table3[[#All],[INT]],MATCH(Table5[[#This Row],[PID]],Table3[[#All],[PID]],0)))</f>
        <v>Normal</v>
      </c>
      <c r="L1019" s="60">
        <f>IF($C1019="B",INDEX(Batters[[#All],[CON P]],MATCH(Table5[[#This Row],[PID]],Batters[[#All],[PID]],0)),INDEX(Table3[[#All],[STU P]],MATCH(Table5[[#This Row],[PID]],Table3[[#All],[PID]],0)))</f>
        <v>3</v>
      </c>
      <c r="M1019" s="56">
        <f>IF($C1019="B",INDEX(Batters[[#All],[GAP P]],MATCH(Table5[[#This Row],[PID]],Batters[[#All],[PID]],0)),INDEX(Table3[[#All],[MOV P]],MATCH(Table5[[#This Row],[PID]],Table3[[#All],[PID]],0)))</f>
        <v>4</v>
      </c>
      <c r="N1019" s="56">
        <f>IF($C1019="B",INDEX(Batters[[#All],[POW P]],MATCH(Table5[[#This Row],[PID]],Batters[[#All],[PID]],0)),INDEX(Table3[[#All],[CON P]],MATCH(Table5[[#This Row],[PID]],Table3[[#All],[PID]],0)))</f>
        <v>2</v>
      </c>
      <c r="O1019" s="56">
        <f>IF($C1019="B",INDEX(Batters[[#All],[EYE P]],MATCH(Table5[[#This Row],[PID]],Batters[[#All],[PID]],0)),INDEX(Table3[[#All],[VELO]],MATCH(Table5[[#This Row],[PID]],Table3[[#All],[PID]],0)))</f>
        <v>5</v>
      </c>
      <c r="P1019" s="56">
        <f>IF($C1019="B",INDEX(Batters[[#All],[K P]],MATCH(Table5[[#This Row],[PID]],Batters[[#All],[PID]],0)),INDEX(Table3[[#All],[STM]],MATCH(Table5[[#This Row],[PID]],Table3[[#All],[PID]],0)))</f>
        <v>4</v>
      </c>
      <c r="Q1019" s="61">
        <f>IF($C1019="B",INDEX(Batters[[#All],[Tot]],MATCH(Table5[[#This Row],[PID]],Batters[[#All],[PID]],0)),INDEX(Table3[[#All],[Tot]],MATCH(Table5[[#This Row],[PID]],Table3[[#All],[PID]],0)))</f>
        <v>41.174708856750826</v>
      </c>
      <c r="R1019" s="52">
        <f>IF($C1019="B",INDEX(Batters[[#All],[zScore]],MATCH(Table5[[#This Row],[PID]],Batters[[#All],[PID]],0)),INDEX(Table3[[#All],[zScore]],MATCH(Table5[[#This Row],[PID]],Table3[[#All],[PID]],0)))</f>
        <v>-0.65563807177009958</v>
      </c>
      <c r="S1019" s="58" t="str">
        <f>IF($C1019="B",INDEX(Batters[[#All],[DEM]],MATCH(Table5[[#This Row],[PID]],Batters[[#All],[PID]],0)),INDEX(Table3[[#All],[DEM]],MATCH(Table5[[#This Row],[PID]],Table3[[#All],[PID]],0)))</f>
        <v>$90k</v>
      </c>
      <c r="T1019" s="62">
        <f>IF($C1019="B",INDEX(Batters[[#All],[Rnk]],MATCH(Table5[[#This Row],[PID]],Batters[[#All],[PID]],0)),INDEX(Table3[[#All],[Rnk]],MATCH(Table5[[#This Row],[PID]],Table3[[#All],[PID]],0)))</f>
        <v>366</v>
      </c>
      <c r="U1019" s="68">
        <f>IF($C1019="B",VLOOKUP($A1019,Bat!$A$4:$BA$1621,47,FALSE),VLOOKUP($A1019,Pit!$A$4:$BF$1557,56,FALSE))</f>
        <v>0</v>
      </c>
      <c r="V1019" s="50">
        <f>IF($C1019="B",VLOOKUP($A1019,Bat!$A$4:$BA$1621,48,FALSE),VLOOKUP($A1019,Pit!$A$4:$BF$1557,57,FALSE))</f>
        <v>0</v>
      </c>
      <c r="W1019" s="50">
        <f>Table5[[#This Row],[posRnk]]+Table5[[#This Row],[zRnk]]+IF($W$3&lt;&gt;Table5[[#This Row],[Type]],50,0)</f>
        <v>1368</v>
      </c>
      <c r="X1019" s="51">
        <f>RANK(Table5[[#This Row],[zScore]],Table5[[#All],[zScore]])</f>
        <v>952</v>
      </c>
      <c r="Y1019" s="50" t="str">
        <f>IFERROR(INDEX(DraftResults[[#All],[OVR]],MATCH(Table5[[#This Row],[PID]],DraftResults[[#All],[Player ID]],0)),"")</f>
        <v/>
      </c>
      <c r="Z10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19" s="50" t="str">
        <f>IFERROR(INDEX(DraftResults[[#All],[Pick in Round]],MATCH(Table5[[#This Row],[PID]],DraftResults[[#All],[Player ID]],0)),"")</f>
        <v/>
      </c>
      <c r="AB1019" s="50" t="str">
        <f>IFERROR(INDEX(DraftResults[[#All],[Team Name]],MATCH(Table5[[#This Row],[PID]],DraftResults[[#All],[Player ID]],0)),"")</f>
        <v/>
      </c>
      <c r="AC1019" s="50" t="str">
        <f>IF(Table5[[#This Row],[Ovr]]="","",IF(Table5[[#This Row],[cmbList]]="","",Table5[[#This Row],[cmbList]]-Table5[[#This Row],[Ovr]]))</f>
        <v/>
      </c>
      <c r="AD1019" s="54" t="str">
        <f>IF(ISERROR(VLOOKUP($AB1019&amp;"-"&amp;$E1019&amp;" "&amp;F1019,Bonuses!$B$1:$G$1006,4,FALSE)),"",INT(VLOOKUP($AB1019&amp;"-"&amp;$E1019&amp;" "&amp;$F1019,Bonuses!$B$1:$G$1006,4,FALSE)))</f>
        <v/>
      </c>
      <c r="AE10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0" spans="1:31" s="50" customFormat="1" x14ac:dyDescent="0.25">
      <c r="A1020" s="68">
        <v>9706</v>
      </c>
      <c r="B1020" s="69">
        <f>COUNTIF(Table5[PID],A1020)</f>
        <v>1</v>
      </c>
      <c r="C1020" s="69" t="str">
        <f>IF(COUNTIF(Table3[[#All],[PID]],A1020)&gt;0,"P","B")</f>
        <v>P</v>
      </c>
      <c r="D1020" s="59" t="str">
        <f>IF($C1020="B",INDEX(Batters[[#All],[POS]],MATCH(Table5[[#This Row],[PID]],Batters[[#All],[PID]],0)),INDEX(Table3[[#All],[POS]],MATCH(Table5[[#This Row],[PID]],Table3[[#All],[PID]],0)))</f>
        <v>SP</v>
      </c>
      <c r="E1020" s="52" t="str">
        <f>IF($C1020="B",INDEX(Batters[[#All],[First]],MATCH(Table5[[#This Row],[PID]],Batters[[#All],[PID]],0)),INDEX(Table3[[#All],[First]],MATCH(Table5[[#This Row],[PID]],Table3[[#All],[PID]],0)))</f>
        <v>Gunnar</v>
      </c>
      <c r="F1020" s="55" t="str">
        <f>IF($C1020="B",INDEX(Batters[[#All],[Last]],MATCH(A1020,Batters[[#All],[PID]],0)),INDEX(Table3[[#All],[Last]],MATCH(A1020,Table3[[#All],[PID]],0)))</f>
        <v>Hicks</v>
      </c>
      <c r="G1020" s="56">
        <f>IF($C1020="B",INDEX(Batters[[#All],[Age]],MATCH(Table5[[#This Row],[PID]],Batters[[#All],[PID]],0)),INDEX(Table3[[#All],[Age]],MATCH(Table5[[#This Row],[PID]],Table3[[#All],[PID]],0)))</f>
        <v>22</v>
      </c>
      <c r="H1020" s="52" t="str">
        <f>IF($C1020="B",INDEX(Batters[[#All],[B]],MATCH(Table5[[#This Row],[PID]],Batters[[#All],[PID]],0)),INDEX(Table3[[#All],[B]],MATCH(Table5[[#This Row],[PID]],Table3[[#All],[PID]],0)))</f>
        <v>R</v>
      </c>
      <c r="I1020" s="52" t="str">
        <f>IF($C1020="B",INDEX(Batters[[#All],[T]],MATCH(Table5[[#This Row],[PID]],Batters[[#All],[PID]],0)),INDEX(Table3[[#All],[T]],MATCH(Table5[[#This Row],[PID]],Table3[[#All],[PID]],0)))</f>
        <v>R</v>
      </c>
      <c r="J1020" s="71" t="str">
        <f>IF($C1020="B",INDEX(Batters[[#All],[WE]],MATCH(Table5[[#This Row],[PID]],Batters[[#All],[PID]],0)),INDEX(Table3[[#All],[WE]],MATCH(Table5[[#This Row],[PID]],Table3[[#All],[PID]],0)))</f>
        <v>High</v>
      </c>
      <c r="K1020" s="52" t="str">
        <f>IF($C1020="B",INDEX(Batters[[#All],[INT]],MATCH(Table5[[#This Row],[PID]],Batters[[#All],[PID]],0)),INDEX(Table3[[#All],[INT]],MATCH(Table5[[#This Row],[PID]],Table3[[#All],[PID]],0)))</f>
        <v>Normal</v>
      </c>
      <c r="L1020" s="60">
        <f>IF($C1020="B",INDEX(Batters[[#All],[CON P]],MATCH(Table5[[#This Row],[PID]],Batters[[#All],[PID]],0)),INDEX(Table3[[#All],[STU P]],MATCH(Table5[[#This Row],[PID]],Table3[[#All],[PID]],0)))</f>
        <v>4</v>
      </c>
      <c r="M1020" s="72">
        <f>IF($C1020="B",INDEX(Batters[[#All],[GAP P]],MATCH(Table5[[#This Row],[PID]],Batters[[#All],[PID]],0)),INDEX(Table3[[#All],[MOV P]],MATCH(Table5[[#This Row],[PID]],Table3[[#All],[PID]],0)))</f>
        <v>2</v>
      </c>
      <c r="N1020" s="72">
        <f>IF($C1020="B",INDEX(Batters[[#All],[POW P]],MATCH(Table5[[#This Row],[PID]],Batters[[#All],[PID]],0)),INDEX(Table3[[#All],[CON P]],MATCH(Table5[[#This Row],[PID]],Table3[[#All],[PID]],0)))</f>
        <v>2</v>
      </c>
      <c r="O1020" s="72" t="str">
        <f>IF($C1020="B",INDEX(Batters[[#All],[EYE P]],MATCH(Table5[[#This Row],[PID]],Batters[[#All],[PID]],0)),INDEX(Table3[[#All],[VELO]],MATCH(Table5[[#This Row],[PID]],Table3[[#All],[PID]],0)))</f>
        <v>92-94 Mph</v>
      </c>
      <c r="P1020" s="56">
        <f>IF($C1020="B",INDEX(Batters[[#All],[K P]],MATCH(Table5[[#This Row],[PID]],Batters[[#All],[PID]],0)),INDEX(Table3[[#All],[STM]],MATCH(Table5[[#This Row],[PID]],Table3[[#All],[PID]],0)))</f>
        <v>5</v>
      </c>
      <c r="Q1020" s="61">
        <f>IF($C1020="B",INDEX(Batters[[#All],[Tot]],MATCH(Table5[[#This Row],[PID]],Batters[[#All],[PID]],0)),INDEX(Table3[[#All],[Tot]],MATCH(Table5[[#This Row],[PID]],Table3[[#All],[PID]],0)))</f>
        <v>25.99910406819264</v>
      </c>
      <c r="R1020" s="52">
        <f>IF($C1020="B",INDEX(Batters[[#All],[zScore]],MATCH(Table5[[#This Row],[PID]],Batters[[#All],[PID]],0)),INDEX(Table3[[#All],[zScore]],MATCH(Table5[[#This Row],[PID]],Table3[[#All],[PID]],0)))</f>
        <v>-0.656730619376789</v>
      </c>
      <c r="S1020" s="78" t="str">
        <f>IF($C1020="B",INDEX(Batters[[#All],[DEM]],MATCH(Table5[[#This Row],[PID]],Batters[[#All],[PID]],0)),INDEX(Table3[[#All],[DEM]],MATCH(Table5[[#This Row],[PID]],Table3[[#All],[PID]],0)))</f>
        <v>-</v>
      </c>
      <c r="T1020" s="75">
        <f>IF($C1020="B",INDEX(Batters[[#All],[Rnk]],MATCH(Table5[[#This Row],[PID]],Batters[[#All],[PID]],0)),INDEX(Table3[[#All],[Rnk]],MATCH(Table5[[#This Row],[PID]],Table3[[#All],[PID]],0)))</f>
        <v>586</v>
      </c>
      <c r="U1020" s="68">
        <f>IF($C1020="B",VLOOKUP($A1020,Bat!$A$4:$BA$1621,47,FALSE),VLOOKUP($A1020,Pit!$A$4:$BF$1557,56,FALSE))</f>
        <v>0</v>
      </c>
      <c r="V1020" s="50">
        <f>IF($C1020="B",VLOOKUP($A1020,Bat!$A$4:$BA$1621,48,FALSE),VLOOKUP($A1020,Pit!$A$4:$BF$1557,57,FALSE))</f>
        <v>0</v>
      </c>
      <c r="W1020" s="69">
        <f>Table5[[#This Row],[posRnk]]+Table5[[#This Row],[zRnk]]+IF($W$3&lt;&gt;Table5[[#This Row],[Type]],50,0)</f>
        <v>1589</v>
      </c>
      <c r="X1020" s="73">
        <f>RANK(Table5[[#This Row],[zScore]],Table5[[#All],[zScore]])</f>
        <v>953</v>
      </c>
      <c r="Y1020" s="69" t="str">
        <f>IFERROR(INDEX(DraftResults[[#All],[OVR]],MATCH(Table5[[#This Row],[PID]],DraftResults[[#All],[Player ID]],0)),"")</f>
        <v/>
      </c>
      <c r="Z10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0" s="69" t="str">
        <f>IFERROR(INDEX(DraftResults[[#All],[Pick in Round]],MATCH(Table5[[#This Row],[PID]],DraftResults[[#All],[Player ID]],0)),"")</f>
        <v/>
      </c>
      <c r="AB1020" s="69" t="str">
        <f>IFERROR(INDEX(DraftResults[[#All],[Team Name]],MATCH(Table5[[#This Row],[PID]],DraftResults[[#All],[Player ID]],0)),"")</f>
        <v/>
      </c>
      <c r="AC1020" s="69" t="str">
        <f>IF(Table5[[#This Row],[Ovr]]="","",IF(Table5[[#This Row],[cmbList]]="","",Table5[[#This Row],[cmbList]]-Table5[[#This Row],[Ovr]]))</f>
        <v/>
      </c>
      <c r="AD1020" s="77" t="str">
        <f>IF(ISERROR(VLOOKUP($AB1020&amp;"-"&amp;$E1020&amp;" "&amp;F1020,Bonuses!$B$1:$G$1006,4,FALSE)),"",INT(VLOOKUP($AB1020&amp;"-"&amp;$E1020&amp;" "&amp;$F1020,Bonuses!$B$1:$G$1006,4,FALSE)))</f>
        <v/>
      </c>
      <c r="AE10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1" spans="1:31" s="50" customFormat="1" x14ac:dyDescent="0.25">
      <c r="A1021" s="50">
        <v>18432</v>
      </c>
      <c r="B1021" s="55">
        <f>COUNTIF(Table5[PID],A1021)</f>
        <v>1</v>
      </c>
      <c r="C1021" s="55" t="str">
        <f>IF(COUNTIF(Table3[[#All],[PID]],A1021)&gt;0,"P","B")</f>
        <v>B</v>
      </c>
      <c r="D1021" s="59" t="str">
        <f>IF($C1021="B",INDEX(Batters[[#All],[POS]],MATCH(Table5[[#This Row],[PID]],Batters[[#All],[PID]],0)),INDEX(Table3[[#All],[POS]],MATCH(Table5[[#This Row],[PID]],Table3[[#All],[PID]],0)))</f>
        <v>C</v>
      </c>
      <c r="E1021" s="52" t="str">
        <f>IF($C1021="B",INDEX(Batters[[#All],[First]],MATCH(Table5[[#This Row],[PID]],Batters[[#All],[PID]],0)),INDEX(Table3[[#All],[First]],MATCH(Table5[[#This Row],[PID]],Table3[[#All],[PID]],0)))</f>
        <v>Kiyoshi</v>
      </c>
      <c r="F1021" s="50" t="str">
        <f>IF($C1021="B",INDEX(Batters[[#All],[Last]],MATCH(A1021,Batters[[#All],[PID]],0)),INDEX(Table3[[#All],[Last]],MATCH(A1021,Table3[[#All],[PID]],0)))</f>
        <v>Mizuno</v>
      </c>
      <c r="G1021" s="56">
        <f>IF($C1021="B",INDEX(Batters[[#All],[Age]],MATCH(Table5[[#This Row],[PID]],Batters[[#All],[PID]],0)),INDEX(Table3[[#All],[Age]],MATCH(Table5[[#This Row],[PID]],Table3[[#All],[PID]],0)))</f>
        <v>18</v>
      </c>
      <c r="H1021" s="52" t="str">
        <f>IF($C1021="B",INDEX(Batters[[#All],[B]],MATCH(Table5[[#This Row],[PID]],Batters[[#All],[PID]],0)),INDEX(Table3[[#All],[B]],MATCH(Table5[[#This Row],[PID]],Table3[[#All],[PID]],0)))</f>
        <v>S</v>
      </c>
      <c r="I1021" s="52" t="str">
        <f>IF($C1021="B",INDEX(Batters[[#All],[T]],MATCH(Table5[[#This Row],[PID]],Batters[[#All],[PID]],0)),INDEX(Table3[[#All],[T]],MATCH(Table5[[#This Row],[PID]],Table3[[#All],[PID]],0)))</f>
        <v>R</v>
      </c>
      <c r="J1021" s="52" t="str">
        <f>IF($C1021="B",INDEX(Batters[[#All],[WE]],MATCH(Table5[[#This Row],[PID]],Batters[[#All],[PID]],0)),INDEX(Table3[[#All],[WE]],MATCH(Table5[[#This Row],[PID]],Table3[[#All],[PID]],0)))</f>
        <v>High</v>
      </c>
      <c r="K1021" s="52" t="str">
        <f>IF($C1021="B",INDEX(Batters[[#All],[INT]],MATCH(Table5[[#This Row],[PID]],Batters[[#All],[PID]],0)),INDEX(Table3[[#All],[INT]],MATCH(Table5[[#This Row],[PID]],Table3[[#All],[PID]],0)))</f>
        <v>High</v>
      </c>
      <c r="L1021" s="60">
        <f>IF($C1021="B",INDEX(Batters[[#All],[CON P]],MATCH(Table5[[#This Row],[PID]],Batters[[#All],[PID]],0)),INDEX(Table3[[#All],[STU P]],MATCH(Table5[[#This Row],[PID]],Table3[[#All],[PID]],0)))</f>
        <v>3</v>
      </c>
      <c r="M1021" s="56">
        <f>IF($C1021="B",INDEX(Batters[[#All],[GAP P]],MATCH(Table5[[#This Row],[PID]],Batters[[#All],[PID]],0)),INDEX(Table3[[#All],[MOV P]],MATCH(Table5[[#This Row],[PID]],Table3[[#All],[PID]],0)))</f>
        <v>4</v>
      </c>
      <c r="N1021" s="56">
        <f>IF($C1021="B",INDEX(Batters[[#All],[POW P]],MATCH(Table5[[#This Row],[PID]],Batters[[#All],[PID]],0)),INDEX(Table3[[#All],[CON P]],MATCH(Table5[[#This Row],[PID]],Table3[[#All],[PID]],0)))</f>
        <v>3</v>
      </c>
      <c r="O1021" s="56">
        <f>IF($C1021="B",INDEX(Batters[[#All],[EYE P]],MATCH(Table5[[#This Row],[PID]],Batters[[#All],[PID]],0)),INDEX(Table3[[#All],[VELO]],MATCH(Table5[[#This Row],[PID]],Table3[[#All],[PID]],0)))</f>
        <v>4</v>
      </c>
      <c r="P1021" s="56">
        <f>IF($C1021="B",INDEX(Batters[[#All],[K P]],MATCH(Table5[[#This Row],[PID]],Batters[[#All],[PID]],0)),INDEX(Table3[[#All],[STM]],MATCH(Table5[[#This Row],[PID]],Table3[[#All],[PID]],0)))</f>
        <v>3</v>
      </c>
      <c r="Q1021" s="61">
        <f>IF($C1021="B",INDEX(Batters[[#All],[Tot]],MATCH(Table5[[#This Row],[PID]],Batters[[#All],[PID]],0)),INDEX(Table3[[#All],[Tot]],MATCH(Table5[[#This Row],[PID]],Table3[[#All],[PID]],0)))</f>
        <v>41.164736107117676</v>
      </c>
      <c r="R1021" s="52">
        <f>IF($C1021="B",INDEX(Batters[[#All],[zScore]],MATCH(Table5[[#This Row],[PID]],Batters[[#All],[PID]],0)),INDEX(Table3[[#All],[zScore]],MATCH(Table5[[#This Row],[PID]],Table3[[#All],[PID]],0)))</f>
        <v>-0.65784909777330036</v>
      </c>
      <c r="S1021" s="58" t="str">
        <f>IF($C1021="B",INDEX(Batters[[#All],[DEM]],MATCH(Table5[[#This Row],[PID]],Batters[[#All],[PID]],0)),INDEX(Table3[[#All],[DEM]],MATCH(Table5[[#This Row],[PID]],Table3[[#All],[PID]],0)))</f>
        <v>$75k</v>
      </c>
      <c r="T1021" s="62">
        <f>IF($C1021="B",INDEX(Batters[[#All],[Rnk]],MATCH(Table5[[#This Row],[PID]],Batters[[#All],[PID]],0)),INDEX(Table3[[#All],[Rnk]],MATCH(Table5[[#This Row],[PID]],Table3[[#All],[PID]],0)))</f>
        <v>367</v>
      </c>
      <c r="U1021" s="68">
        <f>IF($C1021="B",VLOOKUP($A1021,Bat!$A$4:$BA$1621,47,FALSE),VLOOKUP($A1021,Pit!$A$4:$BF$1557,56,FALSE))</f>
        <v>0</v>
      </c>
      <c r="V1021" s="50">
        <f>IF($C1021="B",VLOOKUP($A1021,Bat!$A$4:$BA$1621,48,FALSE),VLOOKUP($A1021,Pit!$A$4:$BF$1557,57,FALSE))</f>
        <v>0</v>
      </c>
      <c r="W1021" s="50">
        <f>Table5[[#This Row],[posRnk]]+Table5[[#This Row],[zRnk]]+IF($W$3&lt;&gt;Table5[[#This Row],[Type]],50,0)</f>
        <v>1371</v>
      </c>
      <c r="X1021" s="51">
        <f>RANK(Table5[[#This Row],[zScore]],Table5[[#All],[zScore]])</f>
        <v>954</v>
      </c>
      <c r="Y1021" s="50" t="str">
        <f>IFERROR(INDEX(DraftResults[[#All],[OVR]],MATCH(Table5[[#This Row],[PID]],DraftResults[[#All],[Player ID]],0)),"")</f>
        <v/>
      </c>
      <c r="Z10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1" s="50" t="str">
        <f>IFERROR(INDEX(DraftResults[[#All],[Pick in Round]],MATCH(Table5[[#This Row],[PID]],DraftResults[[#All],[Player ID]],0)),"")</f>
        <v/>
      </c>
      <c r="AB1021" s="50" t="str">
        <f>IFERROR(INDEX(DraftResults[[#All],[Team Name]],MATCH(Table5[[#This Row],[PID]],DraftResults[[#All],[Player ID]],0)),"")</f>
        <v/>
      </c>
      <c r="AC1021" s="50" t="str">
        <f>IF(Table5[[#This Row],[Ovr]]="","",IF(Table5[[#This Row],[cmbList]]="","",Table5[[#This Row],[cmbList]]-Table5[[#This Row],[Ovr]]))</f>
        <v/>
      </c>
      <c r="AD1021" s="54" t="str">
        <f>IF(ISERROR(VLOOKUP($AB1021&amp;"-"&amp;$E1021&amp;" "&amp;F1021,Bonuses!$B$1:$G$1006,4,FALSE)),"",INT(VLOOKUP($AB1021&amp;"-"&amp;$E1021&amp;" "&amp;$F1021,Bonuses!$B$1:$G$1006,4,FALSE)))</f>
        <v/>
      </c>
      <c r="AE10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2" spans="1:31" s="50" customFormat="1" x14ac:dyDescent="0.25">
      <c r="A1022" s="50">
        <v>18125</v>
      </c>
      <c r="B1022" s="50">
        <f>COUNTIF(Table5[PID],A1022)</f>
        <v>1</v>
      </c>
      <c r="C1022" s="50" t="str">
        <f>IF(COUNTIF(Table3[[#All],[PID]],A1022)&gt;0,"P","B")</f>
        <v>B</v>
      </c>
      <c r="D1022" s="59" t="str">
        <f>IF($C1022="B",INDEX(Batters[[#All],[POS]],MATCH(Table5[[#This Row],[PID]],Batters[[#All],[PID]],0)),INDEX(Table3[[#All],[POS]],MATCH(Table5[[#This Row],[PID]],Table3[[#All],[PID]],0)))</f>
        <v>LF</v>
      </c>
      <c r="E1022" s="52" t="str">
        <f>IF($C1022="B",INDEX(Batters[[#All],[First]],MATCH(Table5[[#This Row],[PID]],Batters[[#All],[PID]],0)),INDEX(Table3[[#All],[First]],MATCH(Table5[[#This Row],[PID]],Table3[[#All],[PID]],0)))</f>
        <v>Ken</v>
      </c>
      <c r="F1022" s="50" t="str">
        <f>IF($C1022="B",INDEX(Batters[[#All],[Last]],MATCH(A1022,Batters[[#All],[PID]],0)),INDEX(Table3[[#All],[Last]],MATCH(A1022,Table3[[#All],[PID]],0)))</f>
        <v>Johnstone</v>
      </c>
      <c r="G1022" s="56">
        <f>IF($C1022="B",INDEX(Batters[[#All],[Age]],MATCH(Table5[[#This Row],[PID]],Batters[[#All],[PID]],0)),INDEX(Table3[[#All],[Age]],MATCH(Table5[[#This Row],[PID]],Table3[[#All],[PID]],0)))</f>
        <v>21</v>
      </c>
      <c r="H1022" s="52" t="str">
        <f>IF($C1022="B",INDEX(Batters[[#All],[B]],MATCH(Table5[[#This Row],[PID]],Batters[[#All],[PID]],0)),INDEX(Table3[[#All],[B]],MATCH(Table5[[#This Row],[PID]],Table3[[#All],[PID]],0)))</f>
        <v>L</v>
      </c>
      <c r="I1022" s="52" t="str">
        <f>IF($C1022="B",INDEX(Batters[[#All],[T]],MATCH(Table5[[#This Row],[PID]],Batters[[#All],[PID]],0)),INDEX(Table3[[#All],[T]],MATCH(Table5[[#This Row],[PID]],Table3[[#All],[PID]],0)))</f>
        <v>R</v>
      </c>
      <c r="J1022" s="52" t="str">
        <f>IF($C1022="B",INDEX(Batters[[#All],[WE]],MATCH(Table5[[#This Row],[PID]],Batters[[#All],[PID]],0)),INDEX(Table3[[#All],[WE]],MATCH(Table5[[#This Row],[PID]],Table3[[#All],[PID]],0)))</f>
        <v>Low</v>
      </c>
      <c r="K1022" s="52" t="str">
        <f>IF($C1022="B",INDEX(Batters[[#All],[INT]],MATCH(Table5[[#This Row],[PID]],Batters[[#All],[PID]],0)),INDEX(Table3[[#All],[INT]],MATCH(Table5[[#This Row],[PID]],Table3[[#All],[PID]],0)))</f>
        <v>Normal</v>
      </c>
      <c r="L1022" s="60">
        <f>IF($C1022="B",INDEX(Batters[[#All],[CON P]],MATCH(Table5[[#This Row],[PID]],Batters[[#All],[PID]],0)),INDEX(Table3[[#All],[STU P]],MATCH(Table5[[#This Row],[PID]],Table3[[#All],[PID]],0)))</f>
        <v>4</v>
      </c>
      <c r="M1022" s="56">
        <f>IF($C1022="B",INDEX(Batters[[#All],[GAP P]],MATCH(Table5[[#This Row],[PID]],Batters[[#All],[PID]],0)),INDEX(Table3[[#All],[MOV P]],MATCH(Table5[[#This Row],[PID]],Table3[[#All],[PID]],0)))</f>
        <v>3</v>
      </c>
      <c r="N1022" s="56">
        <f>IF($C1022="B",INDEX(Batters[[#All],[POW P]],MATCH(Table5[[#This Row],[PID]],Batters[[#All],[PID]],0)),INDEX(Table3[[#All],[CON P]],MATCH(Table5[[#This Row],[PID]],Table3[[#All],[PID]],0)))</f>
        <v>4</v>
      </c>
      <c r="O1022" s="56">
        <f>IF($C1022="B",INDEX(Batters[[#All],[EYE P]],MATCH(Table5[[#This Row],[PID]],Batters[[#All],[PID]],0)),INDEX(Table3[[#All],[VELO]],MATCH(Table5[[#This Row],[PID]],Table3[[#All],[PID]],0)))</f>
        <v>5</v>
      </c>
      <c r="P1022" s="56">
        <f>IF($C1022="B",INDEX(Batters[[#All],[K P]],MATCH(Table5[[#This Row],[PID]],Batters[[#All],[PID]],0)),INDEX(Table3[[#All],[STM]],MATCH(Table5[[#This Row],[PID]],Table3[[#All],[PID]],0)))</f>
        <v>3</v>
      </c>
      <c r="Q1022" s="61">
        <f>IF($C1022="B",INDEX(Batters[[#All],[Tot]],MATCH(Table5[[#This Row],[PID]],Batters[[#All],[PID]],0)),INDEX(Table3[[#All],[Tot]],MATCH(Table5[[#This Row],[PID]],Table3[[#All],[PID]],0)))</f>
        <v>41.145472802550735</v>
      </c>
      <c r="R1022" s="52">
        <f>IF($C1022="B",INDEX(Batters[[#All],[zScore]],MATCH(Table5[[#This Row],[PID]],Batters[[#All],[PID]],0)),INDEX(Table3[[#All],[zScore]],MATCH(Table5[[#This Row],[PID]],Table3[[#All],[PID]],0)))</f>
        <v>-0.66211990260364584</v>
      </c>
      <c r="S1022" s="58" t="str">
        <f>IF($C1022="B",INDEX(Batters[[#All],[DEM]],MATCH(Table5[[#This Row],[PID]],Batters[[#All],[PID]],0)),INDEX(Table3[[#All],[DEM]],MATCH(Table5[[#This Row],[PID]],Table3[[#All],[PID]],0)))</f>
        <v>-</v>
      </c>
      <c r="T1022" s="62">
        <f>IF($C1022="B",INDEX(Batters[[#All],[Rnk]],MATCH(Table5[[#This Row],[PID]],Batters[[#All],[PID]],0)),INDEX(Table3[[#All],[Rnk]],MATCH(Table5[[#This Row],[PID]],Table3[[#All],[PID]],0)))</f>
        <v>370</v>
      </c>
      <c r="U1022" s="68">
        <f>IF($C1022="B",VLOOKUP($A1022,Bat!$A$4:$BA$1621,47,FALSE),VLOOKUP($A1022,Pit!$A$4:$BF$1557,56,FALSE))</f>
        <v>0</v>
      </c>
      <c r="V1022" s="50">
        <f>IF($C1022="B",VLOOKUP($A1022,Bat!$A$4:$BA$1621,48,FALSE),VLOOKUP($A1022,Pit!$A$4:$BF$1557,57,FALSE))</f>
        <v>0</v>
      </c>
      <c r="W1022" s="50">
        <f>Table5[[#This Row],[posRnk]]+Table5[[#This Row],[zRnk]]+IF($W$3&lt;&gt;Table5[[#This Row],[Type]],50,0)</f>
        <v>1377</v>
      </c>
      <c r="X1022" s="51">
        <f>RANK(Table5[[#This Row],[zScore]],Table5[[#All],[zScore]])</f>
        <v>957</v>
      </c>
      <c r="Y1022" s="50" t="str">
        <f>IFERROR(INDEX(DraftResults[[#All],[OVR]],MATCH(Table5[[#This Row],[PID]],DraftResults[[#All],[Player ID]],0)),"")</f>
        <v/>
      </c>
      <c r="Z10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2" s="50" t="str">
        <f>IFERROR(INDEX(DraftResults[[#All],[Pick in Round]],MATCH(Table5[[#This Row],[PID]],DraftResults[[#All],[Player ID]],0)),"")</f>
        <v/>
      </c>
      <c r="AB1022" s="50" t="str">
        <f>IFERROR(INDEX(DraftResults[[#All],[Team Name]],MATCH(Table5[[#This Row],[PID]],DraftResults[[#All],[Player ID]],0)),"")</f>
        <v/>
      </c>
      <c r="AC1022" s="50" t="str">
        <f>IF(Table5[[#This Row],[Ovr]]="","",IF(Table5[[#This Row],[cmbList]]="","",Table5[[#This Row],[cmbList]]-Table5[[#This Row],[Ovr]]))</f>
        <v/>
      </c>
      <c r="AD1022" s="54" t="str">
        <f>IF(ISERROR(VLOOKUP($AB1022&amp;"-"&amp;$E1022&amp;" "&amp;F1022,Bonuses!$B$1:$G$1006,4,FALSE)),"",INT(VLOOKUP($AB1022&amp;"-"&amp;$E1022&amp;" "&amp;$F1022,Bonuses!$B$1:$G$1006,4,FALSE)))</f>
        <v/>
      </c>
      <c r="AE10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3" spans="1:31" s="50" customFormat="1" x14ac:dyDescent="0.25">
      <c r="A1023" s="50">
        <v>7821</v>
      </c>
      <c r="B1023" s="50">
        <f>COUNTIF(Table5[PID],A1023)</f>
        <v>1</v>
      </c>
      <c r="C1023" s="50" t="str">
        <f>IF(COUNTIF(Table3[[#All],[PID]],A1023)&gt;0,"P","B")</f>
        <v>P</v>
      </c>
      <c r="D1023" s="59" t="str">
        <f>IF($C1023="B",INDEX(Batters[[#All],[POS]],MATCH(Table5[[#This Row],[PID]],Batters[[#All],[PID]],0)),INDEX(Table3[[#All],[POS]],MATCH(Table5[[#This Row],[PID]],Table3[[#All],[PID]],0)))</f>
        <v>RP</v>
      </c>
      <c r="E1023" s="52" t="str">
        <f>IF($C1023="B",INDEX(Batters[[#All],[First]],MATCH(Table5[[#This Row],[PID]],Batters[[#All],[PID]],0)),INDEX(Table3[[#All],[First]],MATCH(Table5[[#This Row],[PID]],Table3[[#All],[PID]],0)))</f>
        <v>Nick</v>
      </c>
      <c r="F1023" s="50" t="str">
        <f>IF($C1023="B",INDEX(Batters[[#All],[Last]],MATCH(A1023,Batters[[#All],[PID]],0)),INDEX(Table3[[#All],[Last]],MATCH(A1023,Table3[[#All],[PID]],0)))</f>
        <v>Williams</v>
      </c>
      <c r="G1023" s="56">
        <f>IF($C1023="B",INDEX(Batters[[#All],[Age]],MATCH(Table5[[#This Row],[PID]],Batters[[#All],[PID]],0)),INDEX(Table3[[#All],[Age]],MATCH(Table5[[#This Row],[PID]],Table3[[#All],[PID]],0)))</f>
        <v>21</v>
      </c>
      <c r="H1023" s="52" t="str">
        <f>IF($C1023="B",INDEX(Batters[[#All],[B]],MATCH(Table5[[#This Row],[PID]],Batters[[#All],[PID]],0)),INDEX(Table3[[#All],[B]],MATCH(Table5[[#This Row],[PID]],Table3[[#All],[PID]],0)))</f>
        <v>R</v>
      </c>
      <c r="I1023" s="52" t="str">
        <f>IF($C1023="B",INDEX(Batters[[#All],[T]],MATCH(Table5[[#This Row],[PID]],Batters[[#All],[PID]],0)),INDEX(Table3[[#All],[T]],MATCH(Table5[[#This Row],[PID]],Table3[[#All],[PID]],0)))</f>
        <v>R</v>
      </c>
      <c r="J1023" s="52" t="str">
        <f>IF($C1023="B",INDEX(Batters[[#All],[WE]],MATCH(Table5[[#This Row],[PID]],Batters[[#All],[PID]],0)),INDEX(Table3[[#All],[WE]],MATCH(Table5[[#This Row],[PID]],Table3[[#All],[PID]],0)))</f>
        <v>High</v>
      </c>
      <c r="K1023" s="52" t="str">
        <f>IF($C1023="B",INDEX(Batters[[#All],[INT]],MATCH(Table5[[#This Row],[PID]],Batters[[#All],[PID]],0)),INDEX(Table3[[#All],[INT]],MATCH(Table5[[#This Row],[PID]],Table3[[#All],[PID]],0)))</f>
        <v>Normal</v>
      </c>
      <c r="L1023" s="60">
        <f>IF($C1023="B",INDEX(Batters[[#All],[CON P]],MATCH(Table5[[#This Row],[PID]],Batters[[#All],[PID]],0)),INDEX(Table3[[#All],[STU P]],MATCH(Table5[[#This Row],[PID]],Table3[[#All],[PID]],0)))</f>
        <v>3</v>
      </c>
      <c r="M1023" s="56">
        <f>IF($C1023="B",INDEX(Batters[[#All],[GAP P]],MATCH(Table5[[#This Row],[PID]],Batters[[#All],[PID]],0)),INDEX(Table3[[#All],[MOV P]],MATCH(Table5[[#This Row],[PID]],Table3[[#All],[PID]],0)))</f>
        <v>1</v>
      </c>
      <c r="N1023" s="56">
        <f>IF($C1023="B",INDEX(Batters[[#All],[POW P]],MATCH(Table5[[#This Row],[PID]],Batters[[#All],[PID]],0)),INDEX(Table3[[#All],[CON P]],MATCH(Table5[[#This Row],[PID]],Table3[[#All],[PID]],0)))</f>
        <v>4</v>
      </c>
      <c r="O1023" s="56" t="str">
        <f>IF($C1023="B",INDEX(Batters[[#All],[EYE P]],MATCH(Table5[[#This Row],[PID]],Batters[[#All],[PID]],0)),INDEX(Table3[[#All],[VELO]],MATCH(Table5[[#This Row],[PID]],Table3[[#All],[PID]],0)))</f>
        <v>86-88 Mph</v>
      </c>
      <c r="P1023" s="56">
        <f>IF($C1023="B",INDEX(Batters[[#All],[K P]],MATCH(Table5[[#This Row],[PID]],Batters[[#All],[PID]],0)),INDEX(Table3[[#All],[STM]],MATCH(Table5[[#This Row],[PID]],Table3[[#All],[PID]],0)))</f>
        <v>6</v>
      </c>
      <c r="Q1023" s="61">
        <f>IF($C1023="B",INDEX(Batters[[#All],[Tot]],MATCH(Table5[[#This Row],[PID]],Batters[[#All],[PID]],0)),INDEX(Table3[[#All],[Tot]],MATCH(Table5[[#This Row],[PID]],Table3[[#All],[PID]],0)))</f>
        <v>27.621080278219917</v>
      </c>
      <c r="R1023" s="52">
        <f>IF($C1023="B",INDEX(Batters[[#All],[zScore]],MATCH(Table5[[#This Row],[PID]],Batters[[#All],[PID]],0)),INDEX(Table3[[#All],[zScore]],MATCH(Table5[[#This Row],[PID]],Table3[[#All],[PID]],0)))</f>
        <v>-0.662724169405704</v>
      </c>
      <c r="S1023" s="58" t="str">
        <f>IF($C1023="B",INDEX(Batters[[#All],[DEM]],MATCH(Table5[[#This Row],[PID]],Batters[[#All],[PID]],0)),INDEX(Table3[[#All],[DEM]],MATCH(Table5[[#This Row],[PID]],Table3[[#All],[PID]],0)))</f>
        <v>-</v>
      </c>
      <c r="T1023" s="62">
        <f>IF($C1023="B",INDEX(Batters[[#All],[Rnk]],MATCH(Table5[[#This Row],[PID]],Batters[[#All],[PID]],0)),INDEX(Table3[[#All],[Rnk]],MATCH(Table5[[#This Row],[PID]],Table3[[#All],[PID]],0)))</f>
        <v>587</v>
      </c>
      <c r="U1023" s="68">
        <f>IF($C1023="B",VLOOKUP($A1023,Bat!$A$4:$BA$1621,47,FALSE),VLOOKUP($A1023,Pit!$A$4:$BF$1557,56,FALSE))</f>
        <v>0</v>
      </c>
      <c r="V1023" s="50">
        <f>IF($C1023="B",VLOOKUP($A1023,Bat!$A$4:$BA$1621,48,FALSE),VLOOKUP($A1023,Pit!$A$4:$BF$1557,57,FALSE))</f>
        <v>0</v>
      </c>
      <c r="W1023" s="50">
        <f>Table5[[#This Row],[posRnk]]+Table5[[#This Row],[zRnk]]+IF($W$3&lt;&gt;Table5[[#This Row],[Type]],50,0)</f>
        <v>1595</v>
      </c>
      <c r="X1023" s="51">
        <f>RANK(Table5[[#This Row],[zScore]],Table5[[#All],[zScore]])</f>
        <v>958</v>
      </c>
      <c r="Y1023" s="50" t="str">
        <f>IFERROR(INDEX(DraftResults[[#All],[OVR]],MATCH(Table5[[#This Row],[PID]],DraftResults[[#All],[Player ID]],0)),"")</f>
        <v/>
      </c>
      <c r="Z10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3" s="50" t="str">
        <f>IFERROR(INDEX(DraftResults[[#All],[Pick in Round]],MATCH(Table5[[#This Row],[PID]],DraftResults[[#All],[Player ID]],0)),"")</f>
        <v/>
      </c>
      <c r="AB1023" s="50" t="str">
        <f>IFERROR(INDEX(DraftResults[[#All],[Team Name]],MATCH(Table5[[#This Row],[PID]],DraftResults[[#All],[Player ID]],0)),"")</f>
        <v/>
      </c>
      <c r="AC1023" s="50" t="str">
        <f>IF(Table5[[#This Row],[Ovr]]="","",IF(Table5[[#This Row],[cmbList]]="","",Table5[[#This Row],[cmbList]]-Table5[[#This Row],[Ovr]]))</f>
        <v/>
      </c>
      <c r="AD1023" s="54" t="str">
        <f>IF(ISERROR(VLOOKUP($AB1023&amp;"-"&amp;$E1023&amp;" "&amp;F1023,Bonuses!$B$1:$G$1006,4,FALSE)),"",INT(VLOOKUP($AB1023&amp;"-"&amp;$E1023&amp;" "&amp;$F1023,Bonuses!$B$1:$G$1006,4,FALSE)))</f>
        <v/>
      </c>
      <c r="AE10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4" spans="1:31" s="50" customFormat="1" x14ac:dyDescent="0.25">
      <c r="A1024" s="50">
        <v>11151</v>
      </c>
      <c r="B1024" s="50">
        <f>COUNTIF(Table5[PID],A1024)</f>
        <v>1</v>
      </c>
      <c r="C1024" s="50" t="str">
        <f>IF(COUNTIF(Table3[[#All],[PID]],A1024)&gt;0,"P","B")</f>
        <v>P</v>
      </c>
      <c r="D1024" s="59" t="str">
        <f>IF($C1024="B",INDEX(Batters[[#All],[POS]],MATCH(Table5[[#This Row],[PID]],Batters[[#All],[PID]],0)),INDEX(Table3[[#All],[POS]],MATCH(Table5[[#This Row],[PID]],Table3[[#All],[PID]],0)))</f>
        <v>RP</v>
      </c>
      <c r="E1024" s="52" t="str">
        <f>IF($C1024="B",INDEX(Batters[[#All],[First]],MATCH(Table5[[#This Row],[PID]],Batters[[#All],[PID]],0)),INDEX(Table3[[#All],[First]],MATCH(Table5[[#This Row],[PID]],Table3[[#All],[PID]],0)))</f>
        <v>Haranobu</v>
      </c>
      <c r="F1024" s="50" t="str">
        <f>IF($C1024="B",INDEX(Batters[[#All],[Last]],MATCH(A1024,Batters[[#All],[PID]],0)),INDEX(Table3[[#All],[Last]],MATCH(A1024,Table3[[#All],[PID]],0)))</f>
        <v>Nakamura</v>
      </c>
      <c r="G1024" s="56">
        <f>IF($C1024="B",INDEX(Batters[[#All],[Age]],MATCH(Table5[[#This Row],[PID]],Batters[[#All],[PID]],0)),INDEX(Table3[[#All],[Age]],MATCH(Table5[[#This Row],[PID]],Table3[[#All],[PID]],0)))</f>
        <v>22</v>
      </c>
      <c r="H1024" s="52" t="str">
        <f>IF($C1024="B",INDEX(Batters[[#All],[B]],MATCH(Table5[[#This Row],[PID]],Batters[[#All],[PID]],0)),INDEX(Table3[[#All],[B]],MATCH(Table5[[#This Row],[PID]],Table3[[#All],[PID]],0)))</f>
        <v>L</v>
      </c>
      <c r="I1024" s="52" t="str">
        <f>IF($C1024="B",INDEX(Batters[[#All],[T]],MATCH(Table5[[#This Row],[PID]],Batters[[#All],[PID]],0)),INDEX(Table3[[#All],[T]],MATCH(Table5[[#This Row],[PID]],Table3[[#All],[PID]],0)))</f>
        <v>R</v>
      </c>
      <c r="J1024" s="52" t="str">
        <f>IF($C1024="B",INDEX(Batters[[#All],[WE]],MATCH(Table5[[#This Row],[PID]],Batters[[#All],[PID]],0)),INDEX(Table3[[#All],[WE]],MATCH(Table5[[#This Row],[PID]],Table3[[#All],[PID]],0)))</f>
        <v>Normal</v>
      </c>
      <c r="K1024" s="52" t="str">
        <f>IF($C1024="B",INDEX(Batters[[#All],[INT]],MATCH(Table5[[#This Row],[PID]],Batters[[#All],[PID]],0)),INDEX(Table3[[#All],[INT]],MATCH(Table5[[#This Row],[PID]],Table3[[#All],[PID]],0)))</f>
        <v>Normal</v>
      </c>
      <c r="L1024" s="60">
        <f>IF($C1024="B",INDEX(Batters[[#All],[CON P]],MATCH(Table5[[#This Row],[PID]],Batters[[#All],[PID]],0)),INDEX(Table3[[#All],[STU P]],MATCH(Table5[[#This Row],[PID]],Table3[[#All],[PID]],0)))</f>
        <v>3</v>
      </c>
      <c r="M1024" s="56">
        <f>IF($C1024="B",INDEX(Batters[[#All],[GAP P]],MATCH(Table5[[#This Row],[PID]],Batters[[#All],[PID]],0)),INDEX(Table3[[#All],[MOV P]],MATCH(Table5[[#This Row],[PID]],Table3[[#All],[PID]],0)))</f>
        <v>2</v>
      </c>
      <c r="N1024" s="56">
        <f>IF($C1024="B",INDEX(Batters[[#All],[POW P]],MATCH(Table5[[#This Row],[PID]],Batters[[#All],[PID]],0)),INDEX(Table3[[#All],[CON P]],MATCH(Table5[[#This Row],[PID]],Table3[[#All],[PID]],0)))</f>
        <v>3</v>
      </c>
      <c r="O1024" s="56" t="str">
        <f>IF($C1024="B",INDEX(Batters[[#All],[EYE P]],MATCH(Table5[[#This Row],[PID]],Batters[[#All],[PID]],0)),INDEX(Table3[[#All],[VELO]],MATCH(Table5[[#This Row],[PID]],Table3[[#All],[PID]],0)))</f>
        <v>85-87 Mph</v>
      </c>
      <c r="P1024" s="56">
        <f>IF($C1024="B",INDEX(Batters[[#All],[K P]],MATCH(Table5[[#This Row],[PID]],Batters[[#All],[PID]],0)),INDEX(Table3[[#All],[STM]],MATCH(Table5[[#This Row],[PID]],Table3[[#All],[PID]],0)))</f>
        <v>6</v>
      </c>
      <c r="Q1024" s="61">
        <f>IF($C1024="B",INDEX(Batters[[#All],[Tot]],MATCH(Table5[[#This Row],[PID]],Batters[[#All],[PID]],0)),INDEX(Table3[[#All],[Tot]],MATCH(Table5[[#This Row],[PID]],Table3[[#All],[PID]],0)))</f>
        <v>25.875543064402962</v>
      </c>
      <c r="R1024" s="52">
        <f>IF($C1024="B",INDEX(Batters[[#All],[zScore]],MATCH(Table5[[#This Row],[PID]],Batters[[#All],[PID]],0)),INDEX(Table3[[#All],[zScore]],MATCH(Table5[[#This Row],[PID]],Table3[[#All],[PID]],0)))</f>
        <v>-0.66495094414425382</v>
      </c>
      <c r="S1024" s="58" t="str">
        <f>IF($C1024="B",INDEX(Batters[[#All],[DEM]],MATCH(Table5[[#This Row],[PID]],Batters[[#All],[PID]],0)),INDEX(Table3[[#All],[DEM]],MATCH(Table5[[#This Row],[PID]],Table3[[#All],[PID]],0)))</f>
        <v>-</v>
      </c>
      <c r="T1024" s="62">
        <f>IF($C1024="B",INDEX(Batters[[#All],[Rnk]],MATCH(Table5[[#This Row],[PID]],Batters[[#All],[PID]],0)),INDEX(Table3[[#All],[Rnk]],MATCH(Table5[[#This Row],[PID]],Table3[[#All],[PID]],0)))</f>
        <v>588</v>
      </c>
      <c r="U1024" s="68">
        <f>IF($C1024="B",VLOOKUP($A1024,Bat!$A$4:$BA$1621,47,FALSE),VLOOKUP($A1024,Pit!$A$4:$BF$1557,56,FALSE))</f>
        <v>0</v>
      </c>
      <c r="V1024" s="50">
        <f>IF($C1024="B",VLOOKUP($A1024,Bat!$A$4:$BA$1621,48,FALSE),VLOOKUP($A1024,Pit!$A$4:$BF$1557,57,FALSE))</f>
        <v>0</v>
      </c>
      <c r="W1024" s="50">
        <f>Table5[[#This Row],[posRnk]]+Table5[[#This Row],[zRnk]]+IF($W$3&lt;&gt;Table5[[#This Row],[Type]],50,0)</f>
        <v>1597</v>
      </c>
      <c r="X1024" s="51">
        <f>RANK(Table5[[#This Row],[zScore]],Table5[[#All],[zScore]])</f>
        <v>959</v>
      </c>
      <c r="Y1024" s="50" t="str">
        <f>IFERROR(INDEX(DraftResults[[#All],[OVR]],MATCH(Table5[[#This Row],[PID]],DraftResults[[#All],[Player ID]],0)),"")</f>
        <v/>
      </c>
      <c r="Z10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4" s="50" t="str">
        <f>IFERROR(INDEX(DraftResults[[#All],[Pick in Round]],MATCH(Table5[[#This Row],[PID]],DraftResults[[#All],[Player ID]],0)),"")</f>
        <v/>
      </c>
      <c r="AB1024" s="50" t="str">
        <f>IFERROR(INDEX(DraftResults[[#All],[Team Name]],MATCH(Table5[[#This Row],[PID]],DraftResults[[#All],[Player ID]],0)),"")</f>
        <v/>
      </c>
      <c r="AC1024" s="50" t="str">
        <f>IF(Table5[[#This Row],[Ovr]]="","",IF(Table5[[#This Row],[cmbList]]="","",Table5[[#This Row],[cmbList]]-Table5[[#This Row],[Ovr]]))</f>
        <v/>
      </c>
      <c r="AD1024" s="54" t="str">
        <f>IF(ISERROR(VLOOKUP($AB1024&amp;"-"&amp;$E1024&amp;" "&amp;F1024,Bonuses!$B$1:$G$1006,4,FALSE)),"",INT(VLOOKUP($AB1024&amp;"-"&amp;$E1024&amp;" "&amp;$F1024,Bonuses!$B$1:$G$1006,4,FALSE)))</f>
        <v/>
      </c>
      <c r="AE10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5" spans="1:31" s="50" customFormat="1" x14ac:dyDescent="0.25">
      <c r="A1025" s="50">
        <v>20466</v>
      </c>
      <c r="B1025" s="50">
        <f>COUNTIF(Table5[PID],A1025)</f>
        <v>1</v>
      </c>
      <c r="C1025" s="50" t="str">
        <f>IF(COUNTIF(Table3[[#All],[PID]],A1025)&gt;0,"P","B")</f>
        <v>B</v>
      </c>
      <c r="D1025" s="59" t="str">
        <f>IF($C1025="B",INDEX(Batters[[#All],[POS]],MATCH(Table5[[#This Row],[PID]],Batters[[#All],[PID]],0)),INDEX(Table3[[#All],[POS]],MATCH(Table5[[#This Row],[PID]],Table3[[#All],[PID]],0)))</f>
        <v>2B</v>
      </c>
      <c r="E1025" s="52" t="str">
        <f>IF($C1025="B",INDEX(Batters[[#All],[First]],MATCH(Table5[[#This Row],[PID]],Batters[[#All],[PID]],0)),INDEX(Table3[[#All],[First]],MATCH(Table5[[#This Row],[PID]],Table3[[#All],[PID]],0)))</f>
        <v>Krisna</v>
      </c>
      <c r="F1025" s="50" t="str">
        <f>IF($C1025="B",INDEX(Batters[[#All],[Last]],MATCH(A1025,Batters[[#All],[PID]],0)),INDEX(Table3[[#All],[Last]],MATCH(A1025,Table3[[#All],[PID]],0)))</f>
        <v>Karsumaatmaja</v>
      </c>
      <c r="G1025" s="56">
        <f>IF($C1025="B",INDEX(Batters[[#All],[Age]],MATCH(Table5[[#This Row],[PID]],Batters[[#All],[PID]],0)),INDEX(Table3[[#All],[Age]],MATCH(Table5[[#This Row],[PID]],Table3[[#All],[PID]],0)))</f>
        <v>17</v>
      </c>
      <c r="H1025" s="52" t="str">
        <f>IF($C1025="B",INDEX(Batters[[#All],[B]],MATCH(Table5[[#This Row],[PID]],Batters[[#All],[PID]],0)),INDEX(Table3[[#All],[B]],MATCH(Table5[[#This Row],[PID]],Table3[[#All],[PID]],0)))</f>
        <v>R</v>
      </c>
      <c r="I1025" s="52" t="str">
        <f>IF($C1025="B",INDEX(Batters[[#All],[T]],MATCH(Table5[[#This Row],[PID]],Batters[[#All],[PID]],0)),INDEX(Table3[[#All],[T]],MATCH(Table5[[#This Row],[PID]],Table3[[#All],[PID]],0)))</f>
        <v>R</v>
      </c>
      <c r="J1025" s="52" t="str">
        <f>IF($C1025="B",INDEX(Batters[[#All],[WE]],MATCH(Table5[[#This Row],[PID]],Batters[[#All],[PID]],0)),INDEX(Table3[[#All],[WE]],MATCH(Table5[[#This Row],[PID]],Table3[[#All],[PID]],0)))</f>
        <v>Normal</v>
      </c>
      <c r="K1025" s="52" t="str">
        <f>IF($C1025="B",INDEX(Batters[[#All],[INT]],MATCH(Table5[[#This Row],[PID]],Batters[[#All],[PID]],0)),INDEX(Table3[[#All],[INT]],MATCH(Table5[[#This Row],[PID]],Table3[[#All],[PID]],0)))</f>
        <v>Low</v>
      </c>
      <c r="L1025" s="60">
        <f>IF($C1025="B",INDEX(Batters[[#All],[CON P]],MATCH(Table5[[#This Row],[PID]],Batters[[#All],[PID]],0)),INDEX(Table3[[#All],[STU P]],MATCH(Table5[[#This Row],[PID]],Table3[[#All],[PID]],0)))</f>
        <v>3</v>
      </c>
      <c r="M1025" s="56">
        <f>IF($C1025="B",INDEX(Batters[[#All],[GAP P]],MATCH(Table5[[#This Row],[PID]],Batters[[#All],[PID]],0)),INDEX(Table3[[#All],[MOV P]],MATCH(Table5[[#This Row],[PID]],Table3[[#All],[PID]],0)))</f>
        <v>4</v>
      </c>
      <c r="N1025" s="56">
        <f>IF($C1025="B",INDEX(Batters[[#All],[POW P]],MATCH(Table5[[#This Row],[PID]],Batters[[#All],[PID]],0)),INDEX(Table3[[#All],[CON P]],MATCH(Table5[[#This Row],[PID]],Table3[[#All],[PID]],0)))</f>
        <v>2</v>
      </c>
      <c r="O1025" s="56">
        <f>IF($C1025="B",INDEX(Batters[[#All],[EYE P]],MATCH(Table5[[#This Row],[PID]],Batters[[#All],[PID]],0)),INDEX(Table3[[#All],[VELO]],MATCH(Table5[[#This Row],[PID]],Table3[[#All],[PID]],0)))</f>
        <v>4</v>
      </c>
      <c r="P1025" s="56">
        <f>IF($C1025="B",INDEX(Batters[[#All],[K P]],MATCH(Table5[[#This Row],[PID]],Batters[[#All],[PID]],0)),INDEX(Table3[[#All],[STM]],MATCH(Table5[[#This Row],[PID]],Table3[[#All],[PID]],0)))</f>
        <v>5</v>
      </c>
      <c r="Q1025" s="61">
        <f>IF($C1025="B",INDEX(Batters[[#All],[Tot]],MATCH(Table5[[#This Row],[PID]],Batters[[#All],[PID]],0)),INDEX(Table3[[#All],[Tot]],MATCH(Table5[[#This Row],[PID]],Table3[[#All],[PID]],0)))</f>
        <v>41.129164623051096</v>
      </c>
      <c r="R1025" s="52">
        <f>IF($C1025="B",INDEX(Batters[[#All],[zScore]],MATCH(Table5[[#This Row],[PID]],Batters[[#All],[PID]],0)),INDEX(Table3[[#All],[zScore]],MATCH(Table5[[#This Row],[PID]],Table3[[#All],[PID]],0)))</f>
        <v>-0.66573553623177872</v>
      </c>
      <c r="S1025" s="58" t="str">
        <f>IF($C1025="B",INDEX(Batters[[#All],[DEM]],MATCH(Table5[[#This Row],[PID]],Batters[[#All],[PID]],0)),INDEX(Table3[[#All],[DEM]],MATCH(Table5[[#This Row],[PID]],Table3[[#All],[PID]],0)))</f>
        <v>$65k</v>
      </c>
      <c r="T1025" s="62">
        <f>IF($C1025="B",INDEX(Batters[[#All],[Rnk]],MATCH(Table5[[#This Row],[PID]],Batters[[#All],[PID]],0)),INDEX(Table3[[#All],[Rnk]],MATCH(Table5[[#This Row],[PID]],Table3[[#All],[PID]],0)))</f>
        <v>371</v>
      </c>
      <c r="U1025" s="68">
        <f>IF($C1025="B",VLOOKUP($A1025,Bat!$A$4:$BA$1621,47,FALSE),VLOOKUP($A1025,Pit!$A$4:$BF$1557,56,FALSE))</f>
        <v>0</v>
      </c>
      <c r="V1025" s="50">
        <f>IF($C1025="B",VLOOKUP($A1025,Bat!$A$4:$BA$1621,48,FALSE),VLOOKUP($A1025,Pit!$A$4:$BF$1557,57,FALSE))</f>
        <v>0</v>
      </c>
      <c r="W1025" s="50">
        <f>Table5[[#This Row],[posRnk]]+Table5[[#This Row],[zRnk]]+IF($W$3&lt;&gt;Table5[[#This Row],[Type]],50,0)</f>
        <v>1381</v>
      </c>
      <c r="X1025" s="51">
        <f>RANK(Table5[[#This Row],[zScore]],Table5[[#All],[zScore]])</f>
        <v>960</v>
      </c>
      <c r="Y1025" s="50" t="str">
        <f>IFERROR(INDEX(DraftResults[[#All],[OVR]],MATCH(Table5[[#This Row],[PID]],DraftResults[[#All],[Player ID]],0)),"")</f>
        <v/>
      </c>
      <c r="Z10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5" s="50" t="str">
        <f>IFERROR(INDEX(DraftResults[[#All],[Pick in Round]],MATCH(Table5[[#This Row],[PID]],DraftResults[[#All],[Player ID]],0)),"")</f>
        <v/>
      </c>
      <c r="AB1025" s="50" t="str">
        <f>IFERROR(INDEX(DraftResults[[#All],[Team Name]],MATCH(Table5[[#This Row],[PID]],DraftResults[[#All],[Player ID]],0)),"")</f>
        <v/>
      </c>
      <c r="AC1025" s="50" t="str">
        <f>IF(Table5[[#This Row],[Ovr]]="","",IF(Table5[[#This Row],[cmbList]]="","",Table5[[#This Row],[cmbList]]-Table5[[#This Row],[Ovr]]))</f>
        <v/>
      </c>
      <c r="AD1025" s="54" t="str">
        <f>IF(ISERROR(VLOOKUP($AB1025&amp;"-"&amp;$E1025&amp;" "&amp;F1025,Bonuses!$B$1:$G$1006,4,FALSE)),"",INT(VLOOKUP($AB1025&amp;"-"&amp;$E1025&amp;" "&amp;$F1025,Bonuses!$B$1:$G$1006,4,FALSE)))</f>
        <v/>
      </c>
      <c r="AE10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6" spans="1:31" s="50" customFormat="1" x14ac:dyDescent="0.25">
      <c r="A1026" s="50">
        <v>20767</v>
      </c>
      <c r="B1026" s="50">
        <f>COUNTIF(Table5[PID],A1026)</f>
        <v>1</v>
      </c>
      <c r="C1026" s="50" t="str">
        <f>IF(COUNTIF(Table3[[#All],[PID]],A1026)&gt;0,"P","B")</f>
        <v>B</v>
      </c>
      <c r="D1026" s="59" t="str">
        <f>IF($C1026="B",INDEX(Batters[[#All],[POS]],MATCH(Table5[[#This Row],[PID]],Batters[[#All],[PID]],0)),INDEX(Table3[[#All],[POS]],MATCH(Table5[[#This Row],[PID]],Table3[[#All],[PID]],0)))</f>
        <v>3B</v>
      </c>
      <c r="E1026" s="52" t="str">
        <f>IF($C1026="B",INDEX(Batters[[#All],[First]],MATCH(Table5[[#This Row],[PID]],Batters[[#All],[PID]],0)),INDEX(Table3[[#All],[First]],MATCH(Table5[[#This Row],[PID]],Table3[[#All],[PID]],0)))</f>
        <v>Steve</v>
      </c>
      <c r="F1026" s="50" t="str">
        <f>IF($C1026="B",INDEX(Batters[[#All],[Last]],MATCH(A1026,Batters[[#All],[PID]],0)),INDEX(Table3[[#All],[Last]],MATCH(A1026,Table3[[#All],[PID]],0)))</f>
        <v>Sutton</v>
      </c>
      <c r="G1026" s="56">
        <f>IF($C1026="B",INDEX(Batters[[#All],[Age]],MATCH(Table5[[#This Row],[PID]],Batters[[#All],[PID]],0)),INDEX(Table3[[#All],[Age]],MATCH(Table5[[#This Row],[PID]],Table3[[#All],[PID]],0)))</f>
        <v>17</v>
      </c>
      <c r="H1026" s="52" t="str">
        <f>IF($C1026="B",INDEX(Batters[[#All],[B]],MATCH(Table5[[#This Row],[PID]],Batters[[#All],[PID]],0)),INDEX(Table3[[#All],[B]],MATCH(Table5[[#This Row],[PID]],Table3[[#All],[PID]],0)))</f>
        <v>L</v>
      </c>
      <c r="I1026" s="52" t="str">
        <f>IF($C1026="B",INDEX(Batters[[#All],[T]],MATCH(Table5[[#This Row],[PID]],Batters[[#All],[PID]],0)),INDEX(Table3[[#All],[T]],MATCH(Table5[[#This Row],[PID]],Table3[[#All],[PID]],0)))</f>
        <v>R</v>
      </c>
      <c r="J1026" s="52" t="str">
        <f>IF($C1026="B",INDEX(Batters[[#All],[WE]],MATCH(Table5[[#This Row],[PID]],Batters[[#All],[PID]],0)),INDEX(Table3[[#All],[WE]],MATCH(Table5[[#This Row],[PID]],Table3[[#All],[PID]],0)))</f>
        <v>Normal</v>
      </c>
      <c r="K1026" s="52" t="str">
        <f>IF($C1026="B",INDEX(Batters[[#All],[INT]],MATCH(Table5[[#This Row],[PID]],Batters[[#All],[PID]],0)),INDEX(Table3[[#All],[INT]],MATCH(Table5[[#This Row],[PID]],Table3[[#All],[PID]],0)))</f>
        <v>Normal</v>
      </c>
      <c r="L1026" s="60">
        <f>IF($C1026="B",INDEX(Batters[[#All],[CON P]],MATCH(Table5[[#This Row],[PID]],Batters[[#All],[PID]],0)),INDEX(Table3[[#All],[STU P]],MATCH(Table5[[#This Row],[PID]],Table3[[#All],[PID]],0)))</f>
        <v>3</v>
      </c>
      <c r="M1026" s="56">
        <f>IF($C1026="B",INDEX(Batters[[#All],[GAP P]],MATCH(Table5[[#This Row],[PID]],Batters[[#All],[PID]],0)),INDEX(Table3[[#All],[MOV P]],MATCH(Table5[[#This Row],[PID]],Table3[[#All],[PID]],0)))</f>
        <v>3</v>
      </c>
      <c r="N1026" s="56">
        <f>IF($C1026="B",INDEX(Batters[[#All],[POW P]],MATCH(Table5[[#This Row],[PID]],Batters[[#All],[PID]],0)),INDEX(Table3[[#All],[CON P]],MATCH(Table5[[#This Row],[PID]],Table3[[#All],[PID]],0)))</f>
        <v>3</v>
      </c>
      <c r="O1026" s="56">
        <f>IF($C1026="B",INDEX(Batters[[#All],[EYE P]],MATCH(Table5[[#This Row],[PID]],Batters[[#All],[PID]],0)),INDEX(Table3[[#All],[VELO]],MATCH(Table5[[#This Row],[PID]],Table3[[#All],[PID]],0)))</f>
        <v>4</v>
      </c>
      <c r="P1026" s="56">
        <f>IF($C1026="B",INDEX(Batters[[#All],[K P]],MATCH(Table5[[#This Row],[PID]],Batters[[#All],[PID]],0)),INDEX(Table3[[#All],[STM]],MATCH(Table5[[#This Row],[PID]],Table3[[#All],[PID]],0)))</f>
        <v>5</v>
      </c>
      <c r="Q1026" s="61">
        <f>IF($C1026="B",INDEX(Batters[[#All],[Tot]],MATCH(Table5[[#This Row],[PID]],Batters[[#All],[PID]],0)),INDEX(Table3[[#All],[Tot]],MATCH(Table5[[#This Row],[PID]],Table3[[#All],[PID]],0)))</f>
        <v>41.127334398322112</v>
      </c>
      <c r="R1026" s="52">
        <f>IF($C1026="B",INDEX(Batters[[#All],[zScore]],MATCH(Table5[[#This Row],[PID]],Batters[[#All],[PID]],0)),INDEX(Table3[[#All],[zScore]],MATCH(Table5[[#This Row],[PID]],Table3[[#All],[PID]],0)))</f>
        <v>-0.66614130942536542</v>
      </c>
      <c r="S1026" s="58" t="str">
        <f>IF($C1026="B",INDEX(Batters[[#All],[DEM]],MATCH(Table5[[#This Row],[PID]],Batters[[#All],[PID]],0)),INDEX(Table3[[#All],[DEM]],MATCH(Table5[[#This Row],[PID]],Table3[[#All],[PID]],0)))</f>
        <v>$65k</v>
      </c>
      <c r="T1026" s="62">
        <f>IF($C1026="B",INDEX(Batters[[#All],[Rnk]],MATCH(Table5[[#This Row],[PID]],Batters[[#All],[PID]],0)),INDEX(Table3[[#All],[Rnk]],MATCH(Table5[[#This Row],[PID]],Table3[[#All],[PID]],0)))</f>
        <v>372</v>
      </c>
      <c r="U1026" s="68">
        <f>IF($C1026="B",VLOOKUP($A1026,Bat!$A$4:$BA$1621,47,FALSE),VLOOKUP($A1026,Pit!$A$4:$BF$1557,56,FALSE))</f>
        <v>0</v>
      </c>
      <c r="V1026" s="50">
        <f>IF($C1026="B",VLOOKUP($A1026,Bat!$A$4:$BA$1621,48,FALSE),VLOOKUP($A1026,Pit!$A$4:$BF$1557,57,FALSE))</f>
        <v>0</v>
      </c>
      <c r="W1026" s="50">
        <f>Table5[[#This Row],[posRnk]]+Table5[[#This Row],[zRnk]]+IF($W$3&lt;&gt;Table5[[#This Row],[Type]],50,0)</f>
        <v>1383</v>
      </c>
      <c r="X1026" s="51">
        <f>RANK(Table5[[#This Row],[zScore]],Table5[[#All],[zScore]])</f>
        <v>961</v>
      </c>
      <c r="Y1026" s="50" t="str">
        <f>IFERROR(INDEX(DraftResults[[#All],[OVR]],MATCH(Table5[[#This Row],[PID]],DraftResults[[#All],[Player ID]],0)),"")</f>
        <v/>
      </c>
      <c r="Z10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6" s="50" t="str">
        <f>IFERROR(INDEX(DraftResults[[#All],[Pick in Round]],MATCH(Table5[[#This Row],[PID]],DraftResults[[#All],[Player ID]],0)),"")</f>
        <v/>
      </c>
      <c r="AB1026" s="50" t="str">
        <f>IFERROR(INDEX(DraftResults[[#All],[Team Name]],MATCH(Table5[[#This Row],[PID]],DraftResults[[#All],[Player ID]],0)),"")</f>
        <v/>
      </c>
      <c r="AC1026" s="50" t="str">
        <f>IF(Table5[[#This Row],[Ovr]]="","",IF(Table5[[#This Row],[cmbList]]="","",Table5[[#This Row],[cmbList]]-Table5[[#This Row],[Ovr]]))</f>
        <v/>
      </c>
      <c r="AD1026" s="54" t="str">
        <f>IF(ISERROR(VLOOKUP($AB1026&amp;"-"&amp;$E1026&amp;" "&amp;F1026,Bonuses!$B$1:$G$1006,4,FALSE)),"",INT(VLOOKUP($AB1026&amp;"-"&amp;$E1026&amp;" "&amp;$F1026,Bonuses!$B$1:$G$1006,4,FALSE)))</f>
        <v/>
      </c>
      <c r="AE10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7" spans="1:31" s="50" customFormat="1" x14ac:dyDescent="0.25">
      <c r="A1027" s="68">
        <v>20828</v>
      </c>
      <c r="B1027" s="69">
        <f>COUNTIF(Table5[PID],A1027)</f>
        <v>1</v>
      </c>
      <c r="C1027" s="69" t="str">
        <f>IF(COUNTIF(Table3[[#All],[PID]],A1027)&gt;0,"P","B")</f>
        <v>P</v>
      </c>
      <c r="D1027" s="59" t="str">
        <f>IF($C1027="B",INDEX(Batters[[#All],[POS]],MATCH(Table5[[#This Row],[PID]],Batters[[#All],[PID]],0)),INDEX(Table3[[#All],[POS]],MATCH(Table5[[#This Row],[PID]],Table3[[#All],[PID]],0)))</f>
        <v>SP</v>
      </c>
      <c r="E1027" s="52" t="str">
        <f>IF($C1027="B",INDEX(Batters[[#All],[First]],MATCH(Table5[[#This Row],[PID]],Batters[[#All],[PID]],0)),INDEX(Table3[[#All],[First]],MATCH(Table5[[#This Row],[PID]],Table3[[#All],[PID]],0)))</f>
        <v>Gene</v>
      </c>
      <c r="F1027" s="55" t="str">
        <f>IF($C1027="B",INDEX(Batters[[#All],[Last]],MATCH(A1027,Batters[[#All],[PID]],0)),INDEX(Table3[[#All],[Last]],MATCH(A1027,Table3[[#All],[PID]],0)))</f>
        <v>James</v>
      </c>
      <c r="G1027" s="56">
        <f>IF($C1027="B",INDEX(Batters[[#All],[Age]],MATCH(Table5[[#This Row],[PID]],Batters[[#All],[PID]],0)),INDEX(Table3[[#All],[Age]],MATCH(Table5[[#This Row],[PID]],Table3[[#All],[PID]],0)))</f>
        <v>16</v>
      </c>
      <c r="H1027" s="52" t="str">
        <f>IF($C1027="B",INDEX(Batters[[#All],[B]],MATCH(Table5[[#This Row],[PID]],Batters[[#All],[PID]],0)),INDEX(Table3[[#All],[B]],MATCH(Table5[[#This Row],[PID]],Table3[[#All],[PID]],0)))</f>
        <v>L</v>
      </c>
      <c r="I1027" s="52" t="str">
        <f>IF($C1027="B",INDEX(Batters[[#All],[T]],MATCH(Table5[[#This Row],[PID]],Batters[[#All],[PID]],0)),INDEX(Table3[[#All],[T]],MATCH(Table5[[#This Row],[PID]],Table3[[#All],[PID]],0)))</f>
        <v>R</v>
      </c>
      <c r="J1027" s="71" t="str">
        <f>IF($C1027="B",INDEX(Batters[[#All],[WE]],MATCH(Table5[[#This Row],[PID]],Batters[[#All],[PID]],0)),INDEX(Table3[[#All],[WE]],MATCH(Table5[[#This Row],[PID]],Table3[[#All],[PID]],0)))</f>
        <v>Normal</v>
      </c>
      <c r="K1027" s="52" t="str">
        <f>IF($C1027="B",INDEX(Batters[[#All],[INT]],MATCH(Table5[[#This Row],[PID]],Batters[[#All],[PID]],0)),INDEX(Table3[[#All],[INT]],MATCH(Table5[[#This Row],[PID]],Table3[[#All],[PID]],0)))</f>
        <v>Normal</v>
      </c>
      <c r="L1027" s="60">
        <f>IF($C1027="B",INDEX(Batters[[#All],[CON P]],MATCH(Table5[[#This Row],[PID]],Batters[[#All],[PID]],0)),INDEX(Table3[[#All],[STU P]],MATCH(Table5[[#This Row],[PID]],Table3[[#All],[PID]],0)))</f>
        <v>3</v>
      </c>
      <c r="M1027" s="72">
        <f>IF($C1027="B",INDEX(Batters[[#All],[GAP P]],MATCH(Table5[[#This Row],[PID]],Batters[[#All],[PID]],0)),INDEX(Table3[[#All],[MOV P]],MATCH(Table5[[#This Row],[PID]],Table3[[#All],[PID]],0)))</f>
        <v>1</v>
      </c>
      <c r="N1027" s="72">
        <f>IF($C1027="B",INDEX(Batters[[#All],[POW P]],MATCH(Table5[[#This Row],[PID]],Batters[[#All],[PID]],0)),INDEX(Table3[[#All],[CON P]],MATCH(Table5[[#This Row],[PID]],Table3[[#All],[PID]],0)))</f>
        <v>3</v>
      </c>
      <c r="O1027" s="72" t="str">
        <f>IF($C1027="B",INDEX(Batters[[#All],[EYE P]],MATCH(Table5[[#This Row],[PID]],Batters[[#All],[PID]],0)),INDEX(Table3[[#All],[VELO]],MATCH(Table5[[#This Row],[PID]],Table3[[#All],[PID]],0)))</f>
        <v>87-89 Mph</v>
      </c>
      <c r="P1027" s="56">
        <f>IF($C1027="B",INDEX(Batters[[#All],[K P]],MATCH(Table5[[#This Row],[PID]],Batters[[#All],[PID]],0)),INDEX(Table3[[#All],[STM]],MATCH(Table5[[#This Row],[PID]],Table3[[#All],[PID]],0)))</f>
        <v>7</v>
      </c>
      <c r="Q1027" s="61">
        <f>IF($C1027="B",INDEX(Batters[[#All],[Tot]],MATCH(Table5[[#This Row],[PID]],Batters[[#All],[PID]],0)),INDEX(Table3[[#All],[Tot]],MATCH(Table5[[#This Row],[PID]],Table3[[#All],[PID]],0)))</f>
        <v>25.820389030327309</v>
      </c>
      <c r="R1027" s="52">
        <f>IF($C1027="B",INDEX(Batters[[#All],[zScore]],MATCH(Table5[[#This Row],[PID]],Batters[[#All],[PID]],0)),INDEX(Table3[[#All],[zScore]],MATCH(Table5[[#This Row],[PID]],Table3[[#All],[PID]],0)))</f>
        <v>-0.66862025774993983</v>
      </c>
      <c r="S1027" s="78" t="str">
        <f>IF($C1027="B",INDEX(Batters[[#All],[DEM]],MATCH(Table5[[#This Row],[PID]],Batters[[#All],[PID]],0)),INDEX(Table3[[#All],[DEM]],MATCH(Table5[[#This Row],[PID]],Table3[[#All],[PID]],0)))</f>
        <v>$38k</v>
      </c>
      <c r="T1027" s="75">
        <f>IF($C1027="B",INDEX(Batters[[#All],[Rnk]],MATCH(Table5[[#This Row],[PID]],Batters[[#All],[PID]],0)),INDEX(Table3[[#All],[Rnk]],MATCH(Table5[[#This Row],[PID]],Table3[[#All],[PID]],0)))</f>
        <v>590</v>
      </c>
      <c r="U1027" s="68">
        <f>IF($C1027="B",VLOOKUP($A1027,Bat!$A$4:$BA$1621,47,FALSE),VLOOKUP($A1027,Pit!$A$4:$BF$1557,56,FALSE))</f>
        <v>0</v>
      </c>
      <c r="V1027" s="50">
        <f>IF($C1027="B",VLOOKUP($A1027,Bat!$A$4:$BA$1621,48,FALSE),VLOOKUP($A1027,Pit!$A$4:$BF$1557,57,FALSE))</f>
        <v>0</v>
      </c>
      <c r="W1027" s="69">
        <f>Table5[[#This Row],[posRnk]]+Table5[[#This Row],[zRnk]]+IF($W$3&lt;&gt;Table5[[#This Row],[Type]],50,0)</f>
        <v>1603</v>
      </c>
      <c r="X1027" s="73">
        <f>RANK(Table5[[#This Row],[zScore]],Table5[[#All],[zScore]])</f>
        <v>963</v>
      </c>
      <c r="Y1027" s="69" t="str">
        <f>IFERROR(INDEX(DraftResults[[#All],[OVR]],MATCH(Table5[[#This Row],[PID]],DraftResults[[#All],[Player ID]],0)),"")</f>
        <v/>
      </c>
      <c r="Z102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7" s="69" t="str">
        <f>IFERROR(INDEX(DraftResults[[#All],[Pick in Round]],MATCH(Table5[[#This Row],[PID]],DraftResults[[#All],[Player ID]],0)),"")</f>
        <v/>
      </c>
      <c r="AB1027" s="69" t="str">
        <f>IFERROR(INDEX(DraftResults[[#All],[Team Name]],MATCH(Table5[[#This Row],[PID]],DraftResults[[#All],[Player ID]],0)),"")</f>
        <v/>
      </c>
      <c r="AC1027" s="69" t="str">
        <f>IF(Table5[[#This Row],[Ovr]]="","",IF(Table5[[#This Row],[cmbList]]="","",Table5[[#This Row],[cmbList]]-Table5[[#This Row],[Ovr]]))</f>
        <v/>
      </c>
      <c r="AD1027" s="77" t="str">
        <f>IF(ISERROR(VLOOKUP($AB1027&amp;"-"&amp;$E1027&amp;" "&amp;F1027,Bonuses!$B$1:$G$1006,4,FALSE)),"",INT(VLOOKUP($AB1027&amp;"-"&amp;$E1027&amp;" "&amp;$F1027,Bonuses!$B$1:$G$1006,4,FALSE)))</f>
        <v/>
      </c>
      <c r="AE102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8" spans="1:31" s="50" customFormat="1" x14ac:dyDescent="0.25">
      <c r="A1028" s="50">
        <v>18192</v>
      </c>
      <c r="B1028" s="50">
        <f>COUNTIF(Table5[PID],A1028)</f>
        <v>1</v>
      </c>
      <c r="C1028" s="50" t="str">
        <f>IF(COUNTIF(Table3[[#All],[PID]],A1028)&gt;0,"P","B")</f>
        <v>B</v>
      </c>
      <c r="D1028" s="59" t="str">
        <f>IF($C1028="B",INDEX(Batters[[#All],[POS]],MATCH(Table5[[#This Row],[PID]],Batters[[#All],[PID]],0)),INDEX(Table3[[#All],[POS]],MATCH(Table5[[#This Row],[PID]],Table3[[#All],[PID]],0)))</f>
        <v>RF</v>
      </c>
      <c r="E1028" s="52" t="str">
        <f>IF($C1028="B",INDEX(Batters[[#All],[First]],MATCH(Table5[[#This Row],[PID]],Batters[[#All],[PID]],0)),INDEX(Table3[[#All],[First]],MATCH(Table5[[#This Row],[PID]],Table3[[#All],[PID]],0)))</f>
        <v>Álex</v>
      </c>
      <c r="F1028" s="50" t="str">
        <f>IF($C1028="B",INDEX(Batters[[#All],[Last]],MATCH(A1028,Batters[[#All],[PID]],0)),INDEX(Table3[[#All],[Last]],MATCH(A1028,Table3[[#All],[PID]],0)))</f>
        <v>Rodríguez</v>
      </c>
      <c r="G1028" s="56">
        <f>IF($C1028="B",INDEX(Batters[[#All],[Age]],MATCH(Table5[[#This Row],[PID]],Batters[[#All],[PID]],0)),INDEX(Table3[[#All],[Age]],MATCH(Table5[[#This Row],[PID]],Table3[[#All],[PID]],0)))</f>
        <v>18</v>
      </c>
      <c r="H1028" s="52" t="str">
        <f>IF($C1028="B",INDEX(Batters[[#All],[B]],MATCH(Table5[[#This Row],[PID]],Batters[[#All],[PID]],0)),INDEX(Table3[[#All],[B]],MATCH(Table5[[#This Row],[PID]],Table3[[#All],[PID]],0)))</f>
        <v>L</v>
      </c>
      <c r="I1028" s="52" t="str">
        <f>IF($C1028="B",INDEX(Batters[[#All],[T]],MATCH(Table5[[#This Row],[PID]],Batters[[#All],[PID]],0)),INDEX(Table3[[#All],[T]],MATCH(Table5[[#This Row],[PID]],Table3[[#All],[PID]],0)))</f>
        <v>L</v>
      </c>
      <c r="J1028" s="52" t="str">
        <f>IF($C1028="B",INDEX(Batters[[#All],[WE]],MATCH(Table5[[#This Row],[PID]],Batters[[#All],[PID]],0)),INDEX(Table3[[#All],[WE]],MATCH(Table5[[#This Row],[PID]],Table3[[#All],[PID]],0)))</f>
        <v>Normal</v>
      </c>
      <c r="K1028" s="52" t="str">
        <f>IF($C1028="B",INDEX(Batters[[#All],[INT]],MATCH(Table5[[#This Row],[PID]],Batters[[#All],[PID]],0)),INDEX(Table3[[#All],[INT]],MATCH(Table5[[#This Row],[PID]],Table3[[#All],[PID]],0)))</f>
        <v>Normal</v>
      </c>
      <c r="L1028" s="60">
        <f>IF($C1028="B",INDEX(Batters[[#All],[CON P]],MATCH(Table5[[#This Row],[PID]],Batters[[#All],[PID]],0)),INDEX(Table3[[#All],[STU P]],MATCH(Table5[[#This Row],[PID]],Table3[[#All],[PID]],0)))</f>
        <v>3</v>
      </c>
      <c r="M1028" s="56">
        <f>IF($C1028="B",INDEX(Batters[[#All],[GAP P]],MATCH(Table5[[#This Row],[PID]],Batters[[#All],[PID]],0)),INDEX(Table3[[#All],[MOV P]],MATCH(Table5[[#This Row],[PID]],Table3[[#All],[PID]],0)))</f>
        <v>4</v>
      </c>
      <c r="N1028" s="56">
        <f>IF($C1028="B",INDEX(Batters[[#All],[POW P]],MATCH(Table5[[#This Row],[PID]],Batters[[#All],[PID]],0)),INDEX(Table3[[#All],[CON P]],MATCH(Table5[[#This Row],[PID]],Table3[[#All],[PID]],0)))</f>
        <v>2</v>
      </c>
      <c r="O1028" s="56">
        <f>IF($C1028="B",INDEX(Batters[[#All],[EYE P]],MATCH(Table5[[#This Row],[PID]],Batters[[#All],[PID]],0)),INDEX(Table3[[#All],[VELO]],MATCH(Table5[[#This Row],[PID]],Table3[[#All],[PID]],0)))</f>
        <v>5</v>
      </c>
      <c r="P1028" s="56">
        <f>IF($C1028="B",INDEX(Batters[[#All],[K P]],MATCH(Table5[[#This Row],[PID]],Batters[[#All],[PID]],0)),INDEX(Table3[[#All],[STM]],MATCH(Table5[[#This Row],[PID]],Table3[[#All],[PID]],0)))</f>
        <v>4</v>
      </c>
      <c r="Q1028" s="61">
        <f>IF($C1028="B",INDEX(Batters[[#All],[Tot]],MATCH(Table5[[#This Row],[PID]],Batters[[#All],[PID]],0)),INDEX(Table3[[#All],[Tot]],MATCH(Table5[[#This Row],[PID]],Table3[[#All],[PID]],0)))</f>
        <v>41.115737901749867</v>
      </c>
      <c r="R1028" s="52">
        <f>IF($C1028="B",INDEX(Batters[[#All],[zScore]],MATCH(Table5[[#This Row],[PID]],Batters[[#All],[PID]],0)),INDEX(Table3[[#All],[zScore]],MATCH(Table5[[#This Row],[PID]],Table3[[#All],[PID]],0)))</f>
        <v>-0.66871233110047434</v>
      </c>
      <c r="S1028" s="58" t="str">
        <f>IF($C1028="B",INDEX(Batters[[#All],[DEM]],MATCH(Table5[[#This Row],[PID]],Batters[[#All],[PID]],0)),INDEX(Table3[[#All],[DEM]],MATCH(Table5[[#This Row],[PID]],Table3[[#All],[PID]],0)))</f>
        <v>$65k</v>
      </c>
      <c r="T1028" s="62">
        <f>IF($C1028="B",INDEX(Batters[[#All],[Rnk]],MATCH(Table5[[#This Row],[PID]],Batters[[#All],[PID]],0)),INDEX(Table3[[#All],[Rnk]],MATCH(Table5[[#This Row],[PID]],Table3[[#All],[PID]],0)))</f>
        <v>373</v>
      </c>
      <c r="U1028" s="68">
        <f>IF($C1028="B",VLOOKUP($A1028,Bat!$A$4:$BA$1621,47,FALSE),VLOOKUP($A1028,Pit!$A$4:$BF$1557,56,FALSE))</f>
        <v>0</v>
      </c>
      <c r="V1028" s="50">
        <f>IF($C1028="B",VLOOKUP($A1028,Bat!$A$4:$BA$1621,48,FALSE),VLOOKUP($A1028,Pit!$A$4:$BF$1557,57,FALSE))</f>
        <v>0</v>
      </c>
      <c r="W1028" s="50">
        <f>Table5[[#This Row],[posRnk]]+Table5[[#This Row],[zRnk]]+IF($W$3&lt;&gt;Table5[[#This Row],[Type]],50,0)</f>
        <v>1387</v>
      </c>
      <c r="X1028" s="51">
        <f>RANK(Table5[[#This Row],[zScore]],Table5[[#All],[zScore]])</f>
        <v>964</v>
      </c>
      <c r="Y1028" s="50" t="str">
        <f>IFERROR(INDEX(DraftResults[[#All],[OVR]],MATCH(Table5[[#This Row],[PID]],DraftResults[[#All],[Player ID]],0)),"")</f>
        <v/>
      </c>
      <c r="Z10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8" s="50" t="str">
        <f>IFERROR(INDEX(DraftResults[[#All],[Pick in Round]],MATCH(Table5[[#This Row],[PID]],DraftResults[[#All],[Player ID]],0)),"")</f>
        <v/>
      </c>
      <c r="AB1028" s="50" t="str">
        <f>IFERROR(INDEX(DraftResults[[#All],[Team Name]],MATCH(Table5[[#This Row],[PID]],DraftResults[[#All],[Player ID]],0)),"")</f>
        <v/>
      </c>
      <c r="AC1028" s="50" t="str">
        <f>IF(Table5[[#This Row],[Ovr]]="","",IF(Table5[[#This Row],[cmbList]]="","",Table5[[#This Row],[cmbList]]-Table5[[#This Row],[Ovr]]))</f>
        <v/>
      </c>
      <c r="AD1028" s="54" t="str">
        <f>IF(ISERROR(VLOOKUP($AB1028&amp;"-"&amp;$E1028&amp;" "&amp;F1028,Bonuses!$B$1:$G$1006,4,FALSE)),"",INT(VLOOKUP($AB1028&amp;"-"&amp;$E1028&amp;" "&amp;$F1028,Bonuses!$B$1:$G$1006,4,FALSE)))</f>
        <v/>
      </c>
      <c r="AE10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29" spans="1:31" s="50" customFormat="1" x14ac:dyDescent="0.25">
      <c r="A1029" s="50">
        <v>20461</v>
      </c>
      <c r="B1029" s="50">
        <f>COUNTIF(Table5[PID],A1029)</f>
        <v>1</v>
      </c>
      <c r="C1029" s="50" t="str">
        <f>IF(COUNTIF(Table3[[#All],[PID]],A1029)&gt;0,"P","B")</f>
        <v>P</v>
      </c>
      <c r="D1029" s="59" t="str">
        <f>IF($C1029="B",INDEX(Batters[[#All],[POS]],MATCH(Table5[[#This Row],[PID]],Batters[[#All],[PID]],0)),INDEX(Table3[[#All],[POS]],MATCH(Table5[[#This Row],[PID]],Table3[[#All],[PID]],0)))</f>
        <v>RP</v>
      </c>
      <c r="E1029" s="52" t="str">
        <f>IF($C1029="B",INDEX(Batters[[#All],[First]],MATCH(Table5[[#This Row],[PID]],Batters[[#All],[PID]],0)),INDEX(Table3[[#All],[First]],MATCH(Table5[[#This Row],[PID]],Table3[[#All],[PID]],0)))</f>
        <v>Eko</v>
      </c>
      <c r="F1029" s="50" t="str">
        <f>IF($C1029="B",INDEX(Batters[[#All],[Last]],MATCH(A1029,Batters[[#All],[PID]],0)),INDEX(Table3[[#All],[Last]],MATCH(A1029,Table3[[#All],[PID]],0)))</f>
        <v>Kartini</v>
      </c>
      <c r="G1029" s="56">
        <f>IF($C1029="B",INDEX(Batters[[#All],[Age]],MATCH(Table5[[#This Row],[PID]],Batters[[#All],[PID]],0)),INDEX(Table3[[#All],[Age]],MATCH(Table5[[#This Row],[PID]],Table3[[#All],[PID]],0)))</f>
        <v>17</v>
      </c>
      <c r="H1029" s="52" t="str">
        <f>IF($C1029="B",INDEX(Batters[[#All],[B]],MATCH(Table5[[#This Row],[PID]],Batters[[#All],[PID]],0)),INDEX(Table3[[#All],[B]],MATCH(Table5[[#This Row],[PID]],Table3[[#All],[PID]],0)))</f>
        <v>R</v>
      </c>
      <c r="I1029" s="52" t="str">
        <f>IF($C1029="B",INDEX(Batters[[#All],[T]],MATCH(Table5[[#This Row],[PID]],Batters[[#All],[PID]],0)),INDEX(Table3[[#All],[T]],MATCH(Table5[[#This Row],[PID]],Table3[[#All],[PID]],0)))</f>
        <v>L</v>
      </c>
      <c r="J1029" s="52" t="str">
        <f>IF($C1029="B",INDEX(Batters[[#All],[WE]],MATCH(Table5[[#This Row],[PID]],Batters[[#All],[PID]],0)),INDEX(Table3[[#All],[WE]],MATCH(Table5[[#This Row],[PID]],Table3[[#All],[PID]],0)))</f>
        <v>Normal</v>
      </c>
      <c r="K1029" s="52" t="str">
        <f>IF($C1029="B",INDEX(Batters[[#All],[INT]],MATCH(Table5[[#This Row],[PID]],Batters[[#All],[PID]],0)),INDEX(Table3[[#All],[INT]],MATCH(Table5[[#This Row],[PID]],Table3[[#All],[PID]],0)))</f>
        <v>Normal</v>
      </c>
      <c r="L1029" s="60">
        <f>IF($C1029="B",INDEX(Batters[[#All],[CON P]],MATCH(Table5[[#This Row],[PID]],Batters[[#All],[PID]],0)),INDEX(Table3[[#All],[STU P]],MATCH(Table5[[#This Row],[PID]],Table3[[#All],[PID]],0)))</f>
        <v>3</v>
      </c>
      <c r="M1029" s="56">
        <f>IF($C1029="B",INDEX(Batters[[#All],[GAP P]],MATCH(Table5[[#This Row],[PID]],Batters[[#All],[PID]],0)),INDEX(Table3[[#All],[MOV P]],MATCH(Table5[[#This Row],[PID]],Table3[[#All],[PID]],0)))</f>
        <v>1</v>
      </c>
      <c r="N1029" s="56">
        <f>IF($C1029="B",INDEX(Batters[[#All],[POW P]],MATCH(Table5[[#This Row],[PID]],Batters[[#All],[PID]],0)),INDEX(Table3[[#All],[CON P]],MATCH(Table5[[#This Row],[PID]],Table3[[#All],[PID]],0)))</f>
        <v>3</v>
      </c>
      <c r="O1029" s="56" t="str">
        <f>IF($C1029="B",INDEX(Batters[[#All],[EYE P]],MATCH(Table5[[#This Row],[PID]],Batters[[#All],[PID]],0)),INDEX(Table3[[#All],[VELO]],MATCH(Table5[[#This Row],[PID]],Table3[[#All],[PID]],0)))</f>
        <v>86-88 Mph</v>
      </c>
      <c r="P1029" s="56">
        <f>IF($C1029="B",INDEX(Batters[[#All],[K P]],MATCH(Table5[[#This Row],[PID]],Batters[[#All],[PID]],0)),INDEX(Table3[[#All],[STM]],MATCH(Table5[[#This Row],[PID]],Table3[[#All],[PID]],0)))</f>
        <v>1</v>
      </c>
      <c r="Q1029" s="61">
        <f>IF($C1029="B",INDEX(Batters[[#All],[Tot]],MATCH(Table5[[#This Row],[PID]],Batters[[#All],[PID]],0)),INDEX(Table3[[#All],[Tot]],MATCH(Table5[[#This Row],[PID]],Table3[[#All],[PID]],0)))</f>
        <v>25.771651099870397</v>
      </c>
      <c r="R1029" s="52">
        <f>IF($C1029="B",INDEX(Batters[[#All],[zScore]],MATCH(Table5[[#This Row],[PID]],Batters[[#All],[PID]],0)),INDEX(Table3[[#All],[zScore]],MATCH(Table5[[#This Row],[PID]],Table3[[#All],[PID]],0)))</f>
        <v>-0.67186271778637574</v>
      </c>
      <c r="S1029" s="58" t="str">
        <f>IF($C1029="B",INDEX(Batters[[#All],[DEM]],MATCH(Table5[[#This Row],[PID]],Batters[[#All],[PID]],0)),INDEX(Table3[[#All],[DEM]],MATCH(Table5[[#This Row],[PID]],Table3[[#All],[PID]],0)))</f>
        <v>$38k</v>
      </c>
      <c r="T1029" s="62">
        <f>IF($C1029="B",INDEX(Batters[[#All],[Rnk]],MATCH(Table5[[#This Row],[PID]],Batters[[#All],[PID]],0)),INDEX(Table3[[#All],[Rnk]],MATCH(Table5[[#This Row],[PID]],Table3[[#All],[PID]],0)))</f>
        <v>591</v>
      </c>
      <c r="U1029" s="68">
        <f>IF($C1029="B",VLOOKUP($A1029,Bat!$A$4:$BA$1621,47,FALSE),VLOOKUP($A1029,Pit!$A$4:$BF$1557,56,FALSE))</f>
        <v>0</v>
      </c>
      <c r="V1029" s="50">
        <f>IF($C1029="B",VLOOKUP($A1029,Bat!$A$4:$BA$1621,48,FALSE),VLOOKUP($A1029,Pit!$A$4:$BF$1557,57,FALSE))</f>
        <v>0</v>
      </c>
      <c r="W1029" s="50">
        <f>Table5[[#This Row],[posRnk]]+Table5[[#This Row],[zRnk]]+IF($W$3&lt;&gt;Table5[[#This Row],[Type]],50,0)</f>
        <v>1606</v>
      </c>
      <c r="X1029" s="51">
        <f>RANK(Table5[[#This Row],[zScore]],Table5[[#All],[zScore]])</f>
        <v>965</v>
      </c>
      <c r="Y1029" s="50" t="str">
        <f>IFERROR(INDEX(DraftResults[[#All],[OVR]],MATCH(Table5[[#This Row],[PID]],DraftResults[[#All],[Player ID]],0)),"")</f>
        <v/>
      </c>
      <c r="Z10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29" s="50" t="str">
        <f>IFERROR(INDEX(DraftResults[[#All],[Pick in Round]],MATCH(Table5[[#This Row],[PID]],DraftResults[[#All],[Player ID]],0)),"")</f>
        <v/>
      </c>
      <c r="AB1029" s="50" t="str">
        <f>IFERROR(INDEX(DraftResults[[#All],[Team Name]],MATCH(Table5[[#This Row],[PID]],DraftResults[[#All],[Player ID]],0)),"")</f>
        <v/>
      </c>
      <c r="AC1029" s="50" t="str">
        <f>IF(Table5[[#This Row],[Ovr]]="","",IF(Table5[[#This Row],[cmbList]]="","",Table5[[#This Row],[cmbList]]-Table5[[#This Row],[Ovr]]))</f>
        <v/>
      </c>
      <c r="AD1029" s="54" t="str">
        <f>IF(ISERROR(VLOOKUP($AB1029&amp;"-"&amp;$E1029&amp;" "&amp;F1029,Bonuses!$B$1:$G$1006,4,FALSE)),"",INT(VLOOKUP($AB1029&amp;"-"&amp;$E1029&amp;" "&amp;$F1029,Bonuses!$B$1:$G$1006,4,FALSE)))</f>
        <v/>
      </c>
      <c r="AE10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0" spans="1:31" s="50" customFormat="1" x14ac:dyDescent="0.25">
      <c r="A1030" s="50">
        <v>21044</v>
      </c>
      <c r="B1030" s="50">
        <f>COUNTIF(Table5[PID],A1030)</f>
        <v>1</v>
      </c>
      <c r="C1030" s="50" t="str">
        <f>IF(COUNTIF(Table3[[#All],[PID]],A1030)&gt;0,"P","B")</f>
        <v>B</v>
      </c>
      <c r="D1030" s="59" t="str">
        <f>IF($C1030="B",INDEX(Batters[[#All],[POS]],MATCH(Table5[[#This Row],[PID]],Batters[[#All],[PID]],0)),INDEX(Table3[[#All],[POS]],MATCH(Table5[[#This Row],[PID]],Table3[[#All],[PID]],0)))</f>
        <v>LF</v>
      </c>
      <c r="E1030" s="52" t="str">
        <f>IF($C1030="B",INDEX(Batters[[#All],[First]],MATCH(Table5[[#This Row],[PID]],Batters[[#All],[PID]],0)),INDEX(Table3[[#All],[First]],MATCH(Table5[[#This Row],[PID]],Table3[[#All],[PID]],0)))</f>
        <v>Patrick</v>
      </c>
      <c r="F1030" s="50" t="str">
        <f>IF($C1030="B",INDEX(Batters[[#All],[Last]],MATCH(A1030,Batters[[#All],[PID]],0)),INDEX(Table3[[#All],[Last]],MATCH(A1030,Table3[[#All],[PID]],0)))</f>
        <v>Thornton</v>
      </c>
      <c r="G1030" s="56">
        <f>IF($C1030="B",INDEX(Batters[[#All],[Age]],MATCH(Table5[[#This Row],[PID]],Batters[[#All],[PID]],0)),INDEX(Table3[[#All],[Age]],MATCH(Table5[[#This Row],[PID]],Table3[[#All],[PID]],0)))</f>
        <v>18</v>
      </c>
      <c r="H1030" s="52" t="str">
        <f>IF($C1030="B",INDEX(Batters[[#All],[B]],MATCH(Table5[[#This Row],[PID]],Batters[[#All],[PID]],0)),INDEX(Table3[[#All],[B]],MATCH(Table5[[#This Row],[PID]],Table3[[#All],[PID]],0)))</f>
        <v>S</v>
      </c>
      <c r="I1030" s="52" t="str">
        <f>IF($C1030="B",INDEX(Batters[[#All],[T]],MATCH(Table5[[#This Row],[PID]],Batters[[#All],[PID]],0)),INDEX(Table3[[#All],[T]],MATCH(Table5[[#This Row],[PID]],Table3[[#All],[PID]],0)))</f>
        <v>R</v>
      </c>
      <c r="J1030" s="52" t="str">
        <f>IF($C1030="B",INDEX(Batters[[#All],[WE]],MATCH(Table5[[#This Row],[PID]],Batters[[#All],[PID]],0)),INDEX(Table3[[#All],[WE]],MATCH(Table5[[#This Row],[PID]],Table3[[#All],[PID]],0)))</f>
        <v>Low</v>
      </c>
      <c r="K1030" s="52" t="str">
        <f>IF($C1030="B",INDEX(Batters[[#All],[INT]],MATCH(Table5[[#This Row],[PID]],Batters[[#All],[PID]],0)),INDEX(Table3[[#All],[INT]],MATCH(Table5[[#This Row],[PID]],Table3[[#All],[PID]],0)))</f>
        <v>Normal</v>
      </c>
      <c r="L1030" s="60">
        <f>IF($C1030="B",INDEX(Batters[[#All],[CON P]],MATCH(Table5[[#This Row],[PID]],Batters[[#All],[PID]],0)),INDEX(Table3[[#All],[STU P]],MATCH(Table5[[#This Row],[PID]],Table3[[#All],[PID]],0)))</f>
        <v>2</v>
      </c>
      <c r="M1030" s="56">
        <f>IF($C1030="B",INDEX(Batters[[#All],[GAP P]],MATCH(Table5[[#This Row],[PID]],Batters[[#All],[PID]],0)),INDEX(Table3[[#All],[MOV P]],MATCH(Table5[[#This Row],[PID]],Table3[[#All],[PID]],0)))</f>
        <v>4</v>
      </c>
      <c r="N1030" s="56">
        <f>IF($C1030="B",INDEX(Batters[[#All],[POW P]],MATCH(Table5[[#This Row],[PID]],Batters[[#All],[PID]],0)),INDEX(Table3[[#All],[CON P]],MATCH(Table5[[#This Row],[PID]],Table3[[#All],[PID]],0)))</f>
        <v>6</v>
      </c>
      <c r="O1030" s="56">
        <f>IF($C1030="B",INDEX(Batters[[#All],[EYE P]],MATCH(Table5[[#This Row],[PID]],Batters[[#All],[PID]],0)),INDEX(Table3[[#All],[VELO]],MATCH(Table5[[#This Row],[PID]],Table3[[#All],[PID]],0)))</f>
        <v>6</v>
      </c>
      <c r="P1030" s="56">
        <f>IF($C1030="B",INDEX(Batters[[#All],[K P]],MATCH(Table5[[#This Row],[PID]],Batters[[#All],[PID]],0)),INDEX(Table3[[#All],[STM]],MATCH(Table5[[#This Row],[PID]],Table3[[#All],[PID]],0)))</f>
        <v>2</v>
      </c>
      <c r="Q1030" s="61">
        <f>IF($C1030="B",INDEX(Batters[[#All],[Tot]],MATCH(Table5[[#This Row],[PID]],Batters[[#All],[PID]],0)),INDEX(Table3[[#All],[Tot]],MATCH(Table5[[#This Row],[PID]],Table3[[#All],[PID]],0)))</f>
        <v>41.069284096412453</v>
      </c>
      <c r="R1030" s="52">
        <f>IF($C1030="B",INDEX(Batters[[#All],[zScore]],MATCH(Table5[[#This Row],[PID]],Batters[[#All],[PID]],0)),INDEX(Table3[[#All],[zScore]],MATCH(Table5[[#This Row],[PID]],Table3[[#All],[PID]],0)))</f>
        <v>-0.67901145374236183</v>
      </c>
      <c r="S1030" s="58" t="str">
        <f>IF($C1030="B",INDEX(Batters[[#All],[DEM]],MATCH(Table5[[#This Row],[PID]],Batters[[#All],[PID]],0)),INDEX(Table3[[#All],[DEM]],MATCH(Table5[[#This Row],[PID]],Table3[[#All],[PID]],0)))</f>
        <v>$70k</v>
      </c>
      <c r="T1030" s="62">
        <f>IF($C1030="B",INDEX(Batters[[#All],[Rnk]],MATCH(Table5[[#This Row],[PID]],Batters[[#All],[PID]],0)),INDEX(Table3[[#All],[Rnk]],MATCH(Table5[[#This Row],[PID]],Table3[[#All],[PID]],0)))</f>
        <v>375</v>
      </c>
      <c r="U1030" s="68">
        <f>IF($C1030="B",VLOOKUP($A1030,Bat!$A$4:$BA$1621,47,FALSE),VLOOKUP($A1030,Pit!$A$4:$BF$1557,56,FALSE))</f>
        <v>0</v>
      </c>
      <c r="V1030" s="50">
        <f>IF($C1030="B",VLOOKUP($A1030,Bat!$A$4:$BA$1621,48,FALSE),VLOOKUP($A1030,Pit!$A$4:$BF$1557,57,FALSE))</f>
        <v>0</v>
      </c>
      <c r="W1030" s="50">
        <f>Table5[[#This Row],[posRnk]]+Table5[[#This Row],[zRnk]]+IF($W$3&lt;&gt;Table5[[#This Row],[Type]],50,0)</f>
        <v>1392</v>
      </c>
      <c r="X1030" s="51">
        <f>RANK(Table5[[#This Row],[zScore]],Table5[[#All],[zScore]])</f>
        <v>967</v>
      </c>
      <c r="Y1030" s="50" t="str">
        <f>IFERROR(INDEX(DraftResults[[#All],[OVR]],MATCH(Table5[[#This Row],[PID]],DraftResults[[#All],[Player ID]],0)),"")</f>
        <v/>
      </c>
      <c r="Z10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0" s="50" t="str">
        <f>IFERROR(INDEX(DraftResults[[#All],[Pick in Round]],MATCH(Table5[[#This Row],[PID]],DraftResults[[#All],[Player ID]],0)),"")</f>
        <v/>
      </c>
      <c r="AB1030" s="50" t="str">
        <f>IFERROR(INDEX(DraftResults[[#All],[Team Name]],MATCH(Table5[[#This Row],[PID]],DraftResults[[#All],[Player ID]],0)),"")</f>
        <v/>
      </c>
      <c r="AC1030" s="50" t="str">
        <f>IF(Table5[[#This Row],[Ovr]]="","",IF(Table5[[#This Row],[cmbList]]="","",Table5[[#This Row],[cmbList]]-Table5[[#This Row],[Ovr]]))</f>
        <v/>
      </c>
      <c r="AD1030" s="54" t="str">
        <f>IF(ISERROR(VLOOKUP($AB1030&amp;"-"&amp;$E1030&amp;" "&amp;F1030,Bonuses!$B$1:$G$1006,4,FALSE)),"",INT(VLOOKUP($AB1030&amp;"-"&amp;$E1030&amp;" "&amp;$F1030,Bonuses!$B$1:$G$1006,4,FALSE)))</f>
        <v/>
      </c>
      <c r="AE10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1" spans="1:31" s="50" customFormat="1" x14ac:dyDescent="0.25">
      <c r="A1031" s="50">
        <v>21104</v>
      </c>
      <c r="B1031" s="50">
        <f>COUNTIF(Table5[PID],A1031)</f>
        <v>1</v>
      </c>
      <c r="C1031" s="50" t="str">
        <f>IF(COUNTIF(Table3[[#All],[PID]],A1031)&gt;0,"P","B")</f>
        <v>P</v>
      </c>
      <c r="D1031" s="59" t="str">
        <f>IF($C1031="B",INDEX(Batters[[#All],[POS]],MATCH(Table5[[#This Row],[PID]],Batters[[#All],[PID]],0)),INDEX(Table3[[#All],[POS]],MATCH(Table5[[#This Row],[PID]],Table3[[#All],[PID]],0)))</f>
        <v>RP</v>
      </c>
      <c r="E1031" s="52" t="str">
        <f>IF($C1031="B",INDEX(Batters[[#All],[First]],MATCH(Table5[[#This Row],[PID]],Batters[[#All],[PID]],0)),INDEX(Table3[[#All],[First]],MATCH(Table5[[#This Row],[PID]],Table3[[#All],[PID]],0)))</f>
        <v>Tiarnán</v>
      </c>
      <c r="F1031" s="50" t="str">
        <f>IF($C1031="B",INDEX(Batters[[#All],[Last]],MATCH(A1031,Batters[[#All],[PID]],0)),INDEX(Table3[[#All],[Last]],MATCH(A1031,Table3[[#All],[PID]],0)))</f>
        <v>Pemberton</v>
      </c>
      <c r="G1031" s="56">
        <f>IF($C1031="B",INDEX(Batters[[#All],[Age]],MATCH(Table5[[#This Row],[PID]],Batters[[#All],[PID]],0)),INDEX(Table3[[#All],[Age]],MATCH(Table5[[#This Row],[PID]],Table3[[#All],[PID]],0)))</f>
        <v>17</v>
      </c>
      <c r="H1031" s="52" t="str">
        <f>IF($C1031="B",INDEX(Batters[[#All],[B]],MATCH(Table5[[#This Row],[PID]],Batters[[#All],[PID]],0)),INDEX(Table3[[#All],[B]],MATCH(Table5[[#This Row],[PID]],Table3[[#All],[PID]],0)))</f>
        <v>L</v>
      </c>
      <c r="I1031" s="52" t="str">
        <f>IF($C1031="B",INDEX(Batters[[#All],[T]],MATCH(Table5[[#This Row],[PID]],Batters[[#All],[PID]],0)),INDEX(Table3[[#All],[T]],MATCH(Table5[[#This Row],[PID]],Table3[[#All],[PID]],0)))</f>
        <v>L</v>
      </c>
      <c r="J1031" s="52" t="str">
        <f>IF($C1031="B",INDEX(Batters[[#All],[WE]],MATCH(Table5[[#This Row],[PID]],Batters[[#All],[PID]],0)),INDEX(Table3[[#All],[WE]],MATCH(Table5[[#This Row],[PID]],Table3[[#All],[PID]],0)))</f>
        <v>High</v>
      </c>
      <c r="K1031" s="52" t="str">
        <f>IF($C1031="B",INDEX(Batters[[#All],[INT]],MATCH(Table5[[#This Row],[PID]],Batters[[#All],[PID]],0)),INDEX(Table3[[#All],[INT]],MATCH(Table5[[#This Row],[PID]],Table3[[#All],[PID]],0)))</f>
        <v>Normal</v>
      </c>
      <c r="L1031" s="60">
        <f>IF($C1031="B",INDEX(Batters[[#All],[CON P]],MATCH(Table5[[#This Row],[PID]],Batters[[#All],[PID]],0)),INDEX(Table3[[#All],[STU P]],MATCH(Table5[[#This Row],[PID]],Table3[[#All],[PID]],0)))</f>
        <v>3</v>
      </c>
      <c r="M1031" s="56">
        <f>IF($C1031="B",INDEX(Batters[[#All],[GAP P]],MATCH(Table5[[#This Row],[PID]],Batters[[#All],[PID]],0)),INDEX(Table3[[#All],[MOV P]],MATCH(Table5[[#This Row],[PID]],Table3[[#All],[PID]],0)))</f>
        <v>1</v>
      </c>
      <c r="N1031" s="56">
        <f>IF($C1031="B",INDEX(Batters[[#All],[POW P]],MATCH(Table5[[#This Row],[PID]],Batters[[#All],[PID]],0)),INDEX(Table3[[#All],[CON P]],MATCH(Table5[[#This Row],[PID]],Table3[[#All],[PID]],0)))</f>
        <v>3</v>
      </c>
      <c r="O1031" s="56" t="str">
        <f>IF($C1031="B",INDEX(Batters[[#All],[EYE P]],MATCH(Table5[[#This Row],[PID]],Batters[[#All],[PID]],0)),INDEX(Table3[[#All],[VELO]],MATCH(Table5[[#This Row],[PID]],Table3[[#All],[PID]],0)))</f>
        <v>87-89 Mph</v>
      </c>
      <c r="P1031" s="56">
        <f>IF($C1031="B",INDEX(Batters[[#All],[K P]],MATCH(Table5[[#This Row],[PID]],Batters[[#All],[PID]],0)),INDEX(Table3[[#All],[STM]],MATCH(Table5[[#This Row],[PID]],Table3[[#All],[PID]],0)))</f>
        <v>8</v>
      </c>
      <c r="Q1031" s="61">
        <f>IF($C1031="B",INDEX(Batters[[#All],[Tot]],MATCH(Table5[[#This Row],[PID]],Batters[[#All],[PID]],0)),INDEX(Table3[[#All],[Tot]],MATCH(Table5[[#This Row],[PID]],Table3[[#All],[PID]],0)))</f>
        <v>25.659327295229144</v>
      </c>
      <c r="R1031" s="52">
        <f>IF($C1031="B",INDEX(Batters[[#All],[zScore]],MATCH(Table5[[#This Row],[PID]],Batters[[#All],[PID]],0)),INDEX(Table3[[#All],[zScore]],MATCH(Table5[[#This Row],[PID]],Table3[[#All],[PID]],0)))</f>
        <v>-0.67933544886615926</v>
      </c>
      <c r="S1031" s="58" t="str">
        <f>IF($C1031="B",INDEX(Batters[[#All],[DEM]],MATCH(Table5[[#This Row],[PID]],Batters[[#All],[PID]],0)),INDEX(Table3[[#All],[DEM]],MATCH(Table5[[#This Row],[PID]],Table3[[#All],[PID]],0)))</f>
        <v>$65k</v>
      </c>
      <c r="T1031" s="62">
        <f>IF($C1031="B",INDEX(Batters[[#All],[Rnk]],MATCH(Table5[[#This Row],[PID]],Batters[[#All],[PID]],0)),INDEX(Table3[[#All],[Rnk]],MATCH(Table5[[#This Row],[PID]],Table3[[#All],[PID]],0)))</f>
        <v>592</v>
      </c>
      <c r="U1031" s="68">
        <f>IF($C1031="B",VLOOKUP($A1031,Bat!$A$4:$BA$1621,47,FALSE),VLOOKUP($A1031,Pit!$A$4:$BF$1557,56,FALSE))</f>
        <v>0</v>
      </c>
      <c r="V1031" s="50">
        <f>IF($C1031="B",VLOOKUP($A1031,Bat!$A$4:$BA$1621,48,FALSE),VLOOKUP($A1031,Pit!$A$4:$BF$1557,57,FALSE))</f>
        <v>0</v>
      </c>
      <c r="W1031" s="50">
        <f>Table5[[#This Row],[posRnk]]+Table5[[#This Row],[zRnk]]+IF($W$3&lt;&gt;Table5[[#This Row],[Type]],50,0)</f>
        <v>1610</v>
      </c>
      <c r="X1031" s="51">
        <f>RANK(Table5[[#This Row],[zScore]],Table5[[#All],[zScore]])</f>
        <v>968</v>
      </c>
      <c r="Y1031" s="50" t="str">
        <f>IFERROR(INDEX(DraftResults[[#All],[OVR]],MATCH(Table5[[#This Row],[PID]],DraftResults[[#All],[Player ID]],0)),"")</f>
        <v/>
      </c>
      <c r="Z10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1" s="50" t="str">
        <f>IFERROR(INDEX(DraftResults[[#All],[Pick in Round]],MATCH(Table5[[#This Row],[PID]],DraftResults[[#All],[Player ID]],0)),"")</f>
        <v/>
      </c>
      <c r="AB1031" s="50" t="str">
        <f>IFERROR(INDEX(DraftResults[[#All],[Team Name]],MATCH(Table5[[#This Row],[PID]],DraftResults[[#All],[Player ID]],0)),"")</f>
        <v/>
      </c>
      <c r="AC1031" s="50" t="str">
        <f>IF(Table5[[#This Row],[Ovr]]="","",IF(Table5[[#This Row],[cmbList]]="","",Table5[[#This Row],[cmbList]]-Table5[[#This Row],[Ovr]]))</f>
        <v/>
      </c>
      <c r="AD1031" s="54" t="str">
        <f>IF(ISERROR(VLOOKUP($AB1031&amp;"-"&amp;$E1031&amp;" "&amp;F1031,Bonuses!$B$1:$G$1006,4,FALSE)),"",INT(VLOOKUP($AB1031&amp;"-"&amp;$E1031&amp;" "&amp;$F1031,Bonuses!$B$1:$G$1006,4,FALSE)))</f>
        <v/>
      </c>
      <c r="AE10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2" spans="1:31" s="50" customFormat="1" x14ac:dyDescent="0.25">
      <c r="A1032" s="50">
        <v>20337</v>
      </c>
      <c r="B1032" s="55">
        <f>COUNTIF(Table5[PID],A1032)</f>
        <v>1</v>
      </c>
      <c r="C1032" s="55" t="str">
        <f>IF(COUNTIF(Table3[[#All],[PID]],A1032)&gt;0,"P","B")</f>
        <v>B</v>
      </c>
      <c r="D1032" s="59" t="str">
        <f>IF($C1032="B",INDEX(Batters[[#All],[POS]],MATCH(Table5[[#This Row],[PID]],Batters[[#All],[PID]],0)),INDEX(Table3[[#All],[POS]],MATCH(Table5[[#This Row],[PID]],Table3[[#All],[PID]],0)))</f>
        <v>C</v>
      </c>
      <c r="E1032" s="52" t="str">
        <f>IF($C1032="B",INDEX(Batters[[#All],[First]],MATCH(Table5[[#This Row],[PID]],Batters[[#All],[PID]],0)),INDEX(Table3[[#All],[First]],MATCH(Table5[[#This Row],[PID]],Table3[[#All],[PID]],0)))</f>
        <v>Austin</v>
      </c>
      <c r="F1032" s="50" t="str">
        <f>IF($C1032="B",INDEX(Batters[[#All],[Last]],MATCH(A1032,Batters[[#All],[PID]],0)),INDEX(Table3[[#All],[Last]],MATCH(A1032,Table3[[#All],[PID]],0)))</f>
        <v>Birss</v>
      </c>
      <c r="G1032" s="56">
        <f>IF($C1032="B",INDEX(Batters[[#All],[Age]],MATCH(Table5[[#This Row],[PID]],Batters[[#All],[PID]],0)),INDEX(Table3[[#All],[Age]],MATCH(Table5[[#This Row],[PID]],Table3[[#All],[PID]],0)))</f>
        <v>17</v>
      </c>
      <c r="H1032" s="52" t="str">
        <f>IF($C1032="B",INDEX(Batters[[#All],[B]],MATCH(Table5[[#This Row],[PID]],Batters[[#All],[PID]],0)),INDEX(Table3[[#All],[B]],MATCH(Table5[[#This Row],[PID]],Table3[[#All],[PID]],0)))</f>
        <v>R</v>
      </c>
      <c r="I1032" s="52" t="str">
        <f>IF($C1032="B",INDEX(Batters[[#All],[T]],MATCH(Table5[[#This Row],[PID]],Batters[[#All],[PID]],0)),INDEX(Table3[[#All],[T]],MATCH(Table5[[#This Row],[PID]],Table3[[#All],[PID]],0)))</f>
        <v>R</v>
      </c>
      <c r="J1032" s="52" t="str">
        <f>IF($C1032="B",INDEX(Batters[[#All],[WE]],MATCH(Table5[[#This Row],[PID]],Batters[[#All],[PID]],0)),INDEX(Table3[[#All],[WE]],MATCH(Table5[[#This Row],[PID]],Table3[[#All],[PID]],0)))</f>
        <v>Low</v>
      </c>
      <c r="K1032" s="52" t="str">
        <f>IF($C1032="B",INDEX(Batters[[#All],[INT]],MATCH(Table5[[#This Row],[PID]],Batters[[#All],[PID]],0)),INDEX(Table3[[#All],[INT]],MATCH(Table5[[#This Row],[PID]],Table3[[#All],[PID]],0)))</f>
        <v>Normal</v>
      </c>
      <c r="L1032" s="60">
        <f>IF($C1032="B",INDEX(Batters[[#All],[CON P]],MATCH(Table5[[#This Row],[PID]],Batters[[#All],[PID]],0)),INDEX(Table3[[#All],[STU P]],MATCH(Table5[[#This Row],[PID]],Table3[[#All],[PID]],0)))</f>
        <v>2</v>
      </c>
      <c r="M1032" s="56">
        <f>IF($C1032="B",INDEX(Batters[[#All],[GAP P]],MATCH(Table5[[#This Row],[PID]],Batters[[#All],[PID]],0)),INDEX(Table3[[#All],[MOV P]],MATCH(Table5[[#This Row],[PID]],Table3[[#All],[PID]],0)))</f>
        <v>3</v>
      </c>
      <c r="N1032" s="56">
        <f>IF($C1032="B",INDEX(Batters[[#All],[POW P]],MATCH(Table5[[#This Row],[PID]],Batters[[#All],[PID]],0)),INDEX(Table3[[#All],[CON P]],MATCH(Table5[[#This Row],[PID]],Table3[[#All],[PID]],0)))</f>
        <v>6</v>
      </c>
      <c r="O1032" s="56">
        <f>IF($C1032="B",INDEX(Batters[[#All],[EYE P]],MATCH(Table5[[#This Row],[PID]],Batters[[#All],[PID]],0)),INDEX(Table3[[#All],[VELO]],MATCH(Table5[[#This Row],[PID]],Table3[[#All],[PID]],0)))</f>
        <v>7</v>
      </c>
      <c r="P1032" s="56">
        <f>IF($C1032="B",INDEX(Batters[[#All],[K P]],MATCH(Table5[[#This Row],[PID]],Batters[[#All],[PID]],0)),INDEX(Table3[[#All],[STM]],MATCH(Table5[[#This Row],[PID]],Table3[[#All],[PID]],0)))</f>
        <v>1</v>
      </c>
      <c r="Q1032" s="61">
        <f>IF($C1032="B",INDEX(Batters[[#All],[Tot]],MATCH(Table5[[#This Row],[PID]],Batters[[#All],[PID]],0)),INDEX(Table3[[#All],[Tot]],MATCH(Table5[[#This Row],[PID]],Table3[[#All],[PID]],0)))</f>
        <v>41.066961006260804</v>
      </c>
      <c r="R1032" s="52">
        <f>IF($C1032="B",INDEX(Batters[[#All],[zScore]],MATCH(Table5[[#This Row],[PID]],Batters[[#All],[PID]],0)),INDEX(Table3[[#All],[zScore]],MATCH(Table5[[#This Row],[PID]],Table3[[#All],[PID]],0)))</f>
        <v>-0.6795264985316144</v>
      </c>
      <c r="S1032" s="58" t="str">
        <f>IF($C1032="B",INDEX(Batters[[#All],[DEM]],MATCH(Table5[[#This Row],[PID]],Batters[[#All],[PID]],0)),INDEX(Table3[[#All],[DEM]],MATCH(Table5[[#This Row],[PID]],Table3[[#All],[PID]],0)))</f>
        <v>$75k</v>
      </c>
      <c r="T1032" s="62">
        <f>IF($C1032="B",INDEX(Batters[[#All],[Rnk]],MATCH(Table5[[#This Row],[PID]],Batters[[#All],[PID]],0)),INDEX(Table3[[#All],[Rnk]],MATCH(Table5[[#This Row],[PID]],Table3[[#All],[PID]],0)))</f>
        <v>376</v>
      </c>
      <c r="U1032" s="68">
        <f>IF($C1032="B",VLOOKUP($A1032,Bat!$A$4:$BA$1621,47,FALSE),VLOOKUP($A1032,Pit!$A$4:$BF$1557,56,FALSE))</f>
        <v>0</v>
      </c>
      <c r="V1032" s="50">
        <f>IF($C1032="B",VLOOKUP($A1032,Bat!$A$4:$BA$1621,48,FALSE),VLOOKUP($A1032,Pit!$A$4:$BF$1557,57,FALSE))</f>
        <v>0</v>
      </c>
      <c r="W1032" s="50">
        <f>Table5[[#This Row],[posRnk]]+Table5[[#This Row],[zRnk]]+IF($W$3&lt;&gt;Table5[[#This Row],[Type]],50,0)</f>
        <v>1395</v>
      </c>
      <c r="X1032" s="51">
        <f>RANK(Table5[[#This Row],[zScore]],Table5[[#All],[zScore]])</f>
        <v>969</v>
      </c>
      <c r="Y1032" s="50" t="str">
        <f>IFERROR(INDEX(DraftResults[[#All],[OVR]],MATCH(Table5[[#This Row],[PID]],DraftResults[[#All],[Player ID]],0)),"")</f>
        <v/>
      </c>
      <c r="Z10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2" s="50" t="str">
        <f>IFERROR(INDEX(DraftResults[[#All],[Pick in Round]],MATCH(Table5[[#This Row],[PID]],DraftResults[[#All],[Player ID]],0)),"")</f>
        <v/>
      </c>
      <c r="AB1032" s="50" t="str">
        <f>IFERROR(INDEX(DraftResults[[#All],[Team Name]],MATCH(Table5[[#This Row],[PID]],DraftResults[[#All],[Player ID]],0)),"")</f>
        <v/>
      </c>
      <c r="AC1032" s="50" t="str">
        <f>IF(Table5[[#This Row],[Ovr]]="","",IF(Table5[[#This Row],[cmbList]]="","",Table5[[#This Row],[cmbList]]-Table5[[#This Row],[Ovr]]))</f>
        <v/>
      </c>
      <c r="AD1032" s="54" t="str">
        <f>IF(ISERROR(VLOOKUP($AB1032&amp;"-"&amp;$E1032&amp;" "&amp;F1032,Bonuses!$B$1:$G$1006,4,FALSE)),"",INT(VLOOKUP($AB1032&amp;"-"&amp;$E1032&amp;" "&amp;$F1032,Bonuses!$B$1:$G$1006,4,FALSE)))</f>
        <v/>
      </c>
      <c r="AE10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3" spans="1:31" s="50" customFormat="1" x14ac:dyDescent="0.25">
      <c r="A1033" s="50">
        <v>15771</v>
      </c>
      <c r="B1033" s="50">
        <f>COUNTIF(Table5[PID],A1033)</f>
        <v>1</v>
      </c>
      <c r="C1033" s="50" t="str">
        <f>IF(COUNTIF(Table3[[#All],[PID]],A1033)&gt;0,"P","B")</f>
        <v>P</v>
      </c>
      <c r="D1033" s="59" t="str">
        <f>IF($C1033="B",INDEX(Batters[[#All],[POS]],MATCH(Table5[[#This Row],[PID]],Batters[[#All],[PID]],0)),INDEX(Table3[[#All],[POS]],MATCH(Table5[[#This Row],[PID]],Table3[[#All],[PID]],0)))</f>
        <v>RP</v>
      </c>
      <c r="E1033" s="52" t="str">
        <f>IF($C1033="B",INDEX(Batters[[#All],[First]],MATCH(Table5[[#This Row],[PID]],Batters[[#All],[PID]],0)),INDEX(Table3[[#All],[First]],MATCH(Table5[[#This Row],[PID]],Table3[[#All],[PID]],0)))</f>
        <v>Bogdan</v>
      </c>
      <c r="F1033" s="50" t="str">
        <f>IF($C1033="B",INDEX(Batters[[#All],[Last]],MATCH(A1033,Batters[[#All],[PID]],0)),INDEX(Table3[[#All],[Last]],MATCH(A1033,Table3[[#All],[PID]],0)))</f>
        <v>Roodenburg</v>
      </c>
      <c r="G1033" s="56">
        <f>IF($C1033="B",INDEX(Batters[[#All],[Age]],MATCH(Table5[[#This Row],[PID]],Batters[[#All],[PID]],0)),INDEX(Table3[[#All],[Age]],MATCH(Table5[[#This Row],[PID]],Table3[[#All],[PID]],0)))</f>
        <v>21</v>
      </c>
      <c r="H1033" s="52" t="str">
        <f>IF($C1033="B",INDEX(Batters[[#All],[B]],MATCH(Table5[[#This Row],[PID]],Batters[[#All],[PID]],0)),INDEX(Table3[[#All],[B]],MATCH(Table5[[#This Row],[PID]],Table3[[#All],[PID]],0)))</f>
        <v>R</v>
      </c>
      <c r="I1033" s="52" t="str">
        <f>IF($C1033="B",INDEX(Batters[[#All],[T]],MATCH(Table5[[#This Row],[PID]],Batters[[#All],[PID]],0)),INDEX(Table3[[#All],[T]],MATCH(Table5[[#This Row],[PID]],Table3[[#All],[PID]],0)))</f>
        <v>R</v>
      </c>
      <c r="J1033" s="52" t="str">
        <f>IF($C1033="B",INDEX(Batters[[#All],[WE]],MATCH(Table5[[#This Row],[PID]],Batters[[#All],[PID]],0)),INDEX(Table3[[#All],[WE]],MATCH(Table5[[#This Row],[PID]],Table3[[#All],[PID]],0)))</f>
        <v>Low</v>
      </c>
      <c r="K1033" s="52" t="str">
        <f>IF($C1033="B",INDEX(Batters[[#All],[INT]],MATCH(Table5[[#This Row],[PID]],Batters[[#All],[PID]],0)),INDEX(Table3[[#All],[INT]],MATCH(Table5[[#This Row],[PID]],Table3[[#All],[PID]],0)))</f>
        <v>Normal</v>
      </c>
      <c r="L1033" s="60">
        <f>IF($C1033="B",INDEX(Batters[[#All],[CON P]],MATCH(Table5[[#This Row],[PID]],Batters[[#All],[PID]],0)),INDEX(Table3[[#All],[STU P]],MATCH(Table5[[#This Row],[PID]],Table3[[#All],[PID]],0)))</f>
        <v>3</v>
      </c>
      <c r="M1033" s="56">
        <f>IF($C1033="B",INDEX(Batters[[#All],[GAP P]],MATCH(Table5[[#This Row],[PID]],Batters[[#All],[PID]],0)),INDEX(Table3[[#All],[MOV P]],MATCH(Table5[[#This Row],[PID]],Table3[[#All],[PID]],0)))</f>
        <v>2</v>
      </c>
      <c r="N1033" s="56">
        <f>IF($C1033="B",INDEX(Batters[[#All],[POW P]],MATCH(Table5[[#This Row],[PID]],Batters[[#All],[PID]],0)),INDEX(Table3[[#All],[CON P]],MATCH(Table5[[#This Row],[PID]],Table3[[#All],[PID]],0)))</f>
        <v>3</v>
      </c>
      <c r="O1033" s="56" t="str">
        <f>IF($C1033="B",INDEX(Batters[[#All],[EYE P]],MATCH(Table5[[#This Row],[PID]],Batters[[#All],[PID]],0)),INDEX(Table3[[#All],[VELO]],MATCH(Table5[[#This Row],[PID]],Table3[[#All],[PID]],0)))</f>
        <v>85-87 Mph</v>
      </c>
      <c r="P1033" s="56">
        <f>IF($C1033="B",INDEX(Batters[[#All],[K P]],MATCH(Table5[[#This Row],[PID]],Batters[[#All],[PID]],0)),INDEX(Table3[[#All],[STM]],MATCH(Table5[[#This Row],[PID]],Table3[[#All],[PID]],0)))</f>
        <v>6</v>
      </c>
      <c r="Q1033" s="61">
        <f>IF($C1033="B",INDEX(Batters[[#All],[Tot]],MATCH(Table5[[#This Row],[PID]],Batters[[#All],[PID]],0)),INDEX(Table3[[#All],[Tot]],MATCH(Table5[[#This Row],[PID]],Table3[[#All],[PID]],0)))</f>
        <v>25.644586611676118</v>
      </c>
      <c r="R1033" s="52">
        <f>IF($C1033="B",INDEX(Batters[[#All],[zScore]],MATCH(Table5[[#This Row],[PID]],Batters[[#All],[PID]],0)),INDEX(Table3[[#All],[zScore]],MATCH(Table5[[#This Row],[PID]],Table3[[#All],[PID]],0)))</f>
        <v>-0.68031612401757324</v>
      </c>
      <c r="S1033" s="58" t="str">
        <f>IF($C1033="B",INDEX(Batters[[#All],[DEM]],MATCH(Table5[[#This Row],[PID]],Batters[[#All],[PID]],0)),INDEX(Table3[[#All],[DEM]],MATCH(Table5[[#This Row],[PID]],Table3[[#All],[PID]],0)))</f>
        <v>$20k</v>
      </c>
      <c r="T1033" s="62">
        <f>IF($C1033="B",INDEX(Batters[[#All],[Rnk]],MATCH(Table5[[#This Row],[PID]],Batters[[#All],[PID]],0)),INDEX(Table3[[#All],[Rnk]],MATCH(Table5[[#This Row],[PID]],Table3[[#All],[PID]],0)))</f>
        <v>593</v>
      </c>
      <c r="U1033" s="68">
        <f>IF($C1033="B",VLOOKUP($A1033,Bat!$A$4:$BA$1621,47,FALSE),VLOOKUP($A1033,Pit!$A$4:$BF$1557,56,FALSE))</f>
        <v>0</v>
      </c>
      <c r="V1033" s="50">
        <f>IF($C1033="B",VLOOKUP($A1033,Bat!$A$4:$BA$1621,48,FALSE),VLOOKUP($A1033,Pit!$A$4:$BF$1557,57,FALSE))</f>
        <v>0</v>
      </c>
      <c r="W1033" s="50">
        <f>Table5[[#This Row],[posRnk]]+Table5[[#This Row],[zRnk]]+IF($W$3&lt;&gt;Table5[[#This Row],[Type]],50,0)</f>
        <v>1613</v>
      </c>
      <c r="X1033" s="51">
        <f>RANK(Table5[[#This Row],[zScore]],Table5[[#All],[zScore]])</f>
        <v>970</v>
      </c>
      <c r="Y1033" s="50" t="str">
        <f>IFERROR(INDEX(DraftResults[[#All],[OVR]],MATCH(Table5[[#This Row],[PID]],DraftResults[[#All],[Player ID]],0)),"")</f>
        <v/>
      </c>
      <c r="Z10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3" s="50" t="str">
        <f>IFERROR(INDEX(DraftResults[[#All],[Pick in Round]],MATCH(Table5[[#This Row],[PID]],DraftResults[[#All],[Player ID]],0)),"")</f>
        <v/>
      </c>
      <c r="AB1033" s="50" t="str">
        <f>IFERROR(INDEX(DraftResults[[#All],[Team Name]],MATCH(Table5[[#This Row],[PID]],DraftResults[[#All],[Player ID]],0)),"")</f>
        <v/>
      </c>
      <c r="AC1033" s="50" t="str">
        <f>IF(Table5[[#This Row],[Ovr]]="","",IF(Table5[[#This Row],[cmbList]]="","",Table5[[#This Row],[cmbList]]-Table5[[#This Row],[Ovr]]))</f>
        <v/>
      </c>
      <c r="AD1033" s="54" t="str">
        <f>IF(ISERROR(VLOOKUP($AB1033&amp;"-"&amp;$E1033&amp;" "&amp;F1033,Bonuses!$B$1:$G$1006,4,FALSE)),"",INT(VLOOKUP($AB1033&amp;"-"&amp;$E1033&amp;" "&amp;$F1033,Bonuses!$B$1:$G$1006,4,FALSE)))</f>
        <v/>
      </c>
      <c r="AE10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4" spans="1:31" s="50" customFormat="1" x14ac:dyDescent="0.25">
      <c r="A1034" s="50">
        <v>12613</v>
      </c>
      <c r="B1034" s="50">
        <f>COUNTIF(Table5[PID],A1034)</f>
        <v>1</v>
      </c>
      <c r="C1034" s="50" t="str">
        <f>IF(COUNTIF(Table3[[#All],[PID]],A1034)&gt;0,"P","B")</f>
        <v>P</v>
      </c>
      <c r="D1034" s="59" t="str">
        <f>IF($C1034="B",INDEX(Batters[[#All],[POS]],MATCH(Table5[[#This Row],[PID]],Batters[[#All],[PID]],0)),INDEX(Table3[[#All],[POS]],MATCH(Table5[[#This Row],[PID]],Table3[[#All],[PID]],0)))</f>
        <v>RP</v>
      </c>
      <c r="E1034" s="52" t="str">
        <f>IF($C1034="B",INDEX(Batters[[#All],[First]],MATCH(Table5[[#This Row],[PID]],Batters[[#All],[PID]],0)),INDEX(Table3[[#All],[First]],MATCH(Table5[[#This Row],[PID]],Table3[[#All],[PID]],0)))</f>
        <v>Kyoichi</v>
      </c>
      <c r="F1034" s="50" t="str">
        <f>IF($C1034="B",INDEX(Batters[[#All],[Last]],MATCH(A1034,Batters[[#All],[PID]],0)),INDEX(Table3[[#All],[Last]],MATCH(A1034,Table3[[#All],[PID]],0)))</f>
        <v>Noda</v>
      </c>
      <c r="G1034" s="56">
        <f>IF($C1034="B",INDEX(Batters[[#All],[Age]],MATCH(Table5[[#This Row],[PID]],Batters[[#All],[PID]],0)),INDEX(Table3[[#All],[Age]],MATCH(Table5[[#This Row],[PID]],Table3[[#All],[PID]],0)))</f>
        <v>22</v>
      </c>
      <c r="H1034" s="52" t="str">
        <f>IF($C1034="B",INDEX(Batters[[#All],[B]],MATCH(Table5[[#This Row],[PID]],Batters[[#All],[PID]],0)),INDEX(Table3[[#All],[B]],MATCH(Table5[[#This Row],[PID]],Table3[[#All],[PID]],0)))</f>
        <v>R</v>
      </c>
      <c r="I1034" s="52" t="str">
        <f>IF($C1034="B",INDEX(Batters[[#All],[T]],MATCH(Table5[[#This Row],[PID]],Batters[[#All],[PID]],0)),INDEX(Table3[[#All],[T]],MATCH(Table5[[#This Row],[PID]],Table3[[#All],[PID]],0)))</f>
        <v>R</v>
      </c>
      <c r="J1034" s="52" t="str">
        <f>IF($C1034="B",INDEX(Batters[[#All],[WE]],MATCH(Table5[[#This Row],[PID]],Batters[[#All],[PID]],0)),INDEX(Table3[[#All],[WE]],MATCH(Table5[[#This Row],[PID]],Table3[[#All],[PID]],0)))</f>
        <v>High</v>
      </c>
      <c r="K1034" s="52" t="str">
        <f>IF($C1034="B",INDEX(Batters[[#All],[INT]],MATCH(Table5[[#This Row],[PID]],Batters[[#All],[PID]],0)),INDEX(Table3[[#All],[INT]],MATCH(Table5[[#This Row],[PID]],Table3[[#All],[PID]],0)))</f>
        <v>Normal</v>
      </c>
      <c r="L1034" s="60">
        <f>IF($C1034="B",INDEX(Batters[[#All],[CON P]],MATCH(Table5[[#This Row],[PID]],Batters[[#All],[PID]],0)),INDEX(Table3[[#All],[STU P]],MATCH(Table5[[#This Row],[PID]],Table3[[#All],[PID]],0)))</f>
        <v>3</v>
      </c>
      <c r="M1034" s="56">
        <f>IF($C1034="B",INDEX(Batters[[#All],[GAP P]],MATCH(Table5[[#This Row],[PID]],Batters[[#All],[PID]],0)),INDEX(Table3[[#All],[MOV P]],MATCH(Table5[[#This Row],[PID]],Table3[[#All],[PID]],0)))</f>
        <v>2</v>
      </c>
      <c r="N1034" s="56">
        <f>IF($C1034="B",INDEX(Batters[[#All],[POW P]],MATCH(Table5[[#This Row],[PID]],Batters[[#All],[PID]],0)),INDEX(Table3[[#All],[CON P]],MATCH(Table5[[#This Row],[PID]],Table3[[#All],[PID]],0)))</f>
        <v>3</v>
      </c>
      <c r="O1034" s="56" t="str">
        <f>IF($C1034="B",INDEX(Batters[[#All],[EYE P]],MATCH(Table5[[#This Row],[PID]],Batters[[#All],[PID]],0)),INDEX(Table3[[#All],[VELO]],MATCH(Table5[[#This Row],[PID]],Table3[[#All],[PID]],0)))</f>
        <v>89-91 Mph</v>
      </c>
      <c r="P1034" s="56">
        <f>IF($C1034="B",INDEX(Batters[[#All],[K P]],MATCH(Table5[[#This Row],[PID]],Batters[[#All],[PID]],0)),INDEX(Table3[[#All],[STM]],MATCH(Table5[[#This Row],[PID]],Table3[[#All],[PID]],0)))</f>
        <v>7</v>
      </c>
      <c r="Q1034" s="61">
        <f>IF($C1034="B",INDEX(Batters[[#All],[Tot]],MATCH(Table5[[#This Row],[PID]],Batters[[#All],[PID]],0)),INDEX(Table3[[#All],[Tot]],MATCH(Table5[[#This Row],[PID]],Table3[[#All],[PID]],0)))</f>
        <v>25.607047967116266</v>
      </c>
      <c r="R1034" s="52">
        <f>IF($C1034="B",INDEX(Batters[[#All],[zScore]],MATCH(Table5[[#This Row],[PID]],Batters[[#All],[PID]],0)),INDEX(Table3[[#All],[zScore]],MATCH(Table5[[#This Row],[PID]],Table3[[#All],[PID]],0)))</f>
        <v>-0.68281351267700552</v>
      </c>
      <c r="S1034" s="58" t="str">
        <f>IF($C1034="B",INDEX(Batters[[#All],[DEM]],MATCH(Table5[[#This Row],[PID]],Batters[[#All],[PID]],0)),INDEX(Table3[[#All],[DEM]],MATCH(Table5[[#This Row],[PID]],Table3[[#All],[PID]],0)))</f>
        <v>-</v>
      </c>
      <c r="T1034" s="62">
        <f>IF($C1034="B",INDEX(Batters[[#All],[Rnk]],MATCH(Table5[[#This Row],[PID]],Batters[[#All],[PID]],0)),INDEX(Table3[[#All],[Rnk]],MATCH(Table5[[#This Row],[PID]],Table3[[#All],[PID]],0)))</f>
        <v>594</v>
      </c>
      <c r="U1034" s="68">
        <f>IF($C1034="B",VLOOKUP($A1034,Bat!$A$4:$BA$1621,47,FALSE),VLOOKUP($A1034,Pit!$A$4:$BF$1557,56,FALSE))</f>
        <v>0</v>
      </c>
      <c r="V1034" s="50">
        <f>IF($C1034="B",VLOOKUP($A1034,Bat!$A$4:$BA$1621,48,FALSE),VLOOKUP($A1034,Pit!$A$4:$BF$1557,57,FALSE))</f>
        <v>0</v>
      </c>
      <c r="W1034" s="50">
        <f>Table5[[#This Row],[posRnk]]+Table5[[#This Row],[zRnk]]+IF($W$3&lt;&gt;Table5[[#This Row],[Type]],50,0)</f>
        <v>1615</v>
      </c>
      <c r="X1034" s="51">
        <f>RANK(Table5[[#This Row],[zScore]],Table5[[#All],[zScore]])</f>
        <v>971</v>
      </c>
      <c r="Y1034" s="50" t="str">
        <f>IFERROR(INDEX(DraftResults[[#All],[OVR]],MATCH(Table5[[#This Row],[PID]],DraftResults[[#All],[Player ID]],0)),"")</f>
        <v/>
      </c>
      <c r="Z10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4" s="50" t="str">
        <f>IFERROR(INDEX(DraftResults[[#All],[Pick in Round]],MATCH(Table5[[#This Row],[PID]],DraftResults[[#All],[Player ID]],0)),"")</f>
        <v/>
      </c>
      <c r="AB1034" s="50" t="str">
        <f>IFERROR(INDEX(DraftResults[[#All],[Team Name]],MATCH(Table5[[#This Row],[PID]],DraftResults[[#All],[Player ID]],0)),"")</f>
        <v/>
      </c>
      <c r="AC1034" s="50" t="str">
        <f>IF(Table5[[#This Row],[Ovr]]="","",IF(Table5[[#This Row],[cmbList]]="","",Table5[[#This Row],[cmbList]]-Table5[[#This Row],[Ovr]]))</f>
        <v/>
      </c>
      <c r="AD1034" s="54" t="str">
        <f>IF(ISERROR(VLOOKUP($AB1034&amp;"-"&amp;$E1034&amp;" "&amp;F1034,Bonuses!$B$1:$G$1006,4,FALSE)),"",INT(VLOOKUP($AB1034&amp;"-"&amp;$E1034&amp;" "&amp;$F1034,Bonuses!$B$1:$G$1006,4,FALSE)))</f>
        <v/>
      </c>
      <c r="AE10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5" spans="1:31" s="50" customFormat="1" x14ac:dyDescent="0.25">
      <c r="A1035" s="50">
        <v>9829</v>
      </c>
      <c r="B1035" s="50">
        <f>COUNTIF(Table5[PID],A1035)</f>
        <v>1</v>
      </c>
      <c r="C1035" s="50" t="str">
        <f>IF(COUNTIF(Table3[[#All],[PID]],A1035)&gt;0,"P","B")</f>
        <v>P</v>
      </c>
      <c r="D1035" s="59" t="str">
        <f>IF($C1035="B",INDEX(Batters[[#All],[POS]],MATCH(Table5[[#This Row],[PID]],Batters[[#All],[PID]],0)),INDEX(Table3[[#All],[POS]],MATCH(Table5[[#This Row],[PID]],Table3[[#All],[PID]],0)))</f>
        <v>RP</v>
      </c>
      <c r="E1035" s="52" t="str">
        <f>IF($C1035="B",INDEX(Batters[[#All],[First]],MATCH(Table5[[#This Row],[PID]],Batters[[#All],[PID]],0)),INDEX(Table3[[#All],[First]],MATCH(Table5[[#This Row],[PID]],Table3[[#All],[PID]],0)))</f>
        <v>Paul</v>
      </c>
      <c r="F1035" s="50" t="str">
        <f>IF($C1035="B",INDEX(Batters[[#All],[Last]],MATCH(A1035,Batters[[#All],[PID]],0)),INDEX(Table3[[#All],[Last]],MATCH(A1035,Table3[[#All],[PID]],0)))</f>
        <v>Goodwin</v>
      </c>
      <c r="G1035" s="56">
        <f>IF($C1035="B",INDEX(Batters[[#All],[Age]],MATCH(Table5[[#This Row],[PID]],Batters[[#All],[PID]],0)),INDEX(Table3[[#All],[Age]],MATCH(Table5[[#This Row],[PID]],Table3[[#All],[PID]],0)))</f>
        <v>22</v>
      </c>
      <c r="H1035" s="52" t="str">
        <f>IF($C1035="B",INDEX(Batters[[#All],[B]],MATCH(Table5[[#This Row],[PID]],Batters[[#All],[PID]],0)),INDEX(Table3[[#All],[B]],MATCH(Table5[[#This Row],[PID]],Table3[[#All],[PID]],0)))</f>
        <v>R</v>
      </c>
      <c r="I1035" s="52" t="str">
        <f>IF($C1035="B",INDEX(Batters[[#All],[T]],MATCH(Table5[[#This Row],[PID]],Batters[[#All],[PID]],0)),INDEX(Table3[[#All],[T]],MATCH(Table5[[#This Row],[PID]],Table3[[#All],[PID]],0)))</f>
        <v>R</v>
      </c>
      <c r="J1035" s="52" t="str">
        <f>IF($C1035="B",INDEX(Batters[[#All],[WE]],MATCH(Table5[[#This Row],[PID]],Batters[[#All],[PID]],0)),INDEX(Table3[[#All],[WE]],MATCH(Table5[[#This Row],[PID]],Table3[[#All],[PID]],0)))</f>
        <v>Low</v>
      </c>
      <c r="K1035" s="52" t="str">
        <f>IF($C1035="B",INDEX(Batters[[#All],[INT]],MATCH(Table5[[#This Row],[PID]],Batters[[#All],[PID]],0)),INDEX(Table3[[#All],[INT]],MATCH(Table5[[#This Row],[PID]],Table3[[#All],[PID]],0)))</f>
        <v>Normal</v>
      </c>
      <c r="L1035" s="60">
        <f>IF($C1035="B",INDEX(Batters[[#All],[CON P]],MATCH(Table5[[#This Row],[PID]],Batters[[#All],[PID]],0)),INDEX(Table3[[#All],[STU P]],MATCH(Table5[[#This Row],[PID]],Table3[[#All],[PID]],0)))</f>
        <v>5</v>
      </c>
      <c r="M1035" s="56">
        <f>IF($C1035="B",INDEX(Batters[[#All],[GAP P]],MATCH(Table5[[#This Row],[PID]],Batters[[#All],[PID]],0)),INDEX(Table3[[#All],[MOV P]],MATCH(Table5[[#This Row],[PID]],Table3[[#All],[PID]],0)))</f>
        <v>1</v>
      </c>
      <c r="N1035" s="56">
        <f>IF($C1035="B",INDEX(Batters[[#All],[POW P]],MATCH(Table5[[#This Row],[PID]],Batters[[#All],[PID]],0)),INDEX(Table3[[#All],[CON P]],MATCH(Table5[[#This Row],[PID]],Table3[[#All],[PID]],0)))</f>
        <v>2</v>
      </c>
      <c r="O1035" s="56" t="str">
        <f>IF($C1035="B",INDEX(Batters[[#All],[EYE P]],MATCH(Table5[[#This Row],[PID]],Batters[[#All],[PID]],0)),INDEX(Table3[[#All],[VELO]],MATCH(Table5[[#This Row],[PID]],Table3[[#All],[PID]],0)))</f>
        <v>92-94 Mph</v>
      </c>
      <c r="P1035" s="56">
        <f>IF($C1035="B",INDEX(Batters[[#All],[K P]],MATCH(Table5[[#This Row],[PID]],Batters[[#All],[PID]],0)),INDEX(Table3[[#All],[STM]],MATCH(Table5[[#This Row],[PID]],Table3[[#All],[PID]],0)))</f>
        <v>7</v>
      </c>
      <c r="Q1035" s="61">
        <f>IF($C1035="B",INDEX(Batters[[#All],[Tot]],MATCH(Table5[[#This Row],[PID]],Batters[[#All],[PID]],0)),INDEX(Table3[[#All],[Tot]],MATCH(Table5[[#This Row],[PID]],Table3[[#All],[PID]],0)))</f>
        <v>25.587971332626534</v>
      </c>
      <c r="R1035" s="52">
        <f>IF($C1035="B",INDEX(Batters[[#All],[zScore]],MATCH(Table5[[#This Row],[PID]],Batters[[#All],[PID]],0)),INDEX(Table3[[#All],[zScore]],MATCH(Table5[[#This Row],[PID]],Table3[[#All],[PID]],0)))</f>
        <v>-0.68408265201843355</v>
      </c>
      <c r="S1035" s="58" t="str">
        <f>IF($C1035="B",INDEX(Batters[[#All],[DEM]],MATCH(Table5[[#This Row],[PID]],Batters[[#All],[PID]],0)),INDEX(Table3[[#All],[DEM]],MATCH(Table5[[#This Row],[PID]],Table3[[#All],[PID]],0)))</f>
        <v>-</v>
      </c>
      <c r="T1035" s="62">
        <f>IF($C1035="B",INDEX(Batters[[#All],[Rnk]],MATCH(Table5[[#This Row],[PID]],Batters[[#All],[PID]],0)),INDEX(Table3[[#All],[Rnk]],MATCH(Table5[[#This Row],[PID]],Table3[[#All],[PID]],0)))</f>
        <v>595</v>
      </c>
      <c r="U1035" s="68">
        <f>IF($C1035="B",VLOOKUP($A1035,Bat!$A$4:$BA$1621,47,FALSE),VLOOKUP($A1035,Pit!$A$4:$BF$1557,56,FALSE))</f>
        <v>0</v>
      </c>
      <c r="V1035" s="50">
        <f>IF($C1035="B",VLOOKUP($A1035,Bat!$A$4:$BA$1621,48,FALSE),VLOOKUP($A1035,Pit!$A$4:$BF$1557,57,FALSE))</f>
        <v>0</v>
      </c>
      <c r="W1035" s="50">
        <f>Table5[[#This Row],[posRnk]]+Table5[[#This Row],[zRnk]]+IF($W$3&lt;&gt;Table5[[#This Row],[Type]],50,0)</f>
        <v>1617</v>
      </c>
      <c r="X1035" s="51">
        <f>RANK(Table5[[#This Row],[zScore]],Table5[[#All],[zScore]])</f>
        <v>972</v>
      </c>
      <c r="Y1035" s="50" t="str">
        <f>IFERROR(INDEX(DraftResults[[#All],[OVR]],MATCH(Table5[[#This Row],[PID]],DraftResults[[#All],[Player ID]],0)),"")</f>
        <v/>
      </c>
      <c r="Z10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5" s="50" t="str">
        <f>IFERROR(INDEX(DraftResults[[#All],[Pick in Round]],MATCH(Table5[[#This Row],[PID]],DraftResults[[#All],[Player ID]],0)),"")</f>
        <v/>
      </c>
      <c r="AB1035" s="50" t="str">
        <f>IFERROR(INDEX(DraftResults[[#All],[Team Name]],MATCH(Table5[[#This Row],[PID]],DraftResults[[#All],[Player ID]],0)),"")</f>
        <v/>
      </c>
      <c r="AC1035" s="50" t="str">
        <f>IF(Table5[[#This Row],[Ovr]]="","",IF(Table5[[#This Row],[cmbList]]="","",Table5[[#This Row],[cmbList]]-Table5[[#This Row],[Ovr]]))</f>
        <v/>
      </c>
      <c r="AD1035" s="54" t="str">
        <f>IF(ISERROR(VLOOKUP($AB1035&amp;"-"&amp;$E1035&amp;" "&amp;F1035,Bonuses!$B$1:$G$1006,4,FALSE)),"",INT(VLOOKUP($AB1035&amp;"-"&amp;$E1035&amp;" "&amp;$F1035,Bonuses!$B$1:$G$1006,4,FALSE)))</f>
        <v/>
      </c>
      <c r="AE10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6" spans="1:31" s="50" customFormat="1" x14ac:dyDescent="0.25">
      <c r="A1036" s="50">
        <v>17945</v>
      </c>
      <c r="B1036" s="50">
        <f>COUNTIF(Table5[PID],A1036)</f>
        <v>1</v>
      </c>
      <c r="C1036" s="50" t="str">
        <f>IF(COUNTIF(Table3[[#All],[PID]],A1036)&gt;0,"P","B")</f>
        <v>B</v>
      </c>
      <c r="D1036" s="59" t="str">
        <f>IF($C1036="B",INDEX(Batters[[#All],[POS]],MATCH(Table5[[#This Row],[PID]],Batters[[#All],[PID]],0)),INDEX(Table3[[#All],[POS]],MATCH(Table5[[#This Row],[PID]],Table3[[#All],[PID]],0)))</f>
        <v>C</v>
      </c>
      <c r="E1036" s="52" t="str">
        <f>IF($C1036="B",INDEX(Batters[[#All],[First]],MATCH(Table5[[#This Row],[PID]],Batters[[#All],[PID]],0)),INDEX(Table3[[#All],[First]],MATCH(Table5[[#This Row],[PID]],Table3[[#All],[PID]],0)))</f>
        <v>Chris</v>
      </c>
      <c r="F1036" s="50" t="str">
        <f>IF($C1036="B",INDEX(Batters[[#All],[Last]],MATCH(A1036,Batters[[#All],[PID]],0)),INDEX(Table3[[#All],[Last]],MATCH(A1036,Table3[[#All],[PID]],0)))</f>
        <v>Markham</v>
      </c>
      <c r="G1036" s="56">
        <f>IF($C1036="B",INDEX(Batters[[#All],[Age]],MATCH(Table5[[#This Row],[PID]],Batters[[#All],[PID]],0)),INDEX(Table3[[#All],[Age]],MATCH(Table5[[#This Row],[PID]],Table3[[#All],[PID]],0)))</f>
        <v>18</v>
      </c>
      <c r="H1036" s="52" t="str">
        <f>IF($C1036="B",INDEX(Batters[[#All],[B]],MATCH(Table5[[#This Row],[PID]],Batters[[#All],[PID]],0)),INDEX(Table3[[#All],[B]],MATCH(Table5[[#This Row],[PID]],Table3[[#All],[PID]],0)))</f>
        <v>S</v>
      </c>
      <c r="I1036" s="52" t="str">
        <f>IF($C1036="B",INDEX(Batters[[#All],[T]],MATCH(Table5[[#This Row],[PID]],Batters[[#All],[PID]],0)),INDEX(Table3[[#All],[T]],MATCH(Table5[[#This Row],[PID]],Table3[[#All],[PID]],0)))</f>
        <v>R</v>
      </c>
      <c r="J1036" s="52" t="str">
        <f>IF($C1036="B",INDEX(Batters[[#All],[WE]],MATCH(Table5[[#This Row],[PID]],Batters[[#All],[PID]],0)),INDEX(Table3[[#All],[WE]],MATCH(Table5[[#This Row],[PID]],Table3[[#All],[PID]],0)))</f>
        <v>Normal</v>
      </c>
      <c r="K1036" s="52" t="str">
        <f>IF($C1036="B",INDEX(Batters[[#All],[INT]],MATCH(Table5[[#This Row],[PID]],Batters[[#All],[PID]],0)),INDEX(Table3[[#All],[INT]],MATCH(Table5[[#This Row],[PID]],Table3[[#All],[PID]],0)))</f>
        <v>Normal</v>
      </c>
      <c r="L1036" s="60">
        <f>IF($C1036="B",INDEX(Batters[[#All],[CON P]],MATCH(Table5[[#This Row],[PID]],Batters[[#All],[PID]],0)),INDEX(Table3[[#All],[STU P]],MATCH(Table5[[#This Row],[PID]],Table3[[#All],[PID]],0)))</f>
        <v>3</v>
      </c>
      <c r="M1036" s="56">
        <f>IF($C1036="B",INDEX(Batters[[#All],[GAP P]],MATCH(Table5[[#This Row],[PID]],Batters[[#All],[PID]],0)),INDEX(Table3[[#All],[MOV P]],MATCH(Table5[[#This Row],[PID]],Table3[[#All],[PID]],0)))</f>
        <v>4</v>
      </c>
      <c r="N1036" s="56">
        <f>IF($C1036="B",INDEX(Batters[[#All],[POW P]],MATCH(Table5[[#This Row],[PID]],Batters[[#All],[PID]],0)),INDEX(Table3[[#All],[CON P]],MATCH(Table5[[#This Row],[PID]],Table3[[#All],[PID]],0)))</f>
        <v>3</v>
      </c>
      <c r="O1036" s="56">
        <f>IF($C1036="B",INDEX(Batters[[#All],[EYE P]],MATCH(Table5[[#This Row],[PID]],Batters[[#All],[PID]],0)),INDEX(Table3[[#All],[VELO]],MATCH(Table5[[#This Row],[PID]],Table3[[#All],[PID]],0)))</f>
        <v>4</v>
      </c>
      <c r="P1036" s="56">
        <f>IF($C1036="B",INDEX(Batters[[#All],[K P]],MATCH(Table5[[#This Row],[PID]],Batters[[#All],[PID]],0)),INDEX(Table3[[#All],[STM]],MATCH(Table5[[#This Row],[PID]],Table3[[#All],[PID]],0)))</f>
        <v>4</v>
      </c>
      <c r="Q1036" s="61">
        <f>IF($C1036="B",INDEX(Batters[[#All],[Tot]],MATCH(Table5[[#This Row],[PID]],Batters[[#All],[PID]],0)),INDEX(Table3[[#All],[Tot]],MATCH(Table5[[#This Row],[PID]],Table3[[#All],[PID]],0)))</f>
        <v>41.044932184922672</v>
      </c>
      <c r="R1036" s="52">
        <f>IF($C1036="B",INDEX(Batters[[#All],[zScore]],MATCH(Table5[[#This Row],[PID]],Batters[[#All],[PID]],0)),INDEX(Table3[[#All],[zScore]],MATCH(Table5[[#This Row],[PID]],Table3[[#All],[PID]],0)))</f>
        <v>-0.68441043712329153</v>
      </c>
      <c r="S1036" s="58" t="str">
        <f>IF($C1036="B",INDEX(Batters[[#All],[DEM]],MATCH(Table5[[#This Row],[PID]],Batters[[#All],[PID]],0)),INDEX(Table3[[#All],[DEM]],MATCH(Table5[[#This Row],[PID]],Table3[[#All],[PID]],0)))</f>
        <v>$65k</v>
      </c>
      <c r="T1036" s="62">
        <f>IF($C1036="B",INDEX(Batters[[#All],[Rnk]],MATCH(Table5[[#This Row],[PID]],Batters[[#All],[PID]],0)),INDEX(Table3[[#All],[Rnk]],MATCH(Table5[[#This Row],[PID]],Table3[[#All],[PID]],0)))</f>
        <v>377</v>
      </c>
      <c r="U1036" s="68">
        <f>IF($C1036="B",VLOOKUP($A1036,Bat!$A$4:$BA$1621,47,FALSE),VLOOKUP($A1036,Pit!$A$4:$BF$1557,56,FALSE))</f>
        <v>0</v>
      </c>
      <c r="V1036" s="50">
        <f>IF($C1036="B",VLOOKUP($A1036,Bat!$A$4:$BA$1621,48,FALSE),VLOOKUP($A1036,Pit!$A$4:$BF$1557,57,FALSE))</f>
        <v>0</v>
      </c>
      <c r="W1036" s="50">
        <f>Table5[[#This Row],[posRnk]]+Table5[[#This Row],[zRnk]]+IF($W$3&lt;&gt;Table5[[#This Row],[Type]],50,0)</f>
        <v>1400</v>
      </c>
      <c r="X1036" s="51">
        <f>RANK(Table5[[#This Row],[zScore]],Table5[[#All],[zScore]])</f>
        <v>973</v>
      </c>
      <c r="Y1036" s="50" t="str">
        <f>IFERROR(INDEX(DraftResults[[#All],[OVR]],MATCH(Table5[[#This Row],[PID]],DraftResults[[#All],[Player ID]],0)),"")</f>
        <v/>
      </c>
      <c r="Z10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6" s="50" t="str">
        <f>IFERROR(INDEX(DraftResults[[#All],[Pick in Round]],MATCH(Table5[[#This Row],[PID]],DraftResults[[#All],[Player ID]],0)),"")</f>
        <v/>
      </c>
      <c r="AB1036" s="50" t="str">
        <f>IFERROR(INDEX(DraftResults[[#All],[Team Name]],MATCH(Table5[[#This Row],[PID]],DraftResults[[#All],[Player ID]],0)),"")</f>
        <v/>
      </c>
      <c r="AC1036" s="50" t="str">
        <f>IF(Table5[[#This Row],[Ovr]]="","",IF(Table5[[#This Row],[cmbList]]="","",Table5[[#This Row],[cmbList]]-Table5[[#This Row],[Ovr]]))</f>
        <v/>
      </c>
      <c r="AD1036" s="54" t="str">
        <f>IF(ISERROR(VLOOKUP($AB1036&amp;"-"&amp;$E1036&amp;" "&amp;F1036,Bonuses!$B$1:$G$1006,4,FALSE)),"",INT(VLOOKUP($AB1036&amp;"-"&amp;$E1036&amp;" "&amp;$F1036,Bonuses!$B$1:$G$1006,4,FALSE)))</f>
        <v/>
      </c>
      <c r="AE10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7" spans="1:31" s="50" customFormat="1" x14ac:dyDescent="0.25">
      <c r="A1037" s="68">
        <v>2734</v>
      </c>
      <c r="B1037" s="69">
        <f>COUNTIF(Table5[PID],A1037)</f>
        <v>1</v>
      </c>
      <c r="C1037" s="69" t="str">
        <f>IF(COUNTIF(Table3[[#All],[PID]],A1037)&gt;0,"P","B")</f>
        <v>P</v>
      </c>
      <c r="D1037" s="59" t="str">
        <f>IF($C1037="B",INDEX(Batters[[#All],[POS]],MATCH(Table5[[#This Row],[PID]],Batters[[#All],[PID]],0)),INDEX(Table3[[#All],[POS]],MATCH(Table5[[#This Row],[PID]],Table3[[#All],[PID]],0)))</f>
        <v>SP</v>
      </c>
      <c r="E1037" s="52" t="str">
        <f>IF($C1037="B",INDEX(Batters[[#All],[First]],MATCH(Table5[[#This Row],[PID]],Batters[[#All],[PID]],0)),INDEX(Table3[[#All],[First]],MATCH(Table5[[#This Row],[PID]],Table3[[#All],[PID]],0)))</f>
        <v>Sean</v>
      </c>
      <c r="F1037" s="55" t="str">
        <f>IF($C1037="B",INDEX(Batters[[#All],[Last]],MATCH(A1037,Batters[[#All],[PID]],0)),INDEX(Table3[[#All],[Last]],MATCH(A1037,Table3[[#All],[PID]],0)))</f>
        <v>van de Vlugt</v>
      </c>
      <c r="G1037" s="56">
        <f>IF($C1037="B",INDEX(Batters[[#All],[Age]],MATCH(Table5[[#This Row],[PID]],Batters[[#All],[PID]],0)),INDEX(Table3[[#All],[Age]],MATCH(Table5[[#This Row],[PID]],Table3[[#All],[PID]],0)))</f>
        <v>22</v>
      </c>
      <c r="H1037" s="52" t="str">
        <f>IF($C1037="B",INDEX(Batters[[#All],[B]],MATCH(Table5[[#This Row],[PID]],Batters[[#All],[PID]],0)),INDEX(Table3[[#All],[B]],MATCH(Table5[[#This Row],[PID]],Table3[[#All],[PID]],0)))</f>
        <v>R</v>
      </c>
      <c r="I1037" s="52" t="str">
        <f>IF($C1037="B",INDEX(Batters[[#All],[T]],MATCH(Table5[[#This Row],[PID]],Batters[[#All],[PID]],0)),INDEX(Table3[[#All],[T]],MATCH(Table5[[#This Row],[PID]],Table3[[#All],[PID]],0)))</f>
        <v>R</v>
      </c>
      <c r="J1037" s="71" t="str">
        <f>IF($C1037="B",INDEX(Batters[[#All],[WE]],MATCH(Table5[[#This Row],[PID]],Batters[[#All],[PID]],0)),INDEX(Table3[[#All],[WE]],MATCH(Table5[[#This Row],[PID]],Table3[[#All],[PID]],0)))</f>
        <v>Normal</v>
      </c>
      <c r="K1037" s="52" t="str">
        <f>IF($C1037="B",INDEX(Batters[[#All],[INT]],MATCH(Table5[[#This Row],[PID]],Batters[[#All],[PID]],0)),INDEX(Table3[[#All],[INT]],MATCH(Table5[[#This Row],[PID]],Table3[[#All],[PID]],0)))</f>
        <v>Normal</v>
      </c>
      <c r="L1037" s="60">
        <f>IF($C1037="B",INDEX(Batters[[#All],[CON P]],MATCH(Table5[[#This Row],[PID]],Batters[[#All],[PID]],0)),INDEX(Table3[[#All],[STU P]],MATCH(Table5[[#This Row],[PID]],Table3[[#All],[PID]],0)))</f>
        <v>4</v>
      </c>
      <c r="M1037" s="72">
        <f>IF($C1037="B",INDEX(Batters[[#All],[GAP P]],MATCH(Table5[[#This Row],[PID]],Batters[[#All],[PID]],0)),INDEX(Table3[[#All],[MOV P]],MATCH(Table5[[#This Row],[PID]],Table3[[#All],[PID]],0)))</f>
        <v>1</v>
      </c>
      <c r="N1037" s="72">
        <f>IF($C1037="B",INDEX(Batters[[#All],[POW P]],MATCH(Table5[[#This Row],[PID]],Batters[[#All],[PID]],0)),INDEX(Table3[[#All],[CON P]],MATCH(Table5[[#This Row],[PID]],Table3[[#All],[PID]],0)))</f>
        <v>3</v>
      </c>
      <c r="O1037" s="72" t="str">
        <f>IF($C1037="B",INDEX(Batters[[#All],[EYE P]],MATCH(Table5[[#This Row],[PID]],Batters[[#All],[PID]],0)),INDEX(Table3[[#All],[VELO]],MATCH(Table5[[#This Row],[PID]],Table3[[#All],[PID]],0)))</f>
        <v>92-94 Mph</v>
      </c>
      <c r="P1037" s="56">
        <f>IF($C1037="B",INDEX(Batters[[#All],[K P]],MATCH(Table5[[#This Row],[PID]],Batters[[#All],[PID]],0)),INDEX(Table3[[#All],[STM]],MATCH(Table5[[#This Row],[PID]],Table3[[#All],[PID]],0)))</f>
        <v>6</v>
      </c>
      <c r="Q1037" s="61">
        <f>IF($C1037="B",INDEX(Batters[[#All],[Tot]],MATCH(Table5[[#This Row],[PID]],Batters[[#All],[PID]],0)),INDEX(Table3[[#All],[Tot]],MATCH(Table5[[#This Row],[PID]],Table3[[#All],[PID]],0)))</f>
        <v>27.306577451157846</v>
      </c>
      <c r="R1037" s="52">
        <f>IF($C1037="B",INDEX(Batters[[#All],[zScore]],MATCH(Table5[[#This Row],[PID]],Batters[[#All],[PID]],0)),INDEX(Table3[[#All],[zScore]],MATCH(Table5[[#This Row],[PID]],Table3[[#All],[PID]],0)))</f>
        <v>-0.68548236935866158</v>
      </c>
      <c r="S1037" s="78" t="str">
        <f>IF($C1037="B",INDEX(Batters[[#All],[DEM]],MATCH(Table5[[#This Row],[PID]],Batters[[#All],[PID]],0)),INDEX(Table3[[#All],[DEM]],MATCH(Table5[[#This Row],[PID]],Table3[[#All],[PID]],0)))</f>
        <v>-</v>
      </c>
      <c r="T1037" s="75">
        <f>IF($C1037="B",INDEX(Batters[[#All],[Rnk]],MATCH(Table5[[#This Row],[PID]],Batters[[#All],[PID]],0)),INDEX(Table3[[#All],[Rnk]],MATCH(Table5[[#This Row],[PID]],Table3[[#All],[PID]],0)))</f>
        <v>596</v>
      </c>
      <c r="U1037" s="68">
        <f>IF($C1037="B",VLOOKUP($A1037,Bat!$A$4:$BA$1621,47,FALSE),VLOOKUP($A1037,Pit!$A$4:$BF$1557,56,FALSE))</f>
        <v>0</v>
      </c>
      <c r="V1037" s="50">
        <f>IF($C1037="B",VLOOKUP($A1037,Bat!$A$4:$BA$1621,48,FALSE),VLOOKUP($A1037,Pit!$A$4:$BF$1557,57,FALSE))</f>
        <v>0</v>
      </c>
      <c r="W1037" s="69">
        <f>Table5[[#This Row],[posRnk]]+Table5[[#This Row],[zRnk]]+IF($W$3&lt;&gt;Table5[[#This Row],[Type]],50,0)</f>
        <v>1621</v>
      </c>
      <c r="X1037" s="73">
        <f>RANK(Table5[[#This Row],[zScore]],Table5[[#All],[zScore]])</f>
        <v>975</v>
      </c>
      <c r="Y1037" s="69" t="str">
        <f>IFERROR(INDEX(DraftResults[[#All],[OVR]],MATCH(Table5[[#This Row],[PID]],DraftResults[[#All],[Player ID]],0)),"")</f>
        <v/>
      </c>
      <c r="Z103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7" s="69" t="str">
        <f>IFERROR(INDEX(DraftResults[[#All],[Pick in Round]],MATCH(Table5[[#This Row],[PID]],DraftResults[[#All],[Player ID]],0)),"")</f>
        <v/>
      </c>
      <c r="AB1037" s="69" t="str">
        <f>IFERROR(INDEX(DraftResults[[#All],[Team Name]],MATCH(Table5[[#This Row],[PID]],DraftResults[[#All],[Player ID]],0)),"")</f>
        <v/>
      </c>
      <c r="AC1037" s="69" t="str">
        <f>IF(Table5[[#This Row],[Ovr]]="","",IF(Table5[[#This Row],[cmbList]]="","",Table5[[#This Row],[cmbList]]-Table5[[#This Row],[Ovr]]))</f>
        <v/>
      </c>
      <c r="AD1037" s="77" t="str">
        <f>IF(ISERROR(VLOOKUP($AB1037&amp;"-"&amp;$E1037&amp;" "&amp;F1037,Bonuses!$B$1:$G$1006,4,FALSE)),"",INT(VLOOKUP($AB1037&amp;"-"&amp;$E1037&amp;" "&amp;$F1037,Bonuses!$B$1:$G$1006,4,FALSE)))</f>
        <v/>
      </c>
      <c r="AE103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8" spans="1:31" s="50" customFormat="1" x14ac:dyDescent="0.25">
      <c r="A1038" s="50">
        <v>17576</v>
      </c>
      <c r="B1038" s="50">
        <f>COUNTIF(Table5[PID],A1038)</f>
        <v>1</v>
      </c>
      <c r="C1038" s="50" t="str">
        <f>IF(COUNTIF(Table3[[#All],[PID]],A1038)&gt;0,"P","B")</f>
        <v>B</v>
      </c>
      <c r="D1038" s="59" t="str">
        <f>IF($C1038="B",INDEX(Batters[[#All],[POS]],MATCH(Table5[[#This Row],[PID]],Batters[[#All],[PID]],0)),INDEX(Table3[[#All],[POS]],MATCH(Table5[[#This Row],[PID]],Table3[[#All],[PID]],0)))</f>
        <v>LF</v>
      </c>
      <c r="E1038" s="52" t="str">
        <f>IF($C1038="B",INDEX(Batters[[#All],[First]],MATCH(Table5[[#This Row],[PID]],Batters[[#All],[PID]],0)),INDEX(Table3[[#All],[First]],MATCH(Table5[[#This Row],[PID]],Table3[[#All],[PID]],0)))</f>
        <v>Craig</v>
      </c>
      <c r="F1038" s="50" t="str">
        <f>IF($C1038="B",INDEX(Batters[[#All],[Last]],MATCH(A1038,Batters[[#All],[PID]],0)),INDEX(Table3[[#All],[Last]],MATCH(A1038,Table3[[#All],[PID]],0)))</f>
        <v>Powell</v>
      </c>
      <c r="G1038" s="56">
        <f>IF($C1038="B",INDEX(Batters[[#All],[Age]],MATCH(Table5[[#This Row],[PID]],Batters[[#All],[PID]],0)),INDEX(Table3[[#All],[Age]],MATCH(Table5[[#This Row],[PID]],Table3[[#All],[PID]],0)))</f>
        <v>18</v>
      </c>
      <c r="H1038" s="52" t="str">
        <f>IF($C1038="B",INDEX(Batters[[#All],[B]],MATCH(Table5[[#This Row],[PID]],Batters[[#All],[PID]],0)),INDEX(Table3[[#All],[B]],MATCH(Table5[[#This Row],[PID]],Table3[[#All],[PID]],0)))</f>
        <v>R</v>
      </c>
      <c r="I1038" s="52" t="str">
        <f>IF($C1038="B",INDEX(Batters[[#All],[T]],MATCH(Table5[[#This Row],[PID]],Batters[[#All],[PID]],0)),INDEX(Table3[[#All],[T]],MATCH(Table5[[#This Row],[PID]],Table3[[#All],[PID]],0)))</f>
        <v>R</v>
      </c>
      <c r="J1038" s="52" t="str">
        <f>IF($C1038="B",INDEX(Batters[[#All],[WE]],MATCH(Table5[[#This Row],[PID]],Batters[[#All],[PID]],0)),INDEX(Table3[[#All],[WE]],MATCH(Table5[[#This Row],[PID]],Table3[[#All],[PID]],0)))</f>
        <v>Normal</v>
      </c>
      <c r="K1038" s="52" t="str">
        <f>IF($C1038="B",INDEX(Batters[[#All],[INT]],MATCH(Table5[[#This Row],[PID]],Batters[[#All],[PID]],0)),INDEX(Table3[[#All],[INT]],MATCH(Table5[[#This Row],[PID]],Table3[[#All],[PID]],0)))</f>
        <v>Normal</v>
      </c>
      <c r="L1038" s="60">
        <f>IF($C1038="B",INDEX(Batters[[#All],[CON P]],MATCH(Table5[[#This Row],[PID]],Batters[[#All],[PID]],0)),INDEX(Table3[[#All],[STU P]],MATCH(Table5[[#This Row],[PID]],Table3[[#All],[PID]],0)))</f>
        <v>3</v>
      </c>
      <c r="M1038" s="56">
        <f>IF($C1038="B",INDEX(Batters[[#All],[GAP P]],MATCH(Table5[[#This Row],[PID]],Batters[[#All],[PID]],0)),INDEX(Table3[[#All],[MOV P]],MATCH(Table5[[#This Row],[PID]],Table3[[#All],[PID]],0)))</f>
        <v>4</v>
      </c>
      <c r="N1038" s="56">
        <f>IF($C1038="B",INDEX(Batters[[#All],[POW P]],MATCH(Table5[[#This Row],[PID]],Batters[[#All],[PID]],0)),INDEX(Table3[[#All],[CON P]],MATCH(Table5[[#This Row],[PID]],Table3[[#All],[PID]],0)))</f>
        <v>3</v>
      </c>
      <c r="O1038" s="56">
        <f>IF($C1038="B",INDEX(Batters[[#All],[EYE P]],MATCH(Table5[[#This Row],[PID]],Batters[[#All],[PID]],0)),INDEX(Table3[[#All],[VELO]],MATCH(Table5[[#This Row],[PID]],Table3[[#All],[PID]],0)))</f>
        <v>4</v>
      </c>
      <c r="P1038" s="56">
        <f>IF($C1038="B",INDEX(Batters[[#All],[K P]],MATCH(Table5[[#This Row],[PID]],Batters[[#All],[PID]],0)),INDEX(Table3[[#All],[STM]],MATCH(Table5[[#This Row],[PID]],Table3[[#All],[PID]],0)))</f>
        <v>4</v>
      </c>
      <c r="Q1038" s="61">
        <f>IF($C1038="B",INDEX(Batters[[#All],[Tot]],MATCH(Table5[[#This Row],[PID]],Batters[[#All],[PID]],0)),INDEX(Table3[[#All],[Tot]],MATCH(Table5[[#This Row],[PID]],Table3[[#All],[PID]],0)))</f>
        <v>41.030855241959848</v>
      </c>
      <c r="R1038" s="52">
        <f>IF($C1038="B",INDEX(Batters[[#All],[zScore]],MATCH(Table5[[#This Row],[PID]],Batters[[#All],[PID]],0)),INDEX(Table3[[#All],[zScore]],MATCH(Table5[[#This Row],[PID]],Table3[[#All],[PID]],0)))</f>
        <v>-0.68753139052945311</v>
      </c>
      <c r="S1038" s="58" t="str">
        <f>IF($C1038="B",INDEX(Batters[[#All],[DEM]],MATCH(Table5[[#This Row],[PID]],Batters[[#All],[PID]],0)),INDEX(Table3[[#All],[DEM]],MATCH(Table5[[#This Row],[PID]],Table3[[#All],[PID]],0)))</f>
        <v>$65k</v>
      </c>
      <c r="T1038" s="62">
        <f>IF($C1038="B",INDEX(Batters[[#All],[Rnk]],MATCH(Table5[[#This Row],[PID]],Batters[[#All],[PID]],0)),INDEX(Table3[[#All],[Rnk]],MATCH(Table5[[#This Row],[PID]],Table3[[#All],[PID]],0)))</f>
        <v>380</v>
      </c>
      <c r="U1038" s="68">
        <f>IF($C1038="B",VLOOKUP($A1038,Bat!$A$4:$BA$1621,47,FALSE),VLOOKUP($A1038,Pit!$A$4:$BF$1557,56,FALSE))</f>
        <v>0</v>
      </c>
      <c r="V1038" s="50">
        <f>IF($C1038="B",VLOOKUP($A1038,Bat!$A$4:$BA$1621,48,FALSE),VLOOKUP($A1038,Pit!$A$4:$BF$1557,57,FALSE))</f>
        <v>0</v>
      </c>
      <c r="W1038" s="50">
        <f>Table5[[#This Row],[posRnk]]+Table5[[#This Row],[zRnk]]+IF($W$3&lt;&gt;Table5[[#This Row],[Type]],50,0)</f>
        <v>1408</v>
      </c>
      <c r="X1038" s="51">
        <f>RANK(Table5[[#This Row],[zScore]],Table5[[#All],[zScore]])</f>
        <v>978</v>
      </c>
      <c r="Y1038" s="50" t="str">
        <f>IFERROR(INDEX(DraftResults[[#All],[OVR]],MATCH(Table5[[#This Row],[PID]],DraftResults[[#All],[Player ID]],0)),"")</f>
        <v/>
      </c>
      <c r="Z10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8" s="50" t="str">
        <f>IFERROR(INDEX(DraftResults[[#All],[Pick in Round]],MATCH(Table5[[#This Row],[PID]],DraftResults[[#All],[Player ID]],0)),"")</f>
        <v/>
      </c>
      <c r="AB1038" s="50" t="str">
        <f>IFERROR(INDEX(DraftResults[[#All],[Team Name]],MATCH(Table5[[#This Row],[PID]],DraftResults[[#All],[Player ID]],0)),"")</f>
        <v/>
      </c>
      <c r="AC1038" s="50" t="str">
        <f>IF(Table5[[#This Row],[Ovr]]="","",IF(Table5[[#This Row],[cmbList]]="","",Table5[[#This Row],[cmbList]]-Table5[[#This Row],[Ovr]]))</f>
        <v/>
      </c>
      <c r="AD1038" s="54" t="str">
        <f>IF(ISERROR(VLOOKUP($AB1038&amp;"-"&amp;$E1038&amp;" "&amp;F1038,Bonuses!$B$1:$G$1006,4,FALSE)),"",INT(VLOOKUP($AB1038&amp;"-"&amp;$E1038&amp;" "&amp;$F1038,Bonuses!$B$1:$G$1006,4,FALSE)))</f>
        <v/>
      </c>
      <c r="AE10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39" spans="1:31" s="50" customFormat="1" x14ac:dyDescent="0.25">
      <c r="A1039" s="50">
        <v>20838</v>
      </c>
      <c r="B1039" s="50">
        <f>COUNTIF(Table5[PID],A1039)</f>
        <v>1</v>
      </c>
      <c r="C1039" s="50" t="str">
        <f>IF(COUNTIF(Table3[[#All],[PID]],A1039)&gt;0,"P","B")</f>
        <v>B</v>
      </c>
      <c r="D1039" s="59" t="str">
        <f>IF($C1039="B",INDEX(Batters[[#All],[POS]],MATCH(Table5[[#This Row],[PID]],Batters[[#All],[PID]],0)),INDEX(Table3[[#All],[POS]],MATCH(Table5[[#This Row],[PID]],Table3[[#All],[PID]],0)))</f>
        <v>1B</v>
      </c>
      <c r="E1039" s="52" t="str">
        <f>IF($C1039="B",INDEX(Batters[[#All],[First]],MATCH(Table5[[#This Row],[PID]],Batters[[#All],[PID]],0)),INDEX(Table3[[#All],[First]],MATCH(Table5[[#This Row],[PID]],Table3[[#All],[PID]],0)))</f>
        <v>Billy</v>
      </c>
      <c r="F1039" s="50" t="str">
        <f>IF($C1039="B",INDEX(Batters[[#All],[Last]],MATCH(A1039,Batters[[#All],[PID]],0)),INDEX(Table3[[#All],[Last]],MATCH(A1039,Table3[[#All],[PID]],0)))</f>
        <v>Long</v>
      </c>
      <c r="G1039" s="56">
        <f>IF($C1039="B",INDEX(Batters[[#All],[Age]],MATCH(Table5[[#This Row],[PID]],Batters[[#All],[PID]],0)),INDEX(Table3[[#All],[Age]],MATCH(Table5[[#This Row],[PID]],Table3[[#All],[PID]],0)))</f>
        <v>17</v>
      </c>
      <c r="H1039" s="52" t="str">
        <f>IF($C1039="B",INDEX(Batters[[#All],[B]],MATCH(Table5[[#This Row],[PID]],Batters[[#All],[PID]],0)),INDEX(Table3[[#All],[B]],MATCH(Table5[[#This Row],[PID]],Table3[[#All],[PID]],0)))</f>
        <v>L</v>
      </c>
      <c r="I1039" s="52" t="str">
        <f>IF($C1039="B",INDEX(Batters[[#All],[T]],MATCH(Table5[[#This Row],[PID]],Batters[[#All],[PID]],0)),INDEX(Table3[[#All],[T]],MATCH(Table5[[#This Row],[PID]],Table3[[#All],[PID]],0)))</f>
        <v>R</v>
      </c>
      <c r="J1039" s="52" t="str">
        <f>IF($C1039="B",INDEX(Batters[[#All],[WE]],MATCH(Table5[[#This Row],[PID]],Batters[[#All],[PID]],0)),INDEX(Table3[[#All],[WE]],MATCH(Table5[[#This Row],[PID]],Table3[[#All],[PID]],0)))</f>
        <v>Normal</v>
      </c>
      <c r="K1039" s="52" t="str">
        <f>IF($C1039="B",INDEX(Batters[[#All],[INT]],MATCH(Table5[[#This Row],[PID]],Batters[[#All],[PID]],0)),INDEX(Table3[[#All],[INT]],MATCH(Table5[[#This Row],[PID]],Table3[[#All],[PID]],0)))</f>
        <v>Normal</v>
      </c>
      <c r="L1039" s="60">
        <f>IF($C1039="B",INDEX(Batters[[#All],[CON P]],MATCH(Table5[[#This Row],[PID]],Batters[[#All],[PID]],0)),INDEX(Table3[[#All],[STU P]],MATCH(Table5[[#This Row],[PID]],Table3[[#All],[PID]],0)))</f>
        <v>3</v>
      </c>
      <c r="M1039" s="56">
        <f>IF($C1039="B",INDEX(Batters[[#All],[GAP P]],MATCH(Table5[[#This Row],[PID]],Batters[[#All],[PID]],0)),INDEX(Table3[[#All],[MOV P]],MATCH(Table5[[#This Row],[PID]],Table3[[#All],[PID]],0)))</f>
        <v>3</v>
      </c>
      <c r="N1039" s="56">
        <f>IF($C1039="B",INDEX(Batters[[#All],[POW P]],MATCH(Table5[[#This Row],[PID]],Batters[[#All],[PID]],0)),INDEX(Table3[[#All],[CON P]],MATCH(Table5[[#This Row],[PID]],Table3[[#All],[PID]],0)))</f>
        <v>3</v>
      </c>
      <c r="O1039" s="56">
        <f>IF($C1039="B",INDEX(Batters[[#All],[EYE P]],MATCH(Table5[[#This Row],[PID]],Batters[[#All],[PID]],0)),INDEX(Table3[[#All],[VELO]],MATCH(Table5[[#This Row],[PID]],Table3[[#All],[PID]],0)))</f>
        <v>5</v>
      </c>
      <c r="P1039" s="56">
        <f>IF($C1039="B",INDEX(Batters[[#All],[K P]],MATCH(Table5[[#This Row],[PID]],Batters[[#All],[PID]],0)),INDEX(Table3[[#All],[STM]],MATCH(Table5[[#This Row],[PID]],Table3[[#All],[PID]],0)))</f>
        <v>3</v>
      </c>
      <c r="Q1039" s="61">
        <f>IF($C1039="B",INDEX(Batters[[#All],[Tot]],MATCH(Table5[[#This Row],[PID]],Batters[[#All],[PID]],0)),INDEX(Table3[[#All],[Tot]],MATCH(Table5[[#This Row],[PID]],Table3[[#All],[PID]],0)))</f>
        <v>41.0285321518082</v>
      </c>
      <c r="R1039" s="52">
        <f>IF($C1039="B",INDEX(Batters[[#All],[zScore]],MATCH(Table5[[#This Row],[PID]],Batters[[#All],[PID]],0)),INDEX(Table3[[#All],[zScore]],MATCH(Table5[[#This Row],[PID]],Table3[[#All],[PID]],0)))</f>
        <v>-0.68804643531870568</v>
      </c>
      <c r="S1039" s="58" t="str">
        <f>IF($C1039="B",INDEX(Batters[[#All],[DEM]],MATCH(Table5[[#This Row],[PID]],Batters[[#All],[PID]],0)),INDEX(Table3[[#All],[DEM]],MATCH(Table5[[#This Row],[PID]],Table3[[#All],[PID]],0)))</f>
        <v>$90k</v>
      </c>
      <c r="T1039" s="62">
        <f>IF($C1039="B",INDEX(Batters[[#All],[Rnk]],MATCH(Table5[[#This Row],[PID]],Batters[[#All],[PID]],0)),INDEX(Table3[[#All],[Rnk]],MATCH(Table5[[#This Row],[PID]],Table3[[#All],[PID]],0)))</f>
        <v>381</v>
      </c>
      <c r="U1039" s="68">
        <f>IF($C1039="B",VLOOKUP($A1039,Bat!$A$4:$BA$1621,47,FALSE),VLOOKUP($A1039,Pit!$A$4:$BF$1557,56,FALSE))</f>
        <v>0</v>
      </c>
      <c r="V1039" s="50">
        <f>IF($C1039="B",VLOOKUP($A1039,Bat!$A$4:$BA$1621,48,FALSE),VLOOKUP($A1039,Pit!$A$4:$BF$1557,57,FALSE))</f>
        <v>0</v>
      </c>
      <c r="W1039" s="50">
        <f>Table5[[#This Row],[posRnk]]+Table5[[#This Row],[zRnk]]+IF($W$3&lt;&gt;Table5[[#This Row],[Type]],50,0)</f>
        <v>1410</v>
      </c>
      <c r="X1039" s="51">
        <f>RANK(Table5[[#This Row],[zScore]],Table5[[#All],[zScore]])</f>
        <v>979</v>
      </c>
      <c r="Y1039" s="50" t="str">
        <f>IFERROR(INDEX(DraftResults[[#All],[OVR]],MATCH(Table5[[#This Row],[PID]],DraftResults[[#All],[Player ID]],0)),"")</f>
        <v/>
      </c>
      <c r="Z10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39" s="50" t="str">
        <f>IFERROR(INDEX(DraftResults[[#All],[Pick in Round]],MATCH(Table5[[#This Row],[PID]],DraftResults[[#All],[Player ID]],0)),"")</f>
        <v/>
      </c>
      <c r="AB1039" s="50" t="str">
        <f>IFERROR(INDEX(DraftResults[[#All],[Team Name]],MATCH(Table5[[#This Row],[PID]],DraftResults[[#All],[Player ID]],0)),"")</f>
        <v/>
      </c>
      <c r="AC1039" s="50" t="str">
        <f>IF(Table5[[#This Row],[Ovr]]="","",IF(Table5[[#This Row],[cmbList]]="","",Table5[[#This Row],[cmbList]]-Table5[[#This Row],[Ovr]]))</f>
        <v/>
      </c>
      <c r="AD1039" s="54" t="str">
        <f>IF(ISERROR(VLOOKUP($AB1039&amp;"-"&amp;$E1039&amp;" "&amp;F1039,Bonuses!$B$1:$G$1006,4,FALSE)),"",INT(VLOOKUP($AB1039&amp;"-"&amp;$E1039&amp;" "&amp;$F1039,Bonuses!$B$1:$G$1006,4,FALSE)))</f>
        <v/>
      </c>
      <c r="AE10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0" spans="1:31" s="50" customFormat="1" x14ac:dyDescent="0.25">
      <c r="A1040" s="50">
        <v>21028</v>
      </c>
      <c r="B1040" s="50">
        <f>COUNTIF(Table5[PID],A1040)</f>
        <v>1</v>
      </c>
      <c r="C1040" s="50" t="str">
        <f>IF(COUNTIF(Table3[[#All],[PID]],A1040)&gt;0,"P","B")</f>
        <v>P</v>
      </c>
      <c r="D1040" s="59" t="str">
        <f>IF($C1040="B",INDEX(Batters[[#All],[POS]],MATCH(Table5[[#This Row],[PID]],Batters[[#All],[PID]],0)),INDEX(Table3[[#All],[POS]],MATCH(Table5[[#This Row],[PID]],Table3[[#All],[PID]],0)))</f>
        <v>RP</v>
      </c>
      <c r="E1040" s="52" t="str">
        <f>IF($C1040="B",INDEX(Batters[[#All],[First]],MATCH(Table5[[#This Row],[PID]],Batters[[#All],[PID]],0)),INDEX(Table3[[#All],[First]],MATCH(Table5[[#This Row],[PID]],Table3[[#All],[PID]],0)))</f>
        <v>Julius</v>
      </c>
      <c r="F1040" s="50" t="str">
        <f>IF($C1040="B",INDEX(Batters[[#All],[Last]],MATCH(A1040,Batters[[#All],[PID]],0)),INDEX(Table3[[#All],[Last]],MATCH(A1040,Table3[[#All],[PID]],0)))</f>
        <v>Randall</v>
      </c>
      <c r="G1040" s="56">
        <f>IF($C1040="B",INDEX(Batters[[#All],[Age]],MATCH(Table5[[#This Row],[PID]],Batters[[#All],[PID]],0)),INDEX(Table3[[#All],[Age]],MATCH(Table5[[#This Row],[PID]],Table3[[#All],[PID]],0)))</f>
        <v>17</v>
      </c>
      <c r="H1040" s="52" t="str">
        <f>IF($C1040="B",INDEX(Batters[[#All],[B]],MATCH(Table5[[#This Row],[PID]],Batters[[#All],[PID]],0)),INDEX(Table3[[#All],[B]],MATCH(Table5[[#This Row],[PID]],Table3[[#All],[PID]],0)))</f>
        <v>L</v>
      </c>
      <c r="I1040" s="52" t="str">
        <f>IF($C1040="B",INDEX(Batters[[#All],[T]],MATCH(Table5[[#This Row],[PID]],Batters[[#All],[PID]],0)),INDEX(Table3[[#All],[T]],MATCH(Table5[[#This Row],[PID]],Table3[[#All],[PID]],0)))</f>
        <v>L</v>
      </c>
      <c r="J1040" s="52" t="str">
        <f>IF($C1040="B",INDEX(Batters[[#All],[WE]],MATCH(Table5[[#This Row],[PID]],Batters[[#All],[PID]],0)),INDEX(Table3[[#All],[WE]],MATCH(Table5[[#This Row],[PID]],Table3[[#All],[PID]],0)))</f>
        <v>Low</v>
      </c>
      <c r="K1040" s="52" t="str">
        <f>IF($C1040="B",INDEX(Batters[[#All],[INT]],MATCH(Table5[[#This Row],[PID]],Batters[[#All],[PID]],0)),INDEX(Table3[[#All],[INT]],MATCH(Table5[[#This Row],[PID]],Table3[[#All],[PID]],0)))</f>
        <v>Normal</v>
      </c>
      <c r="L1040" s="60">
        <f>IF($C1040="B",INDEX(Batters[[#All],[CON P]],MATCH(Table5[[#This Row],[PID]],Batters[[#All],[PID]],0)),INDEX(Table3[[#All],[STU P]],MATCH(Table5[[#This Row],[PID]],Table3[[#All],[PID]],0)))</f>
        <v>2</v>
      </c>
      <c r="M1040" s="56">
        <f>IF($C1040="B",INDEX(Batters[[#All],[GAP P]],MATCH(Table5[[#This Row],[PID]],Batters[[#All],[PID]],0)),INDEX(Table3[[#All],[MOV P]],MATCH(Table5[[#This Row],[PID]],Table3[[#All],[PID]],0)))</f>
        <v>1</v>
      </c>
      <c r="N1040" s="56">
        <f>IF($C1040="B",INDEX(Batters[[#All],[POW P]],MATCH(Table5[[#This Row],[PID]],Batters[[#All],[PID]],0)),INDEX(Table3[[#All],[CON P]],MATCH(Table5[[#This Row],[PID]],Table3[[#All],[PID]],0)))</f>
        <v>4</v>
      </c>
      <c r="O1040" s="56" t="str">
        <f>IF($C1040="B",INDEX(Batters[[#All],[EYE P]],MATCH(Table5[[#This Row],[PID]],Batters[[#All],[PID]],0)),INDEX(Table3[[#All],[VELO]],MATCH(Table5[[#This Row],[PID]],Table3[[#All],[PID]],0)))</f>
        <v>84-86 Mph</v>
      </c>
      <c r="P1040" s="56">
        <f>IF($C1040="B",INDEX(Batters[[#All],[K P]],MATCH(Table5[[#This Row],[PID]],Batters[[#All],[PID]],0)),INDEX(Table3[[#All],[STM]],MATCH(Table5[[#This Row],[PID]],Table3[[#All],[PID]],0)))</f>
        <v>4</v>
      </c>
      <c r="Q1040" s="61">
        <f>IF($C1040="B",INDEX(Batters[[#All],[Tot]],MATCH(Table5[[#This Row],[PID]],Batters[[#All],[PID]],0)),INDEX(Table3[[#All],[Tot]],MATCH(Table5[[#This Row],[PID]],Table3[[#All],[PID]],0)))</f>
        <v>27.703392651348267</v>
      </c>
      <c r="R1040" s="52">
        <f>IF($C1040="B",INDEX(Batters[[#All],[zScore]],MATCH(Table5[[#This Row],[PID]],Batters[[#All],[PID]],0)),INDEX(Table3[[#All],[zScore]],MATCH(Table5[[#This Row],[PID]],Table3[[#All],[PID]],0)))</f>
        <v>-0.69187330704187799</v>
      </c>
      <c r="S1040" s="58" t="str">
        <f>IF($C1040="B",INDEX(Batters[[#All],[DEM]],MATCH(Table5[[#This Row],[PID]],Batters[[#All],[PID]],0)),INDEX(Table3[[#All],[DEM]],MATCH(Table5[[#This Row],[PID]],Table3[[#All],[PID]],0)))</f>
        <v>$80k</v>
      </c>
      <c r="T1040" s="62">
        <f>IF($C1040="B",INDEX(Batters[[#All],[Rnk]],MATCH(Table5[[#This Row],[PID]],Batters[[#All],[PID]],0)),INDEX(Table3[[#All],[Rnk]],MATCH(Table5[[#This Row],[PID]],Table3[[#All],[PID]],0)))</f>
        <v>598</v>
      </c>
      <c r="U1040" s="68">
        <f>IF($C1040="B",VLOOKUP($A1040,Bat!$A$4:$BA$1621,47,FALSE),VLOOKUP($A1040,Pit!$A$4:$BF$1557,56,FALSE))</f>
        <v>0</v>
      </c>
      <c r="V1040" s="50">
        <f>IF($C1040="B",VLOOKUP($A1040,Bat!$A$4:$BA$1621,48,FALSE),VLOOKUP($A1040,Pit!$A$4:$BF$1557,57,FALSE))</f>
        <v>0</v>
      </c>
      <c r="W1040" s="50">
        <f>Table5[[#This Row],[posRnk]]+Table5[[#This Row],[zRnk]]+IF($W$3&lt;&gt;Table5[[#This Row],[Type]],50,0)</f>
        <v>1628</v>
      </c>
      <c r="X1040" s="51">
        <f>RANK(Table5[[#This Row],[zScore]],Table5[[#All],[zScore]])</f>
        <v>980</v>
      </c>
      <c r="Y1040" s="50" t="str">
        <f>IFERROR(INDEX(DraftResults[[#All],[OVR]],MATCH(Table5[[#This Row],[PID]],DraftResults[[#All],[Player ID]],0)),"")</f>
        <v/>
      </c>
      <c r="Z10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0" s="50" t="str">
        <f>IFERROR(INDEX(DraftResults[[#All],[Pick in Round]],MATCH(Table5[[#This Row],[PID]],DraftResults[[#All],[Player ID]],0)),"")</f>
        <v/>
      </c>
      <c r="AB1040" s="50" t="str">
        <f>IFERROR(INDEX(DraftResults[[#All],[Team Name]],MATCH(Table5[[#This Row],[PID]],DraftResults[[#All],[Player ID]],0)),"")</f>
        <v/>
      </c>
      <c r="AC1040" s="50" t="str">
        <f>IF(Table5[[#This Row],[Ovr]]="","",IF(Table5[[#This Row],[cmbList]]="","",Table5[[#This Row],[cmbList]]-Table5[[#This Row],[Ovr]]))</f>
        <v/>
      </c>
      <c r="AD1040" s="54" t="str">
        <f>IF(ISERROR(VLOOKUP($AB1040&amp;"-"&amp;$E1040&amp;" "&amp;F1040,Bonuses!$B$1:$G$1006,4,FALSE)),"",INT(VLOOKUP($AB1040&amp;"-"&amp;$E1040&amp;" "&amp;$F1040,Bonuses!$B$1:$G$1006,4,FALSE)))</f>
        <v/>
      </c>
      <c r="AE10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1" spans="1:31" s="50" customFormat="1" x14ac:dyDescent="0.25">
      <c r="A1041" s="68">
        <v>12091</v>
      </c>
      <c r="B1041" s="69">
        <f>COUNTIF(Table5[PID],A1041)</f>
        <v>1</v>
      </c>
      <c r="C1041" s="69" t="str">
        <f>IF(COUNTIF(Table3[[#All],[PID]],A1041)&gt;0,"P","B")</f>
        <v>P</v>
      </c>
      <c r="D1041" s="59" t="str">
        <f>IF($C1041="B",INDEX(Batters[[#All],[POS]],MATCH(Table5[[#This Row],[PID]],Batters[[#All],[PID]],0)),INDEX(Table3[[#All],[POS]],MATCH(Table5[[#This Row],[PID]],Table3[[#All],[PID]],0)))</f>
        <v>SP</v>
      </c>
      <c r="E1041" s="52" t="str">
        <f>IF($C1041="B",INDEX(Batters[[#All],[First]],MATCH(Table5[[#This Row],[PID]],Batters[[#All],[PID]],0)),INDEX(Table3[[#All],[First]],MATCH(Table5[[#This Row],[PID]],Table3[[#All],[PID]],0)))</f>
        <v>Francisco</v>
      </c>
      <c r="F1041" s="55" t="str">
        <f>IF($C1041="B",INDEX(Batters[[#All],[Last]],MATCH(A1041,Batters[[#All],[PID]],0)),INDEX(Table3[[#All],[Last]],MATCH(A1041,Table3[[#All],[PID]],0)))</f>
        <v>Guzmán</v>
      </c>
      <c r="G1041" s="56">
        <f>IF($C1041="B",INDEX(Batters[[#All],[Age]],MATCH(Table5[[#This Row],[PID]],Batters[[#All],[PID]],0)),INDEX(Table3[[#All],[Age]],MATCH(Table5[[#This Row],[PID]],Table3[[#All],[PID]],0)))</f>
        <v>22</v>
      </c>
      <c r="H1041" s="52" t="str">
        <f>IF($C1041="B",INDEX(Batters[[#All],[B]],MATCH(Table5[[#This Row],[PID]],Batters[[#All],[PID]],0)),INDEX(Table3[[#All],[B]],MATCH(Table5[[#This Row],[PID]],Table3[[#All],[PID]],0)))</f>
        <v>R</v>
      </c>
      <c r="I1041" s="52" t="str">
        <f>IF($C1041="B",INDEX(Batters[[#All],[T]],MATCH(Table5[[#This Row],[PID]],Batters[[#All],[PID]],0)),INDEX(Table3[[#All],[T]],MATCH(Table5[[#This Row],[PID]],Table3[[#All],[PID]],0)))</f>
        <v>R</v>
      </c>
      <c r="J1041" s="71" t="str">
        <f>IF($C1041="B",INDEX(Batters[[#All],[WE]],MATCH(Table5[[#This Row],[PID]],Batters[[#All],[PID]],0)),INDEX(Table3[[#All],[WE]],MATCH(Table5[[#This Row],[PID]],Table3[[#All],[PID]],0)))</f>
        <v>Low</v>
      </c>
      <c r="K1041" s="52" t="str">
        <f>IF($C1041="B",INDEX(Batters[[#All],[INT]],MATCH(Table5[[#This Row],[PID]],Batters[[#All],[PID]],0)),INDEX(Table3[[#All],[INT]],MATCH(Table5[[#This Row],[PID]],Table3[[#All],[PID]],0)))</f>
        <v>Normal</v>
      </c>
      <c r="L1041" s="60">
        <f>IF($C1041="B",INDEX(Batters[[#All],[CON P]],MATCH(Table5[[#This Row],[PID]],Batters[[#All],[PID]],0)),INDEX(Table3[[#All],[STU P]],MATCH(Table5[[#This Row],[PID]],Table3[[#All],[PID]],0)))</f>
        <v>4</v>
      </c>
      <c r="M1041" s="72">
        <f>IF($C1041="B",INDEX(Batters[[#All],[GAP P]],MATCH(Table5[[#This Row],[PID]],Batters[[#All],[PID]],0)),INDEX(Table3[[#All],[MOV P]],MATCH(Table5[[#This Row],[PID]],Table3[[#All],[PID]],0)))</f>
        <v>2</v>
      </c>
      <c r="N1041" s="72">
        <f>IF($C1041="B",INDEX(Batters[[#All],[POW P]],MATCH(Table5[[#This Row],[PID]],Batters[[#All],[PID]],0)),INDEX(Table3[[#All],[CON P]],MATCH(Table5[[#This Row],[PID]],Table3[[#All],[PID]],0)))</f>
        <v>2</v>
      </c>
      <c r="O1041" s="72" t="str">
        <f>IF($C1041="B",INDEX(Batters[[#All],[EYE P]],MATCH(Table5[[#This Row],[PID]],Batters[[#All],[PID]],0)),INDEX(Table3[[#All],[VELO]],MATCH(Table5[[#This Row],[PID]],Table3[[#All],[PID]],0)))</f>
        <v>90-92 Mph</v>
      </c>
      <c r="P1041" s="56">
        <f>IF($C1041="B",INDEX(Batters[[#All],[K P]],MATCH(Table5[[#This Row],[PID]],Batters[[#All],[PID]],0)),INDEX(Table3[[#All],[STM]],MATCH(Table5[[#This Row],[PID]],Table3[[#All],[PID]],0)))</f>
        <v>5</v>
      </c>
      <c r="Q1041" s="61">
        <f>IF($C1041="B",INDEX(Batters[[#All],[Tot]],MATCH(Table5[[#This Row],[PID]],Batters[[#All],[PID]],0)),INDEX(Table3[[#All],[Tot]],MATCH(Table5[[#This Row],[PID]],Table3[[#All],[PID]],0)))</f>
        <v>25.399104068192639</v>
      </c>
      <c r="R1041" s="52">
        <f>IF($C1041="B",INDEX(Batters[[#All],[zScore]],MATCH(Table5[[#This Row],[PID]],Batters[[#All],[PID]],0)),INDEX(Table3[[#All],[zScore]],MATCH(Table5[[#This Row],[PID]],Table3[[#All],[PID]],0)))</f>
        <v>-0.69664770251148378</v>
      </c>
      <c r="S1041" s="78" t="str">
        <f>IF($C1041="B",INDEX(Batters[[#All],[DEM]],MATCH(Table5[[#This Row],[PID]],Batters[[#All],[PID]],0)),INDEX(Table3[[#All],[DEM]],MATCH(Table5[[#This Row],[PID]],Table3[[#All],[PID]],0)))</f>
        <v>-</v>
      </c>
      <c r="T1041" s="75">
        <f>IF($C1041="B",INDEX(Batters[[#All],[Rnk]],MATCH(Table5[[#This Row],[PID]],Batters[[#All],[PID]],0)),INDEX(Table3[[#All],[Rnk]],MATCH(Table5[[#This Row],[PID]],Table3[[#All],[PID]],0)))</f>
        <v>599</v>
      </c>
      <c r="U1041" s="68">
        <f>IF($C1041="B",VLOOKUP($A1041,Bat!$A$4:$BA$1621,47,FALSE),VLOOKUP($A1041,Pit!$A$4:$BF$1557,56,FALSE))</f>
        <v>0</v>
      </c>
      <c r="V1041" s="50">
        <f>IF($C1041="B",VLOOKUP($A1041,Bat!$A$4:$BA$1621,48,FALSE),VLOOKUP($A1041,Pit!$A$4:$BF$1557,57,FALSE))</f>
        <v>0</v>
      </c>
      <c r="W1041" s="69">
        <f>Table5[[#This Row],[posRnk]]+Table5[[#This Row],[zRnk]]+IF($W$3&lt;&gt;Table5[[#This Row],[Type]],50,0)</f>
        <v>1631</v>
      </c>
      <c r="X1041" s="73">
        <f>RANK(Table5[[#This Row],[zScore]],Table5[[#All],[zScore]])</f>
        <v>982</v>
      </c>
      <c r="Y1041" s="69" t="str">
        <f>IFERROR(INDEX(DraftResults[[#All],[OVR]],MATCH(Table5[[#This Row],[PID]],DraftResults[[#All],[Player ID]],0)),"")</f>
        <v/>
      </c>
      <c r="Z104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1" s="69" t="str">
        <f>IFERROR(INDEX(DraftResults[[#All],[Pick in Round]],MATCH(Table5[[#This Row],[PID]],DraftResults[[#All],[Player ID]],0)),"")</f>
        <v/>
      </c>
      <c r="AB1041" s="69" t="str">
        <f>IFERROR(INDEX(DraftResults[[#All],[Team Name]],MATCH(Table5[[#This Row],[PID]],DraftResults[[#All],[Player ID]],0)),"")</f>
        <v/>
      </c>
      <c r="AC1041" s="69" t="str">
        <f>IF(Table5[[#This Row],[Ovr]]="","",IF(Table5[[#This Row],[cmbList]]="","",Table5[[#This Row],[cmbList]]-Table5[[#This Row],[Ovr]]))</f>
        <v/>
      </c>
      <c r="AD1041" s="77" t="str">
        <f>IF(ISERROR(VLOOKUP($AB1041&amp;"-"&amp;$E1041&amp;" "&amp;F1041,Bonuses!$B$1:$G$1006,4,FALSE)),"",INT(VLOOKUP($AB1041&amp;"-"&amp;$E1041&amp;" "&amp;$F1041,Bonuses!$B$1:$G$1006,4,FALSE)))</f>
        <v/>
      </c>
      <c r="AE104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2" spans="1:31" s="50" customFormat="1" x14ac:dyDescent="0.25">
      <c r="A1042" s="50">
        <v>20793</v>
      </c>
      <c r="B1042" s="50">
        <f>COUNTIF(Table5[PID],A1042)</f>
        <v>1</v>
      </c>
      <c r="C1042" s="50" t="str">
        <f>IF(COUNTIF(Table3[[#All],[PID]],A1042)&gt;0,"P","B")</f>
        <v>B</v>
      </c>
      <c r="D1042" s="59" t="str">
        <f>IF($C1042="B",INDEX(Batters[[#All],[POS]],MATCH(Table5[[#This Row],[PID]],Batters[[#All],[PID]],0)),INDEX(Table3[[#All],[POS]],MATCH(Table5[[#This Row],[PID]],Table3[[#All],[PID]],0)))</f>
        <v>RF</v>
      </c>
      <c r="E1042" s="52" t="str">
        <f>IF($C1042="B",INDEX(Batters[[#All],[First]],MATCH(Table5[[#This Row],[PID]],Batters[[#All],[PID]],0)),INDEX(Table3[[#All],[First]],MATCH(Table5[[#This Row],[PID]],Table3[[#All],[PID]],0)))</f>
        <v>Bill</v>
      </c>
      <c r="F1042" s="50" t="str">
        <f>IF($C1042="B",INDEX(Batters[[#All],[Last]],MATCH(A1042,Batters[[#All],[PID]],0)),INDEX(Table3[[#All],[Last]],MATCH(A1042,Table3[[#All],[PID]],0)))</f>
        <v>Carter</v>
      </c>
      <c r="G1042" s="56">
        <f>IF($C1042="B",INDEX(Batters[[#All],[Age]],MATCH(Table5[[#This Row],[PID]],Batters[[#All],[PID]],0)),INDEX(Table3[[#All],[Age]],MATCH(Table5[[#This Row],[PID]],Table3[[#All],[PID]],0)))</f>
        <v>16</v>
      </c>
      <c r="H1042" s="52" t="str">
        <f>IF($C1042="B",INDEX(Batters[[#All],[B]],MATCH(Table5[[#This Row],[PID]],Batters[[#All],[PID]],0)),INDEX(Table3[[#All],[B]],MATCH(Table5[[#This Row],[PID]],Table3[[#All],[PID]],0)))</f>
        <v>R</v>
      </c>
      <c r="I1042" s="52" t="str">
        <f>IF($C1042="B",INDEX(Batters[[#All],[T]],MATCH(Table5[[#This Row],[PID]],Batters[[#All],[PID]],0)),INDEX(Table3[[#All],[T]],MATCH(Table5[[#This Row],[PID]],Table3[[#All],[PID]],0)))</f>
        <v>R</v>
      </c>
      <c r="J1042" s="52" t="str">
        <f>IF($C1042="B",INDEX(Batters[[#All],[WE]],MATCH(Table5[[#This Row],[PID]],Batters[[#All],[PID]],0)),INDEX(Table3[[#All],[WE]],MATCH(Table5[[#This Row],[PID]],Table3[[#All],[PID]],0)))</f>
        <v>Low</v>
      </c>
      <c r="K1042" s="52" t="str">
        <f>IF($C1042="B",INDEX(Batters[[#All],[INT]],MATCH(Table5[[#This Row],[PID]],Batters[[#All],[PID]],0)),INDEX(Table3[[#All],[INT]],MATCH(Table5[[#This Row],[PID]],Table3[[#All],[PID]],0)))</f>
        <v>Normal</v>
      </c>
      <c r="L1042" s="60">
        <f>IF($C1042="B",INDEX(Batters[[#All],[CON P]],MATCH(Table5[[#This Row],[PID]],Batters[[#All],[PID]],0)),INDEX(Table3[[#All],[STU P]],MATCH(Table5[[#This Row],[PID]],Table3[[#All],[PID]],0)))</f>
        <v>3</v>
      </c>
      <c r="M1042" s="56">
        <f>IF($C1042="B",INDEX(Batters[[#All],[GAP P]],MATCH(Table5[[#This Row],[PID]],Batters[[#All],[PID]],0)),INDEX(Table3[[#All],[MOV P]],MATCH(Table5[[#This Row],[PID]],Table3[[#All],[PID]],0)))</f>
        <v>4</v>
      </c>
      <c r="N1042" s="56">
        <f>IF($C1042="B",INDEX(Batters[[#All],[POW P]],MATCH(Table5[[#This Row],[PID]],Batters[[#All],[PID]],0)),INDEX(Table3[[#All],[CON P]],MATCH(Table5[[#This Row],[PID]],Table3[[#All],[PID]],0)))</f>
        <v>2</v>
      </c>
      <c r="O1042" s="56">
        <f>IF($C1042="B",INDEX(Batters[[#All],[EYE P]],MATCH(Table5[[#This Row],[PID]],Batters[[#All],[PID]],0)),INDEX(Table3[[#All],[VELO]],MATCH(Table5[[#This Row],[PID]],Table3[[#All],[PID]],0)))</f>
        <v>5</v>
      </c>
      <c r="P1042" s="56">
        <f>IF($C1042="B",INDEX(Batters[[#All],[K P]],MATCH(Table5[[#This Row],[PID]],Batters[[#All],[PID]],0)),INDEX(Table3[[#All],[STM]],MATCH(Table5[[#This Row],[PID]],Table3[[#All],[PID]],0)))</f>
        <v>4</v>
      </c>
      <c r="Q1042" s="61">
        <f>IF($C1042="B",INDEX(Batters[[#All],[Tot]],MATCH(Table5[[#This Row],[PID]],Batters[[#All],[PID]],0)),INDEX(Table3[[#All],[Tot]],MATCH(Table5[[#This Row],[PID]],Table3[[#All],[PID]],0)))</f>
        <v>40.986269535455627</v>
      </c>
      <c r="R1042" s="52">
        <f>IF($C1042="B",INDEX(Batters[[#All],[zScore]],MATCH(Table5[[#This Row],[PID]],Batters[[#All],[PID]],0)),INDEX(Table3[[#All],[zScore]],MATCH(Table5[[#This Row],[PID]],Table3[[#All],[PID]],0)))</f>
        <v>-0.69741634303284561</v>
      </c>
      <c r="S1042" s="58" t="str">
        <f>IF($C1042="B",INDEX(Batters[[#All],[DEM]],MATCH(Table5[[#This Row],[PID]],Batters[[#All],[PID]],0)),INDEX(Table3[[#All],[DEM]],MATCH(Table5[[#This Row],[PID]],Table3[[#All],[PID]],0)))</f>
        <v>$65k</v>
      </c>
      <c r="T1042" s="62">
        <f>IF($C1042="B",INDEX(Batters[[#All],[Rnk]],MATCH(Table5[[#This Row],[PID]],Batters[[#All],[PID]],0)),INDEX(Table3[[#All],[Rnk]],MATCH(Table5[[#This Row],[PID]],Table3[[#All],[PID]],0)))</f>
        <v>383</v>
      </c>
      <c r="U1042" s="68">
        <f>IF($C1042="B",VLOOKUP($A1042,Bat!$A$4:$BA$1621,47,FALSE),VLOOKUP($A1042,Pit!$A$4:$BF$1557,56,FALSE))</f>
        <v>0</v>
      </c>
      <c r="V1042" s="50">
        <f>IF($C1042="B",VLOOKUP($A1042,Bat!$A$4:$BA$1621,48,FALSE),VLOOKUP($A1042,Pit!$A$4:$BF$1557,57,FALSE))</f>
        <v>0</v>
      </c>
      <c r="W1042" s="50">
        <f>Table5[[#This Row],[posRnk]]+Table5[[#This Row],[zRnk]]+IF($W$3&lt;&gt;Table5[[#This Row],[Type]],50,0)</f>
        <v>1416</v>
      </c>
      <c r="X1042" s="51">
        <f>RANK(Table5[[#This Row],[zScore]],Table5[[#All],[zScore]])</f>
        <v>983</v>
      </c>
      <c r="Y1042" s="50" t="str">
        <f>IFERROR(INDEX(DraftResults[[#All],[OVR]],MATCH(Table5[[#This Row],[PID]],DraftResults[[#All],[Player ID]],0)),"")</f>
        <v/>
      </c>
      <c r="Z10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2" s="50" t="str">
        <f>IFERROR(INDEX(DraftResults[[#All],[Pick in Round]],MATCH(Table5[[#This Row],[PID]],DraftResults[[#All],[Player ID]],0)),"")</f>
        <v/>
      </c>
      <c r="AB1042" s="50" t="str">
        <f>IFERROR(INDEX(DraftResults[[#All],[Team Name]],MATCH(Table5[[#This Row],[PID]],DraftResults[[#All],[Player ID]],0)),"")</f>
        <v/>
      </c>
      <c r="AC1042" s="50" t="str">
        <f>IF(Table5[[#This Row],[Ovr]]="","",IF(Table5[[#This Row],[cmbList]]="","",Table5[[#This Row],[cmbList]]-Table5[[#This Row],[Ovr]]))</f>
        <v/>
      </c>
      <c r="AD1042" s="54" t="str">
        <f>IF(ISERROR(VLOOKUP($AB1042&amp;"-"&amp;$E1042&amp;" "&amp;F1042,Bonuses!$B$1:$G$1006,4,FALSE)),"",INT(VLOOKUP($AB1042&amp;"-"&amp;$E1042&amp;" "&amp;$F1042,Bonuses!$B$1:$G$1006,4,FALSE)))</f>
        <v/>
      </c>
      <c r="AE10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3" spans="1:31" s="50" customFormat="1" x14ac:dyDescent="0.25">
      <c r="A1043" s="50">
        <v>16353</v>
      </c>
      <c r="B1043" s="50">
        <f>COUNTIF(Table5[PID],A1043)</f>
        <v>1</v>
      </c>
      <c r="C1043" s="50" t="str">
        <f>IF(COUNTIF(Table3[[#All],[PID]],A1043)&gt;0,"P","B")</f>
        <v>P</v>
      </c>
      <c r="D1043" s="59" t="str">
        <f>IF($C1043="B",INDEX(Batters[[#All],[POS]],MATCH(Table5[[#This Row],[PID]],Batters[[#All],[PID]],0)),INDEX(Table3[[#All],[POS]],MATCH(Table5[[#This Row],[PID]],Table3[[#All],[PID]],0)))</f>
        <v>RP</v>
      </c>
      <c r="E1043" s="52" t="str">
        <f>IF($C1043="B",INDEX(Batters[[#All],[First]],MATCH(Table5[[#This Row],[PID]],Batters[[#All],[PID]],0)),INDEX(Table3[[#All],[First]],MATCH(Table5[[#This Row],[PID]],Table3[[#All],[PID]],0)))</f>
        <v>Seika</v>
      </c>
      <c r="F1043" s="50" t="str">
        <f>IF($C1043="B",INDEX(Batters[[#All],[Last]],MATCH(A1043,Batters[[#All],[PID]],0)),INDEX(Table3[[#All],[Last]],MATCH(A1043,Table3[[#All],[PID]],0)))</f>
        <v>Takahashi</v>
      </c>
      <c r="G1043" s="56">
        <f>IF($C1043="B",INDEX(Batters[[#All],[Age]],MATCH(Table5[[#This Row],[PID]],Batters[[#All],[PID]],0)),INDEX(Table3[[#All],[Age]],MATCH(Table5[[#This Row],[PID]],Table3[[#All],[PID]],0)))</f>
        <v>22</v>
      </c>
      <c r="H1043" s="52" t="str">
        <f>IF($C1043="B",INDEX(Batters[[#All],[B]],MATCH(Table5[[#This Row],[PID]],Batters[[#All],[PID]],0)),INDEX(Table3[[#All],[B]],MATCH(Table5[[#This Row],[PID]],Table3[[#All],[PID]],0)))</f>
        <v>R</v>
      </c>
      <c r="I1043" s="52" t="str">
        <f>IF($C1043="B",INDEX(Batters[[#All],[T]],MATCH(Table5[[#This Row],[PID]],Batters[[#All],[PID]],0)),INDEX(Table3[[#All],[T]],MATCH(Table5[[#This Row],[PID]],Table3[[#All],[PID]],0)))</f>
        <v>R</v>
      </c>
      <c r="J1043" s="52" t="str">
        <f>IF($C1043="B",INDEX(Batters[[#All],[WE]],MATCH(Table5[[#This Row],[PID]],Batters[[#All],[PID]],0)),INDEX(Table3[[#All],[WE]],MATCH(Table5[[#This Row],[PID]],Table3[[#All],[PID]],0)))</f>
        <v>Low</v>
      </c>
      <c r="K1043" s="52" t="str">
        <f>IF($C1043="B",INDEX(Batters[[#All],[INT]],MATCH(Table5[[#This Row],[PID]],Batters[[#All],[PID]],0)),INDEX(Table3[[#All],[INT]],MATCH(Table5[[#This Row],[PID]],Table3[[#All],[PID]],0)))</f>
        <v>Normal</v>
      </c>
      <c r="L1043" s="60">
        <f>IF($C1043="B",INDEX(Batters[[#All],[CON P]],MATCH(Table5[[#This Row],[PID]],Batters[[#All],[PID]],0)),INDEX(Table3[[#All],[STU P]],MATCH(Table5[[#This Row],[PID]],Table3[[#All],[PID]],0)))</f>
        <v>4</v>
      </c>
      <c r="M1043" s="56">
        <f>IF($C1043="B",INDEX(Batters[[#All],[GAP P]],MATCH(Table5[[#This Row],[PID]],Batters[[#All],[PID]],0)),INDEX(Table3[[#All],[MOV P]],MATCH(Table5[[#This Row],[PID]],Table3[[#All],[PID]],0)))</f>
        <v>2</v>
      </c>
      <c r="N1043" s="56">
        <f>IF($C1043="B",INDEX(Batters[[#All],[POW P]],MATCH(Table5[[#This Row],[PID]],Batters[[#All],[PID]],0)),INDEX(Table3[[#All],[CON P]],MATCH(Table5[[#This Row],[PID]],Table3[[#All],[PID]],0)))</f>
        <v>2</v>
      </c>
      <c r="O1043" s="56" t="str">
        <f>IF($C1043="B",INDEX(Batters[[#All],[EYE P]],MATCH(Table5[[#This Row],[PID]],Batters[[#All],[PID]],0)),INDEX(Table3[[#All],[VELO]],MATCH(Table5[[#This Row],[PID]],Table3[[#All],[PID]],0)))</f>
        <v>84-86 Mph</v>
      </c>
      <c r="P1043" s="56">
        <f>IF($C1043="B",INDEX(Batters[[#All],[K P]],MATCH(Table5[[#This Row],[PID]],Batters[[#All],[PID]],0)),INDEX(Table3[[#All],[STM]],MATCH(Table5[[#This Row],[PID]],Table3[[#All],[PID]],0)))</f>
        <v>6</v>
      </c>
      <c r="Q1043" s="61">
        <f>IF($C1043="B",INDEX(Batters[[#All],[Tot]],MATCH(Table5[[#This Row],[PID]],Batters[[#All],[PID]],0)),INDEX(Table3[[#All],[Tot]],MATCH(Table5[[#This Row],[PID]],Table3[[#All],[PID]],0)))</f>
        <v>27.047916402030879</v>
      </c>
      <c r="R1043" s="52">
        <f>IF($C1043="B",INDEX(Batters[[#All],[zScore]],MATCH(Table5[[#This Row],[PID]],Batters[[#All],[PID]],0)),INDEX(Table3[[#All],[zScore]],MATCH(Table5[[#This Row],[PID]],Table3[[#All],[PID]],0)))</f>
        <v>-0.7041997205858781</v>
      </c>
      <c r="S1043" s="58" t="str">
        <f>IF($C1043="B",INDEX(Batters[[#All],[DEM]],MATCH(Table5[[#This Row],[PID]],Batters[[#All],[PID]],0)),INDEX(Table3[[#All],[DEM]],MATCH(Table5[[#This Row],[PID]],Table3[[#All],[PID]],0)))</f>
        <v>-</v>
      </c>
      <c r="T1043" s="62">
        <f>IF($C1043="B",INDEX(Batters[[#All],[Rnk]],MATCH(Table5[[#This Row],[PID]],Batters[[#All],[PID]],0)),INDEX(Table3[[#All],[Rnk]],MATCH(Table5[[#This Row],[PID]],Table3[[#All],[PID]],0)))</f>
        <v>600</v>
      </c>
      <c r="U1043" s="68">
        <f>IF($C1043="B",VLOOKUP($A1043,Bat!$A$4:$BA$1621,47,FALSE),VLOOKUP($A1043,Pit!$A$4:$BF$1557,56,FALSE))</f>
        <v>0</v>
      </c>
      <c r="V1043" s="50">
        <f>IF($C1043="B",VLOOKUP($A1043,Bat!$A$4:$BA$1621,48,FALSE),VLOOKUP($A1043,Pit!$A$4:$BF$1557,57,FALSE))</f>
        <v>0</v>
      </c>
      <c r="W1043" s="50">
        <f>Table5[[#This Row],[posRnk]]+Table5[[#This Row],[zRnk]]+IF($W$3&lt;&gt;Table5[[#This Row],[Type]],50,0)</f>
        <v>1634</v>
      </c>
      <c r="X1043" s="51">
        <f>RANK(Table5[[#This Row],[zScore]],Table5[[#All],[zScore]])</f>
        <v>984</v>
      </c>
      <c r="Y1043" s="50" t="str">
        <f>IFERROR(INDEX(DraftResults[[#All],[OVR]],MATCH(Table5[[#This Row],[PID]],DraftResults[[#All],[Player ID]],0)),"")</f>
        <v/>
      </c>
      <c r="Z10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3" s="50" t="str">
        <f>IFERROR(INDEX(DraftResults[[#All],[Pick in Round]],MATCH(Table5[[#This Row],[PID]],DraftResults[[#All],[Player ID]],0)),"")</f>
        <v/>
      </c>
      <c r="AB1043" s="50" t="str">
        <f>IFERROR(INDEX(DraftResults[[#All],[Team Name]],MATCH(Table5[[#This Row],[PID]],DraftResults[[#All],[Player ID]],0)),"")</f>
        <v/>
      </c>
      <c r="AC1043" s="50" t="str">
        <f>IF(Table5[[#This Row],[Ovr]]="","",IF(Table5[[#This Row],[cmbList]]="","",Table5[[#This Row],[cmbList]]-Table5[[#This Row],[Ovr]]))</f>
        <v/>
      </c>
      <c r="AD1043" s="54" t="str">
        <f>IF(ISERROR(VLOOKUP($AB1043&amp;"-"&amp;$E1043&amp;" "&amp;F1043,Bonuses!$B$1:$G$1006,4,FALSE)),"",INT(VLOOKUP($AB1043&amp;"-"&amp;$E1043&amp;" "&amp;$F1043,Bonuses!$B$1:$G$1006,4,FALSE)))</f>
        <v/>
      </c>
      <c r="AE10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4" spans="1:31" s="50" customFormat="1" x14ac:dyDescent="0.25">
      <c r="A1044" s="68">
        <v>18050</v>
      </c>
      <c r="B1044" s="69">
        <f>COUNTIF(Table5[PID],A1044)</f>
        <v>1</v>
      </c>
      <c r="C1044" s="69" t="str">
        <f>IF(COUNTIF(Table3[[#All],[PID]],A1044)&gt;0,"P","B")</f>
        <v>P</v>
      </c>
      <c r="D1044" s="59" t="str">
        <f>IF($C1044="B",INDEX(Batters[[#All],[POS]],MATCH(Table5[[#This Row],[PID]],Batters[[#All],[PID]],0)),INDEX(Table3[[#All],[POS]],MATCH(Table5[[#This Row],[PID]],Table3[[#All],[PID]],0)))</f>
        <v>SP</v>
      </c>
      <c r="E1044" s="52" t="str">
        <f>IF($C1044="B",INDEX(Batters[[#All],[First]],MATCH(Table5[[#This Row],[PID]],Batters[[#All],[PID]],0)),INDEX(Table3[[#All],[First]],MATCH(Table5[[#This Row],[PID]],Table3[[#All],[PID]],0)))</f>
        <v>Donald</v>
      </c>
      <c r="F1044" s="55" t="str">
        <f>IF($C1044="B",INDEX(Batters[[#All],[Last]],MATCH(A1044,Batters[[#All],[PID]],0)),INDEX(Table3[[#All],[Last]],MATCH(A1044,Table3[[#All],[PID]],0)))</f>
        <v>Hamilton</v>
      </c>
      <c r="G1044" s="56">
        <f>IF($C1044="B",INDEX(Batters[[#All],[Age]],MATCH(Table5[[#This Row],[PID]],Batters[[#All],[PID]],0)),INDEX(Table3[[#All],[Age]],MATCH(Table5[[#This Row],[PID]],Table3[[#All],[PID]],0)))</f>
        <v>22</v>
      </c>
      <c r="H1044" s="52" t="str">
        <f>IF($C1044="B",INDEX(Batters[[#All],[B]],MATCH(Table5[[#This Row],[PID]],Batters[[#All],[PID]],0)),INDEX(Table3[[#All],[B]],MATCH(Table5[[#This Row],[PID]],Table3[[#All],[PID]],0)))</f>
        <v>L</v>
      </c>
      <c r="I1044" s="52" t="str">
        <f>IF($C1044="B",INDEX(Batters[[#All],[T]],MATCH(Table5[[#This Row],[PID]],Batters[[#All],[PID]],0)),INDEX(Table3[[#All],[T]],MATCH(Table5[[#This Row],[PID]],Table3[[#All],[PID]],0)))</f>
        <v>L</v>
      </c>
      <c r="J1044" s="71" t="str">
        <f>IF($C1044="B",INDEX(Batters[[#All],[WE]],MATCH(Table5[[#This Row],[PID]],Batters[[#All],[PID]],0)),INDEX(Table3[[#All],[WE]],MATCH(Table5[[#This Row],[PID]],Table3[[#All],[PID]],0)))</f>
        <v>Low</v>
      </c>
      <c r="K1044" s="52" t="str">
        <f>IF($C1044="B",INDEX(Batters[[#All],[INT]],MATCH(Table5[[#This Row],[PID]],Batters[[#All],[PID]],0)),INDEX(Table3[[#All],[INT]],MATCH(Table5[[#This Row],[PID]],Table3[[#All],[PID]],0)))</f>
        <v>Low</v>
      </c>
      <c r="L1044" s="60">
        <f>IF($C1044="B",INDEX(Batters[[#All],[CON P]],MATCH(Table5[[#This Row],[PID]],Batters[[#All],[PID]],0)),INDEX(Table3[[#All],[STU P]],MATCH(Table5[[#This Row],[PID]],Table3[[#All],[PID]],0)))</f>
        <v>4</v>
      </c>
      <c r="M1044" s="72">
        <f>IF($C1044="B",INDEX(Batters[[#All],[GAP P]],MATCH(Table5[[#This Row],[PID]],Batters[[#All],[PID]],0)),INDEX(Table3[[#All],[MOV P]],MATCH(Table5[[#This Row],[PID]],Table3[[#All],[PID]],0)))</f>
        <v>2</v>
      </c>
      <c r="N1044" s="72">
        <f>IF($C1044="B",INDEX(Batters[[#All],[POW P]],MATCH(Table5[[#This Row],[PID]],Batters[[#All],[PID]],0)),INDEX(Table3[[#All],[CON P]],MATCH(Table5[[#This Row],[PID]],Table3[[#All],[PID]],0)))</f>
        <v>2</v>
      </c>
      <c r="O1044" s="72" t="str">
        <f>IF($C1044="B",INDEX(Batters[[#All],[EYE P]],MATCH(Table5[[#This Row],[PID]],Batters[[#All],[PID]],0)),INDEX(Table3[[#All],[VELO]],MATCH(Table5[[#This Row],[PID]],Table3[[#All],[PID]],0)))</f>
        <v>92-94 Mph</v>
      </c>
      <c r="P1044" s="56">
        <f>IF($C1044="B",INDEX(Batters[[#All],[K P]],MATCH(Table5[[#This Row],[PID]],Batters[[#All],[PID]],0)),INDEX(Table3[[#All],[STM]],MATCH(Table5[[#This Row],[PID]],Table3[[#All],[PID]],0)))</f>
        <v>8</v>
      </c>
      <c r="Q1044" s="61">
        <f>IF($C1044="B",INDEX(Batters[[#All],[Tot]],MATCH(Table5[[#This Row],[PID]],Batters[[#All],[PID]],0)),INDEX(Table3[[#All],[Tot]],MATCH(Table5[[#This Row],[PID]],Table3[[#All],[PID]],0)))</f>
        <v>25.254463136217524</v>
      </c>
      <c r="R1044" s="52">
        <f>IF($C1044="B",INDEX(Batters[[#All],[zScore]],MATCH(Table5[[#This Row],[PID]],Batters[[#All],[PID]],0)),INDEX(Table3[[#All],[zScore]],MATCH(Table5[[#This Row],[PID]],Table3[[#All],[PID]],0)))</f>
        <v>-0.70627044268870109</v>
      </c>
      <c r="S1044" s="78" t="str">
        <f>IF($C1044="B",INDEX(Batters[[#All],[DEM]],MATCH(Table5[[#This Row],[PID]],Batters[[#All],[PID]],0)),INDEX(Table3[[#All],[DEM]],MATCH(Table5[[#This Row],[PID]],Table3[[#All],[PID]],0)))</f>
        <v>-</v>
      </c>
      <c r="T1044" s="75">
        <f>IF($C1044="B",INDEX(Batters[[#All],[Rnk]],MATCH(Table5[[#This Row],[PID]],Batters[[#All],[PID]],0)),INDEX(Table3[[#All],[Rnk]],MATCH(Table5[[#This Row],[PID]],Table3[[#All],[PID]],0)))</f>
        <v>601</v>
      </c>
      <c r="U1044" s="68">
        <f>IF($C1044="B",VLOOKUP($A1044,Bat!$A$4:$BA$1621,47,FALSE),VLOOKUP($A1044,Pit!$A$4:$BF$1557,56,FALSE))</f>
        <v>0</v>
      </c>
      <c r="V1044" s="50">
        <f>IF($C1044="B",VLOOKUP($A1044,Bat!$A$4:$BA$1621,48,FALSE),VLOOKUP($A1044,Pit!$A$4:$BF$1557,57,FALSE))</f>
        <v>0</v>
      </c>
      <c r="W1044" s="69">
        <f>Table5[[#This Row],[posRnk]]+Table5[[#This Row],[zRnk]]+IF($W$3&lt;&gt;Table5[[#This Row],[Type]],50,0)</f>
        <v>1636</v>
      </c>
      <c r="X1044" s="73">
        <f>RANK(Table5[[#This Row],[zScore]],Table5[[#All],[zScore]])</f>
        <v>985</v>
      </c>
      <c r="Y1044" s="69" t="str">
        <f>IFERROR(INDEX(DraftResults[[#All],[OVR]],MATCH(Table5[[#This Row],[PID]],DraftResults[[#All],[Player ID]],0)),"")</f>
        <v/>
      </c>
      <c r="Z104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4" s="69" t="str">
        <f>IFERROR(INDEX(DraftResults[[#All],[Pick in Round]],MATCH(Table5[[#This Row],[PID]],DraftResults[[#All],[Player ID]],0)),"")</f>
        <v/>
      </c>
      <c r="AB1044" s="69" t="str">
        <f>IFERROR(INDEX(DraftResults[[#All],[Team Name]],MATCH(Table5[[#This Row],[PID]],DraftResults[[#All],[Player ID]],0)),"")</f>
        <v/>
      </c>
      <c r="AC1044" s="69" t="str">
        <f>IF(Table5[[#This Row],[Ovr]]="","",IF(Table5[[#This Row],[cmbList]]="","",Table5[[#This Row],[cmbList]]-Table5[[#This Row],[Ovr]]))</f>
        <v/>
      </c>
      <c r="AD1044" s="77" t="str">
        <f>IF(ISERROR(VLOOKUP($AB1044&amp;"-"&amp;$E1044&amp;" "&amp;F1044,Bonuses!$B$1:$G$1006,4,FALSE)),"",INT(VLOOKUP($AB1044&amp;"-"&amp;$E1044&amp;" "&amp;$F1044,Bonuses!$B$1:$G$1006,4,FALSE)))</f>
        <v/>
      </c>
      <c r="AE104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5" spans="1:31" s="50" customFormat="1" x14ac:dyDescent="0.25">
      <c r="A1045" s="50">
        <v>20404</v>
      </c>
      <c r="B1045" s="50">
        <f>COUNTIF(Table5[PID],A1045)</f>
        <v>1</v>
      </c>
      <c r="C1045" s="50" t="str">
        <f>IF(COUNTIF(Table3[[#All],[PID]],A1045)&gt;0,"P","B")</f>
        <v>P</v>
      </c>
      <c r="D1045" s="59" t="str">
        <f>IF($C1045="B",INDEX(Batters[[#All],[POS]],MATCH(Table5[[#This Row],[PID]],Batters[[#All],[PID]],0)),INDEX(Table3[[#All],[POS]],MATCH(Table5[[#This Row],[PID]],Table3[[#All],[PID]],0)))</f>
        <v>RP</v>
      </c>
      <c r="E1045" s="52" t="str">
        <f>IF($C1045="B",INDEX(Batters[[#All],[First]],MATCH(Table5[[#This Row],[PID]],Batters[[#All],[PID]],0)),INDEX(Table3[[#All],[First]],MATCH(Table5[[#This Row],[PID]],Table3[[#All],[PID]],0)))</f>
        <v>Sebastian</v>
      </c>
      <c r="F1045" s="50" t="str">
        <f>IF($C1045="B",INDEX(Batters[[#All],[Last]],MATCH(A1045,Batters[[#All],[PID]],0)),INDEX(Table3[[#All],[Last]],MATCH(A1045,Table3[[#All],[PID]],0)))</f>
        <v>Sweetman</v>
      </c>
      <c r="G1045" s="56">
        <f>IF($C1045="B",INDEX(Batters[[#All],[Age]],MATCH(Table5[[#This Row],[PID]],Batters[[#All],[PID]],0)),INDEX(Table3[[#All],[Age]],MATCH(Table5[[#This Row],[PID]],Table3[[#All],[PID]],0)))</f>
        <v>18</v>
      </c>
      <c r="H1045" s="52" t="str">
        <f>IF($C1045="B",INDEX(Batters[[#All],[B]],MATCH(Table5[[#This Row],[PID]],Batters[[#All],[PID]],0)),INDEX(Table3[[#All],[B]],MATCH(Table5[[#This Row],[PID]],Table3[[#All],[PID]],0)))</f>
        <v>R</v>
      </c>
      <c r="I1045" s="52" t="str">
        <f>IF($C1045="B",INDEX(Batters[[#All],[T]],MATCH(Table5[[#This Row],[PID]],Batters[[#All],[PID]],0)),INDEX(Table3[[#All],[T]],MATCH(Table5[[#This Row],[PID]],Table3[[#All],[PID]],0)))</f>
        <v>R</v>
      </c>
      <c r="J1045" s="52" t="str">
        <f>IF($C1045="B",INDEX(Batters[[#All],[WE]],MATCH(Table5[[#This Row],[PID]],Batters[[#All],[PID]],0)),INDEX(Table3[[#All],[WE]],MATCH(Table5[[#This Row],[PID]],Table3[[#All],[PID]],0)))</f>
        <v>Normal</v>
      </c>
      <c r="K1045" s="52" t="str">
        <f>IF($C1045="B",INDEX(Batters[[#All],[INT]],MATCH(Table5[[#This Row],[PID]],Batters[[#All],[PID]],0)),INDEX(Table3[[#All],[INT]],MATCH(Table5[[#This Row],[PID]],Table3[[#All],[PID]],0)))</f>
        <v>Normal</v>
      </c>
      <c r="L1045" s="60">
        <f>IF($C1045="B",INDEX(Batters[[#All],[CON P]],MATCH(Table5[[#This Row],[PID]],Batters[[#All],[PID]],0)),INDEX(Table3[[#All],[STU P]],MATCH(Table5[[#This Row],[PID]],Table3[[#All],[PID]],0)))</f>
        <v>4</v>
      </c>
      <c r="M1045" s="56">
        <f>IF($C1045="B",INDEX(Batters[[#All],[GAP P]],MATCH(Table5[[#This Row],[PID]],Batters[[#All],[PID]],0)),INDEX(Table3[[#All],[MOV P]],MATCH(Table5[[#This Row],[PID]],Table3[[#All],[PID]],0)))</f>
        <v>1</v>
      </c>
      <c r="N1045" s="56">
        <f>IF($C1045="B",INDEX(Batters[[#All],[POW P]],MATCH(Table5[[#This Row],[PID]],Batters[[#All],[PID]],0)),INDEX(Table3[[#All],[CON P]],MATCH(Table5[[#This Row],[PID]],Table3[[#All],[PID]],0)))</f>
        <v>2</v>
      </c>
      <c r="O1045" s="56" t="str">
        <f>IF($C1045="B",INDEX(Batters[[#All],[EYE P]],MATCH(Table5[[#This Row],[PID]],Batters[[#All],[PID]],0)),INDEX(Table3[[#All],[VELO]],MATCH(Table5[[#This Row],[PID]],Table3[[#All],[PID]],0)))</f>
        <v>86-88 Mph</v>
      </c>
      <c r="P1045" s="56">
        <f>IF($C1045="B",INDEX(Batters[[#All],[K P]],MATCH(Table5[[#This Row],[PID]],Batters[[#All],[PID]],0)),INDEX(Table3[[#All],[STM]],MATCH(Table5[[#This Row],[PID]],Table3[[#All],[PID]],0)))</f>
        <v>8</v>
      </c>
      <c r="Q1045" s="61">
        <f>IF($C1045="B",INDEX(Batters[[#All],[Tot]],MATCH(Table5[[#This Row],[PID]],Batters[[#All],[PID]],0)),INDEX(Table3[[#All],[Tot]],MATCH(Table5[[#This Row],[PID]],Table3[[#All],[PID]],0)))</f>
        <v>26.97390534111388</v>
      </c>
      <c r="R1045" s="52">
        <f>IF($C1045="B",INDEX(Batters[[#All],[zScore]],MATCH(Table5[[#This Row],[PID]],Batters[[#All],[PID]],0)),INDEX(Table3[[#All],[zScore]],MATCH(Table5[[#This Row],[PID]],Table3[[#All],[PID]],0)))</f>
        <v>-0.70955534342340243</v>
      </c>
      <c r="S1045" s="58" t="str">
        <f>IF($C1045="B",INDEX(Batters[[#All],[DEM]],MATCH(Table5[[#This Row],[PID]],Batters[[#All],[PID]],0)),INDEX(Table3[[#All],[DEM]],MATCH(Table5[[#This Row],[PID]],Table3[[#All],[PID]],0)))</f>
        <v>$80k</v>
      </c>
      <c r="T1045" s="62">
        <f>IF($C1045="B",INDEX(Batters[[#All],[Rnk]],MATCH(Table5[[#This Row],[PID]],Batters[[#All],[PID]],0)),INDEX(Table3[[#All],[Rnk]],MATCH(Table5[[#This Row],[PID]],Table3[[#All],[PID]],0)))</f>
        <v>602</v>
      </c>
      <c r="U1045" s="68">
        <f>IF($C1045="B",VLOOKUP($A1045,Bat!$A$4:$BA$1621,47,FALSE),VLOOKUP($A1045,Pit!$A$4:$BF$1557,56,FALSE))</f>
        <v>0</v>
      </c>
      <c r="V1045" s="50">
        <f>IF($C1045="B",VLOOKUP($A1045,Bat!$A$4:$BA$1621,48,FALSE),VLOOKUP($A1045,Pit!$A$4:$BF$1557,57,FALSE))</f>
        <v>0</v>
      </c>
      <c r="W1045" s="50">
        <f>Table5[[#This Row],[posRnk]]+Table5[[#This Row],[zRnk]]+IF($W$3&lt;&gt;Table5[[#This Row],[Type]],50,0)</f>
        <v>1638</v>
      </c>
      <c r="X1045" s="51">
        <f>RANK(Table5[[#This Row],[zScore]],Table5[[#All],[zScore]])</f>
        <v>986</v>
      </c>
      <c r="Y1045" s="50" t="str">
        <f>IFERROR(INDEX(DraftResults[[#All],[OVR]],MATCH(Table5[[#This Row],[PID]],DraftResults[[#All],[Player ID]],0)),"")</f>
        <v/>
      </c>
      <c r="Z10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5" s="50" t="str">
        <f>IFERROR(INDEX(DraftResults[[#All],[Pick in Round]],MATCH(Table5[[#This Row],[PID]],DraftResults[[#All],[Player ID]],0)),"")</f>
        <v/>
      </c>
      <c r="AB1045" s="50" t="str">
        <f>IFERROR(INDEX(DraftResults[[#All],[Team Name]],MATCH(Table5[[#This Row],[PID]],DraftResults[[#All],[Player ID]],0)),"")</f>
        <v/>
      </c>
      <c r="AC1045" s="50" t="str">
        <f>IF(Table5[[#This Row],[Ovr]]="","",IF(Table5[[#This Row],[cmbList]]="","",Table5[[#This Row],[cmbList]]-Table5[[#This Row],[Ovr]]))</f>
        <v/>
      </c>
      <c r="AD1045" s="54" t="str">
        <f>IF(ISERROR(VLOOKUP($AB1045&amp;"-"&amp;$E1045&amp;" "&amp;F1045,Bonuses!$B$1:$G$1006,4,FALSE)),"",INT(VLOOKUP($AB1045&amp;"-"&amp;$E1045&amp;" "&amp;$F1045,Bonuses!$B$1:$G$1006,4,FALSE)))</f>
        <v/>
      </c>
      <c r="AE10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6" spans="1:31" s="50" customFormat="1" x14ac:dyDescent="0.25">
      <c r="A1046" s="68">
        <v>12688</v>
      </c>
      <c r="B1046" s="69">
        <f>COUNTIF(Table5[PID],A1046)</f>
        <v>1</v>
      </c>
      <c r="C1046" s="69" t="str">
        <f>IF(COUNTIF(Table3[[#All],[PID]],A1046)&gt;0,"P","B")</f>
        <v>P</v>
      </c>
      <c r="D1046" s="59" t="str">
        <f>IF($C1046="B",INDEX(Batters[[#All],[POS]],MATCH(Table5[[#This Row],[PID]],Batters[[#All],[PID]],0)),INDEX(Table3[[#All],[POS]],MATCH(Table5[[#This Row],[PID]],Table3[[#All],[PID]],0)))</f>
        <v>SP</v>
      </c>
      <c r="E1046" s="52" t="str">
        <f>IF($C1046="B",INDEX(Batters[[#All],[First]],MATCH(Table5[[#This Row],[PID]],Batters[[#All],[PID]],0)),INDEX(Table3[[#All],[First]],MATCH(Table5[[#This Row],[PID]],Table3[[#All],[PID]],0)))</f>
        <v>Tanyu</v>
      </c>
      <c r="F1046" s="55" t="str">
        <f>IF($C1046="B",INDEX(Batters[[#All],[Last]],MATCH(A1046,Batters[[#All],[PID]],0)),INDEX(Table3[[#All],[Last]],MATCH(A1046,Table3[[#All],[PID]],0)))</f>
        <v>Nakai</v>
      </c>
      <c r="G1046" s="56">
        <f>IF($C1046="B",INDEX(Batters[[#All],[Age]],MATCH(Table5[[#This Row],[PID]],Batters[[#All],[PID]],0)),INDEX(Table3[[#All],[Age]],MATCH(Table5[[#This Row],[PID]],Table3[[#All],[PID]],0)))</f>
        <v>22</v>
      </c>
      <c r="H1046" s="52" t="str">
        <f>IF($C1046="B",INDEX(Batters[[#All],[B]],MATCH(Table5[[#This Row],[PID]],Batters[[#All],[PID]],0)),INDEX(Table3[[#All],[B]],MATCH(Table5[[#This Row],[PID]],Table3[[#All],[PID]],0)))</f>
        <v>R</v>
      </c>
      <c r="I1046" s="52" t="str">
        <f>IF($C1046="B",INDEX(Batters[[#All],[T]],MATCH(Table5[[#This Row],[PID]],Batters[[#All],[PID]],0)),INDEX(Table3[[#All],[T]],MATCH(Table5[[#This Row],[PID]],Table3[[#All],[PID]],0)))</f>
        <v>R</v>
      </c>
      <c r="J1046" s="71" t="str">
        <f>IF($C1046="B",INDEX(Batters[[#All],[WE]],MATCH(Table5[[#This Row],[PID]],Batters[[#All],[PID]],0)),INDEX(Table3[[#All],[WE]],MATCH(Table5[[#This Row],[PID]],Table3[[#All],[PID]],0)))</f>
        <v>High</v>
      </c>
      <c r="K1046" s="52" t="str">
        <f>IF($C1046="B",INDEX(Batters[[#All],[INT]],MATCH(Table5[[#This Row],[PID]],Batters[[#All],[PID]],0)),INDEX(Table3[[#All],[INT]],MATCH(Table5[[#This Row],[PID]],Table3[[#All],[PID]],0)))</f>
        <v>Normal</v>
      </c>
      <c r="L1046" s="60">
        <f>IF($C1046="B",INDEX(Batters[[#All],[CON P]],MATCH(Table5[[#This Row],[PID]],Batters[[#All],[PID]],0)),INDEX(Table3[[#All],[STU P]],MATCH(Table5[[#This Row],[PID]],Table3[[#All],[PID]],0)))</f>
        <v>4</v>
      </c>
      <c r="M1046" s="72">
        <f>IF($C1046="B",INDEX(Batters[[#All],[GAP P]],MATCH(Table5[[#This Row],[PID]],Batters[[#All],[PID]],0)),INDEX(Table3[[#All],[MOV P]],MATCH(Table5[[#This Row],[PID]],Table3[[#All],[PID]],0)))</f>
        <v>1</v>
      </c>
      <c r="N1046" s="72">
        <f>IF($C1046="B",INDEX(Batters[[#All],[POW P]],MATCH(Table5[[#This Row],[PID]],Batters[[#All],[PID]],0)),INDEX(Table3[[#All],[CON P]],MATCH(Table5[[#This Row],[PID]],Table3[[#All],[PID]],0)))</f>
        <v>3</v>
      </c>
      <c r="O1046" s="72" t="str">
        <f>IF($C1046="B",INDEX(Batters[[#All],[EYE P]],MATCH(Table5[[#This Row],[PID]],Batters[[#All],[PID]],0)),INDEX(Table3[[#All],[VELO]],MATCH(Table5[[#This Row],[PID]],Table3[[#All],[PID]],0)))</f>
        <v>90-92 Mph</v>
      </c>
      <c r="P1046" s="56">
        <f>IF($C1046="B",INDEX(Batters[[#All],[K P]],MATCH(Table5[[#This Row],[PID]],Batters[[#All],[PID]],0)),INDEX(Table3[[#All],[STM]],MATCH(Table5[[#This Row],[PID]],Table3[[#All],[PID]],0)))</f>
        <v>9</v>
      </c>
      <c r="Q1046" s="61">
        <f>IF($C1046="B",INDEX(Batters[[#All],[Tot]],MATCH(Table5[[#This Row],[PID]],Batters[[#All],[PID]],0)),INDEX(Table3[[#All],[Tot]],MATCH(Table5[[#This Row],[PID]],Table3[[#All],[PID]],0)))</f>
        <v>25.150082011834254</v>
      </c>
      <c r="R1046" s="52">
        <f>IF($C1046="B",INDEX(Batters[[#All],[zScore]],MATCH(Table5[[#This Row],[PID]],Batters[[#All],[PID]],0)),INDEX(Table3[[#All],[zScore]],MATCH(Table5[[#This Row],[PID]],Table3[[#All],[PID]],0)))</f>
        <v>-0.71321475938820089</v>
      </c>
      <c r="S1046" s="78" t="str">
        <f>IF($C1046="B",INDEX(Batters[[#All],[DEM]],MATCH(Table5[[#This Row],[PID]],Batters[[#All],[PID]],0)),INDEX(Table3[[#All],[DEM]],MATCH(Table5[[#This Row],[PID]],Table3[[#All],[PID]],0)))</f>
        <v>-</v>
      </c>
      <c r="T1046" s="75">
        <f>IF($C1046="B",INDEX(Batters[[#All],[Rnk]],MATCH(Table5[[#This Row],[PID]],Batters[[#All],[PID]],0)),INDEX(Table3[[#All],[Rnk]],MATCH(Table5[[#This Row],[PID]],Table3[[#All],[PID]],0)))</f>
        <v>603</v>
      </c>
      <c r="U1046" s="68">
        <f>IF($C1046="B",VLOOKUP($A1046,Bat!$A$4:$BA$1621,47,FALSE),VLOOKUP($A1046,Pit!$A$4:$BF$1557,56,FALSE))</f>
        <v>0</v>
      </c>
      <c r="V1046" s="50">
        <f>IF($C1046="B",VLOOKUP($A1046,Bat!$A$4:$BA$1621,48,FALSE),VLOOKUP($A1046,Pit!$A$4:$BF$1557,57,FALSE))</f>
        <v>0</v>
      </c>
      <c r="W1046" s="69">
        <f>Table5[[#This Row],[posRnk]]+Table5[[#This Row],[zRnk]]+IF($W$3&lt;&gt;Table5[[#This Row],[Type]],50,0)</f>
        <v>1640</v>
      </c>
      <c r="X1046" s="73">
        <f>RANK(Table5[[#This Row],[zScore]],Table5[[#All],[zScore]])</f>
        <v>987</v>
      </c>
      <c r="Y1046" s="69" t="str">
        <f>IFERROR(INDEX(DraftResults[[#All],[OVR]],MATCH(Table5[[#This Row],[PID]],DraftResults[[#All],[Player ID]],0)),"")</f>
        <v/>
      </c>
      <c r="Z104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6" s="69" t="str">
        <f>IFERROR(INDEX(DraftResults[[#All],[Pick in Round]],MATCH(Table5[[#This Row],[PID]],DraftResults[[#All],[Player ID]],0)),"")</f>
        <v/>
      </c>
      <c r="AB1046" s="69" t="str">
        <f>IFERROR(INDEX(DraftResults[[#All],[Team Name]],MATCH(Table5[[#This Row],[PID]],DraftResults[[#All],[Player ID]],0)),"")</f>
        <v/>
      </c>
      <c r="AC1046" s="69" t="str">
        <f>IF(Table5[[#This Row],[Ovr]]="","",IF(Table5[[#This Row],[cmbList]]="","",Table5[[#This Row],[cmbList]]-Table5[[#This Row],[Ovr]]))</f>
        <v/>
      </c>
      <c r="AD1046" s="77" t="str">
        <f>IF(ISERROR(VLOOKUP($AB1046&amp;"-"&amp;$E1046&amp;" "&amp;F1046,Bonuses!$B$1:$G$1006,4,FALSE)),"",INT(VLOOKUP($AB1046&amp;"-"&amp;$E1046&amp;" "&amp;$F1046,Bonuses!$B$1:$G$1006,4,FALSE)))</f>
        <v/>
      </c>
      <c r="AE104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7" spans="1:31" s="50" customFormat="1" x14ac:dyDescent="0.25">
      <c r="A1047" s="50">
        <v>16340</v>
      </c>
      <c r="B1047" s="50">
        <f>COUNTIF(Table5[PID],A1047)</f>
        <v>1</v>
      </c>
      <c r="C1047" s="50" t="str">
        <f>IF(COUNTIF(Table3[[#All],[PID]],A1047)&gt;0,"P","B")</f>
        <v>P</v>
      </c>
      <c r="D1047" s="59" t="str">
        <f>IF($C1047="B",INDEX(Batters[[#All],[POS]],MATCH(Table5[[#This Row],[PID]],Batters[[#All],[PID]],0)),INDEX(Table3[[#All],[POS]],MATCH(Table5[[#This Row],[PID]],Table3[[#All],[PID]],0)))</f>
        <v>RP</v>
      </c>
      <c r="E1047" s="52" t="str">
        <f>IF($C1047="B",INDEX(Batters[[#All],[First]],MATCH(Table5[[#This Row],[PID]],Batters[[#All],[PID]],0)),INDEX(Table3[[#All],[First]],MATCH(Table5[[#This Row],[PID]],Table3[[#All],[PID]],0)))</f>
        <v>Shintaro</v>
      </c>
      <c r="F1047" s="50" t="str">
        <f>IF($C1047="B",INDEX(Batters[[#All],[Last]],MATCH(A1047,Batters[[#All],[PID]],0)),INDEX(Table3[[#All],[Last]],MATCH(A1047,Table3[[#All],[PID]],0)))</f>
        <v>Nishikawa</v>
      </c>
      <c r="G1047" s="56">
        <f>IF($C1047="B",INDEX(Batters[[#All],[Age]],MATCH(Table5[[#This Row],[PID]],Batters[[#All],[PID]],0)),INDEX(Table3[[#All],[Age]],MATCH(Table5[[#This Row],[PID]],Table3[[#All],[PID]],0)))</f>
        <v>21</v>
      </c>
      <c r="H1047" s="52" t="str">
        <f>IF($C1047="B",INDEX(Batters[[#All],[B]],MATCH(Table5[[#This Row],[PID]],Batters[[#All],[PID]],0)),INDEX(Table3[[#All],[B]],MATCH(Table5[[#This Row],[PID]],Table3[[#All],[PID]],0)))</f>
        <v>R</v>
      </c>
      <c r="I1047" s="52" t="str">
        <f>IF($C1047="B",INDEX(Batters[[#All],[T]],MATCH(Table5[[#This Row],[PID]],Batters[[#All],[PID]],0)),INDEX(Table3[[#All],[T]],MATCH(Table5[[#This Row],[PID]],Table3[[#All],[PID]],0)))</f>
        <v>R</v>
      </c>
      <c r="J1047" s="52" t="str">
        <f>IF($C1047="B",INDEX(Batters[[#All],[WE]],MATCH(Table5[[#This Row],[PID]],Batters[[#All],[PID]],0)),INDEX(Table3[[#All],[WE]],MATCH(Table5[[#This Row],[PID]],Table3[[#All],[PID]],0)))</f>
        <v>Normal</v>
      </c>
      <c r="K1047" s="52" t="str">
        <f>IF($C1047="B",INDEX(Batters[[#All],[INT]],MATCH(Table5[[#This Row],[PID]],Batters[[#All],[PID]],0)),INDEX(Table3[[#All],[INT]],MATCH(Table5[[#This Row],[PID]],Table3[[#All],[PID]],0)))</f>
        <v>Normal</v>
      </c>
      <c r="L1047" s="60">
        <f>IF($C1047="B",INDEX(Batters[[#All],[CON P]],MATCH(Table5[[#This Row],[PID]],Batters[[#All],[PID]],0)),INDEX(Table3[[#All],[STU P]],MATCH(Table5[[#This Row],[PID]],Table3[[#All],[PID]],0)))</f>
        <v>4</v>
      </c>
      <c r="M1047" s="56">
        <f>IF($C1047="B",INDEX(Batters[[#All],[GAP P]],MATCH(Table5[[#This Row],[PID]],Batters[[#All],[PID]],0)),INDEX(Table3[[#All],[MOV P]],MATCH(Table5[[#This Row],[PID]],Table3[[#All],[PID]],0)))</f>
        <v>2</v>
      </c>
      <c r="N1047" s="56">
        <f>IF($C1047="B",INDEX(Batters[[#All],[POW P]],MATCH(Table5[[#This Row],[PID]],Batters[[#All],[PID]],0)),INDEX(Table3[[#All],[CON P]],MATCH(Table5[[#This Row],[PID]],Table3[[#All],[PID]],0)))</f>
        <v>2</v>
      </c>
      <c r="O1047" s="56" t="str">
        <f>IF($C1047="B",INDEX(Batters[[#All],[EYE P]],MATCH(Table5[[#This Row],[PID]],Batters[[#All],[PID]],0)),INDEX(Table3[[#All],[VELO]],MATCH(Table5[[#This Row],[PID]],Table3[[#All],[PID]],0)))</f>
        <v>84-86 Mph</v>
      </c>
      <c r="P1047" s="56">
        <f>IF($C1047="B",INDEX(Batters[[#All],[K P]],MATCH(Table5[[#This Row],[PID]],Batters[[#All],[PID]],0)),INDEX(Table3[[#All],[STM]],MATCH(Table5[[#This Row],[PID]],Table3[[#All],[PID]],0)))</f>
        <v>6</v>
      </c>
      <c r="Q1047" s="61">
        <f>IF($C1047="B",INDEX(Batters[[#All],[Tot]],MATCH(Table5[[#This Row],[PID]],Batters[[#All],[PID]],0)),INDEX(Table3[[#All],[Tot]],MATCH(Table5[[#This Row],[PID]],Table3[[#All],[PID]],0)))</f>
        <v>27.390443661373375</v>
      </c>
      <c r="R1047" s="52">
        <f>IF($C1047="B",INDEX(Batters[[#All],[zScore]],MATCH(Table5[[#This Row],[PID]],Batters[[#All],[PID]],0)),INDEX(Table3[[#All],[zScore]],MATCH(Table5[[#This Row],[PID]],Table3[[#All],[PID]],0)))</f>
        <v>-0.71331022077663409</v>
      </c>
      <c r="S1047" s="58" t="str">
        <f>IF($C1047="B",INDEX(Batters[[#All],[DEM]],MATCH(Table5[[#This Row],[PID]],Batters[[#All],[PID]],0)),INDEX(Table3[[#All],[DEM]],MATCH(Table5[[#This Row],[PID]],Table3[[#All],[PID]],0)))</f>
        <v>-</v>
      </c>
      <c r="T1047" s="62">
        <f>IF($C1047="B",INDEX(Batters[[#All],[Rnk]],MATCH(Table5[[#This Row],[PID]],Batters[[#All],[PID]],0)),INDEX(Table3[[#All],[Rnk]],MATCH(Table5[[#This Row],[PID]],Table3[[#All],[PID]],0)))</f>
        <v>604</v>
      </c>
      <c r="U1047" s="68">
        <f>IF($C1047="B",VLOOKUP($A1047,Bat!$A$4:$BA$1621,47,FALSE),VLOOKUP($A1047,Pit!$A$4:$BF$1557,56,FALSE))</f>
        <v>0</v>
      </c>
      <c r="V1047" s="50">
        <f>IF($C1047="B",VLOOKUP($A1047,Bat!$A$4:$BA$1621,48,FALSE),VLOOKUP($A1047,Pit!$A$4:$BF$1557,57,FALSE))</f>
        <v>0</v>
      </c>
      <c r="W1047" s="50">
        <f>Table5[[#This Row],[posRnk]]+Table5[[#This Row],[zRnk]]+IF($W$3&lt;&gt;Table5[[#This Row],[Type]],50,0)</f>
        <v>1642</v>
      </c>
      <c r="X1047" s="51">
        <f>RANK(Table5[[#This Row],[zScore]],Table5[[#All],[zScore]])</f>
        <v>988</v>
      </c>
      <c r="Y1047" s="50" t="str">
        <f>IFERROR(INDEX(DraftResults[[#All],[OVR]],MATCH(Table5[[#This Row],[PID]],DraftResults[[#All],[Player ID]],0)),"")</f>
        <v/>
      </c>
      <c r="Z10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7" s="50" t="str">
        <f>IFERROR(INDEX(DraftResults[[#All],[Pick in Round]],MATCH(Table5[[#This Row],[PID]],DraftResults[[#All],[Player ID]],0)),"")</f>
        <v/>
      </c>
      <c r="AB1047" s="50" t="str">
        <f>IFERROR(INDEX(DraftResults[[#All],[Team Name]],MATCH(Table5[[#This Row],[PID]],DraftResults[[#All],[Player ID]],0)),"")</f>
        <v/>
      </c>
      <c r="AC1047" s="50" t="str">
        <f>IF(Table5[[#This Row],[Ovr]]="","",IF(Table5[[#This Row],[cmbList]]="","",Table5[[#This Row],[cmbList]]-Table5[[#This Row],[Ovr]]))</f>
        <v/>
      </c>
      <c r="AD1047" s="54" t="str">
        <f>IF(ISERROR(VLOOKUP($AB1047&amp;"-"&amp;$E1047&amp;" "&amp;F1047,Bonuses!$B$1:$G$1006,4,FALSE)),"",INT(VLOOKUP($AB1047&amp;"-"&amp;$E1047&amp;" "&amp;$F1047,Bonuses!$B$1:$G$1006,4,FALSE)))</f>
        <v/>
      </c>
      <c r="AE10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8" spans="1:31" s="50" customFormat="1" x14ac:dyDescent="0.25">
      <c r="A1048" s="50">
        <v>9065</v>
      </c>
      <c r="B1048" s="50">
        <f>COUNTIF(Table5[PID],A1048)</f>
        <v>1</v>
      </c>
      <c r="C1048" s="50" t="str">
        <f>IF(COUNTIF(Table3[[#All],[PID]],A1048)&gt;0,"P","B")</f>
        <v>P</v>
      </c>
      <c r="D1048" s="59" t="str">
        <f>IF($C1048="B",INDEX(Batters[[#All],[POS]],MATCH(Table5[[#This Row],[PID]],Batters[[#All],[PID]],0)),INDEX(Table3[[#All],[POS]],MATCH(Table5[[#This Row],[PID]],Table3[[#All],[PID]],0)))</f>
        <v>RP</v>
      </c>
      <c r="E1048" s="52" t="str">
        <f>IF($C1048="B",INDEX(Batters[[#All],[First]],MATCH(Table5[[#This Row],[PID]],Batters[[#All],[PID]],0)),INDEX(Table3[[#All],[First]],MATCH(Table5[[#This Row],[PID]],Table3[[#All],[PID]],0)))</f>
        <v>Takuro</v>
      </c>
      <c r="F1048" s="50" t="str">
        <f>IF($C1048="B",INDEX(Batters[[#All],[Last]],MATCH(A1048,Batters[[#All],[PID]],0)),INDEX(Table3[[#All],[Last]],MATCH(A1048,Table3[[#All],[PID]],0)))</f>
        <v>Seki</v>
      </c>
      <c r="G1048" s="56">
        <f>IF($C1048="B",INDEX(Batters[[#All],[Age]],MATCH(Table5[[#This Row],[PID]],Batters[[#All],[PID]],0)),INDEX(Table3[[#All],[Age]],MATCH(Table5[[#This Row],[PID]],Table3[[#All],[PID]],0)))</f>
        <v>22</v>
      </c>
      <c r="H1048" s="52" t="str">
        <f>IF($C1048="B",INDEX(Batters[[#All],[B]],MATCH(Table5[[#This Row],[PID]],Batters[[#All],[PID]],0)),INDEX(Table3[[#All],[B]],MATCH(Table5[[#This Row],[PID]],Table3[[#All],[PID]],0)))</f>
        <v>S</v>
      </c>
      <c r="I1048" s="52" t="str">
        <f>IF($C1048="B",INDEX(Batters[[#All],[T]],MATCH(Table5[[#This Row],[PID]],Batters[[#All],[PID]],0)),INDEX(Table3[[#All],[T]],MATCH(Table5[[#This Row],[PID]],Table3[[#All],[PID]],0)))</f>
        <v>R</v>
      </c>
      <c r="J1048" s="52" t="str">
        <f>IF($C1048="B",INDEX(Batters[[#All],[WE]],MATCH(Table5[[#This Row],[PID]],Batters[[#All],[PID]],0)),INDEX(Table3[[#All],[WE]],MATCH(Table5[[#This Row],[PID]],Table3[[#All],[PID]],0)))</f>
        <v>Low</v>
      </c>
      <c r="K1048" s="52" t="str">
        <f>IF($C1048="B",INDEX(Batters[[#All],[INT]],MATCH(Table5[[#This Row],[PID]],Batters[[#All],[PID]],0)),INDEX(Table3[[#All],[INT]],MATCH(Table5[[#This Row],[PID]],Table3[[#All],[PID]],0)))</f>
        <v>Normal</v>
      </c>
      <c r="L1048" s="60">
        <f>IF($C1048="B",INDEX(Batters[[#All],[CON P]],MATCH(Table5[[#This Row],[PID]],Batters[[#All],[PID]],0)),INDEX(Table3[[#All],[STU P]],MATCH(Table5[[#This Row],[PID]],Table3[[#All],[PID]],0)))</f>
        <v>3</v>
      </c>
      <c r="M1048" s="56">
        <f>IF($C1048="B",INDEX(Batters[[#All],[GAP P]],MATCH(Table5[[#This Row],[PID]],Batters[[#All],[PID]],0)),INDEX(Table3[[#All],[MOV P]],MATCH(Table5[[#This Row],[PID]],Table3[[#All],[PID]],0)))</f>
        <v>2</v>
      </c>
      <c r="N1048" s="56">
        <f>IF($C1048="B",INDEX(Batters[[#All],[POW P]],MATCH(Table5[[#This Row],[PID]],Batters[[#All],[PID]],0)),INDEX(Table3[[#All],[CON P]],MATCH(Table5[[#This Row],[PID]],Table3[[#All],[PID]],0)))</f>
        <v>3</v>
      </c>
      <c r="O1048" s="56" t="str">
        <f>IF($C1048="B",INDEX(Batters[[#All],[EYE P]],MATCH(Table5[[#This Row],[PID]],Batters[[#All],[PID]],0)),INDEX(Table3[[#All],[VELO]],MATCH(Table5[[#This Row],[PID]],Table3[[#All],[PID]],0)))</f>
        <v>85-87 Mph</v>
      </c>
      <c r="P1048" s="56">
        <f>IF($C1048="B",INDEX(Batters[[#All],[K P]],MATCH(Table5[[#This Row],[PID]],Batters[[#All],[PID]],0)),INDEX(Table3[[#All],[STM]],MATCH(Table5[[#This Row],[PID]],Table3[[#All],[PID]],0)))</f>
        <v>8</v>
      </c>
      <c r="Q1048" s="61">
        <f>IF($C1048="B",INDEX(Batters[[#All],[Tot]],MATCH(Table5[[#This Row],[PID]],Batters[[#All],[PID]],0)),INDEX(Table3[[#All],[Tot]],MATCH(Table5[[#This Row],[PID]],Table3[[#All],[PID]],0)))</f>
        <v>25.141695568760451</v>
      </c>
      <c r="R1048" s="52">
        <f>IF($C1048="B",INDEX(Batters[[#All],[zScore]],MATCH(Table5[[#This Row],[PID]],Batters[[#All],[PID]],0)),INDEX(Table3[[#All],[zScore]],MATCH(Table5[[#This Row],[PID]],Table3[[#All],[PID]],0)))</f>
        <v>-0.71377269663050324</v>
      </c>
      <c r="S1048" s="58" t="str">
        <f>IF($C1048="B",INDEX(Batters[[#All],[DEM]],MATCH(Table5[[#This Row],[PID]],Batters[[#All],[PID]],0)),INDEX(Table3[[#All],[DEM]],MATCH(Table5[[#This Row],[PID]],Table3[[#All],[PID]],0)))</f>
        <v>-</v>
      </c>
      <c r="T1048" s="62">
        <f>IF($C1048="B",INDEX(Batters[[#All],[Rnk]],MATCH(Table5[[#This Row],[PID]],Batters[[#All],[PID]],0)),INDEX(Table3[[#All],[Rnk]],MATCH(Table5[[#This Row],[PID]],Table3[[#All],[PID]],0)))</f>
        <v>605</v>
      </c>
      <c r="U1048" s="68">
        <f>IF($C1048="B",VLOOKUP($A1048,Bat!$A$4:$BA$1621,47,FALSE),VLOOKUP($A1048,Pit!$A$4:$BF$1557,56,FALSE))</f>
        <v>0</v>
      </c>
      <c r="V1048" s="50">
        <f>IF($C1048="B",VLOOKUP($A1048,Bat!$A$4:$BA$1621,48,FALSE),VLOOKUP($A1048,Pit!$A$4:$BF$1557,57,FALSE))</f>
        <v>0</v>
      </c>
      <c r="W1048" s="50">
        <f>Table5[[#This Row],[posRnk]]+Table5[[#This Row],[zRnk]]+IF($W$3&lt;&gt;Table5[[#This Row],[Type]],50,0)</f>
        <v>1645</v>
      </c>
      <c r="X1048" s="51">
        <f>RANK(Table5[[#This Row],[zScore]],Table5[[#All],[zScore]])</f>
        <v>990</v>
      </c>
      <c r="Y1048" s="50" t="str">
        <f>IFERROR(INDEX(DraftResults[[#All],[OVR]],MATCH(Table5[[#This Row],[PID]],DraftResults[[#All],[Player ID]],0)),"")</f>
        <v/>
      </c>
      <c r="Z10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8" s="50" t="str">
        <f>IFERROR(INDEX(DraftResults[[#All],[Pick in Round]],MATCH(Table5[[#This Row],[PID]],DraftResults[[#All],[Player ID]],0)),"")</f>
        <v/>
      </c>
      <c r="AB1048" s="50" t="str">
        <f>IFERROR(INDEX(DraftResults[[#All],[Team Name]],MATCH(Table5[[#This Row],[PID]],DraftResults[[#All],[Player ID]],0)),"")</f>
        <v/>
      </c>
      <c r="AC1048" s="50" t="str">
        <f>IF(Table5[[#This Row],[Ovr]]="","",IF(Table5[[#This Row],[cmbList]]="","",Table5[[#This Row],[cmbList]]-Table5[[#This Row],[Ovr]]))</f>
        <v/>
      </c>
      <c r="AD1048" s="54" t="str">
        <f>IF(ISERROR(VLOOKUP($AB1048&amp;"-"&amp;$E1048&amp;" "&amp;F1048,Bonuses!$B$1:$G$1006,4,FALSE)),"",INT(VLOOKUP($AB1048&amp;"-"&amp;$E1048&amp;" "&amp;$F1048,Bonuses!$B$1:$G$1006,4,FALSE)))</f>
        <v/>
      </c>
      <c r="AE10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49" spans="1:31" s="50" customFormat="1" x14ac:dyDescent="0.25">
      <c r="A1049" s="68">
        <v>17999</v>
      </c>
      <c r="B1049" s="69">
        <f>COUNTIF(Table5[PID],A1049)</f>
        <v>1</v>
      </c>
      <c r="C1049" s="69" t="str">
        <f>IF(COUNTIF(Table3[[#All],[PID]],A1049)&gt;0,"P","B")</f>
        <v>P</v>
      </c>
      <c r="D1049" s="59" t="str">
        <f>IF($C1049="B",INDEX(Batters[[#All],[POS]],MATCH(Table5[[#This Row],[PID]],Batters[[#All],[PID]],0)),INDEX(Table3[[#All],[POS]],MATCH(Table5[[#This Row],[PID]],Table3[[#All],[PID]],0)))</f>
        <v>SP</v>
      </c>
      <c r="E1049" s="52" t="str">
        <f>IF($C1049="B",INDEX(Batters[[#All],[First]],MATCH(Table5[[#This Row],[PID]],Batters[[#All],[PID]],0)),INDEX(Table3[[#All],[First]],MATCH(Table5[[#This Row],[PID]],Table3[[#All],[PID]],0)))</f>
        <v>Bill</v>
      </c>
      <c r="F1049" s="55" t="str">
        <f>IF($C1049="B",INDEX(Batters[[#All],[Last]],MATCH(A1049,Batters[[#All],[PID]],0)),INDEX(Table3[[#All],[Last]],MATCH(A1049,Table3[[#All],[PID]],0)))</f>
        <v>Boucher</v>
      </c>
      <c r="G1049" s="56">
        <f>IF($C1049="B",INDEX(Batters[[#All],[Age]],MATCH(Table5[[#This Row],[PID]],Batters[[#All],[PID]],0)),INDEX(Table3[[#All],[Age]],MATCH(Table5[[#This Row],[PID]],Table3[[#All],[PID]],0)))</f>
        <v>21</v>
      </c>
      <c r="H1049" s="52" t="str">
        <f>IF($C1049="B",INDEX(Batters[[#All],[B]],MATCH(Table5[[#This Row],[PID]],Batters[[#All],[PID]],0)),INDEX(Table3[[#All],[B]],MATCH(Table5[[#This Row],[PID]],Table3[[#All],[PID]],0)))</f>
        <v>R</v>
      </c>
      <c r="I1049" s="52" t="str">
        <f>IF($C1049="B",INDEX(Batters[[#All],[T]],MATCH(Table5[[#This Row],[PID]],Batters[[#All],[PID]],0)),INDEX(Table3[[#All],[T]],MATCH(Table5[[#This Row],[PID]],Table3[[#All],[PID]],0)))</f>
        <v>R</v>
      </c>
      <c r="J1049" s="71" t="str">
        <f>IF($C1049="B",INDEX(Batters[[#All],[WE]],MATCH(Table5[[#This Row],[PID]],Batters[[#All],[PID]],0)),INDEX(Table3[[#All],[WE]],MATCH(Table5[[#This Row],[PID]],Table3[[#All],[PID]],0)))</f>
        <v>High</v>
      </c>
      <c r="K1049" s="52" t="str">
        <f>IF($C1049="B",INDEX(Batters[[#All],[INT]],MATCH(Table5[[#This Row],[PID]],Batters[[#All],[PID]],0)),INDEX(Table3[[#All],[INT]],MATCH(Table5[[#This Row],[PID]],Table3[[#All],[PID]],0)))</f>
        <v>Normal</v>
      </c>
      <c r="L1049" s="60">
        <f>IF($C1049="B",INDEX(Batters[[#All],[CON P]],MATCH(Table5[[#This Row],[PID]],Batters[[#All],[PID]],0)),INDEX(Table3[[#All],[STU P]],MATCH(Table5[[#This Row],[PID]],Table3[[#All],[PID]],0)))</f>
        <v>4</v>
      </c>
      <c r="M1049" s="72">
        <f>IF($C1049="B",INDEX(Batters[[#All],[GAP P]],MATCH(Table5[[#This Row],[PID]],Batters[[#All],[PID]],0)),INDEX(Table3[[#All],[MOV P]],MATCH(Table5[[#This Row],[PID]],Table3[[#All],[PID]],0)))</f>
        <v>2</v>
      </c>
      <c r="N1049" s="72">
        <f>IF($C1049="B",INDEX(Batters[[#All],[POW P]],MATCH(Table5[[#This Row],[PID]],Batters[[#All],[PID]],0)),INDEX(Table3[[#All],[CON P]],MATCH(Table5[[#This Row],[PID]],Table3[[#All],[PID]],0)))</f>
        <v>2</v>
      </c>
      <c r="O1049" s="72" t="str">
        <f>IF($C1049="B",INDEX(Batters[[#All],[EYE P]],MATCH(Table5[[#This Row],[PID]],Batters[[#All],[PID]],0)),INDEX(Table3[[#All],[VELO]],MATCH(Table5[[#This Row],[PID]],Table3[[#All],[PID]],0)))</f>
        <v>94-96 Mph</v>
      </c>
      <c r="P1049" s="56">
        <f>IF($C1049="B",INDEX(Batters[[#All],[K P]],MATCH(Table5[[#This Row],[PID]],Batters[[#All],[PID]],0)),INDEX(Table3[[#All],[STM]],MATCH(Table5[[#This Row],[PID]],Table3[[#All],[PID]],0)))</f>
        <v>8</v>
      </c>
      <c r="Q1049" s="61">
        <f>IF($C1049="B",INDEX(Batters[[#All],[Tot]],MATCH(Table5[[#This Row],[PID]],Batters[[#All],[PID]],0)),INDEX(Table3[[#All],[Tot]],MATCH(Table5[[#This Row],[PID]],Table3[[#All],[PID]],0)))</f>
        <v>25.121986436147342</v>
      </c>
      <c r="R1049" s="52">
        <f>IF($C1049="B",INDEX(Batters[[#All],[zScore]],MATCH(Table5[[#This Row],[PID]],Batters[[#All],[PID]],0)),INDEX(Table3[[#All],[zScore]],MATCH(Table5[[#This Row],[PID]],Table3[[#All],[PID]],0)))</f>
        <v>-0.71508391510555358</v>
      </c>
      <c r="S1049" s="78" t="str">
        <f>IF($C1049="B",INDEX(Batters[[#All],[DEM]],MATCH(Table5[[#This Row],[PID]],Batters[[#All],[PID]],0)),INDEX(Table3[[#All],[DEM]],MATCH(Table5[[#This Row],[PID]],Table3[[#All],[PID]],0)))</f>
        <v>-</v>
      </c>
      <c r="T1049" s="75">
        <f>IF($C1049="B",INDEX(Batters[[#All],[Rnk]],MATCH(Table5[[#This Row],[PID]],Batters[[#All],[PID]],0)),INDEX(Table3[[#All],[Rnk]],MATCH(Table5[[#This Row],[PID]],Table3[[#All],[PID]],0)))</f>
        <v>606</v>
      </c>
      <c r="U1049" s="68">
        <f>IF($C1049="B",VLOOKUP($A1049,Bat!$A$4:$BA$1621,47,FALSE),VLOOKUP($A1049,Pit!$A$4:$BF$1557,56,FALSE))</f>
        <v>0</v>
      </c>
      <c r="V1049" s="50">
        <f>IF($C1049="B",VLOOKUP($A1049,Bat!$A$4:$BA$1621,48,FALSE),VLOOKUP($A1049,Pit!$A$4:$BF$1557,57,FALSE))</f>
        <v>0</v>
      </c>
      <c r="W1049" s="69">
        <f>Table5[[#This Row],[posRnk]]+Table5[[#This Row],[zRnk]]+IF($W$3&lt;&gt;Table5[[#This Row],[Type]],50,0)</f>
        <v>1648</v>
      </c>
      <c r="X1049" s="73">
        <f>RANK(Table5[[#This Row],[zScore]],Table5[[#All],[zScore]])</f>
        <v>992</v>
      </c>
      <c r="Y1049" s="69" t="str">
        <f>IFERROR(INDEX(DraftResults[[#All],[OVR]],MATCH(Table5[[#This Row],[PID]],DraftResults[[#All],[Player ID]],0)),"")</f>
        <v/>
      </c>
      <c r="Z104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49" s="69" t="str">
        <f>IFERROR(INDEX(DraftResults[[#All],[Pick in Round]],MATCH(Table5[[#This Row],[PID]],DraftResults[[#All],[Player ID]],0)),"")</f>
        <v/>
      </c>
      <c r="AB1049" s="69" t="str">
        <f>IFERROR(INDEX(DraftResults[[#All],[Team Name]],MATCH(Table5[[#This Row],[PID]],DraftResults[[#All],[Player ID]],0)),"")</f>
        <v/>
      </c>
      <c r="AC1049" s="69" t="str">
        <f>IF(Table5[[#This Row],[Ovr]]="","",IF(Table5[[#This Row],[cmbList]]="","",Table5[[#This Row],[cmbList]]-Table5[[#This Row],[Ovr]]))</f>
        <v/>
      </c>
      <c r="AD1049" s="77" t="str">
        <f>IF(ISERROR(VLOOKUP($AB1049&amp;"-"&amp;$E1049&amp;" "&amp;F1049,Bonuses!$B$1:$G$1006,4,FALSE)),"",INT(VLOOKUP($AB1049&amp;"-"&amp;$E1049&amp;" "&amp;$F1049,Bonuses!$B$1:$G$1006,4,FALSE)))</f>
        <v/>
      </c>
      <c r="AE104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0" spans="1:31" s="50" customFormat="1" x14ac:dyDescent="0.25">
      <c r="A1050" s="68">
        <v>9673</v>
      </c>
      <c r="B1050" s="69">
        <f>COUNTIF(Table5[PID],A1050)</f>
        <v>1</v>
      </c>
      <c r="C1050" s="69" t="str">
        <f>IF(COUNTIF(Table3[[#All],[PID]],A1050)&gt;0,"P","B")</f>
        <v>P</v>
      </c>
      <c r="D1050" s="59" t="str">
        <f>IF($C1050="B",INDEX(Batters[[#All],[POS]],MATCH(Table5[[#This Row],[PID]],Batters[[#All],[PID]],0)),INDEX(Table3[[#All],[POS]],MATCH(Table5[[#This Row],[PID]],Table3[[#All],[PID]],0)))</f>
        <v>SP</v>
      </c>
      <c r="E1050" s="52" t="str">
        <f>IF($C1050="B",INDEX(Batters[[#All],[First]],MATCH(Table5[[#This Row],[PID]],Batters[[#All],[PID]],0)),INDEX(Table3[[#All],[First]],MATCH(Table5[[#This Row],[PID]],Table3[[#All],[PID]],0)))</f>
        <v>Alfredo</v>
      </c>
      <c r="F1050" s="55" t="str">
        <f>IF($C1050="B",INDEX(Batters[[#All],[Last]],MATCH(A1050,Batters[[#All],[PID]],0)),INDEX(Table3[[#All],[Last]],MATCH(A1050,Table3[[#All],[PID]],0)))</f>
        <v>Sánchez</v>
      </c>
      <c r="G1050" s="56">
        <f>IF($C1050="B",INDEX(Batters[[#All],[Age]],MATCH(Table5[[#This Row],[PID]],Batters[[#All],[PID]],0)),INDEX(Table3[[#All],[Age]],MATCH(Table5[[#This Row],[PID]],Table3[[#All],[PID]],0)))</f>
        <v>22</v>
      </c>
      <c r="H1050" s="52" t="str">
        <f>IF($C1050="B",INDEX(Batters[[#All],[B]],MATCH(Table5[[#This Row],[PID]],Batters[[#All],[PID]],0)),INDEX(Table3[[#All],[B]],MATCH(Table5[[#This Row],[PID]],Table3[[#All],[PID]],0)))</f>
        <v>L</v>
      </c>
      <c r="I1050" s="52" t="str">
        <f>IF($C1050="B",INDEX(Batters[[#All],[T]],MATCH(Table5[[#This Row],[PID]],Batters[[#All],[PID]],0)),INDEX(Table3[[#All],[T]],MATCH(Table5[[#This Row],[PID]],Table3[[#All],[PID]],0)))</f>
        <v>L</v>
      </c>
      <c r="J1050" s="71" t="str">
        <f>IF($C1050="B",INDEX(Batters[[#All],[WE]],MATCH(Table5[[#This Row],[PID]],Batters[[#All],[PID]],0)),INDEX(Table3[[#All],[WE]],MATCH(Table5[[#This Row],[PID]],Table3[[#All],[PID]],0)))</f>
        <v>Normal</v>
      </c>
      <c r="K1050" s="52" t="str">
        <f>IF($C1050="B",INDEX(Batters[[#All],[INT]],MATCH(Table5[[#This Row],[PID]],Batters[[#All],[PID]],0)),INDEX(Table3[[#All],[INT]],MATCH(Table5[[#This Row],[PID]],Table3[[#All],[PID]],0)))</f>
        <v>Low</v>
      </c>
      <c r="L1050" s="60">
        <f>IF($C1050="B",INDEX(Batters[[#All],[CON P]],MATCH(Table5[[#This Row],[PID]],Batters[[#All],[PID]],0)),INDEX(Table3[[#All],[STU P]],MATCH(Table5[[#This Row],[PID]],Table3[[#All],[PID]],0)))</f>
        <v>4</v>
      </c>
      <c r="M1050" s="72">
        <f>IF($C1050="B",INDEX(Batters[[#All],[GAP P]],MATCH(Table5[[#This Row],[PID]],Batters[[#All],[PID]],0)),INDEX(Table3[[#All],[MOV P]],MATCH(Table5[[#This Row],[PID]],Table3[[#All],[PID]],0)))</f>
        <v>1</v>
      </c>
      <c r="N1050" s="72">
        <f>IF($C1050="B",INDEX(Batters[[#All],[POW P]],MATCH(Table5[[#This Row],[PID]],Batters[[#All],[PID]],0)),INDEX(Table3[[#All],[CON P]],MATCH(Table5[[#This Row],[PID]],Table3[[#All],[PID]],0)))</f>
        <v>3</v>
      </c>
      <c r="O1050" s="72" t="str">
        <f>IF($C1050="B",INDEX(Batters[[#All],[EYE P]],MATCH(Table5[[#This Row],[PID]],Batters[[#All],[PID]],0)),INDEX(Table3[[#All],[VELO]],MATCH(Table5[[#This Row],[PID]],Table3[[#All],[PID]],0)))</f>
        <v>94-96 Mph</v>
      </c>
      <c r="P1050" s="56">
        <f>IF($C1050="B",INDEX(Batters[[#All],[K P]],MATCH(Table5[[#This Row],[PID]],Batters[[#All],[PID]],0)),INDEX(Table3[[#All],[STM]],MATCH(Table5[[#This Row],[PID]],Table3[[#All],[PID]],0)))</f>
        <v>3</v>
      </c>
      <c r="Q1050" s="61">
        <f>IF($C1050="B",INDEX(Batters[[#All],[Tot]],MATCH(Table5[[#This Row],[PID]],Batters[[#All],[PID]],0)),INDEX(Table3[[#All],[Tot]],MATCH(Table5[[#This Row],[PID]],Table3[[#All],[PID]],0)))</f>
        <v>25.116933494471766</v>
      </c>
      <c r="R1050" s="52">
        <f>IF($C1050="B",INDEX(Batters[[#All],[zScore]],MATCH(Table5[[#This Row],[PID]],Batters[[#All],[PID]],0)),INDEX(Table3[[#All],[zScore]],MATCH(Table5[[#This Row],[PID]],Table3[[#All],[PID]],0)))</f>
        <v>-0.71542007959378473</v>
      </c>
      <c r="S1050" s="78" t="str">
        <f>IF($C1050="B",INDEX(Batters[[#All],[DEM]],MATCH(Table5[[#This Row],[PID]],Batters[[#All],[PID]],0)),INDEX(Table3[[#All],[DEM]],MATCH(Table5[[#This Row],[PID]],Table3[[#All],[PID]],0)))</f>
        <v>-</v>
      </c>
      <c r="T1050" s="75">
        <f>IF($C1050="B",INDEX(Batters[[#All],[Rnk]],MATCH(Table5[[#This Row],[PID]],Batters[[#All],[PID]],0)),INDEX(Table3[[#All],[Rnk]],MATCH(Table5[[#This Row],[PID]],Table3[[#All],[PID]],0)))</f>
        <v>607</v>
      </c>
      <c r="U1050" s="68">
        <f>IF($C1050="B",VLOOKUP($A1050,Bat!$A$4:$BA$1621,47,FALSE),VLOOKUP($A1050,Pit!$A$4:$BF$1557,56,FALSE))</f>
        <v>0</v>
      </c>
      <c r="V1050" s="50">
        <f>IF($C1050="B",VLOOKUP($A1050,Bat!$A$4:$BA$1621,48,FALSE),VLOOKUP($A1050,Pit!$A$4:$BF$1557,57,FALSE))</f>
        <v>0</v>
      </c>
      <c r="W1050" s="69">
        <f>Table5[[#This Row],[posRnk]]+Table5[[#This Row],[zRnk]]+IF($W$3&lt;&gt;Table5[[#This Row],[Type]],50,0)</f>
        <v>1650</v>
      </c>
      <c r="X1050" s="73">
        <f>RANK(Table5[[#This Row],[zScore]],Table5[[#All],[zScore]])</f>
        <v>993</v>
      </c>
      <c r="Y1050" s="69" t="str">
        <f>IFERROR(INDEX(DraftResults[[#All],[OVR]],MATCH(Table5[[#This Row],[PID]],DraftResults[[#All],[Player ID]],0)),"")</f>
        <v/>
      </c>
      <c r="Z105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0" s="69" t="str">
        <f>IFERROR(INDEX(DraftResults[[#All],[Pick in Round]],MATCH(Table5[[#This Row],[PID]],DraftResults[[#All],[Player ID]],0)),"")</f>
        <v/>
      </c>
      <c r="AB1050" s="69" t="str">
        <f>IFERROR(INDEX(DraftResults[[#All],[Team Name]],MATCH(Table5[[#This Row],[PID]],DraftResults[[#All],[Player ID]],0)),"")</f>
        <v/>
      </c>
      <c r="AC1050" s="69" t="str">
        <f>IF(Table5[[#This Row],[Ovr]]="","",IF(Table5[[#This Row],[cmbList]]="","",Table5[[#This Row],[cmbList]]-Table5[[#This Row],[Ovr]]))</f>
        <v/>
      </c>
      <c r="AD1050" s="77" t="str">
        <f>IF(ISERROR(VLOOKUP($AB1050&amp;"-"&amp;$E1050&amp;" "&amp;F1050,Bonuses!$B$1:$G$1006,4,FALSE)),"",INT(VLOOKUP($AB1050&amp;"-"&amp;$E1050&amp;" "&amp;$F1050,Bonuses!$B$1:$G$1006,4,FALSE)))</f>
        <v/>
      </c>
      <c r="AE105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1" spans="1:31" s="50" customFormat="1" x14ac:dyDescent="0.25">
      <c r="A1051" s="50">
        <v>15739</v>
      </c>
      <c r="B1051" s="50">
        <f>COUNTIF(Table5[PID],A1051)</f>
        <v>1</v>
      </c>
      <c r="C1051" s="50" t="str">
        <f>IF(COUNTIF(Table3[[#All],[PID]],A1051)&gt;0,"P","B")</f>
        <v>P</v>
      </c>
      <c r="D1051" s="59" t="str">
        <f>IF($C1051="B",INDEX(Batters[[#All],[POS]],MATCH(Table5[[#This Row],[PID]],Batters[[#All],[PID]],0)),INDEX(Table3[[#All],[POS]],MATCH(Table5[[#This Row],[PID]],Table3[[#All],[PID]],0)))</f>
        <v>RP</v>
      </c>
      <c r="E1051" s="52" t="str">
        <f>IF($C1051="B",INDEX(Batters[[#All],[First]],MATCH(Table5[[#This Row],[PID]],Batters[[#All],[PID]],0)),INDEX(Table3[[#All],[First]],MATCH(Table5[[#This Row],[PID]],Table3[[#All],[PID]],0)))</f>
        <v>Tamotsu</v>
      </c>
      <c r="F1051" s="50" t="str">
        <f>IF($C1051="B",INDEX(Batters[[#All],[Last]],MATCH(A1051,Batters[[#All],[PID]],0)),INDEX(Table3[[#All],[Last]],MATCH(A1051,Table3[[#All],[PID]],0)))</f>
        <v>Sanu</v>
      </c>
      <c r="G1051" s="56">
        <f>IF($C1051="B",INDEX(Batters[[#All],[Age]],MATCH(Table5[[#This Row],[PID]],Batters[[#All],[PID]],0)),INDEX(Table3[[#All],[Age]],MATCH(Table5[[#This Row],[PID]],Table3[[#All],[PID]],0)))</f>
        <v>22</v>
      </c>
      <c r="H1051" s="52" t="str">
        <f>IF($C1051="B",INDEX(Batters[[#All],[B]],MATCH(Table5[[#This Row],[PID]],Batters[[#All],[PID]],0)),INDEX(Table3[[#All],[B]],MATCH(Table5[[#This Row],[PID]],Table3[[#All],[PID]],0)))</f>
        <v>S</v>
      </c>
      <c r="I1051" s="52" t="str">
        <f>IF($C1051="B",INDEX(Batters[[#All],[T]],MATCH(Table5[[#This Row],[PID]],Batters[[#All],[PID]],0)),INDEX(Table3[[#All],[T]],MATCH(Table5[[#This Row],[PID]],Table3[[#All],[PID]],0)))</f>
        <v>R</v>
      </c>
      <c r="J1051" s="52" t="str">
        <f>IF($C1051="B",INDEX(Batters[[#All],[WE]],MATCH(Table5[[#This Row],[PID]],Batters[[#All],[PID]],0)),INDEX(Table3[[#All],[WE]],MATCH(Table5[[#This Row],[PID]],Table3[[#All],[PID]],0)))</f>
        <v>Normal</v>
      </c>
      <c r="K1051" s="52" t="str">
        <f>IF($C1051="B",INDEX(Batters[[#All],[INT]],MATCH(Table5[[#This Row],[PID]],Batters[[#All],[PID]],0)),INDEX(Table3[[#All],[INT]],MATCH(Table5[[#This Row],[PID]],Table3[[#All],[PID]],0)))</f>
        <v>Normal</v>
      </c>
      <c r="L1051" s="60">
        <f>IF($C1051="B",INDEX(Batters[[#All],[CON P]],MATCH(Table5[[#This Row],[PID]],Batters[[#All],[PID]],0)),INDEX(Table3[[#All],[STU P]],MATCH(Table5[[#This Row],[PID]],Table3[[#All],[PID]],0)))</f>
        <v>4</v>
      </c>
      <c r="M1051" s="56">
        <f>IF($C1051="B",INDEX(Batters[[#All],[GAP P]],MATCH(Table5[[#This Row],[PID]],Batters[[#All],[PID]],0)),INDEX(Table3[[#All],[MOV P]],MATCH(Table5[[#This Row],[PID]],Table3[[#All],[PID]],0)))</f>
        <v>2</v>
      </c>
      <c r="N1051" s="56">
        <f>IF($C1051="B",INDEX(Batters[[#All],[POW P]],MATCH(Table5[[#This Row],[PID]],Batters[[#All],[PID]],0)),INDEX(Table3[[#All],[CON P]],MATCH(Table5[[#This Row],[PID]],Table3[[#All],[PID]],0)))</f>
        <v>2</v>
      </c>
      <c r="O1051" s="56" t="str">
        <f>IF($C1051="B",INDEX(Batters[[#All],[EYE P]],MATCH(Table5[[#This Row],[PID]],Batters[[#All],[PID]],0)),INDEX(Table3[[#All],[VELO]],MATCH(Table5[[#This Row],[PID]],Table3[[#All],[PID]],0)))</f>
        <v>86-88 Mph</v>
      </c>
      <c r="P1051" s="56">
        <f>IF($C1051="B",INDEX(Batters[[#All],[K P]],MATCH(Table5[[#This Row],[PID]],Batters[[#All],[PID]],0)),INDEX(Table3[[#All],[STM]],MATCH(Table5[[#This Row],[PID]],Table3[[#All],[PID]],0)))</f>
        <v>10</v>
      </c>
      <c r="Q1051" s="61">
        <f>IF($C1051="B",INDEX(Batters[[#All],[Tot]],MATCH(Table5[[#This Row],[PID]],Batters[[#All],[PID]],0)),INDEX(Table3[[#All],[Tot]],MATCH(Table5[[#This Row],[PID]],Table3[[#All],[PID]],0)))</f>
        <v>25.011739979406649</v>
      </c>
      <c r="R1051" s="52">
        <f>IF($C1051="B",INDEX(Batters[[#All],[zScore]],MATCH(Table5[[#This Row],[PID]],Batters[[#All],[PID]],0)),INDEX(Table3[[#All],[zScore]],MATCH(Table5[[#This Row],[PID]],Table3[[#All],[PID]],0)))</f>
        <v>-0.72241844340392647</v>
      </c>
      <c r="S1051" s="58" t="str">
        <f>IF($C1051="B",INDEX(Batters[[#All],[DEM]],MATCH(Table5[[#This Row],[PID]],Batters[[#All],[PID]],0)),INDEX(Table3[[#All],[DEM]],MATCH(Table5[[#This Row],[PID]],Table3[[#All],[PID]],0)))</f>
        <v>-</v>
      </c>
      <c r="T1051" s="62">
        <f>IF($C1051="B",INDEX(Batters[[#All],[Rnk]],MATCH(Table5[[#This Row],[PID]],Batters[[#All],[PID]],0)),INDEX(Table3[[#All],[Rnk]],MATCH(Table5[[#This Row],[PID]],Table3[[#All],[PID]],0)))</f>
        <v>608</v>
      </c>
      <c r="U1051" s="68">
        <f>IF($C1051="B",VLOOKUP($A1051,Bat!$A$4:$BA$1621,47,FALSE),VLOOKUP($A1051,Pit!$A$4:$BF$1557,56,FALSE))</f>
        <v>0</v>
      </c>
      <c r="V1051" s="50">
        <f>IF($C1051="B",VLOOKUP($A1051,Bat!$A$4:$BA$1621,48,FALSE),VLOOKUP($A1051,Pit!$A$4:$BF$1557,57,FALSE))</f>
        <v>0</v>
      </c>
      <c r="W1051" s="50">
        <f>Table5[[#This Row],[posRnk]]+Table5[[#This Row],[zRnk]]+IF($W$3&lt;&gt;Table5[[#This Row],[Type]],50,0)</f>
        <v>1652</v>
      </c>
      <c r="X1051" s="51">
        <f>RANK(Table5[[#This Row],[zScore]],Table5[[#All],[zScore]])</f>
        <v>994</v>
      </c>
      <c r="Y1051" s="50" t="str">
        <f>IFERROR(INDEX(DraftResults[[#All],[OVR]],MATCH(Table5[[#This Row],[PID]],DraftResults[[#All],[Player ID]],0)),"")</f>
        <v/>
      </c>
      <c r="Z10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1" s="50" t="str">
        <f>IFERROR(INDEX(DraftResults[[#All],[Pick in Round]],MATCH(Table5[[#This Row],[PID]],DraftResults[[#All],[Player ID]],0)),"")</f>
        <v/>
      </c>
      <c r="AB1051" s="50" t="str">
        <f>IFERROR(INDEX(DraftResults[[#All],[Team Name]],MATCH(Table5[[#This Row],[PID]],DraftResults[[#All],[Player ID]],0)),"")</f>
        <v/>
      </c>
      <c r="AC1051" s="50" t="str">
        <f>IF(Table5[[#This Row],[Ovr]]="","",IF(Table5[[#This Row],[cmbList]]="","",Table5[[#This Row],[cmbList]]-Table5[[#This Row],[Ovr]]))</f>
        <v/>
      </c>
      <c r="AD1051" s="54" t="str">
        <f>IF(ISERROR(VLOOKUP($AB1051&amp;"-"&amp;$E1051&amp;" "&amp;F1051,Bonuses!$B$1:$G$1006,4,FALSE)),"",INT(VLOOKUP($AB1051&amp;"-"&amp;$E1051&amp;" "&amp;$F1051,Bonuses!$B$1:$G$1006,4,FALSE)))</f>
        <v/>
      </c>
      <c r="AE10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2" spans="1:31" s="50" customFormat="1" x14ac:dyDescent="0.25">
      <c r="A1052" s="50">
        <v>20735</v>
      </c>
      <c r="B1052" s="50">
        <f>COUNTIF(Table5[PID],A1052)</f>
        <v>1</v>
      </c>
      <c r="C1052" s="50" t="str">
        <f>IF(COUNTIF(Table3[[#All],[PID]],A1052)&gt;0,"P","B")</f>
        <v>P</v>
      </c>
      <c r="D1052" s="59" t="str">
        <f>IF($C1052="B",INDEX(Batters[[#All],[POS]],MATCH(Table5[[#This Row],[PID]],Batters[[#All],[PID]],0)),INDEX(Table3[[#All],[POS]],MATCH(Table5[[#This Row],[PID]],Table3[[#All],[PID]],0)))</f>
        <v>RP</v>
      </c>
      <c r="E1052" s="52" t="str">
        <f>IF($C1052="B",INDEX(Batters[[#All],[First]],MATCH(Table5[[#This Row],[PID]],Batters[[#All],[PID]],0)),INDEX(Table3[[#All],[First]],MATCH(Table5[[#This Row],[PID]],Table3[[#All],[PID]],0)))</f>
        <v>Joe</v>
      </c>
      <c r="F1052" s="50" t="str">
        <f>IF($C1052="B",INDEX(Batters[[#All],[Last]],MATCH(A1052,Batters[[#All],[PID]],0)),INDEX(Table3[[#All],[Last]],MATCH(A1052,Table3[[#All],[PID]],0)))</f>
        <v>Miller</v>
      </c>
      <c r="G1052" s="56">
        <f>IF($C1052="B",INDEX(Batters[[#All],[Age]],MATCH(Table5[[#This Row],[PID]],Batters[[#All],[PID]],0)),INDEX(Table3[[#All],[Age]],MATCH(Table5[[#This Row],[PID]],Table3[[#All],[PID]],0)))</f>
        <v>18</v>
      </c>
      <c r="H1052" s="52" t="str">
        <f>IF($C1052="B",INDEX(Batters[[#All],[B]],MATCH(Table5[[#This Row],[PID]],Batters[[#All],[PID]],0)),INDEX(Table3[[#All],[B]],MATCH(Table5[[#This Row],[PID]],Table3[[#All],[PID]],0)))</f>
        <v>R</v>
      </c>
      <c r="I1052" s="52" t="str">
        <f>IF($C1052="B",INDEX(Batters[[#All],[T]],MATCH(Table5[[#This Row],[PID]],Batters[[#All],[PID]],0)),INDEX(Table3[[#All],[T]],MATCH(Table5[[#This Row],[PID]],Table3[[#All],[PID]],0)))</f>
        <v>R</v>
      </c>
      <c r="J1052" s="52" t="str">
        <f>IF($C1052="B",INDEX(Batters[[#All],[WE]],MATCH(Table5[[#This Row],[PID]],Batters[[#All],[PID]],0)),INDEX(Table3[[#All],[WE]],MATCH(Table5[[#This Row],[PID]],Table3[[#All],[PID]],0)))</f>
        <v>Low</v>
      </c>
      <c r="K1052" s="52" t="str">
        <f>IF($C1052="B",INDEX(Batters[[#All],[INT]],MATCH(Table5[[#This Row],[PID]],Batters[[#All],[PID]],0)),INDEX(Table3[[#All],[INT]],MATCH(Table5[[#This Row],[PID]],Table3[[#All],[PID]],0)))</f>
        <v>Low</v>
      </c>
      <c r="L1052" s="60">
        <f>IF($C1052="B",INDEX(Batters[[#All],[CON P]],MATCH(Table5[[#This Row],[PID]],Batters[[#All],[PID]],0)),INDEX(Table3[[#All],[STU P]],MATCH(Table5[[#This Row],[PID]],Table3[[#All],[PID]],0)))</f>
        <v>4</v>
      </c>
      <c r="M1052" s="56">
        <f>IF($C1052="B",INDEX(Batters[[#All],[GAP P]],MATCH(Table5[[#This Row],[PID]],Batters[[#All],[PID]],0)),INDEX(Table3[[#All],[MOV P]],MATCH(Table5[[#This Row],[PID]],Table3[[#All],[PID]],0)))</f>
        <v>2</v>
      </c>
      <c r="N1052" s="56">
        <f>IF($C1052="B",INDEX(Batters[[#All],[POW P]],MATCH(Table5[[#This Row],[PID]],Batters[[#All],[PID]],0)),INDEX(Table3[[#All],[CON P]],MATCH(Table5[[#This Row],[PID]],Table3[[#All],[PID]],0)))</f>
        <v>3</v>
      </c>
      <c r="O1052" s="56" t="str">
        <f>IF($C1052="B",INDEX(Batters[[#All],[EYE P]],MATCH(Table5[[#This Row],[PID]],Batters[[#All],[PID]],0)),INDEX(Table3[[#All],[VELO]],MATCH(Table5[[#This Row],[PID]],Table3[[#All],[PID]],0)))</f>
        <v>89-91 Mph</v>
      </c>
      <c r="P1052" s="56">
        <f>IF($C1052="B",INDEX(Batters[[#All],[K P]],MATCH(Table5[[#This Row],[PID]],Batters[[#All],[PID]],0)),INDEX(Table3[[#All],[STM]],MATCH(Table5[[#This Row],[PID]],Table3[[#All],[PID]],0)))</f>
        <v>4</v>
      </c>
      <c r="Q1052" s="61">
        <f>IF($C1052="B",INDEX(Batters[[#All],[Tot]],MATCH(Table5[[#This Row],[PID]],Batters[[#All],[PID]],0)),INDEX(Table3[[#All],[Tot]],MATCH(Table5[[#This Row],[PID]],Table3[[#All],[PID]],0)))</f>
        <v>27.253330734434741</v>
      </c>
      <c r="R1052" s="52">
        <f>IF($C1052="B",INDEX(Batters[[#All],[zScore]],MATCH(Table5[[#This Row],[PID]],Batters[[#All],[PID]],0)),INDEX(Table3[[#All],[zScore]],MATCH(Table5[[#This Row],[PID]],Table3[[#All],[PID]],0)))</f>
        <v>-0.72270241592939444</v>
      </c>
      <c r="S1052" s="58" t="str">
        <f>IF($C1052="B",INDEX(Batters[[#All],[DEM]],MATCH(Table5[[#This Row],[PID]],Batters[[#All],[PID]],0)),INDEX(Table3[[#All],[DEM]],MATCH(Table5[[#This Row],[PID]],Table3[[#All],[PID]],0)))</f>
        <v>$38k</v>
      </c>
      <c r="T1052" s="62">
        <f>IF($C1052="B",INDEX(Batters[[#All],[Rnk]],MATCH(Table5[[#This Row],[PID]],Batters[[#All],[PID]],0)),INDEX(Table3[[#All],[Rnk]],MATCH(Table5[[#This Row],[PID]],Table3[[#All],[PID]],0)))</f>
        <v>609</v>
      </c>
      <c r="U1052" s="68">
        <f>IF($C1052="B",VLOOKUP($A1052,Bat!$A$4:$BA$1621,47,FALSE),VLOOKUP($A1052,Pit!$A$4:$BF$1557,56,FALSE))</f>
        <v>0</v>
      </c>
      <c r="V1052" s="50">
        <f>IF($C1052="B",VLOOKUP($A1052,Bat!$A$4:$BA$1621,48,FALSE),VLOOKUP($A1052,Pit!$A$4:$BF$1557,57,FALSE))</f>
        <v>0</v>
      </c>
      <c r="W1052" s="50">
        <f>Table5[[#This Row],[posRnk]]+Table5[[#This Row],[zRnk]]+IF($W$3&lt;&gt;Table5[[#This Row],[Type]],50,0)</f>
        <v>1654</v>
      </c>
      <c r="X1052" s="51">
        <f>RANK(Table5[[#This Row],[zScore]],Table5[[#All],[zScore]])</f>
        <v>995</v>
      </c>
      <c r="Y1052" s="50" t="str">
        <f>IFERROR(INDEX(DraftResults[[#All],[OVR]],MATCH(Table5[[#This Row],[PID]],DraftResults[[#All],[Player ID]],0)),"")</f>
        <v/>
      </c>
      <c r="Z10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2" s="50" t="str">
        <f>IFERROR(INDEX(DraftResults[[#All],[Pick in Round]],MATCH(Table5[[#This Row],[PID]],DraftResults[[#All],[Player ID]],0)),"")</f>
        <v/>
      </c>
      <c r="AB1052" s="50" t="str">
        <f>IFERROR(INDEX(DraftResults[[#All],[Team Name]],MATCH(Table5[[#This Row],[PID]],DraftResults[[#All],[Player ID]],0)),"")</f>
        <v/>
      </c>
      <c r="AC1052" s="50" t="str">
        <f>IF(Table5[[#This Row],[Ovr]]="","",IF(Table5[[#This Row],[cmbList]]="","",Table5[[#This Row],[cmbList]]-Table5[[#This Row],[Ovr]]))</f>
        <v/>
      </c>
      <c r="AD1052" s="54" t="str">
        <f>IF(ISERROR(VLOOKUP($AB1052&amp;"-"&amp;$E1052&amp;" "&amp;F1052,Bonuses!$B$1:$G$1006,4,FALSE)),"",INT(VLOOKUP($AB1052&amp;"-"&amp;$E1052&amp;" "&amp;$F1052,Bonuses!$B$1:$G$1006,4,FALSE)))</f>
        <v/>
      </c>
      <c r="AE10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3" spans="1:31" s="50" customFormat="1" x14ac:dyDescent="0.25">
      <c r="A1053" s="50">
        <v>20273</v>
      </c>
      <c r="B1053" s="50">
        <f>COUNTIF(Table5[PID],A1053)</f>
        <v>1</v>
      </c>
      <c r="C1053" s="50" t="str">
        <f>IF(COUNTIF(Table3[[#All],[PID]],A1053)&gt;0,"P","B")</f>
        <v>P</v>
      </c>
      <c r="D1053" s="59" t="str">
        <f>IF($C1053="B",INDEX(Batters[[#All],[POS]],MATCH(Table5[[#This Row],[PID]],Batters[[#All],[PID]],0)),INDEX(Table3[[#All],[POS]],MATCH(Table5[[#This Row],[PID]],Table3[[#All],[PID]],0)))</f>
        <v>RP</v>
      </c>
      <c r="E1053" s="52" t="str">
        <f>IF($C1053="B",INDEX(Batters[[#All],[First]],MATCH(Table5[[#This Row],[PID]],Batters[[#All],[PID]],0)),INDEX(Table3[[#All],[First]],MATCH(Table5[[#This Row],[PID]],Table3[[#All],[PID]],0)))</f>
        <v>Ze-min</v>
      </c>
      <c r="F1053" s="50" t="str">
        <f>IF($C1053="B",INDEX(Batters[[#All],[Last]],MATCH(A1053,Batters[[#All],[PID]],0)),INDEX(Table3[[#All],[Last]],MATCH(A1053,Table3[[#All],[PID]],0)))</f>
        <v>Mei</v>
      </c>
      <c r="G1053" s="56">
        <f>IF($C1053="B",INDEX(Batters[[#All],[Age]],MATCH(Table5[[#This Row],[PID]],Batters[[#All],[PID]],0)),INDEX(Table3[[#All],[Age]],MATCH(Table5[[#This Row],[PID]],Table3[[#All],[PID]],0)))</f>
        <v>22</v>
      </c>
      <c r="H1053" s="52" t="str">
        <f>IF($C1053="B",INDEX(Batters[[#All],[B]],MATCH(Table5[[#This Row],[PID]],Batters[[#All],[PID]],0)),INDEX(Table3[[#All],[B]],MATCH(Table5[[#This Row],[PID]],Table3[[#All],[PID]],0)))</f>
        <v>R</v>
      </c>
      <c r="I1053" s="52" t="str">
        <f>IF($C1053="B",INDEX(Batters[[#All],[T]],MATCH(Table5[[#This Row],[PID]],Batters[[#All],[PID]],0)),INDEX(Table3[[#All],[T]],MATCH(Table5[[#This Row],[PID]],Table3[[#All],[PID]],0)))</f>
        <v>R</v>
      </c>
      <c r="J1053" s="52" t="str">
        <f>IF($C1053="B",INDEX(Batters[[#All],[WE]],MATCH(Table5[[#This Row],[PID]],Batters[[#All],[PID]],0)),INDEX(Table3[[#All],[WE]],MATCH(Table5[[#This Row],[PID]],Table3[[#All],[PID]],0)))</f>
        <v>Low</v>
      </c>
      <c r="K1053" s="52" t="str">
        <f>IF($C1053="B",INDEX(Batters[[#All],[INT]],MATCH(Table5[[#This Row],[PID]],Batters[[#All],[PID]],0)),INDEX(Table3[[#All],[INT]],MATCH(Table5[[#This Row],[PID]],Table3[[#All],[PID]],0)))</f>
        <v>Normal</v>
      </c>
      <c r="L1053" s="60">
        <f>IF($C1053="B",INDEX(Batters[[#All],[CON P]],MATCH(Table5[[#This Row],[PID]],Batters[[#All],[PID]],0)),INDEX(Table3[[#All],[STU P]],MATCH(Table5[[#This Row],[PID]],Table3[[#All],[PID]],0)))</f>
        <v>4</v>
      </c>
      <c r="M1053" s="56">
        <f>IF($C1053="B",INDEX(Batters[[#All],[GAP P]],MATCH(Table5[[#This Row],[PID]],Batters[[#All],[PID]],0)),INDEX(Table3[[#All],[MOV P]],MATCH(Table5[[#This Row],[PID]],Table3[[#All],[PID]],0)))</f>
        <v>2</v>
      </c>
      <c r="N1053" s="56">
        <f>IF($C1053="B",INDEX(Batters[[#All],[POW P]],MATCH(Table5[[#This Row],[PID]],Batters[[#All],[PID]],0)),INDEX(Table3[[#All],[CON P]],MATCH(Table5[[#This Row],[PID]],Table3[[#All],[PID]],0)))</f>
        <v>3</v>
      </c>
      <c r="O1053" s="56" t="str">
        <f>IF($C1053="B",INDEX(Batters[[#All],[EYE P]],MATCH(Table5[[#This Row],[PID]],Batters[[#All],[PID]],0)),INDEX(Table3[[#All],[VELO]],MATCH(Table5[[#This Row],[PID]],Table3[[#All],[PID]],0)))</f>
        <v>92-94 Mph</v>
      </c>
      <c r="P1053" s="56">
        <f>IF($C1053="B",INDEX(Batters[[#All],[K P]],MATCH(Table5[[#This Row],[PID]],Batters[[#All],[PID]],0)),INDEX(Table3[[#All],[STM]],MATCH(Table5[[#This Row],[PID]],Table3[[#All],[PID]],0)))</f>
        <v>4</v>
      </c>
      <c r="Q1053" s="61">
        <f>IF($C1053="B",INDEX(Batters[[#All],[Tot]],MATCH(Table5[[#This Row],[PID]],Batters[[#All],[PID]],0)),INDEX(Table3[[#All],[Tot]],MATCH(Table5[[#This Row],[PID]],Table3[[#All],[PID]],0)))</f>
        <v>27.248862993641765</v>
      </c>
      <c r="R1053" s="52">
        <f>IF($C1053="B",INDEX(Batters[[#All],[zScore]],MATCH(Table5[[#This Row],[PID]],Batters[[#All],[PID]],0)),INDEX(Table3[[#All],[zScore]],MATCH(Table5[[#This Row],[PID]],Table3[[#All],[PID]],0)))</f>
        <v>-0.72300845485917642</v>
      </c>
      <c r="S1053" s="58" t="str">
        <f>IF($C1053="B",INDEX(Batters[[#All],[DEM]],MATCH(Table5[[#This Row],[PID]],Batters[[#All],[PID]],0)),INDEX(Table3[[#All],[DEM]],MATCH(Table5[[#This Row],[PID]],Table3[[#All],[PID]],0)))</f>
        <v>-</v>
      </c>
      <c r="T1053" s="62">
        <f>IF($C1053="B",INDEX(Batters[[#All],[Rnk]],MATCH(Table5[[#This Row],[PID]],Batters[[#All],[PID]],0)),INDEX(Table3[[#All],[Rnk]],MATCH(Table5[[#This Row],[PID]],Table3[[#All],[PID]],0)))</f>
        <v>610</v>
      </c>
      <c r="U1053" s="68">
        <f>IF($C1053="B",VLOOKUP($A1053,Bat!$A$4:$BA$1621,47,FALSE),VLOOKUP($A1053,Pit!$A$4:$BF$1557,56,FALSE))</f>
        <v>0</v>
      </c>
      <c r="V1053" s="50">
        <f>IF($C1053="B",VLOOKUP($A1053,Bat!$A$4:$BA$1621,48,FALSE),VLOOKUP($A1053,Pit!$A$4:$BF$1557,57,FALSE))</f>
        <v>0</v>
      </c>
      <c r="W1053" s="50">
        <f>Table5[[#This Row],[posRnk]]+Table5[[#This Row],[zRnk]]+IF($W$3&lt;&gt;Table5[[#This Row],[Type]],50,0)</f>
        <v>1656</v>
      </c>
      <c r="X1053" s="51">
        <f>RANK(Table5[[#This Row],[zScore]],Table5[[#All],[zScore]])</f>
        <v>996</v>
      </c>
      <c r="Y1053" s="50" t="str">
        <f>IFERROR(INDEX(DraftResults[[#All],[OVR]],MATCH(Table5[[#This Row],[PID]],DraftResults[[#All],[Player ID]],0)),"")</f>
        <v/>
      </c>
      <c r="Z10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3" s="50" t="str">
        <f>IFERROR(INDEX(DraftResults[[#All],[Pick in Round]],MATCH(Table5[[#This Row],[PID]],DraftResults[[#All],[Player ID]],0)),"")</f>
        <v/>
      </c>
      <c r="AB1053" s="50" t="str">
        <f>IFERROR(INDEX(DraftResults[[#All],[Team Name]],MATCH(Table5[[#This Row],[PID]],DraftResults[[#All],[Player ID]],0)),"")</f>
        <v/>
      </c>
      <c r="AC1053" s="50" t="str">
        <f>IF(Table5[[#This Row],[Ovr]]="","",IF(Table5[[#This Row],[cmbList]]="","",Table5[[#This Row],[cmbList]]-Table5[[#This Row],[Ovr]]))</f>
        <v/>
      </c>
      <c r="AD1053" s="54" t="str">
        <f>IF(ISERROR(VLOOKUP($AB1053&amp;"-"&amp;$E1053&amp;" "&amp;F1053,Bonuses!$B$1:$G$1006,4,FALSE)),"",INT(VLOOKUP($AB1053&amp;"-"&amp;$E1053&amp;" "&amp;$F1053,Bonuses!$B$1:$G$1006,4,FALSE)))</f>
        <v/>
      </c>
      <c r="AE10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4" spans="1:31" s="50" customFormat="1" x14ac:dyDescent="0.25">
      <c r="A1054" s="50">
        <v>17573</v>
      </c>
      <c r="B1054" s="55">
        <f>COUNTIF(Table5[PID],A1054)</f>
        <v>1</v>
      </c>
      <c r="C1054" s="55" t="str">
        <f>IF(COUNTIF(Table3[[#All],[PID]],A1054)&gt;0,"P","B")</f>
        <v>B</v>
      </c>
      <c r="D1054" s="59" t="str">
        <f>IF($C1054="B",INDEX(Batters[[#All],[POS]],MATCH(Table5[[#This Row],[PID]],Batters[[#All],[PID]],0)),INDEX(Table3[[#All],[POS]],MATCH(Table5[[#This Row],[PID]],Table3[[#All],[PID]],0)))</f>
        <v>C</v>
      </c>
      <c r="E1054" s="52" t="str">
        <f>IF($C1054="B",INDEX(Batters[[#All],[First]],MATCH(Table5[[#This Row],[PID]],Batters[[#All],[PID]],0)),INDEX(Table3[[#All],[First]],MATCH(Table5[[#This Row],[PID]],Table3[[#All],[PID]],0)))</f>
        <v>Jim</v>
      </c>
      <c r="F1054" s="50" t="str">
        <f>IF($C1054="B",INDEX(Batters[[#All],[Last]],MATCH(A1054,Batters[[#All],[PID]],0)),INDEX(Table3[[#All],[Last]],MATCH(A1054,Table3[[#All],[PID]],0)))</f>
        <v>Butler</v>
      </c>
      <c r="G1054" s="56">
        <f>IF($C1054="B",INDEX(Batters[[#All],[Age]],MATCH(Table5[[#This Row],[PID]],Batters[[#All],[PID]],0)),INDEX(Table3[[#All],[Age]],MATCH(Table5[[#This Row],[PID]],Table3[[#All],[PID]],0)))</f>
        <v>18</v>
      </c>
      <c r="H1054" s="52" t="str">
        <f>IF($C1054="B",INDEX(Batters[[#All],[B]],MATCH(Table5[[#This Row],[PID]],Batters[[#All],[PID]],0)),INDEX(Table3[[#All],[B]],MATCH(Table5[[#This Row],[PID]],Table3[[#All],[PID]],0)))</f>
        <v>R</v>
      </c>
      <c r="I1054" s="52" t="str">
        <f>IF($C1054="B",INDEX(Batters[[#All],[T]],MATCH(Table5[[#This Row],[PID]],Batters[[#All],[PID]],0)),INDEX(Table3[[#All],[T]],MATCH(Table5[[#This Row],[PID]],Table3[[#All],[PID]],0)))</f>
        <v>R</v>
      </c>
      <c r="J1054" s="52" t="str">
        <f>IF($C1054="B",INDEX(Batters[[#All],[WE]],MATCH(Table5[[#This Row],[PID]],Batters[[#All],[PID]],0)),INDEX(Table3[[#All],[WE]],MATCH(Table5[[#This Row],[PID]],Table3[[#All],[PID]],0)))</f>
        <v>High</v>
      </c>
      <c r="K1054" s="52" t="str">
        <f>IF($C1054="B",INDEX(Batters[[#All],[INT]],MATCH(Table5[[#This Row],[PID]],Batters[[#All],[PID]],0)),INDEX(Table3[[#All],[INT]],MATCH(Table5[[#This Row],[PID]],Table3[[#All],[PID]],0)))</f>
        <v>Normal</v>
      </c>
      <c r="L1054" s="60">
        <f>IF($C1054="B",INDEX(Batters[[#All],[CON P]],MATCH(Table5[[#This Row],[PID]],Batters[[#All],[PID]],0)),INDEX(Table3[[#All],[STU P]],MATCH(Table5[[#This Row],[PID]],Table3[[#All],[PID]],0)))</f>
        <v>3</v>
      </c>
      <c r="M1054" s="56">
        <f>IF($C1054="B",INDEX(Batters[[#All],[GAP P]],MATCH(Table5[[#This Row],[PID]],Batters[[#All],[PID]],0)),INDEX(Table3[[#All],[MOV P]],MATCH(Table5[[#This Row],[PID]],Table3[[#All],[PID]],0)))</f>
        <v>4</v>
      </c>
      <c r="N1054" s="56">
        <f>IF($C1054="B",INDEX(Batters[[#All],[POW P]],MATCH(Table5[[#This Row],[PID]],Batters[[#All],[PID]],0)),INDEX(Table3[[#All],[CON P]],MATCH(Table5[[#This Row],[PID]],Table3[[#All],[PID]],0)))</f>
        <v>3</v>
      </c>
      <c r="O1054" s="56">
        <f>IF($C1054="B",INDEX(Batters[[#All],[EYE P]],MATCH(Table5[[#This Row],[PID]],Batters[[#All],[PID]],0)),INDEX(Table3[[#All],[VELO]],MATCH(Table5[[#This Row],[PID]],Table3[[#All],[PID]],0)))</f>
        <v>4</v>
      </c>
      <c r="P1054" s="56">
        <f>IF($C1054="B",INDEX(Batters[[#All],[K P]],MATCH(Table5[[#This Row],[PID]],Batters[[#All],[PID]],0)),INDEX(Table3[[#All],[STM]],MATCH(Table5[[#This Row],[PID]],Table3[[#All],[PID]],0)))</f>
        <v>3</v>
      </c>
      <c r="Q1054" s="61">
        <f>IF($C1054="B",INDEX(Batters[[#All],[Tot]],MATCH(Table5[[#This Row],[PID]],Batters[[#All],[PID]],0)),INDEX(Table3[[#All],[Tot]],MATCH(Table5[[#This Row],[PID]],Table3[[#All],[PID]],0)))</f>
        <v>40.850659164154848</v>
      </c>
      <c r="R1054" s="52">
        <f>IF($C1054="B",INDEX(Batters[[#All],[zScore]],MATCH(Table5[[#This Row],[PID]],Batters[[#All],[PID]],0)),INDEX(Table3[[#All],[zScore]],MATCH(Table5[[#This Row],[PID]],Table3[[#All],[PID]],0)))</f>
        <v>-0.72748207899126727</v>
      </c>
      <c r="S1054" s="58" t="str">
        <f>IF($C1054="B",INDEX(Batters[[#All],[DEM]],MATCH(Table5[[#This Row],[PID]],Batters[[#All],[PID]],0)),INDEX(Table3[[#All],[DEM]],MATCH(Table5[[#This Row],[PID]],Table3[[#All],[PID]],0)))</f>
        <v>$70k</v>
      </c>
      <c r="T1054" s="62">
        <f>IF($C1054="B",INDEX(Batters[[#All],[Rnk]],MATCH(Table5[[#This Row],[PID]],Batters[[#All],[PID]],0)),INDEX(Table3[[#All],[Rnk]],MATCH(Table5[[#This Row],[PID]],Table3[[#All],[PID]],0)))</f>
        <v>387</v>
      </c>
      <c r="U1054" s="68">
        <f>IF($C1054="B",VLOOKUP($A1054,Bat!$A$4:$BA$1621,47,FALSE),VLOOKUP($A1054,Pit!$A$4:$BF$1557,56,FALSE))</f>
        <v>0</v>
      </c>
      <c r="V1054" s="50">
        <f>IF($C1054="B",VLOOKUP($A1054,Bat!$A$4:$BA$1621,48,FALSE),VLOOKUP($A1054,Pit!$A$4:$BF$1557,57,FALSE))</f>
        <v>0</v>
      </c>
      <c r="W1054" s="50">
        <f>Table5[[#This Row],[posRnk]]+Table5[[#This Row],[zRnk]]+IF($W$3&lt;&gt;Table5[[#This Row],[Type]],50,0)</f>
        <v>1435</v>
      </c>
      <c r="X1054" s="51">
        <f>RANK(Table5[[#This Row],[zScore]],Table5[[#All],[zScore]])</f>
        <v>998</v>
      </c>
      <c r="Y1054" s="50" t="str">
        <f>IFERROR(INDEX(DraftResults[[#All],[OVR]],MATCH(Table5[[#This Row],[PID]],DraftResults[[#All],[Player ID]],0)),"")</f>
        <v/>
      </c>
      <c r="Z10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4" s="50" t="str">
        <f>IFERROR(INDEX(DraftResults[[#All],[Pick in Round]],MATCH(Table5[[#This Row],[PID]],DraftResults[[#All],[Player ID]],0)),"")</f>
        <v/>
      </c>
      <c r="AB1054" s="50" t="str">
        <f>IFERROR(INDEX(DraftResults[[#All],[Team Name]],MATCH(Table5[[#This Row],[PID]],DraftResults[[#All],[Player ID]],0)),"")</f>
        <v/>
      </c>
      <c r="AC1054" s="50" t="str">
        <f>IF(Table5[[#This Row],[Ovr]]="","",IF(Table5[[#This Row],[cmbList]]="","",Table5[[#This Row],[cmbList]]-Table5[[#This Row],[Ovr]]))</f>
        <v/>
      </c>
      <c r="AD1054" s="54" t="str">
        <f>IF(ISERROR(VLOOKUP($AB1054&amp;"-"&amp;$E1054&amp;" "&amp;F1054,Bonuses!$B$1:$G$1006,4,FALSE)),"",INT(VLOOKUP($AB1054&amp;"-"&amp;$E1054&amp;" "&amp;$F1054,Bonuses!$B$1:$G$1006,4,FALSE)))</f>
        <v/>
      </c>
      <c r="AE10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5" spans="1:31" s="50" customFormat="1" x14ac:dyDescent="0.25">
      <c r="A1055" s="68">
        <v>20300</v>
      </c>
      <c r="B1055" s="69">
        <f>COUNTIF(Table5[PID],A1055)</f>
        <v>1</v>
      </c>
      <c r="C1055" s="69" t="str">
        <f>IF(COUNTIF(Table3[[#All],[PID]],A1055)&gt;0,"P","B")</f>
        <v>P</v>
      </c>
      <c r="D1055" s="59" t="str">
        <f>IF($C1055="B",INDEX(Batters[[#All],[POS]],MATCH(Table5[[#This Row],[PID]],Batters[[#All],[PID]],0)),INDEX(Table3[[#All],[POS]],MATCH(Table5[[#This Row],[PID]],Table3[[#All],[PID]],0)))</f>
        <v>SP</v>
      </c>
      <c r="E1055" s="52" t="str">
        <f>IF($C1055="B",INDEX(Batters[[#All],[First]],MATCH(Table5[[#This Row],[PID]],Batters[[#All],[PID]],0)),INDEX(Table3[[#All],[First]],MATCH(Table5[[#This Row],[PID]],Table3[[#All],[PID]],0)))</f>
        <v>Yong-hyun</v>
      </c>
      <c r="F1055" s="55" t="str">
        <f>IF($C1055="B",INDEX(Batters[[#All],[Last]],MATCH(A1055,Batters[[#All],[PID]],0)),INDEX(Table3[[#All],[Last]],MATCH(A1055,Table3[[#All],[PID]],0)))</f>
        <v>Kim</v>
      </c>
      <c r="G1055" s="56">
        <f>IF($C1055="B",INDEX(Batters[[#All],[Age]],MATCH(Table5[[#This Row],[PID]],Batters[[#All],[PID]],0)),INDEX(Table3[[#All],[Age]],MATCH(Table5[[#This Row],[PID]],Table3[[#All],[PID]],0)))</f>
        <v>17</v>
      </c>
      <c r="H1055" s="52" t="str">
        <f>IF($C1055="B",INDEX(Batters[[#All],[B]],MATCH(Table5[[#This Row],[PID]],Batters[[#All],[PID]],0)),INDEX(Table3[[#All],[B]],MATCH(Table5[[#This Row],[PID]],Table3[[#All],[PID]],0)))</f>
        <v>L</v>
      </c>
      <c r="I1055" s="52" t="str">
        <f>IF($C1055="B",INDEX(Batters[[#All],[T]],MATCH(Table5[[#This Row],[PID]],Batters[[#All],[PID]],0)),INDEX(Table3[[#All],[T]],MATCH(Table5[[#This Row],[PID]],Table3[[#All],[PID]],0)))</f>
        <v>L</v>
      </c>
      <c r="J1055" s="71" t="str">
        <f>IF($C1055="B",INDEX(Batters[[#All],[WE]],MATCH(Table5[[#This Row],[PID]],Batters[[#All],[PID]],0)),INDEX(Table3[[#All],[WE]],MATCH(Table5[[#This Row],[PID]],Table3[[#All],[PID]],0)))</f>
        <v>Low</v>
      </c>
      <c r="K1055" s="52" t="str">
        <f>IF($C1055="B",INDEX(Batters[[#All],[INT]],MATCH(Table5[[#This Row],[PID]],Batters[[#All],[PID]],0)),INDEX(Table3[[#All],[INT]],MATCH(Table5[[#This Row],[PID]],Table3[[#All],[PID]],0)))</f>
        <v>High</v>
      </c>
      <c r="L1055" s="60">
        <f>IF($C1055="B",INDEX(Batters[[#All],[CON P]],MATCH(Table5[[#This Row],[PID]],Batters[[#All],[PID]],0)),INDEX(Table3[[#All],[STU P]],MATCH(Table5[[#This Row],[PID]],Table3[[#All],[PID]],0)))</f>
        <v>3</v>
      </c>
      <c r="M1055" s="72">
        <f>IF($C1055="B",INDEX(Batters[[#All],[GAP P]],MATCH(Table5[[#This Row],[PID]],Batters[[#All],[PID]],0)),INDEX(Table3[[#All],[MOV P]],MATCH(Table5[[#This Row],[PID]],Table3[[#All],[PID]],0)))</f>
        <v>1</v>
      </c>
      <c r="N1055" s="72">
        <f>IF($C1055="B",INDEX(Batters[[#All],[POW P]],MATCH(Table5[[#This Row],[PID]],Batters[[#All],[PID]],0)),INDEX(Table3[[#All],[CON P]],MATCH(Table5[[#This Row],[PID]],Table3[[#All],[PID]],0)))</f>
        <v>3</v>
      </c>
      <c r="O1055" s="72" t="str">
        <f>IF($C1055="B",INDEX(Batters[[#All],[EYE P]],MATCH(Table5[[#This Row],[PID]],Batters[[#All],[PID]],0)),INDEX(Table3[[#All],[VELO]],MATCH(Table5[[#This Row],[PID]],Table3[[#All],[PID]],0)))</f>
        <v>86-88 Mph</v>
      </c>
      <c r="P1055" s="56">
        <f>IF($C1055="B",INDEX(Batters[[#All],[K P]],MATCH(Table5[[#This Row],[PID]],Batters[[#All],[PID]],0)),INDEX(Table3[[#All],[STM]],MATCH(Table5[[#This Row],[PID]],Table3[[#All],[PID]],0)))</f>
        <v>7</v>
      </c>
      <c r="Q1055" s="61">
        <f>IF($C1055="B",INDEX(Batters[[#All],[Tot]],MATCH(Table5[[#This Row],[PID]],Batters[[#All],[PID]],0)),INDEX(Table3[[#All],[Tot]],MATCH(Table5[[#This Row],[PID]],Table3[[#All],[PID]],0)))</f>
        <v>27.166360930467686</v>
      </c>
      <c r="R1055" s="52">
        <f>IF($C1055="B",INDEX(Batters[[#All],[zScore]],MATCH(Table5[[#This Row],[PID]],Batters[[#All],[PID]],0)),INDEX(Table3[[#All],[zScore]],MATCH(Table5[[#This Row],[PID]],Table3[[#All],[PID]],0)))</f>
        <v>-0.72865982191213929</v>
      </c>
      <c r="S1055" s="78" t="str">
        <f>IF($C1055="B",INDEX(Batters[[#All],[DEM]],MATCH(Table5[[#This Row],[PID]],Batters[[#All],[PID]],0)),INDEX(Table3[[#All],[DEM]],MATCH(Table5[[#This Row],[PID]],Table3[[#All],[PID]],0)))</f>
        <v>$70k</v>
      </c>
      <c r="T1055" s="75">
        <f>IF($C1055="B",INDEX(Batters[[#All],[Rnk]],MATCH(Table5[[#This Row],[PID]],Batters[[#All],[PID]],0)),INDEX(Table3[[#All],[Rnk]],MATCH(Table5[[#This Row],[PID]],Table3[[#All],[PID]],0)))</f>
        <v>611</v>
      </c>
      <c r="U1055" s="68">
        <f>IF($C1055="B",VLOOKUP($A1055,Bat!$A$4:$BA$1621,47,FALSE),VLOOKUP($A1055,Pit!$A$4:$BF$1557,56,FALSE))</f>
        <v>0</v>
      </c>
      <c r="V1055" s="50">
        <f>IF($C1055="B",VLOOKUP($A1055,Bat!$A$4:$BA$1621,48,FALSE),VLOOKUP($A1055,Pit!$A$4:$BF$1557,57,FALSE))</f>
        <v>0</v>
      </c>
      <c r="W1055" s="69">
        <f>Table5[[#This Row],[posRnk]]+Table5[[#This Row],[zRnk]]+IF($W$3&lt;&gt;Table5[[#This Row],[Type]],50,0)</f>
        <v>1660</v>
      </c>
      <c r="X1055" s="73">
        <f>RANK(Table5[[#This Row],[zScore]],Table5[[#All],[zScore]])</f>
        <v>999</v>
      </c>
      <c r="Y1055" s="69" t="str">
        <f>IFERROR(INDEX(DraftResults[[#All],[OVR]],MATCH(Table5[[#This Row],[PID]],DraftResults[[#All],[Player ID]],0)),"")</f>
        <v/>
      </c>
      <c r="Z105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5" s="69" t="str">
        <f>IFERROR(INDEX(DraftResults[[#All],[Pick in Round]],MATCH(Table5[[#This Row],[PID]],DraftResults[[#All],[Player ID]],0)),"")</f>
        <v/>
      </c>
      <c r="AB1055" s="69" t="str">
        <f>IFERROR(INDEX(DraftResults[[#All],[Team Name]],MATCH(Table5[[#This Row],[PID]],DraftResults[[#All],[Player ID]],0)),"")</f>
        <v/>
      </c>
      <c r="AC1055" s="69" t="str">
        <f>IF(Table5[[#This Row],[Ovr]]="","",IF(Table5[[#This Row],[cmbList]]="","",Table5[[#This Row],[cmbList]]-Table5[[#This Row],[Ovr]]))</f>
        <v/>
      </c>
      <c r="AD1055" s="77" t="str">
        <f>IF(ISERROR(VLOOKUP($AB1055&amp;"-"&amp;$E1055&amp;" "&amp;F1055,Bonuses!$B$1:$G$1006,4,FALSE)),"",INT(VLOOKUP($AB1055&amp;"-"&amp;$E1055&amp;" "&amp;$F1055,Bonuses!$B$1:$G$1006,4,FALSE)))</f>
        <v/>
      </c>
      <c r="AE105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6" spans="1:31" s="50" customFormat="1" x14ac:dyDescent="0.25">
      <c r="A1056" s="50">
        <v>12045</v>
      </c>
      <c r="B1056" s="50">
        <f>COUNTIF(Table5[PID],A1056)</f>
        <v>1</v>
      </c>
      <c r="C1056" s="50" t="str">
        <f>IF(COUNTIF(Table3[[#All],[PID]],A1056)&gt;0,"P","B")</f>
        <v>B</v>
      </c>
      <c r="D1056" s="59" t="str">
        <f>IF($C1056="B",INDEX(Batters[[#All],[POS]],MATCH(Table5[[#This Row],[PID]],Batters[[#All],[PID]],0)),INDEX(Table3[[#All],[POS]],MATCH(Table5[[#This Row],[PID]],Table3[[#All],[PID]],0)))</f>
        <v>RF</v>
      </c>
      <c r="E1056" s="52" t="str">
        <f>IF($C1056="B",INDEX(Batters[[#All],[First]],MATCH(Table5[[#This Row],[PID]],Batters[[#All],[PID]],0)),INDEX(Table3[[#All],[First]],MATCH(Table5[[#This Row],[PID]],Table3[[#All],[PID]],0)))</f>
        <v>Mike</v>
      </c>
      <c r="F1056" s="50" t="str">
        <f>IF($C1056="B",INDEX(Batters[[#All],[Last]],MATCH(A1056,Batters[[#All],[PID]],0)),INDEX(Table3[[#All],[Last]],MATCH(A1056,Table3[[#All],[PID]],0)))</f>
        <v>Ballard</v>
      </c>
      <c r="G1056" s="56">
        <f>IF($C1056="B",INDEX(Batters[[#All],[Age]],MATCH(Table5[[#This Row],[PID]],Batters[[#All],[PID]],0)),INDEX(Table3[[#All],[Age]],MATCH(Table5[[#This Row],[PID]],Table3[[#All],[PID]],0)))</f>
        <v>22</v>
      </c>
      <c r="H1056" s="52" t="str">
        <f>IF($C1056="B",INDEX(Batters[[#All],[B]],MATCH(Table5[[#This Row],[PID]],Batters[[#All],[PID]],0)),INDEX(Table3[[#All],[B]],MATCH(Table5[[#This Row],[PID]],Table3[[#All],[PID]],0)))</f>
        <v>L</v>
      </c>
      <c r="I1056" s="52" t="str">
        <f>IF($C1056="B",INDEX(Batters[[#All],[T]],MATCH(Table5[[#This Row],[PID]],Batters[[#All],[PID]],0)),INDEX(Table3[[#All],[T]],MATCH(Table5[[#This Row],[PID]],Table3[[#All],[PID]],0)))</f>
        <v>L</v>
      </c>
      <c r="J1056" s="52" t="str">
        <f>IF($C1056="B",INDEX(Batters[[#All],[WE]],MATCH(Table5[[#This Row],[PID]],Batters[[#All],[PID]],0)),INDEX(Table3[[#All],[WE]],MATCH(Table5[[#This Row],[PID]],Table3[[#All],[PID]],0)))</f>
        <v>Normal</v>
      </c>
      <c r="K1056" s="52" t="str">
        <f>IF($C1056="B",INDEX(Batters[[#All],[INT]],MATCH(Table5[[#This Row],[PID]],Batters[[#All],[PID]],0)),INDEX(Table3[[#All],[INT]],MATCH(Table5[[#This Row],[PID]],Table3[[#All],[PID]],0)))</f>
        <v>Low</v>
      </c>
      <c r="L1056" s="60">
        <f>IF($C1056="B",INDEX(Batters[[#All],[CON P]],MATCH(Table5[[#This Row],[PID]],Batters[[#All],[PID]],0)),INDEX(Table3[[#All],[STU P]],MATCH(Table5[[#This Row],[PID]],Table3[[#All],[PID]],0)))</f>
        <v>4</v>
      </c>
      <c r="M1056" s="56">
        <f>IF($C1056="B",INDEX(Batters[[#All],[GAP P]],MATCH(Table5[[#This Row],[PID]],Batters[[#All],[PID]],0)),INDEX(Table3[[#All],[MOV P]],MATCH(Table5[[#This Row],[PID]],Table3[[#All],[PID]],0)))</f>
        <v>4</v>
      </c>
      <c r="N1056" s="56">
        <f>IF($C1056="B",INDEX(Batters[[#All],[POW P]],MATCH(Table5[[#This Row],[PID]],Batters[[#All],[PID]],0)),INDEX(Table3[[#All],[CON P]],MATCH(Table5[[#This Row],[PID]],Table3[[#All],[PID]],0)))</f>
        <v>4</v>
      </c>
      <c r="O1056" s="56">
        <f>IF($C1056="B",INDEX(Batters[[#All],[EYE P]],MATCH(Table5[[#This Row],[PID]],Batters[[#All],[PID]],0)),INDEX(Table3[[#All],[VELO]],MATCH(Table5[[#This Row],[PID]],Table3[[#All],[PID]],0)))</f>
        <v>4</v>
      </c>
      <c r="P1056" s="56">
        <f>IF($C1056="B",INDEX(Batters[[#All],[K P]],MATCH(Table5[[#This Row],[PID]],Batters[[#All],[PID]],0)),INDEX(Table3[[#All],[STM]],MATCH(Table5[[#This Row],[PID]],Table3[[#All],[PID]],0)))</f>
        <v>3</v>
      </c>
      <c r="Q1056" s="61">
        <f>IF($C1056="B",INDEX(Batters[[#All],[Tot]],MATCH(Table5[[#This Row],[PID]],Batters[[#All],[PID]],0)),INDEX(Table3[[#All],[Tot]],MATCH(Table5[[#This Row],[PID]],Table3[[#All],[PID]],0)))</f>
        <v>40.822705802859247</v>
      </c>
      <c r="R1056" s="52">
        <f>IF($C1056="B",INDEX(Batters[[#All],[zScore]],MATCH(Table5[[#This Row],[PID]],Batters[[#All],[PID]],0)),INDEX(Table3[[#All],[zScore]],MATCH(Table5[[#This Row],[PID]],Table3[[#All],[PID]],0)))</f>
        <v>-0.73367952813768877</v>
      </c>
      <c r="S1056" s="58" t="str">
        <f>IF($C1056="B",INDEX(Batters[[#All],[DEM]],MATCH(Table5[[#This Row],[PID]],Batters[[#All],[PID]],0)),INDEX(Table3[[#All],[DEM]],MATCH(Table5[[#This Row],[PID]],Table3[[#All],[PID]],0)))</f>
        <v>-</v>
      </c>
      <c r="T1056" s="62">
        <f>IF($C1056="B",INDEX(Batters[[#All],[Rnk]],MATCH(Table5[[#This Row],[PID]],Batters[[#All],[PID]],0)),INDEX(Table3[[#All],[Rnk]],MATCH(Table5[[#This Row],[PID]],Table3[[#All],[PID]],0)))</f>
        <v>388</v>
      </c>
      <c r="U1056" s="68">
        <f>IF($C1056="B",VLOOKUP($A1056,Bat!$A$4:$BA$1621,47,FALSE),VLOOKUP($A1056,Pit!$A$4:$BF$1557,56,FALSE))</f>
        <v>0</v>
      </c>
      <c r="V1056" s="50">
        <f>IF($C1056="B",VLOOKUP($A1056,Bat!$A$4:$BA$1621,48,FALSE),VLOOKUP($A1056,Pit!$A$4:$BF$1557,57,FALSE))</f>
        <v>0</v>
      </c>
      <c r="W1056" s="50">
        <f>Table5[[#This Row],[posRnk]]+Table5[[#This Row],[zRnk]]+IF($W$3&lt;&gt;Table5[[#This Row],[Type]],50,0)</f>
        <v>1438</v>
      </c>
      <c r="X1056" s="51">
        <f>RANK(Table5[[#This Row],[zScore]],Table5[[#All],[zScore]])</f>
        <v>1000</v>
      </c>
      <c r="Y1056" s="50" t="str">
        <f>IFERROR(INDEX(DraftResults[[#All],[OVR]],MATCH(Table5[[#This Row],[PID]],DraftResults[[#All],[Player ID]],0)),"")</f>
        <v/>
      </c>
      <c r="Z10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6" s="50" t="str">
        <f>IFERROR(INDEX(DraftResults[[#All],[Pick in Round]],MATCH(Table5[[#This Row],[PID]],DraftResults[[#All],[Player ID]],0)),"")</f>
        <v/>
      </c>
      <c r="AB1056" s="50" t="str">
        <f>IFERROR(INDEX(DraftResults[[#All],[Team Name]],MATCH(Table5[[#This Row],[PID]],DraftResults[[#All],[Player ID]],0)),"")</f>
        <v/>
      </c>
      <c r="AC1056" s="50" t="str">
        <f>IF(Table5[[#This Row],[Ovr]]="","",IF(Table5[[#This Row],[cmbList]]="","",Table5[[#This Row],[cmbList]]-Table5[[#This Row],[Ovr]]))</f>
        <v/>
      </c>
      <c r="AD1056" s="54" t="str">
        <f>IF(ISERROR(VLOOKUP($AB1056&amp;"-"&amp;$E1056&amp;" "&amp;F1056,Bonuses!$B$1:$G$1006,4,FALSE)),"",INT(VLOOKUP($AB1056&amp;"-"&amp;$E1056&amp;" "&amp;$F1056,Bonuses!$B$1:$G$1006,4,FALSE)))</f>
        <v/>
      </c>
      <c r="AE10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7" spans="1:31" s="50" customFormat="1" x14ac:dyDescent="0.25">
      <c r="A1057" s="50">
        <v>20266</v>
      </c>
      <c r="B1057" s="50">
        <f>COUNTIF(Table5[PID],A1057)</f>
        <v>1</v>
      </c>
      <c r="C1057" s="50" t="str">
        <f>IF(COUNTIF(Table3[[#All],[PID]],A1057)&gt;0,"P","B")</f>
        <v>P</v>
      </c>
      <c r="D1057" s="59" t="str">
        <f>IF($C1057="B",INDEX(Batters[[#All],[POS]],MATCH(Table5[[#This Row],[PID]],Batters[[#All],[PID]],0)),INDEX(Table3[[#All],[POS]],MATCH(Table5[[#This Row],[PID]],Table3[[#All],[PID]],0)))</f>
        <v>RP</v>
      </c>
      <c r="E1057" s="52" t="str">
        <f>IF($C1057="B",INDEX(Batters[[#All],[First]],MATCH(Table5[[#This Row],[PID]],Batters[[#All],[PID]],0)),INDEX(Table3[[#All],[First]],MATCH(Table5[[#This Row],[PID]],Table3[[#All],[PID]],0)))</f>
        <v>Hsuang-tsung</v>
      </c>
      <c r="F1057" s="50" t="str">
        <f>IF($C1057="B",INDEX(Batters[[#All],[Last]],MATCH(A1057,Batters[[#All],[PID]],0)),INDEX(Table3[[#All],[Last]],MATCH(A1057,Table3[[#All],[PID]],0)))</f>
        <v>Men</v>
      </c>
      <c r="G1057" s="56">
        <f>IF($C1057="B",INDEX(Batters[[#All],[Age]],MATCH(Table5[[#This Row],[PID]],Batters[[#All],[PID]],0)),INDEX(Table3[[#All],[Age]],MATCH(Table5[[#This Row],[PID]],Table3[[#All],[PID]],0)))</f>
        <v>21</v>
      </c>
      <c r="H1057" s="52" t="str">
        <f>IF($C1057="B",INDEX(Batters[[#All],[B]],MATCH(Table5[[#This Row],[PID]],Batters[[#All],[PID]],0)),INDEX(Table3[[#All],[B]],MATCH(Table5[[#This Row],[PID]],Table3[[#All],[PID]],0)))</f>
        <v>S</v>
      </c>
      <c r="I1057" s="52" t="str">
        <f>IF($C1057="B",INDEX(Batters[[#All],[T]],MATCH(Table5[[#This Row],[PID]],Batters[[#All],[PID]],0)),INDEX(Table3[[#All],[T]],MATCH(Table5[[#This Row],[PID]],Table3[[#All],[PID]],0)))</f>
        <v>R</v>
      </c>
      <c r="J1057" s="52" t="str">
        <f>IF($C1057="B",INDEX(Batters[[#All],[WE]],MATCH(Table5[[#This Row],[PID]],Batters[[#All],[PID]],0)),INDEX(Table3[[#All],[WE]],MATCH(Table5[[#This Row],[PID]],Table3[[#All],[PID]],0)))</f>
        <v>Normal</v>
      </c>
      <c r="K1057" s="52" t="str">
        <f>IF($C1057="B",INDEX(Batters[[#All],[INT]],MATCH(Table5[[#This Row],[PID]],Batters[[#All],[PID]],0)),INDEX(Table3[[#All],[INT]],MATCH(Table5[[#This Row],[PID]],Table3[[#All],[PID]],0)))</f>
        <v>Normal</v>
      </c>
      <c r="L1057" s="60">
        <f>IF($C1057="B",INDEX(Batters[[#All],[CON P]],MATCH(Table5[[#This Row],[PID]],Batters[[#All],[PID]],0)),INDEX(Table3[[#All],[STU P]],MATCH(Table5[[#This Row],[PID]],Table3[[#All],[PID]],0)))</f>
        <v>4</v>
      </c>
      <c r="M1057" s="56">
        <f>IF($C1057="B",INDEX(Batters[[#All],[GAP P]],MATCH(Table5[[#This Row],[PID]],Batters[[#All],[PID]],0)),INDEX(Table3[[#All],[MOV P]],MATCH(Table5[[#This Row],[PID]],Table3[[#All],[PID]],0)))</f>
        <v>1</v>
      </c>
      <c r="N1057" s="56">
        <f>IF($C1057="B",INDEX(Batters[[#All],[POW P]],MATCH(Table5[[#This Row],[PID]],Batters[[#All],[PID]],0)),INDEX(Table3[[#All],[CON P]],MATCH(Table5[[#This Row],[PID]],Table3[[#All],[PID]],0)))</f>
        <v>3</v>
      </c>
      <c r="O1057" s="56" t="str">
        <f>IF($C1057="B",INDEX(Batters[[#All],[EYE P]],MATCH(Table5[[#This Row],[PID]],Batters[[#All],[PID]],0)),INDEX(Table3[[#All],[VELO]],MATCH(Table5[[#This Row],[PID]],Table3[[#All],[PID]],0)))</f>
        <v>87-89 Mph</v>
      </c>
      <c r="P1057" s="56">
        <f>IF($C1057="B",INDEX(Batters[[#All],[K P]],MATCH(Table5[[#This Row],[PID]],Batters[[#All],[PID]],0)),INDEX(Table3[[#All],[STM]],MATCH(Table5[[#This Row],[PID]],Table3[[#All],[PID]],0)))</f>
        <v>8</v>
      </c>
      <c r="Q1057" s="61">
        <f>IF($C1057="B",INDEX(Batters[[#All],[Tot]],MATCH(Table5[[#This Row],[PID]],Batters[[#All],[PID]],0)),INDEX(Table3[[#All],[Tot]],MATCH(Table5[[#This Row],[PID]],Table3[[#All],[PID]],0)))</f>
        <v>24.840556163525264</v>
      </c>
      <c r="R1057" s="52">
        <f>IF($C1057="B",INDEX(Batters[[#All],[zScore]],MATCH(Table5[[#This Row],[PID]],Batters[[#All],[PID]],0)),INDEX(Table3[[#All],[zScore]],MATCH(Table5[[#This Row],[PID]],Table3[[#All],[PID]],0)))</f>
        <v>-0.73380704108701234</v>
      </c>
      <c r="S1057" s="58" t="str">
        <f>IF($C1057="B",INDEX(Batters[[#All],[DEM]],MATCH(Table5[[#This Row],[PID]],Batters[[#All],[PID]],0)),INDEX(Table3[[#All],[DEM]],MATCH(Table5[[#This Row],[PID]],Table3[[#All],[PID]],0)))</f>
        <v>$20k</v>
      </c>
      <c r="T1057" s="62">
        <f>IF($C1057="B",INDEX(Batters[[#All],[Rnk]],MATCH(Table5[[#This Row],[PID]],Batters[[#All],[PID]],0)),INDEX(Table3[[#All],[Rnk]],MATCH(Table5[[#This Row],[PID]],Table3[[#All],[PID]],0)))</f>
        <v>612</v>
      </c>
      <c r="U1057" s="68">
        <f>IF($C1057="B",VLOOKUP($A1057,Bat!$A$4:$BA$1621,47,FALSE),VLOOKUP($A1057,Pit!$A$4:$BF$1557,56,FALSE))</f>
        <v>0</v>
      </c>
      <c r="V1057" s="50">
        <f>IF($C1057="B",VLOOKUP($A1057,Bat!$A$4:$BA$1621,48,FALSE),VLOOKUP($A1057,Pit!$A$4:$BF$1557,57,FALSE))</f>
        <v>0</v>
      </c>
      <c r="W1057" s="50">
        <f>Table5[[#This Row],[posRnk]]+Table5[[#This Row],[zRnk]]+IF($W$3&lt;&gt;Table5[[#This Row],[Type]],50,0)</f>
        <v>1663</v>
      </c>
      <c r="X1057" s="51">
        <f>RANK(Table5[[#This Row],[zScore]],Table5[[#All],[zScore]])</f>
        <v>1001</v>
      </c>
      <c r="Y1057" s="50" t="str">
        <f>IFERROR(INDEX(DraftResults[[#All],[OVR]],MATCH(Table5[[#This Row],[PID]],DraftResults[[#All],[Player ID]],0)),"")</f>
        <v/>
      </c>
      <c r="Z10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7" s="50" t="str">
        <f>IFERROR(INDEX(DraftResults[[#All],[Pick in Round]],MATCH(Table5[[#This Row],[PID]],DraftResults[[#All],[Player ID]],0)),"")</f>
        <v/>
      </c>
      <c r="AB1057" s="50" t="str">
        <f>IFERROR(INDEX(DraftResults[[#All],[Team Name]],MATCH(Table5[[#This Row],[PID]],DraftResults[[#All],[Player ID]],0)),"")</f>
        <v/>
      </c>
      <c r="AC1057" s="50" t="str">
        <f>IF(Table5[[#This Row],[Ovr]]="","",IF(Table5[[#This Row],[cmbList]]="","",Table5[[#This Row],[cmbList]]-Table5[[#This Row],[Ovr]]))</f>
        <v/>
      </c>
      <c r="AD1057" s="54" t="str">
        <f>IF(ISERROR(VLOOKUP($AB1057&amp;"-"&amp;$E1057&amp;" "&amp;F1057,Bonuses!$B$1:$G$1006,4,FALSE)),"",INT(VLOOKUP($AB1057&amp;"-"&amp;$E1057&amp;" "&amp;$F1057,Bonuses!$B$1:$G$1006,4,FALSE)))</f>
        <v/>
      </c>
      <c r="AE10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8" spans="1:31" s="50" customFormat="1" x14ac:dyDescent="0.25">
      <c r="A1058" s="50">
        <v>17960</v>
      </c>
      <c r="B1058" s="50">
        <f>COUNTIF(Table5[PID],A1058)</f>
        <v>1</v>
      </c>
      <c r="C1058" s="50" t="str">
        <f>IF(COUNTIF(Table3[[#All],[PID]],A1058)&gt;0,"P","B")</f>
        <v>P</v>
      </c>
      <c r="D1058" s="59" t="str">
        <f>IF($C1058="B",INDEX(Batters[[#All],[POS]],MATCH(Table5[[#This Row],[PID]],Batters[[#All],[PID]],0)),INDEX(Table3[[#All],[POS]],MATCH(Table5[[#This Row],[PID]],Table3[[#All],[PID]],0)))</f>
        <v>RP</v>
      </c>
      <c r="E1058" s="52" t="str">
        <f>IF($C1058="B",INDEX(Batters[[#All],[First]],MATCH(Table5[[#This Row],[PID]],Batters[[#All],[PID]],0)),INDEX(Table3[[#All],[First]],MATCH(Table5[[#This Row],[PID]],Table3[[#All],[PID]],0)))</f>
        <v>Paul</v>
      </c>
      <c r="F1058" s="50" t="str">
        <f>IF($C1058="B",INDEX(Batters[[#All],[Last]],MATCH(A1058,Batters[[#All],[PID]],0)),INDEX(Table3[[#All],[Last]],MATCH(A1058,Table3[[#All],[PID]],0)))</f>
        <v>Clark</v>
      </c>
      <c r="G1058" s="56">
        <f>IF($C1058="B",INDEX(Batters[[#All],[Age]],MATCH(Table5[[#This Row],[PID]],Batters[[#All],[PID]],0)),INDEX(Table3[[#All],[Age]],MATCH(Table5[[#This Row],[PID]],Table3[[#All],[PID]],0)))</f>
        <v>21</v>
      </c>
      <c r="H1058" s="52" t="str">
        <f>IF($C1058="B",INDEX(Batters[[#All],[B]],MATCH(Table5[[#This Row],[PID]],Batters[[#All],[PID]],0)),INDEX(Table3[[#All],[B]],MATCH(Table5[[#This Row],[PID]],Table3[[#All],[PID]],0)))</f>
        <v>L</v>
      </c>
      <c r="I1058" s="52" t="str">
        <f>IF($C1058="B",INDEX(Batters[[#All],[T]],MATCH(Table5[[#This Row],[PID]],Batters[[#All],[PID]],0)),INDEX(Table3[[#All],[T]],MATCH(Table5[[#This Row],[PID]],Table3[[#All],[PID]],0)))</f>
        <v>L</v>
      </c>
      <c r="J1058" s="52" t="str">
        <f>IF($C1058="B",INDEX(Batters[[#All],[WE]],MATCH(Table5[[#This Row],[PID]],Batters[[#All],[PID]],0)),INDEX(Table3[[#All],[WE]],MATCH(Table5[[#This Row],[PID]],Table3[[#All],[PID]],0)))</f>
        <v>Low</v>
      </c>
      <c r="K1058" s="52" t="str">
        <f>IF($C1058="B",INDEX(Batters[[#All],[INT]],MATCH(Table5[[#This Row],[PID]],Batters[[#All],[PID]],0)),INDEX(Table3[[#All],[INT]],MATCH(Table5[[#This Row],[PID]],Table3[[#All],[PID]],0)))</f>
        <v>High</v>
      </c>
      <c r="L1058" s="60">
        <f>IF($C1058="B",INDEX(Batters[[#All],[CON P]],MATCH(Table5[[#This Row],[PID]],Batters[[#All],[PID]],0)),INDEX(Table3[[#All],[STU P]],MATCH(Table5[[#This Row],[PID]],Table3[[#All],[PID]],0)))</f>
        <v>3</v>
      </c>
      <c r="M1058" s="56">
        <f>IF($C1058="B",INDEX(Batters[[#All],[GAP P]],MATCH(Table5[[#This Row],[PID]],Batters[[#All],[PID]],0)),INDEX(Table3[[#All],[MOV P]],MATCH(Table5[[#This Row],[PID]],Table3[[#All],[PID]],0)))</f>
        <v>2</v>
      </c>
      <c r="N1058" s="56">
        <f>IF($C1058="B",INDEX(Batters[[#All],[POW P]],MATCH(Table5[[#This Row],[PID]],Batters[[#All],[PID]],0)),INDEX(Table3[[#All],[CON P]],MATCH(Table5[[#This Row],[PID]],Table3[[#All],[PID]],0)))</f>
        <v>3</v>
      </c>
      <c r="O1058" s="56" t="str">
        <f>IF($C1058="B",INDEX(Batters[[#All],[EYE P]],MATCH(Table5[[#This Row],[PID]],Batters[[#All],[PID]],0)),INDEX(Table3[[#All],[VELO]],MATCH(Table5[[#This Row],[PID]],Table3[[#All],[PID]],0)))</f>
        <v>87-89 Mph</v>
      </c>
      <c r="P1058" s="56">
        <f>IF($C1058="B",INDEX(Batters[[#All],[K P]],MATCH(Table5[[#This Row],[PID]],Batters[[#All],[PID]],0)),INDEX(Table3[[#All],[STM]],MATCH(Table5[[#This Row],[PID]],Table3[[#All],[PID]],0)))</f>
        <v>8</v>
      </c>
      <c r="Q1058" s="61">
        <f>IF($C1058="B",INDEX(Batters[[#All],[Tot]],MATCH(Table5[[#This Row],[PID]],Batters[[#All],[PID]],0)),INDEX(Table3[[#All],[Tot]],MATCH(Table5[[#This Row],[PID]],Table3[[#All],[PID]],0)))</f>
        <v>24.807047967116265</v>
      </c>
      <c r="R1058" s="52">
        <f>IF($C1058="B",INDEX(Batters[[#All],[zScore]],MATCH(Table5[[#This Row],[PID]],Batters[[#All],[PID]],0)),INDEX(Table3[[#All],[zScore]],MATCH(Table5[[#This Row],[PID]],Table3[[#All],[PID]],0)))</f>
        <v>-0.73603629018993189</v>
      </c>
      <c r="S1058" s="58" t="str">
        <f>IF($C1058="B",INDEX(Batters[[#All],[DEM]],MATCH(Table5[[#This Row],[PID]],Batters[[#All],[PID]],0)),INDEX(Table3[[#All],[DEM]],MATCH(Table5[[#This Row],[PID]],Table3[[#All],[PID]],0)))</f>
        <v>-</v>
      </c>
      <c r="T1058" s="62">
        <f>IF($C1058="B",INDEX(Batters[[#All],[Rnk]],MATCH(Table5[[#This Row],[PID]],Batters[[#All],[PID]],0)),INDEX(Table3[[#All],[Rnk]],MATCH(Table5[[#This Row],[PID]],Table3[[#All],[PID]],0)))</f>
        <v>613</v>
      </c>
      <c r="U1058" s="68">
        <f>IF($C1058="B",VLOOKUP($A1058,Bat!$A$4:$BA$1621,47,FALSE),VLOOKUP($A1058,Pit!$A$4:$BF$1557,56,FALSE))</f>
        <v>0</v>
      </c>
      <c r="V1058" s="50">
        <f>IF($C1058="B",VLOOKUP($A1058,Bat!$A$4:$BA$1621,48,FALSE),VLOOKUP($A1058,Pit!$A$4:$BF$1557,57,FALSE))</f>
        <v>0</v>
      </c>
      <c r="W1058" s="50">
        <f>Table5[[#This Row],[posRnk]]+Table5[[#This Row],[zRnk]]+IF($W$3&lt;&gt;Table5[[#This Row],[Type]],50,0)</f>
        <v>1665</v>
      </c>
      <c r="X1058" s="51">
        <f>RANK(Table5[[#This Row],[zScore]],Table5[[#All],[zScore]])</f>
        <v>1002</v>
      </c>
      <c r="Y1058" s="50" t="str">
        <f>IFERROR(INDEX(DraftResults[[#All],[OVR]],MATCH(Table5[[#This Row],[PID]],DraftResults[[#All],[Player ID]],0)),"")</f>
        <v/>
      </c>
      <c r="Z10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8" s="50" t="str">
        <f>IFERROR(INDEX(DraftResults[[#All],[Pick in Round]],MATCH(Table5[[#This Row],[PID]],DraftResults[[#All],[Player ID]],0)),"")</f>
        <v/>
      </c>
      <c r="AB1058" s="50" t="str">
        <f>IFERROR(INDEX(DraftResults[[#All],[Team Name]],MATCH(Table5[[#This Row],[PID]],DraftResults[[#All],[Player ID]],0)),"")</f>
        <v/>
      </c>
      <c r="AC1058" s="50" t="str">
        <f>IF(Table5[[#This Row],[Ovr]]="","",IF(Table5[[#This Row],[cmbList]]="","",Table5[[#This Row],[cmbList]]-Table5[[#This Row],[Ovr]]))</f>
        <v/>
      </c>
      <c r="AD1058" s="54" t="str">
        <f>IF(ISERROR(VLOOKUP($AB1058&amp;"-"&amp;$E1058&amp;" "&amp;F1058,Bonuses!$B$1:$G$1006,4,FALSE)),"",INT(VLOOKUP($AB1058&amp;"-"&amp;$E1058&amp;" "&amp;$F1058,Bonuses!$B$1:$G$1006,4,FALSE)))</f>
        <v/>
      </c>
      <c r="AE10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59" spans="1:31" s="50" customFormat="1" x14ac:dyDescent="0.25">
      <c r="A1059" s="50">
        <v>18269</v>
      </c>
      <c r="B1059" s="50">
        <f>COUNTIF(Table5[PID],A1059)</f>
        <v>1</v>
      </c>
      <c r="C1059" s="50" t="str">
        <f>IF(COUNTIF(Table3[[#All],[PID]],A1059)&gt;0,"P","B")</f>
        <v>B</v>
      </c>
      <c r="D1059" s="59" t="str">
        <f>IF($C1059="B",INDEX(Batters[[#All],[POS]],MATCH(Table5[[#This Row],[PID]],Batters[[#All],[PID]],0)),INDEX(Table3[[#All],[POS]],MATCH(Table5[[#This Row],[PID]],Table3[[#All],[PID]],0)))</f>
        <v>1B</v>
      </c>
      <c r="E1059" s="52" t="str">
        <f>IF($C1059="B",INDEX(Batters[[#All],[First]],MATCH(Table5[[#This Row],[PID]],Batters[[#All],[PID]],0)),INDEX(Table3[[#All],[First]],MATCH(Table5[[#This Row],[PID]],Table3[[#All],[PID]],0)))</f>
        <v>Richard</v>
      </c>
      <c r="F1059" s="50" t="str">
        <f>IF($C1059="B",INDEX(Batters[[#All],[Last]],MATCH(A1059,Batters[[#All],[PID]],0)),INDEX(Table3[[#All],[Last]],MATCH(A1059,Table3[[#All],[PID]],0)))</f>
        <v>Davis</v>
      </c>
      <c r="G1059" s="56">
        <f>IF($C1059="B",INDEX(Batters[[#All],[Age]],MATCH(Table5[[#This Row],[PID]],Batters[[#All],[PID]],0)),INDEX(Table3[[#All],[Age]],MATCH(Table5[[#This Row],[PID]],Table3[[#All],[PID]],0)))</f>
        <v>18</v>
      </c>
      <c r="H1059" s="52" t="str">
        <f>IF($C1059="B",INDEX(Batters[[#All],[B]],MATCH(Table5[[#This Row],[PID]],Batters[[#All],[PID]],0)),INDEX(Table3[[#All],[B]],MATCH(Table5[[#This Row],[PID]],Table3[[#All],[PID]],0)))</f>
        <v>S</v>
      </c>
      <c r="I1059" s="52" t="str">
        <f>IF($C1059="B",INDEX(Batters[[#All],[T]],MATCH(Table5[[#This Row],[PID]],Batters[[#All],[PID]],0)),INDEX(Table3[[#All],[T]],MATCH(Table5[[#This Row],[PID]],Table3[[#All],[PID]],0)))</f>
        <v>R</v>
      </c>
      <c r="J1059" s="52" t="str">
        <f>IF($C1059="B",INDEX(Batters[[#All],[WE]],MATCH(Table5[[#This Row],[PID]],Batters[[#All],[PID]],0)),INDEX(Table3[[#All],[WE]],MATCH(Table5[[#This Row],[PID]],Table3[[#All],[PID]],0)))</f>
        <v>Normal</v>
      </c>
      <c r="K1059" s="52" t="str">
        <f>IF($C1059="B",INDEX(Batters[[#All],[INT]],MATCH(Table5[[#This Row],[PID]],Batters[[#All],[PID]],0)),INDEX(Table3[[#All],[INT]],MATCH(Table5[[#This Row],[PID]],Table3[[#All],[PID]],0)))</f>
        <v>High</v>
      </c>
      <c r="L1059" s="60">
        <f>IF($C1059="B",INDEX(Batters[[#All],[CON P]],MATCH(Table5[[#This Row],[PID]],Batters[[#All],[PID]],0)),INDEX(Table3[[#All],[STU P]],MATCH(Table5[[#This Row],[PID]],Table3[[#All],[PID]],0)))</f>
        <v>3</v>
      </c>
      <c r="M1059" s="56">
        <f>IF($C1059="B",INDEX(Batters[[#All],[GAP P]],MATCH(Table5[[#This Row],[PID]],Batters[[#All],[PID]],0)),INDEX(Table3[[#All],[MOV P]],MATCH(Table5[[#This Row],[PID]],Table3[[#All],[PID]],0)))</f>
        <v>3</v>
      </c>
      <c r="N1059" s="56">
        <f>IF($C1059="B",INDEX(Batters[[#All],[POW P]],MATCH(Table5[[#This Row],[PID]],Batters[[#All],[PID]],0)),INDEX(Table3[[#All],[CON P]],MATCH(Table5[[#This Row],[PID]],Table3[[#All],[PID]],0)))</f>
        <v>2</v>
      </c>
      <c r="O1059" s="56">
        <f>IF($C1059="B",INDEX(Batters[[#All],[EYE P]],MATCH(Table5[[#This Row],[PID]],Batters[[#All],[PID]],0)),INDEX(Table3[[#All],[VELO]],MATCH(Table5[[#This Row],[PID]],Table3[[#All],[PID]],0)))</f>
        <v>5</v>
      </c>
      <c r="P1059" s="56">
        <f>IF($C1059="B",INDEX(Batters[[#All],[K P]],MATCH(Table5[[#This Row],[PID]],Batters[[#All],[PID]],0)),INDEX(Table3[[#All],[STM]],MATCH(Table5[[#This Row],[PID]],Table3[[#All],[PID]],0)))</f>
        <v>4</v>
      </c>
      <c r="Q1059" s="61">
        <f>IF($C1059="B",INDEX(Batters[[#All],[Tot]],MATCH(Table5[[#This Row],[PID]],Batters[[#All],[PID]],0)),INDEX(Table3[[#All],[Tot]],MATCH(Table5[[#This Row],[PID]],Table3[[#All],[PID]],0)))</f>
        <v>40.811990301326389</v>
      </c>
      <c r="R1059" s="52">
        <f>IF($C1059="B",INDEX(Batters[[#All],[zScore]],MATCH(Table5[[#This Row],[PID]],Batters[[#All],[PID]],0)),INDEX(Table3[[#All],[zScore]],MATCH(Table5[[#This Row],[PID]],Table3[[#All],[PID]],0)))</f>
        <v>-0.73605522725759154</v>
      </c>
      <c r="S1059" s="58" t="str">
        <f>IF($C1059="B",INDEX(Batters[[#All],[DEM]],MATCH(Table5[[#This Row],[PID]],Batters[[#All],[PID]],0)),INDEX(Table3[[#All],[DEM]],MATCH(Table5[[#This Row],[PID]],Table3[[#All],[PID]],0)))</f>
        <v>$65k</v>
      </c>
      <c r="T1059" s="62">
        <f>IF($C1059="B",INDEX(Batters[[#All],[Rnk]],MATCH(Table5[[#This Row],[PID]],Batters[[#All],[PID]],0)),INDEX(Table3[[#All],[Rnk]],MATCH(Table5[[#This Row],[PID]],Table3[[#All],[PID]],0)))</f>
        <v>389</v>
      </c>
      <c r="U1059" s="68">
        <f>IF($C1059="B",VLOOKUP($A1059,Bat!$A$4:$BA$1621,47,FALSE),VLOOKUP($A1059,Pit!$A$4:$BF$1557,56,FALSE))</f>
        <v>0</v>
      </c>
      <c r="V1059" s="50">
        <f>IF($C1059="B",VLOOKUP($A1059,Bat!$A$4:$BA$1621,48,FALSE),VLOOKUP($A1059,Pit!$A$4:$BF$1557,57,FALSE))</f>
        <v>0</v>
      </c>
      <c r="W1059" s="50">
        <f>Table5[[#This Row],[posRnk]]+Table5[[#This Row],[zRnk]]+IF($W$3&lt;&gt;Table5[[#This Row],[Type]],50,0)</f>
        <v>1442</v>
      </c>
      <c r="X1059" s="51">
        <f>RANK(Table5[[#This Row],[zScore]],Table5[[#All],[zScore]])</f>
        <v>1003</v>
      </c>
      <c r="Y1059" s="50" t="str">
        <f>IFERROR(INDEX(DraftResults[[#All],[OVR]],MATCH(Table5[[#This Row],[PID]],DraftResults[[#All],[Player ID]],0)),"")</f>
        <v/>
      </c>
      <c r="Z10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59" s="50" t="str">
        <f>IFERROR(INDEX(DraftResults[[#All],[Pick in Round]],MATCH(Table5[[#This Row],[PID]],DraftResults[[#All],[Player ID]],0)),"")</f>
        <v/>
      </c>
      <c r="AB1059" s="50" t="str">
        <f>IFERROR(INDEX(DraftResults[[#All],[Team Name]],MATCH(Table5[[#This Row],[PID]],DraftResults[[#All],[Player ID]],0)),"")</f>
        <v/>
      </c>
      <c r="AC1059" s="50" t="str">
        <f>IF(Table5[[#This Row],[Ovr]]="","",IF(Table5[[#This Row],[cmbList]]="","",Table5[[#This Row],[cmbList]]-Table5[[#This Row],[Ovr]]))</f>
        <v/>
      </c>
      <c r="AD1059" s="54" t="str">
        <f>IF(ISERROR(VLOOKUP($AB1059&amp;"-"&amp;$E1059&amp;" "&amp;F1059,Bonuses!$B$1:$G$1006,4,FALSE)),"",INT(VLOOKUP($AB1059&amp;"-"&amp;$E1059&amp;" "&amp;$F1059,Bonuses!$B$1:$G$1006,4,FALSE)))</f>
        <v/>
      </c>
      <c r="AE10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0" spans="1:31" s="50" customFormat="1" x14ac:dyDescent="0.25">
      <c r="A1060" s="50">
        <v>20581</v>
      </c>
      <c r="B1060" s="50">
        <f>COUNTIF(Table5[PID],A1060)</f>
        <v>1</v>
      </c>
      <c r="C1060" s="50" t="str">
        <f>IF(COUNTIF(Table3[[#All],[PID]],A1060)&gt;0,"P","B")</f>
        <v>P</v>
      </c>
      <c r="D1060" s="59" t="str">
        <f>IF($C1060="B",INDEX(Batters[[#All],[POS]],MATCH(Table5[[#This Row],[PID]],Batters[[#All],[PID]],0)),INDEX(Table3[[#All],[POS]],MATCH(Table5[[#This Row],[PID]],Table3[[#All],[PID]],0)))</f>
        <v>RP</v>
      </c>
      <c r="E1060" s="52" t="str">
        <f>IF($C1060="B",INDEX(Batters[[#All],[First]],MATCH(Table5[[#This Row],[PID]],Batters[[#All],[PID]],0)),INDEX(Table3[[#All],[First]],MATCH(Table5[[#This Row],[PID]],Table3[[#All],[PID]],0)))</f>
        <v>Decheng</v>
      </c>
      <c r="F1060" s="50" t="str">
        <f>IF($C1060="B",INDEX(Batters[[#All],[Last]],MATCH(A1060,Batters[[#All],[PID]],0)),INDEX(Table3[[#All],[Last]],MATCH(A1060,Table3[[#All],[PID]],0)))</f>
        <v>Zhi</v>
      </c>
      <c r="G1060" s="56">
        <f>IF($C1060="B",INDEX(Batters[[#All],[Age]],MATCH(Table5[[#This Row],[PID]],Batters[[#All],[PID]],0)),INDEX(Table3[[#All],[Age]],MATCH(Table5[[#This Row],[PID]],Table3[[#All],[PID]],0)))</f>
        <v>17</v>
      </c>
      <c r="H1060" s="52" t="str">
        <f>IF($C1060="B",INDEX(Batters[[#All],[B]],MATCH(Table5[[#This Row],[PID]],Batters[[#All],[PID]],0)),INDEX(Table3[[#All],[B]],MATCH(Table5[[#This Row],[PID]],Table3[[#All],[PID]],0)))</f>
        <v>L</v>
      </c>
      <c r="I1060" s="52" t="str">
        <f>IF($C1060="B",INDEX(Batters[[#All],[T]],MATCH(Table5[[#This Row],[PID]],Batters[[#All],[PID]],0)),INDEX(Table3[[#All],[T]],MATCH(Table5[[#This Row],[PID]],Table3[[#All],[PID]],0)))</f>
        <v>L</v>
      </c>
      <c r="J1060" s="52" t="str">
        <f>IF($C1060="B",INDEX(Batters[[#All],[WE]],MATCH(Table5[[#This Row],[PID]],Batters[[#All],[PID]],0)),INDEX(Table3[[#All],[WE]],MATCH(Table5[[#This Row],[PID]],Table3[[#All],[PID]],0)))</f>
        <v>Low</v>
      </c>
      <c r="K1060" s="52" t="str">
        <f>IF($C1060="B",INDEX(Batters[[#All],[INT]],MATCH(Table5[[#This Row],[PID]],Batters[[#All],[PID]],0)),INDEX(Table3[[#All],[INT]],MATCH(Table5[[#This Row],[PID]],Table3[[#All],[PID]],0)))</f>
        <v>Normal</v>
      </c>
      <c r="L1060" s="60">
        <f>IF($C1060="B",INDEX(Batters[[#All],[CON P]],MATCH(Table5[[#This Row],[PID]],Batters[[#All],[PID]],0)),INDEX(Table3[[#All],[STU P]],MATCH(Table5[[#This Row],[PID]],Table3[[#All],[PID]],0)))</f>
        <v>5</v>
      </c>
      <c r="M1060" s="56">
        <f>IF($C1060="B",INDEX(Batters[[#All],[GAP P]],MATCH(Table5[[#This Row],[PID]],Batters[[#All],[PID]],0)),INDEX(Table3[[#All],[MOV P]],MATCH(Table5[[#This Row],[PID]],Table3[[#All],[PID]],0)))</f>
        <v>1</v>
      </c>
      <c r="N1060" s="56">
        <f>IF($C1060="B",INDEX(Batters[[#All],[POW P]],MATCH(Table5[[#This Row],[PID]],Batters[[#All],[PID]],0)),INDEX(Table3[[#All],[CON P]],MATCH(Table5[[#This Row],[PID]],Table3[[#All],[PID]],0)))</f>
        <v>3</v>
      </c>
      <c r="O1060" s="56" t="str">
        <f>IF($C1060="B",INDEX(Batters[[#All],[EYE P]],MATCH(Table5[[#This Row],[PID]],Batters[[#All],[PID]],0)),INDEX(Table3[[#All],[VELO]],MATCH(Table5[[#This Row],[PID]],Table3[[#All],[PID]],0)))</f>
        <v>89-91 Mph</v>
      </c>
      <c r="P1060" s="56">
        <f>IF($C1060="B",INDEX(Batters[[#All],[K P]],MATCH(Table5[[#This Row],[PID]],Batters[[#All],[PID]],0)),INDEX(Table3[[#All],[STM]],MATCH(Table5[[#This Row],[PID]],Table3[[#All],[PID]],0)))</f>
        <v>8</v>
      </c>
      <c r="Q1060" s="61">
        <f>IF($C1060="B",INDEX(Batters[[#All],[Tot]],MATCH(Table5[[#This Row],[PID]],Batters[[#All],[PID]],0)),INDEX(Table3[[#All],[Tot]],MATCH(Table5[[#This Row],[PID]],Table3[[#All],[PID]],0)))</f>
        <v>26.596980275596078</v>
      </c>
      <c r="R1060" s="52">
        <f>IF($C1060="B",INDEX(Batters[[#All],[zScore]],MATCH(Table5[[#This Row],[PID]],Batters[[#All],[PID]],0)),INDEX(Table3[[#All],[zScore]],MATCH(Table5[[#This Row],[PID]],Table3[[#All],[PID]],0)))</f>
        <v>-0.73683057044908129</v>
      </c>
      <c r="S1060" s="58" t="str">
        <f>IF($C1060="B",INDEX(Batters[[#All],[DEM]],MATCH(Table5[[#This Row],[PID]],Batters[[#All],[PID]],0)),INDEX(Table3[[#All],[DEM]],MATCH(Table5[[#This Row],[PID]],Table3[[#All],[PID]],0)))</f>
        <v>$110k</v>
      </c>
      <c r="T1060" s="62">
        <f>IF($C1060="B",INDEX(Batters[[#All],[Rnk]],MATCH(Table5[[#This Row],[PID]],Batters[[#All],[PID]],0)),INDEX(Table3[[#All],[Rnk]],MATCH(Table5[[#This Row],[PID]],Table3[[#All],[PID]],0)))</f>
        <v>614</v>
      </c>
      <c r="U1060" s="68">
        <f>IF($C1060="B",VLOOKUP($A1060,Bat!$A$4:$BA$1621,47,FALSE),VLOOKUP($A1060,Pit!$A$4:$BF$1557,56,FALSE))</f>
        <v>0</v>
      </c>
      <c r="V1060" s="50">
        <f>IF($C1060="B",VLOOKUP($A1060,Bat!$A$4:$BA$1621,48,FALSE),VLOOKUP($A1060,Pit!$A$4:$BF$1557,57,FALSE))</f>
        <v>0</v>
      </c>
      <c r="W1060" s="50">
        <f>Table5[[#This Row],[posRnk]]+Table5[[#This Row],[zRnk]]+IF($W$3&lt;&gt;Table5[[#This Row],[Type]],50,0)</f>
        <v>1668</v>
      </c>
      <c r="X1060" s="51">
        <f>RANK(Table5[[#This Row],[zScore]],Table5[[#All],[zScore]])</f>
        <v>1004</v>
      </c>
      <c r="Y1060" s="50" t="str">
        <f>IFERROR(INDEX(DraftResults[[#All],[OVR]],MATCH(Table5[[#This Row],[PID]],DraftResults[[#All],[Player ID]],0)),"")</f>
        <v/>
      </c>
      <c r="Z10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0" s="50" t="str">
        <f>IFERROR(INDEX(DraftResults[[#All],[Pick in Round]],MATCH(Table5[[#This Row],[PID]],DraftResults[[#All],[Player ID]],0)),"")</f>
        <v/>
      </c>
      <c r="AB1060" s="50" t="str">
        <f>IFERROR(INDEX(DraftResults[[#All],[Team Name]],MATCH(Table5[[#This Row],[PID]],DraftResults[[#All],[Player ID]],0)),"")</f>
        <v/>
      </c>
      <c r="AC1060" s="50" t="str">
        <f>IF(Table5[[#This Row],[Ovr]]="","",IF(Table5[[#This Row],[cmbList]]="","",Table5[[#This Row],[cmbList]]-Table5[[#This Row],[Ovr]]))</f>
        <v/>
      </c>
      <c r="AD1060" s="54" t="str">
        <f>IF(ISERROR(VLOOKUP($AB1060&amp;"-"&amp;$E1060&amp;" "&amp;F1060,Bonuses!$B$1:$G$1006,4,FALSE)),"",INT(VLOOKUP($AB1060&amp;"-"&amp;$E1060&amp;" "&amp;$F1060,Bonuses!$B$1:$G$1006,4,FALSE)))</f>
        <v/>
      </c>
      <c r="AE10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1" spans="1:31" s="50" customFormat="1" x14ac:dyDescent="0.25">
      <c r="A1061" s="50">
        <v>20193</v>
      </c>
      <c r="B1061" s="50">
        <f>COUNTIF(Table5[PID],A1061)</f>
        <v>1</v>
      </c>
      <c r="C1061" s="50" t="str">
        <f>IF(COUNTIF(Table3[[#All],[PID]],A1061)&gt;0,"P","B")</f>
        <v>P</v>
      </c>
      <c r="D1061" s="59" t="str">
        <f>IF($C1061="B",INDEX(Batters[[#All],[POS]],MATCH(Table5[[#This Row],[PID]],Batters[[#All],[PID]],0)),INDEX(Table3[[#All],[POS]],MATCH(Table5[[#This Row],[PID]],Table3[[#All],[PID]],0)))</f>
        <v>RP</v>
      </c>
      <c r="E1061" s="52" t="str">
        <f>IF($C1061="B",INDEX(Batters[[#All],[First]],MATCH(Table5[[#This Row],[PID]],Batters[[#All],[PID]],0)),INDEX(Table3[[#All],[First]],MATCH(Table5[[#This Row],[PID]],Table3[[#All],[PID]],0)))</f>
        <v>Bernie</v>
      </c>
      <c r="F1061" s="50" t="str">
        <f>IF($C1061="B",INDEX(Batters[[#All],[Last]],MATCH(A1061,Batters[[#All],[PID]],0)),INDEX(Table3[[#All],[Last]],MATCH(A1061,Table3[[#All],[PID]],0)))</f>
        <v>Richards</v>
      </c>
      <c r="G1061" s="56">
        <f>IF($C1061="B",INDEX(Batters[[#All],[Age]],MATCH(Table5[[#This Row],[PID]],Batters[[#All],[PID]],0)),INDEX(Table3[[#All],[Age]],MATCH(Table5[[#This Row],[PID]],Table3[[#All],[PID]],0)))</f>
        <v>22</v>
      </c>
      <c r="H1061" s="52" t="str">
        <f>IF($C1061="B",INDEX(Batters[[#All],[B]],MATCH(Table5[[#This Row],[PID]],Batters[[#All],[PID]],0)),INDEX(Table3[[#All],[B]],MATCH(Table5[[#This Row],[PID]],Table3[[#All],[PID]],0)))</f>
        <v>R</v>
      </c>
      <c r="I1061" s="52" t="str">
        <f>IF($C1061="B",INDEX(Batters[[#All],[T]],MATCH(Table5[[#This Row],[PID]],Batters[[#All],[PID]],0)),INDEX(Table3[[#All],[T]],MATCH(Table5[[#This Row],[PID]],Table3[[#All],[PID]],0)))</f>
        <v>R</v>
      </c>
      <c r="J1061" s="52" t="str">
        <f>IF($C1061="B",INDEX(Batters[[#All],[WE]],MATCH(Table5[[#This Row],[PID]],Batters[[#All],[PID]],0)),INDEX(Table3[[#All],[WE]],MATCH(Table5[[#This Row],[PID]],Table3[[#All],[PID]],0)))</f>
        <v>Low</v>
      </c>
      <c r="K1061" s="52" t="str">
        <f>IF($C1061="B",INDEX(Batters[[#All],[INT]],MATCH(Table5[[#This Row],[PID]],Batters[[#All],[PID]],0)),INDEX(Table3[[#All],[INT]],MATCH(Table5[[#This Row],[PID]],Table3[[#All],[PID]],0)))</f>
        <v>Normal</v>
      </c>
      <c r="L1061" s="60">
        <f>IF($C1061="B",INDEX(Batters[[#All],[CON P]],MATCH(Table5[[#This Row],[PID]],Batters[[#All],[PID]],0)),INDEX(Table3[[#All],[STU P]],MATCH(Table5[[#This Row],[PID]],Table3[[#All],[PID]],0)))</f>
        <v>6</v>
      </c>
      <c r="M1061" s="56">
        <f>IF($C1061="B",INDEX(Batters[[#All],[GAP P]],MATCH(Table5[[#This Row],[PID]],Batters[[#All],[PID]],0)),INDEX(Table3[[#All],[MOV P]],MATCH(Table5[[#This Row],[PID]],Table3[[#All],[PID]],0)))</f>
        <v>1</v>
      </c>
      <c r="N1061" s="56">
        <f>IF($C1061="B",INDEX(Batters[[#All],[POW P]],MATCH(Table5[[#This Row],[PID]],Batters[[#All],[PID]],0)),INDEX(Table3[[#All],[CON P]],MATCH(Table5[[#This Row],[PID]],Table3[[#All],[PID]],0)))</f>
        <v>1</v>
      </c>
      <c r="O1061" s="56" t="str">
        <f>IF($C1061="B",INDEX(Batters[[#All],[EYE P]],MATCH(Table5[[#This Row],[PID]],Batters[[#All],[PID]],0)),INDEX(Table3[[#All],[VELO]],MATCH(Table5[[#This Row],[PID]],Table3[[#All],[PID]],0)))</f>
        <v>94-96 Mph</v>
      </c>
      <c r="P1061" s="56">
        <f>IF($C1061="B",INDEX(Batters[[#All],[K P]],MATCH(Table5[[#This Row],[PID]],Batters[[#All],[PID]],0)),INDEX(Table3[[#All],[STM]],MATCH(Table5[[#This Row],[PID]],Table3[[#All],[PID]],0)))</f>
        <v>5</v>
      </c>
      <c r="Q1061" s="61">
        <f>IF($C1061="B",INDEX(Batters[[#All],[Tot]],MATCH(Table5[[#This Row],[PID]],Batters[[#All],[PID]],0)),INDEX(Table3[[#All],[Tot]],MATCH(Table5[[#This Row],[PID]],Table3[[#All],[PID]],0)))</f>
        <v>24.678570918996694</v>
      </c>
      <c r="R1061" s="52">
        <f>IF($C1061="B",INDEX(Batters[[#All],[zScore]],MATCH(Table5[[#This Row],[PID]],Batters[[#All],[PID]],0)),INDEX(Table3[[#All],[zScore]],MATCH(Table5[[#This Row],[PID]],Table3[[#All],[PID]],0)))</f>
        <v>-0.74458367187441366</v>
      </c>
      <c r="S1061" s="58" t="str">
        <f>IF($C1061="B",INDEX(Batters[[#All],[DEM]],MATCH(Table5[[#This Row],[PID]],Batters[[#All],[PID]],0)),INDEX(Table3[[#All],[DEM]],MATCH(Table5[[#This Row],[PID]],Table3[[#All],[PID]],0)))</f>
        <v>-</v>
      </c>
      <c r="T1061" s="62">
        <f>IF($C1061="B",INDEX(Batters[[#All],[Rnk]],MATCH(Table5[[#This Row],[PID]],Batters[[#All],[PID]],0)),INDEX(Table3[[#All],[Rnk]],MATCH(Table5[[#This Row],[PID]],Table3[[#All],[PID]],0)))</f>
        <v>615</v>
      </c>
      <c r="U1061" s="68">
        <f>IF($C1061="B",VLOOKUP($A1061,Bat!$A$4:$BA$1621,47,FALSE),VLOOKUP($A1061,Pit!$A$4:$BF$1557,56,FALSE))</f>
        <v>0</v>
      </c>
      <c r="V1061" s="50">
        <f>IF($C1061="B",VLOOKUP($A1061,Bat!$A$4:$BA$1621,48,FALSE),VLOOKUP($A1061,Pit!$A$4:$BF$1557,57,FALSE))</f>
        <v>0</v>
      </c>
      <c r="W1061" s="50">
        <f>Table5[[#This Row],[posRnk]]+Table5[[#This Row],[zRnk]]+IF($W$3&lt;&gt;Table5[[#This Row],[Type]],50,0)</f>
        <v>1670</v>
      </c>
      <c r="X1061" s="51">
        <f>RANK(Table5[[#This Row],[zScore]],Table5[[#All],[zScore]])</f>
        <v>1005</v>
      </c>
      <c r="Y1061" s="50" t="str">
        <f>IFERROR(INDEX(DraftResults[[#All],[OVR]],MATCH(Table5[[#This Row],[PID]],DraftResults[[#All],[Player ID]],0)),"")</f>
        <v/>
      </c>
      <c r="Z10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1" s="50" t="str">
        <f>IFERROR(INDEX(DraftResults[[#All],[Pick in Round]],MATCH(Table5[[#This Row],[PID]],DraftResults[[#All],[Player ID]],0)),"")</f>
        <v/>
      </c>
      <c r="AB1061" s="50" t="str">
        <f>IFERROR(INDEX(DraftResults[[#All],[Team Name]],MATCH(Table5[[#This Row],[PID]],DraftResults[[#All],[Player ID]],0)),"")</f>
        <v/>
      </c>
      <c r="AC1061" s="50" t="str">
        <f>IF(Table5[[#This Row],[Ovr]]="","",IF(Table5[[#This Row],[cmbList]]="","",Table5[[#This Row],[cmbList]]-Table5[[#This Row],[Ovr]]))</f>
        <v/>
      </c>
      <c r="AD1061" s="54" t="str">
        <f>IF(ISERROR(VLOOKUP($AB1061&amp;"-"&amp;$E1061&amp;" "&amp;F1061,Bonuses!$B$1:$G$1006,4,FALSE)),"",INT(VLOOKUP($AB1061&amp;"-"&amp;$E1061&amp;" "&amp;$F1061,Bonuses!$B$1:$G$1006,4,FALSE)))</f>
        <v/>
      </c>
      <c r="AE10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2" spans="1:31" s="50" customFormat="1" x14ac:dyDescent="0.25">
      <c r="A1062" s="50">
        <v>12587</v>
      </c>
      <c r="B1062" s="50">
        <f>COUNTIF(Table5[PID],A1062)</f>
        <v>1</v>
      </c>
      <c r="C1062" s="50" t="str">
        <f>IF(COUNTIF(Table3[[#All],[PID]],A1062)&gt;0,"P","B")</f>
        <v>P</v>
      </c>
      <c r="D1062" s="59" t="str">
        <f>IF($C1062="B",INDEX(Batters[[#All],[POS]],MATCH(Table5[[#This Row],[PID]],Batters[[#All],[PID]],0)),INDEX(Table3[[#All],[POS]],MATCH(Table5[[#This Row],[PID]],Table3[[#All],[PID]],0)))</f>
        <v>RP</v>
      </c>
      <c r="E1062" s="52" t="str">
        <f>IF($C1062="B",INDEX(Batters[[#All],[First]],MATCH(Table5[[#This Row],[PID]],Batters[[#All],[PID]],0)),INDEX(Table3[[#All],[First]],MATCH(Table5[[#This Row],[PID]],Table3[[#All],[PID]],0)))</f>
        <v>Kuniaki</v>
      </c>
      <c r="F1062" s="50" t="str">
        <f>IF($C1062="B",INDEX(Batters[[#All],[Last]],MATCH(A1062,Batters[[#All],[PID]],0)),INDEX(Table3[[#All],[Last]],MATCH(A1062,Table3[[#All],[PID]],0)))</f>
        <v>Watanabe</v>
      </c>
      <c r="G1062" s="56">
        <f>IF($C1062="B",INDEX(Batters[[#All],[Age]],MATCH(Table5[[#This Row],[PID]],Batters[[#All],[PID]],0)),INDEX(Table3[[#All],[Age]],MATCH(Table5[[#This Row],[PID]],Table3[[#All],[PID]],0)))</f>
        <v>22</v>
      </c>
      <c r="H1062" s="52" t="str">
        <f>IF($C1062="B",INDEX(Batters[[#All],[B]],MATCH(Table5[[#This Row],[PID]],Batters[[#All],[PID]],0)),INDEX(Table3[[#All],[B]],MATCH(Table5[[#This Row],[PID]],Table3[[#All],[PID]],0)))</f>
        <v>L</v>
      </c>
      <c r="I1062" s="52" t="str">
        <f>IF($C1062="B",INDEX(Batters[[#All],[T]],MATCH(Table5[[#This Row],[PID]],Batters[[#All],[PID]],0)),INDEX(Table3[[#All],[T]],MATCH(Table5[[#This Row],[PID]],Table3[[#All],[PID]],0)))</f>
        <v>R</v>
      </c>
      <c r="J1062" s="52" t="str">
        <f>IF($C1062="B",INDEX(Batters[[#All],[WE]],MATCH(Table5[[#This Row],[PID]],Batters[[#All],[PID]],0)),INDEX(Table3[[#All],[WE]],MATCH(Table5[[#This Row],[PID]],Table3[[#All],[PID]],0)))</f>
        <v>Normal</v>
      </c>
      <c r="K1062" s="52" t="str">
        <f>IF($C1062="B",INDEX(Batters[[#All],[INT]],MATCH(Table5[[#This Row],[PID]],Batters[[#All],[PID]],0)),INDEX(Table3[[#All],[INT]],MATCH(Table5[[#This Row],[PID]],Table3[[#All],[PID]],0)))</f>
        <v>Normal</v>
      </c>
      <c r="L1062" s="60">
        <f>IF($C1062="B",INDEX(Batters[[#All],[CON P]],MATCH(Table5[[#This Row],[PID]],Batters[[#All],[PID]],0)),INDEX(Table3[[#All],[STU P]],MATCH(Table5[[#This Row],[PID]],Table3[[#All],[PID]],0)))</f>
        <v>3</v>
      </c>
      <c r="M1062" s="56">
        <f>IF($C1062="B",INDEX(Batters[[#All],[GAP P]],MATCH(Table5[[#This Row],[PID]],Batters[[#All],[PID]],0)),INDEX(Table3[[#All],[MOV P]],MATCH(Table5[[#This Row],[PID]],Table3[[#All],[PID]],0)))</f>
        <v>2</v>
      </c>
      <c r="N1062" s="56">
        <f>IF($C1062="B",INDEX(Batters[[#All],[POW P]],MATCH(Table5[[#This Row],[PID]],Batters[[#All],[PID]],0)),INDEX(Table3[[#All],[CON P]],MATCH(Table5[[#This Row],[PID]],Table3[[#All],[PID]],0)))</f>
        <v>3</v>
      </c>
      <c r="O1062" s="56" t="str">
        <f>IF($C1062="B",INDEX(Batters[[#All],[EYE P]],MATCH(Table5[[#This Row],[PID]],Batters[[#All],[PID]],0)),INDEX(Table3[[#All],[VELO]],MATCH(Table5[[#This Row],[PID]],Table3[[#All],[PID]],0)))</f>
        <v>86-88 Mph</v>
      </c>
      <c r="P1062" s="56">
        <f>IF($C1062="B",INDEX(Batters[[#All],[K P]],MATCH(Table5[[#This Row],[PID]],Batters[[#All],[PID]],0)),INDEX(Table3[[#All],[STM]],MATCH(Table5[[#This Row],[PID]],Table3[[#All],[PID]],0)))</f>
        <v>6</v>
      </c>
      <c r="Q1062" s="61">
        <f>IF($C1062="B",INDEX(Batters[[#All],[Tot]],MATCH(Table5[[#This Row],[PID]],Batters[[#All],[PID]],0)),INDEX(Table3[[#All],[Tot]],MATCH(Table5[[#This Row],[PID]],Table3[[#All],[PID]],0)))</f>
        <v>26.488668064402965</v>
      </c>
      <c r="R1062" s="52">
        <f>IF($C1062="B",INDEX(Batters[[#All],[zScore]],MATCH(Table5[[#This Row],[PID]],Batters[[#All],[PID]],0)),INDEX(Table3[[#All],[zScore]],MATCH(Table5[[#This Row],[PID]],Table3[[#All],[PID]],0)))</f>
        <v>-0.74466830908789272</v>
      </c>
      <c r="S1062" s="58" t="str">
        <f>IF($C1062="B",INDEX(Batters[[#All],[DEM]],MATCH(Table5[[#This Row],[PID]],Batters[[#All],[PID]],0)),INDEX(Table3[[#All],[DEM]],MATCH(Table5[[#This Row],[PID]],Table3[[#All],[PID]],0)))</f>
        <v>-</v>
      </c>
      <c r="T1062" s="62">
        <f>IF($C1062="B",INDEX(Batters[[#All],[Rnk]],MATCH(Table5[[#This Row],[PID]],Batters[[#All],[PID]],0)),INDEX(Table3[[#All],[Rnk]],MATCH(Table5[[#This Row],[PID]],Table3[[#All],[PID]],0)))</f>
        <v>616</v>
      </c>
      <c r="U1062" s="68">
        <f>IF($C1062="B",VLOOKUP($A1062,Bat!$A$4:$BA$1621,47,FALSE),VLOOKUP($A1062,Pit!$A$4:$BF$1557,56,FALSE))</f>
        <v>0</v>
      </c>
      <c r="V1062" s="50">
        <f>IF($C1062="B",VLOOKUP($A1062,Bat!$A$4:$BA$1621,48,FALSE),VLOOKUP($A1062,Pit!$A$4:$BF$1557,57,FALSE))</f>
        <v>0</v>
      </c>
      <c r="W1062" s="50">
        <f>Table5[[#This Row],[posRnk]]+Table5[[#This Row],[zRnk]]+IF($W$3&lt;&gt;Table5[[#This Row],[Type]],50,0)</f>
        <v>1672</v>
      </c>
      <c r="X1062" s="51">
        <f>RANK(Table5[[#This Row],[zScore]],Table5[[#All],[zScore]])</f>
        <v>1006</v>
      </c>
      <c r="Y1062" s="50" t="str">
        <f>IFERROR(INDEX(DraftResults[[#All],[OVR]],MATCH(Table5[[#This Row],[PID]],DraftResults[[#All],[Player ID]],0)),"")</f>
        <v/>
      </c>
      <c r="Z10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2" s="50" t="str">
        <f>IFERROR(INDEX(DraftResults[[#All],[Pick in Round]],MATCH(Table5[[#This Row],[PID]],DraftResults[[#All],[Player ID]],0)),"")</f>
        <v/>
      </c>
      <c r="AB1062" s="50" t="str">
        <f>IFERROR(INDEX(DraftResults[[#All],[Team Name]],MATCH(Table5[[#This Row],[PID]],DraftResults[[#All],[Player ID]],0)),"")</f>
        <v/>
      </c>
      <c r="AC1062" s="50" t="str">
        <f>IF(Table5[[#This Row],[Ovr]]="","",IF(Table5[[#This Row],[cmbList]]="","",Table5[[#This Row],[cmbList]]-Table5[[#This Row],[Ovr]]))</f>
        <v/>
      </c>
      <c r="AD1062" s="54" t="str">
        <f>IF(ISERROR(VLOOKUP($AB1062&amp;"-"&amp;$E1062&amp;" "&amp;F1062,Bonuses!$B$1:$G$1006,4,FALSE)),"",INT(VLOOKUP($AB1062&amp;"-"&amp;$E1062&amp;" "&amp;$F1062,Bonuses!$B$1:$G$1006,4,FALSE)))</f>
        <v/>
      </c>
      <c r="AE10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3" spans="1:31" s="50" customFormat="1" x14ac:dyDescent="0.25">
      <c r="A1063" s="50">
        <v>17776</v>
      </c>
      <c r="B1063" s="50">
        <f>COUNTIF(Table5[PID],A1063)</f>
        <v>1</v>
      </c>
      <c r="C1063" s="50" t="str">
        <f>IF(COUNTIF(Table3[[#All],[PID]],A1063)&gt;0,"P","B")</f>
        <v>P</v>
      </c>
      <c r="D1063" s="59" t="str">
        <f>IF($C1063="B",INDEX(Batters[[#All],[POS]],MATCH(Table5[[#This Row],[PID]],Batters[[#All],[PID]],0)),INDEX(Table3[[#All],[POS]],MATCH(Table5[[#This Row],[PID]],Table3[[#All],[PID]],0)))</f>
        <v>RP</v>
      </c>
      <c r="E1063" s="52" t="str">
        <f>IF($C1063="B",INDEX(Batters[[#All],[First]],MATCH(Table5[[#This Row],[PID]],Batters[[#All],[PID]],0)),INDEX(Table3[[#All],[First]],MATCH(Table5[[#This Row],[PID]],Table3[[#All],[PID]],0)))</f>
        <v>Takaaki</v>
      </c>
      <c r="F1063" s="50" t="str">
        <f>IF($C1063="B",INDEX(Batters[[#All],[Last]],MATCH(A1063,Batters[[#All],[PID]],0)),INDEX(Table3[[#All],[Last]],MATCH(A1063,Table3[[#All],[PID]],0)))</f>
        <v>Yoshida</v>
      </c>
      <c r="G1063" s="56">
        <f>IF($C1063="B",INDEX(Batters[[#All],[Age]],MATCH(Table5[[#This Row],[PID]],Batters[[#All],[PID]],0)),INDEX(Table3[[#All],[Age]],MATCH(Table5[[#This Row],[PID]],Table3[[#All],[PID]],0)))</f>
        <v>21</v>
      </c>
      <c r="H1063" s="52" t="str">
        <f>IF($C1063="B",INDEX(Batters[[#All],[B]],MATCH(Table5[[#This Row],[PID]],Batters[[#All],[PID]],0)),INDEX(Table3[[#All],[B]],MATCH(Table5[[#This Row],[PID]],Table3[[#All],[PID]],0)))</f>
        <v>L</v>
      </c>
      <c r="I1063" s="52" t="str">
        <f>IF($C1063="B",INDEX(Batters[[#All],[T]],MATCH(Table5[[#This Row],[PID]],Batters[[#All],[PID]],0)),INDEX(Table3[[#All],[T]],MATCH(Table5[[#This Row],[PID]],Table3[[#All],[PID]],0)))</f>
        <v>L</v>
      </c>
      <c r="J1063" s="52" t="str">
        <f>IF($C1063="B",INDEX(Batters[[#All],[WE]],MATCH(Table5[[#This Row],[PID]],Batters[[#All],[PID]],0)),INDEX(Table3[[#All],[WE]],MATCH(Table5[[#This Row],[PID]],Table3[[#All],[PID]],0)))</f>
        <v>Normal</v>
      </c>
      <c r="K1063" s="52" t="str">
        <f>IF($C1063="B",INDEX(Batters[[#All],[INT]],MATCH(Table5[[#This Row],[PID]],Batters[[#All],[PID]],0)),INDEX(Table3[[#All],[INT]],MATCH(Table5[[#This Row],[PID]],Table3[[#All],[PID]],0)))</f>
        <v>Normal</v>
      </c>
      <c r="L1063" s="60">
        <f>IF($C1063="B",INDEX(Batters[[#All],[CON P]],MATCH(Table5[[#This Row],[PID]],Batters[[#All],[PID]],0)),INDEX(Table3[[#All],[STU P]],MATCH(Table5[[#This Row],[PID]],Table3[[#All],[PID]],0)))</f>
        <v>3</v>
      </c>
      <c r="M1063" s="56">
        <f>IF($C1063="B",INDEX(Batters[[#All],[GAP P]],MATCH(Table5[[#This Row],[PID]],Batters[[#All],[PID]],0)),INDEX(Table3[[#All],[MOV P]],MATCH(Table5[[#This Row],[PID]],Table3[[#All],[PID]],0)))</f>
        <v>1</v>
      </c>
      <c r="N1063" s="56">
        <f>IF($C1063="B",INDEX(Batters[[#All],[POW P]],MATCH(Table5[[#This Row],[PID]],Batters[[#All],[PID]],0)),INDEX(Table3[[#All],[CON P]],MATCH(Table5[[#This Row],[PID]],Table3[[#All],[PID]],0)))</f>
        <v>4</v>
      </c>
      <c r="O1063" s="56" t="str">
        <f>IF($C1063="B",INDEX(Batters[[#All],[EYE P]],MATCH(Table5[[#This Row],[PID]],Batters[[#All],[PID]],0)),INDEX(Table3[[#All],[VELO]],MATCH(Table5[[#This Row],[PID]],Table3[[#All],[PID]],0)))</f>
        <v>88-90 Mph</v>
      </c>
      <c r="P1063" s="56">
        <f>IF($C1063="B",INDEX(Batters[[#All],[K P]],MATCH(Table5[[#This Row],[PID]],Batters[[#All],[PID]],0)),INDEX(Table3[[#All],[STM]],MATCH(Table5[[#This Row],[PID]],Table3[[#All],[PID]],0)))</f>
        <v>7</v>
      </c>
      <c r="Q1063" s="61">
        <f>IF($C1063="B",INDEX(Batters[[#All],[Tot]],MATCH(Table5[[#This Row],[PID]],Batters[[#All],[PID]],0)),INDEX(Table3[[#All],[Tot]],MATCH(Table5[[#This Row],[PID]],Table3[[#All],[PID]],0)))</f>
        <v>26.479202729522171</v>
      </c>
      <c r="R1063" s="52">
        <f>IF($C1063="B",INDEX(Batters[[#All],[zScore]],MATCH(Table5[[#This Row],[PID]],Batters[[#All],[PID]],0)),INDEX(Table3[[#All],[zScore]],MATCH(Table5[[#This Row],[PID]],Table3[[#All],[PID]],0)))</f>
        <v>-0.74535324405604897</v>
      </c>
      <c r="S1063" s="58" t="str">
        <f>IF($C1063="B",INDEX(Batters[[#All],[DEM]],MATCH(Table5[[#This Row],[PID]],Batters[[#All],[PID]],0)),INDEX(Table3[[#All],[DEM]],MATCH(Table5[[#This Row],[PID]],Table3[[#All],[PID]],0)))</f>
        <v>-</v>
      </c>
      <c r="T1063" s="62">
        <f>IF($C1063="B",INDEX(Batters[[#All],[Rnk]],MATCH(Table5[[#This Row],[PID]],Batters[[#All],[PID]],0)),INDEX(Table3[[#All],[Rnk]],MATCH(Table5[[#This Row],[PID]],Table3[[#All],[PID]],0)))</f>
        <v>617</v>
      </c>
      <c r="U1063" s="68">
        <f>IF($C1063="B",VLOOKUP($A1063,Bat!$A$4:$BA$1621,47,FALSE),VLOOKUP($A1063,Pit!$A$4:$BF$1557,56,FALSE))</f>
        <v>0</v>
      </c>
      <c r="V1063" s="50">
        <f>IF($C1063="B",VLOOKUP($A1063,Bat!$A$4:$BA$1621,48,FALSE),VLOOKUP($A1063,Pit!$A$4:$BF$1557,57,FALSE))</f>
        <v>0</v>
      </c>
      <c r="W1063" s="50">
        <f>Table5[[#This Row],[posRnk]]+Table5[[#This Row],[zRnk]]+IF($W$3&lt;&gt;Table5[[#This Row],[Type]],50,0)</f>
        <v>1674</v>
      </c>
      <c r="X1063" s="51">
        <f>RANK(Table5[[#This Row],[zScore]],Table5[[#All],[zScore]])</f>
        <v>1007</v>
      </c>
      <c r="Y1063" s="50" t="str">
        <f>IFERROR(INDEX(DraftResults[[#All],[OVR]],MATCH(Table5[[#This Row],[PID]],DraftResults[[#All],[Player ID]],0)),"")</f>
        <v/>
      </c>
      <c r="Z10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3" s="50" t="str">
        <f>IFERROR(INDEX(DraftResults[[#All],[Pick in Round]],MATCH(Table5[[#This Row],[PID]],DraftResults[[#All],[Player ID]],0)),"")</f>
        <v/>
      </c>
      <c r="AB1063" s="50" t="str">
        <f>IFERROR(INDEX(DraftResults[[#All],[Team Name]],MATCH(Table5[[#This Row],[PID]],DraftResults[[#All],[Player ID]],0)),"")</f>
        <v/>
      </c>
      <c r="AC1063" s="50" t="str">
        <f>IF(Table5[[#This Row],[Ovr]]="","",IF(Table5[[#This Row],[cmbList]]="","",Table5[[#This Row],[cmbList]]-Table5[[#This Row],[Ovr]]))</f>
        <v/>
      </c>
      <c r="AD1063" s="54" t="str">
        <f>IF(ISERROR(VLOOKUP($AB1063&amp;"-"&amp;$E1063&amp;" "&amp;F1063,Bonuses!$B$1:$G$1006,4,FALSE)),"",INT(VLOOKUP($AB1063&amp;"-"&amp;$E1063&amp;" "&amp;$F1063,Bonuses!$B$1:$G$1006,4,FALSE)))</f>
        <v/>
      </c>
      <c r="AE10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4" spans="1:31" s="50" customFormat="1" x14ac:dyDescent="0.25">
      <c r="A1064" s="50">
        <v>17861</v>
      </c>
      <c r="B1064" s="50">
        <f>COUNTIF(Table5[PID],A1064)</f>
        <v>1</v>
      </c>
      <c r="C1064" s="50" t="str">
        <f>IF(COUNTIF(Table3[[#All],[PID]],A1064)&gt;0,"P","B")</f>
        <v>B</v>
      </c>
      <c r="D1064" s="59" t="str">
        <f>IF($C1064="B",INDEX(Batters[[#All],[POS]],MATCH(Table5[[#This Row],[PID]],Batters[[#All],[PID]],0)),INDEX(Table3[[#All],[POS]],MATCH(Table5[[#This Row],[PID]],Table3[[#All],[PID]],0)))</f>
        <v>1B</v>
      </c>
      <c r="E1064" s="52" t="str">
        <f>IF($C1064="B",INDEX(Batters[[#All],[First]],MATCH(Table5[[#This Row],[PID]],Batters[[#All],[PID]],0)),INDEX(Table3[[#All],[First]],MATCH(Table5[[#This Row],[PID]],Table3[[#All],[PID]],0)))</f>
        <v>Rintaro</v>
      </c>
      <c r="F1064" s="50" t="str">
        <f>IF($C1064="B",INDEX(Batters[[#All],[Last]],MATCH(A1064,Batters[[#All],[PID]],0)),INDEX(Table3[[#All],[Last]],MATCH(A1064,Table3[[#All],[PID]],0)))</f>
        <v>Suzuki</v>
      </c>
      <c r="G1064" s="56">
        <f>IF($C1064="B",INDEX(Batters[[#All],[Age]],MATCH(Table5[[#This Row],[PID]],Batters[[#All],[PID]],0)),INDEX(Table3[[#All],[Age]],MATCH(Table5[[#This Row],[PID]],Table3[[#All],[PID]],0)))</f>
        <v>18</v>
      </c>
      <c r="H1064" s="52" t="str">
        <f>IF($C1064="B",INDEX(Batters[[#All],[B]],MATCH(Table5[[#This Row],[PID]],Batters[[#All],[PID]],0)),INDEX(Table3[[#All],[B]],MATCH(Table5[[#This Row],[PID]],Table3[[#All],[PID]],0)))</f>
        <v>R</v>
      </c>
      <c r="I1064" s="52" t="str">
        <f>IF($C1064="B",INDEX(Batters[[#All],[T]],MATCH(Table5[[#This Row],[PID]],Batters[[#All],[PID]],0)),INDEX(Table3[[#All],[T]],MATCH(Table5[[#This Row],[PID]],Table3[[#All],[PID]],0)))</f>
        <v>R</v>
      </c>
      <c r="J1064" s="52" t="str">
        <f>IF($C1064="B",INDEX(Batters[[#All],[WE]],MATCH(Table5[[#This Row],[PID]],Batters[[#All],[PID]],0)),INDEX(Table3[[#All],[WE]],MATCH(Table5[[#This Row],[PID]],Table3[[#All],[PID]],0)))</f>
        <v>Normal</v>
      </c>
      <c r="K1064" s="52" t="str">
        <f>IF($C1064="B",INDEX(Batters[[#All],[INT]],MATCH(Table5[[#This Row],[PID]],Batters[[#All],[PID]],0)),INDEX(Table3[[#All],[INT]],MATCH(Table5[[#This Row],[PID]],Table3[[#All],[PID]],0)))</f>
        <v>Normal</v>
      </c>
      <c r="L1064" s="60">
        <f>IF($C1064="B",INDEX(Batters[[#All],[CON P]],MATCH(Table5[[#This Row],[PID]],Batters[[#All],[PID]],0)),INDEX(Table3[[#All],[STU P]],MATCH(Table5[[#This Row],[PID]],Table3[[#All],[PID]],0)))</f>
        <v>3</v>
      </c>
      <c r="M1064" s="56">
        <f>IF($C1064="B",INDEX(Batters[[#All],[GAP P]],MATCH(Table5[[#This Row],[PID]],Batters[[#All],[PID]],0)),INDEX(Table3[[#All],[MOV P]],MATCH(Table5[[#This Row],[PID]],Table3[[#All],[PID]],0)))</f>
        <v>3</v>
      </c>
      <c r="N1064" s="56">
        <f>IF($C1064="B",INDEX(Batters[[#All],[POW P]],MATCH(Table5[[#This Row],[PID]],Batters[[#All],[PID]],0)),INDEX(Table3[[#All],[CON P]],MATCH(Table5[[#This Row],[PID]],Table3[[#All],[PID]],0)))</f>
        <v>3</v>
      </c>
      <c r="O1064" s="56">
        <f>IF($C1064="B",INDEX(Batters[[#All],[EYE P]],MATCH(Table5[[#This Row],[PID]],Batters[[#All],[PID]],0)),INDEX(Table3[[#All],[VELO]],MATCH(Table5[[#This Row],[PID]],Table3[[#All],[PID]],0)))</f>
        <v>5</v>
      </c>
      <c r="P1064" s="56">
        <f>IF($C1064="B",INDEX(Batters[[#All],[K P]],MATCH(Table5[[#This Row],[PID]],Batters[[#All],[PID]],0)),INDEX(Table3[[#All],[STM]],MATCH(Table5[[#This Row],[PID]],Table3[[#All],[PID]],0)))</f>
        <v>2</v>
      </c>
      <c r="Q1064" s="61">
        <f>IF($C1064="B",INDEX(Batters[[#All],[Tot]],MATCH(Table5[[#This Row],[PID]],Batters[[#All],[PID]],0)),INDEX(Table3[[#All],[Tot]],MATCH(Table5[[#This Row],[PID]],Table3[[#All],[PID]],0)))</f>
        <v>40.759259131040373</v>
      </c>
      <c r="R1064" s="52">
        <f>IF($C1064="B",INDEX(Batters[[#All],[zScore]],MATCH(Table5[[#This Row],[PID]],Batters[[#All],[PID]],0)),INDEX(Table3[[#All],[zScore]],MATCH(Table5[[#This Row],[PID]],Table3[[#All],[PID]],0)))</f>
        <v>-0.74774608413963317</v>
      </c>
      <c r="S1064" s="58" t="str">
        <f>IF($C1064="B",INDEX(Batters[[#All],[DEM]],MATCH(Table5[[#This Row],[PID]],Batters[[#All],[PID]],0)),INDEX(Table3[[#All],[DEM]],MATCH(Table5[[#This Row],[PID]],Table3[[#All],[PID]],0)))</f>
        <v>$110k</v>
      </c>
      <c r="T1064" s="62">
        <f>IF($C1064="B",INDEX(Batters[[#All],[Rnk]],MATCH(Table5[[#This Row],[PID]],Batters[[#All],[PID]],0)),INDEX(Table3[[#All],[Rnk]],MATCH(Table5[[#This Row],[PID]],Table3[[#All],[PID]],0)))</f>
        <v>391</v>
      </c>
      <c r="U1064" s="68">
        <f>IF($C1064="B",VLOOKUP($A1064,Bat!$A$4:$BA$1621,47,FALSE),VLOOKUP($A1064,Pit!$A$4:$BF$1557,56,FALSE))</f>
        <v>0</v>
      </c>
      <c r="V1064" s="50">
        <f>IF($C1064="B",VLOOKUP($A1064,Bat!$A$4:$BA$1621,48,FALSE),VLOOKUP($A1064,Pit!$A$4:$BF$1557,57,FALSE))</f>
        <v>0</v>
      </c>
      <c r="W1064" s="50">
        <f>Table5[[#This Row],[posRnk]]+Table5[[#This Row],[zRnk]]+IF($W$3&lt;&gt;Table5[[#This Row],[Type]],50,0)</f>
        <v>1450</v>
      </c>
      <c r="X1064" s="51">
        <f>RANK(Table5[[#This Row],[zScore]],Table5[[#All],[zScore]])</f>
        <v>1009</v>
      </c>
      <c r="Y1064" s="50" t="str">
        <f>IFERROR(INDEX(DraftResults[[#All],[OVR]],MATCH(Table5[[#This Row],[PID]],DraftResults[[#All],[Player ID]],0)),"")</f>
        <v/>
      </c>
      <c r="Z10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4" s="50" t="str">
        <f>IFERROR(INDEX(DraftResults[[#All],[Pick in Round]],MATCH(Table5[[#This Row],[PID]],DraftResults[[#All],[Player ID]],0)),"")</f>
        <v/>
      </c>
      <c r="AB1064" s="50" t="str">
        <f>IFERROR(INDEX(DraftResults[[#All],[Team Name]],MATCH(Table5[[#This Row],[PID]],DraftResults[[#All],[Player ID]],0)),"")</f>
        <v/>
      </c>
      <c r="AC1064" s="50" t="str">
        <f>IF(Table5[[#This Row],[Ovr]]="","",IF(Table5[[#This Row],[cmbList]]="","",Table5[[#This Row],[cmbList]]-Table5[[#This Row],[Ovr]]))</f>
        <v/>
      </c>
      <c r="AD1064" s="54" t="str">
        <f>IF(ISERROR(VLOOKUP($AB1064&amp;"-"&amp;$E1064&amp;" "&amp;F1064,Bonuses!$B$1:$G$1006,4,FALSE)),"",INT(VLOOKUP($AB1064&amp;"-"&amp;$E1064&amp;" "&amp;$F1064,Bonuses!$B$1:$G$1006,4,FALSE)))</f>
        <v/>
      </c>
      <c r="AE10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5" spans="1:31" s="50" customFormat="1" x14ac:dyDescent="0.25">
      <c r="A1065" s="50">
        <v>10014</v>
      </c>
      <c r="B1065" s="50">
        <f>COUNTIF(Table5[PID],A1065)</f>
        <v>1</v>
      </c>
      <c r="C1065" s="50" t="str">
        <f>IF(COUNTIF(Table3[[#All],[PID]],A1065)&gt;0,"P","B")</f>
        <v>P</v>
      </c>
      <c r="D1065" s="59" t="str">
        <f>IF($C1065="B",INDEX(Batters[[#All],[POS]],MATCH(Table5[[#This Row],[PID]],Batters[[#All],[PID]],0)),INDEX(Table3[[#All],[POS]],MATCH(Table5[[#This Row],[PID]],Table3[[#All],[PID]],0)))</f>
        <v>RP</v>
      </c>
      <c r="E1065" s="52" t="str">
        <f>IF($C1065="B",INDEX(Batters[[#All],[First]],MATCH(Table5[[#This Row],[PID]],Batters[[#All],[PID]],0)),INDEX(Table3[[#All],[First]],MATCH(Table5[[#This Row],[PID]],Table3[[#All],[PID]],0)))</f>
        <v>Doyle</v>
      </c>
      <c r="F1065" s="50" t="str">
        <f>IF($C1065="B",INDEX(Batters[[#All],[Last]],MATCH(A1065,Batters[[#All],[PID]],0)),INDEX(Table3[[#All],[Last]],MATCH(A1065,Table3[[#All],[PID]],0)))</f>
        <v>Wilson</v>
      </c>
      <c r="G1065" s="56">
        <f>IF($C1065="B",INDEX(Batters[[#All],[Age]],MATCH(Table5[[#This Row],[PID]],Batters[[#All],[PID]],0)),INDEX(Table3[[#All],[Age]],MATCH(Table5[[#This Row],[PID]],Table3[[#All],[PID]],0)))</f>
        <v>22</v>
      </c>
      <c r="H1065" s="52" t="str">
        <f>IF($C1065="B",INDEX(Batters[[#All],[B]],MATCH(Table5[[#This Row],[PID]],Batters[[#All],[PID]],0)),INDEX(Table3[[#All],[B]],MATCH(Table5[[#This Row],[PID]],Table3[[#All],[PID]],0)))</f>
        <v>L</v>
      </c>
      <c r="I1065" s="52" t="str">
        <f>IF($C1065="B",INDEX(Batters[[#All],[T]],MATCH(Table5[[#This Row],[PID]],Batters[[#All],[PID]],0)),INDEX(Table3[[#All],[T]],MATCH(Table5[[#This Row],[PID]],Table3[[#All],[PID]],0)))</f>
        <v>R</v>
      </c>
      <c r="J1065" s="52" t="str">
        <f>IF($C1065="B",INDEX(Batters[[#All],[WE]],MATCH(Table5[[#This Row],[PID]],Batters[[#All],[PID]],0)),INDEX(Table3[[#All],[WE]],MATCH(Table5[[#This Row],[PID]],Table3[[#All],[PID]],0)))</f>
        <v>High</v>
      </c>
      <c r="K1065" s="52" t="str">
        <f>IF($C1065="B",INDEX(Batters[[#All],[INT]],MATCH(Table5[[#This Row],[PID]],Batters[[#All],[PID]],0)),INDEX(Table3[[#All],[INT]],MATCH(Table5[[#This Row],[PID]],Table3[[#All],[PID]],0)))</f>
        <v>Normal</v>
      </c>
      <c r="L1065" s="60">
        <f>IF($C1065="B",INDEX(Batters[[#All],[CON P]],MATCH(Table5[[#This Row],[PID]],Batters[[#All],[PID]],0)),INDEX(Table3[[#All],[STU P]],MATCH(Table5[[#This Row],[PID]],Table3[[#All],[PID]],0)))</f>
        <v>4</v>
      </c>
      <c r="M1065" s="56">
        <f>IF($C1065="B",INDEX(Batters[[#All],[GAP P]],MATCH(Table5[[#This Row],[PID]],Batters[[#All],[PID]],0)),INDEX(Table3[[#All],[MOV P]],MATCH(Table5[[#This Row],[PID]],Table3[[#All],[PID]],0)))</f>
        <v>1</v>
      </c>
      <c r="N1065" s="56">
        <f>IF($C1065="B",INDEX(Batters[[#All],[POW P]],MATCH(Table5[[#This Row],[PID]],Batters[[#All],[PID]],0)),INDEX(Table3[[#All],[CON P]],MATCH(Table5[[#This Row],[PID]],Table3[[#All],[PID]],0)))</f>
        <v>3</v>
      </c>
      <c r="O1065" s="56" t="str">
        <f>IF($C1065="B",INDEX(Batters[[#All],[EYE P]],MATCH(Table5[[#This Row],[PID]],Batters[[#All],[PID]],0)),INDEX(Table3[[#All],[VELO]],MATCH(Table5[[#This Row],[PID]],Table3[[#All],[PID]],0)))</f>
        <v>89-91 Mph</v>
      </c>
      <c r="P1065" s="56">
        <f>IF($C1065="B",INDEX(Batters[[#All],[K P]],MATCH(Table5[[#This Row],[PID]],Batters[[#All],[PID]],0)),INDEX(Table3[[#All],[STM]],MATCH(Table5[[#This Row],[PID]],Table3[[#All],[PID]],0)))</f>
        <v>6</v>
      </c>
      <c r="Q1065" s="61">
        <f>IF($C1065="B",INDEX(Batters[[#All],[Tot]],MATCH(Table5[[#This Row],[PID]],Batters[[#All],[PID]],0)),INDEX(Table3[[#All],[Tot]],MATCH(Table5[[#This Row],[PID]],Table3[[#All],[PID]],0)))</f>
        <v>26.387827451157847</v>
      </c>
      <c r="R1065" s="52">
        <f>IF($C1065="B",INDEX(Batters[[#All],[zScore]],MATCH(Table5[[#This Row],[PID]],Batters[[#All],[PID]],0)),INDEX(Table3[[#All],[zScore]],MATCH(Table5[[#This Row],[PID]],Table3[[#All],[PID]],0)))</f>
        <v>-0.75196538447843708</v>
      </c>
      <c r="S1065" s="58" t="str">
        <f>IF($C1065="B",INDEX(Batters[[#All],[DEM]],MATCH(Table5[[#This Row],[PID]],Batters[[#All],[PID]],0)),INDEX(Table3[[#All],[DEM]],MATCH(Table5[[#This Row],[PID]],Table3[[#All],[PID]],0)))</f>
        <v>-</v>
      </c>
      <c r="T1065" s="62">
        <f>IF($C1065="B",INDEX(Batters[[#All],[Rnk]],MATCH(Table5[[#This Row],[PID]],Batters[[#All],[PID]],0)),INDEX(Table3[[#All],[Rnk]],MATCH(Table5[[#This Row],[PID]],Table3[[#All],[PID]],0)))</f>
        <v>618</v>
      </c>
      <c r="U1065" s="68">
        <f>IF($C1065="B",VLOOKUP($A1065,Bat!$A$4:$BA$1621,47,FALSE),VLOOKUP($A1065,Pit!$A$4:$BF$1557,56,FALSE))</f>
        <v>0</v>
      </c>
      <c r="V1065" s="50">
        <f>IF($C1065="B",VLOOKUP($A1065,Bat!$A$4:$BA$1621,48,FALSE),VLOOKUP($A1065,Pit!$A$4:$BF$1557,57,FALSE))</f>
        <v>0</v>
      </c>
      <c r="W1065" s="50">
        <f>Table5[[#This Row],[posRnk]]+Table5[[#This Row],[zRnk]]+IF($W$3&lt;&gt;Table5[[#This Row],[Type]],50,0)</f>
        <v>1678</v>
      </c>
      <c r="X1065" s="51">
        <f>RANK(Table5[[#This Row],[zScore]],Table5[[#All],[zScore]])</f>
        <v>1010</v>
      </c>
      <c r="Y1065" s="50" t="str">
        <f>IFERROR(INDEX(DraftResults[[#All],[OVR]],MATCH(Table5[[#This Row],[PID]],DraftResults[[#All],[Player ID]],0)),"")</f>
        <v/>
      </c>
      <c r="Z10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5" s="50" t="str">
        <f>IFERROR(INDEX(DraftResults[[#All],[Pick in Round]],MATCH(Table5[[#This Row],[PID]],DraftResults[[#All],[Player ID]],0)),"")</f>
        <v/>
      </c>
      <c r="AB1065" s="50" t="str">
        <f>IFERROR(INDEX(DraftResults[[#All],[Team Name]],MATCH(Table5[[#This Row],[PID]],DraftResults[[#All],[Player ID]],0)),"")</f>
        <v/>
      </c>
      <c r="AC1065" s="50" t="str">
        <f>IF(Table5[[#This Row],[Ovr]]="","",IF(Table5[[#This Row],[cmbList]]="","",Table5[[#This Row],[cmbList]]-Table5[[#This Row],[Ovr]]))</f>
        <v/>
      </c>
      <c r="AD1065" s="54" t="str">
        <f>IF(ISERROR(VLOOKUP($AB1065&amp;"-"&amp;$E1065&amp;" "&amp;F1065,Bonuses!$B$1:$G$1006,4,FALSE)),"",INT(VLOOKUP($AB1065&amp;"-"&amp;$E1065&amp;" "&amp;$F1065,Bonuses!$B$1:$G$1006,4,FALSE)))</f>
        <v/>
      </c>
      <c r="AE10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6" spans="1:31" s="50" customFormat="1" x14ac:dyDescent="0.25">
      <c r="A1066" s="50">
        <v>20638</v>
      </c>
      <c r="B1066" s="50">
        <f>COUNTIF(Table5[PID],A1066)</f>
        <v>1</v>
      </c>
      <c r="C1066" s="50" t="str">
        <f>IF(COUNTIF(Table3[[#All],[PID]],A1066)&gt;0,"P","B")</f>
        <v>B</v>
      </c>
      <c r="D1066" s="59" t="str">
        <f>IF($C1066="B",INDEX(Batters[[#All],[POS]],MATCH(Table5[[#This Row],[PID]],Batters[[#All],[PID]],0)),INDEX(Table3[[#All],[POS]],MATCH(Table5[[#This Row],[PID]],Table3[[#All],[PID]],0)))</f>
        <v>C</v>
      </c>
      <c r="E1066" s="52" t="str">
        <f>IF($C1066="B",INDEX(Batters[[#All],[First]],MATCH(Table5[[#This Row],[PID]],Batters[[#All],[PID]],0)),INDEX(Table3[[#All],[First]],MATCH(Table5[[#This Row],[PID]],Table3[[#All],[PID]],0)))</f>
        <v>Keon-chae</v>
      </c>
      <c r="F1066" s="50" t="str">
        <f>IF($C1066="B",INDEX(Batters[[#All],[Last]],MATCH(A1066,Batters[[#All],[PID]],0)),INDEX(Table3[[#All],[Last]],MATCH(A1066,Table3[[#All],[PID]],0)))</f>
        <v>Hong</v>
      </c>
      <c r="G1066" s="56">
        <f>IF($C1066="B",INDEX(Batters[[#All],[Age]],MATCH(Table5[[#This Row],[PID]],Batters[[#All],[PID]],0)),INDEX(Table3[[#All],[Age]],MATCH(Table5[[#This Row],[PID]],Table3[[#All],[PID]],0)))</f>
        <v>18</v>
      </c>
      <c r="H1066" s="52" t="str">
        <f>IF($C1066="B",INDEX(Batters[[#All],[B]],MATCH(Table5[[#This Row],[PID]],Batters[[#All],[PID]],0)),INDEX(Table3[[#All],[B]],MATCH(Table5[[#This Row],[PID]],Table3[[#All],[PID]],0)))</f>
        <v>S</v>
      </c>
      <c r="I1066" s="52" t="str">
        <f>IF($C1066="B",INDEX(Batters[[#All],[T]],MATCH(Table5[[#This Row],[PID]],Batters[[#All],[PID]],0)),INDEX(Table3[[#All],[T]],MATCH(Table5[[#This Row],[PID]],Table3[[#All],[PID]],0)))</f>
        <v>R</v>
      </c>
      <c r="J1066" s="52" t="str">
        <f>IF($C1066="B",INDEX(Batters[[#All],[WE]],MATCH(Table5[[#This Row],[PID]],Batters[[#All],[PID]],0)),INDEX(Table3[[#All],[WE]],MATCH(Table5[[#This Row],[PID]],Table3[[#All],[PID]],0)))</f>
        <v>Normal</v>
      </c>
      <c r="K1066" s="52" t="str">
        <f>IF($C1066="B",INDEX(Batters[[#All],[INT]],MATCH(Table5[[#This Row],[PID]],Batters[[#All],[PID]],0)),INDEX(Table3[[#All],[INT]],MATCH(Table5[[#This Row],[PID]],Table3[[#All],[PID]],0)))</f>
        <v>Normal</v>
      </c>
      <c r="L1066" s="60">
        <f>IF($C1066="B",INDEX(Batters[[#All],[CON P]],MATCH(Table5[[#This Row],[PID]],Batters[[#All],[PID]],0)),INDEX(Table3[[#All],[STU P]],MATCH(Table5[[#This Row],[PID]],Table3[[#All],[PID]],0)))</f>
        <v>2</v>
      </c>
      <c r="M1066" s="56">
        <f>IF($C1066="B",INDEX(Batters[[#All],[GAP P]],MATCH(Table5[[#This Row],[PID]],Batters[[#All],[PID]],0)),INDEX(Table3[[#All],[MOV P]],MATCH(Table5[[#This Row],[PID]],Table3[[#All],[PID]],0)))</f>
        <v>5</v>
      </c>
      <c r="N1066" s="56">
        <f>IF($C1066="B",INDEX(Batters[[#All],[POW P]],MATCH(Table5[[#This Row],[PID]],Batters[[#All],[PID]],0)),INDEX(Table3[[#All],[CON P]],MATCH(Table5[[#This Row],[PID]],Table3[[#All],[PID]],0)))</f>
        <v>4</v>
      </c>
      <c r="O1066" s="56">
        <f>IF($C1066="B",INDEX(Batters[[#All],[EYE P]],MATCH(Table5[[#This Row],[PID]],Batters[[#All],[PID]],0)),INDEX(Table3[[#All],[VELO]],MATCH(Table5[[#This Row],[PID]],Table3[[#All],[PID]],0)))</f>
        <v>5</v>
      </c>
      <c r="P1066" s="56">
        <f>IF($C1066="B",INDEX(Batters[[#All],[K P]],MATCH(Table5[[#This Row],[PID]],Batters[[#All],[PID]],0)),INDEX(Table3[[#All],[STM]],MATCH(Table5[[#This Row],[PID]],Table3[[#All],[PID]],0)))</f>
        <v>3</v>
      </c>
      <c r="Q1066" s="61">
        <f>IF($C1066="B",INDEX(Batters[[#All],[Tot]],MATCH(Table5[[#This Row],[PID]],Batters[[#All],[PID]],0)),INDEX(Table3[[#All],[Tot]],MATCH(Table5[[#This Row],[PID]],Table3[[#All],[PID]],0)))</f>
        <v>40.735143144473675</v>
      </c>
      <c r="R1066" s="52">
        <f>IF($C1066="B",INDEX(Batters[[#All],[zScore]],MATCH(Table5[[#This Row],[PID]],Batters[[#All],[PID]],0)),INDEX(Table3[[#All],[zScore]],MATCH(Table5[[#This Row],[PID]],Table3[[#All],[PID]],0)))</f>
        <v>-0.75309276137041103</v>
      </c>
      <c r="S1066" s="58" t="str">
        <f>IF($C1066="B",INDEX(Batters[[#All],[DEM]],MATCH(Table5[[#This Row],[PID]],Batters[[#All],[PID]],0)),INDEX(Table3[[#All],[DEM]],MATCH(Table5[[#This Row],[PID]],Table3[[#All],[PID]],0)))</f>
        <v>$70k</v>
      </c>
      <c r="T1066" s="62">
        <f>IF($C1066="B",INDEX(Batters[[#All],[Rnk]],MATCH(Table5[[#This Row],[PID]],Batters[[#All],[PID]],0)),INDEX(Table3[[#All],[Rnk]],MATCH(Table5[[#This Row],[PID]],Table3[[#All],[PID]],0)))</f>
        <v>392</v>
      </c>
      <c r="U1066" s="68">
        <f>IF($C1066="B",VLOOKUP($A1066,Bat!$A$4:$BA$1621,47,FALSE),VLOOKUP($A1066,Pit!$A$4:$BF$1557,56,FALSE))</f>
        <v>0</v>
      </c>
      <c r="V1066" s="50">
        <f>IF($C1066="B",VLOOKUP($A1066,Bat!$A$4:$BA$1621,48,FALSE),VLOOKUP($A1066,Pit!$A$4:$BF$1557,57,FALSE))</f>
        <v>0</v>
      </c>
      <c r="W1066" s="50">
        <f>Table5[[#This Row],[posRnk]]+Table5[[#This Row],[zRnk]]+IF($W$3&lt;&gt;Table5[[#This Row],[Type]],50,0)</f>
        <v>1453</v>
      </c>
      <c r="X1066" s="51">
        <f>RANK(Table5[[#This Row],[zScore]],Table5[[#All],[zScore]])</f>
        <v>1011</v>
      </c>
      <c r="Y1066" s="50" t="str">
        <f>IFERROR(INDEX(DraftResults[[#All],[OVR]],MATCH(Table5[[#This Row],[PID]],DraftResults[[#All],[Player ID]],0)),"")</f>
        <v/>
      </c>
      <c r="Z10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6" s="50" t="str">
        <f>IFERROR(INDEX(DraftResults[[#All],[Pick in Round]],MATCH(Table5[[#This Row],[PID]],DraftResults[[#All],[Player ID]],0)),"")</f>
        <v/>
      </c>
      <c r="AB1066" s="50" t="str">
        <f>IFERROR(INDEX(DraftResults[[#All],[Team Name]],MATCH(Table5[[#This Row],[PID]],DraftResults[[#All],[Player ID]],0)),"")</f>
        <v/>
      </c>
      <c r="AC1066" s="50" t="str">
        <f>IF(Table5[[#This Row],[Ovr]]="","",IF(Table5[[#This Row],[cmbList]]="","",Table5[[#This Row],[cmbList]]-Table5[[#This Row],[Ovr]]))</f>
        <v/>
      </c>
      <c r="AD1066" s="54" t="str">
        <f>IF(ISERROR(VLOOKUP($AB1066&amp;"-"&amp;$E1066&amp;" "&amp;F1066,Bonuses!$B$1:$G$1006,4,FALSE)),"",INT(VLOOKUP($AB1066&amp;"-"&amp;$E1066&amp;" "&amp;$F1066,Bonuses!$B$1:$G$1006,4,FALSE)))</f>
        <v/>
      </c>
      <c r="AE10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7" spans="1:31" s="50" customFormat="1" x14ac:dyDescent="0.25">
      <c r="A1067" s="68">
        <v>20579</v>
      </c>
      <c r="B1067" s="69">
        <f>COUNTIF(Table5[PID],A1067)</f>
        <v>1</v>
      </c>
      <c r="C1067" s="69" t="str">
        <f>IF(COUNTIF(Table3[[#All],[PID]],A1067)&gt;0,"P","B")</f>
        <v>P</v>
      </c>
      <c r="D1067" s="59" t="str">
        <f>IF($C1067="B",INDEX(Batters[[#All],[POS]],MATCH(Table5[[#This Row],[PID]],Batters[[#All],[PID]],0)),INDEX(Table3[[#All],[POS]],MATCH(Table5[[#This Row],[PID]],Table3[[#All],[PID]],0)))</f>
        <v>SP</v>
      </c>
      <c r="E1067" s="52" t="str">
        <f>IF($C1067="B",INDEX(Batters[[#All],[First]],MATCH(Table5[[#This Row],[PID]],Batters[[#All],[PID]],0)),INDEX(Table3[[#All],[First]],MATCH(Table5[[#This Row],[PID]],Table3[[#All],[PID]],0)))</f>
        <v>Xun</v>
      </c>
      <c r="F1067" s="55" t="str">
        <f>IF($C1067="B",INDEX(Batters[[#All],[Last]],MATCH(A1067,Batters[[#All],[PID]],0)),INDEX(Table3[[#All],[Last]],MATCH(A1067,Table3[[#All],[PID]],0)))</f>
        <v>Tsung</v>
      </c>
      <c r="G1067" s="56">
        <f>IF($C1067="B",INDEX(Batters[[#All],[Age]],MATCH(Table5[[#This Row],[PID]],Batters[[#All],[PID]],0)),INDEX(Table3[[#All],[Age]],MATCH(Table5[[#This Row],[PID]],Table3[[#All],[PID]],0)))</f>
        <v>18</v>
      </c>
      <c r="H1067" s="52" t="str">
        <f>IF($C1067="B",INDEX(Batters[[#All],[B]],MATCH(Table5[[#This Row],[PID]],Batters[[#All],[PID]],0)),INDEX(Table3[[#All],[B]],MATCH(Table5[[#This Row],[PID]],Table3[[#All],[PID]],0)))</f>
        <v>R</v>
      </c>
      <c r="I1067" s="52" t="str">
        <f>IF($C1067="B",INDEX(Batters[[#All],[T]],MATCH(Table5[[#This Row],[PID]],Batters[[#All],[PID]],0)),INDEX(Table3[[#All],[T]],MATCH(Table5[[#This Row],[PID]],Table3[[#All],[PID]],0)))</f>
        <v>R</v>
      </c>
      <c r="J1067" s="71" t="str">
        <f>IF($C1067="B",INDEX(Batters[[#All],[WE]],MATCH(Table5[[#This Row],[PID]],Batters[[#All],[PID]],0)),INDEX(Table3[[#All],[WE]],MATCH(Table5[[#This Row],[PID]],Table3[[#All],[PID]],0)))</f>
        <v>Normal</v>
      </c>
      <c r="K1067" s="52" t="str">
        <f>IF($C1067="B",INDEX(Batters[[#All],[INT]],MATCH(Table5[[#This Row],[PID]],Batters[[#All],[PID]],0)),INDEX(Table3[[#All],[INT]],MATCH(Table5[[#This Row],[PID]],Table3[[#All],[PID]],0)))</f>
        <v>Normal</v>
      </c>
      <c r="L1067" s="60">
        <f>IF($C1067="B",INDEX(Batters[[#All],[CON P]],MATCH(Table5[[#This Row],[PID]],Batters[[#All],[PID]],0)),INDEX(Table3[[#All],[STU P]],MATCH(Table5[[#This Row],[PID]],Table3[[#All],[PID]],0)))</f>
        <v>3</v>
      </c>
      <c r="M1067" s="72">
        <f>IF($C1067="B",INDEX(Batters[[#All],[GAP P]],MATCH(Table5[[#This Row],[PID]],Batters[[#All],[PID]],0)),INDEX(Table3[[#All],[MOV P]],MATCH(Table5[[#This Row],[PID]],Table3[[#All],[PID]],0)))</f>
        <v>2</v>
      </c>
      <c r="N1067" s="72">
        <f>IF($C1067="B",INDEX(Batters[[#All],[POW P]],MATCH(Table5[[#This Row],[PID]],Batters[[#All],[PID]],0)),INDEX(Table3[[#All],[CON P]],MATCH(Table5[[#This Row],[PID]],Table3[[#All],[PID]],0)))</f>
        <v>2</v>
      </c>
      <c r="O1067" s="72" t="str">
        <f>IF($C1067="B",INDEX(Batters[[#All],[EYE P]],MATCH(Table5[[#This Row],[PID]],Batters[[#All],[PID]],0)),INDEX(Table3[[#All],[VELO]],MATCH(Table5[[#This Row],[PID]],Table3[[#All],[PID]],0)))</f>
        <v>88-90 Mph</v>
      </c>
      <c r="P1067" s="56">
        <f>IF($C1067="B",INDEX(Batters[[#All],[K P]],MATCH(Table5[[#This Row],[PID]],Batters[[#All],[PID]],0)),INDEX(Table3[[#All],[STM]],MATCH(Table5[[#This Row],[PID]],Table3[[#All],[PID]],0)))</f>
        <v>6</v>
      </c>
      <c r="Q1067" s="61">
        <f>IF($C1067="B",INDEX(Batters[[#All],[Tot]],MATCH(Table5[[#This Row],[PID]],Batters[[#All],[PID]],0)),INDEX(Table3[[#All],[Tot]],MATCH(Table5[[#This Row],[PID]],Table3[[#All],[PID]],0)))</f>
        <v>26.367870729883208</v>
      </c>
      <c r="R1067" s="52">
        <f>IF($C1067="B",INDEX(Batters[[#All],[zScore]],MATCH(Table5[[#This Row],[PID]],Batters[[#All],[PID]],0)),INDEX(Table3[[#All],[zScore]],MATCH(Table5[[#This Row],[PID]],Table3[[#All],[PID]],0)))</f>
        <v>-0.75340950203189883</v>
      </c>
      <c r="S1067" s="78" t="str">
        <f>IF($C1067="B",INDEX(Batters[[#All],[DEM]],MATCH(Table5[[#This Row],[PID]],Batters[[#All],[PID]],0)),INDEX(Table3[[#All],[DEM]],MATCH(Table5[[#This Row],[PID]],Table3[[#All],[PID]],0)))</f>
        <v>$70k</v>
      </c>
      <c r="T1067" s="75">
        <f>IF($C1067="B",INDEX(Batters[[#All],[Rnk]],MATCH(Table5[[#This Row],[PID]],Batters[[#All],[PID]],0)),INDEX(Table3[[#All],[Rnk]],MATCH(Table5[[#This Row],[PID]],Table3[[#All],[PID]],0)))</f>
        <v>619</v>
      </c>
      <c r="U1067" s="68">
        <f>IF($C1067="B",VLOOKUP($A1067,Bat!$A$4:$BA$1621,47,FALSE),VLOOKUP($A1067,Pit!$A$4:$BF$1557,56,FALSE))</f>
        <v>0</v>
      </c>
      <c r="V1067" s="50">
        <f>IF($C1067="B",VLOOKUP($A1067,Bat!$A$4:$BA$1621,48,FALSE),VLOOKUP($A1067,Pit!$A$4:$BF$1557,57,FALSE))</f>
        <v>0</v>
      </c>
      <c r="W1067" s="69">
        <f>Table5[[#This Row],[posRnk]]+Table5[[#This Row],[zRnk]]+IF($W$3&lt;&gt;Table5[[#This Row],[Type]],50,0)</f>
        <v>1681</v>
      </c>
      <c r="X1067" s="73">
        <f>RANK(Table5[[#This Row],[zScore]],Table5[[#All],[zScore]])</f>
        <v>1012</v>
      </c>
      <c r="Y1067" s="69" t="str">
        <f>IFERROR(INDEX(DraftResults[[#All],[OVR]],MATCH(Table5[[#This Row],[PID]],DraftResults[[#All],[Player ID]],0)),"")</f>
        <v/>
      </c>
      <c r="Z106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7" s="69" t="str">
        <f>IFERROR(INDEX(DraftResults[[#All],[Pick in Round]],MATCH(Table5[[#This Row],[PID]],DraftResults[[#All],[Player ID]],0)),"")</f>
        <v/>
      </c>
      <c r="AB1067" s="69" t="str">
        <f>IFERROR(INDEX(DraftResults[[#All],[Team Name]],MATCH(Table5[[#This Row],[PID]],DraftResults[[#All],[Player ID]],0)),"")</f>
        <v/>
      </c>
      <c r="AC1067" s="69" t="str">
        <f>IF(Table5[[#This Row],[Ovr]]="","",IF(Table5[[#This Row],[cmbList]]="","",Table5[[#This Row],[cmbList]]-Table5[[#This Row],[Ovr]]))</f>
        <v/>
      </c>
      <c r="AD1067" s="77" t="str">
        <f>IF(ISERROR(VLOOKUP($AB1067&amp;"-"&amp;$E1067&amp;" "&amp;F1067,Bonuses!$B$1:$G$1006,4,FALSE)),"",INT(VLOOKUP($AB1067&amp;"-"&amp;$E1067&amp;" "&amp;$F1067,Bonuses!$B$1:$G$1006,4,FALSE)))</f>
        <v/>
      </c>
      <c r="AE106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8" spans="1:31" s="50" customFormat="1" x14ac:dyDescent="0.25">
      <c r="A1068" s="50">
        <v>12519</v>
      </c>
      <c r="B1068" s="50">
        <f>COUNTIF(Table5[PID],A1068)</f>
        <v>1</v>
      </c>
      <c r="C1068" s="50" t="str">
        <f>IF(COUNTIF(Table3[[#All],[PID]],A1068)&gt;0,"P","B")</f>
        <v>P</v>
      </c>
      <c r="D1068" s="59" t="str">
        <f>IF($C1068="B",INDEX(Batters[[#All],[POS]],MATCH(Table5[[#This Row],[PID]],Batters[[#All],[PID]],0)),INDEX(Table3[[#All],[POS]],MATCH(Table5[[#This Row],[PID]],Table3[[#All],[PID]],0)))</f>
        <v>RP</v>
      </c>
      <c r="E1068" s="52" t="str">
        <f>IF($C1068="B",INDEX(Batters[[#All],[First]],MATCH(Table5[[#This Row],[PID]],Batters[[#All],[PID]],0)),INDEX(Table3[[#All],[First]],MATCH(Table5[[#This Row],[PID]],Table3[[#All],[PID]],0)))</f>
        <v>Yukio</v>
      </c>
      <c r="F1068" s="50" t="str">
        <f>IF($C1068="B",INDEX(Batters[[#All],[Last]],MATCH(A1068,Batters[[#All],[PID]],0)),INDEX(Table3[[#All],[Last]],MATCH(A1068,Table3[[#All],[PID]],0)))</f>
        <v>Sato</v>
      </c>
      <c r="G1068" s="56">
        <f>IF($C1068="B",INDEX(Batters[[#All],[Age]],MATCH(Table5[[#This Row],[PID]],Batters[[#All],[PID]],0)),INDEX(Table3[[#All],[Age]],MATCH(Table5[[#This Row],[PID]],Table3[[#All],[PID]],0)))</f>
        <v>22</v>
      </c>
      <c r="H1068" s="52" t="str">
        <f>IF($C1068="B",INDEX(Batters[[#All],[B]],MATCH(Table5[[#This Row],[PID]],Batters[[#All],[PID]],0)),INDEX(Table3[[#All],[B]],MATCH(Table5[[#This Row],[PID]],Table3[[#All],[PID]],0)))</f>
        <v>L</v>
      </c>
      <c r="I1068" s="52" t="str">
        <f>IF($C1068="B",INDEX(Batters[[#All],[T]],MATCH(Table5[[#This Row],[PID]],Batters[[#All],[PID]],0)),INDEX(Table3[[#All],[T]],MATCH(Table5[[#This Row],[PID]],Table3[[#All],[PID]],0)))</f>
        <v>R</v>
      </c>
      <c r="J1068" s="52" t="str">
        <f>IF($C1068="B",INDEX(Batters[[#All],[WE]],MATCH(Table5[[#This Row],[PID]],Batters[[#All],[PID]],0)),INDEX(Table3[[#All],[WE]],MATCH(Table5[[#This Row],[PID]],Table3[[#All],[PID]],0)))</f>
        <v>Normal</v>
      </c>
      <c r="K1068" s="52" t="str">
        <f>IF($C1068="B",INDEX(Batters[[#All],[INT]],MATCH(Table5[[#This Row],[PID]],Batters[[#All],[PID]],0)),INDEX(Table3[[#All],[INT]],MATCH(Table5[[#This Row],[PID]],Table3[[#All],[PID]],0)))</f>
        <v>Normal</v>
      </c>
      <c r="L1068" s="60">
        <f>IF($C1068="B",INDEX(Batters[[#All],[CON P]],MATCH(Table5[[#This Row],[PID]],Batters[[#All],[PID]],0)),INDEX(Table3[[#All],[STU P]],MATCH(Table5[[#This Row],[PID]],Table3[[#All],[PID]],0)))</f>
        <v>4</v>
      </c>
      <c r="M1068" s="56">
        <f>IF($C1068="B",INDEX(Batters[[#All],[GAP P]],MATCH(Table5[[#This Row],[PID]],Batters[[#All],[PID]],0)),INDEX(Table3[[#All],[MOV P]],MATCH(Table5[[#This Row],[PID]],Table3[[#All],[PID]],0)))</f>
        <v>2</v>
      </c>
      <c r="N1068" s="56">
        <f>IF($C1068="B",INDEX(Batters[[#All],[POW P]],MATCH(Table5[[#This Row],[PID]],Batters[[#All],[PID]],0)),INDEX(Table3[[#All],[CON P]],MATCH(Table5[[#This Row],[PID]],Table3[[#All],[PID]],0)))</f>
        <v>2</v>
      </c>
      <c r="O1068" s="56" t="str">
        <f>IF($C1068="B",INDEX(Batters[[#All],[EYE P]],MATCH(Table5[[#This Row],[PID]],Batters[[#All],[PID]],0)),INDEX(Table3[[#All],[VELO]],MATCH(Table5[[#This Row],[PID]],Table3[[#All],[PID]],0)))</f>
        <v>89-91 Mph</v>
      </c>
      <c r="P1068" s="56">
        <f>IF($C1068="B",INDEX(Batters[[#All],[K P]],MATCH(Table5[[#This Row],[PID]],Batters[[#All],[PID]],0)),INDEX(Table3[[#All],[STM]],MATCH(Table5[[#This Row],[PID]],Table3[[#All],[PID]],0)))</f>
        <v>6</v>
      </c>
      <c r="Q1068" s="61">
        <f>IF($C1068="B",INDEX(Batters[[#All],[Tot]],MATCH(Table5[[#This Row],[PID]],Batters[[#All],[PID]],0)),INDEX(Table3[[#All],[Tot]],MATCH(Table5[[#This Row],[PID]],Table3[[#All],[PID]],0)))</f>
        <v>24.518318876471927</v>
      </c>
      <c r="R1068" s="52">
        <f>IF($C1068="B",INDEX(Batters[[#All],[zScore]],MATCH(Table5[[#This Row],[PID]],Batters[[#All],[PID]],0)),INDEX(Table3[[#All],[zScore]],MATCH(Table5[[#This Row],[PID]],Table3[[#All],[PID]],0)))</f>
        <v>-0.7552449953810233</v>
      </c>
      <c r="S1068" s="58" t="str">
        <f>IF($C1068="B",INDEX(Batters[[#All],[DEM]],MATCH(Table5[[#This Row],[PID]],Batters[[#All],[PID]],0)),INDEX(Table3[[#All],[DEM]],MATCH(Table5[[#This Row],[PID]],Table3[[#All],[PID]],0)))</f>
        <v>-</v>
      </c>
      <c r="T1068" s="62">
        <f>IF($C1068="B",INDEX(Batters[[#All],[Rnk]],MATCH(Table5[[#This Row],[PID]],Batters[[#All],[PID]],0)),INDEX(Table3[[#All],[Rnk]],MATCH(Table5[[#This Row],[PID]],Table3[[#All],[PID]],0)))</f>
        <v>620</v>
      </c>
      <c r="U1068" s="68">
        <f>IF($C1068="B",VLOOKUP($A1068,Bat!$A$4:$BA$1621,47,FALSE),VLOOKUP($A1068,Pit!$A$4:$BF$1557,56,FALSE))</f>
        <v>0</v>
      </c>
      <c r="V1068" s="50">
        <f>IF($C1068="B",VLOOKUP($A1068,Bat!$A$4:$BA$1621,48,FALSE),VLOOKUP($A1068,Pit!$A$4:$BF$1557,57,FALSE))</f>
        <v>0</v>
      </c>
      <c r="W1068" s="50">
        <f>Table5[[#This Row],[posRnk]]+Table5[[#This Row],[zRnk]]+IF($W$3&lt;&gt;Table5[[#This Row],[Type]],50,0)</f>
        <v>1683</v>
      </c>
      <c r="X1068" s="51">
        <f>RANK(Table5[[#This Row],[zScore]],Table5[[#All],[zScore]])</f>
        <v>1013</v>
      </c>
      <c r="Y1068" s="50" t="str">
        <f>IFERROR(INDEX(DraftResults[[#All],[OVR]],MATCH(Table5[[#This Row],[PID]],DraftResults[[#All],[Player ID]],0)),"")</f>
        <v/>
      </c>
      <c r="Z10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8" s="50" t="str">
        <f>IFERROR(INDEX(DraftResults[[#All],[Pick in Round]],MATCH(Table5[[#This Row],[PID]],DraftResults[[#All],[Player ID]],0)),"")</f>
        <v/>
      </c>
      <c r="AB1068" s="50" t="str">
        <f>IFERROR(INDEX(DraftResults[[#All],[Team Name]],MATCH(Table5[[#This Row],[PID]],DraftResults[[#All],[Player ID]],0)),"")</f>
        <v/>
      </c>
      <c r="AC1068" s="50" t="str">
        <f>IF(Table5[[#This Row],[Ovr]]="","",IF(Table5[[#This Row],[cmbList]]="","",Table5[[#This Row],[cmbList]]-Table5[[#This Row],[Ovr]]))</f>
        <v/>
      </c>
      <c r="AD1068" s="54" t="str">
        <f>IF(ISERROR(VLOOKUP($AB1068&amp;"-"&amp;$E1068&amp;" "&amp;F1068,Bonuses!$B$1:$G$1006,4,FALSE)),"",INT(VLOOKUP($AB1068&amp;"-"&amp;$E1068&amp;" "&amp;$F1068,Bonuses!$B$1:$G$1006,4,FALSE)))</f>
        <v/>
      </c>
      <c r="AE10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69" spans="1:31" s="50" customFormat="1" x14ac:dyDescent="0.25">
      <c r="A1069" s="68">
        <v>20214</v>
      </c>
      <c r="B1069" s="69">
        <f>COUNTIF(Table5[PID],A1069)</f>
        <v>1</v>
      </c>
      <c r="C1069" s="69" t="str">
        <f>IF(COUNTIF(Table3[[#All],[PID]],A1069)&gt;0,"P","B")</f>
        <v>P</v>
      </c>
      <c r="D1069" s="59" t="str">
        <f>IF($C1069="B",INDEX(Batters[[#All],[POS]],MATCH(Table5[[#This Row],[PID]],Batters[[#All],[PID]],0)),INDEX(Table3[[#All],[POS]],MATCH(Table5[[#This Row],[PID]],Table3[[#All],[PID]],0)))</f>
        <v>SP</v>
      </c>
      <c r="E1069" s="52" t="str">
        <f>IF($C1069="B",INDEX(Batters[[#All],[First]],MATCH(Table5[[#This Row],[PID]],Batters[[#All],[PID]],0)),INDEX(Table3[[#All],[First]],MATCH(Table5[[#This Row],[PID]],Table3[[#All],[PID]],0)))</f>
        <v>Lee</v>
      </c>
      <c r="F1069" s="55" t="str">
        <f>IF($C1069="B",INDEX(Batters[[#All],[Last]],MATCH(A1069,Batters[[#All],[PID]],0)),INDEX(Table3[[#All],[Last]],MATCH(A1069,Table3[[#All],[PID]],0)))</f>
        <v>Warren</v>
      </c>
      <c r="G1069" s="56">
        <f>IF($C1069="B",INDEX(Batters[[#All],[Age]],MATCH(Table5[[#This Row],[PID]],Batters[[#All],[PID]],0)),INDEX(Table3[[#All],[Age]],MATCH(Table5[[#This Row],[PID]],Table3[[#All],[PID]],0)))</f>
        <v>22</v>
      </c>
      <c r="H1069" s="52" t="str">
        <f>IF($C1069="B",INDEX(Batters[[#All],[B]],MATCH(Table5[[#This Row],[PID]],Batters[[#All],[PID]],0)),INDEX(Table3[[#All],[B]],MATCH(Table5[[#This Row],[PID]],Table3[[#All],[PID]],0)))</f>
        <v>L</v>
      </c>
      <c r="I1069" s="52" t="str">
        <f>IF($C1069="B",INDEX(Batters[[#All],[T]],MATCH(Table5[[#This Row],[PID]],Batters[[#All],[PID]],0)),INDEX(Table3[[#All],[T]],MATCH(Table5[[#This Row],[PID]],Table3[[#All],[PID]],0)))</f>
        <v>L</v>
      </c>
      <c r="J1069" s="71" t="str">
        <f>IF($C1069="B",INDEX(Batters[[#All],[WE]],MATCH(Table5[[#This Row],[PID]],Batters[[#All],[PID]],0)),INDEX(Table3[[#All],[WE]],MATCH(Table5[[#This Row],[PID]],Table3[[#All],[PID]],0)))</f>
        <v>Low</v>
      </c>
      <c r="K1069" s="52" t="str">
        <f>IF($C1069="B",INDEX(Batters[[#All],[INT]],MATCH(Table5[[#This Row],[PID]],Batters[[#All],[PID]],0)),INDEX(Table3[[#All],[INT]],MATCH(Table5[[#This Row],[PID]],Table3[[#All],[PID]],0)))</f>
        <v>Normal</v>
      </c>
      <c r="L1069" s="60">
        <f>IF($C1069="B",INDEX(Batters[[#All],[CON P]],MATCH(Table5[[#This Row],[PID]],Batters[[#All],[PID]],0)),INDEX(Table3[[#All],[STU P]],MATCH(Table5[[#This Row],[PID]],Table3[[#All],[PID]],0)))</f>
        <v>4</v>
      </c>
      <c r="M1069" s="72">
        <f>IF($C1069="B",INDEX(Batters[[#All],[GAP P]],MATCH(Table5[[#This Row],[PID]],Batters[[#All],[PID]],0)),INDEX(Table3[[#All],[MOV P]],MATCH(Table5[[#This Row],[PID]],Table3[[#All],[PID]],0)))</f>
        <v>1</v>
      </c>
      <c r="N1069" s="72">
        <f>IF($C1069="B",INDEX(Batters[[#All],[POW P]],MATCH(Table5[[#This Row],[PID]],Batters[[#All],[PID]],0)),INDEX(Table3[[#All],[CON P]],MATCH(Table5[[#This Row],[PID]],Table3[[#All],[PID]],0)))</f>
        <v>3</v>
      </c>
      <c r="O1069" s="72" t="str">
        <f>IF($C1069="B",INDEX(Batters[[#All],[EYE P]],MATCH(Table5[[#This Row],[PID]],Batters[[#All],[PID]],0)),INDEX(Table3[[#All],[VELO]],MATCH(Table5[[#This Row],[PID]],Table3[[#All],[PID]],0)))</f>
        <v>88-90 Mph</v>
      </c>
      <c r="P1069" s="56">
        <f>IF($C1069="B",INDEX(Batters[[#All],[K P]],MATCH(Table5[[#This Row],[PID]],Batters[[#All],[PID]],0)),INDEX(Table3[[#All],[STM]],MATCH(Table5[[#This Row],[PID]],Table3[[#All],[PID]],0)))</f>
        <v>9</v>
      </c>
      <c r="Q1069" s="61">
        <f>IF($C1069="B",INDEX(Batters[[#All],[Tot]],MATCH(Table5[[#This Row],[PID]],Batters[[#All],[PID]],0)),INDEX(Table3[[#All],[Tot]],MATCH(Table5[[#This Row],[PID]],Table3[[#All],[PID]],0)))</f>
        <v>26.339020276736086</v>
      </c>
      <c r="R1069" s="52">
        <f>IF($C1069="B",INDEX(Batters[[#All],[zScore]],MATCH(Table5[[#This Row],[PID]],Batters[[#All],[PID]],0)),INDEX(Table3[[#All],[zScore]],MATCH(Table5[[#This Row],[PID]],Table3[[#All],[PID]],0)))</f>
        <v>-0.75549719195058451</v>
      </c>
      <c r="S1069" s="78" t="str">
        <f>IF($C1069="B",INDEX(Batters[[#All],[DEM]],MATCH(Table5[[#This Row],[PID]],Batters[[#All],[PID]],0)),INDEX(Table3[[#All],[DEM]],MATCH(Table5[[#This Row],[PID]],Table3[[#All],[PID]],0)))</f>
        <v>-</v>
      </c>
      <c r="T1069" s="75">
        <f>IF($C1069="B",INDEX(Batters[[#All],[Rnk]],MATCH(Table5[[#This Row],[PID]],Batters[[#All],[PID]],0)),INDEX(Table3[[#All],[Rnk]],MATCH(Table5[[#This Row],[PID]],Table3[[#All],[PID]],0)))</f>
        <v>621</v>
      </c>
      <c r="U1069" s="68">
        <f>IF($C1069="B",VLOOKUP($A1069,Bat!$A$4:$BA$1621,47,FALSE),VLOOKUP($A1069,Pit!$A$4:$BF$1557,56,FALSE))</f>
        <v>0</v>
      </c>
      <c r="V1069" s="50">
        <f>IF($C1069="B",VLOOKUP($A1069,Bat!$A$4:$BA$1621,48,FALSE),VLOOKUP($A1069,Pit!$A$4:$BF$1557,57,FALSE))</f>
        <v>0</v>
      </c>
      <c r="W1069" s="69">
        <f>Table5[[#This Row],[posRnk]]+Table5[[#This Row],[zRnk]]+IF($W$3&lt;&gt;Table5[[#This Row],[Type]],50,0)</f>
        <v>1685</v>
      </c>
      <c r="X1069" s="73">
        <f>RANK(Table5[[#This Row],[zScore]],Table5[[#All],[zScore]])</f>
        <v>1014</v>
      </c>
      <c r="Y1069" s="69" t="str">
        <f>IFERROR(INDEX(DraftResults[[#All],[OVR]],MATCH(Table5[[#This Row],[PID]],DraftResults[[#All],[Player ID]],0)),"")</f>
        <v/>
      </c>
      <c r="Z106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69" s="69" t="str">
        <f>IFERROR(INDEX(DraftResults[[#All],[Pick in Round]],MATCH(Table5[[#This Row],[PID]],DraftResults[[#All],[Player ID]],0)),"")</f>
        <v/>
      </c>
      <c r="AB1069" s="69" t="str">
        <f>IFERROR(INDEX(DraftResults[[#All],[Team Name]],MATCH(Table5[[#This Row],[PID]],DraftResults[[#All],[Player ID]],0)),"")</f>
        <v/>
      </c>
      <c r="AC1069" s="69" t="str">
        <f>IF(Table5[[#This Row],[Ovr]]="","",IF(Table5[[#This Row],[cmbList]]="","",Table5[[#This Row],[cmbList]]-Table5[[#This Row],[Ovr]]))</f>
        <v/>
      </c>
      <c r="AD1069" s="77" t="str">
        <f>IF(ISERROR(VLOOKUP($AB1069&amp;"-"&amp;$E1069&amp;" "&amp;F1069,Bonuses!$B$1:$G$1006,4,FALSE)),"",INT(VLOOKUP($AB1069&amp;"-"&amp;$E1069&amp;" "&amp;$F1069,Bonuses!$B$1:$G$1006,4,FALSE)))</f>
        <v/>
      </c>
      <c r="AE106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0" spans="1:31" s="50" customFormat="1" x14ac:dyDescent="0.25">
      <c r="A1070" s="50">
        <v>17842</v>
      </c>
      <c r="B1070" s="50">
        <f>COUNTIF(Table5[PID],A1070)</f>
        <v>1</v>
      </c>
      <c r="C1070" s="50" t="str">
        <f>IF(COUNTIF(Table3[[#All],[PID]],A1070)&gt;0,"P","B")</f>
        <v>P</v>
      </c>
      <c r="D1070" s="59" t="str">
        <f>IF($C1070="B",INDEX(Batters[[#All],[POS]],MATCH(Table5[[#This Row],[PID]],Batters[[#All],[PID]],0)),INDEX(Table3[[#All],[POS]],MATCH(Table5[[#This Row],[PID]],Table3[[#All],[PID]],0)))</f>
        <v>RP</v>
      </c>
      <c r="E1070" s="52" t="str">
        <f>IF($C1070="B",INDEX(Batters[[#All],[First]],MATCH(Table5[[#This Row],[PID]],Batters[[#All],[PID]],0)),INDEX(Table3[[#All],[First]],MATCH(Table5[[#This Row],[PID]],Table3[[#All],[PID]],0)))</f>
        <v>Kick</v>
      </c>
      <c r="F1070" s="50" t="str">
        <f>IF($C1070="B",INDEX(Batters[[#All],[Last]],MATCH(A1070,Batters[[#All],[PID]],0)),INDEX(Table3[[#All],[Last]],MATCH(A1070,Table3[[#All],[PID]],0)))</f>
        <v>Colijn</v>
      </c>
      <c r="G1070" s="56">
        <f>IF($C1070="B",INDEX(Batters[[#All],[Age]],MATCH(Table5[[#This Row],[PID]],Batters[[#All],[PID]],0)),INDEX(Table3[[#All],[Age]],MATCH(Table5[[#This Row],[PID]],Table3[[#All],[PID]],0)))</f>
        <v>18</v>
      </c>
      <c r="H1070" s="52" t="str">
        <f>IF($C1070="B",INDEX(Batters[[#All],[B]],MATCH(Table5[[#This Row],[PID]],Batters[[#All],[PID]],0)),INDEX(Table3[[#All],[B]],MATCH(Table5[[#This Row],[PID]],Table3[[#All],[PID]],0)))</f>
        <v>R</v>
      </c>
      <c r="I1070" s="52" t="str">
        <f>IF($C1070="B",INDEX(Batters[[#All],[T]],MATCH(Table5[[#This Row],[PID]],Batters[[#All],[PID]],0)),INDEX(Table3[[#All],[T]],MATCH(Table5[[#This Row],[PID]],Table3[[#All],[PID]],0)))</f>
        <v>R</v>
      </c>
      <c r="J1070" s="52" t="str">
        <f>IF($C1070="B",INDEX(Batters[[#All],[WE]],MATCH(Table5[[#This Row],[PID]],Batters[[#All],[PID]],0)),INDEX(Table3[[#All],[WE]],MATCH(Table5[[#This Row],[PID]],Table3[[#All],[PID]],0)))</f>
        <v>Low</v>
      </c>
      <c r="K1070" s="52" t="str">
        <f>IF($C1070="B",INDEX(Batters[[#All],[INT]],MATCH(Table5[[#This Row],[PID]],Batters[[#All],[PID]],0)),INDEX(Table3[[#All],[INT]],MATCH(Table5[[#This Row],[PID]],Table3[[#All],[PID]],0)))</f>
        <v>Low</v>
      </c>
      <c r="L1070" s="60">
        <f>IF($C1070="B",INDEX(Batters[[#All],[CON P]],MATCH(Table5[[#This Row],[PID]],Batters[[#All],[PID]],0)),INDEX(Table3[[#All],[STU P]],MATCH(Table5[[#This Row],[PID]],Table3[[#All],[PID]],0)))</f>
        <v>2</v>
      </c>
      <c r="M1070" s="56">
        <f>IF($C1070="B",INDEX(Batters[[#All],[GAP P]],MATCH(Table5[[#This Row],[PID]],Batters[[#All],[PID]],0)),INDEX(Table3[[#All],[MOV P]],MATCH(Table5[[#This Row],[PID]],Table3[[#All],[PID]],0)))</f>
        <v>2</v>
      </c>
      <c r="N1070" s="56">
        <f>IF($C1070="B",INDEX(Batters[[#All],[POW P]],MATCH(Table5[[#This Row],[PID]],Batters[[#All],[PID]],0)),INDEX(Table3[[#All],[CON P]],MATCH(Table5[[#This Row],[PID]],Table3[[#All],[PID]],0)))</f>
        <v>3</v>
      </c>
      <c r="O1070" s="56" t="str">
        <f>IF($C1070="B",INDEX(Batters[[#All],[EYE P]],MATCH(Table5[[#This Row],[PID]],Batters[[#All],[PID]],0)),INDEX(Table3[[#All],[VELO]],MATCH(Table5[[#This Row],[PID]],Table3[[#All],[PID]],0)))</f>
        <v>86-88 Mph</v>
      </c>
      <c r="P1070" s="56">
        <f>IF($C1070="B",INDEX(Batters[[#All],[K P]],MATCH(Table5[[#This Row],[PID]],Batters[[#All],[PID]],0)),INDEX(Table3[[#All],[STM]],MATCH(Table5[[#This Row],[PID]],Table3[[#All],[PID]],0)))</f>
        <v>6</v>
      </c>
      <c r="Q1070" s="61">
        <f>IF($C1070="B",INDEX(Batters[[#All],[Tot]],MATCH(Table5[[#This Row],[PID]],Batters[[#All],[PID]],0)),INDEX(Table3[[#All],[Tot]],MATCH(Table5[[#This Row],[PID]],Table3[[#All],[PID]],0)))</f>
        <v>26.737929825143677</v>
      </c>
      <c r="R1070" s="52">
        <f>IF($C1070="B",INDEX(Batters[[#All],[zScore]],MATCH(Table5[[#This Row],[PID]],Batters[[#All],[PID]],0)),INDEX(Table3[[#All],[zScore]],MATCH(Table5[[#This Row],[PID]],Table3[[#All],[PID]],0)))</f>
        <v>-0.75800722657017594</v>
      </c>
      <c r="S1070" s="58" t="str">
        <f>IF($C1070="B",INDEX(Batters[[#All],[DEM]],MATCH(Table5[[#This Row],[PID]],Batters[[#All],[PID]],0)),INDEX(Table3[[#All],[DEM]],MATCH(Table5[[#This Row],[PID]],Table3[[#All],[PID]],0)))</f>
        <v>$85k</v>
      </c>
      <c r="T1070" s="62">
        <f>IF($C1070="B",INDEX(Batters[[#All],[Rnk]],MATCH(Table5[[#This Row],[PID]],Batters[[#All],[PID]],0)),INDEX(Table3[[#All],[Rnk]],MATCH(Table5[[#This Row],[PID]],Table3[[#All],[PID]],0)))</f>
        <v>622</v>
      </c>
      <c r="U1070" s="68">
        <f>IF($C1070="B",VLOOKUP($A1070,Bat!$A$4:$BA$1621,47,FALSE),VLOOKUP($A1070,Pit!$A$4:$BF$1557,56,FALSE))</f>
        <v>0</v>
      </c>
      <c r="V1070" s="50">
        <f>IF($C1070="B",VLOOKUP($A1070,Bat!$A$4:$BA$1621,48,FALSE),VLOOKUP($A1070,Pit!$A$4:$BF$1557,57,FALSE))</f>
        <v>0</v>
      </c>
      <c r="W1070" s="50">
        <f>Table5[[#This Row],[posRnk]]+Table5[[#This Row],[zRnk]]+IF($W$3&lt;&gt;Table5[[#This Row],[Type]],50,0)</f>
        <v>1687</v>
      </c>
      <c r="X1070" s="51">
        <f>RANK(Table5[[#This Row],[zScore]],Table5[[#All],[zScore]])</f>
        <v>1015</v>
      </c>
      <c r="Y1070" s="50" t="str">
        <f>IFERROR(INDEX(DraftResults[[#All],[OVR]],MATCH(Table5[[#This Row],[PID]],DraftResults[[#All],[Player ID]],0)),"")</f>
        <v/>
      </c>
      <c r="Z10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0" s="50" t="str">
        <f>IFERROR(INDEX(DraftResults[[#All],[Pick in Round]],MATCH(Table5[[#This Row],[PID]],DraftResults[[#All],[Player ID]],0)),"")</f>
        <v/>
      </c>
      <c r="AB1070" s="50" t="str">
        <f>IFERROR(INDEX(DraftResults[[#All],[Team Name]],MATCH(Table5[[#This Row],[PID]],DraftResults[[#All],[Player ID]],0)),"")</f>
        <v/>
      </c>
      <c r="AC1070" s="50" t="str">
        <f>IF(Table5[[#This Row],[Ovr]]="","",IF(Table5[[#This Row],[cmbList]]="","",Table5[[#This Row],[cmbList]]-Table5[[#This Row],[Ovr]]))</f>
        <v/>
      </c>
      <c r="AD1070" s="54" t="str">
        <f>IF(ISERROR(VLOOKUP($AB1070&amp;"-"&amp;$E1070&amp;" "&amp;F1070,Bonuses!$B$1:$G$1006,4,FALSE)),"",INT(VLOOKUP($AB1070&amp;"-"&amp;$E1070&amp;" "&amp;$F1070,Bonuses!$B$1:$G$1006,4,FALSE)))</f>
        <v/>
      </c>
      <c r="AE10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1" spans="1:31" s="50" customFormat="1" x14ac:dyDescent="0.25">
      <c r="A1071" s="50">
        <v>8317</v>
      </c>
      <c r="B1071" s="50">
        <f>COUNTIF(Table5[PID],A1071)</f>
        <v>1</v>
      </c>
      <c r="C1071" s="50" t="str">
        <f>IF(COUNTIF(Table3[[#All],[PID]],A1071)&gt;0,"P","B")</f>
        <v>P</v>
      </c>
      <c r="D1071" s="59" t="str">
        <f>IF($C1071="B",INDEX(Batters[[#All],[POS]],MATCH(Table5[[#This Row],[PID]],Batters[[#All],[PID]],0)),INDEX(Table3[[#All],[POS]],MATCH(Table5[[#This Row],[PID]],Table3[[#All],[PID]],0)))</f>
        <v>RP</v>
      </c>
      <c r="E1071" s="52" t="str">
        <f>IF($C1071="B",INDEX(Batters[[#All],[First]],MATCH(Table5[[#This Row],[PID]],Batters[[#All],[PID]],0)),INDEX(Table3[[#All],[First]],MATCH(Table5[[#This Row],[PID]],Table3[[#All],[PID]],0)))</f>
        <v>J.R.</v>
      </c>
      <c r="F1071" s="50" t="str">
        <f>IF($C1071="B",INDEX(Batters[[#All],[Last]],MATCH(A1071,Batters[[#All],[PID]],0)),INDEX(Table3[[#All],[Last]],MATCH(A1071,Table3[[#All],[PID]],0)))</f>
        <v>Kemp</v>
      </c>
      <c r="G1071" s="56">
        <f>IF($C1071="B",INDEX(Batters[[#All],[Age]],MATCH(Table5[[#This Row],[PID]],Batters[[#All],[PID]],0)),INDEX(Table3[[#All],[Age]],MATCH(Table5[[#This Row],[PID]],Table3[[#All],[PID]],0)))</f>
        <v>22</v>
      </c>
      <c r="H1071" s="52" t="str">
        <f>IF($C1071="B",INDEX(Batters[[#All],[B]],MATCH(Table5[[#This Row],[PID]],Batters[[#All],[PID]],0)),INDEX(Table3[[#All],[B]],MATCH(Table5[[#This Row],[PID]],Table3[[#All],[PID]],0)))</f>
        <v>S</v>
      </c>
      <c r="I1071" s="52" t="str">
        <f>IF($C1071="B",INDEX(Batters[[#All],[T]],MATCH(Table5[[#This Row],[PID]],Batters[[#All],[PID]],0)),INDEX(Table3[[#All],[T]],MATCH(Table5[[#This Row],[PID]],Table3[[#All],[PID]],0)))</f>
        <v>R</v>
      </c>
      <c r="J1071" s="52" t="str">
        <f>IF($C1071="B",INDEX(Batters[[#All],[WE]],MATCH(Table5[[#This Row],[PID]],Batters[[#All],[PID]],0)),INDEX(Table3[[#All],[WE]],MATCH(Table5[[#This Row],[PID]],Table3[[#All],[PID]],0)))</f>
        <v>Low</v>
      </c>
      <c r="K1071" s="52" t="str">
        <f>IF($C1071="B",INDEX(Batters[[#All],[INT]],MATCH(Table5[[#This Row],[PID]],Batters[[#All],[PID]],0)),INDEX(Table3[[#All],[INT]],MATCH(Table5[[#This Row],[PID]],Table3[[#All],[PID]],0)))</f>
        <v>Normal</v>
      </c>
      <c r="L1071" s="60">
        <f>IF($C1071="B",INDEX(Batters[[#All],[CON P]],MATCH(Table5[[#This Row],[PID]],Batters[[#All],[PID]],0)),INDEX(Table3[[#All],[STU P]],MATCH(Table5[[#This Row],[PID]],Table3[[#All],[PID]],0)))</f>
        <v>4</v>
      </c>
      <c r="M1071" s="56">
        <f>IF($C1071="B",INDEX(Batters[[#All],[GAP P]],MATCH(Table5[[#This Row],[PID]],Batters[[#All],[PID]],0)),INDEX(Table3[[#All],[MOV P]],MATCH(Table5[[#This Row],[PID]],Table3[[#All],[PID]],0)))</f>
        <v>2</v>
      </c>
      <c r="N1071" s="56">
        <f>IF($C1071="B",INDEX(Batters[[#All],[POW P]],MATCH(Table5[[#This Row],[PID]],Batters[[#All],[PID]],0)),INDEX(Table3[[#All],[CON P]],MATCH(Table5[[#This Row],[PID]],Table3[[#All],[PID]],0)))</f>
        <v>3</v>
      </c>
      <c r="O1071" s="56" t="str">
        <f>IF($C1071="B",INDEX(Batters[[#All],[EYE P]],MATCH(Table5[[#This Row],[PID]],Batters[[#All],[PID]],0)),INDEX(Table3[[#All],[VELO]],MATCH(Table5[[#This Row],[PID]],Table3[[#All],[PID]],0)))</f>
        <v>87-89 Mph</v>
      </c>
      <c r="P1071" s="56">
        <f>IF($C1071="B",INDEX(Batters[[#All],[K P]],MATCH(Table5[[#This Row],[PID]],Batters[[#All],[PID]],0)),INDEX(Table3[[#All],[STM]],MATCH(Table5[[#This Row],[PID]],Table3[[#All],[PID]],0)))</f>
        <v>3</v>
      </c>
      <c r="Q1071" s="61">
        <f>IF($C1071="B",INDEX(Batters[[#All],[Tot]],MATCH(Table5[[#This Row],[PID]],Batters[[#All],[PID]],0)),INDEX(Table3[[#All],[Tot]],MATCH(Table5[[#This Row],[PID]],Table3[[#All],[PID]],0)))</f>
        <v>26.736871641985026</v>
      </c>
      <c r="R1071" s="52">
        <f>IF($C1071="B",INDEX(Batters[[#All],[zScore]],MATCH(Table5[[#This Row],[PID]],Batters[[#All],[PID]],0)),INDEX(Table3[[#All],[zScore]],MATCH(Table5[[#This Row],[PID]],Table3[[#All],[PID]],0)))</f>
        <v>-0.75807971180519584</v>
      </c>
      <c r="S1071" s="58" t="str">
        <f>IF($C1071="B",INDEX(Batters[[#All],[DEM]],MATCH(Table5[[#This Row],[PID]],Batters[[#All],[PID]],0)),INDEX(Table3[[#All],[DEM]],MATCH(Table5[[#This Row],[PID]],Table3[[#All],[PID]],0)))</f>
        <v>-</v>
      </c>
      <c r="T1071" s="62">
        <f>IF($C1071="B",INDEX(Batters[[#All],[Rnk]],MATCH(Table5[[#This Row],[PID]],Batters[[#All],[PID]],0)),INDEX(Table3[[#All],[Rnk]],MATCH(Table5[[#This Row],[PID]],Table3[[#All],[PID]],0)))</f>
        <v>623</v>
      </c>
      <c r="U1071" s="68">
        <f>IF($C1071="B",VLOOKUP($A1071,Bat!$A$4:$BA$1621,47,FALSE),VLOOKUP($A1071,Pit!$A$4:$BF$1557,56,FALSE))</f>
        <v>0</v>
      </c>
      <c r="V1071" s="50">
        <f>IF($C1071="B",VLOOKUP($A1071,Bat!$A$4:$BA$1621,48,FALSE),VLOOKUP($A1071,Pit!$A$4:$BF$1557,57,FALSE))</f>
        <v>0</v>
      </c>
      <c r="W1071" s="50">
        <f>Table5[[#This Row],[posRnk]]+Table5[[#This Row],[zRnk]]+IF($W$3&lt;&gt;Table5[[#This Row],[Type]],50,0)</f>
        <v>1689</v>
      </c>
      <c r="X1071" s="51">
        <f>RANK(Table5[[#This Row],[zScore]],Table5[[#All],[zScore]])</f>
        <v>1016</v>
      </c>
      <c r="Y1071" s="50" t="str">
        <f>IFERROR(INDEX(DraftResults[[#All],[OVR]],MATCH(Table5[[#This Row],[PID]],DraftResults[[#All],[Player ID]],0)),"")</f>
        <v/>
      </c>
      <c r="Z10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1" s="50" t="str">
        <f>IFERROR(INDEX(DraftResults[[#All],[Pick in Round]],MATCH(Table5[[#This Row],[PID]],DraftResults[[#All],[Player ID]],0)),"")</f>
        <v/>
      </c>
      <c r="AB1071" s="50" t="str">
        <f>IFERROR(INDEX(DraftResults[[#All],[Team Name]],MATCH(Table5[[#This Row],[PID]],DraftResults[[#All],[Player ID]],0)),"")</f>
        <v/>
      </c>
      <c r="AC1071" s="50" t="str">
        <f>IF(Table5[[#This Row],[Ovr]]="","",IF(Table5[[#This Row],[cmbList]]="","",Table5[[#This Row],[cmbList]]-Table5[[#This Row],[Ovr]]))</f>
        <v/>
      </c>
      <c r="AD1071" s="54" t="str">
        <f>IF(ISERROR(VLOOKUP($AB1071&amp;"-"&amp;$E1071&amp;" "&amp;F1071,Bonuses!$B$1:$G$1006,4,FALSE)),"",INT(VLOOKUP($AB1071&amp;"-"&amp;$E1071&amp;" "&amp;$F1071,Bonuses!$B$1:$G$1006,4,FALSE)))</f>
        <v/>
      </c>
      <c r="AE10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2" spans="1:31" s="50" customFormat="1" x14ac:dyDescent="0.25">
      <c r="A1072" s="50">
        <v>5564</v>
      </c>
      <c r="B1072" s="50">
        <f>COUNTIF(Table5[PID],A1072)</f>
        <v>1</v>
      </c>
      <c r="C1072" s="50" t="str">
        <f>IF(COUNTIF(Table3[[#All],[PID]],A1072)&gt;0,"P","B")</f>
        <v>P</v>
      </c>
      <c r="D1072" s="59" t="str">
        <f>IF($C1072="B",INDEX(Batters[[#All],[POS]],MATCH(Table5[[#This Row],[PID]],Batters[[#All],[PID]],0)),INDEX(Table3[[#All],[POS]],MATCH(Table5[[#This Row],[PID]],Table3[[#All],[PID]],0)))</f>
        <v>RP</v>
      </c>
      <c r="E1072" s="52" t="str">
        <f>IF($C1072="B",INDEX(Batters[[#All],[First]],MATCH(Table5[[#This Row],[PID]],Batters[[#All],[PID]],0)),INDEX(Table3[[#All],[First]],MATCH(Table5[[#This Row],[PID]],Table3[[#All],[PID]],0)))</f>
        <v>Davey</v>
      </c>
      <c r="F1072" s="50" t="str">
        <f>IF($C1072="B",INDEX(Batters[[#All],[Last]],MATCH(A1072,Batters[[#All],[PID]],0)),INDEX(Table3[[#All],[Last]],MATCH(A1072,Table3[[#All],[PID]],0)))</f>
        <v>Flores</v>
      </c>
      <c r="G1072" s="56">
        <f>IF($C1072="B",INDEX(Batters[[#All],[Age]],MATCH(Table5[[#This Row],[PID]],Batters[[#All],[PID]],0)),INDEX(Table3[[#All],[Age]],MATCH(Table5[[#This Row],[PID]],Table3[[#All],[PID]],0)))</f>
        <v>22</v>
      </c>
      <c r="H1072" s="52" t="str">
        <f>IF($C1072="B",INDEX(Batters[[#All],[B]],MATCH(Table5[[#This Row],[PID]],Batters[[#All],[PID]],0)),INDEX(Table3[[#All],[B]],MATCH(Table5[[#This Row],[PID]],Table3[[#All],[PID]],0)))</f>
        <v>R</v>
      </c>
      <c r="I1072" s="52" t="str">
        <f>IF($C1072="B",INDEX(Batters[[#All],[T]],MATCH(Table5[[#This Row],[PID]],Batters[[#All],[PID]],0)),INDEX(Table3[[#All],[T]],MATCH(Table5[[#This Row],[PID]],Table3[[#All],[PID]],0)))</f>
        <v>R</v>
      </c>
      <c r="J1072" s="52" t="str">
        <f>IF($C1072="B",INDEX(Batters[[#All],[WE]],MATCH(Table5[[#This Row],[PID]],Batters[[#All],[PID]],0)),INDEX(Table3[[#All],[WE]],MATCH(Table5[[#This Row],[PID]],Table3[[#All],[PID]],0)))</f>
        <v>Low</v>
      </c>
      <c r="K1072" s="52" t="str">
        <f>IF($C1072="B",INDEX(Batters[[#All],[INT]],MATCH(Table5[[#This Row],[PID]],Batters[[#All],[PID]],0)),INDEX(Table3[[#All],[INT]],MATCH(Table5[[#This Row],[PID]],Table3[[#All],[PID]],0)))</f>
        <v>Normal</v>
      </c>
      <c r="L1072" s="60">
        <f>IF($C1072="B",INDEX(Batters[[#All],[CON P]],MATCH(Table5[[#This Row],[PID]],Batters[[#All],[PID]],0)),INDEX(Table3[[#All],[STU P]],MATCH(Table5[[#This Row],[PID]],Table3[[#All],[PID]],0)))</f>
        <v>3</v>
      </c>
      <c r="M1072" s="56">
        <f>IF($C1072="B",INDEX(Batters[[#All],[GAP P]],MATCH(Table5[[#This Row],[PID]],Batters[[#All],[PID]],0)),INDEX(Table3[[#All],[MOV P]],MATCH(Table5[[#This Row],[PID]],Table3[[#All],[PID]],0)))</f>
        <v>1</v>
      </c>
      <c r="N1072" s="56">
        <f>IF($C1072="B",INDEX(Batters[[#All],[POW P]],MATCH(Table5[[#This Row],[PID]],Batters[[#All],[PID]],0)),INDEX(Table3[[#All],[CON P]],MATCH(Table5[[#This Row],[PID]],Table3[[#All],[PID]],0)))</f>
        <v>3</v>
      </c>
      <c r="O1072" s="56" t="str">
        <f>IF($C1072="B",INDEX(Batters[[#All],[EYE P]],MATCH(Table5[[#This Row],[PID]],Batters[[#All],[PID]],0)),INDEX(Table3[[#All],[VELO]],MATCH(Table5[[#This Row],[PID]],Table3[[#All],[PID]],0)))</f>
        <v>84-86 Mph</v>
      </c>
      <c r="P1072" s="56">
        <f>IF($C1072="B",INDEX(Batters[[#All],[K P]],MATCH(Table5[[#This Row],[PID]],Batters[[#All],[PID]],0)),INDEX(Table3[[#All],[STM]],MATCH(Table5[[#This Row],[PID]],Table3[[#All],[PID]],0)))</f>
        <v>5</v>
      </c>
      <c r="Q1072" s="61">
        <f>IF($C1072="B",INDEX(Batters[[#All],[Tot]],MATCH(Table5[[#This Row],[PID]],Batters[[#All],[PID]],0)),INDEX(Table3[[#All],[Tot]],MATCH(Table5[[#This Row],[PID]],Table3[[#All],[PID]],0)))</f>
        <v>24.419684701563572</v>
      </c>
      <c r="R1072" s="52">
        <f>IF($C1072="B",INDEX(Batters[[#All],[zScore]],MATCH(Table5[[#This Row],[PID]],Batters[[#All],[PID]],0)),INDEX(Table3[[#All],[zScore]],MATCH(Table5[[#This Row],[PID]],Table3[[#All],[PID]],0)))</f>
        <v>-0.76180697631392136</v>
      </c>
      <c r="S1072" s="58" t="str">
        <f>IF($C1072="B",INDEX(Batters[[#All],[DEM]],MATCH(Table5[[#This Row],[PID]],Batters[[#All],[PID]],0)),INDEX(Table3[[#All],[DEM]],MATCH(Table5[[#This Row],[PID]],Table3[[#All],[PID]],0)))</f>
        <v>-</v>
      </c>
      <c r="T1072" s="62">
        <f>IF($C1072="B",INDEX(Batters[[#All],[Rnk]],MATCH(Table5[[#This Row],[PID]],Batters[[#All],[PID]],0)),INDEX(Table3[[#All],[Rnk]],MATCH(Table5[[#This Row],[PID]],Table3[[#All],[PID]],0)))</f>
        <v>625</v>
      </c>
      <c r="U1072" s="68">
        <f>IF($C1072="B",VLOOKUP($A1072,Bat!$A$4:$BA$1621,47,FALSE),VLOOKUP($A1072,Pit!$A$4:$BF$1557,56,FALSE))</f>
        <v>0</v>
      </c>
      <c r="V1072" s="50">
        <f>IF($C1072="B",VLOOKUP($A1072,Bat!$A$4:$BA$1621,48,FALSE),VLOOKUP($A1072,Pit!$A$4:$BF$1557,57,FALSE))</f>
        <v>0</v>
      </c>
      <c r="W1072" s="50">
        <f>Table5[[#This Row],[posRnk]]+Table5[[#This Row],[zRnk]]+IF($W$3&lt;&gt;Table5[[#This Row],[Type]],50,0)</f>
        <v>1694</v>
      </c>
      <c r="X1072" s="51">
        <f>RANK(Table5[[#This Row],[zScore]],Table5[[#All],[zScore]])</f>
        <v>1019</v>
      </c>
      <c r="Y1072" s="50" t="str">
        <f>IFERROR(INDEX(DraftResults[[#All],[OVR]],MATCH(Table5[[#This Row],[PID]],DraftResults[[#All],[Player ID]],0)),"")</f>
        <v/>
      </c>
      <c r="Z10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2" s="50" t="str">
        <f>IFERROR(INDEX(DraftResults[[#All],[Pick in Round]],MATCH(Table5[[#This Row],[PID]],DraftResults[[#All],[Player ID]],0)),"")</f>
        <v/>
      </c>
      <c r="AB1072" s="50" t="str">
        <f>IFERROR(INDEX(DraftResults[[#All],[Team Name]],MATCH(Table5[[#This Row],[PID]],DraftResults[[#All],[Player ID]],0)),"")</f>
        <v/>
      </c>
      <c r="AC1072" s="50" t="str">
        <f>IF(Table5[[#This Row],[Ovr]]="","",IF(Table5[[#This Row],[cmbList]]="","",Table5[[#This Row],[cmbList]]-Table5[[#This Row],[Ovr]]))</f>
        <v/>
      </c>
      <c r="AD1072" s="54" t="str">
        <f>IF(ISERROR(VLOOKUP($AB1072&amp;"-"&amp;$E1072&amp;" "&amp;F1072,Bonuses!$B$1:$G$1006,4,FALSE)),"",INT(VLOOKUP($AB1072&amp;"-"&amp;$E1072&amp;" "&amp;$F1072,Bonuses!$B$1:$G$1006,4,FALSE)))</f>
        <v/>
      </c>
      <c r="AE10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3" spans="1:31" s="50" customFormat="1" x14ac:dyDescent="0.25">
      <c r="A1073" s="50">
        <v>20937</v>
      </c>
      <c r="B1073" s="50">
        <f>COUNTIF(Table5[PID],A1073)</f>
        <v>1</v>
      </c>
      <c r="C1073" s="50" t="str">
        <f>IF(COUNTIF(Table3[[#All],[PID]],A1073)&gt;0,"P","B")</f>
        <v>B</v>
      </c>
      <c r="D1073" s="59" t="str">
        <f>IF($C1073="B",INDEX(Batters[[#All],[POS]],MATCH(Table5[[#This Row],[PID]],Batters[[#All],[PID]],0)),INDEX(Table3[[#All],[POS]],MATCH(Table5[[#This Row],[PID]],Table3[[#All],[PID]],0)))</f>
        <v>C</v>
      </c>
      <c r="E1073" s="52" t="str">
        <f>IF($C1073="B",INDEX(Batters[[#All],[First]],MATCH(Table5[[#This Row],[PID]],Batters[[#All],[PID]],0)),INDEX(Table3[[#All],[First]],MATCH(Table5[[#This Row],[PID]],Table3[[#All],[PID]],0)))</f>
        <v>Darren</v>
      </c>
      <c r="F1073" s="50" t="str">
        <f>IF($C1073="B",INDEX(Batters[[#All],[Last]],MATCH(A1073,Batters[[#All],[PID]],0)),INDEX(Table3[[#All],[Last]],MATCH(A1073,Table3[[#All],[PID]],0)))</f>
        <v>Wolfe</v>
      </c>
      <c r="G1073" s="56">
        <f>IF($C1073="B",INDEX(Batters[[#All],[Age]],MATCH(Table5[[#This Row],[PID]],Batters[[#All],[PID]],0)),INDEX(Table3[[#All],[Age]],MATCH(Table5[[#This Row],[PID]],Table3[[#All],[PID]],0)))</f>
        <v>18</v>
      </c>
      <c r="H1073" s="52" t="str">
        <f>IF($C1073="B",INDEX(Batters[[#All],[B]],MATCH(Table5[[#This Row],[PID]],Batters[[#All],[PID]],0)),INDEX(Table3[[#All],[B]],MATCH(Table5[[#This Row],[PID]],Table3[[#All],[PID]],0)))</f>
        <v>R</v>
      </c>
      <c r="I1073" s="52" t="str">
        <f>IF($C1073="B",INDEX(Batters[[#All],[T]],MATCH(Table5[[#This Row],[PID]],Batters[[#All],[PID]],0)),INDEX(Table3[[#All],[T]],MATCH(Table5[[#This Row],[PID]],Table3[[#All],[PID]],0)))</f>
        <v>R</v>
      </c>
      <c r="J1073" s="52" t="str">
        <f>IF($C1073="B",INDEX(Batters[[#All],[WE]],MATCH(Table5[[#This Row],[PID]],Batters[[#All],[PID]],0)),INDEX(Table3[[#All],[WE]],MATCH(Table5[[#This Row],[PID]],Table3[[#All],[PID]],0)))</f>
        <v>Low</v>
      </c>
      <c r="K1073" s="52" t="str">
        <f>IF($C1073="B",INDEX(Batters[[#All],[INT]],MATCH(Table5[[#This Row],[PID]],Batters[[#All],[PID]],0)),INDEX(Table3[[#All],[INT]],MATCH(Table5[[#This Row],[PID]],Table3[[#All],[PID]],0)))</f>
        <v>Normal</v>
      </c>
      <c r="L1073" s="60">
        <f>IF($C1073="B",INDEX(Batters[[#All],[CON P]],MATCH(Table5[[#This Row],[PID]],Batters[[#All],[PID]],0)),INDEX(Table3[[#All],[STU P]],MATCH(Table5[[#This Row],[PID]],Table3[[#All],[PID]],0)))</f>
        <v>2</v>
      </c>
      <c r="M1073" s="56">
        <f>IF($C1073="B",INDEX(Batters[[#All],[GAP P]],MATCH(Table5[[#This Row],[PID]],Batters[[#All],[PID]],0)),INDEX(Table3[[#All],[MOV P]],MATCH(Table5[[#This Row],[PID]],Table3[[#All],[PID]],0)))</f>
        <v>5</v>
      </c>
      <c r="N1073" s="56">
        <f>IF($C1073="B",INDEX(Batters[[#All],[POW P]],MATCH(Table5[[#This Row],[PID]],Batters[[#All],[PID]],0)),INDEX(Table3[[#All],[CON P]],MATCH(Table5[[#This Row],[PID]],Table3[[#All],[PID]],0)))</f>
        <v>5</v>
      </c>
      <c r="O1073" s="56">
        <f>IF($C1073="B",INDEX(Batters[[#All],[EYE P]],MATCH(Table5[[#This Row],[PID]],Batters[[#All],[PID]],0)),INDEX(Table3[[#All],[VELO]],MATCH(Table5[[#This Row],[PID]],Table3[[#All],[PID]],0)))</f>
        <v>6</v>
      </c>
      <c r="P1073" s="56">
        <f>IF($C1073="B",INDEX(Batters[[#All],[K P]],MATCH(Table5[[#This Row],[PID]],Batters[[#All],[PID]],0)),INDEX(Table3[[#All],[STM]],MATCH(Table5[[#This Row],[PID]],Table3[[#All],[PID]],0)))</f>
        <v>2</v>
      </c>
      <c r="Q1073" s="61">
        <f>IF($C1073="B",INDEX(Batters[[#All],[Tot]],MATCH(Table5[[#This Row],[PID]],Batters[[#All],[PID]],0)),INDEX(Table3[[#All],[Tot]],MATCH(Table5[[#This Row],[PID]],Table3[[#All],[PID]],0)))</f>
        <v>40.685264723550077</v>
      </c>
      <c r="R1073" s="52">
        <f>IF($C1073="B",INDEX(Batters[[#All],[zScore]],MATCH(Table5[[#This Row],[PID]],Batters[[#All],[PID]],0)),INDEX(Table3[[#All],[zScore]],MATCH(Table5[[#This Row],[PID]],Table3[[#All],[PID]],0)))</f>
        <v>-0.7641511444360084</v>
      </c>
      <c r="S1073" s="58" t="str">
        <f>IF($C1073="B",INDEX(Batters[[#All],[DEM]],MATCH(Table5[[#This Row],[PID]],Batters[[#All],[PID]],0)),INDEX(Table3[[#All],[DEM]],MATCH(Table5[[#This Row],[PID]],Table3[[#All],[PID]],0)))</f>
        <v>$75k</v>
      </c>
      <c r="T1073" s="62">
        <f>IF($C1073="B",INDEX(Batters[[#All],[Rnk]],MATCH(Table5[[#This Row],[PID]],Batters[[#All],[PID]],0)),INDEX(Table3[[#All],[Rnk]],MATCH(Table5[[#This Row],[PID]],Table3[[#All],[PID]],0)))</f>
        <v>394</v>
      </c>
      <c r="U1073" s="68">
        <f>IF($C1073="B",VLOOKUP($A1073,Bat!$A$4:$BA$1621,47,FALSE),VLOOKUP($A1073,Pit!$A$4:$BF$1557,56,FALSE))</f>
        <v>0</v>
      </c>
      <c r="V1073" s="50">
        <f>IF($C1073="B",VLOOKUP($A1073,Bat!$A$4:$BA$1621,48,FALSE),VLOOKUP($A1073,Pit!$A$4:$BF$1557,57,FALSE))</f>
        <v>0</v>
      </c>
      <c r="W1073" s="50">
        <f>Table5[[#This Row],[posRnk]]+Table5[[#This Row],[zRnk]]+IF($W$3&lt;&gt;Table5[[#This Row],[Type]],50,0)</f>
        <v>1464</v>
      </c>
      <c r="X1073" s="51">
        <f>RANK(Table5[[#This Row],[zScore]],Table5[[#All],[zScore]])</f>
        <v>1020</v>
      </c>
      <c r="Y1073" s="50" t="str">
        <f>IFERROR(INDEX(DraftResults[[#All],[OVR]],MATCH(Table5[[#This Row],[PID]],DraftResults[[#All],[Player ID]],0)),"")</f>
        <v/>
      </c>
      <c r="Z10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3" s="50" t="str">
        <f>IFERROR(INDEX(DraftResults[[#All],[Pick in Round]],MATCH(Table5[[#This Row],[PID]],DraftResults[[#All],[Player ID]],0)),"")</f>
        <v/>
      </c>
      <c r="AB1073" s="50" t="str">
        <f>IFERROR(INDEX(DraftResults[[#All],[Team Name]],MATCH(Table5[[#This Row],[PID]],DraftResults[[#All],[Player ID]],0)),"")</f>
        <v/>
      </c>
      <c r="AC1073" s="50" t="str">
        <f>IF(Table5[[#This Row],[Ovr]]="","",IF(Table5[[#This Row],[cmbList]]="","",Table5[[#This Row],[cmbList]]-Table5[[#This Row],[Ovr]]))</f>
        <v/>
      </c>
      <c r="AD1073" s="54" t="str">
        <f>IF(ISERROR(VLOOKUP($AB1073&amp;"-"&amp;$E1073&amp;" "&amp;F1073,Bonuses!$B$1:$G$1006,4,FALSE)),"",INT(VLOOKUP($AB1073&amp;"-"&amp;$E1073&amp;" "&amp;$F1073,Bonuses!$B$1:$G$1006,4,FALSE)))</f>
        <v/>
      </c>
      <c r="AE10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4" spans="1:31" s="50" customFormat="1" x14ac:dyDescent="0.25">
      <c r="A1074" s="50">
        <v>17816</v>
      </c>
      <c r="B1074" s="50">
        <f>COUNTIF(Table5[PID],A1074)</f>
        <v>1</v>
      </c>
      <c r="C1074" s="50" t="str">
        <f>IF(COUNTIF(Table3[[#All],[PID]],A1074)&gt;0,"P","B")</f>
        <v>P</v>
      </c>
      <c r="D1074" s="59" t="str">
        <f>IF($C1074="B",INDEX(Batters[[#All],[POS]],MATCH(Table5[[#This Row],[PID]],Batters[[#All],[PID]],0)),INDEX(Table3[[#All],[POS]],MATCH(Table5[[#This Row],[PID]],Table3[[#All],[PID]],0)))</f>
        <v>RP</v>
      </c>
      <c r="E1074" s="52" t="str">
        <f>IF($C1074="B",INDEX(Batters[[#All],[First]],MATCH(Table5[[#This Row],[PID]],Batters[[#All],[PID]],0)),INDEX(Table3[[#All],[First]],MATCH(Table5[[#This Row],[PID]],Table3[[#All],[PID]],0)))</f>
        <v>Ryuichi</v>
      </c>
      <c r="F1074" s="50" t="str">
        <f>IF($C1074="B",INDEX(Batters[[#All],[Last]],MATCH(A1074,Batters[[#All],[PID]],0)),INDEX(Table3[[#All],[Last]],MATCH(A1074,Table3[[#All],[PID]],0)))</f>
        <v>Yokoyama</v>
      </c>
      <c r="G1074" s="56">
        <f>IF($C1074="B",INDEX(Batters[[#All],[Age]],MATCH(Table5[[#This Row],[PID]],Batters[[#All],[PID]],0)),INDEX(Table3[[#All],[Age]],MATCH(Table5[[#This Row],[PID]],Table3[[#All],[PID]],0)))</f>
        <v>22</v>
      </c>
      <c r="H1074" s="52" t="str">
        <f>IF($C1074="B",INDEX(Batters[[#All],[B]],MATCH(Table5[[#This Row],[PID]],Batters[[#All],[PID]],0)),INDEX(Table3[[#All],[B]],MATCH(Table5[[#This Row],[PID]],Table3[[#All],[PID]],0)))</f>
        <v>R</v>
      </c>
      <c r="I1074" s="52" t="str">
        <f>IF($C1074="B",INDEX(Batters[[#All],[T]],MATCH(Table5[[#This Row],[PID]],Batters[[#All],[PID]],0)),INDEX(Table3[[#All],[T]],MATCH(Table5[[#This Row],[PID]],Table3[[#All],[PID]],0)))</f>
        <v>L</v>
      </c>
      <c r="J1074" s="52" t="str">
        <f>IF($C1074="B",INDEX(Batters[[#All],[WE]],MATCH(Table5[[#This Row],[PID]],Batters[[#All],[PID]],0)),INDEX(Table3[[#All],[WE]],MATCH(Table5[[#This Row],[PID]],Table3[[#All],[PID]],0)))</f>
        <v>High</v>
      </c>
      <c r="K1074" s="52" t="str">
        <f>IF($C1074="B",INDEX(Batters[[#All],[INT]],MATCH(Table5[[#This Row],[PID]],Batters[[#All],[PID]],0)),INDEX(Table3[[#All],[INT]],MATCH(Table5[[#This Row],[PID]],Table3[[#All],[PID]],0)))</f>
        <v>Normal</v>
      </c>
      <c r="L1074" s="60">
        <f>IF($C1074="B",INDEX(Batters[[#All],[CON P]],MATCH(Table5[[#This Row],[PID]],Batters[[#All],[PID]],0)),INDEX(Table3[[#All],[STU P]],MATCH(Table5[[#This Row],[PID]],Table3[[#All],[PID]],0)))</f>
        <v>4</v>
      </c>
      <c r="M1074" s="56">
        <f>IF($C1074="B",INDEX(Batters[[#All],[GAP P]],MATCH(Table5[[#This Row],[PID]],Batters[[#All],[PID]],0)),INDEX(Table3[[#All],[MOV P]],MATCH(Table5[[#This Row],[PID]],Table3[[#All],[PID]],0)))</f>
        <v>1</v>
      </c>
      <c r="N1074" s="56">
        <f>IF($C1074="B",INDEX(Batters[[#All],[POW P]],MATCH(Table5[[#This Row],[PID]],Batters[[#All],[PID]],0)),INDEX(Table3[[#All],[CON P]],MATCH(Table5[[#This Row],[PID]],Table3[[#All],[PID]],0)))</f>
        <v>3</v>
      </c>
      <c r="O1074" s="56" t="str">
        <f>IF($C1074="B",INDEX(Batters[[#All],[EYE P]],MATCH(Table5[[#This Row],[PID]],Batters[[#All],[PID]],0)),INDEX(Table3[[#All],[VELO]],MATCH(Table5[[#This Row],[PID]],Table3[[#All],[PID]],0)))</f>
        <v>88-90 Mph</v>
      </c>
      <c r="P1074" s="56">
        <f>IF($C1074="B",INDEX(Batters[[#All],[K P]],MATCH(Table5[[#This Row],[PID]],Batters[[#All],[PID]],0)),INDEX(Table3[[#All],[STM]],MATCH(Table5[[#This Row],[PID]],Table3[[#All],[PID]],0)))</f>
        <v>7</v>
      </c>
      <c r="Q1074" s="61">
        <f>IF($C1074="B",INDEX(Batters[[#All],[Tot]],MATCH(Table5[[#This Row],[PID]],Batters[[#All],[PID]],0)),INDEX(Table3[[#All],[Tot]],MATCH(Table5[[#This Row],[PID]],Table3[[#All],[PID]],0)))</f>
        <v>26.202958541637923</v>
      </c>
      <c r="R1074" s="52">
        <f>IF($C1074="B",INDEX(Batters[[#All],[zScore]],MATCH(Table5[[#This Row],[PID]],Batters[[#All],[PID]],0)),INDEX(Table3[[#All],[zScore]],MATCH(Table5[[#This Row],[PID]],Table3[[#All],[PID]],0)))</f>
        <v>-0.76534295455385426</v>
      </c>
      <c r="S1074" s="58" t="str">
        <f>IF($C1074="B",INDEX(Batters[[#All],[DEM]],MATCH(Table5[[#This Row],[PID]],Batters[[#All],[PID]],0)),INDEX(Table3[[#All],[DEM]],MATCH(Table5[[#This Row],[PID]],Table3[[#All],[PID]],0)))</f>
        <v>-</v>
      </c>
      <c r="T1074" s="62">
        <f>IF($C1074="B",INDEX(Batters[[#All],[Rnk]],MATCH(Table5[[#This Row],[PID]],Batters[[#All],[PID]],0)),INDEX(Table3[[#All],[Rnk]],MATCH(Table5[[#This Row],[PID]],Table3[[#All],[PID]],0)))</f>
        <v>626</v>
      </c>
      <c r="U1074" s="68">
        <f>IF($C1074="B",VLOOKUP($A1074,Bat!$A$4:$BA$1621,47,FALSE),VLOOKUP($A1074,Pit!$A$4:$BF$1557,56,FALSE))</f>
        <v>0</v>
      </c>
      <c r="V1074" s="50">
        <f>IF($C1074="B",VLOOKUP($A1074,Bat!$A$4:$BA$1621,48,FALSE),VLOOKUP($A1074,Pit!$A$4:$BF$1557,57,FALSE))</f>
        <v>0</v>
      </c>
      <c r="W1074" s="50">
        <f>Table5[[#This Row],[posRnk]]+Table5[[#This Row],[zRnk]]+IF($W$3&lt;&gt;Table5[[#This Row],[Type]],50,0)</f>
        <v>1698</v>
      </c>
      <c r="X1074" s="51">
        <f>RANK(Table5[[#This Row],[zScore]],Table5[[#All],[zScore]])</f>
        <v>1022</v>
      </c>
      <c r="Y1074" s="50" t="str">
        <f>IFERROR(INDEX(DraftResults[[#All],[OVR]],MATCH(Table5[[#This Row],[PID]],DraftResults[[#All],[Player ID]],0)),"")</f>
        <v/>
      </c>
      <c r="Z10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4" s="50" t="str">
        <f>IFERROR(INDEX(DraftResults[[#All],[Pick in Round]],MATCH(Table5[[#This Row],[PID]],DraftResults[[#All],[Player ID]],0)),"")</f>
        <v/>
      </c>
      <c r="AB1074" s="50" t="str">
        <f>IFERROR(INDEX(DraftResults[[#All],[Team Name]],MATCH(Table5[[#This Row],[PID]],DraftResults[[#All],[Player ID]],0)),"")</f>
        <v/>
      </c>
      <c r="AC1074" s="50" t="str">
        <f>IF(Table5[[#This Row],[Ovr]]="","",IF(Table5[[#This Row],[cmbList]]="","",Table5[[#This Row],[cmbList]]-Table5[[#This Row],[Ovr]]))</f>
        <v/>
      </c>
      <c r="AD1074" s="54" t="str">
        <f>IF(ISERROR(VLOOKUP($AB1074&amp;"-"&amp;$E1074&amp;" "&amp;F1074,Bonuses!$B$1:$G$1006,4,FALSE)),"",INT(VLOOKUP($AB1074&amp;"-"&amp;$E1074&amp;" "&amp;$F1074,Bonuses!$B$1:$G$1006,4,FALSE)))</f>
        <v/>
      </c>
      <c r="AE10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5" spans="1:31" s="50" customFormat="1" x14ac:dyDescent="0.25">
      <c r="A1075" s="50">
        <v>18019</v>
      </c>
      <c r="B1075" s="50">
        <f>COUNTIF(Table5[PID],A1075)</f>
        <v>1</v>
      </c>
      <c r="C1075" s="50" t="str">
        <f>IF(COUNTIF(Table3[[#All],[PID]],A1075)&gt;0,"P","B")</f>
        <v>P</v>
      </c>
      <c r="D1075" s="59" t="str">
        <f>IF($C1075="B",INDEX(Batters[[#All],[POS]],MATCH(Table5[[#This Row],[PID]],Batters[[#All],[PID]],0)),INDEX(Table3[[#All],[POS]],MATCH(Table5[[#This Row],[PID]],Table3[[#All],[PID]],0)))</f>
        <v>RP</v>
      </c>
      <c r="E1075" s="52" t="str">
        <f>IF($C1075="B",INDEX(Batters[[#All],[First]],MATCH(Table5[[#This Row],[PID]],Batters[[#All],[PID]],0)),INDEX(Table3[[#All],[First]],MATCH(Table5[[#This Row],[PID]],Table3[[#All],[PID]],0)))</f>
        <v>Dave</v>
      </c>
      <c r="F1075" s="50" t="str">
        <f>IF($C1075="B",INDEX(Batters[[#All],[Last]],MATCH(A1075,Batters[[#All],[PID]],0)),INDEX(Table3[[#All],[Last]],MATCH(A1075,Table3[[#All],[PID]],0)))</f>
        <v>Robertson</v>
      </c>
      <c r="G1075" s="56">
        <f>IF($C1075="B",INDEX(Batters[[#All],[Age]],MATCH(Table5[[#This Row],[PID]],Batters[[#All],[PID]],0)),INDEX(Table3[[#All],[Age]],MATCH(Table5[[#This Row],[PID]],Table3[[#All],[PID]],0)))</f>
        <v>21</v>
      </c>
      <c r="H1075" s="52" t="str">
        <f>IF($C1075="B",INDEX(Batters[[#All],[B]],MATCH(Table5[[#This Row],[PID]],Batters[[#All],[PID]],0)),INDEX(Table3[[#All],[B]],MATCH(Table5[[#This Row],[PID]],Table3[[#All],[PID]],0)))</f>
        <v>L</v>
      </c>
      <c r="I1075" s="52" t="str">
        <f>IF($C1075="B",INDEX(Batters[[#All],[T]],MATCH(Table5[[#This Row],[PID]],Batters[[#All],[PID]],0)),INDEX(Table3[[#All],[T]],MATCH(Table5[[#This Row],[PID]],Table3[[#All],[PID]],0)))</f>
        <v>L</v>
      </c>
      <c r="J1075" s="52" t="str">
        <f>IF($C1075="B",INDEX(Batters[[#All],[WE]],MATCH(Table5[[#This Row],[PID]],Batters[[#All],[PID]],0)),INDEX(Table3[[#All],[WE]],MATCH(Table5[[#This Row],[PID]],Table3[[#All],[PID]],0)))</f>
        <v>Normal</v>
      </c>
      <c r="K1075" s="52" t="str">
        <f>IF($C1075="B",INDEX(Batters[[#All],[INT]],MATCH(Table5[[#This Row],[PID]],Batters[[#All],[PID]],0)),INDEX(Table3[[#All],[INT]],MATCH(Table5[[#This Row],[PID]],Table3[[#All],[PID]],0)))</f>
        <v>Normal</v>
      </c>
      <c r="L1075" s="60">
        <f>IF($C1075="B",INDEX(Batters[[#All],[CON P]],MATCH(Table5[[#This Row],[PID]],Batters[[#All],[PID]],0)),INDEX(Table3[[#All],[STU P]],MATCH(Table5[[#This Row],[PID]],Table3[[#All],[PID]],0)))</f>
        <v>4</v>
      </c>
      <c r="M1075" s="56">
        <f>IF($C1075="B",INDEX(Batters[[#All],[GAP P]],MATCH(Table5[[#This Row],[PID]],Batters[[#All],[PID]],0)),INDEX(Table3[[#All],[MOV P]],MATCH(Table5[[#This Row],[PID]],Table3[[#All],[PID]],0)))</f>
        <v>2</v>
      </c>
      <c r="N1075" s="56">
        <f>IF($C1075="B",INDEX(Batters[[#All],[POW P]],MATCH(Table5[[#This Row],[PID]],Batters[[#All],[PID]],0)),INDEX(Table3[[#All],[CON P]],MATCH(Table5[[#This Row],[PID]],Table3[[#All],[PID]],0)))</f>
        <v>2</v>
      </c>
      <c r="O1075" s="56" t="str">
        <f>IF($C1075="B",INDEX(Batters[[#All],[EYE P]],MATCH(Table5[[#This Row],[PID]],Batters[[#All],[PID]],0)),INDEX(Table3[[#All],[VELO]],MATCH(Table5[[#This Row],[PID]],Table3[[#All],[PID]],0)))</f>
        <v>87-89 Mph</v>
      </c>
      <c r="P1075" s="56">
        <f>IF($C1075="B",INDEX(Batters[[#All],[K P]],MATCH(Table5[[#This Row],[PID]],Batters[[#All],[PID]],0)),INDEX(Table3[[#All],[STM]],MATCH(Table5[[#This Row],[PID]],Table3[[#All],[PID]],0)))</f>
        <v>8</v>
      </c>
      <c r="Q1075" s="61">
        <f>IF($C1075="B",INDEX(Batters[[#All],[Tot]],MATCH(Table5[[#This Row],[PID]],Batters[[#All],[PID]],0)),INDEX(Table3[[#All],[Tot]],MATCH(Table5[[#This Row],[PID]],Table3[[#All],[PID]],0)))</f>
        <v>24.354463136217525</v>
      </c>
      <c r="R1075" s="52">
        <f>IF($C1075="B",INDEX(Batters[[#All],[zScore]],MATCH(Table5[[#This Row],[PID]],Batters[[#All],[PID]],0)),INDEX(Table3[[#All],[zScore]],MATCH(Table5[[#This Row],[PID]],Table3[[#All],[PID]],0)))</f>
        <v>-0.76614606739074309</v>
      </c>
      <c r="S1075" s="58" t="str">
        <f>IF($C1075="B",INDEX(Batters[[#All],[DEM]],MATCH(Table5[[#This Row],[PID]],Batters[[#All],[PID]],0)),INDEX(Table3[[#All],[DEM]],MATCH(Table5[[#This Row],[PID]],Table3[[#All],[PID]],0)))</f>
        <v>-</v>
      </c>
      <c r="T1075" s="62">
        <f>IF($C1075="B",INDEX(Batters[[#All],[Rnk]],MATCH(Table5[[#This Row],[PID]],Batters[[#All],[PID]],0)),INDEX(Table3[[#All],[Rnk]],MATCH(Table5[[#This Row],[PID]],Table3[[#All],[PID]],0)))</f>
        <v>627</v>
      </c>
      <c r="U1075" s="68">
        <f>IF($C1075="B",VLOOKUP($A1075,Bat!$A$4:$BA$1621,47,FALSE),VLOOKUP($A1075,Pit!$A$4:$BF$1557,56,FALSE))</f>
        <v>0</v>
      </c>
      <c r="V1075" s="50">
        <f>IF($C1075="B",VLOOKUP($A1075,Bat!$A$4:$BA$1621,48,FALSE),VLOOKUP($A1075,Pit!$A$4:$BF$1557,57,FALSE))</f>
        <v>0</v>
      </c>
      <c r="W1075" s="50">
        <f>Table5[[#This Row],[posRnk]]+Table5[[#This Row],[zRnk]]+IF($W$3&lt;&gt;Table5[[#This Row],[Type]],50,0)</f>
        <v>1700</v>
      </c>
      <c r="X1075" s="51">
        <f>RANK(Table5[[#This Row],[zScore]],Table5[[#All],[zScore]])</f>
        <v>1023</v>
      </c>
      <c r="Y1075" s="50" t="str">
        <f>IFERROR(INDEX(DraftResults[[#All],[OVR]],MATCH(Table5[[#This Row],[PID]],DraftResults[[#All],[Player ID]],0)),"")</f>
        <v/>
      </c>
      <c r="Z10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5" s="50" t="str">
        <f>IFERROR(INDEX(DraftResults[[#All],[Pick in Round]],MATCH(Table5[[#This Row],[PID]],DraftResults[[#All],[Player ID]],0)),"")</f>
        <v/>
      </c>
      <c r="AB1075" s="50" t="str">
        <f>IFERROR(INDEX(DraftResults[[#All],[Team Name]],MATCH(Table5[[#This Row],[PID]],DraftResults[[#All],[Player ID]],0)),"")</f>
        <v/>
      </c>
      <c r="AC1075" s="50" t="str">
        <f>IF(Table5[[#This Row],[Ovr]]="","",IF(Table5[[#This Row],[cmbList]]="","",Table5[[#This Row],[cmbList]]-Table5[[#This Row],[Ovr]]))</f>
        <v/>
      </c>
      <c r="AD1075" s="54" t="str">
        <f>IF(ISERROR(VLOOKUP($AB1075&amp;"-"&amp;$E1075&amp;" "&amp;F1075,Bonuses!$B$1:$G$1006,4,FALSE)),"",INT(VLOOKUP($AB1075&amp;"-"&amp;$E1075&amp;" "&amp;$F1075,Bonuses!$B$1:$G$1006,4,FALSE)))</f>
        <v/>
      </c>
      <c r="AE10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6" spans="1:31" s="50" customFormat="1" x14ac:dyDescent="0.25">
      <c r="A1076" s="68">
        <v>9751</v>
      </c>
      <c r="B1076" s="69">
        <f>COUNTIF(Table5[PID],A1076)</f>
        <v>1</v>
      </c>
      <c r="C1076" s="69" t="str">
        <f>IF(COUNTIF(Table3[[#All],[PID]],A1076)&gt;0,"P","B")</f>
        <v>P</v>
      </c>
      <c r="D1076" s="59" t="str">
        <f>IF($C1076="B",INDEX(Batters[[#All],[POS]],MATCH(Table5[[#This Row],[PID]],Batters[[#All],[PID]],0)),INDEX(Table3[[#All],[POS]],MATCH(Table5[[#This Row],[PID]],Table3[[#All],[PID]],0)))</f>
        <v>SP</v>
      </c>
      <c r="E1076" s="52" t="str">
        <f>IF($C1076="B",INDEX(Batters[[#All],[First]],MATCH(Table5[[#This Row],[PID]],Batters[[#All],[PID]],0)),INDEX(Table3[[#All],[First]],MATCH(Table5[[#This Row],[PID]],Table3[[#All],[PID]],0)))</f>
        <v>John</v>
      </c>
      <c r="F1076" s="55" t="str">
        <f>IF($C1076="B",INDEX(Batters[[#All],[Last]],MATCH(A1076,Batters[[#All],[PID]],0)),INDEX(Table3[[#All],[Last]],MATCH(A1076,Table3[[#All],[PID]],0)))</f>
        <v>Bonilla</v>
      </c>
      <c r="G1076" s="56">
        <f>IF($C1076="B",INDEX(Batters[[#All],[Age]],MATCH(Table5[[#This Row],[PID]],Batters[[#All],[PID]],0)),INDEX(Table3[[#All],[Age]],MATCH(Table5[[#This Row],[PID]],Table3[[#All],[PID]],0)))</f>
        <v>22</v>
      </c>
      <c r="H1076" s="52" t="str">
        <f>IF($C1076="B",INDEX(Batters[[#All],[B]],MATCH(Table5[[#This Row],[PID]],Batters[[#All],[PID]],0)),INDEX(Table3[[#All],[B]],MATCH(Table5[[#This Row],[PID]],Table3[[#All],[PID]],0)))</f>
        <v>L</v>
      </c>
      <c r="I1076" s="52" t="str">
        <f>IF($C1076="B",INDEX(Batters[[#All],[T]],MATCH(Table5[[#This Row],[PID]],Batters[[#All],[PID]],0)),INDEX(Table3[[#All],[T]],MATCH(Table5[[#This Row],[PID]],Table3[[#All],[PID]],0)))</f>
        <v>L</v>
      </c>
      <c r="J1076" s="71" t="str">
        <f>IF($C1076="B",INDEX(Batters[[#All],[WE]],MATCH(Table5[[#This Row],[PID]],Batters[[#All],[PID]],0)),INDEX(Table3[[#All],[WE]],MATCH(Table5[[#This Row],[PID]],Table3[[#All],[PID]],0)))</f>
        <v>Normal</v>
      </c>
      <c r="K1076" s="52" t="str">
        <f>IF($C1076="B",INDEX(Batters[[#All],[INT]],MATCH(Table5[[#This Row],[PID]],Batters[[#All],[PID]],0)),INDEX(Table3[[#All],[INT]],MATCH(Table5[[#This Row],[PID]],Table3[[#All],[PID]],0)))</f>
        <v>Normal</v>
      </c>
      <c r="L1076" s="60">
        <f>IF($C1076="B",INDEX(Batters[[#All],[CON P]],MATCH(Table5[[#This Row],[PID]],Batters[[#All],[PID]],0)),INDEX(Table3[[#All],[STU P]],MATCH(Table5[[#This Row],[PID]],Table3[[#All],[PID]],0)))</f>
        <v>3</v>
      </c>
      <c r="M1076" s="72">
        <f>IF($C1076="B",INDEX(Batters[[#All],[GAP P]],MATCH(Table5[[#This Row],[PID]],Batters[[#All],[PID]],0)),INDEX(Table3[[#All],[MOV P]],MATCH(Table5[[#This Row],[PID]],Table3[[#All],[PID]],0)))</f>
        <v>2</v>
      </c>
      <c r="N1076" s="72">
        <f>IF($C1076="B",INDEX(Batters[[#All],[POW P]],MATCH(Table5[[#This Row],[PID]],Batters[[#All],[PID]],0)),INDEX(Table3[[#All],[CON P]],MATCH(Table5[[#This Row],[PID]],Table3[[#All],[PID]],0)))</f>
        <v>3</v>
      </c>
      <c r="O1076" s="72" t="str">
        <f>IF($C1076="B",INDEX(Batters[[#All],[EYE P]],MATCH(Table5[[#This Row],[PID]],Batters[[#All],[PID]],0)),INDEX(Table3[[#All],[VELO]],MATCH(Table5[[#This Row],[PID]],Table3[[#All],[PID]],0)))</f>
        <v>91-93 Mph</v>
      </c>
      <c r="P1076" s="56">
        <f>IF($C1076="B",INDEX(Batters[[#All],[K P]],MATCH(Table5[[#This Row],[PID]],Batters[[#All],[PID]],0)),INDEX(Table3[[#All],[STM]],MATCH(Table5[[#This Row],[PID]],Table3[[#All],[PID]],0)))</f>
        <v>9</v>
      </c>
      <c r="Q1076" s="61">
        <f>IF($C1076="B",INDEX(Batters[[#All],[Tot]],MATCH(Table5[[#This Row],[PID]],Batters[[#All],[PID]],0)),INDEX(Table3[[#All],[Tot]],MATCH(Table5[[#This Row],[PID]],Table3[[#All],[PID]],0)))</f>
        <v>24.307047967116265</v>
      </c>
      <c r="R1076" s="52">
        <f>IF($C1076="B",INDEX(Batters[[#All],[zScore]],MATCH(Table5[[#This Row],[PID]],Batters[[#All],[PID]],0)),INDEX(Table3[[#All],[zScore]],MATCH(Table5[[#This Row],[PID]],Table3[[#All],[PID]],0)))</f>
        <v>-0.76930052613551081</v>
      </c>
      <c r="S1076" s="78" t="str">
        <f>IF($C1076="B",INDEX(Batters[[#All],[DEM]],MATCH(Table5[[#This Row],[PID]],Batters[[#All],[PID]],0)),INDEX(Table3[[#All],[DEM]],MATCH(Table5[[#This Row],[PID]],Table3[[#All],[PID]],0)))</f>
        <v>-</v>
      </c>
      <c r="T1076" s="75">
        <f>IF($C1076="B",INDEX(Batters[[#All],[Rnk]],MATCH(Table5[[#This Row],[PID]],Batters[[#All],[PID]],0)),INDEX(Table3[[#All],[Rnk]],MATCH(Table5[[#This Row],[PID]],Table3[[#All],[PID]],0)))</f>
        <v>628</v>
      </c>
      <c r="U1076" s="68">
        <f>IF($C1076="B",VLOOKUP($A1076,Bat!$A$4:$BA$1621,47,FALSE),VLOOKUP($A1076,Pit!$A$4:$BF$1557,56,FALSE))</f>
        <v>0</v>
      </c>
      <c r="V1076" s="50">
        <f>IF($C1076="B",VLOOKUP($A1076,Bat!$A$4:$BA$1621,48,FALSE),VLOOKUP($A1076,Pit!$A$4:$BF$1557,57,FALSE))</f>
        <v>0</v>
      </c>
      <c r="W1076" s="69">
        <f>Table5[[#This Row],[posRnk]]+Table5[[#This Row],[zRnk]]+IF($W$3&lt;&gt;Table5[[#This Row],[Type]],50,0)</f>
        <v>1702</v>
      </c>
      <c r="X1076" s="73">
        <f>RANK(Table5[[#This Row],[zScore]],Table5[[#All],[zScore]])</f>
        <v>1024</v>
      </c>
      <c r="Y1076" s="69" t="str">
        <f>IFERROR(INDEX(DraftResults[[#All],[OVR]],MATCH(Table5[[#This Row],[PID]],DraftResults[[#All],[Player ID]],0)),"")</f>
        <v/>
      </c>
      <c r="Z107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6" s="69" t="str">
        <f>IFERROR(INDEX(DraftResults[[#All],[Pick in Round]],MATCH(Table5[[#This Row],[PID]],DraftResults[[#All],[Player ID]],0)),"")</f>
        <v/>
      </c>
      <c r="AB1076" s="69" t="str">
        <f>IFERROR(INDEX(DraftResults[[#All],[Team Name]],MATCH(Table5[[#This Row],[PID]],DraftResults[[#All],[Player ID]],0)),"")</f>
        <v/>
      </c>
      <c r="AC1076" s="69" t="str">
        <f>IF(Table5[[#This Row],[Ovr]]="","",IF(Table5[[#This Row],[cmbList]]="","",Table5[[#This Row],[cmbList]]-Table5[[#This Row],[Ovr]]))</f>
        <v/>
      </c>
      <c r="AD1076" s="77" t="str">
        <f>IF(ISERROR(VLOOKUP($AB1076&amp;"-"&amp;$E1076&amp;" "&amp;F1076,Bonuses!$B$1:$G$1006,4,FALSE)),"",INT(VLOOKUP($AB1076&amp;"-"&amp;$E1076&amp;" "&amp;$F1076,Bonuses!$B$1:$G$1006,4,FALSE)))</f>
        <v/>
      </c>
      <c r="AE107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7" spans="1:31" s="50" customFormat="1" x14ac:dyDescent="0.25">
      <c r="A1077" s="68">
        <v>20378</v>
      </c>
      <c r="B1077" s="69">
        <f>COUNTIF(Table5[PID],A1077)</f>
        <v>1</v>
      </c>
      <c r="C1077" s="69" t="str">
        <f>IF(COUNTIF(Table3[[#All],[PID]],A1077)&gt;0,"P","B")</f>
        <v>P</v>
      </c>
      <c r="D1077" s="59" t="str">
        <f>IF($C1077="B",INDEX(Batters[[#All],[POS]],MATCH(Table5[[#This Row],[PID]],Batters[[#All],[PID]],0)),INDEX(Table3[[#All],[POS]],MATCH(Table5[[#This Row],[PID]],Table3[[#All],[PID]],0)))</f>
        <v>SP</v>
      </c>
      <c r="E1077" s="52" t="str">
        <f>IF($C1077="B",INDEX(Batters[[#All],[First]],MATCH(Table5[[#This Row],[PID]],Batters[[#All],[PID]],0)),INDEX(Table3[[#All],[First]],MATCH(Table5[[#This Row],[PID]],Table3[[#All],[PID]],0)))</f>
        <v>Tierney</v>
      </c>
      <c r="F1077" s="55" t="str">
        <f>IF($C1077="B",INDEX(Batters[[#All],[Last]],MATCH(A1077,Batters[[#All],[PID]],0)),INDEX(Table3[[#All],[Last]],MATCH(A1077,Table3[[#All],[PID]],0)))</f>
        <v>Moberley</v>
      </c>
      <c r="G1077" s="56">
        <f>IF($C1077="B",INDEX(Batters[[#All],[Age]],MATCH(Table5[[#This Row],[PID]],Batters[[#All],[PID]],0)),INDEX(Table3[[#All],[Age]],MATCH(Table5[[#This Row],[PID]],Table3[[#All],[PID]],0)))</f>
        <v>17</v>
      </c>
      <c r="H1077" s="52" t="str">
        <f>IF($C1077="B",INDEX(Batters[[#All],[B]],MATCH(Table5[[#This Row],[PID]],Batters[[#All],[PID]],0)),INDEX(Table3[[#All],[B]],MATCH(Table5[[#This Row],[PID]],Table3[[#All],[PID]],0)))</f>
        <v>R</v>
      </c>
      <c r="I1077" s="52" t="str">
        <f>IF($C1077="B",INDEX(Batters[[#All],[T]],MATCH(Table5[[#This Row],[PID]],Batters[[#All],[PID]],0)),INDEX(Table3[[#All],[T]],MATCH(Table5[[#This Row],[PID]],Table3[[#All],[PID]],0)))</f>
        <v>R</v>
      </c>
      <c r="J1077" s="71" t="str">
        <f>IF($C1077="B",INDEX(Batters[[#All],[WE]],MATCH(Table5[[#This Row],[PID]],Batters[[#All],[PID]],0)),INDEX(Table3[[#All],[WE]],MATCH(Table5[[#This Row],[PID]],Table3[[#All],[PID]],0)))</f>
        <v>Normal</v>
      </c>
      <c r="K1077" s="52" t="str">
        <f>IF($C1077="B",INDEX(Batters[[#All],[INT]],MATCH(Table5[[#This Row],[PID]],Batters[[#All],[PID]],0)),INDEX(Table3[[#All],[INT]],MATCH(Table5[[#This Row],[PID]],Table3[[#All],[PID]],0)))</f>
        <v>Normal</v>
      </c>
      <c r="L1077" s="60">
        <f>IF($C1077="B",INDEX(Batters[[#All],[CON P]],MATCH(Table5[[#This Row],[PID]],Batters[[#All],[PID]],0)),INDEX(Table3[[#All],[STU P]],MATCH(Table5[[#This Row],[PID]],Table3[[#All],[PID]],0)))</f>
        <v>2</v>
      </c>
      <c r="M1077" s="72">
        <f>IF($C1077="B",INDEX(Batters[[#All],[GAP P]],MATCH(Table5[[#This Row],[PID]],Batters[[#All],[PID]],0)),INDEX(Table3[[#All],[MOV P]],MATCH(Table5[[#This Row],[PID]],Table3[[#All],[PID]],0)))</f>
        <v>1</v>
      </c>
      <c r="N1077" s="72">
        <f>IF($C1077="B",INDEX(Batters[[#All],[POW P]],MATCH(Table5[[#This Row],[PID]],Batters[[#All],[PID]],0)),INDEX(Table3[[#All],[CON P]],MATCH(Table5[[#This Row],[PID]],Table3[[#All],[PID]],0)))</f>
        <v>3</v>
      </c>
      <c r="O1077" s="72" t="str">
        <f>IF($C1077="B",INDEX(Batters[[#All],[EYE P]],MATCH(Table5[[#This Row],[PID]],Batters[[#All],[PID]],0)),INDEX(Table3[[#All],[VELO]],MATCH(Table5[[#This Row],[PID]],Table3[[#All],[PID]],0)))</f>
        <v>84-86 Mph</v>
      </c>
      <c r="P1077" s="56">
        <f>IF($C1077="B",INDEX(Batters[[#All],[K P]],MATCH(Table5[[#This Row],[PID]],Batters[[#All],[PID]],0)),INDEX(Table3[[#All],[STM]],MATCH(Table5[[#This Row],[PID]],Table3[[#All],[PID]],0)))</f>
        <v>4</v>
      </c>
      <c r="Q1077" s="61">
        <f>IF($C1077="B",INDEX(Batters[[#All],[Tot]],MATCH(Table5[[#This Row],[PID]],Batters[[#All],[PID]],0)),INDEX(Table3[[#All],[Tot]],MATCH(Table5[[#This Row],[PID]],Table3[[#All],[PID]],0)))</f>
        <v>24.287210971822979</v>
      </c>
      <c r="R1077" s="52">
        <f>IF($C1077="B",INDEX(Batters[[#All],[zScore]],MATCH(Table5[[#This Row],[PID]],Batters[[#All],[PID]],0)),INDEX(Table3[[#All],[zScore]],MATCH(Table5[[#This Row],[PID]],Table3[[#All],[PID]],0)))</f>
        <v>-0.77062025111928512</v>
      </c>
      <c r="S1077" s="78" t="str">
        <f>IF($C1077="B",INDEX(Batters[[#All],[DEM]],MATCH(Table5[[#This Row],[PID]],Batters[[#All],[PID]],0)),INDEX(Table3[[#All],[DEM]],MATCH(Table5[[#This Row],[PID]],Table3[[#All],[PID]],0)))</f>
        <v>$38k</v>
      </c>
      <c r="T1077" s="75">
        <f>IF($C1077="B",INDEX(Batters[[#All],[Rnk]],MATCH(Table5[[#This Row],[PID]],Batters[[#All],[PID]],0)),INDEX(Table3[[#All],[Rnk]],MATCH(Table5[[#This Row],[PID]],Table3[[#All],[PID]],0)))</f>
        <v>629</v>
      </c>
      <c r="U1077" s="68">
        <f>IF($C1077="B",VLOOKUP($A1077,Bat!$A$4:$BA$1621,47,FALSE),VLOOKUP($A1077,Pit!$A$4:$BF$1557,56,FALSE))</f>
        <v>0</v>
      </c>
      <c r="V1077" s="50">
        <f>IF($C1077="B",VLOOKUP($A1077,Bat!$A$4:$BA$1621,48,FALSE),VLOOKUP($A1077,Pit!$A$4:$BF$1557,57,FALSE))</f>
        <v>0</v>
      </c>
      <c r="W1077" s="69">
        <f>Table5[[#This Row],[posRnk]]+Table5[[#This Row],[zRnk]]+IF($W$3&lt;&gt;Table5[[#This Row],[Type]],50,0)</f>
        <v>1704</v>
      </c>
      <c r="X1077" s="73">
        <f>RANK(Table5[[#This Row],[zScore]],Table5[[#All],[zScore]])</f>
        <v>1025</v>
      </c>
      <c r="Y1077" s="69" t="str">
        <f>IFERROR(INDEX(DraftResults[[#All],[OVR]],MATCH(Table5[[#This Row],[PID]],DraftResults[[#All],[Player ID]],0)),"")</f>
        <v/>
      </c>
      <c r="Z107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7" s="69" t="str">
        <f>IFERROR(INDEX(DraftResults[[#All],[Pick in Round]],MATCH(Table5[[#This Row],[PID]],DraftResults[[#All],[Player ID]],0)),"")</f>
        <v/>
      </c>
      <c r="AB1077" s="69" t="str">
        <f>IFERROR(INDEX(DraftResults[[#All],[Team Name]],MATCH(Table5[[#This Row],[PID]],DraftResults[[#All],[Player ID]],0)),"")</f>
        <v/>
      </c>
      <c r="AC1077" s="69" t="str">
        <f>IF(Table5[[#This Row],[Ovr]]="","",IF(Table5[[#This Row],[cmbList]]="","",Table5[[#This Row],[cmbList]]-Table5[[#This Row],[Ovr]]))</f>
        <v/>
      </c>
      <c r="AD1077" s="77" t="str">
        <f>IF(ISERROR(VLOOKUP($AB1077&amp;"-"&amp;$E1077&amp;" "&amp;F1077,Bonuses!$B$1:$G$1006,4,FALSE)),"",INT(VLOOKUP($AB1077&amp;"-"&amp;$E1077&amp;" "&amp;$F1077,Bonuses!$B$1:$G$1006,4,FALSE)))</f>
        <v/>
      </c>
      <c r="AE107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8" spans="1:31" s="50" customFormat="1" x14ac:dyDescent="0.25">
      <c r="A1078" s="50">
        <v>4781</v>
      </c>
      <c r="B1078" s="50">
        <f>COUNTIF(Table5[PID],A1078)</f>
        <v>1</v>
      </c>
      <c r="C1078" s="50" t="str">
        <f>IF(COUNTIF(Table3[[#All],[PID]],A1078)&gt;0,"P","B")</f>
        <v>P</v>
      </c>
      <c r="D1078" s="59" t="str">
        <f>IF($C1078="B",INDEX(Batters[[#All],[POS]],MATCH(Table5[[#This Row],[PID]],Batters[[#All],[PID]],0)),INDEX(Table3[[#All],[POS]],MATCH(Table5[[#This Row],[PID]],Table3[[#All],[PID]],0)))</f>
        <v>RP</v>
      </c>
      <c r="E1078" s="52" t="str">
        <f>IF($C1078="B",INDEX(Batters[[#All],[First]],MATCH(Table5[[#This Row],[PID]],Batters[[#All],[PID]],0)),INDEX(Table3[[#All],[First]],MATCH(Table5[[#This Row],[PID]],Table3[[#All],[PID]],0)))</f>
        <v>Julián</v>
      </c>
      <c r="F1078" s="50" t="str">
        <f>IF($C1078="B",INDEX(Batters[[#All],[Last]],MATCH(A1078,Batters[[#All],[PID]],0)),INDEX(Table3[[#All],[Last]],MATCH(A1078,Table3[[#All],[PID]],0)))</f>
        <v>Pérez</v>
      </c>
      <c r="G1078" s="56">
        <f>IF($C1078="B",INDEX(Batters[[#All],[Age]],MATCH(Table5[[#This Row],[PID]],Batters[[#All],[PID]],0)),INDEX(Table3[[#All],[Age]],MATCH(Table5[[#This Row],[PID]],Table3[[#All],[PID]],0)))</f>
        <v>22</v>
      </c>
      <c r="H1078" s="52" t="str">
        <f>IF($C1078="B",INDEX(Batters[[#All],[B]],MATCH(Table5[[#This Row],[PID]],Batters[[#All],[PID]],0)),INDEX(Table3[[#All],[B]],MATCH(Table5[[#This Row],[PID]],Table3[[#All],[PID]],0)))</f>
        <v>R</v>
      </c>
      <c r="I1078" s="52" t="str">
        <f>IF($C1078="B",INDEX(Batters[[#All],[T]],MATCH(Table5[[#This Row],[PID]],Batters[[#All],[PID]],0)),INDEX(Table3[[#All],[T]],MATCH(Table5[[#This Row],[PID]],Table3[[#All],[PID]],0)))</f>
        <v>R</v>
      </c>
      <c r="J1078" s="52" t="str">
        <f>IF($C1078="B",INDEX(Batters[[#All],[WE]],MATCH(Table5[[#This Row],[PID]],Batters[[#All],[PID]],0)),INDEX(Table3[[#All],[WE]],MATCH(Table5[[#This Row],[PID]],Table3[[#All],[PID]],0)))</f>
        <v>Low</v>
      </c>
      <c r="K1078" s="52" t="str">
        <f>IF($C1078="B",INDEX(Batters[[#All],[INT]],MATCH(Table5[[#This Row],[PID]],Batters[[#All],[PID]],0)),INDEX(Table3[[#All],[INT]],MATCH(Table5[[#This Row],[PID]],Table3[[#All],[PID]],0)))</f>
        <v>Normal</v>
      </c>
      <c r="L1078" s="60">
        <f>IF($C1078="B",INDEX(Batters[[#All],[CON P]],MATCH(Table5[[#This Row],[PID]],Batters[[#All],[PID]],0)),INDEX(Table3[[#All],[STU P]],MATCH(Table5[[#This Row],[PID]],Table3[[#All],[PID]],0)))</f>
        <v>3</v>
      </c>
      <c r="M1078" s="56">
        <f>IF($C1078="B",INDEX(Batters[[#All],[GAP P]],MATCH(Table5[[#This Row],[PID]],Batters[[#All],[PID]],0)),INDEX(Table3[[#All],[MOV P]],MATCH(Table5[[#This Row],[PID]],Table3[[#All],[PID]],0)))</f>
        <v>2</v>
      </c>
      <c r="N1078" s="56">
        <f>IF($C1078="B",INDEX(Batters[[#All],[POW P]],MATCH(Table5[[#This Row],[PID]],Batters[[#All],[PID]],0)),INDEX(Table3[[#All],[CON P]],MATCH(Table5[[#This Row],[PID]],Table3[[#All],[PID]],0)))</f>
        <v>3</v>
      </c>
      <c r="O1078" s="56" t="str">
        <f>IF($C1078="B",INDEX(Batters[[#All],[EYE P]],MATCH(Table5[[#This Row],[PID]],Batters[[#All],[PID]],0)),INDEX(Table3[[#All],[VELO]],MATCH(Table5[[#This Row],[PID]],Table3[[#All],[PID]],0)))</f>
        <v>85-87 Mph</v>
      </c>
      <c r="P1078" s="56">
        <f>IF($C1078="B",INDEX(Batters[[#All],[K P]],MATCH(Table5[[#This Row],[PID]],Batters[[#All],[PID]],0)),INDEX(Table3[[#All],[STM]],MATCH(Table5[[#This Row],[PID]],Table3[[#All],[PID]],0)))</f>
        <v>3</v>
      </c>
      <c r="Q1078" s="61">
        <f>IF($C1078="B",INDEX(Batters[[#All],[Tot]],MATCH(Table5[[#This Row],[PID]],Batters[[#All],[PID]],0)),INDEX(Table3[[#All],[Tot]],MATCH(Table5[[#This Row],[PID]],Table3[[#All],[PID]],0)))</f>
        <v>24.219610790322427</v>
      </c>
      <c r="R1078" s="52">
        <f>IF($C1078="B",INDEX(Batters[[#All],[zScore]],MATCH(Table5[[#This Row],[PID]],Batters[[#All],[PID]],0)),INDEX(Table3[[#All],[zScore]],MATCH(Table5[[#This Row],[PID]],Table3[[#All],[PID]],0)))</f>
        <v>-0.77511758789408181</v>
      </c>
      <c r="S1078" s="58" t="str">
        <f>IF($C1078="B",INDEX(Batters[[#All],[DEM]],MATCH(Table5[[#This Row],[PID]],Batters[[#All],[PID]],0)),INDEX(Table3[[#All],[DEM]],MATCH(Table5[[#This Row],[PID]],Table3[[#All],[PID]],0)))</f>
        <v>-</v>
      </c>
      <c r="T1078" s="62">
        <f>IF($C1078="B",INDEX(Batters[[#All],[Rnk]],MATCH(Table5[[#This Row],[PID]],Batters[[#All],[PID]],0)),INDEX(Table3[[#All],[Rnk]],MATCH(Table5[[#This Row],[PID]],Table3[[#All],[PID]],0)))</f>
        <v>630</v>
      </c>
      <c r="U1078" s="68">
        <f>IF($C1078="B",VLOOKUP($A1078,Bat!$A$4:$BA$1621,47,FALSE),VLOOKUP($A1078,Pit!$A$4:$BF$1557,56,FALSE))</f>
        <v>0</v>
      </c>
      <c r="V1078" s="50">
        <f>IF($C1078="B",VLOOKUP($A1078,Bat!$A$4:$BA$1621,48,FALSE),VLOOKUP($A1078,Pit!$A$4:$BF$1557,57,FALSE))</f>
        <v>0</v>
      </c>
      <c r="W1078" s="50">
        <f>Table5[[#This Row],[posRnk]]+Table5[[#This Row],[zRnk]]+IF($W$3&lt;&gt;Table5[[#This Row],[Type]],50,0)</f>
        <v>1707</v>
      </c>
      <c r="X1078" s="51">
        <f>RANK(Table5[[#This Row],[zScore]],Table5[[#All],[zScore]])</f>
        <v>1027</v>
      </c>
      <c r="Y1078" s="50" t="str">
        <f>IFERROR(INDEX(DraftResults[[#All],[OVR]],MATCH(Table5[[#This Row],[PID]],DraftResults[[#All],[Player ID]],0)),"")</f>
        <v/>
      </c>
      <c r="Z10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8" s="50" t="str">
        <f>IFERROR(INDEX(DraftResults[[#All],[Pick in Round]],MATCH(Table5[[#This Row],[PID]],DraftResults[[#All],[Player ID]],0)),"")</f>
        <v/>
      </c>
      <c r="AB1078" s="50" t="str">
        <f>IFERROR(INDEX(DraftResults[[#All],[Team Name]],MATCH(Table5[[#This Row],[PID]],DraftResults[[#All],[Player ID]],0)),"")</f>
        <v/>
      </c>
      <c r="AC1078" s="50" t="str">
        <f>IF(Table5[[#This Row],[Ovr]]="","",IF(Table5[[#This Row],[cmbList]]="","",Table5[[#This Row],[cmbList]]-Table5[[#This Row],[Ovr]]))</f>
        <v/>
      </c>
      <c r="AD1078" s="54" t="str">
        <f>IF(ISERROR(VLOOKUP($AB1078&amp;"-"&amp;$E1078&amp;" "&amp;F1078,Bonuses!$B$1:$G$1006,4,FALSE)),"",INT(VLOOKUP($AB1078&amp;"-"&amp;$E1078&amp;" "&amp;$F1078,Bonuses!$B$1:$G$1006,4,FALSE)))</f>
        <v/>
      </c>
      <c r="AE10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79" spans="1:31" s="50" customFormat="1" x14ac:dyDescent="0.25">
      <c r="A1079" s="50">
        <v>1278</v>
      </c>
      <c r="B1079" s="50">
        <f>COUNTIF(Table5[PID],A1079)</f>
        <v>1</v>
      </c>
      <c r="C1079" s="50" t="str">
        <f>IF(COUNTIF(Table3[[#All],[PID]],A1079)&gt;0,"P","B")</f>
        <v>B</v>
      </c>
      <c r="D1079" s="59" t="str">
        <f>IF($C1079="B",INDEX(Batters[[#All],[POS]],MATCH(Table5[[#This Row],[PID]],Batters[[#All],[PID]],0)),INDEX(Table3[[#All],[POS]],MATCH(Table5[[#This Row],[PID]],Table3[[#All],[PID]],0)))</f>
        <v>LF</v>
      </c>
      <c r="E1079" s="52" t="str">
        <f>IF($C1079="B",INDEX(Batters[[#All],[First]],MATCH(Table5[[#This Row],[PID]],Batters[[#All],[PID]],0)),INDEX(Table3[[#All],[First]],MATCH(Table5[[#This Row],[PID]],Table3[[#All],[PID]],0)))</f>
        <v>Phil</v>
      </c>
      <c r="F1079" s="50" t="str">
        <f>IF($C1079="B",INDEX(Batters[[#All],[Last]],MATCH(A1079,Batters[[#All],[PID]],0)),INDEX(Table3[[#All],[Last]],MATCH(A1079,Table3[[#All],[PID]],0)))</f>
        <v>Thomas</v>
      </c>
      <c r="G1079" s="56">
        <f>IF($C1079="B",INDEX(Batters[[#All],[Age]],MATCH(Table5[[#This Row],[PID]],Batters[[#All],[PID]],0)),INDEX(Table3[[#All],[Age]],MATCH(Table5[[#This Row],[PID]],Table3[[#All],[PID]],0)))</f>
        <v>18</v>
      </c>
      <c r="H1079" s="52" t="str">
        <f>IF($C1079="B",INDEX(Batters[[#All],[B]],MATCH(Table5[[#This Row],[PID]],Batters[[#All],[PID]],0)),INDEX(Table3[[#All],[B]],MATCH(Table5[[#This Row],[PID]],Table3[[#All],[PID]],0)))</f>
        <v>L</v>
      </c>
      <c r="I1079" s="52" t="str">
        <f>IF($C1079="B",INDEX(Batters[[#All],[T]],MATCH(Table5[[#This Row],[PID]],Batters[[#All],[PID]],0)),INDEX(Table3[[#All],[T]],MATCH(Table5[[#This Row],[PID]],Table3[[#All],[PID]],0)))</f>
        <v>L</v>
      </c>
      <c r="J1079" s="52" t="str">
        <f>IF($C1079="B",INDEX(Batters[[#All],[WE]],MATCH(Table5[[#This Row],[PID]],Batters[[#All],[PID]],0)),INDEX(Table3[[#All],[WE]],MATCH(Table5[[#This Row],[PID]],Table3[[#All],[PID]],0)))</f>
        <v>Low</v>
      </c>
      <c r="K1079" s="52" t="str">
        <f>IF($C1079="B",INDEX(Batters[[#All],[INT]],MATCH(Table5[[#This Row],[PID]],Batters[[#All],[PID]],0)),INDEX(Table3[[#All],[INT]],MATCH(Table5[[#This Row],[PID]],Table3[[#All],[PID]],0)))</f>
        <v>Normal</v>
      </c>
      <c r="L1079" s="60">
        <f>IF($C1079="B",INDEX(Batters[[#All],[CON P]],MATCH(Table5[[#This Row],[PID]],Batters[[#All],[PID]],0)),INDEX(Table3[[#All],[STU P]],MATCH(Table5[[#This Row],[PID]],Table3[[#All],[PID]],0)))</f>
        <v>3</v>
      </c>
      <c r="M1079" s="56">
        <f>IF($C1079="B",INDEX(Batters[[#All],[GAP P]],MATCH(Table5[[#This Row],[PID]],Batters[[#All],[PID]],0)),INDEX(Table3[[#All],[MOV P]],MATCH(Table5[[#This Row],[PID]],Table3[[#All],[PID]],0)))</f>
        <v>3</v>
      </c>
      <c r="N1079" s="56">
        <f>IF($C1079="B",INDEX(Batters[[#All],[POW P]],MATCH(Table5[[#This Row],[PID]],Batters[[#All],[PID]],0)),INDEX(Table3[[#All],[CON P]],MATCH(Table5[[#This Row],[PID]],Table3[[#All],[PID]],0)))</f>
        <v>4</v>
      </c>
      <c r="O1079" s="56">
        <f>IF($C1079="B",INDEX(Batters[[#All],[EYE P]],MATCH(Table5[[#This Row],[PID]],Batters[[#All],[PID]],0)),INDEX(Table3[[#All],[VELO]],MATCH(Table5[[#This Row],[PID]],Table3[[#All],[PID]],0)))</f>
        <v>4</v>
      </c>
      <c r="P1079" s="56">
        <f>IF($C1079="B",INDEX(Batters[[#All],[K P]],MATCH(Table5[[#This Row],[PID]],Batters[[#All],[PID]],0)),INDEX(Table3[[#All],[STM]],MATCH(Table5[[#This Row],[PID]],Table3[[#All],[PID]],0)))</f>
        <v>3</v>
      </c>
      <c r="Q1079" s="61">
        <f>IF($C1079="B",INDEX(Batters[[#All],[Tot]],MATCH(Table5[[#This Row],[PID]],Batters[[#All],[PID]],0)),INDEX(Table3[[#All],[Tot]],MATCH(Table5[[#This Row],[PID]],Table3[[#All],[PID]],0)))</f>
        <v>40.634678537017223</v>
      </c>
      <c r="R1079" s="52">
        <f>IF($C1079="B",INDEX(Batters[[#All],[zScore]],MATCH(Table5[[#This Row],[PID]],Batters[[#All],[PID]],0)),INDEX(Table3[[#All],[zScore]],MATCH(Table5[[#This Row],[PID]],Table3[[#All],[PID]],0)))</f>
        <v>-0.77536644392122944</v>
      </c>
      <c r="S1079" s="58" t="str">
        <f>IF($C1079="B",INDEX(Batters[[#All],[DEM]],MATCH(Table5[[#This Row],[PID]],Batters[[#All],[PID]],0)),INDEX(Table3[[#All],[DEM]],MATCH(Table5[[#This Row],[PID]],Table3[[#All],[PID]],0)))</f>
        <v>$80k</v>
      </c>
      <c r="T1079" s="62">
        <f>IF($C1079="B",INDEX(Batters[[#All],[Rnk]],MATCH(Table5[[#This Row],[PID]],Batters[[#All],[PID]],0)),INDEX(Table3[[#All],[Rnk]],MATCH(Table5[[#This Row],[PID]],Table3[[#All],[PID]],0)))</f>
        <v>397</v>
      </c>
      <c r="U1079" s="68">
        <f>IF($C1079="B",VLOOKUP($A1079,Bat!$A$4:$BA$1621,47,FALSE),VLOOKUP($A1079,Pit!$A$4:$BF$1557,56,FALSE))</f>
        <v>0</v>
      </c>
      <c r="V1079" s="50">
        <f>IF($C1079="B",VLOOKUP($A1079,Bat!$A$4:$BA$1621,48,FALSE),VLOOKUP($A1079,Pit!$A$4:$BF$1557,57,FALSE))</f>
        <v>0</v>
      </c>
      <c r="W1079" s="50">
        <f>Table5[[#This Row],[posRnk]]+Table5[[#This Row],[zRnk]]+IF($W$3&lt;&gt;Table5[[#This Row],[Type]],50,0)</f>
        <v>1475</v>
      </c>
      <c r="X1079" s="51">
        <f>RANK(Table5[[#This Row],[zScore]],Table5[[#All],[zScore]])</f>
        <v>1028</v>
      </c>
      <c r="Y1079" s="50" t="str">
        <f>IFERROR(INDEX(DraftResults[[#All],[OVR]],MATCH(Table5[[#This Row],[PID]],DraftResults[[#All],[Player ID]],0)),"")</f>
        <v/>
      </c>
      <c r="Z10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79" s="50" t="str">
        <f>IFERROR(INDEX(DraftResults[[#All],[Pick in Round]],MATCH(Table5[[#This Row],[PID]],DraftResults[[#All],[Player ID]],0)),"")</f>
        <v/>
      </c>
      <c r="AB1079" s="50" t="str">
        <f>IFERROR(INDEX(DraftResults[[#All],[Team Name]],MATCH(Table5[[#This Row],[PID]],DraftResults[[#All],[Player ID]],0)),"")</f>
        <v/>
      </c>
      <c r="AC1079" s="50" t="str">
        <f>IF(Table5[[#This Row],[Ovr]]="","",IF(Table5[[#This Row],[cmbList]]="","",Table5[[#This Row],[cmbList]]-Table5[[#This Row],[Ovr]]))</f>
        <v/>
      </c>
      <c r="AD1079" s="54" t="str">
        <f>IF(ISERROR(VLOOKUP($AB1079&amp;"-"&amp;$E1079&amp;" "&amp;F1079,Bonuses!$B$1:$G$1006,4,FALSE)),"",INT(VLOOKUP($AB1079&amp;"-"&amp;$E1079&amp;" "&amp;$F1079,Bonuses!$B$1:$G$1006,4,FALSE)))</f>
        <v/>
      </c>
      <c r="AE10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0" spans="1:31" s="50" customFormat="1" x14ac:dyDescent="0.25">
      <c r="A1080" s="50">
        <v>9845</v>
      </c>
      <c r="B1080" s="50">
        <f>COUNTIF(Table5[PID],A1080)</f>
        <v>1</v>
      </c>
      <c r="C1080" s="50" t="str">
        <f>IF(COUNTIF(Table3[[#All],[PID]],A1080)&gt;0,"P","B")</f>
        <v>P</v>
      </c>
      <c r="D1080" s="59" t="str">
        <f>IF($C1080="B",INDEX(Batters[[#All],[POS]],MATCH(Table5[[#This Row],[PID]],Batters[[#All],[PID]],0)),INDEX(Table3[[#All],[POS]],MATCH(Table5[[#This Row],[PID]],Table3[[#All],[PID]],0)))</f>
        <v>RP</v>
      </c>
      <c r="E1080" s="52" t="str">
        <f>IF($C1080="B",INDEX(Batters[[#All],[First]],MATCH(Table5[[#This Row],[PID]],Batters[[#All],[PID]],0)),INDEX(Table3[[#All],[First]],MATCH(Table5[[#This Row],[PID]],Table3[[#All],[PID]],0)))</f>
        <v>Mike</v>
      </c>
      <c r="F1080" s="50" t="str">
        <f>IF($C1080="B",INDEX(Batters[[#All],[Last]],MATCH(A1080,Batters[[#All],[PID]],0)),INDEX(Table3[[#All],[Last]],MATCH(A1080,Table3[[#All],[PID]],0)))</f>
        <v>Roberts</v>
      </c>
      <c r="G1080" s="56">
        <f>IF($C1080="B",INDEX(Batters[[#All],[Age]],MATCH(Table5[[#This Row],[PID]],Batters[[#All],[PID]],0)),INDEX(Table3[[#All],[Age]],MATCH(Table5[[#This Row],[PID]],Table3[[#All],[PID]],0)))</f>
        <v>22</v>
      </c>
      <c r="H1080" s="52" t="str">
        <f>IF($C1080="B",INDEX(Batters[[#All],[B]],MATCH(Table5[[#This Row],[PID]],Batters[[#All],[PID]],0)),INDEX(Table3[[#All],[B]],MATCH(Table5[[#This Row],[PID]],Table3[[#All],[PID]],0)))</f>
        <v>R</v>
      </c>
      <c r="I1080" s="52" t="str">
        <f>IF($C1080="B",INDEX(Batters[[#All],[T]],MATCH(Table5[[#This Row],[PID]],Batters[[#All],[PID]],0)),INDEX(Table3[[#All],[T]],MATCH(Table5[[#This Row],[PID]],Table3[[#All],[PID]],0)))</f>
        <v>R</v>
      </c>
      <c r="J1080" s="52" t="str">
        <f>IF($C1080="B",INDEX(Batters[[#All],[WE]],MATCH(Table5[[#This Row],[PID]],Batters[[#All],[PID]],0)),INDEX(Table3[[#All],[WE]],MATCH(Table5[[#This Row],[PID]],Table3[[#All],[PID]],0)))</f>
        <v>High</v>
      </c>
      <c r="K1080" s="52" t="str">
        <f>IF($C1080="B",INDEX(Batters[[#All],[INT]],MATCH(Table5[[#This Row],[PID]],Batters[[#All],[PID]],0)),INDEX(Table3[[#All],[INT]],MATCH(Table5[[#This Row],[PID]],Table3[[#All],[PID]],0)))</f>
        <v>Normal</v>
      </c>
      <c r="L1080" s="60">
        <f>IF($C1080="B",INDEX(Batters[[#All],[CON P]],MATCH(Table5[[#This Row],[PID]],Batters[[#All],[PID]],0)),INDEX(Table3[[#All],[STU P]],MATCH(Table5[[#This Row],[PID]],Table3[[#All],[PID]],0)))</f>
        <v>4</v>
      </c>
      <c r="M1080" s="56">
        <f>IF($C1080="B",INDEX(Batters[[#All],[GAP P]],MATCH(Table5[[#This Row],[PID]],Batters[[#All],[PID]],0)),INDEX(Table3[[#All],[MOV P]],MATCH(Table5[[#This Row],[PID]],Table3[[#All],[PID]],0)))</f>
        <v>2</v>
      </c>
      <c r="N1080" s="56">
        <f>IF($C1080="B",INDEX(Batters[[#All],[POW P]],MATCH(Table5[[#This Row],[PID]],Batters[[#All],[PID]],0)),INDEX(Table3[[#All],[CON P]],MATCH(Table5[[#This Row],[PID]],Table3[[#All],[PID]],0)))</f>
        <v>2</v>
      </c>
      <c r="O1080" s="56" t="str">
        <f>IF($C1080="B",INDEX(Batters[[#All],[EYE P]],MATCH(Table5[[#This Row],[PID]],Batters[[#All],[PID]],0)),INDEX(Table3[[#All],[VELO]],MATCH(Table5[[#This Row],[PID]],Table3[[#All],[PID]],0)))</f>
        <v>89-91 Mph</v>
      </c>
      <c r="P1080" s="56">
        <f>IF($C1080="B",INDEX(Batters[[#All],[K P]],MATCH(Table5[[#This Row],[PID]],Batters[[#All],[PID]],0)),INDEX(Table3[[#All],[STM]],MATCH(Table5[[#This Row],[PID]],Table3[[#All],[PID]],0)))</f>
        <v>6</v>
      </c>
      <c r="Q1080" s="61">
        <f>IF($C1080="B",INDEX(Batters[[#All],[Tot]],MATCH(Table5[[#This Row],[PID]],Batters[[#All],[PID]],0)),INDEX(Table3[[#All],[Tot]],MATCH(Table5[[#This Row],[PID]],Table3[[#All],[PID]],0)))</f>
        <v>24.207492373108227</v>
      </c>
      <c r="R1080" s="52">
        <f>IF($C1080="B",INDEX(Batters[[#All],[zScore]],MATCH(Table5[[#This Row],[PID]],Batters[[#All],[PID]],0)),INDEX(Table3[[#All],[zScore]],MATCH(Table5[[#This Row],[PID]],Table3[[#All],[PID]],0)))</f>
        <v>-0.775923807673082</v>
      </c>
      <c r="S1080" s="58" t="str">
        <f>IF($C1080="B",INDEX(Batters[[#All],[DEM]],MATCH(Table5[[#This Row],[PID]],Batters[[#All],[PID]],0)),INDEX(Table3[[#All],[DEM]],MATCH(Table5[[#This Row],[PID]],Table3[[#All],[PID]],0)))</f>
        <v>-</v>
      </c>
      <c r="T1080" s="62">
        <f>IF($C1080="B",INDEX(Batters[[#All],[Rnk]],MATCH(Table5[[#This Row],[PID]],Batters[[#All],[PID]],0)),INDEX(Table3[[#All],[Rnk]],MATCH(Table5[[#This Row],[PID]],Table3[[#All],[PID]],0)))</f>
        <v>631</v>
      </c>
      <c r="U1080" s="68">
        <f>IF($C1080="B",VLOOKUP($A1080,Bat!$A$4:$BA$1621,47,FALSE),VLOOKUP($A1080,Pit!$A$4:$BF$1557,56,FALSE))</f>
        <v>0</v>
      </c>
      <c r="V1080" s="50">
        <f>IF($C1080="B",VLOOKUP($A1080,Bat!$A$4:$BA$1621,48,FALSE),VLOOKUP($A1080,Pit!$A$4:$BF$1557,57,FALSE))</f>
        <v>0</v>
      </c>
      <c r="W1080" s="50">
        <f>Table5[[#This Row],[posRnk]]+Table5[[#This Row],[zRnk]]+IF($W$3&lt;&gt;Table5[[#This Row],[Type]],50,0)</f>
        <v>1710</v>
      </c>
      <c r="X1080" s="51">
        <f>RANK(Table5[[#This Row],[zScore]],Table5[[#All],[zScore]])</f>
        <v>1029</v>
      </c>
      <c r="Y1080" s="50" t="str">
        <f>IFERROR(INDEX(DraftResults[[#All],[OVR]],MATCH(Table5[[#This Row],[PID]],DraftResults[[#All],[Player ID]],0)),"")</f>
        <v/>
      </c>
      <c r="Z10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0" s="50" t="str">
        <f>IFERROR(INDEX(DraftResults[[#All],[Pick in Round]],MATCH(Table5[[#This Row],[PID]],DraftResults[[#All],[Player ID]],0)),"")</f>
        <v/>
      </c>
      <c r="AB1080" s="50" t="str">
        <f>IFERROR(INDEX(DraftResults[[#All],[Team Name]],MATCH(Table5[[#This Row],[PID]],DraftResults[[#All],[Player ID]],0)),"")</f>
        <v/>
      </c>
      <c r="AC1080" s="50" t="str">
        <f>IF(Table5[[#This Row],[Ovr]]="","",IF(Table5[[#This Row],[cmbList]]="","",Table5[[#This Row],[cmbList]]-Table5[[#This Row],[Ovr]]))</f>
        <v/>
      </c>
      <c r="AD1080" s="54" t="str">
        <f>IF(ISERROR(VLOOKUP($AB1080&amp;"-"&amp;$E1080&amp;" "&amp;F1080,Bonuses!$B$1:$G$1006,4,FALSE)),"",INT(VLOOKUP($AB1080&amp;"-"&amp;$E1080&amp;" "&amp;$F1080,Bonuses!$B$1:$G$1006,4,FALSE)))</f>
        <v/>
      </c>
      <c r="AE10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1" spans="1:31" s="50" customFormat="1" x14ac:dyDescent="0.25">
      <c r="A1081" s="50">
        <v>20987</v>
      </c>
      <c r="B1081" s="50">
        <f>COUNTIF(Table5[PID],A1081)</f>
        <v>1</v>
      </c>
      <c r="C1081" s="50" t="str">
        <f>IF(COUNTIF(Table3[[#All],[PID]],A1081)&gt;0,"P","B")</f>
        <v>B</v>
      </c>
      <c r="D1081" s="59" t="str">
        <f>IF($C1081="B",INDEX(Batters[[#All],[POS]],MATCH(Table5[[#This Row],[PID]],Batters[[#All],[PID]],0)),INDEX(Table3[[#All],[POS]],MATCH(Table5[[#This Row],[PID]],Table3[[#All],[PID]],0)))</f>
        <v>C</v>
      </c>
      <c r="E1081" s="52" t="str">
        <f>IF($C1081="B",INDEX(Batters[[#All],[First]],MATCH(Table5[[#This Row],[PID]],Batters[[#All],[PID]],0)),INDEX(Table3[[#All],[First]],MATCH(Table5[[#This Row],[PID]],Table3[[#All],[PID]],0)))</f>
        <v>Phil</v>
      </c>
      <c r="F1081" s="50" t="str">
        <f>IF($C1081="B",INDEX(Batters[[#All],[Last]],MATCH(A1081,Batters[[#All],[PID]],0)),INDEX(Table3[[#All],[Last]],MATCH(A1081,Table3[[#All],[PID]],0)))</f>
        <v>Steele</v>
      </c>
      <c r="G1081" s="56">
        <f>IF($C1081="B",INDEX(Batters[[#All],[Age]],MATCH(Table5[[#This Row],[PID]],Batters[[#All],[PID]],0)),INDEX(Table3[[#All],[Age]],MATCH(Table5[[#This Row],[PID]],Table3[[#All],[PID]],0)))</f>
        <v>17</v>
      </c>
      <c r="H1081" s="52" t="str">
        <f>IF($C1081="B",INDEX(Batters[[#All],[B]],MATCH(Table5[[#This Row],[PID]],Batters[[#All],[PID]],0)),INDEX(Table3[[#All],[B]],MATCH(Table5[[#This Row],[PID]],Table3[[#All],[PID]],0)))</f>
        <v>R</v>
      </c>
      <c r="I1081" s="52" t="str">
        <f>IF($C1081="B",INDEX(Batters[[#All],[T]],MATCH(Table5[[#This Row],[PID]],Batters[[#All],[PID]],0)),INDEX(Table3[[#All],[T]],MATCH(Table5[[#This Row],[PID]],Table3[[#All],[PID]],0)))</f>
        <v>R</v>
      </c>
      <c r="J1081" s="52" t="str">
        <f>IF($C1081="B",INDEX(Batters[[#All],[WE]],MATCH(Table5[[#This Row],[PID]],Batters[[#All],[PID]],0)),INDEX(Table3[[#All],[WE]],MATCH(Table5[[#This Row],[PID]],Table3[[#All],[PID]],0)))</f>
        <v>Low</v>
      </c>
      <c r="K1081" s="52" t="str">
        <f>IF($C1081="B",INDEX(Batters[[#All],[INT]],MATCH(Table5[[#This Row],[PID]],Batters[[#All],[PID]],0)),INDEX(Table3[[#All],[INT]],MATCH(Table5[[#This Row],[PID]],Table3[[#All],[PID]],0)))</f>
        <v>Normal</v>
      </c>
      <c r="L1081" s="60">
        <f>IF($C1081="B",INDEX(Batters[[#All],[CON P]],MATCH(Table5[[#This Row],[PID]],Batters[[#All],[PID]],0)),INDEX(Table3[[#All],[STU P]],MATCH(Table5[[#This Row],[PID]],Table3[[#All],[PID]],0)))</f>
        <v>2</v>
      </c>
      <c r="M1081" s="56">
        <f>IF($C1081="B",INDEX(Batters[[#All],[GAP P]],MATCH(Table5[[#This Row],[PID]],Batters[[#All],[PID]],0)),INDEX(Table3[[#All],[MOV P]],MATCH(Table5[[#This Row],[PID]],Table3[[#All],[PID]],0)))</f>
        <v>4</v>
      </c>
      <c r="N1081" s="56">
        <f>IF($C1081="B",INDEX(Batters[[#All],[POW P]],MATCH(Table5[[#This Row],[PID]],Batters[[#All],[PID]],0)),INDEX(Table3[[#All],[CON P]],MATCH(Table5[[#This Row],[PID]],Table3[[#All],[PID]],0)))</f>
        <v>4</v>
      </c>
      <c r="O1081" s="56">
        <f>IF($C1081="B",INDEX(Batters[[#All],[EYE P]],MATCH(Table5[[#This Row],[PID]],Batters[[#All],[PID]],0)),INDEX(Table3[[#All],[VELO]],MATCH(Table5[[#This Row],[PID]],Table3[[#All],[PID]],0)))</f>
        <v>7</v>
      </c>
      <c r="P1081" s="56">
        <f>IF($C1081="B",INDEX(Batters[[#All],[K P]],MATCH(Table5[[#This Row],[PID]],Batters[[#All],[PID]],0)),INDEX(Table3[[#All],[STM]],MATCH(Table5[[#This Row],[PID]],Table3[[#All],[PID]],0)))</f>
        <v>3</v>
      </c>
      <c r="Q1081" s="61">
        <f>IF($C1081="B",INDEX(Batters[[#All],[Tot]],MATCH(Table5[[#This Row],[PID]],Batters[[#All],[PID]],0)),INDEX(Table3[[#All],[Tot]],MATCH(Table5[[#This Row],[PID]],Table3[[#All],[PID]],0)))</f>
        <v>40.62931875631827</v>
      </c>
      <c r="R1081" s="52">
        <f>IF($C1081="B",INDEX(Batters[[#All],[zScore]],MATCH(Table5[[#This Row],[PID]],Batters[[#All],[PID]],0)),INDEX(Table3[[#All],[zScore]],MATCH(Table5[[#This Row],[PID]],Table3[[#All],[PID]],0)))</f>
        <v>-0.77655474353094256</v>
      </c>
      <c r="S1081" s="58" t="str">
        <f>IF($C1081="B",INDEX(Batters[[#All],[DEM]],MATCH(Table5[[#This Row],[PID]],Batters[[#All],[PID]],0)),INDEX(Table3[[#All],[DEM]],MATCH(Table5[[#This Row],[PID]],Table3[[#All],[PID]],0)))</f>
        <v>$65k</v>
      </c>
      <c r="T1081" s="62">
        <f>IF($C1081="B",INDEX(Batters[[#All],[Rnk]],MATCH(Table5[[#This Row],[PID]],Batters[[#All],[PID]],0)),INDEX(Table3[[#All],[Rnk]],MATCH(Table5[[#This Row],[PID]],Table3[[#All],[PID]],0)))</f>
        <v>398</v>
      </c>
      <c r="U1081" s="68">
        <f>IF($C1081="B",VLOOKUP($A1081,Bat!$A$4:$BA$1621,47,FALSE),VLOOKUP($A1081,Pit!$A$4:$BF$1557,56,FALSE))</f>
        <v>0</v>
      </c>
      <c r="V1081" s="50">
        <f>IF($C1081="B",VLOOKUP($A1081,Bat!$A$4:$BA$1621,48,FALSE),VLOOKUP($A1081,Pit!$A$4:$BF$1557,57,FALSE))</f>
        <v>0</v>
      </c>
      <c r="W1081" s="50">
        <f>Table5[[#This Row],[posRnk]]+Table5[[#This Row],[zRnk]]+IF($W$3&lt;&gt;Table5[[#This Row],[Type]],50,0)</f>
        <v>1478</v>
      </c>
      <c r="X1081" s="51">
        <f>RANK(Table5[[#This Row],[zScore]],Table5[[#All],[zScore]])</f>
        <v>1030</v>
      </c>
      <c r="Y1081" s="50" t="str">
        <f>IFERROR(INDEX(DraftResults[[#All],[OVR]],MATCH(Table5[[#This Row],[PID]],DraftResults[[#All],[Player ID]],0)),"")</f>
        <v/>
      </c>
      <c r="Z10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1" s="50" t="str">
        <f>IFERROR(INDEX(DraftResults[[#All],[Pick in Round]],MATCH(Table5[[#This Row],[PID]],DraftResults[[#All],[Player ID]],0)),"")</f>
        <v/>
      </c>
      <c r="AB1081" s="50" t="str">
        <f>IFERROR(INDEX(DraftResults[[#All],[Team Name]],MATCH(Table5[[#This Row],[PID]],DraftResults[[#All],[Player ID]],0)),"")</f>
        <v/>
      </c>
      <c r="AC1081" s="50" t="str">
        <f>IF(Table5[[#This Row],[Ovr]]="","",IF(Table5[[#This Row],[cmbList]]="","",Table5[[#This Row],[cmbList]]-Table5[[#This Row],[Ovr]]))</f>
        <v/>
      </c>
      <c r="AD1081" s="54" t="str">
        <f>IF(ISERROR(VLOOKUP($AB1081&amp;"-"&amp;$E1081&amp;" "&amp;F1081,Bonuses!$B$1:$G$1006,4,FALSE)),"",INT(VLOOKUP($AB1081&amp;"-"&amp;$E1081&amp;" "&amp;$F1081,Bonuses!$B$1:$G$1006,4,FALSE)))</f>
        <v/>
      </c>
      <c r="AE10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2" spans="1:31" s="50" customFormat="1" x14ac:dyDescent="0.25">
      <c r="A1082" s="50">
        <v>17625</v>
      </c>
      <c r="B1082" s="50">
        <f>COUNTIF(Table5[PID],A1082)</f>
        <v>1</v>
      </c>
      <c r="C1082" s="50" t="str">
        <f>IF(COUNTIF(Table3[[#All],[PID]],A1082)&gt;0,"P","B")</f>
        <v>P</v>
      </c>
      <c r="D1082" s="59" t="str">
        <f>IF($C1082="B",INDEX(Batters[[#All],[POS]],MATCH(Table5[[#This Row],[PID]],Batters[[#All],[PID]],0)),INDEX(Table3[[#All],[POS]],MATCH(Table5[[#This Row],[PID]],Table3[[#All],[PID]],0)))</f>
        <v>RP</v>
      </c>
      <c r="E1082" s="52" t="str">
        <f>IF($C1082="B",INDEX(Batters[[#All],[First]],MATCH(Table5[[#This Row],[PID]],Batters[[#All],[PID]],0)),INDEX(Table3[[#All],[First]],MATCH(Table5[[#This Row],[PID]],Table3[[#All],[PID]],0)))</f>
        <v>Burt</v>
      </c>
      <c r="F1082" s="50" t="str">
        <f>IF($C1082="B",INDEX(Batters[[#All],[Last]],MATCH(A1082,Batters[[#All],[PID]],0)),INDEX(Table3[[#All],[Last]],MATCH(A1082,Table3[[#All],[PID]],0)))</f>
        <v>Díaz</v>
      </c>
      <c r="G1082" s="56">
        <f>IF($C1082="B",INDEX(Batters[[#All],[Age]],MATCH(Table5[[#This Row],[PID]],Batters[[#All],[PID]],0)),INDEX(Table3[[#All],[Age]],MATCH(Table5[[#This Row],[PID]],Table3[[#All],[PID]],0)))</f>
        <v>18</v>
      </c>
      <c r="H1082" s="52" t="str">
        <f>IF($C1082="B",INDEX(Batters[[#All],[B]],MATCH(Table5[[#This Row],[PID]],Batters[[#All],[PID]],0)),INDEX(Table3[[#All],[B]],MATCH(Table5[[#This Row],[PID]],Table3[[#All],[PID]],0)))</f>
        <v>L</v>
      </c>
      <c r="I1082" s="52" t="str">
        <f>IF($C1082="B",INDEX(Batters[[#All],[T]],MATCH(Table5[[#This Row],[PID]],Batters[[#All],[PID]],0)),INDEX(Table3[[#All],[T]],MATCH(Table5[[#This Row],[PID]],Table3[[#All],[PID]],0)))</f>
        <v>L</v>
      </c>
      <c r="J1082" s="52" t="str">
        <f>IF($C1082="B",INDEX(Batters[[#All],[WE]],MATCH(Table5[[#This Row],[PID]],Batters[[#All],[PID]],0)),INDEX(Table3[[#All],[WE]],MATCH(Table5[[#This Row],[PID]],Table3[[#All],[PID]],0)))</f>
        <v>Normal</v>
      </c>
      <c r="K1082" s="52" t="str">
        <f>IF($C1082="B",INDEX(Batters[[#All],[INT]],MATCH(Table5[[#This Row],[PID]],Batters[[#All],[PID]],0)),INDEX(Table3[[#All],[INT]],MATCH(Table5[[#This Row],[PID]],Table3[[#All],[PID]],0)))</f>
        <v>Normal</v>
      </c>
      <c r="L1082" s="60">
        <f>IF($C1082="B",INDEX(Batters[[#All],[CON P]],MATCH(Table5[[#This Row],[PID]],Batters[[#All],[PID]],0)),INDEX(Table3[[#All],[STU P]],MATCH(Table5[[#This Row],[PID]],Table3[[#All],[PID]],0)))</f>
        <v>4</v>
      </c>
      <c r="M1082" s="56">
        <f>IF($C1082="B",INDEX(Batters[[#All],[GAP P]],MATCH(Table5[[#This Row],[PID]],Batters[[#All],[PID]],0)),INDEX(Table3[[#All],[MOV P]],MATCH(Table5[[#This Row],[PID]],Table3[[#All],[PID]],0)))</f>
        <v>2</v>
      </c>
      <c r="N1082" s="56">
        <f>IF($C1082="B",INDEX(Batters[[#All],[POW P]],MATCH(Table5[[#This Row],[PID]],Batters[[#All],[PID]],0)),INDEX(Table3[[#All],[CON P]],MATCH(Table5[[#This Row],[PID]],Table3[[#All],[PID]],0)))</f>
        <v>1</v>
      </c>
      <c r="O1082" s="56" t="str">
        <f>IF($C1082="B",INDEX(Batters[[#All],[EYE P]],MATCH(Table5[[#This Row],[PID]],Batters[[#All],[PID]],0)),INDEX(Table3[[#All],[VELO]],MATCH(Table5[[#This Row],[PID]],Table3[[#All],[PID]],0)))</f>
        <v>90-92 Mph</v>
      </c>
      <c r="P1082" s="56">
        <f>IF($C1082="B",INDEX(Batters[[#All],[K P]],MATCH(Table5[[#This Row],[PID]],Batters[[#All],[PID]],0)),INDEX(Table3[[#All],[STM]],MATCH(Table5[[#This Row],[PID]],Table3[[#All],[PID]],0)))</f>
        <v>6</v>
      </c>
      <c r="Q1082" s="61">
        <f>IF($C1082="B",INDEX(Batters[[#All],[Tot]],MATCH(Table5[[#This Row],[PID]],Batters[[#All],[PID]],0)),INDEX(Table3[[#All],[Tot]],MATCH(Table5[[#This Row],[PID]],Table3[[#All],[PID]],0)))</f>
        <v>24.182241335053078</v>
      </c>
      <c r="R1082" s="52">
        <f>IF($C1082="B",INDEX(Batters[[#All],[zScore]],MATCH(Table5[[#This Row],[PID]],Batters[[#All],[PID]],0)),INDEX(Table3[[#All],[zScore]],MATCH(Table5[[#This Row],[PID]],Table3[[#All],[PID]],0)))</f>
        <v>-0.77760372064855654</v>
      </c>
      <c r="S1082" s="58" t="str">
        <f>IF($C1082="B",INDEX(Batters[[#All],[DEM]],MATCH(Table5[[#This Row],[PID]],Batters[[#All],[PID]],0)),INDEX(Table3[[#All],[DEM]],MATCH(Table5[[#This Row],[PID]],Table3[[#All],[PID]],0)))</f>
        <v>$75k</v>
      </c>
      <c r="T1082" s="62">
        <f>IF($C1082="B",INDEX(Batters[[#All],[Rnk]],MATCH(Table5[[#This Row],[PID]],Batters[[#All],[PID]],0)),INDEX(Table3[[#All],[Rnk]],MATCH(Table5[[#This Row],[PID]],Table3[[#All],[PID]],0)))</f>
        <v>632</v>
      </c>
      <c r="U1082" s="68">
        <f>IF($C1082="B",VLOOKUP($A1082,Bat!$A$4:$BA$1621,47,FALSE),VLOOKUP($A1082,Pit!$A$4:$BF$1557,56,FALSE))</f>
        <v>0</v>
      </c>
      <c r="V1082" s="50">
        <f>IF($C1082="B",VLOOKUP($A1082,Bat!$A$4:$BA$1621,48,FALSE),VLOOKUP($A1082,Pit!$A$4:$BF$1557,57,FALSE))</f>
        <v>0</v>
      </c>
      <c r="W1082" s="50">
        <f>Table5[[#This Row],[posRnk]]+Table5[[#This Row],[zRnk]]+IF($W$3&lt;&gt;Table5[[#This Row],[Type]],50,0)</f>
        <v>1713</v>
      </c>
      <c r="X1082" s="51">
        <f>RANK(Table5[[#This Row],[zScore]],Table5[[#All],[zScore]])</f>
        <v>1031</v>
      </c>
      <c r="Y1082" s="50" t="str">
        <f>IFERROR(INDEX(DraftResults[[#All],[OVR]],MATCH(Table5[[#This Row],[PID]],DraftResults[[#All],[Player ID]],0)),"")</f>
        <v/>
      </c>
      <c r="Z10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2" s="50" t="str">
        <f>IFERROR(INDEX(DraftResults[[#All],[Pick in Round]],MATCH(Table5[[#This Row],[PID]],DraftResults[[#All],[Player ID]],0)),"")</f>
        <v/>
      </c>
      <c r="AB1082" s="50" t="str">
        <f>IFERROR(INDEX(DraftResults[[#All],[Team Name]],MATCH(Table5[[#This Row],[PID]],DraftResults[[#All],[Player ID]],0)),"")</f>
        <v/>
      </c>
      <c r="AC1082" s="50" t="str">
        <f>IF(Table5[[#This Row],[Ovr]]="","",IF(Table5[[#This Row],[cmbList]]="","",Table5[[#This Row],[cmbList]]-Table5[[#This Row],[Ovr]]))</f>
        <v/>
      </c>
      <c r="AD1082" s="54" t="str">
        <f>IF(ISERROR(VLOOKUP($AB1082&amp;"-"&amp;$E1082&amp;" "&amp;F1082,Bonuses!$B$1:$G$1006,4,FALSE)),"",INT(VLOOKUP($AB1082&amp;"-"&amp;$E1082&amp;" "&amp;$F1082,Bonuses!$B$1:$G$1006,4,FALSE)))</f>
        <v/>
      </c>
      <c r="AE10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3" spans="1:31" s="50" customFormat="1" x14ac:dyDescent="0.25">
      <c r="A1083" s="50">
        <v>14043</v>
      </c>
      <c r="B1083" s="50">
        <f>COUNTIF(Table5[PID],A1083)</f>
        <v>1</v>
      </c>
      <c r="C1083" s="50" t="str">
        <f>IF(COUNTIF(Table3[[#All],[PID]],A1083)&gt;0,"P","B")</f>
        <v>P</v>
      </c>
      <c r="D1083" s="59" t="str">
        <f>IF($C1083="B",INDEX(Batters[[#All],[POS]],MATCH(Table5[[#This Row],[PID]],Batters[[#All],[PID]],0)),INDEX(Table3[[#All],[POS]],MATCH(Table5[[#This Row],[PID]],Table3[[#All],[PID]],0)))</f>
        <v>RP</v>
      </c>
      <c r="E1083" s="52" t="str">
        <f>IF($C1083="B",INDEX(Batters[[#All],[First]],MATCH(Table5[[#This Row],[PID]],Batters[[#All],[PID]],0)),INDEX(Table3[[#All],[First]],MATCH(Table5[[#This Row],[PID]],Table3[[#All],[PID]],0)))</f>
        <v>Valentín</v>
      </c>
      <c r="F1083" s="50" t="str">
        <f>IF($C1083="B",INDEX(Batters[[#All],[Last]],MATCH(A1083,Batters[[#All],[PID]],0)),INDEX(Table3[[#All],[Last]],MATCH(A1083,Table3[[#All],[PID]],0)))</f>
        <v>Sosa</v>
      </c>
      <c r="G1083" s="56">
        <f>IF($C1083="B",INDEX(Batters[[#All],[Age]],MATCH(Table5[[#This Row],[PID]],Batters[[#All],[PID]],0)),INDEX(Table3[[#All],[Age]],MATCH(Table5[[#This Row],[PID]],Table3[[#All],[PID]],0)))</f>
        <v>22</v>
      </c>
      <c r="H1083" s="52" t="str">
        <f>IF($C1083="B",INDEX(Batters[[#All],[B]],MATCH(Table5[[#This Row],[PID]],Batters[[#All],[PID]],0)),INDEX(Table3[[#All],[B]],MATCH(Table5[[#This Row],[PID]],Table3[[#All],[PID]],0)))</f>
        <v>R</v>
      </c>
      <c r="I1083" s="52" t="str">
        <f>IF($C1083="B",INDEX(Batters[[#All],[T]],MATCH(Table5[[#This Row],[PID]],Batters[[#All],[PID]],0)),INDEX(Table3[[#All],[T]],MATCH(Table5[[#This Row],[PID]],Table3[[#All],[PID]],0)))</f>
        <v>R</v>
      </c>
      <c r="J1083" s="52" t="str">
        <f>IF($C1083="B",INDEX(Batters[[#All],[WE]],MATCH(Table5[[#This Row],[PID]],Batters[[#All],[PID]],0)),INDEX(Table3[[#All],[WE]],MATCH(Table5[[#This Row],[PID]],Table3[[#All],[PID]],0)))</f>
        <v>Low</v>
      </c>
      <c r="K1083" s="52" t="str">
        <f>IF($C1083="B",INDEX(Batters[[#All],[INT]],MATCH(Table5[[#This Row],[PID]],Batters[[#All],[PID]],0)),INDEX(Table3[[#All],[INT]],MATCH(Table5[[#This Row],[PID]],Table3[[#All],[PID]],0)))</f>
        <v>Low</v>
      </c>
      <c r="L1083" s="60">
        <f>IF($C1083="B",INDEX(Batters[[#All],[CON P]],MATCH(Table5[[#This Row],[PID]],Batters[[#All],[PID]],0)),INDEX(Table3[[#All],[STU P]],MATCH(Table5[[#This Row],[PID]],Table3[[#All],[PID]],0)))</f>
        <v>3</v>
      </c>
      <c r="M1083" s="56">
        <f>IF($C1083="B",INDEX(Batters[[#All],[GAP P]],MATCH(Table5[[#This Row],[PID]],Batters[[#All],[PID]],0)),INDEX(Table3[[#All],[MOV P]],MATCH(Table5[[#This Row],[PID]],Table3[[#All],[PID]],0)))</f>
        <v>2</v>
      </c>
      <c r="N1083" s="56">
        <f>IF($C1083="B",INDEX(Batters[[#All],[POW P]],MATCH(Table5[[#This Row],[PID]],Batters[[#All],[PID]],0)),INDEX(Table3[[#All],[CON P]],MATCH(Table5[[#This Row],[PID]],Table3[[#All],[PID]],0)))</f>
        <v>3</v>
      </c>
      <c r="O1083" s="56" t="str">
        <f>IF($C1083="B",INDEX(Batters[[#All],[EYE P]],MATCH(Table5[[#This Row],[PID]],Batters[[#All],[PID]],0)),INDEX(Table3[[#All],[VELO]],MATCH(Table5[[#This Row],[PID]],Table3[[#All],[PID]],0)))</f>
        <v>84-86 Mph</v>
      </c>
      <c r="P1083" s="56">
        <f>IF($C1083="B",INDEX(Batters[[#All],[K P]],MATCH(Table5[[#This Row],[PID]],Batters[[#All],[PID]],0)),INDEX(Table3[[#All],[STM]],MATCH(Table5[[#This Row],[PID]],Table3[[#All],[PID]],0)))</f>
        <v>8</v>
      </c>
      <c r="Q1083" s="61">
        <f>IF($C1083="B",INDEX(Batters[[#All],[Tot]],MATCH(Table5[[#This Row],[PID]],Batters[[#All],[PID]],0)),INDEX(Table3[[#All],[Tot]],MATCH(Table5[[#This Row],[PID]],Table3[[#All],[PID]],0)))</f>
        <v>25.984783163336967</v>
      </c>
      <c r="R1083" s="52">
        <f>IF($C1083="B",INDEX(Batters[[#All],[zScore]],MATCH(Table5[[#This Row],[PID]],Batters[[#All],[PID]],0)),INDEX(Table3[[#All],[zScore]],MATCH(Table5[[#This Row],[PID]],Table3[[#All],[PID]],0)))</f>
        <v>-0.78113066282525045</v>
      </c>
      <c r="S1083" s="58" t="str">
        <f>IF($C1083="B",INDEX(Batters[[#All],[DEM]],MATCH(Table5[[#This Row],[PID]],Batters[[#All],[PID]],0)),INDEX(Table3[[#All],[DEM]],MATCH(Table5[[#This Row],[PID]],Table3[[#All],[PID]],0)))</f>
        <v>-</v>
      </c>
      <c r="T1083" s="62">
        <f>IF($C1083="B",INDEX(Batters[[#All],[Rnk]],MATCH(Table5[[#This Row],[PID]],Batters[[#All],[PID]],0)),INDEX(Table3[[#All],[Rnk]],MATCH(Table5[[#This Row],[PID]],Table3[[#All],[PID]],0)))</f>
        <v>633</v>
      </c>
      <c r="U1083" s="68">
        <f>IF($C1083="B",VLOOKUP($A1083,Bat!$A$4:$BA$1621,47,FALSE),VLOOKUP($A1083,Pit!$A$4:$BF$1557,56,FALSE))</f>
        <v>0</v>
      </c>
      <c r="V1083" s="50">
        <f>IF($C1083="B",VLOOKUP($A1083,Bat!$A$4:$BA$1621,48,FALSE),VLOOKUP($A1083,Pit!$A$4:$BF$1557,57,FALSE))</f>
        <v>0</v>
      </c>
      <c r="W1083" s="50">
        <f>Table5[[#This Row],[posRnk]]+Table5[[#This Row],[zRnk]]+IF($W$3&lt;&gt;Table5[[#This Row],[Type]],50,0)</f>
        <v>1715</v>
      </c>
      <c r="X1083" s="51">
        <f>RANK(Table5[[#This Row],[zScore]],Table5[[#All],[zScore]])</f>
        <v>1032</v>
      </c>
      <c r="Y1083" s="50" t="str">
        <f>IFERROR(INDEX(DraftResults[[#All],[OVR]],MATCH(Table5[[#This Row],[PID]],DraftResults[[#All],[Player ID]],0)),"")</f>
        <v/>
      </c>
      <c r="Z10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3" s="50" t="str">
        <f>IFERROR(INDEX(DraftResults[[#All],[Pick in Round]],MATCH(Table5[[#This Row],[PID]],DraftResults[[#All],[Player ID]],0)),"")</f>
        <v/>
      </c>
      <c r="AB1083" s="50" t="str">
        <f>IFERROR(INDEX(DraftResults[[#All],[Team Name]],MATCH(Table5[[#This Row],[PID]],DraftResults[[#All],[Player ID]],0)),"")</f>
        <v/>
      </c>
      <c r="AC1083" s="50" t="str">
        <f>IF(Table5[[#This Row],[Ovr]]="","",IF(Table5[[#This Row],[cmbList]]="","",Table5[[#This Row],[cmbList]]-Table5[[#This Row],[Ovr]]))</f>
        <v/>
      </c>
      <c r="AD1083" s="54" t="str">
        <f>IF(ISERROR(VLOOKUP($AB1083&amp;"-"&amp;$E1083&amp;" "&amp;F1083,Bonuses!$B$1:$G$1006,4,FALSE)),"",INT(VLOOKUP($AB1083&amp;"-"&amp;$E1083&amp;" "&amp;$F1083,Bonuses!$B$1:$G$1006,4,FALSE)))</f>
        <v/>
      </c>
      <c r="AE10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4" spans="1:31" s="50" customFormat="1" x14ac:dyDescent="0.25">
      <c r="A1084" s="50">
        <v>10046</v>
      </c>
      <c r="B1084" s="55">
        <f>COUNTIF(Table5[PID],A1084)</f>
        <v>1</v>
      </c>
      <c r="C1084" s="55" t="str">
        <f>IF(COUNTIF(Table3[[#All],[PID]],A1084)&gt;0,"P","B")</f>
        <v>B</v>
      </c>
      <c r="D1084" s="59" t="str">
        <f>IF($C1084="B",INDEX(Batters[[#All],[POS]],MATCH(Table5[[#This Row],[PID]],Batters[[#All],[PID]],0)),INDEX(Table3[[#All],[POS]],MATCH(Table5[[#This Row],[PID]],Table3[[#All],[PID]],0)))</f>
        <v>3B</v>
      </c>
      <c r="E1084" s="52" t="str">
        <f>IF($C1084="B",INDEX(Batters[[#All],[First]],MATCH(Table5[[#This Row],[PID]],Batters[[#All],[PID]],0)),INDEX(Table3[[#All],[First]],MATCH(Table5[[#This Row],[PID]],Table3[[#All],[PID]],0)))</f>
        <v>Pedro</v>
      </c>
      <c r="F1084" s="50" t="str">
        <f>IF($C1084="B",INDEX(Batters[[#All],[Last]],MATCH(A1084,Batters[[#All],[PID]],0)),INDEX(Table3[[#All],[Last]],MATCH(A1084,Table3[[#All],[PID]],0)))</f>
        <v>Marte</v>
      </c>
      <c r="G1084" s="56">
        <f>IF($C1084="B",INDEX(Batters[[#All],[Age]],MATCH(Table5[[#This Row],[PID]],Batters[[#All],[PID]],0)),INDEX(Table3[[#All],[Age]],MATCH(Table5[[#This Row],[PID]],Table3[[#All],[PID]],0)))</f>
        <v>22</v>
      </c>
      <c r="H1084" s="52" t="str">
        <f>IF($C1084="B",INDEX(Batters[[#All],[B]],MATCH(Table5[[#This Row],[PID]],Batters[[#All],[PID]],0)),INDEX(Table3[[#All],[B]],MATCH(Table5[[#This Row],[PID]],Table3[[#All],[PID]],0)))</f>
        <v>L</v>
      </c>
      <c r="I1084" s="52" t="str">
        <f>IF($C1084="B",INDEX(Batters[[#All],[T]],MATCH(Table5[[#This Row],[PID]],Batters[[#All],[PID]],0)),INDEX(Table3[[#All],[T]],MATCH(Table5[[#This Row],[PID]],Table3[[#All],[PID]],0)))</f>
        <v>R</v>
      </c>
      <c r="J1084" s="52" t="str">
        <f>IF($C1084="B",INDEX(Batters[[#All],[WE]],MATCH(Table5[[#This Row],[PID]],Batters[[#All],[PID]],0)),INDEX(Table3[[#All],[WE]],MATCH(Table5[[#This Row],[PID]],Table3[[#All],[PID]],0)))</f>
        <v>Low</v>
      </c>
      <c r="K1084" s="52" t="str">
        <f>IF($C1084="B",INDEX(Batters[[#All],[INT]],MATCH(Table5[[#This Row],[PID]],Batters[[#All],[PID]],0)),INDEX(Table3[[#All],[INT]],MATCH(Table5[[#This Row],[PID]],Table3[[#All],[PID]],0)))</f>
        <v>High</v>
      </c>
      <c r="L1084" s="60">
        <f>IF($C1084="B",INDEX(Batters[[#All],[CON P]],MATCH(Table5[[#This Row],[PID]],Batters[[#All],[PID]],0)),INDEX(Table3[[#All],[STU P]],MATCH(Table5[[#This Row],[PID]],Table3[[#All],[PID]],0)))</f>
        <v>4</v>
      </c>
      <c r="M1084" s="56">
        <f>IF($C1084="B",INDEX(Batters[[#All],[GAP P]],MATCH(Table5[[#This Row],[PID]],Batters[[#All],[PID]],0)),INDEX(Table3[[#All],[MOV P]],MATCH(Table5[[#This Row],[PID]],Table3[[#All],[PID]],0)))</f>
        <v>4</v>
      </c>
      <c r="N1084" s="56">
        <f>IF($C1084="B",INDEX(Batters[[#All],[POW P]],MATCH(Table5[[#This Row],[PID]],Batters[[#All],[PID]],0)),INDEX(Table3[[#All],[CON P]],MATCH(Table5[[#This Row],[PID]],Table3[[#All],[PID]],0)))</f>
        <v>3</v>
      </c>
      <c r="O1084" s="56">
        <f>IF($C1084="B",INDEX(Batters[[#All],[EYE P]],MATCH(Table5[[#This Row],[PID]],Batters[[#All],[PID]],0)),INDEX(Table3[[#All],[VELO]],MATCH(Table5[[#This Row],[PID]],Table3[[#All],[PID]],0)))</f>
        <v>4</v>
      </c>
      <c r="P1084" s="56">
        <f>IF($C1084="B",INDEX(Batters[[#All],[K P]],MATCH(Table5[[#This Row],[PID]],Batters[[#All],[PID]],0)),INDEX(Table3[[#All],[STM]],MATCH(Table5[[#This Row],[PID]],Table3[[#All],[PID]],0)))</f>
        <v>5</v>
      </c>
      <c r="Q1084" s="61">
        <f>IF($C1084="B",INDEX(Batters[[#All],[Tot]],MATCH(Table5[[#This Row],[PID]],Batters[[#All],[PID]],0)),INDEX(Table3[[#All],[Tot]],MATCH(Table5[[#This Row],[PID]],Table3[[#All],[PID]],0)))</f>
        <v>40.607829803371999</v>
      </c>
      <c r="R1084" s="52">
        <f>IF($C1084="B",INDEX(Batters[[#All],[zScore]],MATCH(Table5[[#This Row],[PID]],Batters[[#All],[PID]],0)),INDEX(Table3[[#All],[zScore]],MATCH(Table5[[#This Row],[PID]],Table3[[#All],[PID]],0)))</f>
        <v>-0.78131898965097235</v>
      </c>
      <c r="S1084" s="58" t="str">
        <f>IF($C1084="B",INDEX(Batters[[#All],[DEM]],MATCH(Table5[[#This Row],[PID]],Batters[[#All],[PID]],0)),INDEX(Table3[[#All],[DEM]],MATCH(Table5[[#This Row],[PID]],Table3[[#All],[PID]],0)))</f>
        <v>-</v>
      </c>
      <c r="T1084" s="62">
        <f>IF($C1084="B",INDEX(Batters[[#All],[Rnk]],MATCH(Table5[[#This Row],[PID]],Batters[[#All],[PID]],0)),INDEX(Table3[[#All],[Rnk]],MATCH(Table5[[#This Row],[PID]],Table3[[#All],[PID]],0)))</f>
        <v>399</v>
      </c>
      <c r="U1084" s="68">
        <f>IF($C1084="B",VLOOKUP($A1084,Bat!$A$4:$BA$1621,47,FALSE),VLOOKUP($A1084,Pit!$A$4:$BF$1557,56,FALSE))</f>
        <v>0</v>
      </c>
      <c r="V1084" s="50">
        <f>IF($C1084="B",VLOOKUP($A1084,Bat!$A$4:$BA$1621,48,FALSE),VLOOKUP($A1084,Pit!$A$4:$BF$1557,57,FALSE))</f>
        <v>0</v>
      </c>
      <c r="W1084" s="50">
        <f>Table5[[#This Row],[posRnk]]+Table5[[#This Row],[zRnk]]+IF($W$3&lt;&gt;Table5[[#This Row],[Type]],50,0)</f>
        <v>1482</v>
      </c>
      <c r="X1084" s="51">
        <f>RANK(Table5[[#This Row],[zScore]],Table5[[#All],[zScore]])</f>
        <v>1033</v>
      </c>
      <c r="Y1084" s="50" t="str">
        <f>IFERROR(INDEX(DraftResults[[#All],[OVR]],MATCH(Table5[[#This Row],[PID]],DraftResults[[#All],[Player ID]],0)),"")</f>
        <v/>
      </c>
      <c r="Z10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4" s="50" t="str">
        <f>IFERROR(INDEX(DraftResults[[#All],[Pick in Round]],MATCH(Table5[[#This Row],[PID]],DraftResults[[#All],[Player ID]],0)),"")</f>
        <v/>
      </c>
      <c r="AB1084" s="50" t="str">
        <f>IFERROR(INDEX(DraftResults[[#All],[Team Name]],MATCH(Table5[[#This Row],[PID]],DraftResults[[#All],[Player ID]],0)),"")</f>
        <v/>
      </c>
      <c r="AC1084" s="50" t="str">
        <f>IF(Table5[[#This Row],[Ovr]]="","",IF(Table5[[#This Row],[cmbList]]="","",Table5[[#This Row],[cmbList]]-Table5[[#This Row],[Ovr]]))</f>
        <v/>
      </c>
      <c r="AD1084" s="54" t="str">
        <f>IF(ISERROR(VLOOKUP($AB1084&amp;"-"&amp;$E1084&amp;" "&amp;F1084,Bonuses!$B$1:$G$1006,4,FALSE)),"",INT(VLOOKUP($AB1084&amp;"-"&amp;$E1084&amp;" "&amp;$F1084,Bonuses!$B$1:$G$1006,4,FALSE)))</f>
        <v/>
      </c>
      <c r="AE10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5" spans="1:31" s="50" customFormat="1" x14ac:dyDescent="0.25">
      <c r="A1085" s="68">
        <v>8609</v>
      </c>
      <c r="B1085" s="69">
        <f>COUNTIF(Table5[PID],A1085)</f>
        <v>1</v>
      </c>
      <c r="C1085" s="69" t="str">
        <f>IF(COUNTIF(Table3[[#All],[PID]],A1085)&gt;0,"P","B")</f>
        <v>P</v>
      </c>
      <c r="D1085" s="59" t="str">
        <f>IF($C1085="B",INDEX(Batters[[#All],[POS]],MATCH(Table5[[#This Row],[PID]],Batters[[#All],[PID]],0)),INDEX(Table3[[#All],[POS]],MATCH(Table5[[#This Row],[PID]],Table3[[#All],[PID]],0)))</f>
        <v>SP</v>
      </c>
      <c r="E1085" s="52" t="str">
        <f>IF($C1085="B",INDEX(Batters[[#All],[First]],MATCH(Table5[[#This Row],[PID]],Batters[[#All],[PID]],0)),INDEX(Table3[[#All],[First]],MATCH(Table5[[#This Row],[PID]],Table3[[#All],[PID]],0)))</f>
        <v>Manny</v>
      </c>
      <c r="F1085" s="55" t="str">
        <f>IF($C1085="B",INDEX(Batters[[#All],[Last]],MATCH(A1085,Batters[[#All],[PID]],0)),INDEX(Table3[[#All],[Last]],MATCH(A1085,Table3[[#All],[PID]],0)))</f>
        <v>Puntiel</v>
      </c>
      <c r="G1085" s="56">
        <f>IF($C1085="B",INDEX(Batters[[#All],[Age]],MATCH(Table5[[#This Row],[PID]],Batters[[#All],[PID]],0)),INDEX(Table3[[#All],[Age]],MATCH(Table5[[#This Row],[PID]],Table3[[#All],[PID]],0)))</f>
        <v>22</v>
      </c>
      <c r="H1085" s="52" t="str">
        <f>IF($C1085="B",INDEX(Batters[[#All],[B]],MATCH(Table5[[#This Row],[PID]],Batters[[#All],[PID]],0)),INDEX(Table3[[#All],[B]],MATCH(Table5[[#This Row],[PID]],Table3[[#All],[PID]],0)))</f>
        <v>R</v>
      </c>
      <c r="I1085" s="52" t="str">
        <f>IF($C1085="B",INDEX(Batters[[#All],[T]],MATCH(Table5[[#This Row],[PID]],Batters[[#All],[PID]],0)),INDEX(Table3[[#All],[T]],MATCH(Table5[[#This Row],[PID]],Table3[[#All],[PID]],0)))</f>
        <v>R</v>
      </c>
      <c r="J1085" s="71" t="str">
        <f>IF($C1085="B",INDEX(Batters[[#All],[WE]],MATCH(Table5[[#This Row],[PID]],Batters[[#All],[PID]],0)),INDEX(Table3[[#All],[WE]],MATCH(Table5[[#This Row],[PID]],Table3[[#All],[PID]],0)))</f>
        <v>Normal</v>
      </c>
      <c r="K1085" s="52" t="str">
        <f>IF($C1085="B",INDEX(Batters[[#All],[INT]],MATCH(Table5[[#This Row],[PID]],Batters[[#All],[PID]],0)),INDEX(Table3[[#All],[INT]],MATCH(Table5[[#This Row],[PID]],Table3[[#All],[PID]],0)))</f>
        <v>Normal</v>
      </c>
      <c r="L1085" s="60">
        <f>IF($C1085="B",INDEX(Batters[[#All],[CON P]],MATCH(Table5[[#This Row],[PID]],Batters[[#All],[PID]],0)),INDEX(Table3[[#All],[STU P]],MATCH(Table5[[#This Row],[PID]],Table3[[#All],[PID]],0)))</f>
        <v>4</v>
      </c>
      <c r="M1085" s="72">
        <f>IF($C1085="B",INDEX(Batters[[#All],[GAP P]],MATCH(Table5[[#This Row],[PID]],Batters[[#All],[PID]],0)),INDEX(Table3[[#All],[MOV P]],MATCH(Table5[[#This Row],[PID]],Table3[[#All],[PID]],0)))</f>
        <v>2</v>
      </c>
      <c r="N1085" s="72">
        <f>IF($C1085="B",INDEX(Batters[[#All],[POW P]],MATCH(Table5[[#This Row],[PID]],Batters[[#All],[PID]],0)),INDEX(Table3[[#All],[CON P]],MATCH(Table5[[#This Row],[PID]],Table3[[#All],[PID]],0)))</f>
        <v>2</v>
      </c>
      <c r="O1085" s="72" t="str">
        <f>IF($C1085="B",INDEX(Batters[[#All],[EYE P]],MATCH(Table5[[#This Row],[PID]],Batters[[#All],[PID]],0)),INDEX(Table3[[#All],[VELO]],MATCH(Table5[[#This Row],[PID]],Table3[[#All],[PID]],0)))</f>
        <v>90-92 Mph</v>
      </c>
      <c r="P1085" s="56">
        <f>IF($C1085="B",INDEX(Batters[[#All],[K P]],MATCH(Table5[[#This Row],[PID]],Batters[[#All],[PID]],0)),INDEX(Table3[[#All],[STM]],MATCH(Table5[[#This Row],[PID]],Table3[[#All],[PID]],0)))</f>
        <v>5</v>
      </c>
      <c r="Q1085" s="61">
        <f>IF($C1085="B",INDEX(Batters[[#All],[Tot]],MATCH(Table5[[#This Row],[PID]],Batters[[#All],[PID]],0)),INDEX(Table3[[#All],[Tot]],MATCH(Table5[[#This Row],[PID]],Table3[[#All],[PID]],0)))</f>
        <v>26.383101557812086</v>
      </c>
      <c r="R1085" s="52">
        <f>IF($C1085="B",INDEX(Batters[[#All],[zScore]],MATCH(Table5[[#This Row],[PID]],Batters[[#All],[PID]],0)),INDEX(Table3[[#All],[zScore]],MATCH(Table5[[#This Row],[PID]],Table3[[#All],[PID]],0)))</f>
        <v>-0.78231285848178744</v>
      </c>
      <c r="S1085" s="78" t="str">
        <f>IF($C1085="B",INDEX(Batters[[#All],[DEM]],MATCH(Table5[[#This Row],[PID]],Batters[[#All],[PID]],0)),INDEX(Table3[[#All],[DEM]],MATCH(Table5[[#This Row],[PID]],Table3[[#All],[PID]],0)))</f>
        <v>-</v>
      </c>
      <c r="T1085" s="75">
        <f>IF($C1085="B",INDEX(Batters[[#All],[Rnk]],MATCH(Table5[[#This Row],[PID]],Batters[[#All],[PID]],0)),INDEX(Table3[[#All],[Rnk]],MATCH(Table5[[#This Row],[PID]],Table3[[#All],[PID]],0)))</f>
        <v>634</v>
      </c>
      <c r="U1085" s="68">
        <f>IF($C1085="B",VLOOKUP($A1085,Bat!$A$4:$BA$1621,47,FALSE),VLOOKUP($A1085,Pit!$A$4:$BF$1557,56,FALSE))</f>
        <v>0</v>
      </c>
      <c r="V1085" s="50">
        <f>IF($C1085="B",VLOOKUP($A1085,Bat!$A$4:$BA$1621,48,FALSE),VLOOKUP($A1085,Pit!$A$4:$BF$1557,57,FALSE))</f>
        <v>0</v>
      </c>
      <c r="W1085" s="69">
        <f>Table5[[#This Row],[posRnk]]+Table5[[#This Row],[zRnk]]+IF($W$3&lt;&gt;Table5[[#This Row],[Type]],50,0)</f>
        <v>1718</v>
      </c>
      <c r="X1085" s="73">
        <f>RANK(Table5[[#This Row],[zScore]],Table5[[#All],[zScore]])</f>
        <v>1034</v>
      </c>
      <c r="Y1085" s="69" t="str">
        <f>IFERROR(INDEX(DraftResults[[#All],[OVR]],MATCH(Table5[[#This Row],[PID]],DraftResults[[#All],[Player ID]],0)),"")</f>
        <v/>
      </c>
      <c r="Z108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5" s="69" t="str">
        <f>IFERROR(INDEX(DraftResults[[#All],[Pick in Round]],MATCH(Table5[[#This Row],[PID]],DraftResults[[#All],[Player ID]],0)),"")</f>
        <v/>
      </c>
      <c r="AB1085" s="69" t="str">
        <f>IFERROR(INDEX(DraftResults[[#All],[Team Name]],MATCH(Table5[[#This Row],[PID]],DraftResults[[#All],[Player ID]],0)),"")</f>
        <v/>
      </c>
      <c r="AC1085" s="69" t="str">
        <f>IF(Table5[[#This Row],[Ovr]]="","",IF(Table5[[#This Row],[cmbList]]="","",Table5[[#This Row],[cmbList]]-Table5[[#This Row],[Ovr]]))</f>
        <v/>
      </c>
      <c r="AD1085" s="77" t="str">
        <f>IF(ISERROR(VLOOKUP($AB1085&amp;"-"&amp;$E1085&amp;" "&amp;F1085,Bonuses!$B$1:$G$1006,4,FALSE)),"",INT(VLOOKUP($AB1085&amp;"-"&amp;$E1085&amp;" "&amp;$F1085,Bonuses!$B$1:$G$1006,4,FALSE)))</f>
        <v/>
      </c>
      <c r="AE108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6" spans="1:31" s="50" customFormat="1" x14ac:dyDescent="0.25">
      <c r="A1086" s="68">
        <v>20479</v>
      </c>
      <c r="B1086" s="69">
        <f>COUNTIF(Table5[PID],A1086)</f>
        <v>1</v>
      </c>
      <c r="C1086" s="69" t="str">
        <f>IF(COUNTIF(Table3[[#All],[PID]],A1086)&gt;0,"P","B")</f>
        <v>P</v>
      </c>
      <c r="D1086" s="59" t="str">
        <f>IF($C1086="B",INDEX(Batters[[#All],[POS]],MATCH(Table5[[#This Row],[PID]],Batters[[#All],[PID]],0)),INDEX(Table3[[#All],[POS]],MATCH(Table5[[#This Row],[PID]],Table3[[#All],[PID]],0)))</f>
        <v>SP</v>
      </c>
      <c r="E1086" s="52" t="str">
        <f>IF($C1086="B",INDEX(Batters[[#All],[First]],MATCH(Table5[[#This Row],[PID]],Batters[[#All],[PID]],0)),INDEX(Table3[[#All],[First]],MATCH(Table5[[#This Row],[PID]],Table3[[#All],[PID]],0)))</f>
        <v>Masaharu</v>
      </c>
      <c r="F1086" s="55" t="str">
        <f>IF($C1086="B",INDEX(Batters[[#All],[Last]],MATCH(A1086,Batters[[#All],[PID]],0)),INDEX(Table3[[#All],[Last]],MATCH(A1086,Table3[[#All],[PID]],0)))</f>
        <v>Ito</v>
      </c>
      <c r="G1086" s="56">
        <f>IF($C1086="B",INDEX(Batters[[#All],[Age]],MATCH(Table5[[#This Row],[PID]],Batters[[#All],[PID]],0)),INDEX(Table3[[#All],[Age]],MATCH(Table5[[#This Row],[PID]],Table3[[#All],[PID]],0)))</f>
        <v>18</v>
      </c>
      <c r="H1086" s="52" t="str">
        <f>IF($C1086="B",INDEX(Batters[[#All],[B]],MATCH(Table5[[#This Row],[PID]],Batters[[#All],[PID]],0)),INDEX(Table3[[#All],[B]],MATCH(Table5[[#This Row],[PID]],Table3[[#All],[PID]],0)))</f>
        <v>R</v>
      </c>
      <c r="I1086" s="52" t="str">
        <f>IF($C1086="B",INDEX(Batters[[#All],[T]],MATCH(Table5[[#This Row],[PID]],Batters[[#All],[PID]],0)),INDEX(Table3[[#All],[T]],MATCH(Table5[[#This Row],[PID]],Table3[[#All],[PID]],0)))</f>
        <v>R</v>
      </c>
      <c r="J1086" s="71" t="str">
        <f>IF($C1086="B",INDEX(Batters[[#All],[WE]],MATCH(Table5[[#This Row],[PID]],Batters[[#All],[PID]],0)),INDEX(Table3[[#All],[WE]],MATCH(Table5[[#This Row],[PID]],Table3[[#All],[PID]],0)))</f>
        <v>Low</v>
      </c>
      <c r="K1086" s="52" t="str">
        <f>IF($C1086="B",INDEX(Batters[[#All],[INT]],MATCH(Table5[[#This Row],[PID]],Batters[[#All],[PID]],0)),INDEX(Table3[[#All],[INT]],MATCH(Table5[[#This Row],[PID]],Table3[[#All],[PID]],0)))</f>
        <v>Normal</v>
      </c>
      <c r="L1086" s="60">
        <f>IF($C1086="B",INDEX(Batters[[#All],[CON P]],MATCH(Table5[[#This Row],[PID]],Batters[[#All],[PID]],0)),INDEX(Table3[[#All],[STU P]],MATCH(Table5[[#This Row],[PID]],Table3[[#All],[PID]],0)))</f>
        <v>4</v>
      </c>
      <c r="M1086" s="72">
        <f>IF($C1086="B",INDEX(Batters[[#All],[GAP P]],MATCH(Table5[[#This Row],[PID]],Batters[[#All],[PID]],0)),INDEX(Table3[[#All],[MOV P]],MATCH(Table5[[#This Row],[PID]],Table3[[#All],[PID]],0)))</f>
        <v>1</v>
      </c>
      <c r="N1086" s="72">
        <f>IF($C1086="B",INDEX(Batters[[#All],[POW P]],MATCH(Table5[[#This Row],[PID]],Batters[[#All],[PID]],0)),INDEX(Table3[[#All],[CON P]],MATCH(Table5[[#This Row],[PID]],Table3[[#All],[PID]],0)))</f>
        <v>2</v>
      </c>
      <c r="O1086" s="72" t="str">
        <f>IF($C1086="B",INDEX(Batters[[#All],[EYE P]],MATCH(Table5[[#This Row],[PID]],Batters[[#All],[PID]],0)),INDEX(Table3[[#All],[VELO]],MATCH(Table5[[#This Row],[PID]],Table3[[#All],[PID]],0)))</f>
        <v>87-89 Mph</v>
      </c>
      <c r="P1086" s="56">
        <f>IF($C1086="B",INDEX(Batters[[#All],[K P]],MATCH(Table5[[#This Row],[PID]],Batters[[#All],[PID]],0)),INDEX(Table3[[#All],[STM]],MATCH(Table5[[#This Row],[PID]],Table3[[#All],[PID]],0)))</f>
        <v>7</v>
      </c>
      <c r="Q1086" s="61">
        <f>IF($C1086="B",INDEX(Batters[[#All],[Tot]],MATCH(Table5[[#This Row],[PID]],Batters[[#All],[PID]],0)),INDEX(Table3[[#All],[Tot]],MATCH(Table5[[#This Row],[PID]],Table3[[#All],[PID]],0)))</f>
        <v>24.106742464330399</v>
      </c>
      <c r="R1086" s="52">
        <f>IF($C1086="B",INDEX(Batters[[#All],[zScore]],MATCH(Table5[[#This Row],[PID]],Batters[[#All],[PID]],0)),INDEX(Table3[[#All],[zScore]],MATCH(Table5[[#This Row],[PID]],Table3[[#All],[PID]],0)))</f>
        <v>-0.7826265451472445</v>
      </c>
      <c r="S1086" s="78" t="str">
        <f>IF($C1086="B",INDEX(Batters[[#All],[DEM]],MATCH(Table5[[#This Row],[PID]],Batters[[#All],[PID]],0)),INDEX(Table3[[#All],[DEM]],MATCH(Table5[[#This Row],[PID]],Table3[[#All],[PID]],0)))</f>
        <v>$2.4m</v>
      </c>
      <c r="T1086" s="75">
        <f>IF($C1086="B",INDEX(Batters[[#All],[Rnk]],MATCH(Table5[[#This Row],[PID]],Batters[[#All],[PID]],0)),INDEX(Table3[[#All],[Rnk]],MATCH(Table5[[#This Row],[PID]],Table3[[#All],[PID]],0)))</f>
        <v>635</v>
      </c>
      <c r="U1086" s="68">
        <f>IF($C1086="B",VLOOKUP($A1086,Bat!$A$4:$BA$1621,47,FALSE),VLOOKUP($A1086,Pit!$A$4:$BF$1557,56,FALSE))</f>
        <v>0</v>
      </c>
      <c r="V1086" s="50">
        <f>IF($C1086="B",VLOOKUP($A1086,Bat!$A$4:$BA$1621,48,FALSE),VLOOKUP($A1086,Pit!$A$4:$BF$1557,57,FALSE))</f>
        <v>0</v>
      </c>
      <c r="W1086" s="69">
        <f>Table5[[#This Row],[posRnk]]+Table5[[#This Row],[zRnk]]+IF($W$3&lt;&gt;Table5[[#This Row],[Type]],50,0)</f>
        <v>1720</v>
      </c>
      <c r="X1086" s="73">
        <f>RANK(Table5[[#This Row],[zScore]],Table5[[#All],[zScore]])</f>
        <v>1035</v>
      </c>
      <c r="Y1086" s="69" t="str">
        <f>IFERROR(INDEX(DraftResults[[#All],[OVR]],MATCH(Table5[[#This Row],[PID]],DraftResults[[#All],[Player ID]],0)),"")</f>
        <v/>
      </c>
      <c r="Z10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6" s="69" t="str">
        <f>IFERROR(INDEX(DraftResults[[#All],[Pick in Round]],MATCH(Table5[[#This Row],[PID]],DraftResults[[#All],[Player ID]],0)),"")</f>
        <v/>
      </c>
      <c r="AB1086" s="69" t="str">
        <f>IFERROR(INDEX(DraftResults[[#All],[Team Name]],MATCH(Table5[[#This Row],[PID]],DraftResults[[#All],[Player ID]],0)),"")</f>
        <v/>
      </c>
      <c r="AC1086" s="69" t="str">
        <f>IF(Table5[[#This Row],[Ovr]]="","",IF(Table5[[#This Row],[cmbList]]="","",Table5[[#This Row],[cmbList]]-Table5[[#This Row],[Ovr]]))</f>
        <v/>
      </c>
      <c r="AD1086" s="77" t="str">
        <f>IF(ISERROR(VLOOKUP($AB1086&amp;"-"&amp;$E1086&amp;" "&amp;F1086,Bonuses!$B$1:$G$1006,4,FALSE)),"",INT(VLOOKUP($AB1086&amp;"-"&amp;$E1086&amp;" "&amp;$F1086,Bonuses!$B$1:$G$1006,4,FALSE)))</f>
        <v/>
      </c>
      <c r="AE10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7" spans="1:31" s="50" customFormat="1" x14ac:dyDescent="0.25">
      <c r="A1087" s="50">
        <v>17843</v>
      </c>
      <c r="B1087" s="50">
        <f>COUNTIF(Table5[PID],A1087)</f>
        <v>1</v>
      </c>
      <c r="C1087" s="50" t="str">
        <f>IF(COUNTIF(Table3[[#All],[PID]],A1087)&gt;0,"P","B")</f>
        <v>P</v>
      </c>
      <c r="D1087" s="59" t="str">
        <f>IF($C1087="B",INDEX(Batters[[#All],[POS]],MATCH(Table5[[#This Row],[PID]],Batters[[#All],[PID]],0)),INDEX(Table3[[#All],[POS]],MATCH(Table5[[#This Row],[PID]],Table3[[#All],[PID]],0)))</f>
        <v>RP</v>
      </c>
      <c r="E1087" s="52" t="str">
        <f>IF($C1087="B",INDEX(Batters[[#All],[First]],MATCH(Table5[[#This Row],[PID]],Batters[[#All],[PID]],0)),INDEX(Table3[[#All],[First]],MATCH(Table5[[#This Row],[PID]],Table3[[#All],[PID]],0)))</f>
        <v>Lewis</v>
      </c>
      <c r="F1087" s="50" t="str">
        <f>IF($C1087="B",INDEX(Batters[[#All],[Last]],MATCH(A1087,Batters[[#All],[PID]],0)),INDEX(Table3[[#All],[Last]],MATCH(A1087,Table3[[#All],[PID]],0)))</f>
        <v>Millar</v>
      </c>
      <c r="G1087" s="56">
        <f>IF($C1087="B",INDEX(Batters[[#All],[Age]],MATCH(Table5[[#This Row],[PID]],Batters[[#All],[PID]],0)),INDEX(Table3[[#All],[Age]],MATCH(Table5[[#This Row],[PID]],Table3[[#All],[PID]],0)))</f>
        <v>18</v>
      </c>
      <c r="H1087" s="52" t="str">
        <f>IF($C1087="B",INDEX(Batters[[#All],[B]],MATCH(Table5[[#This Row],[PID]],Batters[[#All],[PID]],0)),INDEX(Table3[[#All],[B]],MATCH(Table5[[#This Row],[PID]],Table3[[#All],[PID]],0)))</f>
        <v>L</v>
      </c>
      <c r="I1087" s="52" t="str">
        <f>IF($C1087="B",INDEX(Batters[[#All],[T]],MATCH(Table5[[#This Row],[PID]],Batters[[#All],[PID]],0)),INDEX(Table3[[#All],[T]],MATCH(Table5[[#This Row],[PID]],Table3[[#All],[PID]],0)))</f>
        <v>L</v>
      </c>
      <c r="J1087" s="52" t="str">
        <f>IF($C1087="B",INDEX(Batters[[#All],[WE]],MATCH(Table5[[#This Row],[PID]],Batters[[#All],[PID]],0)),INDEX(Table3[[#All],[WE]],MATCH(Table5[[#This Row],[PID]],Table3[[#All],[PID]],0)))</f>
        <v>Normal</v>
      </c>
      <c r="K1087" s="52" t="str">
        <f>IF($C1087="B",INDEX(Batters[[#All],[INT]],MATCH(Table5[[#This Row],[PID]],Batters[[#All],[PID]],0)),INDEX(Table3[[#All],[INT]],MATCH(Table5[[#This Row],[PID]],Table3[[#All],[PID]],0)))</f>
        <v>Normal</v>
      </c>
      <c r="L1087" s="60">
        <f>IF($C1087="B",INDEX(Batters[[#All],[CON P]],MATCH(Table5[[#This Row],[PID]],Batters[[#All],[PID]],0)),INDEX(Table3[[#All],[STU P]],MATCH(Table5[[#This Row],[PID]],Table3[[#All],[PID]],0)))</f>
        <v>3</v>
      </c>
      <c r="M1087" s="56">
        <f>IF($C1087="B",INDEX(Batters[[#All],[GAP P]],MATCH(Table5[[#This Row],[PID]],Batters[[#All],[PID]],0)),INDEX(Table3[[#All],[MOV P]],MATCH(Table5[[#This Row],[PID]],Table3[[#All],[PID]],0)))</f>
        <v>2</v>
      </c>
      <c r="N1087" s="56">
        <f>IF($C1087="B",INDEX(Batters[[#All],[POW P]],MATCH(Table5[[#This Row],[PID]],Batters[[#All],[PID]],0)),INDEX(Table3[[#All],[CON P]],MATCH(Table5[[#This Row],[PID]],Table3[[#All],[PID]],0)))</f>
        <v>3</v>
      </c>
      <c r="O1087" s="56" t="str">
        <f>IF($C1087="B",INDEX(Batters[[#All],[EYE P]],MATCH(Table5[[#This Row],[PID]],Batters[[#All],[PID]],0)),INDEX(Table3[[#All],[VELO]],MATCH(Table5[[#This Row],[PID]],Table3[[#All],[PID]],0)))</f>
        <v>86-88 Mph</v>
      </c>
      <c r="P1087" s="56">
        <f>IF($C1087="B",INDEX(Batters[[#All],[K P]],MATCH(Table5[[#This Row],[PID]],Batters[[#All],[PID]],0)),INDEX(Table3[[#All],[STM]],MATCH(Table5[[#This Row],[PID]],Table3[[#All],[PID]],0)))</f>
        <v>1</v>
      </c>
      <c r="Q1087" s="61">
        <f>IF($C1087="B",INDEX(Batters[[#All],[Tot]],MATCH(Table5[[#This Row],[PID]],Batters[[#All],[PID]],0)),INDEX(Table3[[#All],[Tot]],MATCH(Table5[[#This Row],[PID]],Table3[[#All],[PID]],0)))</f>
        <v>24.033219006248526</v>
      </c>
      <c r="R1087" s="52">
        <f>IF($C1087="B",INDEX(Batters[[#All],[zScore]],MATCH(Table5[[#This Row],[PID]],Batters[[#All],[PID]],0)),INDEX(Table3[[#All],[zScore]],MATCH(Table5[[#This Row],[PID]],Table3[[#All],[PID]],0)))</f>
        <v>-0.78751794846158507</v>
      </c>
      <c r="S1087" s="58" t="str">
        <f>IF($C1087="B",INDEX(Batters[[#All],[DEM]],MATCH(Table5[[#This Row],[PID]],Batters[[#All],[PID]],0)),INDEX(Table3[[#All],[DEM]],MATCH(Table5[[#This Row],[PID]],Table3[[#All],[PID]],0)))</f>
        <v>$80k</v>
      </c>
      <c r="T1087" s="62">
        <f>IF($C1087="B",INDEX(Batters[[#All],[Rnk]],MATCH(Table5[[#This Row],[PID]],Batters[[#All],[PID]],0)),INDEX(Table3[[#All],[Rnk]],MATCH(Table5[[#This Row],[PID]],Table3[[#All],[PID]],0)))</f>
        <v>636</v>
      </c>
      <c r="U1087" s="68">
        <f>IF($C1087="B",VLOOKUP($A1087,Bat!$A$4:$BA$1621,47,FALSE),VLOOKUP($A1087,Pit!$A$4:$BF$1557,56,FALSE))</f>
        <v>0</v>
      </c>
      <c r="V1087" s="50">
        <f>IF($C1087="B",VLOOKUP($A1087,Bat!$A$4:$BA$1621,48,FALSE),VLOOKUP($A1087,Pit!$A$4:$BF$1557,57,FALSE))</f>
        <v>0</v>
      </c>
      <c r="W1087" s="50">
        <f>Table5[[#This Row],[posRnk]]+Table5[[#This Row],[zRnk]]+IF($W$3&lt;&gt;Table5[[#This Row],[Type]],50,0)</f>
        <v>1723</v>
      </c>
      <c r="X1087" s="51">
        <f>RANK(Table5[[#This Row],[zScore]],Table5[[#All],[zScore]])</f>
        <v>1037</v>
      </c>
      <c r="Y1087" s="50" t="str">
        <f>IFERROR(INDEX(DraftResults[[#All],[OVR]],MATCH(Table5[[#This Row],[PID]],DraftResults[[#All],[Player ID]],0)),"")</f>
        <v/>
      </c>
      <c r="Z10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7" s="50" t="str">
        <f>IFERROR(INDEX(DraftResults[[#All],[Pick in Round]],MATCH(Table5[[#This Row],[PID]],DraftResults[[#All],[Player ID]],0)),"")</f>
        <v/>
      </c>
      <c r="AB1087" s="50" t="str">
        <f>IFERROR(INDEX(DraftResults[[#All],[Team Name]],MATCH(Table5[[#This Row],[PID]],DraftResults[[#All],[Player ID]],0)),"")</f>
        <v/>
      </c>
      <c r="AC1087" s="50" t="str">
        <f>IF(Table5[[#This Row],[Ovr]]="","",IF(Table5[[#This Row],[cmbList]]="","",Table5[[#This Row],[cmbList]]-Table5[[#This Row],[Ovr]]))</f>
        <v/>
      </c>
      <c r="AD1087" s="54" t="str">
        <f>IF(ISERROR(VLOOKUP($AB1087&amp;"-"&amp;$E1087&amp;" "&amp;F1087,Bonuses!$B$1:$G$1006,4,FALSE)),"",INT(VLOOKUP($AB1087&amp;"-"&amp;$E1087&amp;" "&amp;$F1087,Bonuses!$B$1:$G$1006,4,FALSE)))</f>
        <v/>
      </c>
      <c r="AE10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8" spans="1:31" s="50" customFormat="1" x14ac:dyDescent="0.25">
      <c r="A1088" s="50">
        <v>20938</v>
      </c>
      <c r="B1088" s="50">
        <f>COUNTIF(Table5[PID],A1088)</f>
        <v>1</v>
      </c>
      <c r="C1088" s="50" t="str">
        <f>IF(COUNTIF(Table3[[#All],[PID]],A1088)&gt;0,"P","B")</f>
        <v>B</v>
      </c>
      <c r="D1088" s="59" t="str">
        <f>IF($C1088="B",INDEX(Batters[[#All],[POS]],MATCH(Table5[[#This Row],[PID]],Batters[[#All],[PID]],0)),INDEX(Table3[[#All],[POS]],MATCH(Table5[[#This Row],[PID]],Table3[[#All],[PID]],0)))</f>
        <v>C</v>
      </c>
      <c r="E1088" s="52" t="str">
        <f>IF($C1088="B",INDEX(Batters[[#All],[First]],MATCH(Table5[[#This Row],[PID]],Batters[[#All],[PID]],0)),INDEX(Table3[[#All],[First]],MATCH(Table5[[#This Row],[PID]],Table3[[#All],[PID]],0)))</f>
        <v>Steve</v>
      </c>
      <c r="F1088" s="50" t="str">
        <f>IF($C1088="B",INDEX(Batters[[#All],[Last]],MATCH(A1088,Batters[[#All],[PID]],0)),INDEX(Table3[[#All],[Last]],MATCH(A1088,Table3[[#All],[PID]],0)))</f>
        <v>Miller</v>
      </c>
      <c r="G1088" s="56">
        <f>IF($C1088="B",INDEX(Batters[[#All],[Age]],MATCH(Table5[[#This Row],[PID]],Batters[[#All],[PID]],0)),INDEX(Table3[[#All],[Age]],MATCH(Table5[[#This Row],[PID]],Table3[[#All],[PID]],0)))</f>
        <v>16</v>
      </c>
      <c r="H1088" s="52" t="str">
        <f>IF($C1088="B",INDEX(Batters[[#All],[B]],MATCH(Table5[[#This Row],[PID]],Batters[[#All],[PID]],0)),INDEX(Table3[[#All],[B]],MATCH(Table5[[#This Row],[PID]],Table3[[#All],[PID]],0)))</f>
        <v>R</v>
      </c>
      <c r="I1088" s="52" t="str">
        <f>IF($C1088="B",INDEX(Batters[[#All],[T]],MATCH(Table5[[#This Row],[PID]],Batters[[#All],[PID]],0)),INDEX(Table3[[#All],[T]],MATCH(Table5[[#This Row],[PID]],Table3[[#All],[PID]],0)))</f>
        <v>R</v>
      </c>
      <c r="J1088" s="52" t="str">
        <f>IF($C1088="B",INDEX(Batters[[#All],[WE]],MATCH(Table5[[#This Row],[PID]],Batters[[#All],[PID]],0)),INDEX(Table3[[#All],[WE]],MATCH(Table5[[#This Row],[PID]],Table3[[#All],[PID]],0)))</f>
        <v>Normal</v>
      </c>
      <c r="K1088" s="52" t="str">
        <f>IF($C1088="B",INDEX(Batters[[#All],[INT]],MATCH(Table5[[#This Row],[PID]],Batters[[#All],[PID]],0)),INDEX(Table3[[#All],[INT]],MATCH(Table5[[#This Row],[PID]],Table3[[#All],[PID]],0)))</f>
        <v>Normal</v>
      </c>
      <c r="L1088" s="60">
        <f>IF($C1088="B",INDEX(Batters[[#All],[CON P]],MATCH(Table5[[#This Row],[PID]],Batters[[#All],[PID]],0)),INDEX(Table3[[#All],[STU P]],MATCH(Table5[[#This Row],[PID]],Table3[[#All],[PID]],0)))</f>
        <v>3</v>
      </c>
      <c r="M1088" s="56">
        <f>IF($C1088="B",INDEX(Batters[[#All],[GAP P]],MATCH(Table5[[#This Row],[PID]],Batters[[#All],[PID]],0)),INDEX(Table3[[#All],[MOV P]],MATCH(Table5[[#This Row],[PID]],Table3[[#All],[PID]],0)))</f>
        <v>5</v>
      </c>
      <c r="N1088" s="56">
        <f>IF($C1088="B",INDEX(Batters[[#All],[POW P]],MATCH(Table5[[#This Row],[PID]],Batters[[#All],[PID]],0)),INDEX(Table3[[#All],[CON P]],MATCH(Table5[[#This Row],[PID]],Table3[[#All],[PID]],0)))</f>
        <v>3</v>
      </c>
      <c r="O1088" s="56">
        <f>IF($C1088="B",INDEX(Batters[[#All],[EYE P]],MATCH(Table5[[#This Row],[PID]],Batters[[#All],[PID]],0)),INDEX(Table3[[#All],[VELO]],MATCH(Table5[[#This Row],[PID]],Table3[[#All],[PID]],0)))</f>
        <v>3</v>
      </c>
      <c r="P1088" s="56">
        <f>IF($C1088="B",INDEX(Batters[[#All],[K P]],MATCH(Table5[[#This Row],[PID]],Batters[[#All],[PID]],0)),INDEX(Table3[[#All],[STM]],MATCH(Table5[[#This Row],[PID]],Table3[[#All],[PID]],0)))</f>
        <v>4</v>
      </c>
      <c r="Q1088" s="61">
        <f>IF($C1088="B",INDEX(Batters[[#All],[Tot]],MATCH(Table5[[#This Row],[PID]],Batters[[#All],[PID]],0)),INDEX(Table3[[#All],[Tot]],MATCH(Table5[[#This Row],[PID]],Table3[[#All],[PID]],0)))</f>
        <v>40.572165185231185</v>
      </c>
      <c r="R1088" s="52">
        <f>IF($C1088="B",INDEX(Batters[[#All],[zScore]],MATCH(Table5[[#This Row],[PID]],Batters[[#All],[PID]],0)),INDEX(Table3[[#All],[zScore]],MATCH(Table5[[#This Row],[PID]],Table3[[#All],[PID]],0)))</f>
        <v>-0.78922607656323629</v>
      </c>
      <c r="S1088" s="58" t="str">
        <f>IF($C1088="B",INDEX(Batters[[#All],[DEM]],MATCH(Table5[[#This Row],[PID]],Batters[[#All],[PID]],0)),INDEX(Table3[[#All],[DEM]],MATCH(Table5[[#This Row],[PID]],Table3[[#All],[PID]],0)))</f>
        <v>$65k</v>
      </c>
      <c r="T1088" s="62">
        <f>IF($C1088="B",INDEX(Batters[[#All],[Rnk]],MATCH(Table5[[#This Row],[PID]],Batters[[#All],[PID]],0)),INDEX(Table3[[#All],[Rnk]],MATCH(Table5[[#This Row],[PID]],Table3[[#All],[PID]],0)))</f>
        <v>401</v>
      </c>
      <c r="U1088" s="68">
        <f>IF($C1088="B",VLOOKUP($A1088,Bat!$A$4:$BA$1621,47,FALSE),VLOOKUP($A1088,Pit!$A$4:$BF$1557,56,FALSE))</f>
        <v>0</v>
      </c>
      <c r="V1088" s="50">
        <f>IF($C1088="B",VLOOKUP($A1088,Bat!$A$4:$BA$1621,48,FALSE),VLOOKUP($A1088,Pit!$A$4:$BF$1557,57,FALSE))</f>
        <v>0</v>
      </c>
      <c r="W1088" s="50">
        <f>Table5[[#This Row],[posRnk]]+Table5[[#This Row],[zRnk]]+IF($W$3&lt;&gt;Table5[[#This Row],[Type]],50,0)</f>
        <v>1489</v>
      </c>
      <c r="X1088" s="51">
        <f>RANK(Table5[[#This Row],[zScore]],Table5[[#All],[zScore]])</f>
        <v>1038</v>
      </c>
      <c r="Y1088" s="50" t="str">
        <f>IFERROR(INDEX(DraftResults[[#All],[OVR]],MATCH(Table5[[#This Row],[PID]],DraftResults[[#All],[Player ID]],0)),"")</f>
        <v/>
      </c>
      <c r="Z10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8" s="50" t="str">
        <f>IFERROR(INDEX(DraftResults[[#All],[Pick in Round]],MATCH(Table5[[#This Row],[PID]],DraftResults[[#All],[Player ID]],0)),"")</f>
        <v/>
      </c>
      <c r="AB1088" s="50" t="str">
        <f>IFERROR(INDEX(DraftResults[[#All],[Team Name]],MATCH(Table5[[#This Row],[PID]],DraftResults[[#All],[Player ID]],0)),"")</f>
        <v/>
      </c>
      <c r="AC1088" s="50" t="str">
        <f>IF(Table5[[#This Row],[Ovr]]="","",IF(Table5[[#This Row],[cmbList]]="","",Table5[[#This Row],[cmbList]]-Table5[[#This Row],[Ovr]]))</f>
        <v/>
      </c>
      <c r="AD1088" s="54" t="str">
        <f>IF(ISERROR(VLOOKUP($AB1088&amp;"-"&amp;$E1088&amp;" "&amp;F1088,Bonuses!$B$1:$G$1006,4,FALSE)),"",INT(VLOOKUP($AB1088&amp;"-"&amp;$E1088&amp;" "&amp;$F1088,Bonuses!$B$1:$G$1006,4,FALSE)))</f>
        <v/>
      </c>
      <c r="AE10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89" spans="1:31" s="50" customFormat="1" x14ac:dyDescent="0.25">
      <c r="A1089" s="50">
        <v>13808</v>
      </c>
      <c r="B1089" s="50">
        <f>COUNTIF(Table5[PID],A1089)</f>
        <v>1</v>
      </c>
      <c r="C1089" s="50" t="str">
        <f>IF(COUNTIF(Table3[[#All],[PID]],A1089)&gt;0,"P","B")</f>
        <v>P</v>
      </c>
      <c r="D1089" s="59" t="str">
        <f>IF($C1089="B",INDEX(Batters[[#All],[POS]],MATCH(Table5[[#This Row],[PID]],Batters[[#All],[PID]],0)),INDEX(Table3[[#All],[POS]],MATCH(Table5[[#This Row],[PID]],Table3[[#All],[PID]],0)))</f>
        <v>RP</v>
      </c>
      <c r="E1089" s="52" t="str">
        <f>IF($C1089="B",INDEX(Batters[[#All],[First]],MATCH(Table5[[#This Row],[PID]],Batters[[#All],[PID]],0)),INDEX(Table3[[#All],[First]],MATCH(Table5[[#This Row],[PID]],Table3[[#All],[PID]],0)))</f>
        <v>Connor</v>
      </c>
      <c r="F1089" s="50" t="str">
        <f>IF($C1089="B",INDEX(Batters[[#All],[Last]],MATCH(A1089,Batters[[#All],[PID]],0)),INDEX(Table3[[#All],[Last]],MATCH(A1089,Table3[[#All],[PID]],0)))</f>
        <v>Fletcher</v>
      </c>
      <c r="G1089" s="56">
        <f>IF($C1089="B",INDEX(Batters[[#All],[Age]],MATCH(Table5[[#This Row],[PID]],Batters[[#All],[PID]],0)),INDEX(Table3[[#All],[Age]],MATCH(Table5[[#This Row],[PID]],Table3[[#All],[PID]],0)))</f>
        <v>21</v>
      </c>
      <c r="H1089" s="52" t="str">
        <f>IF($C1089="B",INDEX(Batters[[#All],[B]],MATCH(Table5[[#This Row],[PID]],Batters[[#All],[PID]],0)),INDEX(Table3[[#All],[B]],MATCH(Table5[[#This Row],[PID]],Table3[[#All],[PID]],0)))</f>
        <v>L</v>
      </c>
      <c r="I1089" s="52" t="str">
        <f>IF($C1089="B",INDEX(Batters[[#All],[T]],MATCH(Table5[[#This Row],[PID]],Batters[[#All],[PID]],0)),INDEX(Table3[[#All],[T]],MATCH(Table5[[#This Row],[PID]],Table3[[#All],[PID]],0)))</f>
        <v>L</v>
      </c>
      <c r="J1089" s="52" t="str">
        <f>IF($C1089="B",INDEX(Batters[[#All],[WE]],MATCH(Table5[[#This Row],[PID]],Batters[[#All],[PID]],0)),INDEX(Table3[[#All],[WE]],MATCH(Table5[[#This Row],[PID]],Table3[[#All],[PID]],0)))</f>
        <v>Normal</v>
      </c>
      <c r="K1089" s="52" t="str">
        <f>IF($C1089="B",INDEX(Batters[[#All],[INT]],MATCH(Table5[[#This Row],[PID]],Batters[[#All],[PID]],0)),INDEX(Table3[[#All],[INT]],MATCH(Table5[[#This Row],[PID]],Table3[[#All],[PID]],0)))</f>
        <v>Normal</v>
      </c>
      <c r="L1089" s="60">
        <f>IF($C1089="B",INDEX(Batters[[#All],[CON P]],MATCH(Table5[[#This Row],[PID]],Batters[[#All],[PID]],0)),INDEX(Table3[[#All],[STU P]],MATCH(Table5[[#This Row],[PID]],Table3[[#All],[PID]],0)))</f>
        <v>4</v>
      </c>
      <c r="M1089" s="56">
        <f>IF($C1089="B",INDEX(Batters[[#All],[GAP P]],MATCH(Table5[[#This Row],[PID]],Batters[[#All],[PID]],0)),INDEX(Table3[[#All],[MOV P]],MATCH(Table5[[#This Row],[PID]],Table3[[#All],[PID]],0)))</f>
        <v>1</v>
      </c>
      <c r="N1089" s="56">
        <f>IF($C1089="B",INDEX(Batters[[#All],[POW P]],MATCH(Table5[[#This Row],[PID]],Batters[[#All],[PID]],0)),INDEX(Table3[[#All],[CON P]],MATCH(Table5[[#This Row],[PID]],Table3[[#All],[PID]],0)))</f>
        <v>4</v>
      </c>
      <c r="O1089" s="56" t="str">
        <f>IF($C1089="B",INDEX(Batters[[#All],[EYE P]],MATCH(Table5[[#This Row],[PID]],Batters[[#All],[PID]],0)),INDEX(Table3[[#All],[VELO]],MATCH(Table5[[#This Row],[PID]],Table3[[#All],[PID]],0)))</f>
        <v>87-89 Mph</v>
      </c>
      <c r="P1089" s="56">
        <f>IF($C1089="B",INDEX(Batters[[#All],[K P]],MATCH(Table5[[#This Row],[PID]],Batters[[#All],[PID]],0)),INDEX(Table3[[#All],[STM]],MATCH(Table5[[#This Row],[PID]],Table3[[#All],[PID]],0)))</f>
        <v>2</v>
      </c>
      <c r="Q1089" s="61">
        <f>IF($C1089="B",INDEX(Batters[[#All],[Tot]],MATCH(Table5[[#This Row],[PID]],Batters[[#All],[PID]],0)),INDEX(Table3[[#All],[Tot]],MATCH(Table5[[#This Row],[PID]],Table3[[#All],[PID]],0)))</f>
        <v>23.978127758720358</v>
      </c>
      <c r="R1089" s="52">
        <f>IF($C1089="B",INDEX(Batters[[#All],[zScore]],MATCH(Table5[[#This Row],[PID]],Batters[[#All],[PID]],0)),INDEX(Table3[[#All],[zScore]],MATCH(Table5[[#This Row],[PID]],Table3[[#All],[PID]],0)))</f>
        <v>-0.79118308497421164</v>
      </c>
      <c r="S1089" s="58" t="str">
        <f>IF($C1089="B",INDEX(Batters[[#All],[DEM]],MATCH(Table5[[#This Row],[PID]],Batters[[#All],[PID]],0)),INDEX(Table3[[#All],[DEM]],MATCH(Table5[[#This Row],[PID]],Table3[[#All],[PID]],0)))</f>
        <v>$20k</v>
      </c>
      <c r="T1089" s="62">
        <f>IF($C1089="B",INDEX(Batters[[#All],[Rnk]],MATCH(Table5[[#This Row],[PID]],Batters[[#All],[PID]],0)),INDEX(Table3[[#All],[Rnk]],MATCH(Table5[[#This Row],[PID]],Table3[[#All],[PID]],0)))</f>
        <v>637</v>
      </c>
      <c r="U1089" s="68">
        <f>IF($C1089="B",VLOOKUP($A1089,Bat!$A$4:$BA$1621,47,FALSE),VLOOKUP($A1089,Pit!$A$4:$BF$1557,56,FALSE))</f>
        <v>0</v>
      </c>
      <c r="V1089" s="50">
        <f>IF($C1089="B",VLOOKUP($A1089,Bat!$A$4:$BA$1621,48,FALSE),VLOOKUP($A1089,Pit!$A$4:$BF$1557,57,FALSE))</f>
        <v>0</v>
      </c>
      <c r="W1089" s="50">
        <f>Table5[[#This Row],[posRnk]]+Table5[[#This Row],[zRnk]]+IF($W$3&lt;&gt;Table5[[#This Row],[Type]],50,0)</f>
        <v>1726</v>
      </c>
      <c r="X1089" s="51">
        <f>RANK(Table5[[#This Row],[zScore]],Table5[[#All],[zScore]])</f>
        <v>1039</v>
      </c>
      <c r="Y1089" s="50" t="str">
        <f>IFERROR(INDEX(DraftResults[[#All],[OVR]],MATCH(Table5[[#This Row],[PID]],DraftResults[[#All],[Player ID]],0)),"")</f>
        <v/>
      </c>
      <c r="Z10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89" s="50" t="str">
        <f>IFERROR(INDEX(DraftResults[[#All],[Pick in Round]],MATCH(Table5[[#This Row],[PID]],DraftResults[[#All],[Player ID]],0)),"")</f>
        <v/>
      </c>
      <c r="AB1089" s="50" t="str">
        <f>IFERROR(INDEX(DraftResults[[#All],[Team Name]],MATCH(Table5[[#This Row],[PID]],DraftResults[[#All],[Player ID]],0)),"")</f>
        <v/>
      </c>
      <c r="AC1089" s="50" t="str">
        <f>IF(Table5[[#This Row],[Ovr]]="","",IF(Table5[[#This Row],[cmbList]]="","",Table5[[#This Row],[cmbList]]-Table5[[#This Row],[Ovr]]))</f>
        <v/>
      </c>
      <c r="AD1089" s="54" t="str">
        <f>IF(ISERROR(VLOOKUP($AB1089&amp;"-"&amp;$E1089&amp;" "&amp;F1089,Bonuses!$B$1:$G$1006,4,FALSE)),"",INT(VLOOKUP($AB1089&amp;"-"&amp;$E1089&amp;" "&amp;$F1089,Bonuses!$B$1:$G$1006,4,FALSE)))</f>
        <v/>
      </c>
      <c r="AE10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0" spans="1:31" s="50" customFormat="1" x14ac:dyDescent="0.25">
      <c r="A1090" s="50">
        <v>16308</v>
      </c>
      <c r="B1090" s="50">
        <f>COUNTIF(Table5[PID],A1090)</f>
        <v>1</v>
      </c>
      <c r="C1090" s="50" t="str">
        <f>IF(COUNTIF(Table3[[#All],[PID]],A1090)&gt;0,"P","B")</f>
        <v>P</v>
      </c>
      <c r="D1090" s="59" t="str">
        <f>IF($C1090="B",INDEX(Batters[[#All],[POS]],MATCH(Table5[[#This Row],[PID]],Batters[[#All],[PID]],0)),INDEX(Table3[[#All],[POS]],MATCH(Table5[[#This Row],[PID]],Table3[[#All],[PID]],0)))</f>
        <v>RP</v>
      </c>
      <c r="E1090" s="52" t="str">
        <f>IF($C1090="B",INDEX(Batters[[#All],[First]],MATCH(Table5[[#This Row],[PID]],Batters[[#All],[PID]],0)),INDEX(Table3[[#All],[First]],MATCH(Table5[[#This Row],[PID]],Table3[[#All],[PID]],0)))</f>
        <v>Iván</v>
      </c>
      <c r="F1090" s="50" t="str">
        <f>IF($C1090="B",INDEX(Batters[[#All],[Last]],MATCH(A1090,Batters[[#All],[PID]],0)),INDEX(Table3[[#All],[Last]],MATCH(A1090,Table3[[#All],[PID]],0)))</f>
        <v>Guerrero</v>
      </c>
      <c r="G1090" s="56">
        <f>IF($C1090="B",INDEX(Batters[[#All],[Age]],MATCH(Table5[[#This Row],[PID]],Batters[[#All],[PID]],0)),INDEX(Table3[[#All],[Age]],MATCH(Table5[[#This Row],[PID]],Table3[[#All],[PID]],0)))</f>
        <v>22</v>
      </c>
      <c r="H1090" s="52" t="str">
        <f>IF($C1090="B",INDEX(Batters[[#All],[B]],MATCH(Table5[[#This Row],[PID]],Batters[[#All],[PID]],0)),INDEX(Table3[[#All],[B]],MATCH(Table5[[#This Row],[PID]],Table3[[#All],[PID]],0)))</f>
        <v>L</v>
      </c>
      <c r="I1090" s="52" t="str">
        <f>IF($C1090="B",INDEX(Batters[[#All],[T]],MATCH(Table5[[#This Row],[PID]],Batters[[#All],[PID]],0)),INDEX(Table3[[#All],[T]],MATCH(Table5[[#This Row],[PID]],Table3[[#All],[PID]],0)))</f>
        <v>L</v>
      </c>
      <c r="J1090" s="52" t="str">
        <f>IF($C1090="B",INDEX(Batters[[#All],[WE]],MATCH(Table5[[#This Row],[PID]],Batters[[#All],[PID]],0)),INDEX(Table3[[#All],[WE]],MATCH(Table5[[#This Row],[PID]],Table3[[#All],[PID]],0)))</f>
        <v>High</v>
      </c>
      <c r="K1090" s="52" t="str">
        <f>IF($C1090="B",INDEX(Batters[[#All],[INT]],MATCH(Table5[[#This Row],[PID]],Batters[[#All],[PID]],0)),INDEX(Table3[[#All],[INT]],MATCH(Table5[[#This Row],[PID]],Table3[[#All],[PID]],0)))</f>
        <v>High</v>
      </c>
      <c r="L1090" s="60">
        <f>IF($C1090="B",INDEX(Batters[[#All],[CON P]],MATCH(Table5[[#This Row],[PID]],Batters[[#All],[PID]],0)),INDEX(Table3[[#All],[STU P]],MATCH(Table5[[#This Row],[PID]],Table3[[#All],[PID]],0)))</f>
        <v>4</v>
      </c>
      <c r="M1090" s="56">
        <f>IF($C1090="B",INDEX(Batters[[#All],[GAP P]],MATCH(Table5[[#This Row],[PID]],Batters[[#All],[PID]],0)),INDEX(Table3[[#All],[MOV P]],MATCH(Table5[[#This Row],[PID]],Table3[[#All],[PID]],0)))</f>
        <v>2</v>
      </c>
      <c r="N1090" s="56">
        <f>IF($C1090="B",INDEX(Batters[[#All],[POW P]],MATCH(Table5[[#This Row],[PID]],Batters[[#All],[PID]],0)),INDEX(Table3[[#All],[CON P]],MATCH(Table5[[#This Row],[PID]],Table3[[#All],[PID]],0)))</f>
        <v>3</v>
      </c>
      <c r="O1090" s="56" t="str">
        <f>IF($C1090="B",INDEX(Batters[[#All],[EYE P]],MATCH(Table5[[#This Row],[PID]],Batters[[#All],[PID]],0)),INDEX(Table3[[#All],[VELO]],MATCH(Table5[[#This Row],[PID]],Table3[[#All],[PID]],0)))</f>
        <v>86-88 Mph</v>
      </c>
      <c r="P1090" s="56">
        <f>IF($C1090="B",INDEX(Batters[[#All],[K P]],MATCH(Table5[[#This Row],[PID]],Batters[[#All],[PID]],0)),INDEX(Table3[[#All],[STM]],MATCH(Table5[[#This Row],[PID]],Table3[[#All],[PID]],0)))</f>
        <v>6</v>
      </c>
      <c r="Q1090" s="61">
        <f>IF($C1090="B",INDEX(Batters[[#All],[Tot]],MATCH(Table5[[#This Row],[PID]],Batters[[#All],[PID]],0)),INDEX(Table3[[#All],[Tot]],MATCH(Table5[[#This Row],[PID]],Table3[[#All],[PID]],0)))</f>
        <v>23.881997466073877</v>
      </c>
      <c r="R1090" s="52">
        <f>IF($C1090="B",INDEX(Batters[[#All],[zScore]],MATCH(Table5[[#This Row],[PID]],Batters[[#All],[PID]],0)),INDEX(Table3[[#All],[zScore]],MATCH(Table5[[#This Row],[PID]],Table3[[#All],[PID]],0)))</f>
        <v>-0.79757848644643192</v>
      </c>
      <c r="S1090" s="58" t="str">
        <f>IF($C1090="B",INDEX(Batters[[#All],[DEM]],MATCH(Table5[[#This Row],[PID]],Batters[[#All],[PID]],0)),INDEX(Table3[[#All],[DEM]],MATCH(Table5[[#This Row],[PID]],Table3[[#All],[PID]],0)))</f>
        <v>-</v>
      </c>
      <c r="T1090" s="62">
        <f>IF($C1090="B",INDEX(Batters[[#All],[Rnk]],MATCH(Table5[[#This Row],[PID]],Batters[[#All],[PID]],0)),INDEX(Table3[[#All],[Rnk]],MATCH(Table5[[#This Row],[PID]],Table3[[#All],[PID]],0)))</f>
        <v>638</v>
      </c>
      <c r="U1090" s="68">
        <f>IF($C1090="B",VLOOKUP($A1090,Bat!$A$4:$BA$1621,47,FALSE),VLOOKUP($A1090,Pit!$A$4:$BF$1557,56,FALSE))</f>
        <v>0</v>
      </c>
      <c r="V1090" s="50">
        <f>IF($C1090="B",VLOOKUP($A1090,Bat!$A$4:$BA$1621,48,FALSE),VLOOKUP($A1090,Pit!$A$4:$BF$1557,57,FALSE))</f>
        <v>0</v>
      </c>
      <c r="W1090" s="50">
        <f>Table5[[#This Row],[posRnk]]+Table5[[#This Row],[zRnk]]+IF($W$3&lt;&gt;Table5[[#This Row],[Type]],50,0)</f>
        <v>1729</v>
      </c>
      <c r="X1090" s="51">
        <f>RANK(Table5[[#This Row],[zScore]],Table5[[#All],[zScore]])</f>
        <v>1041</v>
      </c>
      <c r="Y1090" s="50" t="str">
        <f>IFERROR(INDEX(DraftResults[[#All],[OVR]],MATCH(Table5[[#This Row],[PID]],DraftResults[[#All],[Player ID]],0)),"")</f>
        <v/>
      </c>
      <c r="Z10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0" s="50" t="str">
        <f>IFERROR(INDEX(DraftResults[[#All],[Pick in Round]],MATCH(Table5[[#This Row],[PID]],DraftResults[[#All],[Player ID]],0)),"")</f>
        <v/>
      </c>
      <c r="AB1090" s="50" t="str">
        <f>IFERROR(INDEX(DraftResults[[#All],[Team Name]],MATCH(Table5[[#This Row],[PID]],DraftResults[[#All],[Player ID]],0)),"")</f>
        <v/>
      </c>
      <c r="AC1090" s="50" t="str">
        <f>IF(Table5[[#This Row],[Ovr]]="","",IF(Table5[[#This Row],[cmbList]]="","",Table5[[#This Row],[cmbList]]-Table5[[#This Row],[Ovr]]))</f>
        <v/>
      </c>
      <c r="AD1090" s="54" t="str">
        <f>IF(ISERROR(VLOOKUP($AB1090&amp;"-"&amp;$E1090&amp;" "&amp;F1090,Bonuses!$B$1:$G$1006,4,FALSE)),"",INT(VLOOKUP($AB1090&amp;"-"&amp;$E1090&amp;" "&amp;$F1090,Bonuses!$B$1:$G$1006,4,FALSE)))</f>
        <v/>
      </c>
      <c r="AE10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1" spans="1:31" s="50" customFormat="1" x14ac:dyDescent="0.25">
      <c r="A1091" s="50">
        <v>20414</v>
      </c>
      <c r="B1091" s="50">
        <f>COUNTIF(Table5[PID],A1091)</f>
        <v>1</v>
      </c>
      <c r="C1091" s="50" t="str">
        <f>IF(COUNTIF(Table3[[#All],[PID]],A1091)&gt;0,"P","B")</f>
        <v>B</v>
      </c>
      <c r="D1091" s="59" t="str">
        <f>IF($C1091="B",INDEX(Batters[[#All],[POS]],MATCH(Table5[[#This Row],[PID]],Batters[[#All],[PID]],0)),INDEX(Table3[[#All],[POS]],MATCH(Table5[[#This Row],[PID]],Table3[[#All],[PID]],0)))</f>
        <v>C</v>
      </c>
      <c r="E1091" s="52" t="str">
        <f>IF($C1091="B",INDEX(Batters[[#All],[First]],MATCH(Table5[[#This Row],[PID]],Batters[[#All],[PID]],0)),INDEX(Table3[[#All],[First]],MATCH(Table5[[#This Row],[PID]],Table3[[#All],[PID]],0)))</f>
        <v>Marco</v>
      </c>
      <c r="F1091" s="50" t="str">
        <f>IF($C1091="B",INDEX(Batters[[#All],[Last]],MATCH(A1091,Batters[[#All],[PID]],0)),INDEX(Table3[[#All],[Last]],MATCH(A1091,Table3[[#All],[PID]],0)))</f>
        <v>Duff</v>
      </c>
      <c r="G1091" s="56">
        <f>IF($C1091="B",INDEX(Batters[[#All],[Age]],MATCH(Table5[[#This Row],[PID]],Batters[[#All],[PID]],0)),INDEX(Table3[[#All],[Age]],MATCH(Table5[[#This Row],[PID]],Table3[[#All],[PID]],0)))</f>
        <v>18</v>
      </c>
      <c r="H1091" s="52" t="str">
        <f>IF($C1091="B",INDEX(Batters[[#All],[B]],MATCH(Table5[[#This Row],[PID]],Batters[[#All],[PID]],0)),INDEX(Table3[[#All],[B]],MATCH(Table5[[#This Row],[PID]],Table3[[#All],[PID]],0)))</f>
        <v>R</v>
      </c>
      <c r="I1091" s="52" t="str">
        <f>IF($C1091="B",INDEX(Batters[[#All],[T]],MATCH(Table5[[#This Row],[PID]],Batters[[#All],[PID]],0)),INDEX(Table3[[#All],[T]],MATCH(Table5[[#This Row],[PID]],Table3[[#All],[PID]],0)))</f>
        <v>R</v>
      </c>
      <c r="J1091" s="52" t="str">
        <f>IF($C1091="B",INDEX(Batters[[#All],[WE]],MATCH(Table5[[#This Row],[PID]],Batters[[#All],[PID]],0)),INDEX(Table3[[#All],[WE]],MATCH(Table5[[#This Row],[PID]],Table3[[#All],[PID]],0)))</f>
        <v>Low</v>
      </c>
      <c r="K1091" s="52" t="str">
        <f>IF($C1091="B",INDEX(Batters[[#All],[INT]],MATCH(Table5[[#This Row],[PID]],Batters[[#All],[PID]],0)),INDEX(Table3[[#All],[INT]],MATCH(Table5[[#This Row],[PID]],Table3[[#All],[PID]],0)))</f>
        <v>Low</v>
      </c>
      <c r="L1091" s="60">
        <f>IF($C1091="B",INDEX(Batters[[#All],[CON P]],MATCH(Table5[[#This Row],[PID]],Batters[[#All],[PID]],0)),INDEX(Table3[[#All],[STU P]],MATCH(Table5[[#This Row],[PID]],Table3[[#All],[PID]],0)))</f>
        <v>3</v>
      </c>
      <c r="M1091" s="56">
        <f>IF($C1091="B",INDEX(Batters[[#All],[GAP P]],MATCH(Table5[[#This Row],[PID]],Batters[[#All],[PID]],0)),INDEX(Table3[[#All],[MOV P]],MATCH(Table5[[#This Row],[PID]],Table3[[#All],[PID]],0)))</f>
        <v>3</v>
      </c>
      <c r="N1091" s="56">
        <f>IF($C1091="B",INDEX(Batters[[#All],[POW P]],MATCH(Table5[[#This Row],[PID]],Batters[[#All],[PID]],0)),INDEX(Table3[[#All],[CON P]],MATCH(Table5[[#This Row],[PID]],Table3[[#All],[PID]],0)))</f>
        <v>2</v>
      </c>
      <c r="O1091" s="56">
        <f>IF($C1091="B",INDEX(Batters[[#All],[EYE P]],MATCH(Table5[[#This Row],[PID]],Batters[[#All],[PID]],0)),INDEX(Table3[[#All],[VELO]],MATCH(Table5[[#This Row],[PID]],Table3[[#All],[PID]],0)))</f>
        <v>6</v>
      </c>
      <c r="P1091" s="56">
        <f>IF($C1091="B",INDEX(Batters[[#All],[K P]],MATCH(Table5[[#This Row],[PID]],Batters[[#All],[PID]],0)),INDEX(Table3[[#All],[STM]],MATCH(Table5[[#This Row],[PID]],Table3[[#All],[PID]],0)))</f>
        <v>3</v>
      </c>
      <c r="Q1091" s="61">
        <f>IF($C1091="B",INDEX(Batters[[#All],[Tot]],MATCH(Table5[[#This Row],[PID]],Batters[[#All],[PID]],0)),INDEX(Table3[[#All],[Tot]],MATCH(Table5[[#This Row],[PID]],Table3[[#All],[PID]],0)))</f>
        <v>40.517279778637317</v>
      </c>
      <c r="R1091" s="52">
        <f>IF($C1091="B",INDEX(Batters[[#All],[zScore]],MATCH(Table5[[#This Row],[PID]],Batters[[#All],[PID]],0)),INDEX(Table3[[#All],[zScore]],MATCH(Table5[[#This Row],[PID]],Table3[[#All],[PID]],0)))</f>
        <v>-0.8013945421960148</v>
      </c>
      <c r="S1091" s="58" t="str">
        <f>IF($C1091="B",INDEX(Batters[[#All],[DEM]],MATCH(Table5[[#This Row],[PID]],Batters[[#All],[PID]],0)),INDEX(Table3[[#All],[DEM]],MATCH(Table5[[#This Row],[PID]],Table3[[#All],[PID]],0)))</f>
        <v>$70k</v>
      </c>
      <c r="T1091" s="62">
        <f>IF($C1091="B",INDEX(Batters[[#All],[Rnk]],MATCH(Table5[[#This Row],[PID]],Batters[[#All],[PID]],0)),INDEX(Table3[[#All],[Rnk]],MATCH(Table5[[#This Row],[PID]],Table3[[#All],[PID]],0)))</f>
        <v>403</v>
      </c>
      <c r="U1091" s="68">
        <f>IF($C1091="B",VLOOKUP($A1091,Bat!$A$4:$BA$1621,47,FALSE),VLOOKUP($A1091,Pit!$A$4:$BF$1557,56,FALSE))</f>
        <v>0</v>
      </c>
      <c r="V1091" s="50">
        <f>IF($C1091="B",VLOOKUP($A1091,Bat!$A$4:$BA$1621,48,FALSE),VLOOKUP($A1091,Pit!$A$4:$BF$1557,57,FALSE))</f>
        <v>0</v>
      </c>
      <c r="W1091" s="50">
        <f>Table5[[#This Row],[posRnk]]+Table5[[#This Row],[zRnk]]+IF($W$3&lt;&gt;Table5[[#This Row],[Type]],50,0)</f>
        <v>1495</v>
      </c>
      <c r="X1091" s="51">
        <f>RANK(Table5[[#This Row],[zScore]],Table5[[#All],[zScore]])</f>
        <v>1042</v>
      </c>
      <c r="Y1091" s="50" t="str">
        <f>IFERROR(INDEX(DraftResults[[#All],[OVR]],MATCH(Table5[[#This Row],[PID]],DraftResults[[#All],[Player ID]],0)),"")</f>
        <v/>
      </c>
      <c r="Z10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1" s="50" t="str">
        <f>IFERROR(INDEX(DraftResults[[#All],[Pick in Round]],MATCH(Table5[[#This Row],[PID]],DraftResults[[#All],[Player ID]],0)),"")</f>
        <v/>
      </c>
      <c r="AB1091" s="50" t="str">
        <f>IFERROR(INDEX(DraftResults[[#All],[Team Name]],MATCH(Table5[[#This Row],[PID]],DraftResults[[#All],[Player ID]],0)),"")</f>
        <v/>
      </c>
      <c r="AC1091" s="50" t="str">
        <f>IF(Table5[[#This Row],[Ovr]]="","",IF(Table5[[#This Row],[cmbList]]="","",Table5[[#This Row],[cmbList]]-Table5[[#This Row],[Ovr]]))</f>
        <v/>
      </c>
      <c r="AD1091" s="54" t="str">
        <f>IF(ISERROR(VLOOKUP($AB1091&amp;"-"&amp;$E1091&amp;" "&amp;F1091,Bonuses!$B$1:$G$1006,4,FALSE)),"",INT(VLOOKUP($AB1091&amp;"-"&amp;$E1091&amp;" "&amp;$F1091,Bonuses!$B$1:$G$1006,4,FALSE)))</f>
        <v/>
      </c>
      <c r="AE10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2" spans="1:31" s="50" customFormat="1" x14ac:dyDescent="0.25">
      <c r="A1092" s="50">
        <v>16916</v>
      </c>
      <c r="B1092" s="50">
        <f>COUNTIF(Table5[PID],A1092)</f>
        <v>1</v>
      </c>
      <c r="C1092" s="50" t="str">
        <f>IF(COUNTIF(Table3[[#All],[PID]],A1092)&gt;0,"P","B")</f>
        <v>P</v>
      </c>
      <c r="D1092" s="59" t="str">
        <f>IF($C1092="B",INDEX(Batters[[#All],[POS]],MATCH(Table5[[#This Row],[PID]],Batters[[#All],[PID]],0)),INDEX(Table3[[#All],[POS]],MATCH(Table5[[#This Row],[PID]],Table3[[#All],[PID]],0)))</f>
        <v>RP</v>
      </c>
      <c r="E1092" s="52" t="str">
        <f>IF($C1092="B",INDEX(Batters[[#All],[First]],MATCH(Table5[[#This Row],[PID]],Batters[[#All],[PID]],0)),INDEX(Table3[[#All],[First]],MATCH(Table5[[#This Row],[PID]],Table3[[#All],[PID]],0)))</f>
        <v>Valentín</v>
      </c>
      <c r="F1092" s="50" t="str">
        <f>IF($C1092="B",INDEX(Batters[[#All],[Last]],MATCH(A1092,Batters[[#All],[PID]],0)),INDEX(Table3[[#All],[Last]],MATCH(A1092,Table3[[#All],[PID]],0)))</f>
        <v>Contreras</v>
      </c>
      <c r="G1092" s="56">
        <f>IF($C1092="B",INDEX(Batters[[#All],[Age]],MATCH(Table5[[#This Row],[PID]],Batters[[#All],[PID]],0)),INDEX(Table3[[#All],[Age]],MATCH(Table5[[#This Row],[PID]],Table3[[#All],[PID]],0)))</f>
        <v>21</v>
      </c>
      <c r="H1092" s="52" t="str">
        <f>IF($C1092="B",INDEX(Batters[[#All],[B]],MATCH(Table5[[#This Row],[PID]],Batters[[#All],[PID]],0)),INDEX(Table3[[#All],[B]],MATCH(Table5[[#This Row],[PID]],Table3[[#All],[PID]],0)))</f>
        <v>R</v>
      </c>
      <c r="I1092" s="52" t="str">
        <f>IF($C1092="B",INDEX(Batters[[#All],[T]],MATCH(Table5[[#This Row],[PID]],Batters[[#All],[PID]],0)),INDEX(Table3[[#All],[T]],MATCH(Table5[[#This Row],[PID]],Table3[[#All],[PID]],0)))</f>
        <v>R</v>
      </c>
      <c r="J1092" s="52" t="str">
        <f>IF($C1092="B",INDEX(Batters[[#All],[WE]],MATCH(Table5[[#This Row],[PID]],Batters[[#All],[PID]],0)),INDEX(Table3[[#All],[WE]],MATCH(Table5[[#This Row],[PID]],Table3[[#All],[PID]],0)))</f>
        <v>Low</v>
      </c>
      <c r="K1092" s="52" t="str">
        <f>IF($C1092="B",INDEX(Batters[[#All],[INT]],MATCH(Table5[[#This Row],[PID]],Batters[[#All],[PID]],0)),INDEX(Table3[[#All],[INT]],MATCH(Table5[[#This Row],[PID]],Table3[[#All],[PID]],0)))</f>
        <v>Normal</v>
      </c>
      <c r="L1092" s="60">
        <f>IF($C1092="B",INDEX(Batters[[#All],[CON P]],MATCH(Table5[[#This Row],[PID]],Batters[[#All],[PID]],0)),INDEX(Table3[[#All],[STU P]],MATCH(Table5[[#This Row],[PID]],Table3[[#All],[PID]],0)))</f>
        <v>4</v>
      </c>
      <c r="M1092" s="56">
        <f>IF($C1092="B",INDEX(Batters[[#All],[GAP P]],MATCH(Table5[[#This Row],[PID]],Batters[[#All],[PID]],0)),INDEX(Table3[[#All],[MOV P]],MATCH(Table5[[#This Row],[PID]],Table3[[#All],[PID]],0)))</f>
        <v>1</v>
      </c>
      <c r="N1092" s="56">
        <f>IF($C1092="B",INDEX(Batters[[#All],[POW P]],MATCH(Table5[[#This Row],[PID]],Batters[[#All],[PID]],0)),INDEX(Table3[[#All],[CON P]],MATCH(Table5[[#This Row],[PID]],Table3[[#All],[PID]],0)))</f>
        <v>3</v>
      </c>
      <c r="O1092" s="56" t="str">
        <f>IF($C1092="B",INDEX(Batters[[#All],[EYE P]],MATCH(Table5[[#This Row],[PID]],Batters[[#All],[PID]],0)),INDEX(Table3[[#All],[VELO]],MATCH(Table5[[#This Row],[PID]],Table3[[#All],[PID]],0)))</f>
        <v>93-95 Mph</v>
      </c>
      <c r="P1092" s="56">
        <f>IF($C1092="B",INDEX(Batters[[#All],[K P]],MATCH(Table5[[#This Row],[PID]],Batters[[#All],[PID]],0)),INDEX(Table3[[#All],[STM]],MATCH(Table5[[#This Row],[PID]],Table3[[#All],[PID]],0)))</f>
        <v>4</v>
      </c>
      <c r="Q1092" s="61">
        <f>IF($C1092="B",INDEX(Batters[[#All],[Tot]],MATCH(Table5[[#This Row],[PID]],Batters[[#All],[PID]],0)),INDEX(Table3[[#All],[Tot]],MATCH(Table5[[#This Row],[PID]],Table3[[#All],[PID]],0)))</f>
        <v>23.805362133993693</v>
      </c>
      <c r="R1092" s="52">
        <f>IF($C1092="B",INDEX(Batters[[#All],[zScore]],MATCH(Table5[[#This Row],[PID]],Batters[[#All],[PID]],0)),INDEX(Table3[[#All],[zScore]],MATCH(Table5[[#This Row],[PID]],Table3[[#All],[PID]],0)))</f>
        <v>-0.80267691798259788</v>
      </c>
      <c r="S1092" s="58" t="str">
        <f>IF($C1092="B",INDEX(Batters[[#All],[DEM]],MATCH(Table5[[#This Row],[PID]],Batters[[#All],[PID]],0)),INDEX(Table3[[#All],[DEM]],MATCH(Table5[[#This Row],[PID]],Table3[[#All],[PID]],0)))</f>
        <v>$20k</v>
      </c>
      <c r="T1092" s="62">
        <f>IF($C1092="B",INDEX(Batters[[#All],[Rnk]],MATCH(Table5[[#This Row],[PID]],Batters[[#All],[PID]],0)),INDEX(Table3[[#All],[Rnk]],MATCH(Table5[[#This Row],[PID]],Table3[[#All],[PID]],0)))</f>
        <v>639</v>
      </c>
      <c r="U1092" s="68">
        <f>IF($C1092="B",VLOOKUP($A1092,Bat!$A$4:$BA$1621,47,FALSE),VLOOKUP($A1092,Pit!$A$4:$BF$1557,56,FALSE))</f>
        <v>0</v>
      </c>
      <c r="V1092" s="50">
        <f>IF($C1092="B",VLOOKUP($A1092,Bat!$A$4:$BA$1621,48,FALSE),VLOOKUP($A1092,Pit!$A$4:$BF$1557,57,FALSE))</f>
        <v>0</v>
      </c>
      <c r="W1092" s="50">
        <f>Table5[[#This Row],[posRnk]]+Table5[[#This Row],[zRnk]]+IF($W$3&lt;&gt;Table5[[#This Row],[Type]],50,0)</f>
        <v>1732</v>
      </c>
      <c r="X1092" s="51">
        <f>RANK(Table5[[#This Row],[zScore]],Table5[[#All],[zScore]])</f>
        <v>1043</v>
      </c>
      <c r="Y1092" s="50" t="str">
        <f>IFERROR(INDEX(DraftResults[[#All],[OVR]],MATCH(Table5[[#This Row],[PID]],DraftResults[[#All],[Player ID]],0)),"")</f>
        <v/>
      </c>
      <c r="Z10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2" s="50" t="str">
        <f>IFERROR(INDEX(DraftResults[[#All],[Pick in Round]],MATCH(Table5[[#This Row],[PID]],DraftResults[[#All],[Player ID]],0)),"")</f>
        <v/>
      </c>
      <c r="AB1092" s="50" t="str">
        <f>IFERROR(INDEX(DraftResults[[#All],[Team Name]],MATCH(Table5[[#This Row],[PID]],DraftResults[[#All],[Player ID]],0)),"")</f>
        <v/>
      </c>
      <c r="AC1092" s="50" t="str">
        <f>IF(Table5[[#This Row],[Ovr]]="","",IF(Table5[[#This Row],[cmbList]]="","",Table5[[#This Row],[cmbList]]-Table5[[#This Row],[Ovr]]))</f>
        <v/>
      </c>
      <c r="AD1092" s="54" t="str">
        <f>IF(ISERROR(VLOOKUP($AB1092&amp;"-"&amp;$E1092&amp;" "&amp;F1092,Bonuses!$B$1:$G$1006,4,FALSE)),"",INT(VLOOKUP($AB1092&amp;"-"&amp;$E1092&amp;" "&amp;$F1092,Bonuses!$B$1:$G$1006,4,FALSE)))</f>
        <v/>
      </c>
      <c r="AE10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3" spans="1:31" s="50" customFormat="1" x14ac:dyDescent="0.25">
      <c r="A1093" s="50">
        <v>20711</v>
      </c>
      <c r="B1093" s="50">
        <f>COUNTIF(Table5[PID],A1093)</f>
        <v>1</v>
      </c>
      <c r="C1093" s="50" t="str">
        <f>IF(COUNTIF(Table3[[#All],[PID]],A1093)&gt;0,"P","B")</f>
        <v>P</v>
      </c>
      <c r="D1093" s="59" t="str">
        <f>IF($C1093="B",INDEX(Batters[[#All],[POS]],MATCH(Table5[[#This Row],[PID]],Batters[[#All],[PID]],0)),INDEX(Table3[[#All],[POS]],MATCH(Table5[[#This Row],[PID]],Table3[[#All],[PID]],0)))</f>
        <v>RP</v>
      </c>
      <c r="E1093" s="52" t="str">
        <f>IF($C1093="B",INDEX(Batters[[#All],[First]],MATCH(Table5[[#This Row],[PID]],Batters[[#All],[PID]],0)),INDEX(Table3[[#All],[First]],MATCH(Table5[[#This Row],[PID]],Table3[[#All],[PID]],0)))</f>
        <v>Monty</v>
      </c>
      <c r="F1093" s="50" t="str">
        <f>IF($C1093="B",INDEX(Batters[[#All],[Last]],MATCH(A1093,Batters[[#All],[PID]],0)),INDEX(Table3[[#All],[Last]],MATCH(A1093,Table3[[#All],[PID]],0)))</f>
        <v>Hanson</v>
      </c>
      <c r="G1093" s="56">
        <f>IF($C1093="B",INDEX(Batters[[#All],[Age]],MATCH(Table5[[#This Row],[PID]],Batters[[#All],[PID]],0)),INDEX(Table3[[#All],[Age]],MATCH(Table5[[#This Row],[PID]],Table3[[#All],[PID]],0)))</f>
        <v>18</v>
      </c>
      <c r="H1093" s="52" t="str">
        <f>IF($C1093="B",INDEX(Batters[[#All],[B]],MATCH(Table5[[#This Row],[PID]],Batters[[#All],[PID]],0)),INDEX(Table3[[#All],[B]],MATCH(Table5[[#This Row],[PID]],Table3[[#All],[PID]],0)))</f>
        <v>S</v>
      </c>
      <c r="I1093" s="52" t="str">
        <f>IF($C1093="B",INDEX(Batters[[#All],[T]],MATCH(Table5[[#This Row],[PID]],Batters[[#All],[PID]],0)),INDEX(Table3[[#All],[T]],MATCH(Table5[[#This Row],[PID]],Table3[[#All],[PID]],0)))</f>
        <v>R</v>
      </c>
      <c r="J1093" s="52" t="str">
        <f>IF($C1093="B",INDEX(Batters[[#All],[WE]],MATCH(Table5[[#This Row],[PID]],Batters[[#All],[PID]],0)),INDEX(Table3[[#All],[WE]],MATCH(Table5[[#This Row],[PID]],Table3[[#All],[PID]],0)))</f>
        <v>Normal</v>
      </c>
      <c r="K1093" s="52" t="str">
        <f>IF($C1093="B",INDEX(Batters[[#All],[INT]],MATCH(Table5[[#This Row],[PID]],Batters[[#All],[PID]],0)),INDEX(Table3[[#All],[INT]],MATCH(Table5[[#This Row],[PID]],Table3[[#All],[PID]],0)))</f>
        <v>Normal</v>
      </c>
      <c r="L1093" s="60">
        <f>IF($C1093="B",INDEX(Batters[[#All],[CON P]],MATCH(Table5[[#This Row],[PID]],Batters[[#All],[PID]],0)),INDEX(Table3[[#All],[STU P]],MATCH(Table5[[#This Row],[PID]],Table3[[#All],[PID]],0)))</f>
        <v>3</v>
      </c>
      <c r="M1093" s="56">
        <f>IF($C1093="B",INDEX(Batters[[#All],[GAP P]],MATCH(Table5[[#This Row],[PID]],Batters[[#All],[PID]],0)),INDEX(Table3[[#All],[MOV P]],MATCH(Table5[[#This Row],[PID]],Table3[[#All],[PID]],0)))</f>
        <v>2</v>
      </c>
      <c r="N1093" s="56">
        <f>IF($C1093="B",INDEX(Batters[[#All],[POW P]],MATCH(Table5[[#This Row],[PID]],Batters[[#All],[PID]],0)),INDEX(Table3[[#All],[CON P]],MATCH(Table5[[#This Row],[PID]],Table3[[#All],[PID]],0)))</f>
        <v>2</v>
      </c>
      <c r="O1093" s="56" t="str">
        <f>IF($C1093="B",INDEX(Batters[[#All],[EYE P]],MATCH(Table5[[#This Row],[PID]],Batters[[#All],[PID]],0)),INDEX(Table3[[#All],[VELO]],MATCH(Table5[[#This Row],[PID]],Table3[[#All],[PID]],0)))</f>
        <v>87-89 Mph</v>
      </c>
      <c r="P1093" s="56">
        <f>IF($C1093="B",INDEX(Batters[[#All],[K P]],MATCH(Table5[[#This Row],[PID]],Batters[[#All],[PID]],0)),INDEX(Table3[[#All],[STM]],MATCH(Table5[[#This Row],[PID]],Table3[[#All],[PID]],0)))</f>
        <v>3</v>
      </c>
      <c r="Q1093" s="61">
        <f>IF($C1093="B",INDEX(Batters[[#All],[Tot]],MATCH(Table5[[#This Row],[PID]],Batters[[#All],[PID]],0)),INDEX(Table3[[#All],[Tot]],MATCH(Table5[[#This Row],[PID]],Table3[[#All],[PID]],0)))</f>
        <v>23.800613462075614</v>
      </c>
      <c r="R1093" s="52">
        <f>IF($C1093="B",INDEX(Batters[[#All],[zScore]],MATCH(Table5[[#This Row],[PID]],Batters[[#All],[PID]],0)),INDEX(Table3[[#All],[zScore]],MATCH(Table5[[#This Row],[PID]],Table3[[#All],[PID]],0)))</f>
        <v>-0.8029928398688202</v>
      </c>
      <c r="S1093" s="58" t="str">
        <f>IF($C1093="B",INDEX(Batters[[#All],[DEM]],MATCH(Table5[[#This Row],[PID]],Batters[[#All],[PID]],0)),INDEX(Table3[[#All],[DEM]],MATCH(Table5[[#This Row],[PID]],Table3[[#All],[PID]],0)))</f>
        <v>$38k</v>
      </c>
      <c r="T1093" s="62">
        <f>IF($C1093="B",INDEX(Batters[[#All],[Rnk]],MATCH(Table5[[#This Row],[PID]],Batters[[#All],[PID]],0)),INDEX(Table3[[#All],[Rnk]],MATCH(Table5[[#This Row],[PID]],Table3[[#All],[PID]],0)))</f>
        <v>641</v>
      </c>
      <c r="U1093" s="68">
        <f>IF($C1093="B",VLOOKUP($A1093,Bat!$A$4:$BA$1621,47,FALSE),VLOOKUP($A1093,Pit!$A$4:$BF$1557,56,FALSE))</f>
        <v>0</v>
      </c>
      <c r="V1093" s="50">
        <f>IF($C1093="B",VLOOKUP($A1093,Bat!$A$4:$BA$1621,48,FALSE),VLOOKUP($A1093,Pit!$A$4:$BF$1557,57,FALSE))</f>
        <v>0</v>
      </c>
      <c r="W1093" s="50">
        <f>Table5[[#This Row],[posRnk]]+Table5[[#This Row],[zRnk]]+IF($W$3&lt;&gt;Table5[[#This Row],[Type]],50,0)</f>
        <v>1736</v>
      </c>
      <c r="X1093" s="51">
        <f>RANK(Table5[[#This Row],[zScore]],Table5[[#All],[zScore]])</f>
        <v>1045</v>
      </c>
      <c r="Y1093" s="50" t="str">
        <f>IFERROR(INDEX(DraftResults[[#All],[OVR]],MATCH(Table5[[#This Row],[PID]],DraftResults[[#All],[Player ID]],0)),"")</f>
        <v/>
      </c>
      <c r="Z10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3" s="50" t="str">
        <f>IFERROR(INDEX(DraftResults[[#All],[Pick in Round]],MATCH(Table5[[#This Row],[PID]],DraftResults[[#All],[Player ID]],0)),"")</f>
        <v/>
      </c>
      <c r="AB1093" s="50" t="str">
        <f>IFERROR(INDEX(DraftResults[[#All],[Team Name]],MATCH(Table5[[#This Row],[PID]],DraftResults[[#All],[Player ID]],0)),"")</f>
        <v/>
      </c>
      <c r="AC1093" s="50" t="str">
        <f>IF(Table5[[#This Row],[Ovr]]="","",IF(Table5[[#This Row],[cmbList]]="","",Table5[[#This Row],[cmbList]]-Table5[[#This Row],[Ovr]]))</f>
        <v/>
      </c>
      <c r="AD1093" s="54" t="str">
        <f>IF(ISERROR(VLOOKUP($AB1093&amp;"-"&amp;$E1093&amp;" "&amp;F1093,Bonuses!$B$1:$G$1006,4,FALSE)),"",INT(VLOOKUP($AB1093&amp;"-"&amp;$E1093&amp;" "&amp;$F1093,Bonuses!$B$1:$G$1006,4,FALSE)))</f>
        <v/>
      </c>
      <c r="AE10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4" spans="1:31" s="50" customFormat="1" x14ac:dyDescent="0.25">
      <c r="A1094" s="50">
        <v>7163</v>
      </c>
      <c r="B1094" s="50">
        <f>COUNTIF(Table5[PID],A1094)</f>
        <v>1</v>
      </c>
      <c r="C1094" s="50" t="str">
        <f>IF(COUNTIF(Table3[[#All],[PID]],A1094)&gt;0,"P","B")</f>
        <v>P</v>
      </c>
      <c r="D1094" s="59" t="str">
        <f>IF($C1094="B",INDEX(Batters[[#All],[POS]],MATCH(Table5[[#This Row],[PID]],Batters[[#All],[PID]],0)),INDEX(Table3[[#All],[POS]],MATCH(Table5[[#This Row],[PID]],Table3[[#All],[PID]],0)))</f>
        <v>RP</v>
      </c>
      <c r="E1094" s="52" t="str">
        <f>IF($C1094="B",INDEX(Batters[[#All],[First]],MATCH(Table5[[#This Row],[PID]],Batters[[#All],[PID]],0)),INDEX(Table3[[#All],[First]],MATCH(Table5[[#This Row],[PID]],Table3[[#All],[PID]],0)))</f>
        <v>Ramón</v>
      </c>
      <c r="F1094" s="50" t="str">
        <f>IF($C1094="B",INDEX(Batters[[#All],[Last]],MATCH(A1094,Batters[[#All],[PID]],0)),INDEX(Table3[[#All],[Last]],MATCH(A1094,Table3[[#All],[PID]],0)))</f>
        <v>López</v>
      </c>
      <c r="G1094" s="56">
        <f>IF($C1094="B",INDEX(Batters[[#All],[Age]],MATCH(Table5[[#This Row],[PID]],Batters[[#All],[PID]],0)),INDEX(Table3[[#All],[Age]],MATCH(Table5[[#This Row],[PID]],Table3[[#All],[PID]],0)))</f>
        <v>22</v>
      </c>
      <c r="H1094" s="52" t="str">
        <f>IF($C1094="B",INDEX(Batters[[#All],[B]],MATCH(Table5[[#This Row],[PID]],Batters[[#All],[PID]],0)),INDEX(Table3[[#All],[B]],MATCH(Table5[[#This Row],[PID]],Table3[[#All],[PID]],0)))</f>
        <v>L</v>
      </c>
      <c r="I1094" s="52" t="str">
        <f>IF($C1094="B",INDEX(Batters[[#All],[T]],MATCH(Table5[[#This Row],[PID]],Batters[[#All],[PID]],0)),INDEX(Table3[[#All],[T]],MATCH(Table5[[#This Row],[PID]],Table3[[#All],[PID]],0)))</f>
        <v>L</v>
      </c>
      <c r="J1094" s="52" t="str">
        <f>IF($C1094="B",INDEX(Batters[[#All],[WE]],MATCH(Table5[[#This Row],[PID]],Batters[[#All],[PID]],0)),INDEX(Table3[[#All],[WE]],MATCH(Table5[[#This Row],[PID]],Table3[[#All],[PID]],0)))</f>
        <v>Normal</v>
      </c>
      <c r="K1094" s="52" t="str">
        <f>IF($C1094="B",INDEX(Batters[[#All],[INT]],MATCH(Table5[[#This Row],[PID]],Batters[[#All],[PID]],0)),INDEX(Table3[[#All],[INT]],MATCH(Table5[[#This Row],[PID]],Table3[[#All],[PID]],0)))</f>
        <v>Normal</v>
      </c>
      <c r="L1094" s="60">
        <f>IF($C1094="B",INDEX(Batters[[#All],[CON P]],MATCH(Table5[[#This Row],[PID]],Batters[[#All],[PID]],0)),INDEX(Table3[[#All],[STU P]],MATCH(Table5[[#This Row],[PID]],Table3[[#All],[PID]],0)))</f>
        <v>4</v>
      </c>
      <c r="M1094" s="56">
        <f>IF($C1094="B",INDEX(Batters[[#All],[GAP P]],MATCH(Table5[[#This Row],[PID]],Batters[[#All],[PID]],0)),INDEX(Table3[[#All],[MOV P]],MATCH(Table5[[#This Row],[PID]],Table3[[#All],[PID]],0)))</f>
        <v>1</v>
      </c>
      <c r="N1094" s="56">
        <f>IF($C1094="B",INDEX(Batters[[#All],[POW P]],MATCH(Table5[[#This Row],[PID]],Batters[[#All],[PID]],0)),INDEX(Table3[[#All],[CON P]],MATCH(Table5[[#This Row],[PID]],Table3[[#All],[PID]],0)))</f>
        <v>3</v>
      </c>
      <c r="O1094" s="56" t="str">
        <f>IF($C1094="B",INDEX(Batters[[#All],[EYE P]],MATCH(Table5[[#This Row],[PID]],Batters[[#All],[PID]],0)),INDEX(Table3[[#All],[VELO]],MATCH(Table5[[#This Row],[PID]],Table3[[#All],[PID]],0)))</f>
        <v>90-92 Mph</v>
      </c>
      <c r="P1094" s="56">
        <f>IF($C1094="B",INDEX(Batters[[#All],[K P]],MATCH(Table5[[#This Row],[PID]],Batters[[#All],[PID]],0)),INDEX(Table3[[#All],[STM]],MATCH(Table5[[#This Row],[PID]],Table3[[#All],[PID]],0)))</f>
        <v>3</v>
      </c>
      <c r="Q1094" s="61">
        <f>IF($C1094="B",INDEX(Batters[[#All],[Tot]],MATCH(Table5[[#This Row],[PID]],Batters[[#All],[PID]],0)),INDEX(Table3[[#All],[Tot]],MATCH(Table5[[#This Row],[PID]],Table3[[#All],[PID]],0)))</f>
        <v>23.798528355348999</v>
      </c>
      <c r="R1094" s="52">
        <f>IF($C1094="B",INDEX(Batters[[#All],[zScore]],MATCH(Table5[[#This Row],[PID]],Batters[[#All],[PID]],0)),INDEX(Table3[[#All],[zScore]],MATCH(Table5[[#This Row],[PID]],Table3[[#All],[PID]],0)))</f>
        <v>-0.80313155883307186</v>
      </c>
      <c r="S1094" s="58" t="str">
        <f>IF($C1094="B",INDEX(Batters[[#All],[DEM]],MATCH(Table5[[#This Row],[PID]],Batters[[#All],[PID]],0)),INDEX(Table3[[#All],[DEM]],MATCH(Table5[[#This Row],[PID]],Table3[[#All],[PID]],0)))</f>
        <v>-</v>
      </c>
      <c r="T1094" s="62">
        <f>IF($C1094="B",INDEX(Batters[[#All],[Rnk]],MATCH(Table5[[#This Row],[PID]],Batters[[#All],[PID]],0)),INDEX(Table3[[#All],[Rnk]],MATCH(Table5[[#This Row],[PID]],Table3[[#All],[PID]],0)))</f>
        <v>642</v>
      </c>
      <c r="U1094" s="68">
        <f>IF($C1094="B",VLOOKUP($A1094,Bat!$A$4:$BA$1621,47,FALSE),VLOOKUP($A1094,Pit!$A$4:$BF$1557,56,FALSE))</f>
        <v>0</v>
      </c>
      <c r="V1094" s="50">
        <f>IF($C1094="B",VLOOKUP($A1094,Bat!$A$4:$BA$1621,48,FALSE),VLOOKUP($A1094,Pit!$A$4:$BF$1557,57,FALSE))</f>
        <v>0</v>
      </c>
      <c r="W1094" s="50">
        <f>Table5[[#This Row],[posRnk]]+Table5[[#This Row],[zRnk]]+IF($W$3&lt;&gt;Table5[[#This Row],[Type]],50,0)</f>
        <v>1738</v>
      </c>
      <c r="X1094" s="51">
        <f>RANK(Table5[[#This Row],[zScore]],Table5[[#All],[zScore]])</f>
        <v>1046</v>
      </c>
      <c r="Y1094" s="50" t="str">
        <f>IFERROR(INDEX(DraftResults[[#All],[OVR]],MATCH(Table5[[#This Row],[PID]],DraftResults[[#All],[Player ID]],0)),"")</f>
        <v/>
      </c>
      <c r="Z10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4" s="50" t="str">
        <f>IFERROR(INDEX(DraftResults[[#All],[Pick in Round]],MATCH(Table5[[#This Row],[PID]],DraftResults[[#All],[Player ID]],0)),"")</f>
        <v/>
      </c>
      <c r="AB1094" s="50" t="str">
        <f>IFERROR(INDEX(DraftResults[[#All],[Team Name]],MATCH(Table5[[#This Row],[PID]],DraftResults[[#All],[Player ID]],0)),"")</f>
        <v/>
      </c>
      <c r="AC1094" s="50" t="str">
        <f>IF(Table5[[#This Row],[Ovr]]="","",IF(Table5[[#This Row],[cmbList]]="","",Table5[[#This Row],[cmbList]]-Table5[[#This Row],[Ovr]]))</f>
        <v/>
      </c>
      <c r="AD1094" s="54" t="str">
        <f>IF(ISERROR(VLOOKUP($AB1094&amp;"-"&amp;$E1094&amp;" "&amp;F1094,Bonuses!$B$1:$G$1006,4,FALSE)),"",INT(VLOOKUP($AB1094&amp;"-"&amp;$E1094&amp;" "&amp;$F1094,Bonuses!$B$1:$G$1006,4,FALSE)))</f>
        <v/>
      </c>
      <c r="AE10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5" spans="1:31" s="50" customFormat="1" x14ac:dyDescent="0.25">
      <c r="A1095" s="50">
        <v>10186</v>
      </c>
      <c r="B1095" s="55">
        <f>COUNTIF(Table5[PID],A1095)</f>
        <v>1</v>
      </c>
      <c r="C1095" s="55" t="str">
        <f>IF(COUNTIF(Table3[[#All],[PID]],A1095)&gt;0,"P","B")</f>
        <v>P</v>
      </c>
      <c r="D1095" s="59" t="str">
        <f>IF($C1095="B",INDEX(Batters[[#All],[POS]],MATCH(Table5[[#This Row],[PID]],Batters[[#All],[PID]],0)),INDEX(Table3[[#All],[POS]],MATCH(Table5[[#This Row],[PID]],Table3[[#All],[PID]],0)))</f>
        <v>RP</v>
      </c>
      <c r="E1095" s="52" t="str">
        <f>IF($C1095="B",INDEX(Batters[[#All],[First]],MATCH(Table5[[#This Row],[PID]],Batters[[#All],[PID]],0)),INDEX(Table3[[#All],[First]],MATCH(Table5[[#This Row],[PID]],Table3[[#All],[PID]],0)))</f>
        <v>Mike</v>
      </c>
      <c r="F1095" s="50" t="str">
        <f>IF($C1095="B",INDEX(Batters[[#All],[Last]],MATCH(A1095,Batters[[#All],[PID]],0)),INDEX(Table3[[#All],[Last]],MATCH(A1095,Table3[[#All],[PID]],0)))</f>
        <v>Zimmerman</v>
      </c>
      <c r="G1095" s="56">
        <f>IF($C1095="B",INDEX(Batters[[#All],[Age]],MATCH(Table5[[#This Row],[PID]],Batters[[#All],[PID]],0)),INDEX(Table3[[#All],[Age]],MATCH(Table5[[#This Row],[PID]],Table3[[#All],[PID]],0)))</f>
        <v>22</v>
      </c>
      <c r="H1095" s="52" t="str">
        <f>IF($C1095="B",INDEX(Batters[[#All],[B]],MATCH(Table5[[#This Row],[PID]],Batters[[#All],[PID]],0)),INDEX(Table3[[#All],[B]],MATCH(Table5[[#This Row],[PID]],Table3[[#All],[PID]],0)))</f>
        <v>R</v>
      </c>
      <c r="I1095" s="52" t="str">
        <f>IF($C1095="B",INDEX(Batters[[#All],[T]],MATCH(Table5[[#This Row],[PID]],Batters[[#All],[PID]],0)),INDEX(Table3[[#All],[T]],MATCH(Table5[[#This Row],[PID]],Table3[[#All],[PID]],0)))</f>
        <v>R</v>
      </c>
      <c r="J1095" s="52" t="str">
        <f>IF($C1095="B",INDEX(Batters[[#All],[WE]],MATCH(Table5[[#This Row],[PID]],Batters[[#All],[PID]],0)),INDEX(Table3[[#All],[WE]],MATCH(Table5[[#This Row],[PID]],Table3[[#All],[PID]],0)))</f>
        <v>Normal</v>
      </c>
      <c r="K1095" s="52" t="str">
        <f>IF($C1095="B",INDEX(Batters[[#All],[INT]],MATCH(Table5[[#This Row],[PID]],Batters[[#All],[PID]],0)),INDEX(Table3[[#All],[INT]],MATCH(Table5[[#This Row],[PID]],Table3[[#All],[PID]],0)))</f>
        <v>Normal</v>
      </c>
      <c r="L1095" s="60">
        <f>IF($C1095="B",INDEX(Batters[[#All],[CON P]],MATCH(Table5[[#This Row],[PID]],Batters[[#All],[PID]],0)),INDEX(Table3[[#All],[STU P]],MATCH(Table5[[#This Row],[PID]],Table3[[#All],[PID]],0)))</f>
        <v>3</v>
      </c>
      <c r="M1095" s="56">
        <f>IF($C1095="B",INDEX(Batters[[#All],[GAP P]],MATCH(Table5[[#This Row],[PID]],Batters[[#All],[PID]],0)),INDEX(Table3[[#All],[MOV P]],MATCH(Table5[[#This Row],[PID]],Table3[[#All],[PID]],0)))</f>
        <v>1</v>
      </c>
      <c r="N1095" s="56">
        <f>IF($C1095="B",INDEX(Batters[[#All],[POW P]],MATCH(Table5[[#This Row],[PID]],Batters[[#All],[PID]],0)),INDEX(Table3[[#All],[CON P]],MATCH(Table5[[#This Row],[PID]],Table3[[#All],[PID]],0)))</f>
        <v>4</v>
      </c>
      <c r="O1095" s="56" t="str">
        <f>IF($C1095="B",INDEX(Batters[[#All],[EYE P]],MATCH(Table5[[#This Row],[PID]],Batters[[#All],[PID]],0)),INDEX(Table3[[#All],[VELO]],MATCH(Table5[[#This Row],[PID]],Table3[[#All],[PID]],0)))</f>
        <v>88-90 Mph</v>
      </c>
      <c r="P1095" s="56">
        <f>IF($C1095="B",INDEX(Batters[[#All],[K P]],MATCH(Table5[[#This Row],[PID]],Batters[[#All],[PID]],0)),INDEX(Table3[[#All],[STM]],MATCH(Table5[[#This Row],[PID]],Table3[[#All],[PID]],0)))</f>
        <v>9</v>
      </c>
      <c r="Q1095" s="61">
        <f>IF($C1095="B",INDEX(Batters[[#All],[Tot]],MATCH(Table5[[#This Row],[PID]],Batters[[#All],[PID]],0)),INDEX(Table3[[#All],[Tot]],MATCH(Table5[[#This Row],[PID]],Table3[[#All],[PID]],0)))</f>
        <v>25.604202729522171</v>
      </c>
      <c r="R1095" s="52">
        <f>IF($C1095="B",INDEX(Batters[[#All],[zScore]],MATCH(Table5[[#This Row],[PID]],Batters[[#All],[PID]],0)),INDEX(Table3[[#All],[zScore]],MATCH(Table5[[#This Row],[PID]],Table3[[#All],[PID]],0)))</f>
        <v>-0.80867040131297807</v>
      </c>
      <c r="S1095" s="58" t="str">
        <f>IF($C1095="B",INDEX(Batters[[#All],[DEM]],MATCH(Table5[[#This Row],[PID]],Batters[[#All],[PID]],0)),INDEX(Table3[[#All],[DEM]],MATCH(Table5[[#This Row],[PID]],Table3[[#All],[PID]],0)))</f>
        <v>-</v>
      </c>
      <c r="T1095" s="62">
        <f>IF($C1095="B",INDEX(Batters[[#All],[Rnk]],MATCH(Table5[[#This Row],[PID]],Batters[[#All],[PID]],0)),INDEX(Table3[[#All],[Rnk]],MATCH(Table5[[#This Row],[PID]],Table3[[#All],[PID]],0)))</f>
        <v>643</v>
      </c>
      <c r="U1095" s="68">
        <f>IF($C1095="B",VLOOKUP($A1095,Bat!$A$4:$BA$1621,47,FALSE),VLOOKUP($A1095,Pit!$A$4:$BF$1557,56,FALSE))</f>
        <v>0</v>
      </c>
      <c r="V1095" s="50">
        <f>IF($C1095="B",VLOOKUP($A1095,Bat!$A$4:$BA$1621,48,FALSE),VLOOKUP($A1095,Pit!$A$4:$BF$1557,57,FALSE))</f>
        <v>0</v>
      </c>
      <c r="W1095" s="50">
        <f>Table5[[#This Row],[posRnk]]+Table5[[#This Row],[zRnk]]+IF($W$3&lt;&gt;Table5[[#This Row],[Type]],50,0)</f>
        <v>1740</v>
      </c>
      <c r="X1095" s="51">
        <f>RANK(Table5[[#This Row],[zScore]],Table5[[#All],[zScore]])</f>
        <v>1047</v>
      </c>
      <c r="Y1095" s="50" t="str">
        <f>IFERROR(INDEX(DraftResults[[#All],[OVR]],MATCH(Table5[[#This Row],[PID]],DraftResults[[#All],[Player ID]],0)),"")</f>
        <v/>
      </c>
      <c r="Z10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5" s="50" t="str">
        <f>IFERROR(INDEX(DraftResults[[#All],[Pick in Round]],MATCH(Table5[[#This Row],[PID]],DraftResults[[#All],[Player ID]],0)),"")</f>
        <v/>
      </c>
      <c r="AB1095" s="50" t="str">
        <f>IFERROR(INDEX(DraftResults[[#All],[Team Name]],MATCH(Table5[[#This Row],[PID]],DraftResults[[#All],[Player ID]],0)),"")</f>
        <v/>
      </c>
      <c r="AC1095" s="50" t="str">
        <f>IF(Table5[[#This Row],[Ovr]]="","",IF(Table5[[#This Row],[cmbList]]="","",Table5[[#This Row],[cmbList]]-Table5[[#This Row],[Ovr]]))</f>
        <v/>
      </c>
      <c r="AD1095" s="54" t="str">
        <f>IF(ISERROR(VLOOKUP($AB1095&amp;"-"&amp;$E1095&amp;" "&amp;F1095,Bonuses!$B$1:$G$1006,4,FALSE)),"",INT(VLOOKUP($AB1095&amp;"-"&amp;$E1095&amp;" "&amp;$F1095,Bonuses!$B$1:$G$1006,4,FALSE)))</f>
        <v/>
      </c>
      <c r="AE10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6" spans="1:31" s="50" customFormat="1" x14ac:dyDescent="0.25">
      <c r="A1096" s="50">
        <v>13416</v>
      </c>
      <c r="B1096" s="50">
        <f>COUNTIF(Table5[PID],A1096)</f>
        <v>1</v>
      </c>
      <c r="C1096" s="50" t="str">
        <f>IF(COUNTIF(Table3[[#All],[PID]],A1096)&gt;0,"P","B")</f>
        <v>P</v>
      </c>
      <c r="D1096" s="59" t="str">
        <f>IF($C1096="B",INDEX(Batters[[#All],[POS]],MATCH(Table5[[#This Row],[PID]],Batters[[#All],[PID]],0)),INDEX(Table3[[#All],[POS]],MATCH(Table5[[#This Row],[PID]],Table3[[#All],[PID]],0)))</f>
        <v>RP</v>
      </c>
      <c r="E1096" s="52" t="str">
        <f>IF($C1096="B",INDEX(Batters[[#All],[First]],MATCH(Table5[[#This Row],[PID]],Batters[[#All],[PID]],0)),INDEX(Table3[[#All],[First]],MATCH(Table5[[#This Row],[PID]],Table3[[#All],[PID]],0)))</f>
        <v>Ogai</v>
      </c>
      <c r="F1096" s="50" t="str">
        <f>IF($C1096="B",INDEX(Batters[[#All],[Last]],MATCH(A1096,Batters[[#All],[PID]],0)),INDEX(Table3[[#All],[Last]],MATCH(A1096,Table3[[#All],[PID]],0)))</f>
        <v>Ogawa</v>
      </c>
      <c r="G1096" s="56">
        <f>IF($C1096="B",INDEX(Batters[[#All],[Age]],MATCH(Table5[[#This Row],[PID]],Batters[[#All],[PID]],0)),INDEX(Table3[[#All],[Age]],MATCH(Table5[[#This Row],[PID]],Table3[[#All],[PID]],0)))</f>
        <v>22</v>
      </c>
      <c r="H1096" s="52" t="str">
        <f>IF($C1096="B",INDEX(Batters[[#All],[B]],MATCH(Table5[[#This Row],[PID]],Batters[[#All],[PID]],0)),INDEX(Table3[[#All],[B]],MATCH(Table5[[#This Row],[PID]],Table3[[#All],[PID]],0)))</f>
        <v>L</v>
      </c>
      <c r="I1096" s="52" t="str">
        <f>IF($C1096="B",INDEX(Batters[[#All],[T]],MATCH(Table5[[#This Row],[PID]],Batters[[#All],[PID]],0)),INDEX(Table3[[#All],[T]],MATCH(Table5[[#This Row],[PID]],Table3[[#All],[PID]],0)))</f>
        <v>L</v>
      </c>
      <c r="J1096" s="52" t="str">
        <f>IF($C1096="B",INDEX(Batters[[#All],[WE]],MATCH(Table5[[#This Row],[PID]],Batters[[#All],[PID]],0)),INDEX(Table3[[#All],[WE]],MATCH(Table5[[#This Row],[PID]],Table3[[#All],[PID]],0)))</f>
        <v>Normal</v>
      </c>
      <c r="K1096" s="52" t="str">
        <f>IF($C1096="B",INDEX(Batters[[#All],[INT]],MATCH(Table5[[#This Row],[PID]],Batters[[#All],[PID]],0)),INDEX(Table3[[#All],[INT]],MATCH(Table5[[#This Row],[PID]],Table3[[#All],[PID]],0)))</f>
        <v>Normal</v>
      </c>
      <c r="L1096" s="60">
        <f>IF($C1096="B",INDEX(Batters[[#All],[CON P]],MATCH(Table5[[#This Row],[PID]],Batters[[#All],[PID]],0)),INDEX(Table3[[#All],[STU P]],MATCH(Table5[[#This Row],[PID]],Table3[[#All],[PID]],0)))</f>
        <v>4</v>
      </c>
      <c r="M1096" s="56">
        <f>IF($C1096="B",INDEX(Batters[[#All],[GAP P]],MATCH(Table5[[#This Row],[PID]],Batters[[#All],[PID]],0)),INDEX(Table3[[#All],[MOV P]],MATCH(Table5[[#This Row],[PID]],Table3[[#All],[PID]],0)))</f>
        <v>2</v>
      </c>
      <c r="N1096" s="56">
        <f>IF($C1096="B",INDEX(Batters[[#All],[POW P]],MATCH(Table5[[#This Row],[PID]],Batters[[#All],[PID]],0)),INDEX(Table3[[#All],[CON P]],MATCH(Table5[[#This Row],[PID]],Table3[[#All],[PID]],0)))</f>
        <v>2</v>
      </c>
      <c r="O1096" s="56" t="str">
        <f>IF($C1096="B",INDEX(Batters[[#All],[EYE P]],MATCH(Table5[[#This Row],[PID]],Batters[[#All],[PID]],0)),INDEX(Table3[[#All],[VELO]],MATCH(Table5[[#This Row],[PID]],Table3[[#All],[PID]],0)))</f>
        <v>86-88 Mph</v>
      </c>
      <c r="P1096" s="56">
        <f>IF($C1096="B",INDEX(Batters[[#All],[K P]],MATCH(Table5[[#This Row],[PID]],Batters[[#All],[PID]],0)),INDEX(Table3[[#All],[STM]],MATCH(Table5[[#This Row],[PID]],Table3[[#All],[PID]],0)))</f>
        <v>1</v>
      </c>
      <c r="Q1096" s="61">
        <f>IF($C1096="B",INDEX(Batters[[#All],[Tot]],MATCH(Table5[[#This Row],[PID]],Batters[[#All],[PID]],0)),INDEX(Table3[[#All],[Tot]],MATCH(Table5[[#This Row],[PID]],Table3[[#All],[PID]],0)))</f>
        <v>23.703641842609088</v>
      </c>
      <c r="R1096" s="52">
        <f>IF($C1096="B",INDEX(Batters[[#All],[zScore]],MATCH(Table5[[#This Row],[PID]],Batters[[#All],[PID]],0)),INDEX(Table3[[#All],[zScore]],MATCH(Table5[[#This Row],[PID]],Table3[[#All],[PID]],0)))</f>
        <v>-0.80944421352873908</v>
      </c>
      <c r="S1096" s="58" t="str">
        <f>IF($C1096="B",INDEX(Batters[[#All],[DEM]],MATCH(Table5[[#This Row],[PID]],Batters[[#All],[PID]],0)),INDEX(Table3[[#All],[DEM]],MATCH(Table5[[#This Row],[PID]],Table3[[#All],[PID]],0)))</f>
        <v>-</v>
      </c>
      <c r="T1096" s="62">
        <f>IF($C1096="B",INDEX(Batters[[#All],[Rnk]],MATCH(Table5[[#This Row],[PID]],Batters[[#All],[PID]],0)),INDEX(Table3[[#All],[Rnk]],MATCH(Table5[[#This Row],[PID]],Table3[[#All],[PID]],0)))</f>
        <v>644</v>
      </c>
      <c r="U1096" s="68">
        <f>IF($C1096="B",VLOOKUP($A1096,Bat!$A$4:$BA$1621,47,FALSE),VLOOKUP($A1096,Pit!$A$4:$BF$1557,56,FALSE))</f>
        <v>0</v>
      </c>
      <c r="V1096" s="50">
        <f>IF($C1096="B",VLOOKUP($A1096,Bat!$A$4:$BA$1621,48,FALSE),VLOOKUP($A1096,Pit!$A$4:$BF$1557,57,FALSE))</f>
        <v>0</v>
      </c>
      <c r="W1096" s="50">
        <f>Table5[[#This Row],[posRnk]]+Table5[[#This Row],[zRnk]]+IF($W$3&lt;&gt;Table5[[#This Row],[Type]],50,0)</f>
        <v>1742</v>
      </c>
      <c r="X1096" s="51">
        <f>RANK(Table5[[#This Row],[zScore]],Table5[[#All],[zScore]])</f>
        <v>1048</v>
      </c>
      <c r="Y1096" s="50" t="str">
        <f>IFERROR(INDEX(DraftResults[[#All],[OVR]],MATCH(Table5[[#This Row],[PID]],DraftResults[[#All],[Player ID]],0)),"")</f>
        <v/>
      </c>
      <c r="Z10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6" s="50" t="str">
        <f>IFERROR(INDEX(DraftResults[[#All],[Pick in Round]],MATCH(Table5[[#This Row],[PID]],DraftResults[[#All],[Player ID]],0)),"")</f>
        <v/>
      </c>
      <c r="AB1096" s="50" t="str">
        <f>IFERROR(INDEX(DraftResults[[#All],[Team Name]],MATCH(Table5[[#This Row],[PID]],DraftResults[[#All],[Player ID]],0)),"")</f>
        <v/>
      </c>
      <c r="AC1096" s="50" t="str">
        <f>IF(Table5[[#This Row],[Ovr]]="","",IF(Table5[[#This Row],[cmbList]]="","",Table5[[#This Row],[cmbList]]-Table5[[#This Row],[Ovr]]))</f>
        <v/>
      </c>
      <c r="AD1096" s="54" t="str">
        <f>IF(ISERROR(VLOOKUP($AB1096&amp;"-"&amp;$E1096&amp;" "&amp;F1096,Bonuses!$B$1:$G$1006,4,FALSE)),"",INT(VLOOKUP($AB1096&amp;"-"&amp;$E1096&amp;" "&amp;$F1096,Bonuses!$B$1:$G$1006,4,FALSE)))</f>
        <v/>
      </c>
      <c r="AE10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7" spans="1:31" s="50" customFormat="1" x14ac:dyDescent="0.25">
      <c r="A1097" s="50">
        <v>20911</v>
      </c>
      <c r="B1097" s="50">
        <f>COUNTIF(Table5[PID],A1097)</f>
        <v>1</v>
      </c>
      <c r="C1097" s="50" t="str">
        <f>IF(COUNTIF(Table3[[#All],[PID]],A1097)&gt;0,"P","B")</f>
        <v>P</v>
      </c>
      <c r="D1097" s="59" t="str">
        <f>IF($C1097="B",INDEX(Batters[[#All],[POS]],MATCH(Table5[[#This Row],[PID]],Batters[[#All],[PID]],0)),INDEX(Table3[[#All],[POS]],MATCH(Table5[[#This Row],[PID]],Table3[[#All],[PID]],0)))</f>
        <v>RP</v>
      </c>
      <c r="E1097" s="52" t="str">
        <f>IF($C1097="B",INDEX(Batters[[#All],[First]],MATCH(Table5[[#This Row],[PID]],Batters[[#All],[PID]],0)),INDEX(Table3[[#All],[First]],MATCH(Table5[[#This Row],[PID]],Table3[[#All],[PID]],0)))</f>
        <v>George</v>
      </c>
      <c r="F1097" s="50" t="str">
        <f>IF($C1097="B",INDEX(Batters[[#All],[Last]],MATCH(A1097,Batters[[#All],[PID]],0)),INDEX(Table3[[#All],[Last]],MATCH(A1097,Table3[[#All],[PID]],0)))</f>
        <v>Robinson</v>
      </c>
      <c r="G1097" s="56">
        <f>IF($C1097="B",INDEX(Batters[[#All],[Age]],MATCH(Table5[[#This Row],[PID]],Batters[[#All],[PID]],0)),INDEX(Table3[[#All],[Age]],MATCH(Table5[[#This Row],[PID]],Table3[[#All],[PID]],0)))</f>
        <v>18</v>
      </c>
      <c r="H1097" s="52" t="str">
        <f>IF($C1097="B",INDEX(Batters[[#All],[B]],MATCH(Table5[[#This Row],[PID]],Batters[[#All],[PID]],0)),INDEX(Table3[[#All],[B]],MATCH(Table5[[#This Row],[PID]],Table3[[#All],[PID]],0)))</f>
        <v>S</v>
      </c>
      <c r="I1097" s="52" t="str">
        <f>IF($C1097="B",INDEX(Batters[[#All],[T]],MATCH(Table5[[#This Row],[PID]],Batters[[#All],[PID]],0)),INDEX(Table3[[#All],[T]],MATCH(Table5[[#This Row],[PID]],Table3[[#All],[PID]],0)))</f>
        <v>R</v>
      </c>
      <c r="J1097" s="52" t="str">
        <f>IF($C1097="B",INDEX(Batters[[#All],[WE]],MATCH(Table5[[#This Row],[PID]],Batters[[#All],[PID]],0)),INDEX(Table3[[#All],[WE]],MATCH(Table5[[#This Row],[PID]],Table3[[#All],[PID]],0)))</f>
        <v>Low</v>
      </c>
      <c r="K1097" s="52" t="str">
        <f>IF($C1097="B",INDEX(Batters[[#All],[INT]],MATCH(Table5[[#This Row],[PID]],Batters[[#All],[PID]],0)),INDEX(Table3[[#All],[INT]],MATCH(Table5[[#This Row],[PID]],Table3[[#All],[PID]],0)))</f>
        <v>Normal</v>
      </c>
      <c r="L1097" s="60">
        <f>IF($C1097="B",INDEX(Batters[[#All],[CON P]],MATCH(Table5[[#This Row],[PID]],Batters[[#All],[PID]],0)),INDEX(Table3[[#All],[STU P]],MATCH(Table5[[#This Row],[PID]],Table3[[#All],[PID]],0)))</f>
        <v>4</v>
      </c>
      <c r="M1097" s="56">
        <f>IF($C1097="B",INDEX(Batters[[#All],[GAP P]],MATCH(Table5[[#This Row],[PID]],Batters[[#All],[PID]],0)),INDEX(Table3[[#All],[MOV P]],MATCH(Table5[[#This Row],[PID]],Table3[[#All],[PID]],0)))</f>
        <v>1</v>
      </c>
      <c r="N1097" s="56">
        <f>IF($C1097="B",INDEX(Batters[[#All],[POW P]],MATCH(Table5[[#This Row],[PID]],Batters[[#All],[PID]],0)),INDEX(Table3[[#All],[CON P]],MATCH(Table5[[#This Row],[PID]],Table3[[#All],[PID]],0)))</f>
        <v>3</v>
      </c>
      <c r="O1097" s="56" t="str">
        <f>IF($C1097="B",INDEX(Batters[[#All],[EYE P]],MATCH(Table5[[#This Row],[PID]],Batters[[#All],[PID]],0)),INDEX(Table3[[#All],[VELO]],MATCH(Table5[[#This Row],[PID]],Table3[[#All],[PID]],0)))</f>
        <v>86-88 Mph</v>
      </c>
      <c r="P1097" s="56">
        <f>IF($C1097="B",INDEX(Batters[[#All],[K P]],MATCH(Table5[[#This Row],[PID]],Batters[[#All],[PID]],0)),INDEX(Table3[[#All],[STM]],MATCH(Table5[[#This Row],[PID]],Table3[[#All],[PID]],0)))</f>
        <v>4</v>
      </c>
      <c r="Q1097" s="61">
        <f>IF($C1097="B",INDEX(Batters[[#All],[Tot]],MATCH(Table5[[#This Row],[PID]],Batters[[#All],[PID]],0)),INDEX(Table3[[#All],[Tot]],MATCH(Table5[[#This Row],[PID]],Table3[[#All],[PID]],0)))</f>
        <v>23.684579507260977</v>
      </c>
      <c r="R1097" s="52">
        <f>IF($C1097="B",INDEX(Batters[[#All],[zScore]],MATCH(Table5[[#This Row],[PID]],Batters[[#All],[PID]],0)),INDEX(Table3[[#All],[zScore]],MATCH(Table5[[#This Row],[PID]],Table3[[#All],[PID]],0)))</f>
        <v>-0.81071240157012558</v>
      </c>
      <c r="S1097" s="58" t="str">
        <f>IF($C1097="B",INDEX(Batters[[#All],[DEM]],MATCH(Table5[[#This Row],[PID]],Batters[[#All],[PID]],0)),INDEX(Table3[[#All],[DEM]],MATCH(Table5[[#This Row],[PID]],Table3[[#All],[PID]],0)))</f>
        <v>$80k</v>
      </c>
      <c r="T1097" s="62">
        <f>IF($C1097="B",INDEX(Batters[[#All],[Rnk]],MATCH(Table5[[#This Row],[PID]],Batters[[#All],[PID]],0)),INDEX(Table3[[#All],[Rnk]],MATCH(Table5[[#This Row],[PID]],Table3[[#All],[PID]],0)))</f>
        <v>645</v>
      </c>
      <c r="U1097" s="68">
        <f>IF($C1097="B",VLOOKUP($A1097,Bat!$A$4:$BA$1621,47,FALSE),VLOOKUP($A1097,Pit!$A$4:$BF$1557,56,FALSE))</f>
        <v>0</v>
      </c>
      <c r="V1097" s="50">
        <f>IF($C1097="B",VLOOKUP($A1097,Bat!$A$4:$BA$1621,48,FALSE),VLOOKUP($A1097,Pit!$A$4:$BF$1557,57,FALSE))</f>
        <v>0</v>
      </c>
      <c r="W1097" s="50">
        <f>Table5[[#This Row],[posRnk]]+Table5[[#This Row],[zRnk]]+IF($W$3&lt;&gt;Table5[[#This Row],[Type]],50,0)</f>
        <v>1744</v>
      </c>
      <c r="X1097" s="51">
        <f>RANK(Table5[[#This Row],[zScore]],Table5[[#All],[zScore]])</f>
        <v>1049</v>
      </c>
      <c r="Y1097" s="50" t="str">
        <f>IFERROR(INDEX(DraftResults[[#All],[OVR]],MATCH(Table5[[#This Row],[PID]],DraftResults[[#All],[Player ID]],0)),"")</f>
        <v/>
      </c>
      <c r="Z10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7" s="50" t="str">
        <f>IFERROR(INDEX(DraftResults[[#All],[Pick in Round]],MATCH(Table5[[#This Row],[PID]],DraftResults[[#All],[Player ID]],0)),"")</f>
        <v/>
      </c>
      <c r="AB1097" s="50" t="str">
        <f>IFERROR(INDEX(DraftResults[[#All],[Team Name]],MATCH(Table5[[#This Row],[PID]],DraftResults[[#All],[Player ID]],0)),"")</f>
        <v/>
      </c>
      <c r="AC1097" s="50" t="str">
        <f>IF(Table5[[#This Row],[Ovr]]="","",IF(Table5[[#This Row],[cmbList]]="","",Table5[[#This Row],[cmbList]]-Table5[[#This Row],[Ovr]]))</f>
        <v/>
      </c>
      <c r="AD1097" s="54" t="str">
        <f>IF(ISERROR(VLOOKUP($AB1097&amp;"-"&amp;$E1097&amp;" "&amp;F1097,Bonuses!$B$1:$G$1006,4,FALSE)),"",INT(VLOOKUP($AB1097&amp;"-"&amp;$E1097&amp;" "&amp;$F1097,Bonuses!$B$1:$G$1006,4,FALSE)))</f>
        <v/>
      </c>
      <c r="AE10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8" spans="1:31" s="50" customFormat="1" x14ac:dyDescent="0.25">
      <c r="A1098" s="50">
        <v>20358</v>
      </c>
      <c r="B1098" s="55">
        <f>COUNTIF(Table5[PID],A1098)</f>
        <v>1</v>
      </c>
      <c r="C1098" s="55" t="str">
        <f>IF(COUNTIF(Table3[[#All],[PID]],A1098)&gt;0,"P","B")</f>
        <v>P</v>
      </c>
      <c r="D1098" s="59" t="str">
        <f>IF($C1098="B",INDEX(Batters[[#All],[POS]],MATCH(Table5[[#This Row],[PID]],Batters[[#All],[PID]],0)),INDEX(Table3[[#All],[POS]],MATCH(Table5[[#This Row],[PID]],Table3[[#All],[PID]],0)))</f>
        <v>RP</v>
      </c>
      <c r="E1098" s="52" t="str">
        <f>IF($C1098="B",INDEX(Batters[[#All],[First]],MATCH(Table5[[#This Row],[PID]],Batters[[#All],[PID]],0)),INDEX(Table3[[#All],[First]],MATCH(Table5[[#This Row],[PID]],Table3[[#All],[PID]],0)))</f>
        <v>Alfred</v>
      </c>
      <c r="F1098" s="50" t="str">
        <f>IF($C1098="B",INDEX(Batters[[#All],[Last]],MATCH(A1098,Batters[[#All],[PID]],0)),INDEX(Table3[[#All],[Last]],MATCH(A1098,Table3[[#All],[PID]],0)))</f>
        <v>Tinker</v>
      </c>
      <c r="G1098" s="56">
        <f>IF($C1098="B",INDEX(Batters[[#All],[Age]],MATCH(Table5[[#This Row],[PID]],Batters[[#All],[PID]],0)),INDEX(Table3[[#All],[Age]],MATCH(Table5[[#This Row],[PID]],Table3[[#All],[PID]],0)))</f>
        <v>17</v>
      </c>
      <c r="H1098" s="52" t="str">
        <f>IF($C1098="B",INDEX(Batters[[#All],[B]],MATCH(Table5[[#This Row],[PID]],Batters[[#All],[PID]],0)),INDEX(Table3[[#All],[B]],MATCH(Table5[[#This Row],[PID]],Table3[[#All],[PID]],0)))</f>
        <v>R</v>
      </c>
      <c r="I1098" s="52" t="str">
        <f>IF($C1098="B",INDEX(Batters[[#All],[T]],MATCH(Table5[[#This Row],[PID]],Batters[[#All],[PID]],0)),INDEX(Table3[[#All],[T]],MATCH(Table5[[#This Row],[PID]],Table3[[#All],[PID]],0)))</f>
        <v>R</v>
      </c>
      <c r="J1098" s="52" t="str">
        <f>IF($C1098="B",INDEX(Batters[[#All],[WE]],MATCH(Table5[[#This Row],[PID]],Batters[[#All],[PID]],0)),INDEX(Table3[[#All],[WE]],MATCH(Table5[[#This Row],[PID]],Table3[[#All],[PID]],0)))</f>
        <v>Low</v>
      </c>
      <c r="K1098" s="52" t="str">
        <f>IF($C1098="B",INDEX(Batters[[#All],[INT]],MATCH(Table5[[#This Row],[PID]],Batters[[#All],[PID]],0)),INDEX(Table3[[#All],[INT]],MATCH(Table5[[#This Row],[PID]],Table3[[#All],[PID]],0)))</f>
        <v>Normal</v>
      </c>
      <c r="L1098" s="60">
        <f>IF($C1098="B",INDEX(Batters[[#All],[CON P]],MATCH(Table5[[#This Row],[PID]],Batters[[#All],[PID]],0)),INDEX(Table3[[#All],[STU P]],MATCH(Table5[[#This Row],[PID]],Table3[[#All],[PID]],0)))</f>
        <v>3</v>
      </c>
      <c r="M1098" s="56">
        <f>IF($C1098="B",INDEX(Batters[[#All],[GAP P]],MATCH(Table5[[#This Row],[PID]],Batters[[#All],[PID]],0)),INDEX(Table3[[#All],[MOV P]],MATCH(Table5[[#This Row],[PID]],Table3[[#All],[PID]],0)))</f>
        <v>2</v>
      </c>
      <c r="N1098" s="56">
        <f>IF($C1098="B",INDEX(Batters[[#All],[POW P]],MATCH(Table5[[#This Row],[PID]],Batters[[#All],[PID]],0)),INDEX(Table3[[#All],[CON P]],MATCH(Table5[[#This Row],[PID]],Table3[[#All],[PID]],0)))</f>
        <v>2</v>
      </c>
      <c r="O1098" s="56" t="str">
        <f>IF($C1098="B",INDEX(Batters[[#All],[EYE P]],MATCH(Table5[[#This Row],[PID]],Batters[[#All],[PID]],0)),INDEX(Table3[[#All],[VELO]],MATCH(Table5[[#This Row],[PID]],Table3[[#All],[PID]],0)))</f>
        <v>85-87 Mph</v>
      </c>
      <c r="P1098" s="56">
        <f>IF($C1098="B",INDEX(Batters[[#All],[K P]],MATCH(Table5[[#This Row],[PID]],Batters[[#All],[PID]],0)),INDEX(Table3[[#All],[STM]],MATCH(Table5[[#This Row],[PID]],Table3[[#All],[PID]],0)))</f>
        <v>8</v>
      </c>
      <c r="Q1098" s="61">
        <f>IF($C1098="B",INDEX(Batters[[#All],[Tot]],MATCH(Table5[[#This Row],[PID]],Batters[[#All],[PID]],0)),INDEX(Table3[[#All],[Tot]],MATCH(Table5[[#This Row],[PID]],Table3[[#All],[PID]],0)))</f>
        <v>25.463481435953902</v>
      </c>
      <c r="R1098" s="52">
        <f>IF($C1098="B",INDEX(Batters[[#All],[zScore]],MATCH(Table5[[#This Row],[PID]],Batters[[#All],[PID]],0)),INDEX(Table3[[#All],[zScore]],MATCH(Table5[[#This Row],[PID]],Table3[[#All],[PID]],0)))</f>
        <v>-0.81885334105499019</v>
      </c>
      <c r="S1098" s="58" t="str">
        <f>IF($C1098="B",INDEX(Batters[[#All],[DEM]],MATCH(Table5[[#This Row],[PID]],Batters[[#All],[PID]],0)),INDEX(Table3[[#All],[DEM]],MATCH(Table5[[#This Row],[PID]],Table3[[#All],[PID]],0)))</f>
        <v>$38k</v>
      </c>
      <c r="T1098" s="62">
        <f>IF($C1098="B",INDEX(Batters[[#All],[Rnk]],MATCH(Table5[[#This Row],[PID]],Batters[[#All],[PID]],0)),INDEX(Table3[[#All],[Rnk]],MATCH(Table5[[#This Row],[PID]],Table3[[#All],[PID]],0)))</f>
        <v>646</v>
      </c>
      <c r="U1098" s="68">
        <f>IF($C1098="B",VLOOKUP($A1098,Bat!$A$4:$BA$1621,47,FALSE),VLOOKUP($A1098,Pit!$A$4:$BF$1557,56,FALSE))</f>
        <v>0</v>
      </c>
      <c r="V1098" s="50">
        <f>IF($C1098="B",VLOOKUP($A1098,Bat!$A$4:$BA$1621,48,FALSE),VLOOKUP($A1098,Pit!$A$4:$BF$1557,57,FALSE))</f>
        <v>0</v>
      </c>
      <c r="W1098" s="50">
        <f>Table5[[#This Row],[posRnk]]+Table5[[#This Row],[zRnk]]+IF($W$3&lt;&gt;Table5[[#This Row],[Type]],50,0)</f>
        <v>1748</v>
      </c>
      <c r="X1098" s="51">
        <f>RANK(Table5[[#This Row],[zScore]],Table5[[#All],[zScore]])</f>
        <v>1052</v>
      </c>
      <c r="Y1098" s="50" t="str">
        <f>IFERROR(INDEX(DraftResults[[#All],[OVR]],MATCH(Table5[[#This Row],[PID]],DraftResults[[#All],[Player ID]],0)),"")</f>
        <v/>
      </c>
      <c r="Z10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8" s="50" t="str">
        <f>IFERROR(INDEX(DraftResults[[#All],[Pick in Round]],MATCH(Table5[[#This Row],[PID]],DraftResults[[#All],[Player ID]],0)),"")</f>
        <v/>
      </c>
      <c r="AB1098" s="50" t="str">
        <f>IFERROR(INDEX(DraftResults[[#All],[Team Name]],MATCH(Table5[[#This Row],[PID]],DraftResults[[#All],[Player ID]],0)),"")</f>
        <v/>
      </c>
      <c r="AC1098" s="50" t="str">
        <f>IF(Table5[[#This Row],[Ovr]]="","",IF(Table5[[#This Row],[cmbList]]="","",Table5[[#This Row],[cmbList]]-Table5[[#This Row],[Ovr]]))</f>
        <v/>
      </c>
      <c r="AD1098" s="54" t="str">
        <f>IF(ISERROR(VLOOKUP($AB1098&amp;"-"&amp;$E1098&amp;" "&amp;F1098,Bonuses!$B$1:$G$1006,4,FALSE)),"",INT(VLOOKUP($AB1098&amp;"-"&amp;$E1098&amp;" "&amp;$F1098,Bonuses!$B$1:$G$1006,4,FALSE)))</f>
        <v/>
      </c>
      <c r="AE10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099" spans="1:31" s="50" customFormat="1" x14ac:dyDescent="0.25">
      <c r="A1099" s="68">
        <v>20683</v>
      </c>
      <c r="B1099" s="69">
        <f>COUNTIF(Table5[PID],A1099)</f>
        <v>1</v>
      </c>
      <c r="C1099" s="69" t="str">
        <f>IF(COUNTIF(Table3[[#All],[PID]],A1099)&gt;0,"P","B")</f>
        <v>P</v>
      </c>
      <c r="D1099" s="59" t="str">
        <f>IF($C1099="B",INDEX(Batters[[#All],[POS]],MATCH(Table5[[#This Row],[PID]],Batters[[#All],[PID]],0)),INDEX(Table3[[#All],[POS]],MATCH(Table5[[#This Row],[PID]],Table3[[#All],[PID]],0)))</f>
        <v>SP</v>
      </c>
      <c r="E1099" s="52" t="str">
        <f>IF($C1099="B",INDEX(Batters[[#All],[First]],MATCH(Table5[[#This Row],[PID]],Batters[[#All],[PID]],0)),INDEX(Table3[[#All],[First]],MATCH(Table5[[#This Row],[PID]],Table3[[#All],[PID]],0)))</f>
        <v>Jin-guo</v>
      </c>
      <c r="F1099" s="55" t="str">
        <f>IF($C1099="B",INDEX(Batters[[#All],[Last]],MATCH(A1099,Batters[[#All],[PID]],0)),INDEX(Table3[[#All],[Last]],MATCH(A1099,Table3[[#All],[PID]],0)))</f>
        <v>Ma</v>
      </c>
      <c r="G1099" s="56">
        <f>IF($C1099="B",INDEX(Batters[[#All],[Age]],MATCH(Table5[[#This Row],[PID]],Batters[[#All],[PID]],0)),INDEX(Table3[[#All],[Age]],MATCH(Table5[[#This Row],[PID]],Table3[[#All],[PID]],0)))</f>
        <v>18</v>
      </c>
      <c r="H1099" s="52" t="str">
        <f>IF($C1099="B",INDEX(Batters[[#All],[B]],MATCH(Table5[[#This Row],[PID]],Batters[[#All],[PID]],0)),INDEX(Table3[[#All],[B]],MATCH(Table5[[#This Row],[PID]],Table3[[#All],[PID]],0)))</f>
        <v>L</v>
      </c>
      <c r="I1099" s="52" t="str">
        <f>IF($C1099="B",INDEX(Batters[[#All],[T]],MATCH(Table5[[#This Row],[PID]],Batters[[#All],[PID]],0)),INDEX(Table3[[#All],[T]],MATCH(Table5[[#This Row],[PID]],Table3[[#All],[PID]],0)))</f>
        <v>L</v>
      </c>
      <c r="J1099" s="71" t="str">
        <f>IF($C1099="B",INDEX(Batters[[#All],[WE]],MATCH(Table5[[#This Row],[PID]],Batters[[#All],[PID]],0)),INDEX(Table3[[#All],[WE]],MATCH(Table5[[#This Row],[PID]],Table3[[#All],[PID]],0)))</f>
        <v>Normal</v>
      </c>
      <c r="K1099" s="52" t="str">
        <f>IF($C1099="B",INDEX(Batters[[#All],[INT]],MATCH(Table5[[#This Row],[PID]],Batters[[#All],[PID]],0)),INDEX(Table3[[#All],[INT]],MATCH(Table5[[#This Row],[PID]],Table3[[#All],[PID]],0)))</f>
        <v>Normal</v>
      </c>
      <c r="L1099" s="60">
        <f>IF($C1099="B",INDEX(Batters[[#All],[CON P]],MATCH(Table5[[#This Row],[PID]],Batters[[#All],[PID]],0)),INDEX(Table3[[#All],[STU P]],MATCH(Table5[[#This Row],[PID]],Table3[[#All],[PID]],0)))</f>
        <v>3</v>
      </c>
      <c r="M1099" s="72">
        <f>IF($C1099="B",INDEX(Batters[[#All],[GAP P]],MATCH(Table5[[#This Row],[PID]],Batters[[#All],[PID]],0)),INDEX(Table3[[#All],[MOV P]],MATCH(Table5[[#This Row],[PID]],Table3[[#All],[PID]],0)))</f>
        <v>2</v>
      </c>
      <c r="N1099" s="72">
        <f>IF($C1099="B",INDEX(Batters[[#All],[POW P]],MATCH(Table5[[#This Row],[PID]],Batters[[#All],[PID]],0)),INDEX(Table3[[#All],[CON P]],MATCH(Table5[[#This Row],[PID]],Table3[[#All],[PID]],0)))</f>
        <v>2</v>
      </c>
      <c r="O1099" s="72" t="str">
        <f>IF($C1099="B",INDEX(Batters[[#All],[EYE P]],MATCH(Table5[[#This Row],[PID]],Batters[[#All],[PID]],0)),INDEX(Table3[[#All],[VELO]],MATCH(Table5[[#This Row],[PID]],Table3[[#All],[PID]],0)))</f>
        <v>86-88 Mph</v>
      </c>
      <c r="P1099" s="56">
        <f>IF($C1099="B",INDEX(Batters[[#All],[K P]],MATCH(Table5[[#This Row],[PID]],Batters[[#All],[PID]],0)),INDEX(Table3[[#All],[STM]],MATCH(Table5[[#This Row],[PID]],Table3[[#All],[PID]],0)))</f>
        <v>8</v>
      </c>
      <c r="Q1099" s="61">
        <f>IF($C1099="B",INDEX(Batters[[#All],[Tot]],MATCH(Table5[[#This Row],[PID]],Batters[[#All],[PID]],0)),INDEX(Table3[[#All],[Tot]],MATCH(Table5[[#This Row],[PID]],Table3[[#All],[PID]],0)))</f>
        <v>25.800613462075614</v>
      </c>
      <c r="R1099" s="52">
        <f>IF($C1099="B",INDEX(Batters[[#All],[zScore]],MATCH(Table5[[#This Row],[PID]],Batters[[#All],[PID]],0)),INDEX(Table3[[#All],[zScore]],MATCH(Table5[[#This Row],[PID]],Table3[[#All],[PID]],0)))</f>
        <v>-0.82221312165511462</v>
      </c>
      <c r="S1099" s="78" t="str">
        <f>IF($C1099="B",INDEX(Batters[[#All],[DEM]],MATCH(Table5[[#This Row],[PID]],Batters[[#All],[PID]],0)),INDEX(Table3[[#All],[DEM]],MATCH(Table5[[#This Row],[PID]],Table3[[#All],[PID]],0)))</f>
        <v>$38k</v>
      </c>
      <c r="T1099" s="75">
        <f>IF($C1099="B",INDEX(Batters[[#All],[Rnk]],MATCH(Table5[[#This Row],[PID]],Batters[[#All],[PID]],0)),INDEX(Table3[[#All],[Rnk]],MATCH(Table5[[#This Row],[PID]],Table3[[#All],[PID]],0)))</f>
        <v>647</v>
      </c>
      <c r="U1099" s="68">
        <f>IF($C1099="B",VLOOKUP($A1099,Bat!$A$4:$BA$1621,47,FALSE),VLOOKUP($A1099,Pit!$A$4:$BF$1557,56,FALSE))</f>
        <v>0</v>
      </c>
      <c r="V1099" s="50">
        <f>IF($C1099="B",VLOOKUP($A1099,Bat!$A$4:$BA$1621,48,FALSE),VLOOKUP($A1099,Pit!$A$4:$BF$1557,57,FALSE))</f>
        <v>0</v>
      </c>
      <c r="W1099" s="69">
        <f>Table5[[#This Row],[posRnk]]+Table5[[#This Row],[zRnk]]+IF($W$3&lt;&gt;Table5[[#This Row],[Type]],50,0)</f>
        <v>1750</v>
      </c>
      <c r="X1099" s="73">
        <f>RANK(Table5[[#This Row],[zScore]],Table5[[#All],[zScore]])</f>
        <v>1053</v>
      </c>
      <c r="Y1099" s="69" t="str">
        <f>IFERROR(INDEX(DraftResults[[#All],[OVR]],MATCH(Table5[[#This Row],[PID]],DraftResults[[#All],[Player ID]],0)),"")</f>
        <v/>
      </c>
      <c r="Z10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099" s="69" t="str">
        <f>IFERROR(INDEX(DraftResults[[#All],[Pick in Round]],MATCH(Table5[[#This Row],[PID]],DraftResults[[#All],[Player ID]],0)),"")</f>
        <v/>
      </c>
      <c r="AB1099" s="69" t="str">
        <f>IFERROR(INDEX(DraftResults[[#All],[Team Name]],MATCH(Table5[[#This Row],[PID]],DraftResults[[#All],[Player ID]],0)),"")</f>
        <v/>
      </c>
      <c r="AC1099" s="69" t="str">
        <f>IF(Table5[[#This Row],[Ovr]]="","",IF(Table5[[#This Row],[cmbList]]="","",Table5[[#This Row],[cmbList]]-Table5[[#This Row],[Ovr]]))</f>
        <v/>
      </c>
      <c r="AD1099" s="77" t="str">
        <f>IF(ISERROR(VLOOKUP($AB1099&amp;"-"&amp;$E1099&amp;" "&amp;F1099,Bonuses!$B$1:$G$1006,4,FALSE)),"",INT(VLOOKUP($AB1099&amp;"-"&amp;$E1099&amp;" "&amp;$F1099,Bonuses!$B$1:$G$1006,4,FALSE)))</f>
        <v/>
      </c>
      <c r="AE10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0" spans="1:31" s="50" customFormat="1" x14ac:dyDescent="0.25">
      <c r="A1100" s="50">
        <v>12218</v>
      </c>
      <c r="B1100" s="50">
        <f>COUNTIF(Table5[PID],A1100)</f>
        <v>1</v>
      </c>
      <c r="C1100" s="50" t="str">
        <f>IF(COUNTIF(Table3[[#All],[PID]],A1100)&gt;0,"P","B")</f>
        <v>P</v>
      </c>
      <c r="D1100" s="59" t="str">
        <f>IF($C1100="B",INDEX(Batters[[#All],[POS]],MATCH(Table5[[#This Row],[PID]],Batters[[#All],[PID]],0)),INDEX(Table3[[#All],[POS]],MATCH(Table5[[#This Row],[PID]],Table3[[#All],[PID]],0)))</f>
        <v>RP</v>
      </c>
      <c r="E1100" s="52" t="str">
        <f>IF($C1100="B",INDEX(Batters[[#All],[First]],MATCH(Table5[[#This Row],[PID]],Batters[[#All],[PID]],0)),INDEX(Table3[[#All],[First]],MATCH(Table5[[#This Row],[PID]],Table3[[#All],[PID]],0)))</f>
        <v>Larry</v>
      </c>
      <c r="F1100" s="50" t="str">
        <f>IF($C1100="B",INDEX(Batters[[#All],[Last]],MATCH(A1100,Batters[[#All],[PID]],0)),INDEX(Table3[[#All],[Last]],MATCH(A1100,Table3[[#All],[PID]],0)))</f>
        <v>O'Connor</v>
      </c>
      <c r="G1100" s="56">
        <f>IF($C1100="B",INDEX(Batters[[#All],[Age]],MATCH(Table5[[#This Row],[PID]],Batters[[#All],[PID]],0)),INDEX(Table3[[#All],[Age]],MATCH(Table5[[#This Row],[PID]],Table3[[#All],[PID]],0)))</f>
        <v>22</v>
      </c>
      <c r="H1100" s="52" t="str">
        <f>IF($C1100="B",INDEX(Batters[[#All],[B]],MATCH(Table5[[#This Row],[PID]],Batters[[#All],[PID]],0)),INDEX(Table3[[#All],[B]],MATCH(Table5[[#This Row],[PID]],Table3[[#All],[PID]],0)))</f>
        <v>S</v>
      </c>
      <c r="I1100" s="52" t="str">
        <f>IF($C1100="B",INDEX(Batters[[#All],[T]],MATCH(Table5[[#This Row],[PID]],Batters[[#All],[PID]],0)),INDEX(Table3[[#All],[T]],MATCH(Table5[[#This Row],[PID]],Table3[[#All],[PID]],0)))</f>
        <v>R</v>
      </c>
      <c r="J1100" s="52" t="str">
        <f>IF($C1100="B",INDEX(Batters[[#All],[WE]],MATCH(Table5[[#This Row],[PID]],Batters[[#All],[PID]],0)),INDEX(Table3[[#All],[WE]],MATCH(Table5[[#This Row],[PID]],Table3[[#All],[PID]],0)))</f>
        <v>Low</v>
      </c>
      <c r="K1100" s="52" t="str">
        <f>IF($C1100="B",INDEX(Batters[[#All],[INT]],MATCH(Table5[[#This Row],[PID]],Batters[[#All],[PID]],0)),INDEX(Table3[[#All],[INT]],MATCH(Table5[[#This Row],[PID]],Table3[[#All],[PID]],0)))</f>
        <v>Normal</v>
      </c>
      <c r="L1100" s="60">
        <f>IF($C1100="B",INDEX(Batters[[#All],[CON P]],MATCH(Table5[[#This Row],[PID]],Batters[[#All],[PID]],0)),INDEX(Table3[[#All],[STU P]],MATCH(Table5[[#This Row],[PID]],Table3[[#All],[PID]],0)))</f>
        <v>4</v>
      </c>
      <c r="M1100" s="56">
        <f>IF($C1100="B",INDEX(Batters[[#All],[GAP P]],MATCH(Table5[[#This Row],[PID]],Batters[[#All],[PID]],0)),INDEX(Table3[[#All],[MOV P]],MATCH(Table5[[#This Row],[PID]],Table3[[#All],[PID]],0)))</f>
        <v>1</v>
      </c>
      <c r="N1100" s="56">
        <f>IF($C1100="B",INDEX(Batters[[#All],[POW P]],MATCH(Table5[[#This Row],[PID]],Batters[[#All],[PID]],0)),INDEX(Table3[[#All],[CON P]],MATCH(Table5[[#This Row],[PID]],Table3[[#All],[PID]],0)))</f>
        <v>3</v>
      </c>
      <c r="O1100" s="56" t="str">
        <f>IF($C1100="B",INDEX(Batters[[#All],[EYE P]],MATCH(Table5[[#This Row],[PID]],Batters[[#All],[PID]],0)),INDEX(Table3[[#All],[VELO]],MATCH(Table5[[#This Row],[PID]],Table3[[#All],[PID]],0)))</f>
        <v>91-93 Mph</v>
      </c>
      <c r="P1100" s="56">
        <f>IF($C1100="B",INDEX(Batters[[#All],[K P]],MATCH(Table5[[#This Row],[PID]],Batters[[#All],[PID]],0)),INDEX(Table3[[#All],[STM]],MATCH(Table5[[#This Row],[PID]],Table3[[#All],[PID]],0)))</f>
        <v>3</v>
      </c>
      <c r="Q1100" s="61">
        <f>IF($C1100="B",INDEX(Batters[[#All],[Tot]],MATCH(Table5[[#This Row],[PID]],Batters[[#All],[PID]],0)),INDEX(Table3[[#All],[Tot]],MATCH(Table5[[#This Row],[PID]],Table3[[#All],[PID]],0)))</f>
        <v>23.498528355349002</v>
      </c>
      <c r="R1100" s="52">
        <f>IF($C1100="B",INDEX(Batters[[#All],[zScore]],MATCH(Table5[[#This Row],[PID]],Batters[[#All],[PID]],0)),INDEX(Table3[[#All],[zScore]],MATCH(Table5[[#This Row],[PID]],Table3[[#All],[PID]],0)))</f>
        <v>-0.82309010040041897</v>
      </c>
      <c r="S1100" s="58" t="str">
        <f>IF($C1100="B",INDEX(Batters[[#All],[DEM]],MATCH(Table5[[#This Row],[PID]],Batters[[#All],[PID]],0)),INDEX(Table3[[#All],[DEM]],MATCH(Table5[[#This Row],[PID]],Table3[[#All],[PID]],0)))</f>
        <v>-</v>
      </c>
      <c r="T1100" s="62">
        <f>IF($C1100="B",INDEX(Batters[[#All],[Rnk]],MATCH(Table5[[#This Row],[PID]],Batters[[#All],[PID]],0)),INDEX(Table3[[#All],[Rnk]],MATCH(Table5[[#This Row],[PID]],Table3[[#All],[PID]],0)))</f>
        <v>648</v>
      </c>
      <c r="U1100" s="68">
        <f>IF($C1100="B",VLOOKUP($A1100,Bat!$A$4:$BA$1621,47,FALSE),VLOOKUP($A1100,Pit!$A$4:$BF$1557,56,FALSE))</f>
        <v>0</v>
      </c>
      <c r="V1100" s="50">
        <f>IF($C1100="B",VLOOKUP($A1100,Bat!$A$4:$BA$1621,48,FALSE),VLOOKUP($A1100,Pit!$A$4:$BF$1557,57,FALSE))</f>
        <v>0</v>
      </c>
      <c r="W1100" s="50">
        <f>Table5[[#This Row],[posRnk]]+Table5[[#This Row],[zRnk]]+IF($W$3&lt;&gt;Table5[[#This Row],[Type]],50,0)</f>
        <v>1752</v>
      </c>
      <c r="X1100" s="51">
        <f>RANK(Table5[[#This Row],[zScore]],Table5[[#All],[zScore]])</f>
        <v>1054</v>
      </c>
      <c r="Y1100" s="50" t="str">
        <f>IFERROR(INDEX(DraftResults[[#All],[OVR]],MATCH(Table5[[#This Row],[PID]],DraftResults[[#All],[Player ID]],0)),"")</f>
        <v/>
      </c>
      <c r="Z11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0" s="50" t="str">
        <f>IFERROR(INDEX(DraftResults[[#All],[Pick in Round]],MATCH(Table5[[#This Row],[PID]],DraftResults[[#All],[Player ID]],0)),"")</f>
        <v/>
      </c>
      <c r="AB1100" s="50" t="str">
        <f>IFERROR(INDEX(DraftResults[[#All],[Team Name]],MATCH(Table5[[#This Row],[PID]],DraftResults[[#All],[Player ID]],0)),"")</f>
        <v/>
      </c>
      <c r="AC1100" s="50" t="str">
        <f>IF(Table5[[#This Row],[Ovr]]="","",IF(Table5[[#This Row],[cmbList]]="","",Table5[[#This Row],[cmbList]]-Table5[[#This Row],[Ovr]]))</f>
        <v/>
      </c>
      <c r="AD1100" s="54" t="str">
        <f>IF(ISERROR(VLOOKUP($AB1100&amp;"-"&amp;$E1100&amp;" "&amp;F1100,Bonuses!$B$1:$G$1006,4,FALSE)),"",INT(VLOOKUP($AB1100&amp;"-"&amp;$E1100&amp;" "&amp;$F1100,Bonuses!$B$1:$G$1006,4,FALSE)))</f>
        <v/>
      </c>
      <c r="AE11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1" spans="1:31" s="50" customFormat="1" x14ac:dyDescent="0.25">
      <c r="A1101" s="50">
        <v>20238</v>
      </c>
      <c r="B1101" s="50">
        <f>COUNTIF(Table5[PID],A1101)</f>
        <v>1</v>
      </c>
      <c r="C1101" s="50" t="str">
        <f>IF(COUNTIF(Table3[[#All],[PID]],A1101)&gt;0,"P","B")</f>
        <v>P</v>
      </c>
      <c r="D1101" s="59" t="str">
        <f>IF($C1101="B",INDEX(Batters[[#All],[POS]],MATCH(Table5[[#This Row],[PID]],Batters[[#All],[PID]],0)),INDEX(Table3[[#All],[POS]],MATCH(Table5[[#This Row],[PID]],Table3[[#All],[PID]],0)))</f>
        <v>RP</v>
      </c>
      <c r="E1101" s="52" t="str">
        <f>IF($C1101="B",INDEX(Batters[[#All],[First]],MATCH(Table5[[#This Row],[PID]],Batters[[#All],[PID]],0)),INDEX(Table3[[#All],[First]],MATCH(Table5[[#This Row],[PID]],Table3[[#All],[PID]],0)))</f>
        <v>Tsutomu</v>
      </c>
      <c r="F1101" s="50" t="str">
        <f>IF($C1101="B",INDEX(Batters[[#All],[Last]],MATCH(A1101,Batters[[#All],[PID]],0)),INDEX(Table3[[#All],[Last]],MATCH(A1101,Table3[[#All],[PID]],0)))</f>
        <v>Yokoyama</v>
      </c>
      <c r="G1101" s="56">
        <f>IF($C1101="B",INDEX(Batters[[#All],[Age]],MATCH(Table5[[#This Row],[PID]],Batters[[#All],[PID]],0)),INDEX(Table3[[#All],[Age]],MATCH(Table5[[#This Row],[PID]],Table3[[#All],[PID]],0)))</f>
        <v>22</v>
      </c>
      <c r="H1101" s="52" t="str">
        <f>IF($C1101="B",INDEX(Batters[[#All],[B]],MATCH(Table5[[#This Row],[PID]],Batters[[#All],[PID]],0)),INDEX(Table3[[#All],[B]],MATCH(Table5[[#This Row],[PID]],Table3[[#All],[PID]],0)))</f>
        <v>R</v>
      </c>
      <c r="I1101" s="52" t="str">
        <f>IF($C1101="B",INDEX(Batters[[#All],[T]],MATCH(Table5[[#This Row],[PID]],Batters[[#All],[PID]],0)),INDEX(Table3[[#All],[T]],MATCH(Table5[[#This Row],[PID]],Table3[[#All],[PID]],0)))</f>
        <v>R</v>
      </c>
      <c r="J1101" s="52" t="str">
        <f>IF($C1101="B",INDEX(Batters[[#All],[WE]],MATCH(Table5[[#This Row],[PID]],Batters[[#All],[PID]],0)),INDEX(Table3[[#All],[WE]],MATCH(Table5[[#This Row],[PID]],Table3[[#All],[PID]],0)))</f>
        <v>Normal</v>
      </c>
      <c r="K1101" s="52" t="str">
        <f>IF($C1101="B",INDEX(Batters[[#All],[INT]],MATCH(Table5[[#This Row],[PID]],Batters[[#All],[PID]],0)),INDEX(Table3[[#All],[INT]],MATCH(Table5[[#This Row],[PID]],Table3[[#All],[PID]],0)))</f>
        <v>Normal</v>
      </c>
      <c r="L1101" s="60">
        <f>IF($C1101="B",INDEX(Batters[[#All],[CON P]],MATCH(Table5[[#This Row],[PID]],Batters[[#All],[PID]],0)),INDEX(Table3[[#All],[STU P]],MATCH(Table5[[#This Row],[PID]],Table3[[#All],[PID]],0)))</f>
        <v>3</v>
      </c>
      <c r="M1101" s="56">
        <f>IF($C1101="B",INDEX(Batters[[#All],[GAP P]],MATCH(Table5[[#This Row],[PID]],Batters[[#All],[PID]],0)),INDEX(Table3[[#All],[MOV P]],MATCH(Table5[[#This Row],[PID]],Table3[[#All],[PID]],0)))</f>
        <v>2</v>
      </c>
      <c r="N1101" s="56">
        <f>IF($C1101="B",INDEX(Batters[[#All],[POW P]],MATCH(Table5[[#This Row],[PID]],Batters[[#All],[PID]],0)),INDEX(Table3[[#All],[CON P]],MATCH(Table5[[#This Row],[PID]],Table3[[#All],[PID]],0)))</f>
        <v>3</v>
      </c>
      <c r="O1101" s="56" t="str">
        <f>IF($C1101="B",INDEX(Batters[[#All],[EYE P]],MATCH(Table5[[#This Row],[PID]],Batters[[#All],[PID]],0)),INDEX(Table3[[#All],[VELO]],MATCH(Table5[[#This Row],[PID]],Table3[[#All],[PID]],0)))</f>
        <v>91-93 Mph</v>
      </c>
      <c r="P1101" s="56">
        <f>IF($C1101="B",INDEX(Batters[[#All],[K P]],MATCH(Table5[[#This Row],[PID]],Batters[[#All],[PID]],0)),INDEX(Table3[[#All],[STM]],MATCH(Table5[[#This Row],[PID]],Table3[[#All],[PID]],0)))</f>
        <v>7</v>
      </c>
      <c r="Q1101" s="61">
        <f>IF($C1101="B",INDEX(Batters[[#All],[Tot]],MATCH(Table5[[#This Row],[PID]],Batters[[#All],[PID]],0)),INDEX(Table3[[#All],[Tot]],MATCH(Table5[[#This Row],[PID]],Table3[[#All],[PID]],0)))</f>
        <v>25.394450345228922</v>
      </c>
      <c r="R1101" s="52">
        <f>IF($C1101="B",INDEX(Batters[[#All],[zScore]],MATCH(Table5[[#This Row],[PID]],Batters[[#All],[PID]],0)),INDEX(Table3[[#All],[zScore]],MATCH(Table5[[#This Row],[PID]],Table3[[#All],[PID]],0)))</f>
        <v>-0.82384860097161983</v>
      </c>
      <c r="S1101" s="58" t="str">
        <f>IF($C1101="B",INDEX(Batters[[#All],[DEM]],MATCH(Table5[[#This Row],[PID]],Batters[[#All],[PID]],0)),INDEX(Table3[[#All],[DEM]],MATCH(Table5[[#This Row],[PID]],Table3[[#All],[PID]],0)))</f>
        <v>-</v>
      </c>
      <c r="T1101" s="62">
        <f>IF($C1101="B",INDEX(Batters[[#All],[Rnk]],MATCH(Table5[[#This Row],[PID]],Batters[[#All],[PID]],0)),INDEX(Table3[[#All],[Rnk]],MATCH(Table5[[#This Row],[PID]],Table3[[#All],[PID]],0)))</f>
        <v>649</v>
      </c>
      <c r="U1101" s="68">
        <f>IF($C1101="B",VLOOKUP($A1101,Bat!$A$4:$BA$1621,47,FALSE),VLOOKUP($A1101,Pit!$A$4:$BF$1557,56,FALSE))</f>
        <v>0</v>
      </c>
      <c r="V1101" s="50">
        <f>IF($C1101="B",VLOOKUP($A1101,Bat!$A$4:$BA$1621,48,FALSE),VLOOKUP($A1101,Pit!$A$4:$BF$1557,57,FALSE))</f>
        <v>0</v>
      </c>
      <c r="W1101" s="50">
        <f>Table5[[#This Row],[posRnk]]+Table5[[#This Row],[zRnk]]+IF($W$3&lt;&gt;Table5[[#This Row],[Type]],50,0)</f>
        <v>1754</v>
      </c>
      <c r="X1101" s="51">
        <f>RANK(Table5[[#This Row],[zScore]],Table5[[#All],[zScore]])</f>
        <v>1055</v>
      </c>
      <c r="Y1101" s="50" t="str">
        <f>IFERROR(INDEX(DraftResults[[#All],[OVR]],MATCH(Table5[[#This Row],[PID]],DraftResults[[#All],[Player ID]],0)),"")</f>
        <v/>
      </c>
      <c r="Z11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1" s="50" t="str">
        <f>IFERROR(INDEX(DraftResults[[#All],[Pick in Round]],MATCH(Table5[[#This Row],[PID]],DraftResults[[#All],[Player ID]],0)),"")</f>
        <v/>
      </c>
      <c r="AB1101" s="50" t="str">
        <f>IFERROR(INDEX(DraftResults[[#All],[Team Name]],MATCH(Table5[[#This Row],[PID]],DraftResults[[#All],[Player ID]],0)),"")</f>
        <v/>
      </c>
      <c r="AC1101" s="50" t="str">
        <f>IF(Table5[[#This Row],[Ovr]]="","",IF(Table5[[#This Row],[cmbList]]="","",Table5[[#This Row],[cmbList]]-Table5[[#This Row],[Ovr]]))</f>
        <v/>
      </c>
      <c r="AD1101" s="54" t="str">
        <f>IF(ISERROR(VLOOKUP($AB1101&amp;"-"&amp;$E1101&amp;" "&amp;F1101,Bonuses!$B$1:$G$1006,4,FALSE)),"",INT(VLOOKUP($AB1101&amp;"-"&amp;$E1101&amp;" "&amp;$F1101,Bonuses!$B$1:$G$1006,4,FALSE)))</f>
        <v/>
      </c>
      <c r="AE11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2" spans="1:31" s="50" customFormat="1" x14ac:dyDescent="0.25">
      <c r="A1102" s="50">
        <v>17836</v>
      </c>
      <c r="B1102" s="50">
        <f>COUNTIF(Table5[PID],A1102)</f>
        <v>1</v>
      </c>
      <c r="C1102" s="50" t="str">
        <f>IF(COUNTIF(Table3[[#All],[PID]],A1102)&gt;0,"P","B")</f>
        <v>P</v>
      </c>
      <c r="D1102" s="59" t="str">
        <f>IF($C1102="B",INDEX(Batters[[#All],[POS]],MATCH(Table5[[#This Row],[PID]],Batters[[#All],[PID]],0)),INDEX(Table3[[#All],[POS]],MATCH(Table5[[#This Row],[PID]],Table3[[#All],[PID]],0)))</f>
        <v>RP</v>
      </c>
      <c r="E1102" s="52" t="str">
        <f>IF($C1102="B",INDEX(Batters[[#All],[First]],MATCH(Table5[[#This Row],[PID]],Batters[[#All],[PID]],0)),INDEX(Table3[[#All],[First]],MATCH(Table5[[#This Row],[PID]],Table3[[#All],[PID]],0)))</f>
        <v>Juan</v>
      </c>
      <c r="F1102" s="50" t="str">
        <f>IF($C1102="B",INDEX(Batters[[#All],[Last]],MATCH(A1102,Batters[[#All],[PID]],0)),INDEX(Table3[[#All],[Last]],MATCH(A1102,Table3[[#All],[PID]],0)))</f>
        <v>Flores</v>
      </c>
      <c r="G1102" s="56">
        <f>IF($C1102="B",INDEX(Batters[[#All],[Age]],MATCH(Table5[[#This Row],[PID]],Batters[[#All],[PID]],0)),INDEX(Table3[[#All],[Age]],MATCH(Table5[[#This Row],[PID]],Table3[[#All],[PID]],0)))</f>
        <v>18</v>
      </c>
      <c r="H1102" s="52" t="str">
        <f>IF($C1102="B",INDEX(Batters[[#All],[B]],MATCH(Table5[[#This Row],[PID]],Batters[[#All],[PID]],0)),INDEX(Table3[[#All],[B]],MATCH(Table5[[#This Row],[PID]],Table3[[#All],[PID]],0)))</f>
        <v>S</v>
      </c>
      <c r="I1102" s="52" t="str">
        <f>IF($C1102="B",INDEX(Batters[[#All],[T]],MATCH(Table5[[#This Row],[PID]],Batters[[#All],[PID]],0)),INDEX(Table3[[#All],[T]],MATCH(Table5[[#This Row],[PID]],Table3[[#All],[PID]],0)))</f>
        <v>R</v>
      </c>
      <c r="J1102" s="52" t="str">
        <f>IF($C1102="B",INDEX(Batters[[#All],[WE]],MATCH(Table5[[#This Row],[PID]],Batters[[#All],[PID]],0)),INDEX(Table3[[#All],[WE]],MATCH(Table5[[#This Row],[PID]],Table3[[#All],[PID]],0)))</f>
        <v>Low</v>
      </c>
      <c r="K1102" s="52" t="str">
        <f>IF($C1102="B",INDEX(Batters[[#All],[INT]],MATCH(Table5[[#This Row],[PID]],Batters[[#All],[PID]],0)),INDEX(Table3[[#All],[INT]],MATCH(Table5[[#This Row],[PID]],Table3[[#All],[PID]],0)))</f>
        <v>Normal</v>
      </c>
      <c r="L1102" s="60">
        <f>IF($C1102="B",INDEX(Batters[[#All],[CON P]],MATCH(Table5[[#This Row],[PID]],Batters[[#All],[PID]],0)),INDEX(Table3[[#All],[STU P]],MATCH(Table5[[#This Row],[PID]],Table3[[#All],[PID]],0)))</f>
        <v>4</v>
      </c>
      <c r="M1102" s="56">
        <f>IF($C1102="B",INDEX(Batters[[#All],[GAP P]],MATCH(Table5[[#This Row],[PID]],Batters[[#All],[PID]],0)),INDEX(Table3[[#All],[MOV P]],MATCH(Table5[[#This Row],[PID]],Table3[[#All],[PID]],0)))</f>
        <v>1</v>
      </c>
      <c r="N1102" s="56">
        <f>IF($C1102="B",INDEX(Batters[[#All],[POW P]],MATCH(Table5[[#This Row],[PID]],Batters[[#All],[PID]],0)),INDEX(Table3[[#All],[CON P]],MATCH(Table5[[#This Row],[PID]],Table3[[#All],[PID]],0)))</f>
        <v>2</v>
      </c>
      <c r="O1102" s="56" t="str">
        <f>IF($C1102="B",INDEX(Batters[[#All],[EYE P]],MATCH(Table5[[#This Row],[PID]],Batters[[#All],[PID]],0)),INDEX(Table3[[#All],[VELO]],MATCH(Table5[[#This Row],[PID]],Table3[[#All],[PID]],0)))</f>
        <v>92-94 Mph</v>
      </c>
      <c r="P1102" s="56">
        <f>IF($C1102="B",INDEX(Batters[[#All],[K P]],MATCH(Table5[[#This Row],[PID]],Batters[[#All],[PID]],0)),INDEX(Table3[[#All],[STM]],MATCH(Table5[[#This Row],[PID]],Table3[[#All],[PID]],0)))</f>
        <v>4</v>
      </c>
      <c r="Q1102" s="61">
        <f>IF($C1102="B",INDEX(Batters[[#All],[Tot]],MATCH(Table5[[#This Row],[PID]],Batters[[#All],[PID]],0)),INDEX(Table3[[#All],[Tot]],MATCH(Table5[[#This Row],[PID]],Table3[[#All],[PID]],0)))</f>
        <v>23.48640534111388</v>
      </c>
      <c r="R1102" s="52">
        <f>IF($C1102="B",INDEX(Batters[[#All],[zScore]],MATCH(Table5[[#This Row],[PID]],Batters[[#All],[PID]],0)),INDEX(Table3[[#All],[zScore]],MATCH(Table5[[#This Row],[PID]],Table3[[#All],[PID]],0)))</f>
        <v>-0.82389662601219649</v>
      </c>
      <c r="S1102" s="58" t="str">
        <f>IF($C1102="B",INDEX(Batters[[#All],[DEM]],MATCH(Table5[[#This Row],[PID]],Batters[[#All],[PID]],0)),INDEX(Table3[[#All],[DEM]],MATCH(Table5[[#This Row],[PID]],Table3[[#All],[PID]],0)))</f>
        <v>$38k</v>
      </c>
      <c r="T1102" s="62">
        <f>IF($C1102="B",INDEX(Batters[[#All],[Rnk]],MATCH(Table5[[#This Row],[PID]],Batters[[#All],[PID]],0)),INDEX(Table3[[#All],[Rnk]],MATCH(Table5[[#This Row],[PID]],Table3[[#All],[PID]],0)))</f>
        <v>650</v>
      </c>
      <c r="U1102" s="68">
        <f>IF($C1102="B",VLOOKUP($A1102,Bat!$A$4:$BA$1621,47,FALSE),VLOOKUP($A1102,Pit!$A$4:$BF$1557,56,FALSE))</f>
        <v>0</v>
      </c>
      <c r="V1102" s="50">
        <f>IF($C1102="B",VLOOKUP($A1102,Bat!$A$4:$BA$1621,48,FALSE),VLOOKUP($A1102,Pit!$A$4:$BF$1557,57,FALSE))</f>
        <v>0</v>
      </c>
      <c r="W1102" s="50">
        <f>Table5[[#This Row],[posRnk]]+Table5[[#This Row],[zRnk]]+IF($W$3&lt;&gt;Table5[[#This Row],[Type]],50,0)</f>
        <v>1756</v>
      </c>
      <c r="X1102" s="51">
        <f>RANK(Table5[[#This Row],[zScore]],Table5[[#All],[zScore]])</f>
        <v>1056</v>
      </c>
      <c r="Y1102" s="50" t="str">
        <f>IFERROR(INDEX(DraftResults[[#All],[OVR]],MATCH(Table5[[#This Row],[PID]],DraftResults[[#All],[Player ID]],0)),"")</f>
        <v/>
      </c>
      <c r="Z11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2" s="50" t="str">
        <f>IFERROR(INDEX(DraftResults[[#All],[Pick in Round]],MATCH(Table5[[#This Row],[PID]],DraftResults[[#All],[Player ID]],0)),"")</f>
        <v/>
      </c>
      <c r="AB1102" s="50" t="str">
        <f>IFERROR(INDEX(DraftResults[[#All],[Team Name]],MATCH(Table5[[#This Row],[PID]],DraftResults[[#All],[Player ID]],0)),"")</f>
        <v/>
      </c>
      <c r="AC1102" s="50" t="str">
        <f>IF(Table5[[#This Row],[Ovr]]="","",IF(Table5[[#This Row],[cmbList]]="","",Table5[[#This Row],[cmbList]]-Table5[[#This Row],[Ovr]]))</f>
        <v/>
      </c>
      <c r="AD1102" s="54" t="str">
        <f>IF(ISERROR(VLOOKUP($AB1102&amp;"-"&amp;$E1102&amp;" "&amp;F1102,Bonuses!$B$1:$G$1006,4,FALSE)),"",INT(VLOOKUP($AB1102&amp;"-"&amp;$E1102&amp;" "&amp;$F1102,Bonuses!$B$1:$G$1006,4,FALSE)))</f>
        <v/>
      </c>
      <c r="AE11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3" spans="1:31" s="50" customFormat="1" x14ac:dyDescent="0.25">
      <c r="A1103" s="50">
        <v>12727</v>
      </c>
      <c r="B1103" s="50">
        <f>COUNTIF(Table5[PID],A1103)</f>
        <v>1</v>
      </c>
      <c r="C1103" s="50" t="str">
        <f>IF(COUNTIF(Table3[[#All],[PID]],A1103)&gt;0,"P","B")</f>
        <v>P</v>
      </c>
      <c r="D1103" s="59" t="str">
        <f>IF($C1103="B",INDEX(Batters[[#All],[POS]],MATCH(Table5[[#This Row],[PID]],Batters[[#All],[PID]],0)),INDEX(Table3[[#All],[POS]],MATCH(Table5[[#This Row],[PID]],Table3[[#All],[PID]],0)))</f>
        <v>RP</v>
      </c>
      <c r="E1103" s="52" t="str">
        <f>IF($C1103="B",INDEX(Batters[[#All],[First]],MATCH(Table5[[#This Row],[PID]],Batters[[#All],[PID]],0)),INDEX(Table3[[#All],[First]],MATCH(Table5[[#This Row],[PID]],Table3[[#All],[PID]],0)))</f>
        <v>Michizane</v>
      </c>
      <c r="F1103" s="50" t="str">
        <f>IF($C1103="B",INDEX(Batters[[#All],[Last]],MATCH(A1103,Batters[[#All],[PID]],0)),INDEX(Table3[[#All],[Last]],MATCH(A1103,Table3[[#All],[PID]],0)))</f>
        <v>Tanaka</v>
      </c>
      <c r="G1103" s="56">
        <f>IF($C1103="B",INDEX(Batters[[#All],[Age]],MATCH(Table5[[#This Row],[PID]],Batters[[#All],[PID]],0)),INDEX(Table3[[#All],[Age]],MATCH(Table5[[#This Row],[PID]],Table3[[#All],[PID]],0)))</f>
        <v>22</v>
      </c>
      <c r="H1103" s="52" t="str">
        <f>IF($C1103="B",INDEX(Batters[[#All],[B]],MATCH(Table5[[#This Row],[PID]],Batters[[#All],[PID]],0)),INDEX(Table3[[#All],[B]],MATCH(Table5[[#This Row],[PID]],Table3[[#All],[PID]],0)))</f>
        <v>L</v>
      </c>
      <c r="I1103" s="52" t="str">
        <f>IF($C1103="B",INDEX(Batters[[#All],[T]],MATCH(Table5[[#This Row],[PID]],Batters[[#All],[PID]],0)),INDEX(Table3[[#All],[T]],MATCH(Table5[[#This Row],[PID]],Table3[[#All],[PID]],0)))</f>
        <v>R</v>
      </c>
      <c r="J1103" s="52" t="str">
        <f>IF($C1103="B",INDEX(Batters[[#All],[WE]],MATCH(Table5[[#This Row],[PID]],Batters[[#All],[PID]],0)),INDEX(Table3[[#All],[WE]],MATCH(Table5[[#This Row],[PID]],Table3[[#All],[PID]],0)))</f>
        <v>Low</v>
      </c>
      <c r="K1103" s="52" t="str">
        <f>IF($C1103="B",INDEX(Batters[[#All],[INT]],MATCH(Table5[[#This Row],[PID]],Batters[[#All],[PID]],0)),INDEX(Table3[[#All],[INT]],MATCH(Table5[[#This Row],[PID]],Table3[[#All],[PID]],0)))</f>
        <v>Normal</v>
      </c>
      <c r="L1103" s="60">
        <f>IF($C1103="B",INDEX(Batters[[#All],[CON P]],MATCH(Table5[[#This Row],[PID]],Batters[[#All],[PID]],0)),INDEX(Table3[[#All],[STU P]],MATCH(Table5[[#This Row],[PID]],Table3[[#All],[PID]],0)))</f>
        <v>5</v>
      </c>
      <c r="M1103" s="56">
        <f>IF($C1103="B",INDEX(Batters[[#All],[GAP P]],MATCH(Table5[[#This Row],[PID]],Batters[[#All],[PID]],0)),INDEX(Table3[[#All],[MOV P]],MATCH(Table5[[#This Row],[PID]],Table3[[#All],[PID]],0)))</f>
        <v>2</v>
      </c>
      <c r="N1103" s="56">
        <f>IF($C1103="B",INDEX(Batters[[#All],[POW P]],MATCH(Table5[[#This Row],[PID]],Batters[[#All],[PID]],0)),INDEX(Table3[[#All],[CON P]],MATCH(Table5[[#This Row],[PID]],Table3[[#All],[PID]],0)))</f>
        <v>1</v>
      </c>
      <c r="O1103" s="56" t="str">
        <f>IF($C1103="B",INDEX(Batters[[#All],[EYE P]],MATCH(Table5[[#This Row],[PID]],Batters[[#All],[PID]],0)),INDEX(Table3[[#All],[VELO]],MATCH(Table5[[#This Row],[PID]],Table3[[#All],[PID]],0)))</f>
        <v>93-95 Mph</v>
      </c>
      <c r="P1103" s="56">
        <f>IF($C1103="B",INDEX(Batters[[#All],[K P]],MATCH(Table5[[#This Row],[PID]],Batters[[#All],[PID]],0)),INDEX(Table3[[#All],[STM]],MATCH(Table5[[#This Row],[PID]],Table3[[#All],[PID]],0)))</f>
        <v>8</v>
      </c>
      <c r="Q1103" s="61">
        <f>IF($C1103="B",INDEX(Batters[[#All],[Tot]],MATCH(Table5[[#This Row],[PID]],Batters[[#All],[PID]],0)),INDEX(Table3[[#All],[Tot]],MATCH(Table5[[#This Row],[PID]],Table3[[#All],[PID]],0)))</f>
        <v>25.370586984476137</v>
      </c>
      <c r="R1103" s="52">
        <f>IF($C1103="B",INDEX(Batters[[#All],[zScore]],MATCH(Table5[[#This Row],[PID]],Batters[[#All],[PID]],0)),INDEX(Table3[[#All],[zScore]],MATCH(Table5[[#This Row],[PID]],Table3[[#All],[PID]],0)))</f>
        <v>-0.82557541258929168</v>
      </c>
      <c r="S1103" s="58" t="str">
        <f>IF($C1103="B",INDEX(Batters[[#All],[DEM]],MATCH(Table5[[#This Row],[PID]],Batters[[#All],[PID]],0)),INDEX(Table3[[#All],[DEM]],MATCH(Table5[[#This Row],[PID]],Table3[[#All],[PID]],0)))</f>
        <v>-</v>
      </c>
      <c r="T1103" s="62">
        <f>IF($C1103="B",INDEX(Batters[[#All],[Rnk]],MATCH(Table5[[#This Row],[PID]],Batters[[#All],[PID]],0)),INDEX(Table3[[#All],[Rnk]],MATCH(Table5[[#This Row],[PID]],Table3[[#All],[PID]],0)))</f>
        <v>651</v>
      </c>
      <c r="U1103" s="68">
        <f>IF($C1103="B",VLOOKUP($A1103,Bat!$A$4:$BA$1621,47,FALSE),VLOOKUP($A1103,Pit!$A$4:$BF$1557,56,FALSE))</f>
        <v>0</v>
      </c>
      <c r="V1103" s="50">
        <f>IF($C1103="B",VLOOKUP($A1103,Bat!$A$4:$BA$1621,48,FALSE),VLOOKUP($A1103,Pit!$A$4:$BF$1557,57,FALSE))</f>
        <v>0</v>
      </c>
      <c r="W1103" s="50">
        <f>Table5[[#This Row],[posRnk]]+Table5[[#This Row],[zRnk]]+IF($W$3&lt;&gt;Table5[[#This Row],[Type]],50,0)</f>
        <v>1759</v>
      </c>
      <c r="X1103" s="51">
        <f>RANK(Table5[[#This Row],[zScore]],Table5[[#All],[zScore]])</f>
        <v>1058</v>
      </c>
      <c r="Y1103" s="50" t="str">
        <f>IFERROR(INDEX(DraftResults[[#All],[OVR]],MATCH(Table5[[#This Row],[PID]],DraftResults[[#All],[Player ID]],0)),"")</f>
        <v/>
      </c>
      <c r="Z11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3" s="50" t="str">
        <f>IFERROR(INDEX(DraftResults[[#All],[Pick in Round]],MATCH(Table5[[#This Row],[PID]],DraftResults[[#All],[Player ID]],0)),"")</f>
        <v/>
      </c>
      <c r="AB1103" s="50" t="str">
        <f>IFERROR(INDEX(DraftResults[[#All],[Team Name]],MATCH(Table5[[#This Row],[PID]],DraftResults[[#All],[Player ID]],0)),"")</f>
        <v/>
      </c>
      <c r="AC1103" s="50" t="str">
        <f>IF(Table5[[#This Row],[Ovr]]="","",IF(Table5[[#This Row],[cmbList]]="","",Table5[[#This Row],[cmbList]]-Table5[[#This Row],[Ovr]]))</f>
        <v/>
      </c>
      <c r="AD1103" s="54" t="str">
        <f>IF(ISERROR(VLOOKUP($AB1103&amp;"-"&amp;$E1103&amp;" "&amp;F1103,Bonuses!$B$1:$G$1006,4,FALSE)),"",INT(VLOOKUP($AB1103&amp;"-"&amp;$E1103&amp;" "&amp;$F1103,Bonuses!$B$1:$G$1006,4,FALSE)))</f>
        <v/>
      </c>
      <c r="AE11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4" spans="1:31" s="50" customFormat="1" x14ac:dyDescent="0.25">
      <c r="A1104" s="50">
        <v>20977</v>
      </c>
      <c r="B1104" s="50">
        <f>COUNTIF(Table5[PID],A1104)</f>
        <v>1</v>
      </c>
      <c r="C1104" s="50" t="str">
        <f>IF(COUNTIF(Table3[[#All],[PID]],A1104)&gt;0,"P","B")</f>
        <v>P</v>
      </c>
      <c r="D1104" s="59" t="str">
        <f>IF($C1104="B",INDEX(Batters[[#All],[POS]],MATCH(Table5[[#This Row],[PID]],Batters[[#All],[PID]],0)),INDEX(Table3[[#All],[POS]],MATCH(Table5[[#This Row],[PID]],Table3[[#All],[PID]],0)))</f>
        <v>RP</v>
      </c>
      <c r="E1104" s="52" t="str">
        <f>IF($C1104="B",INDEX(Batters[[#All],[First]],MATCH(Table5[[#This Row],[PID]],Batters[[#All],[PID]],0)),INDEX(Table3[[#All],[First]],MATCH(Table5[[#This Row],[PID]],Table3[[#All],[PID]],0)))</f>
        <v>Adrián</v>
      </c>
      <c r="F1104" s="50" t="str">
        <f>IF($C1104="B",INDEX(Batters[[#All],[Last]],MATCH(A1104,Batters[[#All],[PID]],0)),INDEX(Table3[[#All],[Last]],MATCH(A1104,Table3[[#All],[PID]],0)))</f>
        <v>Urtado</v>
      </c>
      <c r="G1104" s="56">
        <f>IF($C1104="B",INDEX(Batters[[#All],[Age]],MATCH(Table5[[#This Row],[PID]],Batters[[#All],[PID]],0)),INDEX(Table3[[#All],[Age]],MATCH(Table5[[#This Row],[PID]],Table3[[#All],[PID]],0)))</f>
        <v>18</v>
      </c>
      <c r="H1104" s="52" t="str">
        <f>IF($C1104="B",INDEX(Batters[[#All],[B]],MATCH(Table5[[#This Row],[PID]],Batters[[#All],[PID]],0)),INDEX(Table3[[#All],[B]],MATCH(Table5[[#This Row],[PID]],Table3[[#All],[PID]],0)))</f>
        <v>L</v>
      </c>
      <c r="I1104" s="52" t="str">
        <f>IF($C1104="B",INDEX(Batters[[#All],[T]],MATCH(Table5[[#This Row],[PID]],Batters[[#All],[PID]],0)),INDEX(Table3[[#All],[T]],MATCH(Table5[[#This Row],[PID]],Table3[[#All],[PID]],0)))</f>
        <v>R</v>
      </c>
      <c r="J1104" s="52" t="str">
        <f>IF($C1104="B",INDEX(Batters[[#All],[WE]],MATCH(Table5[[#This Row],[PID]],Batters[[#All],[PID]],0)),INDEX(Table3[[#All],[WE]],MATCH(Table5[[#This Row],[PID]],Table3[[#All],[PID]],0)))</f>
        <v>Low</v>
      </c>
      <c r="K1104" s="52" t="str">
        <f>IF($C1104="B",INDEX(Batters[[#All],[INT]],MATCH(Table5[[#This Row],[PID]],Batters[[#All],[PID]],0)),INDEX(Table3[[#All],[INT]],MATCH(Table5[[#This Row],[PID]],Table3[[#All],[PID]],0)))</f>
        <v>Normal</v>
      </c>
      <c r="L1104" s="60">
        <f>IF($C1104="B",INDEX(Batters[[#All],[CON P]],MATCH(Table5[[#This Row],[PID]],Batters[[#All],[PID]],0)),INDEX(Table3[[#All],[STU P]],MATCH(Table5[[#This Row],[PID]],Table3[[#All],[PID]],0)))</f>
        <v>3</v>
      </c>
      <c r="M1104" s="56">
        <f>IF($C1104="B",INDEX(Batters[[#All],[GAP P]],MATCH(Table5[[#This Row],[PID]],Batters[[#All],[PID]],0)),INDEX(Table3[[#All],[MOV P]],MATCH(Table5[[#This Row],[PID]],Table3[[#All],[PID]],0)))</f>
        <v>2</v>
      </c>
      <c r="N1104" s="56">
        <f>IF($C1104="B",INDEX(Batters[[#All],[POW P]],MATCH(Table5[[#This Row],[PID]],Batters[[#All],[PID]],0)),INDEX(Table3[[#All],[CON P]],MATCH(Table5[[#This Row],[PID]],Table3[[#All],[PID]],0)))</f>
        <v>2</v>
      </c>
      <c r="O1104" s="56" t="str">
        <f>IF($C1104="B",INDEX(Batters[[#All],[EYE P]],MATCH(Table5[[#This Row],[PID]],Batters[[#All],[PID]],0)),INDEX(Table3[[#All],[VELO]],MATCH(Table5[[#This Row],[PID]],Table3[[#All],[PID]],0)))</f>
        <v>86-88 Mph</v>
      </c>
      <c r="P1104" s="56">
        <f>IF($C1104="B",INDEX(Batters[[#All],[K P]],MATCH(Table5[[#This Row],[PID]],Batters[[#All],[PID]],0)),INDEX(Table3[[#All],[STM]],MATCH(Table5[[#This Row],[PID]],Table3[[#All],[PID]],0)))</f>
        <v>9</v>
      </c>
      <c r="Q1104" s="61">
        <f>IF($C1104="B",INDEX(Batters[[#All],[Tot]],MATCH(Table5[[#This Row],[PID]],Batters[[#All],[PID]],0)),INDEX(Table3[[#All],[Tot]],MATCH(Table5[[#This Row],[PID]],Table3[[#All],[PID]],0)))</f>
        <v>25.350613462075614</v>
      </c>
      <c r="R1104" s="52">
        <f>IF($C1104="B",INDEX(Batters[[#All],[zScore]],MATCH(Table5[[#This Row],[PID]],Batters[[#All],[PID]],0)),INDEX(Table3[[#All],[zScore]],MATCH(Table5[[#This Row],[PID]],Table3[[#All],[PID]],0)))</f>
        <v>-0.82702074591364449</v>
      </c>
      <c r="S1104" s="58" t="str">
        <f>IF($C1104="B",INDEX(Batters[[#All],[DEM]],MATCH(Table5[[#This Row],[PID]],Batters[[#All],[PID]],0)),INDEX(Table3[[#All],[DEM]],MATCH(Table5[[#This Row],[PID]],Table3[[#All],[PID]],0)))</f>
        <v>-</v>
      </c>
      <c r="T1104" s="62">
        <f>IF($C1104="B",INDEX(Batters[[#All],[Rnk]],MATCH(Table5[[#This Row],[PID]],Batters[[#All],[PID]],0)),INDEX(Table3[[#All],[Rnk]],MATCH(Table5[[#This Row],[PID]],Table3[[#All],[PID]],0)))</f>
        <v>652</v>
      </c>
      <c r="U1104" s="68">
        <f>IF($C1104="B",VLOOKUP($A1104,Bat!$A$4:$BA$1621,47,FALSE),VLOOKUP($A1104,Pit!$A$4:$BF$1557,56,FALSE))</f>
        <v>0</v>
      </c>
      <c r="V1104" s="50">
        <f>IF($C1104="B",VLOOKUP($A1104,Bat!$A$4:$BA$1621,48,FALSE),VLOOKUP($A1104,Pit!$A$4:$BF$1557,57,FALSE))</f>
        <v>0</v>
      </c>
      <c r="W1104" s="50">
        <f>Table5[[#This Row],[posRnk]]+Table5[[#This Row],[zRnk]]+IF($W$3&lt;&gt;Table5[[#This Row],[Type]],50,0)</f>
        <v>1761</v>
      </c>
      <c r="X1104" s="51">
        <f>RANK(Table5[[#This Row],[zScore]],Table5[[#All],[zScore]])</f>
        <v>1059</v>
      </c>
      <c r="Y1104" s="50" t="str">
        <f>IFERROR(INDEX(DraftResults[[#All],[OVR]],MATCH(Table5[[#This Row],[PID]],DraftResults[[#All],[Player ID]],0)),"")</f>
        <v/>
      </c>
      <c r="Z11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4" s="50" t="str">
        <f>IFERROR(INDEX(DraftResults[[#All],[Pick in Round]],MATCH(Table5[[#This Row],[PID]],DraftResults[[#All],[Player ID]],0)),"")</f>
        <v/>
      </c>
      <c r="AB1104" s="50" t="str">
        <f>IFERROR(INDEX(DraftResults[[#All],[Team Name]],MATCH(Table5[[#This Row],[PID]],DraftResults[[#All],[Player ID]],0)),"")</f>
        <v/>
      </c>
      <c r="AC1104" s="50" t="str">
        <f>IF(Table5[[#This Row],[Ovr]]="","",IF(Table5[[#This Row],[cmbList]]="","",Table5[[#This Row],[cmbList]]-Table5[[#This Row],[Ovr]]))</f>
        <v/>
      </c>
      <c r="AD1104" s="54" t="str">
        <f>IF(ISERROR(VLOOKUP($AB1104&amp;"-"&amp;$E1104&amp;" "&amp;F1104,Bonuses!$B$1:$G$1006,4,FALSE)),"",INT(VLOOKUP($AB1104&amp;"-"&amp;$E1104&amp;" "&amp;$F1104,Bonuses!$B$1:$G$1006,4,FALSE)))</f>
        <v/>
      </c>
      <c r="AE11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5" spans="1:31" s="50" customFormat="1" x14ac:dyDescent="0.25">
      <c r="A1105" s="68">
        <v>3079</v>
      </c>
      <c r="B1105" s="69">
        <f>COUNTIF(Table5[PID],A1105)</f>
        <v>1</v>
      </c>
      <c r="C1105" s="69" t="str">
        <f>IF(COUNTIF(Table3[[#All],[PID]],A1105)&gt;0,"P","B")</f>
        <v>P</v>
      </c>
      <c r="D1105" s="59" t="str">
        <f>IF($C1105="B",INDEX(Batters[[#All],[POS]],MATCH(Table5[[#This Row],[PID]],Batters[[#All],[PID]],0)),INDEX(Table3[[#All],[POS]],MATCH(Table5[[#This Row],[PID]],Table3[[#All],[PID]],0)))</f>
        <v>SP</v>
      </c>
      <c r="E1105" s="52" t="str">
        <f>IF($C1105="B",INDEX(Batters[[#All],[First]],MATCH(Table5[[#This Row],[PID]],Batters[[#All],[PID]],0)),INDEX(Table3[[#All],[First]],MATCH(Table5[[#This Row],[PID]],Table3[[#All],[PID]],0)))</f>
        <v>Ewan</v>
      </c>
      <c r="F1105" s="55" t="str">
        <f>IF($C1105="B",INDEX(Batters[[#All],[Last]],MATCH(A1105,Batters[[#All],[PID]],0)),INDEX(Table3[[#All],[Last]],MATCH(A1105,Table3[[#All],[PID]],0)))</f>
        <v>Backhouse</v>
      </c>
      <c r="G1105" s="56">
        <f>IF($C1105="B",INDEX(Batters[[#All],[Age]],MATCH(Table5[[#This Row],[PID]],Batters[[#All],[PID]],0)),INDEX(Table3[[#All],[Age]],MATCH(Table5[[#This Row],[PID]],Table3[[#All],[PID]],0)))</f>
        <v>22</v>
      </c>
      <c r="H1105" s="52" t="str">
        <f>IF($C1105="B",INDEX(Batters[[#All],[B]],MATCH(Table5[[#This Row],[PID]],Batters[[#All],[PID]],0)),INDEX(Table3[[#All],[B]],MATCH(Table5[[#This Row],[PID]],Table3[[#All],[PID]],0)))</f>
        <v>R</v>
      </c>
      <c r="I1105" s="52" t="str">
        <f>IF($C1105="B",INDEX(Batters[[#All],[T]],MATCH(Table5[[#This Row],[PID]],Batters[[#All],[PID]],0)),INDEX(Table3[[#All],[T]],MATCH(Table5[[#This Row],[PID]],Table3[[#All],[PID]],0)))</f>
        <v>R</v>
      </c>
      <c r="J1105" s="71" t="str">
        <f>IF($C1105="B",INDEX(Batters[[#All],[WE]],MATCH(Table5[[#This Row],[PID]],Batters[[#All],[PID]],0)),INDEX(Table3[[#All],[WE]],MATCH(Table5[[#This Row],[PID]],Table3[[#All],[PID]],0)))</f>
        <v>Normal</v>
      </c>
      <c r="K1105" s="52" t="str">
        <f>IF($C1105="B",INDEX(Batters[[#All],[INT]],MATCH(Table5[[#This Row],[PID]],Batters[[#All],[PID]],0)),INDEX(Table3[[#All],[INT]],MATCH(Table5[[#This Row],[PID]],Table3[[#All],[PID]],0)))</f>
        <v>Normal</v>
      </c>
      <c r="L1105" s="60">
        <f>IF($C1105="B",INDEX(Batters[[#All],[CON P]],MATCH(Table5[[#This Row],[PID]],Batters[[#All],[PID]],0)),INDEX(Table3[[#All],[STU P]],MATCH(Table5[[#This Row],[PID]],Table3[[#All],[PID]],0)))</f>
        <v>4</v>
      </c>
      <c r="M1105" s="72">
        <f>IF($C1105="B",INDEX(Batters[[#All],[GAP P]],MATCH(Table5[[#This Row],[PID]],Batters[[#All],[PID]],0)),INDEX(Table3[[#All],[MOV P]],MATCH(Table5[[#This Row],[PID]],Table3[[#All],[PID]],0)))</f>
        <v>1</v>
      </c>
      <c r="N1105" s="72">
        <f>IF($C1105="B",INDEX(Batters[[#All],[POW P]],MATCH(Table5[[#This Row],[PID]],Batters[[#All],[PID]],0)),INDEX(Table3[[#All],[CON P]],MATCH(Table5[[#This Row],[PID]],Table3[[#All],[PID]],0)))</f>
        <v>3</v>
      </c>
      <c r="O1105" s="72" t="str">
        <f>IF($C1105="B",INDEX(Batters[[#All],[EYE P]],MATCH(Table5[[#This Row],[PID]],Batters[[#All],[PID]],0)),INDEX(Table3[[#All],[VELO]],MATCH(Table5[[#This Row],[PID]],Table3[[#All],[PID]],0)))</f>
        <v>92-94 Mph</v>
      </c>
      <c r="P1105" s="56">
        <f>IF($C1105="B",INDEX(Batters[[#All],[K P]],MATCH(Table5[[#This Row],[PID]],Batters[[#All],[PID]],0)),INDEX(Table3[[#All],[STM]],MATCH(Table5[[#This Row],[PID]],Table3[[#All],[PID]],0)))</f>
        <v>3</v>
      </c>
      <c r="Q1105" s="61">
        <f>IF($C1105="B",INDEX(Batters[[#All],[Tot]],MATCH(Table5[[#This Row],[PID]],Batters[[#All],[PID]],0)),INDEX(Table3[[#All],[Tot]],MATCH(Table5[[#This Row],[PID]],Table3[[#All],[PID]],0)))</f>
        <v>23.427487447798722</v>
      </c>
      <c r="R1105" s="52">
        <f>IF($C1105="B",INDEX(Batters[[#All],[zScore]],MATCH(Table5[[#This Row],[PID]],Batters[[#All],[PID]],0)),INDEX(Table3[[#All],[zScore]],MATCH(Table5[[#This Row],[PID]],Table3[[#All],[PID]],0)))</f>
        <v>-0.82781634342150012</v>
      </c>
      <c r="S1105" s="78" t="str">
        <f>IF($C1105="B",INDEX(Batters[[#All],[DEM]],MATCH(Table5[[#This Row],[PID]],Batters[[#All],[PID]],0)),INDEX(Table3[[#All],[DEM]],MATCH(Table5[[#This Row],[PID]],Table3[[#All],[PID]],0)))</f>
        <v>-</v>
      </c>
      <c r="T1105" s="75">
        <f>IF($C1105="B",INDEX(Batters[[#All],[Rnk]],MATCH(Table5[[#This Row],[PID]],Batters[[#All],[PID]],0)),INDEX(Table3[[#All],[Rnk]],MATCH(Table5[[#This Row],[PID]],Table3[[#All],[PID]],0)))</f>
        <v>653</v>
      </c>
      <c r="U1105" s="68">
        <f>IF($C1105="B",VLOOKUP($A1105,Bat!$A$4:$BA$1621,47,FALSE),VLOOKUP($A1105,Pit!$A$4:$BF$1557,56,FALSE))</f>
        <v>0</v>
      </c>
      <c r="V1105" s="50">
        <f>IF($C1105="B",VLOOKUP($A1105,Bat!$A$4:$BA$1621,48,FALSE),VLOOKUP($A1105,Pit!$A$4:$BF$1557,57,FALSE))</f>
        <v>0</v>
      </c>
      <c r="W1105" s="69">
        <f>Table5[[#This Row],[posRnk]]+Table5[[#This Row],[zRnk]]+IF($W$3&lt;&gt;Table5[[#This Row],[Type]],50,0)</f>
        <v>1763</v>
      </c>
      <c r="X1105" s="73">
        <f>RANK(Table5[[#This Row],[zScore]],Table5[[#All],[zScore]])</f>
        <v>1060</v>
      </c>
      <c r="Y1105" s="69" t="str">
        <f>IFERROR(INDEX(DraftResults[[#All],[OVR]],MATCH(Table5[[#This Row],[PID]],DraftResults[[#All],[Player ID]],0)),"")</f>
        <v/>
      </c>
      <c r="Z110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5" s="69" t="str">
        <f>IFERROR(INDEX(DraftResults[[#All],[Pick in Round]],MATCH(Table5[[#This Row],[PID]],DraftResults[[#All],[Player ID]],0)),"")</f>
        <v/>
      </c>
      <c r="AB1105" s="69" t="str">
        <f>IFERROR(INDEX(DraftResults[[#All],[Team Name]],MATCH(Table5[[#This Row],[PID]],DraftResults[[#All],[Player ID]],0)),"")</f>
        <v/>
      </c>
      <c r="AC1105" s="69" t="str">
        <f>IF(Table5[[#This Row],[Ovr]]="","",IF(Table5[[#This Row],[cmbList]]="","",Table5[[#This Row],[cmbList]]-Table5[[#This Row],[Ovr]]))</f>
        <v/>
      </c>
      <c r="AD1105" s="77" t="str">
        <f>IF(ISERROR(VLOOKUP($AB1105&amp;"-"&amp;$E1105&amp;" "&amp;F1105,Bonuses!$B$1:$G$1006,4,FALSE)),"",INT(VLOOKUP($AB1105&amp;"-"&amp;$E1105&amp;" "&amp;$F1105,Bonuses!$B$1:$G$1006,4,FALSE)))</f>
        <v/>
      </c>
      <c r="AE110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6" spans="1:31" s="50" customFormat="1" x14ac:dyDescent="0.25">
      <c r="A1106" s="50">
        <v>10328</v>
      </c>
      <c r="B1106" s="50">
        <f>COUNTIF(Table5[PID],A1106)</f>
        <v>1</v>
      </c>
      <c r="C1106" s="50" t="str">
        <f>IF(COUNTIF(Table3[[#All],[PID]],A1106)&gt;0,"P","B")</f>
        <v>P</v>
      </c>
      <c r="D1106" s="59" t="str">
        <f>IF($C1106="B",INDEX(Batters[[#All],[POS]],MATCH(Table5[[#This Row],[PID]],Batters[[#All],[PID]],0)),INDEX(Table3[[#All],[POS]],MATCH(Table5[[#This Row],[PID]],Table3[[#All],[PID]],0)))</f>
        <v>CL</v>
      </c>
      <c r="E1106" s="52" t="str">
        <f>IF($C1106="B",INDEX(Batters[[#All],[First]],MATCH(Table5[[#This Row],[PID]],Batters[[#All],[PID]],0)),INDEX(Table3[[#All],[First]],MATCH(Table5[[#This Row],[PID]],Table3[[#All],[PID]],0)))</f>
        <v>Lorenzo</v>
      </c>
      <c r="F1106" s="50" t="str">
        <f>IF($C1106="B",INDEX(Batters[[#All],[Last]],MATCH(A1106,Batters[[#All],[PID]],0)),INDEX(Table3[[#All],[Last]],MATCH(A1106,Table3[[#All],[PID]],0)))</f>
        <v>Márquez</v>
      </c>
      <c r="G1106" s="56">
        <f>IF($C1106="B",INDEX(Batters[[#All],[Age]],MATCH(Table5[[#This Row],[PID]],Batters[[#All],[PID]],0)),INDEX(Table3[[#All],[Age]],MATCH(Table5[[#This Row],[PID]],Table3[[#All],[PID]],0)))</f>
        <v>22</v>
      </c>
      <c r="H1106" s="52" t="str">
        <f>IF($C1106="B",INDEX(Batters[[#All],[B]],MATCH(Table5[[#This Row],[PID]],Batters[[#All],[PID]],0)),INDEX(Table3[[#All],[B]],MATCH(Table5[[#This Row],[PID]],Table3[[#All],[PID]],0)))</f>
        <v>R</v>
      </c>
      <c r="I1106" s="52" t="str">
        <f>IF($C1106="B",INDEX(Batters[[#All],[T]],MATCH(Table5[[#This Row],[PID]],Batters[[#All],[PID]],0)),INDEX(Table3[[#All],[T]],MATCH(Table5[[#This Row],[PID]],Table3[[#All],[PID]],0)))</f>
        <v>R</v>
      </c>
      <c r="J1106" s="52" t="str">
        <f>IF($C1106="B",INDEX(Batters[[#All],[WE]],MATCH(Table5[[#This Row],[PID]],Batters[[#All],[PID]],0)),INDEX(Table3[[#All],[WE]],MATCH(Table5[[#This Row],[PID]],Table3[[#All],[PID]],0)))</f>
        <v>Normal</v>
      </c>
      <c r="K1106" s="52" t="str">
        <f>IF($C1106="B",INDEX(Batters[[#All],[INT]],MATCH(Table5[[#This Row],[PID]],Batters[[#All],[PID]],0)),INDEX(Table3[[#All],[INT]],MATCH(Table5[[#This Row],[PID]],Table3[[#All],[PID]],0)))</f>
        <v>Normal</v>
      </c>
      <c r="L1106" s="60">
        <f>IF($C1106="B",INDEX(Batters[[#All],[CON P]],MATCH(Table5[[#This Row],[PID]],Batters[[#All],[PID]],0)),INDEX(Table3[[#All],[STU P]],MATCH(Table5[[#This Row],[PID]],Table3[[#All],[PID]],0)))</f>
        <v>3</v>
      </c>
      <c r="M1106" s="56">
        <f>IF($C1106="B",INDEX(Batters[[#All],[GAP P]],MATCH(Table5[[#This Row],[PID]],Batters[[#All],[PID]],0)),INDEX(Table3[[#All],[MOV P]],MATCH(Table5[[#This Row],[PID]],Table3[[#All],[PID]],0)))</f>
        <v>2</v>
      </c>
      <c r="N1106" s="56">
        <f>IF($C1106="B",INDEX(Batters[[#All],[POW P]],MATCH(Table5[[#This Row],[PID]],Batters[[#All],[PID]],0)),INDEX(Table3[[#All],[CON P]],MATCH(Table5[[#This Row],[PID]],Table3[[#All],[PID]],0)))</f>
        <v>3</v>
      </c>
      <c r="O1106" s="56" t="str">
        <f>IF($C1106="B",INDEX(Batters[[#All],[EYE P]],MATCH(Table5[[#This Row],[PID]],Batters[[#All],[PID]],0)),INDEX(Table3[[#All],[VELO]],MATCH(Table5[[#This Row],[PID]],Table3[[#All],[PID]],0)))</f>
        <v>90-92 Mph</v>
      </c>
      <c r="P1106" s="56">
        <f>IF($C1106="B",INDEX(Batters[[#All],[K P]],MATCH(Table5[[#This Row],[PID]],Batters[[#All],[PID]],0)),INDEX(Table3[[#All],[STM]],MATCH(Table5[[#This Row],[PID]],Table3[[#All],[PID]],0)))</f>
        <v>3</v>
      </c>
      <c r="Q1106" s="61">
        <f>IF($C1106="B",INDEX(Batters[[#All],[Tot]],MATCH(Table5[[#This Row],[PID]],Batters[[#All],[PID]],0)),INDEX(Table3[[#All],[Tot]],MATCH(Table5[[#This Row],[PID]],Table3[[#All],[PID]],0)))</f>
        <v>23.374727827967476</v>
      </c>
      <c r="R1106" s="52">
        <f>IF($C1106="B",INDEX(Batters[[#All],[zScore]],MATCH(Table5[[#This Row],[PID]],Batters[[#All],[PID]],0)),INDEX(Table3[[#All],[zScore]],MATCH(Table5[[#This Row],[PID]],Table3[[#All],[PID]],0)))</f>
        <v>-0.83132636030643137</v>
      </c>
      <c r="S1106" s="58" t="str">
        <f>IF($C1106="B",INDEX(Batters[[#All],[DEM]],MATCH(Table5[[#This Row],[PID]],Batters[[#All],[PID]],0)),INDEX(Table3[[#All],[DEM]],MATCH(Table5[[#This Row],[PID]],Table3[[#All],[PID]],0)))</f>
        <v>-</v>
      </c>
      <c r="T1106" s="62">
        <f>IF($C1106="B",INDEX(Batters[[#All],[Rnk]],MATCH(Table5[[#This Row],[PID]],Batters[[#All],[PID]],0)),INDEX(Table3[[#All],[Rnk]],MATCH(Table5[[#This Row],[PID]],Table3[[#All],[PID]],0)))</f>
        <v>654</v>
      </c>
      <c r="U1106" s="68">
        <f>IF($C1106="B",VLOOKUP($A1106,Bat!$A$4:$BA$1621,47,FALSE),VLOOKUP($A1106,Pit!$A$4:$BF$1557,56,FALSE))</f>
        <v>0</v>
      </c>
      <c r="V1106" s="50">
        <f>IF($C1106="B",VLOOKUP($A1106,Bat!$A$4:$BA$1621,48,FALSE),VLOOKUP($A1106,Pit!$A$4:$BF$1557,57,FALSE))</f>
        <v>0</v>
      </c>
      <c r="W1106" s="50">
        <f>Table5[[#This Row],[posRnk]]+Table5[[#This Row],[zRnk]]+IF($W$3&lt;&gt;Table5[[#This Row],[Type]],50,0)</f>
        <v>1765</v>
      </c>
      <c r="X1106" s="51">
        <f>RANK(Table5[[#This Row],[zScore]],Table5[[#All],[zScore]])</f>
        <v>1061</v>
      </c>
      <c r="Y1106" s="50" t="str">
        <f>IFERROR(INDEX(DraftResults[[#All],[OVR]],MATCH(Table5[[#This Row],[PID]],DraftResults[[#All],[Player ID]],0)),"")</f>
        <v/>
      </c>
      <c r="Z11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6" s="50" t="str">
        <f>IFERROR(INDEX(DraftResults[[#All],[Pick in Round]],MATCH(Table5[[#This Row],[PID]],DraftResults[[#All],[Player ID]],0)),"")</f>
        <v/>
      </c>
      <c r="AB1106" s="50" t="str">
        <f>IFERROR(INDEX(DraftResults[[#All],[Team Name]],MATCH(Table5[[#This Row],[PID]],DraftResults[[#All],[Player ID]],0)),"")</f>
        <v/>
      </c>
      <c r="AC1106" s="50" t="str">
        <f>IF(Table5[[#This Row],[Ovr]]="","",IF(Table5[[#This Row],[cmbList]]="","",Table5[[#This Row],[cmbList]]-Table5[[#This Row],[Ovr]]))</f>
        <v/>
      </c>
      <c r="AD1106" s="54" t="str">
        <f>IF(ISERROR(VLOOKUP($AB1106&amp;"-"&amp;$E1106&amp;" "&amp;F1106,Bonuses!$B$1:$G$1006,4,FALSE)),"",INT(VLOOKUP($AB1106&amp;"-"&amp;$E1106&amp;" "&amp;$F1106,Bonuses!$B$1:$G$1006,4,FALSE)))</f>
        <v/>
      </c>
      <c r="AE11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7" spans="1:31" s="50" customFormat="1" x14ac:dyDescent="0.25">
      <c r="A1107" s="50">
        <v>7311</v>
      </c>
      <c r="B1107" s="50">
        <f>COUNTIF(Table5[PID],A1107)</f>
        <v>1</v>
      </c>
      <c r="C1107" s="50" t="str">
        <f>IF(COUNTIF(Table3[[#All],[PID]],A1107)&gt;0,"P","B")</f>
        <v>P</v>
      </c>
      <c r="D1107" s="59" t="str">
        <f>IF($C1107="B",INDEX(Batters[[#All],[POS]],MATCH(Table5[[#This Row],[PID]],Batters[[#All],[PID]],0)),INDEX(Table3[[#All],[POS]],MATCH(Table5[[#This Row],[PID]],Table3[[#All],[PID]],0)))</f>
        <v>RP</v>
      </c>
      <c r="E1107" s="52" t="str">
        <f>IF($C1107="B",INDEX(Batters[[#All],[First]],MATCH(Table5[[#This Row],[PID]],Batters[[#All],[PID]],0)),INDEX(Table3[[#All],[First]],MATCH(Table5[[#This Row],[PID]],Table3[[#All],[PID]],0)))</f>
        <v>Ryu</v>
      </c>
      <c r="F1107" s="50" t="str">
        <f>IF($C1107="B",INDEX(Batters[[#All],[Last]],MATCH(A1107,Batters[[#All],[PID]],0)),INDEX(Table3[[#All],[Last]],MATCH(A1107,Table3[[#All],[PID]],0)))</f>
        <v>Hashimoto</v>
      </c>
      <c r="G1107" s="56">
        <f>IF($C1107="B",INDEX(Batters[[#All],[Age]],MATCH(Table5[[#This Row],[PID]],Batters[[#All],[PID]],0)),INDEX(Table3[[#All],[Age]],MATCH(Table5[[#This Row],[PID]],Table3[[#All],[PID]],0)))</f>
        <v>22</v>
      </c>
      <c r="H1107" s="52" t="str">
        <f>IF($C1107="B",INDEX(Batters[[#All],[B]],MATCH(Table5[[#This Row],[PID]],Batters[[#All],[PID]],0)),INDEX(Table3[[#All],[B]],MATCH(Table5[[#This Row],[PID]],Table3[[#All],[PID]],0)))</f>
        <v>R</v>
      </c>
      <c r="I1107" s="52" t="str">
        <f>IF($C1107="B",INDEX(Batters[[#All],[T]],MATCH(Table5[[#This Row],[PID]],Batters[[#All],[PID]],0)),INDEX(Table3[[#All],[T]],MATCH(Table5[[#This Row],[PID]],Table3[[#All],[PID]],0)))</f>
        <v>R</v>
      </c>
      <c r="J1107" s="52" t="str">
        <f>IF($C1107="B",INDEX(Batters[[#All],[WE]],MATCH(Table5[[#This Row],[PID]],Batters[[#All],[PID]],0)),INDEX(Table3[[#All],[WE]],MATCH(Table5[[#This Row],[PID]],Table3[[#All],[PID]],0)))</f>
        <v>Normal</v>
      </c>
      <c r="K1107" s="52" t="str">
        <f>IF($C1107="B",INDEX(Batters[[#All],[INT]],MATCH(Table5[[#This Row],[PID]],Batters[[#All],[PID]],0)),INDEX(Table3[[#All],[INT]],MATCH(Table5[[#This Row],[PID]],Table3[[#All],[PID]],0)))</f>
        <v>Normal</v>
      </c>
      <c r="L1107" s="60">
        <f>IF($C1107="B",INDEX(Batters[[#All],[CON P]],MATCH(Table5[[#This Row],[PID]],Batters[[#All],[PID]],0)),INDEX(Table3[[#All],[STU P]],MATCH(Table5[[#This Row],[PID]],Table3[[#All],[PID]],0)))</f>
        <v>4</v>
      </c>
      <c r="M1107" s="56">
        <f>IF($C1107="B",INDEX(Batters[[#All],[GAP P]],MATCH(Table5[[#This Row],[PID]],Batters[[#All],[PID]],0)),INDEX(Table3[[#All],[MOV P]],MATCH(Table5[[#This Row],[PID]],Table3[[#All],[PID]],0)))</f>
        <v>1</v>
      </c>
      <c r="N1107" s="56">
        <f>IF($C1107="B",INDEX(Batters[[#All],[POW P]],MATCH(Table5[[#This Row],[PID]],Batters[[#All],[PID]],0)),INDEX(Table3[[#All],[CON P]],MATCH(Table5[[#This Row],[PID]],Table3[[#All],[PID]],0)))</f>
        <v>3</v>
      </c>
      <c r="O1107" s="56" t="str">
        <f>IF($C1107="B",INDEX(Batters[[#All],[EYE P]],MATCH(Table5[[#This Row],[PID]],Batters[[#All],[PID]],0)),INDEX(Table3[[#All],[VELO]],MATCH(Table5[[#This Row],[PID]],Table3[[#All],[PID]],0)))</f>
        <v>89-91 Mph</v>
      </c>
      <c r="P1107" s="56">
        <f>IF($C1107="B",INDEX(Batters[[#All],[K P]],MATCH(Table5[[#This Row],[PID]],Batters[[#All],[PID]],0)),INDEX(Table3[[#All],[STM]],MATCH(Table5[[#This Row],[PID]],Table3[[#All],[PID]],0)))</f>
        <v>8</v>
      </c>
      <c r="Q1107" s="61">
        <f>IF($C1107="B",INDEX(Batters[[#All],[Tot]],MATCH(Table5[[#This Row],[PID]],Batters[[#All],[PID]],0)),INDEX(Table3[[#All],[Tot]],MATCH(Table5[[#This Row],[PID]],Table3[[#All],[PID]],0)))</f>
        <v>25.639020276736087</v>
      </c>
      <c r="R1107" s="52">
        <f>IF($C1107="B",INDEX(Batters[[#All],[zScore]],MATCH(Table5[[#This Row],[PID]],Batters[[#All],[PID]],0)),INDEX(Table3[[#All],[zScore]],MATCH(Table5[[#This Row],[PID]],Table3[[#All],[PID]],0)))</f>
        <v>-0.83328220730554547</v>
      </c>
      <c r="S1107" s="58" t="str">
        <f>IF($C1107="B",INDEX(Batters[[#All],[DEM]],MATCH(Table5[[#This Row],[PID]],Batters[[#All],[PID]],0)),INDEX(Table3[[#All],[DEM]],MATCH(Table5[[#This Row],[PID]],Table3[[#All],[PID]],0)))</f>
        <v>-</v>
      </c>
      <c r="T1107" s="62">
        <f>IF($C1107="B",INDEX(Batters[[#All],[Rnk]],MATCH(Table5[[#This Row],[PID]],Batters[[#All],[PID]],0)),INDEX(Table3[[#All],[Rnk]],MATCH(Table5[[#This Row],[PID]],Table3[[#All],[PID]],0)))</f>
        <v>655</v>
      </c>
      <c r="U1107" s="68">
        <f>IF($C1107="B",VLOOKUP($A1107,Bat!$A$4:$BA$1621,47,FALSE),VLOOKUP($A1107,Pit!$A$4:$BF$1557,56,FALSE))</f>
        <v>0</v>
      </c>
      <c r="V1107" s="50">
        <f>IF($C1107="B",VLOOKUP($A1107,Bat!$A$4:$BA$1621,48,FALSE),VLOOKUP($A1107,Pit!$A$4:$BF$1557,57,FALSE))</f>
        <v>0</v>
      </c>
      <c r="W1107" s="50">
        <f>Table5[[#This Row],[posRnk]]+Table5[[#This Row],[zRnk]]+IF($W$3&lt;&gt;Table5[[#This Row],[Type]],50,0)</f>
        <v>1767</v>
      </c>
      <c r="X1107" s="51">
        <f>RANK(Table5[[#This Row],[zScore]],Table5[[#All],[zScore]])</f>
        <v>1062</v>
      </c>
      <c r="Y1107" s="50" t="str">
        <f>IFERROR(INDEX(DraftResults[[#All],[OVR]],MATCH(Table5[[#This Row],[PID]],DraftResults[[#All],[Player ID]],0)),"")</f>
        <v/>
      </c>
      <c r="Z11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7" s="50" t="str">
        <f>IFERROR(INDEX(DraftResults[[#All],[Pick in Round]],MATCH(Table5[[#This Row],[PID]],DraftResults[[#All],[Player ID]],0)),"")</f>
        <v/>
      </c>
      <c r="AB1107" s="50" t="str">
        <f>IFERROR(INDEX(DraftResults[[#All],[Team Name]],MATCH(Table5[[#This Row],[PID]],DraftResults[[#All],[Player ID]],0)),"")</f>
        <v/>
      </c>
      <c r="AC1107" s="50" t="str">
        <f>IF(Table5[[#This Row],[Ovr]]="","",IF(Table5[[#This Row],[cmbList]]="","",Table5[[#This Row],[cmbList]]-Table5[[#This Row],[Ovr]]))</f>
        <v/>
      </c>
      <c r="AD1107" s="54" t="str">
        <f>IF(ISERROR(VLOOKUP($AB1107&amp;"-"&amp;$E1107&amp;" "&amp;F1107,Bonuses!$B$1:$G$1006,4,FALSE)),"",INT(VLOOKUP($AB1107&amp;"-"&amp;$E1107&amp;" "&amp;$F1107,Bonuses!$B$1:$G$1006,4,FALSE)))</f>
        <v/>
      </c>
      <c r="AE11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8" spans="1:31" s="50" customFormat="1" x14ac:dyDescent="0.25">
      <c r="A1108" s="50">
        <v>20808</v>
      </c>
      <c r="B1108" s="50">
        <f>COUNTIF(Table5[PID],A1108)</f>
        <v>1</v>
      </c>
      <c r="C1108" s="50" t="str">
        <f>IF(COUNTIF(Table3[[#All],[PID]],A1108)&gt;0,"P","B")</f>
        <v>P</v>
      </c>
      <c r="D1108" s="59" t="str">
        <f>IF($C1108="B",INDEX(Batters[[#All],[POS]],MATCH(Table5[[#This Row],[PID]],Batters[[#All],[PID]],0)),INDEX(Table3[[#All],[POS]],MATCH(Table5[[#This Row],[PID]],Table3[[#All],[PID]],0)))</f>
        <v>RP</v>
      </c>
      <c r="E1108" s="52" t="str">
        <f>IF($C1108="B",INDEX(Batters[[#All],[First]],MATCH(Table5[[#This Row],[PID]],Batters[[#All],[PID]],0)),INDEX(Table3[[#All],[First]],MATCH(Table5[[#This Row],[PID]],Table3[[#All],[PID]],0)))</f>
        <v>Bob</v>
      </c>
      <c r="F1108" s="50" t="str">
        <f>IF($C1108="B",INDEX(Batters[[#All],[Last]],MATCH(A1108,Batters[[#All],[PID]],0)),INDEX(Table3[[#All],[Last]],MATCH(A1108,Table3[[#All],[PID]],0)))</f>
        <v>Podilla</v>
      </c>
      <c r="G1108" s="56">
        <f>IF($C1108="B",INDEX(Batters[[#All],[Age]],MATCH(Table5[[#This Row],[PID]],Batters[[#All],[PID]],0)),INDEX(Table3[[#All],[Age]],MATCH(Table5[[#This Row],[PID]],Table3[[#All],[PID]],0)))</f>
        <v>18</v>
      </c>
      <c r="H1108" s="52" t="str">
        <f>IF($C1108="B",INDEX(Batters[[#All],[B]],MATCH(Table5[[#This Row],[PID]],Batters[[#All],[PID]],0)),INDEX(Table3[[#All],[B]],MATCH(Table5[[#This Row],[PID]],Table3[[#All],[PID]],0)))</f>
        <v>R</v>
      </c>
      <c r="I1108" s="52" t="str">
        <f>IF($C1108="B",INDEX(Batters[[#All],[T]],MATCH(Table5[[#This Row],[PID]],Batters[[#All],[PID]],0)),INDEX(Table3[[#All],[T]],MATCH(Table5[[#This Row],[PID]],Table3[[#All],[PID]],0)))</f>
        <v>R</v>
      </c>
      <c r="J1108" s="52" t="str">
        <f>IF($C1108="B",INDEX(Batters[[#All],[WE]],MATCH(Table5[[#This Row],[PID]],Batters[[#All],[PID]],0)),INDEX(Table3[[#All],[WE]],MATCH(Table5[[#This Row],[PID]],Table3[[#All],[PID]],0)))</f>
        <v>Low</v>
      </c>
      <c r="K1108" s="52" t="str">
        <f>IF($C1108="B",INDEX(Batters[[#All],[INT]],MATCH(Table5[[#This Row],[PID]],Batters[[#All],[PID]],0)),INDEX(Table3[[#All],[INT]],MATCH(Table5[[#This Row],[PID]],Table3[[#All],[PID]],0)))</f>
        <v>Normal</v>
      </c>
      <c r="L1108" s="60">
        <f>IF($C1108="B",INDEX(Batters[[#All],[CON P]],MATCH(Table5[[#This Row],[PID]],Batters[[#All],[PID]],0)),INDEX(Table3[[#All],[STU P]],MATCH(Table5[[#This Row],[PID]],Table3[[#All],[PID]],0)))</f>
        <v>3</v>
      </c>
      <c r="M1108" s="56">
        <f>IF($C1108="B",INDEX(Batters[[#All],[GAP P]],MATCH(Table5[[#This Row],[PID]],Batters[[#All],[PID]],0)),INDEX(Table3[[#All],[MOV P]],MATCH(Table5[[#This Row],[PID]],Table3[[#All],[PID]],0)))</f>
        <v>1</v>
      </c>
      <c r="N1108" s="56">
        <f>IF($C1108="B",INDEX(Batters[[#All],[POW P]],MATCH(Table5[[#This Row],[PID]],Batters[[#All],[PID]],0)),INDEX(Table3[[#All],[CON P]],MATCH(Table5[[#This Row],[PID]],Table3[[#All],[PID]],0)))</f>
        <v>3</v>
      </c>
      <c r="O1108" s="56" t="str">
        <f>IF($C1108="B",INDEX(Batters[[#All],[EYE P]],MATCH(Table5[[#This Row],[PID]],Batters[[#All],[PID]],0)),INDEX(Table3[[#All],[VELO]],MATCH(Table5[[#This Row],[PID]],Table3[[#All],[PID]],0)))</f>
        <v>86-88 Mph</v>
      </c>
      <c r="P1108" s="56">
        <f>IF($C1108="B",INDEX(Batters[[#All],[K P]],MATCH(Table5[[#This Row],[PID]],Batters[[#All],[PID]],0)),INDEX(Table3[[#All],[STM]],MATCH(Table5[[#This Row],[PID]],Table3[[#All],[PID]],0)))</f>
        <v>1</v>
      </c>
      <c r="Q1108" s="61">
        <f>IF($C1108="B",INDEX(Batters[[#All],[Tot]],MATCH(Table5[[#This Row],[PID]],Batters[[#All],[PID]],0)),INDEX(Table3[[#All],[Tot]],MATCH(Table5[[#This Row],[PID]],Table3[[#All],[PID]],0)))</f>
        <v>25.621651099870398</v>
      </c>
      <c r="R1108" s="52">
        <f>IF($C1108="B",INDEX(Batters[[#All],[zScore]],MATCH(Table5[[#This Row],[PID]],Batters[[#All],[PID]],0)),INDEX(Table3[[#All],[zScore]],MATCH(Table5[[#This Row],[PID]],Table3[[#All],[PID]],0)))</f>
        <v>-0.83447199081033763</v>
      </c>
      <c r="S1108" s="58" t="str">
        <f>IF($C1108="B",INDEX(Batters[[#All],[DEM]],MATCH(Table5[[#This Row],[PID]],Batters[[#All],[PID]],0)),INDEX(Table3[[#All],[DEM]],MATCH(Table5[[#This Row],[PID]],Table3[[#All],[PID]],0)))</f>
        <v>$38k</v>
      </c>
      <c r="T1108" s="62">
        <f>IF($C1108="B",INDEX(Batters[[#All],[Rnk]],MATCH(Table5[[#This Row],[PID]],Batters[[#All],[PID]],0)),INDEX(Table3[[#All],[Rnk]],MATCH(Table5[[#This Row],[PID]],Table3[[#All],[PID]],0)))</f>
        <v>656</v>
      </c>
      <c r="U1108" s="68">
        <f>IF($C1108="B",VLOOKUP($A1108,Bat!$A$4:$BA$1621,47,FALSE),VLOOKUP($A1108,Pit!$A$4:$BF$1557,56,FALSE))</f>
        <v>0</v>
      </c>
      <c r="V1108" s="50">
        <f>IF($C1108="B",VLOOKUP($A1108,Bat!$A$4:$BA$1621,48,FALSE),VLOOKUP($A1108,Pit!$A$4:$BF$1557,57,FALSE))</f>
        <v>0</v>
      </c>
      <c r="W1108" s="50">
        <f>Table5[[#This Row],[posRnk]]+Table5[[#This Row],[zRnk]]+IF($W$3&lt;&gt;Table5[[#This Row],[Type]],50,0)</f>
        <v>1769</v>
      </c>
      <c r="X1108" s="51">
        <f>RANK(Table5[[#This Row],[zScore]],Table5[[#All],[zScore]])</f>
        <v>1063</v>
      </c>
      <c r="Y1108" s="50" t="str">
        <f>IFERROR(INDEX(DraftResults[[#All],[OVR]],MATCH(Table5[[#This Row],[PID]],DraftResults[[#All],[Player ID]],0)),"")</f>
        <v/>
      </c>
      <c r="Z11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8" s="50" t="str">
        <f>IFERROR(INDEX(DraftResults[[#All],[Pick in Round]],MATCH(Table5[[#This Row],[PID]],DraftResults[[#All],[Player ID]],0)),"")</f>
        <v/>
      </c>
      <c r="AB1108" s="50" t="str">
        <f>IFERROR(INDEX(DraftResults[[#All],[Team Name]],MATCH(Table5[[#This Row],[PID]],DraftResults[[#All],[Player ID]],0)),"")</f>
        <v/>
      </c>
      <c r="AC1108" s="50" t="str">
        <f>IF(Table5[[#This Row],[Ovr]]="","",IF(Table5[[#This Row],[cmbList]]="","",Table5[[#This Row],[cmbList]]-Table5[[#This Row],[Ovr]]))</f>
        <v/>
      </c>
      <c r="AD1108" s="54" t="str">
        <f>IF(ISERROR(VLOOKUP($AB1108&amp;"-"&amp;$E1108&amp;" "&amp;F1108,Bonuses!$B$1:$G$1006,4,FALSE)),"",INT(VLOOKUP($AB1108&amp;"-"&amp;$E1108&amp;" "&amp;$F1108,Bonuses!$B$1:$G$1006,4,FALSE)))</f>
        <v/>
      </c>
      <c r="AE11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09" spans="1:31" s="50" customFormat="1" x14ac:dyDescent="0.25">
      <c r="A1109" s="50">
        <v>9599</v>
      </c>
      <c r="B1109" s="50">
        <f>COUNTIF(Table5[PID],A1109)</f>
        <v>1</v>
      </c>
      <c r="C1109" s="50" t="str">
        <f>IF(COUNTIF(Table3[[#All],[PID]],A1109)&gt;0,"P","B")</f>
        <v>P</v>
      </c>
      <c r="D1109" s="59" t="str">
        <f>IF($C1109="B",INDEX(Batters[[#All],[POS]],MATCH(Table5[[#This Row],[PID]],Batters[[#All],[PID]],0)),INDEX(Table3[[#All],[POS]],MATCH(Table5[[#This Row],[PID]],Table3[[#All],[PID]],0)))</f>
        <v>RP</v>
      </c>
      <c r="E1109" s="52" t="str">
        <f>IF($C1109="B",INDEX(Batters[[#All],[First]],MATCH(Table5[[#This Row],[PID]],Batters[[#All],[PID]],0)),INDEX(Table3[[#All],[First]],MATCH(Table5[[#This Row],[PID]],Table3[[#All],[PID]],0)))</f>
        <v>Alec</v>
      </c>
      <c r="F1109" s="50" t="str">
        <f>IF($C1109="B",INDEX(Batters[[#All],[Last]],MATCH(A1109,Batters[[#All],[PID]],0)),INDEX(Table3[[#All],[Last]],MATCH(A1109,Table3[[#All],[PID]],0)))</f>
        <v>Murphy</v>
      </c>
      <c r="G1109" s="56">
        <f>IF($C1109="B",INDEX(Batters[[#All],[Age]],MATCH(Table5[[#This Row],[PID]],Batters[[#All],[PID]],0)),INDEX(Table3[[#All],[Age]],MATCH(Table5[[#This Row],[PID]],Table3[[#All],[PID]],0)))</f>
        <v>21</v>
      </c>
      <c r="H1109" s="52" t="str">
        <f>IF($C1109="B",INDEX(Batters[[#All],[B]],MATCH(Table5[[#This Row],[PID]],Batters[[#All],[PID]],0)),INDEX(Table3[[#All],[B]],MATCH(Table5[[#This Row],[PID]],Table3[[#All],[PID]],0)))</f>
        <v>R</v>
      </c>
      <c r="I1109" s="52" t="str">
        <f>IF($C1109="B",INDEX(Batters[[#All],[T]],MATCH(Table5[[#This Row],[PID]],Batters[[#All],[PID]],0)),INDEX(Table3[[#All],[T]],MATCH(Table5[[#This Row],[PID]],Table3[[#All],[PID]],0)))</f>
        <v>R</v>
      </c>
      <c r="J1109" s="52" t="str">
        <f>IF($C1109="B",INDEX(Batters[[#All],[WE]],MATCH(Table5[[#This Row],[PID]],Batters[[#All],[PID]],0)),INDEX(Table3[[#All],[WE]],MATCH(Table5[[#This Row],[PID]],Table3[[#All],[PID]],0)))</f>
        <v>Normal</v>
      </c>
      <c r="K1109" s="52" t="str">
        <f>IF($C1109="B",INDEX(Batters[[#All],[INT]],MATCH(Table5[[#This Row],[PID]],Batters[[#All],[PID]],0)),INDEX(Table3[[#All],[INT]],MATCH(Table5[[#This Row],[PID]],Table3[[#All],[PID]],0)))</f>
        <v>Normal</v>
      </c>
      <c r="L1109" s="60">
        <f>IF($C1109="B",INDEX(Batters[[#All],[CON P]],MATCH(Table5[[#This Row],[PID]],Batters[[#All],[PID]],0)),INDEX(Table3[[#All],[STU P]],MATCH(Table5[[#This Row],[PID]],Table3[[#All],[PID]],0)))</f>
        <v>4</v>
      </c>
      <c r="M1109" s="56">
        <f>IF($C1109="B",INDEX(Batters[[#All],[GAP P]],MATCH(Table5[[#This Row],[PID]],Batters[[#All],[PID]],0)),INDEX(Table3[[#All],[MOV P]],MATCH(Table5[[#This Row],[PID]],Table3[[#All],[PID]],0)))</f>
        <v>2</v>
      </c>
      <c r="N1109" s="56">
        <f>IF($C1109="B",INDEX(Batters[[#All],[POW P]],MATCH(Table5[[#This Row],[PID]],Batters[[#All],[PID]],0)),INDEX(Table3[[#All],[CON P]],MATCH(Table5[[#This Row],[PID]],Table3[[#All],[PID]],0)))</f>
        <v>2</v>
      </c>
      <c r="O1109" s="56" t="str">
        <f>IF($C1109="B",INDEX(Batters[[#All],[EYE P]],MATCH(Table5[[#This Row],[PID]],Batters[[#All],[PID]],0)),INDEX(Table3[[#All],[VELO]],MATCH(Table5[[#This Row],[PID]],Table3[[#All],[PID]],0)))</f>
        <v>87-89 Mph</v>
      </c>
      <c r="P1109" s="56">
        <f>IF($C1109="B",INDEX(Batters[[#All],[K P]],MATCH(Table5[[#This Row],[PID]],Batters[[#All],[PID]],0)),INDEX(Table3[[#All],[STM]],MATCH(Table5[[#This Row],[PID]],Table3[[#All],[PID]],0)))</f>
        <v>8</v>
      </c>
      <c r="Q1109" s="61">
        <f>IF($C1109="B",INDEX(Batters[[#All],[Tot]],MATCH(Table5[[#This Row],[PID]],Batters[[#All],[PID]],0)),INDEX(Table3[[#All],[Tot]],MATCH(Table5[[#This Row],[PID]],Table3[[#All],[PID]],0)))</f>
        <v>23.315524871315692</v>
      </c>
      <c r="R1109" s="52">
        <f>IF($C1109="B",INDEX(Batters[[#All],[zScore]],MATCH(Table5[[#This Row],[PID]],Batters[[#All],[PID]],0)),INDEX(Table3[[#All],[zScore]],MATCH(Table5[[#This Row],[PID]],Table3[[#All],[PID]],0)))</f>
        <v>-0.83526504254391309</v>
      </c>
      <c r="S1109" s="58" t="str">
        <f>IF($C1109="B",INDEX(Batters[[#All],[DEM]],MATCH(Table5[[#This Row],[PID]],Batters[[#All],[PID]],0)),INDEX(Table3[[#All],[DEM]],MATCH(Table5[[#This Row],[PID]],Table3[[#All],[PID]],0)))</f>
        <v>-</v>
      </c>
      <c r="T1109" s="62">
        <f>IF($C1109="B",INDEX(Batters[[#All],[Rnk]],MATCH(Table5[[#This Row],[PID]],Batters[[#All],[PID]],0)),INDEX(Table3[[#All],[Rnk]],MATCH(Table5[[#This Row],[PID]],Table3[[#All],[PID]],0)))</f>
        <v>657</v>
      </c>
      <c r="U1109" s="68">
        <f>IF($C1109="B",VLOOKUP($A1109,Bat!$A$4:$BA$1621,47,FALSE),VLOOKUP($A1109,Pit!$A$4:$BF$1557,56,FALSE))</f>
        <v>0</v>
      </c>
      <c r="V1109" s="50">
        <f>IF($C1109="B",VLOOKUP($A1109,Bat!$A$4:$BA$1621,48,FALSE),VLOOKUP($A1109,Pit!$A$4:$BF$1557,57,FALSE))</f>
        <v>0</v>
      </c>
      <c r="W1109" s="50">
        <f>Table5[[#This Row],[posRnk]]+Table5[[#This Row],[zRnk]]+IF($W$3&lt;&gt;Table5[[#This Row],[Type]],50,0)</f>
        <v>1771</v>
      </c>
      <c r="X1109" s="51">
        <f>RANK(Table5[[#This Row],[zScore]],Table5[[#All],[zScore]])</f>
        <v>1064</v>
      </c>
      <c r="Y1109" s="50" t="str">
        <f>IFERROR(INDEX(DraftResults[[#All],[OVR]],MATCH(Table5[[#This Row],[PID]],DraftResults[[#All],[Player ID]],0)),"")</f>
        <v/>
      </c>
      <c r="Z11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09" s="50" t="str">
        <f>IFERROR(INDEX(DraftResults[[#All],[Pick in Round]],MATCH(Table5[[#This Row],[PID]],DraftResults[[#All],[Player ID]],0)),"")</f>
        <v/>
      </c>
      <c r="AB1109" s="50" t="str">
        <f>IFERROR(INDEX(DraftResults[[#All],[Team Name]],MATCH(Table5[[#This Row],[PID]],DraftResults[[#All],[Player ID]],0)),"")</f>
        <v/>
      </c>
      <c r="AC1109" s="50" t="str">
        <f>IF(Table5[[#This Row],[Ovr]]="","",IF(Table5[[#This Row],[cmbList]]="","",Table5[[#This Row],[cmbList]]-Table5[[#This Row],[Ovr]]))</f>
        <v/>
      </c>
      <c r="AD1109" s="54" t="str">
        <f>IF(ISERROR(VLOOKUP($AB1109&amp;"-"&amp;$E1109&amp;" "&amp;F1109,Bonuses!$B$1:$G$1006,4,FALSE)),"",INT(VLOOKUP($AB1109&amp;"-"&amp;$E1109&amp;" "&amp;$F1109,Bonuses!$B$1:$G$1006,4,FALSE)))</f>
        <v/>
      </c>
      <c r="AE11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0" spans="1:31" s="50" customFormat="1" x14ac:dyDescent="0.25">
      <c r="A1110" s="50">
        <v>20618</v>
      </c>
      <c r="B1110" s="50">
        <f>COUNTIF(Table5[PID],A1110)</f>
        <v>1</v>
      </c>
      <c r="C1110" s="50" t="str">
        <f>IF(COUNTIF(Table3[[#All],[PID]],A1110)&gt;0,"P","B")</f>
        <v>B</v>
      </c>
      <c r="D1110" s="59" t="str">
        <f>IF($C1110="B",INDEX(Batters[[#All],[POS]],MATCH(Table5[[#This Row],[PID]],Batters[[#All],[PID]],0)),INDEX(Table3[[#All],[POS]],MATCH(Table5[[#This Row],[PID]],Table3[[#All],[PID]],0)))</f>
        <v>SS</v>
      </c>
      <c r="E1110" s="52" t="str">
        <f>IF($C1110="B",INDEX(Batters[[#All],[First]],MATCH(Table5[[#This Row],[PID]],Batters[[#All],[PID]],0)),INDEX(Table3[[#All],[First]],MATCH(Table5[[#This Row],[PID]],Table3[[#All],[PID]],0)))</f>
        <v>Fu-chi</v>
      </c>
      <c r="F1110" s="50" t="str">
        <f>IF($C1110="B",INDEX(Batters[[#All],[Last]],MATCH(A1110,Batters[[#All],[PID]],0)),INDEX(Table3[[#All],[Last]],MATCH(A1110,Table3[[#All],[PID]],0)))</f>
        <v>Rong</v>
      </c>
      <c r="G1110" s="56">
        <f>IF($C1110="B",INDEX(Batters[[#All],[Age]],MATCH(Table5[[#This Row],[PID]],Batters[[#All],[PID]],0)),INDEX(Table3[[#All],[Age]],MATCH(Table5[[#This Row],[PID]],Table3[[#All],[PID]],0)))</f>
        <v>18</v>
      </c>
      <c r="H1110" s="52" t="str">
        <f>IF($C1110="B",INDEX(Batters[[#All],[B]],MATCH(Table5[[#This Row],[PID]],Batters[[#All],[PID]],0)),INDEX(Table3[[#All],[B]],MATCH(Table5[[#This Row],[PID]],Table3[[#All],[PID]],0)))</f>
        <v>R</v>
      </c>
      <c r="I1110" s="52" t="str">
        <f>IF($C1110="B",INDEX(Batters[[#All],[T]],MATCH(Table5[[#This Row],[PID]],Batters[[#All],[PID]],0)),INDEX(Table3[[#All],[T]],MATCH(Table5[[#This Row],[PID]],Table3[[#All],[PID]],0)))</f>
        <v>R</v>
      </c>
      <c r="J1110" s="52" t="str">
        <f>IF($C1110="B",INDEX(Batters[[#All],[WE]],MATCH(Table5[[#This Row],[PID]],Batters[[#All],[PID]],0)),INDEX(Table3[[#All],[WE]],MATCH(Table5[[#This Row],[PID]],Table3[[#All],[PID]],0)))</f>
        <v>Normal</v>
      </c>
      <c r="K1110" s="52" t="str">
        <f>IF($C1110="B",INDEX(Batters[[#All],[INT]],MATCH(Table5[[#This Row],[PID]],Batters[[#All],[PID]],0)),INDEX(Table3[[#All],[INT]],MATCH(Table5[[#This Row],[PID]],Table3[[#All],[PID]],0)))</f>
        <v>Normal</v>
      </c>
      <c r="L1110" s="60">
        <f>IF($C1110="B",INDEX(Batters[[#All],[CON P]],MATCH(Table5[[#This Row],[PID]],Batters[[#All],[PID]],0)),INDEX(Table3[[#All],[STU P]],MATCH(Table5[[#This Row],[PID]],Table3[[#All],[PID]],0)))</f>
        <v>3</v>
      </c>
      <c r="M1110" s="56">
        <f>IF($C1110="B",INDEX(Batters[[#All],[GAP P]],MATCH(Table5[[#This Row],[PID]],Batters[[#All],[PID]],0)),INDEX(Table3[[#All],[MOV P]],MATCH(Table5[[#This Row],[PID]],Table3[[#All],[PID]],0)))</f>
        <v>3</v>
      </c>
      <c r="N1110" s="56">
        <f>IF($C1110="B",INDEX(Batters[[#All],[POW P]],MATCH(Table5[[#This Row],[PID]],Batters[[#All],[PID]],0)),INDEX(Table3[[#All],[CON P]],MATCH(Table5[[#This Row],[PID]],Table3[[#All],[PID]],0)))</f>
        <v>2</v>
      </c>
      <c r="O1110" s="56">
        <f>IF($C1110="B",INDEX(Batters[[#All],[EYE P]],MATCH(Table5[[#This Row],[PID]],Batters[[#All],[PID]],0)),INDEX(Table3[[#All],[VELO]],MATCH(Table5[[#This Row],[PID]],Table3[[#All],[PID]],0)))</f>
        <v>5</v>
      </c>
      <c r="P1110" s="56">
        <f>IF($C1110="B",INDEX(Batters[[#All],[K P]],MATCH(Table5[[#This Row],[PID]],Batters[[#All],[PID]],0)),INDEX(Table3[[#All],[STM]],MATCH(Table5[[#This Row],[PID]],Table3[[#All],[PID]],0)))</f>
        <v>4</v>
      </c>
      <c r="Q1110" s="61">
        <f>IF($C1110="B",INDEX(Batters[[#All],[Tot]],MATCH(Table5[[#This Row],[PID]],Batters[[#All],[PID]],0)),INDEX(Table3[[#All],[Tot]],MATCH(Table5[[#This Row],[PID]],Table3[[#All],[PID]],0)))</f>
        <v>40.361990301326387</v>
      </c>
      <c r="R1110" s="52">
        <f>IF($C1110="B",INDEX(Batters[[#All],[zScore]],MATCH(Table5[[#This Row],[PID]],Batters[[#All],[PID]],0)),INDEX(Table3[[#All],[zScore]],MATCH(Table5[[#This Row],[PID]],Table3[[#All],[PID]],0)))</f>
        <v>-0.83582326897529857</v>
      </c>
      <c r="S1110" s="58" t="str">
        <f>IF($C1110="B",INDEX(Batters[[#All],[DEM]],MATCH(Table5[[#This Row],[PID]],Batters[[#All],[PID]],0)),INDEX(Table3[[#All],[DEM]],MATCH(Table5[[#This Row],[PID]],Table3[[#All],[PID]],0)))</f>
        <v>$90k</v>
      </c>
      <c r="T1110" s="62">
        <f>IF($C1110="B",INDEX(Batters[[#All],[Rnk]],MATCH(Table5[[#This Row],[PID]],Batters[[#All],[PID]],0)),INDEX(Table3[[#All],[Rnk]],MATCH(Table5[[#This Row],[PID]],Table3[[#All],[PID]],0)))</f>
        <v>407</v>
      </c>
      <c r="U1110" s="68">
        <f>IF($C1110="B",VLOOKUP($A1110,Bat!$A$4:$BA$1621,47,FALSE),VLOOKUP($A1110,Pit!$A$4:$BF$1557,56,FALSE))</f>
        <v>0</v>
      </c>
      <c r="V1110" s="50">
        <f>IF($C1110="B",VLOOKUP($A1110,Bat!$A$4:$BA$1621,48,FALSE),VLOOKUP($A1110,Pit!$A$4:$BF$1557,57,FALSE))</f>
        <v>0</v>
      </c>
      <c r="W1110" s="50">
        <f>Table5[[#This Row],[posRnk]]+Table5[[#This Row],[zRnk]]+IF($W$3&lt;&gt;Table5[[#This Row],[Type]],50,0)</f>
        <v>1522</v>
      </c>
      <c r="X1110" s="51">
        <f>RANK(Table5[[#This Row],[zScore]],Table5[[#All],[zScore]])</f>
        <v>1065</v>
      </c>
      <c r="Y1110" s="50" t="str">
        <f>IFERROR(INDEX(DraftResults[[#All],[OVR]],MATCH(Table5[[#This Row],[PID]],DraftResults[[#All],[Player ID]],0)),"")</f>
        <v/>
      </c>
      <c r="Z11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0" s="50" t="str">
        <f>IFERROR(INDEX(DraftResults[[#All],[Pick in Round]],MATCH(Table5[[#This Row],[PID]],DraftResults[[#All],[Player ID]],0)),"")</f>
        <v/>
      </c>
      <c r="AB1110" s="50" t="str">
        <f>IFERROR(INDEX(DraftResults[[#All],[Team Name]],MATCH(Table5[[#This Row],[PID]],DraftResults[[#All],[Player ID]],0)),"")</f>
        <v/>
      </c>
      <c r="AC1110" s="50" t="str">
        <f>IF(Table5[[#This Row],[Ovr]]="","",IF(Table5[[#This Row],[cmbList]]="","",Table5[[#This Row],[cmbList]]-Table5[[#This Row],[Ovr]]))</f>
        <v/>
      </c>
      <c r="AD1110" s="54" t="str">
        <f>IF(ISERROR(VLOOKUP($AB1110&amp;"-"&amp;$E1110&amp;" "&amp;F1110,Bonuses!$B$1:$G$1006,4,FALSE)),"",INT(VLOOKUP($AB1110&amp;"-"&amp;$E1110&amp;" "&amp;$F1110,Bonuses!$B$1:$G$1006,4,FALSE)))</f>
        <v/>
      </c>
      <c r="AE11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1" spans="1:31" s="50" customFormat="1" x14ac:dyDescent="0.25">
      <c r="A1111" s="50">
        <v>18180</v>
      </c>
      <c r="B1111" s="50">
        <f>COUNTIF(Table5[PID],A1111)</f>
        <v>1</v>
      </c>
      <c r="C1111" s="50" t="str">
        <f>IF(COUNTIF(Table3[[#All],[PID]],A1111)&gt;0,"P","B")</f>
        <v>B</v>
      </c>
      <c r="D1111" s="59" t="str">
        <f>IF($C1111="B",INDEX(Batters[[#All],[POS]],MATCH(Table5[[#This Row],[PID]],Batters[[#All],[PID]],0)),INDEX(Table3[[#All],[POS]],MATCH(Table5[[#This Row],[PID]],Table3[[#All],[PID]],0)))</f>
        <v>1B</v>
      </c>
      <c r="E1111" s="52" t="str">
        <f>IF($C1111="B",INDEX(Batters[[#All],[First]],MATCH(Table5[[#This Row],[PID]],Batters[[#All],[PID]],0)),INDEX(Table3[[#All],[First]],MATCH(Table5[[#This Row],[PID]],Table3[[#All],[PID]],0)))</f>
        <v>Ángel</v>
      </c>
      <c r="F1111" s="50" t="str">
        <f>IF($C1111="B",INDEX(Batters[[#All],[Last]],MATCH(A1111,Batters[[#All],[PID]],0)),INDEX(Table3[[#All],[Last]],MATCH(A1111,Table3[[#All],[PID]],0)))</f>
        <v>Noriega</v>
      </c>
      <c r="G1111" s="56">
        <f>IF($C1111="B",INDEX(Batters[[#All],[Age]],MATCH(Table5[[#This Row],[PID]],Batters[[#All],[PID]],0)),INDEX(Table3[[#All],[Age]],MATCH(Table5[[#This Row],[PID]],Table3[[#All],[PID]],0)))</f>
        <v>18</v>
      </c>
      <c r="H1111" s="52" t="str">
        <f>IF($C1111="B",INDEX(Batters[[#All],[B]],MATCH(Table5[[#This Row],[PID]],Batters[[#All],[PID]],0)),INDEX(Table3[[#All],[B]],MATCH(Table5[[#This Row],[PID]],Table3[[#All],[PID]],0)))</f>
        <v>R</v>
      </c>
      <c r="I1111" s="52" t="str">
        <f>IF($C1111="B",INDEX(Batters[[#All],[T]],MATCH(Table5[[#This Row],[PID]],Batters[[#All],[PID]],0)),INDEX(Table3[[#All],[T]],MATCH(Table5[[#This Row],[PID]],Table3[[#All],[PID]],0)))</f>
        <v>R</v>
      </c>
      <c r="J1111" s="52" t="str">
        <f>IF($C1111="B",INDEX(Batters[[#All],[WE]],MATCH(Table5[[#This Row],[PID]],Batters[[#All],[PID]],0)),INDEX(Table3[[#All],[WE]],MATCH(Table5[[#This Row],[PID]],Table3[[#All],[PID]],0)))</f>
        <v>Low</v>
      </c>
      <c r="K1111" s="52" t="str">
        <f>IF($C1111="B",INDEX(Batters[[#All],[INT]],MATCH(Table5[[#This Row],[PID]],Batters[[#All],[PID]],0)),INDEX(Table3[[#All],[INT]],MATCH(Table5[[#This Row],[PID]],Table3[[#All],[PID]],0)))</f>
        <v>Normal</v>
      </c>
      <c r="L1111" s="60">
        <f>IF($C1111="B",INDEX(Batters[[#All],[CON P]],MATCH(Table5[[#This Row],[PID]],Batters[[#All],[PID]],0)),INDEX(Table3[[#All],[STU P]],MATCH(Table5[[#This Row],[PID]],Table3[[#All],[PID]],0)))</f>
        <v>3</v>
      </c>
      <c r="M1111" s="56">
        <f>IF($C1111="B",INDEX(Batters[[#All],[GAP P]],MATCH(Table5[[#This Row],[PID]],Batters[[#All],[PID]],0)),INDEX(Table3[[#All],[MOV P]],MATCH(Table5[[#This Row],[PID]],Table3[[#All],[PID]],0)))</f>
        <v>2</v>
      </c>
      <c r="N1111" s="56">
        <f>IF($C1111="B",INDEX(Batters[[#All],[POW P]],MATCH(Table5[[#This Row],[PID]],Batters[[#All],[PID]],0)),INDEX(Table3[[#All],[CON P]],MATCH(Table5[[#This Row],[PID]],Table3[[#All],[PID]],0)))</f>
        <v>4</v>
      </c>
      <c r="O1111" s="56">
        <f>IF($C1111="B",INDEX(Batters[[#All],[EYE P]],MATCH(Table5[[#This Row],[PID]],Batters[[#All],[PID]],0)),INDEX(Table3[[#All],[VELO]],MATCH(Table5[[#This Row],[PID]],Table3[[#All],[PID]],0)))</f>
        <v>4</v>
      </c>
      <c r="P1111" s="56">
        <f>IF($C1111="B",INDEX(Batters[[#All],[K P]],MATCH(Table5[[#This Row],[PID]],Batters[[#All],[PID]],0)),INDEX(Table3[[#All],[STM]],MATCH(Table5[[#This Row],[PID]],Table3[[#All],[PID]],0)))</f>
        <v>3</v>
      </c>
      <c r="Q1111" s="61">
        <f>IF($C1111="B",INDEX(Batters[[#All],[Tot]],MATCH(Table5[[#This Row],[PID]],Batters[[#All],[PID]],0)),INDEX(Table3[[#All],[Tot]],MATCH(Table5[[#This Row],[PID]],Table3[[#All],[PID]],0)))</f>
        <v>40.355293314926115</v>
      </c>
      <c r="R1111" s="52">
        <f>IF($C1111="B",INDEX(Batters[[#All],[zScore]],MATCH(Table5[[#This Row],[PID]],Batters[[#All],[PID]],0)),INDEX(Table3[[#All],[zScore]],MATCH(Table5[[#This Row],[PID]],Table3[[#All],[PID]],0)))</f>
        <v>-0.83730803612766569</v>
      </c>
      <c r="S1111" s="58" t="str">
        <f>IF($C1111="B",INDEX(Batters[[#All],[DEM]],MATCH(Table5[[#This Row],[PID]],Batters[[#All],[PID]],0)),INDEX(Table3[[#All],[DEM]],MATCH(Table5[[#This Row],[PID]],Table3[[#All],[PID]],0)))</f>
        <v>$2.4m</v>
      </c>
      <c r="T1111" s="62">
        <f>IF($C1111="B",INDEX(Batters[[#All],[Rnk]],MATCH(Table5[[#This Row],[PID]],Batters[[#All],[PID]],0)),INDEX(Table3[[#All],[Rnk]],MATCH(Table5[[#This Row],[PID]],Table3[[#All],[PID]],0)))</f>
        <v>408</v>
      </c>
      <c r="U1111" s="68">
        <f>IF($C1111="B",VLOOKUP($A1111,Bat!$A$4:$BA$1621,47,FALSE),VLOOKUP($A1111,Pit!$A$4:$BF$1557,56,FALSE))</f>
        <v>0</v>
      </c>
      <c r="V1111" s="50">
        <f>IF($C1111="B",VLOOKUP($A1111,Bat!$A$4:$BA$1621,48,FALSE),VLOOKUP($A1111,Pit!$A$4:$BF$1557,57,FALSE))</f>
        <v>0</v>
      </c>
      <c r="W1111" s="50">
        <f>Table5[[#This Row],[posRnk]]+Table5[[#This Row],[zRnk]]+IF($W$3&lt;&gt;Table5[[#This Row],[Type]],50,0)</f>
        <v>1524</v>
      </c>
      <c r="X1111" s="51">
        <f>RANK(Table5[[#This Row],[zScore]],Table5[[#All],[zScore]])</f>
        <v>1066</v>
      </c>
      <c r="Y1111" s="50" t="str">
        <f>IFERROR(INDEX(DraftResults[[#All],[OVR]],MATCH(Table5[[#This Row],[PID]],DraftResults[[#All],[Player ID]],0)),"")</f>
        <v/>
      </c>
      <c r="Z11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1" s="50" t="str">
        <f>IFERROR(INDEX(DraftResults[[#All],[Pick in Round]],MATCH(Table5[[#This Row],[PID]],DraftResults[[#All],[Player ID]],0)),"")</f>
        <v/>
      </c>
      <c r="AB1111" s="50" t="str">
        <f>IFERROR(INDEX(DraftResults[[#All],[Team Name]],MATCH(Table5[[#This Row],[PID]],DraftResults[[#All],[Player ID]],0)),"")</f>
        <v/>
      </c>
      <c r="AC1111" s="50" t="str">
        <f>IF(Table5[[#This Row],[Ovr]]="","",IF(Table5[[#This Row],[cmbList]]="","",Table5[[#This Row],[cmbList]]-Table5[[#This Row],[Ovr]]))</f>
        <v/>
      </c>
      <c r="AD1111" s="54" t="str">
        <f>IF(ISERROR(VLOOKUP($AB1111&amp;"-"&amp;$E1111&amp;" "&amp;F1111,Bonuses!$B$1:$G$1006,4,FALSE)),"",INT(VLOOKUP($AB1111&amp;"-"&amp;$E1111&amp;" "&amp;$F1111,Bonuses!$B$1:$G$1006,4,FALSE)))</f>
        <v/>
      </c>
      <c r="AE11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2" spans="1:31" s="50" customFormat="1" x14ac:dyDescent="0.25">
      <c r="A1112" s="50">
        <v>20847</v>
      </c>
      <c r="B1112" s="50">
        <f>COUNTIF(Table5[PID],A1112)</f>
        <v>1</v>
      </c>
      <c r="C1112" s="50" t="str">
        <f>IF(COUNTIF(Table3[[#All],[PID]],A1112)&gt;0,"P","B")</f>
        <v>B</v>
      </c>
      <c r="D1112" s="59" t="str">
        <f>IF($C1112="B",INDEX(Batters[[#All],[POS]],MATCH(Table5[[#This Row],[PID]],Batters[[#All],[PID]],0)),INDEX(Table3[[#All],[POS]],MATCH(Table5[[#This Row],[PID]],Table3[[#All],[PID]],0)))</f>
        <v>3B</v>
      </c>
      <c r="E1112" s="52" t="str">
        <f>IF($C1112="B",INDEX(Batters[[#All],[First]],MATCH(Table5[[#This Row],[PID]],Batters[[#All],[PID]],0)),INDEX(Table3[[#All],[First]],MATCH(Table5[[#This Row],[PID]],Table3[[#All],[PID]],0)))</f>
        <v>Jason</v>
      </c>
      <c r="F1112" s="50" t="str">
        <f>IF($C1112="B",INDEX(Batters[[#All],[Last]],MATCH(A1112,Batters[[#All],[PID]],0)),INDEX(Table3[[#All],[Last]],MATCH(A1112,Table3[[#All],[PID]],0)))</f>
        <v>Quinn</v>
      </c>
      <c r="G1112" s="56">
        <f>IF($C1112="B",INDEX(Batters[[#All],[Age]],MATCH(Table5[[#This Row],[PID]],Batters[[#All],[PID]],0)),INDEX(Table3[[#All],[Age]],MATCH(Table5[[#This Row],[PID]],Table3[[#All],[PID]],0)))</f>
        <v>17</v>
      </c>
      <c r="H1112" s="52" t="str">
        <f>IF($C1112="B",INDEX(Batters[[#All],[B]],MATCH(Table5[[#This Row],[PID]],Batters[[#All],[PID]],0)),INDEX(Table3[[#All],[B]],MATCH(Table5[[#This Row],[PID]],Table3[[#All],[PID]],0)))</f>
        <v>R</v>
      </c>
      <c r="I1112" s="52" t="str">
        <f>IF($C1112="B",INDEX(Batters[[#All],[T]],MATCH(Table5[[#This Row],[PID]],Batters[[#All],[PID]],0)),INDEX(Table3[[#All],[T]],MATCH(Table5[[#This Row],[PID]],Table3[[#All],[PID]],0)))</f>
        <v>R</v>
      </c>
      <c r="J1112" s="52" t="str">
        <f>IF($C1112="B",INDEX(Batters[[#All],[WE]],MATCH(Table5[[#This Row],[PID]],Batters[[#All],[PID]],0)),INDEX(Table3[[#All],[WE]],MATCH(Table5[[#This Row],[PID]],Table3[[#All],[PID]],0)))</f>
        <v>Normal</v>
      </c>
      <c r="K1112" s="52" t="str">
        <f>IF($C1112="B",INDEX(Batters[[#All],[INT]],MATCH(Table5[[#This Row],[PID]],Batters[[#All],[PID]],0)),INDEX(Table3[[#All],[INT]],MATCH(Table5[[#This Row],[PID]],Table3[[#All],[PID]],0)))</f>
        <v>Low</v>
      </c>
      <c r="L1112" s="60">
        <f>IF($C1112="B",INDEX(Batters[[#All],[CON P]],MATCH(Table5[[#This Row],[PID]],Batters[[#All],[PID]],0)),INDEX(Table3[[#All],[STU P]],MATCH(Table5[[#This Row],[PID]],Table3[[#All],[PID]],0)))</f>
        <v>3</v>
      </c>
      <c r="M1112" s="56">
        <f>IF($C1112="B",INDEX(Batters[[#All],[GAP P]],MATCH(Table5[[#This Row],[PID]],Batters[[#All],[PID]],0)),INDEX(Table3[[#All],[MOV P]],MATCH(Table5[[#This Row],[PID]],Table3[[#All],[PID]],0)))</f>
        <v>4</v>
      </c>
      <c r="N1112" s="56">
        <f>IF($C1112="B",INDEX(Batters[[#All],[POW P]],MATCH(Table5[[#This Row],[PID]],Batters[[#All],[PID]],0)),INDEX(Table3[[#All],[CON P]],MATCH(Table5[[#This Row],[PID]],Table3[[#All],[PID]],0)))</f>
        <v>2</v>
      </c>
      <c r="O1112" s="56">
        <f>IF($C1112="B",INDEX(Batters[[#All],[EYE P]],MATCH(Table5[[#This Row],[PID]],Batters[[#All],[PID]],0)),INDEX(Table3[[#All],[VELO]],MATCH(Table5[[#This Row],[PID]],Table3[[#All],[PID]],0)))</f>
        <v>5</v>
      </c>
      <c r="P1112" s="56">
        <f>IF($C1112="B",INDEX(Batters[[#All],[K P]],MATCH(Table5[[#This Row],[PID]],Batters[[#All],[PID]],0)),INDEX(Table3[[#All],[STM]],MATCH(Table5[[#This Row],[PID]],Table3[[#All],[PID]],0)))</f>
        <v>3</v>
      </c>
      <c r="Q1112" s="61">
        <f>IF($C1112="B",INDEX(Batters[[#All],[Tot]],MATCH(Table5[[#This Row],[PID]],Batters[[#All],[PID]],0)),INDEX(Table3[[#All],[Tot]],MATCH(Table5[[#This Row],[PID]],Table3[[#All],[PID]],0)))</f>
        <v>40.344512778945827</v>
      </c>
      <c r="R1112" s="52">
        <f>IF($C1112="B",INDEX(Batters[[#All],[zScore]],MATCH(Table5[[#This Row],[PID]],Batters[[#All],[PID]],0)),INDEX(Table3[[#All],[zScore]],MATCH(Table5[[#This Row],[PID]],Table3[[#All],[PID]],0)))</f>
        <v>-0.83969815382415602</v>
      </c>
      <c r="S1112" s="58" t="str">
        <f>IF($C1112="B",INDEX(Batters[[#All],[DEM]],MATCH(Table5[[#This Row],[PID]],Batters[[#All],[PID]],0)),INDEX(Table3[[#All],[DEM]],MATCH(Table5[[#This Row],[PID]],Table3[[#All],[PID]],0)))</f>
        <v>$70k</v>
      </c>
      <c r="T1112" s="62">
        <f>IF($C1112="B",INDEX(Batters[[#All],[Rnk]],MATCH(Table5[[#This Row],[PID]],Batters[[#All],[PID]],0)),INDEX(Table3[[#All],[Rnk]],MATCH(Table5[[#This Row],[PID]],Table3[[#All],[PID]],0)))</f>
        <v>409</v>
      </c>
      <c r="U1112" s="68">
        <f>IF($C1112="B",VLOOKUP($A1112,Bat!$A$4:$BA$1621,47,FALSE),VLOOKUP($A1112,Pit!$A$4:$BF$1557,56,FALSE))</f>
        <v>0</v>
      </c>
      <c r="V1112" s="50">
        <f>IF($C1112="B",VLOOKUP($A1112,Bat!$A$4:$BA$1621,48,FALSE),VLOOKUP($A1112,Pit!$A$4:$BF$1557,57,FALSE))</f>
        <v>0</v>
      </c>
      <c r="W1112" s="50">
        <f>Table5[[#This Row],[posRnk]]+Table5[[#This Row],[zRnk]]+IF($W$3&lt;&gt;Table5[[#This Row],[Type]],50,0)</f>
        <v>1526</v>
      </c>
      <c r="X1112" s="51">
        <f>RANK(Table5[[#This Row],[zScore]],Table5[[#All],[zScore]])</f>
        <v>1067</v>
      </c>
      <c r="Y1112" s="50" t="str">
        <f>IFERROR(INDEX(DraftResults[[#All],[OVR]],MATCH(Table5[[#This Row],[PID]],DraftResults[[#All],[Player ID]],0)),"")</f>
        <v/>
      </c>
      <c r="Z11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2" s="50" t="str">
        <f>IFERROR(INDEX(DraftResults[[#All],[Pick in Round]],MATCH(Table5[[#This Row],[PID]],DraftResults[[#All],[Player ID]],0)),"")</f>
        <v/>
      </c>
      <c r="AB1112" s="50" t="str">
        <f>IFERROR(INDEX(DraftResults[[#All],[Team Name]],MATCH(Table5[[#This Row],[PID]],DraftResults[[#All],[Player ID]],0)),"")</f>
        <v/>
      </c>
      <c r="AC1112" s="50" t="str">
        <f>IF(Table5[[#This Row],[Ovr]]="","",IF(Table5[[#This Row],[cmbList]]="","",Table5[[#This Row],[cmbList]]-Table5[[#This Row],[Ovr]]))</f>
        <v/>
      </c>
      <c r="AD1112" s="54" t="str">
        <f>IF(ISERROR(VLOOKUP($AB1112&amp;"-"&amp;$E1112&amp;" "&amp;F1112,Bonuses!$B$1:$G$1006,4,FALSE)),"",INT(VLOOKUP($AB1112&amp;"-"&amp;$E1112&amp;" "&amp;$F1112,Bonuses!$B$1:$G$1006,4,FALSE)))</f>
        <v/>
      </c>
      <c r="AE11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3" spans="1:31" s="50" customFormat="1" x14ac:dyDescent="0.25">
      <c r="A1113" s="50">
        <v>20990</v>
      </c>
      <c r="B1113" s="50">
        <f>COUNTIF(Table5[PID],A1113)</f>
        <v>1</v>
      </c>
      <c r="C1113" s="50" t="str">
        <f>IF(COUNTIF(Table3[[#All],[PID]],A1113)&gt;0,"P","B")</f>
        <v>B</v>
      </c>
      <c r="D1113" s="59" t="str">
        <f>IF($C1113="B",INDEX(Batters[[#All],[POS]],MATCH(Table5[[#This Row],[PID]],Batters[[#All],[PID]],0)),INDEX(Table3[[#All],[POS]],MATCH(Table5[[#This Row],[PID]],Table3[[#All],[PID]],0)))</f>
        <v>1B</v>
      </c>
      <c r="E1113" s="52" t="str">
        <f>IF($C1113="B",INDEX(Batters[[#All],[First]],MATCH(Table5[[#This Row],[PID]],Batters[[#All],[PID]],0)),INDEX(Table3[[#All],[First]],MATCH(Table5[[#This Row],[PID]],Table3[[#All],[PID]],0)))</f>
        <v>Donald</v>
      </c>
      <c r="F1113" s="50" t="str">
        <f>IF($C1113="B",INDEX(Batters[[#All],[Last]],MATCH(A1113,Batters[[#All],[PID]],0)),INDEX(Table3[[#All],[Last]],MATCH(A1113,Table3[[#All],[PID]],0)))</f>
        <v>Newcomer</v>
      </c>
      <c r="G1113" s="56">
        <f>IF($C1113="B",INDEX(Batters[[#All],[Age]],MATCH(Table5[[#This Row],[PID]],Batters[[#All],[PID]],0)),INDEX(Table3[[#All],[Age]],MATCH(Table5[[#This Row],[PID]],Table3[[#All],[PID]],0)))</f>
        <v>16</v>
      </c>
      <c r="H1113" s="52" t="str">
        <f>IF($C1113="B",INDEX(Batters[[#All],[B]],MATCH(Table5[[#This Row],[PID]],Batters[[#All],[PID]],0)),INDEX(Table3[[#All],[B]],MATCH(Table5[[#This Row],[PID]],Table3[[#All],[PID]],0)))</f>
        <v>S</v>
      </c>
      <c r="I1113" s="52" t="str">
        <f>IF($C1113="B",INDEX(Batters[[#All],[T]],MATCH(Table5[[#This Row],[PID]],Batters[[#All],[PID]],0)),INDEX(Table3[[#All],[T]],MATCH(Table5[[#This Row],[PID]],Table3[[#All],[PID]],0)))</f>
        <v>R</v>
      </c>
      <c r="J1113" s="52" t="str">
        <f>IF($C1113="B",INDEX(Batters[[#All],[WE]],MATCH(Table5[[#This Row],[PID]],Batters[[#All],[PID]],0)),INDEX(Table3[[#All],[WE]],MATCH(Table5[[#This Row],[PID]],Table3[[#All],[PID]],0)))</f>
        <v>High</v>
      </c>
      <c r="K1113" s="52" t="str">
        <f>IF($C1113="B",INDEX(Batters[[#All],[INT]],MATCH(Table5[[#This Row],[PID]],Batters[[#All],[PID]],0)),INDEX(Table3[[#All],[INT]],MATCH(Table5[[#This Row],[PID]],Table3[[#All],[PID]],0)))</f>
        <v>High</v>
      </c>
      <c r="L1113" s="60">
        <f>IF($C1113="B",INDEX(Batters[[#All],[CON P]],MATCH(Table5[[#This Row],[PID]],Batters[[#All],[PID]],0)),INDEX(Table3[[#All],[STU P]],MATCH(Table5[[#This Row],[PID]],Table3[[#All],[PID]],0)))</f>
        <v>2</v>
      </c>
      <c r="M1113" s="56">
        <f>IF($C1113="B",INDEX(Batters[[#All],[GAP P]],MATCH(Table5[[#This Row],[PID]],Batters[[#All],[PID]],0)),INDEX(Table3[[#All],[MOV P]],MATCH(Table5[[#This Row],[PID]],Table3[[#All],[PID]],0)))</f>
        <v>3</v>
      </c>
      <c r="N1113" s="56">
        <f>IF($C1113="B",INDEX(Batters[[#All],[POW P]],MATCH(Table5[[#This Row],[PID]],Batters[[#All],[PID]],0)),INDEX(Table3[[#All],[CON P]],MATCH(Table5[[#This Row],[PID]],Table3[[#All],[PID]],0)))</f>
        <v>5</v>
      </c>
      <c r="O1113" s="56">
        <f>IF($C1113="B",INDEX(Batters[[#All],[EYE P]],MATCH(Table5[[#This Row],[PID]],Batters[[#All],[PID]],0)),INDEX(Table3[[#All],[VELO]],MATCH(Table5[[#This Row],[PID]],Table3[[#All],[PID]],0)))</f>
        <v>6</v>
      </c>
      <c r="P1113" s="56">
        <f>IF($C1113="B",INDEX(Batters[[#All],[K P]],MATCH(Table5[[#This Row],[PID]],Batters[[#All],[PID]],0)),INDEX(Table3[[#All],[STM]],MATCH(Table5[[#This Row],[PID]],Table3[[#All],[PID]],0)))</f>
        <v>2</v>
      </c>
      <c r="Q1113" s="61">
        <f>IF($C1113="B",INDEX(Batters[[#All],[Tot]],MATCH(Table5[[#This Row],[PID]],Batters[[#All],[PID]],0)),INDEX(Table3[[#All],[Tot]],MATCH(Table5[[#This Row],[PID]],Table3[[#All],[PID]],0)))</f>
        <v>40.342550508297848</v>
      </c>
      <c r="R1113" s="52">
        <f>IF($C1113="B",INDEX(Batters[[#All],[zScore]],MATCH(Table5[[#This Row],[PID]],Batters[[#All],[PID]],0)),INDEX(Table3[[#All],[zScore]],MATCH(Table5[[#This Row],[PID]],Table3[[#All],[PID]],0)))</f>
        <v>-0.84013320249053158</v>
      </c>
      <c r="S1113" s="58" t="str">
        <f>IF($C1113="B",INDEX(Batters[[#All],[DEM]],MATCH(Table5[[#This Row],[PID]],Batters[[#All],[PID]],0)),INDEX(Table3[[#All],[DEM]],MATCH(Table5[[#This Row],[PID]],Table3[[#All],[PID]],0)))</f>
        <v>$38k</v>
      </c>
      <c r="T1113" s="62">
        <f>IF($C1113="B",INDEX(Batters[[#All],[Rnk]],MATCH(Table5[[#This Row],[PID]],Batters[[#All],[PID]],0)),INDEX(Table3[[#All],[Rnk]],MATCH(Table5[[#This Row],[PID]],Table3[[#All],[PID]],0)))</f>
        <v>410</v>
      </c>
      <c r="U1113" s="68">
        <f>IF($C1113="B",VLOOKUP($A1113,Bat!$A$4:$BA$1621,47,FALSE),VLOOKUP($A1113,Pit!$A$4:$BF$1557,56,FALSE))</f>
        <v>0</v>
      </c>
      <c r="V1113" s="50">
        <f>IF($C1113="B",VLOOKUP($A1113,Bat!$A$4:$BA$1621,48,FALSE),VLOOKUP($A1113,Pit!$A$4:$BF$1557,57,FALSE))</f>
        <v>0</v>
      </c>
      <c r="W1113" s="50">
        <f>Table5[[#This Row],[posRnk]]+Table5[[#This Row],[zRnk]]+IF($W$3&lt;&gt;Table5[[#This Row],[Type]],50,0)</f>
        <v>1528</v>
      </c>
      <c r="X1113" s="51">
        <f>RANK(Table5[[#This Row],[zScore]],Table5[[#All],[zScore]])</f>
        <v>1068</v>
      </c>
      <c r="Y1113" s="50" t="str">
        <f>IFERROR(INDEX(DraftResults[[#All],[OVR]],MATCH(Table5[[#This Row],[PID]],DraftResults[[#All],[Player ID]],0)),"")</f>
        <v/>
      </c>
      <c r="Z11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3" s="50" t="str">
        <f>IFERROR(INDEX(DraftResults[[#All],[Pick in Round]],MATCH(Table5[[#This Row],[PID]],DraftResults[[#All],[Player ID]],0)),"")</f>
        <v/>
      </c>
      <c r="AB1113" s="50" t="str">
        <f>IFERROR(INDEX(DraftResults[[#All],[Team Name]],MATCH(Table5[[#This Row],[PID]],DraftResults[[#All],[Player ID]],0)),"")</f>
        <v/>
      </c>
      <c r="AC1113" s="50" t="str">
        <f>IF(Table5[[#This Row],[Ovr]]="","",IF(Table5[[#This Row],[cmbList]]="","",Table5[[#This Row],[cmbList]]-Table5[[#This Row],[Ovr]]))</f>
        <v/>
      </c>
      <c r="AD1113" s="54" t="str">
        <f>IF(ISERROR(VLOOKUP($AB1113&amp;"-"&amp;$E1113&amp;" "&amp;F1113,Bonuses!$B$1:$G$1006,4,FALSE)),"",INT(VLOOKUP($AB1113&amp;"-"&amp;$E1113&amp;" "&amp;$F1113,Bonuses!$B$1:$G$1006,4,FALSE)))</f>
        <v/>
      </c>
      <c r="AE11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4" spans="1:31" s="50" customFormat="1" x14ac:dyDescent="0.25">
      <c r="A1114" s="50">
        <v>20974</v>
      </c>
      <c r="B1114" s="50">
        <f>COUNTIF(Table5[PID],A1114)</f>
        <v>1</v>
      </c>
      <c r="C1114" s="50" t="str">
        <f>IF(COUNTIF(Table3[[#All],[PID]],A1114)&gt;0,"P","B")</f>
        <v>B</v>
      </c>
      <c r="D1114" s="59" t="str">
        <f>IF($C1114="B",INDEX(Batters[[#All],[POS]],MATCH(Table5[[#This Row],[PID]],Batters[[#All],[PID]],0)),INDEX(Table3[[#All],[POS]],MATCH(Table5[[#This Row],[PID]],Table3[[#All],[PID]],0)))</f>
        <v>RF</v>
      </c>
      <c r="E1114" s="52" t="str">
        <f>IF($C1114="B",INDEX(Batters[[#All],[First]],MATCH(Table5[[#This Row],[PID]],Batters[[#All],[PID]],0)),INDEX(Table3[[#All],[First]],MATCH(Table5[[#This Row],[PID]],Table3[[#All],[PID]],0)))</f>
        <v>Brandon</v>
      </c>
      <c r="F1114" s="50" t="str">
        <f>IF($C1114="B",INDEX(Batters[[#All],[Last]],MATCH(A1114,Batters[[#All],[PID]],0)),INDEX(Table3[[#All],[Last]],MATCH(A1114,Table3[[#All],[PID]],0)))</f>
        <v>Beasley</v>
      </c>
      <c r="G1114" s="56">
        <f>IF($C1114="B",INDEX(Batters[[#All],[Age]],MATCH(Table5[[#This Row],[PID]],Batters[[#All],[PID]],0)),INDEX(Table3[[#All],[Age]],MATCH(Table5[[#This Row],[PID]],Table3[[#All],[PID]],0)))</f>
        <v>17</v>
      </c>
      <c r="H1114" s="52" t="str">
        <f>IF($C1114="B",INDEX(Batters[[#All],[B]],MATCH(Table5[[#This Row],[PID]],Batters[[#All],[PID]],0)),INDEX(Table3[[#All],[B]],MATCH(Table5[[#This Row],[PID]],Table3[[#All],[PID]],0)))</f>
        <v>R</v>
      </c>
      <c r="I1114" s="52" t="str">
        <f>IF($C1114="B",INDEX(Batters[[#All],[T]],MATCH(Table5[[#This Row],[PID]],Batters[[#All],[PID]],0)),INDEX(Table3[[#All],[T]],MATCH(Table5[[#This Row],[PID]],Table3[[#All],[PID]],0)))</f>
        <v>L</v>
      </c>
      <c r="J1114" s="52" t="str">
        <f>IF($C1114="B",INDEX(Batters[[#All],[WE]],MATCH(Table5[[#This Row],[PID]],Batters[[#All],[PID]],0)),INDEX(Table3[[#All],[WE]],MATCH(Table5[[#This Row],[PID]],Table3[[#All],[PID]],0)))</f>
        <v>High</v>
      </c>
      <c r="K1114" s="52" t="str">
        <f>IF($C1114="B",INDEX(Batters[[#All],[INT]],MATCH(Table5[[#This Row],[PID]],Batters[[#All],[PID]],0)),INDEX(Table3[[#All],[INT]],MATCH(Table5[[#This Row],[PID]],Table3[[#All],[PID]],0)))</f>
        <v>Normal</v>
      </c>
      <c r="L1114" s="60">
        <f>IF($C1114="B",INDEX(Batters[[#All],[CON P]],MATCH(Table5[[#This Row],[PID]],Batters[[#All],[PID]],0)),INDEX(Table3[[#All],[STU P]],MATCH(Table5[[#This Row],[PID]],Table3[[#All],[PID]],0)))</f>
        <v>3</v>
      </c>
      <c r="M1114" s="56">
        <f>IF($C1114="B",INDEX(Batters[[#All],[GAP P]],MATCH(Table5[[#This Row],[PID]],Batters[[#All],[PID]],0)),INDEX(Table3[[#All],[MOV P]],MATCH(Table5[[#This Row],[PID]],Table3[[#All],[PID]],0)))</f>
        <v>4</v>
      </c>
      <c r="N1114" s="56">
        <f>IF($C1114="B",INDEX(Batters[[#All],[POW P]],MATCH(Table5[[#This Row],[PID]],Batters[[#All],[PID]],0)),INDEX(Table3[[#All],[CON P]],MATCH(Table5[[#This Row],[PID]],Table3[[#All],[PID]],0)))</f>
        <v>2</v>
      </c>
      <c r="O1114" s="56">
        <f>IF($C1114="B",INDEX(Batters[[#All],[EYE P]],MATCH(Table5[[#This Row],[PID]],Batters[[#All],[PID]],0)),INDEX(Table3[[#All],[VELO]],MATCH(Table5[[#This Row],[PID]],Table3[[#All],[PID]],0)))</f>
        <v>4</v>
      </c>
      <c r="P1114" s="56">
        <f>IF($C1114="B",INDEX(Batters[[#All],[K P]],MATCH(Table5[[#This Row],[PID]],Batters[[#All],[PID]],0)),INDEX(Table3[[#All],[STM]],MATCH(Table5[[#This Row],[PID]],Table3[[#All],[PID]],0)))</f>
        <v>4</v>
      </c>
      <c r="Q1114" s="61">
        <f>IF($C1114="B",INDEX(Batters[[#All],[Tot]],MATCH(Table5[[#This Row],[PID]],Batters[[#All],[PID]],0)),INDEX(Table3[[#All],[Tot]],MATCH(Table5[[#This Row],[PID]],Table3[[#All],[PID]],0)))</f>
        <v>40.339223301634902</v>
      </c>
      <c r="R1114" s="52">
        <f>IF($C1114="B",INDEX(Batters[[#All],[zScore]],MATCH(Table5[[#This Row],[PID]],Batters[[#All],[PID]],0)),INDEX(Table3[[#All],[zScore]],MATCH(Table5[[#This Row],[PID]],Table3[[#All],[PID]],0)))</f>
        <v>-0.84087086669753641</v>
      </c>
      <c r="S1114" s="58" t="str">
        <f>IF($C1114="B",INDEX(Batters[[#All],[DEM]],MATCH(Table5[[#This Row],[PID]],Batters[[#All],[PID]],0)),INDEX(Table3[[#All],[DEM]],MATCH(Table5[[#This Row],[PID]],Table3[[#All],[PID]],0)))</f>
        <v>$65k</v>
      </c>
      <c r="T1114" s="62">
        <f>IF($C1114="B",INDEX(Batters[[#All],[Rnk]],MATCH(Table5[[#This Row],[PID]],Batters[[#All],[PID]],0)),INDEX(Table3[[#All],[Rnk]],MATCH(Table5[[#This Row],[PID]],Table3[[#All],[PID]],0)))</f>
        <v>411</v>
      </c>
      <c r="U1114" s="68">
        <f>IF($C1114="B",VLOOKUP($A1114,Bat!$A$4:$BA$1621,47,FALSE),VLOOKUP($A1114,Pit!$A$4:$BF$1557,56,FALSE))</f>
        <v>0</v>
      </c>
      <c r="V1114" s="50">
        <f>IF($C1114="B",VLOOKUP($A1114,Bat!$A$4:$BA$1621,48,FALSE),VLOOKUP($A1114,Pit!$A$4:$BF$1557,57,FALSE))</f>
        <v>0</v>
      </c>
      <c r="W1114" s="50">
        <f>Table5[[#This Row],[posRnk]]+Table5[[#This Row],[zRnk]]+IF($W$3&lt;&gt;Table5[[#This Row],[Type]],50,0)</f>
        <v>1530</v>
      </c>
      <c r="X1114" s="51">
        <f>RANK(Table5[[#This Row],[zScore]],Table5[[#All],[zScore]])</f>
        <v>1069</v>
      </c>
      <c r="Y1114" s="50" t="str">
        <f>IFERROR(INDEX(DraftResults[[#All],[OVR]],MATCH(Table5[[#This Row],[PID]],DraftResults[[#All],[Player ID]],0)),"")</f>
        <v/>
      </c>
      <c r="Z11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4" s="50" t="str">
        <f>IFERROR(INDEX(DraftResults[[#All],[Pick in Round]],MATCH(Table5[[#This Row],[PID]],DraftResults[[#All],[Player ID]],0)),"")</f>
        <v/>
      </c>
      <c r="AB1114" s="50" t="str">
        <f>IFERROR(INDEX(DraftResults[[#All],[Team Name]],MATCH(Table5[[#This Row],[PID]],DraftResults[[#All],[Player ID]],0)),"")</f>
        <v/>
      </c>
      <c r="AC1114" s="50" t="str">
        <f>IF(Table5[[#This Row],[Ovr]]="","",IF(Table5[[#This Row],[cmbList]]="","",Table5[[#This Row],[cmbList]]-Table5[[#This Row],[Ovr]]))</f>
        <v/>
      </c>
      <c r="AD1114" s="54" t="str">
        <f>IF(ISERROR(VLOOKUP($AB1114&amp;"-"&amp;$E1114&amp;" "&amp;F1114,Bonuses!$B$1:$G$1006,4,FALSE)),"",INT(VLOOKUP($AB1114&amp;"-"&amp;$E1114&amp;" "&amp;$F1114,Bonuses!$B$1:$G$1006,4,FALSE)))</f>
        <v/>
      </c>
      <c r="AE11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5" spans="1:31" s="50" customFormat="1" x14ac:dyDescent="0.25">
      <c r="A1115" s="50">
        <v>18227</v>
      </c>
      <c r="B1115" s="50">
        <f>COUNTIF(Table5[PID],A1115)</f>
        <v>1</v>
      </c>
      <c r="C1115" s="50" t="str">
        <f>IF(COUNTIF(Table3[[#All],[PID]],A1115)&gt;0,"P","B")</f>
        <v>B</v>
      </c>
      <c r="D1115" s="59" t="str">
        <f>IF($C1115="B",INDEX(Batters[[#All],[POS]],MATCH(Table5[[#This Row],[PID]],Batters[[#All],[PID]],0)),INDEX(Table3[[#All],[POS]],MATCH(Table5[[#This Row],[PID]],Table3[[#All],[PID]],0)))</f>
        <v>1B</v>
      </c>
      <c r="E1115" s="52" t="str">
        <f>IF($C1115="B",INDEX(Batters[[#All],[First]],MATCH(Table5[[#This Row],[PID]],Batters[[#All],[PID]],0)),INDEX(Table3[[#All],[First]],MATCH(Table5[[#This Row],[PID]],Table3[[#All],[PID]],0)))</f>
        <v>George</v>
      </c>
      <c r="F1115" s="50" t="str">
        <f>IF($C1115="B",INDEX(Batters[[#All],[Last]],MATCH(A1115,Batters[[#All],[PID]],0)),INDEX(Table3[[#All],[Last]],MATCH(A1115,Table3[[#All],[PID]],0)))</f>
        <v>Reed</v>
      </c>
      <c r="G1115" s="56">
        <f>IF($C1115="B",INDEX(Batters[[#All],[Age]],MATCH(Table5[[#This Row],[PID]],Batters[[#All],[PID]],0)),INDEX(Table3[[#All],[Age]],MATCH(Table5[[#This Row],[PID]],Table3[[#All],[PID]],0)))</f>
        <v>18</v>
      </c>
      <c r="H1115" s="52" t="str">
        <f>IF($C1115="B",INDEX(Batters[[#All],[B]],MATCH(Table5[[#This Row],[PID]],Batters[[#All],[PID]],0)),INDEX(Table3[[#All],[B]],MATCH(Table5[[#This Row],[PID]],Table3[[#All],[PID]],0)))</f>
        <v>R</v>
      </c>
      <c r="I1115" s="52" t="str">
        <f>IF($C1115="B",INDEX(Batters[[#All],[T]],MATCH(Table5[[#This Row],[PID]],Batters[[#All],[PID]],0)),INDEX(Table3[[#All],[T]],MATCH(Table5[[#This Row],[PID]],Table3[[#All],[PID]],0)))</f>
        <v>R</v>
      </c>
      <c r="J1115" s="52" t="str">
        <f>IF($C1115="B",INDEX(Batters[[#All],[WE]],MATCH(Table5[[#This Row],[PID]],Batters[[#All],[PID]],0)),INDEX(Table3[[#All],[WE]],MATCH(Table5[[#This Row],[PID]],Table3[[#All],[PID]],0)))</f>
        <v>High</v>
      </c>
      <c r="K1115" s="52" t="str">
        <f>IF($C1115="B",INDEX(Batters[[#All],[INT]],MATCH(Table5[[#This Row],[PID]],Batters[[#All],[PID]],0)),INDEX(Table3[[#All],[INT]],MATCH(Table5[[#This Row],[PID]],Table3[[#All],[PID]],0)))</f>
        <v>Normal</v>
      </c>
      <c r="L1115" s="60">
        <f>IF($C1115="B",INDEX(Batters[[#All],[CON P]],MATCH(Table5[[#This Row],[PID]],Batters[[#All],[PID]],0)),INDEX(Table3[[#All],[STU P]],MATCH(Table5[[#This Row],[PID]],Table3[[#All],[PID]],0)))</f>
        <v>3</v>
      </c>
      <c r="M1115" s="56">
        <f>IF($C1115="B",INDEX(Batters[[#All],[GAP P]],MATCH(Table5[[#This Row],[PID]],Batters[[#All],[PID]],0)),INDEX(Table3[[#All],[MOV P]],MATCH(Table5[[#This Row],[PID]],Table3[[#All],[PID]],0)))</f>
        <v>3</v>
      </c>
      <c r="N1115" s="56">
        <f>IF($C1115="B",INDEX(Batters[[#All],[POW P]],MATCH(Table5[[#This Row],[PID]],Batters[[#All],[PID]],0)),INDEX(Table3[[#All],[CON P]],MATCH(Table5[[#This Row],[PID]],Table3[[#All],[PID]],0)))</f>
        <v>2</v>
      </c>
      <c r="O1115" s="56">
        <f>IF($C1115="B",INDEX(Batters[[#All],[EYE P]],MATCH(Table5[[#This Row],[PID]],Batters[[#All],[PID]],0)),INDEX(Table3[[#All],[VELO]],MATCH(Table5[[#This Row],[PID]],Table3[[#All],[PID]],0)))</f>
        <v>5</v>
      </c>
      <c r="P1115" s="56">
        <f>IF($C1115="B",INDEX(Batters[[#All],[K P]],MATCH(Table5[[#This Row],[PID]],Batters[[#All],[PID]],0)),INDEX(Table3[[#All],[STM]],MATCH(Table5[[#This Row],[PID]],Table3[[#All],[PID]],0)))</f>
        <v>3</v>
      </c>
      <c r="Q1115" s="61">
        <f>IF($C1115="B",INDEX(Batters[[#All],[Tot]],MATCH(Table5[[#This Row],[PID]],Batters[[#All],[PID]],0)),INDEX(Table3[[#All],[Tot]],MATCH(Table5[[#This Row],[PID]],Table3[[#All],[PID]],0)))</f>
        <v>40.331794223521385</v>
      </c>
      <c r="R1115" s="52">
        <f>IF($C1115="B",INDEX(Batters[[#All],[zScore]],MATCH(Table5[[#This Row],[PID]],Batters[[#All],[PID]],0)),INDEX(Table3[[#All],[zScore]],MATCH(Table5[[#This Row],[PID]],Table3[[#All],[PID]],0)))</f>
        <v>-0.8425179435312109</v>
      </c>
      <c r="S1115" s="58" t="str">
        <f>IF($C1115="B",INDEX(Batters[[#All],[DEM]],MATCH(Table5[[#This Row],[PID]],Batters[[#All],[PID]],0)),INDEX(Table3[[#All],[DEM]],MATCH(Table5[[#This Row],[PID]],Table3[[#All],[PID]],0)))</f>
        <v>$65k</v>
      </c>
      <c r="T1115" s="62">
        <f>IF($C1115="B",INDEX(Batters[[#All],[Rnk]],MATCH(Table5[[#This Row],[PID]],Batters[[#All],[PID]],0)),INDEX(Table3[[#All],[Rnk]],MATCH(Table5[[#This Row],[PID]],Table3[[#All],[PID]],0)))</f>
        <v>412</v>
      </c>
      <c r="U1115" s="68">
        <f>IF($C1115="B",VLOOKUP($A1115,Bat!$A$4:$BA$1621,47,FALSE),VLOOKUP($A1115,Pit!$A$4:$BF$1557,56,FALSE))</f>
        <v>0</v>
      </c>
      <c r="V1115" s="50">
        <f>IF($C1115="B",VLOOKUP($A1115,Bat!$A$4:$BA$1621,48,FALSE),VLOOKUP($A1115,Pit!$A$4:$BF$1557,57,FALSE))</f>
        <v>0</v>
      </c>
      <c r="W1115" s="50">
        <f>Table5[[#This Row],[posRnk]]+Table5[[#This Row],[zRnk]]+IF($W$3&lt;&gt;Table5[[#This Row],[Type]],50,0)</f>
        <v>1532</v>
      </c>
      <c r="X1115" s="51">
        <f>RANK(Table5[[#This Row],[zScore]],Table5[[#All],[zScore]])</f>
        <v>1070</v>
      </c>
      <c r="Y1115" s="50" t="str">
        <f>IFERROR(INDEX(DraftResults[[#All],[OVR]],MATCH(Table5[[#This Row],[PID]],DraftResults[[#All],[Player ID]],0)),"")</f>
        <v/>
      </c>
      <c r="Z11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5" s="50" t="str">
        <f>IFERROR(INDEX(DraftResults[[#All],[Pick in Round]],MATCH(Table5[[#This Row],[PID]],DraftResults[[#All],[Player ID]],0)),"")</f>
        <v/>
      </c>
      <c r="AB1115" s="50" t="str">
        <f>IFERROR(INDEX(DraftResults[[#All],[Team Name]],MATCH(Table5[[#This Row],[PID]],DraftResults[[#All],[Player ID]],0)),"")</f>
        <v/>
      </c>
      <c r="AC1115" s="50" t="str">
        <f>IF(Table5[[#This Row],[Ovr]]="","",IF(Table5[[#This Row],[cmbList]]="","",Table5[[#This Row],[cmbList]]-Table5[[#This Row],[Ovr]]))</f>
        <v/>
      </c>
      <c r="AD1115" s="54" t="str">
        <f>IF(ISERROR(VLOOKUP($AB1115&amp;"-"&amp;$E1115&amp;" "&amp;F1115,Bonuses!$B$1:$G$1006,4,FALSE)),"",INT(VLOOKUP($AB1115&amp;"-"&amp;$E1115&amp;" "&amp;$F1115,Bonuses!$B$1:$G$1006,4,FALSE)))</f>
        <v/>
      </c>
      <c r="AE11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6" spans="1:31" s="50" customFormat="1" x14ac:dyDescent="0.25">
      <c r="A1116" s="50">
        <v>12851</v>
      </c>
      <c r="B1116" s="50">
        <f>COUNTIF(Table5[PID],A1116)</f>
        <v>1</v>
      </c>
      <c r="C1116" s="50" t="str">
        <f>IF(COUNTIF(Table3[[#All],[PID]],A1116)&gt;0,"P","B")</f>
        <v>B</v>
      </c>
      <c r="D1116" s="59" t="str">
        <f>IF($C1116="B",INDEX(Batters[[#All],[POS]],MATCH(Table5[[#This Row],[PID]],Batters[[#All],[PID]],0)),INDEX(Table3[[#All],[POS]],MATCH(Table5[[#This Row],[PID]],Table3[[#All],[PID]],0)))</f>
        <v>CF</v>
      </c>
      <c r="E1116" s="52" t="str">
        <f>IF($C1116="B",INDEX(Batters[[#All],[First]],MATCH(Table5[[#This Row],[PID]],Batters[[#All],[PID]],0)),INDEX(Table3[[#All],[First]],MATCH(Table5[[#This Row],[PID]],Table3[[#All],[PID]],0)))</f>
        <v>James</v>
      </c>
      <c r="F1116" s="50" t="str">
        <f>IF($C1116="B",INDEX(Batters[[#All],[Last]],MATCH(A1116,Batters[[#All],[PID]],0)),INDEX(Table3[[#All],[Last]],MATCH(A1116,Table3[[#All],[PID]],0)))</f>
        <v>Norman</v>
      </c>
      <c r="G1116" s="56">
        <f>IF($C1116="B",INDEX(Batters[[#All],[Age]],MATCH(Table5[[#This Row],[PID]],Batters[[#All],[PID]],0)),INDEX(Table3[[#All],[Age]],MATCH(Table5[[#This Row],[PID]],Table3[[#All],[PID]],0)))</f>
        <v>18</v>
      </c>
      <c r="H1116" s="52" t="str">
        <f>IF($C1116="B",INDEX(Batters[[#All],[B]],MATCH(Table5[[#This Row],[PID]],Batters[[#All],[PID]],0)),INDEX(Table3[[#All],[B]],MATCH(Table5[[#This Row],[PID]],Table3[[#All],[PID]],0)))</f>
        <v>S</v>
      </c>
      <c r="I1116" s="52" t="str">
        <f>IF($C1116="B",INDEX(Batters[[#All],[T]],MATCH(Table5[[#This Row],[PID]],Batters[[#All],[PID]],0)),INDEX(Table3[[#All],[T]],MATCH(Table5[[#This Row],[PID]],Table3[[#All],[PID]],0)))</f>
        <v>R</v>
      </c>
      <c r="J1116" s="52" t="str">
        <f>IF($C1116="B",INDEX(Batters[[#All],[WE]],MATCH(Table5[[#This Row],[PID]],Batters[[#All],[PID]],0)),INDEX(Table3[[#All],[WE]],MATCH(Table5[[#This Row],[PID]],Table3[[#All],[PID]],0)))</f>
        <v>Normal</v>
      </c>
      <c r="K1116" s="52" t="str">
        <f>IF($C1116="B",INDEX(Batters[[#All],[INT]],MATCH(Table5[[#This Row],[PID]],Batters[[#All],[PID]],0)),INDEX(Table3[[#All],[INT]],MATCH(Table5[[#This Row],[PID]],Table3[[#All],[PID]],0)))</f>
        <v>Normal</v>
      </c>
      <c r="L1116" s="60">
        <f>IF($C1116="B",INDEX(Batters[[#All],[CON P]],MATCH(Table5[[#This Row],[PID]],Batters[[#All],[PID]],0)),INDEX(Table3[[#All],[STU P]],MATCH(Table5[[#This Row],[PID]],Table3[[#All],[PID]],0)))</f>
        <v>3</v>
      </c>
      <c r="M1116" s="56">
        <f>IF($C1116="B",INDEX(Batters[[#All],[GAP P]],MATCH(Table5[[#This Row],[PID]],Batters[[#All],[PID]],0)),INDEX(Table3[[#All],[MOV P]],MATCH(Table5[[#This Row],[PID]],Table3[[#All],[PID]],0)))</f>
        <v>4</v>
      </c>
      <c r="N1116" s="56">
        <f>IF($C1116="B",INDEX(Batters[[#All],[POW P]],MATCH(Table5[[#This Row],[PID]],Batters[[#All],[PID]],0)),INDEX(Table3[[#All],[CON P]],MATCH(Table5[[#This Row],[PID]],Table3[[#All],[PID]],0)))</f>
        <v>2</v>
      </c>
      <c r="O1116" s="56">
        <f>IF($C1116="B",INDEX(Batters[[#All],[EYE P]],MATCH(Table5[[#This Row],[PID]],Batters[[#All],[PID]],0)),INDEX(Table3[[#All],[VELO]],MATCH(Table5[[#This Row],[PID]],Table3[[#All],[PID]],0)))</f>
        <v>4</v>
      </c>
      <c r="P1116" s="56">
        <f>IF($C1116="B",INDEX(Batters[[#All],[K P]],MATCH(Table5[[#This Row],[PID]],Batters[[#All],[PID]],0)),INDEX(Table3[[#All],[STM]],MATCH(Table5[[#This Row],[PID]],Table3[[#All],[PID]],0)))</f>
        <v>3</v>
      </c>
      <c r="Q1116" s="61">
        <f>IF($C1116="B",INDEX(Batters[[#All],[Tot]],MATCH(Table5[[#This Row],[PID]],Batters[[#All],[PID]],0)),INDEX(Table3[[#All],[Tot]],MATCH(Table5[[#This Row],[PID]],Table3[[#All],[PID]],0)))</f>
        <v>40.32058790253469</v>
      </c>
      <c r="R1116" s="52">
        <f>IF($C1116="B",INDEX(Batters[[#All],[zScore]],MATCH(Table5[[#This Row],[PID]],Batters[[#All],[PID]],0)),INDEX(Table3[[#All],[zScore]],MATCH(Table5[[#This Row],[PID]],Table3[[#All],[PID]],0)))</f>
        <v>-0.84500246064166096</v>
      </c>
      <c r="S1116" s="58" t="str">
        <f>IF($C1116="B",INDEX(Batters[[#All],[DEM]],MATCH(Table5[[#This Row],[PID]],Batters[[#All],[PID]],0)),INDEX(Table3[[#All],[DEM]],MATCH(Table5[[#This Row],[PID]],Table3[[#All],[PID]],0)))</f>
        <v>$95k</v>
      </c>
      <c r="T1116" s="62">
        <f>IF($C1116="B",INDEX(Batters[[#All],[Rnk]],MATCH(Table5[[#This Row],[PID]],Batters[[#All],[PID]],0)),INDEX(Table3[[#All],[Rnk]],MATCH(Table5[[#This Row],[PID]],Table3[[#All],[PID]],0)))</f>
        <v>414</v>
      </c>
      <c r="U1116" s="68">
        <f>IF($C1116="B",VLOOKUP($A1116,Bat!$A$4:$BA$1621,47,FALSE),VLOOKUP($A1116,Pit!$A$4:$BF$1557,56,FALSE))</f>
        <v>0</v>
      </c>
      <c r="V1116" s="50">
        <f>IF($C1116="B",VLOOKUP($A1116,Bat!$A$4:$BA$1621,48,FALSE),VLOOKUP($A1116,Pit!$A$4:$BF$1557,57,FALSE))</f>
        <v>0</v>
      </c>
      <c r="W1116" s="50">
        <f>Table5[[#This Row],[posRnk]]+Table5[[#This Row],[zRnk]]+IF($W$3&lt;&gt;Table5[[#This Row],[Type]],50,0)</f>
        <v>1536</v>
      </c>
      <c r="X1116" s="51">
        <f>RANK(Table5[[#This Row],[zScore]],Table5[[#All],[zScore]])</f>
        <v>1072</v>
      </c>
      <c r="Y1116" s="50" t="str">
        <f>IFERROR(INDEX(DraftResults[[#All],[OVR]],MATCH(Table5[[#This Row],[PID]],DraftResults[[#All],[Player ID]],0)),"")</f>
        <v/>
      </c>
      <c r="Z11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6" s="50" t="str">
        <f>IFERROR(INDEX(DraftResults[[#All],[Pick in Round]],MATCH(Table5[[#This Row],[PID]],DraftResults[[#All],[Player ID]],0)),"")</f>
        <v/>
      </c>
      <c r="AB1116" s="50" t="str">
        <f>IFERROR(INDEX(DraftResults[[#All],[Team Name]],MATCH(Table5[[#This Row],[PID]],DraftResults[[#All],[Player ID]],0)),"")</f>
        <v/>
      </c>
      <c r="AC1116" s="50" t="str">
        <f>IF(Table5[[#This Row],[Ovr]]="","",IF(Table5[[#This Row],[cmbList]]="","",Table5[[#This Row],[cmbList]]-Table5[[#This Row],[Ovr]]))</f>
        <v/>
      </c>
      <c r="AD1116" s="54" t="str">
        <f>IF(ISERROR(VLOOKUP($AB1116&amp;"-"&amp;$E1116&amp;" "&amp;F1116,Bonuses!$B$1:$G$1006,4,FALSE)),"",INT(VLOOKUP($AB1116&amp;"-"&amp;$E1116&amp;" "&amp;$F1116,Bonuses!$B$1:$G$1006,4,FALSE)))</f>
        <v/>
      </c>
      <c r="AE11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7" spans="1:31" s="50" customFormat="1" x14ac:dyDescent="0.25">
      <c r="A1117" s="50">
        <v>18412</v>
      </c>
      <c r="B1117" s="50">
        <f>COUNTIF(Table5[PID],A1117)</f>
        <v>1</v>
      </c>
      <c r="C1117" s="50" t="str">
        <f>IF(COUNTIF(Table3[[#All],[PID]],A1117)&gt;0,"P","B")</f>
        <v>B</v>
      </c>
      <c r="D1117" s="59" t="str">
        <f>IF($C1117="B",INDEX(Batters[[#All],[POS]],MATCH(Table5[[#This Row],[PID]],Batters[[#All],[PID]],0)),INDEX(Table3[[#All],[POS]],MATCH(Table5[[#This Row],[PID]],Table3[[#All],[PID]],0)))</f>
        <v>C</v>
      </c>
      <c r="E1117" s="52" t="str">
        <f>IF($C1117="B",INDEX(Batters[[#All],[First]],MATCH(Table5[[#This Row],[PID]],Batters[[#All],[PID]],0)),INDEX(Table3[[#All],[First]],MATCH(Table5[[#This Row],[PID]],Table3[[#All],[PID]],0)))</f>
        <v>Isaac</v>
      </c>
      <c r="F1117" s="50" t="str">
        <f>IF($C1117="B",INDEX(Batters[[#All],[Last]],MATCH(A1117,Batters[[#All],[PID]],0)),INDEX(Table3[[#All],[Last]],MATCH(A1117,Table3[[#All],[PID]],0)))</f>
        <v>Laslett</v>
      </c>
      <c r="G1117" s="56">
        <f>IF($C1117="B",INDEX(Batters[[#All],[Age]],MATCH(Table5[[#This Row],[PID]],Batters[[#All],[PID]],0)),INDEX(Table3[[#All],[Age]],MATCH(Table5[[#This Row],[PID]],Table3[[#All],[PID]],0)))</f>
        <v>18</v>
      </c>
      <c r="H1117" s="52" t="str">
        <f>IF($C1117="B",INDEX(Batters[[#All],[B]],MATCH(Table5[[#This Row],[PID]],Batters[[#All],[PID]],0)),INDEX(Table3[[#All],[B]],MATCH(Table5[[#This Row],[PID]],Table3[[#All],[PID]],0)))</f>
        <v>R</v>
      </c>
      <c r="I1117" s="52" t="str">
        <f>IF($C1117="B",INDEX(Batters[[#All],[T]],MATCH(Table5[[#This Row],[PID]],Batters[[#All],[PID]],0)),INDEX(Table3[[#All],[T]],MATCH(Table5[[#This Row],[PID]],Table3[[#All],[PID]],0)))</f>
        <v>R</v>
      </c>
      <c r="J1117" s="52" t="str">
        <f>IF($C1117="B",INDEX(Batters[[#All],[WE]],MATCH(Table5[[#This Row],[PID]],Batters[[#All],[PID]],0)),INDEX(Table3[[#All],[WE]],MATCH(Table5[[#This Row],[PID]],Table3[[#All],[PID]],0)))</f>
        <v>High</v>
      </c>
      <c r="K1117" s="52" t="str">
        <f>IF($C1117="B",INDEX(Batters[[#All],[INT]],MATCH(Table5[[#This Row],[PID]],Batters[[#All],[PID]],0)),INDEX(Table3[[#All],[INT]],MATCH(Table5[[#This Row],[PID]],Table3[[#All],[PID]],0)))</f>
        <v>Normal</v>
      </c>
      <c r="L1117" s="60">
        <f>IF($C1117="B",INDEX(Batters[[#All],[CON P]],MATCH(Table5[[#This Row],[PID]],Batters[[#All],[PID]],0)),INDEX(Table3[[#All],[STU P]],MATCH(Table5[[#This Row],[PID]],Table3[[#All],[PID]],0)))</f>
        <v>3</v>
      </c>
      <c r="M1117" s="56">
        <f>IF($C1117="B",INDEX(Batters[[#All],[GAP P]],MATCH(Table5[[#This Row],[PID]],Batters[[#All],[PID]],0)),INDEX(Table3[[#All],[MOV P]],MATCH(Table5[[#This Row],[PID]],Table3[[#All],[PID]],0)))</f>
        <v>5</v>
      </c>
      <c r="N1117" s="56">
        <f>IF($C1117="B",INDEX(Batters[[#All],[POW P]],MATCH(Table5[[#This Row],[PID]],Batters[[#All],[PID]],0)),INDEX(Table3[[#All],[CON P]],MATCH(Table5[[#This Row],[PID]],Table3[[#All],[PID]],0)))</f>
        <v>4</v>
      </c>
      <c r="O1117" s="56">
        <f>IF($C1117="B",INDEX(Batters[[#All],[EYE P]],MATCH(Table5[[#This Row],[PID]],Batters[[#All],[PID]],0)),INDEX(Table3[[#All],[VELO]],MATCH(Table5[[#This Row],[PID]],Table3[[#All],[PID]],0)))</f>
        <v>2</v>
      </c>
      <c r="P1117" s="56">
        <f>IF($C1117="B",INDEX(Batters[[#All],[K P]],MATCH(Table5[[#This Row],[PID]],Batters[[#All],[PID]],0)),INDEX(Table3[[#All],[STM]],MATCH(Table5[[#This Row],[PID]],Table3[[#All],[PID]],0)))</f>
        <v>3</v>
      </c>
      <c r="Q1117" s="61">
        <f>IF($C1117="B",INDEX(Batters[[#All],[Tot]],MATCH(Table5[[#This Row],[PID]],Batters[[#All],[PID]],0)),INDEX(Table3[[#All],[Tot]],MATCH(Table5[[#This Row],[PID]],Table3[[#All],[PID]],0)))</f>
        <v>40.320498585000422</v>
      </c>
      <c r="R1117" s="52">
        <f>IF($C1117="B",INDEX(Batters[[#All],[zScore]],MATCH(Table5[[#This Row],[PID]],Batters[[#All],[PID]],0)),INDEX(Table3[[#All],[zScore]],MATCH(Table5[[#This Row],[PID]],Table3[[#All],[PID]],0)))</f>
        <v>-0.84502226294273874</v>
      </c>
      <c r="S1117" s="58" t="str">
        <f>IF($C1117="B",INDEX(Batters[[#All],[DEM]],MATCH(Table5[[#This Row],[PID]],Batters[[#All],[PID]],0)),INDEX(Table3[[#All],[DEM]],MATCH(Table5[[#This Row],[PID]],Table3[[#All],[PID]],0)))</f>
        <v>$65k</v>
      </c>
      <c r="T1117" s="62">
        <f>IF($C1117="B",INDEX(Batters[[#All],[Rnk]],MATCH(Table5[[#This Row],[PID]],Batters[[#All],[PID]],0)),INDEX(Table3[[#All],[Rnk]],MATCH(Table5[[#This Row],[PID]],Table3[[#All],[PID]],0)))</f>
        <v>415</v>
      </c>
      <c r="U1117" s="68">
        <f>IF($C1117="B",VLOOKUP($A1117,Bat!$A$4:$BA$1621,47,FALSE),VLOOKUP($A1117,Pit!$A$4:$BF$1557,56,FALSE))</f>
        <v>0</v>
      </c>
      <c r="V1117" s="50">
        <f>IF($C1117="B",VLOOKUP($A1117,Bat!$A$4:$BA$1621,48,FALSE),VLOOKUP($A1117,Pit!$A$4:$BF$1557,57,FALSE))</f>
        <v>0</v>
      </c>
      <c r="W1117" s="50">
        <f>Table5[[#This Row],[posRnk]]+Table5[[#This Row],[zRnk]]+IF($W$3&lt;&gt;Table5[[#This Row],[Type]],50,0)</f>
        <v>1538</v>
      </c>
      <c r="X1117" s="51">
        <f>RANK(Table5[[#This Row],[zScore]],Table5[[#All],[zScore]])</f>
        <v>1073</v>
      </c>
      <c r="Y1117" s="50" t="str">
        <f>IFERROR(INDEX(DraftResults[[#All],[OVR]],MATCH(Table5[[#This Row],[PID]],DraftResults[[#All],[Player ID]],0)),"")</f>
        <v/>
      </c>
      <c r="Z11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7" s="50" t="str">
        <f>IFERROR(INDEX(DraftResults[[#All],[Pick in Round]],MATCH(Table5[[#This Row],[PID]],DraftResults[[#All],[Player ID]],0)),"")</f>
        <v/>
      </c>
      <c r="AB1117" s="50" t="str">
        <f>IFERROR(INDEX(DraftResults[[#All],[Team Name]],MATCH(Table5[[#This Row],[PID]],DraftResults[[#All],[Player ID]],0)),"")</f>
        <v/>
      </c>
      <c r="AC1117" s="50" t="str">
        <f>IF(Table5[[#This Row],[Ovr]]="","",IF(Table5[[#This Row],[cmbList]]="","",Table5[[#This Row],[cmbList]]-Table5[[#This Row],[Ovr]]))</f>
        <v/>
      </c>
      <c r="AD1117" s="54" t="str">
        <f>IF(ISERROR(VLOOKUP($AB1117&amp;"-"&amp;$E1117&amp;" "&amp;F1117,Bonuses!$B$1:$G$1006,4,FALSE)),"",INT(VLOOKUP($AB1117&amp;"-"&amp;$E1117&amp;" "&amp;$F1117,Bonuses!$B$1:$G$1006,4,FALSE)))</f>
        <v/>
      </c>
      <c r="AE11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8" spans="1:31" s="50" customFormat="1" x14ac:dyDescent="0.25">
      <c r="A1118" s="50">
        <v>15582</v>
      </c>
      <c r="B1118" s="50">
        <f>COUNTIF(Table5[PID],A1118)</f>
        <v>1</v>
      </c>
      <c r="C1118" s="50" t="str">
        <f>IF(COUNTIF(Table3[[#All],[PID]],A1118)&gt;0,"P","B")</f>
        <v>P</v>
      </c>
      <c r="D1118" s="59" t="str">
        <f>IF($C1118="B",INDEX(Batters[[#All],[POS]],MATCH(Table5[[#This Row],[PID]],Batters[[#All],[PID]],0)),INDEX(Table3[[#All],[POS]],MATCH(Table5[[#This Row],[PID]],Table3[[#All],[PID]],0)))</f>
        <v>RP</v>
      </c>
      <c r="E1118" s="52" t="str">
        <f>IF($C1118="B",INDEX(Batters[[#All],[First]],MATCH(Table5[[#This Row],[PID]],Batters[[#All],[PID]],0)),INDEX(Table3[[#All],[First]],MATCH(Table5[[#This Row],[PID]],Table3[[#All],[PID]],0)))</f>
        <v>Manny</v>
      </c>
      <c r="F1118" s="50" t="str">
        <f>IF($C1118="B",INDEX(Batters[[#All],[Last]],MATCH(A1118,Batters[[#All],[PID]],0)),INDEX(Table3[[#All],[Last]],MATCH(A1118,Table3[[#All],[PID]],0)))</f>
        <v>Rodríguez</v>
      </c>
      <c r="G1118" s="56">
        <f>IF($C1118="B",INDEX(Batters[[#All],[Age]],MATCH(Table5[[#This Row],[PID]],Batters[[#All],[PID]],0)),INDEX(Table3[[#All],[Age]],MATCH(Table5[[#This Row],[PID]],Table3[[#All],[PID]],0)))</f>
        <v>21</v>
      </c>
      <c r="H1118" s="52" t="str">
        <f>IF($C1118="B",INDEX(Batters[[#All],[B]],MATCH(Table5[[#This Row],[PID]],Batters[[#All],[PID]],0)),INDEX(Table3[[#All],[B]],MATCH(Table5[[#This Row],[PID]],Table3[[#All],[PID]],0)))</f>
        <v>R</v>
      </c>
      <c r="I1118" s="52" t="str">
        <f>IF($C1118="B",INDEX(Batters[[#All],[T]],MATCH(Table5[[#This Row],[PID]],Batters[[#All],[PID]],0)),INDEX(Table3[[#All],[T]],MATCH(Table5[[#This Row],[PID]],Table3[[#All],[PID]],0)))</f>
        <v>R</v>
      </c>
      <c r="J1118" s="52" t="str">
        <f>IF($C1118="B",INDEX(Batters[[#All],[WE]],MATCH(Table5[[#This Row],[PID]],Batters[[#All],[PID]],0)),INDEX(Table3[[#All],[WE]],MATCH(Table5[[#This Row],[PID]],Table3[[#All],[PID]],0)))</f>
        <v>High</v>
      </c>
      <c r="K1118" s="52" t="str">
        <f>IF($C1118="B",INDEX(Batters[[#All],[INT]],MATCH(Table5[[#This Row],[PID]],Batters[[#All],[PID]],0)),INDEX(Table3[[#All],[INT]],MATCH(Table5[[#This Row],[PID]],Table3[[#All],[PID]],0)))</f>
        <v>Normal</v>
      </c>
      <c r="L1118" s="60">
        <f>IF($C1118="B",INDEX(Batters[[#All],[CON P]],MATCH(Table5[[#This Row],[PID]],Batters[[#All],[PID]],0)),INDEX(Table3[[#All],[STU P]],MATCH(Table5[[#This Row],[PID]],Table3[[#All],[PID]],0)))</f>
        <v>2</v>
      </c>
      <c r="M1118" s="56">
        <f>IF($C1118="B",INDEX(Batters[[#All],[GAP P]],MATCH(Table5[[#This Row],[PID]],Batters[[#All],[PID]],0)),INDEX(Table3[[#All],[MOV P]],MATCH(Table5[[#This Row],[PID]],Table3[[#All],[PID]],0)))</f>
        <v>3</v>
      </c>
      <c r="N1118" s="56">
        <f>IF($C1118="B",INDEX(Batters[[#All],[POW P]],MATCH(Table5[[#This Row],[PID]],Batters[[#All],[PID]],0)),INDEX(Table3[[#All],[CON P]],MATCH(Table5[[#This Row],[PID]],Table3[[#All],[PID]],0)))</f>
        <v>2</v>
      </c>
      <c r="O1118" s="56" t="str">
        <f>IF($C1118="B",INDEX(Batters[[#All],[EYE P]],MATCH(Table5[[#This Row],[PID]],Batters[[#All],[PID]],0)),INDEX(Table3[[#All],[VELO]],MATCH(Table5[[#This Row],[PID]],Table3[[#All],[PID]],0)))</f>
        <v>83-85 Mph</v>
      </c>
      <c r="P1118" s="56">
        <f>IF($C1118="B",INDEX(Batters[[#All],[K P]],MATCH(Table5[[#This Row],[PID]],Batters[[#All],[PID]],0)),INDEX(Table3[[#All],[STM]],MATCH(Table5[[#This Row],[PID]],Table3[[#All],[PID]],0)))</f>
        <v>6</v>
      </c>
      <c r="Q1118" s="61">
        <f>IF($C1118="B",INDEX(Batters[[#All],[Tot]],MATCH(Table5[[#This Row],[PID]],Batters[[#All],[PID]],0)),INDEX(Table3[[#All],[Tot]],MATCH(Table5[[#This Row],[PID]],Table3[[#All],[PID]],0)))</f>
        <v>23.113034207654998</v>
      </c>
      <c r="R1118" s="52">
        <f>IF($C1118="B",INDEX(Batters[[#All],[zScore]],MATCH(Table5[[#This Row],[PID]],Batters[[#All],[PID]],0)),INDEX(Table3[[#All],[zScore]],MATCH(Table5[[#This Row],[PID]],Table3[[#All],[PID]],0)))</f>
        <v>-0.84873643696948542</v>
      </c>
      <c r="S1118" s="58" t="str">
        <f>IF($C1118="B",INDEX(Batters[[#All],[DEM]],MATCH(Table5[[#This Row],[PID]],Batters[[#All],[PID]],0)),INDEX(Table3[[#All],[DEM]],MATCH(Table5[[#This Row],[PID]],Table3[[#All],[PID]],0)))</f>
        <v>-</v>
      </c>
      <c r="T1118" s="62">
        <f>IF($C1118="B",INDEX(Batters[[#All],[Rnk]],MATCH(Table5[[#This Row],[PID]],Batters[[#All],[PID]],0)),INDEX(Table3[[#All],[Rnk]],MATCH(Table5[[#This Row],[PID]],Table3[[#All],[PID]],0)))</f>
        <v>658</v>
      </c>
      <c r="U1118" s="68">
        <f>IF($C1118="B",VLOOKUP($A1118,Bat!$A$4:$BA$1621,47,FALSE),VLOOKUP($A1118,Pit!$A$4:$BF$1557,56,FALSE))</f>
        <v>0</v>
      </c>
      <c r="V1118" s="50">
        <f>IF($C1118="B",VLOOKUP($A1118,Bat!$A$4:$BA$1621,48,FALSE),VLOOKUP($A1118,Pit!$A$4:$BF$1557,57,FALSE))</f>
        <v>0</v>
      </c>
      <c r="W1118" s="50">
        <f>Table5[[#This Row],[posRnk]]+Table5[[#This Row],[zRnk]]+IF($W$3&lt;&gt;Table5[[#This Row],[Type]],50,0)</f>
        <v>1782</v>
      </c>
      <c r="X1118" s="51">
        <f>RANK(Table5[[#This Row],[zScore]],Table5[[#All],[zScore]])</f>
        <v>1074</v>
      </c>
      <c r="Y1118" s="50" t="str">
        <f>IFERROR(INDEX(DraftResults[[#All],[OVR]],MATCH(Table5[[#This Row],[PID]],DraftResults[[#All],[Player ID]],0)),"")</f>
        <v/>
      </c>
      <c r="Z11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8" s="50" t="str">
        <f>IFERROR(INDEX(DraftResults[[#All],[Pick in Round]],MATCH(Table5[[#This Row],[PID]],DraftResults[[#All],[Player ID]],0)),"")</f>
        <v/>
      </c>
      <c r="AB1118" s="50" t="str">
        <f>IFERROR(INDEX(DraftResults[[#All],[Team Name]],MATCH(Table5[[#This Row],[PID]],DraftResults[[#All],[Player ID]],0)),"")</f>
        <v/>
      </c>
      <c r="AC1118" s="50" t="str">
        <f>IF(Table5[[#This Row],[Ovr]]="","",IF(Table5[[#This Row],[cmbList]]="","",Table5[[#This Row],[cmbList]]-Table5[[#This Row],[Ovr]]))</f>
        <v/>
      </c>
      <c r="AD1118" s="54" t="str">
        <f>IF(ISERROR(VLOOKUP($AB1118&amp;"-"&amp;$E1118&amp;" "&amp;F1118,Bonuses!$B$1:$G$1006,4,FALSE)),"",INT(VLOOKUP($AB1118&amp;"-"&amp;$E1118&amp;" "&amp;$F1118,Bonuses!$B$1:$G$1006,4,FALSE)))</f>
        <v/>
      </c>
      <c r="AE11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19" spans="1:31" s="50" customFormat="1" x14ac:dyDescent="0.25">
      <c r="A1119" s="50">
        <v>17830</v>
      </c>
      <c r="B1119" s="50">
        <f>COUNTIF(Table5[PID],A1119)</f>
        <v>1</v>
      </c>
      <c r="C1119" s="50" t="str">
        <f>IF(COUNTIF(Table3[[#All],[PID]],A1119)&gt;0,"P","B")</f>
        <v>B</v>
      </c>
      <c r="D1119" s="59" t="str">
        <f>IF($C1119="B",INDEX(Batters[[#All],[POS]],MATCH(Table5[[#This Row],[PID]],Batters[[#All],[PID]],0)),INDEX(Table3[[#All],[POS]],MATCH(Table5[[#This Row],[PID]],Table3[[#All],[PID]],0)))</f>
        <v>3B</v>
      </c>
      <c r="E1119" s="52" t="str">
        <f>IF($C1119="B",INDEX(Batters[[#All],[First]],MATCH(Table5[[#This Row],[PID]],Batters[[#All],[PID]],0)),INDEX(Table3[[#All],[First]],MATCH(Table5[[#This Row],[PID]],Table3[[#All],[PID]],0)))</f>
        <v>Sukenobu</v>
      </c>
      <c r="F1119" s="50" t="str">
        <f>IF($C1119="B",INDEX(Batters[[#All],[Last]],MATCH(A1119,Batters[[#All],[PID]],0)),INDEX(Table3[[#All],[Last]],MATCH(A1119,Table3[[#All],[PID]],0)))</f>
        <v>Kondo</v>
      </c>
      <c r="G1119" s="56">
        <f>IF($C1119="B",INDEX(Batters[[#All],[Age]],MATCH(Table5[[#This Row],[PID]],Batters[[#All],[PID]],0)),INDEX(Table3[[#All],[Age]],MATCH(Table5[[#This Row],[PID]],Table3[[#All],[PID]],0)))</f>
        <v>18</v>
      </c>
      <c r="H1119" s="52" t="str">
        <f>IF($C1119="B",INDEX(Batters[[#All],[B]],MATCH(Table5[[#This Row],[PID]],Batters[[#All],[PID]],0)),INDEX(Table3[[#All],[B]],MATCH(Table5[[#This Row],[PID]],Table3[[#All],[PID]],0)))</f>
        <v>S</v>
      </c>
      <c r="I1119" s="52" t="str">
        <f>IF($C1119="B",INDEX(Batters[[#All],[T]],MATCH(Table5[[#This Row],[PID]],Batters[[#All],[PID]],0)),INDEX(Table3[[#All],[T]],MATCH(Table5[[#This Row],[PID]],Table3[[#All],[PID]],0)))</f>
        <v>R</v>
      </c>
      <c r="J1119" s="52" t="str">
        <f>IF($C1119="B",INDEX(Batters[[#All],[WE]],MATCH(Table5[[#This Row],[PID]],Batters[[#All],[PID]],0)),INDEX(Table3[[#All],[WE]],MATCH(Table5[[#This Row],[PID]],Table3[[#All],[PID]],0)))</f>
        <v>Normal</v>
      </c>
      <c r="K1119" s="52" t="str">
        <f>IF($C1119="B",INDEX(Batters[[#All],[INT]],MATCH(Table5[[#This Row],[PID]],Batters[[#All],[PID]],0)),INDEX(Table3[[#All],[INT]],MATCH(Table5[[#This Row],[PID]],Table3[[#All],[PID]],0)))</f>
        <v>Normal</v>
      </c>
      <c r="L1119" s="60">
        <f>IF($C1119="B",INDEX(Batters[[#All],[CON P]],MATCH(Table5[[#This Row],[PID]],Batters[[#All],[PID]],0)),INDEX(Table3[[#All],[STU P]],MATCH(Table5[[#This Row],[PID]],Table3[[#All],[PID]],0)))</f>
        <v>3</v>
      </c>
      <c r="M1119" s="56">
        <f>IF($C1119="B",INDEX(Batters[[#All],[GAP P]],MATCH(Table5[[#This Row],[PID]],Batters[[#All],[PID]],0)),INDEX(Table3[[#All],[MOV P]],MATCH(Table5[[#This Row],[PID]],Table3[[#All],[PID]],0)))</f>
        <v>4</v>
      </c>
      <c r="N1119" s="56">
        <f>IF($C1119="B",INDEX(Batters[[#All],[POW P]],MATCH(Table5[[#This Row],[PID]],Batters[[#All],[PID]],0)),INDEX(Table3[[#All],[CON P]],MATCH(Table5[[#This Row],[PID]],Table3[[#All],[PID]],0)))</f>
        <v>3</v>
      </c>
      <c r="O1119" s="56">
        <f>IF($C1119="B",INDEX(Batters[[#All],[EYE P]],MATCH(Table5[[#This Row],[PID]],Batters[[#All],[PID]],0)),INDEX(Table3[[#All],[VELO]],MATCH(Table5[[#This Row],[PID]],Table3[[#All],[PID]],0)))</f>
        <v>3</v>
      </c>
      <c r="P1119" s="56">
        <f>IF($C1119="B",INDEX(Batters[[#All],[K P]],MATCH(Table5[[#This Row],[PID]],Batters[[#All],[PID]],0)),INDEX(Table3[[#All],[STM]],MATCH(Table5[[#This Row],[PID]],Table3[[#All],[PID]],0)))</f>
        <v>5</v>
      </c>
      <c r="Q1119" s="61">
        <f>IF($C1119="B",INDEX(Batters[[#All],[Tot]],MATCH(Table5[[#This Row],[PID]],Batters[[#All],[PID]],0)),INDEX(Table3[[#All],[Tot]],MATCH(Table5[[#This Row],[PID]],Table3[[#All],[PID]],0)))</f>
        <v>40.284536719649878</v>
      </c>
      <c r="R1119" s="52">
        <f>IF($C1119="B",INDEX(Batters[[#All],[zScore]],MATCH(Table5[[#This Row],[PID]],Batters[[#All],[PID]],0)),INDEX(Table3[[#All],[zScore]],MATCH(Table5[[#This Row],[PID]],Table3[[#All],[PID]],0)))</f>
        <v>-0.85299525157060452</v>
      </c>
      <c r="S1119" s="58" t="str">
        <f>IF($C1119="B",INDEX(Batters[[#All],[DEM]],MATCH(Table5[[#This Row],[PID]],Batters[[#All],[PID]],0)),INDEX(Table3[[#All],[DEM]],MATCH(Table5[[#This Row],[PID]],Table3[[#All],[PID]],0)))</f>
        <v>$95k</v>
      </c>
      <c r="T1119" s="62">
        <f>IF($C1119="B",INDEX(Batters[[#All],[Rnk]],MATCH(Table5[[#This Row],[PID]],Batters[[#All],[PID]],0)),INDEX(Table3[[#All],[Rnk]],MATCH(Table5[[#This Row],[PID]],Table3[[#All],[PID]],0)))</f>
        <v>416</v>
      </c>
      <c r="U1119" s="68">
        <f>IF($C1119="B",VLOOKUP($A1119,Bat!$A$4:$BA$1621,47,FALSE),VLOOKUP($A1119,Pit!$A$4:$BF$1557,56,FALSE))</f>
        <v>0</v>
      </c>
      <c r="V1119" s="50">
        <f>IF($C1119="B",VLOOKUP($A1119,Bat!$A$4:$BA$1621,48,FALSE),VLOOKUP($A1119,Pit!$A$4:$BF$1557,57,FALSE))</f>
        <v>0</v>
      </c>
      <c r="W1119" s="50">
        <f>Table5[[#This Row],[posRnk]]+Table5[[#This Row],[zRnk]]+IF($W$3&lt;&gt;Table5[[#This Row],[Type]],50,0)</f>
        <v>1541</v>
      </c>
      <c r="X1119" s="51">
        <f>RANK(Table5[[#This Row],[zScore]],Table5[[#All],[zScore]])</f>
        <v>1075</v>
      </c>
      <c r="Y1119" s="50" t="str">
        <f>IFERROR(INDEX(DraftResults[[#All],[OVR]],MATCH(Table5[[#This Row],[PID]],DraftResults[[#All],[Player ID]],0)),"")</f>
        <v/>
      </c>
      <c r="Z11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19" s="50" t="str">
        <f>IFERROR(INDEX(DraftResults[[#All],[Pick in Round]],MATCH(Table5[[#This Row],[PID]],DraftResults[[#All],[Player ID]],0)),"")</f>
        <v/>
      </c>
      <c r="AB1119" s="50" t="str">
        <f>IFERROR(INDEX(DraftResults[[#All],[Team Name]],MATCH(Table5[[#This Row],[PID]],DraftResults[[#All],[Player ID]],0)),"")</f>
        <v/>
      </c>
      <c r="AC1119" s="50" t="str">
        <f>IF(Table5[[#This Row],[Ovr]]="","",IF(Table5[[#This Row],[cmbList]]="","",Table5[[#This Row],[cmbList]]-Table5[[#This Row],[Ovr]]))</f>
        <v/>
      </c>
      <c r="AD1119" s="54" t="str">
        <f>IF(ISERROR(VLOOKUP($AB1119&amp;"-"&amp;$E1119&amp;" "&amp;F1119,Bonuses!$B$1:$G$1006,4,FALSE)),"",INT(VLOOKUP($AB1119&amp;"-"&amp;$E1119&amp;" "&amp;$F1119,Bonuses!$B$1:$G$1006,4,FALSE)))</f>
        <v/>
      </c>
      <c r="AE11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0" spans="1:31" s="50" customFormat="1" x14ac:dyDescent="0.25">
      <c r="A1120" s="68">
        <v>11999</v>
      </c>
      <c r="B1120" s="69">
        <f>COUNTIF(Table5[PID],A1120)</f>
        <v>1</v>
      </c>
      <c r="C1120" s="69" t="str">
        <f>IF(COUNTIF(Table3[[#All],[PID]],A1120)&gt;0,"P","B")</f>
        <v>P</v>
      </c>
      <c r="D1120" s="59" t="str">
        <f>IF($C1120="B",INDEX(Batters[[#All],[POS]],MATCH(Table5[[#This Row],[PID]],Batters[[#All],[PID]],0)),INDEX(Table3[[#All],[POS]],MATCH(Table5[[#This Row],[PID]],Table3[[#All],[PID]],0)))</f>
        <v>SP</v>
      </c>
      <c r="E1120" s="52" t="str">
        <f>IF($C1120="B",INDEX(Batters[[#All],[First]],MATCH(Table5[[#This Row],[PID]],Batters[[#All],[PID]],0)),INDEX(Table3[[#All],[First]],MATCH(Table5[[#This Row],[PID]],Table3[[#All],[PID]],0)))</f>
        <v>Wayne</v>
      </c>
      <c r="F1120" s="55" t="str">
        <f>IF($C1120="B",INDEX(Batters[[#All],[Last]],MATCH(A1120,Batters[[#All],[PID]],0)),INDEX(Table3[[#All],[Last]],MATCH(A1120,Table3[[#All],[PID]],0)))</f>
        <v>Rice</v>
      </c>
      <c r="G1120" s="56">
        <f>IF($C1120="B",INDEX(Batters[[#All],[Age]],MATCH(Table5[[#This Row],[PID]],Batters[[#All],[PID]],0)),INDEX(Table3[[#All],[Age]],MATCH(Table5[[#This Row],[PID]],Table3[[#All],[PID]],0)))</f>
        <v>22</v>
      </c>
      <c r="H1120" s="52" t="str">
        <f>IF($C1120="B",INDEX(Batters[[#All],[B]],MATCH(Table5[[#This Row],[PID]],Batters[[#All],[PID]],0)),INDEX(Table3[[#All],[B]],MATCH(Table5[[#This Row],[PID]],Table3[[#All],[PID]],0)))</f>
        <v>R</v>
      </c>
      <c r="I1120" s="52" t="str">
        <f>IF($C1120="B",INDEX(Batters[[#All],[T]],MATCH(Table5[[#This Row],[PID]],Batters[[#All],[PID]],0)),INDEX(Table3[[#All],[T]],MATCH(Table5[[#This Row],[PID]],Table3[[#All],[PID]],0)))</f>
        <v>R</v>
      </c>
      <c r="J1120" s="71" t="str">
        <f>IF($C1120="B",INDEX(Batters[[#All],[WE]],MATCH(Table5[[#This Row],[PID]],Batters[[#All],[PID]],0)),INDEX(Table3[[#All],[WE]],MATCH(Table5[[#This Row],[PID]],Table3[[#All],[PID]],0)))</f>
        <v>Normal</v>
      </c>
      <c r="K1120" s="52" t="str">
        <f>IF($C1120="B",INDEX(Batters[[#All],[INT]],MATCH(Table5[[#This Row],[PID]],Batters[[#All],[PID]],0)),INDEX(Table3[[#All],[INT]],MATCH(Table5[[#This Row],[PID]],Table3[[#All],[PID]],0)))</f>
        <v>Normal</v>
      </c>
      <c r="L1120" s="60">
        <f>IF($C1120="B",INDEX(Batters[[#All],[CON P]],MATCH(Table5[[#This Row],[PID]],Batters[[#All],[PID]],0)),INDEX(Table3[[#All],[STU P]],MATCH(Table5[[#This Row],[PID]],Table3[[#All],[PID]],0)))</f>
        <v>4</v>
      </c>
      <c r="M1120" s="72">
        <f>IF($C1120="B",INDEX(Batters[[#All],[GAP P]],MATCH(Table5[[#This Row],[PID]],Batters[[#All],[PID]],0)),INDEX(Table3[[#All],[MOV P]],MATCH(Table5[[#This Row],[PID]],Table3[[#All],[PID]],0)))</f>
        <v>1</v>
      </c>
      <c r="N1120" s="72">
        <f>IF($C1120="B",INDEX(Batters[[#All],[POW P]],MATCH(Table5[[#This Row],[PID]],Batters[[#All],[PID]],0)),INDEX(Table3[[#All],[CON P]],MATCH(Table5[[#This Row],[PID]],Table3[[#All],[PID]],0)))</f>
        <v>3</v>
      </c>
      <c r="O1120" s="72" t="str">
        <f>IF($C1120="B",INDEX(Batters[[#All],[EYE P]],MATCH(Table5[[#This Row],[PID]],Batters[[#All],[PID]],0)),INDEX(Table3[[#All],[VELO]],MATCH(Table5[[#This Row],[PID]],Table3[[#All],[PID]],0)))</f>
        <v>91-93 Mph</v>
      </c>
      <c r="P1120" s="56">
        <f>IF($C1120="B",INDEX(Batters[[#All],[K P]],MATCH(Table5[[#This Row],[PID]],Batters[[#All],[PID]],0)),INDEX(Table3[[#All],[STM]],MATCH(Table5[[#This Row],[PID]],Table3[[#All],[PID]],0)))</f>
        <v>8</v>
      </c>
      <c r="Q1120" s="61">
        <f>IF($C1120="B",INDEX(Batters[[#All],[Tot]],MATCH(Table5[[#This Row],[PID]],Batters[[#All],[PID]],0)),INDEX(Table3[[#All],[Tot]],MATCH(Table5[[#This Row],[PID]],Table3[[#All],[PID]],0)))</f>
        <v>25.253153785412607</v>
      </c>
      <c r="R1120" s="52">
        <f>IF($C1120="B",INDEX(Batters[[#All],[zScore]],MATCH(Table5[[#This Row],[PID]],Batters[[#All],[PID]],0)),INDEX(Table3[[#All],[zScore]],MATCH(Table5[[#This Row],[PID]],Table3[[#All],[PID]],0)))</f>
        <v>-0.85971394842827009</v>
      </c>
      <c r="S1120" s="78" t="str">
        <f>IF($C1120="B",INDEX(Batters[[#All],[DEM]],MATCH(Table5[[#This Row],[PID]],Batters[[#All],[PID]],0)),INDEX(Table3[[#All],[DEM]],MATCH(Table5[[#This Row],[PID]],Table3[[#All],[PID]],0)))</f>
        <v>-</v>
      </c>
      <c r="T1120" s="75">
        <f>IF($C1120="B",INDEX(Batters[[#All],[Rnk]],MATCH(Table5[[#This Row],[PID]],Batters[[#All],[PID]],0)),INDEX(Table3[[#All],[Rnk]],MATCH(Table5[[#This Row],[PID]],Table3[[#All],[PID]],0)))</f>
        <v>659</v>
      </c>
      <c r="U1120" s="68">
        <f>IF($C1120="B",VLOOKUP($A1120,Bat!$A$4:$BA$1621,47,FALSE),VLOOKUP($A1120,Pit!$A$4:$BF$1557,56,FALSE))</f>
        <v>0</v>
      </c>
      <c r="V1120" s="50">
        <f>IF($C1120="B",VLOOKUP($A1120,Bat!$A$4:$BA$1621,48,FALSE),VLOOKUP($A1120,Pit!$A$4:$BF$1557,57,FALSE))</f>
        <v>0</v>
      </c>
      <c r="W1120" s="69">
        <f>Table5[[#This Row],[posRnk]]+Table5[[#This Row],[zRnk]]+IF($W$3&lt;&gt;Table5[[#This Row],[Type]],50,0)</f>
        <v>1785</v>
      </c>
      <c r="X1120" s="73">
        <f>RANK(Table5[[#This Row],[zScore]],Table5[[#All],[zScore]])</f>
        <v>1076</v>
      </c>
      <c r="Y1120" s="69" t="str">
        <f>IFERROR(INDEX(DraftResults[[#All],[OVR]],MATCH(Table5[[#This Row],[PID]],DraftResults[[#All],[Player ID]],0)),"")</f>
        <v/>
      </c>
      <c r="Z112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0" s="69" t="str">
        <f>IFERROR(INDEX(DraftResults[[#All],[Pick in Round]],MATCH(Table5[[#This Row],[PID]],DraftResults[[#All],[Player ID]],0)),"")</f>
        <v/>
      </c>
      <c r="AB1120" s="69" t="str">
        <f>IFERROR(INDEX(DraftResults[[#All],[Team Name]],MATCH(Table5[[#This Row],[PID]],DraftResults[[#All],[Player ID]],0)),"")</f>
        <v/>
      </c>
      <c r="AC1120" s="69" t="str">
        <f>IF(Table5[[#This Row],[Ovr]]="","",IF(Table5[[#This Row],[cmbList]]="","",Table5[[#This Row],[cmbList]]-Table5[[#This Row],[Ovr]]))</f>
        <v/>
      </c>
      <c r="AD1120" s="77" t="str">
        <f>IF(ISERROR(VLOOKUP($AB1120&amp;"-"&amp;$E1120&amp;" "&amp;F1120,Bonuses!$B$1:$G$1006,4,FALSE)),"",INT(VLOOKUP($AB1120&amp;"-"&amp;$E1120&amp;" "&amp;$F1120,Bonuses!$B$1:$G$1006,4,FALSE)))</f>
        <v/>
      </c>
      <c r="AE112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1" spans="1:31" s="50" customFormat="1" x14ac:dyDescent="0.25">
      <c r="A1121" s="50">
        <v>20912</v>
      </c>
      <c r="B1121" s="55">
        <f>COUNTIF(Table5[PID],A1121)</f>
        <v>1</v>
      </c>
      <c r="C1121" s="55" t="str">
        <f>IF(COUNTIF(Table3[[#All],[PID]],A1121)&gt;0,"P","B")</f>
        <v>B</v>
      </c>
      <c r="D1121" s="59" t="str">
        <f>IF($C1121="B",INDEX(Batters[[#All],[POS]],MATCH(Table5[[#This Row],[PID]],Batters[[#All],[PID]],0)),INDEX(Table3[[#All],[POS]],MATCH(Table5[[#This Row],[PID]],Table3[[#All],[PID]],0)))</f>
        <v>1B</v>
      </c>
      <c r="E1121" s="52" t="str">
        <f>IF($C1121="B",INDEX(Batters[[#All],[First]],MATCH(Table5[[#This Row],[PID]],Batters[[#All],[PID]],0)),INDEX(Table3[[#All],[First]],MATCH(Table5[[#This Row],[PID]],Table3[[#All],[PID]],0)))</f>
        <v>Javier</v>
      </c>
      <c r="F1121" s="50" t="str">
        <f>IF($C1121="B",INDEX(Batters[[#All],[Last]],MATCH(A1121,Batters[[#All],[PID]],0)),INDEX(Table3[[#All],[Last]],MATCH(A1121,Table3[[#All],[PID]],0)))</f>
        <v>Lara</v>
      </c>
      <c r="G1121" s="56">
        <f>IF($C1121="B",INDEX(Batters[[#All],[Age]],MATCH(Table5[[#This Row],[PID]],Batters[[#All],[PID]],0)),INDEX(Table3[[#All],[Age]],MATCH(Table5[[#This Row],[PID]],Table3[[#All],[PID]],0)))</f>
        <v>18</v>
      </c>
      <c r="H1121" s="52" t="str">
        <f>IF($C1121="B",INDEX(Batters[[#All],[B]],MATCH(Table5[[#This Row],[PID]],Batters[[#All],[PID]],0)),INDEX(Table3[[#All],[B]],MATCH(Table5[[#This Row],[PID]],Table3[[#All],[PID]],0)))</f>
        <v>L</v>
      </c>
      <c r="I1121" s="52" t="str">
        <f>IF($C1121="B",INDEX(Batters[[#All],[T]],MATCH(Table5[[#This Row],[PID]],Batters[[#All],[PID]],0)),INDEX(Table3[[#All],[T]],MATCH(Table5[[#This Row],[PID]],Table3[[#All],[PID]],0)))</f>
        <v>R</v>
      </c>
      <c r="J1121" s="52" t="str">
        <f>IF($C1121="B",INDEX(Batters[[#All],[WE]],MATCH(Table5[[#This Row],[PID]],Batters[[#All],[PID]],0)),INDEX(Table3[[#All],[WE]],MATCH(Table5[[#This Row],[PID]],Table3[[#All],[PID]],0)))</f>
        <v>Normal</v>
      </c>
      <c r="K1121" s="52" t="str">
        <f>IF($C1121="B",INDEX(Batters[[#All],[INT]],MATCH(Table5[[#This Row],[PID]],Batters[[#All],[PID]],0)),INDEX(Table3[[#All],[INT]],MATCH(Table5[[#This Row],[PID]],Table3[[#All],[PID]],0)))</f>
        <v>Normal</v>
      </c>
      <c r="L1121" s="60">
        <f>IF($C1121="B",INDEX(Batters[[#All],[CON P]],MATCH(Table5[[#This Row],[PID]],Batters[[#All],[PID]],0)),INDEX(Table3[[#All],[STU P]],MATCH(Table5[[#This Row],[PID]],Table3[[#All],[PID]],0)))</f>
        <v>2</v>
      </c>
      <c r="M1121" s="56">
        <f>IF($C1121="B",INDEX(Batters[[#All],[GAP P]],MATCH(Table5[[#This Row],[PID]],Batters[[#All],[PID]],0)),INDEX(Table3[[#All],[MOV P]],MATCH(Table5[[#This Row],[PID]],Table3[[#All],[PID]],0)))</f>
        <v>5</v>
      </c>
      <c r="N1121" s="56">
        <f>IF($C1121="B",INDEX(Batters[[#All],[POW P]],MATCH(Table5[[#This Row],[PID]],Batters[[#All],[PID]],0)),INDEX(Table3[[#All],[CON P]],MATCH(Table5[[#This Row],[PID]],Table3[[#All],[PID]],0)))</f>
        <v>4</v>
      </c>
      <c r="O1121" s="56">
        <f>IF($C1121="B",INDEX(Batters[[#All],[EYE P]],MATCH(Table5[[#This Row],[PID]],Batters[[#All],[PID]],0)),INDEX(Table3[[#All],[VELO]],MATCH(Table5[[#This Row],[PID]],Table3[[#All],[PID]],0)))</f>
        <v>5</v>
      </c>
      <c r="P1121" s="56">
        <f>IF($C1121="B",INDEX(Batters[[#All],[K P]],MATCH(Table5[[#This Row],[PID]],Batters[[#All],[PID]],0)),INDEX(Table3[[#All],[STM]],MATCH(Table5[[#This Row],[PID]],Table3[[#All],[PID]],0)))</f>
        <v>2</v>
      </c>
      <c r="Q1121" s="61">
        <f>IF($C1121="B",INDEX(Batters[[#All],[Tot]],MATCH(Table5[[#This Row],[PID]],Batters[[#All],[PID]],0)),INDEX(Table3[[#All],[Tot]],MATCH(Table5[[#This Row],[PID]],Table3[[#All],[PID]],0)))</f>
        <v>40.249841078706808</v>
      </c>
      <c r="R1121" s="52">
        <f>IF($C1121="B",INDEX(Batters[[#All],[zScore]],MATCH(Table5[[#This Row],[PID]],Batters[[#All],[PID]],0)),INDEX(Table3[[#All],[zScore]],MATCH(Table5[[#This Row],[PID]],Table3[[#All],[PID]],0)))</f>
        <v>-0.86068750968845065</v>
      </c>
      <c r="S1121" s="58" t="str">
        <f>IF($C1121="B",INDEX(Batters[[#All],[DEM]],MATCH(Table5[[#This Row],[PID]],Batters[[#All],[PID]],0)),INDEX(Table3[[#All],[DEM]],MATCH(Table5[[#This Row],[PID]],Table3[[#All],[PID]],0)))</f>
        <v>$65k</v>
      </c>
      <c r="T1121" s="62">
        <f>IF($C1121="B",INDEX(Batters[[#All],[Rnk]],MATCH(Table5[[#This Row],[PID]],Batters[[#All],[PID]],0)),INDEX(Table3[[#All],[Rnk]],MATCH(Table5[[#This Row],[PID]],Table3[[#All],[PID]],0)))</f>
        <v>418</v>
      </c>
      <c r="U1121" s="68">
        <f>IF($C1121="B",VLOOKUP($A1121,Bat!$A$4:$BA$1621,47,FALSE),VLOOKUP($A1121,Pit!$A$4:$BF$1557,56,FALSE))</f>
        <v>0</v>
      </c>
      <c r="V1121" s="50">
        <f>IF($C1121="B",VLOOKUP($A1121,Bat!$A$4:$BA$1621,48,FALSE),VLOOKUP($A1121,Pit!$A$4:$BF$1557,57,FALSE))</f>
        <v>0</v>
      </c>
      <c r="W1121" s="50">
        <f>Table5[[#This Row],[posRnk]]+Table5[[#This Row],[zRnk]]+IF($W$3&lt;&gt;Table5[[#This Row],[Type]],50,0)</f>
        <v>1546</v>
      </c>
      <c r="X1121" s="51">
        <f>RANK(Table5[[#This Row],[zScore]],Table5[[#All],[zScore]])</f>
        <v>1078</v>
      </c>
      <c r="Y1121" s="50" t="str">
        <f>IFERROR(INDEX(DraftResults[[#All],[OVR]],MATCH(Table5[[#This Row],[PID]],DraftResults[[#All],[Player ID]],0)),"")</f>
        <v/>
      </c>
      <c r="Z11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1" s="50" t="str">
        <f>IFERROR(INDEX(DraftResults[[#All],[Pick in Round]],MATCH(Table5[[#This Row],[PID]],DraftResults[[#All],[Player ID]],0)),"")</f>
        <v/>
      </c>
      <c r="AB1121" s="50" t="str">
        <f>IFERROR(INDEX(DraftResults[[#All],[Team Name]],MATCH(Table5[[#This Row],[PID]],DraftResults[[#All],[Player ID]],0)),"")</f>
        <v/>
      </c>
      <c r="AC1121" s="50" t="str">
        <f>IF(Table5[[#This Row],[Ovr]]="","",IF(Table5[[#This Row],[cmbList]]="","",Table5[[#This Row],[cmbList]]-Table5[[#This Row],[Ovr]]))</f>
        <v/>
      </c>
      <c r="AD1121" s="54" t="str">
        <f>IF(ISERROR(VLOOKUP($AB1121&amp;"-"&amp;$E1121&amp;" "&amp;F1121,Bonuses!$B$1:$G$1006,4,FALSE)),"",INT(VLOOKUP($AB1121&amp;"-"&amp;$E1121&amp;" "&amp;$F1121,Bonuses!$B$1:$G$1006,4,FALSE)))</f>
        <v/>
      </c>
      <c r="AE11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2" spans="1:31" s="50" customFormat="1" x14ac:dyDescent="0.25">
      <c r="A1122" s="50">
        <v>20270</v>
      </c>
      <c r="B1122" s="50">
        <f>COUNTIF(Table5[PID],A1122)</f>
        <v>1</v>
      </c>
      <c r="C1122" s="50" t="str">
        <f>IF(COUNTIF(Table3[[#All],[PID]],A1122)&gt;0,"P","B")</f>
        <v>P</v>
      </c>
      <c r="D1122" s="59" t="str">
        <f>IF($C1122="B",INDEX(Batters[[#All],[POS]],MATCH(Table5[[#This Row],[PID]],Batters[[#All],[PID]],0)),INDEX(Table3[[#All],[POS]],MATCH(Table5[[#This Row],[PID]],Table3[[#All],[PID]],0)))</f>
        <v>RP</v>
      </c>
      <c r="E1122" s="52" t="str">
        <f>IF($C1122="B",INDEX(Batters[[#All],[First]],MATCH(Table5[[#This Row],[PID]],Batters[[#All],[PID]],0)),INDEX(Table3[[#All],[First]],MATCH(Table5[[#This Row],[PID]],Table3[[#All],[PID]],0)))</f>
        <v>Jin</v>
      </c>
      <c r="F1122" s="50" t="str">
        <f>IF($C1122="B",INDEX(Batters[[#All],[Last]],MATCH(A1122,Batters[[#All],[PID]],0)),INDEX(Table3[[#All],[Last]],MATCH(A1122,Table3[[#All],[PID]],0)))</f>
        <v>Su-Tu</v>
      </c>
      <c r="G1122" s="56">
        <f>IF($C1122="B",INDEX(Batters[[#All],[Age]],MATCH(Table5[[#This Row],[PID]],Batters[[#All],[PID]],0)),INDEX(Table3[[#All],[Age]],MATCH(Table5[[#This Row],[PID]],Table3[[#All],[PID]],0)))</f>
        <v>22</v>
      </c>
      <c r="H1122" s="52" t="str">
        <f>IF($C1122="B",INDEX(Batters[[#All],[B]],MATCH(Table5[[#This Row],[PID]],Batters[[#All],[PID]],0)),INDEX(Table3[[#All],[B]],MATCH(Table5[[#This Row],[PID]],Table3[[#All],[PID]],0)))</f>
        <v>L</v>
      </c>
      <c r="I1122" s="52" t="str">
        <f>IF($C1122="B",INDEX(Batters[[#All],[T]],MATCH(Table5[[#This Row],[PID]],Batters[[#All],[PID]],0)),INDEX(Table3[[#All],[T]],MATCH(Table5[[#This Row],[PID]],Table3[[#All],[PID]],0)))</f>
        <v>L</v>
      </c>
      <c r="J1122" s="52" t="str">
        <f>IF($C1122="B",INDEX(Batters[[#All],[WE]],MATCH(Table5[[#This Row],[PID]],Batters[[#All],[PID]],0)),INDEX(Table3[[#All],[WE]],MATCH(Table5[[#This Row],[PID]],Table3[[#All],[PID]],0)))</f>
        <v>Normal</v>
      </c>
      <c r="K1122" s="52" t="str">
        <f>IF($C1122="B",INDEX(Batters[[#All],[INT]],MATCH(Table5[[#This Row],[PID]],Batters[[#All],[PID]],0)),INDEX(Table3[[#All],[INT]],MATCH(Table5[[#This Row],[PID]],Table3[[#All],[PID]],0)))</f>
        <v>Normal</v>
      </c>
      <c r="L1122" s="60">
        <f>IF($C1122="B",INDEX(Batters[[#All],[CON P]],MATCH(Table5[[#This Row],[PID]],Batters[[#All],[PID]],0)),INDEX(Table3[[#All],[STU P]],MATCH(Table5[[#This Row],[PID]],Table3[[#All],[PID]],0)))</f>
        <v>4</v>
      </c>
      <c r="M1122" s="56">
        <f>IF($C1122="B",INDEX(Batters[[#All],[GAP P]],MATCH(Table5[[#This Row],[PID]],Batters[[#All],[PID]],0)),INDEX(Table3[[#All],[MOV P]],MATCH(Table5[[#This Row],[PID]],Table3[[#All],[PID]],0)))</f>
        <v>1</v>
      </c>
      <c r="N1122" s="56">
        <f>IF($C1122="B",INDEX(Batters[[#All],[POW P]],MATCH(Table5[[#This Row],[PID]],Batters[[#All],[PID]],0)),INDEX(Table3[[#All],[CON P]],MATCH(Table5[[#This Row],[PID]],Table3[[#All],[PID]],0)))</f>
        <v>3</v>
      </c>
      <c r="O1122" s="56" t="str">
        <f>IF($C1122="B",INDEX(Batters[[#All],[EYE P]],MATCH(Table5[[#This Row],[PID]],Batters[[#All],[PID]],0)),INDEX(Table3[[#All],[VELO]],MATCH(Table5[[#This Row],[PID]],Table3[[#All],[PID]],0)))</f>
        <v>90-92 Mph</v>
      </c>
      <c r="P1122" s="56">
        <f>IF($C1122="B",INDEX(Batters[[#All],[K P]],MATCH(Table5[[#This Row],[PID]],Batters[[#All],[PID]],0)),INDEX(Table3[[#All],[STM]],MATCH(Table5[[#This Row],[PID]],Table3[[#All],[PID]],0)))</f>
        <v>8</v>
      </c>
      <c r="Q1122" s="61">
        <f>IF($C1122="B",INDEX(Batters[[#All],[Tot]],MATCH(Table5[[#This Row],[PID]],Batters[[#All],[PID]],0)),INDEX(Table3[[#All],[Tot]],MATCH(Table5[[#This Row],[PID]],Table3[[#All],[PID]],0)))</f>
        <v>24.840556163525264</v>
      </c>
      <c r="R1122" s="52">
        <f>IF($C1122="B",INDEX(Batters[[#All],[zScore]],MATCH(Table5[[#This Row],[PID]],Batters[[#All],[PID]],0)),INDEX(Table3[[#All],[zScore]],MATCH(Table5[[#This Row],[PID]],Table3[[#All],[PID]],0)))</f>
        <v>-0.86392974955062385</v>
      </c>
      <c r="S1122" s="58" t="str">
        <f>IF($C1122="B",INDEX(Batters[[#All],[DEM]],MATCH(Table5[[#This Row],[PID]],Batters[[#All],[PID]],0)),INDEX(Table3[[#All],[DEM]],MATCH(Table5[[#This Row],[PID]],Table3[[#All],[PID]],0)))</f>
        <v>-</v>
      </c>
      <c r="T1122" s="62">
        <f>IF($C1122="B",INDEX(Batters[[#All],[Rnk]],MATCH(Table5[[#This Row],[PID]],Batters[[#All],[PID]],0)),INDEX(Table3[[#All],[Rnk]],MATCH(Table5[[#This Row],[PID]],Table3[[#All],[PID]],0)))</f>
        <v>660</v>
      </c>
      <c r="U1122" s="68">
        <f>IF($C1122="B",VLOOKUP($A1122,Bat!$A$4:$BA$1621,47,FALSE),VLOOKUP($A1122,Pit!$A$4:$BF$1557,56,FALSE))</f>
        <v>0</v>
      </c>
      <c r="V1122" s="50">
        <f>IF($C1122="B",VLOOKUP($A1122,Bat!$A$4:$BA$1621,48,FALSE),VLOOKUP($A1122,Pit!$A$4:$BF$1557,57,FALSE))</f>
        <v>0</v>
      </c>
      <c r="W1122" s="50">
        <f>Table5[[#This Row],[posRnk]]+Table5[[#This Row],[zRnk]]+IF($W$3&lt;&gt;Table5[[#This Row],[Type]],50,0)</f>
        <v>1789</v>
      </c>
      <c r="X1122" s="51">
        <f>RANK(Table5[[#This Row],[zScore]],Table5[[#All],[zScore]])</f>
        <v>1079</v>
      </c>
      <c r="Y1122" s="50" t="str">
        <f>IFERROR(INDEX(DraftResults[[#All],[OVR]],MATCH(Table5[[#This Row],[PID]],DraftResults[[#All],[Player ID]],0)),"")</f>
        <v/>
      </c>
      <c r="Z11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2" s="50" t="str">
        <f>IFERROR(INDEX(DraftResults[[#All],[Pick in Round]],MATCH(Table5[[#This Row],[PID]],DraftResults[[#All],[Player ID]],0)),"")</f>
        <v/>
      </c>
      <c r="AB1122" s="50" t="str">
        <f>IFERROR(INDEX(DraftResults[[#All],[Team Name]],MATCH(Table5[[#This Row],[PID]],DraftResults[[#All],[Player ID]],0)),"")</f>
        <v/>
      </c>
      <c r="AC1122" s="50" t="str">
        <f>IF(Table5[[#This Row],[Ovr]]="","",IF(Table5[[#This Row],[cmbList]]="","",Table5[[#This Row],[cmbList]]-Table5[[#This Row],[Ovr]]))</f>
        <v/>
      </c>
      <c r="AD1122" s="54" t="str">
        <f>IF(ISERROR(VLOOKUP($AB1122&amp;"-"&amp;$E1122&amp;" "&amp;F1122,Bonuses!$B$1:$G$1006,4,FALSE)),"",INT(VLOOKUP($AB1122&amp;"-"&amp;$E1122&amp;" "&amp;$F1122,Bonuses!$B$1:$G$1006,4,FALSE)))</f>
        <v/>
      </c>
      <c r="AE11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3" spans="1:31" s="50" customFormat="1" x14ac:dyDescent="0.25">
      <c r="A1123" s="50">
        <v>4825</v>
      </c>
      <c r="B1123" s="50">
        <f>COUNTIF(Table5[PID],A1123)</f>
        <v>1</v>
      </c>
      <c r="C1123" s="50" t="str">
        <f>IF(COUNTIF(Table3[[#All],[PID]],A1123)&gt;0,"P","B")</f>
        <v>P</v>
      </c>
      <c r="D1123" s="59" t="str">
        <f>IF($C1123="B",INDEX(Batters[[#All],[POS]],MATCH(Table5[[#This Row],[PID]],Batters[[#All],[PID]],0)),INDEX(Table3[[#All],[POS]],MATCH(Table5[[#This Row],[PID]],Table3[[#All],[PID]],0)))</f>
        <v>RP</v>
      </c>
      <c r="E1123" s="52" t="str">
        <f>IF($C1123="B",INDEX(Batters[[#All],[First]],MATCH(Table5[[#This Row],[PID]],Batters[[#All],[PID]],0)),INDEX(Table3[[#All],[First]],MATCH(Table5[[#This Row],[PID]],Table3[[#All],[PID]],0)))</f>
        <v>Kent</v>
      </c>
      <c r="F1123" s="50" t="str">
        <f>IF($C1123="B",INDEX(Batters[[#All],[Last]],MATCH(A1123,Batters[[#All],[PID]],0)),INDEX(Table3[[#All],[Last]],MATCH(A1123,Table3[[#All],[PID]],0)))</f>
        <v>Davis</v>
      </c>
      <c r="G1123" s="56">
        <f>IF($C1123="B",INDEX(Batters[[#All],[Age]],MATCH(Table5[[#This Row],[PID]],Batters[[#All],[PID]],0)),INDEX(Table3[[#All],[Age]],MATCH(Table5[[#This Row],[PID]],Table3[[#All],[PID]],0)))</f>
        <v>22</v>
      </c>
      <c r="H1123" s="52" t="str">
        <f>IF($C1123="B",INDEX(Batters[[#All],[B]],MATCH(Table5[[#This Row],[PID]],Batters[[#All],[PID]],0)),INDEX(Table3[[#All],[B]],MATCH(Table5[[#This Row],[PID]],Table3[[#All],[PID]],0)))</f>
        <v>R</v>
      </c>
      <c r="I1123" s="52" t="str">
        <f>IF($C1123="B",INDEX(Batters[[#All],[T]],MATCH(Table5[[#This Row],[PID]],Batters[[#All],[PID]],0)),INDEX(Table3[[#All],[T]],MATCH(Table5[[#This Row],[PID]],Table3[[#All],[PID]],0)))</f>
        <v>R</v>
      </c>
      <c r="J1123" s="52" t="str">
        <f>IF($C1123="B",INDEX(Batters[[#All],[WE]],MATCH(Table5[[#This Row],[PID]],Batters[[#All],[PID]],0)),INDEX(Table3[[#All],[WE]],MATCH(Table5[[#This Row],[PID]],Table3[[#All],[PID]],0)))</f>
        <v>Low</v>
      </c>
      <c r="K1123" s="52" t="str">
        <f>IF($C1123="B",INDEX(Batters[[#All],[INT]],MATCH(Table5[[#This Row],[PID]],Batters[[#All],[PID]],0)),INDEX(Table3[[#All],[INT]],MATCH(Table5[[#This Row],[PID]],Table3[[#All],[PID]],0)))</f>
        <v>Normal</v>
      </c>
      <c r="L1123" s="60">
        <f>IF($C1123="B",INDEX(Batters[[#All],[CON P]],MATCH(Table5[[#This Row],[PID]],Batters[[#All],[PID]],0)),INDEX(Table3[[#All],[STU P]],MATCH(Table5[[#This Row],[PID]],Table3[[#All],[PID]],0)))</f>
        <v>3</v>
      </c>
      <c r="M1123" s="56">
        <f>IF($C1123="B",INDEX(Batters[[#All],[GAP P]],MATCH(Table5[[#This Row],[PID]],Batters[[#All],[PID]],0)),INDEX(Table3[[#All],[MOV P]],MATCH(Table5[[#This Row],[PID]],Table3[[#All],[PID]],0)))</f>
        <v>2</v>
      </c>
      <c r="N1123" s="56">
        <f>IF($C1123="B",INDEX(Batters[[#All],[POW P]],MATCH(Table5[[#This Row],[PID]],Batters[[#All],[PID]],0)),INDEX(Table3[[#All],[CON P]],MATCH(Table5[[#This Row],[PID]],Table3[[#All],[PID]],0)))</f>
        <v>3</v>
      </c>
      <c r="O1123" s="56" t="str">
        <f>IF($C1123="B",INDEX(Batters[[#All],[EYE P]],MATCH(Table5[[#This Row],[PID]],Batters[[#All],[PID]],0)),INDEX(Table3[[#All],[VELO]],MATCH(Table5[[#This Row],[PID]],Table3[[#All],[PID]],0)))</f>
        <v>85-87 Mph</v>
      </c>
      <c r="P1123" s="56">
        <f>IF($C1123="B",INDEX(Batters[[#All],[K P]],MATCH(Table5[[#This Row],[PID]],Batters[[#All],[PID]],0)),INDEX(Table3[[#All],[STM]],MATCH(Table5[[#This Row],[PID]],Table3[[#All],[PID]],0)))</f>
        <v>9</v>
      </c>
      <c r="Q1123" s="61">
        <f>IF($C1123="B",INDEX(Batters[[#All],[Tot]],MATCH(Table5[[#This Row],[PID]],Batters[[#All],[PID]],0)),INDEX(Table3[[#All],[Tot]],MATCH(Table5[[#This Row],[PID]],Table3[[#All],[PID]],0)))</f>
        <v>25.150745124653991</v>
      </c>
      <c r="R1123" s="52">
        <f>IF($C1123="B",INDEX(Batters[[#All],[zScore]],MATCH(Table5[[#This Row],[PID]],Batters[[#All],[PID]],0)),INDEX(Table3[[#All],[zScore]],MATCH(Table5[[#This Row],[PID]],Table3[[#All],[PID]],0)))</f>
        <v>-0.8667289115586847</v>
      </c>
      <c r="S1123" s="58" t="str">
        <f>IF($C1123="B",INDEX(Batters[[#All],[DEM]],MATCH(Table5[[#This Row],[PID]],Batters[[#All],[PID]],0)),INDEX(Table3[[#All],[DEM]],MATCH(Table5[[#This Row],[PID]],Table3[[#All],[PID]],0)))</f>
        <v>-</v>
      </c>
      <c r="T1123" s="62">
        <f>IF($C1123="B",INDEX(Batters[[#All],[Rnk]],MATCH(Table5[[#This Row],[PID]],Batters[[#All],[PID]],0)),INDEX(Table3[[#All],[Rnk]],MATCH(Table5[[#This Row],[PID]],Table3[[#All],[PID]],0)))</f>
        <v>661</v>
      </c>
      <c r="U1123" s="68">
        <f>IF($C1123="B",VLOOKUP($A1123,Bat!$A$4:$BA$1621,47,FALSE),VLOOKUP($A1123,Pit!$A$4:$BF$1557,56,FALSE))</f>
        <v>0</v>
      </c>
      <c r="V1123" s="50">
        <f>IF($C1123="B",VLOOKUP($A1123,Bat!$A$4:$BA$1621,48,FALSE),VLOOKUP($A1123,Pit!$A$4:$BF$1557,57,FALSE))</f>
        <v>0</v>
      </c>
      <c r="W1123" s="50">
        <f>Table5[[#This Row],[posRnk]]+Table5[[#This Row],[zRnk]]+IF($W$3&lt;&gt;Table5[[#This Row],[Type]],50,0)</f>
        <v>1791</v>
      </c>
      <c r="X1123" s="51">
        <f>RANK(Table5[[#This Row],[zScore]],Table5[[#All],[zScore]])</f>
        <v>1080</v>
      </c>
      <c r="Y1123" s="50" t="str">
        <f>IFERROR(INDEX(DraftResults[[#All],[OVR]],MATCH(Table5[[#This Row],[PID]],DraftResults[[#All],[Player ID]],0)),"")</f>
        <v/>
      </c>
      <c r="Z11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3" s="50" t="str">
        <f>IFERROR(INDEX(DraftResults[[#All],[Pick in Round]],MATCH(Table5[[#This Row],[PID]],DraftResults[[#All],[Player ID]],0)),"")</f>
        <v/>
      </c>
      <c r="AB1123" s="50" t="str">
        <f>IFERROR(INDEX(DraftResults[[#All],[Team Name]],MATCH(Table5[[#This Row],[PID]],DraftResults[[#All],[Player ID]],0)),"")</f>
        <v/>
      </c>
      <c r="AC1123" s="50" t="str">
        <f>IF(Table5[[#This Row],[Ovr]]="","",IF(Table5[[#This Row],[cmbList]]="","",Table5[[#This Row],[cmbList]]-Table5[[#This Row],[Ovr]]))</f>
        <v/>
      </c>
      <c r="AD1123" s="54" t="str">
        <f>IF(ISERROR(VLOOKUP($AB1123&amp;"-"&amp;$E1123&amp;" "&amp;F1123,Bonuses!$B$1:$G$1006,4,FALSE)),"",INT(VLOOKUP($AB1123&amp;"-"&amp;$E1123&amp;" "&amp;$F1123,Bonuses!$B$1:$G$1006,4,FALSE)))</f>
        <v/>
      </c>
      <c r="AE11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4" spans="1:31" s="50" customFormat="1" x14ac:dyDescent="0.25">
      <c r="A1124" s="50">
        <v>9026</v>
      </c>
      <c r="B1124" s="50">
        <f>COUNTIF(Table5[PID],A1124)</f>
        <v>1</v>
      </c>
      <c r="C1124" s="50" t="str">
        <f>IF(COUNTIF(Table3[[#All],[PID]],A1124)&gt;0,"P","B")</f>
        <v>P</v>
      </c>
      <c r="D1124" s="59" t="str">
        <f>IF($C1124="B",INDEX(Batters[[#All],[POS]],MATCH(Table5[[#This Row],[PID]],Batters[[#All],[PID]],0)),INDEX(Table3[[#All],[POS]],MATCH(Table5[[#This Row],[PID]],Table3[[#All],[PID]],0)))</f>
        <v>RP</v>
      </c>
      <c r="E1124" s="52" t="str">
        <f>IF($C1124="B",INDEX(Batters[[#All],[First]],MATCH(Table5[[#This Row],[PID]],Batters[[#All],[PID]],0)),INDEX(Table3[[#All],[First]],MATCH(Table5[[#This Row],[PID]],Table3[[#All],[PID]],0)))</f>
        <v>Francisco</v>
      </c>
      <c r="F1124" s="50" t="str">
        <f>IF($C1124="B",INDEX(Batters[[#All],[Last]],MATCH(A1124,Batters[[#All],[PID]],0)),INDEX(Table3[[#All],[Last]],MATCH(A1124,Table3[[#All],[PID]],0)))</f>
        <v>Rojas</v>
      </c>
      <c r="G1124" s="56">
        <f>IF($C1124="B",INDEX(Batters[[#All],[Age]],MATCH(Table5[[#This Row],[PID]],Batters[[#All],[PID]],0)),INDEX(Table3[[#All],[Age]],MATCH(Table5[[#This Row],[PID]],Table3[[#All],[PID]],0)))</f>
        <v>21</v>
      </c>
      <c r="H1124" s="52" t="str">
        <f>IF($C1124="B",INDEX(Batters[[#All],[B]],MATCH(Table5[[#This Row],[PID]],Batters[[#All],[PID]],0)),INDEX(Table3[[#All],[B]],MATCH(Table5[[#This Row],[PID]],Table3[[#All],[PID]],0)))</f>
        <v>R</v>
      </c>
      <c r="I1124" s="52" t="str">
        <f>IF($C1124="B",INDEX(Batters[[#All],[T]],MATCH(Table5[[#This Row],[PID]],Batters[[#All],[PID]],0)),INDEX(Table3[[#All],[T]],MATCH(Table5[[#This Row],[PID]],Table3[[#All],[PID]],0)))</f>
        <v>R</v>
      </c>
      <c r="J1124" s="52" t="str">
        <f>IF($C1124="B",INDEX(Batters[[#All],[WE]],MATCH(Table5[[#This Row],[PID]],Batters[[#All],[PID]],0)),INDEX(Table3[[#All],[WE]],MATCH(Table5[[#This Row],[PID]],Table3[[#All],[PID]],0)))</f>
        <v>Low</v>
      </c>
      <c r="K1124" s="52" t="str">
        <f>IF($C1124="B",INDEX(Batters[[#All],[INT]],MATCH(Table5[[#This Row],[PID]],Batters[[#All],[PID]],0)),INDEX(Table3[[#All],[INT]],MATCH(Table5[[#This Row],[PID]],Table3[[#All],[PID]],0)))</f>
        <v>Low</v>
      </c>
      <c r="L1124" s="60">
        <f>IF($C1124="B",INDEX(Batters[[#All],[CON P]],MATCH(Table5[[#This Row],[PID]],Batters[[#All],[PID]],0)),INDEX(Table3[[#All],[STU P]],MATCH(Table5[[#This Row],[PID]],Table3[[#All],[PID]],0)))</f>
        <v>3</v>
      </c>
      <c r="M1124" s="56">
        <f>IF($C1124="B",INDEX(Batters[[#All],[GAP P]],MATCH(Table5[[#This Row],[PID]],Batters[[#All],[PID]],0)),INDEX(Table3[[#All],[MOV P]],MATCH(Table5[[#This Row],[PID]],Table3[[#All],[PID]],0)))</f>
        <v>1</v>
      </c>
      <c r="N1124" s="56">
        <f>IF($C1124="B",INDEX(Batters[[#All],[POW P]],MATCH(Table5[[#This Row],[PID]],Batters[[#All],[PID]],0)),INDEX(Table3[[#All],[CON P]],MATCH(Table5[[#This Row],[PID]],Table3[[#All],[PID]],0)))</f>
        <v>3</v>
      </c>
      <c r="O1124" s="56" t="str">
        <f>IF($C1124="B",INDEX(Batters[[#All],[EYE P]],MATCH(Table5[[#This Row],[PID]],Batters[[#All],[PID]],0)),INDEX(Table3[[#All],[VELO]],MATCH(Table5[[#This Row],[PID]],Table3[[#All],[PID]],0)))</f>
        <v>84-86 Mph</v>
      </c>
      <c r="P1124" s="56">
        <f>IF($C1124="B",INDEX(Batters[[#All],[K P]],MATCH(Table5[[#This Row],[PID]],Batters[[#All],[PID]],0)),INDEX(Table3[[#All],[STM]],MATCH(Table5[[#This Row],[PID]],Table3[[#All],[PID]],0)))</f>
        <v>6</v>
      </c>
      <c r="Q1124" s="61">
        <f>IF($C1124="B",INDEX(Batters[[#All],[Tot]],MATCH(Table5[[#This Row],[PID]],Batters[[#All],[PID]],0)),INDEX(Table3[[#All],[Tot]],MATCH(Table5[[#This Row],[PID]],Table3[[#All],[PID]],0)))</f>
        <v>22.838641374112214</v>
      </c>
      <c r="R1124" s="52">
        <f>IF($C1124="B",INDEX(Batters[[#All],[zScore]],MATCH(Table5[[#This Row],[PID]],Batters[[#All],[PID]],0)),INDEX(Table3[[#All],[zScore]],MATCH(Table5[[#This Row],[PID]],Table3[[#All],[PID]],0)))</f>
        <v>-0.86699137288297168</v>
      </c>
      <c r="S1124" s="58" t="str">
        <f>IF($C1124="B",INDEX(Batters[[#All],[DEM]],MATCH(Table5[[#This Row],[PID]],Batters[[#All],[PID]],0)),INDEX(Table3[[#All],[DEM]],MATCH(Table5[[#This Row],[PID]],Table3[[#All],[PID]],0)))</f>
        <v>$20k</v>
      </c>
      <c r="T1124" s="62">
        <f>IF($C1124="B",INDEX(Batters[[#All],[Rnk]],MATCH(Table5[[#This Row],[PID]],Batters[[#All],[PID]],0)),INDEX(Table3[[#All],[Rnk]],MATCH(Table5[[#This Row],[PID]],Table3[[#All],[PID]],0)))</f>
        <v>662</v>
      </c>
      <c r="U1124" s="68">
        <f>IF($C1124="B",VLOOKUP($A1124,Bat!$A$4:$BA$1621,47,FALSE),VLOOKUP($A1124,Pit!$A$4:$BF$1557,56,FALSE))</f>
        <v>0</v>
      </c>
      <c r="V1124" s="50">
        <f>IF($C1124="B",VLOOKUP($A1124,Bat!$A$4:$BA$1621,48,FALSE),VLOOKUP($A1124,Pit!$A$4:$BF$1557,57,FALSE))</f>
        <v>0</v>
      </c>
      <c r="W1124" s="50">
        <f>Table5[[#This Row],[posRnk]]+Table5[[#This Row],[zRnk]]+IF($W$3&lt;&gt;Table5[[#This Row],[Type]],50,0)</f>
        <v>1793</v>
      </c>
      <c r="X1124" s="51">
        <f>RANK(Table5[[#This Row],[zScore]],Table5[[#All],[zScore]])</f>
        <v>1081</v>
      </c>
      <c r="Y1124" s="50" t="str">
        <f>IFERROR(INDEX(DraftResults[[#All],[OVR]],MATCH(Table5[[#This Row],[PID]],DraftResults[[#All],[Player ID]],0)),"")</f>
        <v/>
      </c>
      <c r="Z11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4" s="50" t="str">
        <f>IFERROR(INDEX(DraftResults[[#All],[Pick in Round]],MATCH(Table5[[#This Row],[PID]],DraftResults[[#All],[Player ID]],0)),"")</f>
        <v/>
      </c>
      <c r="AB1124" s="50" t="str">
        <f>IFERROR(INDEX(DraftResults[[#All],[Team Name]],MATCH(Table5[[#This Row],[PID]],DraftResults[[#All],[Player ID]],0)),"")</f>
        <v/>
      </c>
      <c r="AC1124" s="50" t="str">
        <f>IF(Table5[[#This Row],[Ovr]]="","",IF(Table5[[#This Row],[cmbList]]="","",Table5[[#This Row],[cmbList]]-Table5[[#This Row],[Ovr]]))</f>
        <v/>
      </c>
      <c r="AD1124" s="54" t="str">
        <f>IF(ISERROR(VLOOKUP($AB1124&amp;"-"&amp;$E1124&amp;" "&amp;F1124,Bonuses!$B$1:$G$1006,4,FALSE)),"",INT(VLOOKUP($AB1124&amp;"-"&amp;$E1124&amp;" "&amp;$F1124,Bonuses!$B$1:$G$1006,4,FALSE)))</f>
        <v/>
      </c>
      <c r="AE11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5" spans="1:31" s="50" customFormat="1" x14ac:dyDescent="0.25">
      <c r="A1125" s="50">
        <v>18386</v>
      </c>
      <c r="B1125" s="50">
        <f>COUNTIF(Table5[PID],A1125)</f>
        <v>1</v>
      </c>
      <c r="C1125" s="50" t="str">
        <f>IF(COUNTIF(Table3[[#All],[PID]],A1125)&gt;0,"P","B")</f>
        <v>B</v>
      </c>
      <c r="D1125" s="59" t="str">
        <f>IF($C1125="B",INDEX(Batters[[#All],[POS]],MATCH(Table5[[#This Row],[PID]],Batters[[#All],[PID]],0)),INDEX(Table3[[#All],[POS]],MATCH(Table5[[#This Row],[PID]],Table3[[#All],[PID]],0)))</f>
        <v>LF</v>
      </c>
      <c r="E1125" s="52" t="str">
        <f>IF($C1125="B",INDEX(Batters[[#All],[First]],MATCH(Table5[[#This Row],[PID]],Batters[[#All],[PID]],0)),INDEX(Table3[[#All],[First]],MATCH(Table5[[#This Row],[PID]],Table3[[#All],[PID]],0)))</f>
        <v>Shunsen</v>
      </c>
      <c r="F1125" s="50" t="str">
        <f>IF($C1125="B",INDEX(Batters[[#All],[Last]],MATCH(A1125,Batters[[#All],[PID]],0)),INDEX(Table3[[#All],[Last]],MATCH(A1125,Table3[[#All],[PID]],0)))</f>
        <v>Saito</v>
      </c>
      <c r="G1125" s="56">
        <f>IF($C1125="B",INDEX(Batters[[#All],[Age]],MATCH(Table5[[#This Row],[PID]],Batters[[#All],[PID]],0)),INDEX(Table3[[#All],[Age]],MATCH(Table5[[#This Row],[PID]],Table3[[#All],[PID]],0)))</f>
        <v>18</v>
      </c>
      <c r="H1125" s="52" t="str">
        <f>IF($C1125="B",INDEX(Batters[[#All],[B]],MATCH(Table5[[#This Row],[PID]],Batters[[#All],[PID]],0)),INDEX(Table3[[#All],[B]],MATCH(Table5[[#This Row],[PID]],Table3[[#All],[PID]],0)))</f>
        <v>R</v>
      </c>
      <c r="I1125" s="52" t="str">
        <f>IF($C1125="B",INDEX(Batters[[#All],[T]],MATCH(Table5[[#This Row],[PID]],Batters[[#All],[PID]],0)),INDEX(Table3[[#All],[T]],MATCH(Table5[[#This Row],[PID]],Table3[[#All],[PID]],0)))</f>
        <v>R</v>
      </c>
      <c r="J1125" s="52" t="str">
        <f>IF($C1125="B",INDEX(Batters[[#All],[WE]],MATCH(Table5[[#This Row],[PID]],Batters[[#All],[PID]],0)),INDEX(Table3[[#All],[WE]],MATCH(Table5[[#This Row],[PID]],Table3[[#All],[PID]],0)))</f>
        <v>Low</v>
      </c>
      <c r="K1125" s="52" t="str">
        <f>IF($C1125="B",INDEX(Batters[[#All],[INT]],MATCH(Table5[[#This Row],[PID]],Batters[[#All],[PID]],0)),INDEX(Table3[[#All],[INT]],MATCH(Table5[[#This Row],[PID]],Table3[[#All],[PID]],0)))</f>
        <v>Normal</v>
      </c>
      <c r="L1125" s="60">
        <f>IF($C1125="B",INDEX(Batters[[#All],[CON P]],MATCH(Table5[[#This Row],[PID]],Batters[[#All],[PID]],0)),INDEX(Table3[[#All],[STU P]],MATCH(Table5[[#This Row],[PID]],Table3[[#All],[PID]],0)))</f>
        <v>3</v>
      </c>
      <c r="M1125" s="56">
        <f>IF($C1125="B",INDEX(Batters[[#All],[GAP P]],MATCH(Table5[[#This Row],[PID]],Batters[[#All],[PID]],0)),INDEX(Table3[[#All],[MOV P]],MATCH(Table5[[#This Row],[PID]],Table3[[#All],[PID]],0)))</f>
        <v>3</v>
      </c>
      <c r="N1125" s="56">
        <f>IF($C1125="B",INDEX(Batters[[#All],[POW P]],MATCH(Table5[[#This Row],[PID]],Batters[[#All],[PID]],0)),INDEX(Table3[[#All],[CON P]],MATCH(Table5[[#This Row],[PID]],Table3[[#All],[PID]],0)))</f>
        <v>2</v>
      </c>
      <c r="O1125" s="56">
        <f>IF($C1125="B",INDEX(Batters[[#All],[EYE P]],MATCH(Table5[[#This Row],[PID]],Batters[[#All],[PID]],0)),INDEX(Table3[[#All],[VELO]],MATCH(Table5[[#This Row],[PID]],Table3[[#All],[PID]],0)))</f>
        <v>5</v>
      </c>
      <c r="P1125" s="56">
        <f>IF($C1125="B",INDEX(Batters[[#All],[K P]],MATCH(Table5[[#This Row],[PID]],Batters[[#All],[PID]],0)),INDEX(Table3[[#All],[STM]],MATCH(Table5[[#This Row],[PID]],Table3[[#All],[PID]],0)))</f>
        <v>4</v>
      </c>
      <c r="Q1125" s="61">
        <f>IF($C1125="B",INDEX(Batters[[#All],[Tot]],MATCH(Table5[[#This Row],[PID]],Batters[[#All],[PID]],0)),INDEX(Table3[[#All],[Tot]],MATCH(Table5[[#This Row],[PID]],Table3[[#All],[PID]],0)))</f>
        <v>40.206884313364519</v>
      </c>
      <c r="R1125" s="52">
        <f>IF($C1125="B",INDEX(Batters[[#All],[zScore]],MATCH(Table5[[#This Row],[PID]],Batters[[#All],[PID]],0)),INDEX(Table3[[#All],[zScore]],MATCH(Table5[[#This Row],[PID]],Table3[[#All],[PID]],0)))</f>
        <v>-0.87021131492562231</v>
      </c>
      <c r="S1125" s="58" t="str">
        <f>IF($C1125="B",INDEX(Batters[[#All],[DEM]],MATCH(Table5[[#This Row],[PID]],Batters[[#All],[PID]],0)),INDEX(Table3[[#All],[DEM]],MATCH(Table5[[#This Row],[PID]],Table3[[#All],[PID]],0)))</f>
        <v>$130k</v>
      </c>
      <c r="T1125" s="62">
        <f>IF($C1125="B",INDEX(Batters[[#All],[Rnk]],MATCH(Table5[[#This Row],[PID]],Batters[[#All],[PID]],0)),INDEX(Table3[[#All],[Rnk]],MATCH(Table5[[#This Row],[PID]],Table3[[#All],[PID]],0)))</f>
        <v>419</v>
      </c>
      <c r="U1125" s="68">
        <f>IF($C1125="B",VLOOKUP($A1125,Bat!$A$4:$BA$1621,47,FALSE),VLOOKUP($A1125,Pit!$A$4:$BF$1557,56,FALSE))</f>
        <v>0</v>
      </c>
      <c r="V1125" s="50">
        <f>IF($C1125="B",VLOOKUP($A1125,Bat!$A$4:$BA$1621,48,FALSE),VLOOKUP($A1125,Pit!$A$4:$BF$1557,57,FALSE))</f>
        <v>0</v>
      </c>
      <c r="W1125" s="50">
        <f>Table5[[#This Row],[posRnk]]+Table5[[#This Row],[zRnk]]+IF($W$3&lt;&gt;Table5[[#This Row],[Type]],50,0)</f>
        <v>1551</v>
      </c>
      <c r="X1125" s="51">
        <f>RANK(Table5[[#This Row],[zScore]],Table5[[#All],[zScore]])</f>
        <v>1082</v>
      </c>
      <c r="Y1125" s="50" t="str">
        <f>IFERROR(INDEX(DraftResults[[#All],[OVR]],MATCH(Table5[[#This Row],[PID]],DraftResults[[#All],[Player ID]],0)),"")</f>
        <v/>
      </c>
      <c r="Z11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5" s="50" t="str">
        <f>IFERROR(INDEX(DraftResults[[#All],[Pick in Round]],MATCH(Table5[[#This Row],[PID]],DraftResults[[#All],[Player ID]],0)),"")</f>
        <v/>
      </c>
      <c r="AB1125" s="50" t="str">
        <f>IFERROR(INDEX(DraftResults[[#All],[Team Name]],MATCH(Table5[[#This Row],[PID]],DraftResults[[#All],[Player ID]],0)),"")</f>
        <v/>
      </c>
      <c r="AC1125" s="50" t="str">
        <f>IF(Table5[[#This Row],[Ovr]]="","",IF(Table5[[#This Row],[cmbList]]="","",Table5[[#This Row],[cmbList]]-Table5[[#This Row],[Ovr]]))</f>
        <v/>
      </c>
      <c r="AD1125" s="54" t="str">
        <f>IF(ISERROR(VLOOKUP($AB1125&amp;"-"&amp;$E1125&amp;" "&amp;F1125,Bonuses!$B$1:$G$1006,4,FALSE)),"",INT(VLOOKUP($AB1125&amp;"-"&amp;$E1125&amp;" "&amp;$F1125,Bonuses!$B$1:$G$1006,4,FALSE)))</f>
        <v/>
      </c>
      <c r="AE11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6" spans="1:31" s="50" customFormat="1" x14ac:dyDescent="0.25">
      <c r="A1126" s="50">
        <v>18107</v>
      </c>
      <c r="B1126" s="50">
        <f>COUNTIF(Table5[PID],A1126)</f>
        <v>1</v>
      </c>
      <c r="C1126" s="50" t="str">
        <f>IF(COUNTIF(Table3[[#All],[PID]],A1126)&gt;0,"P","B")</f>
        <v>B</v>
      </c>
      <c r="D1126" s="59" t="str">
        <f>IF($C1126="B",INDEX(Batters[[#All],[POS]],MATCH(Table5[[#This Row],[PID]],Batters[[#All],[PID]],0)),INDEX(Table3[[#All],[POS]],MATCH(Table5[[#This Row],[PID]],Table3[[#All],[PID]],0)))</f>
        <v>3B</v>
      </c>
      <c r="E1126" s="52" t="str">
        <f>IF($C1126="B",INDEX(Batters[[#All],[First]],MATCH(Table5[[#This Row],[PID]],Batters[[#All],[PID]],0)),INDEX(Table3[[#All],[First]],MATCH(Table5[[#This Row],[PID]],Table3[[#All],[PID]],0)))</f>
        <v>Tom</v>
      </c>
      <c r="F1126" s="50" t="str">
        <f>IF($C1126="B",INDEX(Batters[[#All],[Last]],MATCH(A1126,Batters[[#All],[PID]],0)),INDEX(Table3[[#All],[Last]],MATCH(A1126,Table3[[#All],[PID]],0)))</f>
        <v>Sidgwick</v>
      </c>
      <c r="G1126" s="56">
        <f>IF($C1126="B",INDEX(Batters[[#All],[Age]],MATCH(Table5[[#This Row],[PID]],Batters[[#All],[PID]],0)),INDEX(Table3[[#All],[Age]],MATCH(Table5[[#This Row],[PID]],Table3[[#All],[PID]],0)))</f>
        <v>21</v>
      </c>
      <c r="H1126" s="52" t="str">
        <f>IF($C1126="B",INDEX(Batters[[#All],[B]],MATCH(Table5[[#This Row],[PID]],Batters[[#All],[PID]],0)),INDEX(Table3[[#All],[B]],MATCH(Table5[[#This Row],[PID]],Table3[[#All],[PID]],0)))</f>
        <v>R</v>
      </c>
      <c r="I1126" s="52" t="str">
        <f>IF($C1126="B",INDEX(Batters[[#All],[T]],MATCH(Table5[[#This Row],[PID]],Batters[[#All],[PID]],0)),INDEX(Table3[[#All],[T]],MATCH(Table5[[#This Row],[PID]],Table3[[#All],[PID]],0)))</f>
        <v>R</v>
      </c>
      <c r="J1126" s="52" t="str">
        <f>IF($C1126="B",INDEX(Batters[[#All],[WE]],MATCH(Table5[[#This Row],[PID]],Batters[[#All],[PID]],0)),INDEX(Table3[[#All],[WE]],MATCH(Table5[[#This Row],[PID]],Table3[[#All],[PID]],0)))</f>
        <v>Normal</v>
      </c>
      <c r="K1126" s="52" t="str">
        <f>IF($C1126="B",INDEX(Batters[[#All],[INT]],MATCH(Table5[[#This Row],[PID]],Batters[[#All],[PID]],0)),INDEX(Table3[[#All],[INT]],MATCH(Table5[[#This Row],[PID]],Table3[[#All],[PID]],0)))</f>
        <v>Normal</v>
      </c>
      <c r="L1126" s="60">
        <f>IF($C1126="B",INDEX(Batters[[#All],[CON P]],MATCH(Table5[[#This Row],[PID]],Batters[[#All],[PID]],0)),INDEX(Table3[[#All],[STU P]],MATCH(Table5[[#This Row],[PID]],Table3[[#All],[PID]],0)))</f>
        <v>4</v>
      </c>
      <c r="M1126" s="56">
        <f>IF($C1126="B",INDEX(Batters[[#All],[GAP P]],MATCH(Table5[[#This Row],[PID]],Batters[[#All],[PID]],0)),INDEX(Table3[[#All],[MOV P]],MATCH(Table5[[#This Row],[PID]],Table3[[#All],[PID]],0)))</f>
        <v>4</v>
      </c>
      <c r="N1126" s="56">
        <f>IF($C1126="B",INDEX(Batters[[#All],[POW P]],MATCH(Table5[[#This Row],[PID]],Batters[[#All],[PID]],0)),INDEX(Table3[[#All],[CON P]],MATCH(Table5[[#This Row],[PID]],Table3[[#All],[PID]],0)))</f>
        <v>2</v>
      </c>
      <c r="O1126" s="56">
        <f>IF($C1126="B",INDEX(Batters[[#All],[EYE P]],MATCH(Table5[[#This Row],[PID]],Batters[[#All],[PID]],0)),INDEX(Table3[[#All],[VELO]],MATCH(Table5[[#This Row],[PID]],Table3[[#All],[PID]],0)))</f>
        <v>4</v>
      </c>
      <c r="P1126" s="56">
        <f>IF($C1126="B",INDEX(Batters[[#All],[K P]],MATCH(Table5[[#This Row],[PID]],Batters[[#All],[PID]],0)),INDEX(Table3[[#All],[STM]],MATCH(Table5[[#This Row],[PID]],Table3[[#All],[PID]],0)))</f>
        <v>5</v>
      </c>
      <c r="Q1126" s="61">
        <f>IF($C1126="B",INDEX(Batters[[#All],[Tot]],MATCH(Table5[[#This Row],[PID]],Batters[[#All],[PID]],0)),INDEX(Table3[[#All],[Tot]],MATCH(Table5[[#This Row],[PID]],Table3[[#All],[PID]],0)))</f>
        <v>40.189319220456639</v>
      </c>
      <c r="R1126" s="52">
        <f>IF($C1126="B",INDEX(Batters[[#All],[zScore]],MATCH(Table5[[#This Row],[PID]],Batters[[#All],[PID]],0)),INDEX(Table3[[#All],[zScore]],MATCH(Table5[[#This Row],[PID]],Table3[[#All],[PID]],0)))</f>
        <v>-0.87410561475230841</v>
      </c>
      <c r="S1126" s="58" t="str">
        <f>IF($C1126="B",INDEX(Batters[[#All],[DEM]],MATCH(Table5[[#This Row],[PID]],Batters[[#All],[PID]],0)),INDEX(Table3[[#All],[DEM]],MATCH(Table5[[#This Row],[PID]],Table3[[#All],[PID]],0)))</f>
        <v>-</v>
      </c>
      <c r="T1126" s="62">
        <f>IF($C1126="B",INDEX(Batters[[#All],[Rnk]],MATCH(Table5[[#This Row],[PID]],Batters[[#All],[PID]],0)),INDEX(Table3[[#All],[Rnk]],MATCH(Table5[[#This Row],[PID]],Table3[[#All],[PID]],0)))</f>
        <v>421</v>
      </c>
      <c r="U1126" s="68">
        <f>IF($C1126="B",VLOOKUP($A1126,Bat!$A$4:$BA$1621,47,FALSE),VLOOKUP($A1126,Pit!$A$4:$BF$1557,56,FALSE))</f>
        <v>0</v>
      </c>
      <c r="V1126" s="50">
        <f>IF($C1126="B",VLOOKUP($A1126,Bat!$A$4:$BA$1621,48,FALSE),VLOOKUP($A1126,Pit!$A$4:$BF$1557,57,FALSE))</f>
        <v>0</v>
      </c>
      <c r="W1126" s="50">
        <f>Table5[[#This Row],[posRnk]]+Table5[[#This Row],[zRnk]]+IF($W$3&lt;&gt;Table5[[#This Row],[Type]],50,0)</f>
        <v>1555</v>
      </c>
      <c r="X1126" s="51">
        <f>RANK(Table5[[#This Row],[zScore]],Table5[[#All],[zScore]])</f>
        <v>1084</v>
      </c>
      <c r="Y1126" s="50" t="str">
        <f>IFERROR(INDEX(DraftResults[[#All],[OVR]],MATCH(Table5[[#This Row],[PID]],DraftResults[[#All],[Player ID]],0)),"")</f>
        <v/>
      </c>
      <c r="Z11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6" s="50" t="str">
        <f>IFERROR(INDEX(DraftResults[[#All],[Pick in Round]],MATCH(Table5[[#This Row],[PID]],DraftResults[[#All],[Player ID]],0)),"")</f>
        <v/>
      </c>
      <c r="AB1126" s="50" t="str">
        <f>IFERROR(INDEX(DraftResults[[#All],[Team Name]],MATCH(Table5[[#This Row],[PID]],DraftResults[[#All],[Player ID]],0)),"")</f>
        <v/>
      </c>
      <c r="AC1126" s="50" t="str">
        <f>IF(Table5[[#This Row],[Ovr]]="","",IF(Table5[[#This Row],[cmbList]]="","",Table5[[#This Row],[cmbList]]-Table5[[#This Row],[Ovr]]))</f>
        <v/>
      </c>
      <c r="AD1126" s="54" t="str">
        <f>IF(ISERROR(VLOOKUP($AB1126&amp;"-"&amp;$E1126&amp;" "&amp;F1126,Bonuses!$B$1:$G$1006,4,FALSE)),"",INT(VLOOKUP($AB1126&amp;"-"&amp;$E1126&amp;" "&amp;$F1126,Bonuses!$B$1:$G$1006,4,FALSE)))</f>
        <v/>
      </c>
      <c r="AE11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7" spans="1:31" s="50" customFormat="1" x14ac:dyDescent="0.25">
      <c r="A1127" s="50">
        <v>20633</v>
      </c>
      <c r="B1127" s="55">
        <f>COUNTIF(Table5[PID],A1127)</f>
        <v>1</v>
      </c>
      <c r="C1127" s="55" t="str">
        <f>IF(COUNTIF(Table3[[#All],[PID]],A1127)&gt;0,"P","B")</f>
        <v>P</v>
      </c>
      <c r="D1127" s="59" t="str">
        <f>IF($C1127="B",INDEX(Batters[[#All],[POS]],MATCH(Table5[[#This Row],[PID]],Batters[[#All],[PID]],0)),INDEX(Table3[[#All],[POS]],MATCH(Table5[[#This Row],[PID]],Table3[[#All],[PID]],0)))</f>
        <v>RP</v>
      </c>
      <c r="E1127" s="52" t="str">
        <f>IF($C1127="B",INDEX(Batters[[#All],[First]],MATCH(Table5[[#This Row],[PID]],Batters[[#All],[PID]],0)),INDEX(Table3[[#All],[First]],MATCH(Table5[[#This Row],[PID]],Table3[[#All],[PID]],0)))</f>
        <v>Meiji</v>
      </c>
      <c r="F1127" s="50" t="str">
        <f>IF($C1127="B",INDEX(Batters[[#All],[Last]],MATCH(A1127,Batters[[#All],[PID]],0)),INDEX(Table3[[#All],[Last]],MATCH(A1127,Table3[[#All],[PID]],0)))</f>
        <v>Kato</v>
      </c>
      <c r="G1127" s="56">
        <f>IF($C1127="B",INDEX(Batters[[#All],[Age]],MATCH(Table5[[#This Row],[PID]],Batters[[#All],[PID]],0)),INDEX(Table3[[#All],[Age]],MATCH(Table5[[#This Row],[PID]],Table3[[#All],[PID]],0)))</f>
        <v>17</v>
      </c>
      <c r="H1127" s="52" t="str">
        <f>IF($C1127="B",INDEX(Batters[[#All],[B]],MATCH(Table5[[#This Row],[PID]],Batters[[#All],[PID]],0)),INDEX(Table3[[#All],[B]],MATCH(Table5[[#This Row],[PID]],Table3[[#All],[PID]],0)))</f>
        <v>R</v>
      </c>
      <c r="I1127" s="52" t="str">
        <f>IF($C1127="B",INDEX(Batters[[#All],[T]],MATCH(Table5[[#This Row],[PID]],Batters[[#All],[PID]],0)),INDEX(Table3[[#All],[T]],MATCH(Table5[[#This Row],[PID]],Table3[[#All],[PID]],0)))</f>
        <v>R</v>
      </c>
      <c r="J1127" s="52" t="str">
        <f>IF($C1127="B",INDEX(Batters[[#All],[WE]],MATCH(Table5[[#This Row],[PID]],Batters[[#All],[PID]],0)),INDEX(Table3[[#All],[WE]],MATCH(Table5[[#This Row],[PID]],Table3[[#All],[PID]],0)))</f>
        <v>Normal</v>
      </c>
      <c r="K1127" s="52" t="str">
        <f>IF($C1127="B",INDEX(Batters[[#All],[INT]],MATCH(Table5[[#This Row],[PID]],Batters[[#All],[PID]],0)),INDEX(Table3[[#All],[INT]],MATCH(Table5[[#This Row],[PID]],Table3[[#All],[PID]],0)))</f>
        <v>Normal</v>
      </c>
      <c r="L1127" s="60">
        <f>IF($C1127="B",INDEX(Batters[[#All],[CON P]],MATCH(Table5[[#This Row],[PID]],Batters[[#All],[PID]],0)),INDEX(Table3[[#All],[STU P]],MATCH(Table5[[#This Row],[PID]],Table3[[#All],[PID]],0)))</f>
        <v>3</v>
      </c>
      <c r="M1127" s="56">
        <f>IF($C1127="B",INDEX(Batters[[#All],[GAP P]],MATCH(Table5[[#This Row],[PID]],Batters[[#All],[PID]],0)),INDEX(Table3[[#All],[MOV P]],MATCH(Table5[[#This Row],[PID]],Table3[[#All],[PID]],0)))</f>
        <v>1</v>
      </c>
      <c r="N1127" s="56">
        <f>IF($C1127="B",INDEX(Batters[[#All],[POW P]],MATCH(Table5[[#This Row],[PID]],Batters[[#All],[PID]],0)),INDEX(Table3[[#All],[CON P]],MATCH(Table5[[#This Row],[PID]],Table3[[#All],[PID]],0)))</f>
        <v>2</v>
      </c>
      <c r="O1127" s="56" t="str">
        <f>IF($C1127="B",INDEX(Batters[[#All],[EYE P]],MATCH(Table5[[#This Row],[PID]],Batters[[#All],[PID]],0)),INDEX(Table3[[#All],[VELO]],MATCH(Table5[[#This Row],[PID]],Table3[[#All],[PID]],0)))</f>
        <v>86-88 Mph</v>
      </c>
      <c r="P1127" s="56">
        <f>IF($C1127="B",INDEX(Batters[[#All],[K P]],MATCH(Table5[[#This Row],[PID]],Batters[[#All],[PID]],0)),INDEX(Table3[[#All],[STM]],MATCH(Table5[[#This Row],[PID]],Table3[[#All],[PID]],0)))</f>
        <v>5</v>
      </c>
      <c r="Q1127" s="61">
        <f>IF($C1127="B",INDEX(Batters[[#All],[Tot]],MATCH(Table5[[#This Row],[PID]],Batters[[#All],[PID]],0)),INDEX(Table3[[#All],[Tot]],MATCH(Table5[[#This Row],[PID]],Table3[[#All],[PID]],0)))</f>
        <v>22.685088421053592</v>
      </c>
      <c r="R1127" s="52">
        <f>IF($C1127="B",INDEX(Batters[[#All],[zScore]],MATCH(Table5[[#This Row],[PID]],Batters[[#All],[PID]],0)),INDEX(Table3[[#All],[zScore]],MATCH(Table5[[#This Row],[PID]],Table3[[#All],[PID]],0)))</f>
        <v>-0.8772070162043365</v>
      </c>
      <c r="S1127" s="58" t="str">
        <f>IF($C1127="B",INDEX(Batters[[#All],[DEM]],MATCH(Table5[[#This Row],[PID]],Batters[[#All],[PID]],0)),INDEX(Table3[[#All],[DEM]],MATCH(Table5[[#This Row],[PID]],Table3[[#All],[PID]],0)))</f>
        <v>$110k</v>
      </c>
      <c r="T1127" s="62">
        <f>IF($C1127="B",INDEX(Batters[[#All],[Rnk]],MATCH(Table5[[#This Row],[PID]],Batters[[#All],[PID]],0)),INDEX(Table3[[#All],[Rnk]],MATCH(Table5[[#This Row],[PID]],Table3[[#All],[PID]],0)))</f>
        <v>663</v>
      </c>
      <c r="U1127" s="68">
        <f>IF($C1127="B",VLOOKUP($A1127,Bat!$A$4:$BA$1621,47,FALSE),VLOOKUP($A1127,Pit!$A$4:$BF$1557,56,FALSE))</f>
        <v>0</v>
      </c>
      <c r="V1127" s="50">
        <f>IF($C1127="B",VLOOKUP($A1127,Bat!$A$4:$BA$1621,48,FALSE),VLOOKUP($A1127,Pit!$A$4:$BF$1557,57,FALSE))</f>
        <v>0</v>
      </c>
      <c r="W1127" s="50">
        <f>Table5[[#This Row],[posRnk]]+Table5[[#This Row],[zRnk]]+IF($W$3&lt;&gt;Table5[[#This Row],[Type]],50,0)</f>
        <v>1798</v>
      </c>
      <c r="X1127" s="51">
        <f>RANK(Table5[[#This Row],[zScore]],Table5[[#All],[zScore]])</f>
        <v>1085</v>
      </c>
      <c r="Y1127" s="50" t="str">
        <f>IFERROR(INDEX(DraftResults[[#All],[OVR]],MATCH(Table5[[#This Row],[PID]],DraftResults[[#All],[Player ID]],0)),"")</f>
        <v/>
      </c>
      <c r="Z11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7" s="50" t="str">
        <f>IFERROR(INDEX(DraftResults[[#All],[Pick in Round]],MATCH(Table5[[#This Row],[PID]],DraftResults[[#All],[Player ID]],0)),"")</f>
        <v/>
      </c>
      <c r="AB1127" s="50" t="str">
        <f>IFERROR(INDEX(DraftResults[[#All],[Team Name]],MATCH(Table5[[#This Row],[PID]],DraftResults[[#All],[Player ID]],0)),"")</f>
        <v/>
      </c>
      <c r="AC1127" s="50" t="str">
        <f>IF(Table5[[#This Row],[Ovr]]="","",IF(Table5[[#This Row],[cmbList]]="","",Table5[[#This Row],[cmbList]]-Table5[[#This Row],[Ovr]]))</f>
        <v/>
      </c>
      <c r="AD1127" s="54" t="str">
        <f>IF(ISERROR(VLOOKUP($AB1127&amp;"-"&amp;$E1127&amp;" "&amp;F1127,Bonuses!$B$1:$G$1006,4,FALSE)),"",INT(VLOOKUP($AB1127&amp;"-"&amp;$E1127&amp;" "&amp;$F1127,Bonuses!$B$1:$G$1006,4,FALSE)))</f>
        <v/>
      </c>
      <c r="AE11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8" spans="1:31" s="50" customFormat="1" x14ac:dyDescent="0.25">
      <c r="A1128" s="68">
        <v>9847</v>
      </c>
      <c r="B1128" s="69">
        <f>COUNTIF(Table5[PID],A1128)</f>
        <v>1</v>
      </c>
      <c r="C1128" s="69" t="str">
        <f>IF(COUNTIF(Table3[[#All],[PID]],A1128)&gt;0,"P","B")</f>
        <v>P</v>
      </c>
      <c r="D1128" s="59" t="str">
        <f>IF($C1128="B",INDEX(Batters[[#All],[POS]],MATCH(Table5[[#This Row],[PID]],Batters[[#All],[PID]],0)),INDEX(Table3[[#All],[POS]],MATCH(Table5[[#This Row],[PID]],Table3[[#All],[PID]],0)))</f>
        <v>SP</v>
      </c>
      <c r="E1128" s="52" t="str">
        <f>IF($C1128="B",INDEX(Batters[[#All],[First]],MATCH(Table5[[#This Row],[PID]],Batters[[#All],[PID]],0)),INDEX(Table3[[#All],[First]],MATCH(Table5[[#This Row],[PID]],Table3[[#All],[PID]],0)))</f>
        <v>Chris</v>
      </c>
      <c r="F1128" s="55" t="str">
        <f>IF($C1128="B",INDEX(Batters[[#All],[Last]],MATCH(A1128,Batters[[#All],[PID]],0)),INDEX(Table3[[#All],[Last]],MATCH(A1128,Table3[[#All],[PID]],0)))</f>
        <v>Trent</v>
      </c>
      <c r="G1128" s="56">
        <f>IF($C1128="B",INDEX(Batters[[#All],[Age]],MATCH(Table5[[#This Row],[PID]],Batters[[#All],[PID]],0)),INDEX(Table3[[#All],[Age]],MATCH(Table5[[#This Row],[PID]],Table3[[#All],[PID]],0)))</f>
        <v>22</v>
      </c>
      <c r="H1128" s="52" t="str">
        <f>IF($C1128="B",INDEX(Batters[[#All],[B]],MATCH(Table5[[#This Row],[PID]],Batters[[#All],[PID]],0)),INDEX(Table3[[#All],[B]],MATCH(Table5[[#This Row],[PID]],Table3[[#All],[PID]],0)))</f>
        <v>L</v>
      </c>
      <c r="I1128" s="52" t="str">
        <f>IF($C1128="B",INDEX(Batters[[#All],[T]],MATCH(Table5[[#This Row],[PID]],Batters[[#All],[PID]],0)),INDEX(Table3[[#All],[T]],MATCH(Table5[[#This Row],[PID]],Table3[[#All],[PID]],0)))</f>
        <v>R</v>
      </c>
      <c r="J1128" s="71" t="str">
        <f>IF($C1128="B",INDEX(Batters[[#All],[WE]],MATCH(Table5[[#This Row],[PID]],Batters[[#All],[PID]],0)),INDEX(Table3[[#All],[WE]],MATCH(Table5[[#This Row],[PID]],Table3[[#All],[PID]],0)))</f>
        <v>High</v>
      </c>
      <c r="K1128" s="52" t="str">
        <f>IF($C1128="B",INDEX(Batters[[#All],[INT]],MATCH(Table5[[#This Row],[PID]],Batters[[#All],[PID]],0)),INDEX(Table3[[#All],[INT]],MATCH(Table5[[#This Row],[PID]],Table3[[#All],[PID]],0)))</f>
        <v>Normal</v>
      </c>
      <c r="L1128" s="60">
        <f>IF($C1128="B",INDEX(Batters[[#All],[CON P]],MATCH(Table5[[#This Row],[PID]],Batters[[#All],[PID]],0)),INDEX(Table3[[#All],[STU P]],MATCH(Table5[[#This Row],[PID]],Table3[[#All],[PID]],0)))</f>
        <v>3</v>
      </c>
      <c r="M1128" s="72">
        <f>IF($C1128="B",INDEX(Batters[[#All],[GAP P]],MATCH(Table5[[#This Row],[PID]],Batters[[#All],[PID]],0)),INDEX(Table3[[#All],[MOV P]],MATCH(Table5[[#This Row],[PID]],Table3[[#All],[PID]],0)))</f>
        <v>2</v>
      </c>
      <c r="N1128" s="72">
        <f>IF($C1128="B",INDEX(Batters[[#All],[POW P]],MATCH(Table5[[#This Row],[PID]],Batters[[#All],[PID]],0)),INDEX(Table3[[#All],[CON P]],MATCH(Table5[[#This Row],[PID]],Table3[[#All],[PID]],0)))</f>
        <v>3</v>
      </c>
      <c r="O1128" s="72" t="str">
        <f>IF($C1128="B",INDEX(Batters[[#All],[EYE P]],MATCH(Table5[[#This Row],[PID]],Batters[[#All],[PID]],0)),INDEX(Table3[[#All],[VELO]],MATCH(Table5[[#This Row],[PID]],Table3[[#All],[PID]],0)))</f>
        <v>89-91 Mph</v>
      </c>
      <c r="P1128" s="56">
        <f>IF($C1128="B",INDEX(Batters[[#All],[K P]],MATCH(Table5[[#This Row],[PID]],Batters[[#All],[PID]],0)),INDEX(Table3[[#All],[STM]],MATCH(Table5[[#This Row],[PID]],Table3[[#All],[PID]],0)))</f>
        <v>7</v>
      </c>
      <c r="Q1128" s="61">
        <f>IF($C1128="B",INDEX(Batters[[#All],[Tot]],MATCH(Table5[[#This Row],[PID]],Batters[[#All],[PID]],0)),INDEX(Table3[[#All],[Tot]],MATCH(Table5[[#This Row],[PID]],Table3[[#All],[PID]],0)))</f>
        <v>24.655512080327089</v>
      </c>
      <c r="R1128" s="52">
        <f>IF($C1128="B",INDEX(Batters[[#All],[zScore]],MATCH(Table5[[#This Row],[PID]],Batters[[#All],[PID]],0)),INDEX(Table3[[#All],[zScore]],MATCH(Table5[[#This Row],[PID]],Table3[[#All],[PID]],0)))</f>
        <v>-0.87731999562527885</v>
      </c>
      <c r="S1128" s="78" t="str">
        <f>IF($C1128="B",INDEX(Batters[[#All],[DEM]],MATCH(Table5[[#This Row],[PID]],Batters[[#All],[PID]],0)),INDEX(Table3[[#All],[DEM]],MATCH(Table5[[#This Row],[PID]],Table3[[#All],[PID]],0)))</f>
        <v>-</v>
      </c>
      <c r="T1128" s="75">
        <f>IF($C1128="B",INDEX(Batters[[#All],[Rnk]],MATCH(Table5[[#This Row],[PID]],Batters[[#All],[PID]],0)),INDEX(Table3[[#All],[Rnk]],MATCH(Table5[[#This Row],[PID]],Table3[[#All],[PID]],0)))</f>
        <v>664</v>
      </c>
      <c r="U1128" s="68">
        <f>IF($C1128="B",VLOOKUP($A1128,Bat!$A$4:$BA$1621,47,FALSE),VLOOKUP($A1128,Pit!$A$4:$BF$1557,56,FALSE))</f>
        <v>0</v>
      </c>
      <c r="V1128" s="50">
        <f>IF($C1128="B",VLOOKUP($A1128,Bat!$A$4:$BA$1621,48,FALSE),VLOOKUP($A1128,Pit!$A$4:$BF$1557,57,FALSE))</f>
        <v>0</v>
      </c>
      <c r="W1128" s="69">
        <f>Table5[[#This Row],[posRnk]]+Table5[[#This Row],[zRnk]]+IF($W$3&lt;&gt;Table5[[#This Row],[Type]],50,0)</f>
        <v>1800</v>
      </c>
      <c r="X1128" s="73">
        <f>RANK(Table5[[#This Row],[zScore]],Table5[[#All],[zScore]])</f>
        <v>1086</v>
      </c>
      <c r="Y1128" s="69" t="str">
        <f>IFERROR(INDEX(DraftResults[[#All],[OVR]],MATCH(Table5[[#This Row],[PID]],DraftResults[[#All],[Player ID]],0)),"")</f>
        <v/>
      </c>
      <c r="Z112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8" s="69" t="str">
        <f>IFERROR(INDEX(DraftResults[[#All],[Pick in Round]],MATCH(Table5[[#This Row],[PID]],DraftResults[[#All],[Player ID]],0)),"")</f>
        <v/>
      </c>
      <c r="AB1128" s="69" t="str">
        <f>IFERROR(INDEX(DraftResults[[#All],[Team Name]],MATCH(Table5[[#This Row],[PID]],DraftResults[[#All],[Player ID]],0)),"")</f>
        <v/>
      </c>
      <c r="AC1128" s="69" t="str">
        <f>IF(Table5[[#This Row],[Ovr]]="","",IF(Table5[[#This Row],[cmbList]]="","",Table5[[#This Row],[cmbList]]-Table5[[#This Row],[Ovr]]))</f>
        <v/>
      </c>
      <c r="AD1128" s="77" t="str">
        <f>IF(ISERROR(VLOOKUP($AB1128&amp;"-"&amp;$E1128&amp;" "&amp;F1128,Bonuses!$B$1:$G$1006,4,FALSE)),"",INT(VLOOKUP($AB1128&amp;"-"&amp;$E1128&amp;" "&amp;$F1128,Bonuses!$B$1:$G$1006,4,FALSE)))</f>
        <v/>
      </c>
      <c r="AE112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29" spans="1:31" s="50" customFormat="1" x14ac:dyDescent="0.25">
      <c r="A1129" s="50">
        <v>8726</v>
      </c>
      <c r="B1129" s="50">
        <f>COUNTIF(Table5[PID],A1129)</f>
        <v>1</v>
      </c>
      <c r="C1129" s="50" t="str">
        <f>IF(COUNTIF(Table3[[#All],[PID]],A1129)&gt;0,"P","B")</f>
        <v>P</v>
      </c>
      <c r="D1129" s="59" t="str">
        <f>IF($C1129="B",INDEX(Batters[[#All],[POS]],MATCH(Table5[[#This Row],[PID]],Batters[[#All],[PID]],0)),INDEX(Table3[[#All],[POS]],MATCH(Table5[[#This Row],[PID]],Table3[[#All],[PID]],0)))</f>
        <v>RP</v>
      </c>
      <c r="E1129" s="52" t="str">
        <f>IF($C1129="B",INDEX(Batters[[#All],[First]],MATCH(Table5[[#This Row],[PID]],Batters[[#All],[PID]],0)),INDEX(Table3[[#All],[First]],MATCH(Table5[[#This Row],[PID]],Table3[[#All],[PID]],0)))</f>
        <v>Michael</v>
      </c>
      <c r="F1129" s="50" t="str">
        <f>IF($C1129="B",INDEX(Batters[[#All],[Last]],MATCH(A1129,Batters[[#All],[PID]],0)),INDEX(Table3[[#All],[Last]],MATCH(A1129,Table3[[#All],[PID]],0)))</f>
        <v>Law</v>
      </c>
      <c r="G1129" s="56">
        <f>IF($C1129="B",INDEX(Batters[[#All],[Age]],MATCH(Table5[[#This Row],[PID]],Batters[[#All],[PID]],0)),INDEX(Table3[[#All],[Age]],MATCH(Table5[[#This Row],[PID]],Table3[[#All],[PID]],0)))</f>
        <v>22</v>
      </c>
      <c r="H1129" s="52" t="str">
        <f>IF($C1129="B",INDEX(Batters[[#All],[B]],MATCH(Table5[[#This Row],[PID]],Batters[[#All],[PID]],0)),INDEX(Table3[[#All],[B]],MATCH(Table5[[#This Row],[PID]],Table3[[#All],[PID]],0)))</f>
        <v>R</v>
      </c>
      <c r="I1129" s="52" t="str">
        <f>IF($C1129="B",INDEX(Batters[[#All],[T]],MATCH(Table5[[#This Row],[PID]],Batters[[#All],[PID]],0)),INDEX(Table3[[#All],[T]],MATCH(Table5[[#This Row],[PID]],Table3[[#All],[PID]],0)))</f>
        <v>R</v>
      </c>
      <c r="J1129" s="52" t="str">
        <f>IF($C1129="B",INDEX(Batters[[#All],[WE]],MATCH(Table5[[#This Row],[PID]],Batters[[#All],[PID]],0)),INDEX(Table3[[#All],[WE]],MATCH(Table5[[#This Row],[PID]],Table3[[#All],[PID]],0)))</f>
        <v>High</v>
      </c>
      <c r="K1129" s="52" t="str">
        <f>IF($C1129="B",INDEX(Batters[[#All],[INT]],MATCH(Table5[[#This Row],[PID]],Batters[[#All],[PID]],0)),INDEX(Table3[[#All],[INT]],MATCH(Table5[[#This Row],[PID]],Table3[[#All],[PID]],0)))</f>
        <v>Normal</v>
      </c>
      <c r="L1129" s="60">
        <f>IF($C1129="B",INDEX(Batters[[#All],[CON P]],MATCH(Table5[[#This Row],[PID]],Batters[[#All],[PID]],0)),INDEX(Table3[[#All],[STU P]],MATCH(Table5[[#This Row],[PID]],Table3[[#All],[PID]],0)))</f>
        <v>3</v>
      </c>
      <c r="M1129" s="56">
        <f>IF($C1129="B",INDEX(Batters[[#All],[GAP P]],MATCH(Table5[[#This Row],[PID]],Batters[[#All],[PID]],0)),INDEX(Table3[[#All],[MOV P]],MATCH(Table5[[#This Row],[PID]],Table3[[#All],[PID]],0)))</f>
        <v>1</v>
      </c>
      <c r="N1129" s="56">
        <f>IF($C1129="B",INDEX(Batters[[#All],[POW P]],MATCH(Table5[[#This Row],[PID]],Batters[[#All],[PID]],0)),INDEX(Table3[[#All],[CON P]],MATCH(Table5[[#This Row],[PID]],Table3[[#All],[PID]],0)))</f>
        <v>3</v>
      </c>
      <c r="O1129" s="56" t="str">
        <f>IF($C1129="B",INDEX(Batters[[#All],[EYE P]],MATCH(Table5[[#This Row],[PID]],Batters[[#All],[PID]],0)),INDEX(Table3[[#All],[VELO]],MATCH(Table5[[#This Row],[PID]],Table3[[#All],[PID]],0)))</f>
        <v>86-88 Mph</v>
      </c>
      <c r="P1129" s="56">
        <f>IF($C1129="B",INDEX(Batters[[#All],[K P]],MATCH(Table5[[#This Row],[PID]],Batters[[#All],[PID]],0)),INDEX(Table3[[#All],[STM]],MATCH(Table5[[#This Row],[PID]],Table3[[#All],[PID]],0)))</f>
        <v>6</v>
      </c>
      <c r="Q1129" s="61">
        <f>IF($C1129="B",INDEX(Batters[[#All],[Tot]],MATCH(Table5[[#This Row],[PID]],Batters[[#All],[PID]],0)),INDEX(Table3[[#All],[Tot]],MATCH(Table5[[#This Row],[PID]],Table3[[#All],[PID]],0)))</f>
        <v>22.668966792067522</v>
      </c>
      <c r="R1129" s="52">
        <f>IF($C1129="B",INDEX(Batters[[#All],[zScore]],MATCH(Table5[[#This Row],[PID]],Batters[[#All],[PID]],0)),INDEX(Table3[[#All],[zScore]],MATCH(Table5[[#This Row],[PID]],Table3[[#All],[PID]],0)))</f>
        <v>-0.87827956354517589</v>
      </c>
      <c r="S1129" s="58" t="str">
        <f>IF($C1129="B",INDEX(Batters[[#All],[DEM]],MATCH(Table5[[#This Row],[PID]],Batters[[#All],[PID]],0)),INDEX(Table3[[#All],[DEM]],MATCH(Table5[[#This Row],[PID]],Table3[[#All],[PID]],0)))</f>
        <v>-</v>
      </c>
      <c r="T1129" s="62">
        <f>IF($C1129="B",INDEX(Batters[[#All],[Rnk]],MATCH(Table5[[#This Row],[PID]],Batters[[#All],[PID]],0)),INDEX(Table3[[#All],[Rnk]],MATCH(Table5[[#This Row],[PID]],Table3[[#All],[PID]],0)))</f>
        <v>665</v>
      </c>
      <c r="U1129" s="68">
        <f>IF($C1129="B",VLOOKUP($A1129,Bat!$A$4:$BA$1621,47,FALSE),VLOOKUP($A1129,Pit!$A$4:$BF$1557,56,FALSE))</f>
        <v>0</v>
      </c>
      <c r="V1129" s="50">
        <f>IF($C1129="B",VLOOKUP($A1129,Bat!$A$4:$BA$1621,48,FALSE),VLOOKUP($A1129,Pit!$A$4:$BF$1557,57,FALSE))</f>
        <v>0</v>
      </c>
      <c r="W1129" s="50">
        <f>Table5[[#This Row],[posRnk]]+Table5[[#This Row],[zRnk]]+IF($W$3&lt;&gt;Table5[[#This Row],[Type]],50,0)</f>
        <v>1802</v>
      </c>
      <c r="X1129" s="51">
        <f>RANK(Table5[[#This Row],[zScore]],Table5[[#All],[zScore]])</f>
        <v>1087</v>
      </c>
      <c r="Y1129" s="50" t="str">
        <f>IFERROR(INDEX(DraftResults[[#All],[OVR]],MATCH(Table5[[#This Row],[PID]],DraftResults[[#All],[Player ID]],0)),"")</f>
        <v/>
      </c>
      <c r="Z11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29" s="50" t="str">
        <f>IFERROR(INDEX(DraftResults[[#All],[Pick in Round]],MATCH(Table5[[#This Row],[PID]],DraftResults[[#All],[Player ID]],0)),"")</f>
        <v/>
      </c>
      <c r="AB1129" s="50" t="str">
        <f>IFERROR(INDEX(DraftResults[[#All],[Team Name]],MATCH(Table5[[#This Row],[PID]],DraftResults[[#All],[Player ID]],0)),"")</f>
        <v/>
      </c>
      <c r="AC1129" s="50" t="str">
        <f>IF(Table5[[#This Row],[Ovr]]="","",IF(Table5[[#This Row],[cmbList]]="","",Table5[[#This Row],[cmbList]]-Table5[[#This Row],[Ovr]]))</f>
        <v/>
      </c>
      <c r="AD1129" s="54" t="str">
        <f>IF(ISERROR(VLOOKUP($AB1129&amp;"-"&amp;$E1129&amp;" "&amp;F1129,Bonuses!$B$1:$G$1006,4,FALSE)),"",INT(VLOOKUP($AB1129&amp;"-"&amp;$E1129&amp;" "&amp;$F1129,Bonuses!$B$1:$G$1006,4,FALSE)))</f>
        <v/>
      </c>
      <c r="AE11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0" spans="1:31" s="50" customFormat="1" x14ac:dyDescent="0.25">
      <c r="A1130" s="50">
        <v>7901</v>
      </c>
      <c r="B1130" s="50">
        <f>COUNTIF(Table5[PID],A1130)</f>
        <v>1</v>
      </c>
      <c r="C1130" s="50" t="str">
        <f>IF(COUNTIF(Table3[[#All],[PID]],A1130)&gt;0,"P","B")</f>
        <v>P</v>
      </c>
      <c r="D1130" s="59" t="str">
        <f>IF($C1130="B",INDEX(Batters[[#All],[POS]],MATCH(Table5[[#This Row],[PID]],Batters[[#All],[PID]],0)),INDEX(Table3[[#All],[POS]],MATCH(Table5[[#This Row],[PID]],Table3[[#All],[PID]],0)))</f>
        <v>RP</v>
      </c>
      <c r="E1130" s="52" t="str">
        <f>IF($C1130="B",INDEX(Batters[[#All],[First]],MATCH(Table5[[#This Row],[PID]],Batters[[#All],[PID]],0)),INDEX(Table3[[#All],[First]],MATCH(Table5[[#This Row],[PID]],Table3[[#All],[PID]],0)))</f>
        <v>Dale</v>
      </c>
      <c r="F1130" s="50" t="str">
        <f>IF($C1130="B",INDEX(Batters[[#All],[Last]],MATCH(A1130,Batters[[#All],[PID]],0)),INDEX(Table3[[#All],[Last]],MATCH(A1130,Table3[[#All],[PID]],0)))</f>
        <v>Watson</v>
      </c>
      <c r="G1130" s="56">
        <f>IF($C1130="B",INDEX(Batters[[#All],[Age]],MATCH(Table5[[#This Row],[PID]],Batters[[#All],[PID]],0)),INDEX(Table3[[#All],[Age]],MATCH(Table5[[#This Row],[PID]],Table3[[#All],[PID]],0)))</f>
        <v>21</v>
      </c>
      <c r="H1130" s="52" t="str">
        <f>IF($C1130="B",INDEX(Batters[[#All],[B]],MATCH(Table5[[#This Row],[PID]],Batters[[#All],[PID]],0)),INDEX(Table3[[#All],[B]],MATCH(Table5[[#This Row],[PID]],Table3[[#All],[PID]],0)))</f>
        <v>R</v>
      </c>
      <c r="I1130" s="52" t="str">
        <f>IF($C1130="B",INDEX(Batters[[#All],[T]],MATCH(Table5[[#This Row],[PID]],Batters[[#All],[PID]],0)),INDEX(Table3[[#All],[T]],MATCH(Table5[[#This Row],[PID]],Table3[[#All],[PID]],0)))</f>
        <v>R</v>
      </c>
      <c r="J1130" s="52" t="str">
        <f>IF($C1130="B",INDEX(Batters[[#All],[WE]],MATCH(Table5[[#This Row],[PID]],Batters[[#All],[PID]],0)),INDEX(Table3[[#All],[WE]],MATCH(Table5[[#This Row],[PID]],Table3[[#All],[PID]],0)))</f>
        <v>Low</v>
      </c>
      <c r="K1130" s="52" t="str">
        <f>IF($C1130="B",INDEX(Batters[[#All],[INT]],MATCH(Table5[[#This Row],[PID]],Batters[[#All],[PID]],0)),INDEX(Table3[[#All],[INT]],MATCH(Table5[[#This Row],[PID]],Table3[[#All],[PID]],0)))</f>
        <v>Normal</v>
      </c>
      <c r="L1130" s="60">
        <f>IF($C1130="B",INDEX(Batters[[#All],[CON P]],MATCH(Table5[[#This Row],[PID]],Batters[[#All],[PID]],0)),INDEX(Table3[[#All],[STU P]],MATCH(Table5[[#This Row],[PID]],Table3[[#All],[PID]],0)))</f>
        <v>3</v>
      </c>
      <c r="M1130" s="56">
        <f>IF($C1130="B",INDEX(Batters[[#All],[GAP P]],MATCH(Table5[[#This Row],[PID]],Batters[[#All],[PID]],0)),INDEX(Table3[[#All],[MOV P]],MATCH(Table5[[#This Row],[PID]],Table3[[#All],[PID]],0)))</f>
        <v>2</v>
      </c>
      <c r="N1130" s="56">
        <f>IF($C1130="B",INDEX(Batters[[#All],[POW P]],MATCH(Table5[[#This Row],[PID]],Batters[[#All],[PID]],0)),INDEX(Table3[[#All],[CON P]],MATCH(Table5[[#This Row],[PID]],Table3[[#All],[PID]],0)))</f>
        <v>3</v>
      </c>
      <c r="O1130" s="56" t="str">
        <f>IF($C1130="B",INDEX(Batters[[#All],[EYE P]],MATCH(Table5[[#This Row],[PID]],Batters[[#All],[PID]],0)),INDEX(Table3[[#All],[VELO]],MATCH(Table5[[#This Row],[PID]],Table3[[#All],[PID]],0)))</f>
        <v>87-89 Mph</v>
      </c>
      <c r="P1130" s="56">
        <f>IF($C1130="B",INDEX(Batters[[#All],[K P]],MATCH(Table5[[#This Row],[PID]],Batters[[#All],[PID]],0)),INDEX(Table3[[#All],[STM]],MATCH(Table5[[#This Row],[PID]],Table3[[#All],[PID]],0)))</f>
        <v>6</v>
      </c>
      <c r="Q1130" s="61">
        <f>IF($C1130="B",INDEX(Batters[[#All],[Tot]],MATCH(Table5[[#This Row],[PID]],Batters[[#All],[PID]],0)),INDEX(Table3[[#All],[Tot]],MATCH(Table5[[#This Row],[PID]],Table3[[#All],[PID]],0)))</f>
        <v>24.621624278318912</v>
      </c>
      <c r="R1130" s="52">
        <f>IF($C1130="B",INDEX(Batters[[#All],[zScore]],MATCH(Table5[[#This Row],[PID]],Batters[[#All],[PID]],0)),INDEX(Table3[[#All],[zScore]],MATCH(Table5[[#This Row],[PID]],Table3[[#All],[PID]],0)))</f>
        <v>-0.87977220052681426</v>
      </c>
      <c r="S1130" s="58" t="str">
        <f>IF($C1130="B",INDEX(Batters[[#All],[DEM]],MATCH(Table5[[#This Row],[PID]],Batters[[#All],[PID]],0)),INDEX(Table3[[#All],[DEM]],MATCH(Table5[[#This Row],[PID]],Table3[[#All],[PID]],0)))</f>
        <v>-</v>
      </c>
      <c r="T1130" s="62">
        <f>IF($C1130="B",INDEX(Batters[[#All],[Rnk]],MATCH(Table5[[#This Row],[PID]],Batters[[#All],[PID]],0)),INDEX(Table3[[#All],[Rnk]],MATCH(Table5[[#This Row],[PID]],Table3[[#All],[PID]],0)))</f>
        <v>666</v>
      </c>
      <c r="U1130" s="68">
        <f>IF($C1130="B",VLOOKUP($A1130,Bat!$A$4:$BA$1621,47,FALSE),VLOOKUP($A1130,Pit!$A$4:$BF$1557,56,FALSE))</f>
        <v>0</v>
      </c>
      <c r="V1130" s="50">
        <f>IF($C1130="B",VLOOKUP($A1130,Bat!$A$4:$BA$1621,48,FALSE),VLOOKUP($A1130,Pit!$A$4:$BF$1557,57,FALSE))</f>
        <v>0</v>
      </c>
      <c r="W1130" s="50">
        <f>Table5[[#This Row],[posRnk]]+Table5[[#This Row],[zRnk]]+IF($W$3&lt;&gt;Table5[[#This Row],[Type]],50,0)</f>
        <v>1804</v>
      </c>
      <c r="X1130" s="51">
        <f>RANK(Table5[[#This Row],[zScore]],Table5[[#All],[zScore]])</f>
        <v>1088</v>
      </c>
      <c r="Y1130" s="50" t="str">
        <f>IFERROR(INDEX(DraftResults[[#All],[OVR]],MATCH(Table5[[#This Row],[PID]],DraftResults[[#All],[Player ID]],0)),"")</f>
        <v/>
      </c>
      <c r="Z11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0" s="50" t="str">
        <f>IFERROR(INDEX(DraftResults[[#All],[Pick in Round]],MATCH(Table5[[#This Row],[PID]],DraftResults[[#All],[Player ID]],0)),"")</f>
        <v/>
      </c>
      <c r="AB1130" s="50" t="str">
        <f>IFERROR(INDEX(DraftResults[[#All],[Team Name]],MATCH(Table5[[#This Row],[PID]],DraftResults[[#All],[Player ID]],0)),"")</f>
        <v/>
      </c>
      <c r="AC1130" s="50" t="str">
        <f>IF(Table5[[#This Row],[Ovr]]="","",IF(Table5[[#This Row],[cmbList]]="","",Table5[[#This Row],[cmbList]]-Table5[[#This Row],[Ovr]]))</f>
        <v/>
      </c>
      <c r="AD1130" s="54" t="str">
        <f>IF(ISERROR(VLOOKUP($AB1130&amp;"-"&amp;$E1130&amp;" "&amp;F1130,Bonuses!$B$1:$G$1006,4,FALSE)),"",INT(VLOOKUP($AB1130&amp;"-"&amp;$E1130&amp;" "&amp;$F1130,Bonuses!$B$1:$G$1006,4,FALSE)))</f>
        <v/>
      </c>
      <c r="AE11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1" spans="1:31" s="50" customFormat="1" x14ac:dyDescent="0.25">
      <c r="A1131" s="50">
        <v>7268</v>
      </c>
      <c r="B1131" s="50">
        <f>COUNTIF(Table5[PID],A1131)</f>
        <v>1</v>
      </c>
      <c r="C1131" s="50" t="str">
        <f>IF(COUNTIF(Table3[[#All],[PID]],A1131)&gt;0,"P","B")</f>
        <v>P</v>
      </c>
      <c r="D1131" s="59" t="str">
        <f>IF($C1131="B",INDEX(Batters[[#All],[POS]],MATCH(Table5[[#This Row],[PID]],Batters[[#All],[PID]],0)),INDEX(Table3[[#All],[POS]],MATCH(Table5[[#This Row],[PID]],Table3[[#All],[PID]],0)))</f>
        <v>RP</v>
      </c>
      <c r="E1131" s="52" t="str">
        <f>IF($C1131="B",INDEX(Batters[[#All],[First]],MATCH(Table5[[#This Row],[PID]],Batters[[#All],[PID]],0)),INDEX(Table3[[#All],[First]],MATCH(Table5[[#This Row],[PID]],Table3[[#All],[PID]],0)))</f>
        <v>Jay</v>
      </c>
      <c r="F1131" s="50" t="str">
        <f>IF($C1131="B",INDEX(Batters[[#All],[Last]],MATCH(A1131,Batters[[#All],[PID]],0)),INDEX(Table3[[#All],[Last]],MATCH(A1131,Table3[[#All],[PID]],0)))</f>
        <v>Tomsett</v>
      </c>
      <c r="G1131" s="56">
        <f>IF($C1131="B",INDEX(Batters[[#All],[Age]],MATCH(Table5[[#This Row],[PID]],Batters[[#All],[PID]],0)),INDEX(Table3[[#All],[Age]],MATCH(Table5[[#This Row],[PID]],Table3[[#All],[PID]],0)))</f>
        <v>22</v>
      </c>
      <c r="H1131" s="52" t="str">
        <f>IF($C1131="B",INDEX(Batters[[#All],[B]],MATCH(Table5[[#This Row],[PID]],Batters[[#All],[PID]],0)),INDEX(Table3[[#All],[B]],MATCH(Table5[[#This Row],[PID]],Table3[[#All],[PID]],0)))</f>
        <v>L</v>
      </c>
      <c r="I1131" s="52" t="str">
        <f>IF($C1131="B",INDEX(Batters[[#All],[T]],MATCH(Table5[[#This Row],[PID]],Batters[[#All],[PID]],0)),INDEX(Table3[[#All],[T]],MATCH(Table5[[#This Row],[PID]],Table3[[#All],[PID]],0)))</f>
        <v>R</v>
      </c>
      <c r="J1131" s="52" t="str">
        <f>IF($C1131="B",INDEX(Batters[[#All],[WE]],MATCH(Table5[[#This Row],[PID]],Batters[[#All],[PID]],0)),INDEX(Table3[[#All],[WE]],MATCH(Table5[[#This Row],[PID]],Table3[[#All],[PID]],0)))</f>
        <v>Low</v>
      </c>
      <c r="K1131" s="52" t="str">
        <f>IF($C1131="B",INDEX(Batters[[#All],[INT]],MATCH(Table5[[#This Row],[PID]],Batters[[#All],[PID]],0)),INDEX(Table3[[#All],[INT]],MATCH(Table5[[#This Row],[PID]],Table3[[#All],[PID]],0)))</f>
        <v>Normal</v>
      </c>
      <c r="L1131" s="60">
        <f>IF($C1131="B",INDEX(Batters[[#All],[CON P]],MATCH(Table5[[#This Row],[PID]],Batters[[#All],[PID]],0)),INDEX(Table3[[#All],[STU P]],MATCH(Table5[[#This Row],[PID]],Table3[[#All],[PID]],0)))</f>
        <v>3</v>
      </c>
      <c r="M1131" s="56">
        <f>IF($C1131="B",INDEX(Batters[[#All],[GAP P]],MATCH(Table5[[#This Row],[PID]],Batters[[#All],[PID]],0)),INDEX(Table3[[#All],[MOV P]],MATCH(Table5[[#This Row],[PID]],Table3[[#All],[PID]],0)))</f>
        <v>2</v>
      </c>
      <c r="N1131" s="56">
        <f>IF($C1131="B",INDEX(Batters[[#All],[POW P]],MATCH(Table5[[#This Row],[PID]],Batters[[#All],[PID]],0)),INDEX(Table3[[#All],[CON P]],MATCH(Table5[[#This Row],[PID]],Table3[[#All],[PID]],0)))</f>
        <v>3</v>
      </c>
      <c r="O1131" s="56" t="str">
        <f>IF($C1131="B",INDEX(Batters[[#All],[EYE P]],MATCH(Table5[[#This Row],[PID]],Batters[[#All],[PID]],0)),INDEX(Table3[[#All],[VELO]],MATCH(Table5[[#This Row],[PID]],Table3[[#All],[PID]],0)))</f>
        <v>87-89 Mph</v>
      </c>
      <c r="P1131" s="56">
        <f>IF($C1131="B",INDEX(Batters[[#All],[K P]],MATCH(Table5[[#This Row],[PID]],Batters[[#All],[PID]],0)),INDEX(Table3[[#All],[STM]],MATCH(Table5[[#This Row],[PID]],Table3[[#All],[PID]],0)))</f>
        <v>9</v>
      </c>
      <c r="Q1131" s="61">
        <f>IF($C1131="B",INDEX(Batters[[#All],[Tot]],MATCH(Table5[[#This Row],[PID]],Batters[[#All],[PID]],0)),INDEX(Table3[[#All],[Tot]],MATCH(Table5[[#This Row],[PID]],Table3[[#All],[PID]],0)))</f>
        <v>24.60397619353791</v>
      </c>
      <c r="R1131" s="52">
        <f>IF($C1131="B",INDEX(Batters[[#All],[zScore]],MATCH(Table5[[#This Row],[PID]],Batters[[#All],[PID]],0)),INDEX(Table3[[#All],[zScore]],MATCH(Table5[[#This Row],[PID]],Table3[[#All],[PID]],0)))</f>
        <v>-0.88104925945179968</v>
      </c>
      <c r="S1131" s="58" t="str">
        <f>IF($C1131="B",INDEX(Batters[[#All],[DEM]],MATCH(Table5[[#This Row],[PID]],Batters[[#All],[PID]],0)),INDEX(Table3[[#All],[DEM]],MATCH(Table5[[#This Row],[PID]],Table3[[#All],[PID]],0)))</f>
        <v>-</v>
      </c>
      <c r="T1131" s="62">
        <f>IF($C1131="B",INDEX(Batters[[#All],[Rnk]],MATCH(Table5[[#This Row],[PID]],Batters[[#All],[PID]],0)),INDEX(Table3[[#All],[Rnk]],MATCH(Table5[[#This Row],[PID]],Table3[[#All],[PID]],0)))</f>
        <v>667</v>
      </c>
      <c r="U1131" s="68">
        <f>IF($C1131="B",VLOOKUP($A1131,Bat!$A$4:$BA$1621,47,FALSE),VLOOKUP($A1131,Pit!$A$4:$BF$1557,56,FALSE))</f>
        <v>0</v>
      </c>
      <c r="V1131" s="50">
        <f>IF($C1131="B",VLOOKUP($A1131,Bat!$A$4:$BA$1621,48,FALSE),VLOOKUP($A1131,Pit!$A$4:$BF$1557,57,FALSE))</f>
        <v>0</v>
      </c>
      <c r="W1131" s="50">
        <f>Table5[[#This Row],[posRnk]]+Table5[[#This Row],[zRnk]]+IF($W$3&lt;&gt;Table5[[#This Row],[Type]],50,0)</f>
        <v>1806</v>
      </c>
      <c r="X1131" s="51">
        <f>RANK(Table5[[#This Row],[zScore]],Table5[[#All],[zScore]])</f>
        <v>1089</v>
      </c>
      <c r="Y1131" s="50" t="str">
        <f>IFERROR(INDEX(DraftResults[[#All],[OVR]],MATCH(Table5[[#This Row],[PID]],DraftResults[[#All],[Player ID]],0)),"")</f>
        <v/>
      </c>
      <c r="Z11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1" s="50" t="str">
        <f>IFERROR(INDEX(DraftResults[[#All],[Pick in Round]],MATCH(Table5[[#This Row],[PID]],DraftResults[[#All],[Player ID]],0)),"")</f>
        <v/>
      </c>
      <c r="AB1131" s="50" t="str">
        <f>IFERROR(INDEX(DraftResults[[#All],[Team Name]],MATCH(Table5[[#This Row],[PID]],DraftResults[[#All],[Player ID]],0)),"")</f>
        <v/>
      </c>
      <c r="AC1131" s="50" t="str">
        <f>IF(Table5[[#This Row],[Ovr]]="","",IF(Table5[[#This Row],[cmbList]]="","",Table5[[#This Row],[cmbList]]-Table5[[#This Row],[Ovr]]))</f>
        <v/>
      </c>
      <c r="AD1131" s="54" t="str">
        <f>IF(ISERROR(VLOOKUP($AB1131&amp;"-"&amp;$E1131&amp;" "&amp;F1131,Bonuses!$B$1:$G$1006,4,FALSE)),"",INT(VLOOKUP($AB1131&amp;"-"&amp;$E1131&amp;" "&amp;$F1131,Bonuses!$B$1:$G$1006,4,FALSE)))</f>
        <v/>
      </c>
      <c r="AE11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2" spans="1:31" s="50" customFormat="1" x14ac:dyDescent="0.25">
      <c r="A1132" s="50">
        <v>17773</v>
      </c>
      <c r="B1132" s="50">
        <f>COUNTIF(Table5[PID],A1132)</f>
        <v>1</v>
      </c>
      <c r="C1132" s="50" t="str">
        <f>IF(COUNTIF(Table3[[#All],[PID]],A1132)&gt;0,"P","B")</f>
        <v>P</v>
      </c>
      <c r="D1132" s="59" t="str">
        <f>IF($C1132="B",INDEX(Batters[[#All],[POS]],MATCH(Table5[[#This Row],[PID]],Batters[[#All],[PID]],0)),INDEX(Table3[[#All],[POS]],MATCH(Table5[[#This Row],[PID]],Table3[[#All],[PID]],0)))</f>
        <v>RP</v>
      </c>
      <c r="E1132" s="52" t="str">
        <f>IF($C1132="B",INDEX(Batters[[#All],[First]],MATCH(Table5[[#This Row],[PID]],Batters[[#All],[PID]],0)),INDEX(Table3[[#All],[First]],MATCH(Table5[[#This Row],[PID]],Table3[[#All],[PID]],0)))</f>
        <v>Gerjan</v>
      </c>
      <c r="F1132" s="50" t="str">
        <f>IF($C1132="B",INDEX(Batters[[#All],[Last]],MATCH(A1132,Batters[[#All],[PID]],0)),INDEX(Table3[[#All],[Last]],MATCH(A1132,Table3[[#All],[PID]],0)))</f>
        <v>Roest</v>
      </c>
      <c r="G1132" s="56">
        <f>IF($C1132="B",INDEX(Batters[[#All],[Age]],MATCH(Table5[[#This Row],[PID]],Batters[[#All],[PID]],0)),INDEX(Table3[[#All],[Age]],MATCH(Table5[[#This Row],[PID]],Table3[[#All],[PID]],0)))</f>
        <v>21</v>
      </c>
      <c r="H1132" s="52" t="str">
        <f>IF($C1132="B",INDEX(Batters[[#All],[B]],MATCH(Table5[[#This Row],[PID]],Batters[[#All],[PID]],0)),INDEX(Table3[[#All],[B]],MATCH(Table5[[#This Row],[PID]],Table3[[#All],[PID]],0)))</f>
        <v>S</v>
      </c>
      <c r="I1132" s="52" t="str">
        <f>IF($C1132="B",INDEX(Batters[[#All],[T]],MATCH(Table5[[#This Row],[PID]],Batters[[#All],[PID]],0)),INDEX(Table3[[#All],[T]],MATCH(Table5[[#This Row],[PID]],Table3[[#All],[PID]],0)))</f>
        <v>R</v>
      </c>
      <c r="J1132" s="52" t="str">
        <f>IF($C1132="B",INDEX(Batters[[#All],[WE]],MATCH(Table5[[#This Row],[PID]],Batters[[#All],[PID]],0)),INDEX(Table3[[#All],[WE]],MATCH(Table5[[#This Row],[PID]],Table3[[#All],[PID]],0)))</f>
        <v>High</v>
      </c>
      <c r="K1132" s="52" t="str">
        <f>IF($C1132="B",INDEX(Batters[[#All],[INT]],MATCH(Table5[[#This Row],[PID]],Batters[[#All],[PID]],0)),INDEX(Table3[[#All],[INT]],MATCH(Table5[[#This Row],[PID]],Table3[[#All],[PID]],0)))</f>
        <v>Normal</v>
      </c>
      <c r="L1132" s="60">
        <f>IF($C1132="B",INDEX(Batters[[#All],[CON P]],MATCH(Table5[[#This Row],[PID]],Batters[[#All],[PID]],0)),INDEX(Table3[[#All],[STU P]],MATCH(Table5[[#This Row],[PID]],Table3[[#All],[PID]],0)))</f>
        <v>3</v>
      </c>
      <c r="M1132" s="56">
        <f>IF($C1132="B",INDEX(Batters[[#All],[GAP P]],MATCH(Table5[[#This Row],[PID]],Batters[[#All],[PID]],0)),INDEX(Table3[[#All],[MOV P]],MATCH(Table5[[#This Row],[PID]],Table3[[#All],[PID]],0)))</f>
        <v>1</v>
      </c>
      <c r="N1132" s="56">
        <f>IF($C1132="B",INDEX(Batters[[#All],[POW P]],MATCH(Table5[[#This Row],[PID]],Batters[[#All],[PID]],0)),INDEX(Table3[[#All],[CON P]],MATCH(Table5[[#This Row],[PID]],Table3[[#All],[PID]],0)))</f>
        <v>3</v>
      </c>
      <c r="O1132" s="56" t="str">
        <f>IF($C1132="B",INDEX(Batters[[#All],[EYE P]],MATCH(Table5[[#This Row],[PID]],Batters[[#All],[PID]],0)),INDEX(Table3[[#All],[VELO]],MATCH(Table5[[#This Row],[PID]],Table3[[#All],[PID]],0)))</f>
        <v>86-88 Mph</v>
      </c>
      <c r="P1132" s="56">
        <f>IF($C1132="B",INDEX(Batters[[#All],[K P]],MATCH(Table5[[#This Row],[PID]],Batters[[#All],[PID]],0)),INDEX(Table3[[#All],[STM]],MATCH(Table5[[#This Row],[PID]],Table3[[#All],[PID]],0)))</f>
        <v>4</v>
      </c>
      <c r="Q1132" s="61">
        <f>IF($C1132="B",INDEX(Batters[[#All],[Tot]],MATCH(Table5[[#This Row],[PID]],Batters[[#All],[PID]],0)),INDEX(Table3[[#All],[Tot]],MATCH(Table5[[#This Row],[PID]],Table3[[#All],[PID]],0)))</f>
        <v>22.610542883944301</v>
      </c>
      <c r="R1132" s="52">
        <f>IF($C1132="B",INDEX(Batters[[#All],[zScore]],MATCH(Table5[[#This Row],[PID]],Batters[[#All],[PID]],0)),INDEX(Table3[[#All],[zScore]],MATCH(Table5[[#This Row],[PID]],Table3[[#All],[PID]],0)))</f>
        <v>-0.88216641687452324</v>
      </c>
      <c r="S1132" s="58" t="str">
        <f>IF($C1132="B",INDEX(Batters[[#All],[DEM]],MATCH(Table5[[#This Row],[PID]],Batters[[#All],[PID]],0)),INDEX(Table3[[#All],[DEM]],MATCH(Table5[[#This Row],[PID]],Table3[[#All],[PID]],0)))</f>
        <v>-</v>
      </c>
      <c r="T1132" s="62">
        <f>IF($C1132="B",INDEX(Batters[[#All],[Rnk]],MATCH(Table5[[#This Row],[PID]],Batters[[#All],[PID]],0)),INDEX(Table3[[#All],[Rnk]],MATCH(Table5[[#This Row],[PID]],Table3[[#All],[PID]],0)))</f>
        <v>668</v>
      </c>
      <c r="U1132" s="68">
        <f>IF($C1132="B",VLOOKUP($A1132,Bat!$A$4:$BA$1621,47,FALSE),VLOOKUP($A1132,Pit!$A$4:$BF$1557,56,FALSE))</f>
        <v>0</v>
      </c>
      <c r="V1132" s="50">
        <f>IF($C1132="B",VLOOKUP($A1132,Bat!$A$4:$BA$1621,48,FALSE),VLOOKUP($A1132,Pit!$A$4:$BF$1557,57,FALSE))</f>
        <v>0</v>
      </c>
      <c r="W1132" s="50">
        <f>Table5[[#This Row],[posRnk]]+Table5[[#This Row],[zRnk]]+IF($W$3&lt;&gt;Table5[[#This Row],[Type]],50,0)</f>
        <v>1808</v>
      </c>
      <c r="X1132" s="51">
        <f>RANK(Table5[[#This Row],[zScore]],Table5[[#All],[zScore]])</f>
        <v>1090</v>
      </c>
      <c r="Y1132" s="50" t="str">
        <f>IFERROR(INDEX(DraftResults[[#All],[OVR]],MATCH(Table5[[#This Row],[PID]],DraftResults[[#All],[Player ID]],0)),"")</f>
        <v/>
      </c>
      <c r="Z11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2" s="50" t="str">
        <f>IFERROR(INDEX(DraftResults[[#All],[Pick in Round]],MATCH(Table5[[#This Row],[PID]],DraftResults[[#All],[Player ID]],0)),"")</f>
        <v/>
      </c>
      <c r="AB1132" s="50" t="str">
        <f>IFERROR(INDEX(DraftResults[[#All],[Team Name]],MATCH(Table5[[#This Row],[PID]],DraftResults[[#All],[Player ID]],0)),"")</f>
        <v/>
      </c>
      <c r="AC1132" s="50" t="str">
        <f>IF(Table5[[#This Row],[Ovr]]="","",IF(Table5[[#This Row],[cmbList]]="","",Table5[[#This Row],[cmbList]]-Table5[[#This Row],[Ovr]]))</f>
        <v/>
      </c>
      <c r="AD1132" s="54" t="str">
        <f>IF(ISERROR(VLOOKUP($AB1132&amp;"-"&amp;$E1132&amp;" "&amp;F1132,Bonuses!$B$1:$G$1006,4,FALSE)),"",INT(VLOOKUP($AB1132&amp;"-"&amp;$E1132&amp;" "&amp;$F1132,Bonuses!$B$1:$G$1006,4,FALSE)))</f>
        <v/>
      </c>
      <c r="AE11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3" spans="1:31" s="50" customFormat="1" x14ac:dyDescent="0.25">
      <c r="A1133" s="50">
        <v>11923</v>
      </c>
      <c r="B1133" s="50">
        <f>COUNTIF(Table5[PID],A1133)</f>
        <v>1</v>
      </c>
      <c r="C1133" s="50" t="str">
        <f>IF(COUNTIF(Table3[[#All],[PID]],A1133)&gt;0,"P","B")</f>
        <v>P</v>
      </c>
      <c r="D1133" s="59" t="str">
        <f>IF($C1133="B",INDEX(Batters[[#All],[POS]],MATCH(Table5[[#This Row],[PID]],Batters[[#All],[PID]],0)),INDEX(Table3[[#All],[POS]],MATCH(Table5[[#This Row],[PID]],Table3[[#All],[PID]],0)))</f>
        <v>RP</v>
      </c>
      <c r="E1133" s="52" t="str">
        <f>IF($C1133="B",INDEX(Batters[[#All],[First]],MATCH(Table5[[#This Row],[PID]],Batters[[#All],[PID]],0)),INDEX(Table3[[#All],[First]],MATCH(Table5[[#This Row],[PID]],Table3[[#All],[PID]],0)))</f>
        <v>Arturo</v>
      </c>
      <c r="F1133" s="50" t="str">
        <f>IF($C1133="B",INDEX(Batters[[#All],[Last]],MATCH(A1133,Batters[[#All],[PID]],0)),INDEX(Table3[[#All],[Last]],MATCH(A1133,Table3[[#All],[PID]],0)))</f>
        <v>Barajas</v>
      </c>
      <c r="G1133" s="56">
        <f>IF($C1133="B",INDEX(Batters[[#All],[Age]],MATCH(Table5[[#This Row],[PID]],Batters[[#All],[PID]],0)),INDEX(Table3[[#All],[Age]],MATCH(Table5[[#This Row],[PID]],Table3[[#All],[PID]],0)))</f>
        <v>21</v>
      </c>
      <c r="H1133" s="52" t="str">
        <f>IF($C1133="B",INDEX(Batters[[#All],[B]],MATCH(Table5[[#This Row],[PID]],Batters[[#All],[PID]],0)),INDEX(Table3[[#All],[B]],MATCH(Table5[[#This Row],[PID]],Table3[[#All],[PID]],0)))</f>
        <v>R</v>
      </c>
      <c r="I1133" s="52" t="str">
        <f>IF($C1133="B",INDEX(Batters[[#All],[T]],MATCH(Table5[[#This Row],[PID]],Batters[[#All],[PID]],0)),INDEX(Table3[[#All],[T]],MATCH(Table5[[#This Row],[PID]],Table3[[#All],[PID]],0)))</f>
        <v>L</v>
      </c>
      <c r="J1133" s="52" t="str">
        <f>IF($C1133="B",INDEX(Batters[[#All],[WE]],MATCH(Table5[[#This Row],[PID]],Batters[[#All],[PID]],0)),INDEX(Table3[[#All],[WE]],MATCH(Table5[[#This Row],[PID]],Table3[[#All],[PID]],0)))</f>
        <v>Normal</v>
      </c>
      <c r="K1133" s="52" t="str">
        <f>IF($C1133="B",INDEX(Batters[[#All],[INT]],MATCH(Table5[[#This Row],[PID]],Batters[[#All],[PID]],0)),INDEX(Table3[[#All],[INT]],MATCH(Table5[[#This Row],[PID]],Table3[[#All],[PID]],0)))</f>
        <v>Normal</v>
      </c>
      <c r="L1133" s="60">
        <f>IF($C1133="B",INDEX(Batters[[#All],[CON P]],MATCH(Table5[[#This Row],[PID]],Batters[[#All],[PID]],0)),INDEX(Table3[[#All],[STU P]],MATCH(Table5[[#This Row],[PID]],Table3[[#All],[PID]],0)))</f>
        <v>4</v>
      </c>
      <c r="M1133" s="56">
        <f>IF($C1133="B",INDEX(Batters[[#All],[GAP P]],MATCH(Table5[[#This Row],[PID]],Batters[[#All],[PID]],0)),INDEX(Table3[[#All],[MOV P]],MATCH(Table5[[#This Row],[PID]],Table3[[#All],[PID]],0)))</f>
        <v>1</v>
      </c>
      <c r="N1133" s="56">
        <f>IF($C1133="B",INDEX(Batters[[#All],[POW P]],MATCH(Table5[[#This Row],[PID]],Batters[[#All],[PID]],0)),INDEX(Table3[[#All],[CON P]],MATCH(Table5[[#This Row],[PID]],Table3[[#All],[PID]],0)))</f>
        <v>2</v>
      </c>
      <c r="O1133" s="56" t="str">
        <f>IF($C1133="B",INDEX(Batters[[#All],[EYE P]],MATCH(Table5[[#This Row],[PID]],Batters[[#All],[PID]],0)),INDEX(Table3[[#All],[VELO]],MATCH(Table5[[#This Row],[PID]],Table3[[#All],[PID]],0)))</f>
        <v>85-87 Mph</v>
      </c>
      <c r="P1133" s="56">
        <f>IF($C1133="B",INDEX(Batters[[#All],[K P]],MATCH(Table5[[#This Row],[PID]],Batters[[#All],[PID]],0)),INDEX(Table3[[#All],[STM]],MATCH(Table5[[#This Row],[PID]],Table3[[#All],[PID]],0)))</f>
        <v>6</v>
      </c>
      <c r="Q1133" s="61">
        <f>IF($C1133="B",INDEX(Batters[[#All],[Tot]],MATCH(Table5[[#This Row],[PID]],Batters[[#All],[PID]],0)),INDEX(Table3[[#All],[Tot]],MATCH(Table5[[#This Row],[PID]],Table3[[#All],[PID]],0)))</f>
        <v>22.563491139720711</v>
      </c>
      <c r="R1133" s="52">
        <f>IF($C1133="B",INDEX(Batters[[#All],[zScore]],MATCH(Table5[[#This Row],[PID]],Batters[[#All],[PID]],0)),INDEX(Table3[[#All],[zScore]],MATCH(Table5[[#This Row],[PID]],Table3[[#All],[PID]],0)))</f>
        <v>-0.88529669751753226</v>
      </c>
      <c r="S1133" s="58" t="str">
        <f>IF($C1133="B",INDEX(Batters[[#All],[DEM]],MATCH(Table5[[#This Row],[PID]],Batters[[#All],[PID]],0)),INDEX(Table3[[#All],[DEM]],MATCH(Table5[[#This Row],[PID]],Table3[[#All],[PID]],0)))</f>
        <v>-</v>
      </c>
      <c r="T1133" s="62">
        <f>IF($C1133="B",INDEX(Batters[[#All],[Rnk]],MATCH(Table5[[#This Row],[PID]],Batters[[#All],[PID]],0)),INDEX(Table3[[#All],[Rnk]],MATCH(Table5[[#This Row],[PID]],Table3[[#All],[PID]],0)))</f>
        <v>669</v>
      </c>
      <c r="U1133" s="68">
        <f>IF($C1133="B",VLOOKUP($A1133,Bat!$A$4:$BA$1621,47,FALSE),VLOOKUP($A1133,Pit!$A$4:$BF$1557,56,FALSE))</f>
        <v>0</v>
      </c>
      <c r="V1133" s="50">
        <f>IF($C1133="B",VLOOKUP($A1133,Bat!$A$4:$BA$1621,48,FALSE),VLOOKUP($A1133,Pit!$A$4:$BF$1557,57,FALSE))</f>
        <v>0</v>
      </c>
      <c r="W1133" s="50">
        <f>Table5[[#This Row],[posRnk]]+Table5[[#This Row],[zRnk]]+IF($W$3&lt;&gt;Table5[[#This Row],[Type]],50,0)</f>
        <v>1810</v>
      </c>
      <c r="X1133" s="51">
        <f>RANK(Table5[[#This Row],[zScore]],Table5[[#All],[zScore]])</f>
        <v>1091</v>
      </c>
      <c r="Y1133" s="50" t="str">
        <f>IFERROR(INDEX(DraftResults[[#All],[OVR]],MATCH(Table5[[#This Row],[PID]],DraftResults[[#All],[Player ID]],0)),"")</f>
        <v/>
      </c>
      <c r="Z11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3" s="50" t="str">
        <f>IFERROR(INDEX(DraftResults[[#All],[Pick in Round]],MATCH(Table5[[#This Row],[PID]],DraftResults[[#All],[Player ID]],0)),"")</f>
        <v/>
      </c>
      <c r="AB1133" s="50" t="str">
        <f>IFERROR(INDEX(DraftResults[[#All],[Team Name]],MATCH(Table5[[#This Row],[PID]],DraftResults[[#All],[Player ID]],0)),"")</f>
        <v/>
      </c>
      <c r="AC1133" s="50" t="str">
        <f>IF(Table5[[#This Row],[Ovr]]="","",IF(Table5[[#This Row],[cmbList]]="","",Table5[[#This Row],[cmbList]]-Table5[[#This Row],[Ovr]]))</f>
        <v/>
      </c>
      <c r="AD1133" s="54" t="str">
        <f>IF(ISERROR(VLOOKUP($AB1133&amp;"-"&amp;$E1133&amp;" "&amp;F1133,Bonuses!$B$1:$G$1006,4,FALSE)),"",INT(VLOOKUP($AB1133&amp;"-"&amp;$E1133&amp;" "&amp;$F1133,Bonuses!$B$1:$G$1006,4,FALSE)))</f>
        <v/>
      </c>
      <c r="AE11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4" spans="1:31" s="50" customFormat="1" x14ac:dyDescent="0.25">
      <c r="A1134" s="50">
        <v>20385</v>
      </c>
      <c r="B1134" s="50">
        <f>COUNTIF(Table5[PID],A1134)</f>
        <v>1</v>
      </c>
      <c r="C1134" s="50" t="str">
        <f>IF(COUNTIF(Table3[[#All],[PID]],A1134)&gt;0,"P","B")</f>
        <v>P</v>
      </c>
      <c r="D1134" s="59" t="str">
        <f>IF($C1134="B",INDEX(Batters[[#All],[POS]],MATCH(Table5[[#This Row],[PID]],Batters[[#All],[PID]],0)),INDEX(Table3[[#All],[POS]],MATCH(Table5[[#This Row],[PID]],Table3[[#All],[PID]],0)))</f>
        <v>RP</v>
      </c>
      <c r="E1134" s="52" t="str">
        <f>IF($C1134="B",INDEX(Batters[[#All],[First]],MATCH(Table5[[#This Row],[PID]],Batters[[#All],[PID]],0)),INDEX(Table3[[#All],[First]],MATCH(Table5[[#This Row],[PID]],Table3[[#All],[PID]],0)))</f>
        <v>Jeff</v>
      </c>
      <c r="F1134" s="50" t="str">
        <f>IF($C1134="B",INDEX(Batters[[#All],[Last]],MATCH(A1134,Batters[[#All],[PID]],0)),INDEX(Table3[[#All],[Last]],MATCH(A1134,Table3[[#All],[PID]],0)))</f>
        <v>River</v>
      </c>
      <c r="G1134" s="56">
        <f>IF($C1134="B",INDEX(Batters[[#All],[Age]],MATCH(Table5[[#This Row],[PID]],Batters[[#All],[PID]],0)),INDEX(Table3[[#All],[Age]],MATCH(Table5[[#This Row],[PID]],Table3[[#All],[PID]],0)))</f>
        <v>16</v>
      </c>
      <c r="H1134" s="52" t="str">
        <f>IF($C1134="B",INDEX(Batters[[#All],[B]],MATCH(Table5[[#This Row],[PID]],Batters[[#All],[PID]],0)),INDEX(Table3[[#All],[B]],MATCH(Table5[[#This Row],[PID]],Table3[[#All],[PID]],0)))</f>
        <v>R</v>
      </c>
      <c r="I1134" s="52" t="str">
        <f>IF($C1134="B",INDEX(Batters[[#All],[T]],MATCH(Table5[[#This Row],[PID]],Batters[[#All],[PID]],0)),INDEX(Table3[[#All],[T]],MATCH(Table5[[#This Row],[PID]],Table3[[#All],[PID]],0)))</f>
        <v>R</v>
      </c>
      <c r="J1134" s="52" t="str">
        <f>IF($C1134="B",INDEX(Batters[[#All],[WE]],MATCH(Table5[[#This Row],[PID]],Batters[[#All],[PID]],0)),INDEX(Table3[[#All],[WE]],MATCH(Table5[[#This Row],[PID]],Table3[[#All],[PID]],0)))</f>
        <v>Low</v>
      </c>
      <c r="K1134" s="52" t="str">
        <f>IF($C1134="B",INDEX(Batters[[#All],[INT]],MATCH(Table5[[#This Row],[PID]],Batters[[#All],[PID]],0)),INDEX(Table3[[#All],[INT]],MATCH(Table5[[#This Row],[PID]],Table3[[#All],[PID]],0)))</f>
        <v>High</v>
      </c>
      <c r="L1134" s="60">
        <f>IF($C1134="B",INDEX(Batters[[#All],[CON P]],MATCH(Table5[[#This Row],[PID]],Batters[[#All],[PID]],0)),INDEX(Table3[[#All],[STU P]],MATCH(Table5[[#This Row],[PID]],Table3[[#All],[PID]],0)))</f>
        <v>3</v>
      </c>
      <c r="M1134" s="56">
        <f>IF($C1134="B",INDEX(Batters[[#All],[GAP P]],MATCH(Table5[[#This Row],[PID]],Batters[[#All],[PID]],0)),INDEX(Table3[[#All],[MOV P]],MATCH(Table5[[#This Row],[PID]],Table3[[#All],[PID]],0)))</f>
        <v>1</v>
      </c>
      <c r="N1134" s="56">
        <f>IF($C1134="B",INDEX(Batters[[#All],[POW P]],MATCH(Table5[[#This Row],[PID]],Batters[[#All],[PID]],0)),INDEX(Table3[[#All],[CON P]],MATCH(Table5[[#This Row],[PID]],Table3[[#All],[PID]],0)))</f>
        <v>4</v>
      </c>
      <c r="O1134" s="56" t="str">
        <f>IF($C1134="B",INDEX(Batters[[#All],[EYE P]],MATCH(Table5[[#This Row],[PID]],Batters[[#All],[PID]],0)),INDEX(Table3[[#All],[VELO]],MATCH(Table5[[#This Row],[PID]],Table3[[#All],[PID]],0)))</f>
        <v>86-88 Mph</v>
      </c>
      <c r="P1134" s="56">
        <f>IF($C1134="B",INDEX(Batters[[#All],[K P]],MATCH(Table5[[#This Row],[PID]],Batters[[#All],[PID]],0)),INDEX(Table3[[#All],[STM]],MATCH(Table5[[#This Row],[PID]],Table3[[#All],[PID]],0)))</f>
        <v>1</v>
      </c>
      <c r="Q1134" s="61">
        <f>IF($C1134="B",INDEX(Batters[[#All],[Tot]],MATCH(Table5[[#This Row],[PID]],Batters[[#All],[PID]],0)),INDEX(Table3[[#All],[Tot]],MATCH(Table5[[#This Row],[PID]],Table3[[#All],[PID]],0)))</f>
        <v>24.844287317147092</v>
      </c>
      <c r="R1134" s="52">
        <f>IF($C1134="B",INDEX(Batters[[#All],[zScore]],MATCH(Table5[[#This Row],[PID]],Batters[[#All],[PID]],0)),INDEX(Table3[[#All],[zScore]],MATCH(Table5[[#This Row],[PID]],Table3[[#All],[PID]],0)))</f>
        <v>-0.88772118120427435</v>
      </c>
      <c r="S1134" s="58" t="str">
        <f>IF($C1134="B",INDEX(Batters[[#All],[DEM]],MATCH(Table5[[#This Row],[PID]],Batters[[#All],[PID]],0)),INDEX(Table3[[#All],[DEM]],MATCH(Table5[[#This Row],[PID]],Table3[[#All],[PID]],0)))</f>
        <v>$70k</v>
      </c>
      <c r="T1134" s="62">
        <f>IF($C1134="B",INDEX(Batters[[#All],[Rnk]],MATCH(Table5[[#This Row],[PID]],Batters[[#All],[PID]],0)),INDEX(Table3[[#All],[Rnk]],MATCH(Table5[[#This Row],[PID]],Table3[[#All],[PID]],0)))</f>
        <v>670</v>
      </c>
      <c r="U1134" s="68">
        <f>IF($C1134="B",VLOOKUP($A1134,Bat!$A$4:$BA$1621,47,FALSE),VLOOKUP($A1134,Pit!$A$4:$BF$1557,56,FALSE))</f>
        <v>0</v>
      </c>
      <c r="V1134" s="50">
        <f>IF($C1134="B",VLOOKUP($A1134,Bat!$A$4:$BA$1621,48,FALSE),VLOOKUP($A1134,Pit!$A$4:$BF$1557,57,FALSE))</f>
        <v>0</v>
      </c>
      <c r="W1134" s="50">
        <f>Table5[[#This Row],[posRnk]]+Table5[[#This Row],[zRnk]]+IF($W$3&lt;&gt;Table5[[#This Row],[Type]],50,0)</f>
        <v>1812</v>
      </c>
      <c r="X1134" s="51">
        <f>RANK(Table5[[#This Row],[zScore]],Table5[[#All],[zScore]])</f>
        <v>1092</v>
      </c>
      <c r="Y1134" s="50" t="str">
        <f>IFERROR(INDEX(DraftResults[[#All],[OVR]],MATCH(Table5[[#This Row],[PID]],DraftResults[[#All],[Player ID]],0)),"")</f>
        <v/>
      </c>
      <c r="Z11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4" s="50" t="str">
        <f>IFERROR(INDEX(DraftResults[[#All],[Pick in Round]],MATCH(Table5[[#This Row],[PID]],DraftResults[[#All],[Player ID]],0)),"")</f>
        <v/>
      </c>
      <c r="AB1134" s="50" t="str">
        <f>IFERROR(INDEX(DraftResults[[#All],[Team Name]],MATCH(Table5[[#This Row],[PID]],DraftResults[[#All],[Player ID]],0)),"")</f>
        <v/>
      </c>
      <c r="AC1134" s="50" t="str">
        <f>IF(Table5[[#This Row],[Ovr]]="","",IF(Table5[[#This Row],[cmbList]]="","",Table5[[#This Row],[cmbList]]-Table5[[#This Row],[Ovr]]))</f>
        <v/>
      </c>
      <c r="AD1134" s="54" t="str">
        <f>IF(ISERROR(VLOOKUP($AB1134&amp;"-"&amp;$E1134&amp;" "&amp;F1134,Bonuses!$B$1:$G$1006,4,FALSE)),"",INT(VLOOKUP($AB1134&amp;"-"&amp;$E1134&amp;" "&amp;$F1134,Bonuses!$B$1:$G$1006,4,FALSE)))</f>
        <v/>
      </c>
      <c r="AE11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5" spans="1:31" s="50" customFormat="1" x14ac:dyDescent="0.25">
      <c r="A1135" s="50">
        <v>17019</v>
      </c>
      <c r="B1135" s="50">
        <f>COUNTIF(Table5[PID],A1135)</f>
        <v>1</v>
      </c>
      <c r="C1135" s="50" t="str">
        <f>IF(COUNTIF(Table3[[#All],[PID]],A1135)&gt;0,"P","B")</f>
        <v>P</v>
      </c>
      <c r="D1135" s="59" t="str">
        <f>IF($C1135="B",INDEX(Batters[[#All],[POS]],MATCH(Table5[[#This Row],[PID]],Batters[[#All],[PID]],0)),INDEX(Table3[[#All],[POS]],MATCH(Table5[[#This Row],[PID]],Table3[[#All],[PID]],0)))</f>
        <v>RP</v>
      </c>
      <c r="E1135" s="52" t="str">
        <f>IF($C1135="B",INDEX(Batters[[#All],[First]],MATCH(Table5[[#This Row],[PID]],Batters[[#All],[PID]],0)),INDEX(Table3[[#All],[First]],MATCH(Table5[[#This Row],[PID]],Table3[[#All],[PID]],0)))</f>
        <v>Gareth</v>
      </c>
      <c r="F1135" s="50" t="str">
        <f>IF($C1135="B",INDEX(Batters[[#All],[Last]],MATCH(A1135,Batters[[#All],[PID]],0)),INDEX(Table3[[#All],[Last]],MATCH(A1135,Table3[[#All],[PID]],0)))</f>
        <v>Hoadley</v>
      </c>
      <c r="G1135" s="56">
        <f>IF($C1135="B",INDEX(Batters[[#All],[Age]],MATCH(Table5[[#This Row],[PID]],Batters[[#All],[PID]],0)),INDEX(Table3[[#All],[Age]],MATCH(Table5[[#This Row],[PID]],Table3[[#All],[PID]],0)))</f>
        <v>21</v>
      </c>
      <c r="H1135" s="52" t="str">
        <f>IF($C1135="B",INDEX(Batters[[#All],[B]],MATCH(Table5[[#This Row],[PID]],Batters[[#All],[PID]],0)),INDEX(Table3[[#All],[B]],MATCH(Table5[[#This Row],[PID]],Table3[[#All],[PID]],0)))</f>
        <v>R</v>
      </c>
      <c r="I1135" s="52" t="str">
        <f>IF($C1135="B",INDEX(Batters[[#All],[T]],MATCH(Table5[[#This Row],[PID]],Batters[[#All],[PID]],0)),INDEX(Table3[[#All],[T]],MATCH(Table5[[#This Row],[PID]],Table3[[#All],[PID]],0)))</f>
        <v>R</v>
      </c>
      <c r="J1135" s="52" t="str">
        <f>IF($C1135="B",INDEX(Batters[[#All],[WE]],MATCH(Table5[[#This Row],[PID]],Batters[[#All],[PID]],0)),INDEX(Table3[[#All],[WE]],MATCH(Table5[[#This Row],[PID]],Table3[[#All],[PID]],0)))</f>
        <v>Low</v>
      </c>
      <c r="K1135" s="52" t="str">
        <f>IF($C1135="B",INDEX(Batters[[#All],[INT]],MATCH(Table5[[#This Row],[PID]],Batters[[#All],[PID]],0)),INDEX(Table3[[#All],[INT]],MATCH(Table5[[#This Row],[PID]],Table3[[#All],[PID]],0)))</f>
        <v>Low</v>
      </c>
      <c r="L1135" s="60">
        <f>IF($C1135="B",INDEX(Batters[[#All],[CON P]],MATCH(Table5[[#This Row],[PID]],Batters[[#All],[PID]],0)),INDEX(Table3[[#All],[STU P]],MATCH(Table5[[#This Row],[PID]],Table3[[#All],[PID]],0)))</f>
        <v>3</v>
      </c>
      <c r="M1135" s="56">
        <f>IF($C1135="B",INDEX(Batters[[#All],[GAP P]],MATCH(Table5[[#This Row],[PID]],Batters[[#All],[PID]],0)),INDEX(Table3[[#All],[MOV P]],MATCH(Table5[[#This Row],[PID]],Table3[[#All],[PID]],0)))</f>
        <v>2</v>
      </c>
      <c r="N1135" s="56">
        <f>IF($C1135="B",INDEX(Batters[[#All],[POW P]],MATCH(Table5[[#This Row],[PID]],Batters[[#All],[PID]],0)),INDEX(Table3[[#All],[CON P]],MATCH(Table5[[#This Row],[PID]],Table3[[#All],[PID]],0)))</f>
        <v>3</v>
      </c>
      <c r="O1135" s="56" t="str">
        <f>IF($C1135="B",INDEX(Batters[[#All],[EYE P]],MATCH(Table5[[#This Row],[PID]],Batters[[#All],[PID]],0)),INDEX(Table3[[#All],[VELO]],MATCH(Table5[[#This Row],[PID]],Table3[[#All],[PID]],0)))</f>
        <v>83-85 Mph</v>
      </c>
      <c r="P1135" s="56">
        <f>IF($C1135="B",INDEX(Batters[[#All],[K P]],MATCH(Table5[[#This Row],[PID]],Batters[[#All],[PID]],0)),INDEX(Table3[[#All],[STM]],MATCH(Table5[[#This Row],[PID]],Table3[[#All],[PID]],0)))</f>
        <v>4</v>
      </c>
      <c r="Q1135" s="61">
        <f>IF($C1135="B",INDEX(Batters[[#All],[Tot]],MATCH(Table5[[#This Row],[PID]],Batters[[#All],[PID]],0)),INDEX(Table3[[#All],[Tot]],MATCH(Table5[[#This Row],[PID]],Table3[[#All],[PID]],0)))</f>
        <v>24.814233795393335</v>
      </c>
      <c r="R1135" s="52">
        <f>IF($C1135="B",INDEX(Batters[[#All],[zScore]],MATCH(Table5[[#This Row],[PID]],Batters[[#All],[PID]],0)),INDEX(Table3[[#All],[zScore]],MATCH(Table5[[#This Row],[PID]],Table3[[#All],[PID]],0)))</f>
        <v>-0.88977983860180299</v>
      </c>
      <c r="S1135" s="58" t="str">
        <f>IF($C1135="B",INDEX(Batters[[#All],[DEM]],MATCH(Table5[[#This Row],[PID]],Batters[[#All],[PID]],0)),INDEX(Table3[[#All],[DEM]],MATCH(Table5[[#This Row],[PID]],Table3[[#All],[PID]],0)))</f>
        <v>$20k</v>
      </c>
      <c r="T1135" s="62">
        <f>IF($C1135="B",INDEX(Batters[[#All],[Rnk]],MATCH(Table5[[#This Row],[PID]],Batters[[#All],[PID]],0)),INDEX(Table3[[#All],[Rnk]],MATCH(Table5[[#This Row],[PID]],Table3[[#All],[PID]],0)))</f>
        <v>671</v>
      </c>
      <c r="U1135" s="68">
        <f>IF($C1135="B",VLOOKUP($A1135,Bat!$A$4:$BA$1621,47,FALSE),VLOOKUP($A1135,Pit!$A$4:$BF$1557,56,FALSE))</f>
        <v>0</v>
      </c>
      <c r="V1135" s="50">
        <f>IF($C1135="B",VLOOKUP($A1135,Bat!$A$4:$BA$1621,48,FALSE),VLOOKUP($A1135,Pit!$A$4:$BF$1557,57,FALSE))</f>
        <v>0</v>
      </c>
      <c r="W1135" s="50">
        <f>Table5[[#This Row],[posRnk]]+Table5[[#This Row],[zRnk]]+IF($W$3&lt;&gt;Table5[[#This Row],[Type]],50,0)</f>
        <v>1815</v>
      </c>
      <c r="X1135" s="51">
        <f>RANK(Table5[[#This Row],[zScore]],Table5[[#All],[zScore]])</f>
        <v>1094</v>
      </c>
      <c r="Y1135" s="50" t="str">
        <f>IFERROR(INDEX(DraftResults[[#All],[OVR]],MATCH(Table5[[#This Row],[PID]],DraftResults[[#All],[Player ID]],0)),"")</f>
        <v/>
      </c>
      <c r="Z11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5" s="50" t="str">
        <f>IFERROR(INDEX(DraftResults[[#All],[Pick in Round]],MATCH(Table5[[#This Row],[PID]],DraftResults[[#All],[Player ID]],0)),"")</f>
        <v/>
      </c>
      <c r="AB1135" s="50" t="str">
        <f>IFERROR(INDEX(DraftResults[[#All],[Team Name]],MATCH(Table5[[#This Row],[PID]],DraftResults[[#All],[Player ID]],0)),"")</f>
        <v/>
      </c>
      <c r="AC1135" s="50" t="str">
        <f>IF(Table5[[#This Row],[Ovr]]="","",IF(Table5[[#This Row],[cmbList]]="","",Table5[[#This Row],[cmbList]]-Table5[[#This Row],[Ovr]]))</f>
        <v/>
      </c>
      <c r="AD1135" s="54" t="str">
        <f>IF(ISERROR(VLOOKUP($AB1135&amp;"-"&amp;$E1135&amp;" "&amp;F1135,Bonuses!$B$1:$G$1006,4,FALSE)),"",INT(VLOOKUP($AB1135&amp;"-"&amp;$E1135&amp;" "&amp;$F1135,Bonuses!$B$1:$G$1006,4,FALSE)))</f>
        <v/>
      </c>
      <c r="AE11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6" spans="1:31" s="50" customFormat="1" x14ac:dyDescent="0.25">
      <c r="A1136" s="50">
        <v>18023</v>
      </c>
      <c r="B1136" s="50">
        <f>COUNTIF(Table5[PID],A1136)</f>
        <v>1</v>
      </c>
      <c r="C1136" s="50" t="str">
        <f>IF(COUNTIF(Table3[[#All],[PID]],A1136)&gt;0,"P","B")</f>
        <v>P</v>
      </c>
      <c r="D1136" s="59" t="str">
        <f>IF($C1136="B",INDEX(Batters[[#All],[POS]],MATCH(Table5[[#This Row],[PID]],Batters[[#All],[PID]],0)),INDEX(Table3[[#All],[POS]],MATCH(Table5[[#This Row],[PID]],Table3[[#All],[PID]],0)))</f>
        <v>RP</v>
      </c>
      <c r="E1136" s="52" t="str">
        <f>IF($C1136="B",INDEX(Batters[[#All],[First]],MATCH(Table5[[#This Row],[PID]],Batters[[#All],[PID]],0)),INDEX(Table3[[#All],[First]],MATCH(Table5[[#This Row],[PID]],Table3[[#All],[PID]],0)))</f>
        <v>Gonzalo</v>
      </c>
      <c r="F1136" s="50" t="str">
        <f>IF($C1136="B",INDEX(Batters[[#All],[Last]],MATCH(A1136,Batters[[#All],[PID]],0)),INDEX(Table3[[#All],[Last]],MATCH(A1136,Table3[[#All],[PID]],0)))</f>
        <v>Márquez</v>
      </c>
      <c r="G1136" s="56">
        <f>IF($C1136="B",INDEX(Batters[[#All],[Age]],MATCH(Table5[[#This Row],[PID]],Batters[[#All],[PID]],0)),INDEX(Table3[[#All],[Age]],MATCH(Table5[[#This Row],[PID]],Table3[[#All],[PID]],0)))</f>
        <v>21</v>
      </c>
      <c r="H1136" s="52" t="str">
        <f>IF($C1136="B",INDEX(Batters[[#All],[B]],MATCH(Table5[[#This Row],[PID]],Batters[[#All],[PID]],0)),INDEX(Table3[[#All],[B]],MATCH(Table5[[#This Row],[PID]],Table3[[#All],[PID]],0)))</f>
        <v>L</v>
      </c>
      <c r="I1136" s="52" t="str">
        <f>IF($C1136="B",INDEX(Batters[[#All],[T]],MATCH(Table5[[#This Row],[PID]],Batters[[#All],[PID]],0)),INDEX(Table3[[#All],[T]],MATCH(Table5[[#This Row],[PID]],Table3[[#All],[PID]],0)))</f>
        <v>R</v>
      </c>
      <c r="J1136" s="52" t="str">
        <f>IF($C1136="B",INDEX(Batters[[#All],[WE]],MATCH(Table5[[#This Row],[PID]],Batters[[#All],[PID]],0)),INDEX(Table3[[#All],[WE]],MATCH(Table5[[#This Row],[PID]],Table3[[#All],[PID]],0)))</f>
        <v>Normal</v>
      </c>
      <c r="K1136" s="52" t="str">
        <f>IF($C1136="B",INDEX(Batters[[#All],[INT]],MATCH(Table5[[#This Row],[PID]],Batters[[#All],[PID]],0)),INDEX(Table3[[#All],[INT]],MATCH(Table5[[#This Row],[PID]],Table3[[#All],[PID]],0)))</f>
        <v>Normal</v>
      </c>
      <c r="L1136" s="60">
        <f>IF($C1136="B",INDEX(Batters[[#All],[CON P]],MATCH(Table5[[#This Row],[PID]],Batters[[#All],[PID]],0)),INDEX(Table3[[#All],[STU P]],MATCH(Table5[[#This Row],[PID]],Table3[[#All],[PID]],0)))</f>
        <v>4</v>
      </c>
      <c r="M1136" s="56">
        <f>IF($C1136="B",INDEX(Batters[[#All],[GAP P]],MATCH(Table5[[#This Row],[PID]],Batters[[#All],[PID]],0)),INDEX(Table3[[#All],[MOV P]],MATCH(Table5[[#This Row],[PID]],Table3[[#All],[PID]],0)))</f>
        <v>1</v>
      </c>
      <c r="N1136" s="56">
        <f>IF($C1136="B",INDEX(Batters[[#All],[POW P]],MATCH(Table5[[#This Row],[PID]],Batters[[#All],[PID]],0)),INDEX(Table3[[#All],[CON P]],MATCH(Table5[[#This Row],[PID]],Table3[[#All],[PID]],0)))</f>
        <v>3</v>
      </c>
      <c r="O1136" s="56" t="str">
        <f>IF($C1136="B",INDEX(Batters[[#All],[EYE P]],MATCH(Table5[[#This Row],[PID]],Batters[[#All],[PID]],0)),INDEX(Table3[[#All],[VELO]],MATCH(Table5[[#This Row],[PID]],Table3[[#All],[PID]],0)))</f>
        <v>89-91 Mph</v>
      </c>
      <c r="P1136" s="56">
        <f>IF($C1136="B",INDEX(Batters[[#All],[K P]],MATCH(Table5[[#This Row],[PID]],Batters[[#All],[PID]],0)),INDEX(Table3[[#All],[STM]],MATCH(Table5[[#This Row],[PID]],Table3[[#All],[PID]],0)))</f>
        <v>7</v>
      </c>
      <c r="Q1136" s="61">
        <f>IF($C1136="B",INDEX(Batters[[#All],[Tot]],MATCH(Table5[[#This Row],[PID]],Batters[[#All],[PID]],0)),INDEX(Table3[[#All],[Tot]],MATCH(Table5[[#This Row],[PID]],Table3[[#All],[PID]],0)))</f>
        <v>24.80161789862343</v>
      </c>
      <c r="R1136" s="52">
        <f>IF($C1136="B",INDEX(Batters[[#All],[zScore]],MATCH(Table5[[#This Row],[PID]],Batters[[#All],[PID]],0)),INDEX(Table3[[#All],[zScore]],MATCH(Table5[[#This Row],[PID]],Table3[[#All],[PID]],0)))</f>
        <v>-0.89064402381858454</v>
      </c>
      <c r="S1136" s="58" t="str">
        <f>IF($C1136="B",INDEX(Batters[[#All],[DEM]],MATCH(Table5[[#This Row],[PID]],Batters[[#All],[PID]],0)),INDEX(Table3[[#All],[DEM]],MATCH(Table5[[#This Row],[PID]],Table3[[#All],[PID]],0)))</f>
        <v>-</v>
      </c>
      <c r="T1136" s="62">
        <f>IF($C1136="B",INDEX(Batters[[#All],[Rnk]],MATCH(Table5[[#This Row],[PID]],Batters[[#All],[PID]],0)),INDEX(Table3[[#All],[Rnk]],MATCH(Table5[[#This Row],[PID]],Table3[[#All],[PID]],0)))</f>
        <v>672</v>
      </c>
      <c r="U1136" s="68">
        <f>IF($C1136="B",VLOOKUP($A1136,Bat!$A$4:$BA$1621,47,FALSE),VLOOKUP($A1136,Pit!$A$4:$BF$1557,56,FALSE))</f>
        <v>0</v>
      </c>
      <c r="V1136" s="50">
        <f>IF($C1136="B",VLOOKUP($A1136,Bat!$A$4:$BA$1621,48,FALSE),VLOOKUP($A1136,Pit!$A$4:$BF$1557,57,FALSE))</f>
        <v>0</v>
      </c>
      <c r="W1136" s="50">
        <f>Table5[[#This Row],[posRnk]]+Table5[[#This Row],[zRnk]]+IF($W$3&lt;&gt;Table5[[#This Row],[Type]],50,0)</f>
        <v>1817</v>
      </c>
      <c r="X1136" s="51">
        <f>RANK(Table5[[#This Row],[zScore]],Table5[[#All],[zScore]])</f>
        <v>1095</v>
      </c>
      <c r="Y1136" s="50" t="str">
        <f>IFERROR(INDEX(DraftResults[[#All],[OVR]],MATCH(Table5[[#This Row],[PID]],DraftResults[[#All],[Player ID]],0)),"")</f>
        <v/>
      </c>
      <c r="Z11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6" s="50" t="str">
        <f>IFERROR(INDEX(DraftResults[[#All],[Pick in Round]],MATCH(Table5[[#This Row],[PID]],DraftResults[[#All],[Player ID]],0)),"")</f>
        <v/>
      </c>
      <c r="AB1136" s="50" t="str">
        <f>IFERROR(INDEX(DraftResults[[#All],[Team Name]],MATCH(Table5[[#This Row],[PID]],DraftResults[[#All],[Player ID]],0)),"")</f>
        <v/>
      </c>
      <c r="AC1136" s="50" t="str">
        <f>IF(Table5[[#This Row],[Ovr]]="","",IF(Table5[[#This Row],[cmbList]]="","",Table5[[#This Row],[cmbList]]-Table5[[#This Row],[Ovr]]))</f>
        <v/>
      </c>
      <c r="AD1136" s="54" t="str">
        <f>IF(ISERROR(VLOOKUP($AB1136&amp;"-"&amp;$E1136&amp;" "&amp;F1136,Bonuses!$B$1:$G$1006,4,FALSE)),"",INT(VLOOKUP($AB1136&amp;"-"&amp;$E1136&amp;" "&amp;$F1136,Bonuses!$B$1:$G$1006,4,FALSE)))</f>
        <v/>
      </c>
      <c r="AE11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7" spans="1:31" s="50" customFormat="1" x14ac:dyDescent="0.25">
      <c r="A1137" s="50">
        <v>9694</v>
      </c>
      <c r="B1137" s="50">
        <f>COUNTIF(Table5[PID],A1137)</f>
        <v>1</v>
      </c>
      <c r="C1137" s="50" t="str">
        <f>IF(COUNTIF(Table3[[#All],[PID]],A1137)&gt;0,"P","B")</f>
        <v>P</v>
      </c>
      <c r="D1137" s="59" t="str">
        <f>IF($C1137="B",INDEX(Batters[[#All],[POS]],MATCH(Table5[[#This Row],[PID]],Batters[[#All],[PID]],0)),INDEX(Table3[[#All],[POS]],MATCH(Table5[[#This Row],[PID]],Table3[[#All],[PID]],0)))</f>
        <v>RP</v>
      </c>
      <c r="E1137" s="52" t="str">
        <f>IF($C1137="B",INDEX(Batters[[#All],[First]],MATCH(Table5[[#This Row],[PID]],Batters[[#All],[PID]],0)),INDEX(Table3[[#All],[First]],MATCH(Table5[[#This Row],[PID]],Table3[[#All],[PID]],0)))</f>
        <v>Bryan</v>
      </c>
      <c r="F1137" s="50" t="str">
        <f>IF($C1137="B",INDEX(Batters[[#All],[Last]],MATCH(A1137,Batters[[#All],[PID]],0)),INDEX(Table3[[#All],[Last]],MATCH(A1137,Table3[[#All],[PID]],0)))</f>
        <v>Taylor</v>
      </c>
      <c r="G1137" s="56">
        <f>IF($C1137="B",INDEX(Batters[[#All],[Age]],MATCH(Table5[[#This Row],[PID]],Batters[[#All],[PID]],0)),INDEX(Table3[[#All],[Age]],MATCH(Table5[[#This Row],[PID]],Table3[[#All],[PID]],0)))</f>
        <v>22</v>
      </c>
      <c r="H1137" s="52" t="str">
        <f>IF($C1137="B",INDEX(Batters[[#All],[B]],MATCH(Table5[[#This Row],[PID]],Batters[[#All],[PID]],0)),INDEX(Table3[[#All],[B]],MATCH(Table5[[#This Row],[PID]],Table3[[#All],[PID]],0)))</f>
        <v>L</v>
      </c>
      <c r="I1137" s="52" t="str">
        <f>IF($C1137="B",INDEX(Batters[[#All],[T]],MATCH(Table5[[#This Row],[PID]],Batters[[#All],[PID]],0)),INDEX(Table3[[#All],[T]],MATCH(Table5[[#This Row],[PID]],Table3[[#All],[PID]],0)))</f>
        <v>L</v>
      </c>
      <c r="J1137" s="52" t="str">
        <f>IF($C1137="B",INDEX(Batters[[#All],[WE]],MATCH(Table5[[#This Row],[PID]],Batters[[#All],[PID]],0)),INDEX(Table3[[#All],[WE]],MATCH(Table5[[#This Row],[PID]],Table3[[#All],[PID]],0)))</f>
        <v>Low</v>
      </c>
      <c r="K1137" s="52" t="str">
        <f>IF($C1137="B",INDEX(Batters[[#All],[INT]],MATCH(Table5[[#This Row],[PID]],Batters[[#All],[PID]],0)),INDEX(Table3[[#All],[INT]],MATCH(Table5[[#This Row],[PID]],Table3[[#All],[PID]],0)))</f>
        <v>Normal</v>
      </c>
      <c r="L1137" s="60">
        <f>IF($C1137="B",INDEX(Batters[[#All],[CON P]],MATCH(Table5[[#This Row],[PID]],Batters[[#All],[PID]],0)),INDEX(Table3[[#All],[STU P]],MATCH(Table5[[#This Row],[PID]],Table3[[#All],[PID]],0)))</f>
        <v>4</v>
      </c>
      <c r="M1137" s="56">
        <f>IF($C1137="B",INDEX(Batters[[#All],[GAP P]],MATCH(Table5[[#This Row],[PID]],Batters[[#All],[PID]],0)),INDEX(Table3[[#All],[MOV P]],MATCH(Table5[[#This Row],[PID]],Table3[[#All],[PID]],0)))</f>
        <v>1</v>
      </c>
      <c r="N1137" s="56">
        <f>IF($C1137="B",INDEX(Batters[[#All],[POW P]],MATCH(Table5[[#This Row],[PID]],Batters[[#All],[PID]],0)),INDEX(Table3[[#All],[CON P]],MATCH(Table5[[#This Row],[PID]],Table3[[#All],[PID]],0)))</f>
        <v>3</v>
      </c>
      <c r="O1137" s="56" t="str">
        <f>IF($C1137="B",INDEX(Batters[[#All],[EYE P]],MATCH(Table5[[#This Row],[PID]],Batters[[#All],[PID]],0)),INDEX(Table3[[#All],[VELO]],MATCH(Table5[[#This Row],[PID]],Table3[[#All],[PID]],0)))</f>
        <v>88-90 Mph</v>
      </c>
      <c r="P1137" s="56">
        <f>IF($C1137="B",INDEX(Batters[[#All],[K P]],MATCH(Table5[[#This Row],[PID]],Batters[[#All],[PID]],0)),INDEX(Table3[[#All],[STM]],MATCH(Table5[[#This Row],[PID]],Table3[[#All],[PID]],0)))</f>
        <v>8</v>
      </c>
      <c r="Q1137" s="61">
        <f>IF($C1137="B",INDEX(Batters[[#All],[Tot]],MATCH(Table5[[#This Row],[PID]],Batters[[#All],[PID]],0)),INDEX(Table3[[#All],[Tot]],MATCH(Table5[[#This Row],[PID]],Table3[[#All],[PID]],0)))</f>
        <v>24.453153785412606</v>
      </c>
      <c r="R1137" s="52">
        <f>IF($C1137="B",INDEX(Batters[[#All],[zScore]],MATCH(Table5[[#This Row],[PID]],Batters[[#All],[PID]],0)),INDEX(Table3[[#All],[zScore]],MATCH(Table5[[#This Row],[PID]],Table3[[#All],[PID]],0)))</f>
        <v>-0.89196314074681526</v>
      </c>
      <c r="S1137" s="58" t="str">
        <f>IF($C1137="B",INDEX(Batters[[#All],[DEM]],MATCH(Table5[[#This Row],[PID]],Batters[[#All],[PID]],0)),INDEX(Table3[[#All],[DEM]],MATCH(Table5[[#This Row],[PID]],Table3[[#All],[PID]],0)))</f>
        <v>-</v>
      </c>
      <c r="T1137" s="62">
        <f>IF($C1137="B",INDEX(Batters[[#All],[Rnk]],MATCH(Table5[[#This Row],[PID]],Batters[[#All],[PID]],0)),INDEX(Table3[[#All],[Rnk]],MATCH(Table5[[#This Row],[PID]],Table3[[#All],[PID]],0)))</f>
        <v>673</v>
      </c>
      <c r="U1137" s="68">
        <f>IF($C1137="B",VLOOKUP($A1137,Bat!$A$4:$BA$1621,47,FALSE),VLOOKUP($A1137,Pit!$A$4:$BF$1557,56,FALSE))</f>
        <v>0</v>
      </c>
      <c r="V1137" s="50">
        <f>IF($C1137="B",VLOOKUP($A1137,Bat!$A$4:$BA$1621,48,FALSE),VLOOKUP($A1137,Pit!$A$4:$BF$1557,57,FALSE))</f>
        <v>0</v>
      </c>
      <c r="W1137" s="50">
        <f>Table5[[#This Row],[posRnk]]+Table5[[#This Row],[zRnk]]+IF($W$3&lt;&gt;Table5[[#This Row],[Type]],50,0)</f>
        <v>1819</v>
      </c>
      <c r="X1137" s="51">
        <f>RANK(Table5[[#This Row],[zScore]],Table5[[#All],[zScore]])</f>
        <v>1096</v>
      </c>
      <c r="Y1137" s="50" t="str">
        <f>IFERROR(INDEX(DraftResults[[#All],[OVR]],MATCH(Table5[[#This Row],[PID]],DraftResults[[#All],[Player ID]],0)),"")</f>
        <v/>
      </c>
      <c r="Z11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7" s="50" t="str">
        <f>IFERROR(INDEX(DraftResults[[#All],[Pick in Round]],MATCH(Table5[[#This Row],[PID]],DraftResults[[#All],[Player ID]],0)),"")</f>
        <v/>
      </c>
      <c r="AB1137" s="50" t="str">
        <f>IFERROR(INDEX(DraftResults[[#All],[Team Name]],MATCH(Table5[[#This Row],[PID]],DraftResults[[#All],[Player ID]],0)),"")</f>
        <v/>
      </c>
      <c r="AC1137" s="50" t="str">
        <f>IF(Table5[[#This Row],[Ovr]]="","",IF(Table5[[#This Row],[cmbList]]="","",Table5[[#This Row],[cmbList]]-Table5[[#This Row],[Ovr]]))</f>
        <v/>
      </c>
      <c r="AD1137" s="54" t="str">
        <f>IF(ISERROR(VLOOKUP($AB1137&amp;"-"&amp;$E1137&amp;" "&amp;F1137,Bonuses!$B$1:$G$1006,4,FALSE)),"",INT(VLOOKUP($AB1137&amp;"-"&amp;$E1137&amp;" "&amp;$F1137,Bonuses!$B$1:$G$1006,4,FALSE)))</f>
        <v/>
      </c>
      <c r="AE11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8" spans="1:31" s="50" customFormat="1" x14ac:dyDescent="0.25">
      <c r="A1138" s="50">
        <v>14492</v>
      </c>
      <c r="B1138" s="50">
        <f>COUNTIF(Table5[PID],A1138)</f>
        <v>1</v>
      </c>
      <c r="C1138" s="50" t="str">
        <f>IF(COUNTIF(Table3[[#All],[PID]],A1138)&gt;0,"P","B")</f>
        <v>P</v>
      </c>
      <c r="D1138" s="59" t="str">
        <f>IF($C1138="B",INDEX(Batters[[#All],[POS]],MATCH(Table5[[#This Row],[PID]],Batters[[#All],[PID]],0)),INDEX(Table3[[#All],[POS]],MATCH(Table5[[#This Row],[PID]],Table3[[#All],[PID]],0)))</f>
        <v>RP</v>
      </c>
      <c r="E1138" s="52" t="str">
        <f>IF($C1138="B",INDEX(Batters[[#All],[First]],MATCH(Table5[[#This Row],[PID]],Batters[[#All],[PID]],0)),INDEX(Table3[[#All],[First]],MATCH(Table5[[#This Row],[PID]],Table3[[#All],[PID]],0)))</f>
        <v>Juan</v>
      </c>
      <c r="F1138" s="50" t="str">
        <f>IF($C1138="B",INDEX(Batters[[#All],[Last]],MATCH(A1138,Batters[[#All],[PID]],0)),INDEX(Table3[[#All],[Last]],MATCH(A1138,Table3[[#All],[PID]],0)))</f>
        <v>Díaz</v>
      </c>
      <c r="G1138" s="56">
        <f>IF($C1138="B",INDEX(Batters[[#All],[Age]],MATCH(Table5[[#This Row],[PID]],Batters[[#All],[PID]],0)),INDEX(Table3[[#All],[Age]],MATCH(Table5[[#This Row],[PID]],Table3[[#All],[PID]],0)))</f>
        <v>22</v>
      </c>
      <c r="H1138" s="52" t="str">
        <f>IF($C1138="B",INDEX(Batters[[#All],[B]],MATCH(Table5[[#This Row],[PID]],Batters[[#All],[PID]],0)),INDEX(Table3[[#All],[B]],MATCH(Table5[[#This Row],[PID]],Table3[[#All],[PID]],0)))</f>
        <v>S</v>
      </c>
      <c r="I1138" s="52" t="str">
        <f>IF($C1138="B",INDEX(Batters[[#All],[T]],MATCH(Table5[[#This Row],[PID]],Batters[[#All],[PID]],0)),INDEX(Table3[[#All],[T]],MATCH(Table5[[#This Row],[PID]],Table3[[#All],[PID]],0)))</f>
        <v>R</v>
      </c>
      <c r="J1138" s="52" t="str">
        <f>IF($C1138="B",INDEX(Batters[[#All],[WE]],MATCH(Table5[[#This Row],[PID]],Batters[[#All],[PID]],0)),INDEX(Table3[[#All],[WE]],MATCH(Table5[[#This Row],[PID]],Table3[[#All],[PID]],0)))</f>
        <v>Low</v>
      </c>
      <c r="K1138" s="52" t="str">
        <f>IF($C1138="B",INDEX(Batters[[#All],[INT]],MATCH(Table5[[#This Row],[PID]],Batters[[#All],[PID]],0)),INDEX(Table3[[#All],[INT]],MATCH(Table5[[#This Row],[PID]],Table3[[#All],[PID]],0)))</f>
        <v>Normal</v>
      </c>
      <c r="L1138" s="60">
        <f>IF($C1138="B",INDEX(Batters[[#All],[CON P]],MATCH(Table5[[#This Row],[PID]],Batters[[#All],[PID]],0)),INDEX(Table3[[#All],[STU P]],MATCH(Table5[[#This Row],[PID]],Table3[[#All],[PID]],0)))</f>
        <v>3</v>
      </c>
      <c r="M1138" s="56">
        <f>IF($C1138="B",INDEX(Batters[[#All],[GAP P]],MATCH(Table5[[#This Row],[PID]],Batters[[#All],[PID]],0)),INDEX(Table3[[#All],[MOV P]],MATCH(Table5[[#This Row],[PID]],Table3[[#All],[PID]],0)))</f>
        <v>1</v>
      </c>
      <c r="N1138" s="56">
        <f>IF($C1138="B",INDEX(Batters[[#All],[POW P]],MATCH(Table5[[#This Row],[PID]],Batters[[#All],[PID]],0)),INDEX(Table3[[#All],[CON P]],MATCH(Table5[[#This Row],[PID]],Table3[[#All],[PID]],0)))</f>
        <v>3</v>
      </c>
      <c r="O1138" s="56" t="str">
        <f>IF($C1138="B",INDEX(Batters[[#All],[EYE P]],MATCH(Table5[[#This Row],[PID]],Batters[[#All],[PID]],0)),INDEX(Table3[[#All],[VELO]],MATCH(Table5[[#This Row],[PID]],Table3[[#All],[PID]],0)))</f>
        <v>85-87 Mph</v>
      </c>
      <c r="P1138" s="56">
        <f>IF($C1138="B",INDEX(Batters[[#All],[K P]],MATCH(Table5[[#This Row],[PID]],Batters[[#All],[PID]],0)),INDEX(Table3[[#All],[STM]],MATCH(Table5[[#This Row],[PID]],Table3[[#All],[PID]],0)))</f>
        <v>6</v>
      </c>
      <c r="Q1138" s="61">
        <f>IF($C1138="B",INDEX(Batters[[#All],[Tot]],MATCH(Table5[[#This Row],[PID]],Batters[[#All],[PID]],0)),INDEX(Table3[[#All],[Tot]],MATCH(Table5[[#This Row],[PID]],Table3[[#All],[PID]],0)))</f>
        <v>22.38209179206752</v>
      </c>
      <c r="R1138" s="52">
        <f>IF($C1138="B",INDEX(Batters[[#All],[zScore]],MATCH(Table5[[#This Row],[PID]],Batters[[#All],[PID]],0)),INDEX(Table3[[#All],[zScore]],MATCH(Table5[[#This Row],[PID]],Table3[[#All],[PID]],0)))</f>
        <v>-0.89736491891895198</v>
      </c>
      <c r="S1138" s="58" t="str">
        <f>IF($C1138="B",INDEX(Batters[[#All],[DEM]],MATCH(Table5[[#This Row],[PID]],Batters[[#All],[PID]],0)),INDEX(Table3[[#All],[DEM]],MATCH(Table5[[#This Row],[PID]],Table3[[#All],[PID]],0)))</f>
        <v>-</v>
      </c>
      <c r="T1138" s="62">
        <f>IF($C1138="B",INDEX(Batters[[#All],[Rnk]],MATCH(Table5[[#This Row],[PID]],Batters[[#All],[PID]],0)),INDEX(Table3[[#All],[Rnk]],MATCH(Table5[[#This Row],[PID]],Table3[[#All],[PID]],0)))</f>
        <v>674</v>
      </c>
      <c r="U1138" s="68">
        <f>IF($C1138="B",VLOOKUP($A1138,Bat!$A$4:$BA$1621,47,FALSE),VLOOKUP($A1138,Pit!$A$4:$BF$1557,56,FALSE))</f>
        <v>0</v>
      </c>
      <c r="V1138" s="50">
        <f>IF($C1138="B",VLOOKUP($A1138,Bat!$A$4:$BA$1621,48,FALSE),VLOOKUP($A1138,Pit!$A$4:$BF$1557,57,FALSE))</f>
        <v>0</v>
      </c>
      <c r="W1138" s="50">
        <f>Table5[[#This Row],[posRnk]]+Table5[[#This Row],[zRnk]]+IF($W$3&lt;&gt;Table5[[#This Row],[Type]],50,0)</f>
        <v>1821</v>
      </c>
      <c r="X1138" s="51">
        <f>RANK(Table5[[#This Row],[zScore]],Table5[[#All],[zScore]])</f>
        <v>1097</v>
      </c>
      <c r="Y1138" s="50" t="str">
        <f>IFERROR(INDEX(DraftResults[[#All],[OVR]],MATCH(Table5[[#This Row],[PID]],DraftResults[[#All],[Player ID]],0)),"")</f>
        <v/>
      </c>
      <c r="Z11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8" s="50" t="str">
        <f>IFERROR(INDEX(DraftResults[[#All],[Pick in Round]],MATCH(Table5[[#This Row],[PID]],DraftResults[[#All],[Player ID]],0)),"")</f>
        <v/>
      </c>
      <c r="AB1138" s="50" t="str">
        <f>IFERROR(INDEX(DraftResults[[#All],[Team Name]],MATCH(Table5[[#This Row],[PID]],DraftResults[[#All],[Player ID]],0)),"")</f>
        <v/>
      </c>
      <c r="AC1138" s="50" t="str">
        <f>IF(Table5[[#This Row],[Ovr]]="","",IF(Table5[[#This Row],[cmbList]]="","",Table5[[#This Row],[cmbList]]-Table5[[#This Row],[Ovr]]))</f>
        <v/>
      </c>
      <c r="AD1138" s="54" t="str">
        <f>IF(ISERROR(VLOOKUP($AB1138&amp;"-"&amp;$E1138&amp;" "&amp;F1138,Bonuses!$B$1:$G$1006,4,FALSE)),"",INT(VLOOKUP($AB1138&amp;"-"&amp;$E1138&amp;" "&amp;$F1138,Bonuses!$B$1:$G$1006,4,FALSE)))</f>
        <v/>
      </c>
      <c r="AE11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39" spans="1:31" s="50" customFormat="1" x14ac:dyDescent="0.25">
      <c r="A1139" s="50">
        <v>11754</v>
      </c>
      <c r="B1139" s="50">
        <f>COUNTIF(Table5[PID],A1139)</f>
        <v>1</v>
      </c>
      <c r="C1139" s="50" t="str">
        <f>IF(COUNTIF(Table3[[#All],[PID]],A1139)&gt;0,"P","B")</f>
        <v>P</v>
      </c>
      <c r="D1139" s="59" t="str">
        <f>IF($C1139="B",INDEX(Batters[[#All],[POS]],MATCH(Table5[[#This Row],[PID]],Batters[[#All],[PID]],0)),INDEX(Table3[[#All],[POS]],MATCH(Table5[[#This Row],[PID]],Table3[[#All],[PID]],0)))</f>
        <v>RP</v>
      </c>
      <c r="E1139" s="52" t="str">
        <f>IF($C1139="B",INDEX(Batters[[#All],[First]],MATCH(Table5[[#This Row],[PID]],Batters[[#All],[PID]],0)),INDEX(Table3[[#All],[First]],MATCH(Table5[[#This Row],[PID]],Table3[[#All],[PID]],0)))</f>
        <v>Ebbe</v>
      </c>
      <c r="F1139" s="50" t="str">
        <f>IF($C1139="B",INDEX(Batters[[#All],[Last]],MATCH(A1139,Batters[[#All],[PID]],0)),INDEX(Table3[[#All],[Last]],MATCH(A1139,Table3[[#All],[PID]],0)))</f>
        <v>Steijnis</v>
      </c>
      <c r="G1139" s="56">
        <f>IF($C1139="B",INDEX(Batters[[#All],[Age]],MATCH(Table5[[#This Row],[PID]],Batters[[#All],[PID]],0)),INDEX(Table3[[#All],[Age]],MATCH(Table5[[#This Row],[PID]],Table3[[#All],[PID]],0)))</f>
        <v>22</v>
      </c>
      <c r="H1139" s="52" t="str">
        <f>IF($C1139="B",INDEX(Batters[[#All],[B]],MATCH(Table5[[#This Row],[PID]],Batters[[#All],[PID]],0)),INDEX(Table3[[#All],[B]],MATCH(Table5[[#This Row],[PID]],Table3[[#All],[PID]],0)))</f>
        <v>L</v>
      </c>
      <c r="I1139" s="52" t="str">
        <f>IF($C1139="B",INDEX(Batters[[#All],[T]],MATCH(Table5[[#This Row],[PID]],Batters[[#All],[PID]],0)),INDEX(Table3[[#All],[T]],MATCH(Table5[[#This Row],[PID]],Table3[[#All],[PID]],0)))</f>
        <v>L</v>
      </c>
      <c r="J1139" s="52" t="str">
        <f>IF($C1139="B",INDEX(Batters[[#All],[WE]],MATCH(Table5[[#This Row],[PID]],Batters[[#All],[PID]],0)),INDEX(Table3[[#All],[WE]],MATCH(Table5[[#This Row],[PID]],Table3[[#All],[PID]],0)))</f>
        <v>Low</v>
      </c>
      <c r="K1139" s="52" t="str">
        <f>IF($C1139="B",INDEX(Batters[[#All],[INT]],MATCH(Table5[[#This Row],[PID]],Batters[[#All],[PID]],0)),INDEX(Table3[[#All],[INT]],MATCH(Table5[[#This Row],[PID]],Table3[[#All],[PID]],0)))</f>
        <v>Normal</v>
      </c>
      <c r="L1139" s="60">
        <f>IF($C1139="B",INDEX(Batters[[#All],[CON P]],MATCH(Table5[[#This Row],[PID]],Batters[[#All],[PID]],0)),INDEX(Table3[[#All],[STU P]],MATCH(Table5[[#This Row],[PID]],Table3[[#All],[PID]],0)))</f>
        <v>4</v>
      </c>
      <c r="M1139" s="56">
        <f>IF($C1139="B",INDEX(Batters[[#All],[GAP P]],MATCH(Table5[[#This Row],[PID]],Batters[[#All],[PID]],0)),INDEX(Table3[[#All],[MOV P]],MATCH(Table5[[#This Row],[PID]],Table3[[#All],[PID]],0)))</f>
        <v>1</v>
      </c>
      <c r="N1139" s="56">
        <f>IF($C1139="B",INDEX(Batters[[#All],[POW P]],MATCH(Table5[[#This Row],[PID]],Batters[[#All],[PID]],0)),INDEX(Table3[[#All],[CON P]],MATCH(Table5[[#This Row],[PID]],Table3[[#All],[PID]],0)))</f>
        <v>3</v>
      </c>
      <c r="O1139" s="56" t="str">
        <f>IF($C1139="B",INDEX(Batters[[#All],[EYE P]],MATCH(Table5[[#This Row],[PID]],Batters[[#All],[PID]],0)),INDEX(Table3[[#All],[VELO]],MATCH(Table5[[#This Row],[PID]],Table3[[#All],[PID]],0)))</f>
        <v>89-91 Mph</v>
      </c>
      <c r="P1139" s="56">
        <f>IF($C1139="B",INDEX(Batters[[#All],[K P]],MATCH(Table5[[#This Row],[PID]],Batters[[#All],[PID]],0)),INDEX(Table3[[#All],[STM]],MATCH(Table5[[#This Row],[PID]],Table3[[#All],[PID]],0)))</f>
        <v>8</v>
      </c>
      <c r="Q1139" s="61">
        <f>IF($C1139="B",INDEX(Batters[[#All],[Tot]],MATCH(Table5[[#This Row],[PID]],Batters[[#All],[PID]],0)),INDEX(Table3[[#All],[Tot]],MATCH(Table5[[#This Row],[PID]],Table3[[#All],[PID]],0)))</f>
        <v>24.303153785412604</v>
      </c>
      <c r="R1139" s="52">
        <f>IF($C1139="B",INDEX(Batters[[#All],[zScore]],MATCH(Table5[[#This Row],[PID]],Batters[[#All],[PID]],0)),INDEX(Table3[[#All],[zScore]],MATCH(Table5[[#This Row],[PID]],Table3[[#All],[PID]],0)))</f>
        <v>-0.90281751056228898</v>
      </c>
      <c r="S1139" s="58" t="str">
        <f>IF($C1139="B",INDEX(Batters[[#All],[DEM]],MATCH(Table5[[#This Row],[PID]],Batters[[#All],[PID]],0)),INDEX(Table3[[#All],[DEM]],MATCH(Table5[[#This Row],[PID]],Table3[[#All],[PID]],0)))</f>
        <v>-</v>
      </c>
      <c r="T1139" s="62">
        <f>IF($C1139="B",INDEX(Batters[[#All],[Rnk]],MATCH(Table5[[#This Row],[PID]],Batters[[#All],[PID]],0)),INDEX(Table3[[#All],[Rnk]],MATCH(Table5[[#This Row],[PID]],Table3[[#All],[PID]],0)))</f>
        <v>675</v>
      </c>
      <c r="U1139" s="68">
        <f>IF($C1139="B",VLOOKUP($A1139,Bat!$A$4:$BA$1621,47,FALSE),VLOOKUP($A1139,Pit!$A$4:$BF$1557,56,FALSE))</f>
        <v>0</v>
      </c>
      <c r="V1139" s="50">
        <f>IF($C1139="B",VLOOKUP($A1139,Bat!$A$4:$BA$1621,48,FALSE),VLOOKUP($A1139,Pit!$A$4:$BF$1557,57,FALSE))</f>
        <v>0</v>
      </c>
      <c r="W1139" s="50">
        <f>Table5[[#This Row],[posRnk]]+Table5[[#This Row],[zRnk]]+IF($W$3&lt;&gt;Table5[[#This Row],[Type]],50,0)</f>
        <v>1823</v>
      </c>
      <c r="X1139" s="51">
        <f>RANK(Table5[[#This Row],[zScore]],Table5[[#All],[zScore]])</f>
        <v>1098</v>
      </c>
      <c r="Y1139" s="50" t="str">
        <f>IFERROR(INDEX(DraftResults[[#All],[OVR]],MATCH(Table5[[#This Row],[PID]],DraftResults[[#All],[Player ID]],0)),"")</f>
        <v/>
      </c>
      <c r="Z11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39" s="50" t="str">
        <f>IFERROR(INDEX(DraftResults[[#All],[Pick in Round]],MATCH(Table5[[#This Row],[PID]],DraftResults[[#All],[Player ID]],0)),"")</f>
        <v/>
      </c>
      <c r="AB1139" s="50" t="str">
        <f>IFERROR(INDEX(DraftResults[[#All],[Team Name]],MATCH(Table5[[#This Row],[PID]],DraftResults[[#All],[Player ID]],0)),"")</f>
        <v/>
      </c>
      <c r="AC1139" s="50" t="str">
        <f>IF(Table5[[#This Row],[Ovr]]="","",IF(Table5[[#This Row],[cmbList]]="","",Table5[[#This Row],[cmbList]]-Table5[[#This Row],[Ovr]]))</f>
        <v/>
      </c>
      <c r="AD1139" s="54" t="str">
        <f>IF(ISERROR(VLOOKUP($AB1139&amp;"-"&amp;$E1139&amp;" "&amp;F1139,Bonuses!$B$1:$G$1006,4,FALSE)),"",INT(VLOOKUP($AB1139&amp;"-"&amp;$E1139&amp;" "&amp;$F1139,Bonuses!$B$1:$G$1006,4,FALSE)))</f>
        <v/>
      </c>
      <c r="AE11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0" spans="1:31" s="50" customFormat="1" x14ac:dyDescent="0.25">
      <c r="A1140" s="50">
        <v>12183</v>
      </c>
      <c r="B1140" s="50">
        <f>COUNTIF(Table5[PID],A1140)</f>
        <v>1</v>
      </c>
      <c r="C1140" s="50" t="str">
        <f>IF(COUNTIF(Table3[[#All],[PID]],A1140)&gt;0,"P","B")</f>
        <v>P</v>
      </c>
      <c r="D1140" s="59" t="str">
        <f>IF($C1140="B",INDEX(Batters[[#All],[POS]],MATCH(Table5[[#This Row],[PID]],Batters[[#All],[PID]],0)),INDEX(Table3[[#All],[POS]],MATCH(Table5[[#This Row],[PID]],Table3[[#All],[PID]],0)))</f>
        <v>RP</v>
      </c>
      <c r="E1140" s="52" t="str">
        <f>IF($C1140="B",INDEX(Batters[[#All],[First]],MATCH(Table5[[#This Row],[PID]],Batters[[#All],[PID]],0)),INDEX(Table3[[#All],[First]],MATCH(Table5[[#This Row],[PID]],Table3[[#All],[PID]],0)))</f>
        <v>Peter</v>
      </c>
      <c r="F1140" s="50" t="str">
        <f>IF($C1140="B",INDEX(Batters[[#All],[Last]],MATCH(A1140,Batters[[#All],[PID]],0)),INDEX(Table3[[#All],[Last]],MATCH(A1140,Table3[[#All],[PID]],0)))</f>
        <v>Jones</v>
      </c>
      <c r="G1140" s="56">
        <f>IF($C1140="B",INDEX(Batters[[#All],[Age]],MATCH(Table5[[#This Row],[PID]],Batters[[#All],[PID]],0)),INDEX(Table3[[#All],[Age]],MATCH(Table5[[#This Row],[PID]],Table3[[#All],[PID]],0)))</f>
        <v>22</v>
      </c>
      <c r="H1140" s="52" t="str">
        <f>IF($C1140="B",INDEX(Batters[[#All],[B]],MATCH(Table5[[#This Row],[PID]],Batters[[#All],[PID]],0)),INDEX(Table3[[#All],[B]],MATCH(Table5[[#This Row],[PID]],Table3[[#All],[PID]],0)))</f>
        <v>R</v>
      </c>
      <c r="I1140" s="52" t="str">
        <f>IF($C1140="B",INDEX(Batters[[#All],[T]],MATCH(Table5[[#This Row],[PID]],Batters[[#All],[PID]],0)),INDEX(Table3[[#All],[T]],MATCH(Table5[[#This Row],[PID]],Table3[[#All],[PID]],0)))</f>
        <v>R</v>
      </c>
      <c r="J1140" s="52" t="str">
        <f>IF($C1140="B",INDEX(Batters[[#All],[WE]],MATCH(Table5[[#This Row],[PID]],Batters[[#All],[PID]],0)),INDEX(Table3[[#All],[WE]],MATCH(Table5[[#This Row],[PID]],Table3[[#All],[PID]],0)))</f>
        <v>Low</v>
      </c>
      <c r="K1140" s="52" t="str">
        <f>IF($C1140="B",INDEX(Batters[[#All],[INT]],MATCH(Table5[[#This Row],[PID]],Batters[[#All],[PID]],0)),INDEX(Table3[[#All],[INT]],MATCH(Table5[[#This Row],[PID]],Table3[[#All],[PID]],0)))</f>
        <v>Normal</v>
      </c>
      <c r="L1140" s="60">
        <f>IF($C1140="B",INDEX(Batters[[#All],[CON P]],MATCH(Table5[[#This Row],[PID]],Batters[[#All],[PID]],0)),INDEX(Table3[[#All],[STU P]],MATCH(Table5[[#This Row],[PID]],Table3[[#All],[PID]],0)))</f>
        <v>5</v>
      </c>
      <c r="M1140" s="56">
        <f>IF($C1140="B",INDEX(Batters[[#All],[GAP P]],MATCH(Table5[[#This Row],[PID]],Batters[[#All],[PID]],0)),INDEX(Table3[[#All],[MOV P]],MATCH(Table5[[#This Row],[PID]],Table3[[#All],[PID]],0)))</f>
        <v>2</v>
      </c>
      <c r="N1140" s="56">
        <f>IF($C1140="B",INDEX(Batters[[#All],[POW P]],MATCH(Table5[[#This Row],[PID]],Batters[[#All],[PID]],0)),INDEX(Table3[[#All],[CON P]],MATCH(Table5[[#This Row],[PID]],Table3[[#All],[PID]],0)))</f>
        <v>2</v>
      </c>
      <c r="O1140" s="56" t="str">
        <f>IF($C1140="B",INDEX(Batters[[#All],[EYE P]],MATCH(Table5[[#This Row],[PID]],Batters[[#All],[PID]],0)),INDEX(Table3[[#All],[VELO]],MATCH(Table5[[#This Row],[PID]],Table3[[#All],[PID]],0)))</f>
        <v>92-94 Mph</v>
      </c>
      <c r="P1140" s="56">
        <f>IF($C1140="B",INDEX(Batters[[#All],[K P]],MATCH(Table5[[#This Row],[PID]],Batters[[#All],[PID]],0)),INDEX(Table3[[#All],[STM]],MATCH(Table5[[#This Row],[PID]],Table3[[#All],[PID]],0)))</f>
        <v>5</v>
      </c>
      <c r="Q1140" s="61">
        <f>IF($C1140="B",INDEX(Batters[[#All],[Tot]],MATCH(Table5[[#This Row],[PID]],Batters[[#All],[PID]],0)),INDEX(Table3[[#All],[Tot]],MATCH(Table5[[#This Row],[PID]],Table3[[#All],[PID]],0)))</f>
        <v>22.242082385740964</v>
      </c>
      <c r="R1140" s="52">
        <f>IF($C1140="B",INDEX(Batters[[#All],[zScore]],MATCH(Table5[[#This Row],[PID]],Batters[[#All],[PID]],0)),INDEX(Table3[[#All],[zScore]],MATCH(Table5[[#This Row],[PID]],Table3[[#All],[PID]],0)))</f>
        <v>-0.90667953077224595</v>
      </c>
      <c r="S1140" s="58" t="str">
        <f>IF($C1140="B",INDEX(Batters[[#All],[DEM]],MATCH(Table5[[#This Row],[PID]],Batters[[#All],[PID]],0)),INDEX(Table3[[#All],[DEM]],MATCH(Table5[[#This Row],[PID]],Table3[[#All],[PID]],0)))</f>
        <v>-</v>
      </c>
      <c r="T1140" s="62">
        <f>IF($C1140="B",INDEX(Batters[[#All],[Rnk]],MATCH(Table5[[#This Row],[PID]],Batters[[#All],[PID]],0)),INDEX(Table3[[#All],[Rnk]],MATCH(Table5[[#This Row],[PID]],Table3[[#All],[PID]],0)))</f>
        <v>676</v>
      </c>
      <c r="U1140" s="68">
        <f>IF($C1140="B",VLOOKUP($A1140,Bat!$A$4:$BA$1621,47,FALSE),VLOOKUP($A1140,Pit!$A$4:$BF$1557,56,FALSE))</f>
        <v>0</v>
      </c>
      <c r="V1140" s="50">
        <f>IF($C1140="B",VLOOKUP($A1140,Bat!$A$4:$BA$1621,48,FALSE),VLOOKUP($A1140,Pit!$A$4:$BF$1557,57,FALSE))</f>
        <v>0</v>
      </c>
      <c r="W1140" s="50">
        <f>Table5[[#This Row],[posRnk]]+Table5[[#This Row],[zRnk]]+IF($W$3&lt;&gt;Table5[[#This Row],[Type]],50,0)</f>
        <v>1826</v>
      </c>
      <c r="X1140" s="51">
        <f>RANK(Table5[[#This Row],[zScore]],Table5[[#All],[zScore]])</f>
        <v>1100</v>
      </c>
      <c r="Y1140" s="50" t="str">
        <f>IFERROR(INDEX(DraftResults[[#All],[OVR]],MATCH(Table5[[#This Row],[PID]],DraftResults[[#All],[Player ID]],0)),"")</f>
        <v/>
      </c>
      <c r="Z11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0" s="50" t="str">
        <f>IFERROR(INDEX(DraftResults[[#All],[Pick in Round]],MATCH(Table5[[#This Row],[PID]],DraftResults[[#All],[Player ID]],0)),"")</f>
        <v/>
      </c>
      <c r="AB1140" s="50" t="str">
        <f>IFERROR(INDEX(DraftResults[[#All],[Team Name]],MATCH(Table5[[#This Row],[PID]],DraftResults[[#All],[Player ID]],0)),"")</f>
        <v/>
      </c>
      <c r="AC1140" s="50" t="str">
        <f>IF(Table5[[#This Row],[Ovr]]="","",IF(Table5[[#This Row],[cmbList]]="","",Table5[[#This Row],[cmbList]]-Table5[[#This Row],[Ovr]]))</f>
        <v/>
      </c>
      <c r="AD1140" s="54" t="str">
        <f>IF(ISERROR(VLOOKUP($AB1140&amp;"-"&amp;$E1140&amp;" "&amp;F1140,Bonuses!$B$1:$G$1006,4,FALSE)),"",INT(VLOOKUP($AB1140&amp;"-"&amp;$E1140&amp;" "&amp;$F1140,Bonuses!$B$1:$G$1006,4,FALSE)))</f>
        <v/>
      </c>
      <c r="AE11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1" spans="1:31" s="50" customFormat="1" x14ac:dyDescent="0.25">
      <c r="A1141" s="50">
        <v>21063</v>
      </c>
      <c r="B1141" s="55">
        <f>COUNTIF(Table5[PID],A1141)</f>
        <v>1</v>
      </c>
      <c r="C1141" s="55" t="str">
        <f>IF(COUNTIF(Table3[[#All],[PID]],A1141)&gt;0,"P","B")</f>
        <v>B</v>
      </c>
      <c r="D1141" s="59" t="str">
        <f>IF($C1141="B",INDEX(Batters[[#All],[POS]],MATCH(Table5[[#This Row],[PID]],Batters[[#All],[PID]],0)),INDEX(Table3[[#All],[POS]],MATCH(Table5[[#This Row],[PID]],Table3[[#All],[PID]],0)))</f>
        <v>1B</v>
      </c>
      <c r="E1141" s="52" t="str">
        <f>IF($C1141="B",INDEX(Batters[[#All],[First]],MATCH(Table5[[#This Row],[PID]],Batters[[#All],[PID]],0)),INDEX(Table3[[#All],[First]],MATCH(Table5[[#This Row],[PID]],Table3[[#All],[PID]],0)))</f>
        <v>Luis</v>
      </c>
      <c r="F1141" s="50" t="str">
        <f>IF($C1141="B",INDEX(Batters[[#All],[Last]],MATCH(A1141,Batters[[#All],[PID]],0)),INDEX(Table3[[#All],[Last]],MATCH(A1141,Table3[[#All],[PID]],0)))</f>
        <v>Ramos</v>
      </c>
      <c r="G1141" s="56">
        <f>IF($C1141="B",INDEX(Batters[[#All],[Age]],MATCH(Table5[[#This Row],[PID]],Batters[[#All],[PID]],0)),INDEX(Table3[[#All],[Age]],MATCH(Table5[[#This Row],[PID]],Table3[[#All],[PID]],0)))</f>
        <v>17</v>
      </c>
      <c r="H1141" s="52" t="str">
        <f>IF($C1141="B",INDEX(Batters[[#All],[B]],MATCH(Table5[[#This Row],[PID]],Batters[[#All],[PID]],0)),INDEX(Table3[[#All],[B]],MATCH(Table5[[#This Row],[PID]],Table3[[#All],[PID]],0)))</f>
        <v>L</v>
      </c>
      <c r="I1141" s="52" t="str">
        <f>IF($C1141="B",INDEX(Batters[[#All],[T]],MATCH(Table5[[#This Row],[PID]],Batters[[#All],[PID]],0)),INDEX(Table3[[#All],[T]],MATCH(Table5[[#This Row],[PID]],Table3[[#All],[PID]],0)))</f>
        <v>R</v>
      </c>
      <c r="J1141" s="52" t="str">
        <f>IF($C1141="B",INDEX(Batters[[#All],[WE]],MATCH(Table5[[#This Row],[PID]],Batters[[#All],[PID]],0)),INDEX(Table3[[#All],[WE]],MATCH(Table5[[#This Row],[PID]],Table3[[#All],[PID]],0)))</f>
        <v>Normal</v>
      </c>
      <c r="K1141" s="52" t="str">
        <f>IF($C1141="B",INDEX(Batters[[#All],[INT]],MATCH(Table5[[#This Row],[PID]],Batters[[#All],[PID]],0)),INDEX(Table3[[#All],[INT]],MATCH(Table5[[#This Row],[PID]],Table3[[#All],[PID]],0)))</f>
        <v>Normal</v>
      </c>
      <c r="L1141" s="60">
        <f>IF($C1141="B",INDEX(Batters[[#All],[CON P]],MATCH(Table5[[#This Row],[PID]],Batters[[#All],[PID]],0)),INDEX(Table3[[#All],[STU P]],MATCH(Table5[[#This Row],[PID]],Table3[[#All],[PID]],0)))</f>
        <v>3</v>
      </c>
      <c r="M1141" s="56">
        <f>IF($C1141="B",INDEX(Batters[[#All],[GAP P]],MATCH(Table5[[#This Row],[PID]],Batters[[#All],[PID]],0)),INDEX(Table3[[#All],[MOV P]],MATCH(Table5[[#This Row],[PID]],Table3[[#All],[PID]],0)))</f>
        <v>4</v>
      </c>
      <c r="N1141" s="56">
        <f>IF($C1141="B",INDEX(Batters[[#All],[POW P]],MATCH(Table5[[#This Row],[PID]],Batters[[#All],[PID]],0)),INDEX(Table3[[#All],[CON P]],MATCH(Table5[[#This Row],[PID]],Table3[[#All],[PID]],0)))</f>
        <v>2</v>
      </c>
      <c r="O1141" s="56">
        <f>IF($C1141="B",INDEX(Batters[[#All],[EYE P]],MATCH(Table5[[#This Row],[PID]],Batters[[#All],[PID]],0)),INDEX(Table3[[#All],[VELO]],MATCH(Table5[[#This Row],[PID]],Table3[[#All],[PID]],0)))</f>
        <v>4</v>
      </c>
      <c r="P1141" s="56">
        <f>IF($C1141="B",INDEX(Batters[[#All],[K P]],MATCH(Table5[[#This Row],[PID]],Batters[[#All],[PID]],0)),INDEX(Table3[[#All],[STM]],MATCH(Table5[[#This Row],[PID]],Table3[[#All],[PID]],0)))</f>
        <v>4</v>
      </c>
      <c r="Q1141" s="61">
        <f>IF($C1141="B",INDEX(Batters[[#All],[Tot]],MATCH(Table5[[#This Row],[PID]],Batters[[#All],[PID]],0)),INDEX(Table3[[#All],[Tot]],MATCH(Table5[[#This Row],[PID]],Table3[[#All],[PID]],0)))</f>
        <v>40.034117313673029</v>
      </c>
      <c r="R1141" s="52">
        <f>IF($C1141="B",INDEX(Batters[[#All],[zScore]],MATCH(Table5[[#This Row],[PID]],Batters[[#All],[PID]],0)),INDEX(Table3[[#All],[zScore]],MATCH(Table5[[#This Row],[PID]],Table3[[#All],[PID]],0)))</f>
        <v>-0.90851492655376354</v>
      </c>
      <c r="S1141" s="58" t="str">
        <f>IF($C1141="B",INDEX(Batters[[#All],[DEM]],MATCH(Table5[[#This Row],[PID]],Batters[[#All],[PID]],0)),INDEX(Table3[[#All],[DEM]],MATCH(Table5[[#This Row],[PID]],Table3[[#All],[PID]],0)))</f>
        <v>$65k</v>
      </c>
      <c r="T1141" s="62">
        <f>IF($C1141="B",INDEX(Batters[[#All],[Rnk]],MATCH(Table5[[#This Row],[PID]],Batters[[#All],[PID]],0)),INDEX(Table3[[#All],[Rnk]],MATCH(Table5[[#This Row],[PID]],Table3[[#All],[PID]],0)))</f>
        <v>424</v>
      </c>
      <c r="U1141" s="68">
        <f>IF($C1141="B",VLOOKUP($A1141,Bat!$A$4:$BA$1621,47,FALSE),VLOOKUP($A1141,Pit!$A$4:$BF$1557,56,FALSE))</f>
        <v>0</v>
      </c>
      <c r="V1141" s="50">
        <f>IF($C1141="B",VLOOKUP($A1141,Bat!$A$4:$BA$1621,48,FALSE),VLOOKUP($A1141,Pit!$A$4:$BF$1557,57,FALSE))</f>
        <v>0</v>
      </c>
      <c r="W1141" s="50">
        <f>Table5[[#This Row],[posRnk]]+Table5[[#This Row],[zRnk]]+IF($W$3&lt;&gt;Table5[[#This Row],[Type]],50,0)</f>
        <v>1575</v>
      </c>
      <c r="X1141" s="51">
        <f>RANK(Table5[[#This Row],[zScore]],Table5[[#All],[zScore]])</f>
        <v>1101</v>
      </c>
      <c r="Y1141" s="50" t="str">
        <f>IFERROR(INDEX(DraftResults[[#All],[OVR]],MATCH(Table5[[#This Row],[PID]],DraftResults[[#All],[Player ID]],0)),"")</f>
        <v/>
      </c>
      <c r="Z11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1" s="50" t="str">
        <f>IFERROR(INDEX(DraftResults[[#All],[Pick in Round]],MATCH(Table5[[#This Row],[PID]],DraftResults[[#All],[Player ID]],0)),"")</f>
        <v/>
      </c>
      <c r="AB1141" s="50" t="str">
        <f>IFERROR(INDEX(DraftResults[[#All],[Team Name]],MATCH(Table5[[#This Row],[PID]],DraftResults[[#All],[Player ID]],0)),"")</f>
        <v/>
      </c>
      <c r="AC1141" s="50" t="str">
        <f>IF(Table5[[#This Row],[Ovr]]="","",IF(Table5[[#This Row],[cmbList]]="","",Table5[[#This Row],[cmbList]]-Table5[[#This Row],[Ovr]]))</f>
        <v/>
      </c>
      <c r="AD1141" s="54" t="str">
        <f>IF(ISERROR(VLOOKUP($AB1141&amp;"-"&amp;$E1141&amp;" "&amp;F1141,Bonuses!$B$1:$G$1006,4,FALSE)),"",INT(VLOOKUP($AB1141&amp;"-"&amp;$E1141&amp;" "&amp;$F1141,Bonuses!$B$1:$G$1006,4,FALSE)))</f>
        <v/>
      </c>
      <c r="AE11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2" spans="1:31" s="50" customFormat="1" x14ac:dyDescent="0.25">
      <c r="A1142" s="50">
        <v>17588</v>
      </c>
      <c r="B1142" s="55">
        <f>COUNTIF(Table5[PID],A1142)</f>
        <v>1</v>
      </c>
      <c r="C1142" s="55" t="str">
        <f>IF(COUNTIF(Table3[[#All],[PID]],A1142)&gt;0,"P","B")</f>
        <v>B</v>
      </c>
      <c r="D1142" s="59" t="str">
        <f>IF($C1142="B",INDEX(Batters[[#All],[POS]],MATCH(Table5[[#This Row],[PID]],Batters[[#All],[PID]],0)),INDEX(Table3[[#All],[POS]],MATCH(Table5[[#This Row],[PID]],Table3[[#All],[PID]],0)))</f>
        <v>2B</v>
      </c>
      <c r="E1142" s="52" t="str">
        <f>IF($C1142="B",INDEX(Batters[[#All],[First]],MATCH(Table5[[#This Row],[PID]],Batters[[#All],[PID]],0)),INDEX(Table3[[#All],[First]],MATCH(Table5[[#This Row],[PID]],Table3[[#All],[PID]],0)))</f>
        <v>Greg</v>
      </c>
      <c r="F1142" s="50" t="str">
        <f>IF($C1142="B",INDEX(Batters[[#All],[Last]],MATCH(A1142,Batters[[#All],[PID]],0)),INDEX(Table3[[#All],[Last]],MATCH(A1142,Table3[[#All],[PID]],0)))</f>
        <v>Madison</v>
      </c>
      <c r="G1142" s="56">
        <f>IF($C1142="B",INDEX(Batters[[#All],[Age]],MATCH(Table5[[#This Row],[PID]],Batters[[#All],[PID]],0)),INDEX(Table3[[#All],[Age]],MATCH(Table5[[#This Row],[PID]],Table3[[#All],[PID]],0)))</f>
        <v>18</v>
      </c>
      <c r="H1142" s="52" t="str">
        <f>IF($C1142="B",INDEX(Batters[[#All],[B]],MATCH(Table5[[#This Row],[PID]],Batters[[#All],[PID]],0)),INDEX(Table3[[#All],[B]],MATCH(Table5[[#This Row],[PID]],Table3[[#All],[PID]],0)))</f>
        <v>R</v>
      </c>
      <c r="I1142" s="52" t="str">
        <f>IF($C1142="B",INDEX(Batters[[#All],[T]],MATCH(Table5[[#This Row],[PID]],Batters[[#All],[PID]],0)),INDEX(Table3[[#All],[T]],MATCH(Table5[[#This Row],[PID]],Table3[[#All],[PID]],0)))</f>
        <v>R</v>
      </c>
      <c r="J1142" s="52" t="str">
        <f>IF($C1142="B",INDEX(Batters[[#All],[WE]],MATCH(Table5[[#This Row],[PID]],Batters[[#All],[PID]],0)),INDEX(Table3[[#All],[WE]],MATCH(Table5[[#This Row],[PID]],Table3[[#All],[PID]],0)))</f>
        <v>Low</v>
      </c>
      <c r="K1142" s="52" t="str">
        <f>IF($C1142="B",INDEX(Batters[[#All],[INT]],MATCH(Table5[[#This Row],[PID]],Batters[[#All],[PID]],0)),INDEX(Table3[[#All],[INT]],MATCH(Table5[[#This Row],[PID]],Table3[[#All],[PID]],0)))</f>
        <v>Normal</v>
      </c>
      <c r="L1142" s="60">
        <f>IF($C1142="B",INDEX(Batters[[#All],[CON P]],MATCH(Table5[[#This Row],[PID]],Batters[[#All],[PID]],0)),INDEX(Table3[[#All],[STU P]],MATCH(Table5[[#This Row],[PID]],Table3[[#All],[PID]],0)))</f>
        <v>3</v>
      </c>
      <c r="M1142" s="56">
        <f>IF($C1142="B",INDEX(Batters[[#All],[GAP P]],MATCH(Table5[[#This Row],[PID]],Batters[[#All],[PID]],0)),INDEX(Table3[[#All],[MOV P]],MATCH(Table5[[#This Row],[PID]],Table3[[#All],[PID]],0)))</f>
        <v>5</v>
      </c>
      <c r="N1142" s="56">
        <f>IF($C1142="B",INDEX(Batters[[#All],[POW P]],MATCH(Table5[[#This Row],[PID]],Batters[[#All],[PID]],0)),INDEX(Table3[[#All],[CON P]],MATCH(Table5[[#This Row],[PID]],Table3[[#All],[PID]],0)))</f>
        <v>2</v>
      </c>
      <c r="O1142" s="56">
        <f>IF($C1142="B",INDEX(Batters[[#All],[EYE P]],MATCH(Table5[[#This Row],[PID]],Batters[[#All],[PID]],0)),INDEX(Table3[[#All],[VELO]],MATCH(Table5[[#This Row],[PID]],Table3[[#All],[PID]],0)))</f>
        <v>4</v>
      </c>
      <c r="P1142" s="56">
        <f>IF($C1142="B",INDEX(Batters[[#All],[K P]],MATCH(Table5[[#This Row],[PID]],Batters[[#All],[PID]],0)),INDEX(Table3[[#All],[STM]],MATCH(Table5[[#This Row],[PID]],Table3[[#All],[PID]],0)))</f>
        <v>3</v>
      </c>
      <c r="Q1142" s="61">
        <f>IF($C1142="B",INDEX(Batters[[#All],[Tot]],MATCH(Table5[[#This Row],[PID]],Batters[[#All],[PID]],0)),INDEX(Table3[[#All],[Tot]],MATCH(Table5[[#This Row],[PID]],Table3[[#All],[PID]],0)))</f>
        <v>40.033306457959135</v>
      </c>
      <c r="R1142" s="52">
        <f>IF($C1142="B",INDEX(Batters[[#All],[zScore]],MATCH(Table5[[#This Row],[PID]],Batters[[#All],[PID]],0)),INDEX(Table3[[#All],[zScore]],MATCH(Table5[[#This Row],[PID]],Table3[[#All],[PID]],0)))</f>
        <v>-0.90869469874640973</v>
      </c>
      <c r="S1142" s="58" t="str">
        <f>IF($C1142="B",INDEX(Batters[[#All],[DEM]],MATCH(Table5[[#This Row],[PID]],Batters[[#All],[PID]],0)),INDEX(Table3[[#All],[DEM]],MATCH(Table5[[#This Row],[PID]],Table3[[#All],[PID]],0)))</f>
        <v>$110k</v>
      </c>
      <c r="T1142" s="62">
        <f>IF($C1142="B",INDEX(Batters[[#All],[Rnk]],MATCH(Table5[[#This Row],[PID]],Batters[[#All],[PID]],0)),INDEX(Table3[[#All],[Rnk]],MATCH(Table5[[#This Row],[PID]],Table3[[#All],[PID]],0)))</f>
        <v>425</v>
      </c>
      <c r="U1142" s="68">
        <f>IF($C1142="B",VLOOKUP($A1142,Bat!$A$4:$BA$1621,47,FALSE),VLOOKUP($A1142,Pit!$A$4:$BF$1557,56,FALSE))</f>
        <v>0</v>
      </c>
      <c r="V1142" s="50">
        <f>IF($C1142="B",VLOOKUP($A1142,Bat!$A$4:$BA$1621,48,FALSE),VLOOKUP($A1142,Pit!$A$4:$BF$1557,57,FALSE))</f>
        <v>0</v>
      </c>
      <c r="W1142" s="50">
        <f>Table5[[#This Row],[posRnk]]+Table5[[#This Row],[zRnk]]+IF($W$3&lt;&gt;Table5[[#This Row],[Type]],50,0)</f>
        <v>1577</v>
      </c>
      <c r="X1142" s="51">
        <f>RANK(Table5[[#This Row],[zScore]],Table5[[#All],[zScore]])</f>
        <v>1102</v>
      </c>
      <c r="Y1142" s="50" t="str">
        <f>IFERROR(INDEX(DraftResults[[#All],[OVR]],MATCH(Table5[[#This Row],[PID]],DraftResults[[#All],[Player ID]],0)),"")</f>
        <v/>
      </c>
      <c r="Z11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2" s="50" t="str">
        <f>IFERROR(INDEX(DraftResults[[#All],[Pick in Round]],MATCH(Table5[[#This Row],[PID]],DraftResults[[#All],[Player ID]],0)),"")</f>
        <v/>
      </c>
      <c r="AB1142" s="50" t="str">
        <f>IFERROR(INDEX(DraftResults[[#All],[Team Name]],MATCH(Table5[[#This Row],[PID]],DraftResults[[#All],[Player ID]],0)),"")</f>
        <v/>
      </c>
      <c r="AC1142" s="50" t="str">
        <f>IF(Table5[[#This Row],[Ovr]]="","",IF(Table5[[#This Row],[cmbList]]="","",Table5[[#This Row],[cmbList]]-Table5[[#This Row],[Ovr]]))</f>
        <v/>
      </c>
      <c r="AD1142" s="54" t="str">
        <f>IF(ISERROR(VLOOKUP($AB1142&amp;"-"&amp;$E1142&amp;" "&amp;F1142,Bonuses!$B$1:$G$1006,4,FALSE)),"",INT(VLOOKUP($AB1142&amp;"-"&amp;$E1142&amp;" "&amp;$F1142,Bonuses!$B$1:$G$1006,4,FALSE)))</f>
        <v/>
      </c>
      <c r="AE11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3" spans="1:31" s="50" customFormat="1" x14ac:dyDescent="0.25">
      <c r="A1143" s="50">
        <v>20734</v>
      </c>
      <c r="B1143" s="50">
        <f>COUNTIF(Table5[PID],A1143)</f>
        <v>1</v>
      </c>
      <c r="C1143" s="50" t="str">
        <f>IF(COUNTIF(Table3[[#All],[PID]],A1143)&gt;0,"P","B")</f>
        <v>P</v>
      </c>
      <c r="D1143" s="59" t="str">
        <f>IF($C1143="B",INDEX(Batters[[#All],[POS]],MATCH(Table5[[#This Row],[PID]],Batters[[#All],[PID]],0)),INDEX(Table3[[#All],[POS]],MATCH(Table5[[#This Row],[PID]],Table3[[#All],[PID]],0)))</f>
        <v>RP</v>
      </c>
      <c r="E1143" s="52" t="str">
        <f>IF($C1143="B",INDEX(Batters[[#All],[First]],MATCH(Table5[[#This Row],[PID]],Batters[[#All],[PID]],0)),INDEX(Table3[[#All],[First]],MATCH(Table5[[#This Row],[PID]],Table3[[#All],[PID]],0)))</f>
        <v>António</v>
      </c>
      <c r="F1143" s="50" t="str">
        <f>IF($C1143="B",INDEX(Batters[[#All],[Last]],MATCH(A1143,Batters[[#All],[PID]],0)),INDEX(Table3[[#All],[Last]],MATCH(A1143,Table3[[#All],[PID]],0)))</f>
        <v>Rivera</v>
      </c>
      <c r="G1143" s="56">
        <f>IF($C1143="B",INDEX(Batters[[#All],[Age]],MATCH(Table5[[#This Row],[PID]],Batters[[#All],[PID]],0)),INDEX(Table3[[#All],[Age]],MATCH(Table5[[#This Row],[PID]],Table3[[#All],[PID]],0)))</f>
        <v>18</v>
      </c>
      <c r="H1143" s="52" t="str">
        <f>IF($C1143="B",INDEX(Batters[[#All],[B]],MATCH(Table5[[#This Row],[PID]],Batters[[#All],[PID]],0)),INDEX(Table3[[#All],[B]],MATCH(Table5[[#This Row],[PID]],Table3[[#All],[PID]],0)))</f>
        <v>L</v>
      </c>
      <c r="I1143" s="52" t="str">
        <f>IF($C1143="B",INDEX(Batters[[#All],[T]],MATCH(Table5[[#This Row],[PID]],Batters[[#All],[PID]],0)),INDEX(Table3[[#All],[T]],MATCH(Table5[[#This Row],[PID]],Table3[[#All],[PID]],0)))</f>
        <v>R</v>
      </c>
      <c r="J1143" s="52" t="str">
        <f>IF($C1143="B",INDEX(Batters[[#All],[WE]],MATCH(Table5[[#This Row],[PID]],Batters[[#All],[PID]],0)),INDEX(Table3[[#All],[WE]],MATCH(Table5[[#This Row],[PID]],Table3[[#All],[PID]],0)))</f>
        <v>Low</v>
      </c>
      <c r="K1143" s="52" t="str">
        <f>IF($C1143="B",INDEX(Batters[[#All],[INT]],MATCH(Table5[[#This Row],[PID]],Batters[[#All],[PID]],0)),INDEX(Table3[[#All],[INT]],MATCH(Table5[[#This Row],[PID]],Table3[[#All],[PID]],0)))</f>
        <v>Normal</v>
      </c>
      <c r="L1143" s="60">
        <f>IF($C1143="B",INDEX(Batters[[#All],[CON P]],MATCH(Table5[[#This Row],[PID]],Batters[[#All],[PID]],0)),INDEX(Table3[[#All],[STU P]],MATCH(Table5[[#This Row],[PID]],Table3[[#All],[PID]],0)))</f>
        <v>5</v>
      </c>
      <c r="M1143" s="56">
        <f>IF($C1143="B",INDEX(Batters[[#All],[GAP P]],MATCH(Table5[[#This Row],[PID]],Batters[[#All],[PID]],0)),INDEX(Table3[[#All],[MOV P]],MATCH(Table5[[#This Row],[PID]],Table3[[#All],[PID]],0)))</f>
        <v>1</v>
      </c>
      <c r="N1143" s="56">
        <f>IF($C1143="B",INDEX(Batters[[#All],[POW P]],MATCH(Table5[[#This Row],[PID]],Batters[[#All],[PID]],0)),INDEX(Table3[[#All],[CON P]],MATCH(Table5[[#This Row],[PID]],Table3[[#All],[PID]],0)))</f>
        <v>2</v>
      </c>
      <c r="O1143" s="56" t="str">
        <f>IF($C1143="B",INDEX(Batters[[#All],[EYE P]],MATCH(Table5[[#This Row],[PID]],Batters[[#All],[PID]],0)),INDEX(Table3[[#All],[VELO]],MATCH(Table5[[#This Row],[PID]],Table3[[#All],[PID]],0)))</f>
        <v>88-90 Mph</v>
      </c>
      <c r="P1143" s="56">
        <f>IF($C1143="B",INDEX(Batters[[#All],[K P]],MATCH(Table5[[#This Row],[PID]],Batters[[#All],[PID]],0)),INDEX(Table3[[#All],[STM]],MATCH(Table5[[#This Row],[PID]],Table3[[#All],[PID]],0)))</f>
        <v>5</v>
      </c>
      <c r="Q1143" s="61">
        <f>IF($C1143="B",INDEX(Batters[[#All],[Tot]],MATCH(Table5[[#This Row],[PID]],Batters[[#All],[PID]],0)),INDEX(Table3[[#All],[Tot]],MATCH(Table5[[#This Row],[PID]],Table3[[#All],[PID]],0)))</f>
        <v>22.174304730651023</v>
      </c>
      <c r="R1143" s="52">
        <f>IF($C1143="B",INDEX(Batters[[#All],[zScore]],MATCH(Table5[[#This Row],[PID]],Batters[[#All],[PID]],0)),INDEX(Table3[[#All],[zScore]],MATCH(Table5[[#This Row],[PID]],Table3[[#All],[PID]],0)))</f>
        <v>-0.91118867459374564</v>
      </c>
      <c r="S1143" s="58" t="str">
        <f>IF($C1143="B",INDEX(Batters[[#All],[DEM]],MATCH(Table5[[#This Row],[PID]],Batters[[#All],[PID]],0)),INDEX(Table3[[#All],[DEM]],MATCH(Table5[[#This Row],[PID]],Table3[[#All],[PID]],0)))</f>
        <v>$38k</v>
      </c>
      <c r="T1143" s="62">
        <f>IF($C1143="B",INDEX(Batters[[#All],[Rnk]],MATCH(Table5[[#This Row],[PID]],Batters[[#All],[PID]],0)),INDEX(Table3[[#All],[Rnk]],MATCH(Table5[[#This Row],[PID]],Table3[[#All],[PID]],0)))</f>
        <v>677</v>
      </c>
      <c r="U1143" s="68">
        <f>IF($C1143="B",VLOOKUP($A1143,Bat!$A$4:$BA$1621,47,FALSE),VLOOKUP($A1143,Pit!$A$4:$BF$1557,56,FALSE))</f>
        <v>0</v>
      </c>
      <c r="V1143" s="50">
        <f>IF($C1143="B",VLOOKUP($A1143,Bat!$A$4:$BA$1621,48,FALSE),VLOOKUP($A1143,Pit!$A$4:$BF$1557,57,FALSE))</f>
        <v>0</v>
      </c>
      <c r="W1143" s="50">
        <f>Table5[[#This Row],[posRnk]]+Table5[[#This Row],[zRnk]]+IF($W$3&lt;&gt;Table5[[#This Row],[Type]],50,0)</f>
        <v>1830</v>
      </c>
      <c r="X1143" s="51">
        <f>RANK(Table5[[#This Row],[zScore]],Table5[[#All],[zScore]])</f>
        <v>1103</v>
      </c>
      <c r="Y1143" s="50" t="str">
        <f>IFERROR(INDEX(DraftResults[[#All],[OVR]],MATCH(Table5[[#This Row],[PID]],DraftResults[[#All],[Player ID]],0)),"")</f>
        <v/>
      </c>
      <c r="Z11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3" s="50" t="str">
        <f>IFERROR(INDEX(DraftResults[[#All],[Pick in Round]],MATCH(Table5[[#This Row],[PID]],DraftResults[[#All],[Player ID]],0)),"")</f>
        <v/>
      </c>
      <c r="AB1143" s="50" t="str">
        <f>IFERROR(INDEX(DraftResults[[#All],[Team Name]],MATCH(Table5[[#This Row],[PID]],DraftResults[[#All],[Player ID]],0)),"")</f>
        <v/>
      </c>
      <c r="AC1143" s="50" t="str">
        <f>IF(Table5[[#This Row],[Ovr]]="","",IF(Table5[[#This Row],[cmbList]]="","",Table5[[#This Row],[cmbList]]-Table5[[#This Row],[Ovr]]))</f>
        <v/>
      </c>
      <c r="AD1143" s="54" t="str">
        <f>IF(ISERROR(VLOOKUP($AB1143&amp;"-"&amp;$E1143&amp;" "&amp;F1143,Bonuses!$B$1:$G$1006,4,FALSE)),"",INT(VLOOKUP($AB1143&amp;"-"&amp;$E1143&amp;" "&amp;$F1143,Bonuses!$B$1:$G$1006,4,FALSE)))</f>
        <v/>
      </c>
      <c r="AE11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4" spans="1:31" s="50" customFormat="1" x14ac:dyDescent="0.25">
      <c r="A1144" s="50">
        <v>18028</v>
      </c>
      <c r="B1144" s="50">
        <f>COUNTIF(Table5[PID],A1144)</f>
        <v>1</v>
      </c>
      <c r="C1144" s="50" t="str">
        <f>IF(COUNTIF(Table3[[#All],[PID]],A1144)&gt;0,"P","B")</f>
        <v>B</v>
      </c>
      <c r="D1144" s="59" t="str">
        <f>IF($C1144="B",INDEX(Batters[[#All],[POS]],MATCH(Table5[[#This Row],[PID]],Batters[[#All],[PID]],0)),INDEX(Table3[[#All],[POS]],MATCH(Table5[[#This Row],[PID]],Table3[[#All],[PID]],0)))</f>
        <v>RF</v>
      </c>
      <c r="E1144" s="52" t="str">
        <f>IF($C1144="B",INDEX(Batters[[#All],[First]],MATCH(Table5[[#This Row],[PID]],Batters[[#All],[PID]],0)),INDEX(Table3[[#All],[First]],MATCH(Table5[[#This Row],[PID]],Table3[[#All],[PID]],0)))</f>
        <v>Bob</v>
      </c>
      <c r="F1144" s="50" t="str">
        <f>IF($C1144="B",INDEX(Batters[[#All],[Last]],MATCH(A1144,Batters[[#All],[PID]],0)),INDEX(Table3[[#All],[Last]],MATCH(A1144,Table3[[#All],[PID]],0)))</f>
        <v>Henderson</v>
      </c>
      <c r="G1144" s="56">
        <f>IF($C1144="B",INDEX(Batters[[#All],[Age]],MATCH(Table5[[#This Row],[PID]],Batters[[#All],[PID]],0)),INDEX(Table3[[#All],[Age]],MATCH(Table5[[#This Row],[PID]],Table3[[#All],[PID]],0)))</f>
        <v>21</v>
      </c>
      <c r="H1144" s="52" t="str">
        <f>IF($C1144="B",INDEX(Batters[[#All],[B]],MATCH(Table5[[#This Row],[PID]],Batters[[#All],[PID]],0)),INDEX(Table3[[#All],[B]],MATCH(Table5[[#This Row],[PID]],Table3[[#All],[PID]],0)))</f>
        <v>L</v>
      </c>
      <c r="I1144" s="52" t="str">
        <f>IF($C1144="B",INDEX(Batters[[#All],[T]],MATCH(Table5[[#This Row],[PID]],Batters[[#All],[PID]],0)),INDEX(Table3[[#All],[T]],MATCH(Table5[[#This Row],[PID]],Table3[[#All],[PID]],0)))</f>
        <v>L</v>
      </c>
      <c r="J1144" s="52" t="str">
        <f>IF($C1144="B",INDEX(Batters[[#All],[WE]],MATCH(Table5[[#This Row],[PID]],Batters[[#All],[PID]],0)),INDEX(Table3[[#All],[WE]],MATCH(Table5[[#This Row],[PID]],Table3[[#All],[PID]],0)))</f>
        <v>Low</v>
      </c>
      <c r="K1144" s="52" t="str">
        <f>IF($C1144="B",INDEX(Batters[[#All],[INT]],MATCH(Table5[[#This Row],[PID]],Batters[[#All],[PID]],0)),INDEX(Table3[[#All],[INT]],MATCH(Table5[[#This Row],[PID]],Table3[[#All],[PID]],0)))</f>
        <v>Normal</v>
      </c>
      <c r="L1144" s="60">
        <f>IF($C1144="B",INDEX(Batters[[#All],[CON P]],MATCH(Table5[[#This Row],[PID]],Batters[[#All],[PID]],0)),INDEX(Table3[[#All],[STU P]],MATCH(Table5[[#This Row],[PID]],Table3[[#All],[PID]],0)))</f>
        <v>4</v>
      </c>
      <c r="M1144" s="56">
        <f>IF($C1144="B",INDEX(Batters[[#All],[GAP P]],MATCH(Table5[[#This Row],[PID]],Batters[[#All],[PID]],0)),INDEX(Table3[[#All],[MOV P]],MATCH(Table5[[#This Row],[PID]],Table3[[#All],[PID]],0)))</f>
        <v>3</v>
      </c>
      <c r="N1144" s="56">
        <f>IF($C1144="B",INDEX(Batters[[#All],[POW P]],MATCH(Table5[[#This Row],[PID]],Batters[[#All],[PID]],0)),INDEX(Table3[[#All],[CON P]],MATCH(Table5[[#This Row],[PID]],Table3[[#All],[PID]],0)))</f>
        <v>3</v>
      </c>
      <c r="O1144" s="56">
        <f>IF($C1144="B",INDEX(Batters[[#All],[EYE P]],MATCH(Table5[[#This Row],[PID]],Batters[[#All],[PID]],0)),INDEX(Table3[[#All],[VELO]],MATCH(Table5[[#This Row],[PID]],Table3[[#All],[PID]],0)))</f>
        <v>4</v>
      </c>
      <c r="P1144" s="56">
        <f>IF($C1144="B",INDEX(Batters[[#All],[K P]],MATCH(Table5[[#This Row],[PID]],Batters[[#All],[PID]],0)),INDEX(Table3[[#All],[STM]],MATCH(Table5[[#This Row],[PID]],Table3[[#All],[PID]],0)))</f>
        <v>4</v>
      </c>
      <c r="Q1144" s="61">
        <f>IF($C1144="B",INDEX(Batters[[#All],[Tot]],MATCH(Table5[[#This Row],[PID]],Batters[[#All],[PID]],0)),INDEX(Table3[[#All],[Tot]],MATCH(Table5[[#This Row],[PID]],Table3[[#All],[PID]],0)))</f>
        <v>40.01847258088393</v>
      </c>
      <c r="R1144" s="52">
        <f>IF($C1144="B",INDEX(Batters[[#All],[zScore]],MATCH(Table5[[#This Row],[PID]],Batters[[#All],[PID]],0)),INDEX(Table3[[#All],[zScore]],MATCH(Table5[[#This Row],[PID]],Table3[[#All],[PID]],0)))</f>
        <v>-0.91198346956168608</v>
      </c>
      <c r="S1144" s="58" t="str">
        <f>IF($C1144="B",INDEX(Batters[[#All],[DEM]],MATCH(Table5[[#This Row],[PID]],Batters[[#All],[PID]],0)),INDEX(Table3[[#All],[DEM]],MATCH(Table5[[#This Row],[PID]],Table3[[#All],[PID]],0)))</f>
        <v>-</v>
      </c>
      <c r="T1144" s="62">
        <f>IF($C1144="B",INDEX(Batters[[#All],[Rnk]],MATCH(Table5[[#This Row],[PID]],Batters[[#All],[PID]],0)),INDEX(Table3[[#All],[Rnk]],MATCH(Table5[[#This Row],[PID]],Table3[[#All],[PID]],0)))</f>
        <v>426</v>
      </c>
      <c r="U1144" s="68">
        <f>IF($C1144="B",VLOOKUP($A1144,Bat!$A$4:$BA$1621,47,FALSE),VLOOKUP($A1144,Pit!$A$4:$BF$1557,56,FALSE))</f>
        <v>0</v>
      </c>
      <c r="V1144" s="50">
        <f>IF($C1144="B",VLOOKUP($A1144,Bat!$A$4:$BA$1621,48,FALSE),VLOOKUP($A1144,Pit!$A$4:$BF$1557,57,FALSE))</f>
        <v>0</v>
      </c>
      <c r="W1144" s="50">
        <f>Table5[[#This Row],[posRnk]]+Table5[[#This Row],[zRnk]]+IF($W$3&lt;&gt;Table5[[#This Row],[Type]],50,0)</f>
        <v>1580</v>
      </c>
      <c r="X1144" s="51">
        <f>RANK(Table5[[#This Row],[zScore]],Table5[[#All],[zScore]])</f>
        <v>1104</v>
      </c>
      <c r="Y1144" s="50" t="str">
        <f>IFERROR(INDEX(DraftResults[[#All],[OVR]],MATCH(Table5[[#This Row],[PID]],DraftResults[[#All],[Player ID]],0)),"")</f>
        <v/>
      </c>
      <c r="Z11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4" s="50" t="str">
        <f>IFERROR(INDEX(DraftResults[[#All],[Pick in Round]],MATCH(Table5[[#This Row],[PID]],DraftResults[[#All],[Player ID]],0)),"")</f>
        <v/>
      </c>
      <c r="AB1144" s="50" t="str">
        <f>IFERROR(INDEX(DraftResults[[#All],[Team Name]],MATCH(Table5[[#This Row],[PID]],DraftResults[[#All],[Player ID]],0)),"")</f>
        <v/>
      </c>
      <c r="AC1144" s="50" t="str">
        <f>IF(Table5[[#This Row],[Ovr]]="","",IF(Table5[[#This Row],[cmbList]]="","",Table5[[#This Row],[cmbList]]-Table5[[#This Row],[Ovr]]))</f>
        <v/>
      </c>
      <c r="AD1144" s="54" t="str">
        <f>IF(ISERROR(VLOOKUP($AB1144&amp;"-"&amp;$E1144&amp;" "&amp;F1144,Bonuses!$B$1:$G$1006,4,FALSE)),"",INT(VLOOKUP($AB1144&amp;"-"&amp;$E1144&amp;" "&amp;$F1144,Bonuses!$B$1:$G$1006,4,FALSE)))</f>
        <v/>
      </c>
      <c r="AE11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5" spans="1:31" s="50" customFormat="1" x14ac:dyDescent="0.25">
      <c r="A1145" s="50">
        <v>16346</v>
      </c>
      <c r="B1145" s="50">
        <f>COUNTIF(Table5[PID],A1145)</f>
        <v>1</v>
      </c>
      <c r="C1145" s="50" t="str">
        <f>IF(COUNTIF(Table3[[#All],[PID]],A1145)&gt;0,"P","B")</f>
        <v>P</v>
      </c>
      <c r="D1145" s="59" t="str">
        <f>IF($C1145="B",INDEX(Batters[[#All],[POS]],MATCH(Table5[[#This Row],[PID]],Batters[[#All],[PID]],0)),INDEX(Table3[[#All],[POS]],MATCH(Table5[[#This Row],[PID]],Table3[[#All],[PID]],0)))</f>
        <v>RP</v>
      </c>
      <c r="E1145" s="52" t="str">
        <f>IF($C1145="B",INDEX(Batters[[#All],[First]],MATCH(Table5[[#This Row],[PID]],Batters[[#All],[PID]],0)),INDEX(Table3[[#All],[First]],MATCH(Table5[[#This Row],[PID]],Table3[[#All],[PID]],0)))</f>
        <v>Archie</v>
      </c>
      <c r="F1145" s="50" t="str">
        <f>IF($C1145="B",INDEX(Batters[[#All],[Last]],MATCH(A1145,Batters[[#All],[PID]],0)),INDEX(Table3[[#All],[Last]],MATCH(A1145,Table3[[#All],[PID]],0)))</f>
        <v>Chambers</v>
      </c>
      <c r="G1145" s="56">
        <f>IF($C1145="B",INDEX(Batters[[#All],[Age]],MATCH(Table5[[#This Row],[PID]],Batters[[#All],[PID]],0)),INDEX(Table3[[#All],[Age]],MATCH(Table5[[#This Row],[PID]],Table3[[#All],[PID]],0)))</f>
        <v>21</v>
      </c>
      <c r="H1145" s="52" t="str">
        <f>IF($C1145="B",INDEX(Batters[[#All],[B]],MATCH(Table5[[#This Row],[PID]],Batters[[#All],[PID]],0)),INDEX(Table3[[#All],[B]],MATCH(Table5[[#This Row],[PID]],Table3[[#All],[PID]],0)))</f>
        <v>R</v>
      </c>
      <c r="I1145" s="52" t="str">
        <f>IF($C1145="B",INDEX(Batters[[#All],[T]],MATCH(Table5[[#This Row],[PID]],Batters[[#All],[PID]],0)),INDEX(Table3[[#All],[T]],MATCH(Table5[[#This Row],[PID]],Table3[[#All],[PID]],0)))</f>
        <v>R</v>
      </c>
      <c r="J1145" s="52" t="str">
        <f>IF($C1145="B",INDEX(Batters[[#All],[WE]],MATCH(Table5[[#This Row],[PID]],Batters[[#All],[PID]],0)),INDEX(Table3[[#All],[WE]],MATCH(Table5[[#This Row],[PID]],Table3[[#All],[PID]],0)))</f>
        <v>Low</v>
      </c>
      <c r="K1145" s="52" t="str">
        <f>IF($C1145="B",INDEX(Batters[[#All],[INT]],MATCH(Table5[[#This Row],[PID]],Batters[[#All],[PID]],0)),INDEX(Table3[[#All],[INT]],MATCH(Table5[[#This Row],[PID]],Table3[[#All],[PID]],0)))</f>
        <v>Normal</v>
      </c>
      <c r="L1145" s="60">
        <f>IF($C1145="B",INDEX(Batters[[#All],[CON P]],MATCH(Table5[[#This Row],[PID]],Batters[[#All],[PID]],0)),INDEX(Table3[[#All],[STU P]],MATCH(Table5[[#This Row],[PID]],Table3[[#All],[PID]],0)))</f>
        <v>4</v>
      </c>
      <c r="M1145" s="56">
        <f>IF($C1145="B",INDEX(Batters[[#All],[GAP P]],MATCH(Table5[[#This Row],[PID]],Batters[[#All],[PID]],0)),INDEX(Table3[[#All],[MOV P]],MATCH(Table5[[#This Row],[PID]],Table3[[#All],[PID]],0)))</f>
        <v>2</v>
      </c>
      <c r="N1145" s="56">
        <f>IF($C1145="B",INDEX(Batters[[#All],[POW P]],MATCH(Table5[[#This Row],[PID]],Batters[[#All],[PID]],0)),INDEX(Table3[[#All],[CON P]],MATCH(Table5[[#This Row],[PID]],Table3[[#All],[PID]],0)))</f>
        <v>2</v>
      </c>
      <c r="O1145" s="56" t="str">
        <f>IF($C1145="B",INDEX(Batters[[#All],[EYE P]],MATCH(Table5[[#This Row],[PID]],Batters[[#All],[PID]],0)),INDEX(Table3[[#All],[VELO]],MATCH(Table5[[#This Row],[PID]],Table3[[#All],[PID]],0)))</f>
        <v>85-87 Mph</v>
      </c>
      <c r="P1145" s="56">
        <f>IF($C1145="B",INDEX(Batters[[#All],[K P]],MATCH(Table5[[#This Row],[PID]],Batters[[#All],[PID]],0)),INDEX(Table3[[#All],[STM]],MATCH(Table5[[#This Row],[PID]],Table3[[#All],[PID]],0)))</f>
        <v>3</v>
      </c>
      <c r="Q1145" s="61">
        <f>IF($C1145="B",INDEX(Batters[[#All],[Tot]],MATCH(Table5[[#This Row],[PID]],Batters[[#All],[PID]],0)),INDEX(Table3[[#All],[Tot]],MATCH(Table5[[#This Row],[PID]],Table3[[#All],[PID]],0)))</f>
        <v>24.488027980436318</v>
      </c>
      <c r="R1145" s="52">
        <f>IF($C1145="B",INDEX(Batters[[#All],[zScore]],MATCH(Table5[[#This Row],[PID]],Batters[[#All],[PID]],0)),INDEX(Table3[[#All],[zScore]],MATCH(Table5[[#This Row],[PID]],Table3[[#All],[PID]],0)))</f>
        <v>-0.91212484094729851</v>
      </c>
      <c r="S1145" s="58" t="str">
        <f>IF($C1145="B",INDEX(Batters[[#All],[DEM]],MATCH(Table5[[#This Row],[PID]],Batters[[#All],[PID]],0)),INDEX(Table3[[#All],[DEM]],MATCH(Table5[[#This Row],[PID]],Table3[[#All],[PID]],0)))</f>
        <v>-</v>
      </c>
      <c r="T1145" s="62">
        <f>IF($C1145="B",INDEX(Batters[[#All],[Rnk]],MATCH(Table5[[#This Row],[PID]],Batters[[#All],[PID]],0)),INDEX(Table3[[#All],[Rnk]],MATCH(Table5[[#This Row],[PID]],Table3[[#All],[PID]],0)))</f>
        <v>678</v>
      </c>
      <c r="U1145" s="68">
        <f>IF($C1145="B",VLOOKUP($A1145,Bat!$A$4:$BA$1621,47,FALSE),VLOOKUP($A1145,Pit!$A$4:$BF$1557,56,FALSE))</f>
        <v>0</v>
      </c>
      <c r="V1145" s="50">
        <f>IF($C1145="B",VLOOKUP($A1145,Bat!$A$4:$BA$1621,48,FALSE),VLOOKUP($A1145,Pit!$A$4:$BF$1557,57,FALSE))</f>
        <v>0</v>
      </c>
      <c r="W1145" s="50">
        <f>Table5[[#This Row],[posRnk]]+Table5[[#This Row],[zRnk]]+IF($W$3&lt;&gt;Table5[[#This Row],[Type]],50,0)</f>
        <v>1833</v>
      </c>
      <c r="X1145" s="51">
        <f>RANK(Table5[[#This Row],[zScore]],Table5[[#All],[zScore]])</f>
        <v>1105</v>
      </c>
      <c r="Y1145" s="50" t="str">
        <f>IFERROR(INDEX(DraftResults[[#All],[OVR]],MATCH(Table5[[#This Row],[PID]],DraftResults[[#All],[Player ID]],0)),"")</f>
        <v/>
      </c>
      <c r="Z11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5" s="50" t="str">
        <f>IFERROR(INDEX(DraftResults[[#All],[Pick in Round]],MATCH(Table5[[#This Row],[PID]],DraftResults[[#All],[Player ID]],0)),"")</f>
        <v/>
      </c>
      <c r="AB1145" s="50" t="str">
        <f>IFERROR(INDEX(DraftResults[[#All],[Team Name]],MATCH(Table5[[#This Row],[PID]],DraftResults[[#All],[Player ID]],0)),"")</f>
        <v/>
      </c>
      <c r="AC1145" s="50" t="str">
        <f>IF(Table5[[#This Row],[Ovr]]="","",IF(Table5[[#This Row],[cmbList]]="","",Table5[[#This Row],[cmbList]]-Table5[[#This Row],[Ovr]]))</f>
        <v/>
      </c>
      <c r="AD1145" s="54" t="str">
        <f>IF(ISERROR(VLOOKUP($AB1145&amp;"-"&amp;$E1145&amp;" "&amp;F1145,Bonuses!$B$1:$G$1006,4,FALSE)),"",INT(VLOOKUP($AB1145&amp;"-"&amp;$E1145&amp;" "&amp;$F1145,Bonuses!$B$1:$G$1006,4,FALSE)))</f>
        <v/>
      </c>
      <c r="AE11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6" spans="1:31" s="50" customFormat="1" x14ac:dyDescent="0.25">
      <c r="A1146" s="50">
        <v>17851</v>
      </c>
      <c r="B1146" s="50">
        <f>COUNTIF(Table5[PID],A1146)</f>
        <v>1</v>
      </c>
      <c r="C1146" s="50" t="str">
        <f>IF(COUNTIF(Table3[[#All],[PID]],A1146)&gt;0,"P","B")</f>
        <v>P</v>
      </c>
      <c r="D1146" s="59" t="str">
        <f>IF($C1146="B",INDEX(Batters[[#All],[POS]],MATCH(Table5[[#This Row],[PID]],Batters[[#All],[PID]],0)),INDEX(Table3[[#All],[POS]],MATCH(Table5[[#This Row],[PID]],Table3[[#All],[PID]],0)))</f>
        <v>RP</v>
      </c>
      <c r="E1146" s="52" t="str">
        <f>IF($C1146="B",INDEX(Batters[[#All],[First]],MATCH(Table5[[#This Row],[PID]],Batters[[#All],[PID]],0)),INDEX(Table3[[#All],[First]],MATCH(Table5[[#This Row],[PID]],Table3[[#All],[PID]],0)))</f>
        <v>Akihisa</v>
      </c>
      <c r="F1146" s="50" t="str">
        <f>IF($C1146="B",INDEX(Batters[[#All],[Last]],MATCH(A1146,Batters[[#All],[PID]],0)),INDEX(Table3[[#All],[Last]],MATCH(A1146,Table3[[#All],[PID]],0)))</f>
        <v>Kokura</v>
      </c>
      <c r="G1146" s="56">
        <f>IF($C1146="B",INDEX(Batters[[#All],[Age]],MATCH(Table5[[#This Row],[PID]],Batters[[#All],[PID]],0)),INDEX(Table3[[#All],[Age]],MATCH(Table5[[#This Row],[PID]],Table3[[#All],[PID]],0)))</f>
        <v>18</v>
      </c>
      <c r="H1146" s="52" t="str">
        <f>IF($C1146="B",INDEX(Batters[[#All],[B]],MATCH(Table5[[#This Row],[PID]],Batters[[#All],[PID]],0)),INDEX(Table3[[#All],[B]],MATCH(Table5[[#This Row],[PID]],Table3[[#All],[PID]],0)))</f>
        <v>R</v>
      </c>
      <c r="I1146" s="52" t="str">
        <f>IF($C1146="B",INDEX(Batters[[#All],[T]],MATCH(Table5[[#This Row],[PID]],Batters[[#All],[PID]],0)),INDEX(Table3[[#All],[T]],MATCH(Table5[[#This Row],[PID]],Table3[[#All],[PID]],0)))</f>
        <v>R</v>
      </c>
      <c r="J1146" s="52" t="str">
        <f>IF($C1146="B",INDEX(Batters[[#All],[WE]],MATCH(Table5[[#This Row],[PID]],Batters[[#All],[PID]],0)),INDEX(Table3[[#All],[WE]],MATCH(Table5[[#This Row],[PID]],Table3[[#All],[PID]],0)))</f>
        <v>High</v>
      </c>
      <c r="K1146" s="52" t="str">
        <f>IF($C1146="B",INDEX(Batters[[#All],[INT]],MATCH(Table5[[#This Row],[PID]],Batters[[#All],[PID]],0)),INDEX(Table3[[#All],[INT]],MATCH(Table5[[#This Row],[PID]],Table3[[#All],[PID]],0)))</f>
        <v>High</v>
      </c>
      <c r="L1146" s="60">
        <f>IF($C1146="B",INDEX(Batters[[#All],[CON P]],MATCH(Table5[[#This Row],[PID]],Batters[[#All],[PID]],0)),INDEX(Table3[[#All],[STU P]],MATCH(Table5[[#This Row],[PID]],Table3[[#All],[PID]],0)))</f>
        <v>2</v>
      </c>
      <c r="M1146" s="56">
        <f>IF($C1146="B",INDEX(Batters[[#All],[GAP P]],MATCH(Table5[[#This Row],[PID]],Batters[[#All],[PID]],0)),INDEX(Table3[[#All],[MOV P]],MATCH(Table5[[#This Row],[PID]],Table3[[#All],[PID]],0)))</f>
        <v>1</v>
      </c>
      <c r="N1146" s="56">
        <f>IF($C1146="B",INDEX(Batters[[#All],[POW P]],MATCH(Table5[[#This Row],[PID]],Batters[[#All],[PID]],0)),INDEX(Table3[[#All],[CON P]],MATCH(Table5[[#This Row],[PID]],Table3[[#All],[PID]],0)))</f>
        <v>3</v>
      </c>
      <c r="O1146" s="56" t="str">
        <f>IF($C1146="B",INDEX(Batters[[#All],[EYE P]],MATCH(Table5[[#This Row],[PID]],Batters[[#All],[PID]],0)),INDEX(Table3[[#All],[VELO]],MATCH(Table5[[#This Row],[PID]],Table3[[#All],[PID]],0)))</f>
        <v>83-85 Mph</v>
      </c>
      <c r="P1146" s="56">
        <f>IF($C1146="B",INDEX(Batters[[#All],[K P]],MATCH(Table5[[#This Row],[PID]],Batters[[#All],[PID]],0)),INDEX(Table3[[#All],[STM]],MATCH(Table5[[#This Row],[PID]],Table3[[#All],[PID]],0)))</f>
        <v>3</v>
      </c>
      <c r="Q1146" s="61">
        <f>IF($C1146="B",INDEX(Batters[[#All],[Tot]],MATCH(Table5[[#This Row],[PID]],Batters[[#All],[PID]],0)),INDEX(Table3[[#All],[Tot]],MATCH(Table5[[#This Row],[PID]],Table3[[#All],[PID]],0)))</f>
        <v>24.459710971822979</v>
      </c>
      <c r="R1146" s="52">
        <f>IF($C1146="B",INDEX(Batters[[#All],[zScore]],MATCH(Table5[[#This Row],[PID]],Batters[[#All],[PID]],0)),INDEX(Table3[[#All],[zScore]],MATCH(Table5[[#This Row],[PID]],Table3[[#All],[PID]],0)))</f>
        <v>-0.91406454770564016</v>
      </c>
      <c r="S1146" s="58" t="str">
        <f>IF($C1146="B",INDEX(Batters[[#All],[DEM]],MATCH(Table5[[#This Row],[PID]],Batters[[#All],[PID]],0)),INDEX(Table3[[#All],[DEM]],MATCH(Table5[[#This Row],[PID]],Table3[[#All],[PID]],0)))</f>
        <v>$65k</v>
      </c>
      <c r="T1146" s="62">
        <f>IF($C1146="B",INDEX(Batters[[#All],[Rnk]],MATCH(Table5[[#This Row],[PID]],Batters[[#All],[PID]],0)),INDEX(Table3[[#All],[Rnk]],MATCH(Table5[[#This Row],[PID]],Table3[[#All],[PID]],0)))</f>
        <v>679</v>
      </c>
      <c r="U1146" s="68">
        <f>IF($C1146="B",VLOOKUP($A1146,Bat!$A$4:$BA$1621,47,FALSE),VLOOKUP($A1146,Pit!$A$4:$BF$1557,56,FALSE))</f>
        <v>0</v>
      </c>
      <c r="V1146" s="50">
        <f>IF($C1146="B",VLOOKUP($A1146,Bat!$A$4:$BA$1621,48,FALSE),VLOOKUP($A1146,Pit!$A$4:$BF$1557,57,FALSE))</f>
        <v>0</v>
      </c>
      <c r="W1146" s="50">
        <f>Table5[[#This Row],[posRnk]]+Table5[[#This Row],[zRnk]]+IF($W$3&lt;&gt;Table5[[#This Row],[Type]],50,0)</f>
        <v>1835</v>
      </c>
      <c r="X1146" s="51">
        <f>RANK(Table5[[#This Row],[zScore]],Table5[[#All],[zScore]])</f>
        <v>1106</v>
      </c>
      <c r="Y1146" s="50" t="str">
        <f>IFERROR(INDEX(DraftResults[[#All],[OVR]],MATCH(Table5[[#This Row],[PID]],DraftResults[[#All],[Player ID]],0)),"")</f>
        <v/>
      </c>
      <c r="Z11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6" s="50" t="str">
        <f>IFERROR(INDEX(DraftResults[[#All],[Pick in Round]],MATCH(Table5[[#This Row],[PID]],DraftResults[[#All],[Player ID]],0)),"")</f>
        <v/>
      </c>
      <c r="AB1146" s="50" t="str">
        <f>IFERROR(INDEX(DraftResults[[#All],[Team Name]],MATCH(Table5[[#This Row],[PID]],DraftResults[[#All],[Player ID]],0)),"")</f>
        <v/>
      </c>
      <c r="AC1146" s="50" t="str">
        <f>IF(Table5[[#This Row],[Ovr]]="","",IF(Table5[[#This Row],[cmbList]]="","",Table5[[#This Row],[cmbList]]-Table5[[#This Row],[Ovr]]))</f>
        <v/>
      </c>
      <c r="AD1146" s="54" t="str">
        <f>IF(ISERROR(VLOOKUP($AB1146&amp;"-"&amp;$E1146&amp;" "&amp;F1146,Bonuses!$B$1:$G$1006,4,FALSE)),"",INT(VLOOKUP($AB1146&amp;"-"&amp;$E1146&amp;" "&amp;$F1146,Bonuses!$B$1:$G$1006,4,FALSE)))</f>
        <v/>
      </c>
      <c r="AE11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7" spans="1:31" s="50" customFormat="1" x14ac:dyDescent="0.25">
      <c r="A1147" s="50">
        <v>20360</v>
      </c>
      <c r="B1147" s="50">
        <f>COUNTIF(Table5[PID],A1147)</f>
        <v>1</v>
      </c>
      <c r="C1147" s="50" t="str">
        <f>IF(COUNTIF(Table3[[#All],[PID]],A1147)&gt;0,"P","B")</f>
        <v>P</v>
      </c>
      <c r="D1147" s="59" t="str">
        <f>IF($C1147="B",INDEX(Batters[[#All],[POS]],MATCH(Table5[[#This Row],[PID]],Batters[[#All],[PID]],0)),INDEX(Table3[[#All],[POS]],MATCH(Table5[[#This Row],[PID]],Table3[[#All],[PID]],0)))</f>
        <v>RP</v>
      </c>
      <c r="E1147" s="52" t="str">
        <f>IF($C1147="B",INDEX(Batters[[#All],[First]],MATCH(Table5[[#This Row],[PID]],Batters[[#All],[PID]],0)),INDEX(Table3[[#All],[First]],MATCH(Table5[[#This Row],[PID]],Table3[[#All],[PID]],0)))</f>
        <v>Masanobu</v>
      </c>
      <c r="F1147" s="50" t="str">
        <f>IF($C1147="B",INDEX(Batters[[#All],[Last]],MATCH(A1147,Batters[[#All],[PID]],0)),INDEX(Table3[[#All],[Last]],MATCH(A1147,Table3[[#All],[PID]],0)))</f>
        <v>Chikafuji</v>
      </c>
      <c r="G1147" s="56">
        <f>IF($C1147="B",INDEX(Batters[[#All],[Age]],MATCH(Table5[[#This Row],[PID]],Batters[[#All],[PID]],0)),INDEX(Table3[[#All],[Age]],MATCH(Table5[[#This Row],[PID]],Table3[[#All],[PID]],0)))</f>
        <v>18</v>
      </c>
      <c r="H1147" s="52" t="str">
        <f>IF($C1147="B",INDEX(Batters[[#All],[B]],MATCH(Table5[[#This Row],[PID]],Batters[[#All],[PID]],0)),INDEX(Table3[[#All],[B]],MATCH(Table5[[#This Row],[PID]],Table3[[#All],[PID]],0)))</f>
        <v>R</v>
      </c>
      <c r="I1147" s="52" t="str">
        <f>IF($C1147="B",INDEX(Batters[[#All],[T]],MATCH(Table5[[#This Row],[PID]],Batters[[#All],[PID]],0)),INDEX(Table3[[#All],[T]],MATCH(Table5[[#This Row],[PID]],Table3[[#All],[PID]],0)))</f>
        <v>R</v>
      </c>
      <c r="J1147" s="52" t="str">
        <f>IF($C1147="B",INDEX(Batters[[#All],[WE]],MATCH(Table5[[#This Row],[PID]],Batters[[#All],[PID]],0)),INDEX(Table3[[#All],[WE]],MATCH(Table5[[#This Row],[PID]],Table3[[#All],[PID]],0)))</f>
        <v>Normal</v>
      </c>
      <c r="K1147" s="52" t="str">
        <f>IF($C1147="B",INDEX(Batters[[#All],[INT]],MATCH(Table5[[#This Row],[PID]],Batters[[#All],[PID]],0)),INDEX(Table3[[#All],[INT]],MATCH(Table5[[#This Row],[PID]],Table3[[#All],[PID]],0)))</f>
        <v>Normal</v>
      </c>
      <c r="L1147" s="60">
        <f>IF($C1147="B",INDEX(Batters[[#All],[CON P]],MATCH(Table5[[#This Row],[PID]],Batters[[#All],[PID]],0)),INDEX(Table3[[#All],[STU P]],MATCH(Table5[[#This Row],[PID]],Table3[[#All],[PID]],0)))</f>
        <v>4</v>
      </c>
      <c r="M1147" s="56">
        <f>IF($C1147="B",INDEX(Batters[[#All],[GAP P]],MATCH(Table5[[#This Row],[PID]],Batters[[#All],[PID]],0)),INDEX(Table3[[#All],[MOV P]],MATCH(Table5[[#This Row],[PID]],Table3[[#All],[PID]],0)))</f>
        <v>2</v>
      </c>
      <c r="N1147" s="56">
        <f>IF($C1147="B",INDEX(Batters[[#All],[POW P]],MATCH(Table5[[#This Row],[PID]],Batters[[#All],[PID]],0)),INDEX(Table3[[#All],[CON P]],MATCH(Table5[[#This Row],[PID]],Table3[[#All],[PID]],0)))</f>
        <v>2</v>
      </c>
      <c r="O1147" s="56" t="str">
        <f>IF($C1147="B",INDEX(Batters[[#All],[EYE P]],MATCH(Table5[[#This Row],[PID]],Batters[[#All],[PID]],0)),INDEX(Table3[[#All],[VELO]],MATCH(Table5[[#This Row],[PID]],Table3[[#All],[PID]],0)))</f>
        <v>87-89 Mph</v>
      </c>
      <c r="P1147" s="56">
        <f>IF($C1147="B",INDEX(Batters[[#All],[K P]],MATCH(Table5[[#This Row],[PID]],Batters[[#All],[PID]],0)),INDEX(Table3[[#All],[STM]],MATCH(Table5[[#This Row],[PID]],Table3[[#All],[PID]],0)))</f>
        <v>8</v>
      </c>
      <c r="Q1147" s="61">
        <f>IF($C1147="B",INDEX(Batters[[#All],[Tot]],MATCH(Table5[[#This Row],[PID]],Batters[[#All],[PID]],0)),INDEX(Table3[[#All],[Tot]],MATCH(Table5[[#This Row],[PID]],Table3[[#All],[PID]],0)))</f>
        <v>22.104463136217525</v>
      </c>
      <c r="R1147" s="52">
        <f>IF($C1147="B",INDEX(Batters[[#All],[zScore]],MATCH(Table5[[#This Row],[PID]],Batters[[#All],[PID]],0)),INDEX(Table3[[#All],[zScore]],MATCH(Table5[[#This Row],[PID]],Table3[[#All],[PID]],0)))</f>
        <v>-0.9158351291458483</v>
      </c>
      <c r="S1147" s="58" t="str">
        <f>IF($C1147="B",INDEX(Batters[[#All],[DEM]],MATCH(Table5[[#This Row],[PID]],Batters[[#All],[PID]],0)),INDEX(Table3[[#All],[DEM]],MATCH(Table5[[#This Row],[PID]],Table3[[#All],[PID]],0)))</f>
        <v>$2.4m</v>
      </c>
      <c r="T1147" s="62">
        <f>IF($C1147="B",INDEX(Batters[[#All],[Rnk]],MATCH(Table5[[#This Row],[PID]],Batters[[#All],[PID]],0)),INDEX(Table3[[#All],[Rnk]],MATCH(Table5[[#This Row],[PID]],Table3[[#All],[PID]],0)))</f>
        <v>680</v>
      </c>
      <c r="U1147" s="68">
        <f>IF($C1147="B",VLOOKUP($A1147,Bat!$A$4:$BA$1621,47,FALSE),VLOOKUP($A1147,Pit!$A$4:$BF$1557,56,FALSE))</f>
        <v>0</v>
      </c>
      <c r="V1147" s="50">
        <f>IF($C1147="B",VLOOKUP($A1147,Bat!$A$4:$BA$1621,48,FALSE),VLOOKUP($A1147,Pit!$A$4:$BF$1557,57,FALSE))</f>
        <v>0</v>
      </c>
      <c r="W1147" s="50">
        <f>Table5[[#This Row],[posRnk]]+Table5[[#This Row],[zRnk]]+IF($W$3&lt;&gt;Table5[[#This Row],[Type]],50,0)</f>
        <v>1837</v>
      </c>
      <c r="X1147" s="51">
        <f>RANK(Table5[[#This Row],[zScore]],Table5[[#All],[zScore]])</f>
        <v>1107</v>
      </c>
      <c r="Y1147" s="50" t="str">
        <f>IFERROR(INDEX(DraftResults[[#All],[OVR]],MATCH(Table5[[#This Row],[PID]],DraftResults[[#All],[Player ID]],0)),"")</f>
        <v/>
      </c>
      <c r="Z11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7" s="50" t="str">
        <f>IFERROR(INDEX(DraftResults[[#All],[Pick in Round]],MATCH(Table5[[#This Row],[PID]],DraftResults[[#All],[Player ID]],0)),"")</f>
        <v/>
      </c>
      <c r="AB1147" s="50" t="str">
        <f>IFERROR(INDEX(DraftResults[[#All],[Team Name]],MATCH(Table5[[#This Row],[PID]],DraftResults[[#All],[Player ID]],0)),"")</f>
        <v/>
      </c>
      <c r="AC1147" s="50" t="str">
        <f>IF(Table5[[#This Row],[Ovr]]="","",IF(Table5[[#This Row],[cmbList]]="","",Table5[[#This Row],[cmbList]]-Table5[[#This Row],[Ovr]]))</f>
        <v/>
      </c>
      <c r="AD1147" s="54" t="str">
        <f>IF(ISERROR(VLOOKUP($AB1147&amp;"-"&amp;$E1147&amp;" "&amp;F1147,Bonuses!$B$1:$G$1006,4,FALSE)),"",INT(VLOOKUP($AB1147&amp;"-"&amp;$E1147&amp;" "&amp;$F1147,Bonuses!$B$1:$G$1006,4,FALSE)))</f>
        <v/>
      </c>
      <c r="AE11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8" spans="1:31" s="50" customFormat="1" x14ac:dyDescent="0.25">
      <c r="A1148" s="50">
        <v>20306</v>
      </c>
      <c r="B1148" s="50">
        <f>COUNTIF(Table5[PID],A1148)</f>
        <v>1</v>
      </c>
      <c r="C1148" s="50" t="str">
        <f>IF(COUNTIF(Table3[[#All],[PID]],A1148)&gt;0,"P","B")</f>
        <v>P</v>
      </c>
      <c r="D1148" s="59" t="str">
        <f>IF($C1148="B",INDEX(Batters[[#All],[POS]],MATCH(Table5[[#This Row],[PID]],Batters[[#All],[PID]],0)),INDEX(Table3[[#All],[POS]],MATCH(Table5[[#This Row],[PID]],Table3[[#All],[PID]],0)))</f>
        <v>RP</v>
      </c>
      <c r="E1148" s="52" t="str">
        <f>IF($C1148="B",INDEX(Batters[[#All],[First]],MATCH(Table5[[#This Row],[PID]],Batters[[#All],[PID]],0)),INDEX(Table3[[#All],[First]],MATCH(Table5[[#This Row],[PID]],Table3[[#All],[PID]],0)))</f>
        <v>Dae-je</v>
      </c>
      <c r="F1148" s="50" t="str">
        <f>IF($C1148="B",INDEX(Batters[[#All],[Last]],MATCH(A1148,Batters[[#All],[PID]],0)),INDEX(Table3[[#All],[Last]],MATCH(A1148,Table3[[#All],[PID]],0)))</f>
        <v>Yun</v>
      </c>
      <c r="G1148" s="56">
        <f>IF($C1148="B",INDEX(Batters[[#All],[Age]],MATCH(Table5[[#This Row],[PID]],Batters[[#All],[PID]],0)),INDEX(Table3[[#All],[Age]],MATCH(Table5[[#This Row],[PID]],Table3[[#All],[PID]],0)))</f>
        <v>17</v>
      </c>
      <c r="H1148" s="52" t="str">
        <f>IF($C1148="B",INDEX(Batters[[#All],[B]],MATCH(Table5[[#This Row],[PID]],Batters[[#All],[PID]],0)),INDEX(Table3[[#All],[B]],MATCH(Table5[[#This Row],[PID]],Table3[[#All],[PID]],0)))</f>
        <v>R</v>
      </c>
      <c r="I1148" s="52" t="str">
        <f>IF($C1148="B",INDEX(Batters[[#All],[T]],MATCH(Table5[[#This Row],[PID]],Batters[[#All],[PID]],0)),INDEX(Table3[[#All],[T]],MATCH(Table5[[#This Row],[PID]],Table3[[#All],[PID]],0)))</f>
        <v>R</v>
      </c>
      <c r="J1148" s="52" t="str">
        <f>IF($C1148="B",INDEX(Batters[[#All],[WE]],MATCH(Table5[[#This Row],[PID]],Batters[[#All],[PID]],0)),INDEX(Table3[[#All],[WE]],MATCH(Table5[[#This Row],[PID]],Table3[[#All],[PID]],0)))</f>
        <v>Normal</v>
      </c>
      <c r="K1148" s="52" t="str">
        <f>IF($C1148="B",INDEX(Batters[[#All],[INT]],MATCH(Table5[[#This Row],[PID]],Batters[[#All],[PID]],0)),INDEX(Table3[[#All],[INT]],MATCH(Table5[[#This Row],[PID]],Table3[[#All],[PID]],0)))</f>
        <v>Normal</v>
      </c>
      <c r="L1148" s="60">
        <f>IF($C1148="B",INDEX(Batters[[#All],[CON P]],MATCH(Table5[[#This Row],[PID]],Batters[[#All],[PID]],0)),INDEX(Table3[[#All],[STU P]],MATCH(Table5[[#This Row],[PID]],Table3[[#All],[PID]],0)))</f>
        <v>4</v>
      </c>
      <c r="M1148" s="56">
        <f>IF($C1148="B",INDEX(Batters[[#All],[GAP P]],MATCH(Table5[[#This Row],[PID]],Batters[[#All],[PID]],0)),INDEX(Table3[[#All],[MOV P]],MATCH(Table5[[#This Row],[PID]],Table3[[#All],[PID]],0)))</f>
        <v>1</v>
      </c>
      <c r="N1148" s="56">
        <f>IF($C1148="B",INDEX(Batters[[#All],[POW P]],MATCH(Table5[[#This Row],[PID]],Batters[[#All],[PID]],0)),INDEX(Table3[[#All],[CON P]],MATCH(Table5[[#This Row],[PID]],Table3[[#All],[PID]],0)))</f>
        <v>3</v>
      </c>
      <c r="O1148" s="56" t="str">
        <f>IF($C1148="B",INDEX(Batters[[#All],[EYE P]],MATCH(Table5[[#This Row],[PID]],Batters[[#All],[PID]],0)),INDEX(Table3[[#All],[VELO]],MATCH(Table5[[#This Row],[PID]],Table3[[#All],[PID]],0)))</f>
        <v>87-89 Mph</v>
      </c>
      <c r="P1148" s="56">
        <f>IF($C1148="B",INDEX(Batters[[#All],[K P]],MATCH(Table5[[#This Row],[PID]],Batters[[#All],[PID]],0)),INDEX(Table3[[#All],[STM]],MATCH(Table5[[#This Row],[PID]],Table3[[#All],[PID]],0)))</f>
        <v>3</v>
      </c>
      <c r="Q1148" s="61">
        <f>IF($C1148="B",INDEX(Batters[[#All],[Tot]],MATCH(Table5[[#This Row],[PID]],Batters[[#All],[PID]],0)),INDEX(Table3[[#All],[Tot]],MATCH(Table5[[#This Row],[PID]],Table3[[#All],[PID]],0)))</f>
        <v>24.102996096141979</v>
      </c>
      <c r="R1148" s="52">
        <f>IF($C1148="B",INDEX(Batters[[#All],[zScore]],MATCH(Table5[[#This Row],[PID]],Batters[[#All],[PID]],0)),INDEX(Table3[[#All],[zScore]],MATCH(Table5[[#This Row],[PID]],Table3[[#All],[PID]],0)))</f>
        <v>-0.91730141443398239</v>
      </c>
      <c r="S1148" s="58" t="str">
        <f>IF($C1148="B",INDEX(Batters[[#All],[DEM]],MATCH(Table5[[#This Row],[PID]],Batters[[#All],[PID]],0)),INDEX(Table3[[#All],[DEM]],MATCH(Table5[[#This Row],[PID]],Table3[[#All],[PID]],0)))</f>
        <v>$75k</v>
      </c>
      <c r="T1148" s="62">
        <f>IF($C1148="B",INDEX(Batters[[#All],[Rnk]],MATCH(Table5[[#This Row],[PID]],Batters[[#All],[PID]],0)),INDEX(Table3[[#All],[Rnk]],MATCH(Table5[[#This Row],[PID]],Table3[[#All],[PID]],0)))</f>
        <v>681</v>
      </c>
      <c r="U1148" s="68">
        <f>IF($C1148="B",VLOOKUP($A1148,Bat!$A$4:$BA$1621,47,FALSE),VLOOKUP($A1148,Pit!$A$4:$BF$1557,56,FALSE))</f>
        <v>0</v>
      </c>
      <c r="V1148" s="50">
        <f>IF($C1148="B",VLOOKUP($A1148,Bat!$A$4:$BA$1621,48,FALSE),VLOOKUP($A1148,Pit!$A$4:$BF$1557,57,FALSE))</f>
        <v>0</v>
      </c>
      <c r="W1148" s="50">
        <f>Table5[[#This Row],[posRnk]]+Table5[[#This Row],[zRnk]]+IF($W$3&lt;&gt;Table5[[#This Row],[Type]],50,0)</f>
        <v>1839</v>
      </c>
      <c r="X1148" s="51">
        <f>RANK(Table5[[#This Row],[zScore]],Table5[[#All],[zScore]])</f>
        <v>1108</v>
      </c>
      <c r="Y1148" s="50" t="str">
        <f>IFERROR(INDEX(DraftResults[[#All],[OVR]],MATCH(Table5[[#This Row],[PID]],DraftResults[[#All],[Player ID]],0)),"")</f>
        <v/>
      </c>
      <c r="Z11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8" s="50" t="str">
        <f>IFERROR(INDEX(DraftResults[[#All],[Pick in Round]],MATCH(Table5[[#This Row],[PID]],DraftResults[[#All],[Player ID]],0)),"")</f>
        <v/>
      </c>
      <c r="AB1148" s="50" t="str">
        <f>IFERROR(INDEX(DraftResults[[#All],[Team Name]],MATCH(Table5[[#This Row],[PID]],DraftResults[[#All],[Player ID]],0)),"")</f>
        <v/>
      </c>
      <c r="AC1148" s="50" t="str">
        <f>IF(Table5[[#This Row],[Ovr]]="","",IF(Table5[[#This Row],[cmbList]]="","",Table5[[#This Row],[cmbList]]-Table5[[#This Row],[Ovr]]))</f>
        <v/>
      </c>
      <c r="AD1148" s="54" t="str">
        <f>IF(ISERROR(VLOOKUP($AB1148&amp;"-"&amp;$E1148&amp;" "&amp;F1148,Bonuses!$B$1:$G$1006,4,FALSE)),"",INT(VLOOKUP($AB1148&amp;"-"&amp;$E1148&amp;" "&amp;$F1148,Bonuses!$B$1:$G$1006,4,FALSE)))</f>
        <v/>
      </c>
      <c r="AE11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49" spans="1:31" s="50" customFormat="1" x14ac:dyDescent="0.25">
      <c r="A1149" s="50">
        <v>20589</v>
      </c>
      <c r="B1149" s="50">
        <f>COUNTIF(Table5[PID],A1149)</f>
        <v>1</v>
      </c>
      <c r="C1149" s="50" t="str">
        <f>IF(COUNTIF(Table3[[#All],[PID]],A1149)&gt;0,"P","B")</f>
        <v>B</v>
      </c>
      <c r="D1149" s="59" t="str">
        <f>IF($C1149="B",INDEX(Batters[[#All],[POS]],MATCH(Table5[[#This Row],[PID]],Batters[[#All],[PID]],0)),INDEX(Table3[[#All],[POS]],MATCH(Table5[[#This Row],[PID]],Table3[[#All],[PID]],0)))</f>
        <v>1B</v>
      </c>
      <c r="E1149" s="52" t="str">
        <f>IF($C1149="B",INDEX(Batters[[#All],[First]],MATCH(Table5[[#This Row],[PID]],Batters[[#All],[PID]],0)),INDEX(Table3[[#All],[First]],MATCH(Table5[[#This Row],[PID]],Table3[[#All],[PID]],0)))</f>
        <v>Yao-qing</v>
      </c>
      <c r="F1149" s="50" t="str">
        <f>IF($C1149="B",INDEX(Batters[[#All],[Last]],MATCH(A1149,Batters[[#All],[PID]],0)),INDEX(Table3[[#All],[Last]],MATCH(A1149,Table3[[#All],[PID]],0)))</f>
        <v>Pang</v>
      </c>
      <c r="G1149" s="56">
        <f>IF($C1149="B",INDEX(Batters[[#All],[Age]],MATCH(Table5[[#This Row],[PID]],Batters[[#All],[PID]],0)),INDEX(Table3[[#All],[Age]],MATCH(Table5[[#This Row],[PID]],Table3[[#All],[PID]],0)))</f>
        <v>16</v>
      </c>
      <c r="H1149" s="52" t="str">
        <f>IF($C1149="B",INDEX(Batters[[#All],[B]],MATCH(Table5[[#This Row],[PID]],Batters[[#All],[PID]],0)),INDEX(Table3[[#All],[B]],MATCH(Table5[[#This Row],[PID]],Table3[[#All],[PID]],0)))</f>
        <v>L</v>
      </c>
      <c r="I1149" s="52" t="str">
        <f>IF($C1149="B",INDEX(Batters[[#All],[T]],MATCH(Table5[[#This Row],[PID]],Batters[[#All],[PID]],0)),INDEX(Table3[[#All],[T]],MATCH(Table5[[#This Row],[PID]],Table3[[#All],[PID]],0)))</f>
        <v>R</v>
      </c>
      <c r="J1149" s="52" t="str">
        <f>IF($C1149="B",INDEX(Batters[[#All],[WE]],MATCH(Table5[[#This Row],[PID]],Batters[[#All],[PID]],0)),INDEX(Table3[[#All],[WE]],MATCH(Table5[[#This Row],[PID]],Table3[[#All],[PID]],0)))</f>
        <v>Normal</v>
      </c>
      <c r="K1149" s="52" t="str">
        <f>IF($C1149="B",INDEX(Batters[[#All],[INT]],MATCH(Table5[[#This Row],[PID]],Batters[[#All],[PID]],0)),INDEX(Table3[[#All],[INT]],MATCH(Table5[[#This Row],[PID]],Table3[[#All],[PID]],0)))</f>
        <v>Normal</v>
      </c>
      <c r="L1149" s="60">
        <f>IF($C1149="B",INDEX(Batters[[#All],[CON P]],MATCH(Table5[[#This Row],[PID]],Batters[[#All],[PID]],0)),INDEX(Table3[[#All],[STU P]],MATCH(Table5[[#This Row],[PID]],Table3[[#All],[PID]],0)))</f>
        <v>2</v>
      </c>
      <c r="M1149" s="56">
        <f>IF($C1149="B",INDEX(Batters[[#All],[GAP P]],MATCH(Table5[[#This Row],[PID]],Batters[[#All],[PID]],0)),INDEX(Table3[[#All],[MOV P]],MATCH(Table5[[#This Row],[PID]],Table3[[#All],[PID]],0)))</f>
        <v>5</v>
      </c>
      <c r="N1149" s="56">
        <f>IF($C1149="B",INDEX(Batters[[#All],[POW P]],MATCH(Table5[[#This Row],[PID]],Batters[[#All],[PID]],0)),INDEX(Table3[[#All],[CON P]],MATCH(Table5[[#This Row],[PID]],Table3[[#All],[PID]],0)))</f>
        <v>4</v>
      </c>
      <c r="O1149" s="56">
        <f>IF($C1149="B",INDEX(Batters[[#All],[EYE P]],MATCH(Table5[[#This Row],[PID]],Batters[[#All],[PID]],0)),INDEX(Table3[[#All],[VELO]],MATCH(Table5[[#This Row],[PID]],Table3[[#All],[PID]],0)))</f>
        <v>6</v>
      </c>
      <c r="P1149" s="56">
        <f>IF($C1149="B",INDEX(Batters[[#All],[K P]],MATCH(Table5[[#This Row],[PID]],Batters[[#All],[PID]],0)),INDEX(Table3[[#All],[STM]],MATCH(Table5[[#This Row],[PID]],Table3[[#All],[PID]],0)))</f>
        <v>2</v>
      </c>
      <c r="Q1149" s="61">
        <f>IF($C1149="B",INDEX(Batters[[#All],[Tot]],MATCH(Table5[[#This Row],[PID]],Batters[[#All],[PID]],0)),INDEX(Table3[[#All],[Tot]],MATCH(Table5[[#This Row],[PID]],Table3[[#All],[PID]],0)))</f>
        <v>39.990432621784606</v>
      </c>
      <c r="R1149" s="52">
        <f>IF($C1149="B",INDEX(Batters[[#All],[zScore]],MATCH(Table5[[#This Row],[PID]],Batters[[#All],[PID]],0)),INDEX(Table3[[#All],[zScore]],MATCH(Table5[[#This Row],[PID]],Table3[[#All],[PID]],0)))</f>
        <v>-0.91820011802653978</v>
      </c>
      <c r="S1149" s="58" t="str">
        <f>IF($C1149="B",INDEX(Batters[[#All],[DEM]],MATCH(Table5[[#This Row],[PID]],Batters[[#All],[PID]],0)),INDEX(Table3[[#All],[DEM]],MATCH(Table5[[#This Row],[PID]],Table3[[#All],[PID]],0)))</f>
        <v>$65k</v>
      </c>
      <c r="T1149" s="62">
        <f>IF($C1149="B",INDEX(Batters[[#All],[Rnk]],MATCH(Table5[[#This Row],[PID]],Batters[[#All],[PID]],0)),INDEX(Table3[[#All],[Rnk]],MATCH(Table5[[#This Row],[PID]],Table3[[#All],[PID]],0)))</f>
        <v>427</v>
      </c>
      <c r="U1149" s="68">
        <f>IF($C1149="B",VLOOKUP($A1149,Bat!$A$4:$BA$1621,47,FALSE),VLOOKUP($A1149,Pit!$A$4:$BF$1557,56,FALSE))</f>
        <v>0</v>
      </c>
      <c r="V1149" s="50">
        <f>IF($C1149="B",VLOOKUP($A1149,Bat!$A$4:$BA$1621,48,FALSE),VLOOKUP($A1149,Pit!$A$4:$BF$1557,57,FALSE))</f>
        <v>0</v>
      </c>
      <c r="W1149" s="50">
        <f>Table5[[#This Row],[posRnk]]+Table5[[#This Row],[zRnk]]+IF($W$3&lt;&gt;Table5[[#This Row],[Type]],50,0)</f>
        <v>1586</v>
      </c>
      <c r="X1149" s="51">
        <f>RANK(Table5[[#This Row],[zScore]],Table5[[#All],[zScore]])</f>
        <v>1109</v>
      </c>
      <c r="Y1149" s="50" t="str">
        <f>IFERROR(INDEX(DraftResults[[#All],[OVR]],MATCH(Table5[[#This Row],[PID]],DraftResults[[#All],[Player ID]],0)),"")</f>
        <v/>
      </c>
      <c r="Z11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49" s="50" t="str">
        <f>IFERROR(INDEX(DraftResults[[#All],[Pick in Round]],MATCH(Table5[[#This Row],[PID]],DraftResults[[#All],[Player ID]],0)),"")</f>
        <v/>
      </c>
      <c r="AB1149" s="50" t="str">
        <f>IFERROR(INDEX(DraftResults[[#All],[Team Name]],MATCH(Table5[[#This Row],[PID]],DraftResults[[#All],[Player ID]],0)),"")</f>
        <v/>
      </c>
      <c r="AC1149" s="50" t="str">
        <f>IF(Table5[[#This Row],[Ovr]]="","",IF(Table5[[#This Row],[cmbList]]="","",Table5[[#This Row],[cmbList]]-Table5[[#This Row],[Ovr]]))</f>
        <v/>
      </c>
      <c r="AD1149" s="54" t="str">
        <f>IF(ISERROR(VLOOKUP($AB1149&amp;"-"&amp;$E1149&amp;" "&amp;F1149,Bonuses!$B$1:$G$1006,4,FALSE)),"",INT(VLOOKUP($AB1149&amp;"-"&amp;$E1149&amp;" "&amp;$F1149,Bonuses!$B$1:$G$1006,4,FALSE)))</f>
        <v/>
      </c>
      <c r="AE11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0" spans="1:31" s="50" customFormat="1" x14ac:dyDescent="0.25">
      <c r="A1150" s="50">
        <v>6846</v>
      </c>
      <c r="B1150" s="50">
        <f>COUNTIF(Table5[PID],A1150)</f>
        <v>1</v>
      </c>
      <c r="C1150" s="50" t="str">
        <f>IF(COUNTIF(Table3[[#All],[PID]],A1150)&gt;0,"P","B")</f>
        <v>P</v>
      </c>
      <c r="D1150" s="59" t="str">
        <f>IF($C1150="B",INDEX(Batters[[#All],[POS]],MATCH(Table5[[#This Row],[PID]],Batters[[#All],[PID]],0)),INDEX(Table3[[#All],[POS]],MATCH(Table5[[#This Row],[PID]],Table3[[#All],[PID]],0)))</f>
        <v>RP</v>
      </c>
      <c r="E1150" s="52" t="str">
        <f>IF($C1150="B",INDEX(Batters[[#All],[First]],MATCH(Table5[[#This Row],[PID]],Batters[[#All],[PID]],0)),INDEX(Table3[[#All],[First]],MATCH(Table5[[#This Row],[PID]],Table3[[#All],[PID]],0)))</f>
        <v>Reinaart</v>
      </c>
      <c r="F1150" s="50" t="str">
        <f>IF($C1150="B",INDEX(Batters[[#All],[Last]],MATCH(A1150,Batters[[#All],[PID]],0)),INDEX(Table3[[#All],[Last]],MATCH(A1150,Table3[[#All],[PID]],0)))</f>
        <v>Wuilink</v>
      </c>
      <c r="G1150" s="56">
        <f>IF($C1150="B",INDEX(Batters[[#All],[Age]],MATCH(Table5[[#This Row],[PID]],Batters[[#All],[PID]],0)),INDEX(Table3[[#All],[Age]],MATCH(Table5[[#This Row],[PID]],Table3[[#All],[PID]],0)))</f>
        <v>22</v>
      </c>
      <c r="H1150" s="52" t="str">
        <f>IF($C1150="B",INDEX(Batters[[#All],[B]],MATCH(Table5[[#This Row],[PID]],Batters[[#All],[PID]],0)),INDEX(Table3[[#All],[B]],MATCH(Table5[[#This Row],[PID]],Table3[[#All],[PID]],0)))</f>
        <v>L</v>
      </c>
      <c r="I1150" s="52" t="str">
        <f>IF($C1150="B",INDEX(Batters[[#All],[T]],MATCH(Table5[[#This Row],[PID]],Batters[[#All],[PID]],0)),INDEX(Table3[[#All],[T]],MATCH(Table5[[#This Row],[PID]],Table3[[#All],[PID]],0)))</f>
        <v>L</v>
      </c>
      <c r="J1150" s="52" t="str">
        <f>IF($C1150="B",INDEX(Batters[[#All],[WE]],MATCH(Table5[[#This Row],[PID]],Batters[[#All],[PID]],0)),INDEX(Table3[[#All],[WE]],MATCH(Table5[[#This Row],[PID]],Table3[[#All],[PID]],0)))</f>
        <v>Low</v>
      </c>
      <c r="K1150" s="52" t="str">
        <f>IF($C1150="B",INDEX(Batters[[#All],[INT]],MATCH(Table5[[#This Row],[PID]],Batters[[#All],[PID]],0)),INDEX(Table3[[#All],[INT]],MATCH(Table5[[#This Row],[PID]],Table3[[#All],[PID]],0)))</f>
        <v>Normal</v>
      </c>
      <c r="L1150" s="60">
        <f>IF($C1150="B",INDEX(Batters[[#All],[CON P]],MATCH(Table5[[#This Row],[PID]],Batters[[#All],[PID]],0)),INDEX(Table3[[#All],[STU P]],MATCH(Table5[[#This Row],[PID]],Table3[[#All],[PID]],0)))</f>
        <v>4</v>
      </c>
      <c r="M1150" s="56">
        <f>IF($C1150="B",INDEX(Batters[[#All],[GAP P]],MATCH(Table5[[#This Row],[PID]],Batters[[#All],[PID]],0)),INDEX(Table3[[#All],[MOV P]],MATCH(Table5[[#This Row],[PID]],Table3[[#All],[PID]],0)))</f>
        <v>1</v>
      </c>
      <c r="N1150" s="56">
        <f>IF($C1150="B",INDEX(Batters[[#All],[POW P]],MATCH(Table5[[#This Row],[PID]],Batters[[#All],[PID]],0)),INDEX(Table3[[#All],[CON P]],MATCH(Table5[[#This Row],[PID]],Table3[[#All],[PID]],0)))</f>
        <v>3</v>
      </c>
      <c r="O1150" s="56" t="str">
        <f>IF($C1150="B",INDEX(Batters[[#All],[EYE P]],MATCH(Table5[[#This Row],[PID]],Batters[[#All],[PID]],0)),INDEX(Table3[[#All],[VELO]],MATCH(Table5[[#This Row],[PID]],Table3[[#All],[PID]],0)))</f>
        <v>89-91 Mph</v>
      </c>
      <c r="P1150" s="56">
        <f>IF($C1150="B",INDEX(Batters[[#All],[K P]],MATCH(Table5[[#This Row],[PID]],Batters[[#All],[PID]],0)),INDEX(Table3[[#All],[STM]],MATCH(Table5[[#This Row],[PID]],Table3[[#All],[PID]],0)))</f>
        <v>9</v>
      </c>
      <c r="Q1150" s="61">
        <f>IF($C1150="B",INDEX(Batters[[#All],[Tot]],MATCH(Table5[[#This Row],[PID]],Batters[[#All],[PID]],0)),INDEX(Table3[[#All],[Tot]],MATCH(Table5[[#This Row],[PID]],Table3[[#All],[PID]],0)))</f>
        <v>24.089020276736086</v>
      </c>
      <c r="R1150" s="52">
        <f>IF($C1150="B",INDEX(Batters[[#All],[zScore]],MATCH(Table5[[#This Row],[PID]],Batters[[#All],[PID]],0)),INDEX(Table3[[#All],[zScore]],MATCH(Table5[[#This Row],[PID]],Table3[[#All],[PID]],0)))</f>
        <v>-0.91831273918268796</v>
      </c>
      <c r="S1150" s="58" t="str">
        <f>IF($C1150="B",INDEX(Batters[[#All],[DEM]],MATCH(Table5[[#This Row],[PID]],Batters[[#All],[PID]],0)),INDEX(Table3[[#All],[DEM]],MATCH(Table5[[#This Row],[PID]],Table3[[#All],[PID]],0)))</f>
        <v>-</v>
      </c>
      <c r="T1150" s="62">
        <f>IF($C1150="B",INDEX(Batters[[#All],[Rnk]],MATCH(Table5[[#This Row],[PID]],Batters[[#All],[PID]],0)),INDEX(Table3[[#All],[Rnk]],MATCH(Table5[[#This Row],[PID]],Table3[[#All],[PID]],0)))</f>
        <v>682</v>
      </c>
      <c r="U1150" s="68">
        <f>IF($C1150="B",VLOOKUP($A1150,Bat!$A$4:$BA$1621,47,FALSE),VLOOKUP($A1150,Pit!$A$4:$BF$1557,56,FALSE))</f>
        <v>0</v>
      </c>
      <c r="V1150" s="50">
        <f>IF($C1150="B",VLOOKUP($A1150,Bat!$A$4:$BA$1621,48,FALSE),VLOOKUP($A1150,Pit!$A$4:$BF$1557,57,FALSE))</f>
        <v>0</v>
      </c>
      <c r="W1150" s="50">
        <f>Table5[[#This Row],[posRnk]]+Table5[[#This Row],[zRnk]]+IF($W$3&lt;&gt;Table5[[#This Row],[Type]],50,0)</f>
        <v>1842</v>
      </c>
      <c r="X1150" s="51">
        <f>RANK(Table5[[#This Row],[zScore]],Table5[[#All],[zScore]])</f>
        <v>1110</v>
      </c>
      <c r="Y1150" s="50" t="str">
        <f>IFERROR(INDEX(DraftResults[[#All],[OVR]],MATCH(Table5[[#This Row],[PID]],DraftResults[[#All],[Player ID]],0)),"")</f>
        <v/>
      </c>
      <c r="Z11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0" s="50" t="str">
        <f>IFERROR(INDEX(DraftResults[[#All],[Pick in Round]],MATCH(Table5[[#This Row],[PID]],DraftResults[[#All],[Player ID]],0)),"")</f>
        <v/>
      </c>
      <c r="AB1150" s="50" t="str">
        <f>IFERROR(INDEX(DraftResults[[#All],[Team Name]],MATCH(Table5[[#This Row],[PID]],DraftResults[[#All],[Player ID]],0)),"")</f>
        <v/>
      </c>
      <c r="AC1150" s="50" t="str">
        <f>IF(Table5[[#This Row],[Ovr]]="","",IF(Table5[[#This Row],[cmbList]]="","",Table5[[#This Row],[cmbList]]-Table5[[#This Row],[Ovr]]))</f>
        <v/>
      </c>
      <c r="AD1150" s="54" t="str">
        <f>IF(ISERROR(VLOOKUP($AB1150&amp;"-"&amp;$E1150&amp;" "&amp;F1150,Bonuses!$B$1:$G$1006,4,FALSE)),"",INT(VLOOKUP($AB1150&amp;"-"&amp;$E1150&amp;" "&amp;$F1150,Bonuses!$B$1:$G$1006,4,FALSE)))</f>
        <v/>
      </c>
      <c r="AE11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1" spans="1:31" s="50" customFormat="1" x14ac:dyDescent="0.25">
      <c r="A1151" s="50">
        <v>15677</v>
      </c>
      <c r="B1151" s="50">
        <f>COUNTIF(Table5[PID],A1151)</f>
        <v>1</v>
      </c>
      <c r="C1151" s="50" t="str">
        <f>IF(COUNTIF(Table3[[#All],[PID]],A1151)&gt;0,"P","B")</f>
        <v>P</v>
      </c>
      <c r="D1151" s="59" t="str">
        <f>IF($C1151="B",INDEX(Batters[[#All],[POS]],MATCH(Table5[[#This Row],[PID]],Batters[[#All],[PID]],0)),INDEX(Table3[[#All],[POS]],MATCH(Table5[[#This Row],[PID]],Table3[[#All],[PID]],0)))</f>
        <v>RP</v>
      </c>
      <c r="E1151" s="52" t="str">
        <f>IF($C1151="B",INDEX(Batters[[#All],[First]],MATCH(Table5[[#This Row],[PID]],Batters[[#All],[PID]],0)),INDEX(Table3[[#All],[First]],MATCH(Table5[[#This Row],[PID]],Table3[[#All],[PID]],0)))</f>
        <v>Matthew</v>
      </c>
      <c r="F1151" s="50" t="str">
        <f>IF($C1151="B",INDEX(Batters[[#All],[Last]],MATCH(A1151,Batters[[#All],[PID]],0)),INDEX(Table3[[#All],[Last]],MATCH(A1151,Table3[[#All],[PID]],0)))</f>
        <v>MacRuer</v>
      </c>
      <c r="G1151" s="56">
        <f>IF($C1151="B",INDEX(Batters[[#All],[Age]],MATCH(Table5[[#This Row],[PID]],Batters[[#All],[PID]],0)),INDEX(Table3[[#All],[Age]],MATCH(Table5[[#This Row],[PID]],Table3[[#All],[PID]],0)))</f>
        <v>22</v>
      </c>
      <c r="H1151" s="52" t="str">
        <f>IF($C1151="B",INDEX(Batters[[#All],[B]],MATCH(Table5[[#This Row],[PID]],Batters[[#All],[PID]],0)),INDEX(Table3[[#All],[B]],MATCH(Table5[[#This Row],[PID]],Table3[[#All],[PID]],0)))</f>
        <v>L</v>
      </c>
      <c r="I1151" s="52" t="str">
        <f>IF($C1151="B",INDEX(Batters[[#All],[T]],MATCH(Table5[[#This Row],[PID]],Batters[[#All],[PID]],0)),INDEX(Table3[[#All],[T]],MATCH(Table5[[#This Row],[PID]],Table3[[#All],[PID]],0)))</f>
        <v>L</v>
      </c>
      <c r="J1151" s="52" t="str">
        <f>IF($C1151="B",INDEX(Batters[[#All],[WE]],MATCH(Table5[[#This Row],[PID]],Batters[[#All],[PID]],0)),INDEX(Table3[[#All],[WE]],MATCH(Table5[[#This Row],[PID]],Table3[[#All],[PID]],0)))</f>
        <v>Low</v>
      </c>
      <c r="K1151" s="52" t="str">
        <f>IF($C1151="B",INDEX(Batters[[#All],[INT]],MATCH(Table5[[#This Row],[PID]],Batters[[#All],[PID]],0)),INDEX(Table3[[#All],[INT]],MATCH(Table5[[#This Row],[PID]],Table3[[#All],[PID]],0)))</f>
        <v>Low</v>
      </c>
      <c r="L1151" s="60">
        <f>IF($C1151="B",INDEX(Batters[[#All],[CON P]],MATCH(Table5[[#This Row],[PID]],Batters[[#All],[PID]],0)),INDEX(Table3[[#All],[STU P]],MATCH(Table5[[#This Row],[PID]],Table3[[#All],[PID]],0)))</f>
        <v>4</v>
      </c>
      <c r="M1151" s="56">
        <f>IF($C1151="B",INDEX(Batters[[#All],[GAP P]],MATCH(Table5[[#This Row],[PID]],Batters[[#All],[PID]],0)),INDEX(Table3[[#All],[MOV P]],MATCH(Table5[[#This Row],[PID]],Table3[[#All],[PID]],0)))</f>
        <v>2</v>
      </c>
      <c r="N1151" s="56">
        <f>IF($C1151="B",INDEX(Batters[[#All],[POW P]],MATCH(Table5[[#This Row],[PID]],Batters[[#All],[PID]],0)),INDEX(Table3[[#All],[CON P]],MATCH(Table5[[#This Row],[PID]],Table3[[#All],[PID]],0)))</f>
        <v>2</v>
      </c>
      <c r="O1151" s="56" t="str">
        <f>IF($C1151="B",INDEX(Batters[[#All],[EYE P]],MATCH(Table5[[#This Row],[PID]],Batters[[#All],[PID]],0)),INDEX(Table3[[#All],[VELO]],MATCH(Table5[[#This Row],[PID]],Table3[[#All],[PID]],0)))</f>
        <v>87-89 Mph</v>
      </c>
      <c r="P1151" s="56">
        <f>IF($C1151="B",INDEX(Batters[[#All],[K P]],MATCH(Table5[[#This Row],[PID]],Batters[[#All],[PID]],0)),INDEX(Table3[[#All],[STM]],MATCH(Table5[[#This Row],[PID]],Table3[[#All],[PID]],0)))</f>
        <v>2</v>
      </c>
      <c r="Q1151" s="61">
        <f>IF($C1151="B",INDEX(Batters[[#All],[Tot]],MATCH(Table5[[#This Row],[PID]],Batters[[#All],[PID]],0)),INDEX(Table3[[#All],[Tot]],MATCH(Table5[[#This Row],[PID]],Table3[[#All],[PID]],0)))</f>
        <v>21.973731331063391</v>
      </c>
      <c r="R1151" s="52">
        <f>IF($C1151="B",INDEX(Batters[[#All],[zScore]],MATCH(Table5[[#This Row],[PID]],Batters[[#All],[PID]],0)),INDEX(Table3[[#All],[zScore]],MATCH(Table5[[#This Row],[PID]],Table3[[#All],[PID]],0)))</f>
        <v>-0.92453251637032541</v>
      </c>
      <c r="S1151" s="58" t="str">
        <f>IF($C1151="B",INDEX(Batters[[#All],[DEM]],MATCH(Table5[[#This Row],[PID]],Batters[[#All],[PID]],0)),INDEX(Table3[[#All],[DEM]],MATCH(Table5[[#This Row],[PID]],Table3[[#All],[PID]],0)))</f>
        <v>-</v>
      </c>
      <c r="T1151" s="62">
        <f>IF($C1151="B",INDEX(Batters[[#All],[Rnk]],MATCH(Table5[[#This Row],[PID]],Batters[[#All],[PID]],0)),INDEX(Table3[[#All],[Rnk]],MATCH(Table5[[#This Row],[PID]],Table3[[#All],[PID]],0)))</f>
        <v>683</v>
      </c>
      <c r="U1151" s="68">
        <f>IF($C1151="B",VLOOKUP($A1151,Bat!$A$4:$BA$1621,47,FALSE),VLOOKUP($A1151,Pit!$A$4:$BF$1557,56,FALSE))</f>
        <v>0</v>
      </c>
      <c r="V1151" s="50">
        <f>IF($C1151="B",VLOOKUP($A1151,Bat!$A$4:$BA$1621,48,FALSE),VLOOKUP($A1151,Pit!$A$4:$BF$1557,57,FALSE))</f>
        <v>0</v>
      </c>
      <c r="W1151" s="50">
        <f>Table5[[#This Row],[posRnk]]+Table5[[#This Row],[zRnk]]+IF($W$3&lt;&gt;Table5[[#This Row],[Type]],50,0)</f>
        <v>1844</v>
      </c>
      <c r="X1151" s="51">
        <f>RANK(Table5[[#This Row],[zScore]],Table5[[#All],[zScore]])</f>
        <v>1111</v>
      </c>
      <c r="Y1151" s="50" t="str">
        <f>IFERROR(INDEX(DraftResults[[#All],[OVR]],MATCH(Table5[[#This Row],[PID]],DraftResults[[#All],[Player ID]],0)),"")</f>
        <v/>
      </c>
      <c r="Z11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1" s="50" t="str">
        <f>IFERROR(INDEX(DraftResults[[#All],[Pick in Round]],MATCH(Table5[[#This Row],[PID]],DraftResults[[#All],[Player ID]],0)),"")</f>
        <v/>
      </c>
      <c r="AB1151" s="50" t="str">
        <f>IFERROR(INDEX(DraftResults[[#All],[Team Name]],MATCH(Table5[[#This Row],[PID]],DraftResults[[#All],[Player ID]],0)),"")</f>
        <v/>
      </c>
      <c r="AC1151" s="50" t="str">
        <f>IF(Table5[[#This Row],[Ovr]]="","",IF(Table5[[#This Row],[cmbList]]="","",Table5[[#This Row],[cmbList]]-Table5[[#This Row],[Ovr]]))</f>
        <v/>
      </c>
      <c r="AD1151" s="54" t="str">
        <f>IF(ISERROR(VLOOKUP($AB1151&amp;"-"&amp;$E1151&amp;" "&amp;F1151,Bonuses!$B$1:$G$1006,4,FALSE)),"",INT(VLOOKUP($AB1151&amp;"-"&amp;$E1151&amp;" "&amp;$F1151,Bonuses!$B$1:$G$1006,4,FALSE)))</f>
        <v/>
      </c>
      <c r="AE11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2" spans="1:31" s="50" customFormat="1" x14ac:dyDescent="0.25">
      <c r="A1152" s="50">
        <v>20557</v>
      </c>
      <c r="B1152" s="50">
        <f>COUNTIF(Table5[PID],A1152)</f>
        <v>1</v>
      </c>
      <c r="C1152" s="50" t="str">
        <f>IF(COUNTIF(Table3[[#All],[PID]],A1152)&gt;0,"P","B")</f>
        <v>P</v>
      </c>
      <c r="D1152" s="59" t="str">
        <f>IF($C1152="B",INDEX(Batters[[#All],[POS]],MATCH(Table5[[#This Row],[PID]],Batters[[#All],[PID]],0)),INDEX(Table3[[#All],[POS]],MATCH(Table5[[#This Row],[PID]],Table3[[#All],[PID]],0)))</f>
        <v>RP</v>
      </c>
      <c r="E1152" s="52" t="str">
        <f>IF($C1152="B",INDEX(Batters[[#All],[First]],MATCH(Table5[[#This Row],[PID]],Batters[[#All],[PID]],0)),INDEX(Table3[[#All],[First]],MATCH(Table5[[#This Row],[PID]],Table3[[#All],[PID]],0)))</f>
        <v>Nigel</v>
      </c>
      <c r="F1152" s="50" t="str">
        <f>IF($C1152="B",INDEX(Batters[[#All],[Last]],MATCH(A1152,Batters[[#All],[PID]],0)),INDEX(Table3[[#All],[Last]],MATCH(A1152,Table3[[#All],[PID]],0)))</f>
        <v>Jacoby</v>
      </c>
      <c r="G1152" s="56">
        <f>IF($C1152="B",INDEX(Batters[[#All],[Age]],MATCH(Table5[[#This Row],[PID]],Batters[[#All],[PID]],0)),INDEX(Table3[[#All],[Age]],MATCH(Table5[[#This Row],[PID]],Table3[[#All],[PID]],0)))</f>
        <v>17</v>
      </c>
      <c r="H1152" s="52" t="str">
        <f>IF($C1152="B",INDEX(Batters[[#All],[B]],MATCH(Table5[[#This Row],[PID]],Batters[[#All],[PID]],0)),INDEX(Table3[[#All],[B]],MATCH(Table5[[#This Row],[PID]],Table3[[#All],[PID]],0)))</f>
        <v>S</v>
      </c>
      <c r="I1152" s="52" t="str">
        <f>IF($C1152="B",INDEX(Batters[[#All],[T]],MATCH(Table5[[#This Row],[PID]],Batters[[#All],[PID]],0)),INDEX(Table3[[#All],[T]],MATCH(Table5[[#This Row],[PID]],Table3[[#All],[PID]],0)))</f>
        <v>R</v>
      </c>
      <c r="J1152" s="52" t="str">
        <f>IF($C1152="B",INDEX(Batters[[#All],[WE]],MATCH(Table5[[#This Row],[PID]],Batters[[#All],[PID]],0)),INDEX(Table3[[#All],[WE]],MATCH(Table5[[#This Row],[PID]],Table3[[#All],[PID]],0)))</f>
        <v>Normal</v>
      </c>
      <c r="K1152" s="52" t="str">
        <f>IF($C1152="B",INDEX(Batters[[#All],[INT]],MATCH(Table5[[#This Row],[PID]],Batters[[#All],[PID]],0)),INDEX(Table3[[#All],[INT]],MATCH(Table5[[#This Row],[PID]],Table3[[#All],[PID]],0)))</f>
        <v>Normal</v>
      </c>
      <c r="L1152" s="60">
        <f>IF($C1152="B",INDEX(Batters[[#All],[CON P]],MATCH(Table5[[#This Row],[PID]],Batters[[#All],[PID]],0)),INDEX(Table3[[#All],[STU P]],MATCH(Table5[[#This Row],[PID]],Table3[[#All],[PID]],0)))</f>
        <v>3</v>
      </c>
      <c r="M1152" s="56">
        <f>IF($C1152="B",INDEX(Batters[[#All],[GAP P]],MATCH(Table5[[#This Row],[PID]],Batters[[#All],[PID]],0)),INDEX(Table3[[#All],[MOV P]],MATCH(Table5[[#This Row],[PID]],Table3[[#All],[PID]],0)))</f>
        <v>1</v>
      </c>
      <c r="N1152" s="56">
        <f>IF($C1152="B",INDEX(Batters[[#All],[POW P]],MATCH(Table5[[#This Row],[PID]],Batters[[#All],[PID]],0)),INDEX(Table3[[#All],[CON P]],MATCH(Table5[[#This Row],[PID]],Table3[[#All],[PID]],0)))</f>
        <v>2</v>
      </c>
      <c r="O1152" s="56" t="str">
        <f>IF($C1152="B",INDEX(Batters[[#All],[EYE P]],MATCH(Table5[[#This Row],[PID]],Batters[[#All],[PID]],0)),INDEX(Table3[[#All],[VELO]],MATCH(Table5[[#This Row],[PID]],Table3[[#All],[PID]],0)))</f>
        <v>86-88 Mph</v>
      </c>
      <c r="P1152" s="56">
        <f>IF($C1152="B",INDEX(Batters[[#All],[K P]],MATCH(Table5[[#This Row],[PID]],Batters[[#All],[PID]],0)),INDEX(Table3[[#All],[STM]],MATCH(Table5[[#This Row],[PID]],Table3[[#All],[PID]],0)))</f>
        <v>4</v>
      </c>
      <c r="Q1152" s="61">
        <f>IF($C1152="B",INDEX(Batters[[#All],[Tot]],MATCH(Table5[[#This Row],[PID]],Batters[[#All],[PID]],0)),INDEX(Table3[[#All],[Tot]],MATCH(Table5[[#This Row],[PID]],Table3[[#All],[PID]],0)))</f>
        <v>21.772764882593702</v>
      </c>
      <c r="R1152" s="52">
        <f>IF($C1152="B",INDEX(Batters[[#All],[zScore]],MATCH(Table5[[#This Row],[PID]],Batters[[#All],[PID]],0)),INDEX(Table3[[#All],[zScore]],MATCH(Table5[[#This Row],[PID]],Table3[[#All],[PID]],0)))</f>
        <v>-0.93790250708840694</v>
      </c>
      <c r="S1152" s="58" t="str">
        <f>IF($C1152="B",INDEX(Batters[[#All],[DEM]],MATCH(Table5[[#This Row],[PID]],Batters[[#All],[PID]],0)),INDEX(Table3[[#All],[DEM]],MATCH(Table5[[#This Row],[PID]],Table3[[#All],[PID]],0)))</f>
        <v>$65k</v>
      </c>
      <c r="T1152" s="62">
        <f>IF($C1152="B",INDEX(Batters[[#All],[Rnk]],MATCH(Table5[[#This Row],[PID]],Batters[[#All],[PID]],0)),INDEX(Table3[[#All],[Rnk]],MATCH(Table5[[#This Row],[PID]],Table3[[#All],[PID]],0)))</f>
        <v>684</v>
      </c>
      <c r="U1152" s="68">
        <f>IF($C1152="B",VLOOKUP($A1152,Bat!$A$4:$BA$1621,47,FALSE),VLOOKUP($A1152,Pit!$A$4:$BF$1557,56,FALSE))</f>
        <v>0</v>
      </c>
      <c r="V1152" s="50">
        <f>IF($C1152="B",VLOOKUP($A1152,Bat!$A$4:$BA$1621,48,FALSE),VLOOKUP($A1152,Pit!$A$4:$BF$1557,57,FALSE))</f>
        <v>0</v>
      </c>
      <c r="W1152" s="50">
        <f>Table5[[#This Row],[posRnk]]+Table5[[#This Row],[zRnk]]+IF($W$3&lt;&gt;Table5[[#This Row],[Type]],50,0)</f>
        <v>1847</v>
      </c>
      <c r="X1152" s="51">
        <f>RANK(Table5[[#This Row],[zScore]],Table5[[#All],[zScore]])</f>
        <v>1113</v>
      </c>
      <c r="Y1152" s="50" t="str">
        <f>IFERROR(INDEX(DraftResults[[#All],[OVR]],MATCH(Table5[[#This Row],[PID]],DraftResults[[#All],[Player ID]],0)),"")</f>
        <v/>
      </c>
      <c r="Z11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2" s="50" t="str">
        <f>IFERROR(INDEX(DraftResults[[#All],[Pick in Round]],MATCH(Table5[[#This Row],[PID]],DraftResults[[#All],[Player ID]],0)),"")</f>
        <v/>
      </c>
      <c r="AB1152" s="50" t="str">
        <f>IFERROR(INDEX(DraftResults[[#All],[Team Name]],MATCH(Table5[[#This Row],[PID]],DraftResults[[#All],[Player ID]],0)),"")</f>
        <v/>
      </c>
      <c r="AC1152" s="50" t="str">
        <f>IF(Table5[[#This Row],[Ovr]]="","",IF(Table5[[#This Row],[cmbList]]="","",Table5[[#This Row],[cmbList]]-Table5[[#This Row],[Ovr]]))</f>
        <v/>
      </c>
      <c r="AD1152" s="54" t="str">
        <f>IF(ISERROR(VLOOKUP($AB1152&amp;"-"&amp;$E1152&amp;" "&amp;F1152,Bonuses!$B$1:$G$1006,4,FALSE)),"",INT(VLOOKUP($AB1152&amp;"-"&amp;$E1152&amp;" "&amp;$F1152,Bonuses!$B$1:$G$1006,4,FALSE)))</f>
        <v/>
      </c>
      <c r="AE11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3" spans="1:31" s="50" customFormat="1" x14ac:dyDescent="0.25">
      <c r="A1153" s="50">
        <v>17825</v>
      </c>
      <c r="B1153" s="50">
        <f>COUNTIF(Table5[PID],A1153)</f>
        <v>1</v>
      </c>
      <c r="C1153" s="50" t="str">
        <f>IF(COUNTIF(Table3[[#All],[PID]],A1153)&gt;0,"P","B")</f>
        <v>B</v>
      </c>
      <c r="D1153" s="59" t="str">
        <f>IF($C1153="B",INDEX(Batters[[#All],[POS]],MATCH(Table5[[#This Row],[PID]],Batters[[#All],[PID]],0)),INDEX(Table3[[#All],[POS]],MATCH(Table5[[#This Row],[PID]],Table3[[#All],[PID]],0)))</f>
        <v>LF</v>
      </c>
      <c r="E1153" s="52" t="str">
        <f>IF($C1153="B",INDEX(Batters[[#All],[First]],MATCH(Table5[[#This Row],[PID]],Batters[[#All],[PID]],0)),INDEX(Table3[[#All],[First]],MATCH(Table5[[#This Row],[PID]],Table3[[#All],[PID]],0)))</f>
        <v>Félix</v>
      </c>
      <c r="F1153" s="50" t="str">
        <f>IF($C1153="B",INDEX(Batters[[#All],[Last]],MATCH(A1153,Batters[[#All],[PID]],0)),INDEX(Table3[[#All],[Last]],MATCH(A1153,Table3[[#All],[PID]],0)))</f>
        <v>Vargas</v>
      </c>
      <c r="G1153" s="56">
        <f>IF($C1153="B",INDEX(Batters[[#All],[Age]],MATCH(Table5[[#This Row],[PID]],Batters[[#All],[PID]],0)),INDEX(Table3[[#All],[Age]],MATCH(Table5[[#This Row],[PID]],Table3[[#All],[PID]],0)))</f>
        <v>18</v>
      </c>
      <c r="H1153" s="52" t="str">
        <f>IF($C1153="B",INDEX(Batters[[#All],[B]],MATCH(Table5[[#This Row],[PID]],Batters[[#All],[PID]],0)),INDEX(Table3[[#All],[B]],MATCH(Table5[[#This Row],[PID]],Table3[[#All],[PID]],0)))</f>
        <v>R</v>
      </c>
      <c r="I1153" s="52" t="str">
        <f>IF($C1153="B",INDEX(Batters[[#All],[T]],MATCH(Table5[[#This Row],[PID]],Batters[[#All],[PID]],0)),INDEX(Table3[[#All],[T]],MATCH(Table5[[#This Row],[PID]],Table3[[#All],[PID]],0)))</f>
        <v>R</v>
      </c>
      <c r="J1153" s="52" t="str">
        <f>IF($C1153="B",INDEX(Batters[[#All],[WE]],MATCH(Table5[[#This Row],[PID]],Batters[[#All],[PID]],0)),INDEX(Table3[[#All],[WE]],MATCH(Table5[[#This Row],[PID]],Table3[[#All],[PID]],0)))</f>
        <v>Low</v>
      </c>
      <c r="K1153" s="52" t="str">
        <f>IF($C1153="B",INDEX(Batters[[#All],[INT]],MATCH(Table5[[#This Row],[PID]],Batters[[#All],[PID]],0)),INDEX(Table3[[#All],[INT]],MATCH(Table5[[#This Row],[PID]],Table3[[#All],[PID]],0)))</f>
        <v>Normal</v>
      </c>
      <c r="L1153" s="60">
        <f>IF($C1153="B",INDEX(Batters[[#All],[CON P]],MATCH(Table5[[#This Row],[PID]],Batters[[#All],[PID]],0)),INDEX(Table3[[#All],[STU P]],MATCH(Table5[[#This Row],[PID]],Table3[[#All],[PID]],0)))</f>
        <v>3</v>
      </c>
      <c r="M1153" s="56">
        <f>IF($C1153="B",INDEX(Batters[[#All],[GAP P]],MATCH(Table5[[#This Row],[PID]],Batters[[#All],[PID]],0)),INDEX(Table3[[#All],[MOV P]],MATCH(Table5[[#This Row],[PID]],Table3[[#All],[PID]],0)))</f>
        <v>4</v>
      </c>
      <c r="N1153" s="56">
        <f>IF($C1153="B",INDEX(Batters[[#All],[POW P]],MATCH(Table5[[#This Row],[PID]],Batters[[#All],[PID]],0)),INDEX(Table3[[#All],[CON P]],MATCH(Table5[[#This Row],[PID]],Table3[[#All],[PID]],0)))</f>
        <v>2</v>
      </c>
      <c r="O1153" s="56">
        <f>IF($C1153="B",INDEX(Batters[[#All],[EYE P]],MATCH(Table5[[#This Row],[PID]],Batters[[#All],[PID]],0)),INDEX(Table3[[#All],[VELO]],MATCH(Table5[[#This Row],[PID]],Table3[[#All],[PID]],0)))</f>
        <v>4</v>
      </c>
      <c r="P1153" s="56">
        <f>IF($C1153="B",INDEX(Batters[[#All],[K P]],MATCH(Table5[[#This Row],[PID]],Batters[[#All],[PID]],0)),INDEX(Table3[[#All],[STM]],MATCH(Table5[[#This Row],[PID]],Table3[[#All],[PID]],0)))</f>
        <v>4</v>
      </c>
      <c r="Q1153" s="61">
        <f>IF($C1153="B",INDEX(Batters[[#All],[Tot]],MATCH(Table5[[#This Row],[PID]],Batters[[#All],[PID]],0)),INDEX(Table3[[#All],[Tot]],MATCH(Table5[[#This Row],[PID]],Table3[[#All],[PID]],0)))</f>
        <v>39.900783980339696</v>
      </c>
      <c r="R1153" s="52">
        <f>IF($C1153="B",INDEX(Batters[[#All],[zScore]],MATCH(Table5[[#This Row],[PID]],Batters[[#All],[PID]],0)),INDEX(Table3[[#All],[zScore]],MATCH(Table5[[#This Row],[PID]],Table3[[#All],[PID]],0)))</f>
        <v>-0.93807582780345422</v>
      </c>
      <c r="S1153" s="58" t="str">
        <f>IF($C1153="B",INDEX(Batters[[#All],[DEM]],MATCH(Table5[[#This Row],[PID]],Batters[[#All],[PID]],0)),INDEX(Table3[[#All],[DEM]],MATCH(Table5[[#This Row],[PID]],Table3[[#All],[PID]],0)))</f>
        <v>$65k</v>
      </c>
      <c r="T1153" s="62">
        <f>IF($C1153="B",INDEX(Batters[[#All],[Rnk]],MATCH(Table5[[#This Row],[PID]],Batters[[#All],[PID]],0)),INDEX(Table3[[#All],[Rnk]],MATCH(Table5[[#This Row],[PID]],Table3[[#All],[PID]],0)))</f>
        <v>429</v>
      </c>
      <c r="U1153" s="68">
        <f>IF($C1153="B",VLOOKUP($A1153,Bat!$A$4:$BA$1621,47,FALSE),VLOOKUP($A1153,Pit!$A$4:$BF$1557,56,FALSE))</f>
        <v>0</v>
      </c>
      <c r="V1153" s="50">
        <f>IF($C1153="B",VLOOKUP($A1153,Bat!$A$4:$BA$1621,48,FALSE),VLOOKUP($A1153,Pit!$A$4:$BF$1557,57,FALSE))</f>
        <v>0</v>
      </c>
      <c r="W1153" s="50">
        <f>Table5[[#This Row],[posRnk]]+Table5[[#This Row],[zRnk]]+IF($W$3&lt;&gt;Table5[[#This Row],[Type]],50,0)</f>
        <v>1593</v>
      </c>
      <c r="X1153" s="51">
        <f>RANK(Table5[[#This Row],[zScore]],Table5[[#All],[zScore]])</f>
        <v>1114</v>
      </c>
      <c r="Y1153" s="50" t="str">
        <f>IFERROR(INDEX(DraftResults[[#All],[OVR]],MATCH(Table5[[#This Row],[PID]],DraftResults[[#All],[Player ID]],0)),"")</f>
        <v/>
      </c>
      <c r="Z11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3" s="50" t="str">
        <f>IFERROR(INDEX(DraftResults[[#All],[Pick in Round]],MATCH(Table5[[#This Row],[PID]],DraftResults[[#All],[Player ID]],0)),"")</f>
        <v/>
      </c>
      <c r="AB1153" s="50" t="str">
        <f>IFERROR(INDEX(DraftResults[[#All],[Team Name]],MATCH(Table5[[#This Row],[PID]],DraftResults[[#All],[Player ID]],0)),"")</f>
        <v/>
      </c>
      <c r="AC1153" s="50" t="str">
        <f>IF(Table5[[#This Row],[Ovr]]="","",IF(Table5[[#This Row],[cmbList]]="","",Table5[[#This Row],[cmbList]]-Table5[[#This Row],[Ovr]]))</f>
        <v/>
      </c>
      <c r="AD1153" s="54" t="str">
        <f>IF(ISERROR(VLOOKUP($AB1153&amp;"-"&amp;$E1153&amp;" "&amp;F1153,Bonuses!$B$1:$G$1006,4,FALSE)),"",INT(VLOOKUP($AB1153&amp;"-"&amp;$E1153&amp;" "&amp;$F1153,Bonuses!$B$1:$G$1006,4,FALSE)))</f>
        <v/>
      </c>
      <c r="AE11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4" spans="1:31" s="50" customFormat="1" x14ac:dyDescent="0.25">
      <c r="A1154" s="50">
        <v>376</v>
      </c>
      <c r="B1154" s="50">
        <f>COUNTIF(Table5[PID],A1154)</f>
        <v>1</v>
      </c>
      <c r="C1154" s="50" t="str">
        <f>IF(COUNTIF(Table3[[#All],[PID]],A1154)&gt;0,"P","B")</f>
        <v>B</v>
      </c>
      <c r="D1154" s="59" t="str">
        <f>IF($C1154="B",INDEX(Batters[[#All],[POS]],MATCH(Table5[[#This Row],[PID]],Batters[[#All],[PID]],0)),INDEX(Table3[[#All],[POS]],MATCH(Table5[[#This Row],[PID]],Table3[[#All],[PID]],0)))</f>
        <v>3B</v>
      </c>
      <c r="E1154" s="52" t="str">
        <f>IF($C1154="B",INDEX(Batters[[#All],[First]],MATCH(Table5[[#This Row],[PID]],Batters[[#All],[PID]],0)),INDEX(Table3[[#All],[First]],MATCH(Table5[[#This Row],[PID]],Table3[[#All],[PID]],0)))</f>
        <v>Kent</v>
      </c>
      <c r="F1154" s="50" t="str">
        <f>IF($C1154="B",INDEX(Batters[[#All],[Last]],MATCH(A1154,Batters[[#All],[PID]],0)),INDEX(Table3[[#All],[Last]],MATCH(A1154,Table3[[#All],[PID]],0)))</f>
        <v>Johnson</v>
      </c>
      <c r="G1154" s="56">
        <f>IF($C1154="B",INDEX(Batters[[#All],[Age]],MATCH(Table5[[#This Row],[PID]],Batters[[#All],[PID]],0)),INDEX(Table3[[#All],[Age]],MATCH(Table5[[#This Row],[PID]],Table3[[#All],[PID]],0)))</f>
        <v>18</v>
      </c>
      <c r="H1154" s="52" t="str">
        <f>IF($C1154="B",INDEX(Batters[[#All],[B]],MATCH(Table5[[#This Row],[PID]],Batters[[#All],[PID]],0)),INDEX(Table3[[#All],[B]],MATCH(Table5[[#This Row],[PID]],Table3[[#All],[PID]],0)))</f>
        <v>L</v>
      </c>
      <c r="I1154" s="52" t="str">
        <f>IF($C1154="B",INDEX(Batters[[#All],[T]],MATCH(Table5[[#This Row],[PID]],Batters[[#All],[PID]],0)),INDEX(Table3[[#All],[T]],MATCH(Table5[[#This Row],[PID]],Table3[[#All],[PID]],0)))</f>
        <v>R</v>
      </c>
      <c r="J1154" s="52" t="str">
        <f>IF($C1154="B",INDEX(Batters[[#All],[WE]],MATCH(Table5[[#This Row],[PID]],Batters[[#All],[PID]],0)),INDEX(Table3[[#All],[WE]],MATCH(Table5[[#This Row],[PID]],Table3[[#All],[PID]],0)))</f>
        <v>Low</v>
      </c>
      <c r="K1154" s="52" t="str">
        <f>IF($C1154="B",INDEX(Batters[[#All],[INT]],MATCH(Table5[[#This Row],[PID]],Batters[[#All],[PID]],0)),INDEX(Table3[[#All],[INT]],MATCH(Table5[[#This Row],[PID]],Table3[[#All],[PID]],0)))</f>
        <v>Normal</v>
      </c>
      <c r="L1154" s="60">
        <f>IF($C1154="B",INDEX(Batters[[#All],[CON P]],MATCH(Table5[[#This Row],[PID]],Batters[[#All],[PID]],0)),INDEX(Table3[[#All],[STU P]],MATCH(Table5[[#This Row],[PID]],Table3[[#All],[PID]],0)))</f>
        <v>3</v>
      </c>
      <c r="M1154" s="56">
        <f>IF($C1154="B",INDEX(Batters[[#All],[GAP P]],MATCH(Table5[[#This Row],[PID]],Batters[[#All],[PID]],0)),INDEX(Table3[[#All],[MOV P]],MATCH(Table5[[#This Row],[PID]],Table3[[#All],[PID]],0)))</f>
        <v>3</v>
      </c>
      <c r="N1154" s="56">
        <f>IF($C1154="B",INDEX(Batters[[#All],[POW P]],MATCH(Table5[[#This Row],[PID]],Batters[[#All],[PID]],0)),INDEX(Table3[[#All],[CON P]],MATCH(Table5[[#This Row],[PID]],Table3[[#All],[PID]],0)))</f>
        <v>4</v>
      </c>
      <c r="O1154" s="56">
        <f>IF($C1154="B",INDEX(Batters[[#All],[EYE P]],MATCH(Table5[[#This Row],[PID]],Batters[[#All],[PID]],0)),INDEX(Table3[[#All],[VELO]],MATCH(Table5[[#This Row],[PID]],Table3[[#All],[PID]],0)))</f>
        <v>3</v>
      </c>
      <c r="P1154" s="56">
        <f>IF($C1154="B",INDEX(Batters[[#All],[K P]],MATCH(Table5[[#This Row],[PID]],Batters[[#All],[PID]],0)),INDEX(Table3[[#All],[STM]],MATCH(Table5[[#This Row],[PID]],Table3[[#All],[PID]],0)))</f>
        <v>3</v>
      </c>
      <c r="Q1154" s="61">
        <f>IF($C1154="B",INDEX(Batters[[#All],[Tot]],MATCH(Table5[[#This Row],[PID]],Batters[[#All],[PID]],0)),INDEX(Table3[[#All],[Tot]],MATCH(Table5[[#This Row],[PID]],Table3[[#All],[PID]],0)))</f>
        <v>39.891497270235583</v>
      </c>
      <c r="R1154" s="52">
        <f>IF($C1154="B",INDEX(Batters[[#All],[zScore]],MATCH(Table5[[#This Row],[PID]],Batters[[#All],[PID]],0)),INDEX(Table3[[#All],[zScore]],MATCH(Table5[[#This Row],[PID]],Table3[[#All],[PID]],0)))</f>
        <v>-0.94013475420587078</v>
      </c>
      <c r="S1154" s="58" t="str">
        <f>IF($C1154="B",INDEX(Batters[[#All],[DEM]],MATCH(Table5[[#This Row],[PID]],Batters[[#All],[PID]],0)),INDEX(Table3[[#All],[DEM]],MATCH(Table5[[#This Row],[PID]],Table3[[#All],[PID]],0)))</f>
        <v>$65k</v>
      </c>
      <c r="T1154" s="62">
        <f>IF($C1154="B",INDEX(Batters[[#All],[Rnk]],MATCH(Table5[[#This Row],[PID]],Batters[[#All],[PID]],0)),INDEX(Table3[[#All],[Rnk]],MATCH(Table5[[#This Row],[PID]],Table3[[#All],[PID]],0)))</f>
        <v>430</v>
      </c>
      <c r="U1154" s="68">
        <f>IF($C1154="B",VLOOKUP($A1154,Bat!$A$4:$BA$1621,47,FALSE),VLOOKUP($A1154,Pit!$A$4:$BF$1557,56,FALSE))</f>
        <v>0</v>
      </c>
      <c r="V1154" s="50">
        <f>IF($C1154="B",VLOOKUP($A1154,Bat!$A$4:$BA$1621,48,FALSE),VLOOKUP($A1154,Pit!$A$4:$BF$1557,57,FALSE))</f>
        <v>0</v>
      </c>
      <c r="W1154" s="50">
        <f>Table5[[#This Row],[posRnk]]+Table5[[#This Row],[zRnk]]+IF($W$3&lt;&gt;Table5[[#This Row],[Type]],50,0)</f>
        <v>1595</v>
      </c>
      <c r="X1154" s="51">
        <f>RANK(Table5[[#This Row],[zScore]],Table5[[#All],[zScore]])</f>
        <v>1115</v>
      </c>
      <c r="Y1154" s="50" t="str">
        <f>IFERROR(INDEX(DraftResults[[#All],[OVR]],MATCH(Table5[[#This Row],[PID]],DraftResults[[#All],[Player ID]],0)),"")</f>
        <v/>
      </c>
      <c r="Z11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4" s="50" t="str">
        <f>IFERROR(INDEX(DraftResults[[#All],[Pick in Round]],MATCH(Table5[[#This Row],[PID]],DraftResults[[#All],[Player ID]],0)),"")</f>
        <v/>
      </c>
      <c r="AB1154" s="50" t="str">
        <f>IFERROR(INDEX(DraftResults[[#All],[Team Name]],MATCH(Table5[[#This Row],[PID]],DraftResults[[#All],[Player ID]],0)),"")</f>
        <v/>
      </c>
      <c r="AC1154" s="50" t="str">
        <f>IF(Table5[[#This Row],[Ovr]]="","",IF(Table5[[#This Row],[cmbList]]="","",Table5[[#This Row],[cmbList]]-Table5[[#This Row],[Ovr]]))</f>
        <v/>
      </c>
      <c r="AD1154" s="54" t="str">
        <f>IF(ISERROR(VLOOKUP($AB1154&amp;"-"&amp;$E1154&amp;" "&amp;F1154,Bonuses!$B$1:$G$1006,4,FALSE)),"",INT(VLOOKUP($AB1154&amp;"-"&amp;$E1154&amp;" "&amp;$F1154,Bonuses!$B$1:$G$1006,4,FALSE)))</f>
        <v/>
      </c>
      <c r="AE11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5" spans="1:31" s="50" customFormat="1" x14ac:dyDescent="0.25">
      <c r="A1155" s="50">
        <v>20632</v>
      </c>
      <c r="B1155" s="50">
        <f>COUNTIF(Table5[PID],A1155)</f>
        <v>1</v>
      </c>
      <c r="C1155" s="50" t="str">
        <f>IF(COUNTIF(Table3[[#All],[PID]],A1155)&gt;0,"P","B")</f>
        <v>P</v>
      </c>
      <c r="D1155" s="59" t="str">
        <f>IF($C1155="B",INDEX(Batters[[#All],[POS]],MATCH(Table5[[#This Row],[PID]],Batters[[#All],[PID]],0)),INDEX(Table3[[#All],[POS]],MATCH(Table5[[#This Row],[PID]],Table3[[#All],[PID]],0)))</f>
        <v>RP</v>
      </c>
      <c r="E1155" s="52" t="str">
        <f>IF($C1155="B",INDEX(Batters[[#All],[First]],MATCH(Table5[[#This Row],[PID]],Batters[[#All],[PID]],0)),INDEX(Table3[[#All],[First]],MATCH(Table5[[#This Row],[PID]],Table3[[#All],[PID]],0)))</f>
        <v>Yong-hoon</v>
      </c>
      <c r="F1155" s="50" t="str">
        <f>IF($C1155="B",INDEX(Batters[[#All],[Last]],MATCH(A1155,Batters[[#All],[PID]],0)),INDEX(Table3[[#All],[Last]],MATCH(A1155,Table3[[#All],[PID]],0)))</f>
        <v>Yang</v>
      </c>
      <c r="G1155" s="56">
        <f>IF($C1155="B",INDEX(Batters[[#All],[Age]],MATCH(Table5[[#This Row],[PID]],Batters[[#All],[PID]],0)),INDEX(Table3[[#All],[Age]],MATCH(Table5[[#This Row],[PID]],Table3[[#All],[PID]],0)))</f>
        <v>18</v>
      </c>
      <c r="H1155" s="52" t="str">
        <f>IF($C1155="B",INDEX(Batters[[#All],[B]],MATCH(Table5[[#This Row],[PID]],Batters[[#All],[PID]],0)),INDEX(Table3[[#All],[B]],MATCH(Table5[[#This Row],[PID]],Table3[[#All],[PID]],0)))</f>
        <v>L</v>
      </c>
      <c r="I1155" s="52" t="str">
        <f>IF($C1155="B",INDEX(Batters[[#All],[T]],MATCH(Table5[[#This Row],[PID]],Batters[[#All],[PID]],0)),INDEX(Table3[[#All],[T]],MATCH(Table5[[#This Row],[PID]],Table3[[#All],[PID]],0)))</f>
        <v>R</v>
      </c>
      <c r="J1155" s="52" t="str">
        <f>IF($C1155="B",INDEX(Batters[[#All],[WE]],MATCH(Table5[[#This Row],[PID]],Batters[[#All],[PID]],0)),INDEX(Table3[[#All],[WE]],MATCH(Table5[[#This Row],[PID]],Table3[[#All],[PID]],0)))</f>
        <v>Normal</v>
      </c>
      <c r="K1155" s="52" t="str">
        <f>IF($C1155="B",INDEX(Batters[[#All],[INT]],MATCH(Table5[[#This Row],[PID]],Batters[[#All],[PID]],0)),INDEX(Table3[[#All],[INT]],MATCH(Table5[[#This Row],[PID]],Table3[[#All],[PID]],0)))</f>
        <v>Normal</v>
      </c>
      <c r="L1155" s="60">
        <f>IF($C1155="B",INDEX(Batters[[#All],[CON P]],MATCH(Table5[[#This Row],[PID]],Batters[[#All],[PID]],0)),INDEX(Table3[[#All],[STU P]],MATCH(Table5[[#This Row],[PID]],Table3[[#All],[PID]],0)))</f>
        <v>4</v>
      </c>
      <c r="M1155" s="56">
        <f>IF($C1155="B",INDEX(Batters[[#All],[GAP P]],MATCH(Table5[[#This Row],[PID]],Batters[[#All],[PID]],0)),INDEX(Table3[[#All],[MOV P]],MATCH(Table5[[#This Row],[PID]],Table3[[#All],[PID]],0)))</f>
        <v>1</v>
      </c>
      <c r="N1155" s="56">
        <f>IF($C1155="B",INDEX(Batters[[#All],[POW P]],MATCH(Table5[[#This Row],[PID]],Batters[[#All],[PID]],0)),INDEX(Table3[[#All],[CON P]],MATCH(Table5[[#This Row],[PID]],Table3[[#All],[PID]],0)))</f>
        <v>2</v>
      </c>
      <c r="O1155" s="56" t="str">
        <f>IF($C1155="B",INDEX(Batters[[#All],[EYE P]],MATCH(Table5[[#This Row],[PID]],Batters[[#All],[PID]],0)),INDEX(Table3[[#All],[VELO]],MATCH(Table5[[#This Row],[PID]],Table3[[#All],[PID]],0)))</f>
        <v>91-93 Mph</v>
      </c>
      <c r="P1155" s="56">
        <f>IF($C1155="B",INDEX(Batters[[#All],[K P]],MATCH(Table5[[#This Row],[PID]],Batters[[#All],[PID]],0)),INDEX(Table3[[#All],[STM]],MATCH(Table5[[#This Row],[PID]],Table3[[#All],[PID]],0)))</f>
        <v>2</v>
      </c>
      <c r="Q1155" s="61">
        <f>IF($C1155="B",INDEX(Batters[[#All],[Tot]],MATCH(Table5[[#This Row],[PID]],Batters[[#All],[PID]],0)),INDEX(Table3[[#All],[Tot]],MATCH(Table5[[#This Row],[PID]],Table3[[#All],[PID]],0)))</f>
        <v>23.78640534111388</v>
      </c>
      <c r="R1155" s="52">
        <f>IF($C1155="B",INDEX(Batters[[#All],[zScore]],MATCH(Table5[[#This Row],[PID]],Batters[[#All],[PID]],0)),INDEX(Table3[[#All],[zScore]],MATCH(Table5[[#This Row],[PID]],Table3[[#All],[PID]],0)))</f>
        <v>-0.94021070200221557</v>
      </c>
      <c r="S1155" s="58" t="str">
        <f>IF($C1155="B",INDEX(Batters[[#All],[DEM]],MATCH(Table5[[#This Row],[PID]],Batters[[#All],[PID]],0)),INDEX(Table3[[#All],[DEM]],MATCH(Table5[[#This Row],[PID]],Table3[[#All],[PID]],0)))</f>
        <v>$110k</v>
      </c>
      <c r="T1155" s="62">
        <f>IF($C1155="B",INDEX(Batters[[#All],[Rnk]],MATCH(Table5[[#This Row],[PID]],Batters[[#All],[PID]],0)),INDEX(Table3[[#All],[Rnk]],MATCH(Table5[[#This Row],[PID]],Table3[[#All],[PID]],0)))</f>
        <v>685</v>
      </c>
      <c r="U1155" s="68">
        <f>IF($C1155="B",VLOOKUP($A1155,Bat!$A$4:$BA$1621,47,FALSE),VLOOKUP($A1155,Pit!$A$4:$BF$1557,56,FALSE))</f>
        <v>0</v>
      </c>
      <c r="V1155" s="50">
        <f>IF($C1155="B",VLOOKUP($A1155,Bat!$A$4:$BA$1621,48,FALSE),VLOOKUP($A1155,Pit!$A$4:$BF$1557,57,FALSE))</f>
        <v>0</v>
      </c>
      <c r="W1155" s="50">
        <f>Table5[[#This Row],[posRnk]]+Table5[[#This Row],[zRnk]]+IF($W$3&lt;&gt;Table5[[#This Row],[Type]],50,0)</f>
        <v>1851</v>
      </c>
      <c r="X1155" s="51">
        <f>RANK(Table5[[#This Row],[zScore]],Table5[[#All],[zScore]])</f>
        <v>1116</v>
      </c>
      <c r="Y1155" s="50" t="str">
        <f>IFERROR(INDEX(DraftResults[[#All],[OVR]],MATCH(Table5[[#This Row],[PID]],DraftResults[[#All],[Player ID]],0)),"")</f>
        <v/>
      </c>
      <c r="Z11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5" s="50" t="str">
        <f>IFERROR(INDEX(DraftResults[[#All],[Pick in Round]],MATCH(Table5[[#This Row],[PID]],DraftResults[[#All],[Player ID]],0)),"")</f>
        <v/>
      </c>
      <c r="AB1155" s="50" t="str">
        <f>IFERROR(INDEX(DraftResults[[#All],[Team Name]],MATCH(Table5[[#This Row],[PID]],DraftResults[[#All],[Player ID]],0)),"")</f>
        <v/>
      </c>
      <c r="AC1155" s="50" t="str">
        <f>IF(Table5[[#This Row],[Ovr]]="","",IF(Table5[[#This Row],[cmbList]]="","",Table5[[#This Row],[cmbList]]-Table5[[#This Row],[Ovr]]))</f>
        <v/>
      </c>
      <c r="AD1155" s="54" t="str">
        <f>IF(ISERROR(VLOOKUP($AB1155&amp;"-"&amp;$E1155&amp;" "&amp;F1155,Bonuses!$B$1:$G$1006,4,FALSE)),"",INT(VLOOKUP($AB1155&amp;"-"&amp;$E1155&amp;" "&amp;$F1155,Bonuses!$B$1:$G$1006,4,FALSE)))</f>
        <v/>
      </c>
      <c r="AE11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6" spans="1:31" s="50" customFormat="1" x14ac:dyDescent="0.25">
      <c r="A1156" s="50">
        <v>18090</v>
      </c>
      <c r="B1156" s="50">
        <f>COUNTIF(Table5[PID],A1156)</f>
        <v>1</v>
      </c>
      <c r="C1156" s="50" t="str">
        <f>IF(COUNTIF(Table3[[#All],[PID]],A1156)&gt;0,"P","B")</f>
        <v>B</v>
      </c>
      <c r="D1156" s="59" t="str">
        <f>IF($C1156="B",INDEX(Batters[[#All],[POS]],MATCH(Table5[[#This Row],[PID]],Batters[[#All],[PID]],0)),INDEX(Table3[[#All],[POS]],MATCH(Table5[[#This Row],[PID]],Table3[[#All],[PID]],0)))</f>
        <v>LF</v>
      </c>
      <c r="E1156" s="52" t="str">
        <f>IF($C1156="B",INDEX(Batters[[#All],[First]],MATCH(Table5[[#This Row],[PID]],Batters[[#All],[PID]],0)),INDEX(Table3[[#All],[First]],MATCH(Table5[[#This Row],[PID]],Table3[[#All],[PID]],0)))</f>
        <v>Pancho</v>
      </c>
      <c r="F1156" s="50" t="str">
        <f>IF($C1156="B",INDEX(Batters[[#All],[Last]],MATCH(A1156,Batters[[#All],[PID]],0)),INDEX(Table3[[#All],[Last]],MATCH(A1156,Table3[[#All],[PID]],0)))</f>
        <v>Rodríguez</v>
      </c>
      <c r="G1156" s="56">
        <f>IF($C1156="B",INDEX(Batters[[#All],[Age]],MATCH(Table5[[#This Row],[PID]],Batters[[#All],[PID]],0)),INDEX(Table3[[#All],[Age]],MATCH(Table5[[#This Row],[PID]],Table3[[#All],[PID]],0)))</f>
        <v>21</v>
      </c>
      <c r="H1156" s="52" t="str">
        <f>IF($C1156="B",INDEX(Batters[[#All],[B]],MATCH(Table5[[#This Row],[PID]],Batters[[#All],[PID]],0)),INDEX(Table3[[#All],[B]],MATCH(Table5[[#This Row],[PID]],Table3[[#All],[PID]],0)))</f>
        <v>R</v>
      </c>
      <c r="I1156" s="52" t="str">
        <f>IF($C1156="B",INDEX(Batters[[#All],[T]],MATCH(Table5[[#This Row],[PID]],Batters[[#All],[PID]],0)),INDEX(Table3[[#All],[T]],MATCH(Table5[[#This Row],[PID]],Table3[[#All],[PID]],0)))</f>
        <v>R</v>
      </c>
      <c r="J1156" s="52" t="str">
        <f>IF($C1156="B",INDEX(Batters[[#All],[WE]],MATCH(Table5[[#This Row],[PID]],Batters[[#All],[PID]],0)),INDEX(Table3[[#All],[WE]],MATCH(Table5[[#This Row],[PID]],Table3[[#All],[PID]],0)))</f>
        <v>Low</v>
      </c>
      <c r="K1156" s="52" t="str">
        <f>IF($C1156="B",INDEX(Batters[[#All],[INT]],MATCH(Table5[[#This Row],[PID]],Batters[[#All],[PID]],0)),INDEX(Table3[[#All],[INT]],MATCH(Table5[[#This Row],[PID]],Table3[[#All],[PID]],0)))</f>
        <v>Normal</v>
      </c>
      <c r="L1156" s="60">
        <f>IF($C1156="B",INDEX(Batters[[#All],[CON P]],MATCH(Table5[[#This Row],[PID]],Batters[[#All],[PID]],0)),INDEX(Table3[[#All],[STU P]],MATCH(Table5[[#This Row],[PID]],Table3[[#All],[PID]],0)))</f>
        <v>4</v>
      </c>
      <c r="M1156" s="56">
        <f>IF($C1156="B",INDEX(Batters[[#All],[GAP P]],MATCH(Table5[[#This Row],[PID]],Batters[[#All],[PID]],0)),INDEX(Table3[[#All],[MOV P]],MATCH(Table5[[#This Row],[PID]],Table3[[#All],[PID]],0)))</f>
        <v>3</v>
      </c>
      <c r="N1156" s="56">
        <f>IF($C1156="B",INDEX(Batters[[#All],[POW P]],MATCH(Table5[[#This Row],[PID]],Batters[[#All],[PID]],0)),INDEX(Table3[[#All],[CON P]],MATCH(Table5[[#This Row],[PID]],Table3[[#All],[PID]],0)))</f>
        <v>4</v>
      </c>
      <c r="O1156" s="56">
        <f>IF($C1156="B",INDEX(Batters[[#All],[EYE P]],MATCH(Table5[[#This Row],[PID]],Batters[[#All],[PID]],0)),INDEX(Table3[[#All],[VELO]],MATCH(Table5[[#This Row],[PID]],Table3[[#All],[PID]],0)))</f>
        <v>4</v>
      </c>
      <c r="P1156" s="56">
        <f>IF($C1156="B",INDEX(Batters[[#All],[K P]],MATCH(Table5[[#This Row],[PID]],Batters[[#All],[PID]],0)),INDEX(Table3[[#All],[STM]],MATCH(Table5[[#This Row],[PID]],Table3[[#All],[PID]],0)))</f>
        <v>4</v>
      </c>
      <c r="Q1156" s="61">
        <f>IF($C1156="B",INDEX(Batters[[#All],[Tot]],MATCH(Table5[[#This Row],[PID]],Batters[[#All],[PID]],0)),INDEX(Table3[[#All],[Tot]],MATCH(Table5[[#This Row],[PID]],Table3[[#All],[PID]],0)))</f>
        <v>39.890183325239803</v>
      </c>
      <c r="R1156" s="52">
        <f>IF($C1156="B",INDEX(Batters[[#All],[zScore]],MATCH(Table5[[#This Row],[PID]],Batters[[#All],[PID]],0)),INDEX(Table3[[#All],[zScore]],MATCH(Table5[[#This Row],[PID]],Table3[[#All],[PID]],0)))</f>
        <v>-0.94042606469287893</v>
      </c>
      <c r="S1156" s="58" t="str">
        <f>IF($C1156="B",INDEX(Batters[[#All],[DEM]],MATCH(Table5[[#This Row],[PID]],Batters[[#All],[PID]],0)),INDEX(Table3[[#All],[DEM]],MATCH(Table5[[#This Row],[PID]],Table3[[#All],[PID]],0)))</f>
        <v>-</v>
      </c>
      <c r="T1156" s="62">
        <f>IF($C1156="B",INDEX(Batters[[#All],[Rnk]],MATCH(Table5[[#This Row],[PID]],Batters[[#All],[PID]],0)),INDEX(Table3[[#All],[Rnk]],MATCH(Table5[[#This Row],[PID]],Table3[[#All],[PID]],0)))</f>
        <v>431</v>
      </c>
      <c r="U1156" s="68">
        <f>IF($C1156="B",VLOOKUP($A1156,Bat!$A$4:$BA$1621,47,FALSE),VLOOKUP($A1156,Pit!$A$4:$BF$1557,56,FALSE))</f>
        <v>0</v>
      </c>
      <c r="V1156" s="50">
        <f>IF($C1156="B",VLOOKUP($A1156,Bat!$A$4:$BA$1621,48,FALSE),VLOOKUP($A1156,Pit!$A$4:$BF$1557,57,FALSE))</f>
        <v>0</v>
      </c>
      <c r="W1156" s="50">
        <f>Table5[[#This Row],[posRnk]]+Table5[[#This Row],[zRnk]]+IF($W$3&lt;&gt;Table5[[#This Row],[Type]],50,0)</f>
        <v>1598</v>
      </c>
      <c r="X1156" s="51">
        <f>RANK(Table5[[#This Row],[zScore]],Table5[[#All],[zScore]])</f>
        <v>1117</v>
      </c>
      <c r="Y1156" s="50" t="str">
        <f>IFERROR(INDEX(DraftResults[[#All],[OVR]],MATCH(Table5[[#This Row],[PID]],DraftResults[[#All],[Player ID]],0)),"")</f>
        <v/>
      </c>
      <c r="Z11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6" s="50" t="str">
        <f>IFERROR(INDEX(DraftResults[[#All],[Pick in Round]],MATCH(Table5[[#This Row],[PID]],DraftResults[[#All],[Player ID]],0)),"")</f>
        <v/>
      </c>
      <c r="AB1156" s="50" t="str">
        <f>IFERROR(INDEX(DraftResults[[#All],[Team Name]],MATCH(Table5[[#This Row],[PID]],DraftResults[[#All],[Player ID]],0)),"")</f>
        <v/>
      </c>
      <c r="AC1156" s="50" t="str">
        <f>IF(Table5[[#This Row],[Ovr]]="","",IF(Table5[[#This Row],[cmbList]]="","",Table5[[#This Row],[cmbList]]-Table5[[#This Row],[Ovr]]))</f>
        <v/>
      </c>
      <c r="AD1156" s="54" t="str">
        <f>IF(ISERROR(VLOOKUP($AB1156&amp;"-"&amp;$E1156&amp;" "&amp;F1156,Bonuses!$B$1:$G$1006,4,FALSE)),"",INT(VLOOKUP($AB1156&amp;"-"&amp;$E1156&amp;" "&amp;$F1156,Bonuses!$B$1:$G$1006,4,FALSE)))</f>
        <v/>
      </c>
      <c r="AE11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7" spans="1:31" s="50" customFormat="1" x14ac:dyDescent="0.25">
      <c r="A1157" s="50">
        <v>15966</v>
      </c>
      <c r="B1157" s="50">
        <f>COUNTIF(Table5[PID],A1157)</f>
        <v>1</v>
      </c>
      <c r="C1157" s="50" t="str">
        <f>IF(COUNTIF(Table3[[#All],[PID]],A1157)&gt;0,"P","B")</f>
        <v>P</v>
      </c>
      <c r="D1157" s="59" t="str">
        <f>IF($C1157="B",INDEX(Batters[[#All],[POS]],MATCH(Table5[[#This Row],[PID]],Batters[[#All],[PID]],0)),INDEX(Table3[[#All],[POS]],MATCH(Table5[[#This Row],[PID]],Table3[[#All],[PID]],0)))</f>
        <v>RP</v>
      </c>
      <c r="E1157" s="52" t="str">
        <f>IF($C1157="B",INDEX(Batters[[#All],[First]],MATCH(Table5[[#This Row],[PID]],Batters[[#All],[PID]],0)),INDEX(Table3[[#All],[First]],MATCH(Table5[[#This Row],[PID]],Table3[[#All],[PID]],0)))</f>
        <v>Stuart</v>
      </c>
      <c r="F1157" s="50" t="str">
        <f>IF($C1157="B",INDEX(Batters[[#All],[Last]],MATCH(A1157,Batters[[#All],[PID]],0)),INDEX(Table3[[#All],[Last]],MATCH(A1157,Table3[[#All],[PID]],0)))</f>
        <v>Bould</v>
      </c>
      <c r="G1157" s="56">
        <f>IF($C1157="B",INDEX(Batters[[#All],[Age]],MATCH(Table5[[#This Row],[PID]],Batters[[#All],[PID]],0)),INDEX(Table3[[#All],[Age]],MATCH(Table5[[#This Row],[PID]],Table3[[#All],[PID]],0)))</f>
        <v>22</v>
      </c>
      <c r="H1157" s="52" t="str">
        <f>IF($C1157="B",INDEX(Batters[[#All],[B]],MATCH(Table5[[#This Row],[PID]],Batters[[#All],[PID]],0)),INDEX(Table3[[#All],[B]],MATCH(Table5[[#This Row],[PID]],Table3[[#All],[PID]],0)))</f>
        <v>R</v>
      </c>
      <c r="I1157" s="52" t="str">
        <f>IF($C1157="B",INDEX(Batters[[#All],[T]],MATCH(Table5[[#This Row],[PID]],Batters[[#All],[PID]],0)),INDEX(Table3[[#All],[T]],MATCH(Table5[[#This Row],[PID]],Table3[[#All],[PID]],0)))</f>
        <v>R</v>
      </c>
      <c r="J1157" s="52" t="str">
        <f>IF($C1157="B",INDEX(Batters[[#All],[WE]],MATCH(Table5[[#This Row],[PID]],Batters[[#All],[PID]],0)),INDEX(Table3[[#All],[WE]],MATCH(Table5[[#This Row],[PID]],Table3[[#All],[PID]],0)))</f>
        <v>Low</v>
      </c>
      <c r="K1157" s="52" t="str">
        <f>IF($C1157="B",INDEX(Batters[[#All],[INT]],MATCH(Table5[[#This Row],[PID]],Batters[[#All],[PID]],0)),INDEX(Table3[[#All],[INT]],MATCH(Table5[[#This Row],[PID]],Table3[[#All],[PID]],0)))</f>
        <v>Normal</v>
      </c>
      <c r="L1157" s="60">
        <f>IF($C1157="B",INDEX(Batters[[#All],[CON P]],MATCH(Table5[[#This Row],[PID]],Batters[[#All],[PID]],0)),INDEX(Table3[[#All],[STU P]],MATCH(Table5[[#This Row],[PID]],Table3[[#All],[PID]],0)))</f>
        <v>4</v>
      </c>
      <c r="M1157" s="56">
        <f>IF($C1157="B",INDEX(Batters[[#All],[GAP P]],MATCH(Table5[[#This Row],[PID]],Batters[[#All],[PID]],0)),INDEX(Table3[[#All],[MOV P]],MATCH(Table5[[#This Row],[PID]],Table3[[#All],[PID]],0)))</f>
        <v>2</v>
      </c>
      <c r="N1157" s="56">
        <f>IF($C1157="B",INDEX(Batters[[#All],[POW P]],MATCH(Table5[[#This Row],[PID]],Batters[[#All],[PID]],0)),INDEX(Table3[[#All],[CON P]],MATCH(Table5[[#This Row],[PID]],Table3[[#All],[PID]],0)))</f>
        <v>3</v>
      </c>
      <c r="O1157" s="56" t="str">
        <f>IF($C1157="B",INDEX(Batters[[#All],[EYE P]],MATCH(Table5[[#This Row],[PID]],Batters[[#All],[PID]],0)),INDEX(Table3[[#All],[VELO]],MATCH(Table5[[#This Row],[PID]],Table3[[#All],[PID]],0)))</f>
        <v>86-88 Mph</v>
      </c>
      <c r="P1157" s="56">
        <f>IF($C1157="B",INDEX(Batters[[#All],[K P]],MATCH(Table5[[#This Row],[PID]],Batters[[#All],[PID]],0)),INDEX(Table3[[#All],[STM]],MATCH(Table5[[#This Row],[PID]],Table3[[#All],[PID]],0)))</f>
        <v>5</v>
      </c>
      <c r="Q1157" s="61">
        <f>IF($C1157="B",INDEX(Batters[[#All],[Tot]],MATCH(Table5[[#This Row],[PID]],Batters[[#All],[PID]],0)),INDEX(Table3[[#All],[Tot]],MATCH(Table5[[#This Row],[PID]],Table3[[#All],[PID]],0)))</f>
        <v>21.719074850935399</v>
      </c>
      <c r="R1157" s="52">
        <f>IF($C1157="B",INDEX(Batters[[#All],[zScore]],MATCH(Table5[[#This Row],[PID]],Batters[[#All],[PID]],0)),INDEX(Table3[[#All],[zScore]],MATCH(Table5[[#This Row],[PID]],Table3[[#All],[PID]],0)))</f>
        <v>-0.94147442285042171</v>
      </c>
      <c r="S1157" s="58" t="str">
        <f>IF($C1157="B",INDEX(Batters[[#All],[DEM]],MATCH(Table5[[#This Row],[PID]],Batters[[#All],[PID]],0)),INDEX(Table3[[#All],[DEM]],MATCH(Table5[[#This Row],[PID]],Table3[[#All],[PID]],0)))</f>
        <v>-</v>
      </c>
      <c r="T1157" s="62">
        <f>IF($C1157="B",INDEX(Batters[[#All],[Rnk]],MATCH(Table5[[#This Row],[PID]],Batters[[#All],[PID]],0)),INDEX(Table3[[#All],[Rnk]],MATCH(Table5[[#This Row],[PID]],Table3[[#All],[PID]],0)))</f>
        <v>686</v>
      </c>
      <c r="U1157" s="68">
        <f>IF($C1157="B",VLOOKUP($A1157,Bat!$A$4:$BA$1621,47,FALSE),VLOOKUP($A1157,Pit!$A$4:$BF$1557,56,FALSE))</f>
        <v>0</v>
      </c>
      <c r="V1157" s="50">
        <f>IF($C1157="B",VLOOKUP($A1157,Bat!$A$4:$BA$1621,48,FALSE),VLOOKUP($A1157,Pit!$A$4:$BF$1557,57,FALSE))</f>
        <v>0</v>
      </c>
      <c r="W1157" s="50">
        <f>Table5[[#This Row],[posRnk]]+Table5[[#This Row],[zRnk]]+IF($W$3&lt;&gt;Table5[[#This Row],[Type]],50,0)</f>
        <v>1854</v>
      </c>
      <c r="X1157" s="51">
        <f>RANK(Table5[[#This Row],[zScore]],Table5[[#All],[zScore]])</f>
        <v>1118</v>
      </c>
      <c r="Y1157" s="50" t="str">
        <f>IFERROR(INDEX(DraftResults[[#All],[OVR]],MATCH(Table5[[#This Row],[PID]],DraftResults[[#All],[Player ID]],0)),"")</f>
        <v/>
      </c>
      <c r="Z11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7" s="50" t="str">
        <f>IFERROR(INDEX(DraftResults[[#All],[Pick in Round]],MATCH(Table5[[#This Row],[PID]],DraftResults[[#All],[Player ID]],0)),"")</f>
        <v/>
      </c>
      <c r="AB1157" s="50" t="str">
        <f>IFERROR(INDEX(DraftResults[[#All],[Team Name]],MATCH(Table5[[#This Row],[PID]],DraftResults[[#All],[Player ID]],0)),"")</f>
        <v/>
      </c>
      <c r="AC1157" s="50" t="str">
        <f>IF(Table5[[#This Row],[Ovr]]="","",IF(Table5[[#This Row],[cmbList]]="","",Table5[[#This Row],[cmbList]]-Table5[[#This Row],[Ovr]]))</f>
        <v/>
      </c>
      <c r="AD1157" s="54" t="str">
        <f>IF(ISERROR(VLOOKUP($AB1157&amp;"-"&amp;$E1157&amp;" "&amp;F1157,Bonuses!$B$1:$G$1006,4,FALSE)),"",INT(VLOOKUP($AB1157&amp;"-"&amp;$E1157&amp;" "&amp;$F1157,Bonuses!$B$1:$G$1006,4,FALSE)))</f>
        <v/>
      </c>
      <c r="AE11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8" spans="1:31" s="50" customFormat="1" x14ac:dyDescent="0.25">
      <c r="A1158" s="50">
        <v>6062</v>
      </c>
      <c r="B1158" s="50">
        <f>COUNTIF(Table5[PID],A1158)</f>
        <v>1</v>
      </c>
      <c r="C1158" s="50" t="str">
        <f>IF(COUNTIF(Table3[[#All],[PID]],A1158)&gt;0,"P","B")</f>
        <v>P</v>
      </c>
      <c r="D1158" s="59" t="str">
        <f>IF($C1158="B",INDEX(Batters[[#All],[POS]],MATCH(Table5[[#This Row],[PID]],Batters[[#All],[PID]],0)),INDEX(Table3[[#All],[POS]],MATCH(Table5[[#This Row],[PID]],Table3[[#All],[PID]],0)))</f>
        <v>RP</v>
      </c>
      <c r="E1158" s="52" t="str">
        <f>IF($C1158="B",INDEX(Batters[[#All],[First]],MATCH(Table5[[#This Row],[PID]],Batters[[#All],[PID]],0)),INDEX(Table3[[#All],[First]],MATCH(Table5[[#This Row],[PID]],Table3[[#All],[PID]],0)))</f>
        <v>Eugene</v>
      </c>
      <c r="F1158" s="50" t="str">
        <f>IF($C1158="B",INDEX(Batters[[#All],[Last]],MATCH(A1158,Batters[[#All],[PID]],0)),INDEX(Table3[[#All],[Last]],MATCH(A1158,Table3[[#All],[PID]],0)))</f>
        <v>Matthews</v>
      </c>
      <c r="G1158" s="56">
        <f>IF($C1158="B",INDEX(Batters[[#All],[Age]],MATCH(Table5[[#This Row],[PID]],Batters[[#All],[PID]],0)),INDEX(Table3[[#All],[Age]],MATCH(Table5[[#This Row],[PID]],Table3[[#All],[PID]],0)))</f>
        <v>22</v>
      </c>
      <c r="H1158" s="52" t="str">
        <f>IF($C1158="B",INDEX(Batters[[#All],[B]],MATCH(Table5[[#This Row],[PID]],Batters[[#All],[PID]],0)),INDEX(Table3[[#All],[B]],MATCH(Table5[[#This Row],[PID]],Table3[[#All],[PID]],0)))</f>
        <v>L</v>
      </c>
      <c r="I1158" s="52" t="str">
        <f>IF($C1158="B",INDEX(Batters[[#All],[T]],MATCH(Table5[[#This Row],[PID]],Batters[[#All],[PID]],0)),INDEX(Table3[[#All],[T]],MATCH(Table5[[#This Row],[PID]],Table3[[#All],[PID]],0)))</f>
        <v>L</v>
      </c>
      <c r="J1158" s="52" t="str">
        <f>IF($C1158="B",INDEX(Batters[[#All],[WE]],MATCH(Table5[[#This Row],[PID]],Batters[[#All],[PID]],0)),INDEX(Table3[[#All],[WE]],MATCH(Table5[[#This Row],[PID]],Table3[[#All],[PID]],0)))</f>
        <v>Normal</v>
      </c>
      <c r="K1158" s="52" t="str">
        <f>IF($C1158="B",INDEX(Batters[[#All],[INT]],MATCH(Table5[[#This Row],[PID]],Batters[[#All],[PID]],0)),INDEX(Table3[[#All],[INT]],MATCH(Table5[[#This Row],[PID]],Table3[[#All],[PID]],0)))</f>
        <v>High</v>
      </c>
      <c r="L1158" s="60">
        <f>IF($C1158="B",INDEX(Batters[[#All],[CON P]],MATCH(Table5[[#This Row],[PID]],Batters[[#All],[PID]],0)),INDEX(Table3[[#All],[STU P]],MATCH(Table5[[#This Row],[PID]],Table3[[#All],[PID]],0)))</f>
        <v>3</v>
      </c>
      <c r="M1158" s="56">
        <f>IF($C1158="B",INDEX(Batters[[#All],[GAP P]],MATCH(Table5[[#This Row],[PID]],Batters[[#All],[PID]],0)),INDEX(Table3[[#All],[MOV P]],MATCH(Table5[[#This Row],[PID]],Table3[[#All],[PID]],0)))</f>
        <v>1</v>
      </c>
      <c r="N1158" s="56">
        <f>IF($C1158="B",INDEX(Batters[[#All],[POW P]],MATCH(Table5[[#This Row],[PID]],Batters[[#All],[PID]],0)),INDEX(Table3[[#All],[CON P]],MATCH(Table5[[#This Row],[PID]],Table3[[#All],[PID]],0)))</f>
        <v>3</v>
      </c>
      <c r="O1158" s="56" t="str">
        <f>IF($C1158="B",INDEX(Batters[[#All],[EYE P]],MATCH(Table5[[#This Row],[PID]],Batters[[#All],[PID]],0)),INDEX(Table3[[#All],[VELO]],MATCH(Table5[[#This Row],[PID]],Table3[[#All],[PID]],0)))</f>
        <v>86-88 Mph</v>
      </c>
      <c r="P1158" s="56">
        <f>IF($C1158="B",INDEX(Batters[[#All],[K P]],MATCH(Table5[[#This Row],[PID]],Batters[[#All],[PID]],0)),INDEX(Table3[[#All],[STM]],MATCH(Table5[[#This Row],[PID]],Table3[[#All],[PID]],0)))</f>
        <v>2</v>
      </c>
      <c r="Q1158" s="61">
        <f>IF($C1158="B",INDEX(Batters[[#All],[Tot]],MATCH(Table5[[#This Row],[PID]],Batters[[#All],[PID]],0)),INDEX(Table3[[#All],[Tot]],MATCH(Table5[[#This Row],[PID]],Table3[[#All],[PID]],0)))</f>
        <v>21.708042883944305</v>
      </c>
      <c r="R1158" s="52">
        <f>IF($C1158="B",INDEX(Batters[[#All],[zScore]],MATCH(Table5[[#This Row],[PID]],Batters[[#All],[PID]],0)),INDEX(Table3[[#All],[zScore]],MATCH(Table5[[#This Row],[PID]],Table3[[#All],[PID]],0)))</f>
        <v>-0.94220836275629294</v>
      </c>
      <c r="S1158" s="58" t="str">
        <f>IF($C1158="B",INDEX(Batters[[#All],[DEM]],MATCH(Table5[[#This Row],[PID]],Batters[[#All],[PID]],0)),INDEX(Table3[[#All],[DEM]],MATCH(Table5[[#This Row],[PID]],Table3[[#All],[PID]],0)))</f>
        <v>-</v>
      </c>
      <c r="T1158" s="62">
        <f>IF($C1158="B",INDEX(Batters[[#All],[Rnk]],MATCH(Table5[[#This Row],[PID]],Batters[[#All],[PID]],0)),INDEX(Table3[[#All],[Rnk]],MATCH(Table5[[#This Row],[PID]],Table3[[#All],[PID]],0)))</f>
        <v>687</v>
      </c>
      <c r="U1158" s="68">
        <f>IF($C1158="B",VLOOKUP($A1158,Bat!$A$4:$BA$1621,47,FALSE),VLOOKUP($A1158,Pit!$A$4:$BF$1557,56,FALSE))</f>
        <v>0</v>
      </c>
      <c r="V1158" s="50">
        <f>IF($C1158="B",VLOOKUP($A1158,Bat!$A$4:$BA$1621,48,FALSE),VLOOKUP($A1158,Pit!$A$4:$BF$1557,57,FALSE))</f>
        <v>0</v>
      </c>
      <c r="W1158" s="50">
        <f>Table5[[#This Row],[posRnk]]+Table5[[#This Row],[zRnk]]+IF($W$3&lt;&gt;Table5[[#This Row],[Type]],50,0)</f>
        <v>1856</v>
      </c>
      <c r="X1158" s="51">
        <f>RANK(Table5[[#This Row],[zScore]],Table5[[#All],[zScore]])</f>
        <v>1119</v>
      </c>
      <c r="Y1158" s="50" t="str">
        <f>IFERROR(INDEX(DraftResults[[#All],[OVR]],MATCH(Table5[[#This Row],[PID]],DraftResults[[#All],[Player ID]],0)),"")</f>
        <v/>
      </c>
      <c r="Z11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8" s="50" t="str">
        <f>IFERROR(INDEX(DraftResults[[#All],[Pick in Round]],MATCH(Table5[[#This Row],[PID]],DraftResults[[#All],[Player ID]],0)),"")</f>
        <v/>
      </c>
      <c r="AB1158" s="50" t="str">
        <f>IFERROR(INDEX(DraftResults[[#All],[Team Name]],MATCH(Table5[[#This Row],[PID]],DraftResults[[#All],[Player ID]],0)),"")</f>
        <v/>
      </c>
      <c r="AC1158" s="50" t="str">
        <f>IF(Table5[[#This Row],[Ovr]]="","",IF(Table5[[#This Row],[cmbList]]="","",Table5[[#This Row],[cmbList]]-Table5[[#This Row],[Ovr]]))</f>
        <v/>
      </c>
      <c r="AD1158" s="54" t="str">
        <f>IF(ISERROR(VLOOKUP($AB1158&amp;"-"&amp;$E1158&amp;" "&amp;F1158,Bonuses!$B$1:$G$1006,4,FALSE)),"",INT(VLOOKUP($AB1158&amp;"-"&amp;$E1158&amp;" "&amp;$F1158,Bonuses!$B$1:$G$1006,4,FALSE)))</f>
        <v/>
      </c>
      <c r="AE11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59" spans="1:31" s="50" customFormat="1" x14ac:dyDescent="0.25">
      <c r="A1159" s="50">
        <v>17770</v>
      </c>
      <c r="B1159" s="50">
        <f>COUNTIF(Table5[PID],A1159)</f>
        <v>1</v>
      </c>
      <c r="C1159" s="50" t="str">
        <f>IF(COUNTIF(Table3[[#All],[PID]],A1159)&gt;0,"P","B")</f>
        <v>B</v>
      </c>
      <c r="D1159" s="59" t="str">
        <f>IF($C1159="B",INDEX(Batters[[#All],[POS]],MATCH(Table5[[#This Row],[PID]],Batters[[#All],[PID]],0)),INDEX(Table3[[#All],[POS]],MATCH(Table5[[#This Row],[PID]],Table3[[#All],[PID]],0)))</f>
        <v>3B</v>
      </c>
      <c r="E1159" s="52" t="str">
        <f>IF($C1159="B",INDEX(Batters[[#All],[First]],MATCH(Table5[[#This Row],[PID]],Batters[[#All],[PID]],0)),INDEX(Table3[[#All],[First]],MATCH(Table5[[#This Row],[PID]],Table3[[#All],[PID]],0)))</f>
        <v>Ken'ichi</v>
      </c>
      <c r="F1159" s="50" t="str">
        <f>IF($C1159="B",INDEX(Batters[[#All],[Last]],MATCH(A1159,Batters[[#All],[PID]],0)),INDEX(Table3[[#All],[Last]],MATCH(A1159,Table3[[#All],[PID]],0)))</f>
        <v>Oshima</v>
      </c>
      <c r="G1159" s="56">
        <f>IF($C1159="B",INDEX(Batters[[#All],[Age]],MATCH(Table5[[#This Row],[PID]],Batters[[#All],[PID]],0)),INDEX(Table3[[#All],[Age]],MATCH(Table5[[#This Row],[PID]],Table3[[#All],[PID]],0)))</f>
        <v>21</v>
      </c>
      <c r="H1159" s="52" t="str">
        <f>IF($C1159="B",INDEX(Batters[[#All],[B]],MATCH(Table5[[#This Row],[PID]],Batters[[#All],[PID]],0)),INDEX(Table3[[#All],[B]],MATCH(Table5[[#This Row],[PID]],Table3[[#All],[PID]],0)))</f>
        <v>R</v>
      </c>
      <c r="I1159" s="52" t="str">
        <f>IF($C1159="B",INDEX(Batters[[#All],[T]],MATCH(Table5[[#This Row],[PID]],Batters[[#All],[PID]],0)),INDEX(Table3[[#All],[T]],MATCH(Table5[[#This Row],[PID]],Table3[[#All],[PID]],0)))</f>
        <v>R</v>
      </c>
      <c r="J1159" s="52" t="str">
        <f>IF($C1159="B",INDEX(Batters[[#All],[WE]],MATCH(Table5[[#This Row],[PID]],Batters[[#All],[PID]],0)),INDEX(Table3[[#All],[WE]],MATCH(Table5[[#This Row],[PID]],Table3[[#All],[PID]],0)))</f>
        <v>Normal</v>
      </c>
      <c r="K1159" s="52" t="str">
        <f>IF($C1159="B",INDEX(Batters[[#All],[INT]],MATCH(Table5[[#This Row],[PID]],Batters[[#All],[PID]],0)),INDEX(Table3[[#All],[INT]],MATCH(Table5[[#This Row],[PID]],Table3[[#All],[PID]],0)))</f>
        <v>Normal</v>
      </c>
      <c r="L1159" s="60">
        <f>IF($C1159="B",INDEX(Batters[[#All],[CON P]],MATCH(Table5[[#This Row],[PID]],Batters[[#All],[PID]],0)),INDEX(Table3[[#All],[STU P]],MATCH(Table5[[#This Row],[PID]],Table3[[#All],[PID]],0)))</f>
        <v>3</v>
      </c>
      <c r="M1159" s="56">
        <f>IF($C1159="B",INDEX(Batters[[#All],[GAP P]],MATCH(Table5[[#This Row],[PID]],Batters[[#All],[PID]],0)),INDEX(Table3[[#All],[MOV P]],MATCH(Table5[[#This Row],[PID]],Table3[[#All],[PID]],0)))</f>
        <v>5</v>
      </c>
      <c r="N1159" s="56">
        <f>IF($C1159="B",INDEX(Batters[[#All],[POW P]],MATCH(Table5[[#This Row],[PID]],Batters[[#All],[PID]],0)),INDEX(Table3[[#All],[CON P]],MATCH(Table5[[#This Row],[PID]],Table3[[#All],[PID]],0)))</f>
        <v>5</v>
      </c>
      <c r="O1159" s="56">
        <f>IF($C1159="B",INDEX(Batters[[#All],[EYE P]],MATCH(Table5[[#This Row],[PID]],Batters[[#All],[PID]],0)),INDEX(Table3[[#All],[VELO]],MATCH(Table5[[#This Row],[PID]],Table3[[#All],[PID]],0)))</f>
        <v>6</v>
      </c>
      <c r="P1159" s="56">
        <f>IF($C1159="B",INDEX(Batters[[#All],[K P]],MATCH(Table5[[#This Row],[PID]],Batters[[#All],[PID]],0)),INDEX(Table3[[#All],[STM]],MATCH(Table5[[#This Row],[PID]],Table3[[#All],[PID]],0)))</f>
        <v>2</v>
      </c>
      <c r="Q1159" s="61">
        <f>IF($C1159="B",INDEX(Batters[[#All],[Tot]],MATCH(Table5[[#This Row],[PID]],Batters[[#All],[PID]],0)),INDEX(Table3[[#All],[Tot]],MATCH(Table5[[#This Row],[PID]],Table3[[#All],[PID]],0)))</f>
        <v>39.866146733905907</v>
      </c>
      <c r="R1159" s="52">
        <f>IF($C1159="B",INDEX(Batters[[#All],[zScore]],MATCH(Table5[[#This Row],[PID]],Batters[[#All],[PID]],0)),INDEX(Table3[[#All],[zScore]],MATCH(Table5[[#This Row],[PID]],Table3[[#All],[PID]],0)))</f>
        <v>-0.94575513946388245</v>
      </c>
      <c r="S1159" s="58" t="str">
        <f>IF($C1159="B",INDEX(Batters[[#All],[DEM]],MATCH(Table5[[#This Row],[PID]],Batters[[#All],[PID]],0)),INDEX(Table3[[#All],[DEM]],MATCH(Table5[[#This Row],[PID]],Table3[[#All],[PID]],0)))</f>
        <v>-</v>
      </c>
      <c r="T1159" s="62">
        <f>IF($C1159="B",INDEX(Batters[[#All],[Rnk]],MATCH(Table5[[#This Row],[PID]],Batters[[#All],[PID]],0)),INDEX(Table3[[#All],[Rnk]],MATCH(Table5[[#This Row],[PID]],Table3[[#All],[PID]],0)))</f>
        <v>432</v>
      </c>
      <c r="U1159" s="68">
        <f>IF($C1159="B",VLOOKUP($A1159,Bat!$A$4:$BA$1621,47,FALSE),VLOOKUP($A1159,Pit!$A$4:$BF$1557,56,FALSE))</f>
        <v>0</v>
      </c>
      <c r="V1159" s="50">
        <f>IF($C1159="B",VLOOKUP($A1159,Bat!$A$4:$BA$1621,48,FALSE),VLOOKUP($A1159,Pit!$A$4:$BF$1557,57,FALSE))</f>
        <v>0</v>
      </c>
      <c r="W1159" s="50">
        <f>Table5[[#This Row],[posRnk]]+Table5[[#This Row],[zRnk]]+IF($W$3&lt;&gt;Table5[[#This Row],[Type]],50,0)</f>
        <v>1602</v>
      </c>
      <c r="X1159" s="51">
        <f>RANK(Table5[[#This Row],[zScore]],Table5[[#All],[zScore]])</f>
        <v>1120</v>
      </c>
      <c r="Y1159" s="50" t="str">
        <f>IFERROR(INDEX(DraftResults[[#All],[OVR]],MATCH(Table5[[#This Row],[PID]],DraftResults[[#All],[Player ID]],0)),"")</f>
        <v/>
      </c>
      <c r="Z11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59" s="50" t="str">
        <f>IFERROR(INDEX(DraftResults[[#All],[Pick in Round]],MATCH(Table5[[#This Row],[PID]],DraftResults[[#All],[Player ID]],0)),"")</f>
        <v/>
      </c>
      <c r="AB1159" s="50" t="str">
        <f>IFERROR(INDEX(DraftResults[[#All],[Team Name]],MATCH(Table5[[#This Row],[PID]],DraftResults[[#All],[Player ID]],0)),"")</f>
        <v/>
      </c>
      <c r="AC1159" s="50" t="str">
        <f>IF(Table5[[#This Row],[Ovr]]="","",IF(Table5[[#This Row],[cmbList]]="","",Table5[[#This Row],[cmbList]]-Table5[[#This Row],[Ovr]]))</f>
        <v/>
      </c>
      <c r="AD1159" s="54" t="str">
        <f>IF(ISERROR(VLOOKUP($AB1159&amp;"-"&amp;$E1159&amp;" "&amp;F1159,Bonuses!$B$1:$G$1006,4,FALSE)),"",INT(VLOOKUP($AB1159&amp;"-"&amp;$E1159&amp;" "&amp;$F1159,Bonuses!$B$1:$G$1006,4,FALSE)))</f>
        <v/>
      </c>
      <c r="AE11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0" spans="1:31" s="50" customFormat="1" x14ac:dyDescent="0.25">
      <c r="A1160" s="50">
        <v>5565</v>
      </c>
      <c r="B1160" s="50">
        <f>COUNTIF(Table5[PID],A1160)</f>
        <v>1</v>
      </c>
      <c r="C1160" s="50" t="str">
        <f>IF(COUNTIF(Table3[[#All],[PID]],A1160)&gt;0,"P","B")</f>
        <v>P</v>
      </c>
      <c r="D1160" s="59" t="str">
        <f>IF($C1160="B",INDEX(Batters[[#All],[POS]],MATCH(Table5[[#This Row],[PID]],Batters[[#All],[PID]],0)),INDEX(Table3[[#All],[POS]],MATCH(Table5[[#This Row],[PID]],Table3[[#All],[PID]],0)))</f>
        <v>RP</v>
      </c>
      <c r="E1160" s="52" t="str">
        <f>IF($C1160="B",INDEX(Batters[[#All],[First]],MATCH(Table5[[#This Row],[PID]],Batters[[#All],[PID]],0)),INDEX(Table3[[#All],[First]],MATCH(Table5[[#This Row],[PID]],Table3[[#All],[PID]],0)))</f>
        <v>Millard</v>
      </c>
      <c r="F1160" s="50" t="str">
        <f>IF($C1160="B",INDEX(Batters[[#All],[Last]],MATCH(A1160,Batters[[#All],[PID]],0)),INDEX(Table3[[#All],[Last]],MATCH(A1160,Table3[[#All],[PID]],0)))</f>
        <v>Dye</v>
      </c>
      <c r="G1160" s="56">
        <f>IF($C1160="B",INDEX(Batters[[#All],[Age]],MATCH(Table5[[#This Row],[PID]],Batters[[#All],[PID]],0)),INDEX(Table3[[#All],[Age]],MATCH(Table5[[#This Row],[PID]],Table3[[#All],[PID]],0)))</f>
        <v>21</v>
      </c>
      <c r="H1160" s="52" t="str">
        <f>IF($C1160="B",INDEX(Batters[[#All],[B]],MATCH(Table5[[#This Row],[PID]],Batters[[#All],[PID]],0)),INDEX(Table3[[#All],[B]],MATCH(Table5[[#This Row],[PID]],Table3[[#All],[PID]],0)))</f>
        <v>R</v>
      </c>
      <c r="I1160" s="52" t="str">
        <f>IF($C1160="B",INDEX(Batters[[#All],[T]],MATCH(Table5[[#This Row],[PID]],Batters[[#All],[PID]],0)),INDEX(Table3[[#All],[T]],MATCH(Table5[[#This Row],[PID]],Table3[[#All],[PID]],0)))</f>
        <v>R</v>
      </c>
      <c r="J1160" s="52" t="str">
        <f>IF($C1160="B",INDEX(Batters[[#All],[WE]],MATCH(Table5[[#This Row],[PID]],Batters[[#All],[PID]],0)),INDEX(Table3[[#All],[WE]],MATCH(Table5[[#This Row],[PID]],Table3[[#All],[PID]],0)))</f>
        <v>Low</v>
      </c>
      <c r="K1160" s="52" t="str">
        <f>IF($C1160="B",INDEX(Batters[[#All],[INT]],MATCH(Table5[[#This Row],[PID]],Batters[[#All],[PID]],0)),INDEX(Table3[[#All],[INT]],MATCH(Table5[[#This Row],[PID]],Table3[[#All],[PID]],0)))</f>
        <v>Normal</v>
      </c>
      <c r="L1160" s="60">
        <f>IF($C1160="B",INDEX(Batters[[#All],[CON P]],MATCH(Table5[[#This Row],[PID]],Batters[[#All],[PID]],0)),INDEX(Table3[[#All],[STU P]],MATCH(Table5[[#This Row],[PID]],Table3[[#All],[PID]],0)))</f>
        <v>3</v>
      </c>
      <c r="M1160" s="56">
        <f>IF($C1160="B",INDEX(Batters[[#All],[GAP P]],MATCH(Table5[[#This Row],[PID]],Batters[[#All],[PID]],0)),INDEX(Table3[[#All],[MOV P]],MATCH(Table5[[#This Row],[PID]],Table3[[#All],[PID]],0)))</f>
        <v>1</v>
      </c>
      <c r="N1160" s="56">
        <f>IF($C1160="B",INDEX(Batters[[#All],[POW P]],MATCH(Table5[[#This Row],[PID]],Batters[[#All],[PID]],0)),INDEX(Table3[[#All],[CON P]],MATCH(Table5[[#This Row],[PID]],Table3[[#All],[PID]],0)))</f>
        <v>3</v>
      </c>
      <c r="O1160" s="56" t="str">
        <f>IF($C1160="B",INDEX(Batters[[#All],[EYE P]],MATCH(Table5[[#This Row],[PID]],Batters[[#All],[PID]],0)),INDEX(Table3[[#All],[VELO]],MATCH(Table5[[#This Row],[PID]],Table3[[#All],[PID]],0)))</f>
        <v>88-90 Mph</v>
      </c>
      <c r="P1160" s="56">
        <f>IF($C1160="B",INDEX(Batters[[#All],[K P]],MATCH(Table5[[#This Row],[PID]],Batters[[#All],[PID]],0)),INDEX(Table3[[#All],[STM]],MATCH(Table5[[#This Row],[PID]],Table3[[#All],[PID]],0)))</f>
        <v>9</v>
      </c>
      <c r="Q1160" s="61">
        <f>IF($C1160="B",INDEX(Batters[[#All],[Tot]],MATCH(Table5[[#This Row],[PID]],Batters[[#All],[PID]],0)),INDEX(Table3[[#All],[Tot]],MATCH(Table5[[#This Row],[PID]],Table3[[#All],[PID]],0)))</f>
        <v>21.607791408439965</v>
      </c>
      <c r="R1160" s="52">
        <f>IF($C1160="B",INDEX(Batters[[#All],[zScore]],MATCH(Table5[[#This Row],[PID]],Batters[[#All],[PID]],0)),INDEX(Table3[[#All],[zScore]],MATCH(Table5[[#This Row],[PID]],Table3[[#All],[PID]],0)))</f>
        <v>-0.94887794022643046</v>
      </c>
      <c r="S1160" s="58" t="str">
        <f>IF($C1160="B",INDEX(Batters[[#All],[DEM]],MATCH(Table5[[#This Row],[PID]],Batters[[#All],[PID]],0)),INDEX(Table3[[#All],[DEM]],MATCH(Table5[[#This Row],[PID]],Table3[[#All],[PID]],0)))</f>
        <v>-</v>
      </c>
      <c r="T1160" s="62">
        <f>IF($C1160="B",INDEX(Batters[[#All],[Rnk]],MATCH(Table5[[#This Row],[PID]],Batters[[#All],[PID]],0)),INDEX(Table3[[#All],[Rnk]],MATCH(Table5[[#This Row],[PID]],Table3[[#All],[PID]],0)))</f>
        <v>688</v>
      </c>
      <c r="U1160" s="68">
        <f>IF($C1160="B",VLOOKUP($A1160,Bat!$A$4:$BA$1621,47,FALSE),VLOOKUP($A1160,Pit!$A$4:$BF$1557,56,FALSE))</f>
        <v>0</v>
      </c>
      <c r="V1160" s="50">
        <f>IF($C1160="B",VLOOKUP($A1160,Bat!$A$4:$BA$1621,48,FALSE),VLOOKUP($A1160,Pit!$A$4:$BF$1557,57,FALSE))</f>
        <v>0</v>
      </c>
      <c r="W1160" s="50">
        <f>Table5[[#This Row],[posRnk]]+Table5[[#This Row],[zRnk]]+IF($W$3&lt;&gt;Table5[[#This Row],[Type]],50,0)</f>
        <v>1859</v>
      </c>
      <c r="X1160" s="51">
        <f>RANK(Table5[[#This Row],[zScore]],Table5[[#All],[zScore]])</f>
        <v>1121</v>
      </c>
      <c r="Y1160" s="50" t="str">
        <f>IFERROR(INDEX(DraftResults[[#All],[OVR]],MATCH(Table5[[#This Row],[PID]],DraftResults[[#All],[Player ID]],0)),"")</f>
        <v/>
      </c>
      <c r="Z11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0" s="50" t="str">
        <f>IFERROR(INDEX(DraftResults[[#All],[Pick in Round]],MATCH(Table5[[#This Row],[PID]],DraftResults[[#All],[Player ID]],0)),"")</f>
        <v/>
      </c>
      <c r="AB1160" s="50" t="str">
        <f>IFERROR(INDEX(DraftResults[[#All],[Team Name]],MATCH(Table5[[#This Row],[PID]],DraftResults[[#All],[Player ID]],0)),"")</f>
        <v/>
      </c>
      <c r="AC1160" s="50" t="str">
        <f>IF(Table5[[#This Row],[Ovr]]="","",IF(Table5[[#This Row],[cmbList]]="","",Table5[[#This Row],[cmbList]]-Table5[[#This Row],[Ovr]]))</f>
        <v/>
      </c>
      <c r="AD1160" s="54" t="str">
        <f>IF(ISERROR(VLOOKUP($AB1160&amp;"-"&amp;$E1160&amp;" "&amp;F1160,Bonuses!$B$1:$G$1006,4,FALSE)),"",INT(VLOOKUP($AB1160&amp;"-"&amp;$E1160&amp;" "&amp;$F1160,Bonuses!$B$1:$G$1006,4,FALSE)))</f>
        <v/>
      </c>
      <c r="AE11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1" spans="1:31" s="50" customFormat="1" x14ac:dyDescent="0.25">
      <c r="A1161" s="50">
        <v>7105</v>
      </c>
      <c r="B1161" s="50">
        <f>COUNTIF(Table5[PID],A1161)</f>
        <v>1</v>
      </c>
      <c r="C1161" s="50" t="str">
        <f>IF(COUNTIF(Table3[[#All],[PID]],A1161)&gt;0,"P","B")</f>
        <v>P</v>
      </c>
      <c r="D1161" s="59" t="str">
        <f>IF($C1161="B",INDEX(Batters[[#All],[POS]],MATCH(Table5[[#This Row],[PID]],Batters[[#All],[PID]],0)),INDEX(Table3[[#All],[POS]],MATCH(Table5[[#This Row],[PID]],Table3[[#All],[PID]],0)))</f>
        <v>RP</v>
      </c>
      <c r="E1161" s="52" t="str">
        <f>IF($C1161="B",INDEX(Batters[[#All],[First]],MATCH(Table5[[#This Row],[PID]],Batters[[#All],[PID]],0)),INDEX(Table3[[#All],[First]],MATCH(Table5[[#This Row],[PID]],Table3[[#All],[PID]],0)))</f>
        <v>Eddie</v>
      </c>
      <c r="F1161" s="50" t="str">
        <f>IF($C1161="B",INDEX(Batters[[#All],[Last]],MATCH(A1161,Batters[[#All],[PID]],0)),INDEX(Table3[[#All],[Last]],MATCH(A1161,Table3[[#All],[PID]],0)))</f>
        <v>Yeandle</v>
      </c>
      <c r="G1161" s="56">
        <f>IF($C1161="B",INDEX(Batters[[#All],[Age]],MATCH(Table5[[#This Row],[PID]],Batters[[#All],[PID]],0)),INDEX(Table3[[#All],[Age]],MATCH(Table5[[#This Row],[PID]],Table3[[#All],[PID]],0)))</f>
        <v>22</v>
      </c>
      <c r="H1161" s="52" t="str">
        <f>IF($C1161="B",INDEX(Batters[[#All],[B]],MATCH(Table5[[#This Row],[PID]],Batters[[#All],[PID]],0)),INDEX(Table3[[#All],[B]],MATCH(Table5[[#This Row],[PID]],Table3[[#All],[PID]],0)))</f>
        <v>R</v>
      </c>
      <c r="I1161" s="52" t="str">
        <f>IF($C1161="B",INDEX(Batters[[#All],[T]],MATCH(Table5[[#This Row],[PID]],Batters[[#All],[PID]],0)),INDEX(Table3[[#All],[T]],MATCH(Table5[[#This Row],[PID]],Table3[[#All],[PID]],0)))</f>
        <v>R</v>
      </c>
      <c r="J1161" s="52" t="str">
        <f>IF($C1161="B",INDEX(Batters[[#All],[WE]],MATCH(Table5[[#This Row],[PID]],Batters[[#All],[PID]],0)),INDEX(Table3[[#All],[WE]],MATCH(Table5[[#This Row],[PID]],Table3[[#All],[PID]],0)))</f>
        <v>Low</v>
      </c>
      <c r="K1161" s="52" t="str">
        <f>IF($C1161="B",INDEX(Batters[[#All],[INT]],MATCH(Table5[[#This Row],[PID]],Batters[[#All],[PID]],0)),INDEX(Table3[[#All],[INT]],MATCH(Table5[[#This Row],[PID]],Table3[[#All],[PID]],0)))</f>
        <v>Normal</v>
      </c>
      <c r="L1161" s="60">
        <f>IF($C1161="B",INDEX(Batters[[#All],[CON P]],MATCH(Table5[[#This Row],[PID]],Batters[[#All],[PID]],0)),INDEX(Table3[[#All],[STU P]],MATCH(Table5[[#This Row],[PID]],Table3[[#All],[PID]],0)))</f>
        <v>4</v>
      </c>
      <c r="M1161" s="56">
        <f>IF($C1161="B",INDEX(Batters[[#All],[GAP P]],MATCH(Table5[[#This Row],[PID]],Batters[[#All],[PID]],0)),INDEX(Table3[[#All],[MOV P]],MATCH(Table5[[#This Row],[PID]],Table3[[#All],[PID]],0)))</f>
        <v>2</v>
      </c>
      <c r="N1161" s="56">
        <f>IF($C1161="B",INDEX(Batters[[#All],[POW P]],MATCH(Table5[[#This Row],[PID]],Batters[[#All],[PID]],0)),INDEX(Table3[[#All],[CON P]],MATCH(Table5[[#This Row],[PID]],Table3[[#All],[PID]],0)))</f>
        <v>2</v>
      </c>
      <c r="O1161" s="56" t="str">
        <f>IF($C1161="B",INDEX(Batters[[#All],[EYE P]],MATCH(Table5[[#This Row],[PID]],Batters[[#All],[PID]],0)),INDEX(Table3[[#All],[VELO]],MATCH(Table5[[#This Row],[PID]],Table3[[#All],[PID]],0)))</f>
        <v>90-92 Mph</v>
      </c>
      <c r="P1161" s="56">
        <f>IF($C1161="B",INDEX(Batters[[#All],[K P]],MATCH(Table5[[#This Row],[PID]],Batters[[#All],[PID]],0)),INDEX(Table3[[#All],[STM]],MATCH(Table5[[#This Row],[PID]],Table3[[#All],[PID]],0)))</f>
        <v>8</v>
      </c>
      <c r="Q1161" s="61">
        <f>IF($C1161="B",INDEX(Batters[[#All],[Tot]],MATCH(Table5[[#This Row],[PID]],Batters[[#All],[PID]],0)),INDEX(Table3[[#All],[Tot]],MATCH(Table5[[#This Row],[PID]],Table3[[#All],[PID]],0)))</f>
        <v>23.593401401119358</v>
      </c>
      <c r="R1161" s="52">
        <f>IF($C1161="B",INDEX(Batters[[#All],[zScore]],MATCH(Table5[[#This Row],[PID]],Batters[[#All],[PID]],0)),INDEX(Table3[[#All],[zScore]],MATCH(Table5[[#This Row],[PID]],Table3[[#All],[PID]],0)))</f>
        <v>-0.95417694293917565</v>
      </c>
      <c r="S1161" s="58" t="str">
        <f>IF($C1161="B",INDEX(Batters[[#All],[DEM]],MATCH(Table5[[#This Row],[PID]],Batters[[#All],[PID]],0)),INDEX(Table3[[#All],[DEM]],MATCH(Table5[[#This Row],[PID]],Table3[[#All],[PID]],0)))</f>
        <v>-</v>
      </c>
      <c r="T1161" s="62">
        <f>IF($C1161="B",INDEX(Batters[[#All],[Rnk]],MATCH(Table5[[#This Row],[PID]],Batters[[#All],[PID]],0)),INDEX(Table3[[#All],[Rnk]],MATCH(Table5[[#This Row],[PID]],Table3[[#All],[PID]],0)))</f>
        <v>689</v>
      </c>
      <c r="U1161" s="68">
        <f>IF($C1161="B",VLOOKUP($A1161,Bat!$A$4:$BA$1621,47,FALSE),VLOOKUP($A1161,Pit!$A$4:$BF$1557,56,FALSE))</f>
        <v>0</v>
      </c>
      <c r="V1161" s="50">
        <f>IF($C1161="B",VLOOKUP($A1161,Bat!$A$4:$BA$1621,48,FALSE),VLOOKUP($A1161,Pit!$A$4:$BF$1557,57,FALSE))</f>
        <v>0</v>
      </c>
      <c r="W1161" s="50">
        <f>Table5[[#This Row],[posRnk]]+Table5[[#This Row],[zRnk]]+IF($W$3&lt;&gt;Table5[[#This Row],[Type]],50,0)</f>
        <v>1861</v>
      </c>
      <c r="X1161" s="51">
        <f>RANK(Table5[[#This Row],[zScore]],Table5[[#All],[zScore]])</f>
        <v>1122</v>
      </c>
      <c r="Y1161" s="50" t="str">
        <f>IFERROR(INDEX(DraftResults[[#All],[OVR]],MATCH(Table5[[#This Row],[PID]],DraftResults[[#All],[Player ID]],0)),"")</f>
        <v/>
      </c>
      <c r="Z11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1" s="50" t="str">
        <f>IFERROR(INDEX(DraftResults[[#All],[Pick in Round]],MATCH(Table5[[#This Row],[PID]],DraftResults[[#All],[Player ID]],0)),"")</f>
        <v/>
      </c>
      <c r="AB1161" s="50" t="str">
        <f>IFERROR(INDEX(DraftResults[[#All],[Team Name]],MATCH(Table5[[#This Row],[PID]],DraftResults[[#All],[Player ID]],0)),"")</f>
        <v/>
      </c>
      <c r="AC1161" s="50" t="str">
        <f>IF(Table5[[#This Row],[Ovr]]="","",IF(Table5[[#This Row],[cmbList]]="","",Table5[[#This Row],[cmbList]]-Table5[[#This Row],[Ovr]]))</f>
        <v/>
      </c>
      <c r="AD1161" s="54" t="str">
        <f>IF(ISERROR(VLOOKUP($AB1161&amp;"-"&amp;$E1161&amp;" "&amp;F1161,Bonuses!$B$1:$G$1006,4,FALSE)),"",INT(VLOOKUP($AB1161&amp;"-"&amp;$E1161&amp;" "&amp;$F1161,Bonuses!$B$1:$G$1006,4,FALSE)))</f>
        <v/>
      </c>
      <c r="AE11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2" spans="1:31" s="50" customFormat="1" x14ac:dyDescent="0.25">
      <c r="A1162" s="50">
        <v>17834</v>
      </c>
      <c r="B1162" s="50">
        <f>COUNTIF(Table5[PID],A1162)</f>
        <v>1</v>
      </c>
      <c r="C1162" s="50" t="str">
        <f>IF(COUNTIF(Table3[[#All],[PID]],A1162)&gt;0,"P","B")</f>
        <v>B</v>
      </c>
      <c r="D1162" s="59" t="str">
        <f>IF($C1162="B",INDEX(Batters[[#All],[POS]],MATCH(Table5[[#This Row],[PID]],Batters[[#All],[PID]],0)),INDEX(Table3[[#All],[POS]],MATCH(Table5[[#This Row],[PID]],Table3[[#All],[PID]],0)))</f>
        <v>2B</v>
      </c>
      <c r="E1162" s="52" t="str">
        <f>IF($C1162="B",INDEX(Batters[[#All],[First]],MATCH(Table5[[#This Row],[PID]],Batters[[#All],[PID]],0)),INDEX(Table3[[#All],[First]],MATCH(Table5[[#This Row],[PID]],Table3[[#All],[PID]],0)))</f>
        <v>Soetsu</v>
      </c>
      <c r="F1162" s="50" t="str">
        <f>IF($C1162="B",INDEX(Batters[[#All],[Last]],MATCH(A1162,Batters[[#All],[PID]],0)),INDEX(Table3[[#All],[Last]],MATCH(A1162,Table3[[#All],[PID]],0)))</f>
        <v>Suzuki</v>
      </c>
      <c r="G1162" s="56">
        <f>IF($C1162="B",INDEX(Batters[[#All],[Age]],MATCH(Table5[[#This Row],[PID]],Batters[[#All],[PID]],0)),INDEX(Table3[[#All],[Age]],MATCH(Table5[[#This Row],[PID]],Table3[[#All],[PID]],0)))</f>
        <v>18</v>
      </c>
      <c r="H1162" s="52" t="str">
        <f>IF($C1162="B",INDEX(Batters[[#All],[B]],MATCH(Table5[[#This Row],[PID]],Batters[[#All],[PID]],0)),INDEX(Table3[[#All],[B]],MATCH(Table5[[#This Row],[PID]],Table3[[#All],[PID]],0)))</f>
        <v>L</v>
      </c>
      <c r="I1162" s="52" t="str">
        <f>IF($C1162="B",INDEX(Batters[[#All],[T]],MATCH(Table5[[#This Row],[PID]],Batters[[#All],[PID]],0)),INDEX(Table3[[#All],[T]],MATCH(Table5[[#This Row],[PID]],Table3[[#All],[PID]],0)))</f>
        <v>R</v>
      </c>
      <c r="J1162" s="52" t="str">
        <f>IF($C1162="B",INDEX(Batters[[#All],[WE]],MATCH(Table5[[#This Row],[PID]],Batters[[#All],[PID]],0)),INDEX(Table3[[#All],[WE]],MATCH(Table5[[#This Row],[PID]],Table3[[#All],[PID]],0)))</f>
        <v>Normal</v>
      </c>
      <c r="K1162" s="52" t="str">
        <f>IF($C1162="B",INDEX(Batters[[#All],[INT]],MATCH(Table5[[#This Row],[PID]],Batters[[#All],[PID]],0)),INDEX(Table3[[#All],[INT]],MATCH(Table5[[#This Row],[PID]],Table3[[#All],[PID]],0)))</f>
        <v>Normal</v>
      </c>
      <c r="L1162" s="60">
        <f>IF($C1162="B",INDEX(Batters[[#All],[CON P]],MATCH(Table5[[#This Row],[PID]],Batters[[#All],[PID]],0)),INDEX(Table3[[#All],[STU P]],MATCH(Table5[[#This Row],[PID]],Table3[[#All],[PID]],0)))</f>
        <v>3</v>
      </c>
      <c r="M1162" s="56">
        <f>IF($C1162="B",INDEX(Batters[[#All],[GAP P]],MATCH(Table5[[#This Row],[PID]],Batters[[#All],[PID]],0)),INDEX(Table3[[#All],[MOV P]],MATCH(Table5[[#This Row],[PID]],Table3[[#All],[PID]],0)))</f>
        <v>2</v>
      </c>
      <c r="N1162" s="56">
        <f>IF($C1162="B",INDEX(Batters[[#All],[POW P]],MATCH(Table5[[#This Row],[PID]],Batters[[#All],[PID]],0)),INDEX(Table3[[#All],[CON P]],MATCH(Table5[[#This Row],[PID]],Table3[[#All],[PID]],0)))</f>
        <v>3</v>
      </c>
      <c r="O1162" s="56">
        <f>IF($C1162="B",INDEX(Batters[[#All],[EYE P]],MATCH(Table5[[#This Row],[PID]],Batters[[#All],[PID]],0)),INDEX(Table3[[#All],[VELO]],MATCH(Table5[[#This Row],[PID]],Table3[[#All],[PID]],0)))</f>
        <v>4</v>
      </c>
      <c r="P1162" s="56">
        <f>IF($C1162="B",INDEX(Batters[[#All],[K P]],MATCH(Table5[[#This Row],[PID]],Batters[[#All],[PID]],0)),INDEX(Table3[[#All],[STM]],MATCH(Table5[[#This Row],[PID]],Table3[[#All],[PID]],0)))</f>
        <v>4</v>
      </c>
      <c r="Q1162" s="61">
        <f>IF($C1162="B",INDEX(Batters[[#All],[Tot]],MATCH(Table5[[#This Row],[PID]],Batters[[#All],[PID]],0)),INDEX(Table3[[#All],[Tot]],MATCH(Table5[[#This Row],[PID]],Table3[[#All],[PID]],0)))</f>
        <v>39.814389086111923</v>
      </c>
      <c r="R1162" s="52">
        <f>IF($C1162="B",INDEX(Batters[[#All],[zScore]],MATCH(Table5[[#This Row],[PID]],Batters[[#All],[PID]],0)),INDEX(Table3[[#All],[zScore]],MATCH(Table5[[#This Row],[PID]],Table3[[#All],[PID]],0)))</f>
        <v>-0.95723015982903925</v>
      </c>
      <c r="S1162" s="58" t="str">
        <f>IF($C1162="B",INDEX(Batters[[#All],[DEM]],MATCH(Table5[[#This Row],[PID]],Batters[[#All],[PID]],0)),INDEX(Table3[[#All],[DEM]],MATCH(Table5[[#This Row],[PID]],Table3[[#All],[PID]],0)))</f>
        <v>$65k</v>
      </c>
      <c r="T1162" s="62">
        <f>IF($C1162="B",INDEX(Batters[[#All],[Rnk]],MATCH(Table5[[#This Row],[PID]],Batters[[#All],[PID]],0)),INDEX(Table3[[#All],[Rnk]],MATCH(Table5[[#This Row],[PID]],Table3[[#All],[PID]],0)))</f>
        <v>433</v>
      </c>
      <c r="U1162" s="68">
        <f>IF($C1162="B",VLOOKUP($A1162,Bat!$A$4:$BA$1621,47,FALSE),VLOOKUP($A1162,Pit!$A$4:$BF$1557,56,FALSE))</f>
        <v>0</v>
      </c>
      <c r="V1162" s="50">
        <f>IF($C1162="B",VLOOKUP($A1162,Bat!$A$4:$BA$1621,48,FALSE),VLOOKUP($A1162,Pit!$A$4:$BF$1557,57,FALSE))</f>
        <v>0</v>
      </c>
      <c r="W1162" s="50">
        <f>Table5[[#This Row],[posRnk]]+Table5[[#This Row],[zRnk]]+IF($W$3&lt;&gt;Table5[[#This Row],[Type]],50,0)</f>
        <v>1606</v>
      </c>
      <c r="X1162" s="51">
        <f>RANK(Table5[[#This Row],[zScore]],Table5[[#All],[zScore]])</f>
        <v>1123</v>
      </c>
      <c r="Y1162" s="50" t="str">
        <f>IFERROR(INDEX(DraftResults[[#All],[OVR]],MATCH(Table5[[#This Row],[PID]],DraftResults[[#All],[Player ID]],0)),"")</f>
        <v/>
      </c>
      <c r="Z11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2" s="50" t="str">
        <f>IFERROR(INDEX(DraftResults[[#All],[Pick in Round]],MATCH(Table5[[#This Row],[PID]],DraftResults[[#All],[Player ID]],0)),"")</f>
        <v/>
      </c>
      <c r="AB1162" s="50" t="str">
        <f>IFERROR(INDEX(DraftResults[[#All],[Team Name]],MATCH(Table5[[#This Row],[PID]],DraftResults[[#All],[Player ID]],0)),"")</f>
        <v/>
      </c>
      <c r="AC1162" s="50" t="str">
        <f>IF(Table5[[#This Row],[Ovr]]="","",IF(Table5[[#This Row],[cmbList]]="","",Table5[[#This Row],[cmbList]]-Table5[[#This Row],[Ovr]]))</f>
        <v/>
      </c>
      <c r="AD1162" s="54" t="str">
        <f>IF(ISERROR(VLOOKUP($AB1162&amp;"-"&amp;$E1162&amp;" "&amp;F1162,Bonuses!$B$1:$G$1006,4,FALSE)),"",INT(VLOOKUP($AB1162&amp;"-"&amp;$E1162&amp;" "&amp;$F1162,Bonuses!$B$1:$G$1006,4,FALSE)))</f>
        <v/>
      </c>
      <c r="AE11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3" spans="1:31" s="50" customFormat="1" x14ac:dyDescent="0.25">
      <c r="A1163" s="50">
        <v>18359</v>
      </c>
      <c r="B1163" s="55">
        <f>COUNTIF(Table5[PID],A1163)</f>
        <v>1</v>
      </c>
      <c r="C1163" s="55" t="str">
        <f>IF(COUNTIF(Table3[[#All],[PID]],A1163)&gt;0,"P","B")</f>
        <v>B</v>
      </c>
      <c r="D1163" s="59" t="str">
        <f>IF($C1163="B",INDEX(Batters[[#All],[POS]],MATCH(Table5[[#This Row],[PID]],Batters[[#All],[PID]],0)),INDEX(Table3[[#All],[POS]],MATCH(Table5[[#This Row],[PID]],Table3[[#All],[PID]],0)))</f>
        <v>2B</v>
      </c>
      <c r="E1163" s="52" t="str">
        <f>IF($C1163="B",INDEX(Batters[[#All],[First]],MATCH(Table5[[#This Row],[PID]],Batters[[#All],[PID]],0)),INDEX(Table3[[#All],[First]],MATCH(Table5[[#This Row],[PID]],Table3[[#All],[PID]],0)))</f>
        <v>Naoaki</v>
      </c>
      <c r="F1163" s="50" t="str">
        <f>IF($C1163="B",INDEX(Batters[[#All],[Last]],MATCH(A1163,Batters[[#All],[PID]],0)),INDEX(Table3[[#All],[Last]],MATCH(A1163,Table3[[#All],[PID]],0)))</f>
        <v>Nakagawa</v>
      </c>
      <c r="G1163" s="56">
        <f>IF($C1163="B",INDEX(Batters[[#All],[Age]],MATCH(Table5[[#This Row],[PID]],Batters[[#All],[PID]],0)),INDEX(Table3[[#All],[Age]],MATCH(Table5[[#This Row],[PID]],Table3[[#All],[PID]],0)))</f>
        <v>18</v>
      </c>
      <c r="H1163" s="52" t="str">
        <f>IF($C1163="B",INDEX(Batters[[#All],[B]],MATCH(Table5[[#This Row],[PID]],Batters[[#All],[PID]],0)),INDEX(Table3[[#All],[B]],MATCH(Table5[[#This Row],[PID]],Table3[[#All],[PID]],0)))</f>
        <v>R</v>
      </c>
      <c r="I1163" s="52" t="str">
        <f>IF($C1163="B",INDEX(Batters[[#All],[T]],MATCH(Table5[[#This Row],[PID]],Batters[[#All],[PID]],0)),INDEX(Table3[[#All],[T]],MATCH(Table5[[#This Row],[PID]],Table3[[#All],[PID]],0)))</f>
        <v>R</v>
      </c>
      <c r="J1163" s="52" t="str">
        <f>IF($C1163="B",INDEX(Batters[[#All],[WE]],MATCH(Table5[[#This Row],[PID]],Batters[[#All],[PID]],0)),INDEX(Table3[[#All],[WE]],MATCH(Table5[[#This Row],[PID]],Table3[[#All],[PID]],0)))</f>
        <v>High</v>
      </c>
      <c r="K1163" s="52" t="str">
        <f>IF($C1163="B",INDEX(Batters[[#All],[INT]],MATCH(Table5[[#This Row],[PID]],Batters[[#All],[PID]],0)),INDEX(Table3[[#All],[INT]],MATCH(Table5[[#This Row],[PID]],Table3[[#All],[PID]],0)))</f>
        <v>Low</v>
      </c>
      <c r="L1163" s="60">
        <f>IF($C1163="B",INDEX(Batters[[#All],[CON P]],MATCH(Table5[[#This Row],[PID]],Batters[[#All],[PID]],0)),INDEX(Table3[[#All],[STU P]],MATCH(Table5[[#This Row],[PID]],Table3[[#All],[PID]],0)))</f>
        <v>3</v>
      </c>
      <c r="M1163" s="56">
        <f>IF($C1163="B",INDEX(Batters[[#All],[GAP P]],MATCH(Table5[[#This Row],[PID]],Batters[[#All],[PID]],0)),INDEX(Table3[[#All],[MOV P]],MATCH(Table5[[#This Row],[PID]],Table3[[#All],[PID]],0)))</f>
        <v>2</v>
      </c>
      <c r="N1163" s="56">
        <f>IF($C1163="B",INDEX(Batters[[#All],[POW P]],MATCH(Table5[[#This Row],[PID]],Batters[[#All],[PID]],0)),INDEX(Table3[[#All],[CON P]],MATCH(Table5[[#This Row],[PID]],Table3[[#All],[PID]],0)))</f>
        <v>3</v>
      </c>
      <c r="O1163" s="56">
        <f>IF($C1163="B",INDEX(Batters[[#All],[EYE P]],MATCH(Table5[[#This Row],[PID]],Batters[[#All],[PID]],0)),INDEX(Table3[[#All],[VELO]],MATCH(Table5[[#This Row],[PID]],Table3[[#All],[PID]],0)))</f>
        <v>4</v>
      </c>
      <c r="P1163" s="56">
        <f>IF($C1163="B",INDEX(Batters[[#All],[K P]],MATCH(Table5[[#This Row],[PID]],Batters[[#All],[PID]],0)),INDEX(Table3[[#All],[STM]],MATCH(Table5[[#This Row],[PID]],Table3[[#All],[PID]],0)))</f>
        <v>4</v>
      </c>
      <c r="Q1163" s="61">
        <f>IF($C1163="B",INDEX(Batters[[#All],[Tot]],MATCH(Table5[[#This Row],[PID]],Batters[[#All],[PID]],0)),INDEX(Table3[[#All],[Tot]],MATCH(Table5[[#This Row],[PID]],Table3[[#All],[PID]],0)))</f>
        <v>39.814389086111916</v>
      </c>
      <c r="R1163" s="52">
        <f>IF($C1163="B",INDEX(Batters[[#All],[zScore]],MATCH(Table5[[#This Row],[PID]],Batters[[#All],[PID]],0)),INDEX(Table3[[#All],[zScore]],MATCH(Table5[[#This Row],[PID]],Table3[[#All],[PID]],0)))</f>
        <v>-0.95723015982904092</v>
      </c>
      <c r="S1163" s="58" t="str">
        <f>IF($C1163="B",INDEX(Batters[[#All],[DEM]],MATCH(Table5[[#This Row],[PID]],Batters[[#All],[PID]],0)),INDEX(Table3[[#All],[DEM]],MATCH(Table5[[#This Row],[PID]],Table3[[#All],[PID]],0)))</f>
        <v>-</v>
      </c>
      <c r="T1163" s="62">
        <f>IF($C1163="B",INDEX(Batters[[#All],[Rnk]],MATCH(Table5[[#This Row],[PID]],Batters[[#All],[PID]],0)),INDEX(Table3[[#All],[Rnk]],MATCH(Table5[[#This Row],[PID]],Table3[[#All],[PID]],0)))</f>
        <v>434</v>
      </c>
      <c r="U1163" s="68">
        <f>IF($C1163="B",VLOOKUP($A1163,Bat!$A$4:$BA$1621,47,FALSE),VLOOKUP($A1163,Pit!$A$4:$BF$1557,56,FALSE))</f>
        <v>0</v>
      </c>
      <c r="V1163" s="50">
        <f>IF($C1163="B",VLOOKUP($A1163,Bat!$A$4:$BA$1621,48,FALSE),VLOOKUP($A1163,Pit!$A$4:$BF$1557,57,FALSE))</f>
        <v>0</v>
      </c>
      <c r="W1163" s="50">
        <f>Table5[[#This Row],[posRnk]]+Table5[[#This Row],[zRnk]]+IF($W$3&lt;&gt;Table5[[#This Row],[Type]],50,0)</f>
        <v>1608</v>
      </c>
      <c r="X1163" s="51">
        <f>RANK(Table5[[#This Row],[zScore]],Table5[[#All],[zScore]])</f>
        <v>1124</v>
      </c>
      <c r="Y1163" s="50" t="str">
        <f>IFERROR(INDEX(DraftResults[[#All],[OVR]],MATCH(Table5[[#This Row],[PID]],DraftResults[[#All],[Player ID]],0)),"")</f>
        <v/>
      </c>
      <c r="Z11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3" s="50" t="str">
        <f>IFERROR(INDEX(DraftResults[[#All],[Pick in Round]],MATCH(Table5[[#This Row],[PID]],DraftResults[[#All],[Player ID]],0)),"")</f>
        <v/>
      </c>
      <c r="AB1163" s="50" t="str">
        <f>IFERROR(INDEX(DraftResults[[#All],[Team Name]],MATCH(Table5[[#This Row],[PID]],DraftResults[[#All],[Player ID]],0)),"")</f>
        <v/>
      </c>
      <c r="AC1163" s="50" t="str">
        <f>IF(Table5[[#This Row],[Ovr]]="","",IF(Table5[[#This Row],[cmbList]]="","",Table5[[#This Row],[cmbList]]-Table5[[#This Row],[Ovr]]))</f>
        <v/>
      </c>
      <c r="AD1163" s="54" t="str">
        <f>IF(ISERROR(VLOOKUP($AB1163&amp;"-"&amp;$E1163&amp;" "&amp;F1163,Bonuses!$B$1:$G$1006,4,FALSE)),"",INT(VLOOKUP($AB1163&amp;"-"&amp;$E1163&amp;" "&amp;$F1163,Bonuses!$B$1:$G$1006,4,FALSE)))</f>
        <v/>
      </c>
      <c r="AE11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4" spans="1:31" s="50" customFormat="1" x14ac:dyDescent="0.25">
      <c r="A1164" s="68">
        <v>9489</v>
      </c>
      <c r="B1164" s="69">
        <f>COUNTIF(Table5[PID],A1164)</f>
        <v>1</v>
      </c>
      <c r="C1164" s="69" t="str">
        <f>IF(COUNTIF(Table3[[#All],[PID]],A1164)&gt;0,"P","B")</f>
        <v>P</v>
      </c>
      <c r="D1164" s="59" t="str">
        <f>IF($C1164="B",INDEX(Batters[[#All],[POS]],MATCH(Table5[[#This Row],[PID]],Batters[[#All],[PID]],0)),INDEX(Table3[[#All],[POS]],MATCH(Table5[[#This Row],[PID]],Table3[[#All],[PID]],0)))</f>
        <v>SP</v>
      </c>
      <c r="E1164" s="52" t="str">
        <f>IF($C1164="B",INDEX(Batters[[#All],[First]],MATCH(Table5[[#This Row],[PID]],Batters[[#All],[PID]],0)),INDEX(Table3[[#All],[First]],MATCH(Table5[[#This Row],[PID]],Table3[[#All],[PID]],0)))</f>
        <v>Greg</v>
      </c>
      <c r="F1164" s="55" t="str">
        <f>IF($C1164="B",INDEX(Batters[[#All],[Last]],MATCH(A1164,Batters[[#All],[PID]],0)),INDEX(Table3[[#All],[Last]],MATCH(A1164,Table3[[#All],[PID]],0)))</f>
        <v>Roberts</v>
      </c>
      <c r="G1164" s="56">
        <f>IF($C1164="B",INDEX(Batters[[#All],[Age]],MATCH(Table5[[#This Row],[PID]],Batters[[#All],[PID]],0)),INDEX(Table3[[#All],[Age]],MATCH(Table5[[#This Row],[PID]],Table3[[#All],[PID]],0)))</f>
        <v>22</v>
      </c>
      <c r="H1164" s="52" t="str">
        <f>IF($C1164="B",INDEX(Batters[[#All],[B]],MATCH(Table5[[#This Row],[PID]],Batters[[#All],[PID]],0)),INDEX(Table3[[#All],[B]],MATCH(Table5[[#This Row],[PID]],Table3[[#All],[PID]],0)))</f>
        <v>L</v>
      </c>
      <c r="I1164" s="52" t="str">
        <f>IF($C1164="B",INDEX(Batters[[#All],[T]],MATCH(Table5[[#This Row],[PID]],Batters[[#All],[PID]],0)),INDEX(Table3[[#All],[T]],MATCH(Table5[[#This Row],[PID]],Table3[[#All],[PID]],0)))</f>
        <v>L</v>
      </c>
      <c r="J1164" s="71" t="str">
        <f>IF($C1164="B",INDEX(Batters[[#All],[WE]],MATCH(Table5[[#This Row],[PID]],Batters[[#All],[PID]],0)),INDEX(Table3[[#All],[WE]],MATCH(Table5[[#This Row],[PID]],Table3[[#All],[PID]],0)))</f>
        <v>High</v>
      </c>
      <c r="K1164" s="52" t="str">
        <f>IF($C1164="B",INDEX(Batters[[#All],[INT]],MATCH(Table5[[#This Row],[PID]],Batters[[#All],[PID]],0)),INDEX(Table3[[#All],[INT]],MATCH(Table5[[#This Row],[PID]],Table3[[#All],[PID]],0)))</f>
        <v>Normal</v>
      </c>
      <c r="L1164" s="60">
        <f>IF($C1164="B",INDEX(Batters[[#All],[CON P]],MATCH(Table5[[#This Row],[PID]],Batters[[#All],[PID]],0)),INDEX(Table3[[#All],[STU P]],MATCH(Table5[[#This Row],[PID]],Table3[[#All],[PID]],0)))</f>
        <v>3</v>
      </c>
      <c r="M1164" s="72">
        <f>IF($C1164="B",INDEX(Batters[[#All],[GAP P]],MATCH(Table5[[#This Row],[PID]],Batters[[#All],[PID]],0)),INDEX(Table3[[#All],[MOV P]],MATCH(Table5[[#This Row],[PID]],Table3[[#All],[PID]],0)))</f>
        <v>1</v>
      </c>
      <c r="N1164" s="72">
        <f>IF($C1164="B",INDEX(Batters[[#All],[POW P]],MATCH(Table5[[#This Row],[PID]],Batters[[#All],[PID]],0)),INDEX(Table3[[#All],[CON P]],MATCH(Table5[[#This Row],[PID]],Table3[[#All],[PID]],0)))</f>
        <v>3</v>
      </c>
      <c r="O1164" s="72" t="str">
        <f>IF($C1164="B",INDEX(Batters[[#All],[EYE P]],MATCH(Table5[[#This Row],[PID]],Batters[[#All],[PID]],0)),INDEX(Table3[[#All],[VELO]],MATCH(Table5[[#This Row],[PID]],Table3[[#All],[PID]],0)))</f>
        <v>88-90 Mph</v>
      </c>
      <c r="P1164" s="56">
        <f>IF($C1164="B",INDEX(Batters[[#All],[K P]],MATCH(Table5[[#This Row],[PID]],Batters[[#All],[PID]],0)),INDEX(Table3[[#All],[STM]],MATCH(Table5[[#This Row],[PID]],Table3[[#All],[PID]],0)))</f>
        <v>10</v>
      </c>
      <c r="Q1164" s="61">
        <f>IF($C1164="B",INDEX(Batters[[#All],[Tot]],MATCH(Table5[[#This Row],[PID]],Batters[[#All],[PID]],0)),INDEX(Table3[[#All],[Tot]],MATCH(Table5[[#This Row],[PID]],Table3[[#All],[PID]],0)))</f>
        <v>21.481255521650787</v>
      </c>
      <c r="R1164" s="52">
        <f>IF($C1164="B",INDEX(Batters[[#All],[zScore]],MATCH(Table5[[#This Row],[PID]],Batters[[#All],[PID]],0)),INDEX(Table3[[#All],[zScore]],MATCH(Table5[[#This Row],[PID]],Table3[[#All],[PID]],0)))</f>
        <v>-0.9572961794139071</v>
      </c>
      <c r="S1164" s="78" t="str">
        <f>IF($C1164="B",INDEX(Batters[[#All],[DEM]],MATCH(Table5[[#This Row],[PID]],Batters[[#All],[PID]],0)),INDEX(Table3[[#All],[DEM]],MATCH(Table5[[#This Row],[PID]],Table3[[#All],[PID]],0)))</f>
        <v>-</v>
      </c>
      <c r="T1164" s="75">
        <f>IF($C1164="B",INDEX(Batters[[#All],[Rnk]],MATCH(Table5[[#This Row],[PID]],Batters[[#All],[PID]],0)),INDEX(Table3[[#All],[Rnk]],MATCH(Table5[[#This Row],[PID]],Table3[[#All],[PID]],0)))</f>
        <v>690</v>
      </c>
      <c r="U1164" s="68">
        <f>IF($C1164="B",VLOOKUP($A1164,Bat!$A$4:$BA$1621,47,FALSE),VLOOKUP($A1164,Pit!$A$4:$BF$1557,56,FALSE))</f>
        <v>0</v>
      </c>
      <c r="V1164" s="50">
        <f>IF($C1164="B",VLOOKUP($A1164,Bat!$A$4:$BA$1621,48,FALSE),VLOOKUP($A1164,Pit!$A$4:$BF$1557,57,FALSE))</f>
        <v>0</v>
      </c>
      <c r="W1164" s="69">
        <f>Table5[[#This Row],[posRnk]]+Table5[[#This Row],[zRnk]]+IF($W$3&lt;&gt;Table5[[#This Row],[Type]],50,0)</f>
        <v>1865</v>
      </c>
      <c r="X1164" s="73">
        <f>RANK(Table5[[#This Row],[zScore]],Table5[[#All],[zScore]])</f>
        <v>1125</v>
      </c>
      <c r="Y1164" s="69" t="str">
        <f>IFERROR(INDEX(DraftResults[[#All],[OVR]],MATCH(Table5[[#This Row],[PID]],DraftResults[[#All],[Player ID]],0)),"")</f>
        <v/>
      </c>
      <c r="Z116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4" s="69" t="str">
        <f>IFERROR(INDEX(DraftResults[[#All],[Pick in Round]],MATCH(Table5[[#This Row],[PID]],DraftResults[[#All],[Player ID]],0)),"")</f>
        <v/>
      </c>
      <c r="AB1164" s="69" t="str">
        <f>IFERROR(INDEX(DraftResults[[#All],[Team Name]],MATCH(Table5[[#This Row],[PID]],DraftResults[[#All],[Player ID]],0)),"")</f>
        <v/>
      </c>
      <c r="AC1164" s="69" t="str">
        <f>IF(Table5[[#This Row],[Ovr]]="","",IF(Table5[[#This Row],[cmbList]]="","",Table5[[#This Row],[cmbList]]-Table5[[#This Row],[Ovr]]))</f>
        <v/>
      </c>
      <c r="AD1164" s="77" t="str">
        <f>IF(ISERROR(VLOOKUP($AB1164&amp;"-"&amp;$E1164&amp;" "&amp;F1164,Bonuses!$B$1:$G$1006,4,FALSE)),"",INT(VLOOKUP($AB1164&amp;"-"&amp;$E1164&amp;" "&amp;$F1164,Bonuses!$B$1:$G$1006,4,FALSE)))</f>
        <v/>
      </c>
      <c r="AE116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5" spans="1:31" s="50" customFormat="1" x14ac:dyDescent="0.25">
      <c r="A1165" s="50">
        <v>15961</v>
      </c>
      <c r="B1165" s="50">
        <f>COUNTIF(Table5[PID],A1165)</f>
        <v>1</v>
      </c>
      <c r="C1165" s="50" t="str">
        <f>IF(COUNTIF(Table3[[#All],[PID]],A1165)&gt;0,"P","B")</f>
        <v>P</v>
      </c>
      <c r="D1165" s="59" t="str">
        <f>IF($C1165="B",INDEX(Batters[[#All],[POS]],MATCH(Table5[[#This Row],[PID]],Batters[[#All],[PID]],0)),INDEX(Table3[[#All],[POS]],MATCH(Table5[[#This Row],[PID]],Table3[[#All],[PID]],0)))</f>
        <v>RP</v>
      </c>
      <c r="E1165" s="52" t="str">
        <f>IF($C1165="B",INDEX(Batters[[#All],[First]],MATCH(Table5[[#This Row],[PID]],Batters[[#All],[PID]],0)),INDEX(Table3[[#All],[First]],MATCH(Table5[[#This Row],[PID]],Table3[[#All],[PID]],0)))</f>
        <v>Christopher</v>
      </c>
      <c r="F1165" s="50" t="str">
        <f>IF($C1165="B",INDEX(Batters[[#All],[Last]],MATCH(A1165,Batters[[#All],[PID]],0)),INDEX(Table3[[#All],[Last]],MATCH(A1165,Table3[[#All],[PID]],0)))</f>
        <v>Veeck</v>
      </c>
      <c r="G1165" s="56">
        <f>IF($C1165="B",INDEX(Batters[[#All],[Age]],MATCH(Table5[[#This Row],[PID]],Batters[[#All],[PID]],0)),INDEX(Table3[[#All],[Age]],MATCH(Table5[[#This Row],[PID]],Table3[[#All],[PID]],0)))</f>
        <v>21</v>
      </c>
      <c r="H1165" s="52" t="str">
        <f>IF($C1165="B",INDEX(Batters[[#All],[B]],MATCH(Table5[[#This Row],[PID]],Batters[[#All],[PID]],0)),INDEX(Table3[[#All],[B]],MATCH(Table5[[#This Row],[PID]],Table3[[#All],[PID]],0)))</f>
        <v>R</v>
      </c>
      <c r="I1165" s="52" t="str">
        <f>IF($C1165="B",INDEX(Batters[[#All],[T]],MATCH(Table5[[#This Row],[PID]],Batters[[#All],[PID]],0)),INDEX(Table3[[#All],[T]],MATCH(Table5[[#This Row],[PID]],Table3[[#All],[PID]],0)))</f>
        <v>R</v>
      </c>
      <c r="J1165" s="52" t="str">
        <f>IF($C1165="B",INDEX(Batters[[#All],[WE]],MATCH(Table5[[#This Row],[PID]],Batters[[#All],[PID]],0)),INDEX(Table3[[#All],[WE]],MATCH(Table5[[#This Row],[PID]],Table3[[#All],[PID]],0)))</f>
        <v>Normal</v>
      </c>
      <c r="K1165" s="52" t="str">
        <f>IF($C1165="B",INDEX(Batters[[#All],[INT]],MATCH(Table5[[#This Row],[PID]],Batters[[#All],[PID]],0)),INDEX(Table3[[#All],[INT]],MATCH(Table5[[#This Row],[PID]],Table3[[#All],[PID]],0)))</f>
        <v>Normal</v>
      </c>
      <c r="L1165" s="60">
        <f>IF($C1165="B",INDEX(Batters[[#All],[CON P]],MATCH(Table5[[#This Row],[PID]],Batters[[#All],[PID]],0)),INDEX(Table3[[#All],[STU P]],MATCH(Table5[[#This Row],[PID]],Table3[[#All],[PID]],0)))</f>
        <v>4</v>
      </c>
      <c r="M1165" s="56">
        <f>IF($C1165="B",INDEX(Batters[[#All],[GAP P]],MATCH(Table5[[#This Row],[PID]],Batters[[#All],[PID]],0)),INDEX(Table3[[#All],[MOV P]],MATCH(Table5[[#This Row],[PID]],Table3[[#All],[PID]],0)))</f>
        <v>1</v>
      </c>
      <c r="N1165" s="56">
        <f>IF($C1165="B",INDEX(Batters[[#All],[POW P]],MATCH(Table5[[#This Row],[PID]],Batters[[#All],[PID]],0)),INDEX(Table3[[#All],[CON P]],MATCH(Table5[[#This Row],[PID]],Table3[[#All],[PID]],0)))</f>
        <v>3</v>
      </c>
      <c r="O1165" s="56" t="str">
        <f>IF($C1165="B",INDEX(Batters[[#All],[EYE P]],MATCH(Table5[[#This Row],[PID]],Batters[[#All],[PID]],0)),INDEX(Table3[[#All],[VELO]],MATCH(Table5[[#This Row],[PID]],Table3[[#All],[PID]],0)))</f>
        <v>90-92 Mph</v>
      </c>
      <c r="P1165" s="56">
        <f>IF($C1165="B",INDEX(Batters[[#All],[K P]],MATCH(Table5[[#This Row],[PID]],Batters[[#All],[PID]],0)),INDEX(Table3[[#All],[STM]],MATCH(Table5[[#This Row],[PID]],Table3[[#All],[PID]],0)))</f>
        <v>2</v>
      </c>
      <c r="Q1165" s="61">
        <f>IF($C1165="B",INDEX(Batters[[#All],[Tot]],MATCH(Table5[[#This Row],[PID]],Batters[[#All],[PID]],0)),INDEX(Table3[[#All],[Tot]],MATCH(Table5[[#This Row],[PID]],Table3[[#All],[PID]],0)))</f>
        <v>23.390496096141977</v>
      </c>
      <c r="R1165" s="52">
        <f>IF($C1165="B",INDEX(Batters[[#All],[zScore]],MATCH(Table5[[#This Row],[PID]],Batters[[#All],[PID]],0)),INDEX(Table3[[#All],[zScore]],MATCH(Table5[[#This Row],[PID]],Table3[[#All],[PID]],0)))</f>
        <v>-0.96885967105748194</v>
      </c>
      <c r="S1165" s="58" t="str">
        <f>IF($C1165="B",INDEX(Batters[[#All],[DEM]],MATCH(Table5[[#This Row],[PID]],Batters[[#All],[PID]],0)),INDEX(Table3[[#All],[DEM]],MATCH(Table5[[#This Row],[PID]],Table3[[#All],[PID]],0)))</f>
        <v>-</v>
      </c>
      <c r="T1165" s="62">
        <f>IF($C1165="B",INDEX(Batters[[#All],[Rnk]],MATCH(Table5[[#This Row],[PID]],Batters[[#All],[PID]],0)),INDEX(Table3[[#All],[Rnk]],MATCH(Table5[[#This Row],[PID]],Table3[[#All],[PID]],0)))</f>
        <v>691</v>
      </c>
      <c r="U1165" s="68">
        <f>IF($C1165="B",VLOOKUP($A1165,Bat!$A$4:$BA$1621,47,FALSE),VLOOKUP($A1165,Pit!$A$4:$BF$1557,56,FALSE))</f>
        <v>0</v>
      </c>
      <c r="V1165" s="50">
        <f>IF($C1165="B",VLOOKUP($A1165,Bat!$A$4:$BA$1621,48,FALSE),VLOOKUP($A1165,Pit!$A$4:$BF$1557,57,FALSE))</f>
        <v>0</v>
      </c>
      <c r="W1165" s="50">
        <f>Table5[[#This Row],[posRnk]]+Table5[[#This Row],[zRnk]]+IF($W$3&lt;&gt;Table5[[#This Row],[Type]],50,0)</f>
        <v>1867</v>
      </c>
      <c r="X1165" s="51">
        <f>RANK(Table5[[#This Row],[zScore]],Table5[[#All],[zScore]])</f>
        <v>1126</v>
      </c>
      <c r="Y1165" s="50" t="str">
        <f>IFERROR(INDEX(DraftResults[[#All],[OVR]],MATCH(Table5[[#This Row],[PID]],DraftResults[[#All],[Player ID]],0)),"")</f>
        <v/>
      </c>
      <c r="Z11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5" s="50" t="str">
        <f>IFERROR(INDEX(DraftResults[[#All],[Pick in Round]],MATCH(Table5[[#This Row],[PID]],DraftResults[[#All],[Player ID]],0)),"")</f>
        <v/>
      </c>
      <c r="AB1165" s="50" t="str">
        <f>IFERROR(INDEX(DraftResults[[#All],[Team Name]],MATCH(Table5[[#This Row],[PID]],DraftResults[[#All],[Player ID]],0)),"")</f>
        <v/>
      </c>
      <c r="AC1165" s="50" t="str">
        <f>IF(Table5[[#This Row],[Ovr]]="","",IF(Table5[[#This Row],[cmbList]]="","",Table5[[#This Row],[cmbList]]-Table5[[#This Row],[Ovr]]))</f>
        <v/>
      </c>
      <c r="AD1165" s="54" t="str">
        <f>IF(ISERROR(VLOOKUP($AB1165&amp;"-"&amp;$E1165&amp;" "&amp;F1165,Bonuses!$B$1:$G$1006,4,FALSE)),"",INT(VLOOKUP($AB1165&amp;"-"&amp;$E1165&amp;" "&amp;$F1165,Bonuses!$B$1:$G$1006,4,FALSE)))</f>
        <v/>
      </c>
      <c r="AE11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6" spans="1:31" s="50" customFormat="1" x14ac:dyDescent="0.25">
      <c r="A1166" s="50">
        <v>20608</v>
      </c>
      <c r="B1166" s="50">
        <f>COUNTIF(Table5[PID],A1166)</f>
        <v>1</v>
      </c>
      <c r="C1166" s="50" t="str">
        <f>IF(COUNTIF(Table3[[#All],[PID]],A1166)&gt;0,"P","B")</f>
        <v>P</v>
      </c>
      <c r="D1166" s="59" t="str">
        <f>IF($C1166="B",INDEX(Batters[[#All],[POS]],MATCH(Table5[[#This Row],[PID]],Batters[[#All],[PID]],0)),INDEX(Table3[[#All],[POS]],MATCH(Table5[[#This Row],[PID]],Table3[[#All],[PID]],0)))</f>
        <v>RP</v>
      </c>
      <c r="E1166" s="52" t="str">
        <f>IF($C1166="B",INDEX(Batters[[#All],[First]],MATCH(Table5[[#This Row],[PID]],Batters[[#All],[PID]],0)),INDEX(Table3[[#All],[First]],MATCH(Table5[[#This Row],[PID]],Table3[[#All],[PID]],0)))</f>
        <v>Kang</v>
      </c>
      <c r="F1166" s="50" t="str">
        <f>IF($C1166="B",INDEX(Batters[[#All],[Last]],MATCH(A1166,Batters[[#All],[PID]],0)),INDEX(Table3[[#All],[Last]],MATCH(A1166,Table3[[#All],[PID]],0)))</f>
        <v>Zhong</v>
      </c>
      <c r="G1166" s="56">
        <f>IF($C1166="B",INDEX(Batters[[#All],[Age]],MATCH(Table5[[#This Row],[PID]],Batters[[#All],[PID]],0)),INDEX(Table3[[#All],[Age]],MATCH(Table5[[#This Row],[PID]],Table3[[#All],[PID]],0)))</f>
        <v>18</v>
      </c>
      <c r="H1166" s="52" t="str">
        <f>IF($C1166="B",INDEX(Batters[[#All],[B]],MATCH(Table5[[#This Row],[PID]],Batters[[#All],[PID]],0)),INDEX(Table3[[#All],[B]],MATCH(Table5[[#This Row],[PID]],Table3[[#All],[PID]],0)))</f>
        <v>S</v>
      </c>
      <c r="I1166" s="52" t="str">
        <f>IF($C1166="B",INDEX(Batters[[#All],[T]],MATCH(Table5[[#This Row],[PID]],Batters[[#All],[PID]],0)),INDEX(Table3[[#All],[T]],MATCH(Table5[[#This Row],[PID]],Table3[[#All],[PID]],0)))</f>
        <v>R</v>
      </c>
      <c r="J1166" s="52" t="str">
        <f>IF($C1166="B",INDEX(Batters[[#All],[WE]],MATCH(Table5[[#This Row],[PID]],Batters[[#All],[PID]],0)),INDEX(Table3[[#All],[WE]],MATCH(Table5[[#This Row],[PID]],Table3[[#All],[PID]],0)))</f>
        <v>High</v>
      </c>
      <c r="K1166" s="52" t="str">
        <f>IF($C1166="B",INDEX(Batters[[#All],[INT]],MATCH(Table5[[#This Row],[PID]],Batters[[#All],[PID]],0)),INDEX(Table3[[#All],[INT]],MATCH(Table5[[#This Row],[PID]],Table3[[#All],[PID]],0)))</f>
        <v>Normal</v>
      </c>
      <c r="L1166" s="60">
        <f>IF($C1166="B",INDEX(Batters[[#All],[CON P]],MATCH(Table5[[#This Row],[PID]],Batters[[#All],[PID]],0)),INDEX(Table3[[#All],[STU P]],MATCH(Table5[[#This Row],[PID]],Table3[[#All],[PID]],0)))</f>
        <v>4</v>
      </c>
      <c r="M1166" s="56">
        <f>IF($C1166="B",INDEX(Batters[[#All],[GAP P]],MATCH(Table5[[#This Row],[PID]],Batters[[#All],[PID]],0)),INDEX(Table3[[#All],[MOV P]],MATCH(Table5[[#This Row],[PID]],Table3[[#All],[PID]],0)))</f>
        <v>2</v>
      </c>
      <c r="N1166" s="56">
        <f>IF($C1166="B",INDEX(Batters[[#All],[POW P]],MATCH(Table5[[#This Row],[PID]],Batters[[#All],[PID]],0)),INDEX(Table3[[#All],[CON P]],MATCH(Table5[[#This Row],[PID]],Table3[[#All],[PID]],0)))</f>
        <v>2</v>
      </c>
      <c r="O1166" s="56" t="str">
        <f>IF($C1166="B",INDEX(Batters[[#All],[EYE P]],MATCH(Table5[[#This Row],[PID]],Batters[[#All],[PID]],0)),INDEX(Table3[[#All],[VELO]],MATCH(Table5[[#This Row],[PID]],Table3[[#All],[PID]],0)))</f>
        <v>86-88 Mph</v>
      </c>
      <c r="P1166" s="56">
        <f>IF($C1166="B",INDEX(Batters[[#All],[K P]],MATCH(Table5[[#This Row],[PID]],Batters[[#All],[PID]],0)),INDEX(Table3[[#All],[STM]],MATCH(Table5[[#This Row],[PID]],Table3[[#All],[PID]],0)))</f>
        <v>2</v>
      </c>
      <c r="Q1166" s="61">
        <f>IF($C1166="B",INDEX(Batters[[#All],[Tot]],MATCH(Table5[[#This Row],[PID]],Batters[[#All],[PID]],0)),INDEX(Table3[[#All],[Tot]],MATCH(Table5[[#This Row],[PID]],Table3[[#All],[PID]],0)))</f>
        <v>23.358652980436318</v>
      </c>
      <c r="R1166" s="52">
        <f>IF($C1166="B",INDEX(Batters[[#All],[zScore]],MATCH(Table5[[#This Row],[PID]],Batters[[#All],[PID]],0)),INDEX(Table3[[#All],[zScore]],MATCH(Table5[[#This Row],[PID]],Table3[[#All],[PID]],0)))</f>
        <v>-0.97116391741712282</v>
      </c>
      <c r="S1166" s="58" t="str">
        <f>IF($C1166="B",INDEX(Batters[[#All],[DEM]],MATCH(Table5[[#This Row],[PID]],Batters[[#All],[PID]],0)),INDEX(Table3[[#All],[DEM]],MATCH(Table5[[#This Row],[PID]],Table3[[#All],[PID]],0)))</f>
        <v>$65k</v>
      </c>
      <c r="T1166" s="62">
        <f>IF($C1166="B",INDEX(Batters[[#All],[Rnk]],MATCH(Table5[[#This Row],[PID]],Batters[[#All],[PID]],0)),INDEX(Table3[[#All],[Rnk]],MATCH(Table5[[#This Row],[PID]],Table3[[#All],[PID]],0)))</f>
        <v>692</v>
      </c>
      <c r="U1166" s="68">
        <f>IF($C1166="B",VLOOKUP($A1166,Bat!$A$4:$BA$1621,47,FALSE),VLOOKUP($A1166,Pit!$A$4:$BF$1557,56,FALSE))</f>
        <v>0</v>
      </c>
      <c r="V1166" s="50">
        <f>IF($C1166="B",VLOOKUP($A1166,Bat!$A$4:$BA$1621,48,FALSE),VLOOKUP($A1166,Pit!$A$4:$BF$1557,57,FALSE))</f>
        <v>0</v>
      </c>
      <c r="W1166" s="50">
        <f>Table5[[#This Row],[posRnk]]+Table5[[#This Row],[zRnk]]+IF($W$3&lt;&gt;Table5[[#This Row],[Type]],50,0)</f>
        <v>1869</v>
      </c>
      <c r="X1166" s="51">
        <f>RANK(Table5[[#This Row],[zScore]],Table5[[#All],[zScore]])</f>
        <v>1127</v>
      </c>
      <c r="Y1166" s="50" t="str">
        <f>IFERROR(INDEX(DraftResults[[#All],[OVR]],MATCH(Table5[[#This Row],[PID]],DraftResults[[#All],[Player ID]],0)),"")</f>
        <v/>
      </c>
      <c r="Z11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6" s="50" t="str">
        <f>IFERROR(INDEX(DraftResults[[#All],[Pick in Round]],MATCH(Table5[[#This Row],[PID]],DraftResults[[#All],[Player ID]],0)),"")</f>
        <v/>
      </c>
      <c r="AB1166" s="50" t="str">
        <f>IFERROR(INDEX(DraftResults[[#All],[Team Name]],MATCH(Table5[[#This Row],[PID]],DraftResults[[#All],[Player ID]],0)),"")</f>
        <v/>
      </c>
      <c r="AC1166" s="50" t="str">
        <f>IF(Table5[[#This Row],[Ovr]]="","",IF(Table5[[#This Row],[cmbList]]="","",Table5[[#This Row],[cmbList]]-Table5[[#This Row],[Ovr]]))</f>
        <v/>
      </c>
      <c r="AD1166" s="54" t="str">
        <f>IF(ISERROR(VLOOKUP($AB1166&amp;"-"&amp;$E1166&amp;" "&amp;F1166,Bonuses!$B$1:$G$1006,4,FALSE)),"",INT(VLOOKUP($AB1166&amp;"-"&amp;$E1166&amp;" "&amp;$F1166,Bonuses!$B$1:$G$1006,4,FALSE)))</f>
        <v/>
      </c>
      <c r="AE11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7" spans="1:31" s="50" customFormat="1" x14ac:dyDescent="0.25">
      <c r="A1167" s="50">
        <v>13519</v>
      </c>
      <c r="B1167" s="50">
        <f>COUNTIF(Table5[PID],A1167)</f>
        <v>1</v>
      </c>
      <c r="C1167" s="50" t="str">
        <f>IF(COUNTIF(Table3[[#All],[PID]],A1167)&gt;0,"P","B")</f>
        <v>B</v>
      </c>
      <c r="D1167" s="59" t="str">
        <f>IF($C1167="B",INDEX(Batters[[#All],[POS]],MATCH(Table5[[#This Row],[PID]],Batters[[#All],[PID]],0)),INDEX(Table3[[#All],[POS]],MATCH(Table5[[#This Row],[PID]],Table3[[#All],[PID]],0)))</f>
        <v>1B</v>
      </c>
      <c r="E1167" s="52" t="str">
        <f>IF($C1167="B",INDEX(Batters[[#All],[First]],MATCH(Table5[[#This Row],[PID]],Batters[[#All],[PID]],0)),INDEX(Table3[[#All],[First]],MATCH(Table5[[#This Row],[PID]],Table3[[#All],[PID]],0)))</f>
        <v>Miguel</v>
      </c>
      <c r="F1167" s="50" t="str">
        <f>IF($C1167="B",INDEX(Batters[[#All],[Last]],MATCH(A1167,Batters[[#All],[PID]],0)),INDEX(Table3[[#All],[Last]],MATCH(A1167,Table3[[#All],[PID]],0)))</f>
        <v>López</v>
      </c>
      <c r="G1167" s="56">
        <f>IF($C1167="B",INDEX(Batters[[#All],[Age]],MATCH(Table5[[#This Row],[PID]],Batters[[#All],[PID]],0)),INDEX(Table3[[#All],[Age]],MATCH(Table5[[#This Row],[PID]],Table3[[#All],[PID]],0)))</f>
        <v>18</v>
      </c>
      <c r="H1167" s="52" t="str">
        <f>IF($C1167="B",INDEX(Batters[[#All],[B]],MATCH(Table5[[#This Row],[PID]],Batters[[#All],[PID]],0)),INDEX(Table3[[#All],[B]],MATCH(Table5[[#This Row],[PID]],Table3[[#All],[PID]],0)))</f>
        <v>R</v>
      </c>
      <c r="I1167" s="52" t="str">
        <f>IF($C1167="B",INDEX(Batters[[#All],[T]],MATCH(Table5[[#This Row],[PID]],Batters[[#All],[PID]],0)),INDEX(Table3[[#All],[T]],MATCH(Table5[[#This Row],[PID]],Table3[[#All],[PID]],0)))</f>
        <v>R</v>
      </c>
      <c r="J1167" s="52" t="str">
        <f>IF($C1167="B",INDEX(Batters[[#All],[WE]],MATCH(Table5[[#This Row],[PID]],Batters[[#All],[PID]],0)),INDEX(Table3[[#All],[WE]],MATCH(Table5[[#This Row],[PID]],Table3[[#All],[PID]],0)))</f>
        <v>High</v>
      </c>
      <c r="K1167" s="52" t="str">
        <f>IF($C1167="B",INDEX(Batters[[#All],[INT]],MATCH(Table5[[#This Row],[PID]],Batters[[#All],[PID]],0)),INDEX(Table3[[#All],[INT]],MATCH(Table5[[#This Row],[PID]],Table3[[#All],[PID]],0)))</f>
        <v>Normal</v>
      </c>
      <c r="L1167" s="60">
        <f>IF($C1167="B",INDEX(Batters[[#All],[CON P]],MATCH(Table5[[#This Row],[PID]],Batters[[#All],[PID]],0)),INDEX(Table3[[#All],[STU P]],MATCH(Table5[[#This Row],[PID]],Table3[[#All],[PID]],0)))</f>
        <v>4</v>
      </c>
      <c r="M1167" s="56">
        <f>IF($C1167="B",INDEX(Batters[[#All],[GAP P]],MATCH(Table5[[#This Row],[PID]],Batters[[#All],[PID]],0)),INDEX(Table3[[#All],[MOV P]],MATCH(Table5[[#This Row],[PID]],Table3[[#All],[PID]],0)))</f>
        <v>2</v>
      </c>
      <c r="N1167" s="56">
        <f>IF($C1167="B",INDEX(Batters[[#All],[POW P]],MATCH(Table5[[#This Row],[PID]],Batters[[#All],[PID]],0)),INDEX(Table3[[#All],[CON P]],MATCH(Table5[[#This Row],[PID]],Table3[[#All],[PID]],0)))</f>
        <v>2</v>
      </c>
      <c r="O1167" s="56">
        <f>IF($C1167="B",INDEX(Batters[[#All],[EYE P]],MATCH(Table5[[#This Row],[PID]],Batters[[#All],[PID]],0)),INDEX(Table3[[#All],[VELO]],MATCH(Table5[[#This Row],[PID]],Table3[[#All],[PID]],0)))</f>
        <v>1</v>
      </c>
      <c r="P1167" s="56">
        <f>IF($C1167="B",INDEX(Batters[[#All],[K P]],MATCH(Table5[[#This Row],[PID]],Batters[[#All],[PID]],0)),INDEX(Table3[[#All],[STM]],MATCH(Table5[[#This Row],[PID]],Table3[[#All],[PID]],0)))</f>
        <v>4</v>
      </c>
      <c r="Q1167" s="61">
        <f>IF($C1167="B",INDEX(Batters[[#All],[Tot]],MATCH(Table5[[#This Row],[PID]],Batters[[#All],[PID]],0)),INDEX(Table3[[#All],[Tot]],MATCH(Table5[[#This Row],[PID]],Table3[[#All],[PID]],0)))</f>
        <v>39.749806436911328</v>
      </c>
      <c r="R1167" s="52">
        <f>IF($C1167="B",INDEX(Batters[[#All],[zScore]],MATCH(Table5[[#This Row],[PID]],Batters[[#All],[PID]],0)),INDEX(Table3[[#All],[zScore]],MATCH(Table5[[#This Row],[PID]],Table3[[#All],[PID]],0)))</f>
        <v>-0.97154856969500591</v>
      </c>
      <c r="S1167" s="58" t="str">
        <f>IF($C1167="B",INDEX(Batters[[#All],[DEM]],MATCH(Table5[[#This Row],[PID]],Batters[[#All],[PID]],0)),INDEX(Table3[[#All],[DEM]],MATCH(Table5[[#This Row],[PID]],Table3[[#All],[PID]],0)))</f>
        <v>$130k</v>
      </c>
      <c r="T1167" s="62">
        <f>IF($C1167="B",INDEX(Batters[[#All],[Rnk]],MATCH(Table5[[#This Row],[PID]],Batters[[#All],[PID]],0)),INDEX(Table3[[#All],[Rnk]],MATCH(Table5[[#This Row],[PID]],Table3[[#All],[PID]],0)))</f>
        <v>435</v>
      </c>
      <c r="U1167" s="68">
        <f>IF($C1167="B",VLOOKUP($A1167,Bat!$A$4:$BA$1621,47,FALSE),VLOOKUP($A1167,Pit!$A$4:$BF$1557,56,FALSE))</f>
        <v>0</v>
      </c>
      <c r="V1167" s="50">
        <f>IF($C1167="B",VLOOKUP($A1167,Bat!$A$4:$BA$1621,48,FALSE),VLOOKUP($A1167,Pit!$A$4:$BF$1557,57,FALSE))</f>
        <v>0</v>
      </c>
      <c r="W1167" s="50">
        <f>Table5[[#This Row],[posRnk]]+Table5[[#This Row],[zRnk]]+IF($W$3&lt;&gt;Table5[[#This Row],[Type]],50,0)</f>
        <v>1613</v>
      </c>
      <c r="X1167" s="51">
        <f>RANK(Table5[[#This Row],[zScore]],Table5[[#All],[zScore]])</f>
        <v>1128</v>
      </c>
      <c r="Y1167" s="50" t="str">
        <f>IFERROR(INDEX(DraftResults[[#All],[OVR]],MATCH(Table5[[#This Row],[PID]],DraftResults[[#All],[Player ID]],0)),"")</f>
        <v/>
      </c>
      <c r="Z11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7" s="50" t="str">
        <f>IFERROR(INDEX(DraftResults[[#All],[Pick in Round]],MATCH(Table5[[#This Row],[PID]],DraftResults[[#All],[Player ID]],0)),"")</f>
        <v/>
      </c>
      <c r="AB1167" s="50" t="str">
        <f>IFERROR(INDEX(DraftResults[[#All],[Team Name]],MATCH(Table5[[#This Row],[PID]],DraftResults[[#All],[Player ID]],0)),"")</f>
        <v/>
      </c>
      <c r="AC1167" s="50" t="str">
        <f>IF(Table5[[#This Row],[Ovr]]="","",IF(Table5[[#This Row],[cmbList]]="","",Table5[[#This Row],[cmbList]]-Table5[[#This Row],[Ovr]]))</f>
        <v/>
      </c>
      <c r="AD1167" s="54" t="str">
        <f>IF(ISERROR(VLOOKUP($AB1167&amp;"-"&amp;$E1167&amp;" "&amp;F1167,Bonuses!$B$1:$G$1006,4,FALSE)),"",INT(VLOOKUP($AB1167&amp;"-"&amp;$E1167&amp;" "&amp;$F1167,Bonuses!$B$1:$G$1006,4,FALSE)))</f>
        <v/>
      </c>
      <c r="AE11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8" spans="1:31" s="50" customFormat="1" x14ac:dyDescent="0.25">
      <c r="A1168" s="50">
        <v>20689</v>
      </c>
      <c r="B1168" s="50">
        <f>COUNTIF(Table5[PID],A1168)</f>
        <v>1</v>
      </c>
      <c r="C1168" s="50" t="str">
        <f>IF(COUNTIF(Table3[[#All],[PID]],A1168)&gt;0,"P","B")</f>
        <v>B</v>
      </c>
      <c r="D1168" s="59" t="str">
        <f>IF($C1168="B",INDEX(Batters[[#All],[POS]],MATCH(Table5[[#This Row],[PID]],Batters[[#All],[PID]],0)),INDEX(Table3[[#All],[POS]],MATCH(Table5[[#This Row],[PID]],Table3[[#All],[PID]],0)))</f>
        <v>C</v>
      </c>
      <c r="E1168" s="52" t="str">
        <f>IF($C1168="B",INDEX(Batters[[#All],[First]],MATCH(Table5[[#This Row],[PID]],Batters[[#All],[PID]],0)),INDEX(Table3[[#All],[First]],MATCH(Table5[[#This Row],[PID]],Table3[[#All],[PID]],0)))</f>
        <v>Pi-ao</v>
      </c>
      <c r="F1168" s="50" t="str">
        <f>IF($C1168="B",INDEX(Batters[[#All],[Last]],MATCH(A1168,Batters[[#All],[PID]],0)),INDEX(Table3[[#All],[Last]],MATCH(A1168,Table3[[#All],[PID]],0)))</f>
        <v>Ding</v>
      </c>
      <c r="G1168" s="56">
        <f>IF($C1168="B",INDEX(Batters[[#All],[Age]],MATCH(Table5[[#This Row],[PID]],Batters[[#All],[PID]],0)),INDEX(Table3[[#All],[Age]],MATCH(Table5[[#This Row],[PID]],Table3[[#All],[PID]],0)))</f>
        <v>17</v>
      </c>
      <c r="H1168" s="52" t="str">
        <f>IF($C1168="B",INDEX(Batters[[#All],[B]],MATCH(Table5[[#This Row],[PID]],Batters[[#All],[PID]],0)),INDEX(Table3[[#All],[B]],MATCH(Table5[[#This Row],[PID]],Table3[[#All],[PID]],0)))</f>
        <v>L</v>
      </c>
      <c r="I1168" s="52" t="str">
        <f>IF($C1168="B",INDEX(Batters[[#All],[T]],MATCH(Table5[[#This Row],[PID]],Batters[[#All],[PID]],0)),INDEX(Table3[[#All],[T]],MATCH(Table5[[#This Row],[PID]],Table3[[#All],[PID]],0)))</f>
        <v>R</v>
      </c>
      <c r="J1168" s="52" t="str">
        <f>IF($C1168="B",INDEX(Batters[[#All],[WE]],MATCH(Table5[[#This Row],[PID]],Batters[[#All],[PID]],0)),INDEX(Table3[[#All],[WE]],MATCH(Table5[[#This Row],[PID]],Table3[[#All],[PID]],0)))</f>
        <v>Low</v>
      </c>
      <c r="K1168" s="52" t="str">
        <f>IF($C1168="B",INDEX(Batters[[#All],[INT]],MATCH(Table5[[#This Row],[PID]],Batters[[#All],[PID]],0)),INDEX(Table3[[#All],[INT]],MATCH(Table5[[#This Row],[PID]],Table3[[#All],[PID]],0)))</f>
        <v>Normal</v>
      </c>
      <c r="L1168" s="60">
        <f>IF($C1168="B",INDEX(Batters[[#All],[CON P]],MATCH(Table5[[#This Row],[PID]],Batters[[#All],[PID]],0)),INDEX(Table3[[#All],[STU P]],MATCH(Table5[[#This Row],[PID]],Table3[[#All],[PID]],0)))</f>
        <v>3</v>
      </c>
      <c r="M1168" s="56">
        <f>IF($C1168="B",INDEX(Batters[[#All],[GAP P]],MATCH(Table5[[#This Row],[PID]],Batters[[#All],[PID]],0)),INDEX(Table3[[#All],[MOV P]],MATCH(Table5[[#This Row],[PID]],Table3[[#All],[PID]],0)))</f>
        <v>4</v>
      </c>
      <c r="N1168" s="56">
        <f>IF($C1168="B",INDEX(Batters[[#All],[POW P]],MATCH(Table5[[#This Row],[PID]],Batters[[#All],[PID]],0)),INDEX(Table3[[#All],[CON P]],MATCH(Table5[[#This Row],[PID]],Table3[[#All],[PID]],0)))</f>
        <v>2</v>
      </c>
      <c r="O1168" s="56">
        <f>IF($C1168="B",INDEX(Batters[[#All],[EYE P]],MATCH(Table5[[#This Row],[PID]],Batters[[#All],[PID]],0)),INDEX(Table3[[#All],[VELO]],MATCH(Table5[[#This Row],[PID]],Table3[[#All],[PID]],0)))</f>
        <v>4</v>
      </c>
      <c r="P1168" s="56">
        <f>IF($C1168="B",INDEX(Batters[[#All],[K P]],MATCH(Table5[[#This Row],[PID]],Batters[[#All],[PID]],0)),INDEX(Table3[[#All],[STM]],MATCH(Table5[[#This Row],[PID]],Table3[[#All],[PID]],0)))</f>
        <v>4</v>
      </c>
      <c r="Q1168" s="61">
        <f>IF($C1168="B",INDEX(Batters[[#All],[Tot]],MATCH(Table5[[#This Row],[PID]],Batters[[#All],[PID]],0)),INDEX(Table3[[#All],[Tot]],MATCH(Table5[[#This Row],[PID]],Table3[[#All],[PID]],0)))</f>
        <v>39.748194256635855</v>
      </c>
      <c r="R1168" s="52">
        <f>IF($C1168="B",INDEX(Batters[[#All],[zScore]],MATCH(Table5[[#This Row],[PID]],Batters[[#All],[PID]],0)),INDEX(Table3[[#All],[zScore]],MATCH(Table5[[#This Row],[PID]],Table3[[#All],[PID]],0)))</f>
        <v>-0.97190600095940549</v>
      </c>
      <c r="S1168" s="58" t="str">
        <f>IF($C1168="B",INDEX(Batters[[#All],[DEM]],MATCH(Table5[[#This Row],[PID]],Batters[[#All],[PID]],0)),INDEX(Table3[[#All],[DEM]],MATCH(Table5[[#This Row],[PID]],Table3[[#All],[PID]],0)))</f>
        <v>$80k</v>
      </c>
      <c r="T1168" s="62">
        <f>IF($C1168="B",INDEX(Batters[[#All],[Rnk]],MATCH(Table5[[#This Row],[PID]],Batters[[#All],[PID]],0)),INDEX(Table3[[#All],[Rnk]],MATCH(Table5[[#This Row],[PID]],Table3[[#All],[PID]],0)))</f>
        <v>436</v>
      </c>
      <c r="U1168" s="68">
        <f>IF($C1168="B",VLOOKUP($A1168,Bat!$A$4:$BA$1621,47,FALSE),VLOOKUP($A1168,Pit!$A$4:$BF$1557,56,FALSE))</f>
        <v>0</v>
      </c>
      <c r="V1168" s="50">
        <f>IF($C1168="B",VLOOKUP($A1168,Bat!$A$4:$BA$1621,48,FALSE),VLOOKUP($A1168,Pit!$A$4:$BF$1557,57,FALSE))</f>
        <v>0</v>
      </c>
      <c r="W1168" s="50">
        <f>Table5[[#This Row],[posRnk]]+Table5[[#This Row],[zRnk]]+IF($W$3&lt;&gt;Table5[[#This Row],[Type]],50,0)</f>
        <v>1615</v>
      </c>
      <c r="X1168" s="51">
        <f>RANK(Table5[[#This Row],[zScore]],Table5[[#All],[zScore]])</f>
        <v>1129</v>
      </c>
      <c r="Y1168" s="50" t="str">
        <f>IFERROR(INDEX(DraftResults[[#All],[OVR]],MATCH(Table5[[#This Row],[PID]],DraftResults[[#All],[Player ID]],0)),"")</f>
        <v/>
      </c>
      <c r="Z11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8" s="50" t="str">
        <f>IFERROR(INDEX(DraftResults[[#All],[Pick in Round]],MATCH(Table5[[#This Row],[PID]],DraftResults[[#All],[Player ID]],0)),"")</f>
        <v/>
      </c>
      <c r="AB1168" s="50" t="str">
        <f>IFERROR(INDEX(DraftResults[[#All],[Team Name]],MATCH(Table5[[#This Row],[PID]],DraftResults[[#All],[Player ID]],0)),"")</f>
        <v/>
      </c>
      <c r="AC1168" s="50" t="str">
        <f>IF(Table5[[#This Row],[Ovr]]="","",IF(Table5[[#This Row],[cmbList]]="","",Table5[[#This Row],[cmbList]]-Table5[[#This Row],[Ovr]]))</f>
        <v/>
      </c>
      <c r="AD1168" s="54" t="str">
        <f>IF(ISERROR(VLOOKUP($AB1168&amp;"-"&amp;$E1168&amp;" "&amp;F1168,Bonuses!$B$1:$G$1006,4,FALSE)),"",INT(VLOOKUP($AB1168&amp;"-"&amp;$E1168&amp;" "&amp;$F1168,Bonuses!$B$1:$G$1006,4,FALSE)))</f>
        <v/>
      </c>
      <c r="AE11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69" spans="1:31" s="50" customFormat="1" x14ac:dyDescent="0.25">
      <c r="A1169" s="50">
        <v>20284</v>
      </c>
      <c r="B1169" s="50">
        <f>COUNTIF(Table5[PID],A1169)</f>
        <v>1</v>
      </c>
      <c r="C1169" s="50" t="str">
        <f>IF(COUNTIF(Table3[[#All],[PID]],A1169)&gt;0,"P","B")</f>
        <v>B</v>
      </c>
      <c r="D1169" s="59" t="str">
        <f>IF($C1169="B",INDEX(Batters[[#All],[POS]],MATCH(Table5[[#This Row],[PID]],Batters[[#All],[PID]],0)),INDEX(Table3[[#All],[POS]],MATCH(Table5[[#This Row],[PID]],Table3[[#All],[PID]],0)))</f>
        <v>SS</v>
      </c>
      <c r="E1169" s="52" t="str">
        <f>IF($C1169="B",INDEX(Batters[[#All],[First]],MATCH(Table5[[#This Row],[PID]],Batters[[#All],[PID]],0)),INDEX(Table3[[#All],[First]],MATCH(Table5[[#This Row],[PID]],Table3[[#All],[PID]],0)))</f>
        <v>Kaong</v>
      </c>
      <c r="F1169" s="50" t="str">
        <f>IF($C1169="B",INDEX(Batters[[#All],[Last]],MATCH(A1169,Batters[[#All],[PID]],0)),INDEX(Table3[[#All],[Last]],MATCH(A1169,Table3[[#All],[PID]],0)))</f>
        <v>Chaim</v>
      </c>
      <c r="G1169" s="56">
        <f>IF($C1169="B",INDEX(Batters[[#All],[Age]],MATCH(Table5[[#This Row],[PID]],Batters[[#All],[PID]],0)),INDEX(Table3[[#All],[Age]],MATCH(Table5[[#This Row],[PID]],Table3[[#All],[PID]],0)))</f>
        <v>21</v>
      </c>
      <c r="H1169" s="52" t="str">
        <f>IF($C1169="B",INDEX(Batters[[#All],[B]],MATCH(Table5[[#This Row],[PID]],Batters[[#All],[PID]],0)),INDEX(Table3[[#All],[B]],MATCH(Table5[[#This Row],[PID]],Table3[[#All],[PID]],0)))</f>
        <v>S</v>
      </c>
      <c r="I1169" s="52" t="str">
        <f>IF($C1169="B",INDEX(Batters[[#All],[T]],MATCH(Table5[[#This Row],[PID]],Batters[[#All],[PID]],0)),INDEX(Table3[[#All],[T]],MATCH(Table5[[#This Row],[PID]],Table3[[#All],[PID]],0)))</f>
        <v>R</v>
      </c>
      <c r="J1169" s="52" t="str">
        <f>IF($C1169="B",INDEX(Batters[[#All],[WE]],MATCH(Table5[[#This Row],[PID]],Batters[[#All],[PID]],0)),INDEX(Table3[[#All],[WE]],MATCH(Table5[[#This Row],[PID]],Table3[[#All],[PID]],0)))</f>
        <v>Normal</v>
      </c>
      <c r="K1169" s="52" t="str">
        <f>IF($C1169="B",INDEX(Batters[[#All],[INT]],MATCH(Table5[[#This Row],[PID]],Batters[[#All],[PID]],0)),INDEX(Table3[[#All],[INT]],MATCH(Table5[[#This Row],[PID]],Table3[[#All],[PID]],0)))</f>
        <v>Normal</v>
      </c>
      <c r="L1169" s="60">
        <f>IF($C1169="B",INDEX(Batters[[#All],[CON P]],MATCH(Table5[[#This Row],[PID]],Batters[[#All],[PID]],0)),INDEX(Table3[[#All],[STU P]],MATCH(Table5[[#This Row],[PID]],Table3[[#All],[PID]],0)))</f>
        <v>3</v>
      </c>
      <c r="M1169" s="56">
        <f>IF($C1169="B",INDEX(Batters[[#All],[GAP P]],MATCH(Table5[[#This Row],[PID]],Batters[[#All],[PID]],0)),INDEX(Table3[[#All],[MOV P]],MATCH(Table5[[#This Row],[PID]],Table3[[#All],[PID]],0)))</f>
        <v>4</v>
      </c>
      <c r="N1169" s="56">
        <f>IF($C1169="B",INDEX(Batters[[#All],[POW P]],MATCH(Table5[[#This Row],[PID]],Batters[[#All],[PID]],0)),INDEX(Table3[[#All],[CON P]],MATCH(Table5[[#This Row],[PID]],Table3[[#All],[PID]],0)))</f>
        <v>4</v>
      </c>
      <c r="O1169" s="56">
        <f>IF($C1169="B",INDEX(Batters[[#All],[EYE P]],MATCH(Table5[[#This Row],[PID]],Batters[[#All],[PID]],0)),INDEX(Table3[[#All],[VELO]],MATCH(Table5[[#This Row],[PID]],Table3[[#All],[PID]],0)))</f>
        <v>6</v>
      </c>
      <c r="P1169" s="56">
        <f>IF($C1169="B",INDEX(Batters[[#All],[K P]],MATCH(Table5[[#This Row],[PID]],Batters[[#All],[PID]],0)),INDEX(Table3[[#All],[STM]],MATCH(Table5[[#This Row],[PID]],Table3[[#All],[PID]],0)))</f>
        <v>3</v>
      </c>
      <c r="Q1169" s="61">
        <f>IF($C1169="B",INDEX(Batters[[#All],[Tot]],MATCH(Table5[[#This Row],[PID]],Batters[[#All],[PID]],0)),INDEX(Table3[[#All],[Tot]],MATCH(Table5[[#This Row],[PID]],Table3[[#All],[PID]],0)))</f>
        <v>39.74585728300061</v>
      </c>
      <c r="R1169" s="52">
        <f>IF($C1169="B",INDEX(Batters[[#All],[zScore]],MATCH(Table5[[#This Row],[PID]],Batters[[#All],[PID]],0)),INDEX(Table3[[#All],[zScore]],MATCH(Table5[[#This Row],[PID]],Table3[[#All],[PID]],0)))</f>
        <v>-0.972424123810815</v>
      </c>
      <c r="S1169" s="58" t="str">
        <f>IF($C1169="B",INDEX(Batters[[#All],[DEM]],MATCH(Table5[[#This Row],[PID]],Batters[[#All],[PID]],0)),INDEX(Table3[[#All],[DEM]],MATCH(Table5[[#This Row],[PID]],Table3[[#All],[PID]],0)))</f>
        <v>-</v>
      </c>
      <c r="T1169" s="62">
        <f>IF($C1169="B",INDEX(Batters[[#All],[Rnk]],MATCH(Table5[[#This Row],[PID]],Batters[[#All],[PID]],0)),INDEX(Table3[[#All],[Rnk]],MATCH(Table5[[#This Row],[PID]],Table3[[#All],[PID]],0)))</f>
        <v>437</v>
      </c>
      <c r="U1169" s="68">
        <f>IF($C1169="B",VLOOKUP($A1169,Bat!$A$4:$BA$1621,47,FALSE),VLOOKUP($A1169,Pit!$A$4:$BF$1557,56,FALSE))</f>
        <v>0</v>
      </c>
      <c r="V1169" s="50">
        <f>IF($C1169="B",VLOOKUP($A1169,Bat!$A$4:$BA$1621,48,FALSE),VLOOKUP($A1169,Pit!$A$4:$BF$1557,57,FALSE))</f>
        <v>0</v>
      </c>
      <c r="W1169" s="50">
        <f>Table5[[#This Row],[posRnk]]+Table5[[#This Row],[zRnk]]+IF($W$3&lt;&gt;Table5[[#This Row],[Type]],50,0)</f>
        <v>1617</v>
      </c>
      <c r="X1169" s="51">
        <f>RANK(Table5[[#This Row],[zScore]],Table5[[#All],[zScore]])</f>
        <v>1130</v>
      </c>
      <c r="Y1169" s="50" t="str">
        <f>IFERROR(INDEX(DraftResults[[#All],[OVR]],MATCH(Table5[[#This Row],[PID]],DraftResults[[#All],[Player ID]],0)),"")</f>
        <v/>
      </c>
      <c r="Z11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69" s="50" t="str">
        <f>IFERROR(INDEX(DraftResults[[#All],[Pick in Round]],MATCH(Table5[[#This Row],[PID]],DraftResults[[#All],[Player ID]],0)),"")</f>
        <v/>
      </c>
      <c r="AB1169" s="50" t="str">
        <f>IFERROR(INDEX(DraftResults[[#All],[Team Name]],MATCH(Table5[[#This Row],[PID]],DraftResults[[#All],[Player ID]],0)),"")</f>
        <v/>
      </c>
      <c r="AC1169" s="50" t="str">
        <f>IF(Table5[[#This Row],[Ovr]]="","",IF(Table5[[#This Row],[cmbList]]="","",Table5[[#This Row],[cmbList]]-Table5[[#This Row],[Ovr]]))</f>
        <v/>
      </c>
      <c r="AD1169" s="54" t="str">
        <f>IF(ISERROR(VLOOKUP($AB1169&amp;"-"&amp;$E1169&amp;" "&amp;F1169,Bonuses!$B$1:$G$1006,4,FALSE)),"",INT(VLOOKUP($AB1169&amp;"-"&amp;$E1169&amp;" "&amp;$F1169,Bonuses!$B$1:$G$1006,4,FALSE)))</f>
        <v/>
      </c>
      <c r="AE11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0" spans="1:31" s="50" customFormat="1" x14ac:dyDescent="0.25">
      <c r="A1170" s="50">
        <v>21006</v>
      </c>
      <c r="B1170" s="50">
        <f>COUNTIF(Table5[PID],A1170)</f>
        <v>1</v>
      </c>
      <c r="C1170" s="50" t="str">
        <f>IF(COUNTIF(Table3[[#All],[PID]],A1170)&gt;0,"P","B")</f>
        <v>P</v>
      </c>
      <c r="D1170" s="59" t="str">
        <f>IF($C1170="B",INDEX(Batters[[#All],[POS]],MATCH(Table5[[#This Row],[PID]],Batters[[#All],[PID]],0)),INDEX(Table3[[#All],[POS]],MATCH(Table5[[#This Row],[PID]],Table3[[#All],[PID]],0)))</f>
        <v>RP</v>
      </c>
      <c r="E1170" s="52" t="str">
        <f>IF($C1170="B",INDEX(Batters[[#All],[First]],MATCH(Table5[[#This Row],[PID]],Batters[[#All],[PID]],0)),INDEX(Table3[[#All],[First]],MATCH(Table5[[#This Row],[PID]],Table3[[#All],[PID]],0)))</f>
        <v>Eduardo</v>
      </c>
      <c r="F1170" s="50" t="str">
        <f>IF($C1170="B",INDEX(Batters[[#All],[Last]],MATCH(A1170,Batters[[#All],[PID]],0)),INDEX(Table3[[#All],[Last]],MATCH(A1170,Table3[[#All],[PID]],0)))</f>
        <v>Martínez</v>
      </c>
      <c r="G1170" s="56">
        <f>IF($C1170="B",INDEX(Batters[[#All],[Age]],MATCH(Table5[[#This Row],[PID]],Batters[[#All],[PID]],0)),INDEX(Table3[[#All],[Age]],MATCH(Table5[[#This Row],[PID]],Table3[[#All],[PID]],0)))</f>
        <v>18</v>
      </c>
      <c r="H1170" s="52" t="str">
        <f>IF($C1170="B",INDEX(Batters[[#All],[B]],MATCH(Table5[[#This Row],[PID]],Batters[[#All],[PID]],0)),INDEX(Table3[[#All],[B]],MATCH(Table5[[#This Row],[PID]],Table3[[#All],[PID]],0)))</f>
        <v>L</v>
      </c>
      <c r="I1170" s="52" t="str">
        <f>IF($C1170="B",INDEX(Batters[[#All],[T]],MATCH(Table5[[#This Row],[PID]],Batters[[#All],[PID]],0)),INDEX(Table3[[#All],[T]],MATCH(Table5[[#This Row],[PID]],Table3[[#All],[PID]],0)))</f>
        <v>L</v>
      </c>
      <c r="J1170" s="52" t="str">
        <f>IF($C1170="B",INDEX(Batters[[#All],[WE]],MATCH(Table5[[#This Row],[PID]],Batters[[#All],[PID]],0)),INDEX(Table3[[#All],[WE]],MATCH(Table5[[#This Row],[PID]],Table3[[#All],[PID]],0)))</f>
        <v>Low</v>
      </c>
      <c r="K1170" s="52" t="str">
        <f>IF($C1170="B",INDEX(Batters[[#All],[INT]],MATCH(Table5[[#This Row],[PID]],Batters[[#All],[PID]],0)),INDEX(Table3[[#All],[INT]],MATCH(Table5[[#This Row],[PID]],Table3[[#All],[PID]],0)))</f>
        <v>Normal</v>
      </c>
      <c r="L1170" s="60">
        <f>IF($C1170="B",INDEX(Batters[[#All],[CON P]],MATCH(Table5[[#This Row],[PID]],Batters[[#All],[PID]],0)),INDEX(Table3[[#All],[STU P]],MATCH(Table5[[#This Row],[PID]],Table3[[#All],[PID]],0)))</f>
        <v>3</v>
      </c>
      <c r="M1170" s="56">
        <f>IF($C1170="B",INDEX(Batters[[#All],[GAP P]],MATCH(Table5[[#This Row],[PID]],Batters[[#All],[PID]],0)),INDEX(Table3[[#All],[MOV P]],MATCH(Table5[[#This Row],[PID]],Table3[[#All],[PID]],0)))</f>
        <v>1</v>
      </c>
      <c r="N1170" s="56">
        <f>IF($C1170="B",INDEX(Batters[[#All],[POW P]],MATCH(Table5[[#This Row],[PID]],Batters[[#All],[PID]],0)),INDEX(Table3[[#All],[CON P]],MATCH(Table5[[#This Row],[PID]],Table3[[#All],[PID]],0)))</f>
        <v>2</v>
      </c>
      <c r="O1170" s="56" t="str">
        <f>IF($C1170="B",INDEX(Batters[[#All],[EYE P]],MATCH(Table5[[#This Row],[PID]],Batters[[#All],[PID]],0)),INDEX(Table3[[#All],[VELO]],MATCH(Table5[[#This Row],[PID]],Table3[[#All],[PID]],0)))</f>
        <v>85-87 Mph</v>
      </c>
      <c r="P1170" s="56">
        <f>IF($C1170="B",INDEX(Batters[[#All],[K P]],MATCH(Table5[[#This Row],[PID]],Batters[[#All],[PID]],0)),INDEX(Table3[[#All],[STM]],MATCH(Table5[[#This Row],[PID]],Table3[[#All],[PID]],0)))</f>
        <v>2</v>
      </c>
      <c r="Q1170" s="61">
        <f>IF($C1170="B",INDEX(Batters[[#All],[Tot]],MATCH(Table5[[#This Row],[PID]],Batters[[#All],[PID]],0)),INDEX(Table3[[#All],[Tot]],MATCH(Table5[[#This Row],[PID]],Table3[[#All],[PID]],0)))</f>
        <v>21.247764882593703</v>
      </c>
      <c r="R1170" s="52">
        <f>IF($C1170="B",INDEX(Batters[[#All],[zScore]],MATCH(Table5[[#This Row],[PID]],Batters[[#All],[PID]],0)),INDEX(Table3[[#All],[zScore]],MATCH(Table5[[#This Row],[PID]],Table3[[#All],[PID]],0)))</f>
        <v>-0.97282995483126478</v>
      </c>
      <c r="S1170" s="58" t="str">
        <f>IF($C1170="B",INDEX(Batters[[#All],[DEM]],MATCH(Table5[[#This Row],[PID]],Batters[[#All],[PID]],0)),INDEX(Table3[[#All],[DEM]],MATCH(Table5[[#This Row],[PID]],Table3[[#All],[PID]],0)))</f>
        <v>$75k</v>
      </c>
      <c r="T1170" s="62">
        <f>IF($C1170="B",INDEX(Batters[[#All],[Rnk]],MATCH(Table5[[#This Row],[PID]],Batters[[#All],[PID]],0)),INDEX(Table3[[#All],[Rnk]],MATCH(Table5[[#This Row],[PID]],Table3[[#All],[PID]],0)))</f>
        <v>693</v>
      </c>
      <c r="U1170" s="68">
        <f>IF($C1170="B",VLOOKUP($A1170,Bat!$A$4:$BA$1621,47,FALSE),VLOOKUP($A1170,Pit!$A$4:$BF$1557,56,FALSE))</f>
        <v>0</v>
      </c>
      <c r="V1170" s="50">
        <f>IF($C1170="B",VLOOKUP($A1170,Bat!$A$4:$BA$1621,48,FALSE),VLOOKUP($A1170,Pit!$A$4:$BF$1557,57,FALSE))</f>
        <v>0</v>
      </c>
      <c r="W1170" s="50">
        <f>Table5[[#This Row],[posRnk]]+Table5[[#This Row],[zRnk]]+IF($W$3&lt;&gt;Table5[[#This Row],[Type]],50,0)</f>
        <v>1874</v>
      </c>
      <c r="X1170" s="51">
        <f>RANK(Table5[[#This Row],[zScore]],Table5[[#All],[zScore]])</f>
        <v>1131</v>
      </c>
      <c r="Y1170" s="50" t="str">
        <f>IFERROR(INDEX(DraftResults[[#All],[OVR]],MATCH(Table5[[#This Row],[PID]],DraftResults[[#All],[Player ID]],0)),"")</f>
        <v/>
      </c>
      <c r="Z11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0" s="50" t="str">
        <f>IFERROR(INDEX(DraftResults[[#All],[Pick in Round]],MATCH(Table5[[#This Row],[PID]],DraftResults[[#All],[Player ID]],0)),"")</f>
        <v/>
      </c>
      <c r="AB1170" s="50" t="str">
        <f>IFERROR(INDEX(DraftResults[[#All],[Team Name]],MATCH(Table5[[#This Row],[PID]],DraftResults[[#All],[Player ID]],0)),"")</f>
        <v/>
      </c>
      <c r="AC1170" s="50" t="str">
        <f>IF(Table5[[#This Row],[Ovr]]="","",IF(Table5[[#This Row],[cmbList]]="","",Table5[[#This Row],[cmbList]]-Table5[[#This Row],[Ovr]]))</f>
        <v/>
      </c>
      <c r="AD1170" s="54" t="str">
        <f>IF(ISERROR(VLOOKUP($AB1170&amp;"-"&amp;$E1170&amp;" "&amp;F1170,Bonuses!$B$1:$G$1006,4,FALSE)),"",INT(VLOOKUP($AB1170&amp;"-"&amp;$E1170&amp;" "&amp;$F1170,Bonuses!$B$1:$G$1006,4,FALSE)))</f>
        <v/>
      </c>
      <c r="AE11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1" spans="1:31" s="50" customFormat="1" x14ac:dyDescent="0.25">
      <c r="A1171" s="50">
        <v>20647</v>
      </c>
      <c r="B1171" s="50">
        <f>COUNTIF(Table5[PID],A1171)</f>
        <v>1</v>
      </c>
      <c r="C1171" s="50" t="str">
        <f>IF(COUNTIF(Table3[[#All],[PID]],A1171)&gt;0,"P","B")</f>
        <v>B</v>
      </c>
      <c r="D1171" s="59" t="str">
        <f>IF($C1171="B",INDEX(Batters[[#All],[POS]],MATCH(Table5[[#This Row],[PID]],Batters[[#All],[PID]],0)),INDEX(Table3[[#All],[POS]],MATCH(Table5[[#This Row],[PID]],Table3[[#All],[PID]],0)))</f>
        <v>SS</v>
      </c>
      <c r="E1171" s="52" t="str">
        <f>IF($C1171="B",INDEX(Batters[[#All],[First]],MATCH(Table5[[#This Row],[PID]],Batters[[#All],[PID]],0)),INDEX(Table3[[#All],[First]],MATCH(Table5[[#This Row],[PID]],Table3[[#All],[PID]],0)))</f>
        <v>Kyung-chul</v>
      </c>
      <c r="F1171" s="50" t="str">
        <f>IF($C1171="B",INDEX(Batters[[#All],[Last]],MATCH(A1171,Batters[[#All],[PID]],0)),INDEX(Table3[[#All],[Last]],MATCH(A1171,Table3[[#All],[PID]],0)))</f>
        <v>Park</v>
      </c>
      <c r="G1171" s="56">
        <f>IF($C1171="B",INDEX(Batters[[#All],[Age]],MATCH(Table5[[#This Row],[PID]],Batters[[#All],[PID]],0)),INDEX(Table3[[#All],[Age]],MATCH(Table5[[#This Row],[PID]],Table3[[#All],[PID]],0)))</f>
        <v>18</v>
      </c>
      <c r="H1171" s="52" t="str">
        <f>IF($C1171="B",INDEX(Batters[[#All],[B]],MATCH(Table5[[#This Row],[PID]],Batters[[#All],[PID]],0)),INDEX(Table3[[#All],[B]],MATCH(Table5[[#This Row],[PID]],Table3[[#All],[PID]],0)))</f>
        <v>R</v>
      </c>
      <c r="I1171" s="52" t="str">
        <f>IF($C1171="B",INDEX(Batters[[#All],[T]],MATCH(Table5[[#This Row],[PID]],Batters[[#All],[PID]],0)),INDEX(Table3[[#All],[T]],MATCH(Table5[[#This Row],[PID]],Table3[[#All],[PID]],0)))</f>
        <v>R</v>
      </c>
      <c r="J1171" s="52" t="str">
        <f>IF($C1171="B",INDEX(Batters[[#All],[WE]],MATCH(Table5[[#This Row],[PID]],Batters[[#All],[PID]],0)),INDEX(Table3[[#All],[WE]],MATCH(Table5[[#This Row],[PID]],Table3[[#All],[PID]],0)))</f>
        <v>Normal</v>
      </c>
      <c r="K1171" s="52" t="str">
        <f>IF($C1171="B",INDEX(Batters[[#All],[INT]],MATCH(Table5[[#This Row],[PID]],Batters[[#All],[PID]],0)),INDEX(Table3[[#All],[INT]],MATCH(Table5[[#This Row],[PID]],Table3[[#All],[PID]],0)))</f>
        <v>Normal</v>
      </c>
      <c r="L1171" s="60">
        <f>IF($C1171="B",INDEX(Batters[[#All],[CON P]],MATCH(Table5[[#This Row],[PID]],Batters[[#All],[PID]],0)),INDEX(Table3[[#All],[STU P]],MATCH(Table5[[#This Row],[PID]],Table3[[#All],[PID]],0)))</f>
        <v>2</v>
      </c>
      <c r="M1171" s="56">
        <f>IF($C1171="B",INDEX(Batters[[#All],[GAP P]],MATCH(Table5[[#This Row],[PID]],Batters[[#All],[PID]],0)),INDEX(Table3[[#All],[MOV P]],MATCH(Table5[[#This Row],[PID]],Table3[[#All],[PID]],0)))</f>
        <v>5</v>
      </c>
      <c r="N1171" s="56">
        <f>IF($C1171="B",INDEX(Batters[[#All],[POW P]],MATCH(Table5[[#This Row],[PID]],Batters[[#All],[PID]],0)),INDEX(Table3[[#All],[CON P]],MATCH(Table5[[#This Row],[PID]],Table3[[#All],[PID]],0)))</f>
        <v>3</v>
      </c>
      <c r="O1171" s="56">
        <f>IF($C1171="B",INDEX(Batters[[#All],[EYE P]],MATCH(Table5[[#This Row],[PID]],Batters[[#All],[PID]],0)),INDEX(Table3[[#All],[VELO]],MATCH(Table5[[#This Row],[PID]],Table3[[#All],[PID]],0)))</f>
        <v>6</v>
      </c>
      <c r="P1171" s="56">
        <f>IF($C1171="B",INDEX(Batters[[#All],[K P]],MATCH(Table5[[#This Row],[PID]],Batters[[#All],[PID]],0)),INDEX(Table3[[#All],[STM]],MATCH(Table5[[#This Row],[PID]],Table3[[#All],[PID]],0)))</f>
        <v>3</v>
      </c>
      <c r="Q1171" s="61">
        <f>IF($C1171="B",INDEX(Batters[[#All],[Tot]],MATCH(Table5[[#This Row],[PID]],Batters[[#All],[PID]],0)),INDEX(Table3[[#All],[Tot]],MATCH(Table5[[#This Row],[PID]],Table3[[#All],[PID]],0)))</f>
        <v>39.698890771302786</v>
      </c>
      <c r="R1171" s="52">
        <f>IF($C1171="B",INDEX(Batters[[#All],[zScore]],MATCH(Table5[[#This Row],[PID]],Batters[[#All],[PID]],0)),INDEX(Table3[[#All],[zScore]],MATCH(Table5[[#This Row],[PID]],Table3[[#All],[PID]],0)))</f>
        <v>-0.98283691691837893</v>
      </c>
      <c r="S1171" s="58" t="str">
        <f>IF($C1171="B",INDEX(Batters[[#All],[DEM]],MATCH(Table5[[#This Row],[PID]],Batters[[#All],[PID]],0)),INDEX(Table3[[#All],[DEM]],MATCH(Table5[[#This Row],[PID]],Table3[[#All],[PID]],0)))</f>
        <v>$80k</v>
      </c>
      <c r="T1171" s="62">
        <f>IF($C1171="B",INDEX(Batters[[#All],[Rnk]],MATCH(Table5[[#This Row],[PID]],Batters[[#All],[PID]],0)),INDEX(Table3[[#All],[Rnk]],MATCH(Table5[[#This Row],[PID]],Table3[[#All],[PID]],0)))</f>
        <v>438</v>
      </c>
      <c r="U1171" s="68">
        <f>IF($C1171="B",VLOOKUP($A1171,Bat!$A$4:$BA$1621,47,FALSE),VLOOKUP($A1171,Pit!$A$4:$BF$1557,56,FALSE))</f>
        <v>0</v>
      </c>
      <c r="V1171" s="50">
        <f>IF($C1171="B",VLOOKUP($A1171,Bat!$A$4:$BA$1621,48,FALSE),VLOOKUP($A1171,Pit!$A$4:$BF$1557,57,FALSE))</f>
        <v>0</v>
      </c>
      <c r="W1171" s="50">
        <f>Table5[[#This Row],[posRnk]]+Table5[[#This Row],[zRnk]]+IF($W$3&lt;&gt;Table5[[#This Row],[Type]],50,0)</f>
        <v>1620</v>
      </c>
      <c r="X1171" s="51">
        <f>RANK(Table5[[#This Row],[zScore]],Table5[[#All],[zScore]])</f>
        <v>1132</v>
      </c>
      <c r="Y1171" s="50" t="str">
        <f>IFERROR(INDEX(DraftResults[[#All],[OVR]],MATCH(Table5[[#This Row],[PID]],DraftResults[[#All],[Player ID]],0)),"")</f>
        <v/>
      </c>
      <c r="Z11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1" s="50" t="str">
        <f>IFERROR(INDEX(DraftResults[[#All],[Pick in Round]],MATCH(Table5[[#This Row],[PID]],DraftResults[[#All],[Player ID]],0)),"")</f>
        <v/>
      </c>
      <c r="AB1171" s="50" t="str">
        <f>IFERROR(INDEX(DraftResults[[#All],[Team Name]],MATCH(Table5[[#This Row],[PID]],DraftResults[[#All],[Player ID]],0)),"")</f>
        <v/>
      </c>
      <c r="AC1171" s="50" t="str">
        <f>IF(Table5[[#This Row],[Ovr]]="","",IF(Table5[[#This Row],[cmbList]]="","",Table5[[#This Row],[cmbList]]-Table5[[#This Row],[Ovr]]))</f>
        <v/>
      </c>
      <c r="AD1171" s="54" t="str">
        <f>IF(ISERROR(VLOOKUP($AB1171&amp;"-"&amp;$E1171&amp;" "&amp;F1171,Bonuses!$B$1:$G$1006,4,FALSE)),"",INT(VLOOKUP($AB1171&amp;"-"&amp;$E1171&amp;" "&amp;$F1171,Bonuses!$B$1:$G$1006,4,FALSE)))</f>
        <v/>
      </c>
      <c r="AE11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2" spans="1:31" s="50" customFormat="1" x14ac:dyDescent="0.25">
      <c r="A1172" s="50">
        <v>20541</v>
      </c>
      <c r="B1172" s="50">
        <f>COUNTIF(Table5[PID],A1172)</f>
        <v>1</v>
      </c>
      <c r="C1172" s="50" t="str">
        <f>IF(COUNTIF(Table3[[#All],[PID]],A1172)&gt;0,"P","B")</f>
        <v>B</v>
      </c>
      <c r="D1172" s="59" t="str">
        <f>IF($C1172="B",INDEX(Batters[[#All],[POS]],MATCH(Table5[[#This Row],[PID]],Batters[[#All],[PID]],0)),INDEX(Table3[[#All],[POS]],MATCH(Table5[[#This Row],[PID]],Table3[[#All],[PID]],0)))</f>
        <v>2B</v>
      </c>
      <c r="E1172" s="52" t="str">
        <f>IF($C1172="B",INDEX(Batters[[#All],[First]],MATCH(Table5[[#This Row],[PID]],Batters[[#All],[PID]],0)),INDEX(Table3[[#All],[First]],MATCH(Table5[[#This Row],[PID]],Table3[[#All],[PID]],0)))</f>
        <v>Jason</v>
      </c>
      <c r="F1172" s="50" t="str">
        <f>IF($C1172="B",INDEX(Batters[[#All],[Last]],MATCH(A1172,Batters[[#All],[PID]],0)),INDEX(Table3[[#All],[Last]],MATCH(A1172,Table3[[#All],[PID]],0)))</f>
        <v>Price</v>
      </c>
      <c r="G1172" s="56">
        <f>IF($C1172="B",INDEX(Batters[[#All],[Age]],MATCH(Table5[[#This Row],[PID]],Batters[[#All],[PID]],0)),INDEX(Table3[[#All],[Age]],MATCH(Table5[[#This Row],[PID]],Table3[[#All],[PID]],0)))</f>
        <v>18</v>
      </c>
      <c r="H1172" s="52" t="str">
        <f>IF($C1172="B",INDEX(Batters[[#All],[B]],MATCH(Table5[[#This Row],[PID]],Batters[[#All],[PID]],0)),INDEX(Table3[[#All],[B]],MATCH(Table5[[#This Row],[PID]],Table3[[#All],[PID]],0)))</f>
        <v>S</v>
      </c>
      <c r="I1172" s="52" t="str">
        <f>IF($C1172="B",INDEX(Batters[[#All],[T]],MATCH(Table5[[#This Row],[PID]],Batters[[#All],[PID]],0)),INDEX(Table3[[#All],[T]],MATCH(Table5[[#This Row],[PID]],Table3[[#All],[PID]],0)))</f>
        <v>R</v>
      </c>
      <c r="J1172" s="52" t="str">
        <f>IF($C1172="B",INDEX(Batters[[#All],[WE]],MATCH(Table5[[#This Row],[PID]],Batters[[#All],[PID]],0)),INDEX(Table3[[#All],[WE]],MATCH(Table5[[#This Row],[PID]],Table3[[#All],[PID]],0)))</f>
        <v>Normal</v>
      </c>
      <c r="K1172" s="52" t="str">
        <f>IF($C1172="B",INDEX(Batters[[#All],[INT]],MATCH(Table5[[#This Row],[PID]],Batters[[#All],[PID]],0)),INDEX(Table3[[#All],[INT]],MATCH(Table5[[#This Row],[PID]],Table3[[#All],[PID]],0)))</f>
        <v>Low</v>
      </c>
      <c r="L1172" s="60">
        <f>IF($C1172="B",INDEX(Batters[[#All],[CON P]],MATCH(Table5[[#This Row],[PID]],Batters[[#All],[PID]],0)),INDEX(Table3[[#All],[STU P]],MATCH(Table5[[#This Row],[PID]],Table3[[#All],[PID]],0)))</f>
        <v>2</v>
      </c>
      <c r="M1172" s="56">
        <f>IF($C1172="B",INDEX(Batters[[#All],[GAP P]],MATCH(Table5[[#This Row],[PID]],Batters[[#All],[PID]],0)),INDEX(Table3[[#All],[MOV P]],MATCH(Table5[[#This Row],[PID]],Table3[[#All],[PID]],0)))</f>
        <v>5</v>
      </c>
      <c r="N1172" s="56">
        <f>IF($C1172="B",INDEX(Batters[[#All],[POW P]],MATCH(Table5[[#This Row],[PID]],Batters[[#All],[PID]],0)),INDEX(Table3[[#All],[CON P]],MATCH(Table5[[#This Row],[PID]],Table3[[#All],[PID]],0)))</f>
        <v>4</v>
      </c>
      <c r="O1172" s="56">
        <f>IF($C1172="B",INDEX(Batters[[#All],[EYE P]],MATCH(Table5[[#This Row],[PID]],Batters[[#All],[PID]],0)),INDEX(Table3[[#All],[VELO]],MATCH(Table5[[#This Row],[PID]],Table3[[#All],[PID]],0)))</f>
        <v>6</v>
      </c>
      <c r="P1172" s="56">
        <f>IF($C1172="B",INDEX(Batters[[#All],[K P]],MATCH(Table5[[#This Row],[PID]],Batters[[#All],[PID]],0)),INDEX(Table3[[#All],[STM]],MATCH(Table5[[#This Row],[PID]],Table3[[#All],[PID]],0)))</f>
        <v>2</v>
      </c>
      <c r="Q1172" s="61">
        <f>IF($C1172="B",INDEX(Batters[[#All],[Tot]],MATCH(Table5[[#This Row],[PID]],Batters[[#All],[PID]],0)),INDEX(Table3[[#All],[Tot]],MATCH(Table5[[#This Row],[PID]],Table3[[#All],[PID]],0)))</f>
        <v>39.698738771186996</v>
      </c>
      <c r="R1172" s="52">
        <f>IF($C1172="B",INDEX(Batters[[#All],[zScore]],MATCH(Table5[[#This Row],[PID]],Batters[[#All],[PID]],0)),INDEX(Table3[[#All],[zScore]],MATCH(Table5[[#This Row],[PID]],Table3[[#All],[PID]],0)))</f>
        <v>-0.98287061637147499</v>
      </c>
      <c r="S1172" s="58" t="str">
        <f>IF($C1172="B",INDEX(Batters[[#All],[DEM]],MATCH(Table5[[#This Row],[PID]],Batters[[#All],[PID]],0)),INDEX(Table3[[#All],[DEM]],MATCH(Table5[[#This Row],[PID]],Table3[[#All],[PID]],0)))</f>
        <v>$75k</v>
      </c>
      <c r="T1172" s="62">
        <f>IF($C1172="B",INDEX(Batters[[#All],[Rnk]],MATCH(Table5[[#This Row],[PID]],Batters[[#All],[PID]],0)),INDEX(Table3[[#All],[Rnk]],MATCH(Table5[[#This Row],[PID]],Table3[[#All],[PID]],0)))</f>
        <v>439</v>
      </c>
      <c r="U1172" s="68">
        <f>IF($C1172="B",VLOOKUP($A1172,Bat!$A$4:$BA$1621,47,FALSE),VLOOKUP($A1172,Pit!$A$4:$BF$1557,56,FALSE))</f>
        <v>0</v>
      </c>
      <c r="V1172" s="50">
        <f>IF($C1172="B",VLOOKUP($A1172,Bat!$A$4:$BA$1621,48,FALSE),VLOOKUP($A1172,Pit!$A$4:$BF$1557,57,FALSE))</f>
        <v>0</v>
      </c>
      <c r="W1172" s="50">
        <f>Table5[[#This Row],[posRnk]]+Table5[[#This Row],[zRnk]]+IF($W$3&lt;&gt;Table5[[#This Row],[Type]],50,0)</f>
        <v>1622</v>
      </c>
      <c r="X1172" s="51">
        <f>RANK(Table5[[#This Row],[zScore]],Table5[[#All],[zScore]])</f>
        <v>1133</v>
      </c>
      <c r="Y1172" s="50" t="str">
        <f>IFERROR(INDEX(DraftResults[[#All],[OVR]],MATCH(Table5[[#This Row],[PID]],DraftResults[[#All],[Player ID]],0)),"")</f>
        <v/>
      </c>
      <c r="Z11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2" s="50" t="str">
        <f>IFERROR(INDEX(DraftResults[[#All],[Pick in Round]],MATCH(Table5[[#This Row],[PID]],DraftResults[[#All],[Player ID]],0)),"")</f>
        <v/>
      </c>
      <c r="AB1172" s="50" t="str">
        <f>IFERROR(INDEX(DraftResults[[#All],[Team Name]],MATCH(Table5[[#This Row],[PID]],DraftResults[[#All],[Player ID]],0)),"")</f>
        <v/>
      </c>
      <c r="AC1172" s="50" t="str">
        <f>IF(Table5[[#This Row],[Ovr]]="","",IF(Table5[[#This Row],[cmbList]]="","",Table5[[#This Row],[cmbList]]-Table5[[#This Row],[Ovr]]))</f>
        <v/>
      </c>
      <c r="AD1172" s="54" t="str">
        <f>IF(ISERROR(VLOOKUP($AB1172&amp;"-"&amp;$E1172&amp;" "&amp;F1172,Bonuses!$B$1:$G$1006,4,FALSE)),"",INT(VLOOKUP($AB1172&amp;"-"&amp;$E1172&amp;" "&amp;$F1172,Bonuses!$B$1:$G$1006,4,FALSE)))</f>
        <v/>
      </c>
      <c r="AE11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3" spans="1:31" s="50" customFormat="1" x14ac:dyDescent="0.25">
      <c r="A1173" s="50">
        <v>7358</v>
      </c>
      <c r="B1173" s="50">
        <f>COUNTIF(Table5[PID],A1173)</f>
        <v>1</v>
      </c>
      <c r="C1173" s="50" t="str">
        <f>IF(COUNTIF(Table3[[#All],[PID]],A1173)&gt;0,"P","B")</f>
        <v>P</v>
      </c>
      <c r="D1173" s="59" t="str">
        <f>IF($C1173="B",INDEX(Batters[[#All],[POS]],MATCH(Table5[[#This Row],[PID]],Batters[[#All],[PID]],0)),INDEX(Table3[[#All],[POS]],MATCH(Table5[[#This Row],[PID]],Table3[[#All],[PID]],0)))</f>
        <v>RP</v>
      </c>
      <c r="E1173" s="52" t="str">
        <f>IF($C1173="B",INDEX(Batters[[#All],[First]],MATCH(Table5[[#This Row],[PID]],Batters[[#All],[PID]],0)),INDEX(Table3[[#All],[First]],MATCH(Table5[[#This Row],[PID]],Table3[[#All],[PID]],0)))</f>
        <v>Tim</v>
      </c>
      <c r="F1173" s="50" t="str">
        <f>IF($C1173="B",INDEX(Batters[[#All],[Last]],MATCH(A1173,Batters[[#All],[PID]],0)),INDEX(Table3[[#All],[Last]],MATCH(A1173,Table3[[#All],[PID]],0)))</f>
        <v>Oliver</v>
      </c>
      <c r="G1173" s="56">
        <f>IF($C1173="B",INDEX(Batters[[#All],[Age]],MATCH(Table5[[#This Row],[PID]],Batters[[#All],[PID]],0)),INDEX(Table3[[#All],[Age]],MATCH(Table5[[#This Row],[PID]],Table3[[#All],[PID]],0)))</f>
        <v>22</v>
      </c>
      <c r="H1173" s="52" t="str">
        <f>IF($C1173="B",INDEX(Batters[[#All],[B]],MATCH(Table5[[#This Row],[PID]],Batters[[#All],[PID]],0)),INDEX(Table3[[#All],[B]],MATCH(Table5[[#This Row],[PID]],Table3[[#All],[PID]],0)))</f>
        <v>R</v>
      </c>
      <c r="I1173" s="52" t="str">
        <f>IF($C1173="B",INDEX(Batters[[#All],[T]],MATCH(Table5[[#This Row],[PID]],Batters[[#All],[PID]],0)),INDEX(Table3[[#All],[T]],MATCH(Table5[[#This Row],[PID]],Table3[[#All],[PID]],0)))</f>
        <v>R</v>
      </c>
      <c r="J1173" s="52" t="str">
        <f>IF($C1173="B",INDEX(Batters[[#All],[WE]],MATCH(Table5[[#This Row],[PID]],Batters[[#All],[PID]],0)),INDEX(Table3[[#All],[WE]],MATCH(Table5[[#This Row],[PID]],Table3[[#All],[PID]],0)))</f>
        <v>Normal</v>
      </c>
      <c r="K1173" s="52" t="str">
        <f>IF($C1173="B",INDEX(Batters[[#All],[INT]],MATCH(Table5[[#This Row],[PID]],Batters[[#All],[PID]],0)),INDEX(Table3[[#All],[INT]],MATCH(Table5[[#This Row],[PID]],Table3[[#All],[PID]],0)))</f>
        <v>Normal</v>
      </c>
      <c r="L1173" s="60">
        <f>IF($C1173="B",INDEX(Batters[[#All],[CON P]],MATCH(Table5[[#This Row],[PID]],Batters[[#All],[PID]],0)),INDEX(Table3[[#All],[STU P]],MATCH(Table5[[#This Row],[PID]],Table3[[#All],[PID]],0)))</f>
        <v>3</v>
      </c>
      <c r="M1173" s="56">
        <f>IF($C1173="B",INDEX(Batters[[#All],[GAP P]],MATCH(Table5[[#This Row],[PID]],Batters[[#All],[PID]],0)),INDEX(Table3[[#All],[MOV P]],MATCH(Table5[[#This Row],[PID]],Table3[[#All],[PID]],0)))</f>
        <v>2</v>
      </c>
      <c r="N1173" s="56">
        <f>IF($C1173="B",INDEX(Batters[[#All],[POW P]],MATCH(Table5[[#This Row],[PID]],Batters[[#All],[PID]],0)),INDEX(Table3[[#All],[CON P]],MATCH(Table5[[#This Row],[PID]],Table3[[#All],[PID]],0)))</f>
        <v>3</v>
      </c>
      <c r="O1173" s="56" t="str">
        <f>IF($C1173="B",INDEX(Batters[[#All],[EYE P]],MATCH(Table5[[#This Row],[PID]],Batters[[#All],[PID]],0)),INDEX(Table3[[#All],[VELO]],MATCH(Table5[[#This Row],[PID]],Table3[[#All],[PID]],0)))</f>
        <v>87-89 Mph</v>
      </c>
      <c r="P1173" s="56">
        <f>IF($C1173="B",INDEX(Batters[[#All],[K P]],MATCH(Table5[[#This Row],[PID]],Batters[[#All],[PID]],0)),INDEX(Table3[[#All],[STM]],MATCH(Table5[[#This Row],[PID]],Table3[[#All],[PID]],0)))</f>
        <v>4</v>
      </c>
      <c r="Q1173" s="61">
        <f>IF($C1173="B",INDEX(Batters[[#All],[Tot]],MATCH(Table5[[#This Row],[PID]],Batters[[#All],[PID]],0)),INDEX(Table3[[#All],[Tot]],MATCH(Table5[[#This Row],[PID]],Table3[[#All],[PID]],0)))</f>
        <v>23.404563542638741</v>
      </c>
      <c r="R1173" s="52">
        <f>IF($C1173="B",INDEX(Batters[[#All],[zScore]],MATCH(Table5[[#This Row],[PID]],Batters[[#All],[PID]],0)),INDEX(Table3[[#All],[zScore]],MATCH(Table5[[#This Row],[PID]],Table3[[#All],[PID]],0)))</f>
        <v>-0.98634183615027438</v>
      </c>
      <c r="S1173" s="58" t="str">
        <f>IF($C1173="B",INDEX(Batters[[#All],[DEM]],MATCH(Table5[[#This Row],[PID]],Batters[[#All],[PID]],0)),INDEX(Table3[[#All],[DEM]],MATCH(Table5[[#This Row],[PID]],Table3[[#All],[PID]],0)))</f>
        <v>-</v>
      </c>
      <c r="T1173" s="62">
        <f>IF($C1173="B",INDEX(Batters[[#All],[Rnk]],MATCH(Table5[[#This Row],[PID]],Batters[[#All],[PID]],0)),INDEX(Table3[[#All],[Rnk]],MATCH(Table5[[#This Row],[PID]],Table3[[#All],[PID]],0)))</f>
        <v>694</v>
      </c>
      <c r="U1173" s="68">
        <f>IF($C1173="B",VLOOKUP($A1173,Bat!$A$4:$BA$1621,47,FALSE),VLOOKUP($A1173,Pit!$A$4:$BF$1557,56,FALSE))</f>
        <v>0</v>
      </c>
      <c r="V1173" s="50">
        <f>IF($C1173="B",VLOOKUP($A1173,Bat!$A$4:$BA$1621,48,FALSE),VLOOKUP($A1173,Pit!$A$4:$BF$1557,57,FALSE))</f>
        <v>0</v>
      </c>
      <c r="W1173" s="50">
        <f>Table5[[#This Row],[posRnk]]+Table5[[#This Row],[zRnk]]+IF($W$3&lt;&gt;Table5[[#This Row],[Type]],50,0)</f>
        <v>1878</v>
      </c>
      <c r="X1173" s="51">
        <f>RANK(Table5[[#This Row],[zScore]],Table5[[#All],[zScore]])</f>
        <v>1134</v>
      </c>
      <c r="Y1173" s="50" t="str">
        <f>IFERROR(INDEX(DraftResults[[#All],[OVR]],MATCH(Table5[[#This Row],[PID]],DraftResults[[#All],[Player ID]],0)),"")</f>
        <v/>
      </c>
      <c r="Z11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3" s="50" t="str">
        <f>IFERROR(INDEX(DraftResults[[#All],[Pick in Round]],MATCH(Table5[[#This Row],[PID]],DraftResults[[#All],[Player ID]],0)),"")</f>
        <v/>
      </c>
      <c r="AB1173" s="50" t="str">
        <f>IFERROR(INDEX(DraftResults[[#All],[Team Name]],MATCH(Table5[[#This Row],[PID]],DraftResults[[#All],[Player ID]],0)),"")</f>
        <v/>
      </c>
      <c r="AC1173" s="50" t="str">
        <f>IF(Table5[[#This Row],[Ovr]]="","",IF(Table5[[#This Row],[cmbList]]="","",Table5[[#This Row],[cmbList]]-Table5[[#This Row],[Ovr]]))</f>
        <v/>
      </c>
      <c r="AD1173" s="54" t="str">
        <f>IF(ISERROR(VLOOKUP($AB1173&amp;"-"&amp;$E1173&amp;" "&amp;F1173,Bonuses!$B$1:$G$1006,4,FALSE)),"",INT(VLOOKUP($AB1173&amp;"-"&amp;$E1173&amp;" "&amp;$F1173,Bonuses!$B$1:$G$1006,4,FALSE)))</f>
        <v/>
      </c>
      <c r="AE11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4" spans="1:31" s="50" customFormat="1" x14ac:dyDescent="0.25">
      <c r="A1174" s="50">
        <v>20231</v>
      </c>
      <c r="B1174" s="50">
        <f>COUNTIF(Table5[PID],A1174)</f>
        <v>1</v>
      </c>
      <c r="C1174" s="50" t="str">
        <f>IF(COUNTIF(Table3[[#All],[PID]],A1174)&gt;0,"P","B")</f>
        <v>B</v>
      </c>
      <c r="D1174" s="59" t="str">
        <f>IF($C1174="B",INDEX(Batters[[#All],[POS]],MATCH(Table5[[#This Row],[PID]],Batters[[#All],[PID]],0)),INDEX(Table3[[#All],[POS]],MATCH(Table5[[#This Row],[PID]],Table3[[#All],[PID]],0)))</f>
        <v>RF</v>
      </c>
      <c r="E1174" s="52" t="str">
        <f>IF($C1174="B",INDEX(Batters[[#All],[First]],MATCH(Table5[[#This Row],[PID]],Batters[[#All],[PID]],0)),INDEX(Table3[[#All],[First]],MATCH(Table5[[#This Row],[PID]],Table3[[#All],[PID]],0)))</f>
        <v>Christian</v>
      </c>
      <c r="F1174" s="50" t="str">
        <f>IF($C1174="B",INDEX(Batters[[#All],[Last]],MATCH(A1174,Batters[[#All],[PID]],0)),INDEX(Table3[[#All],[Last]],MATCH(A1174,Table3[[#All],[PID]],0)))</f>
        <v>Johnston</v>
      </c>
      <c r="G1174" s="56">
        <f>IF($C1174="B",INDEX(Batters[[#All],[Age]],MATCH(Table5[[#This Row],[PID]],Batters[[#All],[PID]],0)),INDEX(Table3[[#All],[Age]],MATCH(Table5[[#This Row],[PID]],Table3[[#All],[PID]],0)))</f>
        <v>22</v>
      </c>
      <c r="H1174" s="52" t="str">
        <f>IF($C1174="B",INDEX(Batters[[#All],[B]],MATCH(Table5[[#This Row],[PID]],Batters[[#All],[PID]],0)),INDEX(Table3[[#All],[B]],MATCH(Table5[[#This Row],[PID]],Table3[[#All],[PID]],0)))</f>
        <v>R</v>
      </c>
      <c r="I1174" s="52" t="str">
        <f>IF($C1174="B",INDEX(Batters[[#All],[T]],MATCH(Table5[[#This Row],[PID]],Batters[[#All],[PID]],0)),INDEX(Table3[[#All],[T]],MATCH(Table5[[#This Row],[PID]],Table3[[#All],[PID]],0)))</f>
        <v>R</v>
      </c>
      <c r="J1174" s="52" t="str">
        <f>IF($C1174="B",INDEX(Batters[[#All],[WE]],MATCH(Table5[[#This Row],[PID]],Batters[[#All],[PID]],0)),INDEX(Table3[[#All],[WE]],MATCH(Table5[[#This Row],[PID]],Table3[[#All],[PID]],0)))</f>
        <v>Normal</v>
      </c>
      <c r="K1174" s="52" t="str">
        <f>IF($C1174="B",INDEX(Batters[[#All],[INT]],MATCH(Table5[[#This Row],[PID]],Batters[[#All],[PID]],0)),INDEX(Table3[[#All],[INT]],MATCH(Table5[[#This Row],[PID]],Table3[[#All],[PID]],0)))</f>
        <v>Normal</v>
      </c>
      <c r="L1174" s="60">
        <f>IF($C1174="B",INDEX(Batters[[#All],[CON P]],MATCH(Table5[[#This Row],[PID]],Batters[[#All],[PID]],0)),INDEX(Table3[[#All],[STU P]],MATCH(Table5[[#This Row],[PID]],Table3[[#All],[PID]],0)))</f>
        <v>3</v>
      </c>
      <c r="M1174" s="56">
        <f>IF($C1174="B",INDEX(Batters[[#All],[GAP P]],MATCH(Table5[[#This Row],[PID]],Batters[[#All],[PID]],0)),INDEX(Table3[[#All],[MOV P]],MATCH(Table5[[#This Row],[PID]],Table3[[#All],[PID]],0)))</f>
        <v>3</v>
      </c>
      <c r="N1174" s="56">
        <f>IF($C1174="B",INDEX(Batters[[#All],[POW P]],MATCH(Table5[[#This Row],[PID]],Batters[[#All],[PID]],0)),INDEX(Table3[[#All],[CON P]],MATCH(Table5[[#This Row],[PID]],Table3[[#All],[PID]],0)))</f>
        <v>5</v>
      </c>
      <c r="O1174" s="56">
        <f>IF($C1174="B",INDEX(Batters[[#All],[EYE P]],MATCH(Table5[[#This Row],[PID]],Batters[[#All],[PID]],0)),INDEX(Table3[[#All],[VELO]],MATCH(Table5[[#This Row],[PID]],Table3[[#All],[PID]],0)))</f>
        <v>6</v>
      </c>
      <c r="P1174" s="56">
        <f>IF($C1174="B",INDEX(Batters[[#All],[K P]],MATCH(Table5[[#This Row],[PID]],Batters[[#All],[PID]],0)),INDEX(Table3[[#All],[STM]],MATCH(Table5[[#This Row],[PID]],Table3[[#All],[PID]],0)))</f>
        <v>3</v>
      </c>
      <c r="Q1174" s="61">
        <f>IF($C1174="B",INDEX(Batters[[#All],[Tot]],MATCH(Table5[[#This Row],[PID]],Batters[[#All],[PID]],0)),INDEX(Table3[[#All],[Tot]],MATCH(Table5[[#This Row],[PID]],Table3[[#All],[PID]],0)))</f>
        <v>39.670438388885643</v>
      </c>
      <c r="R1174" s="52">
        <f>IF($C1174="B",INDEX(Batters[[#All],[zScore]],MATCH(Table5[[#This Row],[PID]],Batters[[#All],[PID]],0)),INDEX(Table3[[#All],[zScore]],MATCH(Table5[[#This Row],[PID]],Table3[[#All],[PID]],0)))</f>
        <v>-0.98914500242051595</v>
      </c>
      <c r="S1174" s="58" t="str">
        <f>IF($C1174="B",INDEX(Batters[[#All],[DEM]],MATCH(Table5[[#This Row],[PID]],Batters[[#All],[PID]],0)),INDEX(Table3[[#All],[DEM]],MATCH(Table5[[#This Row],[PID]],Table3[[#All],[PID]],0)))</f>
        <v>-</v>
      </c>
      <c r="T1174" s="62">
        <f>IF($C1174="B",INDEX(Batters[[#All],[Rnk]],MATCH(Table5[[#This Row],[PID]],Batters[[#All],[PID]],0)),INDEX(Table3[[#All],[Rnk]],MATCH(Table5[[#This Row],[PID]],Table3[[#All],[PID]],0)))</f>
        <v>441</v>
      </c>
      <c r="U1174" s="68">
        <f>IF($C1174="B",VLOOKUP($A1174,Bat!$A$4:$BA$1621,47,FALSE),VLOOKUP($A1174,Pit!$A$4:$BF$1557,56,FALSE))</f>
        <v>0</v>
      </c>
      <c r="V1174" s="50">
        <f>IF($C1174="B",VLOOKUP($A1174,Bat!$A$4:$BA$1621,48,FALSE),VLOOKUP($A1174,Pit!$A$4:$BF$1557,57,FALSE))</f>
        <v>0</v>
      </c>
      <c r="W1174" s="50">
        <f>Table5[[#This Row],[posRnk]]+Table5[[#This Row],[zRnk]]+IF($W$3&lt;&gt;Table5[[#This Row],[Type]],50,0)</f>
        <v>1627</v>
      </c>
      <c r="X1174" s="51">
        <f>RANK(Table5[[#This Row],[zScore]],Table5[[#All],[zScore]])</f>
        <v>1136</v>
      </c>
      <c r="Y1174" s="50" t="str">
        <f>IFERROR(INDEX(DraftResults[[#All],[OVR]],MATCH(Table5[[#This Row],[PID]],DraftResults[[#All],[Player ID]],0)),"")</f>
        <v/>
      </c>
      <c r="Z11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4" s="50" t="str">
        <f>IFERROR(INDEX(DraftResults[[#All],[Pick in Round]],MATCH(Table5[[#This Row],[PID]],DraftResults[[#All],[Player ID]],0)),"")</f>
        <v/>
      </c>
      <c r="AB1174" s="50" t="str">
        <f>IFERROR(INDEX(DraftResults[[#All],[Team Name]],MATCH(Table5[[#This Row],[PID]],DraftResults[[#All],[Player ID]],0)),"")</f>
        <v/>
      </c>
      <c r="AC1174" s="50" t="str">
        <f>IF(Table5[[#This Row],[Ovr]]="","",IF(Table5[[#This Row],[cmbList]]="","",Table5[[#This Row],[cmbList]]-Table5[[#This Row],[Ovr]]))</f>
        <v/>
      </c>
      <c r="AD1174" s="54" t="str">
        <f>IF(ISERROR(VLOOKUP($AB1174&amp;"-"&amp;$E1174&amp;" "&amp;F1174,Bonuses!$B$1:$G$1006,4,FALSE)),"",INT(VLOOKUP($AB1174&amp;"-"&amp;$E1174&amp;" "&amp;$F1174,Bonuses!$B$1:$G$1006,4,FALSE)))</f>
        <v/>
      </c>
      <c r="AE11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5" spans="1:31" s="50" customFormat="1" x14ac:dyDescent="0.25">
      <c r="A1175" s="50">
        <v>20212</v>
      </c>
      <c r="B1175" s="50">
        <f>COUNTIF(Table5[PID],A1175)</f>
        <v>1</v>
      </c>
      <c r="C1175" s="50" t="str">
        <f>IF(COUNTIF(Table3[[#All],[PID]],A1175)&gt;0,"P","B")</f>
        <v>P</v>
      </c>
      <c r="D1175" s="59" t="str">
        <f>IF($C1175="B",INDEX(Batters[[#All],[POS]],MATCH(Table5[[#This Row],[PID]],Batters[[#All],[PID]],0)),INDEX(Table3[[#All],[POS]],MATCH(Table5[[#This Row],[PID]],Table3[[#All],[PID]],0)))</f>
        <v>RP</v>
      </c>
      <c r="E1175" s="52" t="str">
        <f>IF($C1175="B",INDEX(Batters[[#All],[First]],MATCH(Table5[[#This Row],[PID]],Batters[[#All],[PID]],0)),INDEX(Table3[[#All],[First]],MATCH(Table5[[#This Row],[PID]],Table3[[#All],[PID]],0)))</f>
        <v>Bruce</v>
      </c>
      <c r="F1175" s="50" t="str">
        <f>IF($C1175="B",INDEX(Batters[[#All],[Last]],MATCH(A1175,Batters[[#All],[PID]],0)),INDEX(Table3[[#All],[Last]],MATCH(A1175,Table3[[#All],[PID]],0)))</f>
        <v>Berard</v>
      </c>
      <c r="G1175" s="56">
        <f>IF($C1175="B",INDEX(Batters[[#All],[Age]],MATCH(Table5[[#This Row],[PID]],Batters[[#All],[PID]],0)),INDEX(Table3[[#All],[Age]],MATCH(Table5[[#This Row],[PID]],Table3[[#All],[PID]],0)))</f>
        <v>22</v>
      </c>
      <c r="H1175" s="52" t="str">
        <f>IF($C1175="B",INDEX(Batters[[#All],[B]],MATCH(Table5[[#This Row],[PID]],Batters[[#All],[PID]],0)),INDEX(Table3[[#All],[B]],MATCH(Table5[[#This Row],[PID]],Table3[[#All],[PID]],0)))</f>
        <v>S</v>
      </c>
      <c r="I1175" s="52" t="str">
        <f>IF($C1175="B",INDEX(Batters[[#All],[T]],MATCH(Table5[[#This Row],[PID]],Batters[[#All],[PID]],0)),INDEX(Table3[[#All],[T]],MATCH(Table5[[#This Row],[PID]],Table3[[#All],[PID]],0)))</f>
        <v>R</v>
      </c>
      <c r="J1175" s="52" t="str">
        <f>IF($C1175="B",INDEX(Batters[[#All],[WE]],MATCH(Table5[[#This Row],[PID]],Batters[[#All],[PID]],0)),INDEX(Table3[[#All],[WE]],MATCH(Table5[[#This Row],[PID]],Table3[[#All],[PID]],0)))</f>
        <v>Low</v>
      </c>
      <c r="K1175" s="52" t="str">
        <f>IF($C1175="B",INDEX(Batters[[#All],[INT]],MATCH(Table5[[#This Row],[PID]],Batters[[#All],[PID]],0)),INDEX(Table3[[#All],[INT]],MATCH(Table5[[#This Row],[PID]],Table3[[#All],[PID]],0)))</f>
        <v>High</v>
      </c>
      <c r="L1175" s="60">
        <f>IF($C1175="B",INDEX(Batters[[#All],[CON P]],MATCH(Table5[[#This Row],[PID]],Batters[[#All],[PID]],0)),INDEX(Table3[[#All],[STU P]],MATCH(Table5[[#This Row],[PID]],Table3[[#All],[PID]],0)))</f>
        <v>3</v>
      </c>
      <c r="M1175" s="56">
        <f>IF($C1175="B",INDEX(Batters[[#All],[GAP P]],MATCH(Table5[[#This Row],[PID]],Batters[[#All],[PID]],0)),INDEX(Table3[[#All],[MOV P]],MATCH(Table5[[#This Row],[PID]],Table3[[#All],[PID]],0)))</f>
        <v>1</v>
      </c>
      <c r="N1175" s="56">
        <f>IF($C1175="B",INDEX(Batters[[#All],[POW P]],MATCH(Table5[[#This Row],[PID]],Batters[[#All],[PID]],0)),INDEX(Table3[[#All],[CON P]],MATCH(Table5[[#This Row],[PID]],Table3[[#All],[PID]],0)))</f>
        <v>3</v>
      </c>
      <c r="O1175" s="56" t="str">
        <f>IF($C1175="B",INDEX(Batters[[#All],[EYE P]],MATCH(Table5[[#This Row],[PID]],Batters[[#All],[PID]],0)),INDEX(Table3[[#All],[VELO]],MATCH(Table5[[#This Row],[PID]],Table3[[#All],[PID]],0)))</f>
        <v>89-91 Mph</v>
      </c>
      <c r="P1175" s="56">
        <f>IF($C1175="B",INDEX(Batters[[#All],[K P]],MATCH(Table5[[#This Row],[PID]],Batters[[#All],[PID]],0)),INDEX(Table3[[#All],[STM]],MATCH(Table5[[#This Row],[PID]],Table3[[#All],[PID]],0)))</f>
        <v>8</v>
      </c>
      <c r="Q1175" s="61">
        <f>IF($C1175="B",INDEX(Batters[[#All],[Tot]],MATCH(Table5[[#This Row],[PID]],Batters[[#All],[PID]],0)),INDEX(Table3[[#All],[Tot]],MATCH(Table5[[#This Row],[PID]],Table3[[#All],[PID]],0)))</f>
        <v>20.9467296733418</v>
      </c>
      <c r="R1175" s="52">
        <f>IF($C1175="B",INDEX(Batters[[#All],[zScore]],MATCH(Table5[[#This Row],[PID]],Batters[[#All],[PID]],0)),INDEX(Table3[[#All],[zScore]],MATCH(Table5[[#This Row],[PID]],Table3[[#All],[PID]],0)))</f>
        <v>-0.99285736728822882</v>
      </c>
      <c r="S1175" s="58" t="str">
        <f>IF($C1175="B",INDEX(Batters[[#All],[DEM]],MATCH(Table5[[#This Row],[PID]],Batters[[#All],[PID]],0)),INDEX(Table3[[#All],[DEM]],MATCH(Table5[[#This Row],[PID]],Table3[[#All],[PID]],0)))</f>
        <v>-</v>
      </c>
      <c r="T1175" s="62">
        <f>IF($C1175="B",INDEX(Batters[[#All],[Rnk]],MATCH(Table5[[#This Row],[PID]],Batters[[#All],[PID]],0)),INDEX(Table3[[#All],[Rnk]],MATCH(Table5[[#This Row],[PID]],Table3[[#All],[PID]],0)))</f>
        <v>695</v>
      </c>
      <c r="U1175" s="68">
        <f>IF($C1175="B",VLOOKUP($A1175,Bat!$A$4:$BA$1621,47,FALSE),VLOOKUP($A1175,Pit!$A$4:$BF$1557,56,FALSE))</f>
        <v>0</v>
      </c>
      <c r="V1175" s="50">
        <f>IF($C1175="B",VLOOKUP($A1175,Bat!$A$4:$BA$1621,48,FALSE),VLOOKUP($A1175,Pit!$A$4:$BF$1557,57,FALSE))</f>
        <v>0</v>
      </c>
      <c r="W1175" s="50">
        <f>Table5[[#This Row],[posRnk]]+Table5[[#This Row],[zRnk]]+IF($W$3&lt;&gt;Table5[[#This Row],[Type]],50,0)</f>
        <v>1882</v>
      </c>
      <c r="X1175" s="51">
        <f>RANK(Table5[[#This Row],[zScore]],Table5[[#All],[zScore]])</f>
        <v>1137</v>
      </c>
      <c r="Y1175" s="50" t="str">
        <f>IFERROR(INDEX(DraftResults[[#All],[OVR]],MATCH(Table5[[#This Row],[PID]],DraftResults[[#All],[Player ID]],0)),"")</f>
        <v/>
      </c>
      <c r="Z11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5" s="50" t="str">
        <f>IFERROR(INDEX(DraftResults[[#All],[Pick in Round]],MATCH(Table5[[#This Row],[PID]],DraftResults[[#All],[Player ID]],0)),"")</f>
        <v/>
      </c>
      <c r="AB1175" s="50" t="str">
        <f>IFERROR(INDEX(DraftResults[[#All],[Team Name]],MATCH(Table5[[#This Row],[PID]],DraftResults[[#All],[Player ID]],0)),"")</f>
        <v/>
      </c>
      <c r="AC1175" s="50" t="str">
        <f>IF(Table5[[#This Row],[Ovr]]="","",IF(Table5[[#This Row],[cmbList]]="","",Table5[[#This Row],[cmbList]]-Table5[[#This Row],[Ovr]]))</f>
        <v/>
      </c>
      <c r="AD1175" s="54" t="str">
        <f>IF(ISERROR(VLOOKUP($AB1175&amp;"-"&amp;$E1175&amp;" "&amp;F1175,Bonuses!$B$1:$G$1006,4,FALSE)),"",INT(VLOOKUP($AB1175&amp;"-"&amp;$E1175&amp;" "&amp;$F1175,Bonuses!$B$1:$G$1006,4,FALSE)))</f>
        <v/>
      </c>
      <c r="AE11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6" spans="1:31" s="50" customFormat="1" x14ac:dyDescent="0.25">
      <c r="A1176" s="50">
        <v>11781</v>
      </c>
      <c r="B1176" s="50">
        <f>COUNTIF(Table5[PID],A1176)</f>
        <v>1</v>
      </c>
      <c r="C1176" s="50" t="str">
        <f>IF(COUNTIF(Table3[[#All],[PID]],A1176)&gt;0,"P","B")</f>
        <v>P</v>
      </c>
      <c r="D1176" s="59" t="str">
        <f>IF($C1176="B",INDEX(Batters[[#All],[POS]],MATCH(Table5[[#This Row],[PID]],Batters[[#All],[PID]],0)),INDEX(Table3[[#All],[POS]],MATCH(Table5[[#This Row],[PID]],Table3[[#All],[PID]],0)))</f>
        <v>RP</v>
      </c>
      <c r="E1176" s="52" t="str">
        <f>IF($C1176="B",INDEX(Batters[[#All],[First]],MATCH(Table5[[#This Row],[PID]],Batters[[#All],[PID]],0)),INDEX(Table3[[#All],[First]],MATCH(Table5[[#This Row],[PID]],Table3[[#All],[PID]],0)))</f>
        <v>Martín</v>
      </c>
      <c r="F1176" s="50" t="str">
        <f>IF($C1176="B",INDEX(Batters[[#All],[Last]],MATCH(A1176,Batters[[#All],[PID]],0)),INDEX(Table3[[#All],[Last]],MATCH(A1176,Table3[[#All],[PID]],0)))</f>
        <v>López</v>
      </c>
      <c r="G1176" s="56">
        <f>IF($C1176="B",INDEX(Batters[[#All],[Age]],MATCH(Table5[[#This Row],[PID]],Batters[[#All],[PID]],0)),INDEX(Table3[[#All],[Age]],MATCH(Table5[[#This Row],[PID]],Table3[[#All],[PID]],0)))</f>
        <v>22</v>
      </c>
      <c r="H1176" s="52" t="str">
        <f>IF($C1176="B",INDEX(Batters[[#All],[B]],MATCH(Table5[[#This Row],[PID]],Batters[[#All],[PID]],0)),INDEX(Table3[[#All],[B]],MATCH(Table5[[#This Row],[PID]],Table3[[#All],[PID]],0)))</f>
        <v>L</v>
      </c>
      <c r="I1176" s="52" t="str">
        <f>IF($C1176="B",INDEX(Batters[[#All],[T]],MATCH(Table5[[#This Row],[PID]],Batters[[#All],[PID]],0)),INDEX(Table3[[#All],[T]],MATCH(Table5[[#This Row],[PID]],Table3[[#All],[PID]],0)))</f>
        <v>R</v>
      </c>
      <c r="J1176" s="52" t="str">
        <f>IF($C1176="B",INDEX(Batters[[#All],[WE]],MATCH(Table5[[#This Row],[PID]],Batters[[#All],[PID]],0)),INDEX(Table3[[#All],[WE]],MATCH(Table5[[#This Row],[PID]],Table3[[#All],[PID]],0)))</f>
        <v>Low</v>
      </c>
      <c r="K1176" s="52" t="str">
        <f>IF($C1176="B",INDEX(Batters[[#All],[INT]],MATCH(Table5[[#This Row],[PID]],Batters[[#All],[PID]],0)),INDEX(Table3[[#All],[INT]],MATCH(Table5[[#This Row],[PID]],Table3[[#All],[PID]],0)))</f>
        <v>Normal</v>
      </c>
      <c r="L1176" s="60">
        <f>IF($C1176="B",INDEX(Batters[[#All],[CON P]],MATCH(Table5[[#This Row],[PID]],Batters[[#All],[PID]],0)),INDEX(Table3[[#All],[STU P]],MATCH(Table5[[#This Row],[PID]],Table3[[#All],[PID]],0)))</f>
        <v>3</v>
      </c>
      <c r="M1176" s="56">
        <f>IF($C1176="B",INDEX(Batters[[#All],[GAP P]],MATCH(Table5[[#This Row],[PID]],Batters[[#All],[PID]],0)),INDEX(Table3[[#All],[MOV P]],MATCH(Table5[[#This Row],[PID]],Table3[[#All],[PID]],0)))</f>
        <v>1</v>
      </c>
      <c r="N1176" s="56">
        <f>IF($C1176="B",INDEX(Batters[[#All],[POW P]],MATCH(Table5[[#This Row],[PID]],Batters[[#All],[PID]],0)),INDEX(Table3[[#All],[CON P]],MATCH(Table5[[#This Row],[PID]],Table3[[#All],[PID]],0)))</f>
        <v>3</v>
      </c>
      <c r="O1176" s="56" t="str">
        <f>IF($C1176="B",INDEX(Batters[[#All],[EYE P]],MATCH(Table5[[#This Row],[PID]],Batters[[#All],[PID]],0)),INDEX(Table3[[#All],[VELO]],MATCH(Table5[[#This Row],[PID]],Table3[[#All],[PID]],0)))</f>
        <v>90-92 Mph</v>
      </c>
      <c r="P1176" s="56">
        <f>IF($C1176="B",INDEX(Batters[[#All],[K P]],MATCH(Table5[[#This Row],[PID]],Batters[[#All],[PID]],0)),INDEX(Table3[[#All],[STM]],MATCH(Table5[[#This Row],[PID]],Table3[[#All],[PID]],0)))</f>
        <v>6</v>
      </c>
      <c r="Q1176" s="61">
        <f>IF($C1176="B",INDEX(Batters[[#All],[Tot]],MATCH(Table5[[#This Row],[PID]],Batters[[#All],[PID]],0)),INDEX(Table3[[#All],[Tot]],MATCH(Table5[[#This Row],[PID]],Table3[[#All],[PID]],0)))</f>
        <v>20.819849133609519</v>
      </c>
      <c r="R1176" s="52">
        <f>IF($C1176="B",INDEX(Batters[[#All],[zScore]],MATCH(Table5[[#This Row],[PID]],Batters[[#All],[PID]],0)),INDEX(Table3[[#All],[zScore]],MATCH(Table5[[#This Row],[PID]],Table3[[#All],[PID]],0)))</f>
        <v>-1.0012985357093429</v>
      </c>
      <c r="S1176" s="58" t="str">
        <f>IF($C1176="B",INDEX(Batters[[#All],[DEM]],MATCH(Table5[[#This Row],[PID]],Batters[[#All],[PID]],0)),INDEX(Table3[[#All],[DEM]],MATCH(Table5[[#This Row],[PID]],Table3[[#All],[PID]],0)))</f>
        <v>-</v>
      </c>
      <c r="T1176" s="62">
        <f>IF($C1176="B",INDEX(Batters[[#All],[Rnk]],MATCH(Table5[[#This Row],[PID]],Batters[[#All],[PID]],0)),INDEX(Table3[[#All],[Rnk]],MATCH(Table5[[#This Row],[PID]],Table3[[#All],[PID]],0)))</f>
        <v>696</v>
      </c>
      <c r="U1176" s="68">
        <f>IF($C1176="B",VLOOKUP($A1176,Bat!$A$4:$BA$1621,47,FALSE),VLOOKUP($A1176,Pit!$A$4:$BF$1557,56,FALSE))</f>
        <v>0</v>
      </c>
      <c r="V1176" s="50">
        <f>IF($C1176="B",VLOOKUP($A1176,Bat!$A$4:$BA$1621,48,FALSE),VLOOKUP($A1176,Pit!$A$4:$BF$1557,57,FALSE))</f>
        <v>0</v>
      </c>
      <c r="W1176" s="50">
        <f>Table5[[#This Row],[posRnk]]+Table5[[#This Row],[zRnk]]+IF($W$3&lt;&gt;Table5[[#This Row],[Type]],50,0)</f>
        <v>1885</v>
      </c>
      <c r="X1176" s="51">
        <f>RANK(Table5[[#This Row],[zScore]],Table5[[#All],[zScore]])</f>
        <v>1139</v>
      </c>
      <c r="Y1176" s="50" t="str">
        <f>IFERROR(INDEX(DraftResults[[#All],[OVR]],MATCH(Table5[[#This Row],[PID]],DraftResults[[#All],[Player ID]],0)),"")</f>
        <v/>
      </c>
      <c r="Z11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6" s="50" t="str">
        <f>IFERROR(INDEX(DraftResults[[#All],[Pick in Round]],MATCH(Table5[[#This Row],[PID]],DraftResults[[#All],[Player ID]],0)),"")</f>
        <v/>
      </c>
      <c r="AB1176" s="50" t="str">
        <f>IFERROR(INDEX(DraftResults[[#All],[Team Name]],MATCH(Table5[[#This Row],[PID]],DraftResults[[#All],[Player ID]],0)),"")</f>
        <v/>
      </c>
      <c r="AC1176" s="50" t="str">
        <f>IF(Table5[[#This Row],[Ovr]]="","",IF(Table5[[#This Row],[cmbList]]="","",Table5[[#This Row],[cmbList]]-Table5[[#This Row],[Ovr]]))</f>
        <v/>
      </c>
      <c r="AD1176" s="54" t="str">
        <f>IF(ISERROR(VLOOKUP($AB1176&amp;"-"&amp;$E1176&amp;" "&amp;F1176,Bonuses!$B$1:$G$1006,4,FALSE)),"",INT(VLOOKUP($AB1176&amp;"-"&amp;$E1176&amp;" "&amp;$F1176,Bonuses!$B$1:$G$1006,4,FALSE)))</f>
        <v/>
      </c>
      <c r="AE11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7" spans="1:31" s="50" customFormat="1" x14ac:dyDescent="0.25">
      <c r="A1177" s="50">
        <v>18078</v>
      </c>
      <c r="B1177" s="50">
        <f>COUNTIF(Table5[PID],A1177)</f>
        <v>1</v>
      </c>
      <c r="C1177" s="50" t="str">
        <f>IF(COUNTIF(Table3[[#All],[PID]],A1177)&gt;0,"P","B")</f>
        <v>B</v>
      </c>
      <c r="D1177" s="59" t="str">
        <f>IF($C1177="B",INDEX(Batters[[#All],[POS]],MATCH(Table5[[#This Row],[PID]],Batters[[#All],[PID]],0)),INDEX(Table3[[#All],[POS]],MATCH(Table5[[#This Row],[PID]],Table3[[#All],[PID]],0)))</f>
        <v>3B</v>
      </c>
      <c r="E1177" s="52" t="str">
        <f>IF($C1177="B",INDEX(Batters[[#All],[First]],MATCH(Table5[[#This Row],[PID]],Batters[[#All],[PID]],0)),INDEX(Table3[[#All],[First]],MATCH(Table5[[#This Row],[PID]],Table3[[#All],[PID]],0)))</f>
        <v>Ricardo</v>
      </c>
      <c r="F1177" s="50" t="str">
        <f>IF($C1177="B",INDEX(Batters[[#All],[Last]],MATCH(A1177,Batters[[#All],[PID]],0)),INDEX(Table3[[#All],[Last]],MATCH(A1177,Table3[[#All],[PID]],0)))</f>
        <v>Vidro</v>
      </c>
      <c r="G1177" s="56">
        <f>IF($C1177="B",INDEX(Batters[[#All],[Age]],MATCH(Table5[[#This Row],[PID]],Batters[[#All],[PID]],0)),INDEX(Table3[[#All],[Age]],MATCH(Table5[[#This Row],[PID]],Table3[[#All],[PID]],0)))</f>
        <v>21</v>
      </c>
      <c r="H1177" s="52" t="str">
        <f>IF($C1177="B",INDEX(Batters[[#All],[B]],MATCH(Table5[[#This Row],[PID]],Batters[[#All],[PID]],0)),INDEX(Table3[[#All],[B]],MATCH(Table5[[#This Row],[PID]],Table3[[#All],[PID]],0)))</f>
        <v>R</v>
      </c>
      <c r="I1177" s="52" t="str">
        <f>IF($C1177="B",INDEX(Batters[[#All],[T]],MATCH(Table5[[#This Row],[PID]],Batters[[#All],[PID]],0)),INDEX(Table3[[#All],[T]],MATCH(Table5[[#This Row],[PID]],Table3[[#All],[PID]],0)))</f>
        <v>R</v>
      </c>
      <c r="J1177" s="52" t="str">
        <f>IF($C1177="B",INDEX(Batters[[#All],[WE]],MATCH(Table5[[#This Row],[PID]],Batters[[#All],[PID]],0)),INDEX(Table3[[#All],[WE]],MATCH(Table5[[#This Row],[PID]],Table3[[#All],[PID]],0)))</f>
        <v>Low</v>
      </c>
      <c r="K1177" s="52" t="str">
        <f>IF($C1177="B",INDEX(Batters[[#All],[INT]],MATCH(Table5[[#This Row],[PID]],Batters[[#All],[PID]],0)),INDEX(Table3[[#All],[INT]],MATCH(Table5[[#This Row],[PID]],Table3[[#All],[PID]],0)))</f>
        <v>Normal</v>
      </c>
      <c r="L1177" s="60">
        <f>IF($C1177="B",INDEX(Batters[[#All],[CON P]],MATCH(Table5[[#This Row],[PID]],Batters[[#All],[PID]],0)),INDEX(Table3[[#All],[STU P]],MATCH(Table5[[#This Row],[PID]],Table3[[#All],[PID]],0)))</f>
        <v>3</v>
      </c>
      <c r="M1177" s="56">
        <f>IF($C1177="B",INDEX(Batters[[#All],[GAP P]],MATCH(Table5[[#This Row],[PID]],Batters[[#All],[PID]],0)),INDEX(Table3[[#All],[MOV P]],MATCH(Table5[[#This Row],[PID]],Table3[[#All],[PID]],0)))</f>
        <v>4</v>
      </c>
      <c r="N1177" s="56">
        <f>IF($C1177="B",INDEX(Batters[[#All],[POW P]],MATCH(Table5[[#This Row],[PID]],Batters[[#All],[PID]],0)),INDEX(Table3[[#All],[CON P]],MATCH(Table5[[#This Row],[PID]],Table3[[#All],[PID]],0)))</f>
        <v>5</v>
      </c>
      <c r="O1177" s="56">
        <f>IF($C1177="B",INDEX(Batters[[#All],[EYE P]],MATCH(Table5[[#This Row],[PID]],Batters[[#All],[PID]],0)),INDEX(Table3[[#All],[VELO]],MATCH(Table5[[#This Row],[PID]],Table3[[#All],[PID]],0)))</f>
        <v>5</v>
      </c>
      <c r="P1177" s="56">
        <f>IF($C1177="B",INDEX(Batters[[#All],[K P]],MATCH(Table5[[#This Row],[PID]],Batters[[#All],[PID]],0)),INDEX(Table3[[#All],[STM]],MATCH(Table5[[#This Row],[PID]],Table3[[#All],[PID]],0)))</f>
        <v>4</v>
      </c>
      <c r="Q1177" s="61">
        <f>IF($C1177="B",INDEX(Batters[[#All],[Tot]],MATCH(Table5[[#This Row],[PID]],Batters[[#All],[PID]],0)),INDEX(Table3[[#All],[Tot]],MATCH(Table5[[#This Row],[PID]],Table3[[#All],[PID]],0)))</f>
        <v>39.610590362595808</v>
      </c>
      <c r="R1177" s="52">
        <f>IF($C1177="B",INDEX(Batters[[#All],[zScore]],MATCH(Table5[[#This Row],[PID]],Batters[[#All],[PID]],0)),INDEX(Table3[[#All],[zScore]],MATCH(Table5[[#This Row],[PID]],Table3[[#All],[PID]],0)))</f>
        <v>-1.0024137143840863</v>
      </c>
      <c r="S1177" s="58" t="str">
        <f>IF($C1177="B",INDEX(Batters[[#All],[DEM]],MATCH(Table5[[#This Row],[PID]],Batters[[#All],[PID]],0)),INDEX(Table3[[#All],[DEM]],MATCH(Table5[[#This Row],[PID]],Table3[[#All],[PID]],0)))</f>
        <v>-</v>
      </c>
      <c r="T1177" s="62">
        <f>IF($C1177="B",INDEX(Batters[[#All],[Rnk]],MATCH(Table5[[#This Row],[PID]],Batters[[#All],[PID]],0)),INDEX(Table3[[#All],[Rnk]],MATCH(Table5[[#This Row],[PID]],Table3[[#All],[PID]],0)))</f>
        <v>443</v>
      </c>
      <c r="U1177" s="68">
        <f>IF($C1177="B",VLOOKUP($A1177,Bat!$A$4:$BA$1621,47,FALSE),VLOOKUP($A1177,Pit!$A$4:$BF$1557,56,FALSE))</f>
        <v>0</v>
      </c>
      <c r="V1177" s="50">
        <f>IF($C1177="B",VLOOKUP($A1177,Bat!$A$4:$BA$1621,48,FALSE),VLOOKUP($A1177,Pit!$A$4:$BF$1557,57,FALSE))</f>
        <v>0</v>
      </c>
      <c r="W1177" s="50">
        <f>Table5[[#This Row],[posRnk]]+Table5[[#This Row],[zRnk]]+IF($W$3&lt;&gt;Table5[[#This Row],[Type]],50,0)</f>
        <v>1633</v>
      </c>
      <c r="X1177" s="51">
        <f>RANK(Table5[[#This Row],[zScore]],Table5[[#All],[zScore]])</f>
        <v>1140</v>
      </c>
      <c r="Y1177" s="50" t="str">
        <f>IFERROR(INDEX(DraftResults[[#All],[OVR]],MATCH(Table5[[#This Row],[PID]],DraftResults[[#All],[Player ID]],0)),"")</f>
        <v/>
      </c>
      <c r="Z11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7" s="50" t="str">
        <f>IFERROR(INDEX(DraftResults[[#All],[Pick in Round]],MATCH(Table5[[#This Row],[PID]],DraftResults[[#All],[Player ID]],0)),"")</f>
        <v/>
      </c>
      <c r="AB1177" s="50" t="str">
        <f>IFERROR(INDEX(DraftResults[[#All],[Team Name]],MATCH(Table5[[#This Row],[PID]],DraftResults[[#All],[Player ID]],0)),"")</f>
        <v/>
      </c>
      <c r="AC1177" s="50" t="str">
        <f>IF(Table5[[#This Row],[Ovr]]="","",IF(Table5[[#This Row],[cmbList]]="","",Table5[[#This Row],[cmbList]]-Table5[[#This Row],[Ovr]]))</f>
        <v/>
      </c>
      <c r="AD1177" s="54" t="str">
        <f>IF(ISERROR(VLOOKUP($AB1177&amp;"-"&amp;$E1177&amp;" "&amp;F1177,Bonuses!$B$1:$G$1006,4,FALSE)),"",INT(VLOOKUP($AB1177&amp;"-"&amp;$E1177&amp;" "&amp;$F1177,Bonuses!$B$1:$G$1006,4,FALSE)))</f>
        <v/>
      </c>
      <c r="AE11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8" spans="1:31" s="7" customFormat="1" x14ac:dyDescent="0.25">
      <c r="A1178" s="50">
        <v>16897</v>
      </c>
      <c r="B1178" s="50">
        <f>COUNTIF(Table5[PID],A1178)</f>
        <v>1</v>
      </c>
      <c r="C1178" s="50" t="str">
        <f>IF(COUNTIF(Table3[[#All],[PID]],A1178)&gt;0,"P","B")</f>
        <v>P</v>
      </c>
      <c r="D1178" s="59" t="str">
        <f>IF($C1178="B",INDEX(Batters[[#All],[POS]],MATCH(Table5[[#This Row],[PID]],Batters[[#All],[PID]],0)),INDEX(Table3[[#All],[POS]],MATCH(Table5[[#This Row],[PID]],Table3[[#All],[PID]],0)))</f>
        <v>RP</v>
      </c>
      <c r="E1178" s="52" t="str">
        <f>IF($C1178="B",INDEX(Batters[[#All],[First]],MATCH(Table5[[#This Row],[PID]],Batters[[#All],[PID]],0)),INDEX(Table3[[#All],[First]],MATCH(Table5[[#This Row],[PID]],Table3[[#All],[PID]],0)))</f>
        <v>Steve</v>
      </c>
      <c r="F1178" s="50" t="str">
        <f>IF($C1178="B",INDEX(Batters[[#All],[Last]],MATCH(A1178,Batters[[#All],[PID]],0)),INDEX(Table3[[#All],[Last]],MATCH(A1178,Table3[[#All],[PID]],0)))</f>
        <v>Bass</v>
      </c>
      <c r="G1178" s="56">
        <f>IF($C1178="B",INDEX(Batters[[#All],[Age]],MATCH(Table5[[#This Row],[PID]],Batters[[#All],[PID]],0)),INDEX(Table3[[#All],[Age]],MATCH(Table5[[#This Row],[PID]],Table3[[#All],[PID]],0)))</f>
        <v>21</v>
      </c>
      <c r="H1178" s="52" t="str">
        <f>IF($C1178="B",INDEX(Batters[[#All],[B]],MATCH(Table5[[#This Row],[PID]],Batters[[#All],[PID]],0)),INDEX(Table3[[#All],[B]],MATCH(Table5[[#This Row],[PID]],Table3[[#All],[PID]],0)))</f>
        <v>R</v>
      </c>
      <c r="I1178" s="52" t="str">
        <f>IF($C1178="B",INDEX(Batters[[#All],[T]],MATCH(Table5[[#This Row],[PID]],Batters[[#All],[PID]],0)),INDEX(Table3[[#All],[T]],MATCH(Table5[[#This Row],[PID]],Table3[[#All],[PID]],0)))</f>
        <v>R</v>
      </c>
      <c r="J1178" s="52" t="str">
        <f>IF($C1178="B",INDEX(Batters[[#All],[WE]],MATCH(Table5[[#This Row],[PID]],Batters[[#All],[PID]],0)),INDEX(Table3[[#All],[WE]],MATCH(Table5[[#This Row],[PID]],Table3[[#All],[PID]],0)))</f>
        <v>High</v>
      </c>
      <c r="K1178" s="52" t="str">
        <f>IF($C1178="B",INDEX(Batters[[#All],[INT]],MATCH(Table5[[#This Row],[PID]],Batters[[#All],[PID]],0)),INDEX(Table3[[#All],[INT]],MATCH(Table5[[#This Row],[PID]],Table3[[#All],[PID]],0)))</f>
        <v>Normal</v>
      </c>
      <c r="L1178" s="60">
        <f>IF($C1178="B",INDEX(Batters[[#All],[CON P]],MATCH(Table5[[#This Row],[PID]],Batters[[#All],[PID]],0)),INDEX(Table3[[#All],[STU P]],MATCH(Table5[[#This Row],[PID]],Table3[[#All],[PID]],0)))</f>
        <v>2</v>
      </c>
      <c r="M1178" s="56">
        <f>IF($C1178="B",INDEX(Batters[[#All],[GAP P]],MATCH(Table5[[#This Row],[PID]],Batters[[#All],[PID]],0)),INDEX(Table3[[#All],[MOV P]],MATCH(Table5[[#This Row],[PID]],Table3[[#All],[PID]],0)))</f>
        <v>2</v>
      </c>
      <c r="N1178" s="56">
        <f>IF($C1178="B",INDEX(Batters[[#All],[POW P]],MATCH(Table5[[#This Row],[PID]],Batters[[#All],[PID]],0)),INDEX(Table3[[#All],[CON P]],MATCH(Table5[[#This Row],[PID]],Table3[[#All],[PID]],0)))</f>
        <v>3</v>
      </c>
      <c r="O1178" s="56" t="str">
        <f>IF($C1178="B",INDEX(Batters[[#All],[EYE P]],MATCH(Table5[[#This Row],[PID]],Batters[[#All],[PID]],0)),INDEX(Table3[[#All],[VELO]],MATCH(Table5[[#This Row],[PID]],Table3[[#All],[PID]],0)))</f>
        <v>85-87 Mph</v>
      </c>
      <c r="P1178" s="56">
        <f>IF($C1178="B",INDEX(Batters[[#All],[K P]],MATCH(Table5[[#This Row],[PID]],Batters[[#All],[PID]],0)),INDEX(Table3[[#All],[STM]],MATCH(Table5[[#This Row],[PID]],Table3[[#All],[PID]],0)))</f>
        <v>6</v>
      </c>
      <c r="Q1178" s="61">
        <f>IF($C1178="B",INDEX(Batters[[#All],[Tot]],MATCH(Table5[[#This Row],[PID]],Batters[[#All],[PID]],0)),INDEX(Table3[[#All],[Tot]],MATCH(Table5[[#This Row],[PID]],Table3[[#All],[PID]],0)))</f>
        <v>23.145944710005203</v>
      </c>
      <c r="R1178" s="52">
        <f>IF($C1178="B",INDEX(Batters[[#All],[zScore]],MATCH(Table5[[#This Row],[PID]],Batters[[#All],[PID]],0)),INDEX(Table3[[#All],[zScore]],MATCH(Table5[[#This Row],[PID]],Table3[[#All],[PID]],0)))</f>
        <v>-1.0040571500926305</v>
      </c>
      <c r="S1178" s="58" t="str">
        <f>IF($C1178="B",INDEX(Batters[[#All],[DEM]],MATCH(Table5[[#This Row],[PID]],Batters[[#All],[PID]],0)),INDEX(Table3[[#All],[DEM]],MATCH(Table5[[#This Row],[PID]],Table3[[#All],[PID]],0)))</f>
        <v>$55k</v>
      </c>
      <c r="T1178" s="62">
        <f>IF($C1178="B",INDEX(Batters[[#All],[Rnk]],MATCH(Table5[[#This Row],[PID]],Batters[[#All],[PID]],0)),INDEX(Table3[[#All],[Rnk]],MATCH(Table5[[#This Row],[PID]],Table3[[#All],[PID]],0)))</f>
        <v>697</v>
      </c>
      <c r="U1178" s="68">
        <f>IF($C1178="B",VLOOKUP($A1178,Bat!$A$4:$BA$1621,47,FALSE),VLOOKUP($A1178,Pit!$A$4:$BF$1557,56,FALSE))</f>
        <v>0</v>
      </c>
      <c r="V1178" s="50">
        <f>IF($C1178="B",VLOOKUP($A1178,Bat!$A$4:$BA$1621,48,FALSE),VLOOKUP($A1178,Pit!$A$4:$BF$1557,57,FALSE))</f>
        <v>0</v>
      </c>
      <c r="W1178" s="50">
        <f>Table5[[#This Row],[posRnk]]+Table5[[#This Row],[zRnk]]+IF($W$3&lt;&gt;Table5[[#This Row],[Type]],50,0)</f>
        <v>1888</v>
      </c>
      <c r="X1178" s="51">
        <f>RANK(Table5[[#This Row],[zScore]],Table5[[#All],[zScore]])</f>
        <v>1141</v>
      </c>
      <c r="Y1178" s="50" t="str">
        <f>IFERROR(INDEX(DraftResults[[#All],[OVR]],MATCH(Table5[[#This Row],[PID]],DraftResults[[#All],[Player ID]],0)),"")</f>
        <v/>
      </c>
      <c r="Z11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8" s="50" t="str">
        <f>IFERROR(INDEX(DraftResults[[#All],[Pick in Round]],MATCH(Table5[[#This Row],[PID]],DraftResults[[#All],[Player ID]],0)),"")</f>
        <v/>
      </c>
      <c r="AB1178" s="50" t="str">
        <f>IFERROR(INDEX(DraftResults[[#All],[Team Name]],MATCH(Table5[[#This Row],[PID]],DraftResults[[#All],[Player ID]],0)),"")</f>
        <v/>
      </c>
      <c r="AC1178" s="50" t="str">
        <f>IF(Table5[[#This Row],[Ovr]]="","",IF(Table5[[#This Row],[cmbList]]="","",Table5[[#This Row],[cmbList]]-Table5[[#This Row],[Ovr]]))</f>
        <v/>
      </c>
      <c r="AD1178" s="54" t="str">
        <f>IF(ISERROR(VLOOKUP($AB1178&amp;"-"&amp;$E1178&amp;" "&amp;F1178,Bonuses!$B$1:$G$1006,4,FALSE)),"",INT(VLOOKUP($AB1178&amp;"-"&amp;$E1178&amp;" "&amp;$F1178,Bonuses!$B$1:$G$1006,4,FALSE)))</f>
        <v/>
      </c>
      <c r="AE11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79" spans="1:31" s="7" customFormat="1" x14ac:dyDescent="0.25">
      <c r="A1179" s="50">
        <v>20869</v>
      </c>
      <c r="B1179" s="50">
        <f>COUNTIF(Table5[PID],A1179)</f>
        <v>1</v>
      </c>
      <c r="C1179" s="50" t="str">
        <f>IF(COUNTIF(Table3[[#All],[PID]],A1179)&gt;0,"P","B")</f>
        <v>B</v>
      </c>
      <c r="D1179" s="59" t="str">
        <f>IF($C1179="B",INDEX(Batters[[#All],[POS]],MATCH(Table5[[#This Row],[PID]],Batters[[#All],[PID]],0)),INDEX(Table3[[#All],[POS]],MATCH(Table5[[#This Row],[PID]],Table3[[#All],[PID]],0)))</f>
        <v>LF</v>
      </c>
      <c r="E1179" s="52" t="str">
        <f>IF($C1179="B",INDEX(Batters[[#All],[First]],MATCH(Table5[[#This Row],[PID]],Batters[[#All],[PID]],0)),INDEX(Table3[[#All],[First]],MATCH(Table5[[#This Row],[PID]],Table3[[#All],[PID]],0)))</f>
        <v>Ben</v>
      </c>
      <c r="F1179" s="50" t="str">
        <f>IF($C1179="B",INDEX(Batters[[#All],[Last]],MATCH(A1179,Batters[[#All],[PID]],0)),INDEX(Table3[[#All],[Last]],MATCH(A1179,Table3[[#All],[PID]],0)))</f>
        <v>Cain</v>
      </c>
      <c r="G1179" s="56">
        <f>IF($C1179="B",INDEX(Batters[[#All],[Age]],MATCH(Table5[[#This Row],[PID]],Batters[[#All],[PID]],0)),INDEX(Table3[[#All],[Age]],MATCH(Table5[[#This Row],[PID]],Table3[[#All],[PID]],0)))</f>
        <v>18</v>
      </c>
      <c r="H1179" s="52" t="str">
        <f>IF($C1179="B",INDEX(Batters[[#All],[B]],MATCH(Table5[[#This Row],[PID]],Batters[[#All],[PID]],0)),INDEX(Table3[[#All],[B]],MATCH(Table5[[#This Row],[PID]],Table3[[#All],[PID]],0)))</f>
        <v>L</v>
      </c>
      <c r="I1179" s="52" t="str">
        <f>IF($C1179="B",INDEX(Batters[[#All],[T]],MATCH(Table5[[#This Row],[PID]],Batters[[#All],[PID]],0)),INDEX(Table3[[#All],[T]],MATCH(Table5[[#This Row],[PID]],Table3[[#All],[PID]],0)))</f>
        <v>L</v>
      </c>
      <c r="J1179" s="52" t="str">
        <f>IF($C1179="B",INDEX(Batters[[#All],[WE]],MATCH(Table5[[#This Row],[PID]],Batters[[#All],[PID]],0)),INDEX(Table3[[#All],[WE]],MATCH(Table5[[#This Row],[PID]],Table3[[#All],[PID]],0)))</f>
        <v>Low</v>
      </c>
      <c r="K1179" s="52" t="str">
        <f>IF($C1179="B",INDEX(Batters[[#All],[INT]],MATCH(Table5[[#This Row],[PID]],Batters[[#All],[PID]],0)),INDEX(Table3[[#All],[INT]],MATCH(Table5[[#This Row],[PID]],Table3[[#All],[PID]],0)))</f>
        <v>Normal</v>
      </c>
      <c r="L1179" s="60">
        <f>IF($C1179="B",INDEX(Batters[[#All],[CON P]],MATCH(Table5[[#This Row],[PID]],Batters[[#All],[PID]],0)),INDEX(Table3[[#All],[STU P]],MATCH(Table5[[#This Row],[PID]],Table3[[#All],[PID]],0)))</f>
        <v>3</v>
      </c>
      <c r="M1179" s="56">
        <f>IF($C1179="B",INDEX(Batters[[#All],[GAP P]],MATCH(Table5[[#This Row],[PID]],Batters[[#All],[PID]],0)),INDEX(Table3[[#All],[MOV P]],MATCH(Table5[[#This Row],[PID]],Table3[[#All],[PID]],0)))</f>
        <v>3</v>
      </c>
      <c r="N1179" s="56">
        <f>IF($C1179="B",INDEX(Batters[[#All],[POW P]],MATCH(Table5[[#This Row],[PID]],Batters[[#All],[PID]],0)),INDEX(Table3[[#All],[CON P]],MATCH(Table5[[#This Row],[PID]],Table3[[#All],[PID]],0)))</f>
        <v>2</v>
      </c>
      <c r="O1179" s="56">
        <f>IF($C1179="B",INDEX(Batters[[#All],[EYE P]],MATCH(Table5[[#This Row],[PID]],Batters[[#All],[PID]],0)),INDEX(Table3[[#All],[VELO]],MATCH(Table5[[#This Row],[PID]],Table3[[#All],[PID]],0)))</f>
        <v>4</v>
      </c>
      <c r="P1179" s="56">
        <f>IF($C1179="B",INDEX(Batters[[#All],[K P]],MATCH(Table5[[#This Row],[PID]],Batters[[#All],[PID]],0)),INDEX(Table3[[#All],[STM]],MATCH(Table5[[#This Row],[PID]],Table3[[#All],[PID]],0)))</f>
        <v>5</v>
      </c>
      <c r="Q1179" s="61">
        <f>IF($C1179="B",INDEX(Batters[[#All],[Tot]],MATCH(Table5[[#This Row],[PID]],Batters[[#All],[PID]],0)),INDEX(Table3[[#All],[Tot]],MATCH(Table5[[#This Row],[PID]],Table3[[#All],[PID]],0)))</f>
        <v>39.601594836053593</v>
      </c>
      <c r="R1179" s="52">
        <f>IF($C1179="B",INDEX(Batters[[#All],[zScore]],MATCH(Table5[[#This Row],[PID]],Batters[[#All],[PID]],0)),INDEX(Table3[[#All],[zScore]],MATCH(Table5[[#This Row],[PID]],Table3[[#All],[PID]],0)))</f>
        <v>-1.0044080834226117</v>
      </c>
      <c r="S1179" s="58" t="str">
        <f>IF($C1179="B",INDEX(Batters[[#All],[DEM]],MATCH(Table5[[#This Row],[PID]],Batters[[#All],[PID]],0)),INDEX(Table3[[#All],[DEM]],MATCH(Table5[[#This Row],[PID]],Table3[[#All],[PID]],0)))</f>
        <v>$65k</v>
      </c>
      <c r="T1179" s="62">
        <f>IF($C1179="B",INDEX(Batters[[#All],[Rnk]],MATCH(Table5[[#This Row],[PID]],Batters[[#All],[PID]],0)),INDEX(Table3[[#All],[Rnk]],MATCH(Table5[[#This Row],[PID]],Table3[[#All],[PID]],0)))</f>
        <v>444</v>
      </c>
      <c r="U1179" s="68">
        <f>IF($C1179="B",VLOOKUP($A1179,Bat!$A$4:$BA$1621,47,FALSE),VLOOKUP($A1179,Pit!$A$4:$BF$1557,56,FALSE))</f>
        <v>0</v>
      </c>
      <c r="V1179" s="50">
        <f>IF($C1179="B",VLOOKUP($A1179,Bat!$A$4:$BA$1621,48,FALSE),VLOOKUP($A1179,Pit!$A$4:$BF$1557,57,FALSE))</f>
        <v>0</v>
      </c>
      <c r="W1179" s="50">
        <f>Table5[[#This Row],[posRnk]]+Table5[[#This Row],[zRnk]]+IF($W$3&lt;&gt;Table5[[#This Row],[Type]],50,0)</f>
        <v>1636</v>
      </c>
      <c r="X1179" s="51">
        <f>RANK(Table5[[#This Row],[zScore]],Table5[[#All],[zScore]])</f>
        <v>1142</v>
      </c>
      <c r="Y1179" s="50" t="str">
        <f>IFERROR(INDEX(DraftResults[[#All],[OVR]],MATCH(Table5[[#This Row],[PID]],DraftResults[[#All],[Player ID]],0)),"")</f>
        <v/>
      </c>
      <c r="Z11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79" s="50" t="str">
        <f>IFERROR(INDEX(DraftResults[[#All],[Pick in Round]],MATCH(Table5[[#This Row],[PID]],DraftResults[[#All],[Player ID]],0)),"")</f>
        <v/>
      </c>
      <c r="AB1179" s="50" t="str">
        <f>IFERROR(INDEX(DraftResults[[#All],[Team Name]],MATCH(Table5[[#This Row],[PID]],DraftResults[[#All],[Player ID]],0)),"")</f>
        <v/>
      </c>
      <c r="AC1179" s="50" t="str">
        <f>IF(Table5[[#This Row],[Ovr]]="","",IF(Table5[[#This Row],[cmbList]]="","",Table5[[#This Row],[cmbList]]-Table5[[#This Row],[Ovr]]))</f>
        <v/>
      </c>
      <c r="AD1179" s="54" t="str">
        <f>IF(ISERROR(VLOOKUP($AB1179&amp;"-"&amp;$E1179&amp;" "&amp;F1179,Bonuses!$B$1:$G$1006,4,FALSE)),"",INT(VLOOKUP($AB1179&amp;"-"&amp;$E1179&amp;" "&amp;$F1179,Bonuses!$B$1:$G$1006,4,FALSE)))</f>
        <v/>
      </c>
      <c r="AE11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0" spans="1:31" s="7" customFormat="1" x14ac:dyDescent="0.25">
      <c r="A1180" s="68">
        <v>11973</v>
      </c>
      <c r="B1180" s="69">
        <f>COUNTIF(Table5[PID],A1180)</f>
        <v>1</v>
      </c>
      <c r="C1180" s="69" t="str">
        <f>IF(COUNTIF(Table3[[#All],[PID]],A1180)&gt;0,"P","B")</f>
        <v>P</v>
      </c>
      <c r="D1180" s="59" t="str">
        <f>IF($C1180="B",INDEX(Batters[[#All],[POS]],MATCH(Table5[[#This Row],[PID]],Batters[[#All],[PID]],0)),INDEX(Table3[[#All],[POS]],MATCH(Table5[[#This Row],[PID]],Table3[[#All],[PID]],0)))</f>
        <v>SP</v>
      </c>
      <c r="E1180" s="52" t="str">
        <f>IF($C1180="B",INDEX(Batters[[#All],[First]],MATCH(Table5[[#This Row],[PID]],Batters[[#All],[PID]],0)),INDEX(Table3[[#All],[First]],MATCH(Table5[[#This Row],[PID]],Table3[[#All],[PID]],0)))</f>
        <v>Andy</v>
      </c>
      <c r="F1180" s="55" t="str">
        <f>IF($C1180="B",INDEX(Batters[[#All],[Last]],MATCH(A1180,Batters[[#All],[PID]],0)),INDEX(Table3[[#All],[Last]],MATCH(A1180,Table3[[#All],[PID]],0)))</f>
        <v>Sexton</v>
      </c>
      <c r="G1180" s="56">
        <f>IF($C1180="B",INDEX(Batters[[#All],[Age]],MATCH(Table5[[#This Row],[PID]],Batters[[#All],[PID]],0)),INDEX(Table3[[#All],[Age]],MATCH(Table5[[#This Row],[PID]],Table3[[#All],[PID]],0)))</f>
        <v>21</v>
      </c>
      <c r="H1180" s="52" t="str">
        <f>IF($C1180="B",INDEX(Batters[[#All],[B]],MATCH(Table5[[#This Row],[PID]],Batters[[#All],[PID]],0)),INDEX(Table3[[#All],[B]],MATCH(Table5[[#This Row],[PID]],Table3[[#All],[PID]],0)))</f>
        <v>L</v>
      </c>
      <c r="I1180" s="52" t="str">
        <f>IF($C1180="B",INDEX(Batters[[#All],[T]],MATCH(Table5[[#This Row],[PID]],Batters[[#All],[PID]],0)),INDEX(Table3[[#All],[T]],MATCH(Table5[[#This Row],[PID]],Table3[[#All],[PID]],0)))</f>
        <v>R</v>
      </c>
      <c r="J1180" s="71" t="str">
        <f>IF($C1180="B",INDEX(Batters[[#All],[WE]],MATCH(Table5[[#This Row],[PID]],Batters[[#All],[PID]],0)),INDEX(Table3[[#All],[WE]],MATCH(Table5[[#This Row],[PID]],Table3[[#All],[PID]],0)))</f>
        <v>Low</v>
      </c>
      <c r="K1180" s="52" t="str">
        <f>IF($C1180="B",INDEX(Batters[[#All],[INT]],MATCH(Table5[[#This Row],[PID]],Batters[[#All],[PID]],0)),INDEX(Table3[[#All],[INT]],MATCH(Table5[[#This Row],[PID]],Table3[[#All],[PID]],0)))</f>
        <v>Normal</v>
      </c>
      <c r="L1180" s="60">
        <f>IF($C1180="B",INDEX(Batters[[#All],[CON P]],MATCH(Table5[[#This Row],[PID]],Batters[[#All],[PID]],0)),INDEX(Table3[[#All],[STU P]],MATCH(Table5[[#This Row],[PID]],Table3[[#All],[PID]],0)))</f>
        <v>4</v>
      </c>
      <c r="M1180" s="72">
        <f>IF($C1180="B",INDEX(Batters[[#All],[GAP P]],MATCH(Table5[[#This Row],[PID]],Batters[[#All],[PID]],0)),INDEX(Table3[[#All],[MOV P]],MATCH(Table5[[#This Row],[PID]],Table3[[#All],[PID]],0)))</f>
        <v>1</v>
      </c>
      <c r="N1180" s="72">
        <f>IF($C1180="B",INDEX(Batters[[#All],[POW P]],MATCH(Table5[[#This Row],[PID]],Batters[[#All],[PID]],0)),INDEX(Table3[[#All],[CON P]],MATCH(Table5[[#This Row],[PID]],Table3[[#All],[PID]],0)))</f>
        <v>3</v>
      </c>
      <c r="O1180" s="72" t="str">
        <f>IF($C1180="B",INDEX(Batters[[#All],[EYE P]],MATCH(Table5[[#This Row],[PID]],Batters[[#All],[PID]],0)),INDEX(Table3[[#All],[VELO]],MATCH(Table5[[#This Row],[PID]],Table3[[#All],[PID]],0)))</f>
        <v>90-92 Mph</v>
      </c>
      <c r="P1180" s="56">
        <f>IF($C1180="B",INDEX(Batters[[#All],[K P]],MATCH(Table5[[#This Row],[PID]],Batters[[#All],[PID]],0)),INDEX(Table3[[#All],[STM]],MATCH(Table5[[#This Row],[PID]],Table3[[#All],[PID]],0)))</f>
        <v>3</v>
      </c>
      <c r="Q1180" s="61">
        <f>IF($C1180="B",INDEX(Batters[[#All],[Tot]],MATCH(Table5[[#This Row],[PID]],Batters[[#All],[PID]],0)),INDEX(Table3[[#All],[Tot]],MATCH(Table5[[#This Row],[PID]],Table3[[#All],[PID]],0)))</f>
        <v>23.099545652035516</v>
      </c>
      <c r="R1180" s="52">
        <f>IF($C1180="B",INDEX(Batters[[#All],[zScore]],MATCH(Table5[[#This Row],[PID]],Batters[[#All],[PID]],0)),INDEX(Table3[[#All],[zScore]],MATCH(Table5[[#This Row],[PID]],Table3[[#All],[PID]],0)))</f>
        <v>-1.007235471911627</v>
      </c>
      <c r="S1180" s="78" t="str">
        <f>IF($C1180="B",INDEX(Batters[[#All],[DEM]],MATCH(Table5[[#This Row],[PID]],Batters[[#All],[PID]],0)),INDEX(Table3[[#All],[DEM]],MATCH(Table5[[#This Row],[PID]],Table3[[#All],[PID]],0)))</f>
        <v>-</v>
      </c>
      <c r="T1180" s="75">
        <f>IF($C1180="B",INDEX(Batters[[#All],[Rnk]],MATCH(Table5[[#This Row],[PID]],Batters[[#All],[PID]],0)),INDEX(Table3[[#All],[Rnk]],MATCH(Table5[[#This Row],[PID]],Table3[[#All],[PID]],0)))</f>
        <v>698</v>
      </c>
      <c r="U1180" s="68">
        <f>IF($C1180="B",VLOOKUP($A1180,Bat!$A$4:$BA$1621,47,FALSE),VLOOKUP($A1180,Pit!$A$4:$BF$1557,56,FALSE))</f>
        <v>0</v>
      </c>
      <c r="V1180" s="50">
        <f>IF($C1180="B",VLOOKUP($A1180,Bat!$A$4:$BA$1621,48,FALSE),VLOOKUP($A1180,Pit!$A$4:$BF$1557,57,FALSE))</f>
        <v>0</v>
      </c>
      <c r="W1180" s="69">
        <f>Table5[[#This Row],[posRnk]]+Table5[[#This Row],[zRnk]]+IF($W$3&lt;&gt;Table5[[#This Row],[Type]],50,0)</f>
        <v>1891</v>
      </c>
      <c r="X1180" s="73">
        <f>RANK(Table5[[#This Row],[zScore]],Table5[[#All],[zScore]])</f>
        <v>1143</v>
      </c>
      <c r="Y1180" s="69" t="str">
        <f>IFERROR(INDEX(DraftResults[[#All],[OVR]],MATCH(Table5[[#This Row],[PID]],DraftResults[[#All],[Player ID]],0)),"")</f>
        <v/>
      </c>
      <c r="Z118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0" s="69" t="str">
        <f>IFERROR(INDEX(DraftResults[[#All],[Pick in Round]],MATCH(Table5[[#This Row],[PID]],DraftResults[[#All],[Player ID]],0)),"")</f>
        <v/>
      </c>
      <c r="AB1180" s="69" t="str">
        <f>IFERROR(INDEX(DraftResults[[#All],[Team Name]],MATCH(Table5[[#This Row],[PID]],DraftResults[[#All],[Player ID]],0)),"")</f>
        <v/>
      </c>
      <c r="AC1180" s="69" t="str">
        <f>IF(Table5[[#This Row],[Ovr]]="","",IF(Table5[[#This Row],[cmbList]]="","",Table5[[#This Row],[cmbList]]-Table5[[#This Row],[Ovr]]))</f>
        <v/>
      </c>
      <c r="AD1180" s="77" t="str">
        <f>IF(ISERROR(VLOOKUP($AB1180&amp;"-"&amp;$E1180&amp;" "&amp;F1180,Bonuses!$B$1:$G$1006,4,FALSE)),"",INT(VLOOKUP($AB1180&amp;"-"&amp;$E1180&amp;" "&amp;$F1180,Bonuses!$B$1:$G$1006,4,FALSE)))</f>
        <v/>
      </c>
      <c r="AE118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1" spans="1:31" s="7" customFormat="1" x14ac:dyDescent="0.25">
      <c r="A1181" s="50">
        <v>17570</v>
      </c>
      <c r="B1181" s="50">
        <f>COUNTIF(Table5[PID],A1181)</f>
        <v>1</v>
      </c>
      <c r="C1181" s="50" t="str">
        <f>IF(COUNTIF(Table3[[#All],[PID]],A1181)&gt;0,"P","B")</f>
        <v>B</v>
      </c>
      <c r="D1181" s="59" t="str">
        <f>IF($C1181="B",INDEX(Batters[[#All],[POS]],MATCH(Table5[[#This Row],[PID]],Batters[[#All],[PID]],0)),INDEX(Table3[[#All],[POS]],MATCH(Table5[[#This Row],[PID]],Table3[[#All],[PID]],0)))</f>
        <v>CF</v>
      </c>
      <c r="E1181" s="52" t="str">
        <f>IF($C1181="B",INDEX(Batters[[#All],[First]],MATCH(Table5[[#This Row],[PID]],Batters[[#All],[PID]],0)),INDEX(Table3[[#All],[First]],MATCH(Table5[[#This Row],[PID]],Table3[[#All],[PID]],0)))</f>
        <v>Will</v>
      </c>
      <c r="F1181" s="50" t="str">
        <f>IF($C1181="B",INDEX(Batters[[#All],[Last]],MATCH(A1181,Batters[[#All],[PID]],0)),INDEX(Table3[[#All],[Last]],MATCH(A1181,Table3[[#All],[PID]],0)))</f>
        <v>Shields</v>
      </c>
      <c r="G1181" s="56">
        <f>IF($C1181="B",INDEX(Batters[[#All],[Age]],MATCH(Table5[[#This Row],[PID]],Batters[[#All],[PID]],0)),INDEX(Table3[[#All],[Age]],MATCH(Table5[[#This Row],[PID]],Table3[[#All],[PID]],0)))</f>
        <v>18</v>
      </c>
      <c r="H1181" s="52" t="str">
        <f>IF($C1181="B",INDEX(Batters[[#All],[B]],MATCH(Table5[[#This Row],[PID]],Batters[[#All],[PID]],0)),INDEX(Table3[[#All],[B]],MATCH(Table5[[#This Row],[PID]],Table3[[#All],[PID]],0)))</f>
        <v>R</v>
      </c>
      <c r="I1181" s="52" t="str">
        <f>IF($C1181="B",INDEX(Batters[[#All],[T]],MATCH(Table5[[#This Row],[PID]],Batters[[#All],[PID]],0)),INDEX(Table3[[#All],[T]],MATCH(Table5[[#This Row],[PID]],Table3[[#All],[PID]],0)))</f>
        <v>R</v>
      </c>
      <c r="J1181" s="52" t="str">
        <f>IF($C1181="B",INDEX(Batters[[#All],[WE]],MATCH(Table5[[#This Row],[PID]],Batters[[#All],[PID]],0)),INDEX(Table3[[#All],[WE]],MATCH(Table5[[#This Row],[PID]],Table3[[#All],[PID]],0)))</f>
        <v>Low</v>
      </c>
      <c r="K1181" s="52" t="str">
        <f>IF($C1181="B",INDEX(Batters[[#All],[INT]],MATCH(Table5[[#This Row],[PID]],Batters[[#All],[PID]],0)),INDEX(Table3[[#All],[INT]],MATCH(Table5[[#This Row],[PID]],Table3[[#All],[PID]],0)))</f>
        <v>Normal</v>
      </c>
      <c r="L1181" s="60">
        <f>IF($C1181="B",INDEX(Batters[[#All],[CON P]],MATCH(Table5[[#This Row],[PID]],Batters[[#All],[PID]],0)),INDEX(Table3[[#All],[STU P]],MATCH(Table5[[#This Row],[PID]],Table3[[#All],[PID]],0)))</f>
        <v>3</v>
      </c>
      <c r="M1181" s="56">
        <f>IF($C1181="B",INDEX(Batters[[#All],[GAP P]],MATCH(Table5[[#This Row],[PID]],Batters[[#All],[PID]],0)),INDEX(Table3[[#All],[MOV P]],MATCH(Table5[[#This Row],[PID]],Table3[[#All],[PID]],0)))</f>
        <v>4</v>
      </c>
      <c r="N1181" s="56">
        <f>IF($C1181="B",INDEX(Batters[[#All],[POW P]],MATCH(Table5[[#This Row],[PID]],Batters[[#All],[PID]],0)),INDEX(Table3[[#All],[CON P]],MATCH(Table5[[#This Row],[PID]],Table3[[#All],[PID]],0)))</f>
        <v>2</v>
      </c>
      <c r="O1181" s="56">
        <f>IF($C1181="B",INDEX(Batters[[#All],[EYE P]],MATCH(Table5[[#This Row],[PID]],Batters[[#All],[PID]],0)),INDEX(Table3[[#All],[VELO]],MATCH(Table5[[#This Row],[PID]],Table3[[#All],[PID]],0)))</f>
        <v>4</v>
      </c>
      <c r="P1181" s="56">
        <f>IF($C1181="B",INDEX(Batters[[#All],[K P]],MATCH(Table5[[#This Row],[PID]],Batters[[#All],[PID]],0)),INDEX(Table3[[#All],[STM]],MATCH(Table5[[#This Row],[PID]],Table3[[#All],[PID]],0)))</f>
        <v>4</v>
      </c>
      <c r="Q1181" s="61">
        <f>IF($C1181="B",INDEX(Batters[[#All],[Tot]],MATCH(Table5[[#This Row],[PID]],Batters[[#All],[PID]],0)),INDEX(Table3[[#All],[Tot]],MATCH(Table5[[#This Row],[PID]],Table3[[#All],[PID]],0)))</f>
        <v>39.584117313673026</v>
      </c>
      <c r="R1181" s="52">
        <f>IF($C1181="B",INDEX(Batters[[#All],[zScore]],MATCH(Table5[[#This Row],[PID]],Batters[[#All],[PID]],0)),INDEX(Table3[[#All],[zScore]],MATCH(Table5[[#This Row],[PID]],Table3[[#All],[PID]],0)))</f>
        <v>-1.0082829682714705</v>
      </c>
      <c r="S1181" s="58" t="str">
        <f>IF($C1181="B",INDEX(Batters[[#All],[DEM]],MATCH(Table5[[#This Row],[PID]],Batters[[#All],[PID]],0)),INDEX(Table3[[#All],[DEM]],MATCH(Table5[[#This Row],[PID]],Table3[[#All],[PID]],0)))</f>
        <v>$65k</v>
      </c>
      <c r="T1181" s="62">
        <f>IF($C1181="B",INDEX(Batters[[#All],[Rnk]],MATCH(Table5[[#This Row],[PID]],Batters[[#All],[PID]],0)),INDEX(Table3[[#All],[Rnk]],MATCH(Table5[[#This Row],[PID]],Table3[[#All],[PID]],0)))</f>
        <v>445</v>
      </c>
      <c r="U1181" s="68">
        <f>IF($C1181="B",VLOOKUP($A1181,Bat!$A$4:$BA$1621,47,FALSE),VLOOKUP($A1181,Pit!$A$4:$BF$1557,56,FALSE))</f>
        <v>0</v>
      </c>
      <c r="V1181" s="50">
        <f>IF($C1181="B",VLOOKUP($A1181,Bat!$A$4:$BA$1621,48,FALSE),VLOOKUP($A1181,Pit!$A$4:$BF$1557,57,FALSE))</f>
        <v>0</v>
      </c>
      <c r="W1181" s="50">
        <f>Table5[[#This Row],[posRnk]]+Table5[[#This Row],[zRnk]]+IF($W$3&lt;&gt;Table5[[#This Row],[Type]],50,0)</f>
        <v>1639</v>
      </c>
      <c r="X1181" s="51">
        <f>RANK(Table5[[#This Row],[zScore]],Table5[[#All],[zScore]])</f>
        <v>1144</v>
      </c>
      <c r="Y1181" s="50" t="str">
        <f>IFERROR(INDEX(DraftResults[[#All],[OVR]],MATCH(Table5[[#This Row],[PID]],DraftResults[[#All],[Player ID]],0)),"")</f>
        <v/>
      </c>
      <c r="Z11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1" s="50" t="str">
        <f>IFERROR(INDEX(DraftResults[[#All],[Pick in Round]],MATCH(Table5[[#This Row],[PID]],DraftResults[[#All],[Player ID]],0)),"")</f>
        <v/>
      </c>
      <c r="AB1181" s="50" t="str">
        <f>IFERROR(INDEX(DraftResults[[#All],[Team Name]],MATCH(Table5[[#This Row],[PID]],DraftResults[[#All],[Player ID]],0)),"")</f>
        <v/>
      </c>
      <c r="AC1181" s="50" t="str">
        <f>IF(Table5[[#This Row],[Ovr]]="","",IF(Table5[[#This Row],[cmbList]]="","",Table5[[#This Row],[cmbList]]-Table5[[#This Row],[Ovr]]))</f>
        <v/>
      </c>
      <c r="AD1181" s="54" t="str">
        <f>IF(ISERROR(VLOOKUP($AB1181&amp;"-"&amp;$E1181&amp;" "&amp;F1181,Bonuses!$B$1:$G$1006,4,FALSE)),"",INT(VLOOKUP($AB1181&amp;"-"&amp;$E1181&amp;" "&amp;$F1181,Bonuses!$B$1:$G$1006,4,FALSE)))</f>
        <v/>
      </c>
      <c r="AE11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2" spans="1:31" s="7" customFormat="1" x14ac:dyDescent="0.25">
      <c r="A1182" s="50">
        <v>20980</v>
      </c>
      <c r="B1182" s="50">
        <f>COUNTIF(Table5[PID],A1182)</f>
        <v>1</v>
      </c>
      <c r="C1182" s="50" t="str">
        <f>IF(COUNTIF(Table3[[#All],[PID]],A1182)&gt;0,"P","B")</f>
        <v>P</v>
      </c>
      <c r="D1182" s="59" t="str">
        <f>IF($C1182="B",INDEX(Batters[[#All],[POS]],MATCH(Table5[[#This Row],[PID]],Batters[[#All],[PID]],0)),INDEX(Table3[[#All],[POS]],MATCH(Table5[[#This Row],[PID]],Table3[[#All],[PID]],0)))</f>
        <v>RP</v>
      </c>
      <c r="E1182" s="52" t="str">
        <f>IF($C1182="B",INDEX(Batters[[#All],[First]],MATCH(Table5[[#This Row],[PID]],Batters[[#All],[PID]],0)),INDEX(Table3[[#All],[First]],MATCH(Table5[[#This Row],[PID]],Table3[[#All],[PID]],0)))</f>
        <v>Dale</v>
      </c>
      <c r="F1182" s="50" t="str">
        <f>IF($C1182="B",INDEX(Batters[[#All],[Last]],MATCH(A1182,Batters[[#All],[PID]],0)),INDEX(Table3[[#All],[Last]],MATCH(A1182,Table3[[#All],[PID]],0)))</f>
        <v>Thompson</v>
      </c>
      <c r="G1182" s="56">
        <f>IF($C1182="B",INDEX(Batters[[#All],[Age]],MATCH(Table5[[#This Row],[PID]],Batters[[#All],[PID]],0)),INDEX(Table3[[#All],[Age]],MATCH(Table5[[#This Row],[PID]],Table3[[#All],[PID]],0)))</f>
        <v>17</v>
      </c>
      <c r="H1182" s="52" t="str">
        <f>IF($C1182="B",INDEX(Batters[[#All],[B]],MATCH(Table5[[#This Row],[PID]],Batters[[#All],[PID]],0)),INDEX(Table3[[#All],[B]],MATCH(Table5[[#This Row],[PID]],Table3[[#All],[PID]],0)))</f>
        <v>L</v>
      </c>
      <c r="I1182" s="52" t="str">
        <f>IF($C1182="B",INDEX(Batters[[#All],[T]],MATCH(Table5[[#This Row],[PID]],Batters[[#All],[PID]],0)),INDEX(Table3[[#All],[T]],MATCH(Table5[[#This Row],[PID]],Table3[[#All],[PID]],0)))</f>
        <v>L</v>
      </c>
      <c r="J1182" s="52" t="str">
        <f>IF($C1182="B",INDEX(Batters[[#All],[WE]],MATCH(Table5[[#This Row],[PID]],Batters[[#All],[PID]],0)),INDEX(Table3[[#All],[WE]],MATCH(Table5[[#This Row],[PID]],Table3[[#All],[PID]],0)))</f>
        <v>Low</v>
      </c>
      <c r="K1182" s="52" t="str">
        <f>IF($C1182="B",INDEX(Batters[[#All],[INT]],MATCH(Table5[[#This Row],[PID]],Batters[[#All],[PID]],0)),INDEX(Table3[[#All],[INT]],MATCH(Table5[[#This Row],[PID]],Table3[[#All],[PID]],0)))</f>
        <v>Normal</v>
      </c>
      <c r="L1182" s="60">
        <f>IF($C1182="B",INDEX(Batters[[#All],[CON P]],MATCH(Table5[[#This Row],[PID]],Batters[[#All],[PID]],0)),INDEX(Table3[[#All],[STU P]],MATCH(Table5[[#This Row],[PID]],Table3[[#All],[PID]],0)))</f>
        <v>4</v>
      </c>
      <c r="M1182" s="56">
        <f>IF($C1182="B",INDEX(Batters[[#All],[GAP P]],MATCH(Table5[[#This Row],[PID]],Batters[[#All],[PID]],0)),INDEX(Table3[[#All],[MOV P]],MATCH(Table5[[#This Row],[PID]],Table3[[#All],[PID]],0)))</f>
        <v>2</v>
      </c>
      <c r="N1182" s="56">
        <f>IF($C1182="B",INDEX(Batters[[#All],[POW P]],MATCH(Table5[[#This Row],[PID]],Batters[[#All],[PID]],0)),INDEX(Table3[[#All],[CON P]],MATCH(Table5[[#This Row],[PID]],Table3[[#All],[PID]],0)))</f>
        <v>2</v>
      </c>
      <c r="O1182" s="56" t="str">
        <f>IF($C1182="B",INDEX(Batters[[#All],[EYE P]],MATCH(Table5[[#This Row],[PID]],Batters[[#All],[PID]],0)),INDEX(Table3[[#All],[VELO]],MATCH(Table5[[#This Row],[PID]],Table3[[#All],[PID]],0)))</f>
        <v>86-88 Mph</v>
      </c>
      <c r="P1182" s="56">
        <f>IF($C1182="B",INDEX(Batters[[#All],[K P]],MATCH(Table5[[#This Row],[PID]],Batters[[#All],[PID]],0)),INDEX(Table3[[#All],[STM]],MATCH(Table5[[#This Row],[PID]],Table3[[#All],[PID]],0)))</f>
        <v>2</v>
      </c>
      <c r="Q1182" s="61">
        <f>IF($C1182="B",INDEX(Batters[[#All],[Tot]],MATCH(Table5[[#This Row],[PID]],Batters[[#All],[PID]],0)),INDEX(Table3[[#All],[Tot]],MATCH(Table5[[#This Row],[PID]],Table3[[#All],[PID]],0)))</f>
        <v>22.838235771546788</v>
      </c>
      <c r="R1182" s="52">
        <f>IF($C1182="B",INDEX(Batters[[#All],[zScore]],MATCH(Table5[[#This Row],[PID]],Batters[[#All],[PID]],0)),INDEX(Table3[[#All],[zScore]],MATCH(Table5[[#This Row],[PID]],Table3[[#All],[PID]],0)))</f>
        <v>-1.0088225897079461</v>
      </c>
      <c r="S1182" s="58" t="str">
        <f>IF($C1182="B",INDEX(Batters[[#All],[DEM]],MATCH(Table5[[#This Row],[PID]],Batters[[#All],[PID]],0)),INDEX(Table3[[#All],[DEM]],MATCH(Table5[[#This Row],[PID]],Table3[[#All],[PID]],0)))</f>
        <v>$75k</v>
      </c>
      <c r="T1182" s="62">
        <f>IF($C1182="B",INDEX(Batters[[#All],[Rnk]],MATCH(Table5[[#This Row],[PID]],Batters[[#All],[PID]],0)),INDEX(Table3[[#All],[Rnk]],MATCH(Table5[[#This Row],[PID]],Table3[[#All],[PID]],0)))</f>
        <v>699</v>
      </c>
      <c r="U1182" s="68">
        <f>IF($C1182="B",VLOOKUP($A1182,Bat!$A$4:$BA$1621,47,FALSE),VLOOKUP($A1182,Pit!$A$4:$BF$1557,56,FALSE))</f>
        <v>0</v>
      </c>
      <c r="V1182" s="50">
        <f>IF($C1182="B",VLOOKUP($A1182,Bat!$A$4:$BA$1621,48,FALSE),VLOOKUP($A1182,Pit!$A$4:$BF$1557,57,FALSE))</f>
        <v>0</v>
      </c>
      <c r="W1182" s="50">
        <f>Table5[[#This Row],[posRnk]]+Table5[[#This Row],[zRnk]]+IF($W$3&lt;&gt;Table5[[#This Row],[Type]],50,0)</f>
        <v>1894</v>
      </c>
      <c r="X1182" s="51">
        <f>RANK(Table5[[#This Row],[zScore]],Table5[[#All],[zScore]])</f>
        <v>1145</v>
      </c>
      <c r="Y1182" s="50" t="str">
        <f>IFERROR(INDEX(DraftResults[[#All],[OVR]],MATCH(Table5[[#This Row],[PID]],DraftResults[[#All],[Player ID]],0)),"")</f>
        <v/>
      </c>
      <c r="Z11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2" s="50" t="str">
        <f>IFERROR(INDEX(DraftResults[[#All],[Pick in Round]],MATCH(Table5[[#This Row],[PID]],DraftResults[[#All],[Player ID]],0)),"")</f>
        <v/>
      </c>
      <c r="AB1182" s="50" t="str">
        <f>IFERROR(INDEX(DraftResults[[#All],[Team Name]],MATCH(Table5[[#This Row],[PID]],DraftResults[[#All],[Player ID]],0)),"")</f>
        <v/>
      </c>
      <c r="AC1182" s="50" t="str">
        <f>IF(Table5[[#This Row],[Ovr]]="","",IF(Table5[[#This Row],[cmbList]]="","",Table5[[#This Row],[cmbList]]-Table5[[#This Row],[Ovr]]))</f>
        <v/>
      </c>
      <c r="AD1182" s="54" t="str">
        <f>IF(ISERROR(VLOOKUP($AB1182&amp;"-"&amp;$E1182&amp;" "&amp;F1182,Bonuses!$B$1:$G$1006,4,FALSE)),"",INT(VLOOKUP($AB1182&amp;"-"&amp;$E1182&amp;" "&amp;$F1182,Bonuses!$B$1:$G$1006,4,FALSE)))</f>
        <v/>
      </c>
      <c r="AE11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3" spans="1:31" s="7" customFormat="1" x14ac:dyDescent="0.25">
      <c r="A1183" s="50">
        <v>10548</v>
      </c>
      <c r="B1183" s="50">
        <f>COUNTIF(Table5[PID],A1183)</f>
        <v>1</v>
      </c>
      <c r="C1183" s="50" t="str">
        <f>IF(COUNTIF(Table3[[#All],[PID]],A1183)&gt;0,"P","B")</f>
        <v>P</v>
      </c>
      <c r="D1183" s="59" t="str">
        <f>IF($C1183="B",INDEX(Batters[[#All],[POS]],MATCH(Table5[[#This Row],[PID]],Batters[[#All],[PID]],0)),INDEX(Table3[[#All],[POS]],MATCH(Table5[[#This Row],[PID]],Table3[[#All],[PID]],0)))</f>
        <v>RP</v>
      </c>
      <c r="E1183" s="52" t="str">
        <f>IF($C1183="B",INDEX(Batters[[#All],[First]],MATCH(Table5[[#This Row],[PID]],Batters[[#All],[PID]],0)),INDEX(Table3[[#All],[First]],MATCH(Table5[[#This Row],[PID]],Table3[[#All],[PID]],0)))</f>
        <v>Jason</v>
      </c>
      <c r="F1183" s="50" t="str">
        <f>IF($C1183="B",INDEX(Batters[[#All],[Last]],MATCH(A1183,Batters[[#All],[PID]],0)),INDEX(Table3[[#All],[Last]],MATCH(A1183,Table3[[#All],[PID]],0)))</f>
        <v>Edwards</v>
      </c>
      <c r="G1183" s="56">
        <f>IF($C1183="B",INDEX(Batters[[#All],[Age]],MATCH(Table5[[#This Row],[PID]],Batters[[#All],[PID]],0)),INDEX(Table3[[#All],[Age]],MATCH(Table5[[#This Row],[PID]],Table3[[#All],[PID]],0)))</f>
        <v>22</v>
      </c>
      <c r="H1183" s="52" t="str">
        <f>IF($C1183="B",INDEX(Batters[[#All],[B]],MATCH(Table5[[#This Row],[PID]],Batters[[#All],[PID]],0)),INDEX(Table3[[#All],[B]],MATCH(Table5[[#This Row],[PID]],Table3[[#All],[PID]],0)))</f>
        <v>R</v>
      </c>
      <c r="I1183" s="52" t="str">
        <f>IF($C1183="B",INDEX(Batters[[#All],[T]],MATCH(Table5[[#This Row],[PID]],Batters[[#All],[PID]],0)),INDEX(Table3[[#All],[T]],MATCH(Table5[[#This Row],[PID]],Table3[[#All],[PID]],0)))</f>
        <v>R</v>
      </c>
      <c r="J1183" s="52" t="str">
        <f>IF($C1183="B",INDEX(Batters[[#All],[WE]],MATCH(Table5[[#This Row],[PID]],Batters[[#All],[PID]],0)),INDEX(Table3[[#All],[WE]],MATCH(Table5[[#This Row],[PID]],Table3[[#All],[PID]],0)))</f>
        <v>Low</v>
      </c>
      <c r="K1183" s="52" t="str">
        <f>IF($C1183="B",INDEX(Batters[[#All],[INT]],MATCH(Table5[[#This Row],[PID]],Batters[[#All],[PID]],0)),INDEX(Table3[[#All],[INT]],MATCH(Table5[[#This Row],[PID]],Table3[[#All],[PID]],0)))</f>
        <v>Low</v>
      </c>
      <c r="L1183" s="60">
        <f>IF($C1183="B",INDEX(Batters[[#All],[CON P]],MATCH(Table5[[#This Row],[PID]],Batters[[#All],[PID]],0)),INDEX(Table3[[#All],[STU P]],MATCH(Table5[[#This Row],[PID]],Table3[[#All],[PID]],0)))</f>
        <v>4</v>
      </c>
      <c r="M1183" s="56">
        <f>IF($C1183="B",INDEX(Batters[[#All],[GAP P]],MATCH(Table5[[#This Row],[PID]],Batters[[#All],[PID]],0)),INDEX(Table3[[#All],[MOV P]],MATCH(Table5[[#This Row],[PID]],Table3[[#All],[PID]],0)))</f>
        <v>1</v>
      </c>
      <c r="N1183" s="56">
        <f>IF($C1183="B",INDEX(Batters[[#All],[POW P]],MATCH(Table5[[#This Row],[PID]],Batters[[#All],[PID]],0)),INDEX(Table3[[#All],[CON P]],MATCH(Table5[[#This Row],[PID]],Table3[[#All],[PID]],0)))</f>
        <v>2</v>
      </c>
      <c r="O1183" s="56" t="str">
        <f>IF($C1183="B",INDEX(Batters[[#All],[EYE P]],MATCH(Table5[[#This Row],[PID]],Batters[[#All],[PID]],0)),INDEX(Table3[[#All],[VELO]],MATCH(Table5[[#This Row],[PID]],Table3[[#All],[PID]],0)))</f>
        <v>89-91 Mph</v>
      </c>
      <c r="P1183" s="56">
        <f>IF($C1183="B",INDEX(Batters[[#All],[K P]],MATCH(Table5[[#This Row],[PID]],Batters[[#All],[PID]],0)),INDEX(Table3[[#All],[STM]],MATCH(Table5[[#This Row],[PID]],Table3[[#All],[PID]],0)))</f>
        <v>6</v>
      </c>
      <c r="Q1183" s="61">
        <f>IF($C1183="B",INDEX(Batters[[#All],[Tot]],MATCH(Table5[[#This Row],[PID]],Batters[[#All],[PID]],0)),INDEX(Table3[[#All],[Tot]],MATCH(Table5[[#This Row],[PID]],Table3[[#All],[PID]],0)))</f>
        <v>20.603288711001433</v>
      </c>
      <c r="R1183" s="52">
        <f>IF($C1183="B",INDEX(Batters[[#All],[zScore]],MATCH(Table5[[#This Row],[PID]],Batters[[#All],[PID]],0)),INDEX(Table3[[#All],[zScore]],MATCH(Table5[[#This Row],[PID]],Table3[[#All],[PID]],0)))</f>
        <v>-1.0157059696975621</v>
      </c>
      <c r="S1183" s="58" t="str">
        <f>IF($C1183="B",INDEX(Batters[[#All],[DEM]],MATCH(Table5[[#This Row],[PID]],Batters[[#All],[PID]],0)),INDEX(Table3[[#All],[DEM]],MATCH(Table5[[#This Row],[PID]],Table3[[#All],[PID]],0)))</f>
        <v>-</v>
      </c>
      <c r="T1183" s="62">
        <f>IF($C1183="B",INDEX(Batters[[#All],[Rnk]],MATCH(Table5[[#This Row],[PID]],Batters[[#All],[PID]],0)),INDEX(Table3[[#All],[Rnk]],MATCH(Table5[[#This Row],[PID]],Table3[[#All],[PID]],0)))</f>
        <v>700</v>
      </c>
      <c r="U1183" s="68">
        <f>IF($C1183="B",VLOOKUP($A1183,Bat!$A$4:$BA$1621,47,FALSE),VLOOKUP($A1183,Pit!$A$4:$BF$1557,56,FALSE))</f>
        <v>0</v>
      </c>
      <c r="V1183" s="50">
        <f>IF($C1183="B",VLOOKUP($A1183,Bat!$A$4:$BA$1621,48,FALSE),VLOOKUP($A1183,Pit!$A$4:$BF$1557,57,FALSE))</f>
        <v>0</v>
      </c>
      <c r="W1183" s="50">
        <f>Table5[[#This Row],[posRnk]]+Table5[[#This Row],[zRnk]]+IF($W$3&lt;&gt;Table5[[#This Row],[Type]],50,0)</f>
        <v>1896</v>
      </c>
      <c r="X1183" s="51">
        <f>RANK(Table5[[#This Row],[zScore]],Table5[[#All],[zScore]])</f>
        <v>1146</v>
      </c>
      <c r="Y1183" s="50" t="str">
        <f>IFERROR(INDEX(DraftResults[[#All],[OVR]],MATCH(Table5[[#This Row],[PID]],DraftResults[[#All],[Player ID]],0)),"")</f>
        <v/>
      </c>
      <c r="Z11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3" s="50" t="str">
        <f>IFERROR(INDEX(DraftResults[[#All],[Pick in Round]],MATCH(Table5[[#This Row],[PID]],DraftResults[[#All],[Player ID]],0)),"")</f>
        <v/>
      </c>
      <c r="AB1183" s="50" t="str">
        <f>IFERROR(INDEX(DraftResults[[#All],[Team Name]],MATCH(Table5[[#This Row],[PID]],DraftResults[[#All],[Player ID]],0)),"")</f>
        <v/>
      </c>
      <c r="AC1183" s="50" t="str">
        <f>IF(Table5[[#This Row],[Ovr]]="","",IF(Table5[[#This Row],[cmbList]]="","",Table5[[#This Row],[cmbList]]-Table5[[#This Row],[Ovr]]))</f>
        <v/>
      </c>
      <c r="AD1183" s="54" t="str">
        <f>IF(ISERROR(VLOOKUP($AB1183&amp;"-"&amp;$E1183&amp;" "&amp;F1183,Bonuses!$B$1:$G$1006,4,FALSE)),"",INT(VLOOKUP($AB1183&amp;"-"&amp;$E1183&amp;" "&amp;$F1183,Bonuses!$B$1:$G$1006,4,FALSE)))</f>
        <v/>
      </c>
      <c r="AE11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4" spans="1:31" s="7" customFormat="1" x14ac:dyDescent="0.25">
      <c r="A1184" s="50">
        <v>16715</v>
      </c>
      <c r="B1184" s="50">
        <f>COUNTIF(Table5[PID],A1184)</f>
        <v>1</v>
      </c>
      <c r="C1184" s="50" t="str">
        <f>IF(COUNTIF(Table3[[#All],[PID]],A1184)&gt;0,"P","B")</f>
        <v>P</v>
      </c>
      <c r="D1184" s="59" t="str">
        <f>IF($C1184="B",INDEX(Batters[[#All],[POS]],MATCH(Table5[[#This Row],[PID]],Batters[[#All],[PID]],0)),INDEX(Table3[[#All],[POS]],MATCH(Table5[[#This Row],[PID]],Table3[[#All],[PID]],0)))</f>
        <v>RP</v>
      </c>
      <c r="E1184" s="52" t="str">
        <f>IF($C1184="B",INDEX(Batters[[#All],[First]],MATCH(Table5[[#This Row],[PID]],Batters[[#All],[PID]],0)),INDEX(Table3[[#All],[First]],MATCH(Table5[[#This Row],[PID]],Table3[[#All],[PID]],0)))</f>
        <v>Ferdi</v>
      </c>
      <c r="F1184" s="50" t="str">
        <f>IF($C1184="B",INDEX(Batters[[#All],[Last]],MATCH(A1184,Batters[[#All],[PID]],0)),INDEX(Table3[[#All],[Last]],MATCH(A1184,Table3[[#All],[PID]],0)))</f>
        <v>Pouwelse</v>
      </c>
      <c r="G1184" s="56">
        <f>IF($C1184="B",INDEX(Batters[[#All],[Age]],MATCH(Table5[[#This Row],[PID]],Batters[[#All],[PID]],0)),INDEX(Table3[[#All],[Age]],MATCH(Table5[[#This Row],[PID]],Table3[[#All],[PID]],0)))</f>
        <v>22</v>
      </c>
      <c r="H1184" s="52" t="str">
        <f>IF($C1184="B",INDEX(Batters[[#All],[B]],MATCH(Table5[[#This Row],[PID]],Batters[[#All],[PID]],0)),INDEX(Table3[[#All],[B]],MATCH(Table5[[#This Row],[PID]],Table3[[#All],[PID]],0)))</f>
        <v>S</v>
      </c>
      <c r="I1184" s="52" t="str">
        <f>IF($C1184="B",INDEX(Batters[[#All],[T]],MATCH(Table5[[#This Row],[PID]],Batters[[#All],[PID]],0)),INDEX(Table3[[#All],[T]],MATCH(Table5[[#This Row],[PID]],Table3[[#All],[PID]],0)))</f>
        <v>R</v>
      </c>
      <c r="J1184" s="52" t="str">
        <f>IF($C1184="B",INDEX(Batters[[#All],[WE]],MATCH(Table5[[#This Row],[PID]],Batters[[#All],[PID]],0)),INDEX(Table3[[#All],[WE]],MATCH(Table5[[#This Row],[PID]],Table3[[#All],[PID]],0)))</f>
        <v>Normal</v>
      </c>
      <c r="K1184" s="52" t="str">
        <f>IF($C1184="B",INDEX(Batters[[#All],[INT]],MATCH(Table5[[#This Row],[PID]],Batters[[#All],[PID]],0)),INDEX(Table3[[#All],[INT]],MATCH(Table5[[#This Row],[PID]],Table3[[#All],[PID]],0)))</f>
        <v>Normal</v>
      </c>
      <c r="L1184" s="60">
        <f>IF($C1184="B",INDEX(Batters[[#All],[CON P]],MATCH(Table5[[#This Row],[PID]],Batters[[#All],[PID]],0)),INDEX(Table3[[#All],[STU P]],MATCH(Table5[[#This Row],[PID]],Table3[[#All],[PID]],0)))</f>
        <v>4</v>
      </c>
      <c r="M1184" s="56">
        <f>IF($C1184="B",INDEX(Batters[[#All],[GAP P]],MATCH(Table5[[#This Row],[PID]],Batters[[#All],[PID]],0)),INDEX(Table3[[#All],[MOV P]],MATCH(Table5[[#This Row],[PID]],Table3[[#All],[PID]],0)))</f>
        <v>2</v>
      </c>
      <c r="N1184" s="56">
        <f>IF($C1184="B",INDEX(Batters[[#All],[POW P]],MATCH(Table5[[#This Row],[PID]],Batters[[#All],[PID]],0)),INDEX(Table3[[#All],[CON P]],MATCH(Table5[[#This Row],[PID]],Table3[[#All],[PID]],0)))</f>
        <v>3</v>
      </c>
      <c r="O1184" s="56" t="str">
        <f>IF($C1184="B",INDEX(Batters[[#All],[EYE P]],MATCH(Table5[[#This Row],[PID]],Batters[[#All],[PID]],0)),INDEX(Table3[[#All],[VELO]],MATCH(Table5[[#This Row],[PID]],Table3[[#All],[PID]],0)))</f>
        <v>88-90 Mph</v>
      </c>
      <c r="P1184" s="56">
        <f>IF($C1184="B",INDEX(Batters[[#All],[K P]],MATCH(Table5[[#This Row],[PID]],Batters[[#All],[PID]],0)),INDEX(Table3[[#All],[STM]],MATCH(Table5[[#This Row],[PID]],Table3[[#All],[PID]],0)))</f>
        <v>8</v>
      </c>
      <c r="Q1184" s="61">
        <f>IF($C1184="B",INDEX(Batters[[#All],[Tot]],MATCH(Table5[[#This Row],[PID]],Batters[[#All],[PID]],0)),INDEX(Table3[[#All],[Tot]],MATCH(Table5[[#This Row],[PID]],Table3[[#All],[PID]],0)))</f>
        <v>20.550874457299727</v>
      </c>
      <c r="R1184" s="52">
        <f>IF($C1184="B",INDEX(Batters[[#All],[zScore]],MATCH(Table5[[#This Row],[PID]],Batters[[#All],[PID]],0)),INDEX(Table3[[#All],[zScore]],MATCH(Table5[[#This Row],[PID]],Table3[[#All],[PID]],0)))</f>
        <v>-1.0191930099016522</v>
      </c>
      <c r="S1184" s="58" t="str">
        <f>IF($C1184="B",INDEX(Batters[[#All],[DEM]],MATCH(Table5[[#This Row],[PID]],Batters[[#All],[PID]],0)),INDEX(Table3[[#All],[DEM]],MATCH(Table5[[#This Row],[PID]],Table3[[#All],[PID]],0)))</f>
        <v>-</v>
      </c>
      <c r="T1184" s="62">
        <f>IF($C1184="B",INDEX(Batters[[#All],[Rnk]],MATCH(Table5[[#This Row],[PID]],Batters[[#All],[PID]],0)),INDEX(Table3[[#All],[Rnk]],MATCH(Table5[[#This Row],[PID]],Table3[[#All],[PID]],0)))</f>
        <v>701</v>
      </c>
      <c r="U1184" s="68">
        <f>IF($C1184="B",VLOOKUP($A1184,Bat!$A$4:$BA$1621,47,FALSE),VLOOKUP($A1184,Pit!$A$4:$BF$1557,56,FALSE))</f>
        <v>0</v>
      </c>
      <c r="V1184" s="50">
        <f>IF($C1184="B",VLOOKUP($A1184,Bat!$A$4:$BA$1621,48,FALSE),VLOOKUP($A1184,Pit!$A$4:$BF$1557,57,FALSE))</f>
        <v>0</v>
      </c>
      <c r="W1184" s="50">
        <f>Table5[[#This Row],[posRnk]]+Table5[[#This Row],[zRnk]]+IF($W$3&lt;&gt;Table5[[#This Row],[Type]],50,0)</f>
        <v>1898</v>
      </c>
      <c r="X1184" s="51">
        <f>RANK(Table5[[#This Row],[zScore]],Table5[[#All],[zScore]])</f>
        <v>1147</v>
      </c>
      <c r="Y1184" s="50" t="str">
        <f>IFERROR(INDEX(DraftResults[[#All],[OVR]],MATCH(Table5[[#This Row],[PID]],DraftResults[[#All],[Player ID]],0)),"")</f>
        <v/>
      </c>
      <c r="Z11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4" s="50" t="str">
        <f>IFERROR(INDEX(DraftResults[[#All],[Pick in Round]],MATCH(Table5[[#This Row],[PID]],DraftResults[[#All],[Player ID]],0)),"")</f>
        <v/>
      </c>
      <c r="AB1184" s="50" t="str">
        <f>IFERROR(INDEX(DraftResults[[#All],[Team Name]],MATCH(Table5[[#This Row],[PID]],DraftResults[[#All],[Player ID]],0)),"")</f>
        <v/>
      </c>
      <c r="AC1184" s="50" t="str">
        <f>IF(Table5[[#This Row],[Ovr]]="","",IF(Table5[[#This Row],[cmbList]]="","",Table5[[#This Row],[cmbList]]-Table5[[#This Row],[Ovr]]))</f>
        <v/>
      </c>
      <c r="AD1184" s="54" t="str">
        <f>IF(ISERROR(VLOOKUP($AB1184&amp;"-"&amp;$E1184&amp;" "&amp;F1184,Bonuses!$B$1:$G$1006,4,FALSE)),"",INT(VLOOKUP($AB1184&amp;"-"&amp;$E1184&amp;" "&amp;$F1184,Bonuses!$B$1:$G$1006,4,FALSE)))</f>
        <v/>
      </c>
      <c r="AE11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5" spans="1:31" s="7" customFormat="1" x14ac:dyDescent="0.25">
      <c r="A1185" s="50">
        <v>13070</v>
      </c>
      <c r="B1185" s="50">
        <f>COUNTIF(Table5[PID],A1185)</f>
        <v>1</v>
      </c>
      <c r="C1185" s="50" t="str">
        <f>IF(COUNTIF(Table3[[#All],[PID]],A1185)&gt;0,"P","B")</f>
        <v>P</v>
      </c>
      <c r="D1185" s="59" t="str">
        <f>IF($C1185="B",INDEX(Batters[[#All],[POS]],MATCH(Table5[[#This Row],[PID]],Batters[[#All],[PID]],0)),INDEX(Table3[[#All],[POS]],MATCH(Table5[[#This Row],[PID]],Table3[[#All],[PID]],0)))</f>
        <v>RP</v>
      </c>
      <c r="E1185" s="52" t="str">
        <f>IF($C1185="B",INDEX(Batters[[#All],[First]],MATCH(Table5[[#This Row],[PID]],Batters[[#All],[PID]],0)),INDEX(Table3[[#All],[First]],MATCH(Table5[[#This Row],[PID]],Table3[[#All],[PID]],0)))</f>
        <v>Robbie</v>
      </c>
      <c r="F1185" s="50" t="str">
        <f>IF($C1185="B",INDEX(Batters[[#All],[Last]],MATCH(A1185,Batters[[#All],[PID]],0)),INDEX(Table3[[#All],[Last]],MATCH(A1185,Table3[[#All],[PID]],0)))</f>
        <v>Logan</v>
      </c>
      <c r="G1185" s="56">
        <f>IF($C1185="B",INDEX(Batters[[#All],[Age]],MATCH(Table5[[#This Row],[PID]],Batters[[#All],[PID]],0)),INDEX(Table3[[#All],[Age]],MATCH(Table5[[#This Row],[PID]],Table3[[#All],[PID]],0)))</f>
        <v>21</v>
      </c>
      <c r="H1185" s="52" t="str">
        <f>IF($C1185="B",INDEX(Batters[[#All],[B]],MATCH(Table5[[#This Row],[PID]],Batters[[#All],[PID]],0)),INDEX(Table3[[#All],[B]],MATCH(Table5[[#This Row],[PID]],Table3[[#All],[PID]],0)))</f>
        <v>R</v>
      </c>
      <c r="I1185" s="52" t="str">
        <f>IF($C1185="B",INDEX(Batters[[#All],[T]],MATCH(Table5[[#This Row],[PID]],Batters[[#All],[PID]],0)),INDEX(Table3[[#All],[T]],MATCH(Table5[[#This Row],[PID]],Table3[[#All],[PID]],0)))</f>
        <v>R</v>
      </c>
      <c r="J1185" s="52" t="str">
        <f>IF($C1185="B",INDEX(Batters[[#All],[WE]],MATCH(Table5[[#This Row],[PID]],Batters[[#All],[PID]],0)),INDEX(Table3[[#All],[WE]],MATCH(Table5[[#This Row],[PID]],Table3[[#All],[PID]],0)))</f>
        <v>Normal</v>
      </c>
      <c r="K1185" s="52" t="str">
        <f>IF($C1185="B",INDEX(Batters[[#All],[INT]],MATCH(Table5[[#This Row],[PID]],Batters[[#All],[PID]],0)),INDEX(Table3[[#All],[INT]],MATCH(Table5[[#This Row],[PID]],Table3[[#All],[PID]],0)))</f>
        <v>Low</v>
      </c>
      <c r="L1185" s="60">
        <f>IF($C1185="B",INDEX(Batters[[#All],[CON P]],MATCH(Table5[[#This Row],[PID]],Batters[[#All],[PID]],0)),INDEX(Table3[[#All],[STU P]],MATCH(Table5[[#This Row],[PID]],Table3[[#All],[PID]],0)))</f>
        <v>5</v>
      </c>
      <c r="M1185" s="56">
        <f>IF($C1185="B",INDEX(Batters[[#All],[GAP P]],MATCH(Table5[[#This Row],[PID]],Batters[[#All],[PID]],0)),INDEX(Table3[[#All],[MOV P]],MATCH(Table5[[#This Row],[PID]],Table3[[#All],[PID]],0)))</f>
        <v>2</v>
      </c>
      <c r="N1185" s="56">
        <f>IF($C1185="B",INDEX(Batters[[#All],[POW P]],MATCH(Table5[[#This Row],[PID]],Batters[[#All],[PID]],0)),INDEX(Table3[[#All],[CON P]],MATCH(Table5[[#This Row],[PID]],Table3[[#All],[PID]],0)))</f>
        <v>2</v>
      </c>
      <c r="O1185" s="56" t="str">
        <f>IF($C1185="B",INDEX(Batters[[#All],[EYE P]],MATCH(Table5[[#This Row],[PID]],Batters[[#All],[PID]],0)),INDEX(Table3[[#All],[VELO]],MATCH(Table5[[#This Row],[PID]],Table3[[#All],[PID]],0)))</f>
        <v>88-90 Mph</v>
      </c>
      <c r="P1185" s="56">
        <f>IF($C1185="B",INDEX(Batters[[#All],[K P]],MATCH(Table5[[#This Row],[PID]],Batters[[#All],[PID]],0)),INDEX(Table3[[#All],[STM]],MATCH(Table5[[#This Row],[PID]],Table3[[#All],[PID]],0)))</f>
        <v>4</v>
      </c>
      <c r="Q1185" s="61">
        <f>IF($C1185="B",INDEX(Batters[[#All],[Tot]],MATCH(Table5[[#This Row],[PID]],Batters[[#All],[PID]],0)),INDEX(Table3[[#All],[Tot]],MATCH(Table5[[#This Row],[PID]],Table3[[#All],[PID]],0)))</f>
        <v>22.872866496737686</v>
      </c>
      <c r="R1185" s="52">
        <f>IF($C1185="B",INDEX(Batters[[#All],[zScore]],MATCH(Table5[[#This Row],[PID]],Batters[[#All],[PID]],0)),INDEX(Table3[[#All],[zScore]],MATCH(Table5[[#This Row],[PID]],Table3[[#All],[PID]],0)))</f>
        <v>-1.0227629273540519</v>
      </c>
      <c r="S1185" s="58" t="str">
        <f>IF($C1185="B",INDEX(Batters[[#All],[DEM]],MATCH(Table5[[#This Row],[PID]],Batters[[#All],[PID]],0)),INDEX(Table3[[#All],[DEM]],MATCH(Table5[[#This Row],[PID]],Table3[[#All],[PID]],0)))</f>
        <v>-</v>
      </c>
      <c r="T1185" s="62">
        <f>IF($C1185="B",INDEX(Batters[[#All],[Rnk]],MATCH(Table5[[#This Row],[PID]],Batters[[#All],[PID]],0)),INDEX(Table3[[#All],[Rnk]],MATCH(Table5[[#This Row],[PID]],Table3[[#All],[PID]],0)))</f>
        <v>702</v>
      </c>
      <c r="U1185" s="68">
        <f>IF($C1185="B",VLOOKUP($A1185,Bat!$A$4:$BA$1621,47,FALSE),VLOOKUP($A1185,Pit!$A$4:$BF$1557,56,FALSE))</f>
        <v>0</v>
      </c>
      <c r="V1185" s="50">
        <f>IF($C1185="B",VLOOKUP($A1185,Bat!$A$4:$BA$1621,48,FALSE),VLOOKUP($A1185,Pit!$A$4:$BF$1557,57,FALSE))</f>
        <v>0</v>
      </c>
      <c r="W1185" s="50">
        <f>Table5[[#This Row],[posRnk]]+Table5[[#This Row],[zRnk]]+IF($W$3&lt;&gt;Table5[[#This Row],[Type]],50,0)</f>
        <v>1900</v>
      </c>
      <c r="X1185" s="51">
        <f>RANK(Table5[[#This Row],[zScore]],Table5[[#All],[zScore]])</f>
        <v>1148</v>
      </c>
      <c r="Y1185" s="50" t="str">
        <f>IFERROR(INDEX(DraftResults[[#All],[OVR]],MATCH(Table5[[#This Row],[PID]],DraftResults[[#All],[Player ID]],0)),"")</f>
        <v/>
      </c>
      <c r="Z1185" s="6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5" s="50" t="str">
        <f>IFERROR(INDEX(DraftResults[[#All],[Pick in Round]],MATCH(Table5[[#This Row],[PID]],DraftResults[[#All],[Player ID]],0)),"")</f>
        <v/>
      </c>
      <c r="AB1185" s="50" t="str">
        <f>IFERROR(INDEX(DraftResults[[#All],[Team Name]],MATCH(Table5[[#This Row],[PID]],DraftResults[[#All],[Player ID]],0)),"")</f>
        <v/>
      </c>
      <c r="AC1185" s="50" t="str">
        <f>IF(Table5[[#This Row],[Ovr]]="","",IF(Table5[[#This Row],[cmbList]]="","",Table5[[#This Row],[cmbList]]-Table5[[#This Row],[Ovr]]))</f>
        <v/>
      </c>
      <c r="AD1185" s="54" t="str">
        <f>IF(ISERROR(VLOOKUP($AB1185&amp;"-"&amp;$E1185&amp;" "&amp;F1185,Bonuses!$B$1:$G$1006,4,FALSE)),"",INT(VLOOKUP($AB1185&amp;"-"&amp;$E1185&amp;" "&amp;$F1185,Bonuses!$B$1:$G$1006,4,FALSE)))</f>
        <v/>
      </c>
      <c r="AE11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6" spans="1:31" s="7" customFormat="1" x14ac:dyDescent="0.25">
      <c r="A1186" s="50">
        <v>14903</v>
      </c>
      <c r="B1186" s="50">
        <f>COUNTIF(Table5[PID],A1186)</f>
        <v>1</v>
      </c>
      <c r="C1186" s="50" t="str">
        <f>IF(COUNTIF(Table3[[#All],[PID]],A1186)&gt;0,"P","B")</f>
        <v>P</v>
      </c>
      <c r="D1186" s="59" t="str">
        <f>IF($C1186="B",INDEX(Batters[[#All],[POS]],MATCH(Table5[[#This Row],[PID]],Batters[[#All],[PID]],0)),INDEX(Table3[[#All],[POS]],MATCH(Table5[[#This Row],[PID]],Table3[[#All],[PID]],0)))</f>
        <v>RP</v>
      </c>
      <c r="E1186" s="52" t="str">
        <f>IF($C1186="B",INDEX(Batters[[#All],[First]],MATCH(Table5[[#This Row],[PID]],Batters[[#All],[PID]],0)),INDEX(Table3[[#All],[First]],MATCH(Table5[[#This Row],[PID]],Table3[[#All],[PID]],0)))</f>
        <v>Tabito</v>
      </c>
      <c r="F1186" s="50" t="str">
        <f>IF($C1186="B",INDEX(Batters[[#All],[Last]],MATCH(A1186,Batters[[#All],[PID]],0)),INDEX(Table3[[#All],[Last]],MATCH(A1186,Table3[[#All],[PID]],0)))</f>
        <v>Tenno</v>
      </c>
      <c r="G1186" s="56">
        <f>IF($C1186="B",INDEX(Batters[[#All],[Age]],MATCH(Table5[[#This Row],[PID]],Batters[[#All],[PID]],0)),INDEX(Table3[[#All],[Age]],MATCH(Table5[[#This Row],[PID]],Table3[[#All],[PID]],0)))</f>
        <v>22</v>
      </c>
      <c r="H1186" s="52" t="str">
        <f>IF($C1186="B",INDEX(Batters[[#All],[B]],MATCH(Table5[[#This Row],[PID]],Batters[[#All],[PID]],0)),INDEX(Table3[[#All],[B]],MATCH(Table5[[#This Row],[PID]],Table3[[#All],[PID]],0)))</f>
        <v>R</v>
      </c>
      <c r="I1186" s="52" t="str">
        <f>IF($C1186="B",INDEX(Batters[[#All],[T]],MATCH(Table5[[#This Row],[PID]],Batters[[#All],[PID]],0)),INDEX(Table3[[#All],[T]],MATCH(Table5[[#This Row],[PID]],Table3[[#All],[PID]],0)))</f>
        <v>R</v>
      </c>
      <c r="J1186" s="52" t="str">
        <f>IF($C1186="B",INDEX(Batters[[#All],[WE]],MATCH(Table5[[#This Row],[PID]],Batters[[#All],[PID]],0)),INDEX(Table3[[#All],[WE]],MATCH(Table5[[#This Row],[PID]],Table3[[#All],[PID]],0)))</f>
        <v>Normal</v>
      </c>
      <c r="K1186" s="52" t="str">
        <f>IF($C1186="B",INDEX(Batters[[#All],[INT]],MATCH(Table5[[#This Row],[PID]],Batters[[#All],[PID]],0)),INDEX(Table3[[#All],[INT]],MATCH(Table5[[#This Row],[PID]],Table3[[#All],[PID]],0)))</f>
        <v>Low</v>
      </c>
      <c r="L1186" s="60">
        <f>IF($C1186="B",INDEX(Batters[[#All],[CON P]],MATCH(Table5[[#This Row],[PID]],Batters[[#All],[PID]],0)),INDEX(Table3[[#All],[STU P]],MATCH(Table5[[#This Row],[PID]],Table3[[#All],[PID]],0)))</f>
        <v>2</v>
      </c>
      <c r="M1186" s="56">
        <f>IF($C1186="B",INDEX(Batters[[#All],[GAP P]],MATCH(Table5[[#This Row],[PID]],Batters[[#All],[PID]],0)),INDEX(Table3[[#All],[MOV P]],MATCH(Table5[[#This Row],[PID]],Table3[[#All],[PID]],0)))</f>
        <v>2</v>
      </c>
      <c r="N1186" s="56">
        <f>IF($C1186="B",INDEX(Batters[[#All],[POW P]],MATCH(Table5[[#This Row],[PID]],Batters[[#All],[PID]],0)),INDEX(Table3[[#All],[CON P]],MATCH(Table5[[#This Row],[PID]],Table3[[#All],[PID]],0)))</f>
        <v>3</v>
      </c>
      <c r="O1186" s="56" t="str">
        <f>IF($C1186="B",INDEX(Batters[[#All],[EYE P]],MATCH(Table5[[#This Row],[PID]],Batters[[#All],[PID]],0)),INDEX(Table3[[#All],[VELO]],MATCH(Table5[[#This Row],[PID]],Table3[[#All],[PID]],0)))</f>
        <v>83-85 Mph</v>
      </c>
      <c r="P1186" s="56">
        <f>IF($C1186="B",INDEX(Batters[[#All],[K P]],MATCH(Table5[[#This Row],[PID]],Batters[[#All],[PID]],0)),INDEX(Table3[[#All],[STM]],MATCH(Table5[[#This Row],[PID]],Table3[[#All],[PID]],0)))</f>
        <v>7</v>
      </c>
      <c r="Q1186" s="61">
        <f>IF($C1186="B",INDEX(Batters[[#All],[Tot]],MATCH(Table5[[#This Row],[PID]],Batters[[#All],[PID]],0)),INDEX(Table3[[#All],[Tot]],MATCH(Table5[[#This Row],[PID]],Table3[[#All],[PID]],0)))</f>
        <v>22.586854890827865</v>
      </c>
      <c r="R1186" s="52">
        <f>IF($C1186="B",INDEX(Batters[[#All],[zScore]],MATCH(Table5[[#This Row],[PID]],Batters[[#All],[PID]],0)),INDEX(Table3[[#All],[zScore]],MATCH(Table5[[#This Row],[PID]],Table3[[#All],[PID]],0)))</f>
        <v>-1.0270131300003638</v>
      </c>
      <c r="S1186" s="58" t="str">
        <f>IF($C1186="B",INDEX(Batters[[#All],[DEM]],MATCH(Table5[[#This Row],[PID]],Batters[[#All],[PID]],0)),INDEX(Table3[[#All],[DEM]],MATCH(Table5[[#This Row],[PID]],Table3[[#All],[PID]],0)))</f>
        <v>-</v>
      </c>
      <c r="T1186" s="62">
        <f>IF($C1186="B",INDEX(Batters[[#All],[Rnk]],MATCH(Table5[[#This Row],[PID]],Batters[[#All],[PID]],0)),INDEX(Table3[[#All],[Rnk]],MATCH(Table5[[#This Row],[PID]],Table3[[#All],[PID]],0)))</f>
        <v>703</v>
      </c>
      <c r="U1186" s="68">
        <f>IF($C1186="B",VLOOKUP($A1186,Bat!$A$4:$BA$1621,47,FALSE),VLOOKUP($A1186,Pit!$A$4:$BF$1557,56,FALSE))</f>
        <v>0</v>
      </c>
      <c r="V1186" s="50">
        <f>IF($C1186="B",VLOOKUP($A1186,Bat!$A$4:$BA$1621,48,FALSE),VLOOKUP($A1186,Pit!$A$4:$BF$1557,57,FALSE))</f>
        <v>0</v>
      </c>
      <c r="W1186" s="50">
        <f>Table5[[#This Row],[posRnk]]+Table5[[#This Row],[zRnk]]+IF($W$3&lt;&gt;Table5[[#This Row],[Type]],50,0)</f>
        <v>1902</v>
      </c>
      <c r="X1186" s="51">
        <f>RANK(Table5[[#This Row],[zScore]],Table5[[#All],[zScore]])</f>
        <v>1149</v>
      </c>
      <c r="Y1186" s="50" t="str">
        <f>IFERROR(INDEX(DraftResults[[#All],[OVR]],MATCH(Table5[[#This Row],[PID]],DraftResults[[#All],[Player ID]],0)),"")</f>
        <v/>
      </c>
      <c r="Z11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6" s="50" t="str">
        <f>IFERROR(INDEX(DraftResults[[#All],[Pick in Round]],MATCH(Table5[[#This Row],[PID]],DraftResults[[#All],[Player ID]],0)),"")</f>
        <v/>
      </c>
      <c r="AB1186" s="50" t="str">
        <f>IFERROR(INDEX(DraftResults[[#All],[Team Name]],MATCH(Table5[[#This Row],[PID]],DraftResults[[#All],[Player ID]],0)),"")</f>
        <v/>
      </c>
      <c r="AC1186" s="50" t="str">
        <f>IF(Table5[[#This Row],[Ovr]]="","",IF(Table5[[#This Row],[cmbList]]="","",Table5[[#This Row],[cmbList]]-Table5[[#This Row],[Ovr]]))</f>
        <v/>
      </c>
      <c r="AD1186" s="54" t="str">
        <f>IF(ISERROR(VLOOKUP($AB1186&amp;"-"&amp;$E1186&amp;" "&amp;F1186,Bonuses!$B$1:$G$1006,4,FALSE)),"",INT(VLOOKUP($AB1186&amp;"-"&amp;$E1186&amp;" "&amp;$F1186,Bonuses!$B$1:$G$1006,4,FALSE)))</f>
        <v/>
      </c>
      <c r="AE11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7" spans="1:31" s="7" customFormat="1" x14ac:dyDescent="0.25">
      <c r="A1187" s="50">
        <v>13922</v>
      </c>
      <c r="B1187" s="50">
        <f>COUNTIF(Table5[PID],A1187)</f>
        <v>1</v>
      </c>
      <c r="C1187" s="50" t="str">
        <f>IF(COUNTIF(Table3[[#All],[PID]],A1187)&gt;0,"P","B")</f>
        <v>P</v>
      </c>
      <c r="D1187" s="59" t="str">
        <f>IF($C1187="B",INDEX(Batters[[#All],[POS]],MATCH(Table5[[#This Row],[PID]],Batters[[#All],[PID]],0)),INDEX(Table3[[#All],[POS]],MATCH(Table5[[#This Row],[PID]],Table3[[#All],[PID]],0)))</f>
        <v>RP</v>
      </c>
      <c r="E1187" s="52" t="str">
        <f>IF($C1187="B",INDEX(Batters[[#All],[First]],MATCH(Table5[[#This Row],[PID]],Batters[[#All],[PID]],0)),INDEX(Table3[[#All],[First]],MATCH(Table5[[#This Row],[PID]],Table3[[#All],[PID]],0)))</f>
        <v>César</v>
      </c>
      <c r="F1187" s="50" t="str">
        <f>IF($C1187="B",INDEX(Batters[[#All],[Last]],MATCH(A1187,Batters[[#All],[PID]],0)),INDEX(Table3[[#All],[Last]],MATCH(A1187,Table3[[#All],[PID]],0)))</f>
        <v>Árias</v>
      </c>
      <c r="G1187" s="56">
        <f>IF($C1187="B",INDEX(Batters[[#All],[Age]],MATCH(Table5[[#This Row],[PID]],Batters[[#All],[PID]],0)),INDEX(Table3[[#All],[Age]],MATCH(Table5[[#This Row],[PID]],Table3[[#All],[PID]],0)))</f>
        <v>21</v>
      </c>
      <c r="H1187" s="52" t="str">
        <f>IF($C1187="B",INDEX(Batters[[#All],[B]],MATCH(Table5[[#This Row],[PID]],Batters[[#All],[PID]],0)),INDEX(Table3[[#All],[B]],MATCH(Table5[[#This Row],[PID]],Table3[[#All],[PID]],0)))</f>
        <v>R</v>
      </c>
      <c r="I1187" s="52" t="str">
        <f>IF($C1187="B",INDEX(Batters[[#All],[T]],MATCH(Table5[[#This Row],[PID]],Batters[[#All],[PID]],0)),INDEX(Table3[[#All],[T]],MATCH(Table5[[#This Row],[PID]],Table3[[#All],[PID]],0)))</f>
        <v>R</v>
      </c>
      <c r="J1187" s="52" t="str">
        <f>IF($C1187="B",INDEX(Batters[[#All],[WE]],MATCH(Table5[[#This Row],[PID]],Batters[[#All],[PID]],0)),INDEX(Table3[[#All],[WE]],MATCH(Table5[[#This Row],[PID]],Table3[[#All],[PID]],0)))</f>
        <v>Low</v>
      </c>
      <c r="K1187" s="52" t="str">
        <f>IF($C1187="B",INDEX(Batters[[#All],[INT]],MATCH(Table5[[#This Row],[PID]],Batters[[#All],[PID]],0)),INDEX(Table3[[#All],[INT]],MATCH(Table5[[#This Row],[PID]],Table3[[#All],[PID]],0)))</f>
        <v>Normal</v>
      </c>
      <c r="L1187" s="60">
        <f>IF($C1187="B",INDEX(Batters[[#All],[CON P]],MATCH(Table5[[#This Row],[PID]],Batters[[#All],[PID]],0)),INDEX(Table3[[#All],[STU P]],MATCH(Table5[[#This Row],[PID]],Table3[[#All],[PID]],0)))</f>
        <v>4</v>
      </c>
      <c r="M1187" s="56">
        <f>IF($C1187="B",INDEX(Batters[[#All],[GAP P]],MATCH(Table5[[#This Row],[PID]],Batters[[#All],[PID]],0)),INDEX(Table3[[#All],[MOV P]],MATCH(Table5[[#This Row],[PID]],Table3[[#All],[PID]],0)))</f>
        <v>1</v>
      </c>
      <c r="N1187" s="56">
        <f>IF($C1187="B",INDEX(Batters[[#All],[POW P]],MATCH(Table5[[#This Row],[PID]],Batters[[#All],[PID]],0)),INDEX(Table3[[#All],[CON P]],MATCH(Table5[[#This Row],[PID]],Table3[[#All],[PID]],0)))</f>
        <v>2</v>
      </c>
      <c r="O1187" s="56" t="str">
        <f>IF($C1187="B",INDEX(Batters[[#All],[EYE P]],MATCH(Table5[[#This Row],[PID]],Batters[[#All],[PID]],0)),INDEX(Table3[[#All],[VELO]],MATCH(Table5[[#This Row],[PID]],Table3[[#All],[PID]],0)))</f>
        <v>87-89 Mph</v>
      </c>
      <c r="P1187" s="56">
        <f>IF($C1187="B",INDEX(Batters[[#All],[K P]],MATCH(Table5[[#This Row],[PID]],Batters[[#All],[PID]],0)),INDEX(Table3[[#All],[STM]],MATCH(Table5[[#This Row],[PID]],Table3[[#All],[PID]],0)))</f>
        <v>8</v>
      </c>
      <c r="Q1187" s="61">
        <f>IF($C1187="B",INDEX(Batters[[#All],[Tot]],MATCH(Table5[[#This Row],[PID]],Batters[[#All],[PID]],0)),INDEX(Table3[[#All],[Tot]],MATCH(Table5[[#This Row],[PID]],Table3[[#All],[PID]],0)))</f>
        <v>20.356742464330399</v>
      </c>
      <c r="R1187" s="52">
        <f>IF($C1187="B",INDEX(Batters[[#All],[zScore]],MATCH(Table5[[#This Row],[PID]],Batters[[#All],[PID]],0)),INDEX(Table3[[#All],[zScore]],MATCH(Table5[[#This Row],[PID]],Table3[[#All],[PID]],0)))</f>
        <v>-1.0321083147390866</v>
      </c>
      <c r="S1187" s="58" t="str">
        <f>IF($C1187="B",INDEX(Batters[[#All],[DEM]],MATCH(Table5[[#This Row],[PID]],Batters[[#All],[PID]],0)),INDEX(Table3[[#All],[DEM]],MATCH(Table5[[#This Row],[PID]],Table3[[#All],[PID]],0)))</f>
        <v>-</v>
      </c>
      <c r="T1187" s="62">
        <f>IF($C1187="B",INDEX(Batters[[#All],[Rnk]],MATCH(Table5[[#This Row],[PID]],Batters[[#All],[PID]],0)),INDEX(Table3[[#All],[Rnk]],MATCH(Table5[[#This Row],[PID]],Table3[[#All],[PID]],0)))</f>
        <v>704</v>
      </c>
      <c r="U1187" s="68">
        <f>IF($C1187="B",VLOOKUP($A1187,Bat!$A$4:$BA$1621,47,FALSE),VLOOKUP($A1187,Pit!$A$4:$BF$1557,56,FALSE))</f>
        <v>0</v>
      </c>
      <c r="V1187" s="50">
        <f>IF($C1187="B",VLOOKUP($A1187,Bat!$A$4:$BA$1621,48,FALSE),VLOOKUP($A1187,Pit!$A$4:$BF$1557,57,FALSE))</f>
        <v>0</v>
      </c>
      <c r="W1187" s="50">
        <f>Table5[[#This Row],[posRnk]]+Table5[[#This Row],[zRnk]]+IF($W$3&lt;&gt;Table5[[#This Row],[Type]],50,0)</f>
        <v>1904</v>
      </c>
      <c r="X1187" s="51">
        <f>RANK(Table5[[#This Row],[zScore]],Table5[[#All],[zScore]])</f>
        <v>1150</v>
      </c>
      <c r="Y1187" s="50" t="str">
        <f>IFERROR(INDEX(DraftResults[[#All],[OVR]],MATCH(Table5[[#This Row],[PID]],DraftResults[[#All],[Player ID]],0)),"")</f>
        <v/>
      </c>
      <c r="Z11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7" s="50" t="str">
        <f>IFERROR(INDEX(DraftResults[[#All],[Pick in Round]],MATCH(Table5[[#This Row],[PID]],DraftResults[[#All],[Player ID]],0)),"")</f>
        <v/>
      </c>
      <c r="AB1187" s="50" t="str">
        <f>IFERROR(INDEX(DraftResults[[#All],[Team Name]],MATCH(Table5[[#This Row],[PID]],DraftResults[[#All],[Player ID]],0)),"")</f>
        <v/>
      </c>
      <c r="AC1187" s="50" t="str">
        <f>IF(Table5[[#This Row],[Ovr]]="","",IF(Table5[[#This Row],[cmbList]]="","",Table5[[#This Row],[cmbList]]-Table5[[#This Row],[Ovr]]))</f>
        <v/>
      </c>
      <c r="AD1187" s="54" t="str">
        <f>IF(ISERROR(VLOOKUP($AB1187&amp;"-"&amp;$E1187&amp;" "&amp;F1187,Bonuses!$B$1:$G$1006,4,FALSE)),"",INT(VLOOKUP($AB1187&amp;"-"&amp;$E1187&amp;" "&amp;$F1187,Bonuses!$B$1:$G$1006,4,FALSE)))</f>
        <v/>
      </c>
      <c r="AE11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8" spans="1:31" s="7" customFormat="1" x14ac:dyDescent="0.25">
      <c r="A1188" s="50">
        <v>17984</v>
      </c>
      <c r="B1188" s="50">
        <f>COUNTIF(Table5[PID],A1188)</f>
        <v>1</v>
      </c>
      <c r="C1188" s="50" t="str">
        <f>IF(COUNTIF(Table3[[#All],[PID]],A1188)&gt;0,"P","B")</f>
        <v>P</v>
      </c>
      <c r="D1188" s="59" t="str">
        <f>IF($C1188="B",INDEX(Batters[[#All],[POS]],MATCH(Table5[[#This Row],[PID]],Batters[[#All],[PID]],0)),INDEX(Table3[[#All],[POS]],MATCH(Table5[[#This Row],[PID]],Table3[[#All],[PID]],0)))</f>
        <v>RP</v>
      </c>
      <c r="E1188" s="52" t="str">
        <f>IF($C1188="B",INDEX(Batters[[#All],[First]],MATCH(Table5[[#This Row],[PID]],Batters[[#All],[PID]],0)),INDEX(Table3[[#All],[First]],MATCH(Table5[[#This Row],[PID]],Table3[[#All],[PID]],0)))</f>
        <v>Robby</v>
      </c>
      <c r="F1188" s="50" t="str">
        <f>IF($C1188="B",INDEX(Batters[[#All],[Last]],MATCH(A1188,Batters[[#All],[PID]],0)),INDEX(Table3[[#All],[Last]],MATCH(A1188,Table3[[#All],[PID]],0)))</f>
        <v>Sherman</v>
      </c>
      <c r="G1188" s="56">
        <f>IF($C1188="B",INDEX(Batters[[#All],[Age]],MATCH(Table5[[#This Row],[PID]],Batters[[#All],[PID]],0)),INDEX(Table3[[#All],[Age]],MATCH(Table5[[#This Row],[PID]],Table3[[#All],[PID]],0)))</f>
        <v>21</v>
      </c>
      <c r="H1188" s="52" t="str">
        <f>IF($C1188="B",INDEX(Batters[[#All],[B]],MATCH(Table5[[#This Row],[PID]],Batters[[#All],[PID]],0)),INDEX(Table3[[#All],[B]],MATCH(Table5[[#This Row],[PID]],Table3[[#All],[PID]],0)))</f>
        <v>S</v>
      </c>
      <c r="I1188" s="52" t="str">
        <f>IF($C1188="B",INDEX(Batters[[#All],[T]],MATCH(Table5[[#This Row],[PID]],Batters[[#All],[PID]],0)),INDEX(Table3[[#All],[T]],MATCH(Table5[[#This Row],[PID]],Table3[[#All],[PID]],0)))</f>
        <v>R</v>
      </c>
      <c r="J1188" s="52" t="str">
        <f>IF($C1188="B",INDEX(Batters[[#All],[WE]],MATCH(Table5[[#This Row],[PID]],Batters[[#All],[PID]],0)),INDEX(Table3[[#All],[WE]],MATCH(Table5[[#This Row],[PID]],Table3[[#All],[PID]],0)))</f>
        <v>Low</v>
      </c>
      <c r="K1188" s="52" t="str">
        <f>IF($C1188="B",INDEX(Batters[[#All],[INT]],MATCH(Table5[[#This Row],[PID]],Batters[[#All],[PID]],0)),INDEX(Table3[[#All],[INT]],MATCH(Table5[[#This Row],[PID]],Table3[[#All],[PID]],0)))</f>
        <v>Normal</v>
      </c>
      <c r="L1188" s="60">
        <f>IF($C1188="B",INDEX(Batters[[#All],[CON P]],MATCH(Table5[[#This Row],[PID]],Batters[[#All],[PID]],0)),INDEX(Table3[[#All],[STU P]],MATCH(Table5[[#This Row],[PID]],Table3[[#All],[PID]],0)))</f>
        <v>5</v>
      </c>
      <c r="M1188" s="56">
        <f>IF($C1188="B",INDEX(Batters[[#All],[GAP P]],MATCH(Table5[[#This Row],[PID]],Batters[[#All],[PID]],0)),INDEX(Table3[[#All],[MOV P]],MATCH(Table5[[#This Row],[PID]],Table3[[#All],[PID]],0)))</f>
        <v>2</v>
      </c>
      <c r="N1188" s="56">
        <f>IF($C1188="B",INDEX(Batters[[#All],[POW P]],MATCH(Table5[[#This Row],[PID]],Batters[[#All],[PID]],0)),INDEX(Table3[[#All],[CON P]],MATCH(Table5[[#This Row],[PID]],Table3[[#All],[PID]],0)))</f>
        <v>2</v>
      </c>
      <c r="O1188" s="56" t="str">
        <f>IF($C1188="B",INDEX(Batters[[#All],[EYE P]],MATCH(Table5[[#This Row],[PID]],Batters[[#All],[PID]],0)),INDEX(Table3[[#All],[VELO]],MATCH(Table5[[#This Row],[PID]],Table3[[#All],[PID]],0)))</f>
        <v>91-93 Mph</v>
      </c>
      <c r="P1188" s="56">
        <f>IF($C1188="B",INDEX(Batters[[#All],[K P]],MATCH(Table5[[#This Row],[PID]],Batters[[#All],[PID]],0)),INDEX(Table3[[#All],[STM]],MATCH(Table5[[#This Row],[PID]],Table3[[#All],[PID]],0)))</f>
        <v>3</v>
      </c>
      <c r="Q1188" s="61">
        <f>IF($C1188="B",INDEX(Batters[[#All],[Tot]],MATCH(Table5[[#This Row],[PID]],Batters[[#All],[PID]],0)),INDEX(Table3[[#All],[Tot]],MATCH(Table5[[#This Row],[PID]],Table3[[#All],[PID]],0)))</f>
        <v>22.685875145080942</v>
      </c>
      <c r="R1188" s="52">
        <f>IF($C1188="B",INDEX(Batters[[#All],[zScore]],MATCH(Table5[[#This Row],[PID]],Batters[[#All],[PID]],0)),INDEX(Table3[[#All],[zScore]],MATCH(Table5[[#This Row],[PID]],Table3[[#All],[PID]],0)))</f>
        <v>-1.0355717799243467</v>
      </c>
      <c r="S1188" s="58" t="str">
        <f>IF($C1188="B",INDEX(Batters[[#All],[DEM]],MATCH(Table5[[#This Row],[PID]],Batters[[#All],[PID]],0)),INDEX(Table3[[#All],[DEM]],MATCH(Table5[[#This Row],[PID]],Table3[[#All],[PID]],0)))</f>
        <v>-</v>
      </c>
      <c r="T1188" s="62">
        <f>IF($C1188="B",INDEX(Batters[[#All],[Rnk]],MATCH(Table5[[#This Row],[PID]],Batters[[#All],[PID]],0)),INDEX(Table3[[#All],[Rnk]],MATCH(Table5[[#This Row],[PID]],Table3[[#All],[PID]],0)))</f>
        <v>705</v>
      </c>
      <c r="U1188" s="68">
        <f>IF($C1188="B",VLOOKUP($A1188,Bat!$A$4:$BA$1621,47,FALSE),VLOOKUP($A1188,Pit!$A$4:$BF$1557,56,FALSE))</f>
        <v>0</v>
      </c>
      <c r="V1188" s="50">
        <f>IF($C1188="B",VLOOKUP($A1188,Bat!$A$4:$BA$1621,48,FALSE),VLOOKUP($A1188,Pit!$A$4:$BF$1557,57,FALSE))</f>
        <v>0</v>
      </c>
      <c r="W1188" s="50">
        <f>Table5[[#This Row],[posRnk]]+Table5[[#This Row],[zRnk]]+IF($W$3&lt;&gt;Table5[[#This Row],[Type]],50,0)</f>
        <v>1907</v>
      </c>
      <c r="X1188" s="51">
        <f>RANK(Table5[[#This Row],[zScore]],Table5[[#All],[zScore]])</f>
        <v>1152</v>
      </c>
      <c r="Y1188" s="50" t="str">
        <f>IFERROR(INDEX(DraftResults[[#All],[OVR]],MATCH(Table5[[#This Row],[PID]],DraftResults[[#All],[Player ID]],0)),"")</f>
        <v/>
      </c>
      <c r="Z11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8" s="50" t="str">
        <f>IFERROR(INDEX(DraftResults[[#All],[Pick in Round]],MATCH(Table5[[#This Row],[PID]],DraftResults[[#All],[Player ID]],0)),"")</f>
        <v/>
      </c>
      <c r="AB1188" s="50" t="str">
        <f>IFERROR(INDEX(DraftResults[[#All],[Team Name]],MATCH(Table5[[#This Row],[PID]],DraftResults[[#All],[Player ID]],0)),"")</f>
        <v/>
      </c>
      <c r="AC1188" s="50" t="str">
        <f>IF(Table5[[#This Row],[Ovr]]="","",IF(Table5[[#This Row],[cmbList]]="","",Table5[[#This Row],[cmbList]]-Table5[[#This Row],[Ovr]]))</f>
        <v/>
      </c>
      <c r="AD1188" s="54" t="str">
        <f>IF(ISERROR(VLOOKUP($AB1188&amp;"-"&amp;$E1188&amp;" "&amp;F1188,Bonuses!$B$1:$G$1006,4,FALSE)),"",INT(VLOOKUP($AB1188&amp;"-"&amp;$E1188&amp;" "&amp;$F1188,Bonuses!$B$1:$G$1006,4,FALSE)))</f>
        <v/>
      </c>
      <c r="AE11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89" spans="1:31" s="7" customFormat="1" x14ac:dyDescent="0.25">
      <c r="A1189" s="50">
        <v>20811</v>
      </c>
      <c r="B1189" s="50">
        <f>COUNTIF(Table5[PID],A1189)</f>
        <v>1</v>
      </c>
      <c r="C1189" s="50" t="str">
        <f>IF(COUNTIF(Table3[[#All],[PID]],A1189)&gt;0,"P","B")</f>
        <v>P</v>
      </c>
      <c r="D1189" s="59" t="str">
        <f>IF($C1189="B",INDEX(Batters[[#All],[POS]],MATCH(Table5[[#This Row],[PID]],Batters[[#All],[PID]],0)),INDEX(Table3[[#All],[POS]],MATCH(Table5[[#This Row],[PID]],Table3[[#All],[PID]],0)))</f>
        <v>RP</v>
      </c>
      <c r="E1189" s="52" t="str">
        <f>IF($C1189="B",INDEX(Batters[[#All],[First]],MATCH(Table5[[#This Row],[PID]],Batters[[#All],[PID]],0)),INDEX(Table3[[#All],[First]],MATCH(Table5[[#This Row],[PID]],Table3[[#All],[PID]],0)))</f>
        <v>Arnie</v>
      </c>
      <c r="F1189" s="50" t="str">
        <f>IF($C1189="B",INDEX(Batters[[#All],[Last]],MATCH(A1189,Batters[[#All],[PID]],0)),INDEX(Table3[[#All],[Last]],MATCH(A1189,Table3[[#All],[PID]],0)))</f>
        <v>Smith</v>
      </c>
      <c r="G1189" s="56">
        <f>IF($C1189="B",INDEX(Batters[[#All],[Age]],MATCH(Table5[[#This Row],[PID]],Batters[[#All],[PID]],0)),INDEX(Table3[[#All],[Age]],MATCH(Table5[[#This Row],[PID]],Table3[[#All],[PID]],0)))</f>
        <v>18</v>
      </c>
      <c r="H1189" s="52" t="str">
        <f>IF($C1189="B",INDEX(Batters[[#All],[B]],MATCH(Table5[[#This Row],[PID]],Batters[[#All],[PID]],0)),INDEX(Table3[[#All],[B]],MATCH(Table5[[#This Row],[PID]],Table3[[#All],[PID]],0)))</f>
        <v>S</v>
      </c>
      <c r="I1189" s="52" t="str">
        <f>IF($C1189="B",INDEX(Batters[[#All],[T]],MATCH(Table5[[#This Row],[PID]],Batters[[#All],[PID]],0)),INDEX(Table3[[#All],[T]],MATCH(Table5[[#This Row],[PID]],Table3[[#All],[PID]],0)))</f>
        <v>R</v>
      </c>
      <c r="J1189" s="52" t="str">
        <f>IF($C1189="B",INDEX(Batters[[#All],[WE]],MATCH(Table5[[#This Row],[PID]],Batters[[#All],[PID]],0)),INDEX(Table3[[#All],[WE]],MATCH(Table5[[#This Row],[PID]],Table3[[#All],[PID]],0)))</f>
        <v>Low</v>
      </c>
      <c r="K1189" s="52" t="str">
        <f>IF($C1189="B",INDEX(Batters[[#All],[INT]],MATCH(Table5[[#This Row],[PID]],Batters[[#All],[PID]],0)),INDEX(Table3[[#All],[INT]],MATCH(Table5[[#This Row],[PID]],Table3[[#All],[PID]],0)))</f>
        <v>Normal</v>
      </c>
      <c r="L1189" s="60">
        <f>IF($C1189="B",INDEX(Batters[[#All],[CON P]],MATCH(Table5[[#This Row],[PID]],Batters[[#All],[PID]],0)),INDEX(Table3[[#All],[STU P]],MATCH(Table5[[#This Row],[PID]],Table3[[#All],[PID]],0)))</f>
        <v>3</v>
      </c>
      <c r="M1189" s="56">
        <f>IF($C1189="B",INDEX(Batters[[#All],[GAP P]],MATCH(Table5[[#This Row],[PID]],Batters[[#All],[PID]],0)),INDEX(Table3[[#All],[MOV P]],MATCH(Table5[[#This Row],[PID]],Table3[[#All],[PID]],0)))</f>
        <v>2</v>
      </c>
      <c r="N1189" s="56">
        <f>IF($C1189="B",INDEX(Batters[[#All],[POW P]],MATCH(Table5[[#This Row],[PID]],Batters[[#All],[PID]],0)),INDEX(Table3[[#All],[CON P]],MATCH(Table5[[#This Row],[PID]],Table3[[#All],[PID]],0)))</f>
        <v>1</v>
      </c>
      <c r="O1189" s="56" t="str">
        <f>IF($C1189="B",INDEX(Batters[[#All],[EYE P]],MATCH(Table5[[#This Row],[PID]],Batters[[#All],[PID]],0)),INDEX(Table3[[#All],[VELO]],MATCH(Table5[[#This Row],[PID]],Table3[[#All],[PID]],0)))</f>
        <v>86-88 Mph</v>
      </c>
      <c r="P1189" s="56">
        <f>IF($C1189="B",INDEX(Batters[[#All],[K P]],MATCH(Table5[[#This Row],[PID]],Batters[[#All],[PID]],0)),INDEX(Table3[[#All],[STM]],MATCH(Table5[[#This Row],[PID]],Table3[[#All],[PID]],0)))</f>
        <v>1</v>
      </c>
      <c r="Q1189" s="61">
        <f>IF($C1189="B",INDEX(Batters[[#All],[Tot]],MATCH(Table5[[#This Row],[PID]],Batters[[#All],[PID]],0)),INDEX(Table3[[#All],[Tot]],MATCH(Table5[[#This Row],[PID]],Table3[[#All],[PID]],0)))</f>
        <v>20.286696571695138</v>
      </c>
      <c r="R1189" s="52">
        <f>IF($C1189="B",INDEX(Batters[[#All],[zScore]],MATCH(Table5[[#This Row],[PID]],Batters[[#All],[PID]],0)),INDEX(Table3[[#All],[zScore]],MATCH(Table5[[#This Row],[PID]],Table3[[#All],[PID]],0)))</f>
        <v>-1.0367683609383624</v>
      </c>
      <c r="S1189" s="58" t="str">
        <f>IF($C1189="B",INDEX(Batters[[#All],[DEM]],MATCH(Table5[[#This Row],[PID]],Batters[[#All],[PID]],0)),INDEX(Table3[[#All],[DEM]],MATCH(Table5[[#This Row],[PID]],Table3[[#All],[PID]],0)))</f>
        <v>$90k</v>
      </c>
      <c r="T1189" s="62">
        <f>IF($C1189="B",INDEX(Batters[[#All],[Rnk]],MATCH(Table5[[#This Row],[PID]],Batters[[#All],[PID]],0)),INDEX(Table3[[#All],[Rnk]],MATCH(Table5[[#This Row],[PID]],Table3[[#All],[PID]],0)))</f>
        <v>706</v>
      </c>
      <c r="U1189" s="68">
        <f>IF($C1189="B",VLOOKUP($A1189,Bat!$A$4:$BA$1621,47,FALSE),VLOOKUP($A1189,Pit!$A$4:$BF$1557,56,FALSE))</f>
        <v>0</v>
      </c>
      <c r="V1189" s="50">
        <f>IF($C1189="B",VLOOKUP($A1189,Bat!$A$4:$BA$1621,48,FALSE),VLOOKUP($A1189,Pit!$A$4:$BF$1557,57,FALSE))</f>
        <v>0</v>
      </c>
      <c r="W1189" s="50">
        <f>Table5[[#This Row],[posRnk]]+Table5[[#This Row],[zRnk]]+IF($W$3&lt;&gt;Table5[[#This Row],[Type]],50,0)</f>
        <v>1909</v>
      </c>
      <c r="X1189" s="51">
        <f>RANK(Table5[[#This Row],[zScore]],Table5[[#All],[zScore]])</f>
        <v>1153</v>
      </c>
      <c r="Y1189" s="50" t="str">
        <f>IFERROR(INDEX(DraftResults[[#All],[OVR]],MATCH(Table5[[#This Row],[PID]],DraftResults[[#All],[Player ID]],0)),"")</f>
        <v/>
      </c>
      <c r="Z11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89" s="50" t="str">
        <f>IFERROR(INDEX(DraftResults[[#All],[Pick in Round]],MATCH(Table5[[#This Row],[PID]],DraftResults[[#All],[Player ID]],0)),"")</f>
        <v/>
      </c>
      <c r="AB1189" s="50" t="str">
        <f>IFERROR(INDEX(DraftResults[[#All],[Team Name]],MATCH(Table5[[#This Row],[PID]],DraftResults[[#All],[Player ID]],0)),"")</f>
        <v/>
      </c>
      <c r="AC1189" s="50" t="str">
        <f>IF(Table5[[#This Row],[Ovr]]="","",IF(Table5[[#This Row],[cmbList]]="","",Table5[[#This Row],[cmbList]]-Table5[[#This Row],[Ovr]]))</f>
        <v/>
      </c>
      <c r="AD1189" s="54" t="str">
        <f>IF(ISERROR(VLOOKUP($AB1189&amp;"-"&amp;$E1189&amp;" "&amp;F1189,Bonuses!$B$1:$G$1006,4,FALSE)),"",INT(VLOOKUP($AB1189&amp;"-"&amp;$E1189&amp;" "&amp;$F1189,Bonuses!$B$1:$G$1006,4,FALSE)))</f>
        <v/>
      </c>
      <c r="AE11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0" spans="1:31" s="7" customFormat="1" x14ac:dyDescent="0.25">
      <c r="A1190" s="50">
        <v>13320</v>
      </c>
      <c r="B1190" s="50">
        <f>COUNTIF(Table5[PID],A1190)</f>
        <v>1</v>
      </c>
      <c r="C1190" s="50" t="str">
        <f>IF(COUNTIF(Table3[[#All],[PID]],A1190)&gt;0,"P","B")</f>
        <v>B</v>
      </c>
      <c r="D1190" s="59" t="str">
        <f>IF($C1190="B",INDEX(Batters[[#All],[POS]],MATCH(Table5[[#This Row],[PID]],Batters[[#All],[PID]],0)),INDEX(Table3[[#All],[POS]],MATCH(Table5[[#This Row],[PID]],Table3[[#All],[PID]],0)))</f>
        <v>CF</v>
      </c>
      <c r="E1190" s="52" t="str">
        <f>IF($C1190="B",INDEX(Batters[[#All],[First]],MATCH(Table5[[#This Row],[PID]],Batters[[#All],[PID]],0)),INDEX(Table3[[#All],[First]],MATCH(Table5[[#This Row],[PID]],Table3[[#All],[PID]],0)))</f>
        <v>Juichi</v>
      </c>
      <c r="F1190" s="50" t="str">
        <f>IF($C1190="B",INDEX(Batters[[#All],[Last]],MATCH(A1190,Batters[[#All],[PID]],0)),INDEX(Table3[[#All],[Last]],MATCH(A1190,Table3[[#All],[PID]],0)))</f>
        <v>Sakai</v>
      </c>
      <c r="G1190" s="56">
        <f>IF($C1190="B",INDEX(Batters[[#All],[Age]],MATCH(Table5[[#This Row],[PID]],Batters[[#All],[PID]],0)),INDEX(Table3[[#All],[Age]],MATCH(Table5[[#This Row],[PID]],Table3[[#All],[PID]],0)))</f>
        <v>21</v>
      </c>
      <c r="H1190" s="52" t="str">
        <f>IF($C1190="B",INDEX(Batters[[#All],[B]],MATCH(Table5[[#This Row],[PID]],Batters[[#All],[PID]],0)),INDEX(Table3[[#All],[B]],MATCH(Table5[[#This Row],[PID]],Table3[[#All],[PID]],0)))</f>
        <v>R</v>
      </c>
      <c r="I1190" s="52" t="str">
        <f>IF($C1190="B",INDEX(Batters[[#All],[T]],MATCH(Table5[[#This Row],[PID]],Batters[[#All],[PID]],0)),INDEX(Table3[[#All],[T]],MATCH(Table5[[#This Row],[PID]],Table3[[#All],[PID]],0)))</f>
        <v>R</v>
      </c>
      <c r="J1190" s="52" t="str">
        <f>IF($C1190="B",INDEX(Batters[[#All],[WE]],MATCH(Table5[[#This Row],[PID]],Batters[[#All],[PID]],0)),INDEX(Table3[[#All],[WE]],MATCH(Table5[[#This Row],[PID]],Table3[[#All],[PID]],0)))</f>
        <v>Low</v>
      </c>
      <c r="K1190" s="52" t="str">
        <f>IF($C1190="B",INDEX(Batters[[#All],[INT]],MATCH(Table5[[#This Row],[PID]],Batters[[#All],[PID]],0)),INDEX(Table3[[#All],[INT]],MATCH(Table5[[#This Row],[PID]],Table3[[#All],[PID]],0)))</f>
        <v>Normal</v>
      </c>
      <c r="L1190" s="60">
        <f>IF($C1190="B",INDEX(Batters[[#All],[CON P]],MATCH(Table5[[#This Row],[PID]],Batters[[#All],[PID]],0)),INDEX(Table3[[#All],[STU P]],MATCH(Table5[[#This Row],[PID]],Table3[[#All],[PID]],0)))</f>
        <v>4</v>
      </c>
      <c r="M1190" s="56">
        <f>IF($C1190="B",INDEX(Batters[[#All],[GAP P]],MATCH(Table5[[#This Row],[PID]],Batters[[#All],[PID]],0)),INDEX(Table3[[#All],[MOV P]],MATCH(Table5[[#This Row],[PID]],Table3[[#All],[PID]],0)))</f>
        <v>3</v>
      </c>
      <c r="N1190" s="56">
        <f>IF($C1190="B",INDEX(Batters[[#All],[POW P]],MATCH(Table5[[#This Row],[PID]],Batters[[#All],[PID]],0)),INDEX(Table3[[#All],[CON P]],MATCH(Table5[[#This Row],[PID]],Table3[[#All],[PID]],0)))</f>
        <v>2</v>
      </c>
      <c r="O1190" s="56">
        <f>IF($C1190="B",INDEX(Batters[[#All],[EYE P]],MATCH(Table5[[#This Row],[PID]],Batters[[#All],[PID]],0)),INDEX(Table3[[#All],[VELO]],MATCH(Table5[[#This Row],[PID]],Table3[[#All],[PID]],0)))</f>
        <v>4</v>
      </c>
      <c r="P1190" s="56">
        <f>IF($C1190="B",INDEX(Batters[[#All],[K P]],MATCH(Table5[[#This Row],[PID]],Batters[[#All],[PID]],0)),INDEX(Table3[[#All],[STM]],MATCH(Table5[[#This Row],[PID]],Table3[[#All],[PID]],0)))</f>
        <v>5</v>
      </c>
      <c r="Q1190" s="61">
        <f>IF($C1190="B",INDEX(Batters[[#All],[Tot]],MATCH(Table5[[#This Row],[PID]],Batters[[#All],[PID]],0)),INDEX(Table3[[#All],[Tot]],MATCH(Table5[[#This Row],[PID]],Table3[[#All],[PID]],0)))</f>
        <v>39.447268965680571</v>
      </c>
      <c r="R1190" s="52">
        <f>IF($C1190="B",INDEX(Batters[[#All],[zScore]],MATCH(Table5[[#This Row],[PID]],Batters[[#All],[PID]],0)),INDEX(Table3[[#All],[zScore]],MATCH(Table5[[#This Row],[PID]],Table3[[#All],[PID]],0)))</f>
        <v>-1.0386231720303827</v>
      </c>
      <c r="S1190" s="58" t="str">
        <f>IF($C1190="B",INDEX(Batters[[#All],[DEM]],MATCH(Table5[[#This Row],[PID]],Batters[[#All],[PID]],0)),INDEX(Table3[[#All],[DEM]],MATCH(Table5[[#This Row],[PID]],Table3[[#All],[PID]],0)))</f>
        <v>-</v>
      </c>
      <c r="T1190" s="62">
        <f>IF($C1190="B",INDEX(Batters[[#All],[Rnk]],MATCH(Table5[[#This Row],[PID]],Batters[[#All],[PID]],0)),INDEX(Table3[[#All],[Rnk]],MATCH(Table5[[#This Row],[PID]],Table3[[#All],[PID]],0)))</f>
        <v>447</v>
      </c>
      <c r="U1190" s="68">
        <f>IF($C1190="B",VLOOKUP($A1190,Bat!$A$4:$BA$1621,47,FALSE),VLOOKUP($A1190,Pit!$A$4:$BF$1557,56,FALSE))</f>
        <v>0</v>
      </c>
      <c r="V1190" s="50">
        <f>IF($C1190="B",VLOOKUP($A1190,Bat!$A$4:$BA$1621,48,FALSE),VLOOKUP($A1190,Pit!$A$4:$BF$1557,57,FALSE))</f>
        <v>0</v>
      </c>
      <c r="W1190" s="50">
        <f>Table5[[#This Row],[posRnk]]+Table5[[#This Row],[zRnk]]+IF($W$3&lt;&gt;Table5[[#This Row],[Type]],50,0)</f>
        <v>1651</v>
      </c>
      <c r="X1190" s="51">
        <f>RANK(Table5[[#This Row],[zScore]],Table5[[#All],[zScore]])</f>
        <v>1154</v>
      </c>
      <c r="Y1190" s="50" t="str">
        <f>IFERROR(INDEX(DraftResults[[#All],[OVR]],MATCH(Table5[[#This Row],[PID]],DraftResults[[#All],[Player ID]],0)),"")</f>
        <v/>
      </c>
      <c r="Z11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0" s="50" t="str">
        <f>IFERROR(INDEX(DraftResults[[#All],[Pick in Round]],MATCH(Table5[[#This Row],[PID]],DraftResults[[#All],[Player ID]],0)),"")</f>
        <v/>
      </c>
      <c r="AB1190" s="50" t="str">
        <f>IFERROR(INDEX(DraftResults[[#All],[Team Name]],MATCH(Table5[[#This Row],[PID]],DraftResults[[#All],[Player ID]],0)),"")</f>
        <v/>
      </c>
      <c r="AC1190" s="50" t="str">
        <f>IF(Table5[[#This Row],[Ovr]]="","",IF(Table5[[#This Row],[cmbList]]="","",Table5[[#This Row],[cmbList]]-Table5[[#This Row],[Ovr]]))</f>
        <v/>
      </c>
      <c r="AD1190" s="54" t="str">
        <f>IF(ISERROR(VLOOKUP($AB1190&amp;"-"&amp;$E1190&amp;" "&amp;F1190,Bonuses!$B$1:$G$1006,4,FALSE)),"",INT(VLOOKUP($AB1190&amp;"-"&amp;$E1190&amp;" "&amp;$F1190,Bonuses!$B$1:$G$1006,4,FALSE)))</f>
        <v/>
      </c>
      <c r="AE11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1" spans="1:31" s="7" customFormat="1" x14ac:dyDescent="0.25">
      <c r="A1191" s="50">
        <v>20940</v>
      </c>
      <c r="B1191" s="50">
        <f>COUNTIF(Table5[PID],A1191)</f>
        <v>1</v>
      </c>
      <c r="C1191" s="50" t="str">
        <f>IF(COUNTIF(Table3[[#All],[PID]],A1191)&gt;0,"P","B")</f>
        <v>B</v>
      </c>
      <c r="D1191" s="59" t="str">
        <f>IF($C1191="B",INDEX(Batters[[#All],[POS]],MATCH(Table5[[#This Row],[PID]],Batters[[#All],[PID]],0)),INDEX(Table3[[#All],[POS]],MATCH(Table5[[#This Row],[PID]],Table3[[#All],[PID]],0)))</f>
        <v>1B</v>
      </c>
      <c r="E1191" s="52" t="str">
        <f>IF($C1191="B",INDEX(Batters[[#All],[First]],MATCH(Table5[[#This Row],[PID]],Batters[[#All],[PID]],0)),INDEX(Table3[[#All],[First]],MATCH(Table5[[#This Row],[PID]],Table3[[#All],[PID]],0)))</f>
        <v>Willie</v>
      </c>
      <c r="F1191" s="50" t="str">
        <f>IF($C1191="B",INDEX(Batters[[#All],[Last]],MATCH(A1191,Batters[[#All],[PID]],0)),INDEX(Table3[[#All],[Last]],MATCH(A1191,Table3[[#All],[PID]],0)))</f>
        <v>O'Quinn</v>
      </c>
      <c r="G1191" s="56">
        <f>IF($C1191="B",INDEX(Batters[[#All],[Age]],MATCH(Table5[[#This Row],[PID]],Batters[[#All],[PID]],0)),INDEX(Table3[[#All],[Age]],MATCH(Table5[[#This Row],[PID]],Table3[[#All],[PID]],0)))</f>
        <v>18</v>
      </c>
      <c r="H1191" s="52" t="str">
        <f>IF($C1191="B",INDEX(Batters[[#All],[B]],MATCH(Table5[[#This Row],[PID]],Batters[[#All],[PID]],0)),INDEX(Table3[[#All],[B]],MATCH(Table5[[#This Row],[PID]],Table3[[#All],[PID]],0)))</f>
        <v>L</v>
      </c>
      <c r="I1191" s="52" t="str">
        <f>IF($C1191="B",INDEX(Batters[[#All],[T]],MATCH(Table5[[#This Row],[PID]],Batters[[#All],[PID]],0)),INDEX(Table3[[#All],[T]],MATCH(Table5[[#This Row],[PID]],Table3[[#All],[PID]],0)))</f>
        <v>R</v>
      </c>
      <c r="J1191" s="52" t="str">
        <f>IF($C1191="B",INDEX(Batters[[#All],[WE]],MATCH(Table5[[#This Row],[PID]],Batters[[#All],[PID]],0)),INDEX(Table3[[#All],[WE]],MATCH(Table5[[#This Row],[PID]],Table3[[#All],[PID]],0)))</f>
        <v>High</v>
      </c>
      <c r="K1191" s="52" t="str">
        <f>IF($C1191="B",INDEX(Batters[[#All],[INT]],MATCH(Table5[[#This Row],[PID]],Batters[[#All],[PID]],0)),INDEX(Table3[[#All],[INT]],MATCH(Table5[[#This Row],[PID]],Table3[[#All],[PID]],0)))</f>
        <v>High</v>
      </c>
      <c r="L1191" s="60">
        <f>IF($C1191="B",INDEX(Batters[[#All],[CON P]],MATCH(Table5[[#This Row],[PID]],Batters[[#All],[PID]],0)),INDEX(Table3[[#All],[STU P]],MATCH(Table5[[#This Row],[PID]],Table3[[#All],[PID]],0)))</f>
        <v>2</v>
      </c>
      <c r="M1191" s="56">
        <f>IF($C1191="B",INDEX(Batters[[#All],[GAP P]],MATCH(Table5[[#This Row],[PID]],Batters[[#All],[PID]],0)),INDEX(Table3[[#All],[MOV P]],MATCH(Table5[[#This Row],[PID]],Table3[[#All],[PID]],0)))</f>
        <v>4</v>
      </c>
      <c r="N1191" s="56">
        <f>IF($C1191="B",INDEX(Batters[[#All],[POW P]],MATCH(Table5[[#This Row],[PID]],Batters[[#All],[PID]],0)),INDEX(Table3[[#All],[CON P]],MATCH(Table5[[#This Row],[PID]],Table3[[#All],[PID]],0)))</f>
        <v>3</v>
      </c>
      <c r="O1191" s="56">
        <f>IF($C1191="B",INDEX(Batters[[#All],[EYE P]],MATCH(Table5[[#This Row],[PID]],Batters[[#All],[PID]],0)),INDEX(Table3[[#All],[VELO]],MATCH(Table5[[#This Row],[PID]],Table3[[#All],[PID]],0)))</f>
        <v>6</v>
      </c>
      <c r="P1191" s="56">
        <f>IF($C1191="B",INDEX(Batters[[#All],[K P]],MATCH(Table5[[#This Row],[PID]],Batters[[#All],[PID]],0)),INDEX(Table3[[#All],[STM]],MATCH(Table5[[#This Row],[PID]],Table3[[#All],[PID]],0)))</f>
        <v>3</v>
      </c>
      <c r="Q1191" s="61">
        <f>IF($C1191="B",INDEX(Batters[[#All],[Tot]],MATCH(Table5[[#This Row],[PID]],Batters[[#All],[PID]],0)),INDEX(Table3[[#All],[Tot]],MATCH(Table5[[#This Row],[PID]],Table3[[#All],[PID]],0)))</f>
        <v>39.447095272915519</v>
      </c>
      <c r="R1191" s="52">
        <f>IF($C1191="B",INDEX(Batters[[#All],[zScore]],MATCH(Table5[[#This Row],[PID]],Batters[[#All],[PID]],0)),INDEX(Table3[[#All],[zScore]],MATCH(Table5[[#This Row],[PID]],Table3[[#All],[PID]],0)))</f>
        <v>-1.038661680890449</v>
      </c>
      <c r="S1191" s="58" t="str">
        <f>IF($C1191="B",INDEX(Batters[[#All],[DEM]],MATCH(Table5[[#This Row],[PID]],Batters[[#All],[PID]],0)),INDEX(Table3[[#All],[DEM]],MATCH(Table5[[#This Row],[PID]],Table3[[#All],[PID]],0)))</f>
        <v>$65k</v>
      </c>
      <c r="T1191" s="62">
        <f>IF($C1191="B",INDEX(Batters[[#All],[Rnk]],MATCH(Table5[[#This Row],[PID]],Batters[[#All],[PID]],0)),INDEX(Table3[[#All],[Rnk]],MATCH(Table5[[#This Row],[PID]],Table3[[#All],[PID]],0)))</f>
        <v>448</v>
      </c>
      <c r="U1191" s="68">
        <f>IF($C1191="B",VLOOKUP($A1191,Bat!$A$4:$BA$1621,47,FALSE),VLOOKUP($A1191,Pit!$A$4:$BF$1557,56,FALSE))</f>
        <v>0</v>
      </c>
      <c r="V1191" s="50">
        <f>IF($C1191="B",VLOOKUP($A1191,Bat!$A$4:$BA$1621,48,FALSE),VLOOKUP($A1191,Pit!$A$4:$BF$1557,57,FALSE))</f>
        <v>0</v>
      </c>
      <c r="W1191" s="50">
        <f>Table5[[#This Row],[posRnk]]+Table5[[#This Row],[zRnk]]+IF($W$3&lt;&gt;Table5[[#This Row],[Type]],50,0)</f>
        <v>1653</v>
      </c>
      <c r="X1191" s="51">
        <f>RANK(Table5[[#This Row],[zScore]],Table5[[#All],[zScore]])</f>
        <v>1155</v>
      </c>
      <c r="Y1191" s="50" t="str">
        <f>IFERROR(INDEX(DraftResults[[#All],[OVR]],MATCH(Table5[[#This Row],[PID]],DraftResults[[#All],[Player ID]],0)),"")</f>
        <v/>
      </c>
      <c r="Z11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1" s="50" t="str">
        <f>IFERROR(INDEX(DraftResults[[#All],[Pick in Round]],MATCH(Table5[[#This Row],[PID]],DraftResults[[#All],[Player ID]],0)),"")</f>
        <v/>
      </c>
      <c r="AB1191" s="50" t="str">
        <f>IFERROR(INDEX(DraftResults[[#All],[Team Name]],MATCH(Table5[[#This Row],[PID]],DraftResults[[#All],[Player ID]],0)),"")</f>
        <v/>
      </c>
      <c r="AC1191" s="50" t="str">
        <f>IF(Table5[[#This Row],[Ovr]]="","",IF(Table5[[#This Row],[cmbList]]="","",Table5[[#This Row],[cmbList]]-Table5[[#This Row],[Ovr]]))</f>
        <v/>
      </c>
      <c r="AD1191" s="54" t="str">
        <f>IF(ISERROR(VLOOKUP($AB1191&amp;"-"&amp;$E1191&amp;" "&amp;F1191,Bonuses!$B$1:$G$1006,4,FALSE)),"",INT(VLOOKUP($AB1191&amp;"-"&amp;$E1191&amp;" "&amp;$F1191,Bonuses!$B$1:$G$1006,4,FALSE)))</f>
        <v/>
      </c>
      <c r="AE11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2" spans="1:31" s="7" customFormat="1" x14ac:dyDescent="0.25">
      <c r="A1192" s="50">
        <v>20717</v>
      </c>
      <c r="B1192" s="50">
        <f>COUNTIF(Table5[PID],A1192)</f>
        <v>1</v>
      </c>
      <c r="C1192" s="50" t="str">
        <f>IF(COUNTIF(Table3[[#All],[PID]],A1192)&gt;0,"P","B")</f>
        <v>B</v>
      </c>
      <c r="D1192" s="59" t="str">
        <f>IF($C1192="B",INDEX(Batters[[#All],[POS]],MATCH(Table5[[#This Row],[PID]],Batters[[#All],[PID]],0)),INDEX(Table3[[#All],[POS]],MATCH(Table5[[#This Row],[PID]],Table3[[#All],[PID]],0)))</f>
        <v>1B</v>
      </c>
      <c r="E1192" s="52" t="str">
        <f>IF($C1192="B",INDEX(Batters[[#All],[First]],MATCH(Table5[[#This Row],[PID]],Batters[[#All],[PID]],0)),INDEX(Table3[[#All],[First]],MATCH(Table5[[#This Row],[PID]],Table3[[#All],[PID]],0)))</f>
        <v>Scott</v>
      </c>
      <c r="F1192" s="50" t="str">
        <f>IF($C1192="B",INDEX(Batters[[#All],[Last]],MATCH(A1192,Batters[[#All],[PID]],0)),INDEX(Table3[[#All],[Last]],MATCH(A1192,Table3[[#All],[PID]],0)))</f>
        <v>Lewis</v>
      </c>
      <c r="G1192" s="56">
        <f>IF($C1192="B",INDEX(Batters[[#All],[Age]],MATCH(Table5[[#This Row],[PID]],Batters[[#All],[PID]],0)),INDEX(Table3[[#All],[Age]],MATCH(Table5[[#This Row],[PID]],Table3[[#All],[PID]],0)))</f>
        <v>18</v>
      </c>
      <c r="H1192" s="52" t="str">
        <f>IF($C1192="B",INDEX(Batters[[#All],[B]],MATCH(Table5[[#This Row],[PID]],Batters[[#All],[PID]],0)),INDEX(Table3[[#All],[B]],MATCH(Table5[[#This Row],[PID]],Table3[[#All],[PID]],0)))</f>
        <v>R</v>
      </c>
      <c r="I1192" s="52" t="str">
        <f>IF($C1192="B",INDEX(Batters[[#All],[T]],MATCH(Table5[[#This Row],[PID]],Batters[[#All],[PID]],0)),INDEX(Table3[[#All],[T]],MATCH(Table5[[#This Row],[PID]],Table3[[#All],[PID]],0)))</f>
        <v>R</v>
      </c>
      <c r="J1192" s="52" t="str">
        <f>IF($C1192="B",INDEX(Batters[[#All],[WE]],MATCH(Table5[[#This Row],[PID]],Batters[[#All],[PID]],0)),INDEX(Table3[[#All],[WE]],MATCH(Table5[[#This Row],[PID]],Table3[[#All],[PID]],0)))</f>
        <v>Normal</v>
      </c>
      <c r="K1192" s="52" t="str">
        <f>IF($C1192="B",INDEX(Batters[[#All],[INT]],MATCH(Table5[[#This Row],[PID]],Batters[[#All],[PID]],0)),INDEX(Table3[[#All],[INT]],MATCH(Table5[[#This Row],[PID]],Table3[[#All],[PID]],0)))</f>
        <v>Normal</v>
      </c>
      <c r="L1192" s="60">
        <f>IF($C1192="B",INDEX(Batters[[#All],[CON P]],MATCH(Table5[[#This Row],[PID]],Batters[[#All],[PID]],0)),INDEX(Table3[[#All],[STU P]],MATCH(Table5[[#This Row],[PID]],Table3[[#All],[PID]],0)))</f>
        <v>3</v>
      </c>
      <c r="M1192" s="56">
        <f>IF($C1192="B",INDEX(Batters[[#All],[GAP P]],MATCH(Table5[[#This Row],[PID]],Batters[[#All],[PID]],0)),INDEX(Table3[[#All],[MOV P]],MATCH(Table5[[#This Row],[PID]],Table3[[#All],[PID]],0)))</f>
        <v>3</v>
      </c>
      <c r="N1192" s="56">
        <f>IF($C1192="B",INDEX(Batters[[#All],[POW P]],MATCH(Table5[[#This Row],[PID]],Batters[[#All],[PID]],0)),INDEX(Table3[[#All],[CON P]],MATCH(Table5[[#This Row],[PID]],Table3[[#All],[PID]],0)))</f>
        <v>2</v>
      </c>
      <c r="O1192" s="56">
        <f>IF($C1192="B",INDEX(Batters[[#All],[EYE P]],MATCH(Table5[[#This Row],[PID]],Batters[[#All],[PID]],0)),INDEX(Table3[[#All],[VELO]],MATCH(Table5[[#This Row],[PID]],Table3[[#All],[PID]],0)))</f>
        <v>4</v>
      </c>
      <c r="P1192" s="56">
        <f>IF($C1192="B",INDEX(Batters[[#All],[K P]],MATCH(Table5[[#This Row],[PID]],Batters[[#All],[PID]],0)),INDEX(Table3[[#All],[STM]],MATCH(Table5[[#This Row],[PID]],Table3[[#All],[PID]],0)))</f>
        <v>4</v>
      </c>
      <c r="Q1192" s="61">
        <f>IF($C1192="B",INDEX(Batters[[#All],[Tot]],MATCH(Table5[[#This Row],[PID]],Batters[[#All],[PID]],0)),INDEX(Table3[[#All],[Tot]],MATCH(Table5[[#This Row],[PID]],Table3[[#All],[PID]],0)))</f>
        <v>39.426504746210455</v>
      </c>
      <c r="R1192" s="52">
        <f>IF($C1192="B",INDEX(Batters[[#All],[zScore]],MATCH(Table5[[#This Row],[PID]],Batters[[#All],[PID]],0)),INDEX(Table3[[#All],[zScore]],MATCH(Table5[[#This Row],[PID]],Table3[[#All],[PID]],0)))</f>
        <v>-1.0432267398400052</v>
      </c>
      <c r="S1192" s="58" t="str">
        <f>IF($C1192="B",INDEX(Batters[[#All],[DEM]],MATCH(Table5[[#This Row],[PID]],Batters[[#All],[PID]],0)),INDEX(Table3[[#All],[DEM]],MATCH(Table5[[#This Row],[PID]],Table3[[#All],[PID]],0)))</f>
        <v>$65k</v>
      </c>
      <c r="T1192" s="62">
        <f>IF($C1192="B",INDEX(Batters[[#All],[Rnk]],MATCH(Table5[[#This Row],[PID]],Batters[[#All],[PID]],0)),INDEX(Table3[[#All],[Rnk]],MATCH(Table5[[#This Row],[PID]],Table3[[#All],[PID]],0)))</f>
        <v>449</v>
      </c>
      <c r="U1192" s="68">
        <f>IF($C1192="B",VLOOKUP($A1192,Bat!$A$4:$BA$1621,47,FALSE),VLOOKUP($A1192,Pit!$A$4:$BF$1557,56,FALSE))</f>
        <v>0</v>
      </c>
      <c r="V1192" s="50">
        <f>IF($C1192="B",VLOOKUP($A1192,Bat!$A$4:$BA$1621,48,FALSE),VLOOKUP($A1192,Pit!$A$4:$BF$1557,57,FALSE))</f>
        <v>0</v>
      </c>
      <c r="W1192" s="50">
        <f>Table5[[#This Row],[posRnk]]+Table5[[#This Row],[zRnk]]+IF($W$3&lt;&gt;Table5[[#This Row],[Type]],50,0)</f>
        <v>1655</v>
      </c>
      <c r="X1192" s="51">
        <f>RANK(Table5[[#This Row],[zScore]],Table5[[#All],[zScore]])</f>
        <v>1156</v>
      </c>
      <c r="Y1192" s="50" t="str">
        <f>IFERROR(INDEX(DraftResults[[#All],[OVR]],MATCH(Table5[[#This Row],[PID]],DraftResults[[#All],[Player ID]],0)),"")</f>
        <v/>
      </c>
      <c r="Z11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2" s="50" t="str">
        <f>IFERROR(INDEX(DraftResults[[#All],[Pick in Round]],MATCH(Table5[[#This Row],[PID]],DraftResults[[#All],[Player ID]],0)),"")</f>
        <v/>
      </c>
      <c r="AB1192" s="50" t="str">
        <f>IFERROR(INDEX(DraftResults[[#All],[Team Name]],MATCH(Table5[[#This Row],[PID]],DraftResults[[#All],[Player ID]],0)),"")</f>
        <v/>
      </c>
      <c r="AC1192" s="50" t="str">
        <f>IF(Table5[[#This Row],[Ovr]]="","",IF(Table5[[#This Row],[cmbList]]="","",Table5[[#This Row],[cmbList]]-Table5[[#This Row],[Ovr]]))</f>
        <v/>
      </c>
      <c r="AD1192" s="54" t="str">
        <f>IF(ISERROR(VLOOKUP($AB1192&amp;"-"&amp;$E1192&amp;" "&amp;F1192,Bonuses!$B$1:$G$1006,4,FALSE)),"",INT(VLOOKUP($AB1192&amp;"-"&amp;$E1192&amp;" "&amp;$F1192,Bonuses!$B$1:$G$1006,4,FALSE)))</f>
        <v/>
      </c>
      <c r="AE11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3" spans="1:31" s="7" customFormat="1" x14ac:dyDescent="0.25">
      <c r="A1193" s="50">
        <v>20933</v>
      </c>
      <c r="B1193" s="50">
        <f>COUNTIF(Table5[PID],A1193)</f>
        <v>1</v>
      </c>
      <c r="C1193" s="50" t="str">
        <f>IF(COUNTIF(Table3[[#All],[PID]],A1193)&gt;0,"P","B")</f>
        <v>P</v>
      </c>
      <c r="D1193" s="59" t="str">
        <f>IF($C1193="B",INDEX(Batters[[#All],[POS]],MATCH(Table5[[#This Row],[PID]],Batters[[#All],[PID]],0)),INDEX(Table3[[#All],[POS]],MATCH(Table5[[#This Row],[PID]],Table3[[#All],[PID]],0)))</f>
        <v>RP</v>
      </c>
      <c r="E1193" s="52" t="str">
        <f>IF($C1193="B",INDEX(Batters[[#All],[First]],MATCH(Table5[[#This Row],[PID]],Batters[[#All],[PID]],0)),INDEX(Table3[[#All],[First]],MATCH(Table5[[#This Row],[PID]],Table3[[#All],[PID]],0)))</f>
        <v>Owen</v>
      </c>
      <c r="F1193" s="50" t="str">
        <f>IF($C1193="B",INDEX(Batters[[#All],[Last]],MATCH(A1193,Batters[[#All],[PID]],0)),INDEX(Table3[[#All],[Last]],MATCH(A1193,Table3[[#All],[PID]],0)))</f>
        <v>Cherry</v>
      </c>
      <c r="G1193" s="56">
        <f>IF($C1193="B",INDEX(Batters[[#All],[Age]],MATCH(Table5[[#This Row],[PID]],Batters[[#All],[PID]],0)),INDEX(Table3[[#All],[Age]],MATCH(Table5[[#This Row],[PID]],Table3[[#All],[PID]],0)))</f>
        <v>18</v>
      </c>
      <c r="H1193" s="52" t="str">
        <f>IF($C1193="B",INDEX(Batters[[#All],[B]],MATCH(Table5[[#This Row],[PID]],Batters[[#All],[PID]],0)),INDEX(Table3[[#All],[B]],MATCH(Table5[[#This Row],[PID]],Table3[[#All],[PID]],0)))</f>
        <v>L</v>
      </c>
      <c r="I1193" s="52" t="str">
        <f>IF($C1193="B",INDEX(Batters[[#All],[T]],MATCH(Table5[[#This Row],[PID]],Batters[[#All],[PID]],0)),INDEX(Table3[[#All],[T]],MATCH(Table5[[#This Row],[PID]],Table3[[#All],[PID]],0)))</f>
        <v>L</v>
      </c>
      <c r="J1193" s="52" t="str">
        <f>IF($C1193="B",INDEX(Batters[[#All],[WE]],MATCH(Table5[[#This Row],[PID]],Batters[[#All],[PID]],0)),INDEX(Table3[[#All],[WE]],MATCH(Table5[[#This Row],[PID]],Table3[[#All],[PID]],0)))</f>
        <v>Normal</v>
      </c>
      <c r="K1193" s="52" t="str">
        <f>IF($C1193="B",INDEX(Batters[[#All],[INT]],MATCH(Table5[[#This Row],[PID]],Batters[[#All],[PID]],0)),INDEX(Table3[[#All],[INT]],MATCH(Table5[[#This Row],[PID]],Table3[[#All],[PID]],0)))</f>
        <v>Normal</v>
      </c>
      <c r="L1193" s="60">
        <f>IF($C1193="B",INDEX(Batters[[#All],[CON P]],MATCH(Table5[[#This Row],[PID]],Batters[[#All],[PID]],0)),INDEX(Table3[[#All],[STU P]],MATCH(Table5[[#This Row],[PID]],Table3[[#All],[PID]],0)))</f>
        <v>5</v>
      </c>
      <c r="M1193" s="56">
        <f>IF($C1193="B",INDEX(Batters[[#All],[GAP P]],MATCH(Table5[[#This Row],[PID]],Batters[[#All],[PID]],0)),INDEX(Table3[[#All],[MOV P]],MATCH(Table5[[#This Row],[PID]],Table3[[#All],[PID]],0)))</f>
        <v>1</v>
      </c>
      <c r="N1193" s="56">
        <f>IF($C1193="B",INDEX(Batters[[#All],[POW P]],MATCH(Table5[[#This Row],[PID]],Batters[[#All],[PID]],0)),INDEX(Table3[[#All],[CON P]],MATCH(Table5[[#This Row],[PID]],Table3[[#All],[PID]],0)))</f>
        <v>1</v>
      </c>
      <c r="O1193" s="56" t="str">
        <f>IF($C1193="B",INDEX(Batters[[#All],[EYE P]],MATCH(Table5[[#This Row],[PID]],Batters[[#All],[PID]],0)),INDEX(Table3[[#All],[VELO]],MATCH(Table5[[#This Row],[PID]],Table3[[#All],[PID]],0)))</f>
        <v>85-87 Mph</v>
      </c>
      <c r="P1193" s="56">
        <f>IF($C1193="B",INDEX(Batters[[#All],[K P]],MATCH(Table5[[#This Row],[PID]],Batters[[#All],[PID]],0)),INDEX(Table3[[#All],[STM]],MATCH(Table5[[#This Row],[PID]],Table3[[#All],[PID]],0)))</f>
        <v>3</v>
      </c>
      <c r="Q1193" s="61">
        <f>IF($C1193="B",INDEX(Batters[[#All],[Tot]],MATCH(Table5[[#This Row],[PID]],Batters[[#All],[PID]],0)),INDEX(Table3[[#All],[Tot]],MATCH(Table5[[#This Row],[PID]],Table3[[#All],[PID]],0)))</f>
        <v>20.104110480098175</v>
      </c>
      <c r="R1193" s="52">
        <f>IF($C1193="B",INDEX(Batters[[#All],[zScore]],MATCH(Table5[[#This Row],[PID]],Batters[[#All],[PID]],0)),INDEX(Table3[[#All],[zScore]],MATCH(Table5[[#This Row],[PID]],Table3[[#All],[PID]],0)))</f>
        <v>-1.0489155346008874</v>
      </c>
      <c r="S1193" s="58" t="str">
        <f>IF($C1193="B",INDEX(Batters[[#All],[DEM]],MATCH(Table5[[#This Row],[PID]],Batters[[#All],[PID]],0)),INDEX(Table3[[#All],[DEM]],MATCH(Table5[[#This Row],[PID]],Table3[[#All],[PID]],0)))</f>
        <v>$75k</v>
      </c>
      <c r="T1193" s="62">
        <f>IF($C1193="B",INDEX(Batters[[#All],[Rnk]],MATCH(Table5[[#This Row],[PID]],Batters[[#All],[PID]],0)),INDEX(Table3[[#All],[Rnk]],MATCH(Table5[[#This Row],[PID]],Table3[[#All],[PID]],0)))</f>
        <v>707</v>
      </c>
      <c r="U1193" s="68">
        <f>IF($C1193="B",VLOOKUP($A1193,Bat!$A$4:$BA$1621,47,FALSE),VLOOKUP($A1193,Pit!$A$4:$BF$1557,56,FALSE))</f>
        <v>0</v>
      </c>
      <c r="V1193" s="50">
        <f>IF($C1193="B",VLOOKUP($A1193,Bat!$A$4:$BA$1621,48,FALSE),VLOOKUP($A1193,Pit!$A$4:$BF$1557,57,FALSE))</f>
        <v>0</v>
      </c>
      <c r="W1193" s="50">
        <f>Table5[[#This Row],[posRnk]]+Table5[[#This Row],[zRnk]]+IF($W$3&lt;&gt;Table5[[#This Row],[Type]],50,0)</f>
        <v>1914</v>
      </c>
      <c r="X1193" s="51">
        <f>RANK(Table5[[#This Row],[zScore]],Table5[[#All],[zScore]])</f>
        <v>1157</v>
      </c>
      <c r="Y1193" s="50" t="str">
        <f>IFERROR(INDEX(DraftResults[[#All],[OVR]],MATCH(Table5[[#This Row],[PID]],DraftResults[[#All],[Player ID]],0)),"")</f>
        <v/>
      </c>
      <c r="Z11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3" s="50" t="str">
        <f>IFERROR(INDEX(DraftResults[[#All],[Pick in Round]],MATCH(Table5[[#This Row],[PID]],DraftResults[[#All],[Player ID]],0)),"")</f>
        <v/>
      </c>
      <c r="AB1193" s="50" t="str">
        <f>IFERROR(INDEX(DraftResults[[#All],[Team Name]],MATCH(Table5[[#This Row],[PID]],DraftResults[[#All],[Player ID]],0)),"")</f>
        <v/>
      </c>
      <c r="AC1193" s="50" t="str">
        <f>IF(Table5[[#This Row],[Ovr]]="","",IF(Table5[[#This Row],[cmbList]]="","",Table5[[#This Row],[cmbList]]-Table5[[#This Row],[Ovr]]))</f>
        <v/>
      </c>
      <c r="AD1193" s="54" t="str">
        <f>IF(ISERROR(VLOOKUP($AB1193&amp;"-"&amp;$E1193&amp;" "&amp;F1193,Bonuses!$B$1:$G$1006,4,FALSE)),"",INT(VLOOKUP($AB1193&amp;"-"&amp;$E1193&amp;" "&amp;$F1193,Bonuses!$B$1:$G$1006,4,FALSE)))</f>
        <v/>
      </c>
      <c r="AE11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4" spans="1:31" s="7" customFormat="1" x14ac:dyDescent="0.25">
      <c r="A1194" s="50">
        <v>20235</v>
      </c>
      <c r="B1194" s="50">
        <f>COUNTIF(Table5[PID],A1194)</f>
        <v>1</v>
      </c>
      <c r="C1194" s="50" t="str">
        <f>IF(COUNTIF(Table3[[#All],[PID]],A1194)&gt;0,"P","B")</f>
        <v>P</v>
      </c>
      <c r="D1194" s="59" t="str">
        <f>IF($C1194="B",INDEX(Batters[[#All],[POS]],MATCH(Table5[[#This Row],[PID]],Batters[[#All],[PID]],0)),INDEX(Table3[[#All],[POS]],MATCH(Table5[[#This Row],[PID]],Table3[[#All],[PID]],0)))</f>
        <v>RP</v>
      </c>
      <c r="E1194" s="52" t="str">
        <f>IF($C1194="B",INDEX(Batters[[#All],[First]],MATCH(Table5[[#This Row],[PID]],Batters[[#All],[PID]],0)),INDEX(Table3[[#All],[First]],MATCH(Table5[[#This Row],[PID]],Table3[[#All],[PID]],0)))</f>
        <v>George</v>
      </c>
      <c r="F1194" s="50" t="str">
        <f>IF($C1194="B",INDEX(Batters[[#All],[Last]],MATCH(A1194,Batters[[#All],[PID]],0)),INDEX(Table3[[#All],[Last]],MATCH(A1194,Table3[[#All],[PID]],0)))</f>
        <v>Finch</v>
      </c>
      <c r="G1194" s="56">
        <f>IF($C1194="B",INDEX(Batters[[#All],[Age]],MATCH(Table5[[#This Row],[PID]],Batters[[#All],[PID]],0)),INDEX(Table3[[#All],[Age]],MATCH(Table5[[#This Row],[PID]],Table3[[#All],[PID]],0)))</f>
        <v>23</v>
      </c>
      <c r="H1194" s="52" t="str">
        <f>IF($C1194="B",INDEX(Batters[[#All],[B]],MATCH(Table5[[#This Row],[PID]],Batters[[#All],[PID]],0)),INDEX(Table3[[#All],[B]],MATCH(Table5[[#This Row],[PID]],Table3[[#All],[PID]],0)))</f>
        <v>R</v>
      </c>
      <c r="I1194" s="52" t="str">
        <f>IF($C1194="B",INDEX(Batters[[#All],[T]],MATCH(Table5[[#This Row],[PID]],Batters[[#All],[PID]],0)),INDEX(Table3[[#All],[T]],MATCH(Table5[[#This Row],[PID]],Table3[[#All],[PID]],0)))</f>
        <v>R</v>
      </c>
      <c r="J1194" s="52" t="str">
        <f>IF($C1194="B",INDEX(Batters[[#All],[WE]],MATCH(Table5[[#This Row],[PID]],Batters[[#All],[PID]],0)),INDEX(Table3[[#All],[WE]],MATCH(Table5[[#This Row],[PID]],Table3[[#All],[PID]],0)))</f>
        <v>Low</v>
      </c>
      <c r="K1194" s="52" t="str">
        <f>IF($C1194="B",INDEX(Batters[[#All],[INT]],MATCH(Table5[[#This Row],[PID]],Batters[[#All],[PID]],0)),INDEX(Table3[[#All],[INT]],MATCH(Table5[[#This Row],[PID]],Table3[[#All],[PID]],0)))</f>
        <v>High</v>
      </c>
      <c r="L1194" s="60">
        <f>IF($C1194="B",INDEX(Batters[[#All],[CON P]],MATCH(Table5[[#This Row],[PID]],Batters[[#All],[PID]],0)),INDEX(Table3[[#All],[STU P]],MATCH(Table5[[#This Row],[PID]],Table3[[#All],[PID]],0)))</f>
        <v>3</v>
      </c>
      <c r="M1194" s="56">
        <f>IF($C1194="B",INDEX(Batters[[#All],[GAP P]],MATCH(Table5[[#This Row],[PID]],Batters[[#All],[PID]],0)),INDEX(Table3[[#All],[MOV P]],MATCH(Table5[[#This Row],[PID]],Table3[[#All],[PID]],0)))</f>
        <v>2</v>
      </c>
      <c r="N1194" s="56">
        <f>IF($C1194="B",INDEX(Batters[[#All],[POW P]],MATCH(Table5[[#This Row],[PID]],Batters[[#All],[PID]],0)),INDEX(Table3[[#All],[CON P]],MATCH(Table5[[#This Row],[PID]],Table3[[#All],[PID]],0)))</f>
        <v>2</v>
      </c>
      <c r="O1194" s="56" t="str">
        <f>IF($C1194="B",INDEX(Batters[[#All],[EYE P]],MATCH(Table5[[#This Row],[PID]],Batters[[#All],[PID]],0)),INDEX(Table3[[#All],[VELO]],MATCH(Table5[[#This Row],[PID]],Table3[[#All],[PID]],0)))</f>
        <v>88-90 Mph</v>
      </c>
      <c r="P1194" s="56">
        <f>IF($C1194="B",INDEX(Batters[[#All],[K P]],MATCH(Table5[[#This Row],[PID]],Batters[[#All],[PID]],0)),INDEX(Table3[[#All],[STM]],MATCH(Table5[[#This Row],[PID]],Table3[[#All],[PID]],0)))</f>
        <v>10</v>
      </c>
      <c r="Q1194" s="61">
        <f>IF($C1194="B",INDEX(Batters[[#All],[Tot]],MATCH(Table5[[#This Row],[PID]],Batters[[#All],[PID]],0)),INDEX(Table3[[#All],[Tot]],MATCH(Table5[[#This Row],[PID]],Table3[[#All],[PID]],0)))</f>
        <v>19.999574910935891</v>
      </c>
      <c r="R1194" s="52">
        <f>IF($C1194="B",INDEX(Batters[[#All],[zScore]],MATCH(Table5[[#This Row],[PID]],Batters[[#All],[PID]],0)),INDEX(Table3[[#All],[zScore]],MATCH(Table5[[#This Row],[PID]],Table3[[#All],[PID]],0)))</f>
        <v>-1.0558701262755266</v>
      </c>
      <c r="S1194" s="58" t="str">
        <f>IF($C1194="B",INDEX(Batters[[#All],[DEM]],MATCH(Table5[[#This Row],[PID]],Batters[[#All],[PID]],0)),INDEX(Table3[[#All],[DEM]],MATCH(Table5[[#This Row],[PID]],Table3[[#All],[PID]],0)))</f>
        <v>Slot</v>
      </c>
      <c r="T1194" s="62">
        <f>IF($C1194="B",INDEX(Batters[[#All],[Rnk]],MATCH(Table5[[#This Row],[PID]],Batters[[#All],[PID]],0)),INDEX(Table3[[#All],[Rnk]],MATCH(Table5[[#This Row],[PID]],Table3[[#All],[PID]],0)))</f>
        <v>708</v>
      </c>
      <c r="U1194" s="68">
        <f>IF($C1194="B",VLOOKUP($A1194,Bat!$A$4:$BA$1621,47,FALSE),VLOOKUP($A1194,Pit!$A$4:$BF$1557,56,FALSE))</f>
        <v>0</v>
      </c>
      <c r="V1194" s="50">
        <f>IF($C1194="B",VLOOKUP($A1194,Bat!$A$4:$BA$1621,48,FALSE),VLOOKUP($A1194,Pit!$A$4:$BF$1557,57,FALSE))</f>
        <v>0</v>
      </c>
      <c r="W1194" s="50">
        <f>Table5[[#This Row],[posRnk]]+Table5[[#This Row],[zRnk]]+IF($W$3&lt;&gt;Table5[[#This Row],[Type]],50,0)</f>
        <v>1917</v>
      </c>
      <c r="X1194" s="51">
        <f>RANK(Table5[[#This Row],[zScore]],Table5[[#All],[zScore]])</f>
        <v>1159</v>
      </c>
      <c r="Y1194" s="50" t="str">
        <f>IFERROR(INDEX(DraftResults[[#All],[OVR]],MATCH(Table5[[#This Row],[PID]],DraftResults[[#All],[Player ID]],0)),"")</f>
        <v/>
      </c>
      <c r="Z11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4" s="50" t="str">
        <f>IFERROR(INDEX(DraftResults[[#All],[Pick in Round]],MATCH(Table5[[#This Row],[PID]],DraftResults[[#All],[Player ID]],0)),"")</f>
        <v/>
      </c>
      <c r="AB1194" s="50" t="str">
        <f>IFERROR(INDEX(DraftResults[[#All],[Team Name]],MATCH(Table5[[#This Row],[PID]],DraftResults[[#All],[Player ID]],0)),"")</f>
        <v/>
      </c>
      <c r="AC1194" s="50" t="str">
        <f>IF(Table5[[#This Row],[Ovr]]="","",IF(Table5[[#This Row],[cmbList]]="","",Table5[[#This Row],[cmbList]]-Table5[[#This Row],[Ovr]]))</f>
        <v/>
      </c>
      <c r="AD1194" s="54" t="str">
        <f>IF(ISERROR(VLOOKUP($AB1194&amp;"-"&amp;$E1194&amp;" "&amp;F1194,Bonuses!$B$1:$G$1006,4,FALSE)),"",INT(VLOOKUP($AB1194&amp;"-"&amp;$E1194&amp;" "&amp;$F1194,Bonuses!$B$1:$G$1006,4,FALSE)))</f>
        <v/>
      </c>
      <c r="AE11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5" spans="1:31" s="7" customFormat="1" x14ac:dyDescent="0.25">
      <c r="A1195" s="50">
        <v>17044</v>
      </c>
      <c r="B1195" s="50">
        <f>COUNTIF(Table5[PID],A1195)</f>
        <v>1</v>
      </c>
      <c r="C1195" s="50" t="str">
        <f>IF(COUNTIF(Table3[[#All],[PID]],A1195)&gt;0,"P","B")</f>
        <v>P</v>
      </c>
      <c r="D1195" s="59" t="str">
        <f>IF($C1195="B",INDEX(Batters[[#All],[POS]],MATCH(Table5[[#This Row],[PID]],Batters[[#All],[PID]],0)),INDEX(Table3[[#All],[POS]],MATCH(Table5[[#This Row],[PID]],Table3[[#All],[PID]],0)))</f>
        <v>RP</v>
      </c>
      <c r="E1195" s="52" t="str">
        <f>IF($C1195="B",INDEX(Batters[[#All],[First]],MATCH(Table5[[#This Row],[PID]],Batters[[#All],[PID]],0)),INDEX(Table3[[#All],[First]],MATCH(Table5[[#This Row],[PID]],Table3[[#All],[PID]],0)))</f>
        <v>Étienne</v>
      </c>
      <c r="F1195" s="50" t="str">
        <f>IF($C1195="B",INDEX(Batters[[#All],[Last]],MATCH(A1195,Batters[[#All],[PID]],0)),INDEX(Table3[[#All],[Last]],MATCH(A1195,Table3[[#All],[PID]],0)))</f>
        <v>Monette</v>
      </c>
      <c r="G1195" s="56">
        <f>IF($C1195="B",INDEX(Batters[[#All],[Age]],MATCH(Table5[[#This Row],[PID]],Batters[[#All],[PID]],0)),INDEX(Table3[[#All],[Age]],MATCH(Table5[[#This Row],[PID]],Table3[[#All],[PID]],0)))</f>
        <v>21</v>
      </c>
      <c r="H1195" s="52" t="str">
        <f>IF($C1195="B",INDEX(Batters[[#All],[B]],MATCH(Table5[[#This Row],[PID]],Batters[[#All],[PID]],0)),INDEX(Table3[[#All],[B]],MATCH(Table5[[#This Row],[PID]],Table3[[#All],[PID]],0)))</f>
        <v>R</v>
      </c>
      <c r="I1195" s="52" t="str">
        <f>IF($C1195="B",INDEX(Batters[[#All],[T]],MATCH(Table5[[#This Row],[PID]],Batters[[#All],[PID]],0)),INDEX(Table3[[#All],[T]],MATCH(Table5[[#This Row],[PID]],Table3[[#All],[PID]],0)))</f>
        <v>R</v>
      </c>
      <c r="J1195" s="52" t="str">
        <f>IF($C1195="B",INDEX(Batters[[#All],[WE]],MATCH(Table5[[#This Row],[PID]],Batters[[#All],[PID]],0)),INDEX(Table3[[#All],[WE]],MATCH(Table5[[#This Row],[PID]],Table3[[#All],[PID]],0)))</f>
        <v>Normal</v>
      </c>
      <c r="K1195" s="52" t="str">
        <f>IF($C1195="B",INDEX(Batters[[#All],[INT]],MATCH(Table5[[#This Row],[PID]],Batters[[#All],[PID]],0)),INDEX(Table3[[#All],[INT]],MATCH(Table5[[#This Row],[PID]],Table3[[#All],[PID]],0)))</f>
        <v>Normal</v>
      </c>
      <c r="L1195" s="60">
        <f>IF($C1195="B",INDEX(Batters[[#All],[CON P]],MATCH(Table5[[#This Row],[PID]],Batters[[#All],[PID]],0)),INDEX(Table3[[#All],[STU P]],MATCH(Table5[[#This Row],[PID]],Table3[[#All],[PID]],0)))</f>
        <v>4</v>
      </c>
      <c r="M1195" s="56">
        <f>IF($C1195="B",INDEX(Batters[[#All],[GAP P]],MATCH(Table5[[#This Row],[PID]],Batters[[#All],[PID]],0)),INDEX(Table3[[#All],[MOV P]],MATCH(Table5[[#This Row],[PID]],Table3[[#All],[PID]],0)))</f>
        <v>1</v>
      </c>
      <c r="N1195" s="56">
        <f>IF($C1195="B",INDEX(Batters[[#All],[POW P]],MATCH(Table5[[#This Row],[PID]],Batters[[#All],[PID]],0)),INDEX(Table3[[#All],[CON P]],MATCH(Table5[[#This Row],[PID]],Table3[[#All],[PID]],0)))</f>
        <v>2</v>
      </c>
      <c r="O1195" s="56" t="str">
        <f>IF($C1195="B",INDEX(Batters[[#All],[EYE P]],MATCH(Table5[[#This Row],[PID]],Batters[[#All],[PID]],0)),INDEX(Table3[[#All],[VELO]],MATCH(Table5[[#This Row],[PID]],Table3[[#All],[PID]],0)))</f>
        <v>87-89 Mph</v>
      </c>
      <c r="P1195" s="56">
        <f>IF($C1195="B",INDEX(Batters[[#All],[K P]],MATCH(Table5[[#This Row],[PID]],Batters[[#All],[PID]],0)),INDEX(Table3[[#All],[STM]],MATCH(Table5[[#This Row],[PID]],Table3[[#All],[PID]],0)))</f>
        <v>6</v>
      </c>
      <c r="Q1195" s="61">
        <f>IF($C1195="B",INDEX(Batters[[#All],[Tot]],MATCH(Table5[[#This Row],[PID]],Batters[[#All],[PID]],0)),INDEX(Table3[[#All],[Tot]],MATCH(Table5[[#This Row],[PID]],Table3[[#All],[PID]],0)))</f>
        <v>19.946573902722143</v>
      </c>
      <c r="R1195" s="52">
        <f>IF($C1195="B",INDEX(Batters[[#All],[zScore]],MATCH(Table5[[#This Row],[PID]],Batters[[#All],[PID]],0)),INDEX(Table3[[#All],[zScore]],MATCH(Table5[[#This Row],[PID]],Table3[[#All],[PID]],0)))</f>
        <v>-1.059396202360678</v>
      </c>
      <c r="S1195" s="58" t="str">
        <f>IF($C1195="B",INDEX(Batters[[#All],[DEM]],MATCH(Table5[[#This Row],[PID]],Batters[[#All],[PID]],0)),INDEX(Table3[[#All],[DEM]],MATCH(Table5[[#This Row],[PID]],Table3[[#All],[PID]],0)))</f>
        <v>-</v>
      </c>
      <c r="T1195" s="62">
        <f>IF($C1195="B",INDEX(Batters[[#All],[Rnk]],MATCH(Table5[[#This Row],[PID]],Batters[[#All],[PID]],0)),INDEX(Table3[[#All],[Rnk]],MATCH(Table5[[#This Row],[PID]],Table3[[#All],[PID]],0)))</f>
        <v>709</v>
      </c>
      <c r="U1195" s="68">
        <f>IF($C1195="B",VLOOKUP($A1195,Bat!$A$4:$BA$1621,47,FALSE),VLOOKUP($A1195,Pit!$A$4:$BF$1557,56,FALSE))</f>
        <v>0</v>
      </c>
      <c r="V1195" s="50">
        <f>IF($C1195="B",VLOOKUP($A1195,Bat!$A$4:$BA$1621,48,FALSE),VLOOKUP($A1195,Pit!$A$4:$BF$1557,57,FALSE))</f>
        <v>0</v>
      </c>
      <c r="W1195" s="50">
        <f>Table5[[#This Row],[posRnk]]+Table5[[#This Row],[zRnk]]+IF($W$3&lt;&gt;Table5[[#This Row],[Type]],50,0)</f>
        <v>1919</v>
      </c>
      <c r="X1195" s="51">
        <f>RANK(Table5[[#This Row],[zScore]],Table5[[#All],[zScore]])</f>
        <v>1160</v>
      </c>
      <c r="Y1195" s="50" t="str">
        <f>IFERROR(INDEX(DraftResults[[#All],[OVR]],MATCH(Table5[[#This Row],[PID]],DraftResults[[#All],[Player ID]],0)),"")</f>
        <v/>
      </c>
      <c r="Z11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5" s="50" t="str">
        <f>IFERROR(INDEX(DraftResults[[#All],[Pick in Round]],MATCH(Table5[[#This Row],[PID]],DraftResults[[#All],[Player ID]],0)),"")</f>
        <v/>
      </c>
      <c r="AB1195" s="50" t="str">
        <f>IFERROR(INDEX(DraftResults[[#All],[Team Name]],MATCH(Table5[[#This Row],[PID]],DraftResults[[#All],[Player ID]],0)),"")</f>
        <v/>
      </c>
      <c r="AC1195" s="50" t="str">
        <f>IF(Table5[[#This Row],[Ovr]]="","",IF(Table5[[#This Row],[cmbList]]="","",Table5[[#This Row],[cmbList]]-Table5[[#This Row],[Ovr]]))</f>
        <v/>
      </c>
      <c r="AD1195" s="54" t="str">
        <f>IF(ISERROR(VLOOKUP($AB1195&amp;"-"&amp;$E1195&amp;" "&amp;F1195,Bonuses!$B$1:$G$1006,4,FALSE)),"",INT(VLOOKUP($AB1195&amp;"-"&amp;$E1195&amp;" "&amp;$F1195,Bonuses!$B$1:$G$1006,4,FALSE)))</f>
        <v/>
      </c>
      <c r="AE11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6" spans="1:31" s="7" customFormat="1" x14ac:dyDescent="0.25">
      <c r="A1196" s="50">
        <v>18016</v>
      </c>
      <c r="B1196" s="50">
        <f>COUNTIF(Table5[PID],A1196)</f>
        <v>1</v>
      </c>
      <c r="C1196" s="50" t="str">
        <f>IF(COUNTIF(Table3[[#All],[PID]],A1196)&gt;0,"P","B")</f>
        <v>P</v>
      </c>
      <c r="D1196" s="59" t="str">
        <f>IF($C1196="B",INDEX(Batters[[#All],[POS]],MATCH(Table5[[#This Row],[PID]],Batters[[#All],[PID]],0)),INDEX(Table3[[#All],[POS]],MATCH(Table5[[#This Row],[PID]],Table3[[#All],[PID]],0)))</f>
        <v>RP</v>
      </c>
      <c r="E1196" s="52" t="str">
        <f>IF($C1196="B",INDEX(Batters[[#All],[First]],MATCH(Table5[[#This Row],[PID]],Batters[[#All],[PID]],0)),INDEX(Table3[[#All],[First]],MATCH(Table5[[#This Row],[PID]],Table3[[#All],[PID]],0)))</f>
        <v>Kip</v>
      </c>
      <c r="F1196" s="50" t="str">
        <f>IF($C1196="B",INDEX(Batters[[#All],[Last]],MATCH(A1196,Batters[[#All],[PID]],0)),INDEX(Table3[[#All],[Last]],MATCH(A1196,Table3[[#All],[PID]],0)))</f>
        <v>Brown</v>
      </c>
      <c r="G1196" s="56">
        <f>IF($C1196="B",INDEX(Batters[[#All],[Age]],MATCH(Table5[[#This Row],[PID]],Batters[[#All],[PID]],0)),INDEX(Table3[[#All],[Age]],MATCH(Table5[[#This Row],[PID]],Table3[[#All],[PID]],0)))</f>
        <v>21</v>
      </c>
      <c r="H1196" s="52" t="str">
        <f>IF($C1196="B",INDEX(Batters[[#All],[B]],MATCH(Table5[[#This Row],[PID]],Batters[[#All],[PID]],0)),INDEX(Table3[[#All],[B]],MATCH(Table5[[#This Row],[PID]],Table3[[#All],[PID]],0)))</f>
        <v>R</v>
      </c>
      <c r="I1196" s="52" t="str">
        <f>IF($C1196="B",INDEX(Batters[[#All],[T]],MATCH(Table5[[#This Row],[PID]],Batters[[#All],[PID]],0)),INDEX(Table3[[#All],[T]],MATCH(Table5[[#This Row],[PID]],Table3[[#All],[PID]],0)))</f>
        <v>R</v>
      </c>
      <c r="J1196" s="52" t="str">
        <f>IF($C1196="B",INDEX(Batters[[#All],[WE]],MATCH(Table5[[#This Row],[PID]],Batters[[#All],[PID]],0)),INDEX(Table3[[#All],[WE]],MATCH(Table5[[#This Row],[PID]],Table3[[#All],[PID]],0)))</f>
        <v>Normal</v>
      </c>
      <c r="K1196" s="52" t="str">
        <f>IF($C1196="B",INDEX(Batters[[#All],[INT]],MATCH(Table5[[#This Row],[PID]],Batters[[#All],[PID]],0)),INDEX(Table3[[#All],[INT]],MATCH(Table5[[#This Row],[PID]],Table3[[#All],[PID]],0)))</f>
        <v>Normal</v>
      </c>
      <c r="L1196" s="60">
        <f>IF($C1196="B",INDEX(Batters[[#All],[CON P]],MATCH(Table5[[#This Row],[PID]],Batters[[#All],[PID]],0)),INDEX(Table3[[#All],[STU P]],MATCH(Table5[[#This Row],[PID]],Table3[[#All],[PID]],0)))</f>
        <v>4</v>
      </c>
      <c r="M1196" s="56">
        <f>IF($C1196="B",INDEX(Batters[[#All],[GAP P]],MATCH(Table5[[#This Row],[PID]],Batters[[#All],[PID]],0)),INDEX(Table3[[#All],[MOV P]],MATCH(Table5[[#This Row],[PID]],Table3[[#All],[PID]],0)))</f>
        <v>1</v>
      </c>
      <c r="N1196" s="56">
        <f>IF($C1196="B",INDEX(Batters[[#All],[POW P]],MATCH(Table5[[#This Row],[PID]],Batters[[#All],[PID]],0)),INDEX(Table3[[#All],[CON P]],MATCH(Table5[[#This Row],[PID]],Table3[[#All],[PID]],0)))</f>
        <v>2</v>
      </c>
      <c r="O1196" s="56" t="str">
        <f>IF($C1196="B",INDEX(Batters[[#All],[EYE P]],MATCH(Table5[[#This Row],[PID]],Batters[[#All],[PID]],0)),INDEX(Table3[[#All],[VELO]],MATCH(Table5[[#This Row],[PID]],Table3[[#All],[PID]],0)))</f>
        <v>87-89 Mph</v>
      </c>
      <c r="P1196" s="56">
        <f>IF($C1196="B",INDEX(Batters[[#All],[K P]],MATCH(Table5[[#This Row],[PID]],Batters[[#All],[PID]],0)),INDEX(Table3[[#All],[STM]],MATCH(Table5[[#This Row],[PID]],Table3[[#All],[PID]],0)))</f>
        <v>10</v>
      </c>
      <c r="Q1196" s="61">
        <f>IF($C1196="B",INDEX(Batters[[#All],[Tot]],MATCH(Table5[[#This Row],[PID]],Batters[[#All],[PID]],0)),INDEX(Table3[[#All],[Tot]],MATCH(Table5[[#This Row],[PID]],Table3[[#All],[PID]],0)))</f>
        <v>19.906742464330399</v>
      </c>
      <c r="R1196" s="52">
        <f>IF($C1196="B",INDEX(Batters[[#All],[zScore]],MATCH(Table5[[#This Row],[PID]],Batters[[#All],[PID]],0)),INDEX(Table3[[#All],[zScore]],MATCH(Table5[[#This Row],[PID]],Table3[[#All],[PID]],0)))</f>
        <v>-1.0620461270901076</v>
      </c>
      <c r="S1196" s="58" t="str">
        <f>IF($C1196="B",INDEX(Batters[[#All],[DEM]],MATCH(Table5[[#This Row],[PID]],Batters[[#All],[PID]],0)),INDEX(Table3[[#All],[DEM]],MATCH(Table5[[#This Row],[PID]],Table3[[#All],[PID]],0)))</f>
        <v>-</v>
      </c>
      <c r="T1196" s="62">
        <f>IF($C1196="B",INDEX(Batters[[#All],[Rnk]],MATCH(Table5[[#This Row],[PID]],Batters[[#All],[PID]],0)),INDEX(Table3[[#All],[Rnk]],MATCH(Table5[[#This Row],[PID]],Table3[[#All],[PID]],0)))</f>
        <v>710</v>
      </c>
      <c r="U1196" s="68">
        <f>IF($C1196="B",VLOOKUP($A1196,Bat!$A$4:$BA$1621,47,FALSE),VLOOKUP($A1196,Pit!$A$4:$BF$1557,56,FALSE))</f>
        <v>0</v>
      </c>
      <c r="V1196" s="50">
        <f>IF($C1196="B",VLOOKUP($A1196,Bat!$A$4:$BA$1621,48,FALSE),VLOOKUP($A1196,Pit!$A$4:$BF$1557,57,FALSE))</f>
        <v>0</v>
      </c>
      <c r="W1196" s="50">
        <f>Table5[[#This Row],[posRnk]]+Table5[[#This Row],[zRnk]]+IF($W$3&lt;&gt;Table5[[#This Row],[Type]],50,0)</f>
        <v>1921</v>
      </c>
      <c r="X1196" s="51">
        <f>RANK(Table5[[#This Row],[zScore]],Table5[[#All],[zScore]])</f>
        <v>1161</v>
      </c>
      <c r="Y1196" s="50" t="str">
        <f>IFERROR(INDEX(DraftResults[[#All],[OVR]],MATCH(Table5[[#This Row],[PID]],DraftResults[[#All],[Player ID]],0)),"")</f>
        <v/>
      </c>
      <c r="Z11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6" s="50" t="str">
        <f>IFERROR(INDEX(DraftResults[[#All],[Pick in Round]],MATCH(Table5[[#This Row],[PID]],DraftResults[[#All],[Player ID]],0)),"")</f>
        <v/>
      </c>
      <c r="AB1196" s="50" t="str">
        <f>IFERROR(INDEX(DraftResults[[#All],[Team Name]],MATCH(Table5[[#This Row],[PID]],DraftResults[[#All],[Player ID]],0)),"")</f>
        <v/>
      </c>
      <c r="AC1196" s="50" t="str">
        <f>IF(Table5[[#This Row],[Ovr]]="","",IF(Table5[[#This Row],[cmbList]]="","",Table5[[#This Row],[cmbList]]-Table5[[#This Row],[Ovr]]))</f>
        <v/>
      </c>
      <c r="AD1196" s="54" t="str">
        <f>IF(ISERROR(VLOOKUP($AB1196&amp;"-"&amp;$E1196&amp;" "&amp;F1196,Bonuses!$B$1:$G$1006,4,FALSE)),"",INT(VLOOKUP($AB1196&amp;"-"&amp;$E1196&amp;" "&amp;$F1196,Bonuses!$B$1:$G$1006,4,FALSE)))</f>
        <v/>
      </c>
      <c r="AE11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7" spans="1:31" s="7" customFormat="1" x14ac:dyDescent="0.25">
      <c r="A1197" s="68">
        <v>9088</v>
      </c>
      <c r="B1197" s="69">
        <f>COUNTIF(Table5[PID],A1197)</f>
        <v>1</v>
      </c>
      <c r="C1197" s="69" t="str">
        <f>IF(COUNTIF(Table3[[#All],[PID]],A1197)&gt;0,"P","B")</f>
        <v>P</v>
      </c>
      <c r="D1197" s="59" t="str">
        <f>IF($C1197="B",INDEX(Batters[[#All],[POS]],MATCH(Table5[[#This Row],[PID]],Batters[[#All],[PID]],0)),INDEX(Table3[[#All],[POS]],MATCH(Table5[[#This Row],[PID]],Table3[[#All],[PID]],0)))</f>
        <v>SP</v>
      </c>
      <c r="E1197" s="52" t="str">
        <f>IF($C1197="B",INDEX(Batters[[#All],[First]],MATCH(Table5[[#This Row],[PID]],Batters[[#All],[PID]],0)),INDEX(Table3[[#All],[First]],MATCH(Table5[[#This Row],[PID]],Table3[[#All],[PID]],0)))</f>
        <v>Ben</v>
      </c>
      <c r="F1197" s="55" t="str">
        <f>IF($C1197="B",INDEX(Batters[[#All],[Last]],MATCH(A1197,Batters[[#All],[PID]],0)),INDEX(Table3[[#All],[Last]],MATCH(A1197,Table3[[#All],[PID]],0)))</f>
        <v>Reid</v>
      </c>
      <c r="G1197" s="56">
        <f>IF($C1197="B",INDEX(Batters[[#All],[Age]],MATCH(Table5[[#This Row],[PID]],Batters[[#All],[PID]],0)),INDEX(Table3[[#All],[Age]],MATCH(Table5[[#This Row],[PID]],Table3[[#All],[PID]],0)))</f>
        <v>22</v>
      </c>
      <c r="H1197" s="52" t="str">
        <f>IF($C1197="B",INDEX(Batters[[#All],[B]],MATCH(Table5[[#This Row],[PID]],Batters[[#All],[PID]],0)),INDEX(Table3[[#All],[B]],MATCH(Table5[[#This Row],[PID]],Table3[[#All],[PID]],0)))</f>
        <v>L</v>
      </c>
      <c r="I1197" s="52" t="str">
        <f>IF($C1197="B",INDEX(Batters[[#All],[T]],MATCH(Table5[[#This Row],[PID]],Batters[[#All],[PID]],0)),INDEX(Table3[[#All],[T]],MATCH(Table5[[#This Row],[PID]],Table3[[#All],[PID]],0)))</f>
        <v>L</v>
      </c>
      <c r="J1197" s="71" t="str">
        <f>IF($C1197="B",INDEX(Batters[[#All],[WE]],MATCH(Table5[[#This Row],[PID]],Batters[[#All],[PID]],0)),INDEX(Table3[[#All],[WE]],MATCH(Table5[[#This Row],[PID]],Table3[[#All],[PID]],0)))</f>
        <v>High</v>
      </c>
      <c r="K1197" s="52" t="str">
        <f>IF($C1197="B",INDEX(Batters[[#All],[INT]],MATCH(Table5[[#This Row],[PID]],Batters[[#All],[PID]],0)),INDEX(Table3[[#All],[INT]],MATCH(Table5[[#This Row],[PID]],Table3[[#All],[PID]],0)))</f>
        <v>Low</v>
      </c>
      <c r="L1197" s="60">
        <f>IF($C1197="B",INDEX(Batters[[#All],[CON P]],MATCH(Table5[[#This Row],[PID]],Batters[[#All],[PID]],0)),INDEX(Table3[[#All],[STU P]],MATCH(Table5[[#This Row],[PID]],Table3[[#All],[PID]],0)))</f>
        <v>4</v>
      </c>
      <c r="M1197" s="72">
        <f>IF($C1197="B",INDEX(Batters[[#All],[GAP P]],MATCH(Table5[[#This Row],[PID]],Batters[[#All],[PID]],0)),INDEX(Table3[[#All],[MOV P]],MATCH(Table5[[#This Row],[PID]],Table3[[#All],[PID]],0)))</f>
        <v>1</v>
      </c>
      <c r="N1197" s="72">
        <f>IF($C1197="B",INDEX(Batters[[#All],[POW P]],MATCH(Table5[[#This Row],[PID]],Batters[[#All],[PID]],0)),INDEX(Table3[[#All],[CON P]],MATCH(Table5[[#This Row],[PID]],Table3[[#All],[PID]],0)))</f>
        <v>2</v>
      </c>
      <c r="O1197" s="72" t="str">
        <f>IF($C1197="B",INDEX(Batters[[#All],[EYE P]],MATCH(Table5[[#This Row],[PID]],Batters[[#All],[PID]],0)),INDEX(Table3[[#All],[VELO]],MATCH(Table5[[#This Row],[PID]],Table3[[#All],[PID]],0)))</f>
        <v>88-90 Mph</v>
      </c>
      <c r="P1197" s="56">
        <f>IF($C1197="B",INDEX(Batters[[#All],[K P]],MATCH(Table5[[#This Row],[PID]],Batters[[#All],[PID]],0)),INDEX(Table3[[#All],[STM]],MATCH(Table5[[#This Row],[PID]],Table3[[#All],[PID]],0)))</f>
        <v>9</v>
      </c>
      <c r="Q1197" s="61">
        <f>IF($C1197="B",INDEX(Batters[[#All],[Tot]],MATCH(Table5[[#This Row],[PID]],Batters[[#All],[PID]],0)),INDEX(Table3[[#All],[Tot]],MATCH(Table5[[#This Row],[PID]],Table3[[#All],[PID]],0)))</f>
        <v>19.906742464330399</v>
      </c>
      <c r="R1197" s="52">
        <f>IF($C1197="B",INDEX(Batters[[#All],[zScore]],MATCH(Table5[[#This Row],[PID]],Batters[[#All],[PID]],0)),INDEX(Table3[[#All],[zScore]],MATCH(Table5[[#This Row],[PID]],Table3[[#All],[PID]],0)))</f>
        <v>-1.0620461270901076</v>
      </c>
      <c r="S1197" s="78" t="str">
        <f>IF($C1197="B",INDEX(Batters[[#All],[DEM]],MATCH(Table5[[#This Row],[PID]],Batters[[#All],[PID]],0)),INDEX(Table3[[#All],[DEM]],MATCH(Table5[[#This Row],[PID]],Table3[[#All],[PID]],0)))</f>
        <v>-</v>
      </c>
      <c r="T1197" s="75">
        <f>IF($C1197="B",INDEX(Batters[[#All],[Rnk]],MATCH(Table5[[#This Row],[PID]],Batters[[#All],[PID]],0)),INDEX(Table3[[#All],[Rnk]],MATCH(Table5[[#This Row],[PID]],Table3[[#All],[PID]],0)))</f>
        <v>710</v>
      </c>
      <c r="U1197" s="68">
        <f>IF($C1197="B",VLOOKUP($A1197,Bat!$A$4:$BA$1621,47,FALSE),VLOOKUP($A1197,Pit!$A$4:$BF$1557,56,FALSE))</f>
        <v>0</v>
      </c>
      <c r="V1197" s="50">
        <f>IF($C1197="B",VLOOKUP($A1197,Bat!$A$4:$BA$1621,48,FALSE),VLOOKUP($A1197,Pit!$A$4:$BF$1557,57,FALSE))</f>
        <v>0</v>
      </c>
      <c r="W1197" s="69">
        <f>Table5[[#This Row],[posRnk]]+Table5[[#This Row],[zRnk]]+IF($W$3&lt;&gt;Table5[[#This Row],[Type]],50,0)</f>
        <v>1921</v>
      </c>
      <c r="X1197" s="73">
        <f>RANK(Table5[[#This Row],[zScore]],Table5[[#All],[zScore]])</f>
        <v>1161</v>
      </c>
      <c r="Y1197" s="69" t="str">
        <f>IFERROR(INDEX(DraftResults[[#All],[OVR]],MATCH(Table5[[#This Row],[PID]],DraftResults[[#All],[Player ID]],0)),"")</f>
        <v/>
      </c>
      <c r="Z119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7" s="69" t="str">
        <f>IFERROR(INDEX(DraftResults[[#All],[Pick in Round]],MATCH(Table5[[#This Row],[PID]],DraftResults[[#All],[Player ID]],0)),"")</f>
        <v/>
      </c>
      <c r="AB1197" s="69" t="str">
        <f>IFERROR(INDEX(DraftResults[[#All],[Team Name]],MATCH(Table5[[#This Row],[PID]],DraftResults[[#All],[Player ID]],0)),"")</f>
        <v/>
      </c>
      <c r="AC1197" s="69" t="str">
        <f>IF(Table5[[#This Row],[Ovr]]="","",IF(Table5[[#This Row],[cmbList]]="","",Table5[[#This Row],[cmbList]]-Table5[[#This Row],[Ovr]]))</f>
        <v/>
      </c>
      <c r="AD1197" s="77" t="str">
        <f>IF(ISERROR(VLOOKUP($AB1197&amp;"-"&amp;$E1197&amp;" "&amp;F1197,Bonuses!$B$1:$G$1006,4,FALSE)),"",INT(VLOOKUP($AB1197&amp;"-"&amp;$E1197&amp;" "&amp;$F1197,Bonuses!$B$1:$G$1006,4,FALSE)))</f>
        <v/>
      </c>
      <c r="AE119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8" spans="1:31" s="7" customFormat="1" x14ac:dyDescent="0.25">
      <c r="A1198" s="50">
        <v>20411</v>
      </c>
      <c r="B1198" s="50">
        <f>COUNTIF(Table5[PID],A1198)</f>
        <v>1</v>
      </c>
      <c r="C1198" s="50" t="str">
        <f>IF(COUNTIF(Table3[[#All],[PID]],A1198)&gt;0,"P","B")</f>
        <v>P</v>
      </c>
      <c r="D1198" s="59" t="str">
        <f>IF($C1198="B",INDEX(Batters[[#All],[POS]],MATCH(Table5[[#This Row],[PID]],Batters[[#All],[PID]],0)),INDEX(Table3[[#All],[POS]],MATCH(Table5[[#This Row],[PID]],Table3[[#All],[PID]],0)))</f>
        <v>RP</v>
      </c>
      <c r="E1198" s="52" t="str">
        <f>IF($C1198="B",INDEX(Batters[[#All],[First]],MATCH(Table5[[#This Row],[PID]],Batters[[#All],[PID]],0)),INDEX(Table3[[#All],[First]],MATCH(Table5[[#This Row],[PID]],Table3[[#All],[PID]],0)))</f>
        <v>Joshua</v>
      </c>
      <c r="F1198" s="50" t="str">
        <f>IF($C1198="B",INDEX(Batters[[#All],[Last]],MATCH(A1198,Batters[[#All],[PID]],0)),INDEX(Table3[[#All],[Last]],MATCH(A1198,Table3[[#All],[PID]],0)))</f>
        <v>Walcott</v>
      </c>
      <c r="G1198" s="56">
        <f>IF($C1198="B",INDEX(Batters[[#All],[Age]],MATCH(Table5[[#This Row],[PID]],Batters[[#All],[PID]],0)),INDEX(Table3[[#All],[Age]],MATCH(Table5[[#This Row],[PID]],Table3[[#All],[PID]],0)))</f>
        <v>18</v>
      </c>
      <c r="H1198" s="52" t="str">
        <f>IF($C1198="B",INDEX(Batters[[#All],[B]],MATCH(Table5[[#This Row],[PID]],Batters[[#All],[PID]],0)),INDEX(Table3[[#All],[B]],MATCH(Table5[[#This Row],[PID]],Table3[[#All],[PID]],0)))</f>
        <v>R</v>
      </c>
      <c r="I1198" s="52" t="str">
        <f>IF($C1198="B",INDEX(Batters[[#All],[T]],MATCH(Table5[[#This Row],[PID]],Batters[[#All],[PID]],0)),INDEX(Table3[[#All],[T]],MATCH(Table5[[#This Row],[PID]],Table3[[#All],[PID]],0)))</f>
        <v>R</v>
      </c>
      <c r="J1198" s="52" t="str">
        <f>IF($C1198="B",INDEX(Batters[[#All],[WE]],MATCH(Table5[[#This Row],[PID]],Batters[[#All],[PID]],0)),INDEX(Table3[[#All],[WE]],MATCH(Table5[[#This Row],[PID]],Table3[[#All],[PID]],0)))</f>
        <v>Low</v>
      </c>
      <c r="K1198" s="52" t="str">
        <f>IF($C1198="B",INDEX(Batters[[#All],[INT]],MATCH(Table5[[#This Row],[PID]],Batters[[#All],[PID]],0)),INDEX(Table3[[#All],[INT]],MATCH(Table5[[#This Row],[PID]],Table3[[#All],[PID]],0)))</f>
        <v>Normal</v>
      </c>
      <c r="L1198" s="60">
        <f>IF($C1198="B",INDEX(Batters[[#All],[CON P]],MATCH(Table5[[#This Row],[PID]],Batters[[#All],[PID]],0)),INDEX(Table3[[#All],[STU P]],MATCH(Table5[[#This Row],[PID]],Table3[[#All],[PID]],0)))</f>
        <v>3</v>
      </c>
      <c r="M1198" s="56">
        <f>IF($C1198="B",INDEX(Batters[[#All],[GAP P]],MATCH(Table5[[#This Row],[PID]],Batters[[#All],[PID]],0)),INDEX(Table3[[#All],[MOV P]],MATCH(Table5[[#This Row],[PID]],Table3[[#All],[PID]],0)))</f>
        <v>2</v>
      </c>
      <c r="N1198" s="56">
        <f>IF($C1198="B",INDEX(Batters[[#All],[POW P]],MATCH(Table5[[#This Row],[PID]],Batters[[#All],[PID]],0)),INDEX(Table3[[#All],[CON P]],MATCH(Table5[[#This Row],[PID]],Table3[[#All],[PID]],0)))</f>
        <v>1</v>
      </c>
      <c r="O1198" s="56" t="str">
        <f>IF($C1198="B",INDEX(Batters[[#All],[EYE P]],MATCH(Table5[[#This Row],[PID]],Batters[[#All],[PID]],0)),INDEX(Table3[[#All],[VELO]],MATCH(Table5[[#This Row],[PID]],Table3[[#All],[PID]],0)))</f>
        <v>86-88 Mph</v>
      </c>
      <c r="P1198" s="56">
        <f>IF($C1198="B",INDEX(Batters[[#All],[K P]],MATCH(Table5[[#This Row],[PID]],Batters[[#All],[PID]],0)),INDEX(Table3[[#All],[STM]],MATCH(Table5[[#This Row],[PID]],Table3[[#All],[PID]],0)))</f>
        <v>5</v>
      </c>
      <c r="Q1198" s="61">
        <f>IF($C1198="B",INDEX(Batters[[#All],[Tot]],MATCH(Table5[[#This Row],[PID]],Batters[[#All],[PID]],0)),INDEX(Table3[[#All],[Tot]],MATCH(Table5[[#This Row],[PID]],Table3[[#All],[PID]],0)))</f>
        <v>22.093530913902661</v>
      </c>
      <c r="R1198" s="52">
        <f>IF($C1198="B",INDEX(Batters[[#All],[zScore]],MATCH(Table5[[#This Row],[PID]],Batters[[#All],[PID]],0)),INDEX(Table3[[#All],[zScore]],MATCH(Table5[[#This Row],[PID]],Table3[[#All],[PID]],0)))</f>
        <v>-1.0627112692296059</v>
      </c>
      <c r="S1198" s="58" t="str">
        <f>IF($C1198="B",INDEX(Batters[[#All],[DEM]],MATCH(Table5[[#This Row],[PID]],Batters[[#All],[PID]],0)),INDEX(Table3[[#All],[DEM]],MATCH(Table5[[#This Row],[PID]],Table3[[#All],[PID]],0)))</f>
        <v>$75k</v>
      </c>
      <c r="T1198" s="62">
        <f>IF($C1198="B",INDEX(Batters[[#All],[Rnk]],MATCH(Table5[[#This Row],[PID]],Batters[[#All],[PID]],0)),INDEX(Table3[[#All],[Rnk]],MATCH(Table5[[#This Row],[PID]],Table3[[#All],[PID]],0)))</f>
        <v>712</v>
      </c>
      <c r="U1198" s="68">
        <f>IF($C1198="B",VLOOKUP($A1198,Bat!$A$4:$BA$1621,47,FALSE),VLOOKUP($A1198,Pit!$A$4:$BF$1557,56,FALSE))</f>
        <v>0</v>
      </c>
      <c r="V1198" s="50">
        <f>IF($C1198="B",VLOOKUP($A1198,Bat!$A$4:$BA$1621,48,FALSE),VLOOKUP($A1198,Pit!$A$4:$BF$1557,57,FALSE))</f>
        <v>0</v>
      </c>
      <c r="W1198" s="50">
        <f>Table5[[#This Row],[posRnk]]+Table5[[#This Row],[zRnk]]+IF($W$3&lt;&gt;Table5[[#This Row],[Type]],50,0)</f>
        <v>1925</v>
      </c>
      <c r="X1198" s="51">
        <f>RANK(Table5[[#This Row],[zScore]],Table5[[#All],[zScore]])</f>
        <v>1163</v>
      </c>
      <c r="Y1198" s="50" t="str">
        <f>IFERROR(INDEX(DraftResults[[#All],[OVR]],MATCH(Table5[[#This Row],[PID]],DraftResults[[#All],[Player ID]],0)),"")</f>
        <v/>
      </c>
      <c r="Z11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8" s="50" t="str">
        <f>IFERROR(INDEX(DraftResults[[#All],[Pick in Round]],MATCH(Table5[[#This Row],[PID]],DraftResults[[#All],[Player ID]],0)),"")</f>
        <v/>
      </c>
      <c r="AB1198" s="50" t="str">
        <f>IFERROR(INDEX(DraftResults[[#All],[Team Name]],MATCH(Table5[[#This Row],[PID]],DraftResults[[#All],[Player ID]],0)),"")</f>
        <v/>
      </c>
      <c r="AC1198" s="50" t="str">
        <f>IF(Table5[[#This Row],[Ovr]]="","",IF(Table5[[#This Row],[cmbList]]="","",Table5[[#This Row],[cmbList]]-Table5[[#This Row],[Ovr]]))</f>
        <v/>
      </c>
      <c r="AD1198" s="54" t="str">
        <f>IF(ISERROR(VLOOKUP($AB1198&amp;"-"&amp;$E1198&amp;" "&amp;F1198,Bonuses!$B$1:$G$1006,4,FALSE)),"",INT(VLOOKUP($AB1198&amp;"-"&amp;$E1198&amp;" "&amp;$F1198,Bonuses!$B$1:$G$1006,4,FALSE)))</f>
        <v/>
      </c>
      <c r="AE11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199" spans="1:31" s="7" customFormat="1" x14ac:dyDescent="0.25">
      <c r="A1199" s="50">
        <v>12868</v>
      </c>
      <c r="B1199" s="50">
        <f>COUNTIF(Table5[PID],A1199)</f>
        <v>1</v>
      </c>
      <c r="C1199" s="50" t="str">
        <f>IF(COUNTIF(Table3[[#All],[PID]],A1199)&gt;0,"P","B")</f>
        <v>P</v>
      </c>
      <c r="D1199" s="59" t="str">
        <f>IF($C1199="B",INDEX(Batters[[#All],[POS]],MATCH(Table5[[#This Row],[PID]],Batters[[#All],[PID]],0)),INDEX(Table3[[#All],[POS]],MATCH(Table5[[#This Row],[PID]],Table3[[#All],[PID]],0)))</f>
        <v>RP</v>
      </c>
      <c r="E1199" s="52" t="str">
        <f>IF($C1199="B",INDEX(Batters[[#All],[First]],MATCH(Table5[[#This Row],[PID]],Batters[[#All],[PID]],0)),INDEX(Table3[[#All],[First]],MATCH(Table5[[#This Row],[PID]],Table3[[#All],[PID]],0)))</f>
        <v>Toshiki</v>
      </c>
      <c r="F1199" s="50" t="str">
        <f>IF($C1199="B",INDEX(Batters[[#All],[Last]],MATCH(A1199,Batters[[#All],[PID]],0)),INDEX(Table3[[#All],[Last]],MATCH(A1199,Table3[[#All],[PID]],0)))</f>
        <v>Motsuzuki</v>
      </c>
      <c r="G1199" s="56">
        <f>IF($C1199="B",INDEX(Batters[[#All],[Age]],MATCH(Table5[[#This Row],[PID]],Batters[[#All],[PID]],0)),INDEX(Table3[[#All],[Age]],MATCH(Table5[[#This Row],[PID]],Table3[[#All],[PID]],0)))</f>
        <v>22</v>
      </c>
      <c r="H1199" s="52" t="str">
        <f>IF($C1199="B",INDEX(Batters[[#All],[B]],MATCH(Table5[[#This Row],[PID]],Batters[[#All],[PID]],0)),INDEX(Table3[[#All],[B]],MATCH(Table5[[#This Row],[PID]],Table3[[#All],[PID]],0)))</f>
        <v>R</v>
      </c>
      <c r="I1199" s="52" t="str">
        <f>IF($C1199="B",INDEX(Batters[[#All],[T]],MATCH(Table5[[#This Row],[PID]],Batters[[#All],[PID]],0)),INDEX(Table3[[#All],[T]],MATCH(Table5[[#This Row],[PID]],Table3[[#All],[PID]],0)))</f>
        <v>R</v>
      </c>
      <c r="J1199" s="52" t="str">
        <f>IF($C1199="B",INDEX(Batters[[#All],[WE]],MATCH(Table5[[#This Row],[PID]],Batters[[#All],[PID]],0)),INDEX(Table3[[#All],[WE]],MATCH(Table5[[#This Row],[PID]],Table3[[#All],[PID]],0)))</f>
        <v>Low</v>
      </c>
      <c r="K1199" s="52" t="str">
        <f>IF($C1199="B",INDEX(Batters[[#All],[INT]],MATCH(Table5[[#This Row],[PID]],Batters[[#All],[PID]],0)),INDEX(Table3[[#All],[INT]],MATCH(Table5[[#This Row],[PID]],Table3[[#All],[PID]],0)))</f>
        <v>Low</v>
      </c>
      <c r="L1199" s="60">
        <f>IF($C1199="B",INDEX(Batters[[#All],[CON P]],MATCH(Table5[[#This Row],[PID]],Batters[[#All],[PID]],0)),INDEX(Table3[[#All],[STU P]],MATCH(Table5[[#This Row],[PID]],Table3[[#All],[PID]],0)))</f>
        <v>4</v>
      </c>
      <c r="M1199" s="56">
        <f>IF($C1199="B",INDEX(Batters[[#All],[GAP P]],MATCH(Table5[[#This Row],[PID]],Batters[[#All],[PID]],0)),INDEX(Table3[[#All],[MOV P]],MATCH(Table5[[#This Row],[PID]],Table3[[#All],[PID]],0)))</f>
        <v>1</v>
      </c>
      <c r="N1199" s="56">
        <f>IF($C1199="B",INDEX(Batters[[#All],[POW P]],MATCH(Table5[[#This Row],[PID]],Batters[[#All],[PID]],0)),INDEX(Table3[[#All],[CON P]],MATCH(Table5[[#This Row],[PID]],Table3[[#All],[PID]],0)))</f>
        <v>2</v>
      </c>
      <c r="O1199" s="56" t="str">
        <f>IF($C1199="B",INDEX(Batters[[#All],[EYE P]],MATCH(Table5[[#This Row],[PID]],Batters[[#All],[PID]],0)),INDEX(Table3[[#All],[VELO]],MATCH(Table5[[#This Row],[PID]],Table3[[#All],[PID]],0)))</f>
        <v>87-89 Mph</v>
      </c>
      <c r="P1199" s="56">
        <f>IF($C1199="B",INDEX(Batters[[#All],[K P]],MATCH(Table5[[#This Row],[PID]],Batters[[#All],[PID]],0)),INDEX(Table3[[#All],[STM]],MATCH(Table5[[#This Row],[PID]],Table3[[#All],[PID]],0)))</f>
        <v>6</v>
      </c>
      <c r="Q1199" s="61">
        <f>IF($C1199="B",INDEX(Batters[[#All],[Tot]],MATCH(Table5[[#This Row],[PID]],Batters[[#All],[PID]],0)),INDEX(Table3[[#All],[Tot]],MATCH(Table5[[#This Row],[PID]],Table3[[#All],[PID]],0)))</f>
        <v>19.881326413102691</v>
      </c>
      <c r="R1199" s="52">
        <f>IF($C1199="B",INDEX(Batters[[#All],[zScore]],MATCH(Table5[[#This Row],[PID]],Batters[[#All],[PID]],0)),INDEX(Table3[[#All],[zScore]],MATCH(Table5[[#This Row],[PID]],Table3[[#All],[PID]],0)))</f>
        <v>-1.0637370181397943</v>
      </c>
      <c r="S1199" s="58" t="str">
        <f>IF($C1199="B",INDEX(Batters[[#All],[DEM]],MATCH(Table5[[#This Row],[PID]],Batters[[#All],[PID]],0)),INDEX(Table3[[#All],[DEM]],MATCH(Table5[[#This Row],[PID]],Table3[[#All],[PID]],0)))</f>
        <v>-</v>
      </c>
      <c r="T1199" s="62">
        <f>IF($C1199="B",INDEX(Batters[[#All],[Rnk]],MATCH(Table5[[#This Row],[PID]],Batters[[#All],[PID]],0)),INDEX(Table3[[#All],[Rnk]],MATCH(Table5[[#This Row],[PID]],Table3[[#All],[PID]],0)))</f>
        <v>713</v>
      </c>
      <c r="U1199" s="68">
        <f>IF($C1199="B",VLOOKUP($A1199,Bat!$A$4:$BA$1621,47,FALSE),VLOOKUP($A1199,Pit!$A$4:$BF$1557,56,FALSE))</f>
        <v>0</v>
      </c>
      <c r="V1199" s="50">
        <f>IF($C1199="B",VLOOKUP($A1199,Bat!$A$4:$BA$1621,48,FALSE),VLOOKUP($A1199,Pit!$A$4:$BF$1557,57,FALSE))</f>
        <v>0</v>
      </c>
      <c r="W1199" s="50">
        <f>Table5[[#This Row],[posRnk]]+Table5[[#This Row],[zRnk]]+IF($W$3&lt;&gt;Table5[[#This Row],[Type]],50,0)</f>
        <v>1927</v>
      </c>
      <c r="X1199" s="51">
        <f>RANK(Table5[[#This Row],[zScore]],Table5[[#All],[zScore]])</f>
        <v>1164</v>
      </c>
      <c r="Y1199" s="50" t="str">
        <f>IFERROR(INDEX(DraftResults[[#All],[OVR]],MATCH(Table5[[#This Row],[PID]],DraftResults[[#All],[Player ID]],0)),"")</f>
        <v/>
      </c>
      <c r="Z11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199" s="50" t="str">
        <f>IFERROR(INDEX(DraftResults[[#All],[Pick in Round]],MATCH(Table5[[#This Row],[PID]],DraftResults[[#All],[Player ID]],0)),"")</f>
        <v/>
      </c>
      <c r="AB1199" s="50" t="str">
        <f>IFERROR(INDEX(DraftResults[[#All],[Team Name]],MATCH(Table5[[#This Row],[PID]],DraftResults[[#All],[Player ID]],0)),"")</f>
        <v/>
      </c>
      <c r="AC1199" s="50" t="str">
        <f>IF(Table5[[#This Row],[Ovr]]="","",IF(Table5[[#This Row],[cmbList]]="","",Table5[[#This Row],[cmbList]]-Table5[[#This Row],[Ovr]]))</f>
        <v/>
      </c>
      <c r="AD1199" s="54" t="str">
        <f>IF(ISERROR(VLOOKUP($AB1199&amp;"-"&amp;$E1199&amp;" "&amp;F1199,Bonuses!$B$1:$G$1006,4,FALSE)),"",INT(VLOOKUP($AB1199&amp;"-"&amp;$E1199&amp;" "&amp;$F1199,Bonuses!$B$1:$G$1006,4,FALSE)))</f>
        <v/>
      </c>
      <c r="AE11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0" spans="1:31" s="7" customFormat="1" x14ac:dyDescent="0.25">
      <c r="A1200" s="50">
        <v>9867</v>
      </c>
      <c r="B1200" s="50">
        <f>COUNTIF(Table5[PID],A1200)</f>
        <v>1</v>
      </c>
      <c r="C1200" s="50" t="str">
        <f>IF(COUNTIF(Table3[[#All],[PID]],A1200)&gt;0,"P","B")</f>
        <v>P</v>
      </c>
      <c r="D1200" s="59" t="str">
        <f>IF($C1200="B",INDEX(Batters[[#All],[POS]],MATCH(Table5[[#This Row],[PID]],Batters[[#All],[PID]],0)),INDEX(Table3[[#All],[POS]],MATCH(Table5[[#This Row],[PID]],Table3[[#All],[PID]],0)))</f>
        <v>RP</v>
      </c>
      <c r="E1200" s="52" t="str">
        <f>IF($C1200="B",INDEX(Batters[[#All],[First]],MATCH(Table5[[#This Row],[PID]],Batters[[#All],[PID]],0)),INDEX(Table3[[#All],[First]],MATCH(Table5[[#This Row],[PID]],Table3[[#All],[PID]],0)))</f>
        <v>Dwayne</v>
      </c>
      <c r="F1200" s="50" t="str">
        <f>IF($C1200="B",INDEX(Batters[[#All],[Last]],MATCH(A1200,Batters[[#All],[PID]],0)),INDEX(Table3[[#All],[Last]],MATCH(A1200,Table3[[#All],[PID]],0)))</f>
        <v>Maddy</v>
      </c>
      <c r="G1200" s="56">
        <f>IF($C1200="B",INDEX(Batters[[#All],[Age]],MATCH(Table5[[#This Row],[PID]],Batters[[#All],[PID]],0)),INDEX(Table3[[#All],[Age]],MATCH(Table5[[#This Row],[PID]],Table3[[#All],[PID]],0)))</f>
        <v>21</v>
      </c>
      <c r="H1200" s="52" t="str">
        <f>IF($C1200="B",INDEX(Batters[[#All],[B]],MATCH(Table5[[#This Row],[PID]],Batters[[#All],[PID]],0)),INDEX(Table3[[#All],[B]],MATCH(Table5[[#This Row],[PID]],Table3[[#All],[PID]],0)))</f>
        <v>S</v>
      </c>
      <c r="I1200" s="52" t="str">
        <f>IF($C1200="B",INDEX(Batters[[#All],[T]],MATCH(Table5[[#This Row],[PID]],Batters[[#All],[PID]],0)),INDEX(Table3[[#All],[T]],MATCH(Table5[[#This Row],[PID]],Table3[[#All],[PID]],0)))</f>
        <v>R</v>
      </c>
      <c r="J1200" s="52" t="str">
        <f>IF($C1200="B",INDEX(Batters[[#All],[WE]],MATCH(Table5[[#This Row],[PID]],Batters[[#All],[PID]],0)),INDEX(Table3[[#All],[WE]],MATCH(Table5[[#This Row],[PID]],Table3[[#All],[PID]],0)))</f>
        <v>High</v>
      </c>
      <c r="K1200" s="52" t="str">
        <f>IF($C1200="B",INDEX(Batters[[#All],[INT]],MATCH(Table5[[#This Row],[PID]],Batters[[#All],[PID]],0)),INDEX(Table3[[#All],[INT]],MATCH(Table5[[#This Row],[PID]],Table3[[#All],[PID]],0)))</f>
        <v>Normal</v>
      </c>
      <c r="L1200" s="60">
        <f>IF($C1200="B",INDEX(Batters[[#All],[CON P]],MATCH(Table5[[#This Row],[PID]],Batters[[#All],[PID]],0)),INDEX(Table3[[#All],[STU P]],MATCH(Table5[[#This Row],[PID]],Table3[[#All],[PID]],0)))</f>
        <v>3</v>
      </c>
      <c r="M1200" s="56">
        <f>IF($C1200="B",INDEX(Batters[[#All],[GAP P]],MATCH(Table5[[#This Row],[PID]],Batters[[#All],[PID]],0)),INDEX(Table3[[#All],[MOV P]],MATCH(Table5[[#This Row],[PID]],Table3[[#All],[PID]],0)))</f>
        <v>1</v>
      </c>
      <c r="N1200" s="56">
        <f>IF($C1200="B",INDEX(Batters[[#All],[POW P]],MATCH(Table5[[#This Row],[PID]],Batters[[#All],[PID]],0)),INDEX(Table3[[#All],[CON P]],MATCH(Table5[[#This Row],[PID]],Table3[[#All],[PID]],0)))</f>
        <v>3</v>
      </c>
      <c r="O1200" s="56" t="str">
        <f>IF($C1200="B",INDEX(Batters[[#All],[EYE P]],MATCH(Table5[[#This Row],[PID]],Batters[[#All],[PID]],0)),INDEX(Table3[[#All],[VELO]],MATCH(Table5[[#This Row],[PID]],Table3[[#All],[PID]],0)))</f>
        <v>88-90 Mph</v>
      </c>
      <c r="P1200" s="56">
        <f>IF($C1200="B",INDEX(Batters[[#All],[K P]],MATCH(Table5[[#This Row],[PID]],Batters[[#All],[PID]],0)),INDEX(Table3[[#All],[STM]],MATCH(Table5[[#This Row],[PID]],Table3[[#All],[PID]],0)))</f>
        <v>3</v>
      </c>
      <c r="Q1200" s="61">
        <f>IF($C1200="B",INDEX(Batters[[#All],[Tot]],MATCH(Table5[[#This Row],[PID]],Batters[[#All],[PID]],0)),INDEX(Table3[[#All],[Tot]],MATCH(Table5[[#This Row],[PID]],Table3[[#All],[PID]],0)))</f>
        <v>19.841360930467687</v>
      </c>
      <c r="R1200" s="52">
        <f>IF($C1200="B",INDEX(Batters[[#All],[zScore]],MATCH(Table5[[#This Row],[PID]],Batters[[#All],[PID]],0)),INDEX(Table3[[#All],[zScore]],MATCH(Table5[[#This Row],[PID]],Table3[[#All],[PID]],0)))</f>
        <v>-1.0663958606278938</v>
      </c>
      <c r="S1200" s="58" t="str">
        <f>IF($C1200="B",INDEX(Batters[[#All],[DEM]],MATCH(Table5[[#This Row],[PID]],Batters[[#All],[PID]],0)),INDEX(Table3[[#All],[DEM]],MATCH(Table5[[#This Row],[PID]],Table3[[#All],[PID]],0)))</f>
        <v>$20k</v>
      </c>
      <c r="T1200" s="62">
        <f>IF($C1200="B",INDEX(Batters[[#All],[Rnk]],MATCH(Table5[[#This Row],[PID]],Batters[[#All],[PID]],0)),INDEX(Table3[[#All],[Rnk]],MATCH(Table5[[#This Row],[PID]],Table3[[#All],[PID]],0)))</f>
        <v>714</v>
      </c>
      <c r="U1200" s="68">
        <f>IF($C1200="B",VLOOKUP($A1200,Bat!$A$4:$BA$1621,47,FALSE),VLOOKUP($A1200,Pit!$A$4:$BF$1557,56,FALSE))</f>
        <v>0</v>
      </c>
      <c r="V1200" s="50">
        <f>IF($C1200="B",VLOOKUP($A1200,Bat!$A$4:$BA$1621,48,FALSE),VLOOKUP($A1200,Pit!$A$4:$BF$1557,57,FALSE))</f>
        <v>0</v>
      </c>
      <c r="W1200" s="50">
        <f>Table5[[#This Row],[posRnk]]+Table5[[#This Row],[zRnk]]+IF($W$3&lt;&gt;Table5[[#This Row],[Type]],50,0)</f>
        <v>1929</v>
      </c>
      <c r="X1200" s="51">
        <f>RANK(Table5[[#This Row],[zScore]],Table5[[#All],[zScore]])</f>
        <v>1165</v>
      </c>
      <c r="Y1200" s="50" t="str">
        <f>IFERROR(INDEX(DraftResults[[#All],[OVR]],MATCH(Table5[[#This Row],[PID]],DraftResults[[#All],[Player ID]],0)),"")</f>
        <v/>
      </c>
      <c r="Z12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0" s="50" t="str">
        <f>IFERROR(INDEX(DraftResults[[#All],[Pick in Round]],MATCH(Table5[[#This Row],[PID]],DraftResults[[#All],[Player ID]],0)),"")</f>
        <v/>
      </c>
      <c r="AB1200" s="50" t="str">
        <f>IFERROR(INDEX(DraftResults[[#All],[Team Name]],MATCH(Table5[[#This Row],[PID]],DraftResults[[#All],[Player ID]],0)),"")</f>
        <v/>
      </c>
      <c r="AC1200" s="50" t="str">
        <f>IF(Table5[[#This Row],[Ovr]]="","",IF(Table5[[#This Row],[cmbList]]="","",Table5[[#This Row],[cmbList]]-Table5[[#This Row],[Ovr]]))</f>
        <v/>
      </c>
      <c r="AD1200" s="54" t="str">
        <f>IF(ISERROR(VLOOKUP($AB1200&amp;"-"&amp;$E1200&amp;" "&amp;F1200,Bonuses!$B$1:$G$1006,4,FALSE)),"",INT(VLOOKUP($AB1200&amp;"-"&amp;$E1200&amp;" "&amp;$F1200,Bonuses!$B$1:$G$1006,4,FALSE)))</f>
        <v/>
      </c>
      <c r="AE12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1" spans="1:31" s="7" customFormat="1" x14ac:dyDescent="0.25">
      <c r="A1201" s="50">
        <v>14719</v>
      </c>
      <c r="B1201" s="50">
        <f>COUNTIF(Table5[PID],A1201)</f>
        <v>1</v>
      </c>
      <c r="C1201" s="50" t="str">
        <f>IF(COUNTIF(Table3[[#All],[PID]],A1201)&gt;0,"P","B")</f>
        <v>P</v>
      </c>
      <c r="D1201" s="59" t="str">
        <f>IF($C1201="B",INDEX(Batters[[#All],[POS]],MATCH(Table5[[#This Row],[PID]],Batters[[#All],[PID]],0)),INDEX(Table3[[#All],[POS]],MATCH(Table5[[#This Row],[PID]],Table3[[#All],[PID]],0)))</f>
        <v>RP</v>
      </c>
      <c r="E1201" s="52" t="str">
        <f>IF($C1201="B",INDEX(Batters[[#All],[First]],MATCH(Table5[[#This Row],[PID]],Batters[[#All],[PID]],0)),INDEX(Table3[[#All],[First]],MATCH(Table5[[#This Row],[PID]],Table3[[#All],[PID]],0)))</f>
        <v>Pim</v>
      </c>
      <c r="F1201" s="50" t="str">
        <f>IF($C1201="B",INDEX(Batters[[#All],[Last]],MATCH(A1201,Batters[[#All],[PID]],0)),INDEX(Table3[[#All],[Last]],MATCH(A1201,Table3[[#All],[PID]],0)))</f>
        <v>Kos</v>
      </c>
      <c r="G1201" s="56">
        <f>IF($C1201="B",INDEX(Batters[[#All],[Age]],MATCH(Table5[[#This Row],[PID]],Batters[[#All],[PID]],0)),INDEX(Table3[[#All],[Age]],MATCH(Table5[[#This Row],[PID]],Table3[[#All],[PID]],0)))</f>
        <v>22</v>
      </c>
      <c r="H1201" s="52" t="str">
        <f>IF($C1201="B",INDEX(Batters[[#All],[B]],MATCH(Table5[[#This Row],[PID]],Batters[[#All],[PID]],0)),INDEX(Table3[[#All],[B]],MATCH(Table5[[#This Row],[PID]],Table3[[#All],[PID]],0)))</f>
        <v>L</v>
      </c>
      <c r="I1201" s="52" t="str">
        <f>IF($C1201="B",INDEX(Batters[[#All],[T]],MATCH(Table5[[#This Row],[PID]],Batters[[#All],[PID]],0)),INDEX(Table3[[#All],[T]],MATCH(Table5[[#This Row],[PID]],Table3[[#All],[PID]],0)))</f>
        <v>L</v>
      </c>
      <c r="J1201" s="52" t="str">
        <f>IF($C1201="B",INDEX(Batters[[#All],[WE]],MATCH(Table5[[#This Row],[PID]],Batters[[#All],[PID]],0)),INDEX(Table3[[#All],[WE]],MATCH(Table5[[#This Row],[PID]],Table3[[#All],[PID]],0)))</f>
        <v>Low</v>
      </c>
      <c r="K1201" s="52" t="str">
        <f>IF($C1201="B",INDEX(Batters[[#All],[INT]],MATCH(Table5[[#This Row],[PID]],Batters[[#All],[PID]],0)),INDEX(Table3[[#All],[INT]],MATCH(Table5[[#This Row],[PID]],Table3[[#All],[PID]],0)))</f>
        <v>Normal</v>
      </c>
      <c r="L1201" s="60">
        <f>IF($C1201="B",INDEX(Batters[[#All],[CON P]],MATCH(Table5[[#This Row],[PID]],Batters[[#All],[PID]],0)),INDEX(Table3[[#All],[STU P]],MATCH(Table5[[#This Row],[PID]],Table3[[#All],[PID]],0)))</f>
        <v>2</v>
      </c>
      <c r="M1201" s="56">
        <f>IF($C1201="B",INDEX(Batters[[#All],[GAP P]],MATCH(Table5[[#This Row],[PID]],Batters[[#All],[PID]],0)),INDEX(Table3[[#All],[MOV P]],MATCH(Table5[[#This Row],[PID]],Table3[[#All],[PID]],0)))</f>
        <v>2</v>
      </c>
      <c r="N1201" s="56">
        <f>IF($C1201="B",INDEX(Batters[[#All],[POW P]],MATCH(Table5[[#This Row],[PID]],Batters[[#All],[PID]],0)),INDEX(Table3[[#All],[CON P]],MATCH(Table5[[#This Row],[PID]],Table3[[#All],[PID]],0)))</f>
        <v>2</v>
      </c>
      <c r="O1201" s="56" t="str">
        <f>IF($C1201="B",INDEX(Batters[[#All],[EYE P]],MATCH(Table5[[#This Row],[PID]],Batters[[#All],[PID]],0)),INDEX(Table3[[#All],[VELO]],MATCH(Table5[[#This Row],[PID]],Table3[[#All],[PID]],0)))</f>
        <v>80-83 Mph</v>
      </c>
      <c r="P1201" s="56">
        <f>IF($C1201="B",INDEX(Batters[[#All],[K P]],MATCH(Table5[[#This Row],[PID]],Batters[[#All],[PID]],0)),INDEX(Table3[[#All],[STM]],MATCH(Table5[[#This Row],[PID]],Table3[[#All],[PID]],0)))</f>
        <v>8</v>
      </c>
      <c r="Q1201" s="61">
        <f>IF($C1201="B",INDEX(Batters[[#All],[Tot]],MATCH(Table5[[#This Row],[PID]],Batters[[#All],[PID]],0)),INDEX(Table3[[#All],[Tot]],MATCH(Table5[[#This Row],[PID]],Table3[[#All],[PID]],0)))</f>
        <v>19.798691107306439</v>
      </c>
      <c r="R1201" s="52">
        <f>IF($C1201="B",INDEX(Batters[[#All],[zScore]],MATCH(Table5[[#This Row],[PID]],Batters[[#All],[PID]],0)),INDEX(Table3[[#All],[zScore]],MATCH(Table5[[#This Row],[PID]],Table3[[#All],[PID]],0)))</f>
        <v>-1.0692346187586774</v>
      </c>
      <c r="S1201" s="58" t="str">
        <f>IF($C1201="B",INDEX(Batters[[#All],[DEM]],MATCH(Table5[[#This Row],[PID]],Batters[[#All],[PID]],0)),INDEX(Table3[[#All],[DEM]],MATCH(Table5[[#This Row],[PID]],Table3[[#All],[PID]],0)))</f>
        <v>-</v>
      </c>
      <c r="T1201" s="62">
        <f>IF($C1201="B",INDEX(Batters[[#All],[Rnk]],MATCH(Table5[[#This Row],[PID]],Batters[[#All],[PID]],0)),INDEX(Table3[[#All],[Rnk]],MATCH(Table5[[#This Row],[PID]],Table3[[#All],[PID]],0)))</f>
        <v>715</v>
      </c>
      <c r="U1201" s="68">
        <f>IF($C1201="B",VLOOKUP($A1201,Bat!$A$4:$BA$1621,47,FALSE),VLOOKUP($A1201,Pit!$A$4:$BF$1557,56,FALSE))</f>
        <v>0</v>
      </c>
      <c r="V1201" s="50">
        <f>IF($C1201="B",VLOOKUP($A1201,Bat!$A$4:$BA$1621,48,FALSE),VLOOKUP($A1201,Pit!$A$4:$BF$1557,57,FALSE))</f>
        <v>0</v>
      </c>
      <c r="W1201" s="50">
        <f>Table5[[#This Row],[posRnk]]+Table5[[#This Row],[zRnk]]+IF($W$3&lt;&gt;Table5[[#This Row],[Type]],50,0)</f>
        <v>1931</v>
      </c>
      <c r="X1201" s="51">
        <f>RANK(Table5[[#This Row],[zScore]],Table5[[#All],[zScore]])</f>
        <v>1166</v>
      </c>
      <c r="Y1201" s="50" t="str">
        <f>IFERROR(INDEX(DraftResults[[#All],[OVR]],MATCH(Table5[[#This Row],[PID]],DraftResults[[#All],[Player ID]],0)),"")</f>
        <v/>
      </c>
      <c r="Z12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1" s="50" t="str">
        <f>IFERROR(INDEX(DraftResults[[#All],[Pick in Round]],MATCH(Table5[[#This Row],[PID]],DraftResults[[#All],[Player ID]],0)),"")</f>
        <v/>
      </c>
      <c r="AB1201" s="50" t="str">
        <f>IFERROR(INDEX(DraftResults[[#All],[Team Name]],MATCH(Table5[[#This Row],[PID]],DraftResults[[#All],[Player ID]],0)),"")</f>
        <v/>
      </c>
      <c r="AC1201" s="50" t="str">
        <f>IF(Table5[[#This Row],[Ovr]]="","",IF(Table5[[#This Row],[cmbList]]="","",Table5[[#This Row],[cmbList]]-Table5[[#This Row],[Ovr]]))</f>
        <v/>
      </c>
      <c r="AD1201" s="54" t="str">
        <f>IF(ISERROR(VLOOKUP($AB1201&amp;"-"&amp;$E1201&amp;" "&amp;F1201,Bonuses!$B$1:$G$1006,4,FALSE)),"",INT(VLOOKUP($AB1201&amp;"-"&amp;$E1201&amp;" "&amp;$F1201,Bonuses!$B$1:$G$1006,4,FALSE)))</f>
        <v/>
      </c>
      <c r="AE12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2" spans="1:31" s="7" customFormat="1" x14ac:dyDescent="0.25">
      <c r="A1202" s="50">
        <v>9717</v>
      </c>
      <c r="B1202" s="50">
        <f>COUNTIF(Table5[PID],A1202)</f>
        <v>1</v>
      </c>
      <c r="C1202" s="50" t="str">
        <f>IF(COUNTIF(Table3[[#All],[PID]],A1202)&gt;0,"P","B")</f>
        <v>P</v>
      </c>
      <c r="D1202" s="59" t="str">
        <f>IF($C1202="B",INDEX(Batters[[#All],[POS]],MATCH(Table5[[#This Row],[PID]],Batters[[#All],[PID]],0)),INDEX(Table3[[#All],[POS]],MATCH(Table5[[#This Row],[PID]],Table3[[#All],[PID]],0)))</f>
        <v>RP</v>
      </c>
      <c r="E1202" s="52" t="str">
        <f>IF($C1202="B",INDEX(Batters[[#All],[First]],MATCH(Table5[[#This Row],[PID]],Batters[[#All],[PID]],0)),INDEX(Table3[[#All],[First]],MATCH(Table5[[#This Row],[PID]],Table3[[#All],[PID]],0)))</f>
        <v>Felipe</v>
      </c>
      <c r="F1202" s="50" t="str">
        <f>IF($C1202="B",INDEX(Batters[[#All],[Last]],MATCH(A1202,Batters[[#All],[PID]],0)),INDEX(Table3[[#All],[Last]],MATCH(A1202,Table3[[#All],[PID]],0)))</f>
        <v>Vazquer</v>
      </c>
      <c r="G1202" s="56">
        <f>IF($C1202="B",INDEX(Batters[[#All],[Age]],MATCH(Table5[[#This Row],[PID]],Batters[[#All],[PID]],0)),INDEX(Table3[[#All],[Age]],MATCH(Table5[[#This Row],[PID]],Table3[[#All],[PID]],0)))</f>
        <v>21</v>
      </c>
      <c r="H1202" s="52" t="str">
        <f>IF($C1202="B",INDEX(Batters[[#All],[B]],MATCH(Table5[[#This Row],[PID]],Batters[[#All],[PID]],0)),INDEX(Table3[[#All],[B]],MATCH(Table5[[#This Row],[PID]],Table3[[#All],[PID]],0)))</f>
        <v>R</v>
      </c>
      <c r="I1202" s="52" t="str">
        <f>IF($C1202="B",INDEX(Batters[[#All],[T]],MATCH(Table5[[#This Row],[PID]],Batters[[#All],[PID]],0)),INDEX(Table3[[#All],[T]],MATCH(Table5[[#This Row],[PID]],Table3[[#All],[PID]],0)))</f>
        <v>R</v>
      </c>
      <c r="J1202" s="52" t="str">
        <f>IF($C1202="B",INDEX(Batters[[#All],[WE]],MATCH(Table5[[#This Row],[PID]],Batters[[#All],[PID]],0)),INDEX(Table3[[#All],[WE]],MATCH(Table5[[#This Row],[PID]],Table3[[#All],[PID]],0)))</f>
        <v>Normal</v>
      </c>
      <c r="K1202" s="52" t="str">
        <f>IF($C1202="B",INDEX(Batters[[#All],[INT]],MATCH(Table5[[#This Row],[PID]],Batters[[#All],[PID]],0)),INDEX(Table3[[#All],[INT]],MATCH(Table5[[#This Row],[PID]],Table3[[#All],[PID]],0)))</f>
        <v>Normal</v>
      </c>
      <c r="L1202" s="60">
        <f>IF($C1202="B",INDEX(Batters[[#All],[CON P]],MATCH(Table5[[#This Row],[PID]],Batters[[#All],[PID]],0)),INDEX(Table3[[#All],[STU P]],MATCH(Table5[[#This Row],[PID]],Table3[[#All],[PID]],0)))</f>
        <v>3</v>
      </c>
      <c r="M1202" s="56">
        <f>IF($C1202="B",INDEX(Batters[[#All],[GAP P]],MATCH(Table5[[#This Row],[PID]],Batters[[#All],[PID]],0)),INDEX(Table3[[#All],[MOV P]],MATCH(Table5[[#This Row],[PID]],Table3[[#All],[PID]],0)))</f>
        <v>1</v>
      </c>
      <c r="N1202" s="56">
        <f>IF($C1202="B",INDEX(Batters[[#All],[POW P]],MATCH(Table5[[#This Row],[PID]],Batters[[#All],[PID]],0)),INDEX(Table3[[#All],[CON P]],MATCH(Table5[[#This Row],[PID]],Table3[[#All],[PID]],0)))</f>
        <v>3</v>
      </c>
      <c r="O1202" s="56" t="str">
        <f>IF($C1202="B",INDEX(Batters[[#All],[EYE P]],MATCH(Table5[[#This Row],[PID]],Batters[[#All],[PID]],0)),INDEX(Table3[[#All],[VELO]],MATCH(Table5[[#This Row],[PID]],Table3[[#All],[PID]],0)))</f>
        <v>88-90 Mph</v>
      </c>
      <c r="P1202" s="56">
        <f>IF($C1202="B",INDEX(Batters[[#All],[K P]],MATCH(Table5[[#This Row],[PID]],Batters[[#All],[PID]],0)),INDEX(Table3[[#All],[STM]],MATCH(Table5[[#This Row],[PID]],Table3[[#All],[PID]],0)))</f>
        <v>6</v>
      </c>
      <c r="Q1202" s="61">
        <f>IF($C1202="B",INDEX(Batters[[#All],[Tot]],MATCH(Table5[[#This Row],[PID]],Batters[[#All],[PID]],0)),INDEX(Table3[[#All],[Tot]],MATCH(Table5[[#This Row],[PID]],Table3[[#All],[PID]],0)))</f>
        <v>22.000344112848413</v>
      </c>
      <c r="R1202" s="52">
        <f>IF($C1202="B",INDEX(Batters[[#All],[zScore]],MATCH(Table5[[#This Row],[PID]],Batters[[#All],[PID]],0)),INDEX(Table3[[#All],[zScore]],MATCH(Table5[[#This Row],[PID]],Table3[[#All],[PID]],0)))</f>
        <v>-1.0694544959000309</v>
      </c>
      <c r="S1202" s="58" t="str">
        <f>IF($C1202="B",INDEX(Batters[[#All],[DEM]],MATCH(Table5[[#This Row],[PID]],Batters[[#All],[PID]],0)),INDEX(Table3[[#All],[DEM]],MATCH(Table5[[#This Row],[PID]],Table3[[#All],[PID]],0)))</f>
        <v>-</v>
      </c>
      <c r="T1202" s="62">
        <f>IF($C1202="B",INDEX(Batters[[#All],[Rnk]],MATCH(Table5[[#This Row],[PID]],Batters[[#All],[PID]],0)),INDEX(Table3[[#All],[Rnk]],MATCH(Table5[[#This Row],[PID]],Table3[[#All],[PID]],0)))</f>
        <v>716</v>
      </c>
      <c r="U1202" s="68">
        <f>IF($C1202="B",VLOOKUP($A1202,Bat!$A$4:$BA$1621,47,FALSE),VLOOKUP($A1202,Pit!$A$4:$BF$1557,56,FALSE))</f>
        <v>0</v>
      </c>
      <c r="V1202" s="50">
        <f>IF($C1202="B",VLOOKUP($A1202,Bat!$A$4:$BA$1621,48,FALSE),VLOOKUP($A1202,Pit!$A$4:$BF$1557,57,FALSE))</f>
        <v>0</v>
      </c>
      <c r="W1202" s="50">
        <f>Table5[[#This Row],[posRnk]]+Table5[[#This Row],[zRnk]]+IF($W$3&lt;&gt;Table5[[#This Row],[Type]],50,0)</f>
        <v>1933</v>
      </c>
      <c r="X1202" s="51">
        <f>RANK(Table5[[#This Row],[zScore]],Table5[[#All],[zScore]])</f>
        <v>1167</v>
      </c>
      <c r="Y1202" s="50" t="str">
        <f>IFERROR(INDEX(DraftResults[[#All],[OVR]],MATCH(Table5[[#This Row],[PID]],DraftResults[[#All],[Player ID]],0)),"")</f>
        <v/>
      </c>
      <c r="Z12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2" s="50" t="str">
        <f>IFERROR(INDEX(DraftResults[[#All],[Pick in Round]],MATCH(Table5[[#This Row],[PID]],DraftResults[[#All],[Player ID]],0)),"")</f>
        <v/>
      </c>
      <c r="AB1202" s="50" t="str">
        <f>IFERROR(INDEX(DraftResults[[#All],[Team Name]],MATCH(Table5[[#This Row],[PID]],DraftResults[[#All],[Player ID]],0)),"")</f>
        <v/>
      </c>
      <c r="AC1202" s="50" t="str">
        <f>IF(Table5[[#This Row],[Ovr]]="","",IF(Table5[[#This Row],[cmbList]]="","",Table5[[#This Row],[cmbList]]-Table5[[#This Row],[Ovr]]))</f>
        <v/>
      </c>
      <c r="AD1202" s="54" t="str">
        <f>IF(ISERROR(VLOOKUP($AB1202&amp;"-"&amp;$E1202&amp;" "&amp;F1202,Bonuses!$B$1:$G$1006,4,FALSE)),"",INT(VLOOKUP($AB1202&amp;"-"&amp;$E1202&amp;" "&amp;$F1202,Bonuses!$B$1:$G$1006,4,FALSE)))</f>
        <v/>
      </c>
      <c r="AE12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3" spans="1:31" s="7" customFormat="1" x14ac:dyDescent="0.25">
      <c r="A1203" s="50">
        <v>20797</v>
      </c>
      <c r="B1203" s="50">
        <f>COUNTIF(Table5[PID],A1203)</f>
        <v>1</v>
      </c>
      <c r="C1203" s="50" t="str">
        <f>IF(COUNTIF(Table3[[#All],[PID]],A1203)&gt;0,"P","B")</f>
        <v>B</v>
      </c>
      <c r="D1203" s="59" t="str">
        <f>IF($C1203="B",INDEX(Batters[[#All],[POS]],MATCH(Table5[[#This Row],[PID]],Batters[[#All],[PID]],0)),INDEX(Table3[[#All],[POS]],MATCH(Table5[[#This Row],[PID]],Table3[[#All],[PID]],0)))</f>
        <v>SS</v>
      </c>
      <c r="E1203" s="52" t="str">
        <f>IF($C1203="B",INDEX(Batters[[#All],[First]],MATCH(Table5[[#This Row],[PID]],Batters[[#All],[PID]],0)),INDEX(Table3[[#All],[First]],MATCH(Table5[[#This Row],[PID]],Table3[[#All],[PID]],0)))</f>
        <v>Ben</v>
      </c>
      <c r="F1203" s="50" t="str">
        <f>IF($C1203="B",INDEX(Batters[[#All],[Last]],MATCH(A1203,Batters[[#All],[PID]],0)),INDEX(Table3[[#All],[Last]],MATCH(A1203,Table3[[#All],[PID]],0)))</f>
        <v>Nicholas</v>
      </c>
      <c r="G1203" s="56">
        <f>IF($C1203="B",INDEX(Batters[[#All],[Age]],MATCH(Table5[[#This Row],[PID]],Batters[[#All],[PID]],0)),INDEX(Table3[[#All],[Age]],MATCH(Table5[[#This Row],[PID]],Table3[[#All],[PID]],0)))</f>
        <v>18</v>
      </c>
      <c r="H1203" s="52" t="str">
        <f>IF($C1203="B",INDEX(Batters[[#All],[B]],MATCH(Table5[[#This Row],[PID]],Batters[[#All],[PID]],0)),INDEX(Table3[[#All],[B]],MATCH(Table5[[#This Row],[PID]],Table3[[#All],[PID]],0)))</f>
        <v>L</v>
      </c>
      <c r="I1203" s="52" t="str">
        <f>IF($C1203="B",INDEX(Batters[[#All],[T]],MATCH(Table5[[#This Row],[PID]],Batters[[#All],[PID]],0)),INDEX(Table3[[#All],[T]],MATCH(Table5[[#This Row],[PID]],Table3[[#All],[PID]],0)))</f>
        <v>R</v>
      </c>
      <c r="J1203" s="52" t="str">
        <f>IF($C1203="B",INDEX(Batters[[#All],[WE]],MATCH(Table5[[#This Row],[PID]],Batters[[#All],[PID]],0)),INDEX(Table3[[#All],[WE]],MATCH(Table5[[#This Row],[PID]],Table3[[#All],[PID]],0)))</f>
        <v>Low</v>
      </c>
      <c r="K1203" s="52" t="str">
        <f>IF($C1203="B",INDEX(Batters[[#All],[INT]],MATCH(Table5[[#This Row],[PID]],Batters[[#All],[PID]],0)),INDEX(Table3[[#All],[INT]],MATCH(Table5[[#This Row],[PID]],Table3[[#All],[PID]],0)))</f>
        <v>Low</v>
      </c>
      <c r="L1203" s="60">
        <f>IF($C1203="B",INDEX(Batters[[#All],[CON P]],MATCH(Table5[[#This Row],[PID]],Batters[[#All],[PID]],0)),INDEX(Table3[[#All],[STU P]],MATCH(Table5[[#This Row],[PID]],Table3[[#All],[PID]],0)))</f>
        <v>3</v>
      </c>
      <c r="M1203" s="56">
        <f>IF($C1203="B",INDEX(Batters[[#All],[GAP P]],MATCH(Table5[[#This Row],[PID]],Batters[[#All],[PID]],0)),INDEX(Table3[[#All],[MOV P]],MATCH(Table5[[#This Row],[PID]],Table3[[#All],[PID]],0)))</f>
        <v>2</v>
      </c>
      <c r="N1203" s="56">
        <f>IF($C1203="B",INDEX(Batters[[#All],[POW P]],MATCH(Table5[[#This Row],[PID]],Batters[[#All],[PID]],0)),INDEX(Table3[[#All],[CON P]],MATCH(Table5[[#This Row],[PID]],Table3[[#All],[PID]],0)))</f>
        <v>2</v>
      </c>
      <c r="O1203" s="56">
        <f>IF($C1203="B",INDEX(Batters[[#All],[EYE P]],MATCH(Table5[[#This Row],[PID]],Batters[[#All],[PID]],0)),INDEX(Table3[[#All],[VELO]],MATCH(Table5[[#This Row],[PID]],Table3[[#All],[PID]],0)))</f>
        <v>5</v>
      </c>
      <c r="P1203" s="56">
        <f>IF($C1203="B",INDEX(Batters[[#All],[K P]],MATCH(Table5[[#This Row],[PID]],Batters[[#All],[PID]],0)),INDEX(Table3[[#All],[STM]],MATCH(Table5[[#This Row],[PID]],Table3[[#All],[PID]],0)))</f>
        <v>4</v>
      </c>
      <c r="Q1203" s="61">
        <f>IF($C1203="B",INDEX(Batters[[#All],[Tot]],MATCH(Table5[[#This Row],[PID]],Batters[[#All],[PID]],0)),INDEX(Table3[[#All],[Tot]],MATCH(Table5[[#This Row],[PID]],Table3[[#All],[PID]],0)))</f>
        <v>39.294165757940078</v>
      </c>
      <c r="R1203" s="52">
        <f>IF($C1203="B",INDEX(Batters[[#All],[zScore]],MATCH(Table5[[#This Row],[PID]],Batters[[#All],[PID]],0)),INDEX(Table3[[#All],[zScore]],MATCH(Table5[[#This Row],[PID]],Table3[[#All],[PID]],0)))</f>
        <v>-1.0725671880680898</v>
      </c>
      <c r="S1203" s="58" t="str">
        <f>IF($C1203="B",INDEX(Batters[[#All],[DEM]],MATCH(Table5[[#This Row],[PID]],Batters[[#All],[PID]],0)),INDEX(Table3[[#All],[DEM]],MATCH(Table5[[#This Row],[PID]],Table3[[#All],[PID]],0)))</f>
        <v>$65k</v>
      </c>
      <c r="T1203" s="62">
        <f>IF($C1203="B",INDEX(Batters[[#All],[Rnk]],MATCH(Table5[[#This Row],[PID]],Batters[[#All],[PID]],0)),INDEX(Table3[[#All],[Rnk]],MATCH(Table5[[#This Row],[PID]],Table3[[#All],[PID]],0)))</f>
        <v>451</v>
      </c>
      <c r="U1203" s="68">
        <f>IF($C1203="B",VLOOKUP($A1203,Bat!$A$4:$BA$1621,47,FALSE),VLOOKUP($A1203,Pit!$A$4:$BF$1557,56,FALSE))</f>
        <v>0</v>
      </c>
      <c r="V1203" s="50">
        <f>IF($C1203="B",VLOOKUP($A1203,Bat!$A$4:$BA$1621,48,FALSE),VLOOKUP($A1203,Pit!$A$4:$BF$1557,57,FALSE))</f>
        <v>0</v>
      </c>
      <c r="W1203" s="50">
        <f>Table5[[#This Row],[posRnk]]+Table5[[#This Row],[zRnk]]+IF($W$3&lt;&gt;Table5[[#This Row],[Type]],50,0)</f>
        <v>1669</v>
      </c>
      <c r="X1203" s="51">
        <f>RANK(Table5[[#This Row],[zScore]],Table5[[#All],[zScore]])</f>
        <v>1168</v>
      </c>
      <c r="Y1203" s="50" t="str">
        <f>IFERROR(INDEX(DraftResults[[#All],[OVR]],MATCH(Table5[[#This Row],[PID]],DraftResults[[#All],[Player ID]],0)),"")</f>
        <v/>
      </c>
      <c r="Z12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3" s="50" t="str">
        <f>IFERROR(INDEX(DraftResults[[#All],[Pick in Round]],MATCH(Table5[[#This Row],[PID]],DraftResults[[#All],[Player ID]],0)),"")</f>
        <v/>
      </c>
      <c r="AB1203" s="50" t="str">
        <f>IFERROR(INDEX(DraftResults[[#All],[Team Name]],MATCH(Table5[[#This Row],[PID]],DraftResults[[#All],[Player ID]],0)),"")</f>
        <v/>
      </c>
      <c r="AC1203" s="50" t="str">
        <f>IF(Table5[[#This Row],[Ovr]]="","",IF(Table5[[#This Row],[cmbList]]="","",Table5[[#This Row],[cmbList]]-Table5[[#This Row],[Ovr]]))</f>
        <v/>
      </c>
      <c r="AD1203" s="54" t="str">
        <f>IF(ISERROR(VLOOKUP($AB1203&amp;"-"&amp;$E1203&amp;" "&amp;F1203,Bonuses!$B$1:$G$1006,4,FALSE)),"",INT(VLOOKUP($AB1203&amp;"-"&amp;$E1203&amp;" "&amp;$F1203,Bonuses!$B$1:$G$1006,4,FALSE)))</f>
        <v/>
      </c>
      <c r="AE12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4" spans="1:31" s="7" customFormat="1" x14ac:dyDescent="0.25">
      <c r="A1204" s="50">
        <v>17973</v>
      </c>
      <c r="B1204" s="50">
        <f>COUNTIF(Table5[PID],A1204)</f>
        <v>1</v>
      </c>
      <c r="C1204" s="50" t="str">
        <f>IF(COUNTIF(Table3[[#All],[PID]],A1204)&gt;0,"P","B")</f>
        <v>P</v>
      </c>
      <c r="D1204" s="59" t="str">
        <f>IF($C1204="B",INDEX(Batters[[#All],[POS]],MATCH(Table5[[#This Row],[PID]],Batters[[#All],[PID]],0)),INDEX(Table3[[#All],[POS]],MATCH(Table5[[#This Row],[PID]],Table3[[#All],[PID]],0)))</f>
        <v>RP</v>
      </c>
      <c r="E1204" s="52" t="str">
        <f>IF($C1204="B",INDEX(Batters[[#All],[First]],MATCH(Table5[[#This Row],[PID]],Batters[[#All],[PID]],0)),INDEX(Table3[[#All],[First]],MATCH(Table5[[#This Row],[PID]],Table3[[#All],[PID]],0)))</f>
        <v>Ryan</v>
      </c>
      <c r="F1204" s="50" t="str">
        <f>IF($C1204="B",INDEX(Batters[[#All],[Last]],MATCH(A1204,Batters[[#All],[PID]],0)),INDEX(Table3[[#All],[Last]],MATCH(A1204,Table3[[#All],[PID]],0)))</f>
        <v>King</v>
      </c>
      <c r="G1204" s="56">
        <f>IF($C1204="B",INDEX(Batters[[#All],[Age]],MATCH(Table5[[#This Row],[PID]],Batters[[#All],[PID]],0)),INDEX(Table3[[#All],[Age]],MATCH(Table5[[#This Row],[PID]],Table3[[#All],[PID]],0)))</f>
        <v>22</v>
      </c>
      <c r="H1204" s="52" t="str">
        <f>IF($C1204="B",INDEX(Batters[[#All],[B]],MATCH(Table5[[#This Row],[PID]],Batters[[#All],[PID]],0)),INDEX(Table3[[#All],[B]],MATCH(Table5[[#This Row],[PID]],Table3[[#All],[PID]],0)))</f>
        <v>R</v>
      </c>
      <c r="I1204" s="52" t="str">
        <f>IF($C1204="B",INDEX(Batters[[#All],[T]],MATCH(Table5[[#This Row],[PID]],Batters[[#All],[PID]],0)),INDEX(Table3[[#All],[T]],MATCH(Table5[[#This Row],[PID]],Table3[[#All],[PID]],0)))</f>
        <v>R</v>
      </c>
      <c r="J1204" s="52" t="str">
        <f>IF($C1204="B",INDEX(Batters[[#All],[WE]],MATCH(Table5[[#This Row],[PID]],Batters[[#All],[PID]],0)),INDEX(Table3[[#All],[WE]],MATCH(Table5[[#This Row],[PID]],Table3[[#All],[PID]],0)))</f>
        <v>Low</v>
      </c>
      <c r="K1204" s="52" t="str">
        <f>IF($C1204="B",INDEX(Batters[[#All],[INT]],MATCH(Table5[[#This Row],[PID]],Batters[[#All],[PID]],0)),INDEX(Table3[[#All],[INT]],MATCH(Table5[[#This Row],[PID]],Table3[[#All],[PID]],0)))</f>
        <v>Normal</v>
      </c>
      <c r="L1204" s="60">
        <f>IF($C1204="B",INDEX(Batters[[#All],[CON P]],MATCH(Table5[[#This Row],[PID]],Batters[[#All],[PID]],0)),INDEX(Table3[[#All],[STU P]],MATCH(Table5[[#This Row],[PID]],Table3[[#All],[PID]],0)))</f>
        <v>3</v>
      </c>
      <c r="M1204" s="56">
        <f>IF($C1204="B",INDEX(Batters[[#All],[GAP P]],MATCH(Table5[[#This Row],[PID]],Batters[[#All],[PID]],0)),INDEX(Table3[[#All],[MOV P]],MATCH(Table5[[#This Row],[PID]],Table3[[#All],[PID]],0)))</f>
        <v>2</v>
      </c>
      <c r="N1204" s="56">
        <f>IF($C1204="B",INDEX(Batters[[#All],[POW P]],MATCH(Table5[[#This Row],[PID]],Batters[[#All],[PID]],0)),INDEX(Table3[[#All],[CON P]],MATCH(Table5[[#This Row],[PID]],Table3[[#All],[PID]],0)))</f>
        <v>2</v>
      </c>
      <c r="O1204" s="56" t="str">
        <f>IF($C1204="B",INDEX(Batters[[#All],[EYE P]],MATCH(Table5[[#This Row],[PID]],Batters[[#All],[PID]],0)),INDEX(Table3[[#All],[VELO]],MATCH(Table5[[#This Row],[PID]],Table3[[#All],[PID]],0)))</f>
        <v>89-91 Mph</v>
      </c>
      <c r="P1204" s="56">
        <f>IF($C1204="B",INDEX(Batters[[#All],[K P]],MATCH(Table5[[#This Row],[PID]],Batters[[#All],[PID]],0)),INDEX(Table3[[#All],[STM]],MATCH(Table5[[#This Row],[PID]],Table3[[#All],[PID]],0)))</f>
        <v>8</v>
      </c>
      <c r="Q1204" s="61">
        <f>IF($C1204="B",INDEX(Batters[[#All],[Tot]],MATCH(Table5[[#This Row],[PID]],Batters[[#All],[PID]],0)),INDEX(Table3[[#All],[Tot]],MATCH(Table5[[#This Row],[PID]],Table3[[#All],[PID]],0)))</f>
        <v>19.660636646034057</v>
      </c>
      <c r="R1204" s="52">
        <f>IF($C1204="B",INDEX(Batters[[#All],[zScore]],MATCH(Table5[[#This Row],[PID]],Batters[[#All],[PID]],0)),INDEX(Table3[[#All],[zScore]],MATCH(Table5[[#This Row],[PID]],Table3[[#All],[PID]],0)))</f>
        <v>-1.0784191711048863</v>
      </c>
      <c r="S1204" s="58" t="str">
        <f>IF($C1204="B",INDEX(Batters[[#All],[DEM]],MATCH(Table5[[#This Row],[PID]],Batters[[#All],[PID]],0)),INDEX(Table3[[#All],[DEM]],MATCH(Table5[[#This Row],[PID]],Table3[[#All],[PID]],0)))</f>
        <v>-</v>
      </c>
      <c r="T1204" s="62">
        <f>IF($C1204="B",INDEX(Batters[[#All],[Rnk]],MATCH(Table5[[#This Row],[PID]],Batters[[#All],[PID]],0)),INDEX(Table3[[#All],[Rnk]],MATCH(Table5[[#This Row],[PID]],Table3[[#All],[PID]],0)))</f>
        <v>717</v>
      </c>
      <c r="U1204" s="68">
        <f>IF($C1204="B",VLOOKUP($A1204,Bat!$A$4:$BA$1621,47,FALSE),VLOOKUP($A1204,Pit!$A$4:$BF$1557,56,FALSE))</f>
        <v>0</v>
      </c>
      <c r="V1204" s="50">
        <f>IF($C1204="B",VLOOKUP($A1204,Bat!$A$4:$BA$1621,48,FALSE),VLOOKUP($A1204,Pit!$A$4:$BF$1557,57,FALSE))</f>
        <v>0</v>
      </c>
      <c r="W1204" s="50">
        <f>Table5[[#This Row],[posRnk]]+Table5[[#This Row],[zRnk]]+IF($W$3&lt;&gt;Table5[[#This Row],[Type]],50,0)</f>
        <v>1936</v>
      </c>
      <c r="X1204" s="51">
        <f>RANK(Table5[[#This Row],[zScore]],Table5[[#All],[zScore]])</f>
        <v>1169</v>
      </c>
      <c r="Y1204" s="50" t="str">
        <f>IFERROR(INDEX(DraftResults[[#All],[OVR]],MATCH(Table5[[#This Row],[PID]],DraftResults[[#All],[Player ID]],0)),"")</f>
        <v/>
      </c>
      <c r="Z12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4" s="50" t="str">
        <f>IFERROR(INDEX(DraftResults[[#All],[Pick in Round]],MATCH(Table5[[#This Row],[PID]],DraftResults[[#All],[Player ID]],0)),"")</f>
        <v/>
      </c>
      <c r="AB1204" s="50" t="str">
        <f>IFERROR(INDEX(DraftResults[[#All],[Team Name]],MATCH(Table5[[#This Row],[PID]],DraftResults[[#All],[Player ID]],0)),"")</f>
        <v/>
      </c>
      <c r="AC1204" s="50" t="str">
        <f>IF(Table5[[#This Row],[Ovr]]="","",IF(Table5[[#This Row],[cmbList]]="","",Table5[[#This Row],[cmbList]]-Table5[[#This Row],[Ovr]]))</f>
        <v/>
      </c>
      <c r="AD1204" s="54" t="str">
        <f>IF(ISERROR(VLOOKUP($AB1204&amp;"-"&amp;$E1204&amp;" "&amp;F1204,Bonuses!$B$1:$G$1006,4,FALSE)),"",INT(VLOOKUP($AB1204&amp;"-"&amp;$E1204&amp;" "&amp;$F1204,Bonuses!$B$1:$G$1006,4,FALSE)))</f>
        <v/>
      </c>
      <c r="AE12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5" spans="1:31" s="7" customFormat="1" x14ac:dyDescent="0.25">
      <c r="A1205" s="50">
        <v>21049</v>
      </c>
      <c r="B1205" s="50">
        <f>COUNTIF(Table5[PID],A1205)</f>
        <v>1</v>
      </c>
      <c r="C1205" s="50" t="str">
        <f>IF(COUNTIF(Table3[[#All],[PID]],A1205)&gt;0,"P","B")</f>
        <v>B</v>
      </c>
      <c r="D1205" s="59" t="str">
        <f>IF($C1205="B",INDEX(Batters[[#All],[POS]],MATCH(Table5[[#This Row],[PID]],Batters[[#All],[PID]],0)),INDEX(Table3[[#All],[POS]],MATCH(Table5[[#This Row],[PID]],Table3[[#All],[PID]],0)))</f>
        <v>2B</v>
      </c>
      <c r="E1205" s="52" t="str">
        <f>IF($C1205="B",INDEX(Batters[[#All],[First]],MATCH(Table5[[#This Row],[PID]],Batters[[#All],[PID]],0)),INDEX(Table3[[#All],[First]],MATCH(Table5[[#This Row],[PID]],Table3[[#All],[PID]],0)))</f>
        <v>Francis</v>
      </c>
      <c r="F1205" s="50" t="str">
        <f>IF($C1205="B",INDEX(Batters[[#All],[Last]],MATCH(A1205,Batters[[#All],[PID]],0)),INDEX(Table3[[#All],[Last]],MATCH(A1205,Table3[[#All],[PID]],0)))</f>
        <v>Goodier</v>
      </c>
      <c r="G1205" s="56">
        <f>IF($C1205="B",INDEX(Batters[[#All],[Age]],MATCH(Table5[[#This Row],[PID]],Batters[[#All],[PID]],0)),INDEX(Table3[[#All],[Age]],MATCH(Table5[[#This Row],[PID]],Table3[[#All],[PID]],0)))</f>
        <v>17</v>
      </c>
      <c r="H1205" s="52" t="str">
        <f>IF($C1205="B",INDEX(Batters[[#All],[B]],MATCH(Table5[[#This Row],[PID]],Batters[[#All],[PID]],0)),INDEX(Table3[[#All],[B]],MATCH(Table5[[#This Row],[PID]],Table3[[#All],[PID]],0)))</f>
        <v>S</v>
      </c>
      <c r="I1205" s="52" t="str">
        <f>IF($C1205="B",INDEX(Batters[[#All],[T]],MATCH(Table5[[#This Row],[PID]],Batters[[#All],[PID]],0)),INDEX(Table3[[#All],[T]],MATCH(Table5[[#This Row],[PID]],Table3[[#All],[PID]],0)))</f>
        <v>R</v>
      </c>
      <c r="J1205" s="52" t="str">
        <f>IF($C1205="B",INDEX(Batters[[#All],[WE]],MATCH(Table5[[#This Row],[PID]],Batters[[#All],[PID]],0)),INDEX(Table3[[#All],[WE]],MATCH(Table5[[#This Row],[PID]],Table3[[#All],[PID]],0)))</f>
        <v>Normal</v>
      </c>
      <c r="K1205" s="52" t="str">
        <f>IF($C1205="B",INDEX(Batters[[#All],[INT]],MATCH(Table5[[#This Row],[PID]],Batters[[#All],[PID]],0)),INDEX(Table3[[#All],[INT]],MATCH(Table5[[#This Row],[PID]],Table3[[#All],[PID]],0)))</f>
        <v>Normal</v>
      </c>
      <c r="L1205" s="60">
        <f>IF($C1205="B",INDEX(Batters[[#All],[CON P]],MATCH(Table5[[#This Row],[PID]],Batters[[#All],[PID]],0)),INDEX(Table3[[#All],[STU P]],MATCH(Table5[[#This Row],[PID]],Table3[[#All],[PID]],0)))</f>
        <v>2</v>
      </c>
      <c r="M1205" s="56">
        <f>IF($C1205="B",INDEX(Batters[[#All],[GAP P]],MATCH(Table5[[#This Row],[PID]],Batters[[#All],[PID]],0)),INDEX(Table3[[#All],[MOV P]],MATCH(Table5[[#This Row],[PID]],Table3[[#All],[PID]],0)))</f>
        <v>7</v>
      </c>
      <c r="N1205" s="56">
        <f>IF($C1205="B",INDEX(Batters[[#All],[POW P]],MATCH(Table5[[#This Row],[PID]],Batters[[#All],[PID]],0)),INDEX(Table3[[#All],[CON P]],MATCH(Table5[[#This Row],[PID]],Table3[[#All],[PID]],0)))</f>
        <v>2</v>
      </c>
      <c r="O1205" s="56">
        <f>IF($C1205="B",INDEX(Batters[[#All],[EYE P]],MATCH(Table5[[#This Row],[PID]],Batters[[#All],[PID]],0)),INDEX(Table3[[#All],[VELO]],MATCH(Table5[[#This Row],[PID]],Table3[[#All],[PID]],0)))</f>
        <v>5</v>
      </c>
      <c r="P1205" s="56">
        <f>IF($C1205="B",INDEX(Batters[[#All],[K P]],MATCH(Table5[[#This Row],[PID]],Batters[[#All],[PID]],0)),INDEX(Table3[[#All],[STM]],MATCH(Table5[[#This Row],[PID]],Table3[[#All],[PID]],0)))</f>
        <v>4</v>
      </c>
      <c r="Q1205" s="61">
        <f>IF($C1205="B",INDEX(Batters[[#All],[Tot]],MATCH(Table5[[#This Row],[PID]],Batters[[#All],[PID]],0)),INDEX(Table3[[#All],[Tot]],MATCH(Table5[[#This Row],[PID]],Table3[[#All],[PID]],0)))</f>
        <v>39.258861155258728</v>
      </c>
      <c r="R1205" s="52">
        <f>IF($C1205="B",INDEX(Batters[[#All],[zScore]],MATCH(Table5[[#This Row],[PID]],Batters[[#All],[PID]],0)),INDEX(Table3[[#All],[zScore]],MATCH(Table5[[#This Row],[PID]],Table3[[#All],[PID]],0)))</f>
        <v>-1.0803944571195119</v>
      </c>
      <c r="S1205" s="58" t="str">
        <f>IF($C1205="B",INDEX(Batters[[#All],[DEM]],MATCH(Table5[[#This Row],[PID]],Batters[[#All],[PID]],0)),INDEX(Table3[[#All],[DEM]],MATCH(Table5[[#This Row],[PID]],Table3[[#All],[PID]],0)))</f>
        <v>$65k</v>
      </c>
      <c r="T1205" s="62">
        <f>IF($C1205="B",INDEX(Batters[[#All],[Rnk]],MATCH(Table5[[#This Row],[PID]],Batters[[#All],[PID]],0)),INDEX(Table3[[#All],[Rnk]],MATCH(Table5[[#This Row],[PID]],Table3[[#All],[PID]],0)))</f>
        <v>452</v>
      </c>
      <c r="U1205" s="68">
        <f>IF($C1205="B",VLOOKUP($A1205,Bat!$A$4:$BA$1621,47,FALSE),VLOOKUP($A1205,Pit!$A$4:$BF$1557,56,FALSE))</f>
        <v>0</v>
      </c>
      <c r="V1205" s="50">
        <f>IF($C1205="B",VLOOKUP($A1205,Bat!$A$4:$BA$1621,48,FALSE),VLOOKUP($A1205,Pit!$A$4:$BF$1557,57,FALSE))</f>
        <v>0</v>
      </c>
      <c r="W1205" s="50">
        <f>Table5[[#This Row],[posRnk]]+Table5[[#This Row],[zRnk]]+IF($W$3&lt;&gt;Table5[[#This Row],[Type]],50,0)</f>
        <v>1672</v>
      </c>
      <c r="X1205" s="51">
        <f>RANK(Table5[[#This Row],[zScore]],Table5[[#All],[zScore]])</f>
        <v>1170</v>
      </c>
      <c r="Y1205" s="50" t="str">
        <f>IFERROR(INDEX(DraftResults[[#All],[OVR]],MATCH(Table5[[#This Row],[PID]],DraftResults[[#All],[Player ID]],0)),"")</f>
        <v/>
      </c>
      <c r="Z12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5" s="50" t="str">
        <f>IFERROR(INDEX(DraftResults[[#All],[Pick in Round]],MATCH(Table5[[#This Row],[PID]],DraftResults[[#All],[Player ID]],0)),"")</f>
        <v/>
      </c>
      <c r="AB1205" s="50" t="str">
        <f>IFERROR(INDEX(DraftResults[[#All],[Team Name]],MATCH(Table5[[#This Row],[PID]],DraftResults[[#All],[Player ID]],0)),"")</f>
        <v/>
      </c>
      <c r="AC1205" s="50" t="str">
        <f>IF(Table5[[#This Row],[Ovr]]="","",IF(Table5[[#This Row],[cmbList]]="","",Table5[[#This Row],[cmbList]]-Table5[[#This Row],[Ovr]]))</f>
        <v/>
      </c>
      <c r="AD1205" s="54" t="str">
        <f>IF(ISERROR(VLOOKUP($AB1205&amp;"-"&amp;$E1205&amp;" "&amp;F1205,Bonuses!$B$1:$G$1006,4,FALSE)),"",INT(VLOOKUP($AB1205&amp;"-"&amp;$E1205&amp;" "&amp;$F1205,Bonuses!$B$1:$G$1006,4,FALSE)))</f>
        <v/>
      </c>
      <c r="AE12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6" spans="1:31" s="7" customFormat="1" x14ac:dyDescent="0.25">
      <c r="A1206" s="50">
        <v>20463</v>
      </c>
      <c r="B1206" s="50">
        <f>COUNTIF(Table5[PID],A1206)</f>
        <v>1</v>
      </c>
      <c r="C1206" s="50" t="str">
        <f>IF(COUNTIF(Table3[[#All],[PID]],A1206)&gt;0,"P","B")</f>
        <v>B</v>
      </c>
      <c r="D1206" s="59" t="str">
        <f>IF($C1206="B",INDEX(Batters[[#All],[POS]],MATCH(Table5[[#This Row],[PID]],Batters[[#All],[PID]],0)),INDEX(Table3[[#All],[POS]],MATCH(Table5[[#This Row],[PID]],Table3[[#All],[PID]],0)))</f>
        <v>C</v>
      </c>
      <c r="E1206" s="52" t="str">
        <f>IF($C1206="B",INDEX(Batters[[#All],[First]],MATCH(Table5[[#This Row],[PID]],Batters[[#All],[PID]],0)),INDEX(Table3[[#All],[First]],MATCH(Table5[[#This Row],[PID]],Table3[[#All],[PID]],0)))</f>
        <v>Arif</v>
      </c>
      <c r="F1206" s="50" t="str">
        <f>IF($C1206="B",INDEX(Batters[[#All],[Last]],MATCH(A1206,Batters[[#All],[PID]],0)),INDEX(Table3[[#All],[Last]],MATCH(A1206,Table3[[#All],[PID]],0)))</f>
        <v>Rais</v>
      </c>
      <c r="G1206" s="56">
        <f>IF($C1206="B",INDEX(Batters[[#All],[Age]],MATCH(Table5[[#This Row],[PID]],Batters[[#All],[PID]],0)),INDEX(Table3[[#All],[Age]],MATCH(Table5[[#This Row],[PID]],Table3[[#All],[PID]],0)))</f>
        <v>18</v>
      </c>
      <c r="H1206" s="52" t="str">
        <f>IF($C1206="B",INDEX(Batters[[#All],[B]],MATCH(Table5[[#This Row],[PID]],Batters[[#All],[PID]],0)),INDEX(Table3[[#All],[B]],MATCH(Table5[[#This Row],[PID]],Table3[[#All],[PID]],0)))</f>
        <v>R</v>
      </c>
      <c r="I1206" s="52" t="str">
        <f>IF($C1206="B",INDEX(Batters[[#All],[T]],MATCH(Table5[[#This Row],[PID]],Batters[[#All],[PID]],0)),INDEX(Table3[[#All],[T]],MATCH(Table5[[#This Row],[PID]],Table3[[#All],[PID]],0)))</f>
        <v>R</v>
      </c>
      <c r="J1206" s="52" t="str">
        <f>IF($C1206="B",INDEX(Batters[[#All],[WE]],MATCH(Table5[[#This Row],[PID]],Batters[[#All],[PID]],0)),INDEX(Table3[[#All],[WE]],MATCH(Table5[[#This Row],[PID]],Table3[[#All],[PID]],0)))</f>
        <v>Low</v>
      </c>
      <c r="K1206" s="52" t="str">
        <f>IF($C1206="B",INDEX(Batters[[#All],[INT]],MATCH(Table5[[#This Row],[PID]],Batters[[#All],[PID]],0)),INDEX(Table3[[#All],[INT]],MATCH(Table5[[#This Row],[PID]],Table3[[#All],[PID]],0)))</f>
        <v>Normal</v>
      </c>
      <c r="L1206" s="60">
        <f>IF($C1206="B",INDEX(Batters[[#All],[CON P]],MATCH(Table5[[#This Row],[PID]],Batters[[#All],[PID]],0)),INDEX(Table3[[#All],[STU P]],MATCH(Table5[[#This Row],[PID]],Table3[[#All],[PID]],0)))</f>
        <v>3</v>
      </c>
      <c r="M1206" s="56">
        <f>IF($C1206="B",INDEX(Batters[[#All],[GAP P]],MATCH(Table5[[#This Row],[PID]],Batters[[#All],[PID]],0)),INDEX(Table3[[#All],[MOV P]],MATCH(Table5[[#This Row],[PID]],Table3[[#All],[PID]],0)))</f>
        <v>3</v>
      </c>
      <c r="N1206" s="56">
        <f>IF($C1206="B",INDEX(Batters[[#All],[POW P]],MATCH(Table5[[#This Row],[PID]],Batters[[#All],[PID]],0)),INDEX(Table3[[#All],[CON P]],MATCH(Table5[[#This Row],[PID]],Table3[[#All],[PID]],0)))</f>
        <v>2</v>
      </c>
      <c r="O1206" s="56">
        <f>IF($C1206="B",INDEX(Batters[[#All],[EYE P]],MATCH(Table5[[#This Row],[PID]],Batters[[#All],[PID]],0)),INDEX(Table3[[#All],[VELO]],MATCH(Table5[[#This Row],[PID]],Table3[[#All],[PID]],0)))</f>
        <v>5</v>
      </c>
      <c r="P1206" s="56">
        <f>IF($C1206="B",INDEX(Batters[[#All],[K P]],MATCH(Table5[[#This Row],[PID]],Batters[[#All],[PID]],0)),INDEX(Table3[[#All],[STM]],MATCH(Table5[[#This Row],[PID]],Table3[[#All],[PID]],0)))</f>
        <v>2</v>
      </c>
      <c r="Q1206" s="61">
        <f>IF($C1206="B",INDEX(Batters[[#All],[Tot]],MATCH(Table5[[#This Row],[PID]],Batters[[#All],[PID]],0)),INDEX(Table3[[#All],[Tot]],MATCH(Table5[[#This Row],[PID]],Table3[[#All],[PID]],0)))</f>
        <v>39.246492157754517</v>
      </c>
      <c r="R1206" s="52">
        <f>IF($C1206="B",INDEX(Batters[[#All],[zScore]],MATCH(Table5[[#This Row],[PID]],Batters[[#All],[PID]],0)),INDEX(Table3[[#All],[zScore]],MATCH(Table5[[#This Row],[PID]],Table3[[#All],[PID]],0)))</f>
        <v>-1.0831367474728595</v>
      </c>
      <c r="S1206" s="58" t="str">
        <f>IF($C1206="B",INDEX(Batters[[#All],[DEM]],MATCH(Table5[[#This Row],[PID]],Batters[[#All],[PID]],0)),INDEX(Table3[[#All],[DEM]],MATCH(Table5[[#This Row],[PID]],Table3[[#All],[PID]],0)))</f>
        <v>$100k</v>
      </c>
      <c r="T1206" s="62">
        <f>IF($C1206="B",INDEX(Batters[[#All],[Rnk]],MATCH(Table5[[#This Row],[PID]],Batters[[#All],[PID]],0)),INDEX(Table3[[#All],[Rnk]],MATCH(Table5[[#This Row],[PID]],Table3[[#All],[PID]],0)))</f>
        <v>453</v>
      </c>
      <c r="U1206" s="68">
        <f>IF($C1206="B",VLOOKUP($A1206,Bat!$A$4:$BA$1621,47,FALSE),VLOOKUP($A1206,Pit!$A$4:$BF$1557,56,FALSE))</f>
        <v>0</v>
      </c>
      <c r="V1206" s="50">
        <f>IF($C1206="B",VLOOKUP($A1206,Bat!$A$4:$BA$1621,48,FALSE),VLOOKUP($A1206,Pit!$A$4:$BF$1557,57,FALSE))</f>
        <v>0</v>
      </c>
      <c r="W1206" s="50">
        <f>Table5[[#This Row],[posRnk]]+Table5[[#This Row],[zRnk]]+IF($W$3&lt;&gt;Table5[[#This Row],[Type]],50,0)</f>
        <v>1674</v>
      </c>
      <c r="X1206" s="51">
        <f>RANK(Table5[[#This Row],[zScore]],Table5[[#All],[zScore]])</f>
        <v>1171</v>
      </c>
      <c r="Y1206" s="50" t="str">
        <f>IFERROR(INDEX(DraftResults[[#All],[OVR]],MATCH(Table5[[#This Row],[PID]],DraftResults[[#All],[Player ID]],0)),"")</f>
        <v/>
      </c>
      <c r="Z12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6" s="50" t="str">
        <f>IFERROR(INDEX(DraftResults[[#All],[Pick in Round]],MATCH(Table5[[#This Row],[PID]],DraftResults[[#All],[Player ID]],0)),"")</f>
        <v/>
      </c>
      <c r="AB1206" s="50" t="str">
        <f>IFERROR(INDEX(DraftResults[[#All],[Team Name]],MATCH(Table5[[#This Row],[PID]],DraftResults[[#All],[Player ID]],0)),"")</f>
        <v/>
      </c>
      <c r="AC1206" s="50" t="str">
        <f>IF(Table5[[#This Row],[Ovr]]="","",IF(Table5[[#This Row],[cmbList]]="","",Table5[[#This Row],[cmbList]]-Table5[[#This Row],[Ovr]]))</f>
        <v/>
      </c>
      <c r="AD1206" s="54" t="str">
        <f>IF(ISERROR(VLOOKUP($AB1206&amp;"-"&amp;$E1206&amp;" "&amp;F1206,Bonuses!$B$1:$G$1006,4,FALSE)),"",INT(VLOOKUP($AB1206&amp;"-"&amp;$E1206&amp;" "&amp;$F1206,Bonuses!$B$1:$G$1006,4,FALSE)))</f>
        <v/>
      </c>
      <c r="AE12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7" spans="1:31" s="7" customFormat="1" x14ac:dyDescent="0.25">
      <c r="A1207" s="50">
        <v>16906</v>
      </c>
      <c r="B1207" s="50">
        <f>COUNTIF(Table5[PID],A1207)</f>
        <v>1</v>
      </c>
      <c r="C1207" s="50" t="str">
        <f>IF(COUNTIF(Table3[[#All],[PID]],A1207)&gt;0,"P","B")</f>
        <v>B</v>
      </c>
      <c r="D1207" s="59" t="str">
        <f>IF($C1207="B",INDEX(Batters[[#All],[POS]],MATCH(Table5[[#This Row],[PID]],Batters[[#All],[PID]],0)),INDEX(Table3[[#All],[POS]],MATCH(Table5[[#This Row],[PID]],Table3[[#All],[PID]],0)))</f>
        <v>3B</v>
      </c>
      <c r="E1207" s="52" t="str">
        <f>IF($C1207="B",INDEX(Batters[[#All],[First]],MATCH(Table5[[#This Row],[PID]],Batters[[#All],[PID]],0)),INDEX(Table3[[#All],[First]],MATCH(Table5[[#This Row],[PID]],Table3[[#All],[PID]],0)))</f>
        <v>Frank</v>
      </c>
      <c r="F1207" s="50" t="str">
        <f>IF($C1207="B",INDEX(Batters[[#All],[Last]],MATCH(A1207,Batters[[#All],[PID]],0)),INDEX(Table3[[#All],[Last]],MATCH(A1207,Table3[[#All],[PID]],0)))</f>
        <v>Edwards</v>
      </c>
      <c r="G1207" s="56">
        <f>IF($C1207="B",INDEX(Batters[[#All],[Age]],MATCH(Table5[[#This Row],[PID]],Batters[[#All],[PID]],0)),INDEX(Table3[[#All],[Age]],MATCH(Table5[[#This Row],[PID]],Table3[[#All],[PID]],0)))</f>
        <v>21</v>
      </c>
      <c r="H1207" s="52" t="str">
        <f>IF($C1207="B",INDEX(Batters[[#All],[B]],MATCH(Table5[[#This Row],[PID]],Batters[[#All],[PID]],0)),INDEX(Table3[[#All],[B]],MATCH(Table5[[#This Row],[PID]],Table3[[#All],[PID]],0)))</f>
        <v>L</v>
      </c>
      <c r="I1207" s="52" t="str">
        <f>IF($C1207="B",INDEX(Batters[[#All],[T]],MATCH(Table5[[#This Row],[PID]],Batters[[#All],[PID]],0)),INDEX(Table3[[#All],[T]],MATCH(Table5[[#This Row],[PID]],Table3[[#All],[PID]],0)))</f>
        <v>R</v>
      </c>
      <c r="J1207" s="52" t="str">
        <f>IF($C1207="B",INDEX(Batters[[#All],[WE]],MATCH(Table5[[#This Row],[PID]],Batters[[#All],[PID]],0)),INDEX(Table3[[#All],[WE]],MATCH(Table5[[#This Row],[PID]],Table3[[#All],[PID]],0)))</f>
        <v>Low</v>
      </c>
      <c r="K1207" s="52" t="str">
        <f>IF($C1207="B",INDEX(Batters[[#All],[INT]],MATCH(Table5[[#This Row],[PID]],Batters[[#All],[PID]],0)),INDEX(Table3[[#All],[INT]],MATCH(Table5[[#This Row],[PID]],Table3[[#All],[PID]],0)))</f>
        <v>Low</v>
      </c>
      <c r="L1207" s="60">
        <f>IF($C1207="B",INDEX(Batters[[#All],[CON P]],MATCH(Table5[[#This Row],[PID]],Batters[[#All],[PID]],0)),INDEX(Table3[[#All],[STU P]],MATCH(Table5[[#This Row],[PID]],Table3[[#All],[PID]],0)))</f>
        <v>4</v>
      </c>
      <c r="M1207" s="56">
        <f>IF($C1207="B",INDEX(Batters[[#All],[GAP P]],MATCH(Table5[[#This Row],[PID]],Batters[[#All],[PID]],0)),INDEX(Table3[[#All],[MOV P]],MATCH(Table5[[#This Row],[PID]],Table3[[#All],[PID]],0)))</f>
        <v>4</v>
      </c>
      <c r="N1207" s="56">
        <f>IF($C1207="B",INDEX(Batters[[#All],[POW P]],MATCH(Table5[[#This Row],[PID]],Batters[[#All],[PID]],0)),INDEX(Table3[[#All],[CON P]],MATCH(Table5[[#This Row],[PID]],Table3[[#All],[PID]],0)))</f>
        <v>4</v>
      </c>
      <c r="O1207" s="56">
        <f>IF($C1207="B",INDEX(Batters[[#All],[EYE P]],MATCH(Table5[[#This Row],[PID]],Batters[[#All],[PID]],0)),INDEX(Table3[[#All],[VELO]],MATCH(Table5[[#This Row],[PID]],Table3[[#All],[PID]],0)))</f>
        <v>3</v>
      </c>
      <c r="P1207" s="56">
        <f>IF($C1207="B",INDEX(Batters[[#All],[K P]],MATCH(Table5[[#This Row],[PID]],Batters[[#All],[PID]],0)),INDEX(Table3[[#All],[STM]],MATCH(Table5[[#This Row],[PID]],Table3[[#All],[PID]],0)))</f>
        <v>4</v>
      </c>
      <c r="Q1207" s="61">
        <f>IF($C1207="B",INDEX(Batters[[#All],[Tot]],MATCH(Table5[[#This Row],[PID]],Batters[[#All],[PID]],0)),INDEX(Table3[[#All],[Tot]],MATCH(Table5[[#This Row],[PID]],Table3[[#All],[PID]],0)))</f>
        <v>39.23085622650737</v>
      </c>
      <c r="R1207" s="52">
        <f>IF($C1207="B",INDEX(Batters[[#All],[zScore]],MATCH(Table5[[#This Row],[PID]],Batters[[#All],[PID]],0)),INDEX(Table3[[#All],[zScore]],MATCH(Table5[[#This Row],[PID]],Table3[[#All],[PID]],0)))</f>
        <v>-1.0866033391194383</v>
      </c>
      <c r="S1207" s="58" t="str">
        <f>IF($C1207="B",INDEX(Batters[[#All],[DEM]],MATCH(Table5[[#This Row],[PID]],Batters[[#All],[PID]],0)),INDEX(Table3[[#All],[DEM]],MATCH(Table5[[#This Row],[PID]],Table3[[#All],[PID]],0)))</f>
        <v>-</v>
      </c>
      <c r="T1207" s="62">
        <f>IF($C1207="B",INDEX(Batters[[#All],[Rnk]],MATCH(Table5[[#This Row],[PID]],Batters[[#All],[PID]],0)),INDEX(Table3[[#All],[Rnk]],MATCH(Table5[[#This Row],[PID]],Table3[[#All],[PID]],0)))</f>
        <v>454</v>
      </c>
      <c r="U1207" s="68">
        <f>IF($C1207="B",VLOOKUP($A1207,Bat!$A$4:$BA$1621,47,FALSE),VLOOKUP($A1207,Pit!$A$4:$BF$1557,56,FALSE))</f>
        <v>0</v>
      </c>
      <c r="V1207" s="50">
        <f>IF($C1207="B",VLOOKUP($A1207,Bat!$A$4:$BA$1621,48,FALSE),VLOOKUP($A1207,Pit!$A$4:$BF$1557,57,FALSE))</f>
        <v>0</v>
      </c>
      <c r="W1207" s="50">
        <f>Table5[[#This Row],[posRnk]]+Table5[[#This Row],[zRnk]]+IF($W$3&lt;&gt;Table5[[#This Row],[Type]],50,0)</f>
        <v>1676</v>
      </c>
      <c r="X1207" s="51">
        <f>RANK(Table5[[#This Row],[zScore]],Table5[[#All],[zScore]])</f>
        <v>1172</v>
      </c>
      <c r="Y1207" s="50" t="str">
        <f>IFERROR(INDEX(DraftResults[[#All],[OVR]],MATCH(Table5[[#This Row],[PID]],DraftResults[[#All],[Player ID]],0)),"")</f>
        <v/>
      </c>
      <c r="Z12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7" s="50" t="str">
        <f>IFERROR(INDEX(DraftResults[[#All],[Pick in Round]],MATCH(Table5[[#This Row],[PID]],DraftResults[[#All],[Player ID]],0)),"")</f>
        <v/>
      </c>
      <c r="AB1207" s="50" t="str">
        <f>IFERROR(INDEX(DraftResults[[#All],[Team Name]],MATCH(Table5[[#This Row],[PID]],DraftResults[[#All],[Player ID]],0)),"")</f>
        <v/>
      </c>
      <c r="AC1207" s="50" t="str">
        <f>IF(Table5[[#This Row],[Ovr]]="","",IF(Table5[[#This Row],[cmbList]]="","",Table5[[#This Row],[cmbList]]-Table5[[#This Row],[Ovr]]))</f>
        <v/>
      </c>
      <c r="AD1207" s="54" t="str">
        <f>IF(ISERROR(VLOOKUP($AB1207&amp;"-"&amp;$E1207&amp;" "&amp;F1207,Bonuses!$B$1:$G$1006,4,FALSE)),"",INT(VLOOKUP($AB1207&amp;"-"&amp;$E1207&amp;" "&amp;$F1207,Bonuses!$B$1:$G$1006,4,FALSE)))</f>
        <v/>
      </c>
      <c r="AE12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8" spans="1:31" s="7" customFormat="1" x14ac:dyDescent="0.25">
      <c r="A1208" s="50">
        <v>4784</v>
      </c>
      <c r="B1208" s="50">
        <f>COUNTIF(Table5[PID],A1208)</f>
        <v>1</v>
      </c>
      <c r="C1208" s="50" t="str">
        <f>IF(COUNTIF(Table3[[#All],[PID]],A1208)&gt;0,"P","B")</f>
        <v>P</v>
      </c>
      <c r="D1208" s="59" t="str">
        <f>IF($C1208="B",INDEX(Batters[[#All],[POS]],MATCH(Table5[[#This Row],[PID]],Batters[[#All],[PID]],0)),INDEX(Table3[[#All],[POS]],MATCH(Table5[[#This Row],[PID]],Table3[[#All],[PID]],0)))</f>
        <v>RP</v>
      </c>
      <c r="E1208" s="52" t="str">
        <f>IF($C1208="B",INDEX(Batters[[#All],[First]],MATCH(Table5[[#This Row],[PID]],Batters[[#All],[PID]],0)),INDEX(Table3[[#All],[First]],MATCH(Table5[[#This Row],[PID]],Table3[[#All],[PID]],0)))</f>
        <v>Dan</v>
      </c>
      <c r="F1208" s="50" t="str">
        <f>IF($C1208="B",INDEX(Batters[[#All],[Last]],MATCH(A1208,Batters[[#All],[PID]],0)),INDEX(Table3[[#All],[Last]],MATCH(A1208,Table3[[#All],[PID]],0)))</f>
        <v>Rivera</v>
      </c>
      <c r="G1208" s="56">
        <f>IF($C1208="B",INDEX(Batters[[#All],[Age]],MATCH(Table5[[#This Row],[PID]],Batters[[#All],[PID]],0)),INDEX(Table3[[#All],[Age]],MATCH(Table5[[#This Row],[PID]],Table3[[#All],[PID]],0)))</f>
        <v>22</v>
      </c>
      <c r="H1208" s="52" t="str">
        <f>IF($C1208="B",INDEX(Batters[[#All],[B]],MATCH(Table5[[#This Row],[PID]],Batters[[#All],[PID]],0)),INDEX(Table3[[#All],[B]],MATCH(Table5[[#This Row],[PID]],Table3[[#All],[PID]],0)))</f>
        <v>S</v>
      </c>
      <c r="I1208" s="52" t="str">
        <f>IF($C1208="B",INDEX(Batters[[#All],[T]],MATCH(Table5[[#This Row],[PID]],Batters[[#All],[PID]],0)),INDEX(Table3[[#All],[T]],MATCH(Table5[[#This Row],[PID]],Table3[[#All],[PID]],0)))</f>
        <v>R</v>
      </c>
      <c r="J1208" s="52" t="str">
        <f>IF($C1208="B",INDEX(Batters[[#All],[WE]],MATCH(Table5[[#This Row],[PID]],Batters[[#All],[PID]],0)),INDEX(Table3[[#All],[WE]],MATCH(Table5[[#This Row],[PID]],Table3[[#All],[PID]],0)))</f>
        <v>Low</v>
      </c>
      <c r="K1208" s="52" t="str">
        <f>IF($C1208="B",INDEX(Batters[[#All],[INT]],MATCH(Table5[[#This Row],[PID]],Batters[[#All],[PID]],0)),INDEX(Table3[[#All],[INT]],MATCH(Table5[[#This Row],[PID]],Table3[[#All],[PID]],0)))</f>
        <v>Low</v>
      </c>
      <c r="L1208" s="60">
        <f>IF($C1208="B",INDEX(Batters[[#All],[CON P]],MATCH(Table5[[#This Row],[PID]],Batters[[#All],[PID]],0)),INDEX(Table3[[#All],[STU P]],MATCH(Table5[[#This Row],[PID]],Table3[[#All],[PID]],0)))</f>
        <v>4</v>
      </c>
      <c r="M1208" s="56">
        <f>IF($C1208="B",INDEX(Batters[[#All],[GAP P]],MATCH(Table5[[#This Row],[PID]],Batters[[#All],[PID]],0)),INDEX(Table3[[#All],[MOV P]],MATCH(Table5[[#This Row],[PID]],Table3[[#All],[PID]],0)))</f>
        <v>2</v>
      </c>
      <c r="N1208" s="56">
        <f>IF($C1208="B",INDEX(Batters[[#All],[POW P]],MATCH(Table5[[#This Row],[PID]],Batters[[#All],[PID]],0)),INDEX(Table3[[#All],[CON P]],MATCH(Table5[[#This Row],[PID]],Table3[[#All],[PID]],0)))</f>
        <v>2</v>
      </c>
      <c r="O1208" s="56" t="str">
        <f>IF($C1208="B",INDEX(Batters[[#All],[EYE P]],MATCH(Table5[[#This Row],[PID]],Batters[[#All],[PID]],0)),INDEX(Table3[[#All],[VELO]],MATCH(Table5[[#This Row],[PID]],Table3[[#All],[PID]],0)))</f>
        <v>89-91 Mph</v>
      </c>
      <c r="P1208" s="56">
        <f>IF($C1208="B",INDEX(Batters[[#All],[K P]],MATCH(Table5[[#This Row],[PID]],Batters[[#All],[PID]],0)),INDEX(Table3[[#All],[STM]],MATCH(Table5[[#This Row],[PID]],Table3[[#All],[PID]],0)))</f>
        <v>4</v>
      </c>
      <c r="Q1208" s="61">
        <f>IF($C1208="B",INDEX(Batters[[#All],[Tot]],MATCH(Table5[[#This Row],[PID]],Batters[[#All],[PID]],0)),INDEX(Table3[[#All],[Tot]],MATCH(Table5[[#This Row],[PID]],Table3[[#All],[PID]],0)))</f>
        <v>21.832780886956932</v>
      </c>
      <c r="R1208" s="52">
        <f>IF($C1208="B",INDEX(Batters[[#All],[zScore]],MATCH(Table5[[#This Row],[PID]],Batters[[#All],[PID]],0)),INDEX(Table3[[#All],[zScore]],MATCH(Table5[[#This Row],[PID]],Table3[[#All],[PID]],0)))</f>
        <v>-1.0940084856011645</v>
      </c>
      <c r="S1208" s="58" t="str">
        <f>IF($C1208="B",INDEX(Batters[[#All],[DEM]],MATCH(Table5[[#This Row],[PID]],Batters[[#All],[PID]],0)),INDEX(Table3[[#All],[DEM]],MATCH(Table5[[#This Row],[PID]],Table3[[#All],[PID]],0)))</f>
        <v>-</v>
      </c>
      <c r="T1208" s="62">
        <f>IF($C1208="B",INDEX(Batters[[#All],[Rnk]],MATCH(Table5[[#This Row],[PID]],Batters[[#All],[PID]],0)),INDEX(Table3[[#All],[Rnk]],MATCH(Table5[[#This Row],[PID]],Table3[[#All],[PID]],0)))</f>
        <v>718</v>
      </c>
      <c r="U1208" s="68">
        <f>IF($C1208="B",VLOOKUP($A1208,Bat!$A$4:$BA$1621,47,FALSE),VLOOKUP($A1208,Pit!$A$4:$BF$1557,56,FALSE))</f>
        <v>0</v>
      </c>
      <c r="V1208" s="50">
        <f>IF($C1208="B",VLOOKUP($A1208,Bat!$A$4:$BA$1621,48,FALSE),VLOOKUP($A1208,Pit!$A$4:$BF$1557,57,FALSE))</f>
        <v>0</v>
      </c>
      <c r="W1208" s="50">
        <f>Table5[[#This Row],[posRnk]]+Table5[[#This Row],[zRnk]]+IF($W$3&lt;&gt;Table5[[#This Row],[Type]],50,0)</f>
        <v>1941</v>
      </c>
      <c r="X1208" s="51">
        <f>RANK(Table5[[#This Row],[zScore]],Table5[[#All],[zScore]])</f>
        <v>1173</v>
      </c>
      <c r="Y1208" s="50" t="str">
        <f>IFERROR(INDEX(DraftResults[[#All],[OVR]],MATCH(Table5[[#This Row],[PID]],DraftResults[[#All],[Player ID]],0)),"")</f>
        <v/>
      </c>
      <c r="Z12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8" s="50" t="str">
        <f>IFERROR(INDEX(DraftResults[[#All],[Pick in Round]],MATCH(Table5[[#This Row],[PID]],DraftResults[[#All],[Player ID]],0)),"")</f>
        <v/>
      </c>
      <c r="AB1208" s="50" t="str">
        <f>IFERROR(INDEX(DraftResults[[#All],[Team Name]],MATCH(Table5[[#This Row],[PID]],DraftResults[[#All],[Player ID]],0)),"")</f>
        <v/>
      </c>
      <c r="AC1208" s="50" t="str">
        <f>IF(Table5[[#This Row],[Ovr]]="","",IF(Table5[[#This Row],[cmbList]]="","",Table5[[#This Row],[cmbList]]-Table5[[#This Row],[Ovr]]))</f>
        <v/>
      </c>
      <c r="AD1208" s="54" t="str">
        <f>IF(ISERROR(VLOOKUP($AB1208&amp;"-"&amp;$E1208&amp;" "&amp;F1208,Bonuses!$B$1:$G$1006,4,FALSE)),"",INT(VLOOKUP($AB1208&amp;"-"&amp;$E1208&amp;" "&amp;$F1208,Bonuses!$B$1:$G$1006,4,FALSE)))</f>
        <v/>
      </c>
      <c r="AE12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09" spans="1:31" s="7" customFormat="1" x14ac:dyDescent="0.25">
      <c r="A1209" s="50">
        <v>13172</v>
      </c>
      <c r="B1209" s="50">
        <f>COUNTIF(Table5[PID],A1209)</f>
        <v>1</v>
      </c>
      <c r="C1209" s="50" t="str">
        <f>IF(COUNTIF(Table3[[#All],[PID]],A1209)&gt;0,"P","B")</f>
        <v>P</v>
      </c>
      <c r="D1209" s="59" t="str">
        <f>IF($C1209="B",INDEX(Batters[[#All],[POS]],MATCH(Table5[[#This Row],[PID]],Batters[[#All],[PID]],0)),INDEX(Table3[[#All],[POS]],MATCH(Table5[[#This Row],[PID]],Table3[[#All],[PID]],0)))</f>
        <v>RP</v>
      </c>
      <c r="E1209" s="52" t="str">
        <f>IF($C1209="B",INDEX(Batters[[#All],[First]],MATCH(Table5[[#This Row],[PID]],Batters[[#All],[PID]],0)),INDEX(Table3[[#All],[First]],MATCH(Table5[[#This Row],[PID]],Table3[[#All],[PID]],0)))</f>
        <v>Yoichibei</v>
      </c>
      <c r="F1209" s="50" t="str">
        <f>IF($C1209="B",INDEX(Batters[[#All],[Last]],MATCH(A1209,Batters[[#All],[PID]],0)),INDEX(Table3[[#All],[Last]],MATCH(A1209,Table3[[#All],[PID]],0)))</f>
        <v>Tanaka</v>
      </c>
      <c r="G1209" s="56">
        <f>IF($C1209="B",INDEX(Batters[[#All],[Age]],MATCH(Table5[[#This Row],[PID]],Batters[[#All],[PID]],0)),INDEX(Table3[[#All],[Age]],MATCH(Table5[[#This Row],[PID]],Table3[[#All],[PID]],0)))</f>
        <v>21</v>
      </c>
      <c r="H1209" s="52" t="str">
        <f>IF($C1209="B",INDEX(Batters[[#All],[B]],MATCH(Table5[[#This Row],[PID]],Batters[[#All],[PID]],0)),INDEX(Table3[[#All],[B]],MATCH(Table5[[#This Row],[PID]],Table3[[#All],[PID]],0)))</f>
        <v>L</v>
      </c>
      <c r="I1209" s="52" t="str">
        <f>IF($C1209="B",INDEX(Batters[[#All],[T]],MATCH(Table5[[#This Row],[PID]],Batters[[#All],[PID]],0)),INDEX(Table3[[#All],[T]],MATCH(Table5[[#This Row],[PID]],Table3[[#All],[PID]],0)))</f>
        <v>R</v>
      </c>
      <c r="J1209" s="52" t="str">
        <f>IF($C1209="B",INDEX(Batters[[#All],[WE]],MATCH(Table5[[#This Row],[PID]],Batters[[#All],[PID]],0)),INDEX(Table3[[#All],[WE]],MATCH(Table5[[#This Row],[PID]],Table3[[#All],[PID]],0)))</f>
        <v>Low</v>
      </c>
      <c r="K1209" s="52" t="str">
        <f>IF($C1209="B",INDEX(Batters[[#All],[INT]],MATCH(Table5[[#This Row],[PID]],Batters[[#All],[PID]],0)),INDEX(Table3[[#All],[INT]],MATCH(Table5[[#This Row],[PID]],Table3[[#All],[PID]],0)))</f>
        <v>Normal</v>
      </c>
      <c r="L1209" s="60">
        <f>IF($C1209="B",INDEX(Batters[[#All],[CON P]],MATCH(Table5[[#This Row],[PID]],Batters[[#All],[PID]],0)),INDEX(Table3[[#All],[STU P]],MATCH(Table5[[#This Row],[PID]],Table3[[#All],[PID]],0)))</f>
        <v>4</v>
      </c>
      <c r="M1209" s="56">
        <f>IF($C1209="B",INDEX(Batters[[#All],[GAP P]],MATCH(Table5[[#This Row],[PID]],Batters[[#All],[PID]],0)),INDEX(Table3[[#All],[MOV P]],MATCH(Table5[[#This Row],[PID]],Table3[[#All],[PID]],0)))</f>
        <v>1</v>
      </c>
      <c r="N1209" s="56">
        <f>IF($C1209="B",INDEX(Batters[[#All],[POW P]],MATCH(Table5[[#This Row],[PID]],Batters[[#All],[PID]],0)),INDEX(Table3[[#All],[CON P]],MATCH(Table5[[#This Row],[PID]],Table3[[#All],[PID]],0)))</f>
        <v>2</v>
      </c>
      <c r="O1209" s="56" t="str">
        <f>IF($C1209="B",INDEX(Batters[[#All],[EYE P]],MATCH(Table5[[#This Row],[PID]],Batters[[#All],[PID]],0)),INDEX(Table3[[#All],[VELO]],MATCH(Table5[[#This Row],[PID]],Table3[[#All],[PID]],0)))</f>
        <v>85-87 Mph</v>
      </c>
      <c r="P1209" s="56">
        <f>IF($C1209="B",INDEX(Batters[[#All],[K P]],MATCH(Table5[[#This Row],[PID]],Batters[[#All],[PID]],0)),INDEX(Table3[[#All],[STM]],MATCH(Table5[[#This Row],[PID]],Table3[[#All],[PID]],0)))</f>
        <v>9</v>
      </c>
      <c r="Q1209" s="61">
        <f>IF($C1209="B",INDEX(Batters[[#All],[Tot]],MATCH(Table5[[#This Row],[PID]],Batters[[#All],[PID]],0)),INDEX(Table3[[#All],[Tot]],MATCH(Table5[[#This Row],[PID]],Table3[[#All],[PID]],0)))</f>
        <v>21.636913989457138</v>
      </c>
      <c r="R1209" s="52">
        <f>IF($C1209="B",INDEX(Batters[[#All],[zScore]],MATCH(Table5[[#This Row],[PID]],Batters[[#All],[PID]],0)),INDEX(Table3[[#All],[zScore]],MATCH(Table5[[#This Row],[PID]],Table3[[#All],[PID]],0)))</f>
        <v>-1.0957531956425115</v>
      </c>
      <c r="S1209" s="58" t="str">
        <f>IF($C1209="B",INDEX(Batters[[#All],[DEM]],MATCH(Table5[[#This Row],[PID]],Batters[[#All],[PID]],0)),INDEX(Table3[[#All],[DEM]],MATCH(Table5[[#This Row],[PID]],Table3[[#All],[PID]],0)))</f>
        <v>-</v>
      </c>
      <c r="T1209" s="62">
        <f>IF($C1209="B",INDEX(Batters[[#All],[Rnk]],MATCH(Table5[[#This Row],[PID]],Batters[[#All],[PID]],0)),INDEX(Table3[[#All],[Rnk]],MATCH(Table5[[#This Row],[PID]],Table3[[#All],[PID]],0)))</f>
        <v>719</v>
      </c>
      <c r="U1209" s="68">
        <f>IF($C1209="B",VLOOKUP($A1209,Bat!$A$4:$BA$1621,47,FALSE),VLOOKUP($A1209,Pit!$A$4:$BF$1557,56,FALSE))</f>
        <v>0</v>
      </c>
      <c r="V1209" s="50">
        <f>IF($C1209="B",VLOOKUP($A1209,Bat!$A$4:$BA$1621,48,FALSE),VLOOKUP($A1209,Pit!$A$4:$BF$1557,57,FALSE))</f>
        <v>0</v>
      </c>
      <c r="W1209" s="50">
        <f>Table5[[#This Row],[posRnk]]+Table5[[#This Row],[zRnk]]+IF($W$3&lt;&gt;Table5[[#This Row],[Type]],50,0)</f>
        <v>1943</v>
      </c>
      <c r="X1209" s="51">
        <f>RANK(Table5[[#This Row],[zScore]],Table5[[#All],[zScore]])</f>
        <v>1174</v>
      </c>
      <c r="Y1209" s="50" t="str">
        <f>IFERROR(INDEX(DraftResults[[#All],[OVR]],MATCH(Table5[[#This Row],[PID]],DraftResults[[#All],[Player ID]],0)),"")</f>
        <v/>
      </c>
      <c r="Z12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09" s="50" t="str">
        <f>IFERROR(INDEX(DraftResults[[#All],[Pick in Round]],MATCH(Table5[[#This Row],[PID]],DraftResults[[#All],[Player ID]],0)),"")</f>
        <v/>
      </c>
      <c r="AB1209" s="50" t="str">
        <f>IFERROR(INDEX(DraftResults[[#All],[Team Name]],MATCH(Table5[[#This Row],[PID]],DraftResults[[#All],[Player ID]],0)),"")</f>
        <v/>
      </c>
      <c r="AC1209" s="50" t="str">
        <f>IF(Table5[[#This Row],[Ovr]]="","",IF(Table5[[#This Row],[cmbList]]="","",Table5[[#This Row],[cmbList]]-Table5[[#This Row],[Ovr]]))</f>
        <v/>
      </c>
      <c r="AD1209" s="54" t="str">
        <f>IF(ISERROR(VLOOKUP($AB1209&amp;"-"&amp;$E1209&amp;" "&amp;F1209,Bonuses!$B$1:$G$1006,4,FALSE)),"",INT(VLOOKUP($AB1209&amp;"-"&amp;$E1209&amp;" "&amp;$F1209,Bonuses!$B$1:$G$1006,4,FALSE)))</f>
        <v/>
      </c>
      <c r="AE12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0" spans="1:31" s="7" customFormat="1" x14ac:dyDescent="0.25">
      <c r="A1210" s="50">
        <v>12612</v>
      </c>
      <c r="B1210" s="55">
        <f>COUNTIF(Table5[PID],A1210)</f>
        <v>1</v>
      </c>
      <c r="C1210" s="55" t="str">
        <f>IF(COUNTIF(Table3[[#All],[PID]],A1210)&gt;0,"P","B")</f>
        <v>P</v>
      </c>
      <c r="D1210" s="59" t="str">
        <f>IF($C1210="B",INDEX(Batters[[#All],[POS]],MATCH(Table5[[#This Row],[PID]],Batters[[#All],[PID]],0)),INDEX(Table3[[#All],[POS]],MATCH(Table5[[#This Row],[PID]],Table3[[#All],[PID]],0)))</f>
        <v>RP</v>
      </c>
      <c r="E1210" s="52" t="str">
        <f>IF($C1210="B",INDEX(Batters[[#All],[First]],MATCH(Table5[[#This Row],[PID]],Batters[[#All],[PID]],0)),INDEX(Table3[[#All],[First]],MATCH(Table5[[#This Row],[PID]],Table3[[#All],[PID]],0)))</f>
        <v>Masaharu</v>
      </c>
      <c r="F1210" s="50" t="str">
        <f>IF($C1210="B",INDEX(Batters[[#All],[Last]],MATCH(A1210,Batters[[#All],[PID]],0)),INDEX(Table3[[#All],[Last]],MATCH(A1210,Table3[[#All],[PID]],0)))</f>
        <v>Suzuki</v>
      </c>
      <c r="G1210" s="56">
        <f>IF($C1210="B",INDEX(Batters[[#All],[Age]],MATCH(Table5[[#This Row],[PID]],Batters[[#All],[PID]],0)),INDEX(Table3[[#All],[Age]],MATCH(Table5[[#This Row],[PID]],Table3[[#All],[PID]],0)))</f>
        <v>22</v>
      </c>
      <c r="H1210" s="52" t="str">
        <f>IF($C1210="B",INDEX(Batters[[#All],[B]],MATCH(Table5[[#This Row],[PID]],Batters[[#All],[PID]],0)),INDEX(Table3[[#All],[B]],MATCH(Table5[[#This Row],[PID]],Table3[[#All],[PID]],0)))</f>
        <v>L</v>
      </c>
      <c r="I1210" s="52" t="str">
        <f>IF($C1210="B",INDEX(Batters[[#All],[T]],MATCH(Table5[[#This Row],[PID]],Batters[[#All],[PID]],0)),INDEX(Table3[[#All],[T]],MATCH(Table5[[#This Row],[PID]],Table3[[#All],[PID]],0)))</f>
        <v>R</v>
      </c>
      <c r="J1210" s="52" t="str">
        <f>IF($C1210="B",INDEX(Batters[[#All],[WE]],MATCH(Table5[[#This Row],[PID]],Batters[[#All],[PID]],0)),INDEX(Table3[[#All],[WE]],MATCH(Table5[[#This Row],[PID]],Table3[[#All],[PID]],0)))</f>
        <v>Normal</v>
      </c>
      <c r="K1210" s="52" t="str">
        <f>IF($C1210="B",INDEX(Batters[[#All],[INT]],MATCH(Table5[[#This Row],[PID]],Batters[[#All],[PID]],0)),INDEX(Table3[[#All],[INT]],MATCH(Table5[[#This Row],[PID]],Table3[[#All],[PID]],0)))</f>
        <v>High</v>
      </c>
      <c r="L1210" s="60">
        <f>IF($C1210="B",INDEX(Batters[[#All],[CON P]],MATCH(Table5[[#This Row],[PID]],Batters[[#All],[PID]],0)),INDEX(Table3[[#All],[STU P]],MATCH(Table5[[#This Row],[PID]],Table3[[#All],[PID]],0)))</f>
        <v>2</v>
      </c>
      <c r="M1210" s="56">
        <f>IF($C1210="B",INDEX(Batters[[#All],[GAP P]],MATCH(Table5[[#This Row],[PID]],Batters[[#All],[PID]],0)),INDEX(Table3[[#All],[MOV P]],MATCH(Table5[[#This Row],[PID]],Table3[[#All],[PID]],0)))</f>
        <v>2</v>
      </c>
      <c r="N1210" s="56">
        <f>IF($C1210="B",INDEX(Batters[[#All],[POW P]],MATCH(Table5[[#This Row],[PID]],Batters[[#All],[PID]],0)),INDEX(Table3[[#All],[CON P]],MATCH(Table5[[#This Row],[PID]],Table3[[#All],[PID]],0)))</f>
        <v>2</v>
      </c>
      <c r="O1210" s="56" t="str">
        <f>IF($C1210="B",INDEX(Batters[[#All],[EYE P]],MATCH(Table5[[#This Row],[PID]],Batters[[#All],[PID]],0)),INDEX(Table3[[#All],[VELO]],MATCH(Table5[[#This Row],[PID]],Table3[[#All],[PID]],0)))</f>
        <v>80-83 Mph</v>
      </c>
      <c r="P1210" s="56">
        <f>IF($C1210="B",INDEX(Batters[[#All],[K P]],MATCH(Table5[[#This Row],[PID]],Batters[[#All],[PID]],0)),INDEX(Table3[[#All],[STM]],MATCH(Table5[[#This Row],[PID]],Table3[[#All],[PID]],0)))</f>
        <v>6</v>
      </c>
      <c r="Q1210" s="61">
        <f>IF($C1210="B",INDEX(Batters[[#All],[Tot]],MATCH(Table5[[#This Row],[PID]],Batters[[#All],[PID]],0)),INDEX(Table3[[#All],[Tot]],MATCH(Table5[[#This Row],[PID]],Table3[[#All],[PID]],0)))</f>
        <v>21.631848829623781</v>
      </c>
      <c r="R1210" s="52">
        <f>IF($C1210="B",INDEX(Batters[[#All],[zScore]],MATCH(Table5[[#This Row],[PID]],Batters[[#All],[PID]],0)),INDEX(Table3[[#All],[zScore]],MATCH(Table5[[#This Row],[PID]],Table3[[#All],[PID]],0)))</f>
        <v>-1.0961197230958832</v>
      </c>
      <c r="S1210" s="58" t="str">
        <f>IF($C1210="B",INDEX(Batters[[#All],[DEM]],MATCH(Table5[[#This Row],[PID]],Batters[[#All],[PID]],0)),INDEX(Table3[[#All],[DEM]],MATCH(Table5[[#This Row],[PID]],Table3[[#All],[PID]],0)))</f>
        <v>-</v>
      </c>
      <c r="T1210" s="62">
        <f>IF($C1210="B",INDEX(Batters[[#All],[Rnk]],MATCH(Table5[[#This Row],[PID]],Batters[[#All],[PID]],0)),INDEX(Table3[[#All],[Rnk]],MATCH(Table5[[#This Row],[PID]],Table3[[#All],[PID]],0)))</f>
        <v>720</v>
      </c>
      <c r="U1210" s="68">
        <f>IF($C1210="B",VLOOKUP($A1210,Bat!$A$4:$BA$1621,47,FALSE),VLOOKUP($A1210,Pit!$A$4:$BF$1557,56,FALSE))</f>
        <v>0</v>
      </c>
      <c r="V1210" s="50">
        <f>IF($C1210="B",VLOOKUP($A1210,Bat!$A$4:$BA$1621,48,FALSE),VLOOKUP($A1210,Pit!$A$4:$BF$1557,57,FALSE))</f>
        <v>0</v>
      </c>
      <c r="W1210" s="50">
        <f>Table5[[#This Row],[posRnk]]+Table5[[#This Row],[zRnk]]+IF($W$3&lt;&gt;Table5[[#This Row],[Type]],50,0)</f>
        <v>1945</v>
      </c>
      <c r="X1210" s="51">
        <f>RANK(Table5[[#This Row],[zScore]],Table5[[#All],[zScore]])</f>
        <v>1175</v>
      </c>
      <c r="Y1210" s="50" t="str">
        <f>IFERROR(INDEX(DraftResults[[#All],[OVR]],MATCH(Table5[[#This Row],[PID]],DraftResults[[#All],[Player ID]],0)),"")</f>
        <v/>
      </c>
      <c r="Z12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0" s="50" t="str">
        <f>IFERROR(INDEX(DraftResults[[#All],[Pick in Round]],MATCH(Table5[[#This Row],[PID]],DraftResults[[#All],[Player ID]],0)),"")</f>
        <v/>
      </c>
      <c r="AB1210" s="50" t="str">
        <f>IFERROR(INDEX(DraftResults[[#All],[Team Name]],MATCH(Table5[[#This Row],[PID]],DraftResults[[#All],[Player ID]],0)),"")</f>
        <v/>
      </c>
      <c r="AC1210" s="50" t="str">
        <f>IF(Table5[[#This Row],[Ovr]]="","",IF(Table5[[#This Row],[cmbList]]="","",Table5[[#This Row],[cmbList]]-Table5[[#This Row],[Ovr]]))</f>
        <v/>
      </c>
      <c r="AD1210" s="54" t="str">
        <f>IF(ISERROR(VLOOKUP($AB1210&amp;"-"&amp;$E1210&amp;" "&amp;F1210,Bonuses!$B$1:$G$1006,4,FALSE)),"",INT(VLOOKUP($AB1210&amp;"-"&amp;$E1210&amp;" "&amp;$F1210,Bonuses!$B$1:$G$1006,4,FALSE)))</f>
        <v/>
      </c>
      <c r="AE12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1" spans="1:31" s="7" customFormat="1" x14ac:dyDescent="0.25">
      <c r="A1211" s="50">
        <v>17922</v>
      </c>
      <c r="B1211" s="50">
        <f>COUNTIF(Table5[PID],A1211)</f>
        <v>1</v>
      </c>
      <c r="C1211" s="50" t="str">
        <f>IF(COUNTIF(Table3[[#All],[PID]],A1211)&gt;0,"P","B")</f>
        <v>P</v>
      </c>
      <c r="D1211" s="59" t="str">
        <f>IF($C1211="B",INDEX(Batters[[#All],[POS]],MATCH(Table5[[#This Row],[PID]],Batters[[#All],[PID]],0)),INDEX(Table3[[#All],[POS]],MATCH(Table5[[#This Row],[PID]],Table3[[#All],[PID]],0)))</f>
        <v>RP</v>
      </c>
      <c r="E1211" s="52" t="str">
        <f>IF($C1211="B",INDEX(Batters[[#All],[First]],MATCH(Table5[[#This Row],[PID]],Batters[[#All],[PID]],0)),INDEX(Table3[[#All],[First]],MATCH(Table5[[#This Row],[PID]],Table3[[#All],[PID]],0)))</f>
        <v>Callum</v>
      </c>
      <c r="F1211" s="50" t="str">
        <f>IF($C1211="B",INDEX(Batters[[#All],[Last]],MATCH(A1211,Batters[[#All],[PID]],0)),INDEX(Table3[[#All],[Last]],MATCH(A1211,Table3[[#All],[PID]],0)))</f>
        <v>Ring</v>
      </c>
      <c r="G1211" s="56">
        <f>IF($C1211="B",INDEX(Batters[[#All],[Age]],MATCH(Table5[[#This Row],[PID]],Batters[[#All],[PID]],0)),INDEX(Table3[[#All],[Age]],MATCH(Table5[[#This Row],[PID]],Table3[[#All],[PID]],0)))</f>
        <v>18</v>
      </c>
      <c r="H1211" s="52" t="str">
        <f>IF($C1211="B",INDEX(Batters[[#All],[B]],MATCH(Table5[[#This Row],[PID]],Batters[[#All],[PID]],0)),INDEX(Table3[[#All],[B]],MATCH(Table5[[#This Row],[PID]],Table3[[#All],[PID]],0)))</f>
        <v>R</v>
      </c>
      <c r="I1211" s="52" t="str">
        <f>IF($C1211="B",INDEX(Batters[[#All],[T]],MATCH(Table5[[#This Row],[PID]],Batters[[#All],[PID]],0)),INDEX(Table3[[#All],[T]],MATCH(Table5[[#This Row],[PID]],Table3[[#All],[PID]],0)))</f>
        <v>R</v>
      </c>
      <c r="J1211" s="52" t="str">
        <f>IF($C1211="B",INDEX(Batters[[#All],[WE]],MATCH(Table5[[#This Row],[PID]],Batters[[#All],[PID]],0)),INDEX(Table3[[#All],[WE]],MATCH(Table5[[#This Row],[PID]],Table3[[#All],[PID]],0)))</f>
        <v>Normal</v>
      </c>
      <c r="K1211" s="52" t="str">
        <f>IF($C1211="B",INDEX(Batters[[#All],[INT]],MATCH(Table5[[#This Row],[PID]],Batters[[#All],[PID]],0)),INDEX(Table3[[#All],[INT]],MATCH(Table5[[#This Row],[PID]],Table3[[#All],[PID]],0)))</f>
        <v>Low</v>
      </c>
      <c r="L1211" s="60">
        <f>IF($C1211="B",INDEX(Batters[[#All],[CON P]],MATCH(Table5[[#This Row],[PID]],Batters[[#All],[PID]],0)),INDEX(Table3[[#All],[STU P]],MATCH(Table5[[#This Row],[PID]],Table3[[#All],[PID]],0)))</f>
        <v>2</v>
      </c>
      <c r="M1211" s="56">
        <f>IF($C1211="B",INDEX(Batters[[#All],[GAP P]],MATCH(Table5[[#This Row],[PID]],Batters[[#All],[PID]],0)),INDEX(Table3[[#All],[MOV P]],MATCH(Table5[[#This Row],[PID]],Table3[[#All],[PID]],0)))</f>
        <v>2</v>
      </c>
      <c r="N1211" s="56">
        <f>IF($C1211="B",INDEX(Batters[[#All],[POW P]],MATCH(Table5[[#This Row],[PID]],Batters[[#All],[PID]],0)),INDEX(Table3[[#All],[CON P]],MATCH(Table5[[#This Row],[PID]],Table3[[#All],[PID]],0)))</f>
        <v>2</v>
      </c>
      <c r="O1211" s="56" t="str">
        <f>IF($C1211="B",INDEX(Batters[[#All],[EYE P]],MATCH(Table5[[#This Row],[PID]],Batters[[#All],[PID]],0)),INDEX(Table3[[#All],[VELO]],MATCH(Table5[[#This Row],[PID]],Table3[[#All],[PID]],0)))</f>
        <v>86-88 Mph</v>
      </c>
      <c r="P1211" s="56">
        <f>IF($C1211="B",INDEX(Batters[[#All],[K P]],MATCH(Table5[[#This Row],[PID]],Batters[[#All],[PID]],0)),INDEX(Table3[[#All],[STM]],MATCH(Table5[[#This Row],[PID]],Table3[[#All],[PID]],0)))</f>
        <v>7</v>
      </c>
      <c r="Q1211" s="61">
        <f>IF($C1211="B",INDEX(Batters[[#All],[Tot]],MATCH(Table5[[#This Row],[PID]],Batters[[#All],[PID]],0)),INDEX(Table3[[#All],[Tot]],MATCH(Table5[[#This Row],[PID]],Table3[[#All],[PID]],0)))</f>
        <v>21.801337621936344</v>
      </c>
      <c r="R1211" s="52">
        <f>IF($C1211="B",INDEX(Batters[[#All],[zScore]],MATCH(Table5[[#This Row],[PID]],Batters[[#All],[PID]],0)),INDEX(Table3[[#All],[zScore]],MATCH(Table5[[#This Row],[PID]],Table3[[#All],[PID]],0)))</f>
        <v>-1.0961623400035689</v>
      </c>
      <c r="S1211" s="58" t="str">
        <f>IF($C1211="B",INDEX(Batters[[#All],[DEM]],MATCH(Table5[[#This Row],[PID]],Batters[[#All],[PID]],0)),INDEX(Table3[[#All],[DEM]],MATCH(Table5[[#This Row],[PID]],Table3[[#All],[PID]],0)))</f>
        <v>$65k</v>
      </c>
      <c r="T1211" s="62">
        <f>IF($C1211="B",INDEX(Batters[[#All],[Rnk]],MATCH(Table5[[#This Row],[PID]],Batters[[#All],[PID]],0)),INDEX(Table3[[#All],[Rnk]],MATCH(Table5[[#This Row],[PID]],Table3[[#All],[PID]],0)))</f>
        <v>721</v>
      </c>
      <c r="U1211" s="68">
        <f>IF($C1211="B",VLOOKUP($A1211,Bat!$A$4:$BA$1621,47,FALSE),VLOOKUP($A1211,Pit!$A$4:$BF$1557,56,FALSE))</f>
        <v>0</v>
      </c>
      <c r="V1211" s="50">
        <f>IF($C1211="B",VLOOKUP($A1211,Bat!$A$4:$BA$1621,48,FALSE),VLOOKUP($A1211,Pit!$A$4:$BF$1557,57,FALSE))</f>
        <v>0</v>
      </c>
      <c r="W1211" s="50">
        <f>Table5[[#This Row],[posRnk]]+Table5[[#This Row],[zRnk]]+IF($W$3&lt;&gt;Table5[[#This Row],[Type]],50,0)</f>
        <v>1947</v>
      </c>
      <c r="X1211" s="51">
        <f>RANK(Table5[[#This Row],[zScore]],Table5[[#All],[zScore]])</f>
        <v>1176</v>
      </c>
      <c r="Y1211" s="50" t="str">
        <f>IFERROR(INDEX(DraftResults[[#All],[OVR]],MATCH(Table5[[#This Row],[PID]],DraftResults[[#All],[Player ID]],0)),"")</f>
        <v/>
      </c>
      <c r="Z12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1" s="50" t="str">
        <f>IFERROR(INDEX(DraftResults[[#All],[Pick in Round]],MATCH(Table5[[#This Row],[PID]],DraftResults[[#All],[Player ID]],0)),"")</f>
        <v/>
      </c>
      <c r="AB1211" s="50" t="str">
        <f>IFERROR(INDEX(DraftResults[[#All],[Team Name]],MATCH(Table5[[#This Row],[PID]],DraftResults[[#All],[Player ID]],0)),"")</f>
        <v/>
      </c>
      <c r="AC1211" s="50" t="str">
        <f>IF(Table5[[#This Row],[Ovr]]="","",IF(Table5[[#This Row],[cmbList]]="","",Table5[[#This Row],[cmbList]]-Table5[[#This Row],[Ovr]]))</f>
        <v/>
      </c>
      <c r="AD1211" s="54" t="str">
        <f>IF(ISERROR(VLOOKUP($AB1211&amp;"-"&amp;$E1211&amp;" "&amp;F1211,Bonuses!$B$1:$G$1006,4,FALSE)),"",INT(VLOOKUP($AB1211&amp;"-"&amp;$E1211&amp;" "&amp;$F1211,Bonuses!$B$1:$G$1006,4,FALSE)))</f>
        <v/>
      </c>
      <c r="AE12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2" spans="1:31" s="7" customFormat="1" x14ac:dyDescent="0.25">
      <c r="A1212" s="50">
        <v>11938</v>
      </c>
      <c r="B1212" s="50">
        <f>COUNTIF(Table5[PID],A1212)</f>
        <v>1</v>
      </c>
      <c r="C1212" s="50" t="str">
        <f>IF(COUNTIF(Table3[[#All],[PID]],A1212)&gt;0,"P","B")</f>
        <v>P</v>
      </c>
      <c r="D1212" s="59" t="str">
        <f>IF($C1212="B",INDEX(Batters[[#All],[POS]],MATCH(Table5[[#This Row],[PID]],Batters[[#All],[PID]],0)),INDEX(Table3[[#All],[POS]],MATCH(Table5[[#This Row],[PID]],Table3[[#All],[PID]],0)))</f>
        <v>RP</v>
      </c>
      <c r="E1212" s="52" t="str">
        <f>IF($C1212="B",INDEX(Batters[[#All],[First]],MATCH(Table5[[#This Row],[PID]],Batters[[#All],[PID]],0)),INDEX(Table3[[#All],[First]],MATCH(Table5[[#This Row],[PID]],Table3[[#All],[PID]],0)))</f>
        <v>Ricardo</v>
      </c>
      <c r="F1212" s="50" t="str">
        <f>IF($C1212="B",INDEX(Batters[[#All],[Last]],MATCH(A1212,Batters[[#All],[PID]],0)),INDEX(Table3[[#All],[Last]],MATCH(A1212,Table3[[#All],[PID]],0)))</f>
        <v>Rivera</v>
      </c>
      <c r="G1212" s="56">
        <f>IF($C1212="B",INDEX(Batters[[#All],[Age]],MATCH(Table5[[#This Row],[PID]],Batters[[#All],[PID]],0)),INDEX(Table3[[#All],[Age]],MATCH(Table5[[#This Row],[PID]],Table3[[#All],[PID]],0)))</f>
        <v>22</v>
      </c>
      <c r="H1212" s="52" t="str">
        <f>IF($C1212="B",INDEX(Batters[[#All],[B]],MATCH(Table5[[#This Row],[PID]],Batters[[#All],[PID]],0)),INDEX(Table3[[#All],[B]],MATCH(Table5[[#This Row],[PID]],Table3[[#All],[PID]],0)))</f>
        <v>R</v>
      </c>
      <c r="I1212" s="52" t="str">
        <f>IF($C1212="B",INDEX(Batters[[#All],[T]],MATCH(Table5[[#This Row],[PID]],Batters[[#All],[PID]],0)),INDEX(Table3[[#All],[T]],MATCH(Table5[[#This Row],[PID]],Table3[[#All],[PID]],0)))</f>
        <v>R</v>
      </c>
      <c r="J1212" s="52" t="str">
        <f>IF($C1212="B",INDEX(Batters[[#All],[WE]],MATCH(Table5[[#This Row],[PID]],Batters[[#All],[PID]],0)),INDEX(Table3[[#All],[WE]],MATCH(Table5[[#This Row],[PID]],Table3[[#All],[PID]],0)))</f>
        <v>Normal</v>
      </c>
      <c r="K1212" s="52" t="str">
        <f>IF($C1212="B",INDEX(Batters[[#All],[INT]],MATCH(Table5[[#This Row],[PID]],Batters[[#All],[PID]],0)),INDEX(Table3[[#All],[INT]],MATCH(Table5[[#This Row],[PID]],Table3[[#All],[PID]],0)))</f>
        <v>Normal</v>
      </c>
      <c r="L1212" s="60">
        <f>IF($C1212="B",INDEX(Batters[[#All],[CON P]],MATCH(Table5[[#This Row],[PID]],Batters[[#All],[PID]],0)),INDEX(Table3[[#All],[STU P]],MATCH(Table5[[#This Row],[PID]],Table3[[#All],[PID]],0)))</f>
        <v>3</v>
      </c>
      <c r="M1212" s="56">
        <f>IF($C1212="B",INDEX(Batters[[#All],[GAP P]],MATCH(Table5[[#This Row],[PID]],Batters[[#All],[PID]],0)),INDEX(Table3[[#All],[MOV P]],MATCH(Table5[[#This Row],[PID]],Table3[[#All],[PID]],0)))</f>
        <v>1</v>
      </c>
      <c r="N1212" s="56">
        <f>IF($C1212="B",INDEX(Batters[[#All],[POW P]],MATCH(Table5[[#This Row],[PID]],Batters[[#All],[PID]],0)),INDEX(Table3[[#All],[CON P]],MATCH(Table5[[#This Row],[PID]],Table3[[#All],[PID]],0)))</f>
        <v>3</v>
      </c>
      <c r="O1212" s="56" t="str">
        <f>IF($C1212="B",INDEX(Batters[[#All],[EYE P]],MATCH(Table5[[#This Row],[PID]],Batters[[#All],[PID]],0)),INDEX(Table3[[#All],[VELO]],MATCH(Table5[[#This Row],[PID]],Table3[[#All],[PID]],0)))</f>
        <v>89-91 Mph</v>
      </c>
      <c r="P1212" s="56">
        <f>IF($C1212="B",INDEX(Batters[[#All],[K P]],MATCH(Table5[[#This Row],[PID]],Batters[[#All],[PID]],0)),INDEX(Table3[[#All],[STM]],MATCH(Table5[[#This Row],[PID]],Table3[[#All],[PID]],0)))</f>
        <v>6</v>
      </c>
      <c r="Q1212" s="61">
        <f>IF($C1212="B",INDEX(Batters[[#All],[Tot]],MATCH(Table5[[#This Row],[PID]],Batters[[#All],[PID]],0)),INDEX(Table3[[#All],[Tot]],MATCH(Table5[[#This Row],[PID]],Table3[[#All],[PID]],0)))</f>
        <v>21.785096623228966</v>
      </c>
      <c r="R1212" s="52">
        <f>IF($C1212="B",INDEX(Batters[[#All],[zScore]],MATCH(Table5[[#This Row],[PID]],Batters[[#All],[PID]],0)),INDEX(Table3[[#All],[zScore]],MATCH(Table5[[#This Row],[PID]],Table3[[#All],[PID]],0)))</f>
        <v>-1.097274843636459</v>
      </c>
      <c r="S1212" s="58" t="str">
        <f>IF($C1212="B",INDEX(Batters[[#All],[DEM]],MATCH(Table5[[#This Row],[PID]],Batters[[#All],[PID]],0)),INDEX(Table3[[#All],[DEM]],MATCH(Table5[[#This Row],[PID]],Table3[[#All],[PID]],0)))</f>
        <v>-</v>
      </c>
      <c r="T1212" s="62">
        <f>IF($C1212="B",INDEX(Batters[[#All],[Rnk]],MATCH(Table5[[#This Row],[PID]],Batters[[#All],[PID]],0)),INDEX(Table3[[#All],[Rnk]],MATCH(Table5[[#This Row],[PID]],Table3[[#All],[PID]],0)))</f>
        <v>722</v>
      </c>
      <c r="U1212" s="68">
        <f>IF($C1212="B",VLOOKUP($A1212,Bat!$A$4:$BA$1621,47,FALSE),VLOOKUP($A1212,Pit!$A$4:$BF$1557,56,FALSE))</f>
        <v>0</v>
      </c>
      <c r="V1212" s="50">
        <f>IF($C1212="B",VLOOKUP($A1212,Bat!$A$4:$BA$1621,48,FALSE),VLOOKUP($A1212,Pit!$A$4:$BF$1557,57,FALSE))</f>
        <v>0</v>
      </c>
      <c r="W1212" s="50">
        <f>Table5[[#This Row],[posRnk]]+Table5[[#This Row],[zRnk]]+IF($W$3&lt;&gt;Table5[[#This Row],[Type]],50,0)</f>
        <v>1949</v>
      </c>
      <c r="X1212" s="51">
        <f>RANK(Table5[[#This Row],[zScore]],Table5[[#All],[zScore]])</f>
        <v>1177</v>
      </c>
      <c r="Y1212" s="50" t="str">
        <f>IFERROR(INDEX(DraftResults[[#All],[OVR]],MATCH(Table5[[#This Row],[PID]],DraftResults[[#All],[Player ID]],0)),"")</f>
        <v/>
      </c>
      <c r="Z12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2" s="50" t="str">
        <f>IFERROR(INDEX(DraftResults[[#All],[Pick in Round]],MATCH(Table5[[#This Row],[PID]],DraftResults[[#All],[Player ID]],0)),"")</f>
        <v/>
      </c>
      <c r="AB1212" s="50" t="str">
        <f>IFERROR(INDEX(DraftResults[[#All],[Team Name]],MATCH(Table5[[#This Row],[PID]],DraftResults[[#All],[Player ID]],0)),"")</f>
        <v/>
      </c>
      <c r="AC1212" s="50" t="str">
        <f>IF(Table5[[#This Row],[Ovr]]="","",IF(Table5[[#This Row],[cmbList]]="","",Table5[[#This Row],[cmbList]]-Table5[[#This Row],[Ovr]]))</f>
        <v/>
      </c>
      <c r="AD1212" s="54" t="str">
        <f>IF(ISERROR(VLOOKUP($AB1212&amp;"-"&amp;$E1212&amp;" "&amp;F1212,Bonuses!$B$1:$G$1006,4,FALSE)),"",INT(VLOOKUP($AB1212&amp;"-"&amp;$E1212&amp;" "&amp;$F1212,Bonuses!$B$1:$G$1006,4,FALSE)))</f>
        <v/>
      </c>
      <c r="AE12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3" spans="1:31" s="7" customFormat="1" x14ac:dyDescent="0.25">
      <c r="A1213" s="50">
        <v>21071</v>
      </c>
      <c r="B1213" s="50">
        <f>COUNTIF(Table5[PID],A1213)</f>
        <v>1</v>
      </c>
      <c r="C1213" s="50" t="str">
        <f>IF(COUNTIF(Table3[[#All],[PID]],A1213)&gt;0,"P","B")</f>
        <v>B</v>
      </c>
      <c r="D1213" s="59" t="str">
        <f>IF($C1213="B",INDEX(Batters[[#All],[POS]],MATCH(Table5[[#This Row],[PID]],Batters[[#All],[PID]],0)),INDEX(Table3[[#All],[POS]],MATCH(Table5[[#This Row],[PID]],Table3[[#All],[PID]],0)))</f>
        <v>RF</v>
      </c>
      <c r="E1213" s="52" t="str">
        <f>IF($C1213="B",INDEX(Batters[[#All],[First]],MATCH(Table5[[#This Row],[PID]],Batters[[#All],[PID]],0)),INDEX(Table3[[#All],[First]],MATCH(Table5[[#This Row],[PID]],Table3[[#All],[PID]],0)))</f>
        <v>Jim</v>
      </c>
      <c r="F1213" s="50" t="str">
        <f>IF($C1213="B",INDEX(Batters[[#All],[Last]],MATCH(A1213,Batters[[#All],[PID]],0)),INDEX(Table3[[#All],[Last]],MATCH(A1213,Table3[[#All],[PID]],0)))</f>
        <v>Bannatyne</v>
      </c>
      <c r="G1213" s="56">
        <f>IF($C1213="B",INDEX(Batters[[#All],[Age]],MATCH(Table5[[#This Row],[PID]],Batters[[#All],[PID]],0)),INDEX(Table3[[#All],[Age]],MATCH(Table5[[#This Row],[PID]],Table3[[#All],[PID]],0)))</f>
        <v>17</v>
      </c>
      <c r="H1213" s="52" t="str">
        <f>IF($C1213="B",INDEX(Batters[[#All],[B]],MATCH(Table5[[#This Row],[PID]],Batters[[#All],[PID]],0)),INDEX(Table3[[#All],[B]],MATCH(Table5[[#This Row],[PID]],Table3[[#All],[PID]],0)))</f>
        <v>R</v>
      </c>
      <c r="I1213" s="52" t="str">
        <f>IF($C1213="B",INDEX(Batters[[#All],[T]],MATCH(Table5[[#This Row],[PID]],Batters[[#All],[PID]],0)),INDEX(Table3[[#All],[T]],MATCH(Table5[[#This Row],[PID]],Table3[[#All],[PID]],0)))</f>
        <v>R</v>
      </c>
      <c r="J1213" s="52" t="str">
        <f>IF($C1213="B",INDEX(Batters[[#All],[WE]],MATCH(Table5[[#This Row],[PID]],Batters[[#All],[PID]],0)),INDEX(Table3[[#All],[WE]],MATCH(Table5[[#This Row],[PID]],Table3[[#All],[PID]],0)))</f>
        <v>Normal</v>
      </c>
      <c r="K1213" s="52" t="str">
        <f>IF($C1213="B",INDEX(Batters[[#All],[INT]],MATCH(Table5[[#This Row],[PID]],Batters[[#All],[PID]],0)),INDEX(Table3[[#All],[INT]],MATCH(Table5[[#This Row],[PID]],Table3[[#All],[PID]],0)))</f>
        <v>Normal</v>
      </c>
      <c r="L1213" s="60">
        <f>IF($C1213="B",INDEX(Batters[[#All],[CON P]],MATCH(Table5[[#This Row],[PID]],Batters[[#All],[PID]],0)),INDEX(Table3[[#All],[STU P]],MATCH(Table5[[#This Row],[PID]],Table3[[#All],[PID]],0)))</f>
        <v>2</v>
      </c>
      <c r="M1213" s="56">
        <f>IF($C1213="B",INDEX(Batters[[#All],[GAP P]],MATCH(Table5[[#This Row],[PID]],Batters[[#All],[PID]],0)),INDEX(Table3[[#All],[MOV P]],MATCH(Table5[[#This Row],[PID]],Table3[[#All],[PID]],0)))</f>
        <v>3</v>
      </c>
      <c r="N1213" s="56">
        <f>IF($C1213="B",INDEX(Batters[[#All],[POW P]],MATCH(Table5[[#This Row],[PID]],Batters[[#All],[PID]],0)),INDEX(Table3[[#All],[CON P]],MATCH(Table5[[#This Row],[PID]],Table3[[#All],[PID]],0)))</f>
        <v>5</v>
      </c>
      <c r="O1213" s="56">
        <f>IF($C1213="B",INDEX(Batters[[#All],[EYE P]],MATCH(Table5[[#This Row],[PID]],Batters[[#All],[PID]],0)),INDEX(Table3[[#All],[VELO]],MATCH(Table5[[#This Row],[PID]],Table3[[#All],[PID]],0)))</f>
        <v>5</v>
      </c>
      <c r="P1213" s="56">
        <f>IF($C1213="B",INDEX(Batters[[#All],[K P]],MATCH(Table5[[#This Row],[PID]],Batters[[#All],[PID]],0)),INDEX(Table3[[#All],[STM]],MATCH(Table5[[#This Row],[PID]],Table3[[#All],[PID]],0)))</f>
        <v>3</v>
      </c>
      <c r="Q1213" s="61">
        <f>IF($C1213="B",INDEX(Batters[[#All],[Tot]],MATCH(Table5[[#This Row],[PID]],Batters[[#All],[PID]],0)),INDEX(Table3[[#All],[Tot]],MATCH(Table5[[#This Row],[PID]],Table3[[#All],[PID]],0)))</f>
        <v>39.154538135390261</v>
      </c>
      <c r="R1213" s="52">
        <f>IF($C1213="B",INDEX(Batters[[#All],[zScore]],MATCH(Table5[[#This Row],[PID]],Batters[[#All],[PID]],0)),INDEX(Table3[[#All],[zScore]],MATCH(Table5[[#This Row],[PID]],Table3[[#All],[PID]],0)))</f>
        <v>-1.1035235757825215</v>
      </c>
      <c r="S1213" s="58" t="str">
        <f>IF($C1213="B",INDEX(Batters[[#All],[DEM]],MATCH(Table5[[#This Row],[PID]],Batters[[#All],[PID]],0)),INDEX(Table3[[#All],[DEM]],MATCH(Table5[[#This Row],[PID]],Table3[[#All],[PID]],0)))</f>
        <v>$65k</v>
      </c>
      <c r="T1213" s="62">
        <f>IF($C1213="B",INDEX(Batters[[#All],[Rnk]],MATCH(Table5[[#This Row],[PID]],Batters[[#All],[PID]],0)),INDEX(Table3[[#All],[Rnk]],MATCH(Table5[[#This Row],[PID]],Table3[[#All],[PID]],0)))</f>
        <v>456</v>
      </c>
      <c r="U1213" s="68">
        <f>IF($C1213="B",VLOOKUP($A1213,Bat!$A$4:$BA$1621,47,FALSE),VLOOKUP($A1213,Pit!$A$4:$BF$1557,56,FALSE))</f>
        <v>0</v>
      </c>
      <c r="V1213" s="50">
        <f>IF($C1213="B",VLOOKUP($A1213,Bat!$A$4:$BA$1621,48,FALSE),VLOOKUP($A1213,Pit!$A$4:$BF$1557,57,FALSE))</f>
        <v>0</v>
      </c>
      <c r="W1213" s="50">
        <f>Table5[[#This Row],[posRnk]]+Table5[[#This Row],[zRnk]]+IF($W$3&lt;&gt;Table5[[#This Row],[Type]],50,0)</f>
        <v>1685</v>
      </c>
      <c r="X1213" s="51">
        <f>RANK(Table5[[#This Row],[zScore]],Table5[[#All],[zScore]])</f>
        <v>1179</v>
      </c>
      <c r="Y1213" s="50" t="str">
        <f>IFERROR(INDEX(DraftResults[[#All],[OVR]],MATCH(Table5[[#This Row],[PID]],DraftResults[[#All],[Player ID]],0)),"")</f>
        <v/>
      </c>
      <c r="Z12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3" s="50" t="str">
        <f>IFERROR(INDEX(DraftResults[[#All],[Pick in Round]],MATCH(Table5[[#This Row],[PID]],DraftResults[[#All],[Player ID]],0)),"")</f>
        <v/>
      </c>
      <c r="AB1213" s="50" t="str">
        <f>IFERROR(INDEX(DraftResults[[#All],[Team Name]],MATCH(Table5[[#This Row],[PID]],DraftResults[[#All],[Player ID]],0)),"")</f>
        <v/>
      </c>
      <c r="AC1213" s="50" t="str">
        <f>IF(Table5[[#This Row],[Ovr]]="","",IF(Table5[[#This Row],[cmbList]]="","",Table5[[#This Row],[cmbList]]-Table5[[#This Row],[Ovr]]))</f>
        <v/>
      </c>
      <c r="AD1213" s="54" t="str">
        <f>IF(ISERROR(VLOOKUP($AB1213&amp;"-"&amp;$E1213&amp;" "&amp;F1213,Bonuses!$B$1:$G$1006,4,FALSE)),"",INT(VLOOKUP($AB1213&amp;"-"&amp;$E1213&amp;" "&amp;$F1213,Bonuses!$B$1:$G$1006,4,FALSE)))</f>
        <v/>
      </c>
      <c r="AE12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4" spans="1:31" s="7" customFormat="1" x14ac:dyDescent="0.25">
      <c r="A1214" s="50">
        <v>13794</v>
      </c>
      <c r="B1214" s="50">
        <f>COUNTIF(Table5[PID],A1214)</f>
        <v>1</v>
      </c>
      <c r="C1214" s="50" t="str">
        <f>IF(COUNTIF(Table3[[#All],[PID]],A1214)&gt;0,"P","B")</f>
        <v>P</v>
      </c>
      <c r="D1214" s="59" t="str">
        <f>IF($C1214="B",INDEX(Batters[[#All],[POS]],MATCH(Table5[[#This Row],[PID]],Batters[[#All],[PID]],0)),INDEX(Table3[[#All],[POS]],MATCH(Table5[[#This Row],[PID]],Table3[[#All],[PID]],0)))</f>
        <v>RP</v>
      </c>
      <c r="E1214" s="52" t="str">
        <f>IF($C1214="B",INDEX(Batters[[#All],[First]],MATCH(Table5[[#This Row],[PID]],Batters[[#All],[PID]],0)),INDEX(Table3[[#All],[First]],MATCH(Table5[[#This Row],[PID]],Table3[[#All],[PID]],0)))</f>
        <v>Takeji</v>
      </c>
      <c r="F1214" s="50" t="str">
        <f>IF($C1214="B",INDEX(Batters[[#All],[Last]],MATCH(A1214,Batters[[#All],[PID]],0)),INDEX(Table3[[#All],[Last]],MATCH(A1214,Table3[[#All],[PID]],0)))</f>
        <v>Ono</v>
      </c>
      <c r="G1214" s="56">
        <f>IF($C1214="B",INDEX(Batters[[#All],[Age]],MATCH(Table5[[#This Row],[PID]],Batters[[#All],[PID]],0)),INDEX(Table3[[#All],[Age]],MATCH(Table5[[#This Row],[PID]],Table3[[#All],[PID]],0)))</f>
        <v>21</v>
      </c>
      <c r="H1214" s="52" t="str">
        <f>IF($C1214="B",INDEX(Batters[[#All],[B]],MATCH(Table5[[#This Row],[PID]],Batters[[#All],[PID]],0)),INDEX(Table3[[#All],[B]],MATCH(Table5[[#This Row],[PID]],Table3[[#All],[PID]],0)))</f>
        <v>R</v>
      </c>
      <c r="I1214" s="52" t="str">
        <f>IF($C1214="B",INDEX(Batters[[#All],[T]],MATCH(Table5[[#This Row],[PID]],Batters[[#All],[PID]],0)),INDEX(Table3[[#All],[T]],MATCH(Table5[[#This Row],[PID]],Table3[[#All],[PID]],0)))</f>
        <v>R</v>
      </c>
      <c r="J1214" s="52" t="str">
        <f>IF($C1214="B",INDEX(Batters[[#All],[WE]],MATCH(Table5[[#This Row],[PID]],Batters[[#All],[PID]],0)),INDEX(Table3[[#All],[WE]],MATCH(Table5[[#This Row],[PID]],Table3[[#All],[PID]],0)))</f>
        <v>Low</v>
      </c>
      <c r="K1214" s="52" t="str">
        <f>IF($C1214="B",INDEX(Batters[[#All],[INT]],MATCH(Table5[[#This Row],[PID]],Batters[[#All],[PID]],0)),INDEX(Table3[[#All],[INT]],MATCH(Table5[[#This Row],[PID]],Table3[[#All],[PID]],0)))</f>
        <v>High</v>
      </c>
      <c r="L1214" s="60">
        <f>IF($C1214="B",INDEX(Batters[[#All],[CON P]],MATCH(Table5[[#This Row],[PID]],Batters[[#All],[PID]],0)),INDEX(Table3[[#All],[STU P]],MATCH(Table5[[#This Row],[PID]],Table3[[#All],[PID]],0)))</f>
        <v>3</v>
      </c>
      <c r="M1214" s="56">
        <f>IF($C1214="B",INDEX(Batters[[#All],[GAP P]],MATCH(Table5[[#This Row],[PID]],Batters[[#All],[PID]],0)),INDEX(Table3[[#All],[MOV P]],MATCH(Table5[[#This Row],[PID]],Table3[[#All],[PID]],0)))</f>
        <v>1</v>
      </c>
      <c r="N1214" s="56">
        <f>IF($C1214="B",INDEX(Batters[[#All],[POW P]],MATCH(Table5[[#This Row],[PID]],Batters[[#All],[PID]],0)),INDEX(Table3[[#All],[CON P]],MATCH(Table5[[#This Row],[PID]],Table3[[#All],[PID]],0)))</f>
        <v>3</v>
      </c>
      <c r="O1214" s="56" t="str">
        <f>IF($C1214="B",INDEX(Batters[[#All],[EYE P]],MATCH(Table5[[#This Row],[PID]],Batters[[#All],[PID]],0)),INDEX(Table3[[#All],[VELO]],MATCH(Table5[[#This Row],[PID]],Table3[[#All],[PID]],0)))</f>
        <v>85-87 Mph</v>
      </c>
      <c r="P1214" s="56">
        <f>IF($C1214="B",INDEX(Batters[[#All],[K P]],MATCH(Table5[[#This Row],[PID]],Batters[[#All],[PID]],0)),INDEX(Table3[[#All],[STM]],MATCH(Table5[[#This Row],[PID]],Table3[[#All],[PID]],0)))</f>
        <v>10</v>
      </c>
      <c r="Q1214" s="61">
        <f>IF($C1214="B",INDEX(Batters[[#All],[Tot]],MATCH(Table5[[#This Row],[PID]],Batters[[#All],[PID]],0)),INDEX(Table3[[#All],[Tot]],MATCH(Table5[[#This Row],[PID]],Table3[[#All],[PID]],0)))</f>
        <v>21.691360930467688</v>
      </c>
      <c r="R1214" s="52">
        <f>IF($C1214="B",INDEX(Batters[[#All],[zScore]],MATCH(Table5[[#This Row],[PID]],Batters[[#All],[PID]],0)),INDEX(Table3[[#All],[zScore]],MATCH(Table5[[#This Row],[PID]],Table3[[#All],[PID]],0)))</f>
        <v>-1.1036957110108907</v>
      </c>
      <c r="S1214" s="58" t="str">
        <f>IF($C1214="B",INDEX(Batters[[#All],[DEM]],MATCH(Table5[[#This Row],[PID]],Batters[[#All],[PID]],0)),INDEX(Table3[[#All],[DEM]],MATCH(Table5[[#This Row],[PID]],Table3[[#All],[PID]],0)))</f>
        <v>-</v>
      </c>
      <c r="T1214" s="62">
        <f>IF($C1214="B",INDEX(Batters[[#All],[Rnk]],MATCH(Table5[[#This Row],[PID]],Batters[[#All],[PID]],0)),INDEX(Table3[[#All],[Rnk]],MATCH(Table5[[#This Row],[PID]],Table3[[#All],[PID]],0)))</f>
        <v>723</v>
      </c>
      <c r="U1214" s="68">
        <f>IF($C1214="B",VLOOKUP($A1214,Bat!$A$4:$BA$1621,47,FALSE),VLOOKUP($A1214,Pit!$A$4:$BF$1557,56,FALSE))</f>
        <v>0</v>
      </c>
      <c r="V1214" s="50">
        <f>IF($C1214="B",VLOOKUP($A1214,Bat!$A$4:$BA$1621,48,FALSE),VLOOKUP($A1214,Pit!$A$4:$BF$1557,57,FALSE))</f>
        <v>0</v>
      </c>
      <c r="W1214" s="50">
        <f>Table5[[#This Row],[posRnk]]+Table5[[#This Row],[zRnk]]+IF($W$3&lt;&gt;Table5[[#This Row],[Type]],50,0)</f>
        <v>1953</v>
      </c>
      <c r="X1214" s="51">
        <f>RANK(Table5[[#This Row],[zScore]],Table5[[#All],[zScore]])</f>
        <v>1180</v>
      </c>
      <c r="Y1214" s="50" t="str">
        <f>IFERROR(INDEX(DraftResults[[#All],[OVR]],MATCH(Table5[[#This Row],[PID]],DraftResults[[#All],[Player ID]],0)),"")</f>
        <v/>
      </c>
      <c r="Z12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4" s="50" t="str">
        <f>IFERROR(INDEX(DraftResults[[#All],[Pick in Round]],MATCH(Table5[[#This Row],[PID]],DraftResults[[#All],[Player ID]],0)),"")</f>
        <v/>
      </c>
      <c r="AB1214" s="50" t="str">
        <f>IFERROR(INDEX(DraftResults[[#All],[Team Name]],MATCH(Table5[[#This Row],[PID]],DraftResults[[#All],[Player ID]],0)),"")</f>
        <v/>
      </c>
      <c r="AC1214" s="50" t="str">
        <f>IF(Table5[[#This Row],[Ovr]]="","",IF(Table5[[#This Row],[cmbList]]="","",Table5[[#This Row],[cmbList]]-Table5[[#This Row],[Ovr]]))</f>
        <v/>
      </c>
      <c r="AD1214" s="54" t="str">
        <f>IF(ISERROR(VLOOKUP($AB1214&amp;"-"&amp;$E1214&amp;" "&amp;F1214,Bonuses!$B$1:$G$1006,4,FALSE)),"",INT(VLOOKUP($AB1214&amp;"-"&amp;$E1214&amp;" "&amp;$F1214,Bonuses!$B$1:$G$1006,4,FALSE)))</f>
        <v/>
      </c>
      <c r="AE12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5" spans="1:31" s="7" customFormat="1" x14ac:dyDescent="0.25">
      <c r="A1215" s="50">
        <v>5821</v>
      </c>
      <c r="B1215" s="50">
        <f>COUNTIF(Table5[PID],A1215)</f>
        <v>1</v>
      </c>
      <c r="C1215" s="50" t="str">
        <f>IF(COUNTIF(Table3[[#All],[PID]],A1215)&gt;0,"P","B")</f>
        <v>P</v>
      </c>
      <c r="D1215" s="59" t="str">
        <f>IF($C1215="B",INDEX(Batters[[#All],[POS]],MATCH(Table5[[#This Row],[PID]],Batters[[#All],[PID]],0)),INDEX(Table3[[#All],[POS]],MATCH(Table5[[#This Row],[PID]],Table3[[#All],[PID]],0)))</f>
        <v>RP</v>
      </c>
      <c r="E1215" s="52" t="str">
        <f>IF($C1215="B",INDEX(Batters[[#All],[First]],MATCH(Table5[[#This Row],[PID]],Batters[[#All],[PID]],0)),INDEX(Table3[[#All],[First]],MATCH(Table5[[#This Row],[PID]],Table3[[#All],[PID]],0)))</f>
        <v>Rob</v>
      </c>
      <c r="F1215" s="50" t="str">
        <f>IF($C1215="B",INDEX(Batters[[#All],[Last]],MATCH(A1215,Batters[[#All],[PID]],0)),INDEX(Table3[[#All],[Last]],MATCH(A1215,Table3[[#All],[PID]],0)))</f>
        <v>Carr</v>
      </c>
      <c r="G1215" s="56">
        <f>IF($C1215="B",INDEX(Batters[[#All],[Age]],MATCH(Table5[[#This Row],[PID]],Batters[[#All],[PID]],0)),INDEX(Table3[[#All],[Age]],MATCH(Table5[[#This Row],[PID]],Table3[[#All],[PID]],0)))</f>
        <v>22</v>
      </c>
      <c r="H1215" s="52" t="str">
        <f>IF($C1215="B",INDEX(Batters[[#All],[B]],MATCH(Table5[[#This Row],[PID]],Batters[[#All],[PID]],0)),INDEX(Table3[[#All],[B]],MATCH(Table5[[#This Row],[PID]],Table3[[#All],[PID]],0)))</f>
        <v>L</v>
      </c>
      <c r="I1215" s="52" t="str">
        <f>IF($C1215="B",INDEX(Batters[[#All],[T]],MATCH(Table5[[#This Row],[PID]],Batters[[#All],[PID]],0)),INDEX(Table3[[#All],[T]],MATCH(Table5[[#This Row],[PID]],Table3[[#All],[PID]],0)))</f>
        <v>R</v>
      </c>
      <c r="J1215" s="52" t="str">
        <f>IF($C1215="B",INDEX(Batters[[#All],[WE]],MATCH(Table5[[#This Row],[PID]],Batters[[#All],[PID]],0)),INDEX(Table3[[#All],[WE]],MATCH(Table5[[#This Row],[PID]],Table3[[#All],[PID]],0)))</f>
        <v>Low</v>
      </c>
      <c r="K1215" s="52" t="str">
        <f>IF($C1215="B",INDEX(Batters[[#All],[INT]],MATCH(Table5[[#This Row],[PID]],Batters[[#All],[PID]],0)),INDEX(Table3[[#All],[INT]],MATCH(Table5[[#This Row],[PID]],Table3[[#All],[PID]],0)))</f>
        <v>Normal</v>
      </c>
      <c r="L1215" s="60">
        <f>IF($C1215="B",INDEX(Batters[[#All],[CON P]],MATCH(Table5[[#This Row],[PID]],Batters[[#All],[PID]],0)),INDEX(Table3[[#All],[STU P]],MATCH(Table5[[#This Row],[PID]],Table3[[#All],[PID]],0)))</f>
        <v>3</v>
      </c>
      <c r="M1215" s="56">
        <f>IF($C1215="B",INDEX(Batters[[#All],[GAP P]],MATCH(Table5[[#This Row],[PID]],Batters[[#All],[PID]],0)),INDEX(Table3[[#All],[MOV P]],MATCH(Table5[[#This Row],[PID]],Table3[[#All],[PID]],0)))</f>
        <v>2</v>
      </c>
      <c r="N1215" s="56">
        <f>IF($C1215="B",INDEX(Batters[[#All],[POW P]],MATCH(Table5[[#This Row],[PID]],Batters[[#All],[PID]],0)),INDEX(Table3[[#All],[CON P]],MATCH(Table5[[#This Row],[PID]],Table3[[#All],[PID]],0)))</f>
        <v>2</v>
      </c>
      <c r="O1215" s="56" t="str">
        <f>IF($C1215="B",INDEX(Batters[[#All],[EYE P]],MATCH(Table5[[#This Row],[PID]],Batters[[#All],[PID]],0)),INDEX(Table3[[#All],[VELO]],MATCH(Table5[[#This Row],[PID]],Table3[[#All],[PID]],0)))</f>
        <v>87-89 Mph</v>
      </c>
      <c r="P1215" s="56">
        <f>IF($C1215="B",INDEX(Batters[[#All],[K P]],MATCH(Table5[[#This Row],[PID]],Batters[[#All],[PID]],0)),INDEX(Table3[[#All],[STM]],MATCH(Table5[[#This Row],[PID]],Table3[[#All],[PID]],0)))</f>
        <v>8</v>
      </c>
      <c r="Q1215" s="61">
        <f>IF($C1215="B",INDEX(Batters[[#All],[Tot]],MATCH(Table5[[#This Row],[PID]],Batters[[#All],[PID]],0)),INDEX(Table3[[#All],[Tot]],MATCH(Table5[[#This Row],[PID]],Table3[[#All],[PID]],0)))</f>
        <v>19.20910075924488</v>
      </c>
      <c r="R1215" s="52">
        <f>IF($C1215="B",INDEX(Batters[[#All],[zScore]],MATCH(Table5[[#This Row],[PID]],Batters[[#All],[PID]],0)),INDEX(Table3[[#All],[zScore]],MATCH(Table5[[#This Row],[PID]],Table3[[#All],[PID]],0)))</f>
        <v>-1.1084591636569889</v>
      </c>
      <c r="S1215" s="58" t="str">
        <f>IF($C1215="B",INDEX(Batters[[#All],[DEM]],MATCH(Table5[[#This Row],[PID]],Batters[[#All],[PID]],0)),INDEX(Table3[[#All],[DEM]],MATCH(Table5[[#This Row],[PID]],Table3[[#All],[PID]],0)))</f>
        <v>-</v>
      </c>
      <c r="T1215" s="62">
        <f>IF($C1215="B",INDEX(Batters[[#All],[Rnk]],MATCH(Table5[[#This Row],[PID]],Batters[[#All],[PID]],0)),INDEX(Table3[[#All],[Rnk]],MATCH(Table5[[#This Row],[PID]],Table3[[#All],[PID]],0)))</f>
        <v>724</v>
      </c>
      <c r="U1215" s="68">
        <f>IF($C1215="B",VLOOKUP($A1215,Bat!$A$4:$BA$1621,47,FALSE),VLOOKUP($A1215,Pit!$A$4:$BF$1557,56,FALSE))</f>
        <v>0</v>
      </c>
      <c r="V1215" s="50">
        <f>IF($C1215="B",VLOOKUP($A1215,Bat!$A$4:$BA$1621,48,FALSE),VLOOKUP($A1215,Pit!$A$4:$BF$1557,57,FALSE))</f>
        <v>0</v>
      </c>
      <c r="W1215" s="50">
        <f>Table5[[#This Row],[posRnk]]+Table5[[#This Row],[zRnk]]+IF($W$3&lt;&gt;Table5[[#This Row],[Type]],50,0)</f>
        <v>1955</v>
      </c>
      <c r="X1215" s="51">
        <f>RANK(Table5[[#This Row],[zScore]],Table5[[#All],[zScore]])</f>
        <v>1181</v>
      </c>
      <c r="Y1215" s="50" t="str">
        <f>IFERROR(INDEX(DraftResults[[#All],[OVR]],MATCH(Table5[[#This Row],[PID]],DraftResults[[#All],[Player ID]],0)),"")</f>
        <v/>
      </c>
      <c r="Z12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5" s="50" t="str">
        <f>IFERROR(INDEX(DraftResults[[#All],[Pick in Round]],MATCH(Table5[[#This Row],[PID]],DraftResults[[#All],[Player ID]],0)),"")</f>
        <v/>
      </c>
      <c r="AB1215" s="50" t="str">
        <f>IFERROR(INDEX(DraftResults[[#All],[Team Name]],MATCH(Table5[[#This Row],[PID]],DraftResults[[#All],[Player ID]],0)),"")</f>
        <v/>
      </c>
      <c r="AC1215" s="50" t="str">
        <f>IF(Table5[[#This Row],[Ovr]]="","",IF(Table5[[#This Row],[cmbList]]="","",Table5[[#This Row],[cmbList]]-Table5[[#This Row],[Ovr]]))</f>
        <v/>
      </c>
      <c r="AD1215" s="54" t="str">
        <f>IF(ISERROR(VLOOKUP($AB1215&amp;"-"&amp;$E1215&amp;" "&amp;F1215,Bonuses!$B$1:$G$1006,4,FALSE)),"",INT(VLOOKUP($AB1215&amp;"-"&amp;$E1215&amp;" "&amp;$F1215,Bonuses!$B$1:$G$1006,4,FALSE)))</f>
        <v/>
      </c>
      <c r="AE12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6" spans="1:31" s="7" customFormat="1" x14ac:dyDescent="0.25">
      <c r="A1216" s="50">
        <v>18036</v>
      </c>
      <c r="B1216" s="50">
        <f>COUNTIF(Table5[PID],A1216)</f>
        <v>1</v>
      </c>
      <c r="C1216" s="50" t="str">
        <f>IF(COUNTIF(Table3[[#All],[PID]],A1216)&gt;0,"P","B")</f>
        <v>B</v>
      </c>
      <c r="D1216" s="59" t="str">
        <f>IF($C1216="B",INDEX(Batters[[#All],[POS]],MATCH(Table5[[#This Row],[PID]],Batters[[#All],[PID]],0)),INDEX(Table3[[#All],[POS]],MATCH(Table5[[#This Row],[PID]],Table3[[#All],[PID]],0)))</f>
        <v>LF</v>
      </c>
      <c r="E1216" s="52" t="str">
        <f>IF($C1216="B",INDEX(Batters[[#All],[First]],MATCH(Table5[[#This Row],[PID]],Batters[[#All],[PID]],0)),INDEX(Table3[[#All],[First]],MATCH(Table5[[#This Row],[PID]],Table3[[#All],[PID]],0)))</f>
        <v>Duane</v>
      </c>
      <c r="F1216" s="50" t="str">
        <f>IF($C1216="B",INDEX(Batters[[#All],[Last]],MATCH(A1216,Batters[[#All],[PID]],0)),INDEX(Table3[[#All],[Last]],MATCH(A1216,Table3[[#All],[PID]],0)))</f>
        <v>Riley</v>
      </c>
      <c r="G1216" s="56">
        <f>IF($C1216="B",INDEX(Batters[[#All],[Age]],MATCH(Table5[[#This Row],[PID]],Batters[[#All],[PID]],0)),INDEX(Table3[[#All],[Age]],MATCH(Table5[[#This Row],[PID]],Table3[[#All],[PID]],0)))</f>
        <v>21</v>
      </c>
      <c r="H1216" s="52" t="str">
        <f>IF($C1216="B",INDEX(Batters[[#All],[B]],MATCH(Table5[[#This Row],[PID]],Batters[[#All],[PID]],0)),INDEX(Table3[[#All],[B]],MATCH(Table5[[#This Row],[PID]],Table3[[#All],[PID]],0)))</f>
        <v>L</v>
      </c>
      <c r="I1216" s="52" t="str">
        <f>IF($C1216="B",INDEX(Batters[[#All],[T]],MATCH(Table5[[#This Row],[PID]],Batters[[#All],[PID]],0)),INDEX(Table3[[#All],[T]],MATCH(Table5[[#This Row],[PID]],Table3[[#All],[PID]],0)))</f>
        <v>L</v>
      </c>
      <c r="J1216" s="52" t="str">
        <f>IF($C1216="B",INDEX(Batters[[#All],[WE]],MATCH(Table5[[#This Row],[PID]],Batters[[#All],[PID]],0)),INDEX(Table3[[#All],[WE]],MATCH(Table5[[#This Row],[PID]],Table3[[#All],[PID]],0)))</f>
        <v>Low</v>
      </c>
      <c r="K1216" s="52" t="str">
        <f>IF($C1216="B",INDEX(Batters[[#All],[INT]],MATCH(Table5[[#This Row],[PID]],Batters[[#All],[PID]],0)),INDEX(Table3[[#All],[INT]],MATCH(Table5[[#This Row],[PID]],Table3[[#All],[PID]],0)))</f>
        <v>Normal</v>
      </c>
      <c r="L1216" s="60">
        <f>IF($C1216="B",INDEX(Batters[[#All],[CON P]],MATCH(Table5[[#This Row],[PID]],Batters[[#All],[PID]],0)),INDEX(Table3[[#All],[STU P]],MATCH(Table5[[#This Row],[PID]],Table3[[#All],[PID]],0)))</f>
        <v>3</v>
      </c>
      <c r="M1216" s="56">
        <f>IF($C1216="B",INDEX(Batters[[#All],[GAP P]],MATCH(Table5[[#This Row],[PID]],Batters[[#All],[PID]],0)),INDEX(Table3[[#All],[MOV P]],MATCH(Table5[[#This Row],[PID]],Table3[[#All],[PID]],0)))</f>
        <v>4</v>
      </c>
      <c r="N1216" s="56">
        <f>IF($C1216="B",INDEX(Batters[[#All],[POW P]],MATCH(Table5[[#This Row],[PID]],Batters[[#All],[PID]],0)),INDEX(Table3[[#All],[CON P]],MATCH(Table5[[#This Row],[PID]],Table3[[#All],[PID]],0)))</f>
        <v>5</v>
      </c>
      <c r="O1216" s="56">
        <f>IF($C1216="B",INDEX(Batters[[#All],[EYE P]],MATCH(Table5[[#This Row],[PID]],Batters[[#All],[PID]],0)),INDEX(Table3[[#All],[VELO]],MATCH(Table5[[#This Row],[PID]],Table3[[#All],[PID]],0)))</f>
        <v>6</v>
      </c>
      <c r="P1216" s="56">
        <f>IF($C1216="B",INDEX(Batters[[#All],[K P]],MATCH(Table5[[#This Row],[PID]],Batters[[#All],[PID]],0)),INDEX(Table3[[#All],[STM]],MATCH(Table5[[#This Row],[PID]],Table3[[#All],[PID]],0)))</f>
        <v>2</v>
      </c>
      <c r="Q1216" s="61">
        <f>IF($C1216="B",INDEX(Batters[[#All],[Tot]],MATCH(Table5[[#This Row],[PID]],Batters[[#All],[PID]],0)),INDEX(Table3[[#All],[Tot]],MATCH(Table5[[#This Row],[PID]],Table3[[#All],[PID]],0)))</f>
        <v>39.120094845148138</v>
      </c>
      <c r="R1216" s="52">
        <f>IF($C1216="B",INDEX(Batters[[#All],[zScore]],MATCH(Table5[[#This Row],[PID]],Batters[[#All],[PID]],0)),INDEX(Table3[[#All],[zScore]],MATCH(Table5[[#This Row],[PID]],Table3[[#All],[PID]],0)))</f>
        <v>-1.1111598860442353</v>
      </c>
      <c r="S1216" s="58" t="str">
        <f>IF($C1216="B",INDEX(Batters[[#All],[DEM]],MATCH(Table5[[#This Row],[PID]],Batters[[#All],[PID]],0)),INDEX(Table3[[#All],[DEM]],MATCH(Table5[[#This Row],[PID]],Table3[[#All],[PID]],0)))</f>
        <v>-</v>
      </c>
      <c r="T1216" s="62">
        <f>IF($C1216="B",INDEX(Batters[[#All],[Rnk]],MATCH(Table5[[#This Row],[PID]],Batters[[#All],[PID]],0)),INDEX(Table3[[#All],[Rnk]],MATCH(Table5[[#This Row],[PID]],Table3[[#All],[PID]],0)))</f>
        <v>457</v>
      </c>
      <c r="U1216" s="68">
        <f>IF($C1216="B",VLOOKUP($A1216,Bat!$A$4:$BA$1621,47,FALSE),VLOOKUP($A1216,Pit!$A$4:$BF$1557,56,FALSE))</f>
        <v>0</v>
      </c>
      <c r="V1216" s="50">
        <f>IF($C1216="B",VLOOKUP($A1216,Bat!$A$4:$BA$1621,48,FALSE),VLOOKUP($A1216,Pit!$A$4:$BF$1557,57,FALSE))</f>
        <v>0</v>
      </c>
      <c r="W1216" s="50">
        <f>Table5[[#This Row],[posRnk]]+Table5[[#This Row],[zRnk]]+IF($W$3&lt;&gt;Table5[[#This Row],[Type]],50,0)</f>
        <v>1689</v>
      </c>
      <c r="X1216" s="51">
        <f>RANK(Table5[[#This Row],[zScore]],Table5[[#All],[zScore]])</f>
        <v>1182</v>
      </c>
      <c r="Y1216" s="50" t="str">
        <f>IFERROR(INDEX(DraftResults[[#All],[OVR]],MATCH(Table5[[#This Row],[PID]],DraftResults[[#All],[Player ID]],0)),"")</f>
        <v/>
      </c>
      <c r="Z12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6" s="50" t="str">
        <f>IFERROR(INDEX(DraftResults[[#All],[Pick in Round]],MATCH(Table5[[#This Row],[PID]],DraftResults[[#All],[Player ID]],0)),"")</f>
        <v/>
      </c>
      <c r="AB1216" s="50" t="str">
        <f>IFERROR(INDEX(DraftResults[[#All],[Team Name]],MATCH(Table5[[#This Row],[PID]],DraftResults[[#All],[Player ID]],0)),"")</f>
        <v/>
      </c>
      <c r="AC1216" s="50" t="str">
        <f>IF(Table5[[#This Row],[Ovr]]="","",IF(Table5[[#This Row],[cmbList]]="","",Table5[[#This Row],[cmbList]]-Table5[[#This Row],[Ovr]]))</f>
        <v/>
      </c>
      <c r="AD1216" s="54" t="str">
        <f>IF(ISERROR(VLOOKUP($AB1216&amp;"-"&amp;$E1216&amp;" "&amp;F1216,Bonuses!$B$1:$G$1006,4,FALSE)),"",INT(VLOOKUP($AB1216&amp;"-"&amp;$E1216&amp;" "&amp;$F1216,Bonuses!$B$1:$G$1006,4,FALSE)))</f>
        <v/>
      </c>
      <c r="AE12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7" spans="1:31" s="7" customFormat="1" x14ac:dyDescent="0.25">
      <c r="A1217" s="50">
        <v>15605</v>
      </c>
      <c r="B1217" s="55">
        <f>COUNTIF(Table5[PID],A1217)</f>
        <v>1</v>
      </c>
      <c r="C1217" s="55" t="str">
        <f>IF(COUNTIF(Table3[[#All],[PID]],A1217)&gt;0,"P","B")</f>
        <v>B</v>
      </c>
      <c r="D1217" s="59" t="str">
        <f>IF($C1217="B",INDEX(Batters[[#All],[POS]],MATCH(Table5[[#This Row],[PID]],Batters[[#All],[PID]],0)),INDEX(Table3[[#All],[POS]],MATCH(Table5[[#This Row],[PID]],Table3[[#All],[PID]],0)))</f>
        <v>1B</v>
      </c>
      <c r="E1217" s="52" t="str">
        <f>IF($C1217="B",INDEX(Batters[[#All],[First]],MATCH(Table5[[#This Row],[PID]],Batters[[#All],[PID]],0)),INDEX(Table3[[#All],[First]],MATCH(Table5[[#This Row],[PID]],Table3[[#All],[PID]],0)))</f>
        <v>Kawanari</v>
      </c>
      <c r="F1217" s="50" t="str">
        <f>IF($C1217="B",INDEX(Batters[[#All],[Last]],MATCH(A1217,Batters[[#All],[PID]],0)),INDEX(Table3[[#All],[Last]],MATCH(A1217,Table3[[#All],[PID]],0)))</f>
        <v>Katayama</v>
      </c>
      <c r="G1217" s="56">
        <f>IF($C1217="B",INDEX(Batters[[#All],[Age]],MATCH(Table5[[#This Row],[PID]],Batters[[#All],[PID]],0)),INDEX(Table3[[#All],[Age]],MATCH(Table5[[#This Row],[PID]],Table3[[#All],[PID]],0)))</f>
        <v>21</v>
      </c>
      <c r="H1217" s="52" t="str">
        <f>IF($C1217="B",INDEX(Batters[[#All],[B]],MATCH(Table5[[#This Row],[PID]],Batters[[#All],[PID]],0)),INDEX(Table3[[#All],[B]],MATCH(Table5[[#This Row],[PID]],Table3[[#All],[PID]],0)))</f>
        <v>L</v>
      </c>
      <c r="I1217" s="52" t="str">
        <f>IF($C1217="B",INDEX(Batters[[#All],[T]],MATCH(Table5[[#This Row],[PID]],Batters[[#All],[PID]],0)),INDEX(Table3[[#All],[T]],MATCH(Table5[[#This Row],[PID]],Table3[[#All],[PID]],0)))</f>
        <v>L</v>
      </c>
      <c r="J1217" s="52" t="str">
        <f>IF($C1217="B",INDEX(Batters[[#All],[WE]],MATCH(Table5[[#This Row],[PID]],Batters[[#All],[PID]],0)),INDEX(Table3[[#All],[WE]],MATCH(Table5[[#This Row],[PID]],Table3[[#All],[PID]],0)))</f>
        <v>Normal</v>
      </c>
      <c r="K1217" s="52" t="str">
        <f>IF($C1217="B",INDEX(Batters[[#All],[INT]],MATCH(Table5[[#This Row],[PID]],Batters[[#All],[PID]],0)),INDEX(Table3[[#All],[INT]],MATCH(Table5[[#This Row],[PID]],Table3[[#All],[PID]],0)))</f>
        <v>Normal</v>
      </c>
      <c r="L1217" s="60">
        <f>IF($C1217="B",INDEX(Batters[[#All],[CON P]],MATCH(Table5[[#This Row],[PID]],Batters[[#All],[PID]],0)),INDEX(Table3[[#All],[STU P]],MATCH(Table5[[#This Row],[PID]],Table3[[#All],[PID]],0)))</f>
        <v>3</v>
      </c>
      <c r="M1217" s="56">
        <f>IF($C1217="B",INDEX(Batters[[#All],[GAP P]],MATCH(Table5[[#This Row],[PID]],Batters[[#All],[PID]],0)),INDEX(Table3[[#All],[MOV P]],MATCH(Table5[[#This Row],[PID]],Table3[[#All],[PID]],0)))</f>
        <v>5</v>
      </c>
      <c r="N1217" s="56">
        <f>IF($C1217="B",INDEX(Batters[[#All],[POW P]],MATCH(Table5[[#This Row],[PID]],Batters[[#All],[PID]],0)),INDEX(Table3[[#All],[CON P]],MATCH(Table5[[#This Row],[PID]],Table3[[#All],[PID]],0)))</f>
        <v>5</v>
      </c>
      <c r="O1217" s="56">
        <f>IF($C1217="B",INDEX(Batters[[#All],[EYE P]],MATCH(Table5[[#This Row],[PID]],Batters[[#All],[PID]],0)),INDEX(Table3[[#All],[VELO]],MATCH(Table5[[#This Row],[PID]],Table3[[#All],[PID]],0)))</f>
        <v>5</v>
      </c>
      <c r="P1217" s="56">
        <f>IF($C1217="B",INDEX(Batters[[#All],[K P]],MATCH(Table5[[#This Row],[PID]],Batters[[#All],[PID]],0)),INDEX(Table3[[#All],[STM]],MATCH(Table5[[#This Row],[PID]],Table3[[#All],[PID]],0)))</f>
        <v>3</v>
      </c>
      <c r="Q1217" s="61">
        <f>IF($C1217="B",INDEX(Batters[[#All],[Tot]],MATCH(Table5[[#This Row],[PID]],Batters[[#All],[PID]],0)),INDEX(Table3[[#All],[Tot]],MATCH(Table5[[#This Row],[PID]],Table3[[#All],[PID]],0)))</f>
        <v>39.110857256594983</v>
      </c>
      <c r="R1217" s="52">
        <f>IF($C1217="B",INDEX(Batters[[#All],[zScore]],MATCH(Table5[[#This Row],[PID]],Batters[[#All],[PID]],0)),INDEX(Table3[[#All],[zScore]],MATCH(Table5[[#This Row],[PID]],Table3[[#All],[PID]],0)))</f>
        <v>-1.1132079218667736</v>
      </c>
      <c r="S1217" s="58" t="str">
        <f>IF($C1217="B",INDEX(Batters[[#All],[DEM]],MATCH(Table5[[#This Row],[PID]],Batters[[#All],[PID]],0)),INDEX(Table3[[#All],[DEM]],MATCH(Table5[[#This Row],[PID]],Table3[[#All],[PID]],0)))</f>
        <v>$20k</v>
      </c>
      <c r="T1217" s="62">
        <f>IF($C1217="B",INDEX(Batters[[#All],[Rnk]],MATCH(Table5[[#This Row],[PID]],Batters[[#All],[PID]],0)),INDEX(Table3[[#All],[Rnk]],MATCH(Table5[[#This Row],[PID]],Table3[[#All],[PID]],0)))</f>
        <v>458</v>
      </c>
      <c r="U1217" s="68">
        <f>IF($C1217="B",VLOOKUP($A1217,Bat!$A$4:$BA$1621,47,FALSE),VLOOKUP($A1217,Pit!$A$4:$BF$1557,56,FALSE))</f>
        <v>0</v>
      </c>
      <c r="V1217" s="50">
        <f>IF($C1217="B",VLOOKUP($A1217,Bat!$A$4:$BA$1621,48,FALSE),VLOOKUP($A1217,Pit!$A$4:$BF$1557,57,FALSE))</f>
        <v>0</v>
      </c>
      <c r="W1217" s="50">
        <f>Table5[[#This Row],[posRnk]]+Table5[[#This Row],[zRnk]]+IF($W$3&lt;&gt;Table5[[#This Row],[Type]],50,0)</f>
        <v>1691</v>
      </c>
      <c r="X1217" s="51">
        <f>RANK(Table5[[#This Row],[zScore]],Table5[[#All],[zScore]])</f>
        <v>1183</v>
      </c>
      <c r="Y1217" s="50" t="str">
        <f>IFERROR(INDEX(DraftResults[[#All],[OVR]],MATCH(Table5[[#This Row],[PID]],DraftResults[[#All],[Player ID]],0)),"")</f>
        <v/>
      </c>
      <c r="Z12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7" s="50" t="str">
        <f>IFERROR(INDEX(DraftResults[[#All],[Pick in Round]],MATCH(Table5[[#This Row],[PID]],DraftResults[[#All],[Player ID]],0)),"")</f>
        <v/>
      </c>
      <c r="AB1217" s="50" t="str">
        <f>IFERROR(INDEX(DraftResults[[#All],[Team Name]],MATCH(Table5[[#This Row],[PID]],DraftResults[[#All],[Player ID]],0)),"")</f>
        <v/>
      </c>
      <c r="AC1217" s="50" t="str">
        <f>IF(Table5[[#This Row],[Ovr]]="","",IF(Table5[[#This Row],[cmbList]]="","",Table5[[#This Row],[cmbList]]-Table5[[#This Row],[Ovr]]))</f>
        <v/>
      </c>
      <c r="AD1217" s="54" t="str">
        <f>IF(ISERROR(VLOOKUP($AB1217&amp;"-"&amp;$E1217&amp;" "&amp;F1217,Bonuses!$B$1:$G$1006,4,FALSE)),"",INT(VLOOKUP($AB1217&amp;"-"&amp;$E1217&amp;" "&amp;$F1217,Bonuses!$B$1:$G$1006,4,FALSE)))</f>
        <v/>
      </c>
      <c r="AE12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8" spans="1:31" s="7" customFormat="1" x14ac:dyDescent="0.25">
      <c r="A1218" s="50">
        <v>9505</v>
      </c>
      <c r="B1218" s="50">
        <f>COUNTIF(Table5[PID],A1218)</f>
        <v>1</v>
      </c>
      <c r="C1218" s="50" t="str">
        <f>IF(COUNTIF(Table3[[#All],[PID]],A1218)&gt;0,"P","B")</f>
        <v>P</v>
      </c>
      <c r="D1218" s="59" t="str">
        <f>IF($C1218="B",INDEX(Batters[[#All],[POS]],MATCH(Table5[[#This Row],[PID]],Batters[[#All],[PID]],0)),INDEX(Table3[[#All],[POS]],MATCH(Table5[[#This Row],[PID]],Table3[[#All],[PID]],0)))</f>
        <v>RP</v>
      </c>
      <c r="E1218" s="52" t="str">
        <f>IF($C1218="B",INDEX(Batters[[#All],[First]],MATCH(Table5[[#This Row],[PID]],Batters[[#All],[PID]],0)),INDEX(Table3[[#All],[First]],MATCH(Table5[[#This Row],[PID]],Table3[[#All],[PID]],0)))</f>
        <v>Max</v>
      </c>
      <c r="F1218" s="50" t="str">
        <f>IF($C1218="B",INDEX(Batters[[#All],[Last]],MATCH(A1218,Batters[[#All],[PID]],0)),INDEX(Table3[[#All],[Last]],MATCH(A1218,Table3[[#All],[PID]],0)))</f>
        <v>Moore</v>
      </c>
      <c r="G1218" s="56">
        <f>IF($C1218="B",INDEX(Batters[[#All],[Age]],MATCH(Table5[[#This Row],[PID]],Batters[[#All],[PID]],0)),INDEX(Table3[[#All],[Age]],MATCH(Table5[[#This Row],[PID]],Table3[[#All],[PID]],0)))</f>
        <v>22</v>
      </c>
      <c r="H1218" s="52" t="str">
        <f>IF($C1218="B",INDEX(Batters[[#All],[B]],MATCH(Table5[[#This Row],[PID]],Batters[[#All],[PID]],0)),INDEX(Table3[[#All],[B]],MATCH(Table5[[#This Row],[PID]],Table3[[#All],[PID]],0)))</f>
        <v>L</v>
      </c>
      <c r="I1218" s="52" t="str">
        <f>IF($C1218="B",INDEX(Batters[[#All],[T]],MATCH(Table5[[#This Row],[PID]],Batters[[#All],[PID]],0)),INDEX(Table3[[#All],[T]],MATCH(Table5[[#This Row],[PID]],Table3[[#All],[PID]],0)))</f>
        <v>L</v>
      </c>
      <c r="J1218" s="52" t="str">
        <f>IF($C1218="B",INDEX(Batters[[#All],[WE]],MATCH(Table5[[#This Row],[PID]],Batters[[#All],[PID]],0)),INDEX(Table3[[#All],[WE]],MATCH(Table5[[#This Row],[PID]],Table3[[#All],[PID]],0)))</f>
        <v>Low</v>
      </c>
      <c r="K1218" s="52" t="str">
        <f>IF($C1218="B",INDEX(Batters[[#All],[INT]],MATCH(Table5[[#This Row],[PID]],Batters[[#All],[PID]],0)),INDEX(Table3[[#All],[INT]],MATCH(Table5[[#This Row],[PID]],Table3[[#All],[PID]],0)))</f>
        <v>Low</v>
      </c>
      <c r="L1218" s="60">
        <f>IF($C1218="B",INDEX(Batters[[#All],[CON P]],MATCH(Table5[[#This Row],[PID]],Batters[[#All],[PID]],0)),INDEX(Table3[[#All],[STU P]],MATCH(Table5[[#This Row],[PID]],Table3[[#All],[PID]],0)))</f>
        <v>4</v>
      </c>
      <c r="M1218" s="56">
        <f>IF($C1218="B",INDEX(Batters[[#All],[GAP P]],MATCH(Table5[[#This Row],[PID]],Batters[[#All],[PID]],0)),INDEX(Table3[[#All],[MOV P]],MATCH(Table5[[#This Row],[PID]],Table3[[#All],[PID]],0)))</f>
        <v>1</v>
      </c>
      <c r="N1218" s="56">
        <f>IF($C1218="B",INDEX(Batters[[#All],[POW P]],MATCH(Table5[[#This Row],[PID]],Batters[[#All],[PID]],0)),INDEX(Table3[[#All],[CON P]],MATCH(Table5[[#This Row],[PID]],Table3[[#All],[PID]],0)))</f>
        <v>2</v>
      </c>
      <c r="O1218" s="56" t="str">
        <f>IF($C1218="B",INDEX(Batters[[#All],[EYE P]],MATCH(Table5[[#This Row],[PID]],Batters[[#All],[PID]],0)),INDEX(Table3[[#All],[VELO]],MATCH(Table5[[#This Row],[PID]],Table3[[#All],[PID]],0)))</f>
        <v>87-89 Mph</v>
      </c>
      <c r="P1218" s="56">
        <f>IF($C1218="B",INDEX(Batters[[#All],[K P]],MATCH(Table5[[#This Row],[PID]],Batters[[#All],[PID]],0)),INDEX(Table3[[#All],[STM]],MATCH(Table5[[#This Row],[PID]],Table3[[#All],[PID]],0)))</f>
        <v>3</v>
      </c>
      <c r="Q1218" s="61">
        <f>IF($C1218="B",INDEX(Batters[[#All],[Tot]],MATCH(Table5[[#This Row],[PID]],Batters[[#All],[PID]],0)),INDEX(Table3[[#All],[Tot]],MATCH(Table5[[#This Row],[PID]],Table3[[#All],[PID]],0)))</f>
        <v>19.136405341113878</v>
      </c>
      <c r="R1218" s="52">
        <f>IF($C1218="B",INDEX(Batters[[#All],[zScore]],MATCH(Table5[[#This Row],[PID]],Batters[[#All],[PID]],0)),INDEX(Table3[[#All],[zScore]],MATCH(Table5[[#This Row],[PID]],Table3[[#All],[PID]],0)))</f>
        <v>-1.1132954787387332</v>
      </c>
      <c r="S1218" s="58" t="str">
        <f>IF($C1218="B",INDEX(Batters[[#All],[DEM]],MATCH(Table5[[#This Row],[PID]],Batters[[#All],[PID]],0)),INDEX(Table3[[#All],[DEM]],MATCH(Table5[[#This Row],[PID]],Table3[[#All],[PID]],0)))</f>
        <v>-</v>
      </c>
      <c r="T1218" s="62">
        <f>IF($C1218="B",INDEX(Batters[[#All],[Rnk]],MATCH(Table5[[#This Row],[PID]],Batters[[#All],[PID]],0)),INDEX(Table3[[#All],[Rnk]],MATCH(Table5[[#This Row],[PID]],Table3[[#All],[PID]],0)))</f>
        <v>725</v>
      </c>
      <c r="U1218" s="68">
        <f>IF($C1218="B",VLOOKUP($A1218,Bat!$A$4:$BA$1621,47,FALSE),VLOOKUP($A1218,Pit!$A$4:$BF$1557,56,FALSE))</f>
        <v>0</v>
      </c>
      <c r="V1218" s="50">
        <f>IF($C1218="B",VLOOKUP($A1218,Bat!$A$4:$BA$1621,48,FALSE),VLOOKUP($A1218,Pit!$A$4:$BF$1557,57,FALSE))</f>
        <v>0</v>
      </c>
      <c r="W1218" s="50">
        <f>Table5[[#This Row],[posRnk]]+Table5[[#This Row],[zRnk]]+IF($W$3&lt;&gt;Table5[[#This Row],[Type]],50,0)</f>
        <v>1959</v>
      </c>
      <c r="X1218" s="51">
        <f>RANK(Table5[[#This Row],[zScore]],Table5[[#All],[zScore]])</f>
        <v>1184</v>
      </c>
      <c r="Y1218" s="50" t="str">
        <f>IFERROR(INDEX(DraftResults[[#All],[OVR]],MATCH(Table5[[#This Row],[PID]],DraftResults[[#All],[Player ID]],0)),"")</f>
        <v/>
      </c>
      <c r="Z12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8" s="50" t="str">
        <f>IFERROR(INDEX(DraftResults[[#All],[Pick in Round]],MATCH(Table5[[#This Row],[PID]],DraftResults[[#All],[Player ID]],0)),"")</f>
        <v/>
      </c>
      <c r="AB1218" s="50" t="str">
        <f>IFERROR(INDEX(DraftResults[[#All],[Team Name]],MATCH(Table5[[#This Row],[PID]],DraftResults[[#All],[Player ID]],0)),"")</f>
        <v/>
      </c>
      <c r="AC1218" s="50" t="str">
        <f>IF(Table5[[#This Row],[Ovr]]="","",IF(Table5[[#This Row],[cmbList]]="","",Table5[[#This Row],[cmbList]]-Table5[[#This Row],[Ovr]]))</f>
        <v/>
      </c>
      <c r="AD1218" s="54" t="str">
        <f>IF(ISERROR(VLOOKUP($AB1218&amp;"-"&amp;$E1218&amp;" "&amp;F1218,Bonuses!$B$1:$G$1006,4,FALSE)),"",INT(VLOOKUP($AB1218&amp;"-"&amp;$E1218&amp;" "&amp;$F1218,Bonuses!$B$1:$G$1006,4,FALSE)))</f>
        <v/>
      </c>
      <c r="AE12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19" spans="1:31" s="7" customFormat="1" x14ac:dyDescent="0.25">
      <c r="A1219" s="50">
        <v>7309</v>
      </c>
      <c r="B1219" s="50">
        <f>COUNTIF(Table5[PID],A1219)</f>
        <v>1</v>
      </c>
      <c r="C1219" s="50" t="str">
        <f>IF(COUNTIF(Table3[[#All],[PID]],A1219)&gt;0,"P","B")</f>
        <v>B</v>
      </c>
      <c r="D1219" s="59" t="str">
        <f>IF($C1219="B",INDEX(Batters[[#All],[POS]],MATCH(Table5[[#This Row],[PID]],Batters[[#All],[PID]],0)),INDEX(Table3[[#All],[POS]],MATCH(Table5[[#This Row],[PID]],Table3[[#All],[PID]],0)))</f>
        <v>3B</v>
      </c>
      <c r="E1219" s="52" t="str">
        <f>IF($C1219="B",INDEX(Batters[[#All],[First]],MATCH(Table5[[#This Row],[PID]],Batters[[#All],[PID]],0)),INDEX(Table3[[#All],[First]],MATCH(Table5[[#This Row],[PID]],Table3[[#All],[PID]],0)))</f>
        <v>Yosuke</v>
      </c>
      <c r="F1219" s="50" t="str">
        <f>IF($C1219="B",INDEX(Batters[[#All],[Last]],MATCH(A1219,Batters[[#All],[PID]],0)),INDEX(Table3[[#All],[Last]],MATCH(A1219,Table3[[#All],[PID]],0)))</f>
        <v>Kojima</v>
      </c>
      <c r="G1219" s="56">
        <f>IF($C1219="B",INDEX(Batters[[#All],[Age]],MATCH(Table5[[#This Row],[PID]],Batters[[#All],[PID]],0)),INDEX(Table3[[#All],[Age]],MATCH(Table5[[#This Row],[PID]],Table3[[#All],[PID]],0)))</f>
        <v>22</v>
      </c>
      <c r="H1219" s="52" t="str">
        <f>IF($C1219="B",INDEX(Batters[[#All],[B]],MATCH(Table5[[#This Row],[PID]],Batters[[#All],[PID]],0)),INDEX(Table3[[#All],[B]],MATCH(Table5[[#This Row],[PID]],Table3[[#All],[PID]],0)))</f>
        <v>R</v>
      </c>
      <c r="I1219" s="52" t="str">
        <f>IF($C1219="B",INDEX(Batters[[#All],[T]],MATCH(Table5[[#This Row],[PID]],Batters[[#All],[PID]],0)),INDEX(Table3[[#All],[T]],MATCH(Table5[[#This Row],[PID]],Table3[[#All],[PID]],0)))</f>
        <v>R</v>
      </c>
      <c r="J1219" s="52" t="str">
        <f>IF($C1219="B",INDEX(Batters[[#All],[WE]],MATCH(Table5[[#This Row],[PID]],Batters[[#All],[PID]],0)),INDEX(Table3[[#All],[WE]],MATCH(Table5[[#This Row],[PID]],Table3[[#All],[PID]],0)))</f>
        <v>Normal</v>
      </c>
      <c r="K1219" s="52" t="str">
        <f>IF($C1219="B",INDEX(Batters[[#All],[INT]],MATCH(Table5[[#This Row],[PID]],Batters[[#All],[PID]],0)),INDEX(Table3[[#All],[INT]],MATCH(Table5[[#This Row],[PID]],Table3[[#All],[PID]],0)))</f>
        <v>High</v>
      </c>
      <c r="L1219" s="60">
        <f>IF($C1219="B",INDEX(Batters[[#All],[CON P]],MATCH(Table5[[#This Row],[PID]],Batters[[#All],[PID]],0)),INDEX(Table3[[#All],[STU P]],MATCH(Table5[[#This Row],[PID]],Table3[[#All],[PID]],0)))</f>
        <v>3</v>
      </c>
      <c r="M1219" s="56">
        <f>IF($C1219="B",INDEX(Batters[[#All],[GAP P]],MATCH(Table5[[#This Row],[PID]],Batters[[#All],[PID]],0)),INDEX(Table3[[#All],[MOV P]],MATCH(Table5[[#This Row],[PID]],Table3[[#All],[PID]],0)))</f>
        <v>4</v>
      </c>
      <c r="N1219" s="56">
        <f>IF($C1219="B",INDEX(Batters[[#All],[POW P]],MATCH(Table5[[#This Row],[PID]],Batters[[#All],[PID]],0)),INDEX(Table3[[#All],[CON P]],MATCH(Table5[[#This Row],[PID]],Table3[[#All],[PID]],0)))</f>
        <v>4</v>
      </c>
      <c r="O1219" s="56">
        <f>IF($C1219="B",INDEX(Batters[[#All],[EYE P]],MATCH(Table5[[#This Row],[PID]],Batters[[#All],[PID]],0)),INDEX(Table3[[#All],[VELO]],MATCH(Table5[[#This Row],[PID]],Table3[[#All],[PID]],0)))</f>
        <v>5</v>
      </c>
      <c r="P1219" s="56">
        <f>IF($C1219="B",INDEX(Batters[[#All],[K P]],MATCH(Table5[[#This Row],[PID]],Batters[[#All],[PID]],0)),INDEX(Table3[[#All],[STM]],MATCH(Table5[[#This Row],[PID]],Table3[[#All],[PID]],0)))</f>
        <v>3</v>
      </c>
      <c r="Q1219" s="61">
        <f>IF($C1219="B",INDEX(Batters[[#All],[Tot]],MATCH(Table5[[#This Row],[PID]],Batters[[#All],[PID]],0)),INDEX(Table3[[#All],[Tot]],MATCH(Table5[[#This Row],[PID]],Table3[[#All],[PID]],0)))</f>
        <v>39.081066632800159</v>
      </c>
      <c r="R1219" s="52">
        <f>IF($C1219="B",INDEX(Batters[[#All],[zScore]],MATCH(Table5[[#This Row],[PID]],Batters[[#All],[PID]],0)),INDEX(Table3[[#All],[zScore]],MATCH(Table5[[#This Row],[PID]],Table3[[#All],[PID]],0)))</f>
        <v>-1.1198127045280146</v>
      </c>
      <c r="S1219" s="58" t="str">
        <f>IF($C1219="B",INDEX(Batters[[#All],[DEM]],MATCH(Table5[[#This Row],[PID]],Batters[[#All],[PID]],0)),INDEX(Table3[[#All],[DEM]],MATCH(Table5[[#This Row],[PID]],Table3[[#All],[PID]],0)))</f>
        <v>-</v>
      </c>
      <c r="T1219" s="62">
        <f>IF($C1219="B",INDEX(Batters[[#All],[Rnk]],MATCH(Table5[[#This Row],[PID]],Batters[[#All],[PID]],0)),INDEX(Table3[[#All],[Rnk]],MATCH(Table5[[#This Row],[PID]],Table3[[#All],[PID]],0)))</f>
        <v>460</v>
      </c>
      <c r="U1219" s="68">
        <f>IF($C1219="B",VLOOKUP($A1219,Bat!$A$4:$BA$1621,47,FALSE),VLOOKUP($A1219,Pit!$A$4:$BF$1557,56,FALSE))</f>
        <v>0</v>
      </c>
      <c r="V1219" s="50">
        <f>IF($C1219="B",VLOOKUP($A1219,Bat!$A$4:$BA$1621,48,FALSE),VLOOKUP($A1219,Pit!$A$4:$BF$1557,57,FALSE))</f>
        <v>0</v>
      </c>
      <c r="W1219" s="50">
        <f>Table5[[#This Row],[posRnk]]+Table5[[#This Row],[zRnk]]+IF($W$3&lt;&gt;Table5[[#This Row],[Type]],50,0)</f>
        <v>1696</v>
      </c>
      <c r="X1219" s="51">
        <f>RANK(Table5[[#This Row],[zScore]],Table5[[#All],[zScore]])</f>
        <v>1186</v>
      </c>
      <c r="Y1219" s="50" t="str">
        <f>IFERROR(INDEX(DraftResults[[#All],[OVR]],MATCH(Table5[[#This Row],[PID]],DraftResults[[#All],[Player ID]],0)),"")</f>
        <v/>
      </c>
      <c r="Z12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19" s="50" t="str">
        <f>IFERROR(INDEX(DraftResults[[#All],[Pick in Round]],MATCH(Table5[[#This Row],[PID]],DraftResults[[#All],[Player ID]],0)),"")</f>
        <v/>
      </c>
      <c r="AB1219" s="50" t="str">
        <f>IFERROR(INDEX(DraftResults[[#All],[Team Name]],MATCH(Table5[[#This Row],[PID]],DraftResults[[#All],[Player ID]],0)),"")</f>
        <v/>
      </c>
      <c r="AC1219" s="50" t="str">
        <f>IF(Table5[[#This Row],[Ovr]]="","",IF(Table5[[#This Row],[cmbList]]="","",Table5[[#This Row],[cmbList]]-Table5[[#This Row],[Ovr]]))</f>
        <v/>
      </c>
      <c r="AD1219" s="54" t="str">
        <f>IF(ISERROR(VLOOKUP($AB1219&amp;"-"&amp;$E1219&amp;" "&amp;F1219,Bonuses!$B$1:$G$1006,4,FALSE)),"",INT(VLOOKUP($AB1219&amp;"-"&amp;$E1219&amp;" "&amp;$F1219,Bonuses!$B$1:$G$1006,4,FALSE)))</f>
        <v/>
      </c>
      <c r="AE12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0" spans="1:31" s="7" customFormat="1" x14ac:dyDescent="0.25">
      <c r="A1220" s="50">
        <v>20537</v>
      </c>
      <c r="B1220" s="50">
        <f>COUNTIF(Table5[PID],A1220)</f>
        <v>1</v>
      </c>
      <c r="C1220" s="50" t="str">
        <f>IF(COUNTIF(Table3[[#All],[PID]],A1220)&gt;0,"P","B")</f>
        <v>B</v>
      </c>
      <c r="D1220" s="59" t="str">
        <f>IF($C1220="B",INDEX(Batters[[#All],[POS]],MATCH(Table5[[#This Row],[PID]],Batters[[#All],[PID]],0)),INDEX(Table3[[#All],[POS]],MATCH(Table5[[#This Row],[PID]],Table3[[#All],[PID]],0)))</f>
        <v>3B</v>
      </c>
      <c r="E1220" s="52" t="str">
        <f>IF($C1220="B",INDEX(Batters[[#All],[First]],MATCH(Table5[[#This Row],[PID]],Batters[[#All],[PID]],0)),INDEX(Table3[[#All],[First]],MATCH(Table5[[#This Row],[PID]],Table3[[#All],[PID]],0)))</f>
        <v>Gavin</v>
      </c>
      <c r="F1220" s="50" t="str">
        <f>IF($C1220="B",INDEX(Batters[[#All],[Last]],MATCH(A1220,Batters[[#All],[PID]],0)),INDEX(Table3[[#All],[Last]],MATCH(A1220,Table3[[#All],[PID]],0)))</f>
        <v>Albrecht</v>
      </c>
      <c r="G1220" s="56">
        <f>IF($C1220="B",INDEX(Batters[[#All],[Age]],MATCH(Table5[[#This Row],[PID]],Batters[[#All],[PID]],0)),INDEX(Table3[[#All],[Age]],MATCH(Table5[[#This Row],[PID]],Table3[[#All],[PID]],0)))</f>
        <v>18</v>
      </c>
      <c r="H1220" s="52" t="str">
        <f>IF($C1220="B",INDEX(Batters[[#All],[B]],MATCH(Table5[[#This Row],[PID]],Batters[[#All],[PID]],0)),INDEX(Table3[[#All],[B]],MATCH(Table5[[#This Row],[PID]],Table3[[#All],[PID]],0)))</f>
        <v>R</v>
      </c>
      <c r="I1220" s="52" t="str">
        <f>IF($C1220="B",INDEX(Batters[[#All],[T]],MATCH(Table5[[#This Row],[PID]],Batters[[#All],[PID]],0)),INDEX(Table3[[#All],[T]],MATCH(Table5[[#This Row],[PID]],Table3[[#All],[PID]],0)))</f>
        <v>R</v>
      </c>
      <c r="J1220" s="52" t="str">
        <f>IF($C1220="B",INDEX(Batters[[#All],[WE]],MATCH(Table5[[#This Row],[PID]],Batters[[#All],[PID]],0)),INDEX(Table3[[#All],[WE]],MATCH(Table5[[#This Row],[PID]],Table3[[#All],[PID]],0)))</f>
        <v>Low</v>
      </c>
      <c r="K1220" s="52" t="str">
        <f>IF($C1220="B",INDEX(Batters[[#All],[INT]],MATCH(Table5[[#This Row],[PID]],Batters[[#All],[PID]],0)),INDEX(Table3[[#All],[INT]],MATCH(Table5[[#This Row],[PID]],Table3[[#All],[PID]],0)))</f>
        <v>Normal</v>
      </c>
      <c r="L1220" s="60">
        <f>IF($C1220="B",INDEX(Batters[[#All],[CON P]],MATCH(Table5[[#This Row],[PID]],Batters[[#All],[PID]],0)),INDEX(Table3[[#All],[STU P]],MATCH(Table5[[#This Row],[PID]],Table3[[#All],[PID]],0)))</f>
        <v>2</v>
      </c>
      <c r="M1220" s="56">
        <f>IF($C1220="B",INDEX(Batters[[#All],[GAP P]],MATCH(Table5[[#This Row],[PID]],Batters[[#All],[PID]],0)),INDEX(Table3[[#All],[MOV P]],MATCH(Table5[[#This Row],[PID]],Table3[[#All],[PID]],0)))</f>
        <v>4</v>
      </c>
      <c r="N1220" s="56">
        <f>IF($C1220="B",INDEX(Batters[[#All],[POW P]],MATCH(Table5[[#This Row],[PID]],Batters[[#All],[PID]],0)),INDEX(Table3[[#All],[CON P]],MATCH(Table5[[#This Row],[PID]],Table3[[#All],[PID]],0)))</f>
        <v>4</v>
      </c>
      <c r="O1220" s="56">
        <f>IF($C1220="B",INDEX(Batters[[#All],[EYE P]],MATCH(Table5[[#This Row],[PID]],Batters[[#All],[PID]],0)),INDEX(Table3[[#All],[VELO]],MATCH(Table5[[#This Row],[PID]],Table3[[#All],[PID]],0)))</f>
        <v>6</v>
      </c>
      <c r="P1220" s="56">
        <f>IF($C1220="B",INDEX(Batters[[#All],[K P]],MATCH(Table5[[#This Row],[PID]],Batters[[#All],[PID]],0)),INDEX(Table3[[#All],[STM]],MATCH(Table5[[#This Row],[PID]],Table3[[#All],[PID]],0)))</f>
        <v>2</v>
      </c>
      <c r="Q1220" s="61">
        <f>IF($C1220="B",INDEX(Batters[[#All],[Tot]],MATCH(Table5[[#This Row],[PID]],Batters[[#All],[PID]],0)),INDEX(Table3[[#All],[Tot]],MATCH(Table5[[#This Row],[PID]],Table3[[#All],[PID]],0)))</f>
        <v>39.080914227800683</v>
      </c>
      <c r="R1220" s="52">
        <f>IF($C1220="B",INDEX(Batters[[#All],[zScore]],MATCH(Table5[[#This Row],[PID]],Batters[[#All],[PID]],0)),INDEX(Table3[[#All],[zScore]],MATCH(Table5[[#This Row],[PID]],Table3[[#All],[PID]],0)))</f>
        <v>-1.1198464937465606</v>
      </c>
      <c r="S1220" s="58" t="str">
        <f>IF($C1220="B",INDEX(Batters[[#All],[DEM]],MATCH(Table5[[#This Row],[PID]],Batters[[#All],[PID]],0)),INDEX(Table3[[#All],[DEM]],MATCH(Table5[[#This Row],[PID]],Table3[[#All],[PID]],0)))</f>
        <v>$75k</v>
      </c>
      <c r="T1220" s="62">
        <f>IF($C1220="B",INDEX(Batters[[#All],[Rnk]],MATCH(Table5[[#This Row],[PID]],Batters[[#All],[PID]],0)),INDEX(Table3[[#All],[Rnk]],MATCH(Table5[[#This Row],[PID]],Table3[[#All],[PID]],0)))</f>
        <v>461</v>
      </c>
      <c r="U1220" s="68">
        <f>IF($C1220="B",VLOOKUP($A1220,Bat!$A$4:$BA$1621,47,FALSE),VLOOKUP($A1220,Pit!$A$4:$BF$1557,56,FALSE))</f>
        <v>0</v>
      </c>
      <c r="V1220" s="50">
        <f>IF($C1220="B",VLOOKUP($A1220,Bat!$A$4:$BA$1621,48,FALSE),VLOOKUP($A1220,Pit!$A$4:$BF$1557,57,FALSE))</f>
        <v>0</v>
      </c>
      <c r="W1220" s="50">
        <f>Table5[[#This Row],[posRnk]]+Table5[[#This Row],[zRnk]]+IF($W$3&lt;&gt;Table5[[#This Row],[Type]],50,0)</f>
        <v>1698</v>
      </c>
      <c r="X1220" s="51">
        <f>RANK(Table5[[#This Row],[zScore]],Table5[[#All],[zScore]])</f>
        <v>1187</v>
      </c>
      <c r="Y1220" s="50" t="str">
        <f>IFERROR(INDEX(DraftResults[[#All],[OVR]],MATCH(Table5[[#This Row],[PID]],DraftResults[[#All],[Player ID]],0)),"")</f>
        <v/>
      </c>
      <c r="Z12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0" s="50" t="str">
        <f>IFERROR(INDEX(DraftResults[[#All],[Pick in Round]],MATCH(Table5[[#This Row],[PID]],DraftResults[[#All],[Player ID]],0)),"")</f>
        <v/>
      </c>
      <c r="AB1220" s="50" t="str">
        <f>IFERROR(INDEX(DraftResults[[#All],[Team Name]],MATCH(Table5[[#This Row],[PID]],DraftResults[[#All],[Player ID]],0)),"")</f>
        <v/>
      </c>
      <c r="AC1220" s="50" t="str">
        <f>IF(Table5[[#This Row],[Ovr]]="","",IF(Table5[[#This Row],[cmbList]]="","",Table5[[#This Row],[cmbList]]-Table5[[#This Row],[Ovr]]))</f>
        <v/>
      </c>
      <c r="AD1220" s="54" t="str">
        <f>IF(ISERROR(VLOOKUP($AB1220&amp;"-"&amp;$E1220&amp;" "&amp;F1220,Bonuses!$B$1:$G$1006,4,FALSE)),"",INT(VLOOKUP($AB1220&amp;"-"&amp;$E1220&amp;" "&amp;$F1220,Bonuses!$B$1:$G$1006,4,FALSE)))</f>
        <v/>
      </c>
      <c r="AE12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1" spans="1:31" s="7" customFormat="1" x14ac:dyDescent="0.25">
      <c r="A1221" s="50">
        <v>6252</v>
      </c>
      <c r="B1221" s="50">
        <f>COUNTIF(Table5[PID],A1221)</f>
        <v>1</v>
      </c>
      <c r="C1221" s="50" t="str">
        <f>IF(COUNTIF(Table3[[#All],[PID]],A1221)&gt;0,"P","B")</f>
        <v>P</v>
      </c>
      <c r="D1221" s="59" t="str">
        <f>IF($C1221="B",INDEX(Batters[[#All],[POS]],MATCH(Table5[[#This Row],[PID]],Batters[[#All],[PID]],0)),INDEX(Table3[[#All],[POS]],MATCH(Table5[[#This Row],[PID]],Table3[[#All],[PID]],0)))</f>
        <v>RP</v>
      </c>
      <c r="E1221" s="52" t="str">
        <f>IF($C1221="B",INDEX(Batters[[#All],[First]],MATCH(Table5[[#This Row],[PID]],Batters[[#All],[PID]],0)),INDEX(Table3[[#All],[First]],MATCH(Table5[[#This Row],[PID]],Table3[[#All],[PID]],0)))</f>
        <v>Roger</v>
      </c>
      <c r="F1221" s="50" t="str">
        <f>IF($C1221="B",INDEX(Batters[[#All],[Last]],MATCH(A1221,Batters[[#All],[PID]],0)),INDEX(Table3[[#All],[Last]],MATCH(A1221,Table3[[#All],[PID]],0)))</f>
        <v>Hilliard</v>
      </c>
      <c r="G1221" s="56">
        <f>IF($C1221="B",INDEX(Batters[[#All],[Age]],MATCH(Table5[[#This Row],[PID]],Batters[[#All],[PID]],0)),INDEX(Table3[[#All],[Age]],MATCH(Table5[[#This Row],[PID]],Table3[[#All],[PID]],0)))</f>
        <v>22</v>
      </c>
      <c r="H1221" s="52" t="str">
        <f>IF($C1221="B",INDEX(Batters[[#All],[B]],MATCH(Table5[[#This Row],[PID]],Batters[[#All],[PID]],0)),INDEX(Table3[[#All],[B]],MATCH(Table5[[#This Row],[PID]],Table3[[#All],[PID]],0)))</f>
        <v>L</v>
      </c>
      <c r="I1221" s="52" t="str">
        <f>IF($C1221="B",INDEX(Batters[[#All],[T]],MATCH(Table5[[#This Row],[PID]],Batters[[#All],[PID]],0)),INDEX(Table3[[#All],[T]],MATCH(Table5[[#This Row],[PID]],Table3[[#All],[PID]],0)))</f>
        <v>L</v>
      </c>
      <c r="J1221" s="52" t="str">
        <f>IF($C1221="B",INDEX(Batters[[#All],[WE]],MATCH(Table5[[#This Row],[PID]],Batters[[#All],[PID]],0)),INDEX(Table3[[#All],[WE]],MATCH(Table5[[#This Row],[PID]],Table3[[#All],[PID]],0)))</f>
        <v>Low</v>
      </c>
      <c r="K1221" s="52" t="str">
        <f>IF($C1221="B",INDEX(Batters[[#All],[INT]],MATCH(Table5[[#This Row],[PID]],Batters[[#All],[PID]],0)),INDEX(Table3[[#All],[INT]],MATCH(Table5[[#This Row],[PID]],Table3[[#All],[PID]],0)))</f>
        <v>Normal</v>
      </c>
      <c r="L1221" s="60">
        <f>IF($C1221="B",INDEX(Batters[[#All],[CON P]],MATCH(Table5[[#This Row],[PID]],Batters[[#All],[PID]],0)),INDEX(Table3[[#All],[STU P]],MATCH(Table5[[#This Row],[PID]],Table3[[#All],[PID]],0)))</f>
        <v>4</v>
      </c>
      <c r="M1221" s="56">
        <f>IF($C1221="B",INDEX(Batters[[#All],[GAP P]],MATCH(Table5[[#This Row],[PID]],Batters[[#All],[PID]],0)),INDEX(Table3[[#All],[MOV P]],MATCH(Table5[[#This Row],[PID]],Table3[[#All],[PID]],0)))</f>
        <v>1</v>
      </c>
      <c r="N1221" s="56">
        <f>IF($C1221="B",INDEX(Batters[[#All],[POW P]],MATCH(Table5[[#This Row],[PID]],Batters[[#All],[PID]],0)),INDEX(Table3[[#All],[CON P]],MATCH(Table5[[#This Row],[PID]],Table3[[#All],[PID]],0)))</f>
        <v>2</v>
      </c>
      <c r="O1221" s="56" t="str">
        <f>IF($C1221="B",INDEX(Batters[[#All],[EYE P]],MATCH(Table5[[#This Row],[PID]],Batters[[#All],[PID]],0)),INDEX(Table3[[#All],[VELO]],MATCH(Table5[[#This Row],[PID]],Table3[[#All],[PID]],0)))</f>
        <v>88-90 Mph</v>
      </c>
      <c r="P1221" s="56">
        <f>IF($C1221="B",INDEX(Batters[[#All],[K P]],MATCH(Table5[[#This Row],[PID]],Batters[[#All],[PID]],0)),INDEX(Table3[[#All],[STM]],MATCH(Table5[[#This Row],[PID]],Table3[[#All],[PID]],0)))</f>
        <v>7</v>
      </c>
      <c r="Q1221" s="61">
        <f>IF($C1221="B",INDEX(Batters[[#All],[Tot]],MATCH(Table5[[#This Row],[PID]],Batters[[#All],[PID]],0)),INDEX(Table3[[#All],[Tot]],MATCH(Table5[[#This Row],[PID]],Table3[[#All],[PID]],0)))</f>
        <v>18.956742464330397</v>
      </c>
      <c r="R1221" s="52">
        <f>IF($C1221="B",INDEX(Batters[[#All],[zScore]],MATCH(Table5[[#This Row],[PID]],Batters[[#All],[PID]],0)),INDEX(Table3[[#All],[zScore]],MATCH(Table5[[#This Row],[PID]],Table3[[#All],[PID]],0)))</f>
        <v>-1.1252481753867076</v>
      </c>
      <c r="S1221" s="58" t="str">
        <f>IF($C1221="B",INDEX(Batters[[#All],[DEM]],MATCH(Table5[[#This Row],[PID]],Batters[[#All],[PID]],0)),INDEX(Table3[[#All],[DEM]],MATCH(Table5[[#This Row],[PID]],Table3[[#All],[PID]],0)))</f>
        <v>-</v>
      </c>
      <c r="T1221" s="62">
        <f>IF($C1221="B",INDEX(Batters[[#All],[Rnk]],MATCH(Table5[[#This Row],[PID]],Batters[[#All],[PID]],0)),INDEX(Table3[[#All],[Rnk]],MATCH(Table5[[#This Row],[PID]],Table3[[#All],[PID]],0)))</f>
        <v>726</v>
      </c>
      <c r="U1221" s="68">
        <f>IF($C1221="B",VLOOKUP($A1221,Bat!$A$4:$BA$1621,47,FALSE),VLOOKUP($A1221,Pit!$A$4:$BF$1557,56,FALSE))</f>
        <v>0</v>
      </c>
      <c r="V1221" s="50">
        <f>IF($C1221="B",VLOOKUP($A1221,Bat!$A$4:$BA$1621,48,FALSE),VLOOKUP($A1221,Pit!$A$4:$BF$1557,57,FALSE))</f>
        <v>0</v>
      </c>
      <c r="W1221" s="50">
        <f>Table5[[#This Row],[posRnk]]+Table5[[#This Row],[zRnk]]+IF($W$3&lt;&gt;Table5[[#This Row],[Type]],50,0)</f>
        <v>1964</v>
      </c>
      <c r="X1221" s="51">
        <f>RANK(Table5[[#This Row],[zScore]],Table5[[#All],[zScore]])</f>
        <v>1188</v>
      </c>
      <c r="Y1221" s="50" t="str">
        <f>IFERROR(INDEX(DraftResults[[#All],[OVR]],MATCH(Table5[[#This Row],[PID]],DraftResults[[#All],[Player ID]],0)),"")</f>
        <v/>
      </c>
      <c r="Z12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1" s="50" t="str">
        <f>IFERROR(INDEX(DraftResults[[#All],[Pick in Round]],MATCH(Table5[[#This Row],[PID]],DraftResults[[#All],[Player ID]],0)),"")</f>
        <v/>
      </c>
      <c r="AB1221" s="50" t="str">
        <f>IFERROR(INDEX(DraftResults[[#All],[Team Name]],MATCH(Table5[[#This Row],[PID]],DraftResults[[#All],[Player ID]],0)),"")</f>
        <v/>
      </c>
      <c r="AC1221" s="50" t="str">
        <f>IF(Table5[[#This Row],[Ovr]]="","",IF(Table5[[#This Row],[cmbList]]="","",Table5[[#This Row],[cmbList]]-Table5[[#This Row],[Ovr]]))</f>
        <v/>
      </c>
      <c r="AD1221" s="54" t="str">
        <f>IF(ISERROR(VLOOKUP($AB1221&amp;"-"&amp;$E1221&amp;" "&amp;F1221,Bonuses!$B$1:$G$1006,4,FALSE)),"",INT(VLOOKUP($AB1221&amp;"-"&amp;$E1221&amp;" "&amp;$F1221,Bonuses!$B$1:$G$1006,4,FALSE)))</f>
        <v/>
      </c>
      <c r="AE12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2" spans="1:31" s="7" customFormat="1" x14ac:dyDescent="0.25">
      <c r="A1222" s="50">
        <v>18429</v>
      </c>
      <c r="B1222" s="50">
        <f>COUNTIF(Table5[PID],A1222)</f>
        <v>1</v>
      </c>
      <c r="C1222" s="50" t="str">
        <f>IF(COUNTIF(Table3[[#All],[PID]],A1222)&gt;0,"P","B")</f>
        <v>B</v>
      </c>
      <c r="D1222" s="59" t="str">
        <f>IF($C1222="B",INDEX(Batters[[#All],[POS]],MATCH(Table5[[#This Row],[PID]],Batters[[#All],[PID]],0)),INDEX(Table3[[#All],[POS]],MATCH(Table5[[#This Row],[PID]],Table3[[#All],[PID]],0)))</f>
        <v>1B</v>
      </c>
      <c r="E1222" s="52" t="str">
        <f>IF($C1222="B",INDEX(Batters[[#All],[First]],MATCH(Table5[[#This Row],[PID]],Batters[[#All],[PID]],0)),INDEX(Table3[[#All],[First]],MATCH(Table5[[#This Row],[PID]],Table3[[#All],[PID]],0)))</f>
        <v>Toyozo</v>
      </c>
      <c r="F1222" s="50" t="str">
        <f>IF($C1222="B",INDEX(Batters[[#All],[Last]],MATCH(A1222,Batters[[#All],[PID]],0)),INDEX(Table3[[#All],[Last]],MATCH(A1222,Table3[[#All],[PID]],0)))</f>
        <v>Kobayashi</v>
      </c>
      <c r="G1222" s="56">
        <f>IF($C1222="B",INDEX(Batters[[#All],[Age]],MATCH(Table5[[#This Row],[PID]],Batters[[#All],[PID]],0)),INDEX(Table3[[#All],[Age]],MATCH(Table5[[#This Row],[PID]],Table3[[#All],[PID]],0)))</f>
        <v>18</v>
      </c>
      <c r="H1222" s="52" t="str">
        <f>IF($C1222="B",INDEX(Batters[[#All],[B]],MATCH(Table5[[#This Row],[PID]],Batters[[#All],[PID]],0)),INDEX(Table3[[#All],[B]],MATCH(Table5[[#This Row],[PID]],Table3[[#All],[PID]],0)))</f>
        <v>L</v>
      </c>
      <c r="I1222" s="52" t="str">
        <f>IF($C1222="B",INDEX(Batters[[#All],[T]],MATCH(Table5[[#This Row],[PID]],Batters[[#All],[PID]],0)),INDEX(Table3[[#All],[T]],MATCH(Table5[[#This Row],[PID]],Table3[[#All],[PID]],0)))</f>
        <v>R</v>
      </c>
      <c r="J1222" s="52" t="str">
        <f>IF($C1222="B",INDEX(Batters[[#All],[WE]],MATCH(Table5[[#This Row],[PID]],Batters[[#All],[PID]],0)),INDEX(Table3[[#All],[WE]],MATCH(Table5[[#This Row],[PID]],Table3[[#All],[PID]],0)))</f>
        <v>Normal</v>
      </c>
      <c r="K1222" s="52" t="str">
        <f>IF($C1222="B",INDEX(Batters[[#All],[INT]],MATCH(Table5[[#This Row],[PID]],Batters[[#All],[PID]],0)),INDEX(Table3[[#All],[INT]],MATCH(Table5[[#This Row],[PID]],Table3[[#All],[PID]],0)))</f>
        <v>Low</v>
      </c>
      <c r="L1222" s="60">
        <f>IF($C1222="B",INDEX(Batters[[#All],[CON P]],MATCH(Table5[[#This Row],[PID]],Batters[[#All],[PID]],0)),INDEX(Table3[[#All],[STU P]],MATCH(Table5[[#This Row],[PID]],Table3[[#All],[PID]],0)))</f>
        <v>3</v>
      </c>
      <c r="M1222" s="56">
        <f>IF($C1222="B",INDEX(Batters[[#All],[GAP P]],MATCH(Table5[[#This Row],[PID]],Batters[[#All],[PID]],0)),INDEX(Table3[[#All],[MOV P]],MATCH(Table5[[#This Row],[PID]],Table3[[#All],[PID]],0)))</f>
        <v>2</v>
      </c>
      <c r="N1222" s="56">
        <f>IF($C1222="B",INDEX(Batters[[#All],[POW P]],MATCH(Table5[[#This Row],[PID]],Batters[[#All],[PID]],0)),INDEX(Table3[[#All],[CON P]],MATCH(Table5[[#This Row],[PID]],Table3[[#All],[PID]],0)))</f>
        <v>2</v>
      </c>
      <c r="O1222" s="56">
        <f>IF($C1222="B",INDEX(Batters[[#All],[EYE P]],MATCH(Table5[[#This Row],[PID]],Batters[[#All],[PID]],0)),INDEX(Table3[[#All],[VELO]],MATCH(Table5[[#This Row],[PID]],Table3[[#All],[PID]],0)))</f>
        <v>4</v>
      </c>
      <c r="P1222" s="56">
        <f>IF($C1222="B",INDEX(Batters[[#All],[K P]],MATCH(Table5[[#This Row],[PID]],Batters[[#All],[PID]],0)),INDEX(Table3[[#All],[STM]],MATCH(Table5[[#This Row],[PID]],Table3[[#All],[PID]],0)))</f>
        <v>5</v>
      </c>
      <c r="Q1222" s="61">
        <f>IF($C1222="B",INDEX(Batters[[#All],[Tot]],MATCH(Table5[[#This Row],[PID]],Batters[[#All],[PID]],0)),INDEX(Table3[[#All],[Tot]],MATCH(Table5[[#This Row],[PID]],Table3[[#All],[PID]],0)))</f>
        <v>39.035208807212243</v>
      </c>
      <c r="R1222" s="52">
        <f>IF($C1222="B",INDEX(Batters[[#All],[zScore]],MATCH(Table5[[#This Row],[PID]],Batters[[#All],[PID]],0)),INDEX(Table3[[#All],[zScore]],MATCH(Table5[[#This Row],[PID]],Table3[[#All],[PID]],0)))</f>
        <v>-1.1299796944309892</v>
      </c>
      <c r="S1222" s="58" t="str">
        <f>IF($C1222="B",INDEX(Batters[[#All],[DEM]],MATCH(Table5[[#This Row],[PID]],Batters[[#All],[PID]],0)),INDEX(Table3[[#All],[DEM]],MATCH(Table5[[#This Row],[PID]],Table3[[#All],[PID]],0)))</f>
        <v>$70k</v>
      </c>
      <c r="T1222" s="62">
        <f>IF($C1222="B",INDEX(Batters[[#All],[Rnk]],MATCH(Table5[[#This Row],[PID]],Batters[[#All],[PID]],0)),INDEX(Table3[[#All],[Rnk]],MATCH(Table5[[#This Row],[PID]],Table3[[#All],[PID]],0)))</f>
        <v>462</v>
      </c>
      <c r="U1222" s="68">
        <f>IF($C1222="B",VLOOKUP($A1222,Bat!$A$4:$BA$1621,47,FALSE),VLOOKUP($A1222,Pit!$A$4:$BF$1557,56,FALSE))</f>
        <v>0</v>
      </c>
      <c r="V1222" s="50">
        <f>IF($C1222="B",VLOOKUP($A1222,Bat!$A$4:$BA$1621,48,FALSE),VLOOKUP($A1222,Pit!$A$4:$BF$1557,57,FALSE))</f>
        <v>0</v>
      </c>
      <c r="W1222" s="50">
        <f>Table5[[#This Row],[posRnk]]+Table5[[#This Row],[zRnk]]+IF($W$3&lt;&gt;Table5[[#This Row],[Type]],50,0)</f>
        <v>1701</v>
      </c>
      <c r="X1222" s="51">
        <f>RANK(Table5[[#This Row],[zScore]],Table5[[#All],[zScore]])</f>
        <v>1189</v>
      </c>
      <c r="Y1222" s="50" t="str">
        <f>IFERROR(INDEX(DraftResults[[#All],[OVR]],MATCH(Table5[[#This Row],[PID]],DraftResults[[#All],[Player ID]],0)),"")</f>
        <v/>
      </c>
      <c r="Z12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2" s="50" t="str">
        <f>IFERROR(INDEX(DraftResults[[#All],[Pick in Round]],MATCH(Table5[[#This Row],[PID]],DraftResults[[#All],[Player ID]],0)),"")</f>
        <v/>
      </c>
      <c r="AB1222" s="50" t="str">
        <f>IFERROR(INDEX(DraftResults[[#All],[Team Name]],MATCH(Table5[[#This Row],[PID]],DraftResults[[#All],[Player ID]],0)),"")</f>
        <v/>
      </c>
      <c r="AC1222" s="50" t="str">
        <f>IF(Table5[[#This Row],[Ovr]]="","",IF(Table5[[#This Row],[cmbList]]="","",Table5[[#This Row],[cmbList]]-Table5[[#This Row],[Ovr]]))</f>
        <v/>
      </c>
      <c r="AD1222" s="54" t="str">
        <f>IF(ISERROR(VLOOKUP($AB1222&amp;"-"&amp;$E1222&amp;" "&amp;F1222,Bonuses!$B$1:$G$1006,4,FALSE)),"",INT(VLOOKUP($AB1222&amp;"-"&amp;$E1222&amp;" "&amp;$F1222,Bonuses!$B$1:$G$1006,4,FALSE)))</f>
        <v/>
      </c>
      <c r="AE12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3" spans="1:31" s="7" customFormat="1" x14ac:dyDescent="0.25">
      <c r="A1223" s="50">
        <v>20885</v>
      </c>
      <c r="B1223" s="50">
        <f>COUNTIF(Table5[PID],A1223)</f>
        <v>1</v>
      </c>
      <c r="C1223" s="50" t="str">
        <f>IF(COUNTIF(Table3[[#All],[PID]],A1223)&gt;0,"P","B")</f>
        <v>P</v>
      </c>
      <c r="D1223" s="59" t="str">
        <f>IF($C1223="B",INDEX(Batters[[#All],[POS]],MATCH(Table5[[#This Row],[PID]],Batters[[#All],[PID]],0)),INDEX(Table3[[#All],[POS]],MATCH(Table5[[#This Row],[PID]],Table3[[#All],[PID]],0)))</f>
        <v>RP</v>
      </c>
      <c r="E1223" s="52" t="str">
        <f>IF($C1223="B",INDEX(Batters[[#All],[First]],MATCH(Table5[[#This Row],[PID]],Batters[[#All],[PID]],0)),INDEX(Table3[[#All],[First]],MATCH(Table5[[#This Row],[PID]],Table3[[#All],[PID]],0)))</f>
        <v>Bob</v>
      </c>
      <c r="F1223" s="50" t="str">
        <f>IF($C1223="B",INDEX(Batters[[#All],[Last]],MATCH(A1223,Batters[[#All],[PID]],0)),INDEX(Table3[[#All],[Last]],MATCH(A1223,Table3[[#All],[PID]],0)))</f>
        <v>Garza</v>
      </c>
      <c r="G1223" s="56">
        <f>IF($C1223="B",INDEX(Batters[[#All],[Age]],MATCH(Table5[[#This Row],[PID]],Batters[[#All],[PID]],0)),INDEX(Table3[[#All],[Age]],MATCH(Table5[[#This Row],[PID]],Table3[[#All],[PID]],0)))</f>
        <v>17</v>
      </c>
      <c r="H1223" s="52" t="str">
        <f>IF($C1223="B",INDEX(Batters[[#All],[B]],MATCH(Table5[[#This Row],[PID]],Batters[[#All],[PID]],0)),INDEX(Table3[[#All],[B]],MATCH(Table5[[#This Row],[PID]],Table3[[#All],[PID]],0)))</f>
        <v>R</v>
      </c>
      <c r="I1223" s="52" t="str">
        <f>IF($C1223="B",INDEX(Batters[[#All],[T]],MATCH(Table5[[#This Row],[PID]],Batters[[#All],[PID]],0)),INDEX(Table3[[#All],[T]],MATCH(Table5[[#This Row],[PID]],Table3[[#All],[PID]],0)))</f>
        <v>R</v>
      </c>
      <c r="J1223" s="52" t="str">
        <f>IF($C1223="B",INDEX(Batters[[#All],[WE]],MATCH(Table5[[#This Row],[PID]],Batters[[#All],[PID]],0)),INDEX(Table3[[#All],[WE]],MATCH(Table5[[#This Row],[PID]],Table3[[#All],[PID]],0)))</f>
        <v>Low</v>
      </c>
      <c r="K1223" s="52" t="str">
        <f>IF($C1223="B",INDEX(Batters[[#All],[INT]],MATCH(Table5[[#This Row],[PID]],Batters[[#All],[PID]],0)),INDEX(Table3[[#All],[INT]],MATCH(Table5[[#This Row],[PID]],Table3[[#All],[PID]],0)))</f>
        <v>Normal</v>
      </c>
      <c r="L1223" s="60">
        <f>IF($C1223="B",INDEX(Batters[[#All],[CON P]],MATCH(Table5[[#This Row],[PID]],Batters[[#All],[PID]],0)),INDEX(Table3[[#All],[STU P]],MATCH(Table5[[#This Row],[PID]],Table3[[#All],[PID]],0)))</f>
        <v>3</v>
      </c>
      <c r="M1223" s="56">
        <f>IF($C1223="B",INDEX(Batters[[#All],[GAP P]],MATCH(Table5[[#This Row],[PID]],Batters[[#All],[PID]],0)),INDEX(Table3[[#All],[MOV P]],MATCH(Table5[[#This Row],[PID]],Table3[[#All],[PID]],0)))</f>
        <v>1</v>
      </c>
      <c r="N1223" s="56">
        <f>IF($C1223="B",INDEX(Batters[[#All],[POW P]],MATCH(Table5[[#This Row],[PID]],Batters[[#All],[PID]],0)),INDEX(Table3[[#All],[CON P]],MATCH(Table5[[#This Row],[PID]],Table3[[#All],[PID]],0)))</f>
        <v>2</v>
      </c>
      <c r="O1223" s="56" t="str">
        <f>IF($C1223="B",INDEX(Batters[[#All],[EYE P]],MATCH(Table5[[#This Row],[PID]],Batters[[#All],[PID]],0)),INDEX(Table3[[#All],[VELO]],MATCH(Table5[[#This Row],[PID]],Table3[[#All],[PID]],0)))</f>
        <v>86-88 Mph</v>
      </c>
      <c r="P1223" s="56">
        <f>IF($C1223="B",INDEX(Batters[[#All],[K P]],MATCH(Table5[[#This Row],[PID]],Batters[[#All],[PID]],0)),INDEX(Table3[[#All],[STM]],MATCH(Table5[[#This Row],[PID]],Table3[[#All],[PID]],0)))</f>
        <v>3</v>
      </c>
      <c r="Q1223" s="61">
        <f>IF($C1223="B",INDEX(Batters[[#All],[Tot]],MATCH(Table5[[#This Row],[PID]],Batters[[#All],[PID]],0)),INDEX(Table3[[#All],[Tot]],MATCH(Table5[[#This Row],[PID]],Table3[[#All],[PID]],0)))</f>
        <v>21.247764882593703</v>
      </c>
      <c r="R1223" s="52">
        <f>IF($C1223="B",INDEX(Batters[[#All],[zScore]],MATCH(Table5[[#This Row],[PID]],Batters[[#All],[PID]],0)),INDEX(Table3[[#All],[zScore]],MATCH(Table5[[#This Row],[PID]],Table3[[#All],[PID]],0)))</f>
        <v>-1.1340819097716417</v>
      </c>
      <c r="S1223" s="58" t="str">
        <f>IF($C1223="B",INDEX(Batters[[#All],[DEM]],MATCH(Table5[[#This Row],[PID]],Batters[[#All],[PID]],0)),INDEX(Table3[[#All],[DEM]],MATCH(Table5[[#This Row],[PID]],Table3[[#All],[PID]],0)))</f>
        <v>$38k</v>
      </c>
      <c r="T1223" s="62">
        <f>IF($C1223="B",INDEX(Batters[[#All],[Rnk]],MATCH(Table5[[#This Row],[PID]],Batters[[#All],[PID]],0)),INDEX(Table3[[#All],[Rnk]],MATCH(Table5[[#This Row],[PID]],Table3[[#All],[PID]],0)))</f>
        <v>727</v>
      </c>
      <c r="U1223" s="68">
        <f>IF($C1223="B",VLOOKUP($A1223,Bat!$A$4:$BA$1621,47,FALSE),VLOOKUP($A1223,Pit!$A$4:$BF$1557,56,FALSE))</f>
        <v>0</v>
      </c>
      <c r="V1223" s="50">
        <f>IF($C1223="B",VLOOKUP($A1223,Bat!$A$4:$BA$1621,48,FALSE),VLOOKUP($A1223,Pit!$A$4:$BF$1557,57,FALSE))</f>
        <v>0</v>
      </c>
      <c r="W1223" s="50">
        <f>Table5[[#This Row],[posRnk]]+Table5[[#This Row],[zRnk]]+IF($W$3&lt;&gt;Table5[[#This Row],[Type]],50,0)</f>
        <v>1967</v>
      </c>
      <c r="X1223" s="51">
        <f>RANK(Table5[[#This Row],[zScore]],Table5[[#All],[zScore]])</f>
        <v>1190</v>
      </c>
      <c r="Y1223" s="50" t="str">
        <f>IFERROR(INDEX(DraftResults[[#All],[OVR]],MATCH(Table5[[#This Row],[PID]],DraftResults[[#All],[Player ID]],0)),"")</f>
        <v/>
      </c>
      <c r="Z12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3" s="50" t="str">
        <f>IFERROR(INDEX(DraftResults[[#All],[Pick in Round]],MATCH(Table5[[#This Row],[PID]],DraftResults[[#All],[Player ID]],0)),"")</f>
        <v/>
      </c>
      <c r="AB1223" s="50" t="str">
        <f>IFERROR(INDEX(DraftResults[[#All],[Team Name]],MATCH(Table5[[#This Row],[PID]],DraftResults[[#All],[Player ID]],0)),"")</f>
        <v/>
      </c>
      <c r="AC1223" s="50" t="str">
        <f>IF(Table5[[#This Row],[Ovr]]="","",IF(Table5[[#This Row],[cmbList]]="","",Table5[[#This Row],[cmbList]]-Table5[[#This Row],[Ovr]]))</f>
        <v/>
      </c>
      <c r="AD1223" s="54" t="str">
        <f>IF(ISERROR(VLOOKUP($AB1223&amp;"-"&amp;$E1223&amp;" "&amp;F1223,Bonuses!$B$1:$G$1006,4,FALSE)),"",INT(VLOOKUP($AB1223&amp;"-"&amp;$E1223&amp;" "&amp;$F1223,Bonuses!$B$1:$G$1006,4,FALSE)))</f>
        <v/>
      </c>
      <c r="AE12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4" spans="1:31" s="7" customFormat="1" x14ac:dyDescent="0.25">
      <c r="A1224" s="50">
        <v>16942</v>
      </c>
      <c r="B1224" s="50">
        <f>COUNTIF(Table5[PID],A1224)</f>
        <v>1</v>
      </c>
      <c r="C1224" s="50" t="str">
        <f>IF(COUNTIF(Table3[[#All],[PID]],A1224)&gt;0,"P","B")</f>
        <v>P</v>
      </c>
      <c r="D1224" s="59" t="str">
        <f>IF($C1224="B",INDEX(Batters[[#All],[POS]],MATCH(Table5[[#This Row],[PID]],Batters[[#All],[PID]],0)),INDEX(Table3[[#All],[POS]],MATCH(Table5[[#This Row],[PID]],Table3[[#All],[PID]],0)))</f>
        <v>RP</v>
      </c>
      <c r="E1224" s="52" t="str">
        <f>IF($C1224="B",INDEX(Batters[[#All],[First]],MATCH(Table5[[#This Row],[PID]],Batters[[#All],[PID]],0)),INDEX(Table3[[#All],[First]],MATCH(Table5[[#This Row],[PID]],Table3[[#All],[PID]],0)))</f>
        <v>Gustavo</v>
      </c>
      <c r="F1224" s="50" t="str">
        <f>IF($C1224="B",INDEX(Batters[[#All],[Last]],MATCH(A1224,Batters[[#All],[PID]],0)),INDEX(Table3[[#All],[Last]],MATCH(A1224,Table3[[#All],[PID]],0)))</f>
        <v>Delgado</v>
      </c>
      <c r="G1224" s="56">
        <f>IF($C1224="B",INDEX(Batters[[#All],[Age]],MATCH(Table5[[#This Row],[PID]],Batters[[#All],[PID]],0)),INDEX(Table3[[#All],[Age]],MATCH(Table5[[#This Row],[PID]],Table3[[#All],[PID]],0)))</f>
        <v>21</v>
      </c>
      <c r="H1224" s="52" t="str">
        <f>IF($C1224="B",INDEX(Batters[[#All],[B]],MATCH(Table5[[#This Row],[PID]],Batters[[#All],[PID]],0)),INDEX(Table3[[#All],[B]],MATCH(Table5[[#This Row],[PID]],Table3[[#All],[PID]],0)))</f>
        <v>R</v>
      </c>
      <c r="I1224" s="52" t="str">
        <f>IF($C1224="B",INDEX(Batters[[#All],[T]],MATCH(Table5[[#This Row],[PID]],Batters[[#All],[PID]],0)),INDEX(Table3[[#All],[T]],MATCH(Table5[[#This Row],[PID]],Table3[[#All],[PID]],0)))</f>
        <v>R</v>
      </c>
      <c r="J1224" s="52" t="str">
        <f>IF($C1224="B",INDEX(Batters[[#All],[WE]],MATCH(Table5[[#This Row],[PID]],Batters[[#All],[PID]],0)),INDEX(Table3[[#All],[WE]],MATCH(Table5[[#This Row],[PID]],Table3[[#All],[PID]],0)))</f>
        <v>Low</v>
      </c>
      <c r="K1224" s="52" t="str">
        <f>IF($C1224="B",INDEX(Batters[[#All],[INT]],MATCH(Table5[[#This Row],[PID]],Batters[[#All],[PID]],0)),INDEX(Table3[[#All],[INT]],MATCH(Table5[[#This Row],[PID]],Table3[[#All],[PID]],0)))</f>
        <v>Normal</v>
      </c>
      <c r="L1224" s="60">
        <f>IF($C1224="B",INDEX(Batters[[#All],[CON P]],MATCH(Table5[[#This Row],[PID]],Batters[[#All],[PID]],0)),INDEX(Table3[[#All],[STU P]],MATCH(Table5[[#This Row],[PID]],Table3[[#All],[PID]],0)))</f>
        <v>4</v>
      </c>
      <c r="M1224" s="56">
        <f>IF($C1224="B",INDEX(Batters[[#All],[GAP P]],MATCH(Table5[[#This Row],[PID]],Batters[[#All],[PID]],0)),INDEX(Table3[[#All],[MOV P]],MATCH(Table5[[#This Row],[PID]],Table3[[#All],[PID]],0)))</f>
        <v>1</v>
      </c>
      <c r="N1224" s="56">
        <f>IF($C1224="B",INDEX(Batters[[#All],[POW P]],MATCH(Table5[[#This Row],[PID]],Batters[[#All],[PID]],0)),INDEX(Table3[[#All],[CON P]],MATCH(Table5[[#This Row],[PID]],Table3[[#All],[PID]],0)))</f>
        <v>3</v>
      </c>
      <c r="O1224" s="56" t="str">
        <f>IF($C1224="B",INDEX(Batters[[#All],[EYE P]],MATCH(Table5[[#This Row],[PID]],Batters[[#All],[PID]],0)),INDEX(Table3[[#All],[VELO]],MATCH(Table5[[#This Row],[PID]],Table3[[#All],[PID]],0)))</f>
        <v>86-88 Mph</v>
      </c>
      <c r="P1224" s="56">
        <f>IF($C1224="B",INDEX(Batters[[#All],[K P]],MATCH(Table5[[#This Row],[PID]],Batters[[#All],[PID]],0)),INDEX(Table3[[#All],[STM]],MATCH(Table5[[#This Row],[PID]],Table3[[#All],[PID]],0)))</f>
        <v>2</v>
      </c>
      <c r="Q1224" s="61">
        <f>IF($C1224="B",INDEX(Batters[[#All],[Tot]],MATCH(Table5[[#This Row],[PID]],Batters[[#All],[PID]],0)),INDEX(Table3[[#All],[Tot]],MATCH(Table5[[#This Row],[PID]],Table3[[#All],[PID]],0)))</f>
        <v>18.684579507260977</v>
      </c>
      <c r="R1224" s="52">
        <f>IF($C1224="B",INDEX(Batters[[#All],[zScore]],MATCH(Table5[[#This Row],[PID]],Batters[[#All],[PID]],0)),INDEX(Table3[[#All],[zScore]],MATCH(Table5[[#This Row],[PID]],Table3[[#All],[PID]],0)))</f>
        <v>-1.1433547610259149</v>
      </c>
      <c r="S1224" s="58" t="str">
        <f>IF($C1224="B",INDEX(Batters[[#All],[DEM]],MATCH(Table5[[#This Row],[PID]],Batters[[#All],[PID]],0)),INDEX(Table3[[#All],[DEM]],MATCH(Table5[[#This Row],[PID]],Table3[[#All],[PID]],0)))</f>
        <v>$20k</v>
      </c>
      <c r="T1224" s="62">
        <f>IF($C1224="B",INDEX(Batters[[#All],[Rnk]],MATCH(Table5[[#This Row],[PID]],Batters[[#All],[PID]],0)),INDEX(Table3[[#All],[Rnk]],MATCH(Table5[[#This Row],[PID]],Table3[[#All],[PID]],0)))</f>
        <v>728</v>
      </c>
      <c r="U1224" s="68">
        <f>IF($C1224="B",VLOOKUP($A1224,Bat!$A$4:$BA$1621,47,FALSE),VLOOKUP($A1224,Pit!$A$4:$BF$1557,56,FALSE))</f>
        <v>0</v>
      </c>
      <c r="V1224" s="50">
        <f>IF($C1224="B",VLOOKUP($A1224,Bat!$A$4:$BA$1621,48,FALSE),VLOOKUP($A1224,Pit!$A$4:$BF$1557,57,FALSE))</f>
        <v>0</v>
      </c>
      <c r="W1224" s="50">
        <f>Table5[[#This Row],[posRnk]]+Table5[[#This Row],[zRnk]]+IF($W$3&lt;&gt;Table5[[#This Row],[Type]],50,0)</f>
        <v>1969</v>
      </c>
      <c r="X1224" s="51">
        <f>RANK(Table5[[#This Row],[zScore]],Table5[[#All],[zScore]])</f>
        <v>1191</v>
      </c>
      <c r="Y1224" s="50" t="str">
        <f>IFERROR(INDEX(DraftResults[[#All],[OVR]],MATCH(Table5[[#This Row],[PID]],DraftResults[[#All],[Player ID]],0)),"")</f>
        <v/>
      </c>
      <c r="Z12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4" s="50" t="str">
        <f>IFERROR(INDEX(DraftResults[[#All],[Pick in Round]],MATCH(Table5[[#This Row],[PID]],DraftResults[[#All],[Player ID]],0)),"")</f>
        <v/>
      </c>
      <c r="AB1224" s="50" t="str">
        <f>IFERROR(INDEX(DraftResults[[#All],[Team Name]],MATCH(Table5[[#This Row],[PID]],DraftResults[[#All],[Player ID]],0)),"")</f>
        <v/>
      </c>
      <c r="AC1224" s="50" t="str">
        <f>IF(Table5[[#This Row],[Ovr]]="","",IF(Table5[[#This Row],[cmbList]]="","",Table5[[#This Row],[cmbList]]-Table5[[#This Row],[Ovr]]))</f>
        <v/>
      </c>
      <c r="AD1224" s="54" t="str">
        <f>IF(ISERROR(VLOOKUP($AB1224&amp;"-"&amp;$E1224&amp;" "&amp;F1224,Bonuses!$B$1:$G$1006,4,FALSE)),"",INT(VLOOKUP($AB1224&amp;"-"&amp;$E1224&amp;" "&amp;$F1224,Bonuses!$B$1:$G$1006,4,FALSE)))</f>
        <v/>
      </c>
      <c r="AE12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5" spans="1:31" s="7" customFormat="1" x14ac:dyDescent="0.25">
      <c r="A1225" s="50">
        <v>13854</v>
      </c>
      <c r="B1225" s="55">
        <f>COUNTIF(Table5[PID],A1225)</f>
        <v>1</v>
      </c>
      <c r="C1225" s="55" t="str">
        <f>IF(COUNTIF(Table3[[#All],[PID]],A1225)&gt;0,"P","B")</f>
        <v>P</v>
      </c>
      <c r="D1225" s="59" t="str">
        <f>IF($C1225="B",INDEX(Batters[[#All],[POS]],MATCH(Table5[[#This Row],[PID]],Batters[[#All],[PID]],0)),INDEX(Table3[[#All],[POS]],MATCH(Table5[[#This Row],[PID]],Table3[[#All],[PID]],0)))</f>
        <v>RP</v>
      </c>
      <c r="E1225" s="52" t="str">
        <f>IF($C1225="B",INDEX(Batters[[#All],[First]],MATCH(Table5[[#This Row],[PID]],Batters[[#All],[PID]],0)),INDEX(Table3[[#All],[First]],MATCH(Table5[[#This Row],[PID]],Table3[[#All],[PID]],0)))</f>
        <v>Bill</v>
      </c>
      <c r="F1225" s="50" t="str">
        <f>IF($C1225="B",INDEX(Batters[[#All],[Last]],MATCH(A1225,Batters[[#All],[PID]],0)),INDEX(Table3[[#All],[Last]],MATCH(A1225,Table3[[#All],[PID]],0)))</f>
        <v>Kokawa</v>
      </c>
      <c r="G1225" s="56">
        <f>IF($C1225="B",INDEX(Batters[[#All],[Age]],MATCH(Table5[[#This Row],[PID]],Batters[[#All],[PID]],0)),INDEX(Table3[[#All],[Age]],MATCH(Table5[[#This Row],[PID]],Table3[[#All],[PID]],0)))</f>
        <v>21</v>
      </c>
      <c r="H1225" s="52" t="str">
        <f>IF($C1225="B",INDEX(Batters[[#All],[B]],MATCH(Table5[[#This Row],[PID]],Batters[[#All],[PID]],0)),INDEX(Table3[[#All],[B]],MATCH(Table5[[#This Row],[PID]],Table3[[#All],[PID]],0)))</f>
        <v>L</v>
      </c>
      <c r="I1225" s="52" t="str">
        <f>IF($C1225="B",INDEX(Batters[[#All],[T]],MATCH(Table5[[#This Row],[PID]],Batters[[#All],[PID]],0)),INDEX(Table3[[#All],[T]],MATCH(Table5[[#This Row],[PID]],Table3[[#All],[PID]],0)))</f>
        <v>L</v>
      </c>
      <c r="J1225" s="52" t="str">
        <f>IF($C1225="B",INDEX(Batters[[#All],[WE]],MATCH(Table5[[#This Row],[PID]],Batters[[#All],[PID]],0)),INDEX(Table3[[#All],[WE]],MATCH(Table5[[#This Row],[PID]],Table3[[#All],[PID]],0)))</f>
        <v>High</v>
      </c>
      <c r="K1225" s="52" t="str">
        <f>IF($C1225="B",INDEX(Batters[[#All],[INT]],MATCH(Table5[[#This Row],[PID]],Batters[[#All],[PID]],0)),INDEX(Table3[[#All],[INT]],MATCH(Table5[[#This Row],[PID]],Table3[[#All],[PID]],0)))</f>
        <v>Normal</v>
      </c>
      <c r="L1225" s="60">
        <f>IF($C1225="B",INDEX(Batters[[#All],[CON P]],MATCH(Table5[[#This Row],[PID]],Batters[[#All],[PID]],0)),INDEX(Table3[[#All],[STU P]],MATCH(Table5[[#This Row],[PID]],Table3[[#All],[PID]],0)))</f>
        <v>3</v>
      </c>
      <c r="M1225" s="56">
        <f>IF($C1225="B",INDEX(Batters[[#All],[GAP P]],MATCH(Table5[[#This Row],[PID]],Batters[[#All],[PID]],0)),INDEX(Table3[[#All],[MOV P]],MATCH(Table5[[#This Row],[PID]],Table3[[#All],[PID]],0)))</f>
        <v>2</v>
      </c>
      <c r="N1225" s="56">
        <f>IF($C1225="B",INDEX(Batters[[#All],[POW P]],MATCH(Table5[[#This Row],[PID]],Batters[[#All],[PID]],0)),INDEX(Table3[[#All],[CON P]],MATCH(Table5[[#This Row],[PID]],Table3[[#All],[PID]],0)))</f>
        <v>2</v>
      </c>
      <c r="O1225" s="56" t="str">
        <f>IF($C1225="B",INDEX(Batters[[#All],[EYE P]],MATCH(Table5[[#This Row],[PID]],Batters[[#All],[PID]],0)),INDEX(Table3[[#All],[VELO]],MATCH(Table5[[#This Row],[PID]],Table3[[#All],[PID]],0)))</f>
        <v>85-87 Mph</v>
      </c>
      <c r="P1225" s="56">
        <f>IF($C1225="B",INDEX(Batters[[#All],[K P]],MATCH(Table5[[#This Row],[PID]],Batters[[#All],[PID]],0)),INDEX(Table3[[#All],[STM]],MATCH(Table5[[#This Row],[PID]],Table3[[#All],[PID]],0)))</f>
        <v>9</v>
      </c>
      <c r="Q1225" s="61">
        <f>IF($C1225="B",INDEX(Batters[[#All],[Tot]],MATCH(Table5[[#This Row],[PID]],Batters[[#All],[PID]],0)),INDEX(Table3[[#All],[Tot]],MATCH(Table5[[#This Row],[PID]],Table3[[#All],[PID]],0)))</f>
        <v>21.100613462075614</v>
      </c>
      <c r="R1225" s="52">
        <f>IF($C1225="B",INDEX(Batters[[#All],[zScore]],MATCH(Table5[[#This Row],[PID]],Batters[[#All],[PID]],0)),INDEX(Table3[[#All],[zScore]],MATCH(Table5[[#This Row],[PID]],Table3[[#All],[PID]],0)))</f>
        <v>-1.1441617387809835</v>
      </c>
      <c r="S1225" s="58" t="str">
        <f>IF($C1225="B",INDEX(Batters[[#All],[DEM]],MATCH(Table5[[#This Row],[PID]],Batters[[#All],[PID]],0)),INDEX(Table3[[#All],[DEM]],MATCH(Table5[[#This Row],[PID]],Table3[[#All],[PID]],0)))</f>
        <v>-</v>
      </c>
      <c r="T1225" s="62">
        <f>IF($C1225="B",INDEX(Batters[[#All],[Rnk]],MATCH(Table5[[#This Row],[PID]],Batters[[#All],[PID]],0)),INDEX(Table3[[#All],[Rnk]],MATCH(Table5[[#This Row],[PID]],Table3[[#All],[PID]],0)))</f>
        <v>729</v>
      </c>
      <c r="U1225" s="68">
        <f>IF($C1225="B",VLOOKUP($A1225,Bat!$A$4:$BA$1621,47,FALSE),VLOOKUP($A1225,Pit!$A$4:$BF$1557,56,FALSE))</f>
        <v>0</v>
      </c>
      <c r="V1225" s="50">
        <f>IF($C1225="B",VLOOKUP($A1225,Bat!$A$4:$BA$1621,48,FALSE),VLOOKUP($A1225,Pit!$A$4:$BF$1557,57,FALSE))</f>
        <v>0</v>
      </c>
      <c r="W1225" s="50">
        <f>Table5[[#This Row],[posRnk]]+Table5[[#This Row],[zRnk]]+IF($W$3&lt;&gt;Table5[[#This Row],[Type]],50,0)</f>
        <v>1971</v>
      </c>
      <c r="X1225" s="51">
        <f>RANK(Table5[[#This Row],[zScore]],Table5[[#All],[zScore]])</f>
        <v>1192</v>
      </c>
      <c r="Y1225" s="50" t="str">
        <f>IFERROR(INDEX(DraftResults[[#All],[OVR]],MATCH(Table5[[#This Row],[PID]],DraftResults[[#All],[Player ID]],0)),"")</f>
        <v/>
      </c>
      <c r="Z12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5" s="50" t="str">
        <f>IFERROR(INDEX(DraftResults[[#All],[Pick in Round]],MATCH(Table5[[#This Row],[PID]],DraftResults[[#All],[Player ID]],0)),"")</f>
        <v/>
      </c>
      <c r="AB1225" s="50" t="str">
        <f>IFERROR(INDEX(DraftResults[[#All],[Team Name]],MATCH(Table5[[#This Row],[PID]],DraftResults[[#All],[Player ID]],0)),"")</f>
        <v/>
      </c>
      <c r="AC1225" s="50" t="str">
        <f>IF(Table5[[#This Row],[Ovr]]="","",IF(Table5[[#This Row],[cmbList]]="","",Table5[[#This Row],[cmbList]]-Table5[[#This Row],[Ovr]]))</f>
        <v/>
      </c>
      <c r="AD1225" s="54" t="str">
        <f>IF(ISERROR(VLOOKUP($AB1225&amp;"-"&amp;$E1225&amp;" "&amp;F1225,Bonuses!$B$1:$G$1006,4,FALSE)),"",INT(VLOOKUP($AB1225&amp;"-"&amp;$E1225&amp;" "&amp;$F1225,Bonuses!$B$1:$G$1006,4,FALSE)))</f>
        <v/>
      </c>
      <c r="AE12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6" spans="1:31" s="7" customFormat="1" x14ac:dyDescent="0.25">
      <c r="A1226" s="50">
        <v>17021</v>
      </c>
      <c r="B1226" s="55">
        <f>COUNTIF(Table5[PID],A1226)</f>
        <v>1</v>
      </c>
      <c r="C1226" s="55" t="str">
        <f>IF(COUNTIF(Table3[[#All],[PID]],A1226)&gt;0,"P","B")</f>
        <v>P</v>
      </c>
      <c r="D1226" s="59" t="str">
        <f>IF($C1226="B",INDEX(Batters[[#All],[POS]],MATCH(Table5[[#This Row],[PID]],Batters[[#All],[PID]],0)),INDEX(Table3[[#All],[POS]],MATCH(Table5[[#This Row],[PID]],Table3[[#All],[PID]],0)))</f>
        <v>RP</v>
      </c>
      <c r="E1226" s="52" t="str">
        <f>IF($C1226="B",INDEX(Batters[[#All],[First]],MATCH(Table5[[#This Row],[PID]],Batters[[#All],[PID]],0)),INDEX(Table3[[#All],[First]],MATCH(Table5[[#This Row],[PID]],Table3[[#All],[PID]],0)))</f>
        <v>Jasper</v>
      </c>
      <c r="F1226" s="50" t="str">
        <f>IF($C1226="B",INDEX(Batters[[#All],[Last]],MATCH(A1226,Batters[[#All],[PID]],0)),INDEX(Table3[[#All],[Last]],MATCH(A1226,Table3[[#All],[PID]],0)))</f>
        <v>Coster</v>
      </c>
      <c r="G1226" s="56">
        <f>IF($C1226="B",INDEX(Batters[[#All],[Age]],MATCH(Table5[[#This Row],[PID]],Batters[[#All],[PID]],0)),INDEX(Table3[[#All],[Age]],MATCH(Table5[[#This Row],[PID]],Table3[[#All],[PID]],0)))</f>
        <v>21</v>
      </c>
      <c r="H1226" s="52" t="str">
        <f>IF($C1226="B",INDEX(Batters[[#All],[B]],MATCH(Table5[[#This Row],[PID]],Batters[[#All],[PID]],0)),INDEX(Table3[[#All],[B]],MATCH(Table5[[#This Row],[PID]],Table3[[#All],[PID]],0)))</f>
        <v>S</v>
      </c>
      <c r="I1226" s="52" t="str">
        <f>IF($C1226="B",INDEX(Batters[[#All],[T]],MATCH(Table5[[#This Row],[PID]],Batters[[#All],[PID]],0)),INDEX(Table3[[#All],[T]],MATCH(Table5[[#This Row],[PID]],Table3[[#All],[PID]],0)))</f>
        <v>L</v>
      </c>
      <c r="J1226" s="52" t="str">
        <f>IF($C1226="B",INDEX(Batters[[#All],[WE]],MATCH(Table5[[#This Row],[PID]],Batters[[#All],[PID]],0)),INDEX(Table3[[#All],[WE]],MATCH(Table5[[#This Row],[PID]],Table3[[#All],[PID]],0)))</f>
        <v>Low</v>
      </c>
      <c r="K1226" s="52" t="str">
        <f>IF($C1226="B",INDEX(Batters[[#All],[INT]],MATCH(Table5[[#This Row],[PID]],Batters[[#All],[PID]],0)),INDEX(Table3[[#All],[INT]],MATCH(Table5[[#This Row],[PID]],Table3[[#All],[PID]],0)))</f>
        <v>Normal</v>
      </c>
      <c r="L1226" s="60">
        <f>IF($C1226="B",INDEX(Batters[[#All],[CON P]],MATCH(Table5[[#This Row],[PID]],Batters[[#All],[PID]],0)),INDEX(Table3[[#All],[STU P]],MATCH(Table5[[#This Row],[PID]],Table3[[#All],[PID]],0)))</f>
        <v>4</v>
      </c>
      <c r="M1226" s="56">
        <f>IF($C1226="B",INDEX(Batters[[#All],[GAP P]],MATCH(Table5[[#This Row],[PID]],Batters[[#All],[PID]],0)),INDEX(Table3[[#All],[MOV P]],MATCH(Table5[[#This Row],[PID]],Table3[[#All],[PID]],0)))</f>
        <v>1</v>
      </c>
      <c r="N1226" s="56">
        <f>IF($C1226="B",INDEX(Batters[[#All],[POW P]],MATCH(Table5[[#This Row],[PID]],Batters[[#All],[PID]],0)),INDEX(Table3[[#All],[CON P]],MATCH(Table5[[#This Row],[PID]],Table3[[#All],[PID]],0)))</f>
        <v>3</v>
      </c>
      <c r="O1226" s="56" t="str">
        <f>IF($C1226="B",INDEX(Batters[[#All],[EYE P]],MATCH(Table5[[#This Row],[PID]],Batters[[#All],[PID]],0)),INDEX(Table3[[#All],[VELO]],MATCH(Table5[[#This Row],[PID]],Table3[[#All],[PID]],0)))</f>
        <v>88-90 Mph</v>
      </c>
      <c r="P1226" s="56">
        <f>IF($C1226="B",INDEX(Batters[[#All],[K P]],MATCH(Table5[[#This Row],[PID]],Batters[[#All],[PID]],0)),INDEX(Table3[[#All],[STM]],MATCH(Table5[[#This Row],[PID]],Table3[[#All],[PID]],0)))</f>
        <v>3</v>
      </c>
      <c r="Q1226" s="61">
        <f>IF($C1226="B",INDEX(Batters[[#All],[Tot]],MATCH(Table5[[#This Row],[PID]],Batters[[#All],[PID]],0)),INDEX(Table3[[#All],[Tot]],MATCH(Table5[[#This Row],[PID]],Table3[[#All],[PID]],0)))</f>
        <v>18.652996096141976</v>
      </c>
      <c r="R1226" s="52">
        <f>IF($C1226="B",INDEX(Batters[[#All],[zScore]],MATCH(Table5[[#This Row],[PID]],Batters[[#All],[PID]],0)),INDEX(Table3[[#All],[zScore]],MATCH(Table5[[#This Row],[PID]],Table3[[#All],[PID]],0)))</f>
        <v>-1.1454559571047722</v>
      </c>
      <c r="S1226" s="58" t="str">
        <f>IF($C1226="B",INDEX(Batters[[#All],[DEM]],MATCH(Table5[[#This Row],[PID]],Batters[[#All],[PID]],0)),INDEX(Table3[[#All],[DEM]],MATCH(Table5[[#This Row],[PID]],Table3[[#All],[PID]],0)))</f>
        <v>-</v>
      </c>
      <c r="T1226" s="62">
        <f>IF($C1226="B",INDEX(Batters[[#All],[Rnk]],MATCH(Table5[[#This Row],[PID]],Batters[[#All],[PID]],0)),INDEX(Table3[[#All],[Rnk]],MATCH(Table5[[#This Row],[PID]],Table3[[#All],[PID]],0)))</f>
        <v>730</v>
      </c>
      <c r="U1226" s="68">
        <f>IF($C1226="B",VLOOKUP($A1226,Bat!$A$4:$BA$1621,47,FALSE),VLOOKUP($A1226,Pit!$A$4:$BF$1557,56,FALSE))</f>
        <v>0</v>
      </c>
      <c r="V1226" s="50">
        <f>IF($C1226="B",VLOOKUP($A1226,Bat!$A$4:$BA$1621,48,FALSE),VLOOKUP($A1226,Pit!$A$4:$BF$1557,57,FALSE))</f>
        <v>0</v>
      </c>
      <c r="W1226" s="50">
        <f>Table5[[#This Row],[posRnk]]+Table5[[#This Row],[zRnk]]+IF($W$3&lt;&gt;Table5[[#This Row],[Type]],50,0)</f>
        <v>1973</v>
      </c>
      <c r="X1226" s="51">
        <f>RANK(Table5[[#This Row],[zScore]],Table5[[#All],[zScore]])</f>
        <v>1193</v>
      </c>
      <c r="Y1226" s="50" t="str">
        <f>IFERROR(INDEX(DraftResults[[#All],[OVR]],MATCH(Table5[[#This Row],[PID]],DraftResults[[#All],[Player ID]],0)),"")</f>
        <v/>
      </c>
      <c r="Z12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6" s="50" t="str">
        <f>IFERROR(INDEX(DraftResults[[#All],[Pick in Round]],MATCH(Table5[[#This Row],[PID]],DraftResults[[#All],[Player ID]],0)),"")</f>
        <v/>
      </c>
      <c r="AB1226" s="50" t="str">
        <f>IFERROR(INDEX(DraftResults[[#All],[Team Name]],MATCH(Table5[[#This Row],[PID]],DraftResults[[#All],[Player ID]],0)),"")</f>
        <v/>
      </c>
      <c r="AC1226" s="50" t="str">
        <f>IF(Table5[[#This Row],[Ovr]]="","",IF(Table5[[#This Row],[cmbList]]="","",Table5[[#This Row],[cmbList]]-Table5[[#This Row],[Ovr]]))</f>
        <v/>
      </c>
      <c r="AD1226" s="54" t="str">
        <f>IF(ISERROR(VLOOKUP($AB1226&amp;"-"&amp;$E1226&amp;" "&amp;F1226,Bonuses!$B$1:$G$1006,4,FALSE)),"",INT(VLOOKUP($AB1226&amp;"-"&amp;$E1226&amp;" "&amp;$F1226,Bonuses!$B$1:$G$1006,4,FALSE)))</f>
        <v/>
      </c>
      <c r="AE12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7" spans="1:31" s="7" customFormat="1" x14ac:dyDescent="0.25">
      <c r="A1227" s="50">
        <v>20245</v>
      </c>
      <c r="B1227" s="50">
        <f>COUNTIF(Table5[PID],A1227)</f>
        <v>1</v>
      </c>
      <c r="C1227" s="50" t="str">
        <f>IF(COUNTIF(Table3[[#All],[PID]],A1227)&gt;0,"P","B")</f>
        <v>P</v>
      </c>
      <c r="D1227" s="59" t="str">
        <f>IF($C1227="B",INDEX(Batters[[#All],[POS]],MATCH(Table5[[#This Row],[PID]],Batters[[#All],[PID]],0)),INDEX(Table3[[#All],[POS]],MATCH(Table5[[#This Row],[PID]],Table3[[#All],[PID]],0)))</f>
        <v>RP</v>
      </c>
      <c r="E1227" s="52" t="str">
        <f>IF($C1227="B",INDEX(Batters[[#All],[First]],MATCH(Table5[[#This Row],[PID]],Batters[[#All],[PID]],0)),INDEX(Table3[[#All],[First]],MATCH(Table5[[#This Row],[PID]],Table3[[#All],[PID]],0)))</f>
        <v>Geoffrey</v>
      </c>
      <c r="F1227" s="50" t="str">
        <f>IF($C1227="B",INDEX(Batters[[#All],[Last]],MATCH(A1227,Batters[[#All],[PID]],0)),INDEX(Table3[[#All],[Last]],MATCH(A1227,Table3[[#All],[PID]],0)))</f>
        <v>Laurendeau</v>
      </c>
      <c r="G1227" s="56">
        <f>IF($C1227="B",INDEX(Batters[[#All],[Age]],MATCH(Table5[[#This Row],[PID]],Batters[[#All],[PID]],0)),INDEX(Table3[[#All],[Age]],MATCH(Table5[[#This Row],[PID]],Table3[[#All],[PID]],0)))</f>
        <v>23</v>
      </c>
      <c r="H1227" s="52" t="str">
        <f>IF($C1227="B",INDEX(Batters[[#All],[B]],MATCH(Table5[[#This Row],[PID]],Batters[[#All],[PID]],0)),INDEX(Table3[[#All],[B]],MATCH(Table5[[#This Row],[PID]],Table3[[#All],[PID]],0)))</f>
        <v>L</v>
      </c>
      <c r="I1227" s="52" t="str">
        <f>IF($C1227="B",INDEX(Batters[[#All],[T]],MATCH(Table5[[#This Row],[PID]],Batters[[#All],[PID]],0)),INDEX(Table3[[#All],[T]],MATCH(Table5[[#This Row],[PID]],Table3[[#All],[PID]],0)))</f>
        <v>L</v>
      </c>
      <c r="J1227" s="52" t="str">
        <f>IF($C1227="B",INDEX(Batters[[#All],[WE]],MATCH(Table5[[#This Row],[PID]],Batters[[#All],[PID]],0)),INDEX(Table3[[#All],[WE]],MATCH(Table5[[#This Row],[PID]],Table3[[#All],[PID]],0)))</f>
        <v>Normal</v>
      </c>
      <c r="K1227" s="52" t="str">
        <f>IF($C1227="B",INDEX(Batters[[#All],[INT]],MATCH(Table5[[#This Row],[PID]],Batters[[#All],[PID]],0)),INDEX(Table3[[#All],[INT]],MATCH(Table5[[#This Row],[PID]],Table3[[#All],[PID]],0)))</f>
        <v>Normal</v>
      </c>
      <c r="L1227" s="60">
        <f>IF($C1227="B",INDEX(Batters[[#All],[CON P]],MATCH(Table5[[#This Row],[PID]],Batters[[#All],[PID]],0)),INDEX(Table3[[#All],[STU P]],MATCH(Table5[[#This Row],[PID]],Table3[[#All],[PID]],0)))</f>
        <v>4</v>
      </c>
      <c r="M1227" s="56">
        <f>IF($C1227="B",INDEX(Batters[[#All],[GAP P]],MATCH(Table5[[#This Row],[PID]],Batters[[#All],[PID]],0)),INDEX(Table3[[#All],[MOV P]],MATCH(Table5[[#This Row],[PID]],Table3[[#All],[PID]],0)))</f>
        <v>1</v>
      </c>
      <c r="N1227" s="56">
        <f>IF($C1227="B",INDEX(Batters[[#All],[POW P]],MATCH(Table5[[#This Row],[PID]],Batters[[#All],[PID]],0)),INDEX(Table3[[#All],[CON P]],MATCH(Table5[[#This Row],[PID]],Table3[[#All],[PID]],0)))</f>
        <v>3</v>
      </c>
      <c r="O1227" s="56" t="str">
        <f>IF($C1227="B",INDEX(Batters[[#All],[EYE P]],MATCH(Table5[[#This Row],[PID]],Batters[[#All],[PID]],0)),INDEX(Table3[[#All],[VELO]],MATCH(Table5[[#This Row],[PID]],Table3[[#All],[PID]],0)))</f>
        <v>89-91 Mph</v>
      </c>
      <c r="P1227" s="56">
        <f>IF($C1227="B",INDEX(Batters[[#All],[K P]],MATCH(Table5[[#This Row],[PID]],Batters[[#All],[PID]],0)),INDEX(Table3[[#All],[STM]],MATCH(Table5[[#This Row],[PID]],Table3[[#All],[PID]],0)))</f>
        <v>6</v>
      </c>
      <c r="Q1227" s="61">
        <f>IF($C1227="B",INDEX(Batters[[#All],[Tot]],MATCH(Table5[[#This Row],[PID]],Batters[[#All],[PID]],0)),INDEX(Table3[[#All],[Tot]],MATCH(Table5[[#This Row],[PID]],Table3[[#All],[PID]],0)))</f>
        <v>18.629004557335872</v>
      </c>
      <c r="R1227" s="52">
        <f>IF($C1227="B",INDEX(Batters[[#All],[zScore]],MATCH(Table5[[#This Row],[PID]],Batters[[#All],[PID]],0)),INDEX(Table3[[#All],[zScore]],MATCH(Table5[[#This Row],[PID]],Table3[[#All],[PID]],0)))</f>
        <v>-1.1470520775198598</v>
      </c>
      <c r="S1227" s="58" t="str">
        <f>IF($C1227="B",INDEX(Batters[[#All],[DEM]],MATCH(Table5[[#This Row],[PID]],Batters[[#All],[PID]],0)),INDEX(Table3[[#All],[DEM]],MATCH(Table5[[#This Row],[PID]],Table3[[#All],[PID]],0)))</f>
        <v>Slot</v>
      </c>
      <c r="T1227" s="62">
        <f>IF($C1227="B",INDEX(Batters[[#All],[Rnk]],MATCH(Table5[[#This Row],[PID]],Batters[[#All],[PID]],0)),INDEX(Table3[[#All],[Rnk]],MATCH(Table5[[#This Row],[PID]],Table3[[#All],[PID]],0)))</f>
        <v>731</v>
      </c>
      <c r="U1227" s="68">
        <f>IF($C1227="B",VLOOKUP($A1227,Bat!$A$4:$BA$1621,47,FALSE),VLOOKUP($A1227,Pit!$A$4:$BF$1557,56,FALSE))</f>
        <v>0</v>
      </c>
      <c r="V1227" s="50">
        <f>IF($C1227="B",VLOOKUP($A1227,Bat!$A$4:$BA$1621,48,FALSE),VLOOKUP($A1227,Pit!$A$4:$BF$1557,57,FALSE))</f>
        <v>0</v>
      </c>
      <c r="W1227" s="50">
        <f>Table5[[#This Row],[posRnk]]+Table5[[#This Row],[zRnk]]+IF($W$3&lt;&gt;Table5[[#This Row],[Type]],50,0)</f>
        <v>1975</v>
      </c>
      <c r="X1227" s="51">
        <f>RANK(Table5[[#This Row],[zScore]],Table5[[#All],[zScore]])</f>
        <v>1194</v>
      </c>
      <c r="Y1227" s="50" t="str">
        <f>IFERROR(INDEX(DraftResults[[#All],[OVR]],MATCH(Table5[[#This Row],[PID]],DraftResults[[#All],[Player ID]],0)),"")</f>
        <v/>
      </c>
      <c r="Z12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7" s="50" t="str">
        <f>IFERROR(INDEX(DraftResults[[#All],[Pick in Round]],MATCH(Table5[[#This Row],[PID]],DraftResults[[#All],[Player ID]],0)),"")</f>
        <v/>
      </c>
      <c r="AB1227" s="50" t="str">
        <f>IFERROR(INDEX(DraftResults[[#All],[Team Name]],MATCH(Table5[[#This Row],[PID]],DraftResults[[#All],[Player ID]],0)),"")</f>
        <v/>
      </c>
      <c r="AC1227" s="50" t="str">
        <f>IF(Table5[[#This Row],[Ovr]]="","",IF(Table5[[#This Row],[cmbList]]="","",Table5[[#This Row],[cmbList]]-Table5[[#This Row],[Ovr]]))</f>
        <v/>
      </c>
      <c r="AD1227" s="54" t="str">
        <f>IF(ISERROR(VLOOKUP($AB1227&amp;"-"&amp;$E1227&amp;" "&amp;F1227,Bonuses!$B$1:$G$1006,4,FALSE)),"",INT(VLOOKUP($AB1227&amp;"-"&amp;$E1227&amp;" "&amp;$F1227,Bonuses!$B$1:$G$1006,4,FALSE)))</f>
        <v/>
      </c>
      <c r="AE12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8" spans="1:31" s="7" customFormat="1" x14ac:dyDescent="0.25">
      <c r="A1228" s="50">
        <v>20960</v>
      </c>
      <c r="B1228" s="55">
        <f>COUNTIF(Table5[PID],A1228)</f>
        <v>1</v>
      </c>
      <c r="C1228" s="55" t="str">
        <f>IF(COUNTIF(Table3[[#All],[PID]],A1228)&gt;0,"P","B")</f>
        <v>P</v>
      </c>
      <c r="D1228" s="59" t="str">
        <f>IF($C1228="B",INDEX(Batters[[#All],[POS]],MATCH(Table5[[#This Row],[PID]],Batters[[#All],[PID]],0)),INDEX(Table3[[#All],[POS]],MATCH(Table5[[#This Row],[PID]],Table3[[#All],[PID]],0)))</f>
        <v>RP</v>
      </c>
      <c r="E1228" s="52" t="str">
        <f>IF($C1228="B",INDEX(Batters[[#All],[First]],MATCH(Table5[[#This Row],[PID]],Batters[[#All],[PID]],0)),INDEX(Table3[[#All],[First]],MATCH(Table5[[#This Row],[PID]],Table3[[#All],[PID]],0)))</f>
        <v>Brian</v>
      </c>
      <c r="F1228" s="50" t="str">
        <f>IF($C1228="B",INDEX(Batters[[#All],[Last]],MATCH(A1228,Batters[[#All],[PID]],0)),INDEX(Table3[[#All],[Last]],MATCH(A1228,Table3[[#All],[PID]],0)))</f>
        <v>Boyle</v>
      </c>
      <c r="G1228" s="56">
        <f>IF($C1228="B",INDEX(Batters[[#All],[Age]],MATCH(Table5[[#This Row],[PID]],Batters[[#All],[PID]],0)),INDEX(Table3[[#All],[Age]],MATCH(Table5[[#This Row],[PID]],Table3[[#All],[PID]],0)))</f>
        <v>18</v>
      </c>
      <c r="H1228" s="52" t="str">
        <f>IF($C1228="B",INDEX(Batters[[#All],[B]],MATCH(Table5[[#This Row],[PID]],Batters[[#All],[PID]],0)),INDEX(Table3[[#All],[B]],MATCH(Table5[[#This Row],[PID]],Table3[[#All],[PID]],0)))</f>
        <v>L</v>
      </c>
      <c r="I1228" s="52" t="str">
        <f>IF($C1228="B",INDEX(Batters[[#All],[T]],MATCH(Table5[[#This Row],[PID]],Batters[[#All],[PID]],0)),INDEX(Table3[[#All],[T]],MATCH(Table5[[#This Row],[PID]],Table3[[#All],[PID]],0)))</f>
        <v>L</v>
      </c>
      <c r="J1228" s="52" t="str">
        <f>IF($C1228="B",INDEX(Batters[[#All],[WE]],MATCH(Table5[[#This Row],[PID]],Batters[[#All],[PID]],0)),INDEX(Table3[[#All],[WE]],MATCH(Table5[[#This Row],[PID]],Table3[[#All],[PID]],0)))</f>
        <v>Low</v>
      </c>
      <c r="K1228" s="52" t="str">
        <f>IF($C1228="B",INDEX(Batters[[#All],[INT]],MATCH(Table5[[#This Row],[PID]],Batters[[#All],[PID]],0)),INDEX(Table3[[#All],[INT]],MATCH(Table5[[#This Row],[PID]],Table3[[#All],[PID]],0)))</f>
        <v>Low</v>
      </c>
      <c r="L1228" s="60">
        <f>IF($C1228="B",INDEX(Batters[[#All],[CON P]],MATCH(Table5[[#This Row],[PID]],Batters[[#All],[PID]],0)),INDEX(Table3[[#All],[STU P]],MATCH(Table5[[#This Row],[PID]],Table3[[#All],[PID]],0)))</f>
        <v>3</v>
      </c>
      <c r="M1228" s="56">
        <f>IF($C1228="B",INDEX(Batters[[#All],[GAP P]],MATCH(Table5[[#This Row],[PID]],Batters[[#All],[PID]],0)),INDEX(Table3[[#All],[MOV P]],MATCH(Table5[[#This Row],[PID]],Table3[[#All],[PID]],0)))</f>
        <v>2</v>
      </c>
      <c r="N1228" s="56">
        <f>IF($C1228="B",INDEX(Batters[[#All],[POW P]],MATCH(Table5[[#This Row],[PID]],Batters[[#All],[PID]],0)),INDEX(Table3[[#All],[CON P]],MATCH(Table5[[#This Row],[PID]],Table3[[#All],[PID]],0)))</f>
        <v>3</v>
      </c>
      <c r="O1228" s="56" t="str">
        <f>IF($C1228="B",INDEX(Batters[[#All],[EYE P]],MATCH(Table5[[#This Row],[PID]],Batters[[#All],[PID]],0)),INDEX(Table3[[#All],[VELO]],MATCH(Table5[[#This Row],[PID]],Table3[[#All],[PID]],0)))</f>
        <v>88-90 Mph</v>
      </c>
      <c r="P1228" s="56">
        <f>IF($C1228="B",INDEX(Batters[[#All],[K P]],MATCH(Table5[[#This Row],[PID]],Batters[[#All],[PID]],0)),INDEX(Table3[[#All],[STM]],MATCH(Table5[[#This Row],[PID]],Table3[[#All],[PID]],0)))</f>
        <v>9</v>
      </c>
      <c r="Q1228" s="61">
        <f>IF($C1228="B",INDEX(Batters[[#All],[Tot]],MATCH(Table5[[#This Row],[PID]],Batters[[#All],[PID]],0)),INDEX(Table3[[#All],[Tot]],MATCH(Table5[[#This Row],[PID]],Table3[[#All],[PID]],0)))</f>
        <v>21.018109702214431</v>
      </c>
      <c r="R1228" s="52">
        <f>IF($C1228="B",INDEX(Batters[[#All],[zScore]],MATCH(Table5[[#This Row],[PID]],Batters[[#All],[PID]],0)),INDEX(Table3[[#All],[zScore]],MATCH(Table5[[#This Row],[PID]],Table3[[#All],[PID]],0)))</f>
        <v>-1.1498132220565138</v>
      </c>
      <c r="S1228" s="58" t="str">
        <f>IF($C1228="B",INDEX(Batters[[#All],[DEM]],MATCH(Table5[[#This Row],[PID]],Batters[[#All],[PID]],0)),INDEX(Table3[[#All],[DEM]],MATCH(Table5[[#This Row],[PID]],Table3[[#All],[PID]],0)))</f>
        <v>$80k</v>
      </c>
      <c r="T1228" s="62">
        <f>IF($C1228="B",INDEX(Batters[[#All],[Rnk]],MATCH(Table5[[#This Row],[PID]],Batters[[#All],[PID]],0)),INDEX(Table3[[#All],[Rnk]],MATCH(Table5[[#This Row],[PID]],Table3[[#All],[PID]],0)))</f>
        <v>732</v>
      </c>
      <c r="U1228" s="68">
        <f>IF($C1228="B",VLOOKUP($A1228,Bat!$A$4:$BA$1621,47,FALSE),VLOOKUP($A1228,Pit!$A$4:$BF$1557,56,FALSE))</f>
        <v>0</v>
      </c>
      <c r="V1228" s="50">
        <f>IF($C1228="B",VLOOKUP($A1228,Bat!$A$4:$BA$1621,48,FALSE),VLOOKUP($A1228,Pit!$A$4:$BF$1557,57,FALSE))</f>
        <v>0</v>
      </c>
      <c r="W1228" s="50">
        <f>Table5[[#This Row],[posRnk]]+Table5[[#This Row],[zRnk]]+IF($W$3&lt;&gt;Table5[[#This Row],[Type]],50,0)</f>
        <v>1977</v>
      </c>
      <c r="X1228" s="51">
        <f>RANK(Table5[[#This Row],[zScore]],Table5[[#All],[zScore]])</f>
        <v>1195</v>
      </c>
      <c r="Y1228" s="50" t="str">
        <f>IFERROR(INDEX(DraftResults[[#All],[OVR]],MATCH(Table5[[#This Row],[PID]],DraftResults[[#All],[Player ID]],0)),"")</f>
        <v/>
      </c>
      <c r="Z12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8" s="50" t="str">
        <f>IFERROR(INDEX(DraftResults[[#All],[Pick in Round]],MATCH(Table5[[#This Row],[PID]],DraftResults[[#All],[Player ID]],0)),"")</f>
        <v/>
      </c>
      <c r="AB1228" s="50" t="str">
        <f>IFERROR(INDEX(DraftResults[[#All],[Team Name]],MATCH(Table5[[#This Row],[PID]],DraftResults[[#All],[Player ID]],0)),"")</f>
        <v/>
      </c>
      <c r="AC1228" s="50" t="str">
        <f>IF(Table5[[#This Row],[Ovr]]="","",IF(Table5[[#This Row],[cmbList]]="","",Table5[[#This Row],[cmbList]]-Table5[[#This Row],[Ovr]]))</f>
        <v/>
      </c>
      <c r="AD1228" s="54" t="str">
        <f>IF(ISERROR(VLOOKUP($AB1228&amp;"-"&amp;$E1228&amp;" "&amp;F1228,Bonuses!$B$1:$G$1006,4,FALSE)),"",INT(VLOOKUP($AB1228&amp;"-"&amp;$E1228&amp;" "&amp;$F1228,Bonuses!$B$1:$G$1006,4,FALSE)))</f>
        <v/>
      </c>
      <c r="AE12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29" spans="1:31" s="7" customFormat="1" x14ac:dyDescent="0.25">
      <c r="A1229" s="68">
        <v>20452</v>
      </c>
      <c r="B1229" s="69">
        <f>COUNTIF(Table5[PID],A1229)</f>
        <v>1</v>
      </c>
      <c r="C1229" s="69" t="str">
        <f>IF(COUNTIF(Table3[[#All],[PID]],A1229)&gt;0,"P","B")</f>
        <v>P</v>
      </c>
      <c r="D1229" s="59" t="str">
        <f>IF($C1229="B",INDEX(Batters[[#All],[POS]],MATCH(Table5[[#This Row],[PID]],Batters[[#All],[PID]],0)),INDEX(Table3[[#All],[POS]],MATCH(Table5[[#This Row],[PID]],Table3[[#All],[PID]],0)))</f>
        <v>SP</v>
      </c>
      <c r="E1229" s="52" t="str">
        <f>IF($C1229="B",INDEX(Batters[[#All],[First]],MATCH(Table5[[#This Row],[PID]],Batters[[#All],[PID]],0)),INDEX(Table3[[#All],[First]],MATCH(Table5[[#This Row],[PID]],Table3[[#All],[PID]],0)))</f>
        <v>Gesang</v>
      </c>
      <c r="F1229" s="55" t="str">
        <f>IF($C1229="B",INDEX(Batters[[#All],[Last]],MATCH(A1229,Batters[[#All],[PID]],0)),INDEX(Table3[[#All],[Last]],MATCH(A1229,Table3[[#All],[PID]],0)))</f>
        <v>Prawiranega</v>
      </c>
      <c r="G1229" s="56">
        <f>IF($C1229="B",INDEX(Batters[[#All],[Age]],MATCH(Table5[[#This Row],[PID]],Batters[[#All],[PID]],0)),INDEX(Table3[[#All],[Age]],MATCH(Table5[[#This Row],[PID]],Table3[[#All],[PID]],0)))</f>
        <v>18</v>
      </c>
      <c r="H1229" s="52" t="str">
        <f>IF($C1229="B",INDEX(Batters[[#All],[B]],MATCH(Table5[[#This Row],[PID]],Batters[[#All],[PID]],0)),INDEX(Table3[[#All],[B]],MATCH(Table5[[#This Row],[PID]],Table3[[#All],[PID]],0)))</f>
        <v>R</v>
      </c>
      <c r="I1229" s="52" t="str">
        <f>IF($C1229="B",INDEX(Batters[[#All],[T]],MATCH(Table5[[#This Row],[PID]],Batters[[#All],[PID]],0)),INDEX(Table3[[#All],[T]],MATCH(Table5[[#This Row],[PID]],Table3[[#All],[PID]],0)))</f>
        <v>R</v>
      </c>
      <c r="J1229" s="71" t="str">
        <f>IF($C1229="B",INDEX(Batters[[#All],[WE]],MATCH(Table5[[#This Row],[PID]],Batters[[#All],[PID]],0)),INDEX(Table3[[#All],[WE]],MATCH(Table5[[#This Row],[PID]],Table3[[#All],[PID]],0)))</f>
        <v>Normal</v>
      </c>
      <c r="K1229" s="52" t="str">
        <f>IF($C1229="B",INDEX(Batters[[#All],[INT]],MATCH(Table5[[#This Row],[PID]],Batters[[#All],[PID]],0)),INDEX(Table3[[#All],[INT]],MATCH(Table5[[#This Row],[PID]],Table3[[#All],[PID]],0)))</f>
        <v>Low</v>
      </c>
      <c r="L1229" s="60">
        <f>IF($C1229="B",INDEX(Batters[[#All],[CON P]],MATCH(Table5[[#This Row],[PID]],Batters[[#All],[PID]],0)),INDEX(Table3[[#All],[STU P]],MATCH(Table5[[#This Row],[PID]],Table3[[#All],[PID]],0)))</f>
        <v>3</v>
      </c>
      <c r="M1229" s="72">
        <f>IF($C1229="B",INDEX(Batters[[#All],[GAP P]],MATCH(Table5[[#This Row],[PID]],Batters[[#All],[PID]],0)),INDEX(Table3[[#All],[MOV P]],MATCH(Table5[[#This Row],[PID]],Table3[[#All],[PID]],0)))</f>
        <v>1</v>
      </c>
      <c r="N1229" s="72">
        <f>IF($C1229="B",INDEX(Batters[[#All],[POW P]],MATCH(Table5[[#This Row],[PID]],Batters[[#All],[PID]],0)),INDEX(Table3[[#All],[CON P]],MATCH(Table5[[#This Row],[PID]],Table3[[#All],[PID]],0)))</f>
        <v>2</v>
      </c>
      <c r="O1229" s="72" t="str">
        <f>IF($C1229="B",INDEX(Batters[[#All],[EYE P]],MATCH(Table5[[#This Row],[PID]],Batters[[#All],[PID]],0)),INDEX(Table3[[#All],[VELO]],MATCH(Table5[[#This Row],[PID]],Table3[[#All],[PID]],0)))</f>
        <v>88-90 Mph</v>
      </c>
      <c r="P1229" s="56">
        <f>IF($C1229="B",INDEX(Batters[[#All],[K P]],MATCH(Table5[[#This Row],[PID]],Batters[[#All],[PID]],0)),INDEX(Table3[[#All],[STM]],MATCH(Table5[[#This Row],[PID]],Table3[[#All],[PID]],0)))</f>
        <v>8</v>
      </c>
      <c r="Q1229" s="61">
        <f>IF($C1229="B",INDEX(Batters[[#All],[Tot]],MATCH(Table5[[#This Row],[PID]],Batters[[#All],[PID]],0)),INDEX(Table3[[#All],[Tot]],MATCH(Table5[[#This Row],[PID]],Table3[[#All],[PID]],0)))</f>
        <v>20.937915974146925</v>
      </c>
      <c r="R1229" s="52">
        <f>IF($C1229="B",INDEX(Batters[[#All],[zScore]],MATCH(Table5[[#This Row],[PID]],Batters[[#All],[PID]],0)),INDEX(Table3[[#All],[zScore]],MATCH(Table5[[#This Row],[PID]],Table3[[#All],[PID]],0)))</f>
        <v>-1.1553064688338546</v>
      </c>
      <c r="S1229" s="78" t="str">
        <f>IF($C1229="B",INDEX(Batters[[#All],[DEM]],MATCH(Table5[[#This Row],[PID]],Batters[[#All],[PID]],0)),INDEX(Table3[[#All],[DEM]],MATCH(Table5[[#This Row],[PID]],Table3[[#All],[PID]],0)))</f>
        <v>$65k</v>
      </c>
      <c r="T1229" s="75">
        <f>IF($C1229="B",INDEX(Batters[[#All],[Rnk]],MATCH(Table5[[#This Row],[PID]],Batters[[#All],[PID]],0)),INDEX(Table3[[#All],[Rnk]],MATCH(Table5[[#This Row],[PID]],Table3[[#All],[PID]],0)))</f>
        <v>733</v>
      </c>
      <c r="U1229" s="68">
        <f>IF($C1229="B",VLOOKUP($A1229,Bat!$A$4:$BA$1621,47,FALSE),VLOOKUP($A1229,Pit!$A$4:$BF$1557,56,FALSE))</f>
        <v>0</v>
      </c>
      <c r="V1229" s="50">
        <f>IF($C1229="B",VLOOKUP($A1229,Bat!$A$4:$BA$1621,48,FALSE),VLOOKUP($A1229,Pit!$A$4:$BF$1557,57,FALSE))</f>
        <v>0</v>
      </c>
      <c r="W1229" s="69">
        <f>Table5[[#This Row],[posRnk]]+Table5[[#This Row],[zRnk]]+IF($W$3&lt;&gt;Table5[[#This Row],[Type]],50,0)</f>
        <v>1979</v>
      </c>
      <c r="X1229" s="73">
        <f>RANK(Table5[[#This Row],[zScore]],Table5[[#All],[zScore]])</f>
        <v>1196</v>
      </c>
      <c r="Y1229" s="69" t="str">
        <f>IFERROR(INDEX(DraftResults[[#All],[OVR]],MATCH(Table5[[#This Row],[PID]],DraftResults[[#All],[Player ID]],0)),"")</f>
        <v/>
      </c>
      <c r="Z122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29" s="69" t="str">
        <f>IFERROR(INDEX(DraftResults[[#All],[Pick in Round]],MATCH(Table5[[#This Row],[PID]],DraftResults[[#All],[Player ID]],0)),"")</f>
        <v/>
      </c>
      <c r="AB1229" s="69" t="str">
        <f>IFERROR(INDEX(DraftResults[[#All],[Team Name]],MATCH(Table5[[#This Row],[PID]],DraftResults[[#All],[Player ID]],0)),"")</f>
        <v/>
      </c>
      <c r="AC1229" s="69" t="str">
        <f>IF(Table5[[#This Row],[Ovr]]="","",IF(Table5[[#This Row],[cmbList]]="","",Table5[[#This Row],[cmbList]]-Table5[[#This Row],[Ovr]]))</f>
        <v/>
      </c>
      <c r="AD1229" s="77" t="str">
        <f>IF(ISERROR(VLOOKUP($AB1229&amp;"-"&amp;$E1229&amp;" "&amp;F1229,Bonuses!$B$1:$G$1006,4,FALSE)),"",INT(VLOOKUP($AB1229&amp;"-"&amp;$E1229&amp;" "&amp;$F1229,Bonuses!$B$1:$G$1006,4,FALSE)))</f>
        <v/>
      </c>
      <c r="AE122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0" spans="1:31" s="7" customFormat="1" x14ac:dyDescent="0.25">
      <c r="A1230" s="50">
        <v>20272</v>
      </c>
      <c r="B1230" s="50">
        <f>COUNTIF(Table5[PID],A1230)</f>
        <v>1</v>
      </c>
      <c r="C1230" s="50" t="str">
        <f>IF(COUNTIF(Table3[[#All],[PID]],A1230)&gt;0,"P","B")</f>
        <v>P</v>
      </c>
      <c r="D1230" s="59" t="str">
        <f>IF($C1230="B",INDEX(Batters[[#All],[POS]],MATCH(Table5[[#This Row],[PID]],Batters[[#All],[PID]],0)),INDEX(Table3[[#All],[POS]],MATCH(Table5[[#This Row],[PID]],Table3[[#All],[PID]],0)))</f>
        <v>RP</v>
      </c>
      <c r="E1230" s="52" t="str">
        <f>IF($C1230="B",INDEX(Batters[[#All],[First]],MATCH(Table5[[#This Row],[PID]],Batters[[#All],[PID]],0)),INDEX(Table3[[#All],[First]],MATCH(Table5[[#This Row],[PID]],Table3[[#All],[PID]],0)))</f>
        <v>Wan-fu</v>
      </c>
      <c r="F1230" s="50" t="str">
        <f>IF($C1230="B",INDEX(Batters[[#All],[Last]],MATCH(A1230,Batters[[#All],[PID]],0)),INDEX(Table3[[#All],[Last]],MATCH(A1230,Table3[[#All],[PID]],0)))</f>
        <v>Zhou</v>
      </c>
      <c r="G1230" s="56">
        <f>IF($C1230="B",INDEX(Batters[[#All],[Age]],MATCH(Table5[[#This Row],[PID]],Batters[[#All],[PID]],0)),INDEX(Table3[[#All],[Age]],MATCH(Table5[[#This Row],[PID]],Table3[[#All],[PID]],0)))</f>
        <v>23</v>
      </c>
      <c r="H1230" s="52" t="str">
        <f>IF($C1230="B",INDEX(Batters[[#All],[B]],MATCH(Table5[[#This Row],[PID]],Batters[[#All],[PID]],0)),INDEX(Table3[[#All],[B]],MATCH(Table5[[#This Row],[PID]],Table3[[#All],[PID]],0)))</f>
        <v>R</v>
      </c>
      <c r="I1230" s="52" t="str">
        <f>IF($C1230="B",INDEX(Batters[[#All],[T]],MATCH(Table5[[#This Row],[PID]],Batters[[#All],[PID]],0)),INDEX(Table3[[#All],[T]],MATCH(Table5[[#This Row],[PID]],Table3[[#All],[PID]],0)))</f>
        <v>R</v>
      </c>
      <c r="J1230" s="52" t="str">
        <f>IF($C1230="B",INDEX(Batters[[#All],[WE]],MATCH(Table5[[#This Row],[PID]],Batters[[#All],[PID]],0)),INDEX(Table3[[#All],[WE]],MATCH(Table5[[#This Row],[PID]],Table3[[#All],[PID]],0)))</f>
        <v>High</v>
      </c>
      <c r="K1230" s="52" t="str">
        <f>IF($C1230="B",INDEX(Batters[[#All],[INT]],MATCH(Table5[[#This Row],[PID]],Batters[[#All],[PID]],0)),INDEX(Table3[[#All],[INT]],MATCH(Table5[[#This Row],[PID]],Table3[[#All],[PID]],0)))</f>
        <v>High</v>
      </c>
      <c r="L1230" s="60">
        <f>IF($C1230="B",INDEX(Batters[[#All],[CON P]],MATCH(Table5[[#This Row],[PID]],Batters[[#All],[PID]],0)),INDEX(Table3[[#All],[STU P]],MATCH(Table5[[#This Row],[PID]],Table3[[#All],[PID]],0)))</f>
        <v>3</v>
      </c>
      <c r="M1230" s="56">
        <f>IF($C1230="B",INDEX(Batters[[#All],[GAP P]],MATCH(Table5[[#This Row],[PID]],Batters[[#All],[PID]],0)),INDEX(Table3[[#All],[MOV P]],MATCH(Table5[[#This Row],[PID]],Table3[[#All],[PID]],0)))</f>
        <v>2</v>
      </c>
      <c r="N1230" s="56">
        <f>IF($C1230="B",INDEX(Batters[[#All],[POW P]],MATCH(Table5[[#This Row],[PID]],Batters[[#All],[PID]],0)),INDEX(Table3[[#All],[CON P]],MATCH(Table5[[#This Row],[PID]],Table3[[#All],[PID]],0)))</f>
        <v>2</v>
      </c>
      <c r="O1230" s="56" t="str">
        <f>IF($C1230="B",INDEX(Batters[[#All],[EYE P]],MATCH(Table5[[#This Row],[PID]],Batters[[#All],[PID]],0)),INDEX(Table3[[#All],[VELO]],MATCH(Table5[[#This Row],[PID]],Table3[[#All],[PID]],0)))</f>
        <v>90-92 Mph</v>
      </c>
      <c r="P1230" s="56">
        <f>IF($C1230="B",INDEX(Batters[[#All],[K P]],MATCH(Table5[[#This Row],[PID]],Batters[[#All],[PID]],0)),INDEX(Table3[[#All],[STM]],MATCH(Table5[[#This Row],[PID]],Table3[[#All],[PID]],0)))</f>
        <v>5</v>
      </c>
      <c r="Q1230" s="61">
        <f>IF($C1230="B",INDEX(Batters[[#All],[Tot]],MATCH(Table5[[#This Row],[PID]],Batters[[#All],[PID]],0)),INDEX(Table3[[#All],[Tot]],MATCH(Table5[[#This Row],[PID]],Table3[[#All],[PID]],0)))</f>
        <v>20.749120729883209</v>
      </c>
      <c r="R1230" s="52">
        <f>IF($C1230="B",INDEX(Batters[[#All],[zScore]],MATCH(Table5[[#This Row],[PID]],Batters[[#All],[PID]],0)),INDEX(Table3[[#All],[zScore]],MATCH(Table5[[#This Row],[PID]],Table3[[#All],[PID]],0)))</f>
        <v>-1.1599961047031793</v>
      </c>
      <c r="S1230" s="58" t="str">
        <f>IF($C1230="B",INDEX(Batters[[#All],[DEM]],MATCH(Table5[[#This Row],[PID]],Batters[[#All],[PID]],0)),INDEX(Table3[[#All],[DEM]],MATCH(Table5[[#This Row],[PID]],Table3[[#All],[PID]],0)))</f>
        <v>Slot</v>
      </c>
      <c r="T1230" s="62">
        <f>IF($C1230="B",INDEX(Batters[[#All],[Rnk]],MATCH(Table5[[#This Row],[PID]],Batters[[#All],[PID]],0)),INDEX(Table3[[#All],[Rnk]],MATCH(Table5[[#This Row],[PID]],Table3[[#All],[PID]],0)))</f>
        <v>734</v>
      </c>
      <c r="U1230" s="68">
        <f>IF($C1230="B",VLOOKUP($A1230,Bat!$A$4:$BA$1621,47,FALSE),VLOOKUP($A1230,Pit!$A$4:$BF$1557,56,FALSE))</f>
        <v>0</v>
      </c>
      <c r="V1230" s="50">
        <f>IF($C1230="B",VLOOKUP($A1230,Bat!$A$4:$BA$1621,48,FALSE),VLOOKUP($A1230,Pit!$A$4:$BF$1557,57,FALSE))</f>
        <v>0</v>
      </c>
      <c r="W1230" s="50">
        <f>Table5[[#This Row],[posRnk]]+Table5[[#This Row],[zRnk]]+IF($W$3&lt;&gt;Table5[[#This Row],[Type]],50,0)</f>
        <v>1981</v>
      </c>
      <c r="X1230" s="51">
        <f>RANK(Table5[[#This Row],[zScore]],Table5[[#All],[zScore]])</f>
        <v>1197</v>
      </c>
      <c r="Y1230" s="50" t="str">
        <f>IFERROR(INDEX(DraftResults[[#All],[OVR]],MATCH(Table5[[#This Row],[PID]],DraftResults[[#All],[Player ID]],0)),"")</f>
        <v/>
      </c>
      <c r="Z12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0" s="50" t="str">
        <f>IFERROR(INDEX(DraftResults[[#All],[Pick in Round]],MATCH(Table5[[#This Row],[PID]],DraftResults[[#All],[Player ID]],0)),"")</f>
        <v/>
      </c>
      <c r="AB1230" s="50" t="str">
        <f>IFERROR(INDEX(DraftResults[[#All],[Team Name]],MATCH(Table5[[#This Row],[PID]],DraftResults[[#All],[Player ID]],0)),"")</f>
        <v/>
      </c>
      <c r="AC1230" s="50" t="str">
        <f>IF(Table5[[#This Row],[Ovr]]="","",IF(Table5[[#This Row],[cmbList]]="","",Table5[[#This Row],[cmbList]]-Table5[[#This Row],[Ovr]]))</f>
        <v/>
      </c>
      <c r="AD1230" s="54" t="str">
        <f>IF(ISERROR(VLOOKUP($AB1230&amp;"-"&amp;$E1230&amp;" "&amp;F1230,Bonuses!$B$1:$G$1006,4,FALSE)),"",INT(VLOOKUP($AB1230&amp;"-"&amp;$E1230&amp;" "&amp;$F1230,Bonuses!$B$1:$G$1006,4,FALSE)))</f>
        <v/>
      </c>
      <c r="AE12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1" spans="1:31" s="7" customFormat="1" x14ac:dyDescent="0.25">
      <c r="A1231" s="50">
        <v>6402</v>
      </c>
      <c r="B1231" s="50">
        <f>COUNTIF(Table5[PID],A1231)</f>
        <v>1</v>
      </c>
      <c r="C1231" s="50" t="str">
        <f>IF(COUNTIF(Table3[[#All],[PID]],A1231)&gt;0,"P","B")</f>
        <v>P</v>
      </c>
      <c r="D1231" s="59" t="str">
        <f>IF($C1231="B",INDEX(Batters[[#All],[POS]],MATCH(Table5[[#This Row],[PID]],Batters[[#All],[PID]],0)),INDEX(Table3[[#All],[POS]],MATCH(Table5[[#This Row],[PID]],Table3[[#All],[PID]],0)))</f>
        <v>RP</v>
      </c>
      <c r="E1231" s="52" t="str">
        <f>IF($C1231="B",INDEX(Batters[[#All],[First]],MATCH(Table5[[#This Row],[PID]],Batters[[#All],[PID]],0)),INDEX(Table3[[#All],[First]],MATCH(Table5[[#This Row],[PID]],Table3[[#All],[PID]],0)))</f>
        <v>Esteban</v>
      </c>
      <c r="F1231" s="50" t="str">
        <f>IF($C1231="B",INDEX(Batters[[#All],[Last]],MATCH(A1231,Batters[[#All],[PID]],0)),INDEX(Table3[[#All],[Last]],MATCH(A1231,Table3[[#All],[PID]],0)))</f>
        <v>Barrera</v>
      </c>
      <c r="G1231" s="56">
        <f>IF($C1231="B",INDEX(Batters[[#All],[Age]],MATCH(Table5[[#This Row],[PID]],Batters[[#All],[PID]],0)),INDEX(Table3[[#All],[Age]],MATCH(Table5[[#This Row],[PID]],Table3[[#All],[PID]],0)))</f>
        <v>22</v>
      </c>
      <c r="H1231" s="52" t="str">
        <f>IF($C1231="B",INDEX(Batters[[#All],[B]],MATCH(Table5[[#This Row],[PID]],Batters[[#All],[PID]],0)),INDEX(Table3[[#All],[B]],MATCH(Table5[[#This Row],[PID]],Table3[[#All],[PID]],0)))</f>
        <v>R</v>
      </c>
      <c r="I1231" s="52" t="str">
        <f>IF($C1231="B",INDEX(Batters[[#All],[T]],MATCH(Table5[[#This Row],[PID]],Batters[[#All],[PID]],0)),INDEX(Table3[[#All],[T]],MATCH(Table5[[#This Row],[PID]],Table3[[#All],[PID]],0)))</f>
        <v>R</v>
      </c>
      <c r="J1231" s="52" t="str">
        <f>IF($C1231="B",INDEX(Batters[[#All],[WE]],MATCH(Table5[[#This Row],[PID]],Batters[[#All],[PID]],0)),INDEX(Table3[[#All],[WE]],MATCH(Table5[[#This Row],[PID]],Table3[[#All],[PID]],0)))</f>
        <v>Low</v>
      </c>
      <c r="K1231" s="52" t="str">
        <f>IF($C1231="B",INDEX(Batters[[#All],[INT]],MATCH(Table5[[#This Row],[PID]],Batters[[#All],[PID]],0)),INDEX(Table3[[#All],[INT]],MATCH(Table5[[#This Row],[PID]],Table3[[#All],[PID]],0)))</f>
        <v>Normal</v>
      </c>
      <c r="L1231" s="60">
        <f>IF($C1231="B",INDEX(Batters[[#All],[CON P]],MATCH(Table5[[#This Row],[PID]],Batters[[#All],[PID]],0)),INDEX(Table3[[#All],[STU P]],MATCH(Table5[[#This Row],[PID]],Table3[[#All],[PID]],0)))</f>
        <v>4</v>
      </c>
      <c r="M1231" s="56">
        <f>IF($C1231="B",INDEX(Batters[[#All],[GAP P]],MATCH(Table5[[#This Row],[PID]],Batters[[#All],[PID]],0)),INDEX(Table3[[#All],[MOV P]],MATCH(Table5[[#This Row],[PID]],Table3[[#All],[PID]],0)))</f>
        <v>1</v>
      </c>
      <c r="N1231" s="56">
        <f>IF($C1231="B",INDEX(Batters[[#All],[POW P]],MATCH(Table5[[#This Row],[PID]],Batters[[#All],[PID]],0)),INDEX(Table3[[#All],[CON P]],MATCH(Table5[[#This Row],[PID]],Table3[[#All],[PID]],0)))</f>
        <v>2</v>
      </c>
      <c r="O1231" s="56" t="str">
        <f>IF($C1231="B",INDEX(Batters[[#All],[EYE P]],MATCH(Table5[[#This Row],[PID]],Batters[[#All],[PID]],0)),INDEX(Table3[[#All],[VELO]],MATCH(Table5[[#This Row],[PID]],Table3[[#All],[PID]],0)))</f>
        <v>91-93 Mph</v>
      </c>
      <c r="P1231" s="56">
        <f>IF($C1231="B",INDEX(Batters[[#All],[K P]],MATCH(Table5[[#This Row],[PID]],Batters[[#All],[PID]],0)),INDEX(Table3[[#All],[STM]],MATCH(Table5[[#This Row],[PID]],Table3[[#All],[PID]],0)))</f>
        <v>2</v>
      </c>
      <c r="Q1231" s="61">
        <f>IF($C1231="B",INDEX(Batters[[#All],[Tot]],MATCH(Table5[[#This Row],[PID]],Batters[[#All],[PID]],0)),INDEX(Table3[[#All],[Tot]],MATCH(Table5[[#This Row],[PID]],Table3[[#All],[PID]],0)))</f>
        <v>18.419437600320904</v>
      </c>
      <c r="R1231" s="52">
        <f>IF($C1231="B",INDEX(Batters[[#All],[zScore]],MATCH(Table5[[#This Row],[PID]],Batters[[#All],[PID]],0)),INDEX(Table3[[#All],[zScore]],MATCH(Table5[[#This Row],[PID]],Table3[[#All],[PID]],0)))</f>
        <v>-1.1609942469289456</v>
      </c>
      <c r="S1231" s="58" t="str">
        <f>IF($C1231="B",INDEX(Batters[[#All],[DEM]],MATCH(Table5[[#This Row],[PID]],Batters[[#All],[PID]],0)),INDEX(Table3[[#All],[DEM]],MATCH(Table5[[#This Row],[PID]],Table3[[#All],[PID]],0)))</f>
        <v>-</v>
      </c>
      <c r="T1231" s="62">
        <f>IF($C1231="B",INDEX(Batters[[#All],[Rnk]],MATCH(Table5[[#This Row],[PID]],Batters[[#All],[PID]],0)),INDEX(Table3[[#All],[Rnk]],MATCH(Table5[[#This Row],[PID]],Table3[[#All],[PID]],0)))</f>
        <v>735</v>
      </c>
      <c r="U1231" s="68">
        <f>IF($C1231="B",VLOOKUP($A1231,Bat!$A$4:$BA$1621,47,FALSE),VLOOKUP($A1231,Pit!$A$4:$BF$1557,56,FALSE))</f>
        <v>0</v>
      </c>
      <c r="V1231" s="50">
        <f>IF($C1231="B",VLOOKUP($A1231,Bat!$A$4:$BA$1621,48,FALSE),VLOOKUP($A1231,Pit!$A$4:$BF$1557,57,FALSE))</f>
        <v>0</v>
      </c>
      <c r="W1231" s="50">
        <f>Table5[[#This Row],[posRnk]]+Table5[[#This Row],[zRnk]]+IF($W$3&lt;&gt;Table5[[#This Row],[Type]],50,0)</f>
        <v>1983</v>
      </c>
      <c r="X1231" s="51">
        <f>RANK(Table5[[#This Row],[zScore]],Table5[[#All],[zScore]])</f>
        <v>1198</v>
      </c>
      <c r="Y1231" s="50" t="str">
        <f>IFERROR(INDEX(DraftResults[[#All],[OVR]],MATCH(Table5[[#This Row],[PID]],DraftResults[[#All],[Player ID]],0)),"")</f>
        <v/>
      </c>
      <c r="Z12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1" s="50" t="str">
        <f>IFERROR(INDEX(DraftResults[[#All],[Pick in Round]],MATCH(Table5[[#This Row],[PID]],DraftResults[[#All],[Player ID]],0)),"")</f>
        <v/>
      </c>
      <c r="AB1231" s="50" t="str">
        <f>IFERROR(INDEX(DraftResults[[#All],[Team Name]],MATCH(Table5[[#This Row],[PID]],DraftResults[[#All],[Player ID]],0)),"")</f>
        <v/>
      </c>
      <c r="AC1231" s="50" t="str">
        <f>IF(Table5[[#This Row],[Ovr]]="","",IF(Table5[[#This Row],[cmbList]]="","",Table5[[#This Row],[cmbList]]-Table5[[#This Row],[Ovr]]))</f>
        <v/>
      </c>
      <c r="AD1231" s="54" t="str">
        <f>IF(ISERROR(VLOOKUP($AB1231&amp;"-"&amp;$E1231&amp;" "&amp;F1231,Bonuses!$B$1:$G$1006,4,FALSE)),"",INT(VLOOKUP($AB1231&amp;"-"&amp;$E1231&amp;" "&amp;$F1231,Bonuses!$B$1:$G$1006,4,FALSE)))</f>
        <v/>
      </c>
      <c r="AE12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2" spans="1:31" s="7" customFormat="1" x14ac:dyDescent="0.25">
      <c r="A1232" s="50">
        <v>9353</v>
      </c>
      <c r="B1232" s="50">
        <f>COUNTIF(Table5[PID],A1232)</f>
        <v>1</v>
      </c>
      <c r="C1232" s="50" t="str">
        <f>IF(COUNTIF(Table3[[#All],[PID]],A1232)&gt;0,"P","B")</f>
        <v>B</v>
      </c>
      <c r="D1232" s="59" t="str">
        <f>IF($C1232="B",INDEX(Batters[[#All],[POS]],MATCH(Table5[[#This Row],[PID]],Batters[[#All],[PID]],0)),INDEX(Table3[[#All],[POS]],MATCH(Table5[[#This Row],[PID]],Table3[[#All],[PID]],0)))</f>
        <v>C</v>
      </c>
      <c r="E1232" s="52" t="str">
        <f>IF($C1232="B",INDEX(Batters[[#All],[First]],MATCH(Table5[[#This Row],[PID]],Batters[[#All],[PID]],0)),INDEX(Table3[[#All],[First]],MATCH(Table5[[#This Row],[PID]],Table3[[#All],[PID]],0)))</f>
        <v>António</v>
      </c>
      <c r="F1232" s="50" t="str">
        <f>IF($C1232="B",INDEX(Batters[[#All],[Last]],MATCH(A1232,Batters[[#All],[PID]],0)),INDEX(Table3[[#All],[Last]],MATCH(A1232,Table3[[#All],[PID]],0)))</f>
        <v>Solís</v>
      </c>
      <c r="G1232" s="56">
        <f>IF($C1232="B",INDEX(Batters[[#All],[Age]],MATCH(Table5[[#This Row],[PID]],Batters[[#All],[PID]],0)),INDEX(Table3[[#All],[Age]],MATCH(Table5[[#This Row],[PID]],Table3[[#All],[PID]],0)))</f>
        <v>22</v>
      </c>
      <c r="H1232" s="52" t="str">
        <f>IF($C1232="B",INDEX(Batters[[#All],[B]],MATCH(Table5[[#This Row],[PID]],Batters[[#All],[PID]],0)),INDEX(Table3[[#All],[B]],MATCH(Table5[[#This Row],[PID]],Table3[[#All],[PID]],0)))</f>
        <v>R</v>
      </c>
      <c r="I1232" s="52" t="str">
        <f>IF($C1232="B",INDEX(Batters[[#All],[T]],MATCH(Table5[[#This Row],[PID]],Batters[[#All],[PID]],0)),INDEX(Table3[[#All],[T]],MATCH(Table5[[#This Row],[PID]],Table3[[#All],[PID]],0)))</f>
        <v>R</v>
      </c>
      <c r="J1232" s="52" t="str">
        <f>IF($C1232="B",INDEX(Batters[[#All],[WE]],MATCH(Table5[[#This Row],[PID]],Batters[[#All],[PID]],0)),INDEX(Table3[[#All],[WE]],MATCH(Table5[[#This Row],[PID]],Table3[[#All],[PID]],0)))</f>
        <v>Low</v>
      </c>
      <c r="K1232" s="52" t="str">
        <f>IF($C1232="B",INDEX(Batters[[#All],[INT]],MATCH(Table5[[#This Row],[PID]],Batters[[#All],[PID]],0)),INDEX(Table3[[#All],[INT]],MATCH(Table5[[#This Row],[PID]],Table3[[#All],[PID]],0)))</f>
        <v>Low</v>
      </c>
      <c r="L1232" s="60">
        <f>IF($C1232="B",INDEX(Batters[[#All],[CON P]],MATCH(Table5[[#This Row],[PID]],Batters[[#All],[PID]],0)),INDEX(Table3[[#All],[STU P]],MATCH(Table5[[#This Row],[PID]],Table3[[#All],[PID]],0)))</f>
        <v>3</v>
      </c>
      <c r="M1232" s="56">
        <f>IF($C1232="B",INDEX(Batters[[#All],[GAP P]],MATCH(Table5[[#This Row],[PID]],Batters[[#All],[PID]],0)),INDEX(Table3[[#All],[MOV P]],MATCH(Table5[[#This Row],[PID]],Table3[[#All],[PID]],0)))</f>
        <v>6</v>
      </c>
      <c r="N1232" s="56">
        <f>IF($C1232="B",INDEX(Batters[[#All],[POW P]],MATCH(Table5[[#This Row],[PID]],Batters[[#All],[PID]],0)),INDEX(Table3[[#All],[CON P]],MATCH(Table5[[#This Row],[PID]],Table3[[#All],[PID]],0)))</f>
        <v>4</v>
      </c>
      <c r="O1232" s="56">
        <f>IF($C1232="B",INDEX(Batters[[#All],[EYE P]],MATCH(Table5[[#This Row],[PID]],Batters[[#All],[PID]],0)),INDEX(Table3[[#All],[VELO]],MATCH(Table5[[#This Row],[PID]],Table3[[#All],[PID]],0)))</f>
        <v>6</v>
      </c>
      <c r="P1232" s="56">
        <f>IF($C1232="B",INDEX(Batters[[#All],[K P]],MATCH(Table5[[#This Row],[PID]],Batters[[#All],[PID]],0)),INDEX(Table3[[#All],[STM]],MATCH(Table5[[#This Row],[PID]],Table3[[#All],[PID]],0)))</f>
        <v>2</v>
      </c>
      <c r="Q1232" s="61">
        <f>IF($C1232="B",INDEX(Batters[[#All],[Tot]],MATCH(Table5[[#This Row],[PID]],Batters[[#All],[PID]],0)),INDEX(Table3[[#All],[Tot]],MATCH(Table5[[#This Row],[PID]],Table3[[#All],[PID]],0)))</f>
        <v>38.891098316044491</v>
      </c>
      <c r="R1232" s="52">
        <f>IF($C1232="B",INDEX(Batters[[#All],[zScore]],MATCH(Table5[[#This Row],[PID]],Batters[[#All],[PID]],0)),INDEX(Table3[[#All],[zScore]],MATCH(Table5[[#This Row],[PID]],Table3[[#All],[PID]],0)))</f>
        <v>-1.1619299644193966</v>
      </c>
      <c r="S1232" s="58" t="str">
        <f>IF($C1232="B",INDEX(Batters[[#All],[DEM]],MATCH(Table5[[#This Row],[PID]],Batters[[#All],[PID]],0)),INDEX(Table3[[#All],[DEM]],MATCH(Table5[[#This Row],[PID]],Table3[[#All],[PID]],0)))</f>
        <v>-</v>
      </c>
      <c r="T1232" s="62">
        <f>IF($C1232="B",INDEX(Batters[[#All],[Rnk]],MATCH(Table5[[#This Row],[PID]],Batters[[#All],[PID]],0)),INDEX(Table3[[#All],[Rnk]],MATCH(Table5[[#This Row],[PID]],Table3[[#All],[PID]],0)))</f>
        <v>463</v>
      </c>
      <c r="U1232" s="68">
        <f>IF($C1232="B",VLOOKUP($A1232,Bat!$A$4:$BA$1621,47,FALSE),VLOOKUP($A1232,Pit!$A$4:$BF$1557,56,FALSE))</f>
        <v>0</v>
      </c>
      <c r="V1232" s="50">
        <f>IF($C1232="B",VLOOKUP($A1232,Bat!$A$4:$BA$1621,48,FALSE),VLOOKUP($A1232,Pit!$A$4:$BF$1557,57,FALSE))</f>
        <v>0</v>
      </c>
      <c r="W1232" s="50">
        <f>Table5[[#This Row],[posRnk]]+Table5[[#This Row],[zRnk]]+IF($W$3&lt;&gt;Table5[[#This Row],[Type]],50,0)</f>
        <v>1712</v>
      </c>
      <c r="X1232" s="51">
        <f>RANK(Table5[[#This Row],[zScore]],Table5[[#All],[zScore]])</f>
        <v>1199</v>
      </c>
      <c r="Y1232" s="50" t="str">
        <f>IFERROR(INDEX(DraftResults[[#All],[OVR]],MATCH(Table5[[#This Row],[PID]],DraftResults[[#All],[Player ID]],0)),"")</f>
        <v/>
      </c>
      <c r="Z12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2" s="50" t="str">
        <f>IFERROR(INDEX(DraftResults[[#All],[Pick in Round]],MATCH(Table5[[#This Row],[PID]],DraftResults[[#All],[Player ID]],0)),"")</f>
        <v/>
      </c>
      <c r="AB1232" s="50" t="str">
        <f>IFERROR(INDEX(DraftResults[[#All],[Team Name]],MATCH(Table5[[#This Row],[PID]],DraftResults[[#All],[Player ID]],0)),"")</f>
        <v/>
      </c>
      <c r="AC1232" s="50" t="str">
        <f>IF(Table5[[#This Row],[Ovr]]="","",IF(Table5[[#This Row],[cmbList]]="","",Table5[[#This Row],[cmbList]]-Table5[[#This Row],[Ovr]]))</f>
        <v/>
      </c>
      <c r="AD1232" s="54" t="str">
        <f>IF(ISERROR(VLOOKUP($AB1232&amp;"-"&amp;$E1232&amp;" "&amp;F1232,Bonuses!$B$1:$G$1006,4,FALSE)),"",INT(VLOOKUP($AB1232&amp;"-"&amp;$E1232&amp;" "&amp;$F1232,Bonuses!$B$1:$G$1006,4,FALSE)))</f>
        <v/>
      </c>
      <c r="AE12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3" spans="1:31" s="7" customFormat="1" x14ac:dyDescent="0.25">
      <c r="A1233" s="50">
        <v>16194</v>
      </c>
      <c r="B1233" s="50">
        <f>COUNTIF(Table5[PID],A1233)</f>
        <v>1</v>
      </c>
      <c r="C1233" s="50" t="str">
        <f>IF(COUNTIF(Table3[[#All],[PID]],A1233)&gt;0,"P","B")</f>
        <v>P</v>
      </c>
      <c r="D1233" s="59" t="str">
        <f>IF($C1233="B",INDEX(Batters[[#All],[POS]],MATCH(Table5[[#This Row],[PID]],Batters[[#All],[PID]],0)),INDEX(Table3[[#All],[POS]],MATCH(Table5[[#This Row],[PID]],Table3[[#All],[PID]],0)))</f>
        <v>RP</v>
      </c>
      <c r="E1233" s="52" t="str">
        <f>IF($C1233="B",INDEX(Batters[[#All],[First]],MATCH(Table5[[#This Row],[PID]],Batters[[#All],[PID]],0)),INDEX(Table3[[#All],[First]],MATCH(Table5[[#This Row],[PID]],Table3[[#All],[PID]],0)))</f>
        <v>Masami</v>
      </c>
      <c r="F1233" s="50" t="str">
        <f>IF($C1233="B",INDEX(Batters[[#All],[Last]],MATCH(A1233,Batters[[#All],[PID]],0)),INDEX(Table3[[#All],[Last]],MATCH(A1233,Table3[[#All],[PID]],0)))</f>
        <v>Taniguchi</v>
      </c>
      <c r="G1233" s="56">
        <f>IF($C1233="B",INDEX(Batters[[#All],[Age]],MATCH(Table5[[#This Row],[PID]],Batters[[#All],[PID]],0)),INDEX(Table3[[#All],[Age]],MATCH(Table5[[#This Row],[PID]],Table3[[#All],[PID]],0)))</f>
        <v>21</v>
      </c>
      <c r="H1233" s="52" t="str">
        <f>IF($C1233="B",INDEX(Batters[[#All],[B]],MATCH(Table5[[#This Row],[PID]],Batters[[#All],[PID]],0)),INDEX(Table3[[#All],[B]],MATCH(Table5[[#This Row],[PID]],Table3[[#All],[PID]],0)))</f>
        <v>L</v>
      </c>
      <c r="I1233" s="52" t="str">
        <f>IF($C1233="B",INDEX(Batters[[#All],[T]],MATCH(Table5[[#This Row],[PID]],Batters[[#All],[PID]],0)),INDEX(Table3[[#All],[T]],MATCH(Table5[[#This Row],[PID]],Table3[[#All],[PID]],0)))</f>
        <v>L</v>
      </c>
      <c r="J1233" s="52" t="str">
        <f>IF($C1233="B",INDEX(Batters[[#All],[WE]],MATCH(Table5[[#This Row],[PID]],Batters[[#All],[PID]],0)),INDEX(Table3[[#All],[WE]],MATCH(Table5[[#This Row],[PID]],Table3[[#All],[PID]],0)))</f>
        <v>High</v>
      </c>
      <c r="K1233" s="52" t="str">
        <f>IF($C1233="B",INDEX(Batters[[#All],[INT]],MATCH(Table5[[#This Row],[PID]],Batters[[#All],[PID]],0)),INDEX(Table3[[#All],[INT]],MATCH(Table5[[#This Row],[PID]],Table3[[#All],[PID]],0)))</f>
        <v>High</v>
      </c>
      <c r="L1233" s="60">
        <f>IF($C1233="B",INDEX(Batters[[#All],[CON P]],MATCH(Table5[[#This Row],[PID]],Batters[[#All],[PID]],0)),INDEX(Table3[[#All],[STU P]],MATCH(Table5[[#This Row],[PID]],Table3[[#All],[PID]],0)))</f>
        <v>3</v>
      </c>
      <c r="M1233" s="56">
        <f>IF($C1233="B",INDEX(Batters[[#All],[GAP P]],MATCH(Table5[[#This Row],[PID]],Batters[[#All],[PID]],0)),INDEX(Table3[[#All],[MOV P]],MATCH(Table5[[#This Row],[PID]],Table3[[#All],[PID]],0)))</f>
        <v>2</v>
      </c>
      <c r="N1233" s="56">
        <f>IF($C1233="B",INDEX(Batters[[#All],[POW P]],MATCH(Table5[[#This Row],[PID]],Batters[[#All],[PID]],0)),INDEX(Table3[[#All],[CON P]],MATCH(Table5[[#This Row],[PID]],Table3[[#All],[PID]],0)))</f>
        <v>2</v>
      </c>
      <c r="O1233" s="56" t="str">
        <f>IF($C1233="B",INDEX(Batters[[#All],[EYE P]],MATCH(Table5[[#This Row],[PID]],Batters[[#All],[PID]],0)),INDEX(Table3[[#All],[VELO]],MATCH(Table5[[#This Row],[PID]],Table3[[#All],[PID]],0)))</f>
        <v>86-88 Mph</v>
      </c>
      <c r="P1233" s="56">
        <f>IF($C1233="B",INDEX(Batters[[#All],[K P]],MATCH(Table5[[#This Row],[PID]],Batters[[#All],[PID]],0)),INDEX(Table3[[#All],[STM]],MATCH(Table5[[#This Row],[PID]],Table3[[#All],[PID]],0)))</f>
        <v>4</v>
      </c>
      <c r="Q1233" s="61">
        <f>IF($C1233="B",INDEX(Batters[[#All],[Tot]],MATCH(Table5[[#This Row],[PID]],Batters[[#All],[PID]],0)),INDEX(Table3[[#All],[Tot]],MATCH(Table5[[#This Row],[PID]],Table3[[#All],[PID]],0)))</f>
        <v>20.710449148230115</v>
      </c>
      <c r="R1233" s="52">
        <f>IF($C1233="B",INDEX(Batters[[#All],[zScore]],MATCH(Table5[[#This Row],[PID]],Batters[[#All],[PID]],0)),INDEX(Table3[[#All],[zScore]],MATCH(Table5[[#This Row],[PID]],Table3[[#All],[PID]],0)))</f>
        <v>-1.1627944756939257</v>
      </c>
      <c r="S1233" s="58" t="str">
        <f>IF($C1233="B",INDEX(Batters[[#All],[DEM]],MATCH(Table5[[#This Row],[PID]],Batters[[#All],[PID]],0)),INDEX(Table3[[#All],[DEM]],MATCH(Table5[[#This Row],[PID]],Table3[[#All],[PID]],0)))</f>
        <v>$20k</v>
      </c>
      <c r="T1233" s="62">
        <f>IF($C1233="B",INDEX(Batters[[#All],[Rnk]],MATCH(Table5[[#This Row],[PID]],Batters[[#All],[PID]],0)),INDEX(Table3[[#All],[Rnk]],MATCH(Table5[[#This Row],[PID]],Table3[[#All],[PID]],0)))</f>
        <v>736</v>
      </c>
      <c r="U1233" s="68">
        <f>IF($C1233="B",VLOOKUP($A1233,Bat!$A$4:$BA$1621,47,FALSE),VLOOKUP($A1233,Pit!$A$4:$BF$1557,56,FALSE))</f>
        <v>0</v>
      </c>
      <c r="V1233" s="50">
        <f>IF($C1233="B",VLOOKUP($A1233,Bat!$A$4:$BA$1621,48,FALSE),VLOOKUP($A1233,Pit!$A$4:$BF$1557,57,FALSE))</f>
        <v>0</v>
      </c>
      <c r="W1233" s="50">
        <f>Table5[[#This Row],[posRnk]]+Table5[[#This Row],[zRnk]]+IF($W$3&lt;&gt;Table5[[#This Row],[Type]],50,0)</f>
        <v>1986</v>
      </c>
      <c r="X1233" s="51">
        <f>RANK(Table5[[#This Row],[zScore]],Table5[[#All],[zScore]])</f>
        <v>1200</v>
      </c>
      <c r="Y1233" s="50" t="str">
        <f>IFERROR(INDEX(DraftResults[[#All],[OVR]],MATCH(Table5[[#This Row],[PID]],DraftResults[[#All],[Player ID]],0)),"")</f>
        <v/>
      </c>
      <c r="Z12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3" s="50" t="str">
        <f>IFERROR(INDEX(DraftResults[[#All],[Pick in Round]],MATCH(Table5[[#This Row],[PID]],DraftResults[[#All],[Player ID]],0)),"")</f>
        <v/>
      </c>
      <c r="AB1233" s="50" t="str">
        <f>IFERROR(INDEX(DraftResults[[#All],[Team Name]],MATCH(Table5[[#This Row],[PID]],DraftResults[[#All],[Player ID]],0)),"")</f>
        <v/>
      </c>
      <c r="AC1233" s="50" t="str">
        <f>IF(Table5[[#This Row],[Ovr]]="","",IF(Table5[[#This Row],[cmbList]]="","",Table5[[#This Row],[cmbList]]-Table5[[#This Row],[Ovr]]))</f>
        <v/>
      </c>
      <c r="AD1233" s="54" t="str">
        <f>IF(ISERROR(VLOOKUP($AB1233&amp;"-"&amp;$E1233&amp;" "&amp;F1233,Bonuses!$B$1:$G$1006,4,FALSE)),"",INT(VLOOKUP($AB1233&amp;"-"&amp;$E1233&amp;" "&amp;$F1233,Bonuses!$B$1:$G$1006,4,FALSE)))</f>
        <v/>
      </c>
      <c r="AE12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4" spans="1:31" s="7" customFormat="1" x14ac:dyDescent="0.25">
      <c r="A1234" s="50">
        <v>18126</v>
      </c>
      <c r="B1234" s="50">
        <f>COUNTIF(Table5[PID],A1234)</f>
        <v>1</v>
      </c>
      <c r="C1234" s="50" t="str">
        <f>IF(COUNTIF(Table3[[#All],[PID]],A1234)&gt;0,"P","B")</f>
        <v>B</v>
      </c>
      <c r="D1234" s="59" t="str">
        <f>IF($C1234="B",INDEX(Batters[[#All],[POS]],MATCH(Table5[[#This Row],[PID]],Batters[[#All],[PID]],0)),INDEX(Table3[[#All],[POS]],MATCH(Table5[[#This Row],[PID]],Table3[[#All],[PID]],0)))</f>
        <v>LF</v>
      </c>
      <c r="E1234" s="52" t="str">
        <f>IF($C1234="B",INDEX(Batters[[#All],[First]],MATCH(Table5[[#This Row],[PID]],Batters[[#All],[PID]],0)),INDEX(Table3[[#All],[First]],MATCH(Table5[[#This Row],[PID]],Table3[[#All],[PID]],0)))</f>
        <v>Alan</v>
      </c>
      <c r="F1234" s="50" t="str">
        <f>IF($C1234="B",INDEX(Batters[[#All],[Last]],MATCH(A1234,Batters[[#All],[PID]],0)),INDEX(Table3[[#All],[Last]],MATCH(A1234,Table3[[#All],[PID]],0)))</f>
        <v>Chapman</v>
      </c>
      <c r="G1234" s="56">
        <f>IF($C1234="B",INDEX(Batters[[#All],[Age]],MATCH(Table5[[#This Row],[PID]],Batters[[#All],[PID]],0)),INDEX(Table3[[#All],[Age]],MATCH(Table5[[#This Row],[PID]],Table3[[#All],[PID]],0)))</f>
        <v>21</v>
      </c>
      <c r="H1234" s="52" t="str">
        <f>IF($C1234="B",INDEX(Batters[[#All],[B]],MATCH(Table5[[#This Row],[PID]],Batters[[#All],[PID]],0)),INDEX(Table3[[#All],[B]],MATCH(Table5[[#This Row],[PID]],Table3[[#All],[PID]],0)))</f>
        <v>R</v>
      </c>
      <c r="I1234" s="52" t="str">
        <f>IF($C1234="B",INDEX(Batters[[#All],[T]],MATCH(Table5[[#This Row],[PID]],Batters[[#All],[PID]],0)),INDEX(Table3[[#All],[T]],MATCH(Table5[[#This Row],[PID]],Table3[[#All],[PID]],0)))</f>
        <v>L</v>
      </c>
      <c r="J1234" s="52" t="str">
        <f>IF($C1234="B",INDEX(Batters[[#All],[WE]],MATCH(Table5[[#This Row],[PID]],Batters[[#All],[PID]],0)),INDEX(Table3[[#All],[WE]],MATCH(Table5[[#This Row],[PID]],Table3[[#All],[PID]],0)))</f>
        <v>Low</v>
      </c>
      <c r="K1234" s="52" t="str">
        <f>IF($C1234="B",INDEX(Batters[[#All],[INT]],MATCH(Table5[[#This Row],[PID]],Batters[[#All],[PID]],0)),INDEX(Table3[[#All],[INT]],MATCH(Table5[[#This Row],[PID]],Table3[[#All],[PID]],0)))</f>
        <v>Normal</v>
      </c>
      <c r="L1234" s="60">
        <f>IF($C1234="B",INDEX(Batters[[#All],[CON P]],MATCH(Table5[[#This Row],[PID]],Batters[[#All],[PID]],0)),INDEX(Table3[[#All],[STU P]],MATCH(Table5[[#This Row],[PID]],Table3[[#All],[PID]],0)))</f>
        <v>3</v>
      </c>
      <c r="M1234" s="56">
        <f>IF($C1234="B",INDEX(Batters[[#All],[GAP P]],MATCH(Table5[[#This Row],[PID]],Batters[[#All],[PID]],0)),INDEX(Table3[[#All],[MOV P]],MATCH(Table5[[#This Row],[PID]],Table3[[#All],[PID]],0)))</f>
        <v>4</v>
      </c>
      <c r="N1234" s="56">
        <f>IF($C1234="B",INDEX(Batters[[#All],[POW P]],MATCH(Table5[[#This Row],[PID]],Batters[[#All],[PID]],0)),INDEX(Table3[[#All],[CON P]],MATCH(Table5[[#This Row],[PID]],Table3[[#All],[PID]],0)))</f>
        <v>6</v>
      </c>
      <c r="O1234" s="56">
        <f>IF($C1234="B",INDEX(Batters[[#All],[EYE P]],MATCH(Table5[[#This Row],[PID]],Batters[[#All],[PID]],0)),INDEX(Table3[[#All],[VELO]],MATCH(Table5[[#This Row],[PID]],Table3[[#All],[PID]],0)))</f>
        <v>5</v>
      </c>
      <c r="P1234" s="56">
        <f>IF($C1234="B",INDEX(Batters[[#All],[K P]],MATCH(Table5[[#This Row],[PID]],Batters[[#All],[PID]],0)),INDEX(Table3[[#All],[STM]],MATCH(Table5[[#This Row],[PID]],Table3[[#All],[PID]],0)))</f>
        <v>2</v>
      </c>
      <c r="Q1234" s="61">
        <f>IF($C1234="B",INDEX(Batters[[#All],[Tot]],MATCH(Table5[[#This Row],[PID]],Batters[[#All],[PID]],0)),INDEX(Table3[[#All],[Tot]],MATCH(Table5[[#This Row],[PID]],Table3[[#All],[PID]],0)))</f>
        <v>38.876851668093835</v>
      </c>
      <c r="R1234" s="52">
        <f>IF($C1234="B",INDEX(Batters[[#All],[zScore]],MATCH(Table5[[#This Row],[PID]],Batters[[#All],[PID]],0)),INDEX(Table3[[#All],[zScore]],MATCH(Table5[[#This Row],[PID]],Table3[[#All],[PID]],0)))</f>
        <v>-1.1650885425684603</v>
      </c>
      <c r="S1234" s="58" t="str">
        <f>IF($C1234="B",INDEX(Batters[[#All],[DEM]],MATCH(Table5[[#This Row],[PID]],Batters[[#All],[PID]],0)),INDEX(Table3[[#All],[DEM]],MATCH(Table5[[#This Row],[PID]],Table3[[#All],[PID]],0)))</f>
        <v>-</v>
      </c>
      <c r="T1234" s="62">
        <f>IF($C1234="B",INDEX(Batters[[#All],[Rnk]],MATCH(Table5[[#This Row],[PID]],Batters[[#All],[PID]],0)),INDEX(Table3[[#All],[Rnk]],MATCH(Table5[[#This Row],[PID]],Table3[[#All],[PID]],0)))</f>
        <v>464</v>
      </c>
      <c r="U1234" s="68">
        <f>IF($C1234="B",VLOOKUP($A1234,Bat!$A$4:$BA$1621,47,FALSE),VLOOKUP($A1234,Pit!$A$4:$BF$1557,56,FALSE))</f>
        <v>0</v>
      </c>
      <c r="V1234" s="50">
        <f>IF($C1234="B",VLOOKUP($A1234,Bat!$A$4:$BA$1621,48,FALSE),VLOOKUP($A1234,Pit!$A$4:$BF$1557,57,FALSE))</f>
        <v>0</v>
      </c>
      <c r="W1234" s="50">
        <f>Table5[[#This Row],[posRnk]]+Table5[[#This Row],[zRnk]]+IF($W$3&lt;&gt;Table5[[#This Row],[Type]],50,0)</f>
        <v>1715</v>
      </c>
      <c r="X1234" s="51">
        <f>RANK(Table5[[#This Row],[zScore]],Table5[[#All],[zScore]])</f>
        <v>1201</v>
      </c>
      <c r="Y1234" s="50" t="str">
        <f>IFERROR(INDEX(DraftResults[[#All],[OVR]],MATCH(Table5[[#This Row],[PID]],DraftResults[[#All],[Player ID]],0)),"")</f>
        <v/>
      </c>
      <c r="Z12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4" s="50" t="str">
        <f>IFERROR(INDEX(DraftResults[[#All],[Pick in Round]],MATCH(Table5[[#This Row],[PID]],DraftResults[[#All],[Player ID]],0)),"")</f>
        <v/>
      </c>
      <c r="AB1234" s="50" t="str">
        <f>IFERROR(INDEX(DraftResults[[#All],[Team Name]],MATCH(Table5[[#This Row],[PID]],DraftResults[[#All],[Player ID]],0)),"")</f>
        <v/>
      </c>
      <c r="AC1234" s="50" t="str">
        <f>IF(Table5[[#This Row],[Ovr]]="","",IF(Table5[[#This Row],[cmbList]]="","",Table5[[#This Row],[cmbList]]-Table5[[#This Row],[Ovr]]))</f>
        <v/>
      </c>
      <c r="AD1234" s="54" t="str">
        <f>IF(ISERROR(VLOOKUP($AB1234&amp;"-"&amp;$E1234&amp;" "&amp;F1234,Bonuses!$B$1:$G$1006,4,FALSE)),"",INT(VLOOKUP($AB1234&amp;"-"&amp;$E1234&amp;" "&amp;$F1234,Bonuses!$B$1:$G$1006,4,FALSE)))</f>
        <v/>
      </c>
      <c r="AE12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5" spans="1:31" x14ac:dyDescent="0.25">
      <c r="A1235" s="50">
        <v>12318</v>
      </c>
      <c r="B1235" s="50">
        <f>COUNTIF(Table5[PID],A1235)</f>
        <v>1</v>
      </c>
      <c r="C1235" s="50" t="str">
        <f>IF(COUNTIF(Table3[[#All],[PID]],A1235)&gt;0,"P","B")</f>
        <v>P</v>
      </c>
      <c r="D1235" s="59" t="str">
        <f>IF($C1235="B",INDEX(Batters[[#All],[POS]],MATCH(Table5[[#This Row],[PID]],Batters[[#All],[PID]],0)),INDEX(Table3[[#All],[POS]],MATCH(Table5[[#This Row],[PID]],Table3[[#All],[PID]],0)))</f>
        <v>RP</v>
      </c>
      <c r="E1235" s="52" t="str">
        <f>IF($C1235="B",INDEX(Batters[[#All],[First]],MATCH(Table5[[#This Row],[PID]],Batters[[#All],[PID]],0)),INDEX(Table3[[#All],[First]],MATCH(Table5[[#This Row],[PID]],Table3[[#All],[PID]],0)))</f>
        <v>Juichi</v>
      </c>
      <c r="F1235" s="50" t="str">
        <f>IF($C1235="B",INDEX(Batters[[#All],[Last]],MATCH(A1235,Batters[[#All],[PID]],0)),INDEX(Table3[[#All],[Last]],MATCH(A1235,Table3[[#All],[PID]],0)))</f>
        <v>Suzuki</v>
      </c>
      <c r="G1235" s="56">
        <f>IF($C1235="B",INDEX(Batters[[#All],[Age]],MATCH(Table5[[#This Row],[PID]],Batters[[#All],[PID]],0)),INDEX(Table3[[#All],[Age]],MATCH(Table5[[#This Row],[PID]],Table3[[#All],[PID]],0)))</f>
        <v>21</v>
      </c>
      <c r="H1235" s="52" t="str">
        <f>IF($C1235="B",INDEX(Batters[[#All],[B]],MATCH(Table5[[#This Row],[PID]],Batters[[#All],[PID]],0)),INDEX(Table3[[#All],[B]],MATCH(Table5[[#This Row],[PID]],Table3[[#All],[PID]],0)))</f>
        <v>S</v>
      </c>
      <c r="I1235" s="70" t="str">
        <f>IF($C1235="B",INDEX(Batters[[#All],[T]],MATCH(Table5[[#This Row],[PID]],Batters[[#All],[PID]],0)),INDEX(Table3[[#All],[T]],MATCH(Table5[[#This Row],[PID]],Table3[[#All],[PID]],0)))</f>
        <v>L</v>
      </c>
      <c r="J1235" s="52" t="str">
        <f>IF($C1235="B",INDEX(Batters[[#All],[WE]],MATCH(Table5[[#This Row],[PID]],Batters[[#All],[PID]],0)),INDEX(Table3[[#All],[WE]],MATCH(Table5[[#This Row],[PID]],Table3[[#All],[PID]],0)))</f>
        <v>Normal</v>
      </c>
      <c r="K1235" s="52" t="str">
        <f>IF($C1235="B",INDEX(Batters[[#All],[INT]],MATCH(Table5[[#This Row],[PID]],Batters[[#All],[PID]],0)),INDEX(Table3[[#All],[INT]],MATCH(Table5[[#This Row],[PID]],Table3[[#All],[PID]],0)))</f>
        <v>Normal</v>
      </c>
      <c r="L1235" s="60">
        <f>IF($C1235="B",INDEX(Batters[[#All],[CON P]],MATCH(Table5[[#This Row],[PID]],Batters[[#All],[PID]],0)),INDEX(Table3[[#All],[STU P]],MATCH(Table5[[#This Row],[PID]],Table3[[#All],[PID]],0)))</f>
        <v>4</v>
      </c>
      <c r="M1235" s="56">
        <f>IF($C1235="B",INDEX(Batters[[#All],[GAP P]],MATCH(Table5[[#This Row],[PID]],Batters[[#All],[PID]],0)),INDEX(Table3[[#All],[MOV P]],MATCH(Table5[[#This Row],[PID]],Table3[[#All],[PID]],0)))</f>
        <v>1</v>
      </c>
      <c r="N1235" s="56">
        <f>IF($C1235="B",INDEX(Batters[[#All],[POW P]],MATCH(Table5[[#This Row],[PID]],Batters[[#All],[PID]],0)),INDEX(Table3[[#All],[CON P]],MATCH(Table5[[#This Row],[PID]],Table3[[#All],[PID]],0)))</f>
        <v>2</v>
      </c>
      <c r="O1235" s="56" t="str">
        <f>IF($C1235="B",INDEX(Batters[[#All],[EYE P]],MATCH(Table5[[#This Row],[PID]],Batters[[#All],[PID]],0)),INDEX(Table3[[#All],[VELO]],MATCH(Table5[[#This Row],[PID]],Table3[[#All],[PID]],0)))</f>
        <v>87-89 Mph</v>
      </c>
      <c r="P1235" s="56">
        <f>IF($C1235="B",INDEX(Batters[[#All],[K P]],MATCH(Table5[[#This Row],[PID]],Batters[[#All],[PID]],0)),INDEX(Table3[[#All],[STM]],MATCH(Table5[[#This Row],[PID]],Table3[[#All],[PID]],0)))</f>
        <v>8</v>
      </c>
      <c r="Q1235" s="61">
        <f>IF($C1235="B",INDEX(Batters[[#All],[Tot]],MATCH(Table5[[#This Row],[PID]],Batters[[#All],[PID]],0)),INDEX(Table3[[#All],[Tot]],MATCH(Table5[[#This Row],[PID]],Table3[[#All],[PID]],0)))</f>
        <v>20.656742464330399</v>
      </c>
      <c r="R1235" s="70">
        <f>IF($C1235="B",INDEX(Batters[[#All],[zScore]],MATCH(Table5[[#This Row],[PID]],Batters[[#All],[PID]],0)),INDEX(Table3[[#All],[zScore]],MATCH(Table5[[#This Row],[PID]],Table3[[#All],[PID]],0)))</f>
        <v>-1.1666808237513273</v>
      </c>
      <c r="S1235" s="79" t="str">
        <f>IF($C1235="B",INDEX(Batters[[#All],[DEM]],MATCH(Table5[[#This Row],[PID]],Batters[[#All],[PID]],0)),INDEX(Table3[[#All],[DEM]],MATCH(Table5[[#This Row],[PID]],Table3[[#All],[PID]],0)))</f>
        <v>-</v>
      </c>
      <c r="T1235" s="62">
        <f>IF($C1235="B",INDEX(Batters[[#All],[Rnk]],MATCH(Table5[[#This Row],[PID]],Batters[[#All],[PID]],0)),INDEX(Table3[[#All],[Rnk]],MATCH(Table5[[#This Row],[PID]],Table3[[#All],[PID]],0)))</f>
        <v>737</v>
      </c>
      <c r="U1235" s="68">
        <f>IF($C1235="B",VLOOKUP($A1235,Bat!$A$4:$BA$1621,47,FALSE),VLOOKUP($A1235,Pit!$A$4:$BF$1557,56,FALSE))</f>
        <v>0</v>
      </c>
      <c r="V1235" s="50">
        <f>IF($C1235="B",VLOOKUP($A1235,Bat!$A$4:$BA$1621,48,FALSE),VLOOKUP($A1235,Pit!$A$4:$BF$1557,57,FALSE))</f>
        <v>0</v>
      </c>
      <c r="W1235" s="50">
        <f>Table5[[#This Row],[posRnk]]+Table5[[#This Row],[zRnk]]+IF($W$3&lt;&gt;Table5[[#This Row],[Type]],50,0)</f>
        <v>1989</v>
      </c>
      <c r="X1235" s="51">
        <f>RANK(Table5[[#This Row],[zScore]],Table5[[#All],[zScore]])</f>
        <v>1202</v>
      </c>
      <c r="Y1235" s="50" t="str">
        <f>IFERROR(INDEX(DraftResults[[#All],[OVR]],MATCH(Table5[[#This Row],[PID]],DraftResults[[#All],[Player ID]],0)),"")</f>
        <v/>
      </c>
      <c r="Z12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5" s="50" t="str">
        <f>IFERROR(INDEX(DraftResults[[#All],[Pick in Round]],MATCH(Table5[[#This Row],[PID]],DraftResults[[#All],[Player ID]],0)),"")</f>
        <v/>
      </c>
      <c r="AB1235" s="50" t="str">
        <f>IFERROR(INDEX(DraftResults[[#All],[Team Name]],MATCH(Table5[[#This Row],[PID]],DraftResults[[#All],[Player ID]],0)),"")</f>
        <v/>
      </c>
      <c r="AC1235" s="50" t="str">
        <f>IF(Table5[[#This Row],[Ovr]]="","",IF(Table5[[#This Row],[cmbList]]="","",Table5[[#This Row],[cmbList]]-Table5[[#This Row],[Ovr]]))</f>
        <v/>
      </c>
      <c r="AD1235" s="54" t="str">
        <f>IF(ISERROR(VLOOKUP($AB1235&amp;"-"&amp;$E1235&amp;" "&amp;F1235,Bonuses!$B$1:$G$1006,4,FALSE)),"",INT(VLOOKUP($AB1235&amp;"-"&amp;$E1235&amp;" "&amp;$F1235,Bonuses!$B$1:$G$1006,4,FALSE)))</f>
        <v/>
      </c>
      <c r="AE12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6" spans="1:31" x14ac:dyDescent="0.25">
      <c r="A1236" s="50">
        <v>16945</v>
      </c>
      <c r="B1236" s="50">
        <f>COUNTIF(Table5[PID],A1236)</f>
        <v>1</v>
      </c>
      <c r="C1236" s="50" t="str">
        <f>IF(COUNTIF(Table3[[#All],[PID]],A1236)&gt;0,"P","B")</f>
        <v>P</v>
      </c>
      <c r="D1236" s="59" t="str">
        <f>IF($C1236="B",INDEX(Batters[[#All],[POS]],MATCH(Table5[[#This Row],[PID]],Batters[[#All],[PID]],0)),INDEX(Table3[[#All],[POS]],MATCH(Table5[[#This Row],[PID]],Table3[[#All],[PID]],0)))</f>
        <v>RP</v>
      </c>
      <c r="E1236" s="52" t="str">
        <f>IF($C1236="B",INDEX(Batters[[#All],[First]],MATCH(Table5[[#This Row],[PID]],Batters[[#All],[PID]],0)),INDEX(Table3[[#All],[First]],MATCH(Table5[[#This Row],[PID]],Table3[[#All],[PID]],0)))</f>
        <v>Wayne</v>
      </c>
      <c r="F1236" s="50" t="str">
        <f>IF($C1236="B",INDEX(Batters[[#All],[Last]],MATCH(A1236,Batters[[#All],[PID]],0)),INDEX(Table3[[#All],[Last]],MATCH(A1236,Table3[[#All],[PID]],0)))</f>
        <v>Johnson</v>
      </c>
      <c r="G1236" s="56">
        <f>IF($C1236="B",INDEX(Batters[[#All],[Age]],MATCH(Table5[[#This Row],[PID]],Batters[[#All],[PID]],0)),INDEX(Table3[[#All],[Age]],MATCH(Table5[[#This Row],[PID]],Table3[[#All],[PID]],0)))</f>
        <v>21</v>
      </c>
      <c r="H1236" s="52" t="str">
        <f>IF($C1236="B",INDEX(Batters[[#All],[B]],MATCH(Table5[[#This Row],[PID]],Batters[[#All],[PID]],0)),INDEX(Table3[[#All],[B]],MATCH(Table5[[#This Row],[PID]],Table3[[#All],[PID]],0)))</f>
        <v>R</v>
      </c>
      <c r="I1236" s="70" t="str">
        <f>IF($C1236="B",INDEX(Batters[[#All],[T]],MATCH(Table5[[#This Row],[PID]],Batters[[#All],[PID]],0)),INDEX(Table3[[#All],[T]],MATCH(Table5[[#This Row],[PID]],Table3[[#All],[PID]],0)))</f>
        <v>R</v>
      </c>
      <c r="J1236" s="52" t="str">
        <f>IF($C1236="B",INDEX(Batters[[#All],[WE]],MATCH(Table5[[#This Row],[PID]],Batters[[#All],[PID]],0)),INDEX(Table3[[#All],[WE]],MATCH(Table5[[#This Row],[PID]],Table3[[#All],[PID]],0)))</f>
        <v>Low</v>
      </c>
      <c r="K1236" s="52" t="str">
        <f>IF($C1236="B",INDEX(Batters[[#All],[INT]],MATCH(Table5[[#This Row],[PID]],Batters[[#All],[PID]],0)),INDEX(Table3[[#All],[INT]],MATCH(Table5[[#This Row],[PID]],Table3[[#All],[PID]],0)))</f>
        <v>Normal</v>
      </c>
      <c r="L1236" s="60">
        <f>IF($C1236="B",INDEX(Batters[[#All],[CON P]],MATCH(Table5[[#This Row],[PID]],Batters[[#All],[PID]],0)),INDEX(Table3[[#All],[STU P]],MATCH(Table5[[#This Row],[PID]],Table3[[#All],[PID]],0)))</f>
        <v>3</v>
      </c>
      <c r="M1236" s="56">
        <f>IF($C1236="B",INDEX(Batters[[#All],[GAP P]],MATCH(Table5[[#This Row],[PID]],Batters[[#All],[PID]],0)),INDEX(Table3[[#All],[MOV P]],MATCH(Table5[[#This Row],[PID]],Table3[[#All],[PID]],0)))</f>
        <v>1</v>
      </c>
      <c r="N1236" s="56">
        <f>IF($C1236="B",INDEX(Batters[[#All],[POW P]],MATCH(Table5[[#This Row],[PID]],Batters[[#All],[PID]],0)),INDEX(Table3[[#All],[CON P]],MATCH(Table5[[#This Row],[PID]],Table3[[#All],[PID]],0)))</f>
        <v>3</v>
      </c>
      <c r="O1236" s="56" t="str">
        <f>IF($C1236="B",INDEX(Batters[[#All],[EYE P]],MATCH(Table5[[#This Row],[PID]],Batters[[#All],[PID]],0)),INDEX(Table3[[#All],[VELO]],MATCH(Table5[[#This Row],[PID]],Table3[[#All],[PID]],0)))</f>
        <v>87-89 Mph</v>
      </c>
      <c r="P1236" s="56">
        <f>IF($C1236="B",INDEX(Batters[[#All],[K P]],MATCH(Table5[[#This Row],[PID]],Batters[[#All],[PID]],0)),INDEX(Table3[[#All],[STM]],MATCH(Table5[[#This Row],[PID]],Table3[[#All],[PID]],0)))</f>
        <v>6</v>
      </c>
      <c r="Q1236" s="61">
        <f>IF($C1236="B",INDEX(Batters[[#All],[Tot]],MATCH(Table5[[#This Row],[PID]],Batters[[#All],[PID]],0)),INDEX(Table3[[#All],[Tot]],MATCH(Table5[[#This Row],[PID]],Table3[[#All],[PID]],0)))</f>
        <v>20.687379304569127</v>
      </c>
      <c r="R1236" s="70">
        <f>IF($C1236="B",INDEX(Batters[[#All],[zScore]],MATCH(Table5[[#This Row],[PID]],Batters[[#All],[PID]],0)),INDEX(Table3[[#All],[zScore]],MATCH(Table5[[#This Row],[PID]],Table3[[#All],[PID]],0)))</f>
        <v>-1.1724681569848956</v>
      </c>
      <c r="S1236" s="79" t="str">
        <f>IF($C1236="B",INDEX(Batters[[#All],[DEM]],MATCH(Table5[[#This Row],[PID]],Batters[[#All],[PID]],0)),INDEX(Table3[[#All],[DEM]],MATCH(Table5[[#This Row],[PID]],Table3[[#All],[PID]],0)))</f>
        <v>$20k</v>
      </c>
      <c r="T1236" s="62">
        <f>IF($C1236="B",INDEX(Batters[[#All],[Rnk]],MATCH(Table5[[#This Row],[PID]],Batters[[#All],[PID]],0)),INDEX(Table3[[#All],[Rnk]],MATCH(Table5[[#This Row],[PID]],Table3[[#All],[PID]],0)))</f>
        <v>738</v>
      </c>
      <c r="U1236" s="68">
        <f>IF($C1236="B",VLOOKUP($A1236,Bat!$A$4:$BA$1621,47,FALSE),VLOOKUP($A1236,Pit!$A$4:$BF$1557,56,FALSE))</f>
        <v>0</v>
      </c>
      <c r="V1236" s="50">
        <f>IF($C1236="B",VLOOKUP($A1236,Bat!$A$4:$BA$1621,48,FALSE),VLOOKUP($A1236,Pit!$A$4:$BF$1557,57,FALSE))</f>
        <v>0</v>
      </c>
      <c r="W1236" s="50">
        <f>Table5[[#This Row],[posRnk]]+Table5[[#This Row],[zRnk]]+IF($W$3&lt;&gt;Table5[[#This Row],[Type]],50,0)</f>
        <v>1991</v>
      </c>
      <c r="X1236" s="51">
        <f>RANK(Table5[[#This Row],[zScore]],Table5[[#All],[zScore]])</f>
        <v>1203</v>
      </c>
      <c r="Y1236" s="50" t="str">
        <f>IFERROR(INDEX(DraftResults[[#All],[OVR]],MATCH(Table5[[#This Row],[PID]],DraftResults[[#All],[Player ID]],0)),"")</f>
        <v/>
      </c>
      <c r="Z12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6" s="50" t="str">
        <f>IFERROR(INDEX(DraftResults[[#All],[Pick in Round]],MATCH(Table5[[#This Row],[PID]],DraftResults[[#All],[Player ID]],0)),"")</f>
        <v/>
      </c>
      <c r="AB1236" s="50" t="str">
        <f>IFERROR(INDEX(DraftResults[[#All],[Team Name]],MATCH(Table5[[#This Row],[PID]],DraftResults[[#All],[Player ID]],0)),"")</f>
        <v/>
      </c>
      <c r="AC1236" s="50" t="str">
        <f>IF(Table5[[#This Row],[Ovr]]="","",IF(Table5[[#This Row],[cmbList]]="","",Table5[[#This Row],[cmbList]]-Table5[[#This Row],[Ovr]]))</f>
        <v/>
      </c>
      <c r="AD1236" s="54" t="str">
        <f>IF(ISERROR(VLOOKUP($AB1236&amp;"-"&amp;$E1236&amp;" "&amp;F1236,Bonuses!$B$1:$G$1006,4,FALSE)),"",INT(VLOOKUP($AB1236&amp;"-"&amp;$E1236&amp;" "&amp;$F1236,Bonuses!$B$1:$G$1006,4,FALSE)))</f>
        <v/>
      </c>
      <c r="AE12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7" spans="1:31" x14ac:dyDescent="0.25">
      <c r="A1237" s="50">
        <v>17818</v>
      </c>
      <c r="B1237" s="50">
        <f>COUNTIF(Table5[PID],A1237)</f>
        <v>1</v>
      </c>
      <c r="C1237" s="50" t="str">
        <f>IF(COUNTIF(Table3[[#All],[PID]],A1237)&gt;0,"P","B")</f>
        <v>P</v>
      </c>
      <c r="D1237" s="59" t="str">
        <f>IF($C1237="B",INDEX(Batters[[#All],[POS]],MATCH(Table5[[#This Row],[PID]],Batters[[#All],[PID]],0)),INDEX(Table3[[#All],[POS]],MATCH(Table5[[#This Row],[PID]],Table3[[#All],[PID]],0)))</f>
        <v>RP</v>
      </c>
      <c r="E1237" s="52" t="str">
        <f>IF($C1237="B",INDEX(Batters[[#All],[First]],MATCH(Table5[[#This Row],[PID]],Batters[[#All],[PID]],0)),INDEX(Table3[[#All],[First]],MATCH(Table5[[#This Row],[PID]],Table3[[#All],[PID]],0)))</f>
        <v>Seinosuke</v>
      </c>
      <c r="F1237" s="50" t="str">
        <f>IF($C1237="B",INDEX(Batters[[#All],[Last]],MATCH(A1237,Batters[[#All],[PID]],0)),INDEX(Table3[[#All],[Last]],MATCH(A1237,Table3[[#All],[PID]],0)))</f>
        <v>Ishida</v>
      </c>
      <c r="G1237" s="56">
        <f>IF($C1237="B",INDEX(Batters[[#All],[Age]],MATCH(Table5[[#This Row],[PID]],Batters[[#All],[PID]],0)),INDEX(Table3[[#All],[Age]],MATCH(Table5[[#This Row],[PID]],Table3[[#All],[PID]],0)))</f>
        <v>21</v>
      </c>
      <c r="H1237" s="52" t="str">
        <f>IF($C1237="B",INDEX(Batters[[#All],[B]],MATCH(Table5[[#This Row],[PID]],Batters[[#All],[PID]],0)),INDEX(Table3[[#All],[B]],MATCH(Table5[[#This Row],[PID]],Table3[[#All],[PID]],0)))</f>
        <v>L</v>
      </c>
      <c r="I1237" s="70" t="str">
        <f>IF($C1237="B",INDEX(Batters[[#All],[T]],MATCH(Table5[[#This Row],[PID]],Batters[[#All],[PID]],0)),INDEX(Table3[[#All],[T]],MATCH(Table5[[#This Row],[PID]],Table3[[#All],[PID]],0)))</f>
        <v>L</v>
      </c>
      <c r="J1237" s="52" t="str">
        <f>IF($C1237="B",INDEX(Batters[[#All],[WE]],MATCH(Table5[[#This Row],[PID]],Batters[[#All],[PID]],0)),INDEX(Table3[[#All],[WE]],MATCH(Table5[[#This Row],[PID]],Table3[[#All],[PID]],0)))</f>
        <v>Low</v>
      </c>
      <c r="K1237" s="52" t="str">
        <f>IF($C1237="B",INDEX(Batters[[#All],[INT]],MATCH(Table5[[#This Row],[PID]],Batters[[#All],[PID]],0)),INDEX(Table3[[#All],[INT]],MATCH(Table5[[#This Row],[PID]],Table3[[#All],[PID]],0)))</f>
        <v>Low</v>
      </c>
      <c r="L1237" s="60">
        <f>IF($C1237="B",INDEX(Batters[[#All],[CON P]],MATCH(Table5[[#This Row],[PID]],Batters[[#All],[PID]],0)),INDEX(Table3[[#All],[STU P]],MATCH(Table5[[#This Row],[PID]],Table3[[#All],[PID]],0)))</f>
        <v>4</v>
      </c>
      <c r="M1237" s="56">
        <f>IF($C1237="B",INDEX(Batters[[#All],[GAP P]],MATCH(Table5[[#This Row],[PID]],Batters[[#All],[PID]],0)),INDEX(Table3[[#All],[MOV P]],MATCH(Table5[[#This Row],[PID]],Table3[[#All],[PID]],0)))</f>
        <v>1</v>
      </c>
      <c r="N1237" s="56">
        <f>IF($C1237="B",INDEX(Batters[[#All],[POW P]],MATCH(Table5[[#This Row],[PID]],Batters[[#All],[PID]],0)),INDEX(Table3[[#All],[CON P]],MATCH(Table5[[#This Row],[PID]],Table3[[#All],[PID]],0)))</f>
        <v>3</v>
      </c>
      <c r="O1237" s="56" t="str">
        <f>IF($C1237="B",INDEX(Batters[[#All],[EYE P]],MATCH(Table5[[#This Row],[PID]],Batters[[#All],[PID]],0)),INDEX(Table3[[#All],[VELO]],MATCH(Table5[[#This Row],[PID]],Table3[[#All],[PID]],0)))</f>
        <v>90-92 Mph</v>
      </c>
      <c r="P1237" s="56">
        <f>IF($C1237="B",INDEX(Batters[[#All],[K P]],MATCH(Table5[[#This Row],[PID]],Batters[[#All],[PID]],0)),INDEX(Table3[[#All],[STM]],MATCH(Table5[[#This Row],[PID]],Table3[[#All],[PID]],0)))</f>
        <v>6</v>
      </c>
      <c r="Q1237" s="61">
        <f>IF($C1237="B",INDEX(Batters[[#All],[Tot]],MATCH(Table5[[#This Row],[PID]],Batters[[#All],[PID]],0)),INDEX(Table3[[#All],[Tot]],MATCH(Table5[[#This Row],[PID]],Table3[[#All],[PID]],0)))</f>
        <v>18.085544769817684</v>
      </c>
      <c r="R1237" s="70">
        <f>IF($C1237="B",INDEX(Batters[[#All],[zScore]],MATCH(Table5[[#This Row],[PID]],Batters[[#All],[PID]],0)),INDEX(Table3[[#All],[zScore]],MATCH(Table5[[#This Row],[PID]],Table3[[#All],[PID]],0)))</f>
        <v>-1.1832076267177383</v>
      </c>
      <c r="S1237" s="79" t="str">
        <f>IF($C1237="B",INDEX(Batters[[#All],[DEM]],MATCH(Table5[[#This Row],[PID]],Batters[[#All],[PID]],0)),INDEX(Table3[[#All],[DEM]],MATCH(Table5[[#This Row],[PID]],Table3[[#All],[PID]],0)))</f>
        <v>-</v>
      </c>
      <c r="T1237" s="62">
        <f>IF($C1237="B",INDEX(Batters[[#All],[Rnk]],MATCH(Table5[[#This Row],[PID]],Batters[[#All],[PID]],0)),INDEX(Table3[[#All],[Rnk]],MATCH(Table5[[#This Row],[PID]],Table3[[#All],[PID]],0)))</f>
        <v>739</v>
      </c>
      <c r="U1237" s="68">
        <f>IF($C1237="B",VLOOKUP($A1237,Bat!$A$4:$BA$1621,47,FALSE),VLOOKUP($A1237,Pit!$A$4:$BF$1557,56,FALSE))</f>
        <v>0</v>
      </c>
      <c r="V1237" s="50">
        <f>IF($C1237="B",VLOOKUP($A1237,Bat!$A$4:$BA$1621,48,FALSE),VLOOKUP($A1237,Pit!$A$4:$BF$1557,57,FALSE))</f>
        <v>0</v>
      </c>
      <c r="W1237" s="50">
        <f>Table5[[#This Row],[posRnk]]+Table5[[#This Row],[zRnk]]+IF($W$3&lt;&gt;Table5[[#This Row],[Type]],50,0)</f>
        <v>1993</v>
      </c>
      <c r="X1237" s="51">
        <f>RANK(Table5[[#This Row],[zScore]],Table5[[#All],[zScore]])</f>
        <v>1204</v>
      </c>
      <c r="Y1237" s="50" t="str">
        <f>IFERROR(INDEX(DraftResults[[#All],[OVR]],MATCH(Table5[[#This Row],[PID]],DraftResults[[#All],[Player ID]],0)),"")</f>
        <v/>
      </c>
      <c r="Z12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7" s="50" t="str">
        <f>IFERROR(INDEX(DraftResults[[#All],[Pick in Round]],MATCH(Table5[[#This Row],[PID]],DraftResults[[#All],[Player ID]],0)),"")</f>
        <v/>
      </c>
      <c r="AB1237" s="50" t="str">
        <f>IFERROR(INDEX(DraftResults[[#All],[Team Name]],MATCH(Table5[[#This Row],[PID]],DraftResults[[#All],[Player ID]],0)),"")</f>
        <v/>
      </c>
      <c r="AC1237" s="50" t="str">
        <f>IF(Table5[[#This Row],[Ovr]]="","",IF(Table5[[#This Row],[cmbList]]="","",Table5[[#This Row],[cmbList]]-Table5[[#This Row],[Ovr]]))</f>
        <v/>
      </c>
      <c r="AD1237" s="54" t="str">
        <f>IF(ISERROR(VLOOKUP($AB1237&amp;"-"&amp;$E1237&amp;" "&amp;F1237,Bonuses!$B$1:$G$1006,4,FALSE)),"",INT(VLOOKUP($AB1237&amp;"-"&amp;$E1237&amp;" "&amp;$F1237,Bonuses!$B$1:$G$1006,4,FALSE)))</f>
        <v/>
      </c>
      <c r="AE12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8" spans="1:31" x14ac:dyDescent="0.25">
      <c r="A1238" s="50">
        <v>9736</v>
      </c>
      <c r="B1238" s="50">
        <f>COUNTIF(Table5[PID],A1238)</f>
        <v>1</v>
      </c>
      <c r="C1238" s="50" t="str">
        <f>IF(COUNTIF(Table3[[#All],[PID]],A1238)&gt;0,"P","B")</f>
        <v>B</v>
      </c>
      <c r="D1238" s="59" t="str">
        <f>IF($C1238="B",INDEX(Batters[[#All],[POS]],MATCH(Table5[[#This Row],[PID]],Batters[[#All],[PID]],0)),INDEX(Table3[[#All],[POS]],MATCH(Table5[[#This Row],[PID]],Table3[[#All],[PID]],0)))</f>
        <v>C</v>
      </c>
      <c r="E1238" s="52" t="str">
        <f>IF($C1238="B",INDEX(Batters[[#All],[First]],MATCH(Table5[[#This Row],[PID]],Batters[[#All],[PID]],0)),INDEX(Table3[[#All],[First]],MATCH(Table5[[#This Row],[PID]],Table3[[#All],[PID]],0)))</f>
        <v>Travis</v>
      </c>
      <c r="F1238" s="50" t="str">
        <f>IF($C1238="B",INDEX(Batters[[#All],[Last]],MATCH(A1238,Batters[[#All],[PID]],0)),INDEX(Table3[[#All],[Last]],MATCH(A1238,Table3[[#All],[PID]],0)))</f>
        <v>Reynolds</v>
      </c>
      <c r="G1238" s="56">
        <f>IF($C1238="B",INDEX(Batters[[#All],[Age]],MATCH(Table5[[#This Row],[PID]],Batters[[#All],[PID]],0)),INDEX(Table3[[#All],[Age]],MATCH(Table5[[#This Row],[PID]],Table3[[#All],[PID]],0)))</f>
        <v>22</v>
      </c>
      <c r="H1238" s="52" t="str">
        <f>IF($C1238="B",INDEX(Batters[[#All],[B]],MATCH(Table5[[#This Row],[PID]],Batters[[#All],[PID]],0)),INDEX(Table3[[#All],[B]],MATCH(Table5[[#This Row],[PID]],Table3[[#All],[PID]],0)))</f>
        <v>L</v>
      </c>
      <c r="I1238" s="70" t="str">
        <f>IF($C1238="B",INDEX(Batters[[#All],[T]],MATCH(Table5[[#This Row],[PID]],Batters[[#All],[PID]],0)),INDEX(Table3[[#All],[T]],MATCH(Table5[[#This Row],[PID]],Table3[[#All],[PID]],0)))</f>
        <v>L</v>
      </c>
      <c r="J1238" s="52" t="str">
        <f>IF($C1238="B",INDEX(Batters[[#All],[WE]],MATCH(Table5[[#This Row],[PID]],Batters[[#All],[PID]],0)),INDEX(Table3[[#All],[WE]],MATCH(Table5[[#This Row],[PID]],Table3[[#All],[PID]],0)))</f>
        <v>High</v>
      </c>
      <c r="K1238" s="52" t="str">
        <f>IF($C1238="B",INDEX(Batters[[#All],[INT]],MATCH(Table5[[#This Row],[PID]],Batters[[#All],[PID]],0)),INDEX(Table3[[#All],[INT]],MATCH(Table5[[#This Row],[PID]],Table3[[#All],[PID]],0)))</f>
        <v>Normal</v>
      </c>
      <c r="L1238" s="60">
        <f>IF($C1238="B",INDEX(Batters[[#All],[CON P]],MATCH(Table5[[#This Row],[PID]],Batters[[#All],[PID]],0)),INDEX(Table3[[#All],[STU P]],MATCH(Table5[[#This Row],[PID]],Table3[[#All],[PID]],0)))</f>
        <v>3</v>
      </c>
      <c r="M1238" s="56">
        <f>IF($C1238="B",INDEX(Batters[[#All],[GAP P]],MATCH(Table5[[#This Row],[PID]],Batters[[#All],[PID]],0)),INDEX(Table3[[#All],[MOV P]],MATCH(Table5[[#This Row],[PID]],Table3[[#All],[PID]],0)))</f>
        <v>4</v>
      </c>
      <c r="N1238" s="56">
        <f>IF($C1238="B",INDEX(Batters[[#All],[POW P]],MATCH(Table5[[#This Row],[PID]],Batters[[#All],[PID]],0)),INDEX(Table3[[#All],[CON P]],MATCH(Table5[[#This Row],[PID]],Table3[[#All],[PID]],0)))</f>
        <v>3</v>
      </c>
      <c r="O1238" s="56">
        <f>IF($C1238="B",INDEX(Batters[[#All],[EYE P]],MATCH(Table5[[#This Row],[PID]],Batters[[#All],[PID]],0)),INDEX(Table3[[#All],[VELO]],MATCH(Table5[[#This Row],[PID]],Table3[[#All],[PID]],0)))</f>
        <v>6</v>
      </c>
      <c r="P1238" s="56">
        <f>IF($C1238="B",INDEX(Batters[[#All],[K P]],MATCH(Table5[[#This Row],[PID]],Batters[[#All],[PID]],0)),INDEX(Table3[[#All],[STM]],MATCH(Table5[[#This Row],[PID]],Table3[[#All],[PID]],0)))</f>
        <v>2</v>
      </c>
      <c r="Q1238" s="61">
        <f>IF($C1238="B",INDEX(Batters[[#All],[Tot]],MATCH(Table5[[#This Row],[PID]],Batters[[#All],[PID]],0)),INDEX(Table3[[#All],[Tot]],MATCH(Table5[[#This Row],[PID]],Table3[[#All],[PID]],0)))</f>
        <v>38.793923276908792</v>
      </c>
      <c r="R1238" s="70">
        <f>IF($C1238="B",INDEX(Batters[[#All],[zScore]],MATCH(Table5[[#This Row],[PID]],Batters[[#All],[PID]],0)),INDEX(Table3[[#All],[zScore]],MATCH(Table5[[#This Row],[PID]],Table3[[#All],[PID]],0)))</f>
        <v>-1.1834743274380859</v>
      </c>
      <c r="S1238" s="79" t="str">
        <f>IF($C1238="B",INDEX(Batters[[#All],[DEM]],MATCH(Table5[[#This Row],[PID]],Batters[[#All],[PID]],0)),INDEX(Table3[[#All],[DEM]],MATCH(Table5[[#This Row],[PID]],Table3[[#All],[PID]],0)))</f>
        <v>-</v>
      </c>
      <c r="T1238" s="62">
        <f>IF($C1238="B",INDEX(Batters[[#All],[Rnk]],MATCH(Table5[[#This Row],[PID]],Batters[[#All],[PID]],0)),INDEX(Table3[[#All],[Rnk]],MATCH(Table5[[#This Row],[PID]],Table3[[#All],[PID]],0)))</f>
        <v>465</v>
      </c>
      <c r="U1238" s="68">
        <f>IF($C1238="B",VLOOKUP($A1238,Bat!$A$4:$BA$1621,47,FALSE),VLOOKUP($A1238,Pit!$A$4:$BF$1557,56,FALSE))</f>
        <v>0</v>
      </c>
      <c r="V1238" s="50">
        <f>IF($C1238="B",VLOOKUP($A1238,Bat!$A$4:$BA$1621,48,FALSE),VLOOKUP($A1238,Pit!$A$4:$BF$1557,57,FALSE))</f>
        <v>0</v>
      </c>
      <c r="W1238" s="50">
        <f>Table5[[#This Row],[posRnk]]+Table5[[#This Row],[zRnk]]+IF($W$3&lt;&gt;Table5[[#This Row],[Type]],50,0)</f>
        <v>1720</v>
      </c>
      <c r="X1238" s="51">
        <f>RANK(Table5[[#This Row],[zScore]],Table5[[#All],[zScore]])</f>
        <v>1205</v>
      </c>
      <c r="Y1238" s="50" t="str">
        <f>IFERROR(INDEX(DraftResults[[#All],[OVR]],MATCH(Table5[[#This Row],[PID]],DraftResults[[#All],[Player ID]],0)),"")</f>
        <v/>
      </c>
      <c r="Z12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8" s="50" t="str">
        <f>IFERROR(INDEX(DraftResults[[#All],[Pick in Round]],MATCH(Table5[[#This Row],[PID]],DraftResults[[#All],[Player ID]],0)),"")</f>
        <v/>
      </c>
      <c r="AB1238" s="50" t="str">
        <f>IFERROR(INDEX(DraftResults[[#All],[Team Name]],MATCH(Table5[[#This Row],[PID]],DraftResults[[#All],[Player ID]],0)),"")</f>
        <v/>
      </c>
      <c r="AC1238" s="50" t="str">
        <f>IF(Table5[[#This Row],[Ovr]]="","",IF(Table5[[#This Row],[cmbList]]="","",Table5[[#This Row],[cmbList]]-Table5[[#This Row],[Ovr]]))</f>
        <v/>
      </c>
      <c r="AD1238" s="54" t="str">
        <f>IF(ISERROR(VLOOKUP($AB1238&amp;"-"&amp;$E1238&amp;" "&amp;F1238,Bonuses!$B$1:$G$1006,4,FALSE)),"",INT(VLOOKUP($AB1238&amp;"-"&amp;$E1238&amp;" "&amp;$F1238,Bonuses!$B$1:$G$1006,4,FALSE)))</f>
        <v/>
      </c>
      <c r="AE12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39" spans="1:31" x14ac:dyDescent="0.25">
      <c r="A1239" s="50">
        <v>15227</v>
      </c>
      <c r="B1239" s="50">
        <f>COUNTIF(Table5[PID],A1239)</f>
        <v>1</v>
      </c>
      <c r="C1239" s="50" t="str">
        <f>IF(COUNTIF(Table3[[#All],[PID]],A1239)&gt;0,"P","B")</f>
        <v>P</v>
      </c>
      <c r="D1239" s="59" t="str">
        <f>IF($C1239="B",INDEX(Batters[[#All],[POS]],MATCH(Table5[[#This Row],[PID]],Batters[[#All],[PID]],0)),INDEX(Table3[[#All],[POS]],MATCH(Table5[[#This Row],[PID]],Table3[[#All],[PID]],0)))</f>
        <v>RP</v>
      </c>
      <c r="E1239" s="52" t="str">
        <f>IF($C1239="B",INDEX(Batters[[#All],[First]],MATCH(Table5[[#This Row],[PID]],Batters[[#All],[PID]],0)),INDEX(Table3[[#All],[First]],MATCH(Table5[[#This Row],[PID]],Table3[[#All],[PID]],0)))</f>
        <v>Oniji</v>
      </c>
      <c r="F1239" s="50" t="str">
        <f>IF($C1239="B",INDEX(Batters[[#All],[Last]],MATCH(A1239,Batters[[#All],[PID]],0)),INDEX(Table3[[#All],[Last]],MATCH(A1239,Table3[[#All],[PID]],0)))</f>
        <v>Suzuki</v>
      </c>
      <c r="G1239" s="56">
        <f>IF($C1239="B",INDEX(Batters[[#All],[Age]],MATCH(Table5[[#This Row],[PID]],Batters[[#All],[PID]],0)),INDEX(Table3[[#All],[Age]],MATCH(Table5[[#This Row],[PID]],Table3[[#All],[PID]],0)))</f>
        <v>22</v>
      </c>
      <c r="H1239" s="52" t="str">
        <f>IF($C1239="B",INDEX(Batters[[#All],[B]],MATCH(Table5[[#This Row],[PID]],Batters[[#All],[PID]],0)),INDEX(Table3[[#All],[B]],MATCH(Table5[[#This Row],[PID]],Table3[[#All],[PID]],0)))</f>
        <v>R</v>
      </c>
      <c r="I1239" s="70" t="str">
        <f>IF($C1239="B",INDEX(Batters[[#All],[T]],MATCH(Table5[[#This Row],[PID]],Batters[[#All],[PID]],0)),INDEX(Table3[[#All],[T]],MATCH(Table5[[#This Row],[PID]],Table3[[#All],[PID]],0)))</f>
        <v>R</v>
      </c>
      <c r="J1239" s="52" t="str">
        <f>IF($C1239="B",INDEX(Batters[[#All],[WE]],MATCH(Table5[[#This Row],[PID]],Batters[[#All],[PID]],0)),INDEX(Table3[[#All],[WE]],MATCH(Table5[[#This Row],[PID]],Table3[[#All],[PID]],0)))</f>
        <v>Normal</v>
      </c>
      <c r="K1239" s="52" t="str">
        <f>IF($C1239="B",INDEX(Batters[[#All],[INT]],MATCH(Table5[[#This Row],[PID]],Batters[[#All],[PID]],0)),INDEX(Table3[[#All],[INT]],MATCH(Table5[[#This Row],[PID]],Table3[[#All],[PID]],0)))</f>
        <v>Normal</v>
      </c>
      <c r="L1239" s="60">
        <f>IF($C1239="B",INDEX(Batters[[#All],[CON P]],MATCH(Table5[[#This Row],[PID]],Batters[[#All],[PID]],0)),INDEX(Table3[[#All],[STU P]],MATCH(Table5[[#This Row],[PID]],Table3[[#All],[PID]],0)))</f>
        <v>4</v>
      </c>
      <c r="M1239" s="56">
        <f>IF($C1239="B",INDEX(Batters[[#All],[GAP P]],MATCH(Table5[[#This Row],[PID]],Batters[[#All],[PID]],0)),INDEX(Table3[[#All],[MOV P]],MATCH(Table5[[#This Row],[PID]],Table3[[#All],[PID]],0)))</f>
        <v>1</v>
      </c>
      <c r="N1239" s="56">
        <f>IF($C1239="B",INDEX(Batters[[#All],[POW P]],MATCH(Table5[[#This Row],[PID]],Batters[[#All],[PID]],0)),INDEX(Table3[[#All],[CON P]],MATCH(Table5[[#This Row],[PID]],Table3[[#All],[PID]],0)))</f>
        <v>3</v>
      </c>
      <c r="O1239" s="56" t="str">
        <f>IF($C1239="B",INDEX(Batters[[#All],[EYE P]],MATCH(Table5[[#This Row],[PID]],Batters[[#All],[PID]],0)),INDEX(Table3[[#All],[VELO]],MATCH(Table5[[#This Row],[PID]],Table3[[#All],[PID]],0)))</f>
        <v>87-89 Mph</v>
      </c>
      <c r="P1239" s="56">
        <f>IF($C1239="B",INDEX(Batters[[#All],[K P]],MATCH(Table5[[#This Row],[PID]],Batters[[#All],[PID]],0)),INDEX(Table3[[#All],[STM]],MATCH(Table5[[#This Row],[PID]],Table3[[#All],[PID]],0)))</f>
        <v>2</v>
      </c>
      <c r="Q1239" s="61">
        <f>IF($C1239="B",INDEX(Batters[[#All],[Tot]],MATCH(Table5[[#This Row],[PID]],Batters[[#All],[PID]],0)),INDEX(Table3[[#All],[Tot]],MATCH(Table5[[#This Row],[PID]],Table3[[#All],[PID]],0)))</f>
        <v>20.336537003692261</v>
      </c>
      <c r="R1239" s="70">
        <f>IF($C1239="B",INDEX(Batters[[#All],[zScore]],MATCH(Table5[[#This Row],[PID]],Batters[[#All],[PID]],0)),INDEX(Table3[[#All],[zScore]],MATCH(Table5[[#This Row],[PID]],Table3[[#All],[PID]],0)))</f>
        <v>-1.1898516803293302</v>
      </c>
      <c r="S1239" s="79" t="str">
        <f>IF($C1239="B",INDEX(Batters[[#All],[DEM]],MATCH(Table5[[#This Row],[PID]],Batters[[#All],[PID]],0)),INDEX(Table3[[#All],[DEM]],MATCH(Table5[[#This Row],[PID]],Table3[[#All],[PID]],0)))</f>
        <v>-</v>
      </c>
      <c r="T1239" s="62">
        <f>IF($C1239="B",INDEX(Batters[[#All],[Rnk]],MATCH(Table5[[#This Row],[PID]],Batters[[#All],[PID]],0)),INDEX(Table3[[#All],[Rnk]],MATCH(Table5[[#This Row],[PID]],Table3[[#All],[PID]],0)))</f>
        <v>740</v>
      </c>
      <c r="U1239" s="68">
        <f>IF($C1239="B",VLOOKUP($A1239,Bat!$A$4:$BA$1621,47,FALSE),VLOOKUP($A1239,Pit!$A$4:$BF$1557,56,FALSE))</f>
        <v>0</v>
      </c>
      <c r="V1239" s="50">
        <f>IF($C1239="B",VLOOKUP($A1239,Bat!$A$4:$BA$1621,48,FALSE),VLOOKUP($A1239,Pit!$A$4:$BF$1557,57,FALSE))</f>
        <v>0</v>
      </c>
      <c r="W1239" s="50">
        <f>Table5[[#This Row],[posRnk]]+Table5[[#This Row],[zRnk]]+IF($W$3&lt;&gt;Table5[[#This Row],[Type]],50,0)</f>
        <v>1996</v>
      </c>
      <c r="X1239" s="51">
        <f>RANK(Table5[[#This Row],[zScore]],Table5[[#All],[zScore]])</f>
        <v>1206</v>
      </c>
      <c r="Y1239" s="50" t="str">
        <f>IFERROR(INDEX(DraftResults[[#All],[OVR]],MATCH(Table5[[#This Row],[PID]],DraftResults[[#All],[Player ID]],0)),"")</f>
        <v/>
      </c>
      <c r="Z12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39" s="50" t="str">
        <f>IFERROR(INDEX(DraftResults[[#All],[Pick in Round]],MATCH(Table5[[#This Row],[PID]],DraftResults[[#All],[Player ID]],0)),"")</f>
        <v/>
      </c>
      <c r="AB1239" s="50" t="str">
        <f>IFERROR(INDEX(DraftResults[[#All],[Team Name]],MATCH(Table5[[#This Row],[PID]],DraftResults[[#All],[Player ID]],0)),"")</f>
        <v/>
      </c>
      <c r="AC1239" s="50" t="str">
        <f>IF(Table5[[#This Row],[Ovr]]="","",IF(Table5[[#This Row],[cmbList]]="","",Table5[[#This Row],[cmbList]]-Table5[[#This Row],[Ovr]]))</f>
        <v/>
      </c>
      <c r="AD1239" s="54" t="str">
        <f>IF(ISERROR(VLOOKUP($AB1239&amp;"-"&amp;$E1239&amp;" "&amp;F1239,Bonuses!$B$1:$G$1006,4,FALSE)),"",INT(VLOOKUP($AB1239&amp;"-"&amp;$E1239&amp;" "&amp;$F1239,Bonuses!$B$1:$G$1006,4,FALSE)))</f>
        <v/>
      </c>
      <c r="AE12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0" spans="1:31" x14ac:dyDescent="0.25">
      <c r="A1240" s="50">
        <v>13341</v>
      </c>
      <c r="B1240" s="50">
        <f>COUNTIF(Table5[PID],A1240)</f>
        <v>1</v>
      </c>
      <c r="C1240" s="50" t="str">
        <f>IF(COUNTIF(Table3[[#All],[PID]],A1240)&gt;0,"P","B")</f>
        <v>B</v>
      </c>
      <c r="D1240" s="59" t="str">
        <f>IF($C1240="B",INDEX(Batters[[#All],[POS]],MATCH(Table5[[#This Row],[PID]],Batters[[#All],[PID]],0)),INDEX(Table3[[#All],[POS]],MATCH(Table5[[#This Row],[PID]],Table3[[#All],[PID]],0)))</f>
        <v>3B</v>
      </c>
      <c r="E1240" s="52" t="str">
        <f>IF($C1240="B",INDEX(Batters[[#All],[First]],MATCH(Table5[[#This Row],[PID]],Batters[[#All],[PID]],0)),INDEX(Table3[[#All],[First]],MATCH(Table5[[#This Row],[PID]],Table3[[#All],[PID]],0)))</f>
        <v>Ben</v>
      </c>
      <c r="F1240" s="50" t="str">
        <f>IF($C1240="B",INDEX(Batters[[#All],[Last]],MATCH(A1240,Batters[[#All],[PID]],0)),INDEX(Table3[[#All],[Last]],MATCH(A1240,Table3[[#All],[PID]],0)))</f>
        <v>MacIndeor</v>
      </c>
      <c r="G1240" s="56">
        <f>IF($C1240="B",INDEX(Batters[[#All],[Age]],MATCH(Table5[[#This Row],[PID]],Batters[[#All],[PID]],0)),INDEX(Table3[[#All],[Age]],MATCH(Table5[[#This Row],[PID]],Table3[[#All],[PID]],0)))</f>
        <v>21</v>
      </c>
      <c r="H1240" s="52" t="str">
        <f>IF($C1240="B",INDEX(Batters[[#All],[B]],MATCH(Table5[[#This Row],[PID]],Batters[[#All],[PID]],0)),INDEX(Table3[[#All],[B]],MATCH(Table5[[#This Row],[PID]],Table3[[#All],[PID]],0)))</f>
        <v>R</v>
      </c>
      <c r="I1240" s="70" t="str">
        <f>IF($C1240="B",INDEX(Batters[[#All],[T]],MATCH(Table5[[#This Row],[PID]],Batters[[#All],[PID]],0)),INDEX(Table3[[#All],[T]],MATCH(Table5[[#This Row],[PID]],Table3[[#All],[PID]],0)))</f>
        <v>R</v>
      </c>
      <c r="J1240" s="52" t="str">
        <f>IF($C1240="B",INDEX(Batters[[#All],[WE]],MATCH(Table5[[#This Row],[PID]],Batters[[#All],[PID]],0)),INDEX(Table3[[#All],[WE]],MATCH(Table5[[#This Row],[PID]],Table3[[#All],[PID]],0)))</f>
        <v>Normal</v>
      </c>
      <c r="K1240" s="52" t="str">
        <f>IF($C1240="B",INDEX(Batters[[#All],[INT]],MATCH(Table5[[#This Row],[PID]],Batters[[#All],[PID]],0)),INDEX(Table3[[#All],[INT]],MATCH(Table5[[#This Row],[PID]],Table3[[#All],[PID]],0)))</f>
        <v>Normal</v>
      </c>
      <c r="L1240" s="60">
        <f>IF($C1240="B",INDEX(Batters[[#All],[CON P]],MATCH(Table5[[#This Row],[PID]],Batters[[#All],[PID]],0)),INDEX(Table3[[#All],[STU P]],MATCH(Table5[[#This Row],[PID]],Table3[[#All],[PID]],0)))</f>
        <v>3</v>
      </c>
      <c r="M1240" s="56">
        <f>IF($C1240="B",INDEX(Batters[[#All],[GAP P]],MATCH(Table5[[#This Row],[PID]],Batters[[#All],[PID]],0)),INDEX(Table3[[#All],[MOV P]],MATCH(Table5[[#This Row],[PID]],Table3[[#All],[PID]],0)))</f>
        <v>4</v>
      </c>
      <c r="N1240" s="56">
        <f>IF($C1240="B",INDEX(Batters[[#All],[POW P]],MATCH(Table5[[#This Row],[PID]],Batters[[#All],[PID]],0)),INDEX(Table3[[#All],[CON P]],MATCH(Table5[[#This Row],[PID]],Table3[[#All],[PID]],0)))</f>
        <v>3</v>
      </c>
      <c r="O1240" s="56">
        <f>IF($C1240="B",INDEX(Batters[[#All],[EYE P]],MATCH(Table5[[#This Row],[PID]],Batters[[#All],[PID]],0)),INDEX(Table3[[#All],[VELO]],MATCH(Table5[[#This Row],[PID]],Table3[[#All],[PID]],0)))</f>
        <v>6</v>
      </c>
      <c r="P1240" s="56">
        <f>IF($C1240="B",INDEX(Batters[[#All],[K P]],MATCH(Table5[[#This Row],[PID]],Batters[[#All],[PID]],0)),INDEX(Table3[[#All],[STM]],MATCH(Table5[[#This Row],[PID]],Table3[[#All],[PID]],0)))</f>
        <v>3</v>
      </c>
      <c r="Q1240" s="61">
        <f>IF($C1240="B",INDEX(Batters[[#All],[Tot]],MATCH(Table5[[#This Row],[PID]],Batters[[#All],[PID]],0)),INDEX(Table3[[#All],[Tot]],MATCH(Table5[[#This Row],[PID]],Table3[[#All],[PID]],0)))</f>
        <v>38.726736262348581</v>
      </c>
      <c r="R1240" s="70">
        <f>IF($C1240="B",INDEX(Batters[[#All],[zScore]],MATCH(Table5[[#This Row],[PID]],Batters[[#All],[PID]],0)),INDEX(Table3[[#All],[zScore]],MATCH(Table5[[#This Row],[PID]],Table3[[#All],[PID]],0)))</f>
        <v>-1.1983701427081555</v>
      </c>
      <c r="S1240" s="79" t="str">
        <f>IF($C1240="B",INDEX(Batters[[#All],[DEM]],MATCH(Table5[[#This Row],[PID]],Batters[[#All],[PID]],0)),INDEX(Table3[[#All],[DEM]],MATCH(Table5[[#This Row],[PID]],Table3[[#All],[PID]],0)))</f>
        <v>-</v>
      </c>
      <c r="T1240" s="62">
        <f>IF($C1240="B",INDEX(Batters[[#All],[Rnk]],MATCH(Table5[[#This Row],[PID]],Batters[[#All],[PID]],0)),INDEX(Table3[[#All],[Rnk]],MATCH(Table5[[#This Row],[PID]],Table3[[#All],[PID]],0)))</f>
        <v>466</v>
      </c>
      <c r="U1240" s="68">
        <f>IF($C1240="B",VLOOKUP($A1240,Bat!$A$4:$BA$1621,47,FALSE),VLOOKUP($A1240,Pit!$A$4:$BF$1557,56,FALSE))</f>
        <v>0</v>
      </c>
      <c r="V1240" s="50">
        <f>IF($C1240="B",VLOOKUP($A1240,Bat!$A$4:$BA$1621,48,FALSE),VLOOKUP($A1240,Pit!$A$4:$BF$1557,57,FALSE))</f>
        <v>0</v>
      </c>
      <c r="W1240" s="50">
        <f>Table5[[#This Row],[posRnk]]+Table5[[#This Row],[zRnk]]+IF($W$3&lt;&gt;Table5[[#This Row],[Type]],50,0)</f>
        <v>1723</v>
      </c>
      <c r="X1240" s="51">
        <f>RANK(Table5[[#This Row],[zScore]],Table5[[#All],[zScore]])</f>
        <v>1207</v>
      </c>
      <c r="Y1240" s="50" t="str">
        <f>IFERROR(INDEX(DraftResults[[#All],[OVR]],MATCH(Table5[[#This Row],[PID]],DraftResults[[#All],[Player ID]],0)),"")</f>
        <v/>
      </c>
      <c r="Z12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0" s="50" t="str">
        <f>IFERROR(INDEX(DraftResults[[#All],[Pick in Round]],MATCH(Table5[[#This Row],[PID]],DraftResults[[#All],[Player ID]],0)),"")</f>
        <v/>
      </c>
      <c r="AB1240" s="50" t="str">
        <f>IFERROR(INDEX(DraftResults[[#All],[Team Name]],MATCH(Table5[[#This Row],[PID]],DraftResults[[#All],[Player ID]],0)),"")</f>
        <v/>
      </c>
      <c r="AC1240" s="50" t="str">
        <f>IF(Table5[[#This Row],[Ovr]]="","",IF(Table5[[#This Row],[cmbList]]="","",Table5[[#This Row],[cmbList]]-Table5[[#This Row],[Ovr]]))</f>
        <v/>
      </c>
      <c r="AD1240" s="54" t="str">
        <f>IF(ISERROR(VLOOKUP($AB1240&amp;"-"&amp;$E1240&amp;" "&amp;F1240,Bonuses!$B$1:$G$1006,4,FALSE)),"",INT(VLOOKUP($AB1240&amp;"-"&amp;$E1240&amp;" "&amp;$F1240,Bonuses!$B$1:$G$1006,4,FALSE)))</f>
        <v/>
      </c>
      <c r="AE12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1" spans="1:31" x14ac:dyDescent="0.25">
      <c r="A1241" s="50">
        <v>7777</v>
      </c>
      <c r="B1241" s="50">
        <f>COUNTIF(Table5[PID],A1241)</f>
        <v>1</v>
      </c>
      <c r="C1241" s="50" t="str">
        <f>IF(COUNTIF(Table3[[#All],[PID]],A1241)&gt;0,"P","B")</f>
        <v>P</v>
      </c>
      <c r="D1241" s="59" t="str">
        <f>IF($C1241="B",INDEX(Batters[[#All],[POS]],MATCH(Table5[[#This Row],[PID]],Batters[[#All],[PID]],0)),INDEX(Table3[[#All],[POS]],MATCH(Table5[[#This Row],[PID]],Table3[[#All],[PID]],0)))</f>
        <v>RP</v>
      </c>
      <c r="E1241" s="52" t="str">
        <f>IF($C1241="B",INDEX(Batters[[#All],[First]],MATCH(Table5[[#This Row],[PID]],Batters[[#All],[PID]],0)),INDEX(Table3[[#All],[First]],MATCH(Table5[[#This Row],[PID]],Table3[[#All],[PID]],0)))</f>
        <v>Bob</v>
      </c>
      <c r="F1241" s="50" t="str">
        <f>IF($C1241="B",INDEX(Batters[[#All],[Last]],MATCH(A1241,Batters[[#All],[PID]],0)),INDEX(Table3[[#All],[Last]],MATCH(A1241,Table3[[#All],[PID]],0)))</f>
        <v>Smith</v>
      </c>
      <c r="G1241" s="56">
        <f>IF($C1241="B",INDEX(Batters[[#All],[Age]],MATCH(Table5[[#This Row],[PID]],Batters[[#All],[PID]],0)),INDEX(Table3[[#All],[Age]],MATCH(Table5[[#This Row],[PID]],Table3[[#All],[PID]],0)))</f>
        <v>22</v>
      </c>
      <c r="H1241" s="52" t="str">
        <f>IF($C1241="B",INDEX(Batters[[#All],[B]],MATCH(Table5[[#This Row],[PID]],Batters[[#All],[PID]],0)),INDEX(Table3[[#All],[B]],MATCH(Table5[[#This Row],[PID]],Table3[[#All],[PID]],0)))</f>
        <v>R</v>
      </c>
      <c r="I1241" s="70" t="str">
        <f>IF($C1241="B",INDEX(Batters[[#All],[T]],MATCH(Table5[[#This Row],[PID]],Batters[[#All],[PID]],0)),INDEX(Table3[[#All],[T]],MATCH(Table5[[#This Row],[PID]],Table3[[#All],[PID]],0)))</f>
        <v>R</v>
      </c>
      <c r="J1241" s="52" t="str">
        <f>IF($C1241="B",INDEX(Batters[[#All],[WE]],MATCH(Table5[[#This Row],[PID]],Batters[[#All],[PID]],0)),INDEX(Table3[[#All],[WE]],MATCH(Table5[[#This Row],[PID]],Table3[[#All],[PID]],0)))</f>
        <v>Low</v>
      </c>
      <c r="K1241" s="52" t="str">
        <f>IF($C1241="B",INDEX(Batters[[#All],[INT]],MATCH(Table5[[#This Row],[PID]],Batters[[#All],[PID]],0)),INDEX(Table3[[#All],[INT]],MATCH(Table5[[#This Row],[PID]],Table3[[#All],[PID]],0)))</f>
        <v>High</v>
      </c>
      <c r="L1241" s="60">
        <f>IF($C1241="B",INDEX(Batters[[#All],[CON P]],MATCH(Table5[[#This Row],[PID]],Batters[[#All],[PID]],0)),INDEX(Table3[[#All],[STU P]],MATCH(Table5[[#This Row],[PID]],Table3[[#All],[PID]],0)))</f>
        <v>2</v>
      </c>
      <c r="M1241" s="56">
        <f>IF($C1241="B",INDEX(Batters[[#All],[GAP P]],MATCH(Table5[[#This Row],[PID]],Batters[[#All],[PID]],0)),INDEX(Table3[[#All],[MOV P]],MATCH(Table5[[#This Row],[PID]],Table3[[#All],[PID]],0)))</f>
        <v>1</v>
      </c>
      <c r="N1241" s="56">
        <f>IF($C1241="B",INDEX(Batters[[#All],[POW P]],MATCH(Table5[[#This Row],[PID]],Batters[[#All],[PID]],0)),INDEX(Table3[[#All],[CON P]],MATCH(Table5[[#This Row],[PID]],Table3[[#All],[PID]],0)))</f>
        <v>3</v>
      </c>
      <c r="O1241" s="56" t="str">
        <f>IF($C1241="B",INDEX(Batters[[#All],[EYE P]],MATCH(Table5[[#This Row],[PID]],Batters[[#All],[PID]],0)),INDEX(Table3[[#All],[VELO]],MATCH(Table5[[#This Row],[PID]],Table3[[#All],[PID]],0)))</f>
        <v>83-85 Mph</v>
      </c>
      <c r="P1241" s="56">
        <f>IF($C1241="B",INDEX(Batters[[#All],[K P]],MATCH(Table5[[#This Row],[PID]],Batters[[#All],[PID]],0)),INDEX(Table3[[#All],[STM]],MATCH(Table5[[#This Row],[PID]],Table3[[#All],[PID]],0)))</f>
        <v>6</v>
      </c>
      <c r="Q1241" s="61">
        <f>IF($C1241="B",INDEX(Batters[[#All],[Tot]],MATCH(Table5[[#This Row],[PID]],Batters[[#All],[PID]],0)),INDEX(Table3[[#All],[Tot]],MATCH(Table5[[#This Row],[PID]],Table3[[#All],[PID]],0)))</f>
        <v>20.214335888318708</v>
      </c>
      <c r="R1241" s="70">
        <f>IF($C1241="B",INDEX(Batters[[#All],[zScore]],MATCH(Table5[[#This Row],[PID]],Batters[[#All],[PID]],0)),INDEX(Table3[[#All],[zScore]],MATCH(Table5[[#This Row],[PID]],Table3[[#All],[PID]],0)))</f>
        <v>-1.2048714918151764</v>
      </c>
      <c r="S1241" s="79" t="str">
        <f>IF($C1241="B",INDEX(Batters[[#All],[DEM]],MATCH(Table5[[#This Row],[PID]],Batters[[#All],[PID]],0)),INDEX(Table3[[#All],[DEM]],MATCH(Table5[[#This Row],[PID]],Table3[[#All],[PID]],0)))</f>
        <v>-</v>
      </c>
      <c r="T1241" s="62">
        <f>IF($C1241="B",INDEX(Batters[[#All],[Rnk]],MATCH(Table5[[#This Row],[PID]],Batters[[#All],[PID]],0)),INDEX(Table3[[#All],[Rnk]],MATCH(Table5[[#This Row],[PID]],Table3[[#All],[PID]],0)))</f>
        <v>741</v>
      </c>
      <c r="U1241" s="68">
        <f>IF($C1241="B",VLOOKUP($A1241,Bat!$A$4:$BA$1621,47,FALSE),VLOOKUP($A1241,Pit!$A$4:$BF$1557,56,FALSE))</f>
        <v>0</v>
      </c>
      <c r="V1241" s="50">
        <f>IF($C1241="B",VLOOKUP($A1241,Bat!$A$4:$BA$1621,48,FALSE),VLOOKUP($A1241,Pit!$A$4:$BF$1557,57,FALSE))</f>
        <v>0</v>
      </c>
      <c r="W1241" s="50">
        <f>Table5[[#This Row],[posRnk]]+Table5[[#This Row],[zRnk]]+IF($W$3&lt;&gt;Table5[[#This Row],[Type]],50,0)</f>
        <v>1999</v>
      </c>
      <c r="X1241" s="51">
        <f>RANK(Table5[[#This Row],[zScore]],Table5[[#All],[zScore]])</f>
        <v>1208</v>
      </c>
      <c r="Y1241" s="50" t="str">
        <f>IFERROR(INDEX(DraftResults[[#All],[OVR]],MATCH(Table5[[#This Row],[PID]],DraftResults[[#All],[Player ID]],0)),"")</f>
        <v/>
      </c>
      <c r="Z12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1" s="50" t="str">
        <f>IFERROR(INDEX(DraftResults[[#All],[Pick in Round]],MATCH(Table5[[#This Row],[PID]],DraftResults[[#All],[Player ID]],0)),"")</f>
        <v/>
      </c>
      <c r="AB1241" s="50" t="str">
        <f>IFERROR(INDEX(DraftResults[[#All],[Team Name]],MATCH(Table5[[#This Row],[PID]],DraftResults[[#All],[Player ID]],0)),"")</f>
        <v/>
      </c>
      <c r="AC1241" s="50" t="str">
        <f>IF(Table5[[#This Row],[Ovr]]="","",IF(Table5[[#This Row],[cmbList]]="","",Table5[[#This Row],[cmbList]]-Table5[[#This Row],[Ovr]]))</f>
        <v/>
      </c>
      <c r="AD1241" s="54" t="str">
        <f>IF(ISERROR(VLOOKUP($AB1241&amp;"-"&amp;$E1241&amp;" "&amp;F1241,Bonuses!$B$1:$G$1006,4,FALSE)),"",INT(VLOOKUP($AB1241&amp;"-"&amp;$E1241&amp;" "&amp;$F1241,Bonuses!$B$1:$G$1006,4,FALSE)))</f>
        <v/>
      </c>
      <c r="AE12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2" spans="1:31" x14ac:dyDescent="0.25">
      <c r="A1242" s="50">
        <v>14493</v>
      </c>
      <c r="B1242" s="50">
        <f>COUNTIF(Table5[PID],A1242)</f>
        <v>1</v>
      </c>
      <c r="C1242" s="50" t="str">
        <f>IF(COUNTIF(Table3[[#All],[PID]],A1242)&gt;0,"P","B")</f>
        <v>P</v>
      </c>
      <c r="D1242" s="59" t="str">
        <f>IF($C1242="B",INDEX(Batters[[#All],[POS]],MATCH(Table5[[#This Row],[PID]],Batters[[#All],[PID]],0)),INDEX(Table3[[#All],[POS]],MATCH(Table5[[#This Row],[PID]],Table3[[#All],[PID]],0)))</f>
        <v>RP</v>
      </c>
      <c r="E1242" s="52" t="str">
        <f>IF($C1242="B",INDEX(Batters[[#All],[First]],MATCH(Table5[[#This Row],[PID]],Batters[[#All],[PID]],0)),INDEX(Table3[[#All],[First]],MATCH(Table5[[#This Row],[PID]],Table3[[#All],[PID]],0)))</f>
        <v>Declan</v>
      </c>
      <c r="F1242" s="50" t="str">
        <f>IF($C1242="B",INDEX(Batters[[#All],[Last]],MATCH(A1242,Batters[[#All],[PID]],0)),INDEX(Table3[[#All],[Last]],MATCH(A1242,Table3[[#All],[PID]],0)))</f>
        <v>Petty</v>
      </c>
      <c r="G1242" s="56">
        <f>IF($C1242="B",INDEX(Batters[[#All],[Age]],MATCH(Table5[[#This Row],[PID]],Batters[[#All],[PID]],0)),INDEX(Table3[[#All],[Age]],MATCH(Table5[[#This Row],[PID]],Table3[[#All],[PID]],0)))</f>
        <v>21</v>
      </c>
      <c r="H1242" s="52" t="str">
        <f>IF($C1242="B",INDEX(Batters[[#All],[B]],MATCH(Table5[[#This Row],[PID]],Batters[[#All],[PID]],0)),INDEX(Table3[[#All],[B]],MATCH(Table5[[#This Row],[PID]],Table3[[#All],[PID]],0)))</f>
        <v>L</v>
      </c>
      <c r="I1242" s="70" t="str">
        <f>IF($C1242="B",INDEX(Batters[[#All],[T]],MATCH(Table5[[#This Row],[PID]],Batters[[#All],[PID]],0)),INDEX(Table3[[#All],[T]],MATCH(Table5[[#This Row],[PID]],Table3[[#All],[PID]],0)))</f>
        <v>L</v>
      </c>
      <c r="J1242" s="52" t="str">
        <f>IF($C1242="B",INDEX(Batters[[#All],[WE]],MATCH(Table5[[#This Row],[PID]],Batters[[#All],[PID]],0)),INDEX(Table3[[#All],[WE]],MATCH(Table5[[#This Row],[PID]],Table3[[#All],[PID]],0)))</f>
        <v>Low</v>
      </c>
      <c r="K1242" s="52" t="str">
        <f>IF($C1242="B",INDEX(Batters[[#All],[INT]],MATCH(Table5[[#This Row],[PID]],Batters[[#All],[PID]],0)),INDEX(Table3[[#All],[INT]],MATCH(Table5[[#This Row],[PID]],Table3[[#All],[PID]],0)))</f>
        <v>Normal</v>
      </c>
      <c r="L1242" s="60">
        <f>IF($C1242="B",INDEX(Batters[[#All],[CON P]],MATCH(Table5[[#This Row],[PID]],Batters[[#All],[PID]],0)),INDEX(Table3[[#All],[STU P]],MATCH(Table5[[#This Row],[PID]],Table3[[#All],[PID]],0)))</f>
        <v>3</v>
      </c>
      <c r="M1242" s="56">
        <f>IF($C1242="B",INDEX(Batters[[#All],[GAP P]],MATCH(Table5[[#This Row],[PID]],Batters[[#All],[PID]],0)),INDEX(Table3[[#All],[MOV P]],MATCH(Table5[[#This Row],[PID]],Table3[[#All],[PID]],0)))</f>
        <v>2</v>
      </c>
      <c r="N1242" s="56">
        <f>IF($C1242="B",INDEX(Batters[[#All],[POW P]],MATCH(Table5[[#This Row],[PID]],Batters[[#All],[PID]],0)),INDEX(Table3[[#All],[CON P]],MATCH(Table5[[#This Row],[PID]],Table3[[#All],[PID]],0)))</f>
        <v>2</v>
      </c>
      <c r="O1242" s="56" t="str">
        <f>IF($C1242="B",INDEX(Batters[[#All],[EYE P]],MATCH(Table5[[#This Row],[PID]],Batters[[#All],[PID]],0)),INDEX(Table3[[#All],[VELO]],MATCH(Table5[[#This Row],[PID]],Table3[[#All],[PID]],0)))</f>
        <v>85-87 Mph</v>
      </c>
      <c r="P1242" s="56">
        <f>IF($C1242="B",INDEX(Batters[[#All],[K P]],MATCH(Table5[[#This Row],[PID]],Batters[[#All],[PID]],0)),INDEX(Table3[[#All],[STM]],MATCH(Table5[[#This Row],[PID]],Table3[[#All],[PID]],0)))</f>
        <v>3</v>
      </c>
      <c r="Q1242" s="61">
        <f>IF($C1242="B",INDEX(Batters[[#All],[Tot]],MATCH(Table5[[#This Row],[PID]],Batters[[#All],[PID]],0)),INDEX(Table3[[#All],[Tot]],MATCH(Table5[[#This Row],[PID]],Table3[[#All],[PID]],0)))</f>
        <v>20.111832788971832</v>
      </c>
      <c r="R1242" s="70">
        <f>IF($C1242="B",INDEX(Batters[[#All],[zScore]],MATCH(Table5[[#This Row],[PID]],Batters[[#All],[PID]],0)),INDEX(Table3[[#All],[zScore]],MATCH(Table5[[#This Row],[PID]],Table3[[#All],[PID]],0)))</f>
        <v>-1.2118929239611003</v>
      </c>
      <c r="S1242" s="79" t="str">
        <f>IF($C1242="B",INDEX(Batters[[#All],[DEM]],MATCH(Table5[[#This Row],[PID]],Batters[[#All],[PID]],0)),INDEX(Table3[[#All],[DEM]],MATCH(Table5[[#This Row],[PID]],Table3[[#All],[PID]],0)))</f>
        <v>-</v>
      </c>
      <c r="T1242" s="62">
        <f>IF($C1242="B",INDEX(Batters[[#All],[Rnk]],MATCH(Table5[[#This Row],[PID]],Batters[[#All],[PID]],0)),INDEX(Table3[[#All],[Rnk]],MATCH(Table5[[#This Row],[PID]],Table3[[#All],[PID]],0)))</f>
        <v>742</v>
      </c>
      <c r="U1242" s="68">
        <f>IF($C1242="B",VLOOKUP($A1242,Bat!$A$4:$BA$1621,47,FALSE),VLOOKUP($A1242,Pit!$A$4:$BF$1557,56,FALSE))</f>
        <v>0</v>
      </c>
      <c r="V1242" s="50">
        <f>IF($C1242="B",VLOOKUP($A1242,Bat!$A$4:$BA$1621,48,FALSE),VLOOKUP($A1242,Pit!$A$4:$BF$1557,57,FALSE))</f>
        <v>0</v>
      </c>
      <c r="W1242" s="50">
        <f>Table5[[#This Row],[posRnk]]+Table5[[#This Row],[zRnk]]+IF($W$3&lt;&gt;Table5[[#This Row],[Type]],50,0)</f>
        <v>2001</v>
      </c>
      <c r="X1242" s="51">
        <f>RANK(Table5[[#This Row],[zScore]],Table5[[#All],[zScore]])</f>
        <v>1209</v>
      </c>
      <c r="Y1242" s="50" t="str">
        <f>IFERROR(INDEX(DraftResults[[#All],[OVR]],MATCH(Table5[[#This Row],[PID]],DraftResults[[#All],[Player ID]],0)),"")</f>
        <v/>
      </c>
      <c r="Z12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2" s="50" t="str">
        <f>IFERROR(INDEX(DraftResults[[#All],[Pick in Round]],MATCH(Table5[[#This Row],[PID]],DraftResults[[#All],[Player ID]],0)),"")</f>
        <v/>
      </c>
      <c r="AB1242" s="50" t="str">
        <f>IFERROR(INDEX(DraftResults[[#All],[Team Name]],MATCH(Table5[[#This Row],[PID]],DraftResults[[#All],[Player ID]],0)),"")</f>
        <v/>
      </c>
      <c r="AC1242" s="50" t="str">
        <f>IF(Table5[[#This Row],[Ovr]]="","",IF(Table5[[#This Row],[cmbList]]="","",Table5[[#This Row],[cmbList]]-Table5[[#This Row],[Ovr]]))</f>
        <v/>
      </c>
      <c r="AD1242" s="54" t="str">
        <f>IF(ISERROR(VLOOKUP($AB1242&amp;"-"&amp;$E1242&amp;" "&amp;F1242,Bonuses!$B$1:$G$1006,4,FALSE)),"",INT(VLOOKUP($AB1242&amp;"-"&amp;$E1242&amp;" "&amp;$F1242,Bonuses!$B$1:$G$1006,4,FALSE)))</f>
        <v/>
      </c>
      <c r="AE12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3" spans="1:31" x14ac:dyDescent="0.25">
      <c r="A1243" s="50">
        <v>20330</v>
      </c>
      <c r="B1243" s="50">
        <f>COUNTIF(Table5[PID],A1243)</f>
        <v>1</v>
      </c>
      <c r="C1243" s="50" t="str">
        <f>IF(COUNTIF(Table3[[#All],[PID]],A1243)&gt;0,"P","B")</f>
        <v>B</v>
      </c>
      <c r="D1243" s="59" t="str">
        <f>IF($C1243="B",INDEX(Batters[[#All],[POS]],MATCH(Table5[[#This Row],[PID]],Batters[[#All],[PID]],0)),INDEX(Table3[[#All],[POS]],MATCH(Table5[[#This Row],[PID]],Table3[[#All],[PID]],0)))</f>
        <v>1B</v>
      </c>
      <c r="E1243" s="52" t="str">
        <f>IF($C1243="B",INDEX(Batters[[#All],[First]],MATCH(Table5[[#This Row],[PID]],Batters[[#All],[PID]],0)),INDEX(Table3[[#All],[First]],MATCH(Table5[[#This Row],[PID]],Table3[[#All],[PID]],0)))</f>
        <v>Luke</v>
      </c>
      <c r="F1243" s="50" t="str">
        <f>IF($C1243="B",INDEX(Batters[[#All],[Last]],MATCH(A1243,Batters[[#All],[PID]],0)),INDEX(Table3[[#All],[Last]],MATCH(A1243,Table3[[#All],[PID]],0)))</f>
        <v>Loh</v>
      </c>
      <c r="G1243" s="56">
        <f>IF($C1243="B",INDEX(Batters[[#All],[Age]],MATCH(Table5[[#This Row],[PID]],Batters[[#All],[PID]],0)),INDEX(Table3[[#All],[Age]],MATCH(Table5[[#This Row],[PID]],Table3[[#All],[PID]],0)))</f>
        <v>18</v>
      </c>
      <c r="H1243" s="52" t="str">
        <f>IF($C1243="B",INDEX(Batters[[#All],[B]],MATCH(Table5[[#This Row],[PID]],Batters[[#All],[PID]],0)),INDEX(Table3[[#All],[B]],MATCH(Table5[[#This Row],[PID]],Table3[[#All],[PID]],0)))</f>
        <v>R</v>
      </c>
      <c r="I1243" s="70" t="str">
        <f>IF($C1243="B",INDEX(Batters[[#All],[T]],MATCH(Table5[[#This Row],[PID]],Batters[[#All],[PID]],0)),INDEX(Table3[[#All],[T]],MATCH(Table5[[#This Row],[PID]],Table3[[#All],[PID]],0)))</f>
        <v>R</v>
      </c>
      <c r="J1243" s="52" t="str">
        <f>IF($C1243="B",INDEX(Batters[[#All],[WE]],MATCH(Table5[[#This Row],[PID]],Batters[[#All],[PID]],0)),INDEX(Table3[[#All],[WE]],MATCH(Table5[[#This Row],[PID]],Table3[[#All],[PID]],0)))</f>
        <v>High</v>
      </c>
      <c r="K1243" s="52" t="str">
        <f>IF($C1243="B",INDEX(Batters[[#All],[INT]],MATCH(Table5[[#This Row],[PID]],Batters[[#All],[PID]],0)),INDEX(Table3[[#All],[INT]],MATCH(Table5[[#This Row],[PID]],Table3[[#All],[PID]],0)))</f>
        <v>Normal</v>
      </c>
      <c r="L1243" s="60">
        <f>IF($C1243="B",INDEX(Batters[[#All],[CON P]],MATCH(Table5[[#This Row],[PID]],Batters[[#All],[PID]],0)),INDEX(Table3[[#All],[STU P]],MATCH(Table5[[#This Row],[PID]],Table3[[#All],[PID]],0)))</f>
        <v>3</v>
      </c>
      <c r="M1243" s="56">
        <f>IF($C1243="B",INDEX(Batters[[#All],[GAP P]],MATCH(Table5[[#This Row],[PID]],Batters[[#All],[PID]],0)),INDEX(Table3[[#All],[MOV P]],MATCH(Table5[[#This Row],[PID]],Table3[[#All],[PID]],0)))</f>
        <v>3</v>
      </c>
      <c r="N1243" s="56">
        <f>IF($C1243="B",INDEX(Batters[[#All],[POW P]],MATCH(Table5[[#This Row],[PID]],Batters[[#All],[PID]],0)),INDEX(Table3[[#All],[CON P]],MATCH(Table5[[#This Row],[PID]],Table3[[#All],[PID]],0)))</f>
        <v>2</v>
      </c>
      <c r="O1243" s="56">
        <f>IF($C1243="B",INDEX(Batters[[#All],[EYE P]],MATCH(Table5[[#This Row],[PID]],Batters[[#All],[PID]],0)),INDEX(Table3[[#All],[VELO]],MATCH(Table5[[#This Row],[PID]],Table3[[#All],[PID]],0)))</f>
        <v>3</v>
      </c>
      <c r="P1243" s="56">
        <f>IF($C1243="B",INDEX(Batters[[#All],[K P]],MATCH(Table5[[#This Row],[PID]],Batters[[#All],[PID]],0)),INDEX(Table3[[#All],[STM]],MATCH(Table5[[#This Row],[PID]],Table3[[#All],[PID]],0)))</f>
        <v>4</v>
      </c>
      <c r="Q1243" s="61">
        <f>IF($C1243="B",INDEX(Batters[[#All],[Tot]],MATCH(Table5[[#This Row],[PID]],Batters[[#All],[PID]],0)),INDEX(Table3[[#All],[Tot]],MATCH(Table5[[#This Row],[PID]],Table3[[#All],[PID]],0)))</f>
        <v>38.653855113134576</v>
      </c>
      <c r="R1243" s="70">
        <f>IF($C1243="B",INDEX(Batters[[#All],[zScore]],MATCH(Table5[[#This Row],[PID]],Batters[[#All],[PID]],0)),INDEX(Table3[[#All],[zScore]],MATCH(Table5[[#This Row],[PID]],Table3[[#All],[PID]],0)))</f>
        <v>-1.2145283861197496</v>
      </c>
      <c r="S1243" s="79" t="str">
        <f>IF($C1243="B",INDEX(Batters[[#All],[DEM]],MATCH(Table5[[#This Row],[PID]],Batters[[#All],[PID]],0)),INDEX(Table3[[#All],[DEM]],MATCH(Table5[[#This Row],[PID]],Table3[[#All],[PID]],0)))</f>
        <v>$65k</v>
      </c>
      <c r="T1243" s="62">
        <f>IF($C1243="B",INDEX(Batters[[#All],[Rnk]],MATCH(Table5[[#This Row],[PID]],Batters[[#All],[PID]],0)),INDEX(Table3[[#All],[Rnk]],MATCH(Table5[[#This Row],[PID]],Table3[[#All],[PID]],0)))</f>
        <v>469</v>
      </c>
      <c r="U1243" s="68">
        <f>IF($C1243="B",VLOOKUP($A1243,Bat!$A$4:$BA$1621,47,FALSE),VLOOKUP($A1243,Pit!$A$4:$BF$1557,56,FALSE))</f>
        <v>0</v>
      </c>
      <c r="V1243" s="50">
        <f>IF($C1243="B",VLOOKUP($A1243,Bat!$A$4:$BA$1621,48,FALSE),VLOOKUP($A1243,Pit!$A$4:$BF$1557,57,FALSE))</f>
        <v>0</v>
      </c>
      <c r="W1243" s="50">
        <f>Table5[[#This Row],[posRnk]]+Table5[[#This Row],[zRnk]]+IF($W$3&lt;&gt;Table5[[#This Row],[Type]],50,0)</f>
        <v>1731</v>
      </c>
      <c r="X1243" s="51">
        <f>RANK(Table5[[#This Row],[zScore]],Table5[[#All],[zScore]])</f>
        <v>1212</v>
      </c>
      <c r="Y1243" s="50" t="str">
        <f>IFERROR(INDEX(DraftResults[[#All],[OVR]],MATCH(Table5[[#This Row],[PID]],DraftResults[[#All],[Player ID]],0)),"")</f>
        <v/>
      </c>
      <c r="Z12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3" s="50" t="str">
        <f>IFERROR(INDEX(DraftResults[[#All],[Pick in Round]],MATCH(Table5[[#This Row],[PID]],DraftResults[[#All],[Player ID]],0)),"")</f>
        <v/>
      </c>
      <c r="AB1243" s="50" t="str">
        <f>IFERROR(INDEX(DraftResults[[#All],[Team Name]],MATCH(Table5[[#This Row],[PID]],DraftResults[[#All],[Player ID]],0)),"")</f>
        <v/>
      </c>
      <c r="AC1243" s="50" t="str">
        <f>IF(Table5[[#This Row],[Ovr]]="","",IF(Table5[[#This Row],[cmbList]]="","",Table5[[#This Row],[cmbList]]-Table5[[#This Row],[Ovr]]))</f>
        <v/>
      </c>
      <c r="AD1243" s="54" t="str">
        <f>IF(ISERROR(VLOOKUP($AB1243&amp;"-"&amp;$E1243&amp;" "&amp;F1243,Bonuses!$B$1:$G$1006,4,FALSE)),"",INT(VLOOKUP($AB1243&amp;"-"&amp;$E1243&amp;" "&amp;$F1243,Bonuses!$B$1:$G$1006,4,FALSE)))</f>
        <v/>
      </c>
      <c r="AE12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4" spans="1:31" x14ac:dyDescent="0.25">
      <c r="A1244" s="50">
        <v>20443</v>
      </c>
      <c r="B1244" s="50">
        <f>COUNTIF(Table5[PID],A1244)</f>
        <v>1</v>
      </c>
      <c r="C1244" s="50" t="str">
        <f>IF(COUNTIF(Table3[[#All],[PID]],A1244)&gt;0,"P","B")</f>
        <v>B</v>
      </c>
      <c r="D1244" s="59" t="str">
        <f>IF($C1244="B",INDEX(Batters[[#All],[POS]],MATCH(Table5[[#This Row],[PID]],Batters[[#All],[PID]],0)),INDEX(Table3[[#All],[POS]],MATCH(Table5[[#This Row],[PID]],Table3[[#All],[PID]],0)))</f>
        <v>2B</v>
      </c>
      <c r="E1244" s="52" t="str">
        <f>IF($C1244="B",INDEX(Batters[[#All],[First]],MATCH(Table5[[#This Row],[PID]],Batters[[#All],[PID]],0)),INDEX(Table3[[#All],[First]],MATCH(Table5[[#This Row],[PID]],Table3[[#All],[PID]],0)))</f>
        <v>Junnosuke</v>
      </c>
      <c r="F1244" s="50" t="str">
        <f>IF($C1244="B",INDEX(Batters[[#All],[Last]],MATCH(A1244,Batters[[#All],[PID]],0)),INDEX(Table3[[#All],[Last]],MATCH(A1244,Table3[[#All],[PID]],0)))</f>
        <v>Goto</v>
      </c>
      <c r="G1244" s="56">
        <f>IF($C1244="B",INDEX(Batters[[#All],[Age]],MATCH(Table5[[#This Row],[PID]],Batters[[#All],[PID]],0)),INDEX(Table3[[#All],[Age]],MATCH(Table5[[#This Row],[PID]],Table3[[#All],[PID]],0)))</f>
        <v>18</v>
      </c>
      <c r="H1244" s="52" t="str">
        <f>IF($C1244="B",INDEX(Batters[[#All],[B]],MATCH(Table5[[#This Row],[PID]],Batters[[#All],[PID]],0)),INDEX(Table3[[#All],[B]],MATCH(Table5[[#This Row],[PID]],Table3[[#All],[PID]],0)))</f>
        <v>R</v>
      </c>
      <c r="I1244" s="70" t="str">
        <f>IF($C1244="B",INDEX(Batters[[#All],[T]],MATCH(Table5[[#This Row],[PID]],Batters[[#All],[PID]],0)),INDEX(Table3[[#All],[T]],MATCH(Table5[[#This Row],[PID]],Table3[[#All],[PID]],0)))</f>
        <v>R</v>
      </c>
      <c r="J1244" s="52" t="str">
        <f>IF($C1244="B",INDEX(Batters[[#All],[WE]],MATCH(Table5[[#This Row],[PID]],Batters[[#All],[PID]],0)),INDEX(Table3[[#All],[WE]],MATCH(Table5[[#This Row],[PID]],Table3[[#All],[PID]],0)))</f>
        <v>High</v>
      </c>
      <c r="K1244" s="52" t="str">
        <f>IF($C1244="B",INDEX(Batters[[#All],[INT]],MATCH(Table5[[#This Row],[PID]],Batters[[#All],[PID]],0)),INDEX(Table3[[#All],[INT]],MATCH(Table5[[#This Row],[PID]],Table3[[#All],[PID]],0)))</f>
        <v>Normal</v>
      </c>
      <c r="L1244" s="60">
        <f>IF($C1244="B",INDEX(Batters[[#All],[CON P]],MATCH(Table5[[#This Row],[PID]],Batters[[#All],[PID]],0)),INDEX(Table3[[#All],[STU P]],MATCH(Table5[[#This Row],[PID]],Table3[[#All],[PID]],0)))</f>
        <v>2</v>
      </c>
      <c r="M1244" s="56">
        <f>IF($C1244="B",INDEX(Batters[[#All],[GAP P]],MATCH(Table5[[#This Row],[PID]],Batters[[#All],[PID]],0)),INDEX(Table3[[#All],[MOV P]],MATCH(Table5[[#This Row],[PID]],Table3[[#All],[PID]],0)))</f>
        <v>5</v>
      </c>
      <c r="N1244" s="56">
        <f>IF($C1244="B",INDEX(Batters[[#All],[POW P]],MATCH(Table5[[#This Row],[PID]],Batters[[#All],[PID]],0)),INDEX(Table3[[#All],[CON P]],MATCH(Table5[[#This Row],[PID]],Table3[[#All],[PID]],0)))</f>
        <v>2</v>
      </c>
      <c r="O1244" s="56">
        <f>IF($C1244="B",INDEX(Batters[[#All],[EYE P]],MATCH(Table5[[#This Row],[PID]],Batters[[#All],[PID]],0)),INDEX(Table3[[#All],[VELO]],MATCH(Table5[[#This Row],[PID]],Table3[[#All],[PID]],0)))</f>
        <v>5</v>
      </c>
      <c r="P1244" s="56">
        <f>IF($C1244="B",INDEX(Batters[[#All],[K P]],MATCH(Table5[[#This Row],[PID]],Batters[[#All],[PID]],0)),INDEX(Table3[[#All],[STM]],MATCH(Table5[[#This Row],[PID]],Table3[[#All],[PID]],0)))</f>
        <v>3</v>
      </c>
      <c r="Q1244" s="61">
        <f>IF($C1244="B",INDEX(Batters[[#All],[Tot]],MATCH(Table5[[#This Row],[PID]],Batters[[#All],[PID]],0)),INDEX(Table3[[#All],[Tot]],MATCH(Table5[[#This Row],[PID]],Table3[[#All],[PID]],0)))</f>
        <v>38.63397157623433</v>
      </c>
      <c r="R1244" s="70">
        <f>IF($C1244="B",INDEX(Batters[[#All],[zScore]],MATCH(Table5[[#This Row],[PID]],Batters[[#All],[PID]],0)),INDEX(Table3[[#All],[zScore]],MATCH(Table5[[#This Row],[PID]],Table3[[#All],[PID]],0)))</f>
        <v>-1.2189367006507701</v>
      </c>
      <c r="S1244" s="79" t="str">
        <f>IF($C1244="B",INDEX(Batters[[#All],[DEM]],MATCH(Table5[[#This Row],[PID]],Batters[[#All],[PID]],0)),INDEX(Table3[[#All],[DEM]],MATCH(Table5[[#This Row],[PID]],Table3[[#All],[PID]],0)))</f>
        <v>$65k</v>
      </c>
      <c r="T1244" s="62">
        <f>IF($C1244="B",INDEX(Batters[[#All],[Rnk]],MATCH(Table5[[#This Row],[PID]],Batters[[#All],[PID]],0)),INDEX(Table3[[#All],[Rnk]],MATCH(Table5[[#This Row],[PID]],Table3[[#All],[PID]],0)))</f>
        <v>470</v>
      </c>
      <c r="U1244" s="68">
        <f>IF($C1244="B",VLOOKUP($A1244,Bat!$A$4:$BA$1621,47,FALSE),VLOOKUP($A1244,Pit!$A$4:$BF$1557,56,FALSE))</f>
        <v>0</v>
      </c>
      <c r="V1244" s="50">
        <f>IF($C1244="B",VLOOKUP($A1244,Bat!$A$4:$BA$1621,48,FALSE),VLOOKUP($A1244,Pit!$A$4:$BF$1557,57,FALSE))</f>
        <v>0</v>
      </c>
      <c r="W1244" s="50">
        <f>Table5[[#This Row],[posRnk]]+Table5[[#This Row],[zRnk]]+IF($W$3&lt;&gt;Table5[[#This Row],[Type]],50,0)</f>
        <v>1733</v>
      </c>
      <c r="X1244" s="51">
        <f>RANK(Table5[[#This Row],[zScore]],Table5[[#All],[zScore]])</f>
        <v>1213</v>
      </c>
      <c r="Y1244" s="50" t="str">
        <f>IFERROR(INDEX(DraftResults[[#All],[OVR]],MATCH(Table5[[#This Row],[PID]],DraftResults[[#All],[Player ID]],0)),"")</f>
        <v/>
      </c>
      <c r="Z12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4" s="50" t="str">
        <f>IFERROR(INDEX(DraftResults[[#All],[Pick in Round]],MATCH(Table5[[#This Row],[PID]],DraftResults[[#All],[Player ID]],0)),"")</f>
        <v/>
      </c>
      <c r="AB1244" s="50" t="str">
        <f>IFERROR(INDEX(DraftResults[[#All],[Team Name]],MATCH(Table5[[#This Row],[PID]],DraftResults[[#All],[Player ID]],0)),"")</f>
        <v/>
      </c>
      <c r="AC1244" s="50" t="str">
        <f>IF(Table5[[#This Row],[Ovr]]="","",IF(Table5[[#This Row],[cmbList]]="","",Table5[[#This Row],[cmbList]]-Table5[[#This Row],[Ovr]]))</f>
        <v/>
      </c>
      <c r="AD1244" s="54" t="str">
        <f>IF(ISERROR(VLOOKUP($AB1244&amp;"-"&amp;$E1244&amp;" "&amp;F1244,Bonuses!$B$1:$G$1006,4,FALSE)),"",INT(VLOOKUP($AB1244&amp;"-"&amp;$E1244&amp;" "&amp;$F1244,Bonuses!$B$1:$G$1006,4,FALSE)))</f>
        <v/>
      </c>
      <c r="AE12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5" spans="1:31" x14ac:dyDescent="0.25">
      <c r="A1245" s="50">
        <v>12585</v>
      </c>
      <c r="B1245" s="50">
        <f>COUNTIF(Table5[PID],A1245)</f>
        <v>1</v>
      </c>
      <c r="C1245" s="50" t="str">
        <f>IF(COUNTIF(Table3[[#All],[PID]],A1245)&gt;0,"P","B")</f>
        <v>P</v>
      </c>
      <c r="D1245" s="59" t="str">
        <f>IF($C1245="B",INDEX(Batters[[#All],[POS]],MATCH(Table5[[#This Row],[PID]],Batters[[#All],[PID]],0)),INDEX(Table3[[#All],[POS]],MATCH(Table5[[#This Row],[PID]],Table3[[#All],[PID]],0)))</f>
        <v>RP</v>
      </c>
      <c r="E1245" s="52" t="str">
        <f>IF($C1245="B",INDEX(Batters[[#All],[First]],MATCH(Table5[[#This Row],[PID]],Batters[[#All],[PID]],0)),INDEX(Table3[[#All],[First]],MATCH(Table5[[#This Row],[PID]],Table3[[#All],[PID]],0)))</f>
        <v>Luke</v>
      </c>
      <c r="F1245" s="50" t="str">
        <f>IF($C1245="B",INDEX(Batters[[#All],[Last]],MATCH(A1245,Batters[[#All],[PID]],0)),INDEX(Table3[[#All],[Last]],MATCH(A1245,Table3[[#All],[PID]],0)))</f>
        <v>Auchnie</v>
      </c>
      <c r="G1245" s="56">
        <f>IF($C1245="B",INDEX(Batters[[#All],[Age]],MATCH(Table5[[#This Row],[PID]],Batters[[#All],[PID]],0)),INDEX(Table3[[#All],[Age]],MATCH(Table5[[#This Row],[PID]],Table3[[#All],[PID]],0)))</f>
        <v>21</v>
      </c>
      <c r="H1245" s="52" t="str">
        <f>IF($C1245="B",INDEX(Batters[[#All],[B]],MATCH(Table5[[#This Row],[PID]],Batters[[#All],[PID]],0)),INDEX(Table3[[#All],[B]],MATCH(Table5[[#This Row],[PID]],Table3[[#All],[PID]],0)))</f>
        <v>R</v>
      </c>
      <c r="I1245" s="70" t="str">
        <f>IF($C1245="B",INDEX(Batters[[#All],[T]],MATCH(Table5[[#This Row],[PID]],Batters[[#All],[PID]],0)),INDEX(Table3[[#All],[T]],MATCH(Table5[[#This Row],[PID]],Table3[[#All],[PID]],0)))</f>
        <v>R</v>
      </c>
      <c r="J1245" s="52" t="str">
        <f>IF($C1245="B",INDEX(Batters[[#All],[WE]],MATCH(Table5[[#This Row],[PID]],Batters[[#All],[PID]],0)),INDEX(Table3[[#All],[WE]],MATCH(Table5[[#This Row],[PID]],Table3[[#All],[PID]],0)))</f>
        <v>Low</v>
      </c>
      <c r="K1245" s="52" t="str">
        <f>IF($C1245="B",INDEX(Batters[[#All],[INT]],MATCH(Table5[[#This Row],[PID]],Batters[[#All],[PID]],0)),INDEX(Table3[[#All],[INT]],MATCH(Table5[[#This Row],[PID]],Table3[[#All],[PID]],0)))</f>
        <v>Normal</v>
      </c>
      <c r="L1245" s="60">
        <f>IF($C1245="B",INDEX(Batters[[#All],[CON P]],MATCH(Table5[[#This Row],[PID]],Batters[[#All],[PID]],0)),INDEX(Table3[[#All],[STU P]],MATCH(Table5[[#This Row],[PID]],Table3[[#All],[PID]],0)))</f>
        <v>3</v>
      </c>
      <c r="M1245" s="56">
        <f>IF($C1245="B",INDEX(Batters[[#All],[GAP P]],MATCH(Table5[[#This Row],[PID]],Batters[[#All],[PID]],0)),INDEX(Table3[[#All],[MOV P]],MATCH(Table5[[#This Row],[PID]],Table3[[#All],[PID]],0)))</f>
        <v>1</v>
      </c>
      <c r="N1245" s="56">
        <f>IF($C1245="B",INDEX(Batters[[#All],[POW P]],MATCH(Table5[[#This Row],[PID]],Batters[[#All],[PID]],0)),INDEX(Table3[[#All],[CON P]],MATCH(Table5[[#This Row],[PID]],Table3[[#All],[PID]],0)))</f>
        <v>2</v>
      </c>
      <c r="O1245" s="56" t="str">
        <f>IF($C1245="B",INDEX(Batters[[#All],[EYE P]],MATCH(Table5[[#This Row],[PID]],Batters[[#All],[PID]],0)),INDEX(Table3[[#All],[VELO]],MATCH(Table5[[#This Row],[PID]],Table3[[#All],[PID]],0)))</f>
        <v>86-88 Mph</v>
      </c>
      <c r="P1245" s="56">
        <f>IF($C1245="B",INDEX(Batters[[#All],[K P]],MATCH(Table5[[#This Row],[PID]],Batters[[#All],[PID]],0)),INDEX(Table3[[#All],[STM]],MATCH(Table5[[#This Row],[PID]],Table3[[#All],[PID]],0)))</f>
        <v>5</v>
      </c>
      <c r="Q1245" s="61">
        <f>IF($C1245="B",INDEX(Batters[[#All],[Tot]],MATCH(Table5[[#This Row],[PID]],Batters[[#All],[PID]],0)),INDEX(Table3[[#All],[Tot]],MATCH(Table5[[#This Row],[PID]],Table3[[#All],[PID]],0)))</f>
        <v>17.499021853188271</v>
      </c>
      <c r="R1245" s="70">
        <f>IF($C1245="B",INDEX(Batters[[#All],[zScore]],MATCH(Table5[[#This Row],[PID]],Batters[[#All],[PID]],0)),INDEX(Table3[[#All],[zScore]],MATCH(Table5[[#This Row],[PID]],Table3[[#All],[PID]],0)))</f>
        <v>-1.222228100090238</v>
      </c>
      <c r="S1245" s="79" t="str">
        <f>IF($C1245="B",INDEX(Batters[[#All],[DEM]],MATCH(Table5[[#This Row],[PID]],Batters[[#All],[PID]],0)),INDEX(Table3[[#All],[DEM]],MATCH(Table5[[#This Row],[PID]],Table3[[#All],[PID]],0)))</f>
        <v>-</v>
      </c>
      <c r="T1245" s="62">
        <f>IF($C1245="B",INDEX(Batters[[#All],[Rnk]],MATCH(Table5[[#This Row],[PID]],Batters[[#All],[PID]],0)),INDEX(Table3[[#All],[Rnk]],MATCH(Table5[[#This Row],[PID]],Table3[[#All],[PID]],0)))</f>
        <v>743</v>
      </c>
      <c r="U1245" s="68">
        <f>IF($C1245="B",VLOOKUP($A1245,Bat!$A$4:$BA$1621,47,FALSE),VLOOKUP($A1245,Pit!$A$4:$BF$1557,56,FALSE))</f>
        <v>0</v>
      </c>
      <c r="V1245" s="50">
        <f>IF($C1245="B",VLOOKUP($A1245,Bat!$A$4:$BA$1621,48,FALSE),VLOOKUP($A1245,Pit!$A$4:$BF$1557,57,FALSE))</f>
        <v>0</v>
      </c>
      <c r="W1245" s="50">
        <f>Table5[[#This Row],[posRnk]]+Table5[[#This Row],[zRnk]]+IF($W$3&lt;&gt;Table5[[#This Row],[Type]],50,0)</f>
        <v>2007</v>
      </c>
      <c r="X1245" s="51">
        <f>RANK(Table5[[#This Row],[zScore]],Table5[[#All],[zScore]])</f>
        <v>1214</v>
      </c>
      <c r="Y1245" s="50" t="str">
        <f>IFERROR(INDEX(DraftResults[[#All],[OVR]],MATCH(Table5[[#This Row],[PID]],DraftResults[[#All],[Player ID]],0)),"")</f>
        <v/>
      </c>
      <c r="Z12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5" s="50" t="str">
        <f>IFERROR(INDEX(DraftResults[[#All],[Pick in Round]],MATCH(Table5[[#This Row],[PID]],DraftResults[[#All],[Player ID]],0)),"")</f>
        <v/>
      </c>
      <c r="AB1245" s="50" t="str">
        <f>IFERROR(INDEX(DraftResults[[#All],[Team Name]],MATCH(Table5[[#This Row],[PID]],DraftResults[[#All],[Player ID]],0)),"")</f>
        <v/>
      </c>
      <c r="AC1245" s="50" t="str">
        <f>IF(Table5[[#This Row],[Ovr]]="","",IF(Table5[[#This Row],[cmbList]]="","",Table5[[#This Row],[cmbList]]-Table5[[#This Row],[Ovr]]))</f>
        <v/>
      </c>
      <c r="AD1245" s="54" t="str">
        <f>IF(ISERROR(VLOOKUP($AB1245&amp;"-"&amp;$E1245&amp;" "&amp;F1245,Bonuses!$B$1:$G$1006,4,FALSE)),"",INT(VLOOKUP($AB1245&amp;"-"&amp;$E1245&amp;" "&amp;$F1245,Bonuses!$B$1:$G$1006,4,FALSE)))</f>
        <v/>
      </c>
      <c r="AE12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6" spans="1:31" x14ac:dyDescent="0.25">
      <c r="A1246" s="50">
        <v>12619</v>
      </c>
      <c r="B1246" s="50">
        <f>COUNTIF(Table5[PID],A1246)</f>
        <v>1</v>
      </c>
      <c r="C1246" s="50" t="str">
        <f>IF(COUNTIF(Table3[[#All],[PID]],A1246)&gt;0,"P","B")</f>
        <v>P</v>
      </c>
      <c r="D1246" s="59" t="str">
        <f>IF($C1246="B",INDEX(Batters[[#All],[POS]],MATCH(Table5[[#This Row],[PID]],Batters[[#All],[PID]],0)),INDEX(Table3[[#All],[POS]],MATCH(Table5[[#This Row],[PID]],Table3[[#All],[PID]],0)))</f>
        <v>RP</v>
      </c>
      <c r="E1246" s="52" t="str">
        <f>IF($C1246="B",INDEX(Batters[[#All],[First]],MATCH(Table5[[#This Row],[PID]],Batters[[#All],[PID]],0)),INDEX(Table3[[#All],[First]],MATCH(Table5[[#This Row],[PID]],Table3[[#All],[PID]],0)))</f>
        <v>Masahiko</v>
      </c>
      <c r="F1246" s="50" t="str">
        <f>IF($C1246="B",INDEX(Batters[[#All],[Last]],MATCH(A1246,Batters[[#All],[PID]],0)),INDEX(Table3[[#All],[Last]],MATCH(A1246,Table3[[#All],[PID]],0)))</f>
        <v>Hori</v>
      </c>
      <c r="G1246" s="56">
        <f>IF($C1246="B",INDEX(Batters[[#All],[Age]],MATCH(Table5[[#This Row],[PID]],Batters[[#All],[PID]],0)),INDEX(Table3[[#All],[Age]],MATCH(Table5[[#This Row],[PID]],Table3[[#All],[PID]],0)))</f>
        <v>22</v>
      </c>
      <c r="H1246" s="52" t="str">
        <f>IF($C1246="B",INDEX(Batters[[#All],[B]],MATCH(Table5[[#This Row],[PID]],Batters[[#All],[PID]],0)),INDEX(Table3[[#All],[B]],MATCH(Table5[[#This Row],[PID]],Table3[[#All],[PID]],0)))</f>
        <v>R</v>
      </c>
      <c r="I1246" s="70" t="str">
        <f>IF($C1246="B",INDEX(Batters[[#All],[T]],MATCH(Table5[[#This Row],[PID]],Batters[[#All],[PID]],0)),INDEX(Table3[[#All],[T]],MATCH(Table5[[#This Row],[PID]],Table3[[#All],[PID]],0)))</f>
        <v>R</v>
      </c>
      <c r="J1246" s="52" t="str">
        <f>IF($C1246="B",INDEX(Batters[[#All],[WE]],MATCH(Table5[[#This Row],[PID]],Batters[[#All],[PID]],0)),INDEX(Table3[[#All],[WE]],MATCH(Table5[[#This Row],[PID]],Table3[[#All],[PID]],0)))</f>
        <v>Low</v>
      </c>
      <c r="K1246" s="52" t="str">
        <f>IF($C1246="B",INDEX(Batters[[#All],[INT]],MATCH(Table5[[#This Row],[PID]],Batters[[#All],[PID]],0)),INDEX(Table3[[#All],[INT]],MATCH(Table5[[#This Row],[PID]],Table3[[#All],[PID]],0)))</f>
        <v>Normal</v>
      </c>
      <c r="L1246" s="60">
        <f>IF($C1246="B",INDEX(Batters[[#All],[CON P]],MATCH(Table5[[#This Row],[PID]],Batters[[#All],[PID]],0)),INDEX(Table3[[#All],[STU P]],MATCH(Table5[[#This Row],[PID]],Table3[[#All],[PID]],0)))</f>
        <v>3</v>
      </c>
      <c r="M1246" s="56">
        <f>IF($C1246="B",INDEX(Batters[[#All],[GAP P]],MATCH(Table5[[#This Row],[PID]],Batters[[#All],[PID]],0)),INDEX(Table3[[#All],[MOV P]],MATCH(Table5[[#This Row],[PID]],Table3[[#All],[PID]],0)))</f>
        <v>2</v>
      </c>
      <c r="N1246" s="56">
        <f>IF($C1246="B",INDEX(Batters[[#All],[POW P]],MATCH(Table5[[#This Row],[PID]],Batters[[#All],[PID]],0)),INDEX(Table3[[#All],[CON P]],MATCH(Table5[[#This Row],[PID]],Table3[[#All],[PID]],0)))</f>
        <v>2</v>
      </c>
      <c r="O1246" s="56" t="str">
        <f>IF($C1246="B",INDEX(Batters[[#All],[EYE P]],MATCH(Table5[[#This Row],[PID]],Batters[[#All],[PID]],0)),INDEX(Table3[[#All],[VELO]],MATCH(Table5[[#This Row],[PID]],Table3[[#All],[PID]],0)))</f>
        <v>88-90 Mph</v>
      </c>
      <c r="P1246" s="56">
        <f>IF($C1246="B",INDEX(Batters[[#All],[K P]],MATCH(Table5[[#This Row],[PID]],Batters[[#All],[PID]],0)),INDEX(Table3[[#All],[STM]],MATCH(Table5[[#This Row],[PID]],Table3[[#All],[PID]],0)))</f>
        <v>6</v>
      </c>
      <c r="Q1246" s="61">
        <f>IF($C1246="B",INDEX(Batters[[#All],[Tot]],MATCH(Table5[[#This Row],[PID]],Batters[[#All],[PID]],0)),INDEX(Table3[[#All],[Tot]],MATCH(Table5[[#This Row],[PID]],Table3[[#All],[PID]],0)))</f>
        <v>19.89637324026376</v>
      </c>
      <c r="R1246" s="70">
        <f>IF($C1246="B",INDEX(Batters[[#All],[zScore]],MATCH(Table5[[#This Row],[PID]],Batters[[#All],[PID]],0)),INDEX(Table3[[#All],[zScore]],MATCH(Table5[[#This Row],[PID]],Table3[[#All],[PID]],0)))</f>
        <v>-1.2266518396532551</v>
      </c>
      <c r="S1246" s="79" t="str">
        <f>IF($C1246="B",INDEX(Batters[[#All],[DEM]],MATCH(Table5[[#This Row],[PID]],Batters[[#All],[PID]],0)),INDEX(Table3[[#All],[DEM]],MATCH(Table5[[#This Row],[PID]],Table3[[#All],[PID]],0)))</f>
        <v>-</v>
      </c>
      <c r="T1246" s="62">
        <f>IF($C1246="B",INDEX(Batters[[#All],[Rnk]],MATCH(Table5[[#This Row],[PID]],Batters[[#All],[PID]],0)),INDEX(Table3[[#All],[Rnk]],MATCH(Table5[[#This Row],[PID]],Table3[[#All],[PID]],0)))</f>
        <v>744</v>
      </c>
      <c r="U1246" s="68">
        <f>IF($C1246="B",VLOOKUP($A1246,Bat!$A$4:$BA$1621,47,FALSE),VLOOKUP($A1246,Pit!$A$4:$BF$1557,56,FALSE))</f>
        <v>0</v>
      </c>
      <c r="V1246" s="50">
        <f>IF($C1246="B",VLOOKUP($A1246,Bat!$A$4:$BA$1621,48,FALSE),VLOOKUP($A1246,Pit!$A$4:$BF$1557,57,FALSE))</f>
        <v>0</v>
      </c>
      <c r="W1246" s="50">
        <f>Table5[[#This Row],[posRnk]]+Table5[[#This Row],[zRnk]]+IF($W$3&lt;&gt;Table5[[#This Row],[Type]],50,0)</f>
        <v>2009</v>
      </c>
      <c r="X1246" s="51">
        <f>RANK(Table5[[#This Row],[zScore]],Table5[[#All],[zScore]])</f>
        <v>1215</v>
      </c>
      <c r="Y1246" s="50" t="str">
        <f>IFERROR(INDEX(DraftResults[[#All],[OVR]],MATCH(Table5[[#This Row],[PID]],DraftResults[[#All],[Player ID]],0)),"")</f>
        <v/>
      </c>
      <c r="Z12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6" s="50" t="str">
        <f>IFERROR(INDEX(DraftResults[[#All],[Pick in Round]],MATCH(Table5[[#This Row],[PID]],DraftResults[[#All],[Player ID]],0)),"")</f>
        <v/>
      </c>
      <c r="AB1246" s="50" t="str">
        <f>IFERROR(INDEX(DraftResults[[#All],[Team Name]],MATCH(Table5[[#This Row],[PID]],DraftResults[[#All],[Player ID]],0)),"")</f>
        <v/>
      </c>
      <c r="AC1246" s="50" t="str">
        <f>IF(Table5[[#This Row],[Ovr]]="","",IF(Table5[[#This Row],[cmbList]]="","",Table5[[#This Row],[cmbList]]-Table5[[#This Row],[Ovr]]))</f>
        <v/>
      </c>
      <c r="AD1246" s="54" t="str">
        <f>IF(ISERROR(VLOOKUP($AB1246&amp;"-"&amp;$E1246&amp;" "&amp;F1246,Bonuses!$B$1:$G$1006,4,FALSE)),"",INT(VLOOKUP($AB1246&amp;"-"&amp;$E1246&amp;" "&amp;$F1246,Bonuses!$B$1:$G$1006,4,FALSE)))</f>
        <v/>
      </c>
      <c r="AE12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7" spans="1:31" x14ac:dyDescent="0.25">
      <c r="A1247" s="50">
        <v>20737</v>
      </c>
      <c r="B1247" s="50">
        <f>COUNTIF(Table5[PID],A1247)</f>
        <v>1</v>
      </c>
      <c r="C1247" s="50" t="str">
        <f>IF(COUNTIF(Table3[[#All],[PID]],A1247)&gt;0,"P","B")</f>
        <v>B</v>
      </c>
      <c r="D1247" s="59" t="str">
        <f>IF($C1247="B",INDEX(Batters[[#All],[POS]],MATCH(Table5[[#This Row],[PID]],Batters[[#All],[PID]],0)),INDEX(Table3[[#All],[POS]],MATCH(Table5[[#This Row],[PID]],Table3[[#All],[PID]],0)))</f>
        <v>C</v>
      </c>
      <c r="E1247" s="52" t="str">
        <f>IF($C1247="B",INDEX(Batters[[#All],[First]],MATCH(Table5[[#This Row],[PID]],Batters[[#All],[PID]],0)),INDEX(Table3[[#All],[First]],MATCH(Table5[[#This Row],[PID]],Table3[[#All],[PID]],0)))</f>
        <v>Patrick</v>
      </c>
      <c r="F1247" s="50" t="str">
        <f>IF($C1247="B",INDEX(Batters[[#All],[Last]],MATCH(A1247,Batters[[#All],[PID]],0)),INDEX(Table3[[#All],[Last]],MATCH(A1247,Table3[[#All],[PID]],0)))</f>
        <v>Shaw</v>
      </c>
      <c r="G1247" s="56">
        <f>IF($C1247="B",INDEX(Batters[[#All],[Age]],MATCH(Table5[[#This Row],[PID]],Batters[[#All],[PID]],0)),INDEX(Table3[[#All],[Age]],MATCH(Table5[[#This Row],[PID]],Table3[[#All],[PID]],0)))</f>
        <v>17</v>
      </c>
      <c r="H1247" s="52" t="str">
        <f>IF($C1247="B",INDEX(Batters[[#All],[B]],MATCH(Table5[[#This Row],[PID]],Batters[[#All],[PID]],0)),INDEX(Table3[[#All],[B]],MATCH(Table5[[#This Row],[PID]],Table3[[#All],[PID]],0)))</f>
        <v>L</v>
      </c>
      <c r="I1247" s="70" t="str">
        <f>IF($C1247="B",INDEX(Batters[[#All],[T]],MATCH(Table5[[#This Row],[PID]],Batters[[#All],[PID]],0)),INDEX(Table3[[#All],[T]],MATCH(Table5[[#This Row],[PID]],Table3[[#All],[PID]],0)))</f>
        <v>R</v>
      </c>
      <c r="J1247" s="52" t="str">
        <f>IF($C1247="B",INDEX(Batters[[#All],[WE]],MATCH(Table5[[#This Row],[PID]],Batters[[#All],[PID]],0)),INDEX(Table3[[#All],[WE]],MATCH(Table5[[#This Row],[PID]],Table3[[#All],[PID]],0)))</f>
        <v>Low</v>
      </c>
      <c r="K1247" s="52" t="str">
        <f>IF($C1247="B",INDEX(Batters[[#All],[INT]],MATCH(Table5[[#This Row],[PID]],Batters[[#All],[PID]],0)),INDEX(Table3[[#All],[INT]],MATCH(Table5[[#This Row],[PID]],Table3[[#All],[PID]],0)))</f>
        <v>Normal</v>
      </c>
      <c r="L1247" s="60">
        <f>IF($C1247="B",INDEX(Batters[[#All],[CON P]],MATCH(Table5[[#This Row],[PID]],Batters[[#All],[PID]],0)),INDEX(Table3[[#All],[STU P]],MATCH(Table5[[#This Row],[PID]],Table3[[#All],[PID]],0)))</f>
        <v>2</v>
      </c>
      <c r="M1247" s="56">
        <f>IF($C1247="B",INDEX(Batters[[#All],[GAP P]],MATCH(Table5[[#This Row],[PID]],Batters[[#All],[PID]],0)),INDEX(Table3[[#All],[MOV P]],MATCH(Table5[[#This Row],[PID]],Table3[[#All],[PID]],0)))</f>
        <v>4</v>
      </c>
      <c r="N1247" s="56">
        <f>IF($C1247="B",INDEX(Batters[[#All],[POW P]],MATCH(Table5[[#This Row],[PID]],Batters[[#All],[PID]],0)),INDEX(Table3[[#All],[CON P]],MATCH(Table5[[#This Row],[PID]],Table3[[#All],[PID]],0)))</f>
        <v>4</v>
      </c>
      <c r="O1247" s="56">
        <f>IF($C1247="B",INDEX(Batters[[#All],[EYE P]],MATCH(Table5[[#This Row],[PID]],Batters[[#All],[PID]],0)),INDEX(Table3[[#All],[VELO]],MATCH(Table5[[#This Row],[PID]],Table3[[#All],[PID]],0)))</f>
        <v>6</v>
      </c>
      <c r="P1247" s="56">
        <f>IF($C1247="B",INDEX(Batters[[#All],[K P]],MATCH(Table5[[#This Row],[PID]],Batters[[#All],[PID]],0)),INDEX(Table3[[#All],[STM]],MATCH(Table5[[#This Row],[PID]],Table3[[#All],[PID]],0)))</f>
        <v>1</v>
      </c>
      <c r="Q1247" s="61">
        <f>IF($C1247="B",INDEX(Batters[[#All],[Tot]],MATCH(Table5[[#This Row],[PID]],Batters[[#All],[PID]],0)),INDEX(Table3[[#All],[Tot]],MATCH(Table5[[#This Row],[PID]],Table3[[#All],[PID]],0)))</f>
        <v>38.583441045592338</v>
      </c>
      <c r="R1247" s="70">
        <f>IF($C1247="B",INDEX(Batters[[#All],[zScore]],MATCH(Table5[[#This Row],[PID]],Batters[[#All],[PID]],0)),INDEX(Table3[[#All],[zScore]],MATCH(Table5[[#This Row],[PID]],Table3[[#All],[PID]],0)))</f>
        <v>-1.2301396608487882</v>
      </c>
      <c r="S1247" s="79" t="str">
        <f>IF($C1247="B",INDEX(Batters[[#All],[DEM]],MATCH(Table5[[#This Row],[PID]],Batters[[#All],[PID]],0)),INDEX(Table3[[#All],[DEM]],MATCH(Table5[[#This Row],[PID]],Table3[[#All],[PID]],0)))</f>
        <v>$65k</v>
      </c>
      <c r="T1247" s="62">
        <f>IF($C1247="B",INDEX(Batters[[#All],[Rnk]],MATCH(Table5[[#This Row],[PID]],Batters[[#All],[PID]],0)),INDEX(Table3[[#All],[Rnk]],MATCH(Table5[[#This Row],[PID]],Table3[[#All],[PID]],0)))</f>
        <v>471</v>
      </c>
      <c r="U1247" s="68">
        <f>IF($C1247="B",VLOOKUP($A1247,Bat!$A$4:$BA$1621,47,FALSE),VLOOKUP($A1247,Pit!$A$4:$BF$1557,56,FALSE))</f>
        <v>0</v>
      </c>
      <c r="V1247" s="50">
        <f>IF($C1247="B",VLOOKUP($A1247,Bat!$A$4:$BA$1621,48,FALSE),VLOOKUP($A1247,Pit!$A$4:$BF$1557,57,FALSE))</f>
        <v>0</v>
      </c>
      <c r="W1247" s="50">
        <f>Table5[[#This Row],[posRnk]]+Table5[[#This Row],[zRnk]]+IF($W$3&lt;&gt;Table5[[#This Row],[Type]],50,0)</f>
        <v>1737</v>
      </c>
      <c r="X1247" s="51">
        <f>RANK(Table5[[#This Row],[zScore]],Table5[[#All],[zScore]])</f>
        <v>1216</v>
      </c>
      <c r="Y1247" s="50" t="str">
        <f>IFERROR(INDEX(DraftResults[[#All],[OVR]],MATCH(Table5[[#This Row],[PID]],DraftResults[[#All],[Player ID]],0)),"")</f>
        <v/>
      </c>
      <c r="Z12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7" s="50" t="str">
        <f>IFERROR(INDEX(DraftResults[[#All],[Pick in Round]],MATCH(Table5[[#This Row],[PID]],DraftResults[[#All],[Player ID]],0)),"")</f>
        <v/>
      </c>
      <c r="AB1247" s="50" t="str">
        <f>IFERROR(INDEX(DraftResults[[#All],[Team Name]],MATCH(Table5[[#This Row],[PID]],DraftResults[[#All],[Player ID]],0)),"")</f>
        <v/>
      </c>
      <c r="AC1247" s="50" t="str">
        <f>IF(Table5[[#This Row],[Ovr]]="","",IF(Table5[[#This Row],[cmbList]]="","",Table5[[#This Row],[cmbList]]-Table5[[#This Row],[Ovr]]))</f>
        <v/>
      </c>
      <c r="AD1247" s="54" t="str">
        <f>IF(ISERROR(VLOOKUP($AB1247&amp;"-"&amp;$E1247&amp;" "&amp;F1247,Bonuses!$B$1:$G$1006,4,FALSE)),"",INT(VLOOKUP($AB1247&amp;"-"&amp;$E1247&amp;" "&amp;$F1247,Bonuses!$B$1:$G$1006,4,FALSE)))</f>
        <v/>
      </c>
      <c r="AE12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8" spans="1:31" x14ac:dyDescent="0.25">
      <c r="A1248" s="50">
        <v>7473</v>
      </c>
      <c r="B1248" s="50">
        <f>COUNTIF(Table5[PID],A1248)</f>
        <v>1</v>
      </c>
      <c r="C1248" s="50" t="str">
        <f>IF(COUNTIF(Table3[[#All],[PID]],A1248)&gt;0,"P","B")</f>
        <v>P</v>
      </c>
      <c r="D1248" s="59" t="str">
        <f>IF($C1248="B",INDEX(Batters[[#All],[POS]],MATCH(Table5[[#This Row],[PID]],Batters[[#All],[PID]],0)),INDEX(Table3[[#All],[POS]],MATCH(Table5[[#This Row],[PID]],Table3[[#All],[PID]],0)))</f>
        <v>RP</v>
      </c>
      <c r="E1248" s="52" t="str">
        <f>IF($C1248="B",INDEX(Batters[[#All],[First]],MATCH(Table5[[#This Row],[PID]],Batters[[#All],[PID]],0)),INDEX(Table3[[#All],[First]],MATCH(Table5[[#This Row],[PID]],Table3[[#All],[PID]],0)))</f>
        <v>Sam</v>
      </c>
      <c r="F1248" s="50" t="str">
        <f>IF($C1248="B",INDEX(Batters[[#All],[Last]],MATCH(A1248,Batters[[#All],[PID]],0)),INDEX(Table3[[#All],[Last]],MATCH(A1248,Table3[[#All],[PID]],0)))</f>
        <v>Ferguson</v>
      </c>
      <c r="G1248" s="56">
        <f>IF($C1248="B",INDEX(Batters[[#All],[Age]],MATCH(Table5[[#This Row],[PID]],Batters[[#All],[PID]],0)),INDEX(Table3[[#All],[Age]],MATCH(Table5[[#This Row],[PID]],Table3[[#All],[PID]],0)))</f>
        <v>21</v>
      </c>
      <c r="H1248" s="52" t="str">
        <f>IF($C1248="B",INDEX(Batters[[#All],[B]],MATCH(Table5[[#This Row],[PID]],Batters[[#All],[PID]],0)),INDEX(Table3[[#All],[B]],MATCH(Table5[[#This Row],[PID]],Table3[[#All],[PID]],0)))</f>
        <v>L</v>
      </c>
      <c r="I1248" s="70" t="str">
        <f>IF($C1248="B",INDEX(Batters[[#All],[T]],MATCH(Table5[[#This Row],[PID]],Batters[[#All],[PID]],0)),INDEX(Table3[[#All],[T]],MATCH(Table5[[#This Row],[PID]],Table3[[#All],[PID]],0)))</f>
        <v>L</v>
      </c>
      <c r="J1248" s="52" t="str">
        <f>IF($C1248="B",INDEX(Batters[[#All],[WE]],MATCH(Table5[[#This Row],[PID]],Batters[[#All],[PID]],0)),INDEX(Table3[[#All],[WE]],MATCH(Table5[[#This Row],[PID]],Table3[[#All],[PID]],0)))</f>
        <v>Normal</v>
      </c>
      <c r="K1248" s="52" t="str">
        <f>IF($C1248="B",INDEX(Batters[[#All],[INT]],MATCH(Table5[[#This Row],[PID]],Batters[[#All],[PID]],0)),INDEX(Table3[[#All],[INT]],MATCH(Table5[[#This Row],[PID]],Table3[[#All],[PID]],0)))</f>
        <v>High</v>
      </c>
      <c r="L1248" s="60">
        <f>IF($C1248="B",INDEX(Batters[[#All],[CON P]],MATCH(Table5[[#This Row],[PID]],Batters[[#All],[PID]],0)),INDEX(Table3[[#All],[STU P]],MATCH(Table5[[#This Row],[PID]],Table3[[#All],[PID]],0)))</f>
        <v>3</v>
      </c>
      <c r="M1248" s="56">
        <f>IF($C1248="B",INDEX(Batters[[#All],[GAP P]],MATCH(Table5[[#This Row],[PID]],Batters[[#All],[PID]],0)),INDEX(Table3[[#All],[MOV P]],MATCH(Table5[[#This Row],[PID]],Table3[[#All],[PID]],0)))</f>
        <v>2</v>
      </c>
      <c r="N1248" s="56">
        <f>IF($C1248="B",INDEX(Batters[[#All],[POW P]],MATCH(Table5[[#This Row],[PID]],Batters[[#All],[PID]],0)),INDEX(Table3[[#All],[CON P]],MATCH(Table5[[#This Row],[PID]],Table3[[#All],[PID]],0)))</f>
        <v>2</v>
      </c>
      <c r="O1248" s="56" t="str">
        <f>IF($C1248="B",INDEX(Batters[[#All],[EYE P]],MATCH(Table5[[#This Row],[PID]],Batters[[#All],[PID]],0)),INDEX(Table3[[#All],[VELO]],MATCH(Table5[[#This Row],[PID]],Table3[[#All],[PID]],0)))</f>
        <v>83-85 Mph</v>
      </c>
      <c r="P1248" s="56">
        <f>IF($C1248="B",INDEX(Batters[[#All],[K P]],MATCH(Table5[[#This Row],[PID]],Batters[[#All],[PID]],0)),INDEX(Table3[[#All],[STM]],MATCH(Table5[[#This Row],[PID]],Table3[[#All],[PID]],0)))</f>
        <v>4</v>
      </c>
      <c r="Q1248" s="61">
        <f>IF($C1248="B",INDEX(Batters[[#All],[Tot]],MATCH(Table5[[#This Row],[PID]],Batters[[#All],[PID]],0)),INDEX(Table3[[#All],[Tot]],MATCH(Table5[[#This Row],[PID]],Table3[[#All],[PID]],0)))</f>
        <v>17.361802115868052</v>
      </c>
      <c r="R1248" s="70">
        <f>IF($C1248="B",INDEX(Batters[[#All],[zScore]],MATCH(Table5[[#This Row],[PID]],Batters[[#All],[PID]],0)),INDEX(Table3[[#All],[zScore]],MATCH(Table5[[#This Row],[PID]],Table3[[#All],[PID]],0)))</f>
        <v>-1.2313571195274584</v>
      </c>
      <c r="S1248" s="79" t="str">
        <f>IF($C1248="B",INDEX(Batters[[#All],[DEM]],MATCH(Table5[[#This Row],[PID]],Batters[[#All],[PID]],0)),INDEX(Table3[[#All],[DEM]],MATCH(Table5[[#This Row],[PID]],Table3[[#All],[PID]],0)))</f>
        <v>-</v>
      </c>
      <c r="T1248" s="62">
        <f>IF($C1248="B",INDEX(Batters[[#All],[Rnk]],MATCH(Table5[[#This Row],[PID]],Batters[[#All],[PID]],0)),INDEX(Table3[[#All],[Rnk]],MATCH(Table5[[#This Row],[PID]],Table3[[#All],[PID]],0)))</f>
        <v>745</v>
      </c>
      <c r="U1248" s="68">
        <f>IF($C1248="B",VLOOKUP($A1248,Bat!$A$4:$BA$1621,47,FALSE),VLOOKUP($A1248,Pit!$A$4:$BF$1557,56,FALSE))</f>
        <v>0</v>
      </c>
      <c r="V1248" s="50">
        <f>IF($C1248="B",VLOOKUP($A1248,Bat!$A$4:$BA$1621,48,FALSE),VLOOKUP($A1248,Pit!$A$4:$BF$1557,57,FALSE))</f>
        <v>0</v>
      </c>
      <c r="W1248" s="50">
        <f>Table5[[#This Row],[posRnk]]+Table5[[#This Row],[zRnk]]+IF($W$3&lt;&gt;Table5[[#This Row],[Type]],50,0)</f>
        <v>2012</v>
      </c>
      <c r="X1248" s="51">
        <f>RANK(Table5[[#This Row],[zScore]],Table5[[#All],[zScore]])</f>
        <v>1217</v>
      </c>
      <c r="Y1248" s="50" t="str">
        <f>IFERROR(INDEX(DraftResults[[#All],[OVR]],MATCH(Table5[[#This Row],[PID]],DraftResults[[#All],[Player ID]],0)),"")</f>
        <v/>
      </c>
      <c r="Z12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8" s="50" t="str">
        <f>IFERROR(INDEX(DraftResults[[#All],[Pick in Round]],MATCH(Table5[[#This Row],[PID]],DraftResults[[#All],[Player ID]],0)),"")</f>
        <v/>
      </c>
      <c r="AB1248" s="50" t="str">
        <f>IFERROR(INDEX(DraftResults[[#All],[Team Name]],MATCH(Table5[[#This Row],[PID]],DraftResults[[#All],[Player ID]],0)),"")</f>
        <v/>
      </c>
      <c r="AC1248" s="50" t="str">
        <f>IF(Table5[[#This Row],[Ovr]]="","",IF(Table5[[#This Row],[cmbList]]="","",Table5[[#This Row],[cmbList]]-Table5[[#This Row],[Ovr]]))</f>
        <v/>
      </c>
      <c r="AD1248" s="54" t="str">
        <f>IF(ISERROR(VLOOKUP($AB1248&amp;"-"&amp;$E1248&amp;" "&amp;F1248,Bonuses!$B$1:$G$1006,4,FALSE)),"",INT(VLOOKUP($AB1248&amp;"-"&amp;$E1248&amp;" "&amp;$F1248,Bonuses!$B$1:$G$1006,4,FALSE)))</f>
        <v/>
      </c>
      <c r="AE12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49" spans="1:31" x14ac:dyDescent="0.25">
      <c r="A1249" s="50">
        <v>5241</v>
      </c>
      <c r="B1249" s="50">
        <f>COUNTIF(Table5[PID],A1249)</f>
        <v>1</v>
      </c>
      <c r="C1249" s="50" t="str">
        <f>IF(COUNTIF(Table3[[#All],[PID]],A1249)&gt;0,"P","B")</f>
        <v>P</v>
      </c>
      <c r="D1249" s="59" t="str">
        <f>IF($C1249="B",INDEX(Batters[[#All],[POS]],MATCH(Table5[[#This Row],[PID]],Batters[[#All],[PID]],0)),INDEX(Table3[[#All],[POS]],MATCH(Table5[[#This Row],[PID]],Table3[[#All],[PID]],0)))</f>
        <v>RP</v>
      </c>
      <c r="E1249" s="52" t="str">
        <f>IF($C1249="B",INDEX(Batters[[#All],[First]],MATCH(Table5[[#This Row],[PID]],Batters[[#All],[PID]],0)),INDEX(Table3[[#All],[First]],MATCH(Table5[[#This Row],[PID]],Table3[[#All],[PID]],0)))</f>
        <v>Dan</v>
      </c>
      <c r="F1249" s="50" t="str">
        <f>IF($C1249="B",INDEX(Batters[[#All],[Last]],MATCH(A1249,Batters[[#All],[PID]],0)),INDEX(Table3[[#All],[Last]],MATCH(A1249,Table3[[#All],[PID]],0)))</f>
        <v>Doel</v>
      </c>
      <c r="G1249" s="56">
        <f>IF($C1249="B",INDEX(Batters[[#All],[Age]],MATCH(Table5[[#This Row],[PID]],Batters[[#All],[PID]],0)),INDEX(Table3[[#All],[Age]],MATCH(Table5[[#This Row],[PID]],Table3[[#All],[PID]],0)))</f>
        <v>21</v>
      </c>
      <c r="H1249" s="52" t="str">
        <f>IF($C1249="B",INDEX(Batters[[#All],[B]],MATCH(Table5[[#This Row],[PID]],Batters[[#All],[PID]],0)),INDEX(Table3[[#All],[B]],MATCH(Table5[[#This Row],[PID]],Table3[[#All],[PID]],0)))</f>
        <v>S</v>
      </c>
      <c r="I1249" s="70" t="str">
        <f>IF($C1249="B",INDEX(Batters[[#All],[T]],MATCH(Table5[[#This Row],[PID]],Batters[[#All],[PID]],0)),INDEX(Table3[[#All],[T]],MATCH(Table5[[#This Row],[PID]],Table3[[#All],[PID]],0)))</f>
        <v>R</v>
      </c>
      <c r="J1249" s="52" t="str">
        <f>IF($C1249="B",INDEX(Batters[[#All],[WE]],MATCH(Table5[[#This Row],[PID]],Batters[[#All],[PID]],0)),INDEX(Table3[[#All],[WE]],MATCH(Table5[[#This Row],[PID]],Table3[[#All],[PID]],0)))</f>
        <v>Normal</v>
      </c>
      <c r="K1249" s="52" t="str">
        <f>IF($C1249="B",INDEX(Batters[[#All],[INT]],MATCH(Table5[[#This Row],[PID]],Batters[[#All],[PID]],0)),INDEX(Table3[[#All],[INT]],MATCH(Table5[[#This Row],[PID]],Table3[[#All],[PID]],0)))</f>
        <v>Normal</v>
      </c>
      <c r="L1249" s="60">
        <f>IF($C1249="B",INDEX(Batters[[#All],[CON P]],MATCH(Table5[[#This Row],[PID]],Batters[[#All],[PID]],0)),INDEX(Table3[[#All],[STU P]],MATCH(Table5[[#This Row],[PID]],Table3[[#All],[PID]],0)))</f>
        <v>3</v>
      </c>
      <c r="M1249" s="56">
        <f>IF($C1249="B",INDEX(Batters[[#All],[GAP P]],MATCH(Table5[[#This Row],[PID]],Batters[[#All],[PID]],0)),INDEX(Table3[[#All],[MOV P]],MATCH(Table5[[#This Row],[PID]],Table3[[#All],[PID]],0)))</f>
        <v>2</v>
      </c>
      <c r="N1249" s="56">
        <f>IF($C1249="B",INDEX(Batters[[#All],[POW P]],MATCH(Table5[[#This Row],[PID]],Batters[[#All],[PID]],0)),INDEX(Table3[[#All],[CON P]],MATCH(Table5[[#This Row],[PID]],Table3[[#All],[PID]],0)))</f>
        <v>2</v>
      </c>
      <c r="O1249" s="56" t="str">
        <f>IF($C1249="B",INDEX(Batters[[#All],[EYE P]],MATCH(Table5[[#This Row],[PID]],Batters[[#All],[PID]],0)),INDEX(Table3[[#All],[VELO]],MATCH(Table5[[#This Row],[PID]],Table3[[#All],[PID]],0)))</f>
        <v>88-90 Mph</v>
      </c>
      <c r="P1249" s="56">
        <f>IF($C1249="B",INDEX(Batters[[#All],[K P]],MATCH(Table5[[#This Row],[PID]],Batters[[#All],[PID]],0)),INDEX(Table3[[#All],[STM]],MATCH(Table5[[#This Row],[PID]],Table3[[#All],[PID]],0)))</f>
        <v>7</v>
      </c>
      <c r="Q1249" s="61">
        <f>IF($C1249="B",INDEX(Batters[[#All],[Tot]],MATCH(Table5[[#This Row],[PID]],Batters[[#All],[PID]],0)),INDEX(Table3[[#All],[Tot]],MATCH(Table5[[#This Row],[PID]],Table3[[#All],[PID]],0)))</f>
        <v>19.685636646034055</v>
      </c>
      <c r="R1249" s="70">
        <f>IF($C1249="B",INDEX(Batters[[#All],[zScore]],MATCH(Table5[[#This Row],[PID]],Batters[[#All],[PID]],0)),INDEX(Table3[[#All],[zScore]],MATCH(Table5[[#This Row],[PID]],Table3[[#All],[PID]],0)))</f>
        <v>-1.2410872343532697</v>
      </c>
      <c r="S1249" s="79" t="str">
        <f>IF($C1249="B",INDEX(Batters[[#All],[DEM]],MATCH(Table5[[#This Row],[PID]],Batters[[#All],[PID]],0)),INDEX(Table3[[#All],[DEM]],MATCH(Table5[[#This Row],[PID]],Table3[[#All],[PID]],0)))</f>
        <v>-</v>
      </c>
      <c r="T1249" s="62">
        <f>IF($C1249="B",INDEX(Batters[[#All],[Rnk]],MATCH(Table5[[#This Row],[PID]],Batters[[#All],[PID]],0)),INDEX(Table3[[#All],[Rnk]],MATCH(Table5[[#This Row],[PID]],Table3[[#All],[PID]],0)))</f>
        <v>746</v>
      </c>
      <c r="U1249" s="68">
        <f>IF($C1249="B",VLOOKUP($A1249,Bat!$A$4:$BA$1621,47,FALSE),VLOOKUP($A1249,Pit!$A$4:$BF$1557,56,FALSE))</f>
        <v>0</v>
      </c>
      <c r="V1249" s="50">
        <f>IF($C1249="B",VLOOKUP($A1249,Bat!$A$4:$BA$1621,48,FALSE),VLOOKUP($A1249,Pit!$A$4:$BF$1557,57,FALSE))</f>
        <v>0</v>
      </c>
      <c r="W1249" s="50">
        <f>Table5[[#This Row],[posRnk]]+Table5[[#This Row],[zRnk]]+IF($W$3&lt;&gt;Table5[[#This Row],[Type]],50,0)</f>
        <v>2015</v>
      </c>
      <c r="X1249" s="51">
        <f>RANK(Table5[[#This Row],[zScore]],Table5[[#All],[zScore]])</f>
        <v>1219</v>
      </c>
      <c r="Y1249" s="50" t="str">
        <f>IFERROR(INDEX(DraftResults[[#All],[OVR]],MATCH(Table5[[#This Row],[PID]],DraftResults[[#All],[Player ID]],0)),"")</f>
        <v/>
      </c>
      <c r="Z12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49" s="50" t="str">
        <f>IFERROR(INDEX(DraftResults[[#All],[Pick in Round]],MATCH(Table5[[#This Row],[PID]],DraftResults[[#All],[Player ID]],0)),"")</f>
        <v/>
      </c>
      <c r="AB1249" s="50" t="str">
        <f>IFERROR(INDEX(DraftResults[[#All],[Team Name]],MATCH(Table5[[#This Row],[PID]],DraftResults[[#All],[Player ID]],0)),"")</f>
        <v/>
      </c>
      <c r="AC1249" s="50" t="str">
        <f>IF(Table5[[#This Row],[Ovr]]="","",IF(Table5[[#This Row],[cmbList]]="","",Table5[[#This Row],[cmbList]]-Table5[[#This Row],[Ovr]]))</f>
        <v/>
      </c>
      <c r="AD1249" s="54" t="str">
        <f>IF(ISERROR(VLOOKUP($AB1249&amp;"-"&amp;$E1249&amp;" "&amp;F1249,Bonuses!$B$1:$G$1006,4,FALSE)),"",INT(VLOOKUP($AB1249&amp;"-"&amp;$E1249&amp;" "&amp;$F1249,Bonuses!$B$1:$G$1006,4,FALSE)))</f>
        <v/>
      </c>
      <c r="AE12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0" spans="1:31" x14ac:dyDescent="0.25">
      <c r="A1250" s="50">
        <v>18136</v>
      </c>
      <c r="B1250" s="50">
        <f>COUNTIF(Table5[PID],A1250)</f>
        <v>1</v>
      </c>
      <c r="C1250" s="50" t="str">
        <f>IF(COUNTIF(Table3[[#All],[PID]],A1250)&gt;0,"P","B")</f>
        <v>B</v>
      </c>
      <c r="D1250" s="59" t="str">
        <f>IF($C1250="B",INDEX(Batters[[#All],[POS]],MATCH(Table5[[#This Row],[PID]],Batters[[#All],[PID]],0)),INDEX(Table3[[#All],[POS]],MATCH(Table5[[#This Row],[PID]],Table3[[#All],[PID]],0)))</f>
        <v>RF</v>
      </c>
      <c r="E1250" s="52" t="str">
        <f>IF($C1250="B",INDEX(Batters[[#All],[First]],MATCH(Table5[[#This Row],[PID]],Batters[[#All],[PID]],0)),INDEX(Table3[[#All],[First]],MATCH(Table5[[#This Row],[PID]],Table3[[#All],[PID]],0)))</f>
        <v>Juan</v>
      </c>
      <c r="F1250" s="50" t="str">
        <f>IF($C1250="B",INDEX(Batters[[#All],[Last]],MATCH(A1250,Batters[[#All],[PID]],0)),INDEX(Table3[[#All],[Last]],MATCH(A1250,Table3[[#All],[PID]],0)))</f>
        <v>Garza</v>
      </c>
      <c r="G1250" s="56">
        <f>IF($C1250="B",INDEX(Batters[[#All],[Age]],MATCH(Table5[[#This Row],[PID]],Batters[[#All],[PID]],0)),INDEX(Table3[[#All],[Age]],MATCH(Table5[[#This Row],[PID]],Table3[[#All],[PID]],0)))</f>
        <v>21</v>
      </c>
      <c r="H1250" s="52" t="str">
        <f>IF($C1250="B",INDEX(Batters[[#All],[B]],MATCH(Table5[[#This Row],[PID]],Batters[[#All],[PID]],0)),INDEX(Table3[[#All],[B]],MATCH(Table5[[#This Row],[PID]],Table3[[#All],[PID]],0)))</f>
        <v>R</v>
      </c>
      <c r="I1250" s="70" t="str">
        <f>IF($C1250="B",INDEX(Batters[[#All],[T]],MATCH(Table5[[#This Row],[PID]],Batters[[#All],[PID]],0)),INDEX(Table3[[#All],[T]],MATCH(Table5[[#This Row],[PID]],Table3[[#All],[PID]],0)))</f>
        <v>R</v>
      </c>
      <c r="J1250" s="52" t="str">
        <f>IF($C1250="B",INDEX(Batters[[#All],[WE]],MATCH(Table5[[#This Row],[PID]],Batters[[#All],[PID]],0)),INDEX(Table3[[#All],[WE]],MATCH(Table5[[#This Row],[PID]],Table3[[#All],[PID]],0)))</f>
        <v>High</v>
      </c>
      <c r="K1250" s="52" t="str">
        <f>IF($C1250="B",INDEX(Batters[[#All],[INT]],MATCH(Table5[[#This Row],[PID]],Batters[[#All],[PID]],0)),INDEX(Table3[[#All],[INT]],MATCH(Table5[[#This Row],[PID]],Table3[[#All],[PID]],0)))</f>
        <v>Normal</v>
      </c>
      <c r="L1250" s="60">
        <f>IF($C1250="B",INDEX(Batters[[#All],[CON P]],MATCH(Table5[[#This Row],[PID]],Batters[[#All],[PID]],0)),INDEX(Table3[[#All],[STU P]],MATCH(Table5[[#This Row],[PID]],Table3[[#All],[PID]],0)))</f>
        <v>3</v>
      </c>
      <c r="M1250" s="56">
        <f>IF($C1250="B",INDEX(Batters[[#All],[GAP P]],MATCH(Table5[[#This Row],[PID]],Batters[[#All],[PID]],0)),INDEX(Table3[[#All],[MOV P]],MATCH(Table5[[#This Row],[PID]],Table3[[#All],[PID]],0)))</f>
        <v>4</v>
      </c>
      <c r="N1250" s="56">
        <f>IF($C1250="B",INDEX(Batters[[#All],[POW P]],MATCH(Table5[[#This Row],[PID]],Batters[[#All],[PID]],0)),INDEX(Table3[[#All],[CON P]],MATCH(Table5[[#This Row],[PID]],Table3[[#All],[PID]],0)))</f>
        <v>5</v>
      </c>
      <c r="O1250" s="56">
        <f>IF($C1250="B",INDEX(Batters[[#All],[EYE P]],MATCH(Table5[[#This Row],[PID]],Batters[[#All],[PID]],0)),INDEX(Table3[[#All],[VELO]],MATCH(Table5[[#This Row],[PID]],Table3[[#All],[PID]],0)))</f>
        <v>5</v>
      </c>
      <c r="P1250" s="56">
        <f>IF($C1250="B",INDEX(Batters[[#All],[K P]],MATCH(Table5[[#This Row],[PID]],Batters[[#All],[PID]],0)),INDEX(Table3[[#All],[STM]],MATCH(Table5[[#This Row],[PID]],Table3[[#All],[PID]],0)))</f>
        <v>2</v>
      </c>
      <c r="Q1250" s="61">
        <f>IF($C1250="B",INDEX(Batters[[#All],[Tot]],MATCH(Table5[[#This Row],[PID]],Batters[[#All],[PID]],0)),INDEX(Table3[[#All],[Tot]],MATCH(Table5[[#This Row],[PID]],Table3[[#All],[PID]],0)))</f>
        <v>38.500863012584375</v>
      </c>
      <c r="R1250" s="70">
        <f>IF($C1250="B",INDEX(Batters[[#All],[zScore]],MATCH(Table5[[#This Row],[PID]],Batters[[#All],[PID]],0)),INDEX(Table3[[#All],[zScore]],MATCH(Table5[[#This Row],[PID]],Table3[[#All],[PID]],0)))</f>
        <v>-1.2484477689423539</v>
      </c>
      <c r="S1250" s="79" t="str">
        <f>IF($C1250="B",INDEX(Batters[[#All],[DEM]],MATCH(Table5[[#This Row],[PID]],Batters[[#All],[PID]],0)),INDEX(Table3[[#All],[DEM]],MATCH(Table5[[#This Row],[PID]],Table3[[#All],[PID]],0)))</f>
        <v>-</v>
      </c>
      <c r="T1250" s="62">
        <f>IF($C1250="B",INDEX(Batters[[#All],[Rnk]],MATCH(Table5[[#This Row],[PID]],Batters[[#All],[PID]],0)),INDEX(Table3[[#All],[Rnk]],MATCH(Table5[[#This Row],[PID]],Table3[[#All],[PID]],0)))</f>
        <v>474</v>
      </c>
      <c r="U1250" s="68">
        <f>IF($C1250="B",VLOOKUP($A1250,Bat!$A$4:$BA$1621,47,FALSE),VLOOKUP($A1250,Pit!$A$4:$BF$1557,56,FALSE))</f>
        <v>0</v>
      </c>
      <c r="V1250" s="50">
        <f>IF($C1250="B",VLOOKUP($A1250,Bat!$A$4:$BA$1621,48,FALSE),VLOOKUP($A1250,Pit!$A$4:$BF$1557,57,FALSE))</f>
        <v>0</v>
      </c>
      <c r="W1250" s="50">
        <f>Table5[[#This Row],[posRnk]]+Table5[[#This Row],[zRnk]]+IF($W$3&lt;&gt;Table5[[#This Row],[Type]],50,0)</f>
        <v>1745</v>
      </c>
      <c r="X1250" s="51">
        <f>RANK(Table5[[#This Row],[zScore]],Table5[[#All],[zScore]])</f>
        <v>1221</v>
      </c>
      <c r="Y1250" s="50" t="str">
        <f>IFERROR(INDEX(DraftResults[[#All],[OVR]],MATCH(Table5[[#This Row],[PID]],DraftResults[[#All],[Player ID]],0)),"")</f>
        <v/>
      </c>
      <c r="Z12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0" s="50" t="str">
        <f>IFERROR(INDEX(DraftResults[[#All],[Pick in Round]],MATCH(Table5[[#This Row],[PID]],DraftResults[[#All],[Player ID]],0)),"")</f>
        <v/>
      </c>
      <c r="AB1250" s="50" t="str">
        <f>IFERROR(INDEX(DraftResults[[#All],[Team Name]],MATCH(Table5[[#This Row],[PID]],DraftResults[[#All],[Player ID]],0)),"")</f>
        <v/>
      </c>
      <c r="AC1250" s="50" t="str">
        <f>IF(Table5[[#This Row],[Ovr]]="","",IF(Table5[[#This Row],[cmbList]]="","",Table5[[#This Row],[cmbList]]-Table5[[#This Row],[Ovr]]))</f>
        <v/>
      </c>
      <c r="AD1250" s="54" t="str">
        <f>IF(ISERROR(VLOOKUP($AB1250&amp;"-"&amp;$E1250&amp;" "&amp;F1250,Bonuses!$B$1:$G$1006,4,FALSE)),"",INT(VLOOKUP($AB1250&amp;"-"&amp;$E1250&amp;" "&amp;$F1250,Bonuses!$B$1:$G$1006,4,FALSE)))</f>
        <v/>
      </c>
      <c r="AE12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1" spans="1:31" x14ac:dyDescent="0.25">
      <c r="A1251" s="50">
        <v>12991</v>
      </c>
      <c r="B1251" s="50">
        <f>COUNTIF(Table5[PID],A1251)</f>
        <v>1</v>
      </c>
      <c r="C1251" s="50" t="str">
        <f>IF(COUNTIF(Table3[[#All],[PID]],A1251)&gt;0,"P","B")</f>
        <v>P</v>
      </c>
      <c r="D1251" s="59" t="str">
        <f>IF($C1251="B",INDEX(Batters[[#All],[POS]],MATCH(Table5[[#This Row],[PID]],Batters[[#All],[PID]],0)),INDEX(Table3[[#All],[POS]],MATCH(Table5[[#This Row],[PID]],Table3[[#All],[PID]],0)))</f>
        <v>RP</v>
      </c>
      <c r="E1251" s="52" t="str">
        <f>IF($C1251="B",INDEX(Batters[[#All],[First]],MATCH(Table5[[#This Row],[PID]],Batters[[#All],[PID]],0)),INDEX(Table3[[#All],[First]],MATCH(Table5[[#This Row],[PID]],Table3[[#All],[PID]],0)))</f>
        <v>Ian</v>
      </c>
      <c r="F1251" s="50" t="str">
        <f>IF($C1251="B",INDEX(Batters[[#All],[Last]],MATCH(A1251,Batters[[#All],[PID]],0)),INDEX(Table3[[#All],[Last]],MATCH(A1251,Table3[[#All],[PID]],0)))</f>
        <v>Jamieson</v>
      </c>
      <c r="G1251" s="56">
        <f>IF($C1251="B",INDEX(Batters[[#All],[Age]],MATCH(Table5[[#This Row],[PID]],Batters[[#All],[PID]],0)),INDEX(Table3[[#All],[Age]],MATCH(Table5[[#This Row],[PID]],Table3[[#All],[PID]],0)))</f>
        <v>22</v>
      </c>
      <c r="H1251" s="52" t="str">
        <f>IF($C1251="B",INDEX(Batters[[#All],[B]],MATCH(Table5[[#This Row],[PID]],Batters[[#All],[PID]],0)),INDEX(Table3[[#All],[B]],MATCH(Table5[[#This Row],[PID]],Table3[[#All],[PID]],0)))</f>
        <v>L</v>
      </c>
      <c r="I1251" s="70" t="str">
        <f>IF($C1251="B",INDEX(Batters[[#All],[T]],MATCH(Table5[[#This Row],[PID]],Batters[[#All],[PID]],0)),INDEX(Table3[[#All],[T]],MATCH(Table5[[#This Row],[PID]],Table3[[#All],[PID]],0)))</f>
        <v>R</v>
      </c>
      <c r="J1251" s="52" t="str">
        <f>IF($C1251="B",INDEX(Batters[[#All],[WE]],MATCH(Table5[[#This Row],[PID]],Batters[[#All],[PID]],0)),INDEX(Table3[[#All],[WE]],MATCH(Table5[[#This Row],[PID]],Table3[[#All],[PID]],0)))</f>
        <v>Normal</v>
      </c>
      <c r="K1251" s="52" t="str">
        <f>IF($C1251="B",INDEX(Batters[[#All],[INT]],MATCH(Table5[[#This Row],[PID]],Batters[[#All],[PID]],0)),INDEX(Table3[[#All],[INT]],MATCH(Table5[[#This Row],[PID]],Table3[[#All],[PID]],0)))</f>
        <v>Normal</v>
      </c>
      <c r="L1251" s="60">
        <f>IF($C1251="B",INDEX(Batters[[#All],[CON P]],MATCH(Table5[[#This Row],[PID]],Batters[[#All],[PID]],0)),INDEX(Table3[[#All],[STU P]],MATCH(Table5[[#This Row],[PID]],Table3[[#All],[PID]],0)))</f>
        <v>4</v>
      </c>
      <c r="M1251" s="56">
        <f>IF($C1251="B",INDEX(Batters[[#All],[GAP P]],MATCH(Table5[[#This Row],[PID]],Batters[[#All],[PID]],0)),INDEX(Table3[[#All],[MOV P]],MATCH(Table5[[#This Row],[PID]],Table3[[#All],[PID]],0)))</f>
        <v>2</v>
      </c>
      <c r="N1251" s="56">
        <f>IF($C1251="B",INDEX(Batters[[#All],[POW P]],MATCH(Table5[[#This Row],[PID]],Batters[[#All],[PID]],0)),INDEX(Table3[[#All],[CON P]],MATCH(Table5[[#This Row],[PID]],Table3[[#All],[PID]],0)))</f>
        <v>2</v>
      </c>
      <c r="O1251" s="56" t="str">
        <f>IF($C1251="B",INDEX(Batters[[#All],[EYE P]],MATCH(Table5[[#This Row],[PID]],Batters[[#All],[PID]],0)),INDEX(Table3[[#All],[VELO]],MATCH(Table5[[#This Row],[PID]],Table3[[#All],[PID]],0)))</f>
        <v>87-89 Mph</v>
      </c>
      <c r="P1251" s="56">
        <f>IF($C1251="B",INDEX(Batters[[#All],[K P]],MATCH(Table5[[#This Row],[PID]],Batters[[#All],[PID]],0)),INDEX(Table3[[#All],[STM]],MATCH(Table5[[#This Row],[PID]],Table3[[#All],[PID]],0)))</f>
        <v>2</v>
      </c>
      <c r="Q1251" s="61">
        <f>IF($C1251="B",INDEX(Batters[[#All],[Tot]],MATCH(Table5[[#This Row],[PID]],Batters[[#All],[PID]],0)),INDEX(Table3[[#All],[Tot]],MATCH(Table5[[#This Row],[PID]],Table3[[#All],[PID]],0)))</f>
        <v>17.061739979406649</v>
      </c>
      <c r="R1251" s="70">
        <f>IF($C1251="B",INDEX(Batters[[#All],[zScore]],MATCH(Table5[[#This Row],[PID]],Batters[[#All],[PID]],0)),INDEX(Table3[[#All],[zScore]],MATCH(Table5[[#This Row],[PID]],Table3[[#All],[PID]],0)))</f>
        <v>-1.2513197949386314</v>
      </c>
      <c r="S1251" s="79" t="str">
        <f>IF($C1251="B",INDEX(Batters[[#All],[DEM]],MATCH(Table5[[#This Row],[PID]],Batters[[#All],[PID]],0)),INDEX(Table3[[#All],[DEM]],MATCH(Table5[[#This Row],[PID]],Table3[[#All],[PID]],0)))</f>
        <v>-</v>
      </c>
      <c r="T1251" s="62">
        <f>IF($C1251="B",INDEX(Batters[[#All],[Rnk]],MATCH(Table5[[#This Row],[PID]],Batters[[#All],[PID]],0)),INDEX(Table3[[#All],[Rnk]],MATCH(Table5[[#This Row],[PID]],Table3[[#All],[PID]],0)))</f>
        <v>747</v>
      </c>
      <c r="U1251" s="68">
        <f>IF($C1251="B",VLOOKUP($A1251,Bat!$A$4:$BA$1621,47,FALSE),VLOOKUP($A1251,Pit!$A$4:$BF$1557,56,FALSE))</f>
        <v>0</v>
      </c>
      <c r="V1251" s="50">
        <f>IF($C1251="B",VLOOKUP($A1251,Bat!$A$4:$BA$1621,48,FALSE),VLOOKUP($A1251,Pit!$A$4:$BF$1557,57,FALSE))</f>
        <v>0</v>
      </c>
      <c r="W1251" s="50">
        <f>Table5[[#This Row],[posRnk]]+Table5[[#This Row],[zRnk]]+IF($W$3&lt;&gt;Table5[[#This Row],[Type]],50,0)</f>
        <v>2019</v>
      </c>
      <c r="X1251" s="51">
        <f>RANK(Table5[[#This Row],[zScore]],Table5[[#All],[zScore]])</f>
        <v>1222</v>
      </c>
      <c r="Y1251" s="50" t="str">
        <f>IFERROR(INDEX(DraftResults[[#All],[OVR]],MATCH(Table5[[#This Row],[PID]],DraftResults[[#All],[Player ID]],0)),"")</f>
        <v/>
      </c>
      <c r="Z12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1" s="50" t="str">
        <f>IFERROR(INDEX(DraftResults[[#All],[Pick in Round]],MATCH(Table5[[#This Row],[PID]],DraftResults[[#All],[Player ID]],0)),"")</f>
        <v/>
      </c>
      <c r="AB1251" s="50" t="str">
        <f>IFERROR(INDEX(DraftResults[[#All],[Team Name]],MATCH(Table5[[#This Row],[PID]],DraftResults[[#All],[Player ID]],0)),"")</f>
        <v/>
      </c>
      <c r="AC1251" s="50" t="str">
        <f>IF(Table5[[#This Row],[Ovr]]="","",IF(Table5[[#This Row],[cmbList]]="","",Table5[[#This Row],[cmbList]]-Table5[[#This Row],[Ovr]]))</f>
        <v/>
      </c>
      <c r="AD1251" s="54" t="str">
        <f>IF(ISERROR(VLOOKUP($AB1251&amp;"-"&amp;$E1251&amp;" "&amp;F1251,Bonuses!$B$1:$G$1006,4,FALSE)),"",INT(VLOOKUP($AB1251&amp;"-"&amp;$E1251&amp;" "&amp;$F1251,Bonuses!$B$1:$G$1006,4,FALSE)))</f>
        <v/>
      </c>
      <c r="AE12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2" spans="1:31" x14ac:dyDescent="0.25">
      <c r="A1252" s="50">
        <v>10095</v>
      </c>
      <c r="B1252" s="50">
        <f>COUNTIF(Table5[PID],A1252)</f>
        <v>1</v>
      </c>
      <c r="C1252" s="50" t="str">
        <f>IF(COUNTIF(Table3[[#All],[PID]],A1252)&gt;0,"P","B")</f>
        <v>B</v>
      </c>
      <c r="D1252" s="59" t="str">
        <f>IF($C1252="B",INDEX(Batters[[#All],[POS]],MATCH(Table5[[#This Row],[PID]],Batters[[#All],[PID]],0)),INDEX(Table3[[#All],[POS]],MATCH(Table5[[#This Row],[PID]],Table3[[#All],[PID]],0)))</f>
        <v>C</v>
      </c>
      <c r="E1252" s="52" t="str">
        <f>IF($C1252="B",INDEX(Batters[[#All],[First]],MATCH(Table5[[#This Row],[PID]],Batters[[#All],[PID]],0)),INDEX(Table3[[#All],[First]],MATCH(Table5[[#This Row],[PID]],Table3[[#All],[PID]],0)))</f>
        <v>Whit</v>
      </c>
      <c r="F1252" s="50" t="str">
        <f>IF($C1252="B",INDEX(Batters[[#All],[Last]],MATCH(A1252,Batters[[#All],[PID]],0)),INDEX(Table3[[#All],[Last]],MATCH(A1252,Table3[[#All],[PID]],0)))</f>
        <v>McCormick</v>
      </c>
      <c r="G1252" s="56">
        <f>IF($C1252="B",INDEX(Batters[[#All],[Age]],MATCH(Table5[[#This Row],[PID]],Batters[[#All],[PID]],0)),INDEX(Table3[[#All],[Age]],MATCH(Table5[[#This Row],[PID]],Table3[[#All],[PID]],0)))</f>
        <v>22</v>
      </c>
      <c r="H1252" s="52" t="str">
        <f>IF($C1252="B",INDEX(Batters[[#All],[B]],MATCH(Table5[[#This Row],[PID]],Batters[[#All],[PID]],0)),INDEX(Table3[[#All],[B]],MATCH(Table5[[#This Row],[PID]],Table3[[#All],[PID]],0)))</f>
        <v>R</v>
      </c>
      <c r="I1252" s="70" t="str">
        <f>IF($C1252="B",INDEX(Batters[[#All],[T]],MATCH(Table5[[#This Row],[PID]],Batters[[#All],[PID]],0)),INDEX(Table3[[#All],[T]],MATCH(Table5[[#This Row],[PID]],Table3[[#All],[PID]],0)))</f>
        <v>R</v>
      </c>
      <c r="J1252" s="52" t="str">
        <f>IF($C1252="B",INDEX(Batters[[#All],[WE]],MATCH(Table5[[#This Row],[PID]],Batters[[#All],[PID]],0)),INDEX(Table3[[#All],[WE]],MATCH(Table5[[#This Row],[PID]],Table3[[#All],[PID]],0)))</f>
        <v>High</v>
      </c>
      <c r="K1252" s="52" t="str">
        <f>IF($C1252="B",INDEX(Batters[[#All],[INT]],MATCH(Table5[[#This Row],[PID]],Batters[[#All],[PID]],0)),INDEX(Table3[[#All],[INT]],MATCH(Table5[[#This Row],[PID]],Table3[[#All],[PID]],0)))</f>
        <v>Normal</v>
      </c>
      <c r="L1252" s="60">
        <f>IF($C1252="B",INDEX(Batters[[#All],[CON P]],MATCH(Table5[[#This Row],[PID]],Batters[[#All],[PID]],0)),INDEX(Table3[[#All],[STU P]],MATCH(Table5[[#This Row],[PID]],Table3[[#All],[PID]],0)))</f>
        <v>3</v>
      </c>
      <c r="M1252" s="56">
        <f>IF($C1252="B",INDEX(Batters[[#All],[GAP P]],MATCH(Table5[[#This Row],[PID]],Batters[[#All],[PID]],0)),INDEX(Table3[[#All],[MOV P]],MATCH(Table5[[#This Row],[PID]],Table3[[#All],[PID]],0)))</f>
        <v>5</v>
      </c>
      <c r="N1252" s="56">
        <f>IF($C1252="B",INDEX(Batters[[#All],[POW P]],MATCH(Table5[[#This Row],[PID]],Batters[[#All],[PID]],0)),INDEX(Table3[[#All],[CON P]],MATCH(Table5[[#This Row],[PID]],Table3[[#All],[PID]],0)))</f>
        <v>3</v>
      </c>
      <c r="O1252" s="56">
        <f>IF($C1252="B",INDEX(Batters[[#All],[EYE P]],MATCH(Table5[[#This Row],[PID]],Batters[[#All],[PID]],0)),INDEX(Table3[[#All],[VELO]],MATCH(Table5[[#This Row],[PID]],Table3[[#All],[PID]],0)))</f>
        <v>5</v>
      </c>
      <c r="P1252" s="56">
        <f>IF($C1252="B",INDEX(Batters[[#All],[K P]],MATCH(Table5[[#This Row],[PID]],Batters[[#All],[PID]],0)),INDEX(Table3[[#All],[STM]],MATCH(Table5[[#This Row],[PID]],Table3[[#All],[PID]],0)))</f>
        <v>2</v>
      </c>
      <c r="Q1252" s="61">
        <f>IF($C1252="B",INDEX(Batters[[#All],[Tot]],MATCH(Table5[[#This Row],[PID]],Batters[[#All],[PID]],0)),INDEX(Table3[[#All],[Tot]],MATCH(Table5[[#This Row],[PID]],Table3[[#All],[PID]],0)))</f>
        <v>38.470105711435181</v>
      </c>
      <c r="R1252" s="70">
        <f>IF($C1252="B",INDEX(Batters[[#All],[zScore]],MATCH(Table5[[#This Row],[PID]],Batters[[#All],[PID]],0)),INDEX(Table3[[#All],[zScore]],MATCH(Table5[[#This Row],[PID]],Table3[[#All],[PID]],0)))</f>
        <v>-1.2552668705071912</v>
      </c>
      <c r="S1252" s="79" t="str">
        <f>IF($C1252="B",INDEX(Batters[[#All],[DEM]],MATCH(Table5[[#This Row],[PID]],Batters[[#All],[PID]],0)),INDEX(Table3[[#All],[DEM]],MATCH(Table5[[#This Row],[PID]],Table3[[#All],[PID]],0)))</f>
        <v>-</v>
      </c>
      <c r="T1252" s="62">
        <f>IF($C1252="B",INDEX(Batters[[#All],[Rnk]],MATCH(Table5[[#This Row],[PID]],Batters[[#All],[PID]],0)),INDEX(Table3[[#All],[Rnk]],MATCH(Table5[[#This Row],[PID]],Table3[[#All],[PID]],0)))</f>
        <v>476</v>
      </c>
      <c r="U1252" s="68">
        <f>IF($C1252="B",VLOOKUP($A1252,Bat!$A$4:$BA$1621,47,FALSE),VLOOKUP($A1252,Pit!$A$4:$BF$1557,56,FALSE))</f>
        <v>0</v>
      </c>
      <c r="V1252" s="50">
        <f>IF($C1252="B",VLOOKUP($A1252,Bat!$A$4:$BA$1621,48,FALSE),VLOOKUP($A1252,Pit!$A$4:$BF$1557,57,FALSE))</f>
        <v>0</v>
      </c>
      <c r="W1252" s="50">
        <f>Table5[[#This Row],[posRnk]]+Table5[[#This Row],[zRnk]]+IF($W$3&lt;&gt;Table5[[#This Row],[Type]],50,0)</f>
        <v>1750</v>
      </c>
      <c r="X1252" s="51">
        <f>RANK(Table5[[#This Row],[zScore]],Table5[[#All],[zScore]])</f>
        <v>1224</v>
      </c>
      <c r="Y1252" s="50" t="str">
        <f>IFERROR(INDEX(DraftResults[[#All],[OVR]],MATCH(Table5[[#This Row],[PID]],DraftResults[[#All],[Player ID]],0)),"")</f>
        <v/>
      </c>
      <c r="Z12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2" s="50" t="str">
        <f>IFERROR(INDEX(DraftResults[[#All],[Pick in Round]],MATCH(Table5[[#This Row],[PID]],DraftResults[[#All],[Player ID]],0)),"")</f>
        <v/>
      </c>
      <c r="AB1252" s="50" t="str">
        <f>IFERROR(INDEX(DraftResults[[#All],[Team Name]],MATCH(Table5[[#This Row],[PID]],DraftResults[[#All],[Player ID]],0)),"")</f>
        <v/>
      </c>
      <c r="AC1252" s="50" t="str">
        <f>IF(Table5[[#This Row],[Ovr]]="","",IF(Table5[[#This Row],[cmbList]]="","",Table5[[#This Row],[cmbList]]-Table5[[#This Row],[Ovr]]))</f>
        <v/>
      </c>
      <c r="AD1252" s="54" t="str">
        <f>IF(ISERROR(VLOOKUP($AB1252&amp;"-"&amp;$E1252&amp;" "&amp;F1252,Bonuses!$B$1:$G$1006,4,FALSE)),"",INT(VLOOKUP($AB1252&amp;"-"&amp;$E1252&amp;" "&amp;$F1252,Bonuses!$B$1:$G$1006,4,FALSE)))</f>
        <v/>
      </c>
      <c r="AE12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3" spans="1:31" x14ac:dyDescent="0.25">
      <c r="A1253" s="50">
        <v>21037</v>
      </c>
      <c r="B1253" s="50">
        <f>COUNTIF(Table5[PID],A1253)</f>
        <v>1</v>
      </c>
      <c r="C1253" s="50" t="str">
        <f>IF(COUNTIF(Table3[[#All],[PID]],A1253)&gt;0,"P","B")</f>
        <v>B</v>
      </c>
      <c r="D1253" s="59" t="str">
        <f>IF($C1253="B",INDEX(Batters[[#All],[POS]],MATCH(Table5[[#This Row],[PID]],Batters[[#All],[PID]],0)),INDEX(Table3[[#All],[POS]],MATCH(Table5[[#This Row],[PID]],Table3[[#All],[PID]],0)))</f>
        <v>C</v>
      </c>
      <c r="E1253" s="52" t="str">
        <f>IF($C1253="B",INDEX(Batters[[#All],[First]],MATCH(Table5[[#This Row],[PID]],Batters[[#All],[PID]],0)),INDEX(Table3[[#All],[First]],MATCH(Table5[[#This Row],[PID]],Table3[[#All],[PID]],0)))</f>
        <v>Ron</v>
      </c>
      <c r="F1253" s="50" t="str">
        <f>IF($C1253="B",INDEX(Batters[[#All],[Last]],MATCH(A1253,Batters[[#All],[PID]],0)),INDEX(Table3[[#All],[Last]],MATCH(A1253,Table3[[#All],[PID]],0)))</f>
        <v>Foster</v>
      </c>
      <c r="G1253" s="56">
        <f>IF($C1253="B",INDEX(Batters[[#All],[Age]],MATCH(Table5[[#This Row],[PID]],Batters[[#All],[PID]],0)),INDEX(Table3[[#All],[Age]],MATCH(Table5[[#This Row],[PID]],Table3[[#All],[PID]],0)))</f>
        <v>17</v>
      </c>
      <c r="H1253" s="52" t="str">
        <f>IF($C1253="B",INDEX(Batters[[#All],[B]],MATCH(Table5[[#This Row],[PID]],Batters[[#All],[PID]],0)),INDEX(Table3[[#All],[B]],MATCH(Table5[[#This Row],[PID]],Table3[[#All],[PID]],0)))</f>
        <v>S</v>
      </c>
      <c r="I1253" s="70" t="str">
        <f>IF($C1253="B",INDEX(Batters[[#All],[T]],MATCH(Table5[[#This Row],[PID]],Batters[[#All],[PID]],0)),INDEX(Table3[[#All],[T]],MATCH(Table5[[#This Row],[PID]],Table3[[#All],[PID]],0)))</f>
        <v>R</v>
      </c>
      <c r="J1253" s="52" t="str">
        <f>IF($C1253="B",INDEX(Batters[[#All],[WE]],MATCH(Table5[[#This Row],[PID]],Batters[[#All],[PID]],0)),INDEX(Table3[[#All],[WE]],MATCH(Table5[[#This Row],[PID]],Table3[[#All],[PID]],0)))</f>
        <v>Low</v>
      </c>
      <c r="K1253" s="52" t="str">
        <f>IF($C1253="B",INDEX(Batters[[#All],[INT]],MATCH(Table5[[#This Row],[PID]],Batters[[#All],[PID]],0)),INDEX(Table3[[#All],[INT]],MATCH(Table5[[#This Row],[PID]],Table3[[#All],[PID]],0)))</f>
        <v>Normal</v>
      </c>
      <c r="L1253" s="60">
        <f>IF($C1253="B",INDEX(Batters[[#All],[CON P]],MATCH(Table5[[#This Row],[PID]],Batters[[#All],[PID]],0)),INDEX(Table3[[#All],[STU P]],MATCH(Table5[[#This Row],[PID]],Table3[[#All],[PID]],0)))</f>
        <v>2</v>
      </c>
      <c r="M1253" s="56">
        <f>IF($C1253="B",INDEX(Batters[[#All],[GAP P]],MATCH(Table5[[#This Row],[PID]],Batters[[#All],[PID]],0)),INDEX(Table3[[#All],[MOV P]],MATCH(Table5[[#This Row],[PID]],Table3[[#All],[PID]],0)))</f>
        <v>3</v>
      </c>
      <c r="N1253" s="56">
        <f>IF($C1253="B",INDEX(Batters[[#All],[POW P]],MATCH(Table5[[#This Row],[PID]],Batters[[#All],[PID]],0)),INDEX(Table3[[#All],[CON P]],MATCH(Table5[[#This Row],[PID]],Table3[[#All],[PID]],0)))</f>
        <v>4</v>
      </c>
      <c r="O1253" s="56">
        <f>IF($C1253="B",INDEX(Batters[[#All],[EYE P]],MATCH(Table5[[#This Row],[PID]],Batters[[#All],[PID]],0)),INDEX(Table3[[#All],[VELO]],MATCH(Table5[[#This Row],[PID]],Table3[[#All],[PID]],0)))</f>
        <v>6</v>
      </c>
      <c r="P1253" s="56">
        <f>IF($C1253="B",INDEX(Batters[[#All],[K P]],MATCH(Table5[[#This Row],[PID]],Batters[[#All],[PID]],0)),INDEX(Table3[[#All],[STM]],MATCH(Table5[[#This Row],[PID]],Table3[[#All],[PID]],0)))</f>
        <v>2</v>
      </c>
      <c r="Q1253" s="61">
        <f>IF($C1253="B",INDEX(Batters[[#All],[Tot]],MATCH(Table5[[#This Row],[PID]],Batters[[#All],[PID]],0)),INDEX(Table3[[#All],[Tot]],MATCH(Table5[[#This Row],[PID]],Table3[[#All],[PID]],0)))</f>
        <v>38.445812580011022</v>
      </c>
      <c r="R1253" s="70">
        <f>IF($C1253="B",INDEX(Batters[[#All],[zScore]],MATCH(Table5[[#This Row],[PID]],Batters[[#All],[PID]],0)),INDEX(Table3[[#All],[zScore]],MATCH(Table5[[#This Row],[PID]],Table3[[#All],[PID]],0)))</f>
        <v>-1.2606528219502562</v>
      </c>
      <c r="S1253" s="79" t="str">
        <f>IF($C1253="B",INDEX(Batters[[#All],[DEM]],MATCH(Table5[[#This Row],[PID]],Batters[[#All],[PID]],0)),INDEX(Table3[[#All],[DEM]],MATCH(Table5[[#This Row],[PID]],Table3[[#All],[PID]],0)))</f>
        <v>$75k</v>
      </c>
      <c r="T1253" s="62">
        <f>IF($C1253="B",INDEX(Batters[[#All],[Rnk]],MATCH(Table5[[#This Row],[PID]],Batters[[#All],[PID]],0)),INDEX(Table3[[#All],[Rnk]],MATCH(Table5[[#This Row],[PID]],Table3[[#All],[PID]],0)))</f>
        <v>477</v>
      </c>
      <c r="U1253" s="68">
        <f>IF($C1253="B",VLOOKUP($A1253,Bat!$A$4:$BA$1621,47,FALSE),VLOOKUP($A1253,Pit!$A$4:$BF$1557,56,FALSE))</f>
        <v>0</v>
      </c>
      <c r="V1253" s="50">
        <f>IF($C1253="B",VLOOKUP($A1253,Bat!$A$4:$BA$1621,48,FALSE),VLOOKUP($A1253,Pit!$A$4:$BF$1557,57,FALSE))</f>
        <v>0</v>
      </c>
      <c r="W1253" s="50">
        <f>Table5[[#This Row],[posRnk]]+Table5[[#This Row],[zRnk]]+IF($W$3&lt;&gt;Table5[[#This Row],[Type]],50,0)</f>
        <v>1752</v>
      </c>
      <c r="X1253" s="51">
        <f>RANK(Table5[[#This Row],[zScore]],Table5[[#All],[zScore]])</f>
        <v>1225</v>
      </c>
      <c r="Y1253" s="50" t="str">
        <f>IFERROR(INDEX(DraftResults[[#All],[OVR]],MATCH(Table5[[#This Row],[PID]],DraftResults[[#All],[Player ID]],0)),"")</f>
        <v/>
      </c>
      <c r="Z12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3" s="50" t="str">
        <f>IFERROR(INDEX(DraftResults[[#All],[Pick in Round]],MATCH(Table5[[#This Row],[PID]],DraftResults[[#All],[Player ID]],0)),"")</f>
        <v/>
      </c>
      <c r="AB1253" s="50" t="str">
        <f>IFERROR(INDEX(DraftResults[[#All],[Team Name]],MATCH(Table5[[#This Row],[PID]],DraftResults[[#All],[Player ID]],0)),"")</f>
        <v/>
      </c>
      <c r="AC1253" s="50" t="str">
        <f>IF(Table5[[#This Row],[Ovr]]="","",IF(Table5[[#This Row],[cmbList]]="","",Table5[[#This Row],[cmbList]]-Table5[[#This Row],[Ovr]]))</f>
        <v/>
      </c>
      <c r="AD1253" s="54" t="str">
        <f>IF(ISERROR(VLOOKUP($AB1253&amp;"-"&amp;$E1253&amp;" "&amp;F1253,Bonuses!$B$1:$G$1006,4,FALSE)),"",INT(VLOOKUP($AB1253&amp;"-"&amp;$E1253&amp;" "&amp;$F1253,Bonuses!$B$1:$G$1006,4,FALSE)))</f>
        <v/>
      </c>
      <c r="AE12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4" spans="1:31" x14ac:dyDescent="0.25">
      <c r="A1254" s="68">
        <v>12182</v>
      </c>
      <c r="B1254" s="69">
        <f>COUNTIF(Table5[PID],A1254)</f>
        <v>1</v>
      </c>
      <c r="C1254" s="69" t="str">
        <f>IF(COUNTIF(Table3[[#All],[PID]],A1254)&gt;0,"P","B")</f>
        <v>P</v>
      </c>
      <c r="D1254" s="59" t="str">
        <f>IF($C1254="B",INDEX(Batters[[#All],[POS]],MATCH(Table5[[#This Row],[PID]],Batters[[#All],[PID]],0)),INDEX(Table3[[#All],[POS]],MATCH(Table5[[#This Row],[PID]],Table3[[#All],[PID]],0)))</f>
        <v>RP</v>
      </c>
      <c r="E1254" s="52" t="str">
        <f>IF($C1254="B",INDEX(Batters[[#All],[First]],MATCH(Table5[[#This Row],[PID]],Batters[[#All],[PID]],0)),INDEX(Table3[[#All],[First]],MATCH(Table5[[#This Row],[PID]],Table3[[#All],[PID]],0)))</f>
        <v>Liam</v>
      </c>
      <c r="F1254" s="55" t="str">
        <f>IF($C1254="B",INDEX(Batters[[#All],[Last]],MATCH(A1254,Batters[[#All],[PID]],0)),INDEX(Table3[[#All],[Last]],MATCH(A1254,Table3[[#All],[PID]],0)))</f>
        <v>Pew</v>
      </c>
      <c r="G1254" s="56">
        <f>IF($C1254="B",INDEX(Batters[[#All],[Age]],MATCH(Table5[[#This Row],[PID]],Batters[[#All],[PID]],0)),INDEX(Table3[[#All],[Age]],MATCH(Table5[[#This Row],[PID]],Table3[[#All],[PID]],0)))</f>
        <v>22</v>
      </c>
      <c r="H1254" s="52" t="str">
        <f>IF($C1254="B",INDEX(Batters[[#All],[B]],MATCH(Table5[[#This Row],[PID]],Batters[[#All],[PID]],0)),INDEX(Table3[[#All],[B]],MATCH(Table5[[#This Row],[PID]],Table3[[#All],[PID]],0)))</f>
        <v>L</v>
      </c>
      <c r="I1254" s="70" t="str">
        <f>IF($C1254="B",INDEX(Batters[[#All],[T]],MATCH(Table5[[#This Row],[PID]],Batters[[#All],[PID]],0)),INDEX(Table3[[#All],[T]],MATCH(Table5[[#This Row],[PID]],Table3[[#All],[PID]],0)))</f>
        <v>L</v>
      </c>
      <c r="J1254" s="71" t="str">
        <f>IF($C1254="B",INDEX(Batters[[#All],[WE]],MATCH(Table5[[#This Row],[PID]],Batters[[#All],[PID]],0)),INDEX(Table3[[#All],[WE]],MATCH(Table5[[#This Row],[PID]],Table3[[#All],[PID]],0)))</f>
        <v>Low</v>
      </c>
      <c r="K1254" s="52" t="str">
        <f>IF($C1254="B",INDEX(Batters[[#All],[INT]],MATCH(Table5[[#This Row],[PID]],Batters[[#All],[PID]],0)),INDEX(Table3[[#All],[INT]],MATCH(Table5[[#This Row],[PID]],Table3[[#All],[PID]],0)))</f>
        <v>Normal</v>
      </c>
      <c r="L1254" s="60">
        <f>IF($C1254="B",INDEX(Batters[[#All],[CON P]],MATCH(Table5[[#This Row],[PID]],Batters[[#All],[PID]],0)),INDEX(Table3[[#All],[STU P]],MATCH(Table5[[#This Row],[PID]],Table3[[#All],[PID]],0)))</f>
        <v>3</v>
      </c>
      <c r="M1254" s="72">
        <f>IF($C1254="B",INDEX(Batters[[#All],[GAP P]],MATCH(Table5[[#This Row],[PID]],Batters[[#All],[PID]],0)),INDEX(Table3[[#All],[MOV P]],MATCH(Table5[[#This Row],[PID]],Table3[[#All],[PID]],0)))</f>
        <v>1</v>
      </c>
      <c r="N1254" s="72">
        <f>IF($C1254="B",INDEX(Batters[[#All],[POW P]],MATCH(Table5[[#This Row],[PID]],Batters[[#All],[PID]],0)),INDEX(Table3[[#All],[CON P]],MATCH(Table5[[#This Row],[PID]],Table3[[#All],[PID]],0)))</f>
        <v>2</v>
      </c>
      <c r="O1254" s="72" t="str">
        <f>IF($C1254="B",INDEX(Batters[[#All],[EYE P]],MATCH(Table5[[#This Row],[PID]],Batters[[#All],[PID]],0)),INDEX(Table3[[#All],[VELO]],MATCH(Table5[[#This Row],[PID]],Table3[[#All],[PID]],0)))</f>
        <v>86-88 Mph</v>
      </c>
      <c r="P1254" s="56">
        <f>IF($C1254="B",INDEX(Batters[[#All],[K P]],MATCH(Table5[[#This Row],[PID]],Batters[[#All],[PID]],0)),INDEX(Table3[[#All],[STM]],MATCH(Table5[[#This Row],[PID]],Table3[[#All],[PID]],0)))</f>
        <v>10</v>
      </c>
      <c r="Q1254" s="61">
        <f>IF($C1254="B",INDEX(Batters[[#All],[Tot]],MATCH(Table5[[#This Row],[PID]],Batters[[#All],[PID]],0)),INDEX(Table3[[#All],[Tot]],MATCH(Table5[[#This Row],[PID]],Table3[[#All],[PID]],0)))</f>
        <v>16.787270175439581</v>
      </c>
      <c r="R1254" s="70">
        <f>IF($C1254="B",INDEX(Batters[[#All],[zScore]],MATCH(Table5[[#This Row],[PID]],Batters[[#All],[PID]],0)),INDEX(Table3[[#All],[zScore]],MATCH(Table5[[#This Row],[PID]],Table3[[#All],[PID]],0)))</f>
        <v>-1.2695798515768262</v>
      </c>
      <c r="S1254" s="74" t="str">
        <f>IF($C1254="B",INDEX(Batters[[#All],[DEM]],MATCH(Table5[[#This Row],[PID]],Batters[[#All],[PID]],0)),INDEX(Table3[[#All],[DEM]],MATCH(Table5[[#This Row],[PID]],Table3[[#All],[PID]],0)))</f>
        <v>-</v>
      </c>
      <c r="T1254" s="75">
        <f>IF($C1254="B",INDEX(Batters[[#All],[Rnk]],MATCH(Table5[[#This Row],[PID]],Batters[[#All],[PID]],0)),INDEX(Table3[[#All],[Rnk]],MATCH(Table5[[#This Row],[PID]],Table3[[#All],[PID]],0)))</f>
        <v>748</v>
      </c>
      <c r="U1254" s="68">
        <f>IF($C1254="B",VLOOKUP($A1254,Bat!$A$4:$BA$1621,47,FALSE),VLOOKUP($A1254,Pit!$A$4:$BF$1557,56,FALSE))</f>
        <v>0</v>
      </c>
      <c r="V1254" s="50">
        <f>IF($C1254="B",VLOOKUP($A1254,Bat!$A$4:$BA$1621,48,FALSE),VLOOKUP($A1254,Pit!$A$4:$BF$1557,57,FALSE))</f>
        <v>0</v>
      </c>
      <c r="W1254" s="69">
        <f>Table5[[#This Row],[posRnk]]+Table5[[#This Row],[zRnk]]+IF($W$3&lt;&gt;Table5[[#This Row],[Type]],50,0)</f>
        <v>2027</v>
      </c>
      <c r="X1254" s="73">
        <f>RANK(Table5[[#This Row],[zScore]],Table5[[#All],[zScore]])</f>
        <v>1229</v>
      </c>
      <c r="Y1254" s="69" t="str">
        <f>IFERROR(INDEX(DraftResults[[#All],[OVR]],MATCH(Table5[[#This Row],[PID]],DraftResults[[#All],[Player ID]],0)),"")</f>
        <v/>
      </c>
      <c r="Z125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4" s="69" t="str">
        <f>IFERROR(INDEX(DraftResults[[#All],[Pick in Round]],MATCH(Table5[[#This Row],[PID]],DraftResults[[#All],[Player ID]],0)),"")</f>
        <v/>
      </c>
      <c r="AB1254" s="69" t="str">
        <f>IFERROR(INDEX(DraftResults[[#All],[Team Name]],MATCH(Table5[[#This Row],[PID]],DraftResults[[#All],[Player ID]],0)),"")</f>
        <v/>
      </c>
      <c r="AC1254" s="69" t="str">
        <f>IF(Table5[[#This Row],[Ovr]]="","",IF(Table5[[#This Row],[cmbList]]="","",Table5[[#This Row],[cmbList]]-Table5[[#This Row],[Ovr]]))</f>
        <v/>
      </c>
      <c r="AD1254" s="77" t="str">
        <f>IF(ISERROR(VLOOKUP($AB1254&amp;"-"&amp;$E1254&amp;" "&amp;F1254,Bonuses!$B$1:$G$1006,4,FALSE)),"",INT(VLOOKUP($AB1254&amp;"-"&amp;$E1254&amp;" "&amp;$F1254,Bonuses!$B$1:$G$1006,4,FALSE)))</f>
        <v/>
      </c>
      <c r="AE125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5" spans="1:31" x14ac:dyDescent="0.25">
      <c r="A1255" s="50">
        <v>2988</v>
      </c>
      <c r="B1255" s="50">
        <f>COUNTIF(Table5[PID],A1255)</f>
        <v>1</v>
      </c>
      <c r="C1255" s="50" t="str">
        <f>IF(COUNTIF(Table3[[#All],[PID]],A1255)&gt;0,"P","B")</f>
        <v>B</v>
      </c>
      <c r="D1255" s="59" t="str">
        <f>IF($C1255="B",INDEX(Batters[[#All],[POS]],MATCH(Table5[[#This Row],[PID]],Batters[[#All],[PID]],0)),INDEX(Table3[[#All],[POS]],MATCH(Table5[[#This Row],[PID]],Table3[[#All],[PID]],0)))</f>
        <v>1B</v>
      </c>
      <c r="E1255" s="52" t="str">
        <f>IF($C1255="B",INDEX(Batters[[#All],[First]],MATCH(Table5[[#This Row],[PID]],Batters[[#All],[PID]],0)),INDEX(Table3[[#All],[First]],MATCH(Table5[[#This Row],[PID]],Table3[[#All],[PID]],0)))</f>
        <v>Toshinobu</v>
      </c>
      <c r="F1255" s="50" t="str">
        <f>IF($C1255="B",INDEX(Batters[[#All],[Last]],MATCH(A1255,Batters[[#All],[PID]],0)),INDEX(Table3[[#All],[Last]],MATCH(A1255,Table3[[#All],[PID]],0)))</f>
        <v>Narita</v>
      </c>
      <c r="G1255" s="56">
        <f>IF($C1255="B",INDEX(Batters[[#All],[Age]],MATCH(Table5[[#This Row],[PID]],Batters[[#All],[PID]],0)),INDEX(Table3[[#All],[Age]],MATCH(Table5[[#This Row],[PID]],Table3[[#All],[PID]],0)))</f>
        <v>22</v>
      </c>
      <c r="H1255" s="52" t="str">
        <f>IF($C1255="B",INDEX(Batters[[#All],[B]],MATCH(Table5[[#This Row],[PID]],Batters[[#All],[PID]],0)),INDEX(Table3[[#All],[B]],MATCH(Table5[[#This Row],[PID]],Table3[[#All],[PID]],0)))</f>
        <v>L</v>
      </c>
      <c r="I1255" s="70" t="str">
        <f>IF($C1255="B",INDEX(Batters[[#All],[T]],MATCH(Table5[[#This Row],[PID]],Batters[[#All],[PID]],0)),INDEX(Table3[[#All],[T]],MATCH(Table5[[#This Row],[PID]],Table3[[#All],[PID]],0)))</f>
        <v>R</v>
      </c>
      <c r="J1255" s="52" t="str">
        <f>IF($C1255="B",INDEX(Batters[[#All],[WE]],MATCH(Table5[[#This Row],[PID]],Batters[[#All],[PID]],0)),INDEX(Table3[[#All],[WE]],MATCH(Table5[[#This Row],[PID]],Table3[[#All],[PID]],0)))</f>
        <v>High</v>
      </c>
      <c r="K1255" s="52" t="str">
        <f>IF($C1255="B",INDEX(Batters[[#All],[INT]],MATCH(Table5[[#This Row],[PID]],Batters[[#All],[PID]],0)),INDEX(Table3[[#All],[INT]],MATCH(Table5[[#This Row],[PID]],Table3[[#All],[PID]],0)))</f>
        <v>High</v>
      </c>
      <c r="L1255" s="60">
        <f>IF($C1255="B",INDEX(Batters[[#All],[CON P]],MATCH(Table5[[#This Row],[PID]],Batters[[#All],[PID]],0)),INDEX(Table3[[#All],[STU P]],MATCH(Table5[[#This Row],[PID]],Table3[[#All],[PID]],0)))</f>
        <v>3</v>
      </c>
      <c r="M1255" s="56">
        <f>IF($C1255="B",INDEX(Batters[[#All],[GAP P]],MATCH(Table5[[#This Row],[PID]],Batters[[#All],[PID]],0)),INDEX(Table3[[#All],[MOV P]],MATCH(Table5[[#This Row],[PID]],Table3[[#All],[PID]],0)))</f>
        <v>5</v>
      </c>
      <c r="N1255" s="56">
        <f>IF($C1255="B",INDEX(Batters[[#All],[POW P]],MATCH(Table5[[#This Row],[PID]],Batters[[#All],[PID]],0)),INDEX(Table3[[#All],[CON P]],MATCH(Table5[[#This Row],[PID]],Table3[[#All],[PID]],0)))</f>
        <v>3</v>
      </c>
      <c r="O1255" s="56">
        <f>IF($C1255="B",INDEX(Batters[[#All],[EYE P]],MATCH(Table5[[#This Row],[PID]],Batters[[#All],[PID]],0)),INDEX(Table3[[#All],[VELO]],MATCH(Table5[[#This Row],[PID]],Table3[[#All],[PID]],0)))</f>
        <v>5</v>
      </c>
      <c r="P1255" s="56">
        <f>IF($C1255="B",INDEX(Batters[[#All],[K P]],MATCH(Table5[[#This Row],[PID]],Batters[[#All],[PID]],0)),INDEX(Table3[[#All],[STM]],MATCH(Table5[[#This Row],[PID]],Table3[[#All],[PID]],0)))</f>
        <v>4</v>
      </c>
      <c r="Q1255" s="61">
        <f>IF($C1255="B",INDEX(Batters[[#All],[Tot]],MATCH(Table5[[#This Row],[PID]],Batters[[#All],[PID]],0)),INDEX(Table3[[#All],[Tot]],MATCH(Table5[[#This Row],[PID]],Table3[[#All],[PID]],0)))</f>
        <v>38.396807284410997</v>
      </c>
      <c r="R1255" s="70">
        <f>IF($C1255="B",INDEX(Batters[[#All],[zScore]],MATCH(Table5[[#This Row],[PID]],Batters[[#All],[PID]],0)),INDEX(Table3[[#All],[zScore]],MATCH(Table5[[#This Row],[PID]],Table3[[#All],[PID]],0)))</f>
        <v>-1.2715176272298381</v>
      </c>
      <c r="S1255" s="79" t="str">
        <f>IF($C1255="B",INDEX(Batters[[#All],[DEM]],MATCH(Table5[[#This Row],[PID]],Batters[[#All],[PID]],0)),INDEX(Table3[[#All],[DEM]],MATCH(Table5[[#This Row],[PID]],Table3[[#All],[PID]],0)))</f>
        <v>-</v>
      </c>
      <c r="T1255" s="62">
        <f>IF($C1255="B",INDEX(Batters[[#All],[Rnk]],MATCH(Table5[[#This Row],[PID]],Batters[[#All],[PID]],0)),INDEX(Table3[[#All],[Rnk]],MATCH(Table5[[#This Row],[PID]],Table3[[#All],[PID]],0)))</f>
        <v>481</v>
      </c>
      <c r="U1255" s="68">
        <f>IF($C1255="B",VLOOKUP($A1255,Bat!$A$4:$BA$1621,47,FALSE),VLOOKUP($A1255,Pit!$A$4:$BF$1557,56,FALSE))</f>
        <v>0</v>
      </c>
      <c r="V1255" s="50">
        <f>IF($C1255="B",VLOOKUP($A1255,Bat!$A$4:$BA$1621,48,FALSE),VLOOKUP($A1255,Pit!$A$4:$BF$1557,57,FALSE))</f>
        <v>0</v>
      </c>
      <c r="W1255" s="50">
        <f>Table5[[#This Row],[posRnk]]+Table5[[#This Row],[zRnk]]+IF($W$3&lt;&gt;Table5[[#This Row],[Type]],50,0)</f>
        <v>1761</v>
      </c>
      <c r="X1255" s="51">
        <f>RANK(Table5[[#This Row],[zScore]],Table5[[#All],[zScore]])</f>
        <v>1230</v>
      </c>
      <c r="Y1255" s="50" t="str">
        <f>IFERROR(INDEX(DraftResults[[#All],[OVR]],MATCH(Table5[[#This Row],[PID]],DraftResults[[#All],[Player ID]],0)),"")</f>
        <v/>
      </c>
      <c r="Z12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5" s="50" t="str">
        <f>IFERROR(INDEX(DraftResults[[#All],[Pick in Round]],MATCH(Table5[[#This Row],[PID]],DraftResults[[#All],[Player ID]],0)),"")</f>
        <v/>
      </c>
      <c r="AB1255" s="50" t="str">
        <f>IFERROR(INDEX(DraftResults[[#All],[Team Name]],MATCH(Table5[[#This Row],[PID]],DraftResults[[#All],[Player ID]],0)),"")</f>
        <v/>
      </c>
      <c r="AC1255" s="50" t="str">
        <f>IF(Table5[[#This Row],[Ovr]]="","",IF(Table5[[#This Row],[cmbList]]="","",Table5[[#This Row],[cmbList]]-Table5[[#This Row],[Ovr]]))</f>
        <v/>
      </c>
      <c r="AD1255" s="54" t="str">
        <f>IF(ISERROR(VLOOKUP($AB1255&amp;"-"&amp;$E1255&amp;" "&amp;F1255,Bonuses!$B$1:$G$1006,4,FALSE)),"",INT(VLOOKUP($AB1255&amp;"-"&amp;$E1255&amp;" "&amp;$F1255,Bonuses!$B$1:$G$1006,4,FALSE)))</f>
        <v/>
      </c>
      <c r="AE12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6" spans="1:31" x14ac:dyDescent="0.25">
      <c r="A1256" s="68">
        <v>12042</v>
      </c>
      <c r="B1256" s="69">
        <f>COUNTIF(Table5[PID],A1256)</f>
        <v>1</v>
      </c>
      <c r="C1256" s="69" t="str">
        <f>IF(COUNTIF(Table3[[#All],[PID]],A1256)&gt;0,"P","B")</f>
        <v>P</v>
      </c>
      <c r="D1256" s="59" t="str">
        <f>IF($C1256="B",INDEX(Batters[[#All],[POS]],MATCH(Table5[[#This Row],[PID]],Batters[[#All],[PID]],0)),INDEX(Table3[[#All],[POS]],MATCH(Table5[[#This Row],[PID]],Table3[[#All],[PID]],0)))</f>
        <v>RP</v>
      </c>
      <c r="E1256" s="52" t="str">
        <f>IF($C1256="B",INDEX(Batters[[#All],[First]],MATCH(Table5[[#This Row],[PID]],Batters[[#All],[PID]],0)),INDEX(Table3[[#All],[First]],MATCH(Table5[[#This Row],[PID]],Table3[[#All],[PID]],0)))</f>
        <v>Héctor</v>
      </c>
      <c r="F1256" s="55" t="str">
        <f>IF($C1256="B",INDEX(Batters[[#All],[Last]],MATCH(A1256,Batters[[#All],[PID]],0)),INDEX(Table3[[#All],[Last]],MATCH(A1256,Table3[[#All],[PID]],0)))</f>
        <v>Torres</v>
      </c>
      <c r="G1256" s="56">
        <f>IF($C1256="B",INDEX(Batters[[#All],[Age]],MATCH(Table5[[#This Row],[PID]],Batters[[#All],[PID]],0)),INDEX(Table3[[#All],[Age]],MATCH(Table5[[#This Row],[PID]],Table3[[#All],[PID]],0)))</f>
        <v>21</v>
      </c>
      <c r="H1256" s="52" t="str">
        <f>IF($C1256="B",INDEX(Batters[[#All],[B]],MATCH(Table5[[#This Row],[PID]],Batters[[#All],[PID]],0)),INDEX(Table3[[#All],[B]],MATCH(Table5[[#This Row],[PID]],Table3[[#All],[PID]],0)))</f>
        <v>R</v>
      </c>
      <c r="I1256" s="70" t="str">
        <f>IF($C1256="B",INDEX(Batters[[#All],[T]],MATCH(Table5[[#This Row],[PID]],Batters[[#All],[PID]],0)),INDEX(Table3[[#All],[T]],MATCH(Table5[[#This Row],[PID]],Table3[[#All],[PID]],0)))</f>
        <v>R</v>
      </c>
      <c r="J1256" s="71" t="str">
        <f>IF($C1256="B",INDEX(Batters[[#All],[WE]],MATCH(Table5[[#This Row],[PID]],Batters[[#All],[PID]],0)),INDEX(Table3[[#All],[WE]],MATCH(Table5[[#This Row],[PID]],Table3[[#All],[PID]],0)))</f>
        <v>High</v>
      </c>
      <c r="K1256" s="52" t="str">
        <f>IF($C1256="B",INDEX(Batters[[#All],[INT]],MATCH(Table5[[#This Row],[PID]],Batters[[#All],[PID]],0)),INDEX(Table3[[#All],[INT]],MATCH(Table5[[#This Row],[PID]],Table3[[#All],[PID]],0)))</f>
        <v>Normal</v>
      </c>
      <c r="L1256" s="60">
        <f>IF($C1256="B",INDEX(Batters[[#All],[CON P]],MATCH(Table5[[#This Row],[PID]],Batters[[#All],[PID]],0)),INDEX(Table3[[#All],[STU P]],MATCH(Table5[[#This Row],[PID]],Table3[[#All],[PID]],0)))</f>
        <v>3</v>
      </c>
      <c r="M1256" s="72">
        <f>IF($C1256="B",INDEX(Batters[[#All],[GAP P]],MATCH(Table5[[#This Row],[PID]],Batters[[#All],[PID]],0)),INDEX(Table3[[#All],[MOV P]],MATCH(Table5[[#This Row],[PID]],Table3[[#All],[PID]],0)))</f>
        <v>1</v>
      </c>
      <c r="N1256" s="72">
        <f>IF($C1256="B",INDEX(Batters[[#All],[POW P]],MATCH(Table5[[#This Row],[PID]],Batters[[#All],[PID]],0)),INDEX(Table3[[#All],[CON P]],MATCH(Table5[[#This Row],[PID]],Table3[[#All],[PID]],0)))</f>
        <v>2</v>
      </c>
      <c r="O1256" s="72" t="str">
        <f>IF($C1256="B",INDEX(Batters[[#All],[EYE P]],MATCH(Table5[[#This Row],[PID]],Batters[[#All],[PID]],0)),INDEX(Table3[[#All],[VELO]],MATCH(Table5[[#This Row],[PID]],Table3[[#All],[PID]],0)))</f>
        <v>84-86 Mph</v>
      </c>
      <c r="P1256" s="56">
        <f>IF($C1256="B",INDEX(Batters[[#All],[K P]],MATCH(Table5[[#This Row],[PID]],Batters[[#All],[PID]],0)),INDEX(Table3[[#All],[STM]],MATCH(Table5[[#This Row],[PID]],Table3[[#All],[PID]],0)))</f>
        <v>10</v>
      </c>
      <c r="Q1256" s="61">
        <f>IF($C1256="B",INDEX(Batters[[#All],[Tot]],MATCH(Table5[[#This Row],[PID]],Batters[[#All],[PID]],0)),INDEX(Table3[[#All],[Tot]],MATCH(Table5[[#This Row],[PID]],Table3[[#All],[PID]],0)))</f>
        <v>19.151579938320587</v>
      </c>
      <c r="R1256" s="70">
        <f>IF($C1256="B",INDEX(Batters[[#All],[zScore]],MATCH(Table5[[#This Row],[PID]],Batters[[#All],[PID]],0)),INDEX(Table3[[#All],[zScore]],MATCH(Table5[[#This Row],[PID]],Table3[[#All],[PID]],0)))</f>
        <v>-1.2755980950160128</v>
      </c>
      <c r="S1256" s="74" t="str">
        <f>IF($C1256="B",INDEX(Batters[[#All],[DEM]],MATCH(Table5[[#This Row],[PID]],Batters[[#All],[PID]],0)),INDEX(Table3[[#All],[DEM]],MATCH(Table5[[#This Row],[PID]],Table3[[#All],[PID]],0)))</f>
        <v>-</v>
      </c>
      <c r="T1256" s="75">
        <f>IF($C1256="B",INDEX(Batters[[#All],[Rnk]],MATCH(Table5[[#This Row],[PID]],Batters[[#All],[PID]],0)),INDEX(Table3[[#All],[Rnk]],MATCH(Table5[[#This Row],[PID]],Table3[[#All],[PID]],0)))</f>
        <v>749</v>
      </c>
      <c r="U1256" s="68">
        <f>IF($C1256="B",VLOOKUP($A1256,Bat!$A$4:$BA$1621,47,FALSE),VLOOKUP($A1256,Pit!$A$4:$BF$1557,56,FALSE))</f>
        <v>0</v>
      </c>
      <c r="V1256" s="50">
        <f>IF($C1256="B",VLOOKUP($A1256,Bat!$A$4:$BA$1621,48,FALSE),VLOOKUP($A1256,Pit!$A$4:$BF$1557,57,FALSE))</f>
        <v>0</v>
      </c>
      <c r="W1256" s="69">
        <f>Table5[[#This Row],[posRnk]]+Table5[[#This Row],[zRnk]]+IF($W$3&lt;&gt;Table5[[#This Row],[Type]],50,0)</f>
        <v>2030</v>
      </c>
      <c r="X1256" s="73">
        <f>RANK(Table5[[#This Row],[zScore]],Table5[[#All],[zScore]])</f>
        <v>1231</v>
      </c>
      <c r="Y1256" s="69" t="str">
        <f>IFERROR(INDEX(DraftResults[[#All],[OVR]],MATCH(Table5[[#This Row],[PID]],DraftResults[[#All],[Player ID]],0)),"")</f>
        <v/>
      </c>
      <c r="Z125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6" s="69" t="str">
        <f>IFERROR(INDEX(DraftResults[[#All],[Pick in Round]],MATCH(Table5[[#This Row],[PID]],DraftResults[[#All],[Player ID]],0)),"")</f>
        <v/>
      </c>
      <c r="AB1256" s="69" t="str">
        <f>IFERROR(INDEX(DraftResults[[#All],[Team Name]],MATCH(Table5[[#This Row],[PID]],DraftResults[[#All],[Player ID]],0)),"")</f>
        <v/>
      </c>
      <c r="AC1256" s="69" t="str">
        <f>IF(Table5[[#This Row],[Ovr]]="","",IF(Table5[[#This Row],[cmbList]]="","",Table5[[#This Row],[cmbList]]-Table5[[#This Row],[Ovr]]))</f>
        <v/>
      </c>
      <c r="AD1256" s="77" t="str">
        <f>IF(ISERROR(VLOOKUP($AB1256&amp;"-"&amp;$E1256&amp;" "&amp;F1256,Bonuses!$B$1:$G$1006,4,FALSE)),"",INT(VLOOKUP($AB1256&amp;"-"&amp;$E1256&amp;" "&amp;$F1256,Bonuses!$B$1:$G$1006,4,FALSE)))</f>
        <v/>
      </c>
      <c r="AE125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7" spans="1:31" x14ac:dyDescent="0.25">
      <c r="A1257" s="68">
        <v>11776</v>
      </c>
      <c r="B1257" s="69">
        <f>COUNTIF(Table5[PID],A1257)</f>
        <v>1</v>
      </c>
      <c r="C1257" s="69" t="str">
        <f>IF(COUNTIF(Table3[[#All],[PID]],A1257)&gt;0,"P","B")</f>
        <v>P</v>
      </c>
      <c r="D1257" s="59" t="str">
        <f>IF($C1257="B",INDEX(Batters[[#All],[POS]],MATCH(Table5[[#This Row],[PID]],Batters[[#All],[PID]],0)),INDEX(Table3[[#All],[POS]],MATCH(Table5[[#This Row],[PID]],Table3[[#All],[PID]],0)))</f>
        <v>RP</v>
      </c>
      <c r="E1257" s="52" t="str">
        <f>IF($C1257="B",INDEX(Batters[[#All],[First]],MATCH(Table5[[#This Row],[PID]],Batters[[#All],[PID]],0)),INDEX(Table3[[#All],[First]],MATCH(Table5[[#This Row],[PID]],Table3[[#All],[PID]],0)))</f>
        <v>Tim</v>
      </c>
      <c r="F1257" s="55" t="str">
        <f>IF($C1257="B",INDEX(Batters[[#All],[Last]],MATCH(A1257,Batters[[#All],[PID]],0)),INDEX(Table3[[#All],[Last]],MATCH(A1257,Table3[[#All],[PID]],0)))</f>
        <v>Liñares</v>
      </c>
      <c r="G1257" s="56">
        <f>IF($C1257="B",INDEX(Batters[[#All],[Age]],MATCH(Table5[[#This Row],[PID]],Batters[[#All],[PID]],0)),INDEX(Table3[[#All],[Age]],MATCH(Table5[[#This Row],[PID]],Table3[[#All],[PID]],0)))</f>
        <v>22</v>
      </c>
      <c r="H1257" s="52" t="str">
        <f>IF($C1257="B",INDEX(Batters[[#All],[B]],MATCH(Table5[[#This Row],[PID]],Batters[[#All],[PID]],0)),INDEX(Table3[[#All],[B]],MATCH(Table5[[#This Row],[PID]],Table3[[#All],[PID]],0)))</f>
        <v>L</v>
      </c>
      <c r="I1257" s="70" t="str">
        <f>IF($C1257="B",INDEX(Batters[[#All],[T]],MATCH(Table5[[#This Row],[PID]],Batters[[#All],[PID]],0)),INDEX(Table3[[#All],[T]],MATCH(Table5[[#This Row],[PID]],Table3[[#All],[PID]],0)))</f>
        <v>R</v>
      </c>
      <c r="J1257" s="71" t="str">
        <f>IF($C1257="B",INDEX(Batters[[#All],[WE]],MATCH(Table5[[#This Row],[PID]],Batters[[#All],[PID]],0)),INDEX(Table3[[#All],[WE]],MATCH(Table5[[#This Row],[PID]],Table3[[#All],[PID]],0)))</f>
        <v>Low</v>
      </c>
      <c r="K1257" s="52" t="str">
        <f>IF($C1257="B",INDEX(Batters[[#All],[INT]],MATCH(Table5[[#This Row],[PID]],Batters[[#All],[PID]],0)),INDEX(Table3[[#All],[INT]],MATCH(Table5[[#This Row],[PID]],Table3[[#All],[PID]],0)))</f>
        <v>Low</v>
      </c>
      <c r="L1257" s="60">
        <f>IF($C1257="B",INDEX(Batters[[#All],[CON P]],MATCH(Table5[[#This Row],[PID]],Batters[[#All],[PID]],0)),INDEX(Table3[[#All],[STU P]],MATCH(Table5[[#This Row],[PID]],Table3[[#All],[PID]],0)))</f>
        <v>2</v>
      </c>
      <c r="M1257" s="72">
        <f>IF($C1257="B",INDEX(Batters[[#All],[GAP P]],MATCH(Table5[[#This Row],[PID]],Batters[[#All],[PID]],0)),INDEX(Table3[[#All],[MOV P]],MATCH(Table5[[#This Row],[PID]],Table3[[#All],[PID]],0)))</f>
        <v>1</v>
      </c>
      <c r="N1257" s="72">
        <f>IF($C1257="B",INDEX(Batters[[#All],[POW P]],MATCH(Table5[[#This Row],[PID]],Batters[[#All],[PID]],0)),INDEX(Table3[[#All],[CON P]],MATCH(Table5[[#This Row],[PID]],Table3[[#All],[PID]],0)))</f>
        <v>3</v>
      </c>
      <c r="O1257" s="72" t="str">
        <f>IF($C1257="B",INDEX(Batters[[#All],[EYE P]],MATCH(Table5[[#This Row],[PID]],Batters[[#All],[PID]],0)),INDEX(Table3[[#All],[VELO]],MATCH(Table5[[#This Row],[PID]],Table3[[#All],[PID]],0)))</f>
        <v>88-90 Mph</v>
      </c>
      <c r="P1257" s="56">
        <f>IF($C1257="B",INDEX(Batters[[#All],[K P]],MATCH(Table5[[#This Row],[PID]],Batters[[#All],[PID]],0)),INDEX(Table3[[#All],[STM]],MATCH(Table5[[#This Row],[PID]],Table3[[#All],[PID]],0)))</f>
        <v>6</v>
      </c>
      <c r="Q1257" s="61">
        <f>IF($C1257="B",INDEX(Batters[[#All],[Tot]],MATCH(Table5[[#This Row],[PID]],Batters[[#All],[PID]],0)),INDEX(Table3[[#All],[Tot]],MATCH(Table5[[#This Row],[PID]],Table3[[#All],[PID]],0)))</f>
        <v>16.676115795300078</v>
      </c>
      <c r="R1257" s="70">
        <f>IF($C1257="B",INDEX(Batters[[#All],[zScore]],MATCH(Table5[[#This Row],[PID]],Batters[[#All],[PID]],0)),INDEX(Table3[[#All],[zScore]],MATCH(Table5[[#This Row],[PID]],Table3[[#All],[PID]],0)))</f>
        <v>-1.2769747826315163</v>
      </c>
      <c r="S1257" s="74" t="str">
        <f>IF($C1257="B",INDEX(Batters[[#All],[DEM]],MATCH(Table5[[#This Row],[PID]],Batters[[#All],[PID]],0)),INDEX(Table3[[#All],[DEM]],MATCH(Table5[[#This Row],[PID]],Table3[[#All],[PID]],0)))</f>
        <v>-</v>
      </c>
      <c r="T1257" s="75">
        <f>IF($C1257="B",INDEX(Batters[[#All],[Rnk]],MATCH(Table5[[#This Row],[PID]],Batters[[#All],[PID]],0)),INDEX(Table3[[#All],[Rnk]],MATCH(Table5[[#This Row],[PID]],Table3[[#All],[PID]],0)))</f>
        <v>750</v>
      </c>
      <c r="U1257" s="68">
        <f>IF($C1257="B",VLOOKUP($A1257,Bat!$A$4:$BA$1621,47,FALSE),VLOOKUP($A1257,Pit!$A$4:$BF$1557,56,FALSE))</f>
        <v>0</v>
      </c>
      <c r="V1257" s="50">
        <f>IF($C1257="B",VLOOKUP($A1257,Bat!$A$4:$BA$1621,48,FALSE),VLOOKUP($A1257,Pit!$A$4:$BF$1557,57,FALSE))</f>
        <v>0</v>
      </c>
      <c r="W1257" s="69">
        <f>Table5[[#This Row],[posRnk]]+Table5[[#This Row],[zRnk]]+IF($W$3&lt;&gt;Table5[[#This Row],[Type]],50,0)</f>
        <v>2032</v>
      </c>
      <c r="X1257" s="73">
        <f>RANK(Table5[[#This Row],[zScore]],Table5[[#All],[zScore]])</f>
        <v>1232</v>
      </c>
      <c r="Y1257" s="69" t="str">
        <f>IFERROR(INDEX(DraftResults[[#All],[OVR]],MATCH(Table5[[#This Row],[PID]],DraftResults[[#All],[Player ID]],0)),"")</f>
        <v/>
      </c>
      <c r="Z1257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7" s="69" t="str">
        <f>IFERROR(INDEX(DraftResults[[#All],[Pick in Round]],MATCH(Table5[[#This Row],[PID]],DraftResults[[#All],[Player ID]],0)),"")</f>
        <v/>
      </c>
      <c r="AB1257" s="69" t="str">
        <f>IFERROR(INDEX(DraftResults[[#All],[Team Name]],MATCH(Table5[[#This Row],[PID]],DraftResults[[#All],[Player ID]],0)),"")</f>
        <v/>
      </c>
      <c r="AC1257" s="69" t="str">
        <f>IF(Table5[[#This Row],[Ovr]]="","",IF(Table5[[#This Row],[cmbList]]="","",Table5[[#This Row],[cmbList]]-Table5[[#This Row],[Ovr]]))</f>
        <v/>
      </c>
      <c r="AD1257" s="77" t="str">
        <f>IF(ISERROR(VLOOKUP($AB1257&amp;"-"&amp;$E1257&amp;" "&amp;F1257,Bonuses!$B$1:$G$1006,4,FALSE)),"",INT(VLOOKUP($AB1257&amp;"-"&amp;$E1257&amp;" "&amp;$F1257,Bonuses!$B$1:$G$1006,4,FALSE)))</f>
        <v/>
      </c>
      <c r="AE1257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8" spans="1:31" x14ac:dyDescent="0.25">
      <c r="A1258" s="68">
        <v>16421</v>
      </c>
      <c r="B1258" s="69">
        <f>COUNTIF(Table5[PID],A1258)</f>
        <v>1</v>
      </c>
      <c r="C1258" s="69" t="str">
        <f>IF(COUNTIF(Table3[[#All],[PID]],A1258)&gt;0,"P","B")</f>
        <v>P</v>
      </c>
      <c r="D1258" s="59" t="str">
        <f>IF($C1258="B",INDEX(Batters[[#All],[POS]],MATCH(Table5[[#This Row],[PID]],Batters[[#All],[PID]],0)),INDEX(Table3[[#All],[POS]],MATCH(Table5[[#This Row],[PID]],Table3[[#All],[PID]],0)))</f>
        <v>RP</v>
      </c>
      <c r="E1258" s="52" t="str">
        <f>IF($C1258="B",INDEX(Batters[[#All],[First]],MATCH(Table5[[#This Row],[PID]],Batters[[#All],[PID]],0)),INDEX(Table3[[#All],[First]],MATCH(Table5[[#This Row],[PID]],Table3[[#All],[PID]],0)))</f>
        <v>Pedro</v>
      </c>
      <c r="F1258" s="55" t="str">
        <f>IF($C1258="B",INDEX(Batters[[#All],[Last]],MATCH(A1258,Batters[[#All],[PID]],0)),INDEX(Table3[[#All],[Last]],MATCH(A1258,Table3[[#All],[PID]],0)))</f>
        <v>Negrete</v>
      </c>
      <c r="G1258" s="56">
        <f>IF($C1258="B",INDEX(Batters[[#All],[Age]],MATCH(Table5[[#This Row],[PID]],Batters[[#All],[PID]],0)),INDEX(Table3[[#All],[Age]],MATCH(Table5[[#This Row],[PID]],Table3[[#All],[PID]],0)))</f>
        <v>21</v>
      </c>
      <c r="H1258" s="52" t="str">
        <f>IF($C1258="B",INDEX(Batters[[#All],[B]],MATCH(Table5[[#This Row],[PID]],Batters[[#All],[PID]],0)),INDEX(Table3[[#All],[B]],MATCH(Table5[[#This Row],[PID]],Table3[[#All],[PID]],0)))</f>
        <v>S</v>
      </c>
      <c r="I1258" s="70" t="str">
        <f>IF($C1258="B",INDEX(Batters[[#All],[T]],MATCH(Table5[[#This Row],[PID]],Batters[[#All],[PID]],0)),INDEX(Table3[[#All],[T]],MATCH(Table5[[#This Row],[PID]],Table3[[#All],[PID]],0)))</f>
        <v>L</v>
      </c>
      <c r="J1258" s="71" t="str">
        <f>IF($C1258="B",INDEX(Batters[[#All],[WE]],MATCH(Table5[[#This Row],[PID]],Batters[[#All],[PID]],0)),INDEX(Table3[[#All],[WE]],MATCH(Table5[[#This Row],[PID]],Table3[[#All],[PID]],0)))</f>
        <v>High</v>
      </c>
      <c r="K1258" s="52" t="str">
        <f>IF($C1258="B",INDEX(Batters[[#All],[INT]],MATCH(Table5[[#This Row],[PID]],Batters[[#All],[PID]],0)),INDEX(Table3[[#All],[INT]],MATCH(Table5[[#This Row],[PID]],Table3[[#All],[PID]],0)))</f>
        <v>Normal</v>
      </c>
      <c r="L1258" s="60">
        <f>IF($C1258="B",INDEX(Batters[[#All],[CON P]],MATCH(Table5[[#This Row],[PID]],Batters[[#All],[PID]],0)),INDEX(Table3[[#All],[STU P]],MATCH(Table5[[#This Row],[PID]],Table3[[#All],[PID]],0)))</f>
        <v>2</v>
      </c>
      <c r="M1258" s="72">
        <f>IF($C1258="B",INDEX(Batters[[#All],[GAP P]],MATCH(Table5[[#This Row],[PID]],Batters[[#All],[PID]],0)),INDEX(Table3[[#All],[MOV P]],MATCH(Table5[[#This Row],[PID]],Table3[[#All],[PID]],0)))</f>
        <v>1</v>
      </c>
      <c r="N1258" s="72">
        <f>IF($C1258="B",INDEX(Batters[[#All],[POW P]],MATCH(Table5[[#This Row],[PID]],Batters[[#All],[PID]],0)),INDEX(Table3[[#All],[CON P]],MATCH(Table5[[#This Row],[PID]],Table3[[#All],[PID]],0)))</f>
        <v>2</v>
      </c>
      <c r="O1258" s="72" t="str">
        <f>IF($C1258="B",INDEX(Batters[[#All],[EYE P]],MATCH(Table5[[#This Row],[PID]],Batters[[#All],[PID]],0)),INDEX(Table3[[#All],[VELO]],MATCH(Table5[[#This Row],[PID]],Table3[[#All],[PID]],0)))</f>
        <v>83-85 Mph</v>
      </c>
      <c r="P1258" s="56">
        <f>IF($C1258="B",INDEX(Batters[[#All],[K P]],MATCH(Table5[[#This Row],[PID]],Batters[[#All],[PID]],0)),INDEX(Table3[[#All],[STM]],MATCH(Table5[[#This Row],[PID]],Table3[[#All],[PID]],0)))</f>
        <v>5</v>
      </c>
      <c r="Q1258" s="61">
        <f>IF($C1258="B",INDEX(Batters[[#All],[Tot]],MATCH(Table5[[#This Row],[PID]],Batters[[#All],[PID]],0)),INDEX(Table3[[#All],[Tot]],MATCH(Table5[[#This Row],[PID]],Table3[[#All],[PID]],0)))</f>
        <v>16.657832694726583</v>
      </c>
      <c r="R1258" s="70">
        <f>IF($C1258="B",INDEX(Batters[[#All],[zScore]],MATCH(Table5[[#This Row],[PID]],Batters[[#All],[PID]],0)),INDEX(Table3[[#All],[zScore]],MATCH(Table5[[#This Row],[PID]],Table3[[#All],[PID]],0)))</f>
        <v>-1.2781911293741033</v>
      </c>
      <c r="S1258" s="74" t="str">
        <f>IF($C1258="B",INDEX(Batters[[#All],[DEM]],MATCH(Table5[[#This Row],[PID]],Batters[[#All],[PID]],0)),INDEX(Table3[[#All],[DEM]],MATCH(Table5[[#This Row],[PID]],Table3[[#All],[PID]],0)))</f>
        <v>-</v>
      </c>
      <c r="T1258" s="75">
        <f>IF($C1258="B",INDEX(Batters[[#All],[Rnk]],MATCH(Table5[[#This Row],[PID]],Batters[[#All],[PID]],0)),INDEX(Table3[[#All],[Rnk]],MATCH(Table5[[#This Row],[PID]],Table3[[#All],[PID]],0)))</f>
        <v>751</v>
      </c>
      <c r="U1258" s="68">
        <f>IF($C1258="B",VLOOKUP($A1258,Bat!$A$4:$BA$1621,47,FALSE),VLOOKUP($A1258,Pit!$A$4:$BF$1557,56,FALSE))</f>
        <v>0</v>
      </c>
      <c r="V1258" s="50">
        <f>IF($C1258="B",VLOOKUP($A1258,Bat!$A$4:$BA$1621,48,FALSE),VLOOKUP($A1258,Pit!$A$4:$BF$1557,57,FALSE))</f>
        <v>0</v>
      </c>
      <c r="W1258" s="69">
        <f>Table5[[#This Row],[posRnk]]+Table5[[#This Row],[zRnk]]+IF($W$3&lt;&gt;Table5[[#This Row],[Type]],50,0)</f>
        <v>2034</v>
      </c>
      <c r="X1258" s="73">
        <f>RANK(Table5[[#This Row],[zScore]],Table5[[#All],[zScore]])</f>
        <v>1233</v>
      </c>
      <c r="Y1258" s="69" t="str">
        <f>IFERROR(INDEX(DraftResults[[#All],[OVR]],MATCH(Table5[[#This Row],[PID]],DraftResults[[#All],[Player ID]],0)),"")</f>
        <v/>
      </c>
      <c r="Z125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8" s="69" t="str">
        <f>IFERROR(INDEX(DraftResults[[#All],[Pick in Round]],MATCH(Table5[[#This Row],[PID]],DraftResults[[#All],[Player ID]],0)),"")</f>
        <v/>
      </c>
      <c r="AB1258" s="69" t="str">
        <f>IFERROR(INDEX(DraftResults[[#All],[Team Name]],MATCH(Table5[[#This Row],[PID]],DraftResults[[#All],[Player ID]],0)),"")</f>
        <v/>
      </c>
      <c r="AC1258" s="69" t="str">
        <f>IF(Table5[[#This Row],[Ovr]]="","",IF(Table5[[#This Row],[cmbList]]="","",Table5[[#This Row],[cmbList]]-Table5[[#This Row],[Ovr]]))</f>
        <v/>
      </c>
      <c r="AD1258" s="77" t="str">
        <f>IF(ISERROR(VLOOKUP($AB1258&amp;"-"&amp;$E1258&amp;" "&amp;F1258,Bonuses!$B$1:$G$1006,4,FALSE)),"",INT(VLOOKUP($AB1258&amp;"-"&amp;$E1258&amp;" "&amp;$F1258,Bonuses!$B$1:$G$1006,4,FALSE)))</f>
        <v/>
      </c>
      <c r="AE125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59" spans="1:31" x14ac:dyDescent="0.25">
      <c r="A1259" s="68">
        <v>15642</v>
      </c>
      <c r="B1259" s="69">
        <f>COUNTIF(Table5[PID],A1259)</f>
        <v>1</v>
      </c>
      <c r="C1259" s="69" t="str">
        <f>IF(COUNTIF(Table3[[#All],[PID]],A1259)&gt;0,"P","B")</f>
        <v>P</v>
      </c>
      <c r="D1259" s="59" t="str">
        <f>IF($C1259="B",INDEX(Batters[[#All],[POS]],MATCH(Table5[[#This Row],[PID]],Batters[[#All],[PID]],0)),INDEX(Table3[[#All],[POS]],MATCH(Table5[[#This Row],[PID]],Table3[[#All],[PID]],0)))</f>
        <v>RP</v>
      </c>
      <c r="E1259" s="52" t="str">
        <f>IF($C1259="B",INDEX(Batters[[#All],[First]],MATCH(Table5[[#This Row],[PID]],Batters[[#All],[PID]],0)),INDEX(Table3[[#All],[First]],MATCH(Table5[[#This Row],[PID]],Table3[[#All],[PID]],0)))</f>
        <v>Jotaro</v>
      </c>
      <c r="F1259" s="55" t="str">
        <f>IF($C1259="B",INDEX(Batters[[#All],[Last]],MATCH(A1259,Batters[[#All],[PID]],0)),INDEX(Table3[[#All],[Last]],MATCH(A1259,Table3[[#All],[PID]],0)))</f>
        <v>Saito</v>
      </c>
      <c r="G1259" s="56">
        <f>IF($C1259="B",INDEX(Batters[[#All],[Age]],MATCH(Table5[[#This Row],[PID]],Batters[[#All],[PID]],0)),INDEX(Table3[[#All],[Age]],MATCH(Table5[[#This Row],[PID]],Table3[[#All],[PID]],0)))</f>
        <v>21</v>
      </c>
      <c r="H1259" s="52" t="str">
        <f>IF($C1259="B",INDEX(Batters[[#All],[B]],MATCH(Table5[[#This Row],[PID]],Batters[[#All],[PID]],0)),INDEX(Table3[[#All],[B]],MATCH(Table5[[#This Row],[PID]],Table3[[#All],[PID]],0)))</f>
        <v>L</v>
      </c>
      <c r="I1259" s="70" t="str">
        <f>IF($C1259="B",INDEX(Batters[[#All],[T]],MATCH(Table5[[#This Row],[PID]],Batters[[#All],[PID]],0)),INDEX(Table3[[#All],[T]],MATCH(Table5[[#This Row],[PID]],Table3[[#All],[PID]],0)))</f>
        <v>L</v>
      </c>
      <c r="J1259" s="71" t="str">
        <f>IF($C1259="B",INDEX(Batters[[#All],[WE]],MATCH(Table5[[#This Row],[PID]],Batters[[#All],[PID]],0)),INDEX(Table3[[#All],[WE]],MATCH(Table5[[#This Row],[PID]],Table3[[#All],[PID]],0)))</f>
        <v>Normal</v>
      </c>
      <c r="K1259" s="52" t="str">
        <f>IF($C1259="B",INDEX(Batters[[#All],[INT]],MATCH(Table5[[#This Row],[PID]],Batters[[#All],[PID]],0)),INDEX(Table3[[#All],[INT]],MATCH(Table5[[#This Row],[PID]],Table3[[#All],[PID]],0)))</f>
        <v>Normal</v>
      </c>
      <c r="L1259" s="60">
        <f>IF($C1259="B",INDEX(Batters[[#All],[CON P]],MATCH(Table5[[#This Row],[PID]],Batters[[#All],[PID]],0)),INDEX(Table3[[#All],[STU P]],MATCH(Table5[[#This Row],[PID]],Table3[[#All],[PID]],0)))</f>
        <v>3</v>
      </c>
      <c r="M1259" s="72">
        <f>IF($C1259="B",INDEX(Batters[[#All],[GAP P]],MATCH(Table5[[#This Row],[PID]],Batters[[#All],[PID]],0)),INDEX(Table3[[#All],[MOV P]],MATCH(Table5[[#This Row],[PID]],Table3[[#All],[PID]],0)))</f>
        <v>1</v>
      </c>
      <c r="N1259" s="72">
        <f>IF($C1259="B",INDEX(Batters[[#All],[POW P]],MATCH(Table5[[#This Row],[PID]],Batters[[#All],[PID]],0)),INDEX(Table3[[#All],[CON P]],MATCH(Table5[[#This Row],[PID]],Table3[[#All],[PID]],0)))</f>
        <v>2</v>
      </c>
      <c r="O1259" s="72" t="str">
        <f>IF($C1259="B",INDEX(Batters[[#All],[EYE P]],MATCH(Table5[[#This Row],[PID]],Batters[[#All],[PID]],0)),INDEX(Table3[[#All],[VELO]],MATCH(Table5[[#This Row],[PID]],Table3[[#All],[PID]],0)))</f>
        <v>85-87 Mph</v>
      </c>
      <c r="P1259" s="56">
        <f>IF($C1259="B",INDEX(Batters[[#All],[K P]],MATCH(Table5[[#This Row],[PID]],Batters[[#All],[PID]],0)),INDEX(Table3[[#All],[STM]],MATCH(Table5[[#This Row],[PID]],Table3[[#All],[PID]],0)))</f>
        <v>4</v>
      </c>
      <c r="Q1259" s="61">
        <f>IF($C1259="B",INDEX(Batters[[#All],[Tot]],MATCH(Table5[[#This Row],[PID]],Batters[[#All],[PID]],0)),INDEX(Table3[[#All],[Tot]],MATCH(Table5[[#This Row],[PID]],Table3[[#All],[PID]],0)))</f>
        <v>16.547764882593704</v>
      </c>
      <c r="R1259" s="70">
        <f>IF($C1259="B",INDEX(Batters[[#All],[zScore]],MATCH(Table5[[#This Row],[PID]],Batters[[#All],[PID]],0)),INDEX(Table3[[#All],[zScore]],MATCH(Table5[[#This Row],[PID]],Table3[[#All],[PID]],0)))</f>
        <v>-1.2855137727197068</v>
      </c>
      <c r="S1259" s="74" t="str">
        <f>IF($C1259="B",INDEX(Batters[[#All],[DEM]],MATCH(Table5[[#This Row],[PID]],Batters[[#All],[PID]],0)),INDEX(Table3[[#All],[DEM]],MATCH(Table5[[#This Row],[PID]],Table3[[#All],[PID]],0)))</f>
        <v>-</v>
      </c>
      <c r="T1259" s="75">
        <f>IF($C1259="B",INDEX(Batters[[#All],[Rnk]],MATCH(Table5[[#This Row],[PID]],Batters[[#All],[PID]],0)),INDEX(Table3[[#All],[Rnk]],MATCH(Table5[[#This Row],[PID]],Table3[[#All],[PID]],0)))</f>
        <v>752</v>
      </c>
      <c r="U1259" s="68">
        <f>IF($C1259="B",VLOOKUP($A1259,Bat!$A$4:$BA$1621,47,FALSE),VLOOKUP($A1259,Pit!$A$4:$BF$1557,56,FALSE))</f>
        <v>0</v>
      </c>
      <c r="V1259" s="50">
        <f>IF($C1259="B",VLOOKUP($A1259,Bat!$A$4:$BA$1621,48,FALSE),VLOOKUP($A1259,Pit!$A$4:$BF$1557,57,FALSE))</f>
        <v>0</v>
      </c>
      <c r="W1259" s="69">
        <f>Table5[[#This Row],[posRnk]]+Table5[[#This Row],[zRnk]]+IF($W$3&lt;&gt;Table5[[#This Row],[Type]],50,0)</f>
        <v>2038</v>
      </c>
      <c r="X1259" s="73">
        <f>RANK(Table5[[#This Row],[zScore]],Table5[[#All],[zScore]])</f>
        <v>1236</v>
      </c>
      <c r="Y1259" s="69" t="str">
        <f>IFERROR(INDEX(DraftResults[[#All],[OVR]],MATCH(Table5[[#This Row],[PID]],DraftResults[[#All],[Player ID]],0)),"")</f>
        <v/>
      </c>
      <c r="Z125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59" s="69" t="str">
        <f>IFERROR(INDEX(DraftResults[[#All],[Pick in Round]],MATCH(Table5[[#This Row],[PID]],DraftResults[[#All],[Player ID]],0)),"")</f>
        <v/>
      </c>
      <c r="AB1259" s="69" t="str">
        <f>IFERROR(INDEX(DraftResults[[#All],[Team Name]],MATCH(Table5[[#This Row],[PID]],DraftResults[[#All],[Player ID]],0)),"")</f>
        <v/>
      </c>
      <c r="AC1259" s="69" t="str">
        <f>IF(Table5[[#This Row],[Ovr]]="","",IF(Table5[[#This Row],[cmbList]]="","",Table5[[#This Row],[cmbList]]-Table5[[#This Row],[Ovr]]))</f>
        <v/>
      </c>
      <c r="AD1259" s="77" t="str">
        <f>IF(ISERROR(VLOOKUP($AB1259&amp;"-"&amp;$E1259&amp;" "&amp;F1259,Bonuses!$B$1:$G$1006,4,FALSE)),"",INT(VLOOKUP($AB1259&amp;"-"&amp;$E1259&amp;" "&amp;$F1259,Bonuses!$B$1:$G$1006,4,FALSE)))</f>
        <v/>
      </c>
      <c r="AE125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0" spans="1:31" x14ac:dyDescent="0.25">
      <c r="A1260" s="68">
        <v>11609</v>
      </c>
      <c r="B1260" s="69">
        <f>COUNTIF(Table5[PID],A1260)</f>
        <v>1</v>
      </c>
      <c r="C1260" s="69" t="str">
        <f>IF(COUNTIF(Table3[[#All],[PID]],A1260)&gt;0,"P","B")</f>
        <v>P</v>
      </c>
      <c r="D1260" s="59" t="str">
        <f>IF($C1260="B",INDEX(Batters[[#All],[POS]],MATCH(Table5[[#This Row],[PID]],Batters[[#All],[PID]],0)),INDEX(Table3[[#All],[POS]],MATCH(Table5[[#This Row],[PID]],Table3[[#All],[PID]],0)))</f>
        <v>RP</v>
      </c>
      <c r="E1260" s="52" t="str">
        <f>IF($C1260="B",INDEX(Batters[[#All],[First]],MATCH(Table5[[#This Row],[PID]],Batters[[#All],[PID]],0)),INDEX(Table3[[#All],[First]],MATCH(Table5[[#This Row],[PID]],Table3[[#All],[PID]],0)))</f>
        <v>Júlio</v>
      </c>
      <c r="F1260" s="55" t="str">
        <f>IF($C1260="B",INDEX(Batters[[#All],[Last]],MATCH(A1260,Batters[[#All],[PID]],0)),INDEX(Table3[[#All],[Last]],MATCH(A1260,Table3[[#All],[PID]],0)))</f>
        <v>Sánchez</v>
      </c>
      <c r="G1260" s="56">
        <f>IF($C1260="B",INDEX(Batters[[#All],[Age]],MATCH(Table5[[#This Row],[PID]],Batters[[#All],[PID]],0)),INDEX(Table3[[#All],[Age]],MATCH(Table5[[#This Row],[PID]],Table3[[#All],[PID]],0)))</f>
        <v>22</v>
      </c>
      <c r="H1260" s="52" t="str">
        <f>IF($C1260="B",INDEX(Batters[[#All],[B]],MATCH(Table5[[#This Row],[PID]],Batters[[#All],[PID]],0)),INDEX(Table3[[#All],[B]],MATCH(Table5[[#This Row],[PID]],Table3[[#All],[PID]],0)))</f>
        <v>R</v>
      </c>
      <c r="I1260" s="70" t="str">
        <f>IF($C1260="B",INDEX(Batters[[#All],[T]],MATCH(Table5[[#This Row],[PID]],Batters[[#All],[PID]],0)),INDEX(Table3[[#All],[T]],MATCH(Table5[[#This Row],[PID]],Table3[[#All],[PID]],0)))</f>
        <v>R</v>
      </c>
      <c r="J1260" s="71" t="str">
        <f>IF($C1260="B",INDEX(Batters[[#All],[WE]],MATCH(Table5[[#This Row],[PID]],Batters[[#All],[PID]],0)),INDEX(Table3[[#All],[WE]],MATCH(Table5[[#This Row],[PID]],Table3[[#All],[PID]],0)))</f>
        <v>Normal</v>
      </c>
      <c r="K1260" s="52" t="str">
        <f>IF($C1260="B",INDEX(Batters[[#All],[INT]],MATCH(Table5[[#This Row],[PID]],Batters[[#All],[PID]],0)),INDEX(Table3[[#All],[INT]],MATCH(Table5[[#This Row],[PID]],Table3[[#All],[PID]],0)))</f>
        <v>Low</v>
      </c>
      <c r="L1260" s="60">
        <f>IF($C1260="B",INDEX(Batters[[#All],[CON P]],MATCH(Table5[[#This Row],[PID]],Batters[[#All],[PID]],0)),INDEX(Table3[[#All],[STU P]],MATCH(Table5[[#This Row],[PID]],Table3[[#All],[PID]],0)))</f>
        <v>2</v>
      </c>
      <c r="M1260" s="72">
        <f>IF($C1260="B",INDEX(Batters[[#All],[GAP P]],MATCH(Table5[[#This Row],[PID]],Batters[[#All],[PID]],0)),INDEX(Table3[[#All],[MOV P]],MATCH(Table5[[#This Row],[PID]],Table3[[#All],[PID]],0)))</f>
        <v>2</v>
      </c>
      <c r="N1260" s="72">
        <f>IF($C1260="B",INDEX(Batters[[#All],[POW P]],MATCH(Table5[[#This Row],[PID]],Batters[[#All],[PID]],0)),INDEX(Table3[[#All],[CON P]],MATCH(Table5[[#This Row],[PID]],Table3[[#All],[PID]],0)))</f>
        <v>2</v>
      </c>
      <c r="O1260" s="72" t="str">
        <f>IF($C1260="B",INDEX(Batters[[#All],[EYE P]],MATCH(Table5[[#This Row],[PID]],Batters[[#All],[PID]],0)),INDEX(Table3[[#All],[VELO]],MATCH(Table5[[#This Row],[PID]],Table3[[#All],[PID]],0)))</f>
        <v>85-87 Mph</v>
      </c>
      <c r="P1260" s="56">
        <f>IF($C1260="B",INDEX(Batters[[#All],[K P]],MATCH(Table5[[#This Row],[PID]],Batters[[#All],[PID]],0)),INDEX(Table3[[#All],[STM]],MATCH(Table5[[#This Row],[PID]],Table3[[#All],[PID]],0)))</f>
        <v>3</v>
      </c>
      <c r="Q1260" s="61">
        <f>IF($C1260="B",INDEX(Batters[[#All],[Tot]],MATCH(Table5[[#This Row],[PID]],Batters[[#All],[PID]],0)),INDEX(Table3[[#All],[Tot]],MATCH(Table5[[#This Row],[PID]],Table3[[#All],[PID]],0)))</f>
        <v>16.521404381581249</v>
      </c>
      <c r="R1260" s="70">
        <f>IF($C1260="B",INDEX(Batters[[#All],[zScore]],MATCH(Table5[[#This Row],[PID]],Batters[[#All],[PID]],0)),INDEX(Table3[[#All],[zScore]],MATCH(Table5[[#This Row],[PID]],Table3[[#All],[PID]],0)))</f>
        <v>-1.2872674965703506</v>
      </c>
      <c r="S1260" s="74" t="str">
        <f>IF($C1260="B",INDEX(Batters[[#All],[DEM]],MATCH(Table5[[#This Row],[PID]],Batters[[#All],[PID]],0)),INDEX(Table3[[#All],[DEM]],MATCH(Table5[[#This Row],[PID]],Table3[[#All],[PID]],0)))</f>
        <v>-</v>
      </c>
      <c r="T1260" s="75">
        <f>IF($C1260="B",INDEX(Batters[[#All],[Rnk]],MATCH(Table5[[#This Row],[PID]],Batters[[#All],[PID]],0)),INDEX(Table3[[#All],[Rnk]],MATCH(Table5[[#This Row],[PID]],Table3[[#All],[PID]],0)))</f>
        <v>753</v>
      </c>
      <c r="U1260" s="68">
        <f>IF($C1260="B",VLOOKUP($A1260,Bat!$A$4:$BA$1621,47,FALSE),VLOOKUP($A1260,Pit!$A$4:$BF$1557,56,FALSE))</f>
        <v>0</v>
      </c>
      <c r="V1260" s="50">
        <f>IF($C1260="B",VLOOKUP($A1260,Bat!$A$4:$BA$1621,48,FALSE),VLOOKUP($A1260,Pit!$A$4:$BF$1557,57,FALSE))</f>
        <v>0</v>
      </c>
      <c r="W1260" s="69">
        <f>Table5[[#This Row],[posRnk]]+Table5[[#This Row],[zRnk]]+IF($W$3&lt;&gt;Table5[[#This Row],[Type]],50,0)</f>
        <v>2040</v>
      </c>
      <c r="X1260" s="73">
        <f>RANK(Table5[[#This Row],[zScore]],Table5[[#All],[zScore]])</f>
        <v>1237</v>
      </c>
      <c r="Y1260" s="69" t="str">
        <f>IFERROR(INDEX(DraftResults[[#All],[OVR]],MATCH(Table5[[#This Row],[PID]],DraftResults[[#All],[Player ID]],0)),"")</f>
        <v/>
      </c>
      <c r="Z126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0" s="69" t="str">
        <f>IFERROR(INDEX(DraftResults[[#All],[Pick in Round]],MATCH(Table5[[#This Row],[PID]],DraftResults[[#All],[Player ID]],0)),"")</f>
        <v/>
      </c>
      <c r="AB1260" s="69" t="str">
        <f>IFERROR(INDEX(DraftResults[[#All],[Team Name]],MATCH(Table5[[#This Row],[PID]],DraftResults[[#All],[Player ID]],0)),"")</f>
        <v/>
      </c>
      <c r="AC1260" s="69" t="str">
        <f>IF(Table5[[#This Row],[Ovr]]="","",IF(Table5[[#This Row],[cmbList]]="","",Table5[[#This Row],[cmbList]]-Table5[[#This Row],[Ovr]]))</f>
        <v/>
      </c>
      <c r="AD1260" s="77" t="str">
        <f>IF(ISERROR(VLOOKUP($AB1260&amp;"-"&amp;$E1260&amp;" "&amp;F1260,Bonuses!$B$1:$G$1006,4,FALSE)),"",INT(VLOOKUP($AB1260&amp;"-"&amp;$E1260&amp;" "&amp;$F1260,Bonuses!$B$1:$G$1006,4,FALSE)))</f>
        <v/>
      </c>
      <c r="AE126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1" spans="1:31" x14ac:dyDescent="0.25">
      <c r="A1261" s="50">
        <v>18279</v>
      </c>
      <c r="B1261" s="50">
        <f>COUNTIF(Table5[PID],A1261)</f>
        <v>1</v>
      </c>
      <c r="C1261" s="50" t="str">
        <f>IF(COUNTIF(Table3[[#All],[PID]],A1261)&gt;0,"P","B")</f>
        <v>B</v>
      </c>
      <c r="D1261" s="59" t="str">
        <f>IF($C1261="B",INDEX(Batters[[#All],[POS]],MATCH(Table5[[#This Row],[PID]],Batters[[#All],[PID]],0)),INDEX(Table3[[#All],[POS]],MATCH(Table5[[#This Row],[PID]],Table3[[#All],[PID]],0)))</f>
        <v>C</v>
      </c>
      <c r="E1261" s="52" t="str">
        <f>IF($C1261="B",INDEX(Batters[[#All],[First]],MATCH(Table5[[#This Row],[PID]],Batters[[#All],[PID]],0)),INDEX(Table3[[#All],[First]],MATCH(Table5[[#This Row],[PID]],Table3[[#All],[PID]],0)))</f>
        <v>Ricardo</v>
      </c>
      <c r="F1261" s="50" t="str">
        <f>IF($C1261="B",INDEX(Batters[[#All],[Last]],MATCH(A1261,Batters[[#All],[PID]],0)),INDEX(Table3[[#All],[Last]],MATCH(A1261,Table3[[#All],[PID]],0)))</f>
        <v>Ealba</v>
      </c>
      <c r="G1261" s="56">
        <f>IF($C1261="B",INDEX(Batters[[#All],[Age]],MATCH(Table5[[#This Row],[PID]],Batters[[#All],[PID]],0)),INDEX(Table3[[#All],[Age]],MATCH(Table5[[#This Row],[PID]],Table3[[#All],[PID]],0)))</f>
        <v>18</v>
      </c>
      <c r="H1261" s="52" t="str">
        <f>IF($C1261="B",INDEX(Batters[[#All],[B]],MATCH(Table5[[#This Row],[PID]],Batters[[#All],[PID]],0)),INDEX(Table3[[#All],[B]],MATCH(Table5[[#This Row],[PID]],Table3[[#All],[PID]],0)))</f>
        <v>R</v>
      </c>
      <c r="I1261" s="70" t="str">
        <f>IF($C1261="B",INDEX(Batters[[#All],[T]],MATCH(Table5[[#This Row],[PID]],Batters[[#All],[PID]],0)),INDEX(Table3[[#All],[T]],MATCH(Table5[[#This Row],[PID]],Table3[[#All],[PID]],0)))</f>
        <v>R</v>
      </c>
      <c r="J1261" s="52" t="str">
        <f>IF($C1261="B",INDEX(Batters[[#All],[WE]],MATCH(Table5[[#This Row],[PID]],Batters[[#All],[PID]],0)),INDEX(Table3[[#All],[WE]],MATCH(Table5[[#This Row],[PID]],Table3[[#All],[PID]],0)))</f>
        <v>Normal</v>
      </c>
      <c r="K1261" s="52" t="str">
        <f>IF($C1261="B",INDEX(Batters[[#All],[INT]],MATCH(Table5[[#This Row],[PID]],Batters[[#All],[PID]],0)),INDEX(Table3[[#All],[INT]],MATCH(Table5[[#This Row],[PID]],Table3[[#All],[PID]],0)))</f>
        <v>Normal</v>
      </c>
      <c r="L1261" s="60">
        <f>IF($C1261="B",INDEX(Batters[[#All],[CON P]],MATCH(Table5[[#This Row],[PID]],Batters[[#All],[PID]],0)),INDEX(Table3[[#All],[STU P]],MATCH(Table5[[#This Row],[PID]],Table3[[#All],[PID]],0)))</f>
        <v>2</v>
      </c>
      <c r="M1261" s="56">
        <f>IF($C1261="B",INDEX(Batters[[#All],[GAP P]],MATCH(Table5[[#This Row],[PID]],Batters[[#All],[PID]],0)),INDEX(Table3[[#All],[MOV P]],MATCH(Table5[[#This Row],[PID]],Table3[[#All],[PID]],0)))</f>
        <v>4</v>
      </c>
      <c r="N1261" s="56">
        <f>IF($C1261="B",INDEX(Batters[[#All],[POW P]],MATCH(Table5[[#This Row],[PID]],Batters[[#All],[PID]],0)),INDEX(Table3[[#All],[CON P]],MATCH(Table5[[#This Row],[PID]],Table3[[#All],[PID]],0)))</f>
        <v>4</v>
      </c>
      <c r="O1261" s="56">
        <f>IF($C1261="B",INDEX(Batters[[#All],[EYE P]],MATCH(Table5[[#This Row],[PID]],Batters[[#All],[PID]],0)),INDEX(Table3[[#All],[VELO]],MATCH(Table5[[#This Row],[PID]],Table3[[#All],[PID]],0)))</f>
        <v>5</v>
      </c>
      <c r="P1261" s="56">
        <f>IF($C1261="B",INDEX(Batters[[#All],[K P]],MATCH(Table5[[#This Row],[PID]],Batters[[#All],[PID]],0)),INDEX(Table3[[#All],[STM]],MATCH(Table5[[#This Row],[PID]],Table3[[#All],[PID]],0)))</f>
        <v>2</v>
      </c>
      <c r="Q1261" s="61">
        <f>IF($C1261="B",INDEX(Batters[[#All],[Tot]],MATCH(Table5[[#This Row],[PID]],Batters[[#All],[PID]],0)),INDEX(Table3[[#All],[Tot]],MATCH(Table5[[#This Row],[PID]],Table3[[#All],[PID]],0)))</f>
        <v>38.273045580319533</v>
      </c>
      <c r="R1261" s="70">
        <f>IF($C1261="B",INDEX(Batters[[#All],[zScore]],MATCH(Table5[[#This Row],[PID]],Batters[[#All],[PID]],0)),INDEX(Table3[[#All],[zScore]],MATCH(Table5[[#This Row],[PID]],Table3[[#All],[PID]],0)))</f>
        <v>-1.2989564335783972</v>
      </c>
      <c r="S1261" s="79" t="str">
        <f>IF($C1261="B",INDEX(Batters[[#All],[DEM]],MATCH(Table5[[#This Row],[PID]],Batters[[#All],[PID]],0)),INDEX(Table3[[#All],[DEM]],MATCH(Table5[[#This Row],[PID]],Table3[[#All],[PID]],0)))</f>
        <v>$70k</v>
      </c>
      <c r="T1261" s="62">
        <f>IF($C1261="B",INDEX(Batters[[#All],[Rnk]],MATCH(Table5[[#This Row],[PID]],Batters[[#All],[PID]],0)),INDEX(Table3[[#All],[Rnk]],MATCH(Table5[[#This Row],[PID]],Table3[[#All],[PID]],0)))</f>
        <v>486</v>
      </c>
      <c r="U1261" s="68">
        <f>IF($C1261="B",VLOOKUP($A1261,Bat!$A$4:$BA$1621,47,FALSE),VLOOKUP($A1261,Pit!$A$4:$BF$1557,56,FALSE))</f>
        <v>0</v>
      </c>
      <c r="V1261" s="50">
        <f>IF($C1261="B",VLOOKUP($A1261,Bat!$A$4:$BA$1621,48,FALSE),VLOOKUP($A1261,Pit!$A$4:$BF$1557,57,FALSE))</f>
        <v>0</v>
      </c>
      <c r="W1261" s="50">
        <f>Table5[[#This Row],[posRnk]]+Table5[[#This Row],[zRnk]]+IF($W$3&lt;&gt;Table5[[#This Row],[Type]],50,0)</f>
        <v>1776</v>
      </c>
      <c r="X1261" s="51">
        <f>RANK(Table5[[#This Row],[zScore]],Table5[[#All],[zScore]])</f>
        <v>1240</v>
      </c>
      <c r="Y1261" s="50" t="str">
        <f>IFERROR(INDEX(DraftResults[[#All],[OVR]],MATCH(Table5[[#This Row],[PID]],DraftResults[[#All],[Player ID]],0)),"")</f>
        <v/>
      </c>
      <c r="Z12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1" s="50" t="str">
        <f>IFERROR(INDEX(DraftResults[[#All],[Pick in Round]],MATCH(Table5[[#This Row],[PID]],DraftResults[[#All],[Player ID]],0)),"")</f>
        <v/>
      </c>
      <c r="AB1261" s="50" t="str">
        <f>IFERROR(INDEX(DraftResults[[#All],[Team Name]],MATCH(Table5[[#This Row],[PID]],DraftResults[[#All],[Player ID]],0)),"")</f>
        <v/>
      </c>
      <c r="AC1261" s="50" t="str">
        <f>IF(Table5[[#This Row],[Ovr]]="","",IF(Table5[[#This Row],[cmbList]]="","",Table5[[#This Row],[cmbList]]-Table5[[#This Row],[Ovr]]))</f>
        <v/>
      </c>
      <c r="AD1261" s="54" t="str">
        <f>IF(ISERROR(VLOOKUP($AB1261&amp;"-"&amp;$E1261&amp;" "&amp;F1261,Bonuses!$B$1:$G$1006,4,FALSE)),"",INT(VLOOKUP($AB1261&amp;"-"&amp;$E1261&amp;" "&amp;$F1261,Bonuses!$B$1:$G$1006,4,FALSE)))</f>
        <v/>
      </c>
      <c r="AE12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2" spans="1:31" x14ac:dyDescent="0.25">
      <c r="A1262" s="50">
        <v>18131</v>
      </c>
      <c r="B1262" s="50">
        <f>COUNTIF(Table5[PID],A1262)</f>
        <v>1</v>
      </c>
      <c r="C1262" s="50" t="str">
        <f>IF(COUNTIF(Table3[[#All],[PID]],A1262)&gt;0,"P","B")</f>
        <v>B</v>
      </c>
      <c r="D1262" s="59" t="str">
        <f>IF($C1262="B",INDEX(Batters[[#All],[POS]],MATCH(Table5[[#This Row],[PID]],Batters[[#All],[PID]],0)),INDEX(Table3[[#All],[POS]],MATCH(Table5[[#This Row],[PID]],Table3[[#All],[PID]],0)))</f>
        <v>3B</v>
      </c>
      <c r="E1262" s="52" t="str">
        <f>IF($C1262="B",INDEX(Batters[[#All],[First]],MATCH(Table5[[#This Row],[PID]],Batters[[#All],[PID]],0)),INDEX(Table3[[#All],[First]],MATCH(Table5[[#This Row],[PID]],Table3[[#All],[PID]],0)))</f>
        <v>Dan</v>
      </c>
      <c r="F1262" s="50" t="str">
        <f>IF($C1262="B",INDEX(Batters[[#All],[Last]],MATCH(A1262,Batters[[#All],[PID]],0)),INDEX(Table3[[#All],[Last]],MATCH(A1262,Table3[[#All],[PID]],0)))</f>
        <v>Rodríguez</v>
      </c>
      <c r="G1262" s="56">
        <f>IF($C1262="B",INDEX(Batters[[#All],[Age]],MATCH(Table5[[#This Row],[PID]],Batters[[#All],[PID]],0)),INDEX(Table3[[#All],[Age]],MATCH(Table5[[#This Row],[PID]],Table3[[#All],[PID]],0)))</f>
        <v>21</v>
      </c>
      <c r="H1262" s="52" t="str">
        <f>IF($C1262="B",INDEX(Batters[[#All],[B]],MATCH(Table5[[#This Row],[PID]],Batters[[#All],[PID]],0)),INDEX(Table3[[#All],[B]],MATCH(Table5[[#This Row],[PID]],Table3[[#All],[PID]],0)))</f>
        <v>R</v>
      </c>
      <c r="I1262" s="70" t="str">
        <f>IF($C1262="B",INDEX(Batters[[#All],[T]],MATCH(Table5[[#This Row],[PID]],Batters[[#All],[PID]],0)),INDEX(Table3[[#All],[T]],MATCH(Table5[[#This Row],[PID]],Table3[[#All],[PID]],0)))</f>
        <v>R</v>
      </c>
      <c r="J1262" s="52" t="str">
        <f>IF($C1262="B",INDEX(Batters[[#All],[WE]],MATCH(Table5[[#This Row],[PID]],Batters[[#All],[PID]],0)),INDEX(Table3[[#All],[WE]],MATCH(Table5[[#This Row],[PID]],Table3[[#All],[PID]],0)))</f>
        <v>Low</v>
      </c>
      <c r="K1262" s="52" t="str">
        <f>IF($C1262="B",INDEX(Batters[[#All],[INT]],MATCH(Table5[[#This Row],[PID]],Batters[[#All],[PID]],0)),INDEX(Table3[[#All],[INT]],MATCH(Table5[[#This Row],[PID]],Table3[[#All],[PID]],0)))</f>
        <v>Normal</v>
      </c>
      <c r="L1262" s="60">
        <f>IF($C1262="B",INDEX(Batters[[#All],[CON P]],MATCH(Table5[[#This Row],[PID]],Batters[[#All],[PID]],0)),INDEX(Table3[[#All],[STU P]],MATCH(Table5[[#This Row],[PID]],Table3[[#All],[PID]],0)))</f>
        <v>3</v>
      </c>
      <c r="M1262" s="56">
        <f>IF($C1262="B",INDEX(Batters[[#All],[GAP P]],MATCH(Table5[[#This Row],[PID]],Batters[[#All],[PID]],0)),INDEX(Table3[[#All],[MOV P]],MATCH(Table5[[#This Row],[PID]],Table3[[#All],[PID]],0)))</f>
        <v>4</v>
      </c>
      <c r="N1262" s="56">
        <f>IF($C1262="B",INDEX(Batters[[#All],[POW P]],MATCH(Table5[[#This Row],[PID]],Batters[[#All],[PID]],0)),INDEX(Table3[[#All],[CON P]],MATCH(Table5[[#This Row],[PID]],Table3[[#All],[PID]],0)))</f>
        <v>5</v>
      </c>
      <c r="O1262" s="56">
        <f>IF($C1262="B",INDEX(Batters[[#All],[EYE P]],MATCH(Table5[[#This Row],[PID]],Batters[[#All],[PID]],0)),INDEX(Table3[[#All],[VELO]],MATCH(Table5[[#This Row],[PID]],Table3[[#All],[PID]],0)))</f>
        <v>4</v>
      </c>
      <c r="P1262" s="56">
        <f>IF($C1262="B",INDEX(Batters[[#All],[K P]],MATCH(Table5[[#This Row],[PID]],Batters[[#All],[PID]],0)),INDEX(Table3[[#All],[STM]],MATCH(Table5[[#This Row],[PID]],Table3[[#All],[PID]],0)))</f>
        <v>4</v>
      </c>
      <c r="Q1262" s="61">
        <f>IF($C1262="B",INDEX(Batters[[#All],[Tot]],MATCH(Table5[[#This Row],[PID]],Batters[[#All],[PID]],0)),INDEX(Table3[[#All],[Tot]],MATCH(Table5[[#This Row],[PID]],Table3[[#All],[PID]],0)))</f>
        <v>38.263380857565366</v>
      </c>
      <c r="R1262" s="70">
        <f>IF($C1262="B",INDEX(Batters[[#All],[zScore]],MATCH(Table5[[#This Row],[PID]],Batters[[#All],[PID]],0)),INDEX(Table3[[#All],[zScore]],MATCH(Table5[[#This Row],[PID]],Table3[[#All],[PID]],0)))</f>
        <v>-1.3010991679404589</v>
      </c>
      <c r="S1262" s="79" t="str">
        <f>IF($C1262="B",INDEX(Batters[[#All],[DEM]],MATCH(Table5[[#This Row],[PID]],Batters[[#All],[PID]],0)),INDEX(Table3[[#All],[DEM]],MATCH(Table5[[#This Row],[PID]],Table3[[#All],[PID]],0)))</f>
        <v>-</v>
      </c>
      <c r="T1262" s="62">
        <f>IF($C1262="B",INDEX(Batters[[#All],[Rnk]],MATCH(Table5[[#This Row],[PID]],Batters[[#All],[PID]],0)),INDEX(Table3[[#All],[Rnk]],MATCH(Table5[[#This Row],[PID]],Table3[[#All],[PID]],0)))</f>
        <v>488</v>
      </c>
      <c r="U1262" s="68">
        <f>IF($C1262="B",VLOOKUP($A1262,Bat!$A$4:$BA$1621,47,FALSE),VLOOKUP($A1262,Pit!$A$4:$BF$1557,56,FALSE))</f>
        <v>0</v>
      </c>
      <c r="V1262" s="50">
        <f>IF($C1262="B",VLOOKUP($A1262,Bat!$A$4:$BA$1621,48,FALSE),VLOOKUP($A1262,Pit!$A$4:$BF$1557,57,FALSE))</f>
        <v>0</v>
      </c>
      <c r="W1262" s="50">
        <f>Table5[[#This Row],[posRnk]]+Table5[[#This Row],[zRnk]]+IF($W$3&lt;&gt;Table5[[#This Row],[Type]],50,0)</f>
        <v>1780</v>
      </c>
      <c r="X1262" s="51">
        <f>RANK(Table5[[#This Row],[zScore]],Table5[[#All],[zScore]])</f>
        <v>1242</v>
      </c>
      <c r="Y1262" s="50" t="str">
        <f>IFERROR(INDEX(DraftResults[[#All],[OVR]],MATCH(Table5[[#This Row],[PID]],DraftResults[[#All],[Player ID]],0)),"")</f>
        <v/>
      </c>
      <c r="Z12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2" s="50" t="str">
        <f>IFERROR(INDEX(DraftResults[[#All],[Pick in Round]],MATCH(Table5[[#This Row],[PID]],DraftResults[[#All],[Player ID]],0)),"")</f>
        <v/>
      </c>
      <c r="AB1262" s="50" t="str">
        <f>IFERROR(INDEX(DraftResults[[#All],[Team Name]],MATCH(Table5[[#This Row],[PID]],DraftResults[[#All],[Player ID]],0)),"")</f>
        <v/>
      </c>
      <c r="AC1262" s="50" t="str">
        <f>IF(Table5[[#This Row],[Ovr]]="","",IF(Table5[[#This Row],[cmbList]]="","",Table5[[#This Row],[cmbList]]-Table5[[#This Row],[Ovr]]))</f>
        <v/>
      </c>
      <c r="AD1262" s="54" t="str">
        <f>IF(ISERROR(VLOOKUP($AB1262&amp;"-"&amp;$E1262&amp;" "&amp;F1262,Bonuses!$B$1:$G$1006,4,FALSE)),"",INT(VLOOKUP($AB1262&amp;"-"&amp;$E1262&amp;" "&amp;$F1262,Bonuses!$B$1:$G$1006,4,FALSE)))</f>
        <v/>
      </c>
      <c r="AE12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3" spans="1:31" x14ac:dyDescent="0.25">
      <c r="A1263" s="68">
        <v>12764</v>
      </c>
      <c r="B1263" s="69">
        <f>COUNTIF(Table5[PID],A1263)</f>
        <v>1</v>
      </c>
      <c r="C1263" s="69" t="str">
        <f>IF(COUNTIF(Table3[[#All],[PID]],A1263)&gt;0,"P","B")</f>
        <v>P</v>
      </c>
      <c r="D1263" s="59" t="str">
        <f>IF($C1263="B",INDEX(Batters[[#All],[POS]],MATCH(Table5[[#This Row],[PID]],Batters[[#All],[PID]],0)),INDEX(Table3[[#All],[POS]],MATCH(Table5[[#This Row],[PID]],Table3[[#All],[PID]],0)))</f>
        <v>RP</v>
      </c>
      <c r="E1263" s="52" t="str">
        <f>IF($C1263="B",INDEX(Batters[[#All],[First]],MATCH(Table5[[#This Row],[PID]],Batters[[#All],[PID]],0)),INDEX(Table3[[#All],[First]],MATCH(Table5[[#This Row],[PID]],Table3[[#All],[PID]],0)))</f>
        <v>Atsushi</v>
      </c>
      <c r="F1263" s="55" t="str">
        <f>IF($C1263="B",INDEX(Batters[[#All],[Last]],MATCH(A1263,Batters[[#All],[PID]],0)),INDEX(Table3[[#All],[Last]],MATCH(A1263,Table3[[#All],[PID]],0)))</f>
        <v>Yamada</v>
      </c>
      <c r="G1263" s="56">
        <f>IF($C1263="B",INDEX(Batters[[#All],[Age]],MATCH(Table5[[#This Row],[PID]],Batters[[#All],[PID]],0)),INDEX(Table3[[#All],[Age]],MATCH(Table5[[#This Row],[PID]],Table3[[#All],[PID]],0)))</f>
        <v>22</v>
      </c>
      <c r="H1263" s="52" t="str">
        <f>IF($C1263="B",INDEX(Batters[[#All],[B]],MATCH(Table5[[#This Row],[PID]],Batters[[#All],[PID]],0)),INDEX(Table3[[#All],[B]],MATCH(Table5[[#This Row],[PID]],Table3[[#All],[PID]],0)))</f>
        <v>R</v>
      </c>
      <c r="I1263" s="70" t="str">
        <f>IF($C1263="B",INDEX(Batters[[#All],[T]],MATCH(Table5[[#This Row],[PID]],Batters[[#All],[PID]],0)),INDEX(Table3[[#All],[T]],MATCH(Table5[[#This Row],[PID]],Table3[[#All],[PID]],0)))</f>
        <v>R</v>
      </c>
      <c r="J1263" s="71" t="str">
        <f>IF($C1263="B",INDEX(Batters[[#All],[WE]],MATCH(Table5[[#This Row],[PID]],Batters[[#All],[PID]],0)),INDEX(Table3[[#All],[WE]],MATCH(Table5[[#This Row],[PID]],Table3[[#All],[PID]],0)))</f>
        <v>Normal</v>
      </c>
      <c r="K1263" s="52" t="str">
        <f>IF($C1263="B",INDEX(Batters[[#All],[INT]],MATCH(Table5[[#This Row],[PID]],Batters[[#All],[PID]],0)),INDEX(Table3[[#All],[INT]],MATCH(Table5[[#This Row],[PID]],Table3[[#All],[PID]],0)))</f>
        <v>Normal</v>
      </c>
      <c r="L1263" s="60">
        <f>IF($C1263="B",INDEX(Batters[[#All],[CON P]],MATCH(Table5[[#This Row],[PID]],Batters[[#All],[PID]],0)),INDEX(Table3[[#All],[STU P]],MATCH(Table5[[#This Row],[PID]],Table3[[#All],[PID]],0)))</f>
        <v>4</v>
      </c>
      <c r="M1263" s="72">
        <f>IF($C1263="B",INDEX(Batters[[#All],[GAP P]],MATCH(Table5[[#This Row],[PID]],Batters[[#All],[PID]],0)),INDEX(Table3[[#All],[MOV P]],MATCH(Table5[[#This Row],[PID]],Table3[[#All],[PID]],0)))</f>
        <v>1</v>
      </c>
      <c r="N1263" s="72">
        <f>IF($C1263="B",INDEX(Batters[[#All],[POW P]],MATCH(Table5[[#This Row],[PID]],Batters[[#All],[PID]],0)),INDEX(Table3[[#All],[CON P]],MATCH(Table5[[#This Row],[PID]],Table3[[#All],[PID]],0)))</f>
        <v>2</v>
      </c>
      <c r="O1263" s="72" t="str">
        <f>IF($C1263="B",INDEX(Batters[[#All],[EYE P]],MATCH(Table5[[#This Row],[PID]],Batters[[#All],[PID]],0)),INDEX(Table3[[#All],[VELO]],MATCH(Table5[[#This Row],[PID]],Table3[[#All],[PID]],0)))</f>
        <v>90-92 Mph</v>
      </c>
      <c r="P1263" s="56">
        <f>IF($C1263="B",INDEX(Batters[[#All],[K P]],MATCH(Table5[[#This Row],[PID]],Batters[[#All],[PID]],0)),INDEX(Table3[[#All],[STM]],MATCH(Table5[[#This Row],[PID]],Table3[[#All],[PID]],0)))</f>
        <v>3</v>
      </c>
      <c r="Q1263" s="61">
        <f>IF($C1263="B",INDEX(Batters[[#All],[Tot]],MATCH(Table5[[#This Row],[PID]],Batters[[#All],[PID]],0)),INDEX(Table3[[#All],[Tot]],MATCH(Table5[[#This Row],[PID]],Table3[[#All],[PID]],0)))</f>
        <v>18.78640534111388</v>
      </c>
      <c r="R1263" s="70">
        <f>IF($C1263="B",INDEX(Batters[[#All],[zScore]],MATCH(Table5[[#This Row],[PID]],Batters[[#All],[PID]],0)),INDEX(Table3[[#All],[zScore]],MATCH(Table5[[#This Row],[PID]],Table3[[#All],[PID]],0)))</f>
        <v>-1.3020230291846675</v>
      </c>
      <c r="S1263" s="74" t="str">
        <f>IF($C1263="B",INDEX(Batters[[#All],[DEM]],MATCH(Table5[[#This Row],[PID]],Batters[[#All],[PID]],0)),INDEX(Table3[[#All],[DEM]],MATCH(Table5[[#This Row],[PID]],Table3[[#All],[PID]],0)))</f>
        <v>-</v>
      </c>
      <c r="T1263" s="75">
        <f>IF($C1263="B",INDEX(Batters[[#All],[Rnk]],MATCH(Table5[[#This Row],[PID]],Batters[[#All],[PID]],0)),INDEX(Table3[[#All],[Rnk]],MATCH(Table5[[#This Row],[PID]],Table3[[#All],[PID]],0)))</f>
        <v>754</v>
      </c>
      <c r="U1263" s="68">
        <f>IF($C1263="B",VLOOKUP($A1263,Bat!$A$4:$BA$1621,47,FALSE),VLOOKUP($A1263,Pit!$A$4:$BF$1557,56,FALSE))</f>
        <v>0</v>
      </c>
      <c r="V1263" s="50">
        <f>IF($C1263="B",VLOOKUP($A1263,Bat!$A$4:$BA$1621,48,FALSE),VLOOKUP($A1263,Pit!$A$4:$BF$1557,57,FALSE))</f>
        <v>0</v>
      </c>
      <c r="W1263" s="69">
        <f>Table5[[#This Row],[posRnk]]+Table5[[#This Row],[zRnk]]+IF($W$3&lt;&gt;Table5[[#This Row],[Type]],50,0)</f>
        <v>2047</v>
      </c>
      <c r="X1263" s="73">
        <f>RANK(Table5[[#This Row],[zScore]],Table5[[#All],[zScore]])</f>
        <v>1243</v>
      </c>
      <c r="Y1263" s="69" t="str">
        <f>IFERROR(INDEX(DraftResults[[#All],[OVR]],MATCH(Table5[[#This Row],[PID]],DraftResults[[#All],[Player ID]],0)),"")</f>
        <v/>
      </c>
      <c r="Z126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3" s="69" t="str">
        <f>IFERROR(INDEX(DraftResults[[#All],[Pick in Round]],MATCH(Table5[[#This Row],[PID]],DraftResults[[#All],[Player ID]],0)),"")</f>
        <v/>
      </c>
      <c r="AB1263" s="69" t="str">
        <f>IFERROR(INDEX(DraftResults[[#All],[Team Name]],MATCH(Table5[[#This Row],[PID]],DraftResults[[#All],[Player ID]],0)),"")</f>
        <v/>
      </c>
      <c r="AC1263" s="69" t="str">
        <f>IF(Table5[[#This Row],[Ovr]]="","",IF(Table5[[#This Row],[cmbList]]="","",Table5[[#This Row],[cmbList]]-Table5[[#This Row],[Ovr]]))</f>
        <v/>
      </c>
      <c r="AD1263" s="77" t="str">
        <f>IF(ISERROR(VLOOKUP($AB1263&amp;"-"&amp;$E1263&amp;" "&amp;F1263,Bonuses!$B$1:$G$1006,4,FALSE)),"",INT(VLOOKUP($AB1263&amp;"-"&amp;$E1263&amp;" "&amp;$F1263,Bonuses!$B$1:$G$1006,4,FALSE)))</f>
        <v/>
      </c>
      <c r="AE126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4" spans="1:31" x14ac:dyDescent="0.25">
      <c r="A1264" s="68">
        <v>12168</v>
      </c>
      <c r="B1264" s="69">
        <f>COUNTIF(Table5[PID],A1264)</f>
        <v>1</v>
      </c>
      <c r="C1264" s="69" t="str">
        <f>IF(COUNTIF(Table3[[#All],[PID]],A1264)&gt;0,"P","B")</f>
        <v>P</v>
      </c>
      <c r="D1264" s="59" t="str">
        <f>IF($C1264="B",INDEX(Batters[[#All],[POS]],MATCH(Table5[[#This Row],[PID]],Batters[[#All],[PID]],0)),INDEX(Table3[[#All],[POS]],MATCH(Table5[[#This Row],[PID]],Table3[[#All],[PID]],0)))</f>
        <v>RP</v>
      </c>
      <c r="E1264" s="52" t="str">
        <f>IF($C1264="B",INDEX(Batters[[#All],[First]],MATCH(Table5[[#This Row],[PID]],Batters[[#All],[PID]],0)),INDEX(Table3[[#All],[First]],MATCH(Table5[[#This Row],[PID]],Table3[[#All],[PID]],0)))</f>
        <v>Eduardo</v>
      </c>
      <c r="F1264" s="55" t="str">
        <f>IF($C1264="B",INDEX(Batters[[#All],[Last]],MATCH(A1264,Batters[[#All],[PID]],0)),INDEX(Table3[[#All],[Last]],MATCH(A1264,Table3[[#All],[PID]],0)))</f>
        <v>Galló</v>
      </c>
      <c r="G1264" s="56">
        <f>IF($C1264="B",INDEX(Batters[[#All],[Age]],MATCH(Table5[[#This Row],[PID]],Batters[[#All],[PID]],0)),INDEX(Table3[[#All],[Age]],MATCH(Table5[[#This Row],[PID]],Table3[[#All],[PID]],0)))</f>
        <v>22</v>
      </c>
      <c r="H1264" s="52" t="str">
        <f>IF($C1264="B",INDEX(Batters[[#All],[B]],MATCH(Table5[[#This Row],[PID]],Batters[[#All],[PID]],0)),INDEX(Table3[[#All],[B]],MATCH(Table5[[#This Row],[PID]],Table3[[#All],[PID]],0)))</f>
        <v>L</v>
      </c>
      <c r="I1264" s="70" t="str">
        <f>IF($C1264="B",INDEX(Batters[[#All],[T]],MATCH(Table5[[#This Row],[PID]],Batters[[#All],[PID]],0)),INDEX(Table3[[#All],[T]],MATCH(Table5[[#This Row],[PID]],Table3[[#All],[PID]],0)))</f>
        <v>L</v>
      </c>
      <c r="J1264" s="71" t="str">
        <f>IF($C1264="B",INDEX(Batters[[#All],[WE]],MATCH(Table5[[#This Row],[PID]],Batters[[#All],[PID]],0)),INDEX(Table3[[#All],[WE]],MATCH(Table5[[#This Row],[PID]],Table3[[#All],[PID]],0)))</f>
        <v>Low</v>
      </c>
      <c r="K1264" s="52" t="str">
        <f>IF($C1264="B",INDEX(Batters[[#All],[INT]],MATCH(Table5[[#This Row],[PID]],Batters[[#All],[PID]],0)),INDEX(Table3[[#All],[INT]],MATCH(Table5[[#This Row],[PID]],Table3[[#All],[PID]],0)))</f>
        <v>Normal</v>
      </c>
      <c r="L1264" s="60">
        <f>IF($C1264="B",INDEX(Batters[[#All],[CON P]],MATCH(Table5[[#This Row],[PID]],Batters[[#All],[PID]],0)),INDEX(Table3[[#All],[STU P]],MATCH(Table5[[#This Row],[PID]],Table3[[#All],[PID]],0)))</f>
        <v>4</v>
      </c>
      <c r="M1264" s="72">
        <f>IF($C1264="B",INDEX(Batters[[#All],[GAP P]],MATCH(Table5[[#This Row],[PID]],Batters[[#All],[PID]],0)),INDEX(Table3[[#All],[MOV P]],MATCH(Table5[[#This Row],[PID]],Table3[[#All],[PID]],0)))</f>
        <v>1</v>
      </c>
      <c r="N1264" s="72">
        <f>IF($C1264="B",INDEX(Batters[[#All],[POW P]],MATCH(Table5[[#This Row],[PID]],Batters[[#All],[PID]],0)),INDEX(Table3[[#All],[CON P]],MATCH(Table5[[#This Row],[PID]],Table3[[#All],[PID]],0)))</f>
        <v>1</v>
      </c>
      <c r="O1264" s="72" t="str">
        <f>IF($C1264="B",INDEX(Batters[[#All],[EYE P]],MATCH(Table5[[#This Row],[PID]],Batters[[#All],[PID]],0)),INDEX(Table3[[#All],[VELO]],MATCH(Table5[[#This Row],[PID]],Table3[[#All],[PID]],0)))</f>
        <v>87-89 Mph</v>
      </c>
      <c r="P1264" s="56">
        <f>IF($C1264="B",INDEX(Batters[[#All],[K P]],MATCH(Table5[[#This Row],[PID]],Batters[[#All],[PID]],0)),INDEX(Table3[[#All],[STM]],MATCH(Table5[[#This Row],[PID]],Table3[[#All],[PID]],0)))</f>
        <v>5</v>
      </c>
      <c r="Q1264" s="61">
        <f>IF($C1264="B",INDEX(Batters[[#All],[Tot]],MATCH(Table5[[#This Row],[PID]],Batters[[#All],[PID]],0)),INDEX(Table3[[#All],[Tot]],MATCH(Table5[[#This Row],[PID]],Table3[[#All],[PID]],0)))</f>
        <v>16.290072864666985</v>
      </c>
      <c r="R1264" s="70">
        <f>IF($C1264="B",INDEX(Batters[[#All],[zScore]],MATCH(Table5[[#This Row],[PID]],Batters[[#All],[PID]],0)),INDEX(Table3[[#All],[zScore]],MATCH(Table5[[#This Row],[PID]],Table3[[#All],[PID]],0)))</f>
        <v>-1.3026576288909202</v>
      </c>
      <c r="S1264" s="74" t="str">
        <f>IF($C1264="B",INDEX(Batters[[#All],[DEM]],MATCH(Table5[[#This Row],[PID]],Batters[[#All],[PID]],0)),INDEX(Table3[[#All],[DEM]],MATCH(Table5[[#This Row],[PID]],Table3[[#All],[PID]],0)))</f>
        <v>-</v>
      </c>
      <c r="T1264" s="75">
        <f>IF($C1264="B",INDEX(Batters[[#All],[Rnk]],MATCH(Table5[[#This Row],[PID]],Batters[[#All],[PID]],0)),INDEX(Table3[[#All],[Rnk]],MATCH(Table5[[#This Row],[PID]],Table3[[#All],[PID]],0)))</f>
        <v>755</v>
      </c>
      <c r="U1264" s="68">
        <f>IF($C1264="B",VLOOKUP($A1264,Bat!$A$4:$BA$1621,47,FALSE),VLOOKUP($A1264,Pit!$A$4:$BF$1557,56,FALSE))</f>
        <v>0</v>
      </c>
      <c r="V1264" s="50">
        <f>IF($C1264="B",VLOOKUP($A1264,Bat!$A$4:$BA$1621,48,FALSE),VLOOKUP($A1264,Pit!$A$4:$BF$1557,57,FALSE))</f>
        <v>0</v>
      </c>
      <c r="W1264" s="69">
        <f>Table5[[#This Row],[posRnk]]+Table5[[#This Row],[zRnk]]+IF($W$3&lt;&gt;Table5[[#This Row],[Type]],50,0)</f>
        <v>2049</v>
      </c>
      <c r="X1264" s="73">
        <f>RANK(Table5[[#This Row],[zScore]],Table5[[#All],[zScore]])</f>
        <v>1244</v>
      </c>
      <c r="Y1264" s="69" t="str">
        <f>IFERROR(INDEX(DraftResults[[#All],[OVR]],MATCH(Table5[[#This Row],[PID]],DraftResults[[#All],[Player ID]],0)),"")</f>
        <v/>
      </c>
      <c r="Z126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4" s="69" t="str">
        <f>IFERROR(INDEX(DraftResults[[#All],[Pick in Round]],MATCH(Table5[[#This Row],[PID]],DraftResults[[#All],[Player ID]],0)),"")</f>
        <v/>
      </c>
      <c r="AB1264" s="69" t="str">
        <f>IFERROR(INDEX(DraftResults[[#All],[Team Name]],MATCH(Table5[[#This Row],[PID]],DraftResults[[#All],[Player ID]],0)),"")</f>
        <v/>
      </c>
      <c r="AC1264" s="69" t="str">
        <f>IF(Table5[[#This Row],[Ovr]]="","",IF(Table5[[#This Row],[cmbList]]="","",Table5[[#This Row],[cmbList]]-Table5[[#This Row],[Ovr]]))</f>
        <v/>
      </c>
      <c r="AD1264" s="77" t="str">
        <f>IF(ISERROR(VLOOKUP($AB1264&amp;"-"&amp;$E1264&amp;" "&amp;F1264,Bonuses!$B$1:$G$1006,4,FALSE)),"",INT(VLOOKUP($AB1264&amp;"-"&amp;$E1264&amp;" "&amp;$F1264,Bonuses!$B$1:$G$1006,4,FALSE)))</f>
        <v/>
      </c>
      <c r="AE126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5" spans="1:31" x14ac:dyDescent="0.25">
      <c r="A1265" s="50">
        <v>17850</v>
      </c>
      <c r="B1265" s="50">
        <f>COUNTIF(Table5[PID],A1265)</f>
        <v>1</v>
      </c>
      <c r="C1265" s="50" t="str">
        <f>IF(COUNTIF(Table3[[#All],[PID]],A1265)&gt;0,"P","B")</f>
        <v>B</v>
      </c>
      <c r="D1265" s="59" t="str">
        <f>IF($C1265="B",INDEX(Batters[[#All],[POS]],MATCH(Table5[[#This Row],[PID]],Batters[[#All],[PID]],0)),INDEX(Table3[[#All],[POS]],MATCH(Table5[[#This Row],[PID]],Table3[[#All],[PID]],0)))</f>
        <v>2B</v>
      </c>
      <c r="E1265" s="52" t="str">
        <f>IF($C1265="B",INDEX(Batters[[#All],[First]],MATCH(Table5[[#This Row],[PID]],Batters[[#All],[PID]],0)),INDEX(Table3[[#All],[First]],MATCH(Table5[[#This Row],[PID]],Table3[[#All],[PID]],0)))</f>
        <v>Nobuharu</v>
      </c>
      <c r="F1265" s="50" t="str">
        <f>IF($C1265="B",INDEX(Batters[[#All],[Last]],MATCH(A1265,Batters[[#All],[PID]],0)),INDEX(Table3[[#All],[Last]],MATCH(A1265,Table3[[#All],[PID]],0)))</f>
        <v>Matsui</v>
      </c>
      <c r="G1265" s="56">
        <f>IF($C1265="B",INDEX(Batters[[#All],[Age]],MATCH(Table5[[#This Row],[PID]],Batters[[#All],[PID]],0)),INDEX(Table3[[#All],[Age]],MATCH(Table5[[#This Row],[PID]],Table3[[#All],[PID]],0)))</f>
        <v>18</v>
      </c>
      <c r="H1265" s="52" t="str">
        <f>IF($C1265="B",INDEX(Batters[[#All],[B]],MATCH(Table5[[#This Row],[PID]],Batters[[#All],[PID]],0)),INDEX(Table3[[#All],[B]],MATCH(Table5[[#This Row],[PID]],Table3[[#All],[PID]],0)))</f>
        <v>R</v>
      </c>
      <c r="I1265" s="70" t="str">
        <f>IF($C1265="B",INDEX(Batters[[#All],[T]],MATCH(Table5[[#This Row],[PID]],Batters[[#All],[PID]],0)),INDEX(Table3[[#All],[T]],MATCH(Table5[[#This Row],[PID]],Table3[[#All],[PID]],0)))</f>
        <v>R</v>
      </c>
      <c r="J1265" s="52" t="str">
        <f>IF($C1265="B",INDEX(Batters[[#All],[WE]],MATCH(Table5[[#This Row],[PID]],Batters[[#All],[PID]],0)),INDEX(Table3[[#All],[WE]],MATCH(Table5[[#This Row],[PID]],Table3[[#All],[PID]],0)))</f>
        <v>Low</v>
      </c>
      <c r="K1265" s="52" t="str">
        <f>IF($C1265="B",INDEX(Batters[[#All],[INT]],MATCH(Table5[[#This Row],[PID]],Batters[[#All],[PID]],0)),INDEX(Table3[[#All],[INT]],MATCH(Table5[[#This Row],[PID]],Table3[[#All],[PID]],0)))</f>
        <v>Normal</v>
      </c>
      <c r="L1265" s="60">
        <f>IF($C1265="B",INDEX(Batters[[#All],[CON P]],MATCH(Table5[[#This Row],[PID]],Batters[[#All],[PID]],0)),INDEX(Table3[[#All],[STU P]],MATCH(Table5[[#This Row],[PID]],Table3[[#All],[PID]],0)))</f>
        <v>2</v>
      </c>
      <c r="M1265" s="56">
        <f>IF($C1265="B",INDEX(Batters[[#All],[GAP P]],MATCH(Table5[[#This Row],[PID]],Batters[[#All],[PID]],0)),INDEX(Table3[[#All],[MOV P]],MATCH(Table5[[#This Row],[PID]],Table3[[#All],[PID]],0)))</f>
        <v>5</v>
      </c>
      <c r="N1265" s="56">
        <f>IF($C1265="B",INDEX(Batters[[#All],[POW P]],MATCH(Table5[[#This Row],[PID]],Batters[[#All],[PID]],0)),INDEX(Table3[[#All],[CON P]],MATCH(Table5[[#This Row],[PID]],Table3[[#All],[PID]],0)))</f>
        <v>3</v>
      </c>
      <c r="O1265" s="56">
        <f>IF($C1265="B",INDEX(Batters[[#All],[EYE P]],MATCH(Table5[[#This Row],[PID]],Batters[[#All],[PID]],0)),INDEX(Table3[[#All],[VELO]],MATCH(Table5[[#This Row],[PID]],Table3[[#All],[PID]],0)))</f>
        <v>5</v>
      </c>
      <c r="P1265" s="56">
        <f>IF($C1265="B",INDEX(Batters[[#All],[K P]],MATCH(Table5[[#This Row],[PID]],Batters[[#All],[PID]],0)),INDEX(Table3[[#All],[STM]],MATCH(Table5[[#This Row],[PID]],Table3[[#All],[PID]],0)))</f>
        <v>2</v>
      </c>
      <c r="Q1265" s="61">
        <f>IF($C1265="B",INDEX(Batters[[#All],[Tot]],MATCH(Table5[[#This Row],[PID]],Batters[[#All],[PID]],0)),INDEX(Table3[[#All],[Tot]],MATCH(Table5[[#This Row],[PID]],Table3[[#All],[PID]],0)))</f>
        <v>38.255692874123824</v>
      </c>
      <c r="R1265" s="70">
        <f>IF($C1265="B",INDEX(Batters[[#All],[zScore]],MATCH(Table5[[#This Row],[PID]],Batters[[#All],[PID]],0)),INDEX(Table3[[#All],[zScore]],MATCH(Table5[[#This Row],[PID]],Table3[[#All],[PID]],0)))</f>
        <v>-1.302803645835394</v>
      </c>
      <c r="S1265" s="79" t="str">
        <f>IF($C1265="B",INDEX(Batters[[#All],[DEM]],MATCH(Table5[[#This Row],[PID]],Batters[[#All],[PID]],0)),INDEX(Table3[[#All],[DEM]],MATCH(Table5[[#This Row],[PID]],Table3[[#All],[PID]],0)))</f>
        <v>$70k</v>
      </c>
      <c r="T1265" s="62">
        <f>IF($C1265="B",INDEX(Batters[[#All],[Rnk]],MATCH(Table5[[#This Row],[PID]],Batters[[#All],[PID]],0)),INDEX(Table3[[#All],[Rnk]],MATCH(Table5[[#This Row],[PID]],Table3[[#All],[PID]],0)))</f>
        <v>489</v>
      </c>
      <c r="U1265" s="68">
        <f>IF($C1265="B",VLOOKUP($A1265,Bat!$A$4:$BA$1621,47,FALSE),VLOOKUP($A1265,Pit!$A$4:$BF$1557,56,FALSE))</f>
        <v>0</v>
      </c>
      <c r="V1265" s="50">
        <f>IF($C1265="B",VLOOKUP($A1265,Bat!$A$4:$BA$1621,48,FALSE),VLOOKUP($A1265,Pit!$A$4:$BF$1557,57,FALSE))</f>
        <v>0</v>
      </c>
      <c r="W1265" s="50">
        <f>Table5[[#This Row],[posRnk]]+Table5[[#This Row],[zRnk]]+IF($W$3&lt;&gt;Table5[[#This Row],[Type]],50,0)</f>
        <v>1784</v>
      </c>
      <c r="X1265" s="51">
        <f>RANK(Table5[[#This Row],[zScore]],Table5[[#All],[zScore]])</f>
        <v>1245</v>
      </c>
      <c r="Y1265" s="50" t="str">
        <f>IFERROR(INDEX(DraftResults[[#All],[OVR]],MATCH(Table5[[#This Row],[PID]],DraftResults[[#All],[Player ID]],0)),"")</f>
        <v/>
      </c>
      <c r="Z12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5" s="50" t="str">
        <f>IFERROR(INDEX(DraftResults[[#All],[Pick in Round]],MATCH(Table5[[#This Row],[PID]],DraftResults[[#All],[Player ID]],0)),"")</f>
        <v/>
      </c>
      <c r="AB1265" s="50" t="str">
        <f>IFERROR(INDEX(DraftResults[[#All],[Team Name]],MATCH(Table5[[#This Row],[PID]],DraftResults[[#All],[Player ID]],0)),"")</f>
        <v/>
      </c>
      <c r="AC1265" s="50" t="str">
        <f>IF(Table5[[#This Row],[Ovr]]="","",IF(Table5[[#This Row],[cmbList]]="","",Table5[[#This Row],[cmbList]]-Table5[[#This Row],[Ovr]]))</f>
        <v/>
      </c>
      <c r="AD1265" s="54" t="str">
        <f>IF(ISERROR(VLOOKUP($AB1265&amp;"-"&amp;$E1265&amp;" "&amp;F1265,Bonuses!$B$1:$G$1006,4,FALSE)),"",INT(VLOOKUP($AB1265&amp;"-"&amp;$E1265&amp;" "&amp;$F1265,Bonuses!$B$1:$G$1006,4,FALSE)))</f>
        <v/>
      </c>
      <c r="AE12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6" spans="1:31" x14ac:dyDescent="0.25">
      <c r="A1266" s="50">
        <v>20254</v>
      </c>
      <c r="B1266" s="55">
        <f>COUNTIF(Table5[PID],A1266)</f>
        <v>1</v>
      </c>
      <c r="C1266" s="55" t="str">
        <f>IF(COUNTIF(Table3[[#All],[PID]],A1266)&gt;0,"P","B")</f>
        <v>B</v>
      </c>
      <c r="D1266" s="59" t="str">
        <f>IF($C1266="B",INDEX(Batters[[#All],[POS]],MATCH(Table5[[#This Row],[PID]],Batters[[#All],[PID]],0)),INDEX(Table3[[#All],[POS]],MATCH(Table5[[#This Row],[PID]],Table3[[#All],[PID]],0)))</f>
        <v>3B</v>
      </c>
      <c r="E1266" s="52" t="str">
        <f>IF($C1266="B",INDEX(Batters[[#All],[First]],MATCH(Table5[[#This Row],[PID]],Batters[[#All],[PID]],0)),INDEX(Table3[[#All],[First]],MATCH(Table5[[#This Row],[PID]],Table3[[#All],[PID]],0)))</f>
        <v>Aaron</v>
      </c>
      <c r="F1266" s="50" t="str">
        <f>IF($C1266="B",INDEX(Batters[[#All],[Last]],MATCH(A1266,Batters[[#All],[PID]],0)),INDEX(Table3[[#All],[Last]],MATCH(A1266,Table3[[#All],[PID]],0)))</f>
        <v>Smith</v>
      </c>
      <c r="G1266" s="56">
        <f>IF($C1266="B",INDEX(Batters[[#All],[Age]],MATCH(Table5[[#This Row],[PID]],Batters[[#All],[PID]],0)),INDEX(Table3[[#All],[Age]],MATCH(Table5[[#This Row],[PID]],Table3[[#All],[PID]],0)))</f>
        <v>22</v>
      </c>
      <c r="H1266" s="52" t="str">
        <f>IF($C1266="B",INDEX(Batters[[#All],[B]],MATCH(Table5[[#This Row],[PID]],Batters[[#All],[PID]],0)),INDEX(Table3[[#All],[B]],MATCH(Table5[[#This Row],[PID]],Table3[[#All],[PID]],0)))</f>
        <v>S</v>
      </c>
      <c r="I1266" s="70" t="str">
        <f>IF($C1266="B",INDEX(Batters[[#All],[T]],MATCH(Table5[[#This Row],[PID]],Batters[[#All],[PID]],0)),INDEX(Table3[[#All],[T]],MATCH(Table5[[#This Row],[PID]],Table3[[#All],[PID]],0)))</f>
        <v>R</v>
      </c>
      <c r="J1266" s="52" t="str">
        <f>IF($C1266="B",INDEX(Batters[[#All],[WE]],MATCH(Table5[[#This Row],[PID]],Batters[[#All],[PID]],0)),INDEX(Table3[[#All],[WE]],MATCH(Table5[[#This Row],[PID]],Table3[[#All],[PID]],0)))</f>
        <v>Normal</v>
      </c>
      <c r="K1266" s="52" t="str">
        <f>IF($C1266="B",INDEX(Batters[[#All],[INT]],MATCH(Table5[[#This Row],[PID]],Batters[[#All],[PID]],0)),INDEX(Table3[[#All],[INT]],MATCH(Table5[[#This Row],[PID]],Table3[[#All],[PID]],0)))</f>
        <v>Normal</v>
      </c>
      <c r="L1266" s="60">
        <f>IF($C1266="B",INDEX(Batters[[#All],[CON P]],MATCH(Table5[[#This Row],[PID]],Batters[[#All],[PID]],0)),INDEX(Table3[[#All],[STU P]],MATCH(Table5[[#This Row],[PID]],Table3[[#All],[PID]],0)))</f>
        <v>3</v>
      </c>
      <c r="M1266" s="56">
        <f>IF($C1266="B",INDEX(Batters[[#All],[GAP P]],MATCH(Table5[[#This Row],[PID]],Batters[[#All],[PID]],0)),INDEX(Table3[[#All],[MOV P]],MATCH(Table5[[#This Row],[PID]],Table3[[#All],[PID]],0)))</f>
        <v>4</v>
      </c>
      <c r="N1266" s="56">
        <f>IF($C1266="B",INDEX(Batters[[#All],[POW P]],MATCH(Table5[[#This Row],[PID]],Batters[[#All],[PID]],0)),INDEX(Table3[[#All],[CON P]],MATCH(Table5[[#This Row],[PID]],Table3[[#All],[PID]],0)))</f>
        <v>4</v>
      </c>
      <c r="O1266" s="56">
        <f>IF($C1266="B",INDEX(Batters[[#All],[EYE P]],MATCH(Table5[[#This Row],[PID]],Batters[[#All],[PID]],0)),INDEX(Table3[[#All],[VELO]],MATCH(Table5[[#This Row],[PID]],Table3[[#All],[PID]],0)))</f>
        <v>5</v>
      </c>
      <c r="P1266" s="56">
        <f>IF($C1266="B",INDEX(Batters[[#All],[K P]],MATCH(Table5[[#This Row],[PID]],Batters[[#All],[PID]],0)),INDEX(Table3[[#All],[STM]],MATCH(Table5[[#This Row],[PID]],Table3[[#All],[PID]],0)))</f>
        <v>3</v>
      </c>
      <c r="Q1266" s="61">
        <f>IF($C1266="B",INDEX(Batters[[#All],[Tot]],MATCH(Table5[[#This Row],[PID]],Batters[[#All],[PID]],0)),INDEX(Table3[[#All],[Tot]],MATCH(Table5[[#This Row],[PID]],Table3[[#All],[PID]],0)))</f>
        <v>38.20670425446778</v>
      </c>
      <c r="R1266" s="70">
        <f>IF($C1266="B",INDEX(Batters[[#All],[zScore]],MATCH(Table5[[#This Row],[PID]],Batters[[#All],[PID]],0)),INDEX(Table3[[#All],[zScore]],MATCH(Table5[[#This Row],[PID]],Table3[[#All],[PID]],0)))</f>
        <v>-1.3136647539454762</v>
      </c>
      <c r="S1266" s="79" t="str">
        <f>IF($C1266="B",INDEX(Batters[[#All],[DEM]],MATCH(Table5[[#This Row],[PID]],Batters[[#All],[PID]],0)),INDEX(Table3[[#All],[DEM]],MATCH(Table5[[#This Row],[PID]],Table3[[#All],[PID]],0)))</f>
        <v>$41k</v>
      </c>
      <c r="T1266" s="62">
        <f>IF($C1266="B",INDEX(Batters[[#All],[Rnk]],MATCH(Table5[[#This Row],[PID]],Batters[[#All],[PID]],0)),INDEX(Table3[[#All],[Rnk]],MATCH(Table5[[#This Row],[PID]],Table3[[#All],[PID]],0)))</f>
        <v>490</v>
      </c>
      <c r="U1266" s="68">
        <f>IF($C1266="B",VLOOKUP($A1266,Bat!$A$4:$BA$1621,47,FALSE),VLOOKUP($A1266,Pit!$A$4:$BF$1557,56,FALSE))</f>
        <v>0</v>
      </c>
      <c r="V1266" s="50">
        <f>IF($C1266="B",VLOOKUP($A1266,Bat!$A$4:$BA$1621,48,FALSE),VLOOKUP($A1266,Pit!$A$4:$BF$1557,57,FALSE))</f>
        <v>0</v>
      </c>
      <c r="W1266" s="50">
        <f>Table5[[#This Row],[posRnk]]+Table5[[#This Row],[zRnk]]+IF($W$3&lt;&gt;Table5[[#This Row],[Type]],50,0)</f>
        <v>1786</v>
      </c>
      <c r="X1266" s="51">
        <f>RANK(Table5[[#This Row],[zScore]],Table5[[#All],[zScore]])</f>
        <v>1246</v>
      </c>
      <c r="Y1266" s="50" t="str">
        <f>IFERROR(INDEX(DraftResults[[#All],[OVR]],MATCH(Table5[[#This Row],[PID]],DraftResults[[#All],[Player ID]],0)),"")</f>
        <v/>
      </c>
      <c r="Z12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6" s="50" t="str">
        <f>IFERROR(INDEX(DraftResults[[#All],[Pick in Round]],MATCH(Table5[[#This Row],[PID]],DraftResults[[#All],[Player ID]],0)),"")</f>
        <v/>
      </c>
      <c r="AB1266" s="50" t="str">
        <f>IFERROR(INDEX(DraftResults[[#All],[Team Name]],MATCH(Table5[[#This Row],[PID]],DraftResults[[#All],[Player ID]],0)),"")</f>
        <v/>
      </c>
      <c r="AC1266" s="50" t="str">
        <f>IF(Table5[[#This Row],[Ovr]]="","",IF(Table5[[#This Row],[cmbList]]="","",Table5[[#This Row],[cmbList]]-Table5[[#This Row],[Ovr]]))</f>
        <v/>
      </c>
      <c r="AD1266" s="54" t="str">
        <f>IF(ISERROR(VLOOKUP($AB1266&amp;"-"&amp;$E1266&amp;" "&amp;F1266,Bonuses!$B$1:$G$1006,4,FALSE)),"",INT(VLOOKUP($AB1266&amp;"-"&amp;$E1266&amp;" "&amp;$F1266,Bonuses!$B$1:$G$1006,4,FALSE)))</f>
        <v/>
      </c>
      <c r="AE12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7" spans="1:31" x14ac:dyDescent="0.25">
      <c r="A1267" s="50">
        <v>21039</v>
      </c>
      <c r="B1267" s="50">
        <f>COUNTIF(Table5[PID],A1267)</f>
        <v>1</v>
      </c>
      <c r="C1267" s="50" t="str">
        <f>IF(COUNTIF(Table3[[#All],[PID]],A1267)&gt;0,"P","B")</f>
        <v>B</v>
      </c>
      <c r="D1267" s="59" t="str">
        <f>IF($C1267="B",INDEX(Batters[[#All],[POS]],MATCH(Table5[[#This Row],[PID]],Batters[[#All],[PID]],0)),INDEX(Table3[[#All],[POS]],MATCH(Table5[[#This Row],[PID]],Table3[[#All],[PID]],0)))</f>
        <v>C</v>
      </c>
      <c r="E1267" s="52" t="str">
        <f>IF($C1267="B",INDEX(Batters[[#All],[First]],MATCH(Table5[[#This Row],[PID]],Batters[[#All],[PID]],0)),INDEX(Table3[[#All],[First]],MATCH(Table5[[#This Row],[PID]],Table3[[#All],[PID]],0)))</f>
        <v>Matthew</v>
      </c>
      <c r="F1267" s="50" t="str">
        <f>IF($C1267="B",INDEX(Batters[[#All],[Last]],MATCH(A1267,Batters[[#All],[PID]],0)),INDEX(Table3[[#All],[Last]],MATCH(A1267,Table3[[#All],[PID]],0)))</f>
        <v>Harris</v>
      </c>
      <c r="G1267" s="56">
        <f>IF($C1267="B",INDEX(Batters[[#All],[Age]],MATCH(Table5[[#This Row],[PID]],Batters[[#All],[PID]],0)),INDEX(Table3[[#All],[Age]],MATCH(Table5[[#This Row],[PID]],Table3[[#All],[PID]],0)))</f>
        <v>18</v>
      </c>
      <c r="H1267" s="52" t="str">
        <f>IF($C1267="B",INDEX(Batters[[#All],[B]],MATCH(Table5[[#This Row],[PID]],Batters[[#All],[PID]],0)),INDEX(Table3[[#All],[B]],MATCH(Table5[[#This Row],[PID]],Table3[[#All],[PID]],0)))</f>
        <v>R</v>
      </c>
      <c r="I1267" s="70" t="str">
        <f>IF($C1267="B",INDEX(Batters[[#All],[T]],MATCH(Table5[[#This Row],[PID]],Batters[[#All],[PID]],0)),INDEX(Table3[[#All],[T]],MATCH(Table5[[#This Row],[PID]],Table3[[#All],[PID]],0)))</f>
        <v>R</v>
      </c>
      <c r="J1267" s="52" t="str">
        <f>IF($C1267="B",INDEX(Batters[[#All],[WE]],MATCH(Table5[[#This Row],[PID]],Batters[[#All],[PID]],0)),INDEX(Table3[[#All],[WE]],MATCH(Table5[[#This Row],[PID]],Table3[[#All],[PID]],0)))</f>
        <v>Normal</v>
      </c>
      <c r="K1267" s="52" t="str">
        <f>IF($C1267="B",INDEX(Batters[[#All],[INT]],MATCH(Table5[[#This Row],[PID]],Batters[[#All],[PID]],0)),INDEX(Table3[[#All],[INT]],MATCH(Table5[[#This Row],[PID]],Table3[[#All],[PID]],0)))</f>
        <v>High</v>
      </c>
      <c r="L1267" s="60">
        <f>IF($C1267="B",INDEX(Batters[[#All],[CON P]],MATCH(Table5[[#This Row],[PID]],Batters[[#All],[PID]],0)),INDEX(Table3[[#All],[STU P]],MATCH(Table5[[#This Row],[PID]],Table3[[#All],[PID]],0)))</f>
        <v>2</v>
      </c>
      <c r="M1267" s="56">
        <f>IF($C1267="B",INDEX(Batters[[#All],[GAP P]],MATCH(Table5[[#This Row],[PID]],Batters[[#All],[PID]],0)),INDEX(Table3[[#All],[MOV P]],MATCH(Table5[[#This Row],[PID]],Table3[[#All],[PID]],0)))</f>
        <v>4</v>
      </c>
      <c r="N1267" s="56">
        <f>IF($C1267="B",INDEX(Batters[[#All],[POW P]],MATCH(Table5[[#This Row],[PID]],Batters[[#All],[PID]],0)),INDEX(Table3[[#All],[CON P]],MATCH(Table5[[#This Row],[PID]],Table3[[#All],[PID]],0)))</f>
        <v>3</v>
      </c>
      <c r="O1267" s="56">
        <f>IF($C1267="B",INDEX(Batters[[#All],[EYE P]],MATCH(Table5[[#This Row],[PID]],Batters[[#All],[PID]],0)),INDEX(Table3[[#All],[VELO]],MATCH(Table5[[#This Row],[PID]],Table3[[#All],[PID]],0)))</f>
        <v>6</v>
      </c>
      <c r="P1267" s="56">
        <f>IF($C1267="B",INDEX(Batters[[#All],[K P]],MATCH(Table5[[#This Row],[PID]],Batters[[#All],[PID]],0)),INDEX(Table3[[#All],[STM]],MATCH(Table5[[#This Row],[PID]],Table3[[#All],[PID]],0)))</f>
        <v>1</v>
      </c>
      <c r="Q1267" s="61">
        <f>IF($C1267="B",INDEX(Batters[[#All],[Tot]],MATCH(Table5[[#This Row],[PID]],Batters[[#All],[PID]],0)),INDEX(Table3[[#All],[Tot]],MATCH(Table5[[#This Row],[PID]],Table3[[#All],[PID]],0)))</f>
        <v>38.186703117305512</v>
      </c>
      <c r="R1267" s="70">
        <f>IF($C1267="B",INDEX(Batters[[#All],[zScore]],MATCH(Table5[[#This Row],[PID]],Batters[[#All],[PID]],0)),INDEX(Table3[[#All],[zScore]],MATCH(Table5[[#This Row],[PID]],Table3[[#All],[PID]],0)))</f>
        <v>-1.3180991412494911</v>
      </c>
      <c r="S1267" s="79" t="str">
        <f>IF($C1267="B",INDEX(Batters[[#All],[DEM]],MATCH(Table5[[#This Row],[PID]],Batters[[#All],[PID]],0)),INDEX(Table3[[#All],[DEM]],MATCH(Table5[[#This Row],[PID]],Table3[[#All],[PID]],0)))</f>
        <v>$65k</v>
      </c>
      <c r="T1267" s="62">
        <f>IF($C1267="B",INDEX(Batters[[#All],[Rnk]],MATCH(Table5[[#This Row],[PID]],Batters[[#All],[PID]],0)),INDEX(Table3[[#All],[Rnk]],MATCH(Table5[[#This Row],[PID]],Table3[[#All],[PID]],0)))</f>
        <v>491</v>
      </c>
      <c r="U1267" s="68">
        <f>IF($C1267="B",VLOOKUP($A1267,Bat!$A$4:$BA$1621,47,FALSE),VLOOKUP($A1267,Pit!$A$4:$BF$1557,56,FALSE))</f>
        <v>0</v>
      </c>
      <c r="V1267" s="50">
        <f>IF($C1267="B",VLOOKUP($A1267,Bat!$A$4:$BA$1621,48,FALSE),VLOOKUP($A1267,Pit!$A$4:$BF$1557,57,FALSE))</f>
        <v>0</v>
      </c>
      <c r="W1267" s="50">
        <f>Table5[[#This Row],[posRnk]]+Table5[[#This Row],[zRnk]]+IF($W$3&lt;&gt;Table5[[#This Row],[Type]],50,0)</f>
        <v>1788</v>
      </c>
      <c r="X1267" s="51">
        <f>RANK(Table5[[#This Row],[zScore]],Table5[[#All],[zScore]])</f>
        <v>1247</v>
      </c>
      <c r="Y1267" s="50" t="str">
        <f>IFERROR(INDEX(DraftResults[[#All],[OVR]],MATCH(Table5[[#This Row],[PID]],DraftResults[[#All],[Player ID]],0)),"")</f>
        <v/>
      </c>
      <c r="Z12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7" s="50" t="str">
        <f>IFERROR(INDEX(DraftResults[[#All],[Pick in Round]],MATCH(Table5[[#This Row],[PID]],DraftResults[[#All],[Player ID]],0)),"")</f>
        <v/>
      </c>
      <c r="AB1267" s="50" t="str">
        <f>IFERROR(INDEX(DraftResults[[#All],[Team Name]],MATCH(Table5[[#This Row],[PID]],DraftResults[[#All],[Player ID]],0)),"")</f>
        <v/>
      </c>
      <c r="AC1267" s="50" t="str">
        <f>IF(Table5[[#This Row],[Ovr]]="","",IF(Table5[[#This Row],[cmbList]]="","",Table5[[#This Row],[cmbList]]-Table5[[#This Row],[Ovr]]))</f>
        <v/>
      </c>
      <c r="AD1267" s="54" t="str">
        <f>IF(ISERROR(VLOOKUP($AB1267&amp;"-"&amp;$E1267&amp;" "&amp;F1267,Bonuses!$B$1:$G$1006,4,FALSE)),"",INT(VLOOKUP($AB1267&amp;"-"&amp;$E1267&amp;" "&amp;$F1267,Bonuses!$B$1:$G$1006,4,FALSE)))</f>
        <v/>
      </c>
      <c r="AE12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8" spans="1:31" x14ac:dyDescent="0.25">
      <c r="A1268" s="50">
        <v>20964</v>
      </c>
      <c r="B1268" s="50">
        <f>COUNTIF(Table5[PID],A1268)</f>
        <v>1</v>
      </c>
      <c r="C1268" s="50" t="str">
        <f>IF(COUNTIF(Table3[[#All],[PID]],A1268)&gt;0,"P","B")</f>
        <v>B</v>
      </c>
      <c r="D1268" s="59" t="str">
        <f>IF($C1268="B",INDEX(Batters[[#All],[POS]],MATCH(Table5[[#This Row],[PID]],Batters[[#All],[PID]],0)),INDEX(Table3[[#All],[POS]],MATCH(Table5[[#This Row],[PID]],Table3[[#All],[PID]],0)))</f>
        <v>C</v>
      </c>
      <c r="E1268" s="52" t="str">
        <f>IF($C1268="B",INDEX(Batters[[#All],[First]],MATCH(Table5[[#This Row],[PID]],Batters[[#All],[PID]],0)),INDEX(Table3[[#All],[First]],MATCH(Table5[[#This Row],[PID]],Table3[[#All],[PID]],0)))</f>
        <v>Artie</v>
      </c>
      <c r="F1268" s="50" t="str">
        <f>IF($C1268="B",INDEX(Batters[[#All],[Last]],MATCH(A1268,Batters[[#All],[PID]],0)),INDEX(Table3[[#All],[Last]],MATCH(A1268,Table3[[#All],[PID]],0)))</f>
        <v>Boggs</v>
      </c>
      <c r="G1268" s="56">
        <f>IF($C1268="B",INDEX(Batters[[#All],[Age]],MATCH(Table5[[#This Row],[PID]],Batters[[#All],[PID]],0)),INDEX(Table3[[#All],[Age]],MATCH(Table5[[#This Row],[PID]],Table3[[#All],[PID]],0)))</f>
        <v>18</v>
      </c>
      <c r="H1268" s="52" t="str">
        <f>IF($C1268="B",INDEX(Batters[[#All],[B]],MATCH(Table5[[#This Row],[PID]],Batters[[#All],[PID]],0)),INDEX(Table3[[#All],[B]],MATCH(Table5[[#This Row],[PID]],Table3[[#All],[PID]],0)))</f>
        <v>S</v>
      </c>
      <c r="I1268" s="70" t="str">
        <f>IF($C1268="B",INDEX(Batters[[#All],[T]],MATCH(Table5[[#This Row],[PID]],Batters[[#All],[PID]],0)),INDEX(Table3[[#All],[T]],MATCH(Table5[[#This Row],[PID]],Table3[[#All],[PID]],0)))</f>
        <v>R</v>
      </c>
      <c r="J1268" s="52" t="str">
        <f>IF($C1268="B",INDEX(Batters[[#All],[WE]],MATCH(Table5[[#This Row],[PID]],Batters[[#All],[PID]],0)),INDEX(Table3[[#All],[WE]],MATCH(Table5[[#This Row],[PID]],Table3[[#All],[PID]],0)))</f>
        <v>Low</v>
      </c>
      <c r="K1268" s="52" t="str">
        <f>IF($C1268="B",INDEX(Batters[[#All],[INT]],MATCH(Table5[[#This Row],[PID]],Batters[[#All],[PID]],0)),INDEX(Table3[[#All],[INT]],MATCH(Table5[[#This Row],[PID]],Table3[[#All],[PID]],0)))</f>
        <v>Normal</v>
      </c>
      <c r="L1268" s="60">
        <f>IF($C1268="B",INDEX(Batters[[#All],[CON P]],MATCH(Table5[[#This Row],[PID]],Batters[[#All],[PID]],0)),INDEX(Table3[[#All],[STU P]],MATCH(Table5[[#This Row],[PID]],Table3[[#All],[PID]],0)))</f>
        <v>1</v>
      </c>
      <c r="M1268" s="56">
        <f>IF($C1268="B",INDEX(Batters[[#All],[GAP P]],MATCH(Table5[[#This Row],[PID]],Batters[[#All],[PID]],0)),INDEX(Table3[[#All],[MOV P]],MATCH(Table5[[#This Row],[PID]],Table3[[#All],[PID]],0)))</f>
        <v>8</v>
      </c>
      <c r="N1268" s="56">
        <f>IF($C1268="B",INDEX(Batters[[#All],[POW P]],MATCH(Table5[[#This Row],[PID]],Batters[[#All],[PID]],0)),INDEX(Table3[[#All],[CON P]],MATCH(Table5[[#This Row],[PID]],Table3[[#All],[PID]],0)))</f>
        <v>5</v>
      </c>
      <c r="O1268" s="56">
        <f>IF($C1268="B",INDEX(Batters[[#All],[EYE P]],MATCH(Table5[[#This Row],[PID]],Batters[[#All],[PID]],0)),INDEX(Table3[[#All],[VELO]],MATCH(Table5[[#This Row],[PID]],Table3[[#All],[PID]],0)))</f>
        <v>6</v>
      </c>
      <c r="P1268" s="56">
        <f>IF($C1268="B",INDEX(Batters[[#All],[K P]],MATCH(Table5[[#This Row],[PID]],Batters[[#All],[PID]],0)),INDEX(Table3[[#All],[STM]],MATCH(Table5[[#This Row],[PID]],Table3[[#All],[PID]],0)))</f>
        <v>1</v>
      </c>
      <c r="Q1268" s="61">
        <f>IF($C1268="B",INDEX(Batters[[#All],[Tot]],MATCH(Table5[[#This Row],[PID]],Batters[[#All],[PID]],0)),INDEX(Table3[[#All],[Tot]],MATCH(Table5[[#This Row],[PID]],Table3[[#All],[PID]],0)))</f>
        <v>38.173795298509084</v>
      </c>
      <c r="R1268" s="70">
        <f>IF($C1268="B",INDEX(Batters[[#All],[zScore]],MATCH(Table5[[#This Row],[PID]],Batters[[#All],[PID]],0)),INDEX(Table3[[#All],[zScore]],MATCH(Table5[[#This Row],[PID]],Table3[[#All],[PID]],0)))</f>
        <v>-1.320960891925417</v>
      </c>
      <c r="S1268" s="79" t="str">
        <f>IF($C1268="B",INDEX(Batters[[#All],[DEM]],MATCH(Table5[[#This Row],[PID]],Batters[[#All],[PID]],0)),INDEX(Table3[[#All],[DEM]],MATCH(Table5[[#This Row],[PID]],Table3[[#All],[PID]],0)))</f>
        <v>$65k</v>
      </c>
      <c r="T1268" s="62">
        <f>IF($C1268="B",INDEX(Batters[[#All],[Rnk]],MATCH(Table5[[#This Row],[PID]],Batters[[#All],[PID]],0)),INDEX(Table3[[#All],[Rnk]],MATCH(Table5[[#This Row],[PID]],Table3[[#All],[PID]],0)))</f>
        <v>493</v>
      </c>
      <c r="U1268" s="68">
        <f>IF($C1268="B",VLOOKUP($A1268,Bat!$A$4:$BA$1621,47,FALSE),VLOOKUP($A1268,Pit!$A$4:$BF$1557,56,FALSE))</f>
        <v>0</v>
      </c>
      <c r="V1268" s="50">
        <f>IF($C1268="B",VLOOKUP($A1268,Bat!$A$4:$BA$1621,48,FALSE),VLOOKUP($A1268,Pit!$A$4:$BF$1557,57,FALSE))</f>
        <v>0</v>
      </c>
      <c r="W1268" s="50">
        <f>Table5[[#This Row],[posRnk]]+Table5[[#This Row],[zRnk]]+IF($W$3&lt;&gt;Table5[[#This Row],[Type]],50,0)</f>
        <v>1792</v>
      </c>
      <c r="X1268" s="51">
        <f>RANK(Table5[[#This Row],[zScore]],Table5[[#All],[zScore]])</f>
        <v>1249</v>
      </c>
      <c r="Y1268" s="50" t="str">
        <f>IFERROR(INDEX(DraftResults[[#All],[OVR]],MATCH(Table5[[#This Row],[PID]],DraftResults[[#All],[Player ID]],0)),"")</f>
        <v/>
      </c>
      <c r="Z12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8" s="50" t="str">
        <f>IFERROR(INDEX(DraftResults[[#All],[Pick in Round]],MATCH(Table5[[#This Row],[PID]],DraftResults[[#All],[Player ID]],0)),"")</f>
        <v/>
      </c>
      <c r="AB1268" s="50" t="str">
        <f>IFERROR(INDEX(DraftResults[[#All],[Team Name]],MATCH(Table5[[#This Row],[PID]],DraftResults[[#All],[Player ID]],0)),"")</f>
        <v/>
      </c>
      <c r="AC1268" s="50" t="str">
        <f>IF(Table5[[#This Row],[Ovr]]="","",IF(Table5[[#This Row],[cmbList]]="","",Table5[[#This Row],[cmbList]]-Table5[[#This Row],[Ovr]]))</f>
        <v/>
      </c>
      <c r="AD1268" s="54" t="str">
        <f>IF(ISERROR(VLOOKUP($AB1268&amp;"-"&amp;$E1268&amp;" "&amp;F1268,Bonuses!$B$1:$G$1006,4,FALSE)),"",INT(VLOOKUP($AB1268&amp;"-"&amp;$E1268&amp;" "&amp;$F1268,Bonuses!$B$1:$G$1006,4,FALSE)))</f>
        <v/>
      </c>
      <c r="AE12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69" spans="1:31" x14ac:dyDescent="0.25">
      <c r="A1269" s="50">
        <v>12827</v>
      </c>
      <c r="B1269" s="50">
        <f>COUNTIF(Table5[PID],A1269)</f>
        <v>1</v>
      </c>
      <c r="C1269" s="50" t="str">
        <f>IF(COUNTIF(Table3[[#All],[PID]],A1269)&gt;0,"P","B")</f>
        <v>B</v>
      </c>
      <c r="D1269" s="59" t="str">
        <f>IF($C1269="B",INDEX(Batters[[#All],[POS]],MATCH(Table5[[#This Row],[PID]],Batters[[#All],[PID]],0)),INDEX(Table3[[#All],[POS]],MATCH(Table5[[#This Row],[PID]],Table3[[#All],[PID]],0)))</f>
        <v>LF</v>
      </c>
      <c r="E1269" s="52" t="str">
        <f>IF($C1269="B",INDEX(Batters[[#All],[First]],MATCH(Table5[[#This Row],[PID]],Batters[[#All],[PID]],0)),INDEX(Table3[[#All],[First]],MATCH(Table5[[#This Row],[PID]],Table3[[#All],[PID]],0)))</f>
        <v>Clive</v>
      </c>
      <c r="F1269" s="50" t="str">
        <f>IF($C1269="B",INDEX(Batters[[#All],[Last]],MATCH(A1269,Batters[[#All],[PID]],0)),INDEX(Table3[[#All],[Last]],MATCH(A1269,Table3[[#All],[PID]],0)))</f>
        <v>Hotham</v>
      </c>
      <c r="G1269" s="56">
        <f>IF($C1269="B",INDEX(Batters[[#All],[Age]],MATCH(Table5[[#This Row],[PID]],Batters[[#All],[PID]],0)),INDEX(Table3[[#All],[Age]],MATCH(Table5[[#This Row],[PID]],Table3[[#All],[PID]],0)))</f>
        <v>21</v>
      </c>
      <c r="H1269" s="52" t="str">
        <f>IF($C1269="B",INDEX(Batters[[#All],[B]],MATCH(Table5[[#This Row],[PID]],Batters[[#All],[PID]],0)),INDEX(Table3[[#All],[B]],MATCH(Table5[[#This Row],[PID]],Table3[[#All],[PID]],0)))</f>
        <v>L</v>
      </c>
      <c r="I1269" s="70" t="str">
        <f>IF($C1269="B",INDEX(Batters[[#All],[T]],MATCH(Table5[[#This Row],[PID]],Batters[[#All],[PID]],0)),INDEX(Table3[[#All],[T]],MATCH(Table5[[#This Row],[PID]],Table3[[#All],[PID]],0)))</f>
        <v>R</v>
      </c>
      <c r="J1269" s="52" t="str">
        <f>IF($C1269="B",INDEX(Batters[[#All],[WE]],MATCH(Table5[[#This Row],[PID]],Batters[[#All],[PID]],0)),INDEX(Table3[[#All],[WE]],MATCH(Table5[[#This Row],[PID]],Table3[[#All],[PID]],0)))</f>
        <v>Normal</v>
      </c>
      <c r="K1269" s="52" t="str">
        <f>IF($C1269="B",INDEX(Batters[[#All],[INT]],MATCH(Table5[[#This Row],[PID]],Batters[[#All],[PID]],0)),INDEX(Table3[[#All],[INT]],MATCH(Table5[[#This Row],[PID]],Table3[[#All],[PID]],0)))</f>
        <v>Normal</v>
      </c>
      <c r="L1269" s="60">
        <f>IF($C1269="B",INDEX(Batters[[#All],[CON P]],MATCH(Table5[[#This Row],[PID]],Batters[[#All],[PID]],0)),INDEX(Table3[[#All],[STU P]],MATCH(Table5[[#This Row],[PID]],Table3[[#All],[PID]],0)))</f>
        <v>3</v>
      </c>
      <c r="M1269" s="56">
        <f>IF($C1269="B",INDEX(Batters[[#All],[GAP P]],MATCH(Table5[[#This Row],[PID]],Batters[[#All],[PID]],0)),INDEX(Table3[[#All],[MOV P]],MATCH(Table5[[#This Row],[PID]],Table3[[#All],[PID]],0)))</f>
        <v>4</v>
      </c>
      <c r="N1269" s="56">
        <f>IF($C1269="B",INDEX(Batters[[#All],[POW P]],MATCH(Table5[[#This Row],[PID]],Batters[[#All],[PID]],0)),INDEX(Table3[[#All],[CON P]],MATCH(Table5[[#This Row],[PID]],Table3[[#All],[PID]],0)))</f>
        <v>4</v>
      </c>
      <c r="O1269" s="56">
        <f>IF($C1269="B",INDEX(Batters[[#All],[EYE P]],MATCH(Table5[[#This Row],[PID]],Batters[[#All],[PID]],0)),INDEX(Table3[[#All],[VELO]],MATCH(Table5[[#This Row],[PID]],Table3[[#All],[PID]],0)))</f>
        <v>5</v>
      </c>
      <c r="P1269" s="56">
        <f>IF($C1269="B",INDEX(Batters[[#All],[K P]],MATCH(Table5[[#This Row],[PID]],Batters[[#All],[PID]],0)),INDEX(Table3[[#All],[STM]],MATCH(Table5[[#This Row],[PID]],Table3[[#All],[PID]],0)))</f>
        <v>4</v>
      </c>
      <c r="Q1269" s="61">
        <f>IF($C1269="B",INDEX(Batters[[#All],[Tot]],MATCH(Table5[[#This Row],[PID]],Batters[[#All],[PID]],0)),INDEX(Table3[[#All],[Tot]],MATCH(Table5[[#This Row],[PID]],Table3[[#All],[PID]],0)))</f>
        <v>38.171719035329787</v>
      </c>
      <c r="R1269" s="70">
        <f>IF($C1269="B",INDEX(Batters[[#All],[zScore]],MATCH(Table5[[#This Row],[PID]],Batters[[#All],[PID]],0)),INDEX(Table3[[#All],[zScore]],MATCH(Table5[[#This Row],[PID]],Table3[[#All],[PID]],0)))</f>
        <v>-1.321421213506504</v>
      </c>
      <c r="S1269" s="79" t="str">
        <f>IF($C1269="B",INDEX(Batters[[#All],[DEM]],MATCH(Table5[[#This Row],[PID]],Batters[[#All],[PID]],0)),INDEX(Table3[[#All],[DEM]],MATCH(Table5[[#This Row],[PID]],Table3[[#All],[PID]],0)))</f>
        <v>-</v>
      </c>
      <c r="T1269" s="62">
        <f>IF($C1269="B",INDEX(Batters[[#All],[Rnk]],MATCH(Table5[[#This Row],[PID]],Batters[[#All],[PID]],0)),INDEX(Table3[[#All],[Rnk]],MATCH(Table5[[#This Row],[PID]],Table3[[#All],[PID]],0)))</f>
        <v>494</v>
      </c>
      <c r="U1269" s="68">
        <f>IF($C1269="B",VLOOKUP($A1269,Bat!$A$4:$BA$1621,47,FALSE),VLOOKUP($A1269,Pit!$A$4:$BF$1557,56,FALSE))</f>
        <v>0</v>
      </c>
      <c r="V1269" s="50">
        <f>IF($C1269="B",VLOOKUP($A1269,Bat!$A$4:$BA$1621,48,FALSE),VLOOKUP($A1269,Pit!$A$4:$BF$1557,57,FALSE))</f>
        <v>0</v>
      </c>
      <c r="W1269" s="50">
        <f>Table5[[#This Row],[posRnk]]+Table5[[#This Row],[zRnk]]+IF($W$3&lt;&gt;Table5[[#This Row],[Type]],50,0)</f>
        <v>1794</v>
      </c>
      <c r="X1269" s="51">
        <f>RANK(Table5[[#This Row],[zScore]],Table5[[#All],[zScore]])</f>
        <v>1250</v>
      </c>
      <c r="Y1269" s="50" t="str">
        <f>IFERROR(INDEX(DraftResults[[#All],[OVR]],MATCH(Table5[[#This Row],[PID]],DraftResults[[#All],[Player ID]],0)),"")</f>
        <v/>
      </c>
      <c r="Z12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69" s="50" t="str">
        <f>IFERROR(INDEX(DraftResults[[#All],[Pick in Round]],MATCH(Table5[[#This Row],[PID]],DraftResults[[#All],[Player ID]],0)),"")</f>
        <v/>
      </c>
      <c r="AB1269" s="50" t="str">
        <f>IFERROR(INDEX(DraftResults[[#All],[Team Name]],MATCH(Table5[[#This Row],[PID]],DraftResults[[#All],[Player ID]],0)),"")</f>
        <v/>
      </c>
      <c r="AC1269" s="50" t="str">
        <f>IF(Table5[[#This Row],[Ovr]]="","",IF(Table5[[#This Row],[cmbList]]="","",Table5[[#This Row],[cmbList]]-Table5[[#This Row],[Ovr]]))</f>
        <v/>
      </c>
      <c r="AD1269" s="54" t="str">
        <f>IF(ISERROR(VLOOKUP($AB1269&amp;"-"&amp;$E1269&amp;" "&amp;F1269,Bonuses!$B$1:$G$1006,4,FALSE)),"",INT(VLOOKUP($AB1269&amp;"-"&amp;$E1269&amp;" "&amp;$F1269,Bonuses!$B$1:$G$1006,4,FALSE)))</f>
        <v/>
      </c>
      <c r="AE12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0" spans="1:31" x14ac:dyDescent="0.25">
      <c r="A1270" s="68">
        <v>10491</v>
      </c>
      <c r="B1270" s="69">
        <f>COUNTIF(Table5[PID],A1270)</f>
        <v>1</v>
      </c>
      <c r="C1270" s="69" t="str">
        <f>IF(COUNTIF(Table3[[#All],[PID]],A1270)&gt;0,"P","B")</f>
        <v>P</v>
      </c>
      <c r="D1270" s="59" t="str">
        <f>IF($C1270="B",INDEX(Batters[[#All],[POS]],MATCH(Table5[[#This Row],[PID]],Batters[[#All],[PID]],0)),INDEX(Table3[[#All],[POS]],MATCH(Table5[[#This Row],[PID]],Table3[[#All],[PID]],0)))</f>
        <v>RP</v>
      </c>
      <c r="E1270" s="52" t="str">
        <f>IF($C1270="B",INDEX(Batters[[#All],[First]],MATCH(Table5[[#This Row],[PID]],Batters[[#All],[PID]],0)),INDEX(Table3[[#All],[First]],MATCH(Table5[[#This Row],[PID]],Table3[[#All],[PID]],0)))</f>
        <v>Junior</v>
      </c>
      <c r="F1270" s="55" t="str">
        <f>IF($C1270="B",INDEX(Batters[[#All],[Last]],MATCH(A1270,Batters[[#All],[PID]],0)),INDEX(Table3[[#All],[Last]],MATCH(A1270,Table3[[#All],[PID]],0)))</f>
        <v>Rodríguez</v>
      </c>
      <c r="G1270" s="56">
        <f>IF($C1270="B",INDEX(Batters[[#All],[Age]],MATCH(Table5[[#This Row],[PID]],Batters[[#All],[PID]],0)),INDEX(Table3[[#All],[Age]],MATCH(Table5[[#This Row],[PID]],Table3[[#All],[PID]],0)))</f>
        <v>22</v>
      </c>
      <c r="H1270" s="52" t="str">
        <f>IF($C1270="B",INDEX(Batters[[#All],[B]],MATCH(Table5[[#This Row],[PID]],Batters[[#All],[PID]],0)),INDEX(Table3[[#All],[B]],MATCH(Table5[[#This Row],[PID]],Table3[[#All],[PID]],0)))</f>
        <v>R</v>
      </c>
      <c r="I1270" s="70" t="str">
        <f>IF($C1270="B",INDEX(Batters[[#All],[T]],MATCH(Table5[[#This Row],[PID]],Batters[[#All],[PID]],0)),INDEX(Table3[[#All],[T]],MATCH(Table5[[#This Row],[PID]],Table3[[#All],[PID]],0)))</f>
        <v>R</v>
      </c>
      <c r="J1270" s="71" t="str">
        <f>IF($C1270="B",INDEX(Batters[[#All],[WE]],MATCH(Table5[[#This Row],[PID]],Batters[[#All],[PID]],0)),INDEX(Table3[[#All],[WE]],MATCH(Table5[[#This Row],[PID]],Table3[[#All],[PID]],0)))</f>
        <v>Low</v>
      </c>
      <c r="K1270" s="52" t="str">
        <f>IF($C1270="B",INDEX(Batters[[#All],[INT]],MATCH(Table5[[#This Row],[PID]],Batters[[#All],[PID]],0)),INDEX(Table3[[#All],[INT]],MATCH(Table5[[#This Row],[PID]],Table3[[#All],[PID]],0)))</f>
        <v>Low</v>
      </c>
      <c r="L1270" s="60">
        <f>IF($C1270="B",INDEX(Batters[[#All],[CON P]],MATCH(Table5[[#This Row],[PID]],Batters[[#All],[PID]],0)),INDEX(Table3[[#All],[STU P]],MATCH(Table5[[#This Row],[PID]],Table3[[#All],[PID]],0)))</f>
        <v>4</v>
      </c>
      <c r="M1270" s="72">
        <f>IF($C1270="B",INDEX(Batters[[#All],[GAP P]],MATCH(Table5[[#This Row],[PID]],Batters[[#All],[PID]],0)),INDEX(Table3[[#All],[MOV P]],MATCH(Table5[[#This Row],[PID]],Table3[[#All],[PID]],0)))</f>
        <v>1</v>
      </c>
      <c r="N1270" s="72">
        <f>IF($C1270="B",INDEX(Batters[[#All],[POW P]],MATCH(Table5[[#This Row],[PID]],Batters[[#All],[PID]],0)),INDEX(Table3[[#All],[CON P]],MATCH(Table5[[#This Row],[PID]],Table3[[#All],[PID]],0)))</f>
        <v>1</v>
      </c>
      <c r="O1270" s="72" t="str">
        <f>IF($C1270="B",INDEX(Batters[[#All],[EYE P]],MATCH(Table5[[#This Row],[PID]],Batters[[#All],[PID]],0)),INDEX(Table3[[#All],[VELO]],MATCH(Table5[[#This Row],[PID]],Table3[[#All],[PID]],0)))</f>
        <v>89-91 Mph</v>
      </c>
      <c r="P1270" s="56">
        <f>IF($C1270="B",INDEX(Batters[[#All],[K P]],MATCH(Table5[[#This Row],[PID]],Batters[[#All],[PID]],0)),INDEX(Table3[[#All],[STM]],MATCH(Table5[[#This Row],[PID]],Table3[[#All],[PID]],0)))</f>
        <v>6</v>
      </c>
      <c r="Q1270" s="61">
        <f>IF($C1270="B",INDEX(Batters[[#All],[Tot]],MATCH(Table5[[#This Row],[PID]],Batters[[#All],[PID]],0)),INDEX(Table3[[#All],[Tot]],MATCH(Table5[[#This Row],[PID]],Table3[[#All],[PID]],0)))</f>
        <v>15.990072864666985</v>
      </c>
      <c r="R1270" s="70">
        <f>IF($C1270="B",INDEX(Batters[[#All],[zScore]],MATCH(Table5[[#This Row],[PID]],Batters[[#All],[PID]],0)),INDEX(Table3[[#All],[zScore]],MATCH(Table5[[#This Row],[PID]],Table3[[#All],[PID]],0)))</f>
        <v>-1.3226161704582675</v>
      </c>
      <c r="S1270" s="74" t="str">
        <f>IF($C1270="B",INDEX(Batters[[#All],[DEM]],MATCH(Table5[[#This Row],[PID]],Batters[[#All],[PID]],0)),INDEX(Table3[[#All],[DEM]],MATCH(Table5[[#This Row],[PID]],Table3[[#All],[PID]],0)))</f>
        <v>-</v>
      </c>
      <c r="T1270" s="75">
        <f>IF($C1270="B",INDEX(Batters[[#All],[Rnk]],MATCH(Table5[[#This Row],[PID]],Batters[[#All],[PID]],0)),INDEX(Table3[[#All],[Rnk]],MATCH(Table5[[#This Row],[PID]],Table3[[#All],[PID]],0)))</f>
        <v>756</v>
      </c>
      <c r="U1270" s="68">
        <f>IF($C1270="B",VLOOKUP($A1270,Bat!$A$4:$BA$1621,47,FALSE),VLOOKUP($A1270,Pit!$A$4:$BF$1557,56,FALSE))</f>
        <v>0</v>
      </c>
      <c r="V1270" s="50">
        <f>IF($C1270="B",VLOOKUP($A1270,Bat!$A$4:$BA$1621,48,FALSE),VLOOKUP($A1270,Pit!$A$4:$BF$1557,57,FALSE))</f>
        <v>0</v>
      </c>
      <c r="W1270" s="69">
        <f>Table5[[#This Row],[posRnk]]+Table5[[#This Row],[zRnk]]+IF($W$3&lt;&gt;Table5[[#This Row],[Type]],50,0)</f>
        <v>2057</v>
      </c>
      <c r="X1270" s="73">
        <f>RANK(Table5[[#This Row],[zScore]],Table5[[#All],[zScore]])</f>
        <v>1251</v>
      </c>
      <c r="Y1270" s="69" t="str">
        <f>IFERROR(INDEX(DraftResults[[#All],[OVR]],MATCH(Table5[[#This Row],[PID]],DraftResults[[#All],[Player ID]],0)),"")</f>
        <v/>
      </c>
      <c r="Z127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0" s="69" t="str">
        <f>IFERROR(INDEX(DraftResults[[#All],[Pick in Round]],MATCH(Table5[[#This Row],[PID]],DraftResults[[#All],[Player ID]],0)),"")</f>
        <v/>
      </c>
      <c r="AB1270" s="69" t="str">
        <f>IFERROR(INDEX(DraftResults[[#All],[Team Name]],MATCH(Table5[[#This Row],[PID]],DraftResults[[#All],[Player ID]],0)),"")</f>
        <v/>
      </c>
      <c r="AC1270" s="69" t="str">
        <f>IF(Table5[[#This Row],[Ovr]]="","",IF(Table5[[#This Row],[cmbList]]="","",Table5[[#This Row],[cmbList]]-Table5[[#This Row],[Ovr]]))</f>
        <v/>
      </c>
      <c r="AD1270" s="77" t="str">
        <f>IF(ISERROR(VLOOKUP($AB1270&amp;"-"&amp;$E1270&amp;" "&amp;F1270,Bonuses!$B$1:$G$1006,4,FALSE)),"",INT(VLOOKUP($AB1270&amp;"-"&amp;$E1270&amp;" "&amp;$F1270,Bonuses!$B$1:$G$1006,4,FALSE)))</f>
        <v/>
      </c>
      <c r="AE127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1" spans="1:31" x14ac:dyDescent="0.25">
      <c r="A1271" s="50">
        <v>12079</v>
      </c>
      <c r="B1271" s="50">
        <f>COUNTIF(Table5[PID],A1271)</f>
        <v>1</v>
      </c>
      <c r="C1271" s="50" t="str">
        <f>IF(COUNTIF(Table3[[#All],[PID]],A1271)&gt;0,"P","B")</f>
        <v>B</v>
      </c>
      <c r="D1271" s="59" t="str">
        <f>IF($C1271="B",INDEX(Batters[[#All],[POS]],MATCH(Table5[[#This Row],[PID]],Batters[[#All],[PID]],0)),INDEX(Table3[[#All],[POS]],MATCH(Table5[[#This Row],[PID]],Table3[[#All],[PID]],0)))</f>
        <v>1B</v>
      </c>
      <c r="E1271" s="52" t="str">
        <f>IF($C1271="B",INDEX(Batters[[#All],[First]],MATCH(Table5[[#This Row],[PID]],Batters[[#All],[PID]],0)),INDEX(Table3[[#All],[First]],MATCH(Table5[[#This Row],[PID]],Table3[[#All],[PID]],0)))</f>
        <v>Masamichi</v>
      </c>
      <c r="F1271" s="50" t="str">
        <f>IF($C1271="B",INDEX(Batters[[#All],[Last]],MATCH(A1271,Batters[[#All],[PID]],0)),INDEX(Table3[[#All],[Last]],MATCH(A1271,Table3[[#All],[PID]],0)))</f>
        <v>Ojima</v>
      </c>
      <c r="G1271" s="56">
        <f>IF($C1271="B",INDEX(Batters[[#All],[Age]],MATCH(Table5[[#This Row],[PID]],Batters[[#All],[PID]],0)),INDEX(Table3[[#All],[Age]],MATCH(Table5[[#This Row],[PID]],Table3[[#All],[PID]],0)))</f>
        <v>22</v>
      </c>
      <c r="H1271" s="52" t="str">
        <f>IF($C1271="B",INDEX(Batters[[#All],[B]],MATCH(Table5[[#This Row],[PID]],Batters[[#All],[PID]],0)),INDEX(Table3[[#All],[B]],MATCH(Table5[[#This Row],[PID]],Table3[[#All],[PID]],0)))</f>
        <v>R</v>
      </c>
      <c r="I1271" s="70" t="str">
        <f>IF($C1271="B",INDEX(Batters[[#All],[T]],MATCH(Table5[[#This Row],[PID]],Batters[[#All],[PID]],0)),INDEX(Table3[[#All],[T]],MATCH(Table5[[#This Row],[PID]],Table3[[#All],[PID]],0)))</f>
        <v>R</v>
      </c>
      <c r="J1271" s="52" t="str">
        <f>IF($C1271="B",INDEX(Batters[[#All],[WE]],MATCH(Table5[[#This Row],[PID]],Batters[[#All],[PID]],0)),INDEX(Table3[[#All],[WE]],MATCH(Table5[[#This Row],[PID]],Table3[[#All],[PID]],0)))</f>
        <v>High</v>
      </c>
      <c r="K1271" s="52" t="str">
        <f>IF($C1271="B",INDEX(Batters[[#All],[INT]],MATCH(Table5[[#This Row],[PID]],Batters[[#All],[PID]],0)),INDEX(Table3[[#All],[INT]],MATCH(Table5[[#This Row],[PID]],Table3[[#All],[PID]],0)))</f>
        <v>Normal</v>
      </c>
      <c r="L1271" s="60">
        <f>IF($C1271="B",INDEX(Batters[[#All],[CON P]],MATCH(Table5[[#This Row],[PID]],Batters[[#All],[PID]],0)),INDEX(Table3[[#All],[STU P]],MATCH(Table5[[#This Row],[PID]],Table3[[#All],[PID]],0)))</f>
        <v>3</v>
      </c>
      <c r="M1271" s="56">
        <f>IF($C1271="B",INDEX(Batters[[#All],[GAP P]],MATCH(Table5[[#This Row],[PID]],Batters[[#All],[PID]],0)),INDEX(Table3[[#All],[MOV P]],MATCH(Table5[[#This Row],[PID]],Table3[[#All],[PID]],0)))</f>
        <v>3</v>
      </c>
      <c r="N1271" s="56">
        <f>IF($C1271="B",INDEX(Batters[[#All],[POW P]],MATCH(Table5[[#This Row],[PID]],Batters[[#All],[PID]],0)),INDEX(Table3[[#All],[CON P]],MATCH(Table5[[#This Row],[PID]],Table3[[#All],[PID]],0)))</f>
        <v>4</v>
      </c>
      <c r="O1271" s="56">
        <f>IF($C1271="B",INDEX(Batters[[#All],[EYE P]],MATCH(Table5[[#This Row],[PID]],Batters[[#All],[PID]],0)),INDEX(Table3[[#All],[VELO]],MATCH(Table5[[#This Row],[PID]],Table3[[#All],[PID]],0)))</f>
        <v>6</v>
      </c>
      <c r="P1271" s="56">
        <f>IF($C1271="B",INDEX(Batters[[#All],[K P]],MATCH(Table5[[#This Row],[PID]],Batters[[#All],[PID]],0)),INDEX(Table3[[#All],[STM]],MATCH(Table5[[#This Row],[PID]],Table3[[#All],[PID]],0)))</f>
        <v>2</v>
      </c>
      <c r="Q1271" s="61">
        <f>IF($C1271="B",INDEX(Batters[[#All],[Tot]],MATCH(Table5[[#This Row],[PID]],Batters[[#All],[PID]],0)),INDEX(Table3[[#All],[Tot]],MATCH(Table5[[#This Row],[PID]],Table3[[#All],[PID]],0)))</f>
        <v>38.163865706808338</v>
      </c>
      <c r="R1271" s="70">
        <f>IF($C1271="B",INDEX(Batters[[#All],[zScore]],MATCH(Table5[[#This Row],[PID]],Batters[[#All],[PID]],0)),INDEX(Table3[[#All],[zScore]],MATCH(Table5[[#This Row],[PID]],Table3[[#All],[PID]],0)))</f>
        <v>-1.3231623495232836</v>
      </c>
      <c r="S1271" s="79" t="str">
        <f>IF($C1271="B",INDEX(Batters[[#All],[DEM]],MATCH(Table5[[#This Row],[PID]],Batters[[#All],[PID]],0)),INDEX(Table3[[#All],[DEM]],MATCH(Table5[[#This Row],[PID]],Table3[[#All],[PID]],0)))</f>
        <v>-</v>
      </c>
      <c r="T1271" s="62">
        <f>IF($C1271="B",INDEX(Batters[[#All],[Rnk]],MATCH(Table5[[#This Row],[PID]],Batters[[#All],[PID]],0)),INDEX(Table3[[#All],[Rnk]],MATCH(Table5[[#This Row],[PID]],Table3[[#All],[PID]],0)))</f>
        <v>495</v>
      </c>
      <c r="U1271" s="68">
        <f>IF($C1271="B",VLOOKUP($A1271,Bat!$A$4:$BA$1621,47,FALSE),VLOOKUP($A1271,Pit!$A$4:$BF$1557,56,FALSE))</f>
        <v>0</v>
      </c>
      <c r="V1271" s="50">
        <f>IF($C1271="B",VLOOKUP($A1271,Bat!$A$4:$BA$1621,48,FALSE),VLOOKUP($A1271,Pit!$A$4:$BF$1557,57,FALSE))</f>
        <v>0</v>
      </c>
      <c r="W1271" s="50">
        <f>Table5[[#This Row],[posRnk]]+Table5[[#This Row],[zRnk]]+IF($W$3&lt;&gt;Table5[[#This Row],[Type]],50,0)</f>
        <v>1797</v>
      </c>
      <c r="X1271" s="51">
        <f>RANK(Table5[[#This Row],[zScore]],Table5[[#All],[zScore]])</f>
        <v>1252</v>
      </c>
      <c r="Y1271" s="50" t="str">
        <f>IFERROR(INDEX(DraftResults[[#All],[OVR]],MATCH(Table5[[#This Row],[PID]],DraftResults[[#All],[Player ID]],0)),"")</f>
        <v/>
      </c>
      <c r="Z12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1" s="50" t="str">
        <f>IFERROR(INDEX(DraftResults[[#All],[Pick in Round]],MATCH(Table5[[#This Row],[PID]],DraftResults[[#All],[Player ID]],0)),"")</f>
        <v/>
      </c>
      <c r="AB1271" s="50" t="str">
        <f>IFERROR(INDEX(DraftResults[[#All],[Team Name]],MATCH(Table5[[#This Row],[PID]],DraftResults[[#All],[Player ID]],0)),"")</f>
        <v/>
      </c>
      <c r="AC1271" s="50" t="str">
        <f>IF(Table5[[#This Row],[Ovr]]="","",IF(Table5[[#This Row],[cmbList]]="","",Table5[[#This Row],[cmbList]]-Table5[[#This Row],[Ovr]]))</f>
        <v/>
      </c>
      <c r="AD1271" s="54" t="str">
        <f>IF(ISERROR(VLOOKUP($AB1271&amp;"-"&amp;$E1271&amp;" "&amp;F1271,Bonuses!$B$1:$G$1006,4,FALSE)),"",INT(VLOOKUP($AB1271&amp;"-"&amp;$E1271&amp;" "&amp;$F1271,Bonuses!$B$1:$G$1006,4,FALSE)))</f>
        <v/>
      </c>
      <c r="AE12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2" spans="1:31" x14ac:dyDescent="0.25">
      <c r="A1272" s="68">
        <v>4469</v>
      </c>
      <c r="B1272" s="69">
        <f>COUNTIF(Table5[PID],A1272)</f>
        <v>1</v>
      </c>
      <c r="C1272" s="69" t="str">
        <f>IF(COUNTIF(Table3[[#All],[PID]],A1272)&gt;0,"P","B")</f>
        <v>P</v>
      </c>
      <c r="D1272" s="59" t="str">
        <f>IF($C1272="B",INDEX(Batters[[#All],[POS]],MATCH(Table5[[#This Row],[PID]],Batters[[#All],[PID]],0)),INDEX(Table3[[#All],[POS]],MATCH(Table5[[#This Row],[PID]],Table3[[#All],[PID]],0)))</f>
        <v>SP</v>
      </c>
      <c r="E1272" s="52" t="str">
        <f>IF($C1272="B",INDEX(Batters[[#All],[First]],MATCH(Table5[[#This Row],[PID]],Batters[[#All],[PID]],0)),INDEX(Table3[[#All],[First]],MATCH(Table5[[#This Row],[PID]],Table3[[#All],[PID]],0)))</f>
        <v>Nathan</v>
      </c>
      <c r="F1272" s="55" t="str">
        <f>IF($C1272="B",INDEX(Batters[[#All],[Last]],MATCH(A1272,Batters[[#All],[PID]],0)),INDEX(Table3[[#All],[Last]],MATCH(A1272,Table3[[#All],[PID]],0)))</f>
        <v>Kramer</v>
      </c>
      <c r="G1272" s="56">
        <f>IF($C1272="B",INDEX(Batters[[#All],[Age]],MATCH(Table5[[#This Row],[PID]],Batters[[#All],[PID]],0)),INDEX(Table3[[#All],[Age]],MATCH(Table5[[#This Row],[PID]],Table3[[#All],[PID]],0)))</f>
        <v>22</v>
      </c>
      <c r="H1272" s="52" t="str">
        <f>IF($C1272="B",INDEX(Batters[[#All],[B]],MATCH(Table5[[#This Row],[PID]],Batters[[#All],[PID]],0)),INDEX(Table3[[#All],[B]],MATCH(Table5[[#This Row],[PID]],Table3[[#All],[PID]],0)))</f>
        <v>R</v>
      </c>
      <c r="I1272" s="70" t="str">
        <f>IF($C1272="B",INDEX(Batters[[#All],[T]],MATCH(Table5[[#This Row],[PID]],Batters[[#All],[PID]],0)),INDEX(Table3[[#All],[T]],MATCH(Table5[[#This Row],[PID]],Table3[[#All],[PID]],0)))</f>
        <v>R</v>
      </c>
      <c r="J1272" s="71" t="str">
        <f>IF($C1272="B",INDEX(Batters[[#All],[WE]],MATCH(Table5[[#This Row],[PID]],Batters[[#All],[PID]],0)),INDEX(Table3[[#All],[WE]],MATCH(Table5[[#This Row],[PID]],Table3[[#All],[PID]],0)))</f>
        <v>High</v>
      </c>
      <c r="K1272" s="52" t="str">
        <f>IF($C1272="B",INDEX(Batters[[#All],[INT]],MATCH(Table5[[#This Row],[PID]],Batters[[#All],[PID]],0)),INDEX(Table3[[#All],[INT]],MATCH(Table5[[#This Row],[PID]],Table3[[#All],[PID]],0)))</f>
        <v>Low</v>
      </c>
      <c r="L1272" s="60">
        <f>IF($C1272="B",INDEX(Batters[[#All],[CON P]],MATCH(Table5[[#This Row],[PID]],Batters[[#All],[PID]],0)),INDEX(Table3[[#All],[STU P]],MATCH(Table5[[#This Row],[PID]],Table3[[#All],[PID]],0)))</f>
        <v>3</v>
      </c>
      <c r="M1272" s="72">
        <f>IF($C1272="B",INDEX(Batters[[#All],[GAP P]],MATCH(Table5[[#This Row],[PID]],Batters[[#All],[PID]],0)),INDEX(Table3[[#All],[MOV P]],MATCH(Table5[[#This Row],[PID]],Table3[[#All],[PID]],0)))</f>
        <v>1</v>
      </c>
      <c r="N1272" s="72">
        <f>IF($C1272="B",INDEX(Batters[[#All],[POW P]],MATCH(Table5[[#This Row],[PID]],Batters[[#All],[PID]],0)),INDEX(Table3[[#All],[CON P]],MATCH(Table5[[#This Row],[PID]],Table3[[#All],[PID]],0)))</f>
        <v>2</v>
      </c>
      <c r="O1272" s="72" t="str">
        <f>IF($C1272="B",INDEX(Batters[[#All],[EYE P]],MATCH(Table5[[#This Row],[PID]],Batters[[#All],[PID]],0)),INDEX(Table3[[#All],[VELO]],MATCH(Table5[[#This Row],[PID]],Table3[[#All],[PID]],0)))</f>
        <v>87-89 Mph</v>
      </c>
      <c r="P1272" s="56">
        <f>IF($C1272="B",INDEX(Batters[[#All],[K P]],MATCH(Table5[[#This Row],[PID]],Batters[[#All],[PID]],0)),INDEX(Table3[[#All],[STM]],MATCH(Table5[[#This Row],[PID]],Table3[[#All],[PID]],0)))</f>
        <v>7</v>
      </c>
      <c r="Q1272" s="61">
        <f>IF($C1272="B",INDEX(Batters[[#All],[Tot]],MATCH(Table5[[#This Row],[PID]],Batters[[#All],[PID]],0)),INDEX(Table3[[#All],[Tot]],MATCH(Table5[[#This Row],[PID]],Table3[[#All],[PID]],0)))</f>
        <v>15.973977709245098</v>
      </c>
      <c r="R1272" s="70">
        <f>IF($C1272="B",INDEX(Batters[[#All],[zScore]],MATCH(Table5[[#This Row],[PID]],Batters[[#All],[PID]],0)),INDEX(Table3[[#All],[zScore]],MATCH(Table5[[#This Row],[PID]],Table3[[#All],[PID]],0)))</f>
        <v>-1.3236869565533365</v>
      </c>
      <c r="S1272" s="74" t="str">
        <f>IF($C1272="B",INDEX(Batters[[#All],[DEM]],MATCH(Table5[[#This Row],[PID]],Batters[[#All],[PID]],0)),INDEX(Table3[[#All],[DEM]],MATCH(Table5[[#This Row],[PID]],Table3[[#All],[PID]],0)))</f>
        <v>-</v>
      </c>
      <c r="T1272" s="75">
        <f>IF($C1272="B",INDEX(Batters[[#All],[Rnk]],MATCH(Table5[[#This Row],[PID]],Batters[[#All],[PID]],0)),INDEX(Table3[[#All],[Rnk]],MATCH(Table5[[#This Row],[PID]],Table3[[#All],[PID]],0)))</f>
        <v>757</v>
      </c>
      <c r="U1272" s="68">
        <f>IF($C1272="B",VLOOKUP($A1272,Bat!$A$4:$BA$1621,47,FALSE),VLOOKUP($A1272,Pit!$A$4:$BF$1557,56,FALSE))</f>
        <v>0</v>
      </c>
      <c r="V1272" s="50">
        <f>IF($C1272="B",VLOOKUP($A1272,Bat!$A$4:$BA$1621,48,FALSE),VLOOKUP($A1272,Pit!$A$4:$BF$1557,57,FALSE))</f>
        <v>0</v>
      </c>
      <c r="W1272" s="69">
        <f>Table5[[#This Row],[posRnk]]+Table5[[#This Row],[zRnk]]+IF($W$3&lt;&gt;Table5[[#This Row],[Type]],50,0)</f>
        <v>2060</v>
      </c>
      <c r="X1272" s="73">
        <f>RANK(Table5[[#This Row],[zScore]],Table5[[#All],[zScore]])</f>
        <v>1253</v>
      </c>
      <c r="Y1272" s="69" t="str">
        <f>IFERROR(INDEX(DraftResults[[#All],[OVR]],MATCH(Table5[[#This Row],[PID]],DraftResults[[#All],[Player ID]],0)),"")</f>
        <v/>
      </c>
      <c r="Z127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2" s="69" t="str">
        <f>IFERROR(INDEX(DraftResults[[#All],[Pick in Round]],MATCH(Table5[[#This Row],[PID]],DraftResults[[#All],[Player ID]],0)),"")</f>
        <v/>
      </c>
      <c r="AB1272" s="69" t="str">
        <f>IFERROR(INDEX(DraftResults[[#All],[Team Name]],MATCH(Table5[[#This Row],[PID]],DraftResults[[#All],[Player ID]],0)),"")</f>
        <v/>
      </c>
      <c r="AC1272" s="69" t="str">
        <f>IF(Table5[[#This Row],[Ovr]]="","",IF(Table5[[#This Row],[cmbList]]="","",Table5[[#This Row],[cmbList]]-Table5[[#This Row],[Ovr]]))</f>
        <v/>
      </c>
      <c r="AD1272" s="77" t="str">
        <f>IF(ISERROR(VLOOKUP($AB1272&amp;"-"&amp;$E1272&amp;" "&amp;F1272,Bonuses!$B$1:$G$1006,4,FALSE)),"",INT(VLOOKUP($AB1272&amp;"-"&amp;$E1272&amp;" "&amp;$F1272,Bonuses!$B$1:$G$1006,4,FALSE)))</f>
        <v/>
      </c>
      <c r="AE127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3" spans="1:31" x14ac:dyDescent="0.25">
      <c r="A1273" s="50">
        <v>15896</v>
      </c>
      <c r="B1273" s="50">
        <f>COUNTIF(Table5[PID],A1273)</f>
        <v>1</v>
      </c>
      <c r="C1273" s="50" t="str">
        <f>IF(COUNTIF(Table3[[#All],[PID]],A1273)&gt;0,"P","B")</f>
        <v>B</v>
      </c>
      <c r="D1273" s="59" t="str">
        <f>IF($C1273="B",INDEX(Batters[[#All],[POS]],MATCH(Table5[[#This Row],[PID]],Batters[[#All],[PID]],0)),INDEX(Table3[[#All],[POS]],MATCH(Table5[[#This Row],[PID]],Table3[[#All],[PID]],0)))</f>
        <v>SS</v>
      </c>
      <c r="E1273" s="52" t="str">
        <f>IF($C1273="B",INDEX(Batters[[#All],[First]],MATCH(Table5[[#This Row],[PID]],Batters[[#All],[PID]],0)),INDEX(Table3[[#All],[First]],MATCH(Table5[[#This Row],[PID]],Table3[[#All],[PID]],0)))</f>
        <v>Ted</v>
      </c>
      <c r="F1273" s="50" t="str">
        <f>IF($C1273="B",INDEX(Batters[[#All],[Last]],MATCH(A1273,Batters[[#All],[PID]],0)),INDEX(Table3[[#All],[Last]],MATCH(A1273,Table3[[#All],[PID]],0)))</f>
        <v>Baxter</v>
      </c>
      <c r="G1273" s="56">
        <f>IF($C1273="B",INDEX(Batters[[#All],[Age]],MATCH(Table5[[#This Row],[PID]],Batters[[#All],[PID]],0)),INDEX(Table3[[#All],[Age]],MATCH(Table5[[#This Row],[PID]],Table3[[#All],[PID]],0)))</f>
        <v>18</v>
      </c>
      <c r="H1273" s="52" t="str">
        <f>IF($C1273="B",INDEX(Batters[[#All],[B]],MATCH(Table5[[#This Row],[PID]],Batters[[#All],[PID]],0)),INDEX(Table3[[#All],[B]],MATCH(Table5[[#This Row],[PID]],Table3[[#All],[PID]],0)))</f>
        <v>R</v>
      </c>
      <c r="I1273" s="70" t="str">
        <f>IF($C1273="B",INDEX(Batters[[#All],[T]],MATCH(Table5[[#This Row],[PID]],Batters[[#All],[PID]],0)),INDEX(Table3[[#All],[T]],MATCH(Table5[[#This Row],[PID]],Table3[[#All],[PID]],0)))</f>
        <v>R</v>
      </c>
      <c r="J1273" s="52" t="str">
        <f>IF($C1273="B",INDEX(Batters[[#All],[WE]],MATCH(Table5[[#This Row],[PID]],Batters[[#All],[PID]],0)),INDEX(Table3[[#All],[WE]],MATCH(Table5[[#This Row],[PID]],Table3[[#All],[PID]],0)))</f>
        <v>High</v>
      </c>
      <c r="K1273" s="52" t="str">
        <f>IF($C1273="B",INDEX(Batters[[#All],[INT]],MATCH(Table5[[#This Row],[PID]],Batters[[#All],[PID]],0)),INDEX(Table3[[#All],[INT]],MATCH(Table5[[#This Row],[PID]],Table3[[#All],[PID]],0)))</f>
        <v>Normal</v>
      </c>
      <c r="L1273" s="60">
        <f>IF($C1273="B",INDEX(Batters[[#All],[CON P]],MATCH(Table5[[#This Row],[PID]],Batters[[#All],[PID]],0)),INDEX(Table3[[#All],[STU P]],MATCH(Table5[[#This Row],[PID]],Table3[[#All],[PID]],0)))</f>
        <v>3</v>
      </c>
      <c r="M1273" s="56">
        <f>IF($C1273="B",INDEX(Batters[[#All],[GAP P]],MATCH(Table5[[#This Row],[PID]],Batters[[#All],[PID]],0)),INDEX(Table3[[#All],[MOV P]],MATCH(Table5[[#This Row],[PID]],Table3[[#All],[PID]],0)))</f>
        <v>4</v>
      </c>
      <c r="N1273" s="56">
        <f>IF($C1273="B",INDEX(Batters[[#All],[POW P]],MATCH(Table5[[#This Row],[PID]],Batters[[#All],[PID]],0)),INDEX(Table3[[#All],[CON P]],MATCH(Table5[[#This Row],[PID]],Table3[[#All],[PID]],0)))</f>
        <v>3</v>
      </c>
      <c r="O1273" s="56">
        <f>IF($C1273="B",INDEX(Batters[[#All],[EYE P]],MATCH(Table5[[#This Row],[PID]],Batters[[#All],[PID]],0)),INDEX(Table3[[#All],[VELO]],MATCH(Table5[[#This Row],[PID]],Table3[[#All],[PID]],0)))</f>
        <v>1</v>
      </c>
      <c r="P1273" s="56">
        <f>IF($C1273="B",INDEX(Batters[[#All],[K P]],MATCH(Table5[[#This Row],[PID]],Batters[[#All],[PID]],0)),INDEX(Table3[[#All],[STM]],MATCH(Table5[[#This Row],[PID]],Table3[[#All],[PID]],0)))</f>
        <v>3</v>
      </c>
      <c r="Q1273" s="61">
        <f>IF($C1273="B",INDEX(Batters[[#All],[Tot]],MATCH(Table5[[#This Row],[PID]],Batters[[#All],[PID]],0)),INDEX(Table3[[#All],[Tot]],MATCH(Table5[[#This Row],[PID]],Table3[[#All],[PID]],0)))</f>
        <v>38.142888018438462</v>
      </c>
      <c r="R1273" s="70">
        <f>IF($C1273="B",INDEX(Batters[[#All],[zScore]],MATCH(Table5[[#This Row],[PID]],Batters[[#All],[PID]],0)),INDEX(Table3[[#All],[zScore]],MATCH(Table5[[#This Row],[PID]],Table3[[#All],[PID]],0)))</f>
        <v>-1.3278132448308986</v>
      </c>
      <c r="S1273" s="79" t="str">
        <f>IF($C1273="B",INDEX(Batters[[#All],[DEM]],MATCH(Table5[[#This Row],[PID]],Batters[[#All],[PID]],0)),INDEX(Table3[[#All],[DEM]],MATCH(Table5[[#This Row],[PID]],Table3[[#All],[PID]],0)))</f>
        <v>$65k</v>
      </c>
      <c r="T1273" s="62">
        <f>IF($C1273="B",INDEX(Batters[[#All],[Rnk]],MATCH(Table5[[#This Row],[PID]],Batters[[#All],[PID]],0)),INDEX(Table3[[#All],[Rnk]],MATCH(Table5[[#This Row],[PID]],Table3[[#All],[PID]],0)))</f>
        <v>497</v>
      </c>
      <c r="U1273" s="68">
        <f>IF($C1273="B",VLOOKUP($A1273,Bat!$A$4:$BA$1621,47,FALSE),VLOOKUP($A1273,Pit!$A$4:$BF$1557,56,FALSE))</f>
        <v>0</v>
      </c>
      <c r="V1273" s="50">
        <f>IF($C1273="B",VLOOKUP($A1273,Bat!$A$4:$BA$1621,48,FALSE),VLOOKUP($A1273,Pit!$A$4:$BF$1557,57,FALSE))</f>
        <v>0</v>
      </c>
      <c r="W1273" s="50">
        <f>Table5[[#This Row],[posRnk]]+Table5[[#This Row],[zRnk]]+IF($W$3&lt;&gt;Table5[[#This Row],[Type]],50,0)</f>
        <v>1802</v>
      </c>
      <c r="X1273" s="51">
        <f>RANK(Table5[[#This Row],[zScore]],Table5[[#All],[zScore]])</f>
        <v>1255</v>
      </c>
      <c r="Y1273" s="50" t="str">
        <f>IFERROR(INDEX(DraftResults[[#All],[OVR]],MATCH(Table5[[#This Row],[PID]],DraftResults[[#All],[Player ID]],0)),"")</f>
        <v/>
      </c>
      <c r="Z12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3" s="50" t="str">
        <f>IFERROR(INDEX(DraftResults[[#All],[Pick in Round]],MATCH(Table5[[#This Row],[PID]],DraftResults[[#All],[Player ID]],0)),"")</f>
        <v/>
      </c>
      <c r="AB1273" s="50" t="str">
        <f>IFERROR(INDEX(DraftResults[[#All],[Team Name]],MATCH(Table5[[#This Row],[PID]],DraftResults[[#All],[Player ID]],0)),"")</f>
        <v/>
      </c>
      <c r="AC1273" s="50" t="str">
        <f>IF(Table5[[#This Row],[Ovr]]="","",IF(Table5[[#This Row],[cmbList]]="","",Table5[[#This Row],[cmbList]]-Table5[[#This Row],[Ovr]]))</f>
        <v/>
      </c>
      <c r="AD1273" s="54" t="str">
        <f>IF(ISERROR(VLOOKUP($AB1273&amp;"-"&amp;$E1273&amp;" "&amp;F1273,Bonuses!$B$1:$G$1006,4,FALSE)),"",INT(VLOOKUP($AB1273&amp;"-"&amp;$E1273&amp;" "&amp;$F1273,Bonuses!$B$1:$G$1006,4,FALSE)))</f>
        <v/>
      </c>
      <c r="AE12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4" spans="1:31" x14ac:dyDescent="0.25">
      <c r="A1274" s="50">
        <v>9530</v>
      </c>
      <c r="B1274" s="50">
        <f>COUNTIF(Table5[PID],A1274)</f>
        <v>1</v>
      </c>
      <c r="C1274" s="50" t="str">
        <f>IF(COUNTIF(Table3[[#All],[PID]],A1274)&gt;0,"P","B")</f>
        <v>B</v>
      </c>
      <c r="D1274" s="59" t="str">
        <f>IF($C1274="B",INDEX(Batters[[#All],[POS]],MATCH(Table5[[#This Row],[PID]],Batters[[#All],[PID]],0)),INDEX(Table3[[#All],[POS]],MATCH(Table5[[#This Row],[PID]],Table3[[#All],[PID]],0)))</f>
        <v>1B</v>
      </c>
      <c r="E1274" s="52" t="str">
        <f>IF($C1274="B",INDEX(Batters[[#All],[First]],MATCH(Table5[[#This Row],[PID]],Batters[[#All],[PID]],0)),INDEX(Table3[[#All],[First]],MATCH(Table5[[#This Row],[PID]],Table3[[#All],[PID]],0)))</f>
        <v>Thomas</v>
      </c>
      <c r="F1274" s="50" t="str">
        <f>IF($C1274="B",INDEX(Batters[[#All],[Last]],MATCH(A1274,Batters[[#All],[PID]],0)),INDEX(Table3[[#All],[Last]],MATCH(A1274,Table3[[#All],[PID]],0)))</f>
        <v>Wilson</v>
      </c>
      <c r="G1274" s="56">
        <f>IF($C1274="B",INDEX(Batters[[#All],[Age]],MATCH(Table5[[#This Row],[PID]],Batters[[#All],[PID]],0)),INDEX(Table3[[#All],[Age]],MATCH(Table5[[#This Row],[PID]],Table3[[#All],[PID]],0)))</f>
        <v>22</v>
      </c>
      <c r="H1274" s="52" t="str">
        <f>IF($C1274="B",INDEX(Batters[[#All],[B]],MATCH(Table5[[#This Row],[PID]],Batters[[#All],[PID]],0)),INDEX(Table3[[#All],[B]],MATCH(Table5[[#This Row],[PID]],Table3[[#All],[PID]],0)))</f>
        <v>R</v>
      </c>
      <c r="I1274" s="70" t="str">
        <f>IF($C1274="B",INDEX(Batters[[#All],[T]],MATCH(Table5[[#This Row],[PID]],Batters[[#All],[PID]],0)),INDEX(Table3[[#All],[T]],MATCH(Table5[[#This Row],[PID]],Table3[[#All],[PID]],0)))</f>
        <v>R</v>
      </c>
      <c r="J1274" s="52" t="str">
        <f>IF($C1274="B",INDEX(Batters[[#All],[WE]],MATCH(Table5[[#This Row],[PID]],Batters[[#All],[PID]],0)),INDEX(Table3[[#All],[WE]],MATCH(Table5[[#This Row],[PID]],Table3[[#All],[PID]],0)))</f>
        <v>Normal</v>
      </c>
      <c r="K1274" s="52" t="str">
        <f>IF($C1274="B",INDEX(Batters[[#All],[INT]],MATCH(Table5[[#This Row],[PID]],Batters[[#All],[PID]],0)),INDEX(Table3[[#All],[INT]],MATCH(Table5[[#This Row],[PID]],Table3[[#All],[PID]],0)))</f>
        <v>Normal</v>
      </c>
      <c r="L1274" s="60">
        <f>IF($C1274="B",INDEX(Batters[[#All],[CON P]],MATCH(Table5[[#This Row],[PID]],Batters[[#All],[PID]],0)),INDEX(Table3[[#All],[STU P]],MATCH(Table5[[#This Row],[PID]],Table3[[#All],[PID]],0)))</f>
        <v>4</v>
      </c>
      <c r="M1274" s="56">
        <f>IF($C1274="B",INDEX(Batters[[#All],[GAP P]],MATCH(Table5[[#This Row],[PID]],Batters[[#All],[PID]],0)),INDEX(Table3[[#All],[MOV P]],MATCH(Table5[[#This Row],[PID]],Table3[[#All],[PID]],0)))</f>
        <v>2</v>
      </c>
      <c r="N1274" s="56">
        <f>IF($C1274="B",INDEX(Batters[[#All],[POW P]],MATCH(Table5[[#This Row],[PID]],Batters[[#All],[PID]],0)),INDEX(Table3[[#All],[CON P]],MATCH(Table5[[#This Row],[PID]],Table3[[#All],[PID]],0)))</f>
        <v>3</v>
      </c>
      <c r="O1274" s="56">
        <f>IF($C1274="B",INDEX(Batters[[#All],[EYE P]],MATCH(Table5[[#This Row],[PID]],Batters[[#All],[PID]],0)),INDEX(Table3[[#All],[VELO]],MATCH(Table5[[#This Row],[PID]],Table3[[#All],[PID]],0)))</f>
        <v>3</v>
      </c>
      <c r="P1274" s="56">
        <f>IF($C1274="B",INDEX(Batters[[#All],[K P]],MATCH(Table5[[#This Row],[PID]],Batters[[#All],[PID]],0)),INDEX(Table3[[#All],[STM]],MATCH(Table5[[#This Row],[PID]],Table3[[#All],[PID]],0)))</f>
        <v>5</v>
      </c>
      <c r="Q1274" s="61">
        <f>IF($C1274="B",INDEX(Batters[[#All],[Tot]],MATCH(Table5[[#This Row],[PID]],Batters[[#All],[PID]],0)),INDEX(Table3[[#All],[Tot]],MATCH(Table5[[#This Row],[PID]],Table3[[#All],[PID]],0)))</f>
        <v>38.112025226853355</v>
      </c>
      <c r="R1274" s="70">
        <f>IF($C1274="B",INDEX(Batters[[#All],[zScore]],MATCH(Table5[[#This Row],[PID]],Batters[[#All],[PID]],0)),INDEX(Table3[[#All],[zScore]],MATCH(Table5[[#This Row],[PID]],Table3[[#All],[PID]],0)))</f>
        <v>-1.3346557343384271</v>
      </c>
      <c r="S1274" s="79" t="str">
        <f>IF($C1274="B",INDEX(Batters[[#All],[DEM]],MATCH(Table5[[#This Row],[PID]],Batters[[#All],[PID]],0)),INDEX(Table3[[#All],[DEM]],MATCH(Table5[[#This Row],[PID]],Table3[[#All],[PID]],0)))</f>
        <v>-</v>
      </c>
      <c r="T1274" s="62">
        <f>IF($C1274="B",INDEX(Batters[[#All],[Rnk]],MATCH(Table5[[#This Row],[PID]],Batters[[#All],[PID]],0)),INDEX(Table3[[#All],[Rnk]],MATCH(Table5[[#This Row],[PID]],Table3[[#All],[PID]],0)))</f>
        <v>498</v>
      </c>
      <c r="U1274" s="68">
        <f>IF($C1274="B",VLOOKUP($A1274,Bat!$A$4:$BA$1621,47,FALSE),VLOOKUP($A1274,Pit!$A$4:$BF$1557,56,FALSE))</f>
        <v>0</v>
      </c>
      <c r="V1274" s="50">
        <f>IF($C1274="B",VLOOKUP($A1274,Bat!$A$4:$BA$1621,48,FALSE),VLOOKUP($A1274,Pit!$A$4:$BF$1557,57,FALSE))</f>
        <v>0</v>
      </c>
      <c r="W1274" s="50">
        <f>Table5[[#This Row],[posRnk]]+Table5[[#This Row],[zRnk]]+IF($W$3&lt;&gt;Table5[[#This Row],[Type]],50,0)</f>
        <v>1804</v>
      </c>
      <c r="X1274" s="51">
        <f>RANK(Table5[[#This Row],[zScore]],Table5[[#All],[zScore]])</f>
        <v>1256</v>
      </c>
      <c r="Y1274" s="50" t="str">
        <f>IFERROR(INDEX(DraftResults[[#All],[OVR]],MATCH(Table5[[#This Row],[PID]],DraftResults[[#All],[Player ID]],0)),"")</f>
        <v/>
      </c>
      <c r="Z12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4" s="50" t="str">
        <f>IFERROR(INDEX(DraftResults[[#All],[Pick in Round]],MATCH(Table5[[#This Row],[PID]],DraftResults[[#All],[Player ID]],0)),"")</f>
        <v/>
      </c>
      <c r="AB1274" s="50" t="str">
        <f>IFERROR(INDEX(DraftResults[[#All],[Team Name]],MATCH(Table5[[#This Row],[PID]],DraftResults[[#All],[Player ID]],0)),"")</f>
        <v/>
      </c>
      <c r="AC1274" s="50" t="str">
        <f>IF(Table5[[#This Row],[Ovr]]="","",IF(Table5[[#This Row],[cmbList]]="","",Table5[[#This Row],[cmbList]]-Table5[[#This Row],[Ovr]]))</f>
        <v/>
      </c>
      <c r="AD1274" s="54" t="str">
        <f>IF(ISERROR(VLOOKUP($AB1274&amp;"-"&amp;$E1274&amp;" "&amp;F1274,Bonuses!$B$1:$G$1006,4,FALSE)),"",INT(VLOOKUP($AB1274&amp;"-"&amp;$E1274&amp;" "&amp;$F1274,Bonuses!$B$1:$G$1006,4,FALSE)))</f>
        <v/>
      </c>
      <c r="AE12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5" spans="1:31" x14ac:dyDescent="0.25">
      <c r="A1275" s="68">
        <v>20480</v>
      </c>
      <c r="B1275" s="69">
        <f>COUNTIF(Table5[PID],A1275)</f>
        <v>1</v>
      </c>
      <c r="C1275" s="69" t="str">
        <f>IF(COUNTIF(Table3[[#All],[PID]],A1275)&gt;0,"P","B")</f>
        <v>P</v>
      </c>
      <c r="D1275" s="59" t="str">
        <f>IF($C1275="B",INDEX(Batters[[#All],[POS]],MATCH(Table5[[#This Row],[PID]],Batters[[#All],[PID]],0)),INDEX(Table3[[#All],[POS]],MATCH(Table5[[#This Row],[PID]],Table3[[#All],[PID]],0)))</f>
        <v>RP</v>
      </c>
      <c r="E1275" s="52" t="str">
        <f>IF($C1275="B",INDEX(Batters[[#All],[First]],MATCH(Table5[[#This Row],[PID]],Batters[[#All],[PID]],0)),INDEX(Table3[[#All],[First]],MATCH(Table5[[#This Row],[PID]],Table3[[#All],[PID]],0)))</f>
        <v>Teruo</v>
      </c>
      <c r="F1275" s="55" t="str">
        <f>IF($C1275="B",INDEX(Batters[[#All],[Last]],MATCH(A1275,Batters[[#All],[PID]],0)),INDEX(Table3[[#All],[Last]],MATCH(A1275,Table3[[#All],[PID]],0)))</f>
        <v>Kichida</v>
      </c>
      <c r="G1275" s="56">
        <f>IF($C1275="B",INDEX(Batters[[#All],[Age]],MATCH(Table5[[#This Row],[PID]],Batters[[#All],[PID]],0)),INDEX(Table3[[#All],[Age]],MATCH(Table5[[#This Row],[PID]],Table3[[#All],[PID]],0)))</f>
        <v>17</v>
      </c>
      <c r="H1275" s="52" t="str">
        <f>IF($C1275="B",INDEX(Batters[[#All],[B]],MATCH(Table5[[#This Row],[PID]],Batters[[#All],[PID]],0)),INDEX(Table3[[#All],[B]],MATCH(Table5[[#This Row],[PID]],Table3[[#All],[PID]],0)))</f>
        <v>R</v>
      </c>
      <c r="I1275" s="70" t="str">
        <f>IF($C1275="B",INDEX(Batters[[#All],[T]],MATCH(Table5[[#This Row],[PID]],Batters[[#All],[PID]],0)),INDEX(Table3[[#All],[T]],MATCH(Table5[[#This Row],[PID]],Table3[[#All],[PID]],0)))</f>
        <v>R</v>
      </c>
      <c r="J1275" s="71" t="str">
        <f>IF($C1275="B",INDEX(Batters[[#All],[WE]],MATCH(Table5[[#This Row],[PID]],Batters[[#All],[PID]],0)),INDEX(Table3[[#All],[WE]],MATCH(Table5[[#This Row],[PID]],Table3[[#All],[PID]],0)))</f>
        <v>High</v>
      </c>
      <c r="K1275" s="52" t="str">
        <f>IF($C1275="B",INDEX(Batters[[#All],[INT]],MATCH(Table5[[#This Row],[PID]],Batters[[#All],[PID]],0)),INDEX(Table3[[#All],[INT]],MATCH(Table5[[#This Row],[PID]],Table3[[#All],[PID]],0)))</f>
        <v>Normal</v>
      </c>
      <c r="L1275" s="60">
        <f>IF($C1275="B",INDEX(Batters[[#All],[CON P]],MATCH(Table5[[#This Row],[PID]],Batters[[#All],[PID]],0)),INDEX(Table3[[#All],[STU P]],MATCH(Table5[[#This Row],[PID]],Table3[[#All],[PID]],0)))</f>
        <v>2</v>
      </c>
      <c r="M1275" s="72">
        <f>IF($C1275="B",INDEX(Batters[[#All],[GAP P]],MATCH(Table5[[#This Row],[PID]],Batters[[#All],[PID]],0)),INDEX(Table3[[#All],[MOV P]],MATCH(Table5[[#This Row],[PID]],Table3[[#All],[PID]],0)))</f>
        <v>1</v>
      </c>
      <c r="N1275" s="72">
        <f>IF($C1275="B",INDEX(Batters[[#All],[POW P]],MATCH(Table5[[#This Row],[PID]],Batters[[#All],[PID]],0)),INDEX(Table3[[#All],[CON P]],MATCH(Table5[[#This Row],[PID]],Table3[[#All],[PID]],0)))</f>
        <v>1</v>
      </c>
      <c r="O1275" s="72" t="str">
        <f>IF($C1275="B",INDEX(Batters[[#All],[EYE P]],MATCH(Table5[[#This Row],[PID]],Batters[[#All],[PID]],0)),INDEX(Table3[[#All],[VELO]],MATCH(Table5[[#This Row],[PID]],Table3[[#All],[PID]],0)))</f>
        <v>84-86 Mph</v>
      </c>
      <c r="P1275" s="56">
        <f>IF($C1275="B",INDEX(Batters[[#All],[K P]],MATCH(Table5[[#This Row],[PID]],Batters[[#All],[PID]],0)),INDEX(Table3[[#All],[STM]],MATCH(Table5[[#This Row],[PID]],Table3[[#All],[PID]],0)))</f>
        <v>4</v>
      </c>
      <c r="Q1275" s="61">
        <f>IF($C1275="B",INDEX(Batters[[#All],[Tot]],MATCH(Table5[[#This Row],[PID]],Batters[[#All],[PID]],0)),INDEX(Table3[[#All],[Tot]],MATCH(Table5[[#This Row],[PID]],Table3[[#All],[PID]],0)))</f>
        <v>15.722347612772413</v>
      </c>
      <c r="R1275" s="70">
        <f>IF($C1275="B",INDEX(Batters[[#All],[zScore]],MATCH(Table5[[#This Row],[PID]],Batters[[#All],[PID]],0)),INDEX(Table3[[#All],[zScore]],MATCH(Table5[[#This Row],[PID]],Table3[[#All],[PID]],0)))</f>
        <v>-1.3404275223534887</v>
      </c>
      <c r="S1275" s="74" t="str">
        <f>IF($C1275="B",INDEX(Batters[[#All],[DEM]],MATCH(Table5[[#This Row],[PID]],Batters[[#All],[PID]],0)),INDEX(Table3[[#All],[DEM]],MATCH(Table5[[#This Row],[PID]],Table3[[#All],[PID]],0)))</f>
        <v>$65k</v>
      </c>
      <c r="T1275" s="75">
        <f>IF($C1275="B",INDEX(Batters[[#All],[Rnk]],MATCH(Table5[[#This Row],[PID]],Batters[[#All],[PID]],0)),INDEX(Table3[[#All],[Rnk]],MATCH(Table5[[#This Row],[PID]],Table3[[#All],[PID]],0)))</f>
        <v>758</v>
      </c>
      <c r="U1275" s="68">
        <f>IF($C1275="B",VLOOKUP($A1275,Bat!$A$4:$BA$1621,47,FALSE),VLOOKUP($A1275,Pit!$A$4:$BF$1557,56,FALSE))</f>
        <v>0</v>
      </c>
      <c r="V1275" s="50">
        <f>IF($C1275="B",VLOOKUP($A1275,Bat!$A$4:$BA$1621,48,FALSE),VLOOKUP($A1275,Pit!$A$4:$BF$1557,57,FALSE))</f>
        <v>0</v>
      </c>
      <c r="W1275" s="69">
        <f>Table5[[#This Row],[posRnk]]+Table5[[#This Row],[zRnk]]+IF($W$3&lt;&gt;Table5[[#This Row],[Type]],50,0)</f>
        <v>2065</v>
      </c>
      <c r="X1275" s="73">
        <f>RANK(Table5[[#This Row],[zScore]],Table5[[#All],[zScore]])</f>
        <v>1257</v>
      </c>
      <c r="Y1275" s="69" t="str">
        <f>IFERROR(INDEX(DraftResults[[#All],[OVR]],MATCH(Table5[[#This Row],[PID]],DraftResults[[#All],[Player ID]],0)),"")</f>
        <v/>
      </c>
      <c r="Z127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5" s="69" t="str">
        <f>IFERROR(INDEX(DraftResults[[#All],[Pick in Round]],MATCH(Table5[[#This Row],[PID]],DraftResults[[#All],[Player ID]],0)),"")</f>
        <v/>
      </c>
      <c r="AB1275" s="69" t="str">
        <f>IFERROR(INDEX(DraftResults[[#All],[Team Name]],MATCH(Table5[[#This Row],[PID]],DraftResults[[#All],[Player ID]],0)),"")</f>
        <v/>
      </c>
      <c r="AC1275" s="69" t="str">
        <f>IF(Table5[[#This Row],[Ovr]]="","",IF(Table5[[#This Row],[cmbList]]="","",Table5[[#This Row],[cmbList]]-Table5[[#This Row],[Ovr]]))</f>
        <v/>
      </c>
      <c r="AD1275" s="77" t="str">
        <f>IF(ISERROR(VLOOKUP($AB1275&amp;"-"&amp;$E1275&amp;" "&amp;F1275,Bonuses!$B$1:$G$1006,4,FALSE)),"",INT(VLOOKUP($AB1275&amp;"-"&amp;$E1275&amp;" "&amp;$F1275,Bonuses!$B$1:$G$1006,4,FALSE)))</f>
        <v/>
      </c>
      <c r="AE127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6" spans="1:31" x14ac:dyDescent="0.25">
      <c r="A1276" s="68">
        <v>12628</v>
      </c>
      <c r="B1276" s="69">
        <f>COUNTIF(Table5[PID],A1276)</f>
        <v>1</v>
      </c>
      <c r="C1276" s="69" t="str">
        <f>IF(COUNTIF(Table3[[#All],[PID]],A1276)&gt;0,"P","B")</f>
        <v>P</v>
      </c>
      <c r="D1276" s="59" t="str">
        <f>IF($C1276="B",INDEX(Batters[[#All],[POS]],MATCH(Table5[[#This Row],[PID]],Batters[[#All],[PID]],0)),INDEX(Table3[[#All],[POS]],MATCH(Table5[[#This Row],[PID]],Table3[[#All],[PID]],0)))</f>
        <v>SP</v>
      </c>
      <c r="E1276" s="52" t="str">
        <f>IF($C1276="B",INDEX(Batters[[#All],[First]],MATCH(Table5[[#This Row],[PID]],Batters[[#All],[PID]],0)),INDEX(Table3[[#All],[First]],MATCH(Table5[[#This Row],[PID]],Table3[[#All],[PID]],0)))</f>
        <v>Rafael</v>
      </c>
      <c r="F1276" s="55" t="str">
        <f>IF($C1276="B",INDEX(Batters[[#All],[Last]],MATCH(A1276,Batters[[#All],[PID]],0)),INDEX(Table3[[#All],[Last]],MATCH(A1276,Table3[[#All],[PID]],0)))</f>
        <v>Rivera</v>
      </c>
      <c r="G1276" s="56">
        <f>IF($C1276="B",INDEX(Batters[[#All],[Age]],MATCH(Table5[[#This Row],[PID]],Batters[[#All],[PID]],0)),INDEX(Table3[[#All],[Age]],MATCH(Table5[[#This Row],[PID]],Table3[[#All],[PID]],0)))</f>
        <v>22</v>
      </c>
      <c r="H1276" s="52" t="str">
        <f>IF($C1276="B",INDEX(Batters[[#All],[B]],MATCH(Table5[[#This Row],[PID]],Batters[[#All],[PID]],0)),INDEX(Table3[[#All],[B]],MATCH(Table5[[#This Row],[PID]],Table3[[#All],[PID]],0)))</f>
        <v>R</v>
      </c>
      <c r="I1276" s="70" t="str">
        <f>IF($C1276="B",INDEX(Batters[[#All],[T]],MATCH(Table5[[#This Row],[PID]],Batters[[#All],[PID]],0)),INDEX(Table3[[#All],[T]],MATCH(Table5[[#This Row],[PID]],Table3[[#All],[PID]],0)))</f>
        <v>R</v>
      </c>
      <c r="J1276" s="71" t="str">
        <f>IF($C1276="B",INDEX(Batters[[#All],[WE]],MATCH(Table5[[#This Row],[PID]],Batters[[#All],[PID]],0)),INDEX(Table3[[#All],[WE]],MATCH(Table5[[#This Row],[PID]],Table3[[#All],[PID]],0)))</f>
        <v>Normal</v>
      </c>
      <c r="K1276" s="52" t="str">
        <f>IF($C1276="B",INDEX(Batters[[#All],[INT]],MATCH(Table5[[#This Row],[PID]],Batters[[#All],[PID]],0)),INDEX(Table3[[#All],[INT]],MATCH(Table5[[#This Row],[PID]],Table3[[#All],[PID]],0)))</f>
        <v>Low</v>
      </c>
      <c r="L1276" s="60">
        <f>IF($C1276="B",INDEX(Batters[[#All],[CON P]],MATCH(Table5[[#This Row],[PID]],Batters[[#All],[PID]],0)),INDEX(Table3[[#All],[STU P]],MATCH(Table5[[#This Row],[PID]],Table3[[#All],[PID]],0)))</f>
        <v>4</v>
      </c>
      <c r="M1276" s="72">
        <f>IF($C1276="B",INDEX(Batters[[#All],[GAP P]],MATCH(Table5[[#This Row],[PID]],Batters[[#All],[PID]],0)),INDEX(Table3[[#All],[MOV P]],MATCH(Table5[[#This Row],[PID]],Table3[[#All],[PID]],0)))</f>
        <v>2</v>
      </c>
      <c r="N1276" s="72">
        <f>IF($C1276="B",INDEX(Batters[[#All],[POW P]],MATCH(Table5[[#This Row],[PID]],Batters[[#All],[PID]],0)),INDEX(Table3[[#All],[CON P]],MATCH(Table5[[#This Row],[PID]],Table3[[#All],[PID]],0)))</f>
        <v>1</v>
      </c>
      <c r="O1276" s="72" t="str">
        <f>IF($C1276="B",INDEX(Batters[[#All],[EYE P]],MATCH(Table5[[#This Row],[PID]],Batters[[#All],[PID]],0)),INDEX(Table3[[#All],[VELO]],MATCH(Table5[[#This Row],[PID]],Table3[[#All],[PID]],0)))</f>
        <v>87-89 Mph</v>
      </c>
      <c r="P1276" s="56">
        <f>IF($C1276="B",INDEX(Batters[[#All],[K P]],MATCH(Table5[[#This Row],[PID]],Batters[[#All],[PID]],0)),INDEX(Table3[[#All],[STM]],MATCH(Table5[[#This Row],[PID]],Table3[[#All],[PID]],0)))</f>
        <v>8</v>
      </c>
      <c r="Q1276" s="61">
        <f>IF($C1276="B",INDEX(Batters[[#All],[Tot]],MATCH(Table5[[#This Row],[PID]],Batters[[#All],[PID]],0)),INDEX(Table3[[#All],[Tot]],MATCH(Table5[[#This Row],[PID]],Table3[[#All],[PID]],0)))</f>
        <v>18.20805181513532</v>
      </c>
      <c r="R1276" s="70">
        <f>IF($C1276="B",INDEX(Batters[[#All],[zScore]],MATCH(Table5[[#This Row],[PID]],Batters[[#All],[PID]],0)),INDEX(Table3[[#All],[zScore]],MATCH(Table5[[#This Row],[PID]],Table3[[#All],[PID]],0)))</f>
        <v>-1.3423013605222076</v>
      </c>
      <c r="S1276" s="74" t="str">
        <f>IF($C1276="B",INDEX(Batters[[#All],[DEM]],MATCH(Table5[[#This Row],[PID]],Batters[[#All],[PID]],0)),INDEX(Table3[[#All],[DEM]],MATCH(Table5[[#This Row],[PID]],Table3[[#All],[PID]],0)))</f>
        <v>-</v>
      </c>
      <c r="T1276" s="75">
        <f>IF($C1276="B",INDEX(Batters[[#All],[Rnk]],MATCH(Table5[[#This Row],[PID]],Batters[[#All],[PID]],0)),INDEX(Table3[[#All],[Rnk]],MATCH(Table5[[#This Row],[PID]],Table3[[#All],[PID]],0)))</f>
        <v>759</v>
      </c>
      <c r="U1276" s="68">
        <f>IF($C1276="B",VLOOKUP($A1276,Bat!$A$4:$BA$1621,47,FALSE),VLOOKUP($A1276,Pit!$A$4:$BF$1557,56,FALSE))</f>
        <v>0</v>
      </c>
      <c r="V1276" s="50">
        <f>IF($C1276="B",VLOOKUP($A1276,Bat!$A$4:$BA$1621,48,FALSE),VLOOKUP($A1276,Pit!$A$4:$BF$1557,57,FALSE))</f>
        <v>0</v>
      </c>
      <c r="W1276" s="69">
        <f>Table5[[#This Row],[posRnk]]+Table5[[#This Row],[zRnk]]+IF($W$3&lt;&gt;Table5[[#This Row],[Type]],50,0)</f>
        <v>2067</v>
      </c>
      <c r="X1276" s="73">
        <f>RANK(Table5[[#This Row],[zScore]],Table5[[#All],[zScore]])</f>
        <v>1258</v>
      </c>
      <c r="Y1276" s="69" t="str">
        <f>IFERROR(INDEX(DraftResults[[#All],[OVR]],MATCH(Table5[[#This Row],[PID]],DraftResults[[#All],[Player ID]],0)),"")</f>
        <v/>
      </c>
      <c r="Z127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6" s="69" t="str">
        <f>IFERROR(INDEX(DraftResults[[#All],[Pick in Round]],MATCH(Table5[[#This Row],[PID]],DraftResults[[#All],[Player ID]],0)),"")</f>
        <v/>
      </c>
      <c r="AB1276" s="69" t="str">
        <f>IFERROR(INDEX(DraftResults[[#All],[Team Name]],MATCH(Table5[[#This Row],[PID]],DraftResults[[#All],[Player ID]],0)),"")</f>
        <v/>
      </c>
      <c r="AC1276" s="69" t="str">
        <f>IF(Table5[[#This Row],[Ovr]]="","",IF(Table5[[#This Row],[cmbList]]="","",Table5[[#This Row],[cmbList]]-Table5[[#This Row],[Ovr]]))</f>
        <v/>
      </c>
      <c r="AD1276" s="77" t="str">
        <f>IF(ISERROR(VLOOKUP($AB1276&amp;"-"&amp;$E1276&amp;" "&amp;F1276,Bonuses!$B$1:$G$1006,4,FALSE)),"",INT(VLOOKUP($AB1276&amp;"-"&amp;$E1276&amp;" "&amp;$F1276,Bonuses!$B$1:$G$1006,4,FALSE)))</f>
        <v/>
      </c>
      <c r="AE127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7" spans="1:31" x14ac:dyDescent="0.25">
      <c r="A1277" s="50">
        <v>20922</v>
      </c>
      <c r="B1277" s="50">
        <f>COUNTIF(Table5[PID],A1277)</f>
        <v>1</v>
      </c>
      <c r="C1277" s="50" t="str">
        <f>IF(COUNTIF(Table3[[#All],[PID]],A1277)&gt;0,"P","B")</f>
        <v>B</v>
      </c>
      <c r="D1277" s="59" t="str">
        <f>IF($C1277="B",INDEX(Batters[[#All],[POS]],MATCH(Table5[[#This Row],[PID]],Batters[[#All],[PID]],0)),INDEX(Table3[[#All],[POS]],MATCH(Table5[[#This Row],[PID]],Table3[[#All],[PID]],0)))</f>
        <v>1B</v>
      </c>
      <c r="E1277" s="52" t="str">
        <f>IF($C1277="B",INDEX(Batters[[#All],[First]],MATCH(Table5[[#This Row],[PID]],Batters[[#All],[PID]],0)),INDEX(Table3[[#All],[First]],MATCH(Table5[[#This Row],[PID]],Table3[[#All],[PID]],0)))</f>
        <v>James</v>
      </c>
      <c r="F1277" s="50" t="str">
        <f>IF($C1277="B",INDEX(Batters[[#All],[Last]],MATCH(A1277,Batters[[#All],[PID]],0)),INDEX(Table3[[#All],[Last]],MATCH(A1277,Table3[[#All],[PID]],0)))</f>
        <v>Jackson</v>
      </c>
      <c r="G1277" s="56">
        <f>IF($C1277="B",INDEX(Batters[[#All],[Age]],MATCH(Table5[[#This Row],[PID]],Batters[[#All],[PID]],0)),INDEX(Table3[[#All],[Age]],MATCH(Table5[[#This Row],[PID]],Table3[[#All],[PID]],0)))</f>
        <v>17</v>
      </c>
      <c r="H1277" s="52" t="str">
        <f>IF($C1277="B",INDEX(Batters[[#All],[B]],MATCH(Table5[[#This Row],[PID]],Batters[[#All],[PID]],0)),INDEX(Table3[[#All],[B]],MATCH(Table5[[#This Row],[PID]],Table3[[#All],[PID]],0)))</f>
        <v>L</v>
      </c>
      <c r="I1277" s="70" t="str">
        <f>IF($C1277="B",INDEX(Batters[[#All],[T]],MATCH(Table5[[#This Row],[PID]],Batters[[#All],[PID]],0)),INDEX(Table3[[#All],[T]],MATCH(Table5[[#This Row],[PID]],Table3[[#All],[PID]],0)))</f>
        <v>L</v>
      </c>
      <c r="J1277" s="52" t="str">
        <f>IF($C1277="B",INDEX(Batters[[#All],[WE]],MATCH(Table5[[#This Row],[PID]],Batters[[#All],[PID]],0)),INDEX(Table3[[#All],[WE]],MATCH(Table5[[#This Row],[PID]],Table3[[#All],[PID]],0)))</f>
        <v>Normal</v>
      </c>
      <c r="K1277" s="52" t="str">
        <f>IF($C1277="B",INDEX(Batters[[#All],[INT]],MATCH(Table5[[#This Row],[PID]],Batters[[#All],[PID]],0)),INDEX(Table3[[#All],[INT]],MATCH(Table5[[#This Row],[PID]],Table3[[#All],[PID]],0)))</f>
        <v>Normal</v>
      </c>
      <c r="L1277" s="60">
        <f>IF($C1277="B",INDEX(Batters[[#All],[CON P]],MATCH(Table5[[#This Row],[PID]],Batters[[#All],[PID]],0)),INDEX(Table3[[#All],[STU P]],MATCH(Table5[[#This Row],[PID]],Table3[[#All],[PID]],0)))</f>
        <v>2</v>
      </c>
      <c r="M1277" s="56">
        <f>IF($C1277="B",INDEX(Batters[[#All],[GAP P]],MATCH(Table5[[#This Row],[PID]],Batters[[#All],[PID]],0)),INDEX(Table3[[#All],[MOV P]],MATCH(Table5[[#This Row],[PID]],Table3[[#All],[PID]],0)))</f>
        <v>2</v>
      </c>
      <c r="N1277" s="56">
        <f>IF($C1277="B",INDEX(Batters[[#All],[POW P]],MATCH(Table5[[#This Row],[PID]],Batters[[#All],[PID]],0)),INDEX(Table3[[#All],[CON P]],MATCH(Table5[[#This Row],[PID]],Table3[[#All],[PID]],0)))</f>
        <v>5</v>
      </c>
      <c r="O1277" s="56">
        <f>IF($C1277="B",INDEX(Batters[[#All],[EYE P]],MATCH(Table5[[#This Row],[PID]],Batters[[#All],[PID]],0)),INDEX(Table3[[#All],[VELO]],MATCH(Table5[[#This Row],[PID]],Table3[[#All],[PID]],0)))</f>
        <v>5</v>
      </c>
      <c r="P1277" s="56">
        <f>IF($C1277="B",INDEX(Batters[[#All],[K P]],MATCH(Table5[[#This Row],[PID]],Batters[[#All],[PID]],0)),INDEX(Table3[[#All],[STM]],MATCH(Table5[[#This Row],[PID]],Table3[[#All],[PID]],0)))</f>
        <v>2</v>
      </c>
      <c r="Q1277" s="61">
        <f>IF($C1277="B",INDEX(Batters[[#All],[Tot]],MATCH(Table5[[#This Row],[PID]],Batters[[#All],[PID]],0)),INDEX(Table3[[#All],[Tot]],MATCH(Table5[[#This Row],[PID]],Table3[[#All],[PID]],0)))</f>
        <v>38.053317352758427</v>
      </c>
      <c r="R1277" s="70">
        <f>IF($C1277="B",INDEX(Batters[[#All],[zScore]],MATCH(Table5[[#This Row],[PID]],Batters[[#All],[PID]],0)),INDEX(Table3[[#All],[zScore]],MATCH(Table5[[#This Row],[PID]],Table3[[#All],[PID]],0)))</f>
        <v>-1.347671666853673</v>
      </c>
      <c r="S1277" s="79" t="str">
        <f>IF($C1277="B",INDEX(Batters[[#All],[DEM]],MATCH(Table5[[#This Row],[PID]],Batters[[#All],[PID]],0)),INDEX(Table3[[#All],[DEM]],MATCH(Table5[[#This Row],[PID]],Table3[[#All],[PID]],0)))</f>
        <v>$80k</v>
      </c>
      <c r="T1277" s="62">
        <f>IF($C1277="B",INDEX(Batters[[#All],[Rnk]],MATCH(Table5[[#This Row],[PID]],Batters[[#All],[PID]],0)),INDEX(Table3[[#All],[Rnk]],MATCH(Table5[[#This Row],[PID]],Table3[[#All],[PID]],0)))</f>
        <v>500</v>
      </c>
      <c r="U1277" s="68">
        <f>IF($C1277="B",VLOOKUP($A1277,Bat!$A$4:$BA$1621,47,FALSE),VLOOKUP($A1277,Pit!$A$4:$BF$1557,56,FALSE))</f>
        <v>0</v>
      </c>
      <c r="V1277" s="50">
        <f>IF($C1277="B",VLOOKUP($A1277,Bat!$A$4:$BA$1621,48,FALSE),VLOOKUP($A1277,Pit!$A$4:$BF$1557,57,FALSE))</f>
        <v>0</v>
      </c>
      <c r="W1277" s="50">
        <f>Table5[[#This Row],[posRnk]]+Table5[[#This Row],[zRnk]]+IF($W$3&lt;&gt;Table5[[#This Row],[Type]],50,0)</f>
        <v>1810</v>
      </c>
      <c r="X1277" s="51">
        <f>RANK(Table5[[#This Row],[zScore]],Table5[[#All],[zScore]])</f>
        <v>1260</v>
      </c>
      <c r="Y1277" s="50" t="str">
        <f>IFERROR(INDEX(DraftResults[[#All],[OVR]],MATCH(Table5[[#This Row],[PID]],DraftResults[[#All],[Player ID]],0)),"")</f>
        <v/>
      </c>
      <c r="Z12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7" s="50" t="str">
        <f>IFERROR(INDEX(DraftResults[[#All],[Pick in Round]],MATCH(Table5[[#This Row],[PID]],DraftResults[[#All],[Player ID]],0)),"")</f>
        <v/>
      </c>
      <c r="AB1277" s="50" t="str">
        <f>IFERROR(INDEX(DraftResults[[#All],[Team Name]],MATCH(Table5[[#This Row],[PID]],DraftResults[[#All],[Player ID]],0)),"")</f>
        <v/>
      </c>
      <c r="AC1277" s="50" t="str">
        <f>IF(Table5[[#This Row],[Ovr]]="","",IF(Table5[[#This Row],[cmbList]]="","",Table5[[#This Row],[cmbList]]-Table5[[#This Row],[Ovr]]))</f>
        <v/>
      </c>
      <c r="AD1277" s="54" t="str">
        <f>IF(ISERROR(VLOOKUP($AB1277&amp;"-"&amp;$E1277&amp;" "&amp;F1277,Bonuses!$B$1:$G$1006,4,FALSE)),"",INT(VLOOKUP($AB1277&amp;"-"&amp;$E1277&amp;" "&amp;$F1277,Bonuses!$B$1:$G$1006,4,FALSE)))</f>
        <v/>
      </c>
      <c r="AE12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8" spans="1:31" x14ac:dyDescent="0.25">
      <c r="A1278" s="50">
        <v>20387</v>
      </c>
      <c r="B1278" s="50">
        <f>COUNTIF(Table5[PID],A1278)</f>
        <v>1</v>
      </c>
      <c r="C1278" s="50" t="str">
        <f>IF(COUNTIF(Table3[[#All],[PID]],A1278)&gt;0,"P","B")</f>
        <v>B</v>
      </c>
      <c r="D1278" s="59" t="str">
        <f>IF($C1278="B",INDEX(Batters[[#All],[POS]],MATCH(Table5[[#This Row],[PID]],Batters[[#All],[PID]],0)),INDEX(Table3[[#All],[POS]],MATCH(Table5[[#This Row],[PID]],Table3[[#All],[PID]],0)))</f>
        <v>C</v>
      </c>
      <c r="E1278" s="52" t="str">
        <f>IF($C1278="B",INDEX(Batters[[#All],[First]],MATCH(Table5[[#This Row],[PID]],Batters[[#All],[PID]],0)),INDEX(Table3[[#All],[First]],MATCH(Table5[[#This Row],[PID]],Table3[[#All],[PID]],0)))</f>
        <v>Tatsukichi</v>
      </c>
      <c r="F1278" s="50" t="str">
        <f>IF($C1278="B",INDEX(Batters[[#All],[Last]],MATCH(A1278,Batters[[#All],[PID]],0)),INDEX(Table3[[#All],[Last]],MATCH(A1278,Table3[[#All],[PID]],0)))</f>
        <v>Matsuda</v>
      </c>
      <c r="G1278" s="56">
        <f>IF($C1278="B",INDEX(Batters[[#All],[Age]],MATCH(Table5[[#This Row],[PID]],Batters[[#All],[PID]],0)),INDEX(Table3[[#All],[Age]],MATCH(Table5[[#This Row],[PID]],Table3[[#All],[PID]],0)))</f>
        <v>18</v>
      </c>
      <c r="H1278" s="52" t="str">
        <f>IF($C1278="B",INDEX(Batters[[#All],[B]],MATCH(Table5[[#This Row],[PID]],Batters[[#All],[PID]],0)),INDEX(Table3[[#All],[B]],MATCH(Table5[[#This Row],[PID]],Table3[[#All],[PID]],0)))</f>
        <v>R</v>
      </c>
      <c r="I1278" s="70" t="str">
        <f>IF($C1278="B",INDEX(Batters[[#All],[T]],MATCH(Table5[[#This Row],[PID]],Batters[[#All],[PID]],0)),INDEX(Table3[[#All],[T]],MATCH(Table5[[#This Row],[PID]],Table3[[#All],[PID]],0)))</f>
        <v>R</v>
      </c>
      <c r="J1278" s="52" t="str">
        <f>IF($C1278="B",INDEX(Batters[[#All],[WE]],MATCH(Table5[[#This Row],[PID]],Batters[[#All],[PID]],0)),INDEX(Table3[[#All],[WE]],MATCH(Table5[[#This Row],[PID]],Table3[[#All],[PID]],0)))</f>
        <v>High</v>
      </c>
      <c r="K1278" s="52" t="str">
        <f>IF($C1278="B",INDEX(Batters[[#All],[INT]],MATCH(Table5[[#This Row],[PID]],Batters[[#All],[PID]],0)),INDEX(Table3[[#All],[INT]],MATCH(Table5[[#This Row],[PID]],Table3[[#All],[PID]],0)))</f>
        <v>Normal</v>
      </c>
      <c r="L1278" s="60">
        <f>IF($C1278="B",INDEX(Batters[[#All],[CON P]],MATCH(Table5[[#This Row],[PID]],Batters[[#All],[PID]],0)),INDEX(Table3[[#All],[STU P]],MATCH(Table5[[#This Row],[PID]],Table3[[#All],[PID]],0)))</f>
        <v>2</v>
      </c>
      <c r="M1278" s="56">
        <f>IF($C1278="B",INDEX(Batters[[#All],[GAP P]],MATCH(Table5[[#This Row],[PID]],Batters[[#All],[PID]],0)),INDEX(Table3[[#All],[MOV P]],MATCH(Table5[[#This Row],[PID]],Table3[[#All],[PID]],0)))</f>
        <v>3</v>
      </c>
      <c r="N1278" s="56">
        <f>IF($C1278="B",INDEX(Batters[[#All],[POW P]],MATCH(Table5[[#This Row],[PID]],Batters[[#All],[PID]],0)),INDEX(Table3[[#All],[CON P]],MATCH(Table5[[#This Row],[PID]],Table3[[#All],[PID]],0)))</f>
        <v>2</v>
      </c>
      <c r="O1278" s="56">
        <f>IF($C1278="B",INDEX(Batters[[#All],[EYE P]],MATCH(Table5[[#This Row],[PID]],Batters[[#All],[PID]],0)),INDEX(Table3[[#All],[VELO]],MATCH(Table5[[#This Row],[PID]],Table3[[#All],[PID]],0)))</f>
        <v>5</v>
      </c>
      <c r="P1278" s="56">
        <f>IF($C1278="B",INDEX(Batters[[#All],[K P]],MATCH(Table5[[#This Row],[PID]],Batters[[#All],[PID]],0)),INDEX(Table3[[#All],[STM]],MATCH(Table5[[#This Row],[PID]],Table3[[#All],[PID]],0)))</f>
        <v>3</v>
      </c>
      <c r="Q1278" s="61">
        <f>IF($C1278="B",INDEX(Batters[[#All],[Tot]],MATCH(Table5[[#This Row],[PID]],Batters[[#All],[PID]],0)),INDEX(Table3[[#All],[Tot]],MATCH(Table5[[#This Row],[PID]],Table3[[#All],[PID]],0)))</f>
        <v>38.036124189089286</v>
      </c>
      <c r="R1278" s="70">
        <f>IF($C1278="B",INDEX(Batters[[#All],[zScore]],MATCH(Table5[[#This Row],[PID]],Batters[[#All],[PID]],0)),INDEX(Table3[[#All],[zScore]],MATCH(Table5[[#This Row],[PID]],Table3[[#All],[PID]],0)))</f>
        <v>-1.3514835074541225</v>
      </c>
      <c r="S1278" s="79" t="str">
        <f>IF($C1278="B",INDEX(Batters[[#All],[DEM]],MATCH(Table5[[#This Row],[PID]],Batters[[#All],[PID]],0)),INDEX(Table3[[#All],[DEM]],MATCH(Table5[[#This Row],[PID]],Table3[[#All],[PID]],0)))</f>
        <v>$65k</v>
      </c>
      <c r="T1278" s="62">
        <f>IF($C1278="B",INDEX(Batters[[#All],[Rnk]],MATCH(Table5[[#This Row],[PID]],Batters[[#All],[PID]],0)),INDEX(Table3[[#All],[Rnk]],MATCH(Table5[[#This Row],[PID]],Table3[[#All],[PID]],0)))</f>
        <v>501</v>
      </c>
      <c r="U1278" s="68">
        <f>IF($C1278="B",VLOOKUP($A1278,Bat!$A$4:$BA$1621,47,FALSE),VLOOKUP($A1278,Pit!$A$4:$BF$1557,56,FALSE))</f>
        <v>0</v>
      </c>
      <c r="V1278" s="50">
        <f>IF($C1278="B",VLOOKUP($A1278,Bat!$A$4:$BA$1621,48,FALSE),VLOOKUP($A1278,Pit!$A$4:$BF$1557,57,FALSE))</f>
        <v>0</v>
      </c>
      <c r="W1278" s="50">
        <f>Table5[[#This Row],[posRnk]]+Table5[[#This Row],[zRnk]]+IF($W$3&lt;&gt;Table5[[#This Row],[Type]],50,0)</f>
        <v>1812</v>
      </c>
      <c r="X1278" s="51">
        <f>RANK(Table5[[#This Row],[zScore]],Table5[[#All],[zScore]])</f>
        <v>1261</v>
      </c>
      <c r="Y1278" s="50" t="str">
        <f>IFERROR(INDEX(DraftResults[[#All],[OVR]],MATCH(Table5[[#This Row],[PID]],DraftResults[[#All],[Player ID]],0)),"")</f>
        <v/>
      </c>
      <c r="Z12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8" s="50" t="str">
        <f>IFERROR(INDEX(DraftResults[[#All],[Pick in Round]],MATCH(Table5[[#This Row],[PID]],DraftResults[[#All],[Player ID]],0)),"")</f>
        <v/>
      </c>
      <c r="AB1278" s="50" t="str">
        <f>IFERROR(INDEX(DraftResults[[#All],[Team Name]],MATCH(Table5[[#This Row],[PID]],DraftResults[[#All],[Player ID]],0)),"")</f>
        <v/>
      </c>
      <c r="AC1278" s="50" t="str">
        <f>IF(Table5[[#This Row],[Ovr]]="","",IF(Table5[[#This Row],[cmbList]]="","",Table5[[#This Row],[cmbList]]-Table5[[#This Row],[Ovr]]))</f>
        <v/>
      </c>
      <c r="AD1278" s="54" t="str">
        <f>IF(ISERROR(VLOOKUP($AB1278&amp;"-"&amp;$E1278&amp;" "&amp;F1278,Bonuses!$B$1:$G$1006,4,FALSE)),"",INT(VLOOKUP($AB1278&amp;"-"&amp;$E1278&amp;" "&amp;$F1278,Bonuses!$B$1:$G$1006,4,FALSE)))</f>
        <v/>
      </c>
      <c r="AE12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79" spans="1:31" x14ac:dyDescent="0.25">
      <c r="A1279" s="50">
        <v>7285</v>
      </c>
      <c r="B1279" s="50">
        <f>COUNTIF(Table5[PID],A1279)</f>
        <v>1</v>
      </c>
      <c r="C1279" s="50" t="str">
        <f>IF(COUNTIF(Table3[[#All],[PID]],A1279)&gt;0,"P","B")</f>
        <v>B</v>
      </c>
      <c r="D1279" s="59" t="str">
        <f>IF($C1279="B",INDEX(Batters[[#All],[POS]],MATCH(Table5[[#This Row],[PID]],Batters[[#All],[PID]],0)),INDEX(Table3[[#All],[POS]],MATCH(Table5[[#This Row],[PID]],Table3[[#All],[PID]],0)))</f>
        <v>C</v>
      </c>
      <c r="E1279" s="52" t="str">
        <f>IF($C1279="B",INDEX(Batters[[#All],[First]],MATCH(Table5[[#This Row],[PID]],Batters[[#All],[PID]],0)),INDEX(Table3[[#All],[First]],MATCH(Table5[[#This Row],[PID]],Table3[[#All],[PID]],0)))</f>
        <v>Yoshimatsu</v>
      </c>
      <c r="F1279" s="50" t="str">
        <f>IF($C1279="B",INDEX(Batters[[#All],[Last]],MATCH(A1279,Batters[[#All],[PID]],0)),INDEX(Table3[[#All],[Last]],MATCH(A1279,Table3[[#All],[PID]],0)))</f>
        <v>Yoshikawa</v>
      </c>
      <c r="G1279" s="56">
        <f>IF($C1279="B",INDEX(Batters[[#All],[Age]],MATCH(Table5[[#This Row],[PID]],Batters[[#All],[PID]],0)),INDEX(Table3[[#All],[Age]],MATCH(Table5[[#This Row],[PID]],Table3[[#All],[PID]],0)))</f>
        <v>22</v>
      </c>
      <c r="H1279" s="52" t="str">
        <f>IF($C1279="B",INDEX(Batters[[#All],[B]],MATCH(Table5[[#This Row],[PID]],Batters[[#All],[PID]],0)),INDEX(Table3[[#All],[B]],MATCH(Table5[[#This Row],[PID]],Table3[[#All],[PID]],0)))</f>
        <v>R</v>
      </c>
      <c r="I1279" s="70" t="str">
        <f>IF($C1279="B",INDEX(Batters[[#All],[T]],MATCH(Table5[[#This Row],[PID]],Batters[[#All],[PID]],0)),INDEX(Table3[[#All],[T]],MATCH(Table5[[#This Row],[PID]],Table3[[#All],[PID]],0)))</f>
        <v>R</v>
      </c>
      <c r="J1279" s="52" t="str">
        <f>IF($C1279="B",INDEX(Batters[[#All],[WE]],MATCH(Table5[[#This Row],[PID]],Batters[[#All],[PID]],0)),INDEX(Table3[[#All],[WE]],MATCH(Table5[[#This Row],[PID]],Table3[[#All],[PID]],0)))</f>
        <v>Low</v>
      </c>
      <c r="K1279" s="52" t="str">
        <f>IF($C1279="B",INDEX(Batters[[#All],[INT]],MATCH(Table5[[#This Row],[PID]],Batters[[#All],[PID]],0)),INDEX(Table3[[#All],[INT]],MATCH(Table5[[#This Row],[PID]],Table3[[#All],[PID]],0)))</f>
        <v>Normal</v>
      </c>
      <c r="L1279" s="60">
        <f>IF($C1279="B",INDEX(Batters[[#All],[CON P]],MATCH(Table5[[#This Row],[PID]],Batters[[#All],[PID]],0)),INDEX(Table3[[#All],[STU P]],MATCH(Table5[[#This Row],[PID]],Table3[[#All],[PID]],0)))</f>
        <v>3</v>
      </c>
      <c r="M1279" s="56">
        <f>IF($C1279="B",INDEX(Batters[[#All],[GAP P]],MATCH(Table5[[#This Row],[PID]],Batters[[#All],[PID]],0)),INDEX(Table3[[#All],[MOV P]],MATCH(Table5[[#This Row],[PID]],Table3[[#All],[PID]],0)))</f>
        <v>4</v>
      </c>
      <c r="N1279" s="56">
        <f>IF($C1279="B",INDEX(Batters[[#All],[POW P]],MATCH(Table5[[#This Row],[PID]],Batters[[#All],[PID]],0)),INDEX(Table3[[#All],[CON P]],MATCH(Table5[[#This Row],[PID]],Table3[[#All],[PID]],0)))</f>
        <v>4</v>
      </c>
      <c r="O1279" s="56">
        <f>IF($C1279="B",INDEX(Batters[[#All],[EYE P]],MATCH(Table5[[#This Row],[PID]],Batters[[#All],[PID]],0)),INDEX(Table3[[#All],[VELO]],MATCH(Table5[[#This Row],[PID]],Table3[[#All],[PID]],0)))</f>
        <v>6</v>
      </c>
      <c r="P1279" s="56">
        <f>IF($C1279="B",INDEX(Batters[[#All],[K P]],MATCH(Table5[[#This Row],[PID]],Batters[[#All],[PID]],0)),INDEX(Table3[[#All],[STM]],MATCH(Table5[[#This Row],[PID]],Table3[[#All],[PID]],0)))</f>
        <v>2</v>
      </c>
      <c r="Q1279" s="61">
        <f>IF($C1279="B",INDEX(Batters[[#All],[Tot]],MATCH(Table5[[#This Row],[PID]],Batters[[#All],[PID]],0)),INDEX(Table3[[#All],[Tot]],MATCH(Table5[[#This Row],[PID]],Table3[[#All],[PID]],0)))</f>
        <v>38.020299881181096</v>
      </c>
      <c r="R1279" s="70">
        <f>IF($C1279="B",INDEX(Batters[[#All],[zScore]],MATCH(Table5[[#This Row],[PID]],Batters[[#All],[PID]],0)),INDEX(Table3[[#All],[zScore]],MATCH(Table5[[#This Row],[PID]],Table3[[#All],[PID]],0)))</f>
        <v>-1.3549918634797626</v>
      </c>
      <c r="S1279" s="79" t="str">
        <f>IF($C1279="B",INDEX(Batters[[#All],[DEM]],MATCH(Table5[[#This Row],[PID]],Batters[[#All],[PID]],0)),INDEX(Table3[[#All],[DEM]],MATCH(Table5[[#This Row],[PID]],Table3[[#All],[PID]],0)))</f>
        <v>-</v>
      </c>
      <c r="T1279" s="62">
        <f>IF($C1279="B",INDEX(Batters[[#All],[Rnk]],MATCH(Table5[[#This Row],[PID]],Batters[[#All],[PID]],0)),INDEX(Table3[[#All],[Rnk]],MATCH(Table5[[#This Row],[PID]],Table3[[#All],[PID]],0)))</f>
        <v>502</v>
      </c>
      <c r="U1279" s="68">
        <f>IF($C1279="B",VLOOKUP($A1279,Bat!$A$4:$BA$1621,47,FALSE),VLOOKUP($A1279,Pit!$A$4:$BF$1557,56,FALSE))</f>
        <v>0</v>
      </c>
      <c r="V1279" s="50">
        <f>IF($C1279="B",VLOOKUP($A1279,Bat!$A$4:$BA$1621,48,FALSE),VLOOKUP($A1279,Pit!$A$4:$BF$1557,57,FALSE))</f>
        <v>0</v>
      </c>
      <c r="W1279" s="50">
        <f>Table5[[#This Row],[posRnk]]+Table5[[#This Row],[zRnk]]+IF($W$3&lt;&gt;Table5[[#This Row],[Type]],50,0)</f>
        <v>1814</v>
      </c>
      <c r="X1279" s="51">
        <f>RANK(Table5[[#This Row],[zScore]],Table5[[#All],[zScore]])</f>
        <v>1262</v>
      </c>
      <c r="Y1279" s="50" t="str">
        <f>IFERROR(INDEX(DraftResults[[#All],[OVR]],MATCH(Table5[[#This Row],[PID]],DraftResults[[#All],[Player ID]],0)),"")</f>
        <v/>
      </c>
      <c r="Z12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79" s="50" t="str">
        <f>IFERROR(INDEX(DraftResults[[#All],[Pick in Round]],MATCH(Table5[[#This Row],[PID]],DraftResults[[#All],[Player ID]],0)),"")</f>
        <v/>
      </c>
      <c r="AB1279" s="50" t="str">
        <f>IFERROR(INDEX(DraftResults[[#All],[Team Name]],MATCH(Table5[[#This Row],[PID]],DraftResults[[#All],[Player ID]],0)),"")</f>
        <v/>
      </c>
      <c r="AC1279" s="50" t="str">
        <f>IF(Table5[[#This Row],[Ovr]]="","",IF(Table5[[#This Row],[cmbList]]="","",Table5[[#This Row],[cmbList]]-Table5[[#This Row],[Ovr]]))</f>
        <v/>
      </c>
      <c r="AD1279" s="54" t="str">
        <f>IF(ISERROR(VLOOKUP($AB1279&amp;"-"&amp;$E1279&amp;" "&amp;F1279,Bonuses!$B$1:$G$1006,4,FALSE)),"",INT(VLOOKUP($AB1279&amp;"-"&amp;$E1279&amp;" "&amp;$F1279,Bonuses!$B$1:$G$1006,4,FALSE)))</f>
        <v/>
      </c>
      <c r="AE12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0" spans="1:31" x14ac:dyDescent="0.25">
      <c r="A1280" s="50">
        <v>18343</v>
      </c>
      <c r="B1280" s="50">
        <f>COUNTIF(Table5[PID],A1280)</f>
        <v>1</v>
      </c>
      <c r="C1280" s="50" t="str">
        <f>IF(COUNTIF(Table3[[#All],[PID]],A1280)&gt;0,"P","B")</f>
        <v>B</v>
      </c>
      <c r="D1280" s="59" t="str">
        <f>IF($C1280="B",INDEX(Batters[[#All],[POS]],MATCH(Table5[[#This Row],[PID]],Batters[[#All],[PID]],0)),INDEX(Table3[[#All],[POS]],MATCH(Table5[[#This Row],[PID]],Table3[[#All],[PID]],0)))</f>
        <v>2B</v>
      </c>
      <c r="E1280" s="52" t="str">
        <f>IF($C1280="B",INDEX(Batters[[#All],[First]],MATCH(Table5[[#This Row],[PID]],Batters[[#All],[PID]],0)),INDEX(Table3[[#All],[First]],MATCH(Table5[[#This Row],[PID]],Table3[[#All],[PID]],0)))</f>
        <v>Akke</v>
      </c>
      <c r="F1280" s="50" t="str">
        <f>IF($C1280="B",INDEX(Batters[[#All],[Last]],MATCH(A1280,Batters[[#All],[PID]],0)),INDEX(Table3[[#All],[Last]],MATCH(A1280,Table3[[#All],[PID]],0)))</f>
        <v>Markus</v>
      </c>
      <c r="G1280" s="56">
        <f>IF($C1280="B",INDEX(Batters[[#All],[Age]],MATCH(Table5[[#This Row],[PID]],Batters[[#All],[PID]],0)),INDEX(Table3[[#All],[Age]],MATCH(Table5[[#This Row],[PID]],Table3[[#All],[PID]],0)))</f>
        <v>18</v>
      </c>
      <c r="H1280" s="52" t="str">
        <f>IF($C1280="B",INDEX(Batters[[#All],[B]],MATCH(Table5[[#This Row],[PID]],Batters[[#All],[PID]],0)),INDEX(Table3[[#All],[B]],MATCH(Table5[[#This Row],[PID]],Table3[[#All],[PID]],0)))</f>
        <v>S</v>
      </c>
      <c r="I1280" s="70" t="str">
        <f>IF($C1280="B",INDEX(Batters[[#All],[T]],MATCH(Table5[[#This Row],[PID]],Batters[[#All],[PID]],0)),INDEX(Table3[[#All],[T]],MATCH(Table5[[#This Row],[PID]],Table3[[#All],[PID]],0)))</f>
        <v>R</v>
      </c>
      <c r="J1280" s="52" t="str">
        <f>IF($C1280="B",INDEX(Batters[[#All],[WE]],MATCH(Table5[[#This Row],[PID]],Batters[[#All],[PID]],0)),INDEX(Table3[[#All],[WE]],MATCH(Table5[[#This Row],[PID]],Table3[[#All],[PID]],0)))</f>
        <v>Normal</v>
      </c>
      <c r="K1280" s="52" t="str">
        <f>IF($C1280="B",INDEX(Batters[[#All],[INT]],MATCH(Table5[[#This Row],[PID]],Batters[[#All],[PID]],0)),INDEX(Table3[[#All],[INT]],MATCH(Table5[[#This Row],[PID]],Table3[[#All],[PID]],0)))</f>
        <v>Normal</v>
      </c>
      <c r="L1280" s="60">
        <f>IF($C1280="B",INDEX(Batters[[#All],[CON P]],MATCH(Table5[[#This Row],[PID]],Batters[[#All],[PID]],0)),INDEX(Table3[[#All],[STU P]],MATCH(Table5[[#This Row],[PID]],Table3[[#All],[PID]],0)))</f>
        <v>2</v>
      </c>
      <c r="M1280" s="56">
        <f>IF($C1280="B",INDEX(Batters[[#All],[GAP P]],MATCH(Table5[[#This Row],[PID]],Batters[[#All],[PID]],0)),INDEX(Table3[[#All],[MOV P]],MATCH(Table5[[#This Row],[PID]],Table3[[#All],[PID]],0)))</f>
        <v>4</v>
      </c>
      <c r="N1280" s="56">
        <f>IF($C1280="B",INDEX(Batters[[#All],[POW P]],MATCH(Table5[[#This Row],[PID]],Batters[[#All],[PID]],0)),INDEX(Table3[[#All],[CON P]],MATCH(Table5[[#This Row],[PID]],Table3[[#All],[PID]],0)))</f>
        <v>2</v>
      </c>
      <c r="O1280" s="56">
        <f>IF($C1280="B",INDEX(Batters[[#All],[EYE P]],MATCH(Table5[[#This Row],[PID]],Batters[[#All],[PID]],0)),INDEX(Table3[[#All],[VELO]],MATCH(Table5[[#This Row],[PID]],Table3[[#All],[PID]],0)))</f>
        <v>6</v>
      </c>
      <c r="P1280" s="56">
        <f>IF($C1280="B",INDEX(Batters[[#All],[K P]],MATCH(Table5[[#This Row],[PID]],Batters[[#All],[PID]],0)),INDEX(Table3[[#All],[STM]],MATCH(Table5[[#This Row],[PID]],Table3[[#All],[PID]],0)))</f>
        <v>3</v>
      </c>
      <c r="Q1280" s="61">
        <f>IF($C1280="B",INDEX(Batters[[#All],[Tot]],MATCH(Table5[[#This Row],[PID]],Batters[[#All],[PID]],0)),INDEX(Table3[[#All],[Tot]],MATCH(Table5[[#This Row],[PID]],Table3[[#All],[PID]],0)))</f>
        <v>38.017024011295369</v>
      </c>
      <c r="R1280" s="70">
        <f>IF($C1280="B",INDEX(Batters[[#All],[zScore]],MATCH(Table5[[#This Row],[PID]],Batters[[#All],[PID]],0)),INDEX(Table3[[#All],[zScore]],MATCH(Table5[[#This Row],[PID]],Table3[[#All],[PID]],0)))</f>
        <v>-1.3557181459762537</v>
      </c>
      <c r="S1280" s="79" t="str">
        <f>IF($C1280="B",INDEX(Batters[[#All],[DEM]],MATCH(Table5[[#This Row],[PID]],Batters[[#All],[PID]],0)),INDEX(Table3[[#All],[DEM]],MATCH(Table5[[#This Row],[PID]],Table3[[#All],[PID]],0)))</f>
        <v>$65k</v>
      </c>
      <c r="T1280" s="62">
        <f>IF($C1280="B",INDEX(Batters[[#All],[Rnk]],MATCH(Table5[[#This Row],[PID]],Batters[[#All],[PID]],0)),INDEX(Table3[[#All],[Rnk]],MATCH(Table5[[#This Row],[PID]],Table3[[#All],[PID]],0)))</f>
        <v>503</v>
      </c>
      <c r="U1280" s="68">
        <f>IF($C1280="B",VLOOKUP($A1280,Bat!$A$4:$BA$1621,47,FALSE),VLOOKUP($A1280,Pit!$A$4:$BF$1557,56,FALSE))</f>
        <v>0</v>
      </c>
      <c r="V1280" s="50">
        <f>IF($C1280="B",VLOOKUP($A1280,Bat!$A$4:$BA$1621,48,FALSE),VLOOKUP($A1280,Pit!$A$4:$BF$1557,57,FALSE))</f>
        <v>0</v>
      </c>
      <c r="W1280" s="50">
        <f>Table5[[#This Row],[posRnk]]+Table5[[#This Row],[zRnk]]+IF($W$3&lt;&gt;Table5[[#This Row],[Type]],50,0)</f>
        <v>1816</v>
      </c>
      <c r="X1280" s="51">
        <f>RANK(Table5[[#This Row],[zScore]],Table5[[#All],[zScore]])</f>
        <v>1263</v>
      </c>
      <c r="Y1280" s="50" t="str">
        <f>IFERROR(INDEX(DraftResults[[#All],[OVR]],MATCH(Table5[[#This Row],[PID]],DraftResults[[#All],[Player ID]],0)),"")</f>
        <v/>
      </c>
      <c r="Z12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0" s="50" t="str">
        <f>IFERROR(INDEX(DraftResults[[#All],[Pick in Round]],MATCH(Table5[[#This Row],[PID]],DraftResults[[#All],[Player ID]],0)),"")</f>
        <v/>
      </c>
      <c r="AB1280" s="50" t="str">
        <f>IFERROR(INDEX(DraftResults[[#All],[Team Name]],MATCH(Table5[[#This Row],[PID]],DraftResults[[#All],[Player ID]],0)),"")</f>
        <v/>
      </c>
      <c r="AC1280" s="50" t="str">
        <f>IF(Table5[[#This Row],[Ovr]]="","",IF(Table5[[#This Row],[cmbList]]="","",Table5[[#This Row],[cmbList]]-Table5[[#This Row],[Ovr]]))</f>
        <v/>
      </c>
      <c r="AD1280" s="54" t="str">
        <f>IF(ISERROR(VLOOKUP($AB1280&amp;"-"&amp;$E1280&amp;" "&amp;F1280,Bonuses!$B$1:$G$1006,4,FALSE)),"",INT(VLOOKUP($AB1280&amp;"-"&amp;$E1280&amp;" "&amp;$F1280,Bonuses!$B$1:$G$1006,4,FALSE)))</f>
        <v/>
      </c>
      <c r="AE12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1" spans="1:31" x14ac:dyDescent="0.25">
      <c r="A1281" s="68">
        <v>17980</v>
      </c>
      <c r="B1281" s="69">
        <f>COUNTIF(Table5[PID],A1281)</f>
        <v>1</v>
      </c>
      <c r="C1281" s="69" t="str">
        <f>IF(COUNTIF(Table3[[#All],[PID]],A1281)&gt;0,"P","B")</f>
        <v>P</v>
      </c>
      <c r="D1281" s="59" t="str">
        <f>IF($C1281="B",INDEX(Batters[[#All],[POS]],MATCH(Table5[[#This Row],[PID]],Batters[[#All],[PID]],0)),INDEX(Table3[[#All],[POS]],MATCH(Table5[[#This Row],[PID]],Table3[[#All],[PID]],0)))</f>
        <v>RP</v>
      </c>
      <c r="E1281" s="52" t="str">
        <f>IF($C1281="B",INDEX(Batters[[#All],[First]],MATCH(Table5[[#This Row],[PID]],Batters[[#All],[PID]],0)),INDEX(Table3[[#All],[First]],MATCH(Table5[[#This Row],[PID]],Table3[[#All],[PID]],0)))</f>
        <v>José</v>
      </c>
      <c r="F1281" s="55" t="str">
        <f>IF($C1281="B",INDEX(Batters[[#All],[Last]],MATCH(A1281,Batters[[#All],[PID]],0)),INDEX(Table3[[#All],[Last]],MATCH(A1281,Table3[[#All],[PID]],0)))</f>
        <v>Rincón</v>
      </c>
      <c r="G1281" s="56">
        <f>IF($C1281="B",INDEX(Batters[[#All],[Age]],MATCH(Table5[[#This Row],[PID]],Batters[[#All],[PID]],0)),INDEX(Table3[[#All],[Age]],MATCH(Table5[[#This Row],[PID]],Table3[[#All],[PID]],0)))</f>
        <v>21</v>
      </c>
      <c r="H1281" s="52" t="str">
        <f>IF($C1281="B",INDEX(Batters[[#All],[B]],MATCH(Table5[[#This Row],[PID]],Batters[[#All],[PID]],0)),INDEX(Table3[[#All],[B]],MATCH(Table5[[#This Row],[PID]],Table3[[#All],[PID]],0)))</f>
        <v>R</v>
      </c>
      <c r="I1281" s="70" t="str">
        <f>IF($C1281="B",INDEX(Batters[[#All],[T]],MATCH(Table5[[#This Row],[PID]],Batters[[#All],[PID]],0)),INDEX(Table3[[#All],[T]],MATCH(Table5[[#This Row],[PID]],Table3[[#All],[PID]],0)))</f>
        <v>R</v>
      </c>
      <c r="J1281" s="71" t="str">
        <f>IF($C1281="B",INDEX(Batters[[#All],[WE]],MATCH(Table5[[#This Row],[PID]],Batters[[#All],[PID]],0)),INDEX(Table3[[#All],[WE]],MATCH(Table5[[#This Row],[PID]],Table3[[#All],[PID]],0)))</f>
        <v>Normal</v>
      </c>
      <c r="K1281" s="52" t="str">
        <f>IF($C1281="B",INDEX(Batters[[#All],[INT]],MATCH(Table5[[#This Row],[PID]],Batters[[#All],[PID]],0)),INDEX(Table3[[#All],[INT]],MATCH(Table5[[#This Row],[PID]],Table3[[#All],[PID]],0)))</f>
        <v>Normal</v>
      </c>
      <c r="L1281" s="60">
        <f>IF($C1281="B",INDEX(Batters[[#All],[CON P]],MATCH(Table5[[#This Row],[PID]],Batters[[#All],[PID]],0)),INDEX(Table3[[#All],[STU P]],MATCH(Table5[[#This Row],[PID]],Table3[[#All],[PID]],0)))</f>
        <v>4</v>
      </c>
      <c r="M1281" s="72">
        <f>IF($C1281="B",INDEX(Batters[[#All],[GAP P]],MATCH(Table5[[#This Row],[PID]],Batters[[#All],[PID]],0)),INDEX(Table3[[#All],[MOV P]],MATCH(Table5[[#This Row],[PID]],Table3[[#All],[PID]],0)))</f>
        <v>1</v>
      </c>
      <c r="N1281" s="72">
        <f>IF($C1281="B",INDEX(Batters[[#All],[POW P]],MATCH(Table5[[#This Row],[PID]],Batters[[#All],[PID]],0)),INDEX(Table3[[#All],[CON P]],MATCH(Table5[[#This Row],[PID]],Table3[[#All],[PID]],0)))</f>
        <v>1</v>
      </c>
      <c r="O1281" s="72" t="str">
        <f>IF($C1281="B",INDEX(Batters[[#All],[EYE P]],MATCH(Table5[[#This Row],[PID]],Batters[[#All],[PID]],0)),INDEX(Table3[[#All],[VELO]],MATCH(Table5[[#This Row],[PID]],Table3[[#All],[PID]],0)))</f>
        <v>89-91 Mph</v>
      </c>
      <c r="P1281" s="56">
        <f>IF($C1281="B",INDEX(Batters[[#All],[K P]],MATCH(Table5[[#This Row],[PID]],Batters[[#All],[PID]],0)),INDEX(Table3[[#All],[STM]],MATCH(Table5[[#This Row],[PID]],Table3[[#All],[PID]],0)))</f>
        <v>5</v>
      </c>
      <c r="Q1281" s="61">
        <f>IF($C1281="B",INDEX(Batters[[#All],[Tot]],MATCH(Table5[[#This Row],[PID]],Batters[[#All],[PID]],0)),INDEX(Table3[[#All],[Tot]],MATCH(Table5[[#This Row],[PID]],Table3[[#All],[PID]],0)))</f>
        <v>15.371322864666986</v>
      </c>
      <c r="R1281" s="70">
        <f>IF($C1281="B",INDEX(Batters[[#All],[zScore]],MATCH(Table5[[#This Row],[PID]],Batters[[#All],[PID]],0)),INDEX(Table3[[#All],[zScore]],MATCH(Table5[[#This Row],[PID]],Table3[[#All],[PID]],0)))</f>
        <v>-1.3637806624409214</v>
      </c>
      <c r="S1281" s="74" t="str">
        <f>IF($C1281="B",INDEX(Batters[[#All],[DEM]],MATCH(Table5[[#This Row],[PID]],Batters[[#All],[PID]],0)),INDEX(Table3[[#All],[DEM]],MATCH(Table5[[#This Row],[PID]],Table3[[#All],[PID]],0)))</f>
        <v>-</v>
      </c>
      <c r="T1281" s="75">
        <f>IF($C1281="B",INDEX(Batters[[#All],[Rnk]],MATCH(Table5[[#This Row],[PID]],Batters[[#All],[PID]],0)),INDEX(Table3[[#All],[Rnk]],MATCH(Table5[[#This Row],[PID]],Table3[[#All],[PID]],0)))</f>
        <v>760</v>
      </c>
      <c r="U1281" s="68">
        <f>IF($C1281="B",VLOOKUP($A1281,Bat!$A$4:$BA$1621,47,FALSE),VLOOKUP($A1281,Pit!$A$4:$BF$1557,56,FALSE))</f>
        <v>0</v>
      </c>
      <c r="V1281" s="50">
        <f>IF($C1281="B",VLOOKUP($A1281,Bat!$A$4:$BA$1621,48,FALSE),VLOOKUP($A1281,Pit!$A$4:$BF$1557,57,FALSE))</f>
        <v>0</v>
      </c>
      <c r="W1281" s="69">
        <f>Table5[[#This Row],[posRnk]]+Table5[[#This Row],[zRnk]]+IF($W$3&lt;&gt;Table5[[#This Row],[Type]],50,0)</f>
        <v>2074</v>
      </c>
      <c r="X1281" s="73">
        <f>RANK(Table5[[#This Row],[zScore]],Table5[[#All],[zScore]])</f>
        <v>1264</v>
      </c>
      <c r="Y1281" s="69" t="str">
        <f>IFERROR(INDEX(DraftResults[[#All],[OVR]],MATCH(Table5[[#This Row],[PID]],DraftResults[[#All],[Player ID]],0)),"")</f>
        <v/>
      </c>
      <c r="Z128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1" s="69" t="str">
        <f>IFERROR(INDEX(DraftResults[[#All],[Pick in Round]],MATCH(Table5[[#This Row],[PID]],DraftResults[[#All],[Player ID]],0)),"")</f>
        <v/>
      </c>
      <c r="AB1281" s="69" t="str">
        <f>IFERROR(INDEX(DraftResults[[#All],[Team Name]],MATCH(Table5[[#This Row],[PID]],DraftResults[[#All],[Player ID]],0)),"")</f>
        <v/>
      </c>
      <c r="AC1281" s="69" t="str">
        <f>IF(Table5[[#This Row],[Ovr]]="","",IF(Table5[[#This Row],[cmbList]]="","",Table5[[#This Row],[cmbList]]-Table5[[#This Row],[Ovr]]))</f>
        <v/>
      </c>
      <c r="AD1281" s="77" t="str">
        <f>IF(ISERROR(VLOOKUP($AB1281&amp;"-"&amp;$E1281&amp;" "&amp;F1281,Bonuses!$B$1:$G$1006,4,FALSE)),"",INT(VLOOKUP($AB1281&amp;"-"&amp;$E1281&amp;" "&amp;$F1281,Bonuses!$B$1:$G$1006,4,FALSE)))</f>
        <v/>
      </c>
      <c r="AE128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2" spans="1:31" x14ac:dyDescent="0.25">
      <c r="A1282" s="50">
        <v>17574</v>
      </c>
      <c r="B1282" s="50">
        <f>COUNTIF(Table5[PID],A1282)</f>
        <v>1</v>
      </c>
      <c r="C1282" s="50" t="str">
        <f>IF(COUNTIF(Table3[[#All],[PID]],A1282)&gt;0,"P","B")</f>
        <v>B</v>
      </c>
      <c r="D1282" s="59" t="str">
        <f>IF($C1282="B",INDEX(Batters[[#All],[POS]],MATCH(Table5[[#This Row],[PID]],Batters[[#All],[PID]],0)),INDEX(Table3[[#All],[POS]],MATCH(Table5[[#This Row],[PID]],Table3[[#All],[PID]],0)))</f>
        <v>C</v>
      </c>
      <c r="E1282" s="52" t="str">
        <f>IF($C1282="B",INDEX(Batters[[#All],[First]],MATCH(Table5[[#This Row],[PID]],Batters[[#All],[PID]],0)),INDEX(Table3[[#All],[First]],MATCH(Table5[[#This Row],[PID]],Table3[[#All],[PID]],0)))</f>
        <v>Dan</v>
      </c>
      <c r="F1282" s="50" t="str">
        <f>IF($C1282="B",INDEX(Batters[[#All],[Last]],MATCH(A1282,Batters[[#All],[PID]],0)),INDEX(Table3[[#All],[Last]],MATCH(A1282,Table3[[#All],[PID]],0)))</f>
        <v>Britton</v>
      </c>
      <c r="G1282" s="56">
        <f>IF($C1282="B",INDEX(Batters[[#All],[Age]],MATCH(Table5[[#This Row],[PID]],Batters[[#All],[PID]],0)),INDEX(Table3[[#All],[Age]],MATCH(Table5[[#This Row],[PID]],Table3[[#All],[PID]],0)))</f>
        <v>18</v>
      </c>
      <c r="H1282" s="52" t="str">
        <f>IF($C1282="B",INDEX(Batters[[#All],[B]],MATCH(Table5[[#This Row],[PID]],Batters[[#All],[PID]],0)),INDEX(Table3[[#All],[B]],MATCH(Table5[[#This Row],[PID]],Table3[[#All],[PID]],0)))</f>
        <v>R</v>
      </c>
      <c r="I1282" s="70" t="str">
        <f>IF($C1282="B",INDEX(Batters[[#All],[T]],MATCH(Table5[[#This Row],[PID]],Batters[[#All],[PID]],0)),INDEX(Table3[[#All],[T]],MATCH(Table5[[#This Row],[PID]],Table3[[#All],[PID]],0)))</f>
        <v>R</v>
      </c>
      <c r="J1282" s="52" t="str">
        <f>IF($C1282="B",INDEX(Batters[[#All],[WE]],MATCH(Table5[[#This Row],[PID]],Batters[[#All],[PID]],0)),INDEX(Table3[[#All],[WE]],MATCH(Table5[[#This Row],[PID]],Table3[[#All],[PID]],0)))</f>
        <v>High</v>
      </c>
      <c r="K1282" s="52" t="str">
        <f>IF($C1282="B",INDEX(Batters[[#All],[INT]],MATCH(Table5[[#This Row],[PID]],Batters[[#All],[PID]],0)),INDEX(Table3[[#All],[INT]],MATCH(Table5[[#This Row],[PID]],Table3[[#All],[PID]],0)))</f>
        <v>Normal</v>
      </c>
      <c r="L1282" s="60">
        <f>IF($C1282="B",INDEX(Batters[[#All],[CON P]],MATCH(Table5[[#This Row],[PID]],Batters[[#All],[PID]],0)),INDEX(Table3[[#All],[STU P]],MATCH(Table5[[#This Row],[PID]],Table3[[#All],[PID]],0)))</f>
        <v>2</v>
      </c>
      <c r="M1282" s="56">
        <f>IF($C1282="B",INDEX(Batters[[#All],[GAP P]],MATCH(Table5[[#This Row],[PID]],Batters[[#All],[PID]],0)),INDEX(Table3[[#All],[MOV P]],MATCH(Table5[[#This Row],[PID]],Table3[[#All],[PID]],0)))</f>
        <v>3</v>
      </c>
      <c r="N1282" s="56">
        <f>IF($C1282="B",INDEX(Batters[[#All],[POW P]],MATCH(Table5[[#This Row],[PID]],Batters[[#All],[PID]],0)),INDEX(Table3[[#All],[CON P]],MATCH(Table5[[#This Row],[PID]],Table3[[#All],[PID]],0)))</f>
        <v>3</v>
      </c>
      <c r="O1282" s="56">
        <f>IF($C1282="B",INDEX(Batters[[#All],[EYE P]],MATCH(Table5[[#This Row],[PID]],Batters[[#All],[PID]],0)),INDEX(Table3[[#All],[VELO]],MATCH(Table5[[#This Row],[PID]],Table3[[#All],[PID]],0)))</f>
        <v>5</v>
      </c>
      <c r="P1282" s="56">
        <f>IF($C1282="B",INDEX(Batters[[#All],[K P]],MATCH(Table5[[#This Row],[PID]],Batters[[#All],[PID]],0)),INDEX(Table3[[#All],[STM]],MATCH(Table5[[#This Row],[PID]],Table3[[#All],[PID]],0)))</f>
        <v>2</v>
      </c>
      <c r="Q1282" s="61">
        <f>IF($C1282="B",INDEX(Batters[[#All],[Tot]],MATCH(Table5[[#This Row],[PID]],Batters[[#All],[PID]],0)),INDEX(Table3[[#All],[Tot]],MATCH(Table5[[#This Row],[PID]],Table3[[#All],[PID]],0)))</f>
        <v>37.963589096608274</v>
      </c>
      <c r="R1282" s="70">
        <f>IF($C1282="B",INDEX(Batters[[#All],[zScore]],MATCH(Table5[[#This Row],[PID]],Batters[[#All],[PID]],0)),INDEX(Table3[[#All],[zScore]],MATCH(Table5[[#This Row],[PID]],Table3[[#All],[PID]],0)))</f>
        <v>-1.3675650277488851</v>
      </c>
      <c r="S1282" s="79" t="str">
        <f>IF($C1282="B",INDEX(Batters[[#All],[DEM]],MATCH(Table5[[#This Row],[PID]],Batters[[#All],[PID]],0)),INDEX(Table3[[#All],[DEM]],MATCH(Table5[[#This Row],[PID]],Table3[[#All],[PID]],0)))</f>
        <v>$70k</v>
      </c>
      <c r="T1282" s="62">
        <f>IF($C1282="B",INDEX(Batters[[#All],[Rnk]],MATCH(Table5[[#This Row],[PID]],Batters[[#All],[PID]],0)),INDEX(Table3[[#All],[Rnk]],MATCH(Table5[[#This Row],[PID]],Table3[[#All],[PID]],0)))</f>
        <v>504</v>
      </c>
      <c r="U1282" s="68">
        <f>IF($C1282="B",VLOOKUP($A1282,Bat!$A$4:$BA$1621,47,FALSE),VLOOKUP($A1282,Pit!$A$4:$BF$1557,56,FALSE))</f>
        <v>0</v>
      </c>
      <c r="V1282" s="50">
        <f>IF($C1282="B",VLOOKUP($A1282,Bat!$A$4:$BA$1621,48,FALSE),VLOOKUP($A1282,Pit!$A$4:$BF$1557,57,FALSE))</f>
        <v>0</v>
      </c>
      <c r="W1282" s="50">
        <f>Table5[[#This Row],[posRnk]]+Table5[[#This Row],[zRnk]]+IF($W$3&lt;&gt;Table5[[#This Row],[Type]],50,0)</f>
        <v>1819</v>
      </c>
      <c r="X1282" s="51">
        <f>RANK(Table5[[#This Row],[zScore]],Table5[[#All],[zScore]])</f>
        <v>1265</v>
      </c>
      <c r="Y1282" s="50" t="str">
        <f>IFERROR(INDEX(DraftResults[[#All],[OVR]],MATCH(Table5[[#This Row],[PID]],DraftResults[[#All],[Player ID]],0)),"")</f>
        <v/>
      </c>
      <c r="Z12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2" s="50" t="str">
        <f>IFERROR(INDEX(DraftResults[[#All],[Pick in Round]],MATCH(Table5[[#This Row],[PID]],DraftResults[[#All],[Player ID]],0)),"")</f>
        <v/>
      </c>
      <c r="AB1282" s="50" t="str">
        <f>IFERROR(INDEX(DraftResults[[#All],[Team Name]],MATCH(Table5[[#This Row],[PID]],DraftResults[[#All],[Player ID]],0)),"")</f>
        <v/>
      </c>
      <c r="AC1282" s="50" t="str">
        <f>IF(Table5[[#This Row],[Ovr]]="","",IF(Table5[[#This Row],[cmbList]]="","",Table5[[#This Row],[cmbList]]-Table5[[#This Row],[Ovr]]))</f>
        <v/>
      </c>
      <c r="AD1282" s="54" t="str">
        <f>IF(ISERROR(VLOOKUP($AB1282&amp;"-"&amp;$E1282&amp;" "&amp;F1282,Bonuses!$B$1:$G$1006,4,FALSE)),"",INT(VLOOKUP($AB1282&amp;"-"&amp;$E1282&amp;" "&amp;$F1282,Bonuses!$B$1:$G$1006,4,FALSE)))</f>
        <v/>
      </c>
      <c r="AE12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3" spans="1:31" x14ac:dyDescent="0.25">
      <c r="A1283" s="50">
        <v>17046</v>
      </c>
      <c r="B1283" s="50">
        <f>COUNTIF(Table5[PID],A1283)</f>
        <v>1</v>
      </c>
      <c r="C1283" s="50" t="str">
        <f>IF(COUNTIF(Table3[[#All],[PID]],A1283)&gt;0,"P","B")</f>
        <v>B</v>
      </c>
      <c r="D1283" s="59" t="str">
        <f>IF($C1283="B",INDEX(Batters[[#All],[POS]],MATCH(Table5[[#This Row],[PID]],Batters[[#All],[PID]],0)),INDEX(Table3[[#All],[POS]],MATCH(Table5[[#This Row],[PID]],Table3[[#All],[PID]],0)))</f>
        <v>C</v>
      </c>
      <c r="E1283" s="52" t="str">
        <f>IF($C1283="B",INDEX(Batters[[#All],[First]],MATCH(Table5[[#This Row],[PID]],Batters[[#All],[PID]],0)),INDEX(Table3[[#All],[First]],MATCH(Table5[[#This Row],[PID]],Table3[[#All],[PID]],0)))</f>
        <v>Iestyn</v>
      </c>
      <c r="F1283" s="50" t="str">
        <f>IF($C1283="B",INDEX(Batters[[#All],[Last]],MATCH(A1283,Batters[[#All],[PID]],0)),INDEX(Table3[[#All],[Last]],MATCH(A1283,Table3[[#All],[PID]],0)))</f>
        <v>Firkins</v>
      </c>
      <c r="G1283" s="56">
        <f>IF($C1283="B",INDEX(Batters[[#All],[Age]],MATCH(Table5[[#This Row],[PID]],Batters[[#All],[PID]],0)),INDEX(Table3[[#All],[Age]],MATCH(Table5[[#This Row],[PID]],Table3[[#All],[PID]],0)))</f>
        <v>21</v>
      </c>
      <c r="H1283" s="52" t="str">
        <f>IF($C1283="B",INDEX(Batters[[#All],[B]],MATCH(Table5[[#This Row],[PID]],Batters[[#All],[PID]],0)),INDEX(Table3[[#All],[B]],MATCH(Table5[[#This Row],[PID]],Table3[[#All],[PID]],0)))</f>
        <v>R</v>
      </c>
      <c r="I1283" s="70" t="str">
        <f>IF($C1283="B",INDEX(Batters[[#All],[T]],MATCH(Table5[[#This Row],[PID]],Batters[[#All],[PID]],0)),INDEX(Table3[[#All],[T]],MATCH(Table5[[#This Row],[PID]],Table3[[#All],[PID]],0)))</f>
        <v>R</v>
      </c>
      <c r="J1283" s="52" t="str">
        <f>IF($C1283="B",INDEX(Batters[[#All],[WE]],MATCH(Table5[[#This Row],[PID]],Batters[[#All],[PID]],0)),INDEX(Table3[[#All],[WE]],MATCH(Table5[[#This Row],[PID]],Table3[[#All],[PID]],0)))</f>
        <v>Normal</v>
      </c>
      <c r="K1283" s="52" t="str">
        <f>IF($C1283="B",INDEX(Batters[[#All],[INT]],MATCH(Table5[[#This Row],[PID]],Batters[[#All],[PID]],0)),INDEX(Table3[[#All],[INT]],MATCH(Table5[[#This Row],[PID]],Table3[[#All],[PID]],0)))</f>
        <v>Low</v>
      </c>
      <c r="L1283" s="60">
        <f>IF($C1283="B",INDEX(Batters[[#All],[CON P]],MATCH(Table5[[#This Row],[PID]],Batters[[#All],[PID]],0)),INDEX(Table3[[#All],[STU P]],MATCH(Table5[[#This Row],[PID]],Table3[[#All],[PID]],0)))</f>
        <v>3</v>
      </c>
      <c r="M1283" s="56">
        <f>IF($C1283="B",INDEX(Batters[[#All],[GAP P]],MATCH(Table5[[#This Row],[PID]],Batters[[#All],[PID]],0)),INDEX(Table3[[#All],[MOV P]],MATCH(Table5[[#This Row],[PID]],Table3[[#All],[PID]],0)))</f>
        <v>5</v>
      </c>
      <c r="N1283" s="56">
        <f>IF($C1283="B",INDEX(Batters[[#All],[POW P]],MATCH(Table5[[#This Row],[PID]],Batters[[#All],[PID]],0)),INDEX(Table3[[#All],[CON P]],MATCH(Table5[[#This Row],[PID]],Table3[[#All],[PID]],0)))</f>
        <v>4</v>
      </c>
      <c r="O1283" s="56">
        <f>IF($C1283="B",INDEX(Batters[[#All],[EYE P]],MATCH(Table5[[#This Row],[PID]],Batters[[#All],[PID]],0)),INDEX(Table3[[#All],[VELO]],MATCH(Table5[[#This Row],[PID]],Table3[[#All],[PID]],0)))</f>
        <v>5</v>
      </c>
      <c r="P1283" s="56">
        <f>IF($C1283="B",INDEX(Batters[[#All],[K P]],MATCH(Table5[[#This Row],[PID]],Batters[[#All],[PID]],0)),INDEX(Table3[[#All],[STM]],MATCH(Table5[[#This Row],[PID]],Table3[[#All],[PID]],0)))</f>
        <v>3</v>
      </c>
      <c r="Q1283" s="61">
        <f>IF($C1283="B",INDEX(Batters[[#All],[Tot]],MATCH(Table5[[#This Row],[PID]],Batters[[#All],[PID]],0)),INDEX(Table3[[#All],[Tot]],MATCH(Table5[[#This Row],[PID]],Table3[[#All],[PID]],0)))</f>
        <v>37.959013340346296</v>
      </c>
      <c r="R1283" s="70">
        <f>IF($C1283="B",INDEX(Batters[[#All],[zScore]],MATCH(Table5[[#This Row],[PID]],Batters[[#All],[PID]],0)),INDEX(Table3[[#All],[zScore]],MATCH(Table5[[#This Row],[PID]],Table3[[#All],[PID]],0)))</f>
        <v>-1.3685795038414077</v>
      </c>
      <c r="S1283" s="79" t="str">
        <f>IF($C1283="B",INDEX(Batters[[#All],[DEM]],MATCH(Table5[[#This Row],[PID]],Batters[[#All],[PID]],0)),INDEX(Table3[[#All],[DEM]],MATCH(Table5[[#This Row],[PID]],Table3[[#All],[PID]],0)))</f>
        <v>-</v>
      </c>
      <c r="T1283" s="62">
        <f>IF($C1283="B",INDEX(Batters[[#All],[Rnk]],MATCH(Table5[[#This Row],[PID]],Batters[[#All],[PID]],0)),INDEX(Table3[[#All],[Rnk]],MATCH(Table5[[#This Row],[PID]],Table3[[#All],[PID]],0)))</f>
        <v>505</v>
      </c>
      <c r="U1283" s="68">
        <f>IF($C1283="B",VLOOKUP($A1283,Bat!$A$4:$BA$1621,47,FALSE),VLOOKUP($A1283,Pit!$A$4:$BF$1557,56,FALSE))</f>
        <v>0</v>
      </c>
      <c r="V1283" s="50">
        <f>IF($C1283="B",VLOOKUP($A1283,Bat!$A$4:$BA$1621,48,FALSE),VLOOKUP($A1283,Pit!$A$4:$BF$1557,57,FALSE))</f>
        <v>0</v>
      </c>
      <c r="W1283" s="50">
        <f>Table5[[#This Row],[posRnk]]+Table5[[#This Row],[zRnk]]+IF($W$3&lt;&gt;Table5[[#This Row],[Type]],50,0)</f>
        <v>1821</v>
      </c>
      <c r="X1283" s="51">
        <f>RANK(Table5[[#This Row],[zScore]],Table5[[#All],[zScore]])</f>
        <v>1266</v>
      </c>
      <c r="Y1283" s="50" t="str">
        <f>IFERROR(INDEX(DraftResults[[#All],[OVR]],MATCH(Table5[[#This Row],[PID]],DraftResults[[#All],[Player ID]],0)),"")</f>
        <v/>
      </c>
      <c r="Z12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3" s="50" t="str">
        <f>IFERROR(INDEX(DraftResults[[#All],[Pick in Round]],MATCH(Table5[[#This Row],[PID]],DraftResults[[#All],[Player ID]],0)),"")</f>
        <v/>
      </c>
      <c r="AB1283" s="50" t="str">
        <f>IFERROR(INDEX(DraftResults[[#All],[Team Name]],MATCH(Table5[[#This Row],[PID]],DraftResults[[#All],[Player ID]],0)),"")</f>
        <v/>
      </c>
      <c r="AC1283" s="50" t="str">
        <f>IF(Table5[[#This Row],[Ovr]]="","",IF(Table5[[#This Row],[cmbList]]="","",Table5[[#This Row],[cmbList]]-Table5[[#This Row],[Ovr]]))</f>
        <v/>
      </c>
      <c r="AD1283" s="54" t="str">
        <f>IF(ISERROR(VLOOKUP($AB1283&amp;"-"&amp;$E1283&amp;" "&amp;F1283,Bonuses!$B$1:$G$1006,4,FALSE)),"",INT(VLOOKUP($AB1283&amp;"-"&amp;$E1283&amp;" "&amp;$F1283,Bonuses!$B$1:$G$1006,4,FALSE)))</f>
        <v/>
      </c>
      <c r="AE12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4" spans="1:31" x14ac:dyDescent="0.25">
      <c r="A1284" s="68">
        <v>13870</v>
      </c>
      <c r="B1284" s="69">
        <f>COUNTIF(Table5[PID],A1284)</f>
        <v>1</v>
      </c>
      <c r="C1284" s="69" t="str">
        <f>IF(COUNTIF(Table3[[#All],[PID]],A1284)&gt;0,"P","B")</f>
        <v>P</v>
      </c>
      <c r="D1284" s="59" t="str">
        <f>IF($C1284="B",INDEX(Batters[[#All],[POS]],MATCH(Table5[[#This Row],[PID]],Batters[[#All],[PID]],0)),INDEX(Table3[[#All],[POS]],MATCH(Table5[[#This Row],[PID]],Table3[[#All],[PID]],0)))</f>
        <v>RP</v>
      </c>
      <c r="E1284" s="52" t="str">
        <f>IF($C1284="B",INDEX(Batters[[#All],[First]],MATCH(Table5[[#This Row],[PID]],Batters[[#All],[PID]],0)),INDEX(Table3[[#All],[First]],MATCH(Table5[[#This Row],[PID]],Table3[[#All],[PID]],0)))</f>
        <v>Aaron</v>
      </c>
      <c r="F1284" s="55" t="str">
        <f>IF($C1284="B",INDEX(Batters[[#All],[Last]],MATCH(A1284,Batters[[#All],[PID]],0)),INDEX(Table3[[#All],[Last]],MATCH(A1284,Table3[[#All],[PID]],0)))</f>
        <v>Robertson</v>
      </c>
      <c r="G1284" s="56">
        <f>IF($C1284="B",INDEX(Batters[[#All],[Age]],MATCH(Table5[[#This Row],[PID]],Batters[[#All],[PID]],0)),INDEX(Table3[[#All],[Age]],MATCH(Table5[[#This Row],[PID]],Table3[[#All],[PID]],0)))</f>
        <v>21</v>
      </c>
      <c r="H1284" s="52" t="str">
        <f>IF($C1284="B",INDEX(Batters[[#All],[B]],MATCH(Table5[[#This Row],[PID]],Batters[[#All],[PID]],0)),INDEX(Table3[[#All],[B]],MATCH(Table5[[#This Row],[PID]],Table3[[#All],[PID]],0)))</f>
        <v>R</v>
      </c>
      <c r="I1284" s="70" t="str">
        <f>IF($C1284="B",INDEX(Batters[[#All],[T]],MATCH(Table5[[#This Row],[PID]],Batters[[#All],[PID]],0)),INDEX(Table3[[#All],[T]],MATCH(Table5[[#This Row],[PID]],Table3[[#All],[PID]],0)))</f>
        <v>R</v>
      </c>
      <c r="J1284" s="71" t="str">
        <f>IF($C1284="B",INDEX(Batters[[#All],[WE]],MATCH(Table5[[#This Row],[PID]],Batters[[#All],[PID]],0)),INDEX(Table3[[#All],[WE]],MATCH(Table5[[#This Row],[PID]],Table3[[#All],[PID]],0)))</f>
        <v>Low</v>
      </c>
      <c r="K1284" s="52" t="str">
        <f>IF($C1284="B",INDEX(Batters[[#All],[INT]],MATCH(Table5[[#This Row],[PID]],Batters[[#All],[PID]],0)),INDEX(Table3[[#All],[INT]],MATCH(Table5[[#This Row],[PID]],Table3[[#All],[PID]],0)))</f>
        <v>Normal</v>
      </c>
      <c r="L1284" s="60">
        <f>IF($C1284="B",INDEX(Batters[[#All],[CON P]],MATCH(Table5[[#This Row],[PID]],Batters[[#All],[PID]],0)),INDEX(Table3[[#All],[STU P]],MATCH(Table5[[#This Row],[PID]],Table3[[#All],[PID]],0)))</f>
        <v>3</v>
      </c>
      <c r="M1284" s="72">
        <f>IF($C1284="B",INDEX(Batters[[#All],[GAP P]],MATCH(Table5[[#This Row],[PID]],Batters[[#All],[PID]],0)),INDEX(Table3[[#All],[MOV P]],MATCH(Table5[[#This Row],[PID]],Table3[[#All],[PID]],0)))</f>
        <v>1</v>
      </c>
      <c r="N1284" s="72">
        <f>IF($C1284="B",INDEX(Batters[[#All],[POW P]],MATCH(Table5[[#This Row],[PID]],Batters[[#All],[PID]],0)),INDEX(Table3[[#All],[CON P]],MATCH(Table5[[#This Row],[PID]],Table3[[#All],[PID]],0)))</f>
        <v>2</v>
      </c>
      <c r="O1284" s="72" t="str">
        <f>IF($C1284="B",INDEX(Batters[[#All],[EYE P]],MATCH(Table5[[#This Row],[PID]],Batters[[#All],[PID]],0)),INDEX(Table3[[#All],[VELO]],MATCH(Table5[[#This Row],[PID]],Table3[[#All],[PID]],0)))</f>
        <v>88-90 Mph</v>
      </c>
      <c r="P1284" s="56">
        <f>IF($C1284="B",INDEX(Batters[[#All],[K P]],MATCH(Table5[[#This Row],[PID]],Batters[[#All],[PID]],0)),INDEX(Table3[[#All],[STM]],MATCH(Table5[[#This Row],[PID]],Table3[[#All],[PID]],0)))</f>
        <v>8</v>
      </c>
      <c r="Q1284" s="61">
        <f>IF($C1284="B",INDEX(Batters[[#All],[Tot]],MATCH(Table5[[#This Row],[PID]],Batters[[#All],[PID]],0)),INDEX(Table3[[#All],[Tot]],MATCH(Table5[[#This Row],[PID]],Table3[[#All],[PID]],0)))</f>
        <v>15.212915974146927</v>
      </c>
      <c r="R1284" s="70">
        <f>IF($C1284="B",INDEX(Batters[[#All],[zScore]],MATCH(Table5[[#This Row],[PID]],Batters[[#All],[PID]],0)),INDEX(Table3[[#All],[zScore]],MATCH(Table5[[#This Row],[PID]],Table3[[#All],[PID]],0)))</f>
        <v>-1.3743192308042509</v>
      </c>
      <c r="S1284" s="74" t="str">
        <f>IF($C1284="B",INDEX(Batters[[#All],[DEM]],MATCH(Table5[[#This Row],[PID]],Batters[[#All],[PID]],0)),INDEX(Table3[[#All],[DEM]],MATCH(Table5[[#This Row],[PID]],Table3[[#All],[PID]],0)))</f>
        <v>-</v>
      </c>
      <c r="T1284" s="75">
        <f>IF($C1284="B",INDEX(Batters[[#All],[Rnk]],MATCH(Table5[[#This Row],[PID]],Batters[[#All],[PID]],0)),INDEX(Table3[[#All],[Rnk]],MATCH(Table5[[#This Row],[PID]],Table3[[#All],[PID]],0)))</f>
        <v>761</v>
      </c>
      <c r="U1284" s="68">
        <f>IF($C1284="B",VLOOKUP($A1284,Bat!$A$4:$BA$1621,47,FALSE),VLOOKUP($A1284,Pit!$A$4:$BF$1557,56,FALSE))</f>
        <v>0</v>
      </c>
      <c r="V1284" s="50">
        <f>IF($C1284="B",VLOOKUP($A1284,Bat!$A$4:$BA$1621,48,FALSE),VLOOKUP($A1284,Pit!$A$4:$BF$1557,57,FALSE))</f>
        <v>0</v>
      </c>
      <c r="W1284" s="69">
        <f>Table5[[#This Row],[posRnk]]+Table5[[#This Row],[zRnk]]+IF($W$3&lt;&gt;Table5[[#This Row],[Type]],50,0)</f>
        <v>2078</v>
      </c>
      <c r="X1284" s="73">
        <f>RANK(Table5[[#This Row],[zScore]],Table5[[#All],[zScore]])</f>
        <v>1267</v>
      </c>
      <c r="Y1284" s="69" t="str">
        <f>IFERROR(INDEX(DraftResults[[#All],[OVR]],MATCH(Table5[[#This Row],[PID]],DraftResults[[#All],[Player ID]],0)),"")</f>
        <v/>
      </c>
      <c r="Z128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4" s="69" t="str">
        <f>IFERROR(INDEX(DraftResults[[#All],[Pick in Round]],MATCH(Table5[[#This Row],[PID]],DraftResults[[#All],[Player ID]],0)),"")</f>
        <v/>
      </c>
      <c r="AB1284" s="69" t="str">
        <f>IFERROR(INDEX(DraftResults[[#All],[Team Name]],MATCH(Table5[[#This Row],[PID]],DraftResults[[#All],[Player ID]],0)),"")</f>
        <v/>
      </c>
      <c r="AC1284" s="69" t="str">
        <f>IF(Table5[[#This Row],[Ovr]]="","",IF(Table5[[#This Row],[cmbList]]="","",Table5[[#This Row],[cmbList]]-Table5[[#This Row],[Ovr]]))</f>
        <v/>
      </c>
      <c r="AD1284" s="77" t="str">
        <f>IF(ISERROR(VLOOKUP($AB1284&amp;"-"&amp;$E1284&amp;" "&amp;F1284,Bonuses!$B$1:$G$1006,4,FALSE)),"",INT(VLOOKUP($AB1284&amp;"-"&amp;$E1284&amp;" "&amp;$F1284,Bonuses!$B$1:$G$1006,4,FALSE)))</f>
        <v/>
      </c>
      <c r="AE128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5" spans="1:31" x14ac:dyDescent="0.25">
      <c r="A1285" s="50">
        <v>17792</v>
      </c>
      <c r="B1285" s="50">
        <f>COUNTIF(Table5[PID],A1285)</f>
        <v>1</v>
      </c>
      <c r="C1285" s="50" t="str">
        <f>IF(COUNTIF(Table3[[#All],[PID]],A1285)&gt;0,"P","B")</f>
        <v>B</v>
      </c>
      <c r="D1285" s="59" t="str">
        <f>IF($C1285="B",INDEX(Batters[[#All],[POS]],MATCH(Table5[[#This Row],[PID]],Batters[[#All],[PID]],0)),INDEX(Table3[[#All],[POS]],MATCH(Table5[[#This Row],[PID]],Table3[[#All],[PID]],0)))</f>
        <v>LF</v>
      </c>
      <c r="E1285" s="52" t="str">
        <f>IF($C1285="B",INDEX(Batters[[#All],[First]],MATCH(Table5[[#This Row],[PID]],Batters[[#All],[PID]],0)),INDEX(Table3[[#All],[First]],MATCH(Table5[[#This Row],[PID]],Table3[[#All],[PID]],0)))</f>
        <v>Toshiharu</v>
      </c>
      <c r="F1285" s="50" t="str">
        <f>IF($C1285="B",INDEX(Batters[[#All],[Last]],MATCH(A1285,Batters[[#All],[PID]],0)),INDEX(Table3[[#All],[Last]],MATCH(A1285,Table3[[#All],[PID]],0)))</f>
        <v>Fujimoto</v>
      </c>
      <c r="G1285" s="56">
        <f>IF($C1285="B",INDEX(Batters[[#All],[Age]],MATCH(Table5[[#This Row],[PID]],Batters[[#All],[PID]],0)),INDEX(Table3[[#All],[Age]],MATCH(Table5[[#This Row],[PID]],Table3[[#All],[PID]],0)))</f>
        <v>21</v>
      </c>
      <c r="H1285" s="52" t="str">
        <f>IF($C1285="B",INDEX(Batters[[#All],[B]],MATCH(Table5[[#This Row],[PID]],Batters[[#All],[PID]],0)),INDEX(Table3[[#All],[B]],MATCH(Table5[[#This Row],[PID]],Table3[[#All],[PID]],0)))</f>
        <v>R</v>
      </c>
      <c r="I1285" s="70" t="str">
        <f>IF($C1285="B",INDEX(Batters[[#All],[T]],MATCH(Table5[[#This Row],[PID]],Batters[[#All],[PID]],0)),INDEX(Table3[[#All],[T]],MATCH(Table5[[#This Row],[PID]],Table3[[#All],[PID]],0)))</f>
        <v>R</v>
      </c>
      <c r="J1285" s="52" t="str">
        <f>IF($C1285="B",INDEX(Batters[[#All],[WE]],MATCH(Table5[[#This Row],[PID]],Batters[[#All],[PID]],0)),INDEX(Table3[[#All],[WE]],MATCH(Table5[[#This Row],[PID]],Table3[[#All],[PID]],0)))</f>
        <v>Low</v>
      </c>
      <c r="K1285" s="52" t="str">
        <f>IF($C1285="B",INDEX(Batters[[#All],[INT]],MATCH(Table5[[#This Row],[PID]],Batters[[#All],[PID]],0)),INDEX(Table3[[#All],[INT]],MATCH(Table5[[#This Row],[PID]],Table3[[#All],[PID]],0)))</f>
        <v>Normal</v>
      </c>
      <c r="L1285" s="60">
        <f>IF($C1285="B",INDEX(Batters[[#All],[CON P]],MATCH(Table5[[#This Row],[PID]],Batters[[#All],[PID]],0)),INDEX(Table3[[#All],[STU P]],MATCH(Table5[[#This Row],[PID]],Table3[[#All],[PID]],0)))</f>
        <v>3</v>
      </c>
      <c r="M1285" s="56">
        <f>IF($C1285="B",INDEX(Batters[[#All],[GAP P]],MATCH(Table5[[#This Row],[PID]],Batters[[#All],[PID]],0)),INDEX(Table3[[#All],[MOV P]],MATCH(Table5[[#This Row],[PID]],Table3[[#All],[PID]],0)))</f>
        <v>5</v>
      </c>
      <c r="N1285" s="56">
        <f>IF($C1285="B",INDEX(Batters[[#All],[POW P]],MATCH(Table5[[#This Row],[PID]],Batters[[#All],[PID]],0)),INDEX(Table3[[#All],[CON P]],MATCH(Table5[[#This Row],[PID]],Table3[[#All],[PID]],0)))</f>
        <v>5</v>
      </c>
      <c r="O1285" s="56">
        <f>IF($C1285="B",INDEX(Batters[[#All],[EYE P]],MATCH(Table5[[#This Row],[PID]],Batters[[#All],[PID]],0)),INDEX(Table3[[#All],[VELO]],MATCH(Table5[[#This Row],[PID]],Table3[[#All],[PID]],0)))</f>
        <v>4</v>
      </c>
      <c r="P1285" s="56">
        <f>IF($C1285="B",INDEX(Batters[[#All],[K P]],MATCH(Table5[[#This Row],[PID]],Batters[[#All],[PID]],0)),INDEX(Table3[[#All],[STM]],MATCH(Table5[[#This Row],[PID]],Table3[[#All],[PID]],0)))</f>
        <v>2</v>
      </c>
      <c r="Q1285" s="61">
        <f>IF($C1285="B",INDEX(Batters[[#All],[Tot]],MATCH(Table5[[#This Row],[PID]],Batters[[#All],[PID]],0)),INDEX(Table3[[#All],[Tot]],MATCH(Table5[[#This Row],[PID]],Table3[[#All],[PID]],0)))</f>
        <v>37.904146578675011</v>
      </c>
      <c r="R1285" s="70">
        <f>IF($C1285="B",INDEX(Batters[[#All],[zScore]],MATCH(Table5[[#This Row],[PID]],Batters[[#All],[PID]],0)),INDEX(Table3[[#All],[zScore]],MATCH(Table5[[#This Row],[PID]],Table3[[#All],[PID]],0)))</f>
        <v>-1.3807438357688215</v>
      </c>
      <c r="S1285" s="79" t="str">
        <f>IF($C1285="B",INDEX(Batters[[#All],[DEM]],MATCH(Table5[[#This Row],[PID]],Batters[[#All],[PID]],0)),INDEX(Table3[[#All],[DEM]],MATCH(Table5[[#This Row],[PID]],Table3[[#All],[PID]],0)))</f>
        <v>-</v>
      </c>
      <c r="T1285" s="62">
        <f>IF($C1285="B",INDEX(Batters[[#All],[Rnk]],MATCH(Table5[[#This Row],[PID]],Batters[[#All],[PID]],0)),INDEX(Table3[[#All],[Rnk]],MATCH(Table5[[#This Row],[PID]],Table3[[#All],[PID]],0)))</f>
        <v>506</v>
      </c>
      <c r="U1285" s="68">
        <f>IF($C1285="B",VLOOKUP($A1285,Bat!$A$4:$BA$1621,47,FALSE),VLOOKUP($A1285,Pit!$A$4:$BF$1557,56,FALSE))</f>
        <v>0</v>
      </c>
      <c r="V1285" s="50">
        <f>IF($C1285="B",VLOOKUP($A1285,Bat!$A$4:$BA$1621,48,FALSE),VLOOKUP($A1285,Pit!$A$4:$BF$1557,57,FALSE))</f>
        <v>0</v>
      </c>
      <c r="W1285" s="50">
        <f>Table5[[#This Row],[posRnk]]+Table5[[#This Row],[zRnk]]+IF($W$3&lt;&gt;Table5[[#This Row],[Type]],50,0)</f>
        <v>1824</v>
      </c>
      <c r="X1285" s="51">
        <f>RANK(Table5[[#This Row],[zScore]],Table5[[#All],[zScore]])</f>
        <v>1268</v>
      </c>
      <c r="Y1285" s="50" t="str">
        <f>IFERROR(INDEX(DraftResults[[#All],[OVR]],MATCH(Table5[[#This Row],[PID]],DraftResults[[#All],[Player ID]],0)),"")</f>
        <v/>
      </c>
      <c r="Z12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5" s="50" t="str">
        <f>IFERROR(INDEX(DraftResults[[#All],[Pick in Round]],MATCH(Table5[[#This Row],[PID]],DraftResults[[#All],[Player ID]],0)),"")</f>
        <v/>
      </c>
      <c r="AB1285" s="50" t="str">
        <f>IFERROR(INDEX(DraftResults[[#All],[Team Name]],MATCH(Table5[[#This Row],[PID]],DraftResults[[#All],[Player ID]],0)),"")</f>
        <v/>
      </c>
      <c r="AC1285" s="50" t="str">
        <f>IF(Table5[[#This Row],[Ovr]]="","",IF(Table5[[#This Row],[cmbList]]="","",Table5[[#This Row],[cmbList]]-Table5[[#This Row],[Ovr]]))</f>
        <v/>
      </c>
      <c r="AD1285" s="54" t="str">
        <f>IF(ISERROR(VLOOKUP($AB1285&amp;"-"&amp;$E1285&amp;" "&amp;F1285,Bonuses!$B$1:$G$1006,4,FALSE)),"",INT(VLOOKUP($AB1285&amp;"-"&amp;$E1285&amp;" "&amp;$F1285,Bonuses!$B$1:$G$1006,4,FALSE)))</f>
        <v/>
      </c>
      <c r="AE12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6" spans="1:31" x14ac:dyDescent="0.25">
      <c r="A1286" s="68">
        <v>12968</v>
      </c>
      <c r="B1286" s="69">
        <f>COUNTIF(Table5[PID],A1286)</f>
        <v>1</v>
      </c>
      <c r="C1286" s="69" t="str">
        <f>IF(COUNTIF(Table3[[#All],[PID]],A1286)&gt;0,"P","B")</f>
        <v>P</v>
      </c>
      <c r="D1286" s="59" t="str">
        <f>IF($C1286="B",INDEX(Batters[[#All],[POS]],MATCH(Table5[[#This Row],[PID]],Batters[[#All],[PID]],0)),INDEX(Table3[[#All],[POS]],MATCH(Table5[[#This Row],[PID]],Table3[[#All],[PID]],0)))</f>
        <v>SP</v>
      </c>
      <c r="E1286" s="52" t="str">
        <f>IF($C1286="B",INDEX(Batters[[#All],[First]],MATCH(Table5[[#This Row],[PID]],Batters[[#All],[PID]],0)),INDEX(Table3[[#All],[First]],MATCH(Table5[[#This Row],[PID]],Table3[[#All],[PID]],0)))</f>
        <v>Marihito</v>
      </c>
      <c r="F1286" s="55" t="str">
        <f>IF($C1286="B",INDEX(Batters[[#All],[Last]],MATCH(A1286,Batters[[#All],[PID]],0)),INDEX(Table3[[#All],[Last]],MATCH(A1286,Table3[[#All],[PID]],0)))</f>
        <v>Kouki</v>
      </c>
      <c r="G1286" s="56">
        <f>IF($C1286="B",INDEX(Batters[[#All],[Age]],MATCH(Table5[[#This Row],[PID]],Batters[[#All],[PID]],0)),INDEX(Table3[[#All],[Age]],MATCH(Table5[[#This Row],[PID]],Table3[[#All],[PID]],0)))</f>
        <v>22</v>
      </c>
      <c r="H1286" s="52" t="str">
        <f>IF($C1286="B",INDEX(Batters[[#All],[B]],MATCH(Table5[[#This Row],[PID]],Batters[[#All],[PID]],0)),INDEX(Table3[[#All],[B]],MATCH(Table5[[#This Row],[PID]],Table3[[#All],[PID]],0)))</f>
        <v>L</v>
      </c>
      <c r="I1286" s="70" t="str">
        <f>IF($C1286="B",INDEX(Batters[[#All],[T]],MATCH(Table5[[#This Row],[PID]],Batters[[#All],[PID]],0)),INDEX(Table3[[#All],[T]],MATCH(Table5[[#This Row],[PID]],Table3[[#All],[PID]],0)))</f>
        <v>L</v>
      </c>
      <c r="J1286" s="71" t="str">
        <f>IF($C1286="B",INDEX(Batters[[#All],[WE]],MATCH(Table5[[#This Row],[PID]],Batters[[#All],[PID]],0)),INDEX(Table3[[#All],[WE]],MATCH(Table5[[#This Row],[PID]],Table3[[#All],[PID]],0)))</f>
        <v>Normal</v>
      </c>
      <c r="K1286" s="52" t="str">
        <f>IF($C1286="B",INDEX(Batters[[#All],[INT]],MATCH(Table5[[#This Row],[PID]],Batters[[#All],[PID]],0)),INDEX(Table3[[#All],[INT]],MATCH(Table5[[#This Row],[PID]],Table3[[#All],[PID]],0)))</f>
        <v>Normal</v>
      </c>
      <c r="L1286" s="60">
        <f>IF($C1286="B",INDEX(Batters[[#All],[CON P]],MATCH(Table5[[#This Row],[PID]],Batters[[#All],[PID]],0)),INDEX(Table3[[#All],[STU P]],MATCH(Table5[[#This Row],[PID]],Table3[[#All],[PID]],0)))</f>
        <v>3</v>
      </c>
      <c r="M1286" s="72">
        <f>IF($C1286="B",INDEX(Batters[[#All],[GAP P]],MATCH(Table5[[#This Row],[PID]],Batters[[#All],[PID]],0)),INDEX(Table3[[#All],[MOV P]],MATCH(Table5[[#This Row],[PID]],Table3[[#All],[PID]],0)))</f>
        <v>2</v>
      </c>
      <c r="N1286" s="72">
        <f>IF($C1286="B",INDEX(Batters[[#All],[POW P]],MATCH(Table5[[#This Row],[PID]],Batters[[#All],[PID]],0)),INDEX(Table3[[#All],[CON P]],MATCH(Table5[[#This Row],[PID]],Table3[[#All],[PID]],0)))</f>
        <v>1</v>
      </c>
      <c r="O1286" s="72" t="str">
        <f>IF($C1286="B",INDEX(Batters[[#All],[EYE P]],MATCH(Table5[[#This Row],[PID]],Batters[[#All],[PID]],0)),INDEX(Table3[[#All],[VELO]],MATCH(Table5[[#This Row],[PID]],Table3[[#All],[PID]],0)))</f>
        <v>90-92 Mph</v>
      </c>
      <c r="P1286" s="56">
        <f>IF($C1286="B",INDEX(Batters[[#All],[K P]],MATCH(Table5[[#This Row],[PID]],Batters[[#All],[PID]],0)),INDEX(Table3[[#All],[STM]],MATCH(Table5[[#This Row],[PID]],Table3[[#All],[PID]],0)))</f>
        <v>7</v>
      </c>
      <c r="Q1286" s="61">
        <f>IF($C1286="B",INDEX(Batters[[#All],[Tot]],MATCH(Table5[[#This Row],[PID]],Batters[[#All],[PID]],0)),INDEX(Table3[[#All],[Tot]],MATCH(Table5[[#This Row],[PID]],Table3[[#All],[PID]],0)))</f>
        <v>15.114225324951853</v>
      </c>
      <c r="R1286" s="70">
        <f>IF($C1286="B",INDEX(Batters[[#All],[zScore]],MATCH(Table5[[#This Row],[PID]],Batters[[#All],[PID]],0)),INDEX(Table3[[#All],[zScore]],MATCH(Table5[[#This Row],[PID]],Table3[[#All],[PID]],0)))</f>
        <v>-1.3808849688851454</v>
      </c>
      <c r="S1286" s="74" t="str">
        <f>IF($C1286="B",INDEX(Batters[[#All],[DEM]],MATCH(Table5[[#This Row],[PID]],Batters[[#All],[PID]],0)),INDEX(Table3[[#All],[DEM]],MATCH(Table5[[#This Row],[PID]],Table3[[#All],[PID]],0)))</f>
        <v>-</v>
      </c>
      <c r="T1286" s="75">
        <f>IF($C1286="B",INDEX(Batters[[#All],[Rnk]],MATCH(Table5[[#This Row],[PID]],Batters[[#All],[PID]],0)),INDEX(Table3[[#All],[Rnk]],MATCH(Table5[[#This Row],[PID]],Table3[[#All],[PID]],0)))</f>
        <v>762</v>
      </c>
      <c r="U1286" s="68">
        <f>IF($C1286="B",VLOOKUP($A1286,Bat!$A$4:$BA$1621,47,FALSE),VLOOKUP($A1286,Pit!$A$4:$BF$1557,56,FALSE))</f>
        <v>0</v>
      </c>
      <c r="V1286" s="50">
        <f>IF($C1286="B",VLOOKUP($A1286,Bat!$A$4:$BA$1621,48,FALSE),VLOOKUP($A1286,Pit!$A$4:$BF$1557,57,FALSE))</f>
        <v>0</v>
      </c>
      <c r="W1286" s="69">
        <f>Table5[[#This Row],[posRnk]]+Table5[[#This Row],[zRnk]]+IF($W$3&lt;&gt;Table5[[#This Row],[Type]],50,0)</f>
        <v>2081</v>
      </c>
      <c r="X1286" s="73">
        <f>RANK(Table5[[#This Row],[zScore]],Table5[[#All],[zScore]])</f>
        <v>1269</v>
      </c>
      <c r="Y1286" s="69" t="str">
        <f>IFERROR(INDEX(DraftResults[[#All],[OVR]],MATCH(Table5[[#This Row],[PID]],DraftResults[[#All],[Player ID]],0)),"")</f>
        <v/>
      </c>
      <c r="Z128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6" s="69" t="str">
        <f>IFERROR(INDEX(DraftResults[[#All],[Pick in Round]],MATCH(Table5[[#This Row],[PID]],DraftResults[[#All],[Player ID]],0)),"")</f>
        <v/>
      </c>
      <c r="AB1286" s="69" t="str">
        <f>IFERROR(INDEX(DraftResults[[#All],[Team Name]],MATCH(Table5[[#This Row],[PID]],DraftResults[[#All],[Player ID]],0)),"")</f>
        <v/>
      </c>
      <c r="AC1286" s="69" t="str">
        <f>IF(Table5[[#This Row],[Ovr]]="","",IF(Table5[[#This Row],[cmbList]]="","",Table5[[#This Row],[cmbList]]-Table5[[#This Row],[Ovr]]))</f>
        <v/>
      </c>
      <c r="AD1286" s="77" t="str">
        <f>IF(ISERROR(VLOOKUP($AB1286&amp;"-"&amp;$E1286&amp;" "&amp;F1286,Bonuses!$B$1:$G$1006,4,FALSE)),"",INT(VLOOKUP($AB1286&amp;"-"&amp;$E1286&amp;" "&amp;$F1286,Bonuses!$B$1:$G$1006,4,FALSE)))</f>
        <v/>
      </c>
      <c r="AE128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7" spans="1:31" x14ac:dyDescent="0.25">
      <c r="A1287" s="50">
        <v>13724</v>
      </c>
      <c r="B1287" s="55">
        <f>COUNTIF(Table5[PID],A1287)</f>
        <v>1</v>
      </c>
      <c r="C1287" s="55" t="str">
        <f>IF(COUNTIF(Table3[[#All],[PID]],A1287)&gt;0,"P","B")</f>
        <v>B</v>
      </c>
      <c r="D1287" s="59" t="str">
        <f>IF($C1287="B",INDEX(Batters[[#All],[POS]],MATCH(Table5[[#This Row],[PID]],Batters[[#All],[PID]],0)),INDEX(Table3[[#All],[POS]],MATCH(Table5[[#This Row],[PID]],Table3[[#All],[PID]],0)))</f>
        <v>3B</v>
      </c>
      <c r="E1287" s="52" t="str">
        <f>IF($C1287="B",INDEX(Batters[[#All],[First]],MATCH(Table5[[#This Row],[PID]],Batters[[#All],[PID]],0)),INDEX(Table3[[#All],[First]],MATCH(Table5[[#This Row],[PID]],Table3[[#All],[PID]],0)))</f>
        <v>Atsushi</v>
      </c>
      <c r="F1287" s="50" t="str">
        <f>IF($C1287="B",INDEX(Batters[[#All],[Last]],MATCH(A1287,Batters[[#All],[PID]],0)),INDEX(Table3[[#All],[Last]],MATCH(A1287,Table3[[#All],[PID]],0)))</f>
        <v>Ueno</v>
      </c>
      <c r="G1287" s="56">
        <f>IF($C1287="B",INDEX(Batters[[#All],[Age]],MATCH(Table5[[#This Row],[PID]],Batters[[#All],[PID]],0)),INDEX(Table3[[#All],[Age]],MATCH(Table5[[#This Row],[PID]],Table3[[#All],[PID]],0)))</f>
        <v>22</v>
      </c>
      <c r="H1287" s="52" t="str">
        <f>IF($C1287="B",INDEX(Batters[[#All],[B]],MATCH(Table5[[#This Row],[PID]],Batters[[#All],[PID]],0)),INDEX(Table3[[#All],[B]],MATCH(Table5[[#This Row],[PID]],Table3[[#All],[PID]],0)))</f>
        <v>R</v>
      </c>
      <c r="I1287" s="70" t="str">
        <f>IF($C1287="B",INDEX(Batters[[#All],[T]],MATCH(Table5[[#This Row],[PID]],Batters[[#All],[PID]],0)),INDEX(Table3[[#All],[T]],MATCH(Table5[[#This Row],[PID]],Table3[[#All],[PID]],0)))</f>
        <v>R</v>
      </c>
      <c r="J1287" s="52" t="str">
        <f>IF($C1287="B",INDEX(Batters[[#All],[WE]],MATCH(Table5[[#This Row],[PID]],Batters[[#All],[PID]],0)),INDEX(Table3[[#All],[WE]],MATCH(Table5[[#This Row],[PID]],Table3[[#All],[PID]],0)))</f>
        <v>Normal</v>
      </c>
      <c r="K1287" s="52" t="str">
        <f>IF($C1287="B",INDEX(Batters[[#All],[INT]],MATCH(Table5[[#This Row],[PID]],Batters[[#All],[PID]],0)),INDEX(Table3[[#All],[INT]],MATCH(Table5[[#This Row],[PID]],Table3[[#All],[PID]],0)))</f>
        <v>High</v>
      </c>
      <c r="L1287" s="60">
        <f>IF($C1287="B",INDEX(Batters[[#All],[CON P]],MATCH(Table5[[#This Row],[PID]],Batters[[#All],[PID]],0)),INDEX(Table3[[#All],[STU P]],MATCH(Table5[[#This Row],[PID]],Table3[[#All],[PID]],0)))</f>
        <v>3</v>
      </c>
      <c r="M1287" s="56">
        <f>IF($C1287="B",INDEX(Batters[[#All],[GAP P]],MATCH(Table5[[#This Row],[PID]],Batters[[#All],[PID]],0)),INDEX(Table3[[#All],[MOV P]],MATCH(Table5[[#This Row],[PID]],Table3[[#All],[PID]],0)))</f>
        <v>3</v>
      </c>
      <c r="N1287" s="56">
        <f>IF($C1287="B",INDEX(Batters[[#All],[POW P]],MATCH(Table5[[#This Row],[PID]],Batters[[#All],[PID]],0)),INDEX(Table3[[#All],[CON P]],MATCH(Table5[[#This Row],[PID]],Table3[[#All],[PID]],0)))</f>
        <v>5</v>
      </c>
      <c r="O1287" s="56">
        <f>IF($C1287="B",INDEX(Batters[[#All],[EYE P]],MATCH(Table5[[#This Row],[PID]],Batters[[#All],[PID]],0)),INDEX(Table3[[#All],[VELO]],MATCH(Table5[[#This Row],[PID]],Table3[[#All],[PID]],0)))</f>
        <v>5</v>
      </c>
      <c r="P1287" s="56">
        <f>IF($C1287="B",INDEX(Batters[[#All],[K P]],MATCH(Table5[[#This Row],[PID]],Batters[[#All],[PID]],0)),INDEX(Table3[[#All],[STM]],MATCH(Table5[[#This Row],[PID]],Table3[[#All],[PID]],0)))</f>
        <v>2</v>
      </c>
      <c r="Q1287" s="61">
        <f>IF($C1287="B",INDEX(Batters[[#All],[Tot]],MATCH(Table5[[#This Row],[PID]],Batters[[#All],[PID]],0)),INDEX(Table3[[#All],[Tot]],MATCH(Table5[[#This Row],[PID]],Table3[[#All],[PID]],0)))</f>
        <v>37.891344618600456</v>
      </c>
      <c r="R1287" s="70">
        <f>IF($C1287="B",INDEX(Batters[[#All],[zScore]],MATCH(Table5[[#This Row],[PID]],Batters[[#All],[PID]],0)),INDEX(Table3[[#All],[zScore]],MATCH(Table5[[#This Row],[PID]],Table3[[#All],[PID]],0)))</f>
        <v>-1.3835821168505693</v>
      </c>
      <c r="S1287" s="79" t="str">
        <f>IF($C1287="B",INDEX(Batters[[#All],[DEM]],MATCH(Table5[[#This Row],[PID]],Batters[[#All],[PID]],0)),INDEX(Table3[[#All],[DEM]],MATCH(Table5[[#This Row],[PID]],Table3[[#All],[PID]],0)))</f>
        <v>-</v>
      </c>
      <c r="T1287" s="62">
        <f>IF($C1287="B",INDEX(Batters[[#All],[Rnk]],MATCH(Table5[[#This Row],[PID]],Batters[[#All],[PID]],0)),INDEX(Table3[[#All],[Rnk]],MATCH(Table5[[#This Row],[PID]],Table3[[#All],[PID]],0)))</f>
        <v>507</v>
      </c>
      <c r="U1287" s="68">
        <f>IF($C1287="B",VLOOKUP($A1287,Bat!$A$4:$BA$1621,47,FALSE),VLOOKUP($A1287,Pit!$A$4:$BF$1557,56,FALSE))</f>
        <v>0</v>
      </c>
      <c r="V1287" s="50">
        <f>IF($C1287="B",VLOOKUP($A1287,Bat!$A$4:$BA$1621,48,FALSE),VLOOKUP($A1287,Pit!$A$4:$BF$1557,57,FALSE))</f>
        <v>0</v>
      </c>
      <c r="W1287" s="50">
        <f>Table5[[#This Row],[posRnk]]+Table5[[#This Row],[zRnk]]+IF($W$3&lt;&gt;Table5[[#This Row],[Type]],50,0)</f>
        <v>1827</v>
      </c>
      <c r="X1287" s="51">
        <f>RANK(Table5[[#This Row],[zScore]],Table5[[#All],[zScore]])</f>
        <v>1270</v>
      </c>
      <c r="Y1287" s="50" t="str">
        <f>IFERROR(INDEX(DraftResults[[#All],[OVR]],MATCH(Table5[[#This Row],[PID]],DraftResults[[#All],[Player ID]],0)),"")</f>
        <v/>
      </c>
      <c r="Z12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7" s="50" t="str">
        <f>IFERROR(INDEX(DraftResults[[#All],[Pick in Round]],MATCH(Table5[[#This Row],[PID]],DraftResults[[#All],[Player ID]],0)),"")</f>
        <v/>
      </c>
      <c r="AB1287" s="50" t="str">
        <f>IFERROR(INDEX(DraftResults[[#All],[Team Name]],MATCH(Table5[[#This Row],[PID]],DraftResults[[#All],[Player ID]],0)),"")</f>
        <v/>
      </c>
      <c r="AC1287" s="50" t="str">
        <f>IF(Table5[[#This Row],[Ovr]]="","",IF(Table5[[#This Row],[cmbList]]="","",Table5[[#This Row],[cmbList]]-Table5[[#This Row],[Ovr]]))</f>
        <v/>
      </c>
      <c r="AD1287" s="54" t="str">
        <f>IF(ISERROR(VLOOKUP($AB1287&amp;"-"&amp;$E1287&amp;" "&amp;F1287,Bonuses!$B$1:$G$1006,4,FALSE)),"",INT(VLOOKUP($AB1287&amp;"-"&amp;$E1287&amp;" "&amp;$F1287,Bonuses!$B$1:$G$1006,4,FALSE)))</f>
        <v/>
      </c>
      <c r="AE12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8" spans="1:31" x14ac:dyDescent="0.25">
      <c r="A1288" s="50">
        <v>15983</v>
      </c>
      <c r="B1288" s="50">
        <f>COUNTIF(Table5[PID],A1288)</f>
        <v>1</v>
      </c>
      <c r="C1288" s="50" t="str">
        <f>IF(COUNTIF(Table3[[#All],[PID]],A1288)&gt;0,"P","B")</f>
        <v>B</v>
      </c>
      <c r="D1288" s="59" t="str">
        <f>IF($C1288="B",INDEX(Batters[[#All],[POS]],MATCH(Table5[[#This Row],[PID]],Batters[[#All],[PID]],0)),INDEX(Table3[[#All],[POS]],MATCH(Table5[[#This Row],[PID]],Table3[[#All],[PID]],0)))</f>
        <v>SS</v>
      </c>
      <c r="E1288" s="52" t="str">
        <f>IF($C1288="B",INDEX(Batters[[#All],[First]],MATCH(Table5[[#This Row],[PID]],Batters[[#All],[PID]],0)),INDEX(Table3[[#All],[First]],MATCH(Table5[[#This Row],[PID]],Table3[[#All],[PID]],0)))</f>
        <v>Naonobu</v>
      </c>
      <c r="F1288" s="50" t="str">
        <f>IF($C1288="B",INDEX(Batters[[#All],[Last]],MATCH(A1288,Batters[[#All],[PID]],0)),INDEX(Table3[[#All],[Last]],MATCH(A1288,Table3[[#All],[PID]],0)))</f>
        <v>Okabe</v>
      </c>
      <c r="G1288" s="56">
        <f>IF($C1288="B",INDEX(Batters[[#All],[Age]],MATCH(Table5[[#This Row],[PID]],Batters[[#All],[PID]],0)),INDEX(Table3[[#All],[Age]],MATCH(Table5[[#This Row],[PID]],Table3[[#All],[PID]],0)))</f>
        <v>21</v>
      </c>
      <c r="H1288" s="52" t="str">
        <f>IF($C1288="B",INDEX(Batters[[#All],[B]],MATCH(Table5[[#This Row],[PID]],Batters[[#All],[PID]],0)),INDEX(Table3[[#All],[B]],MATCH(Table5[[#This Row],[PID]],Table3[[#All],[PID]],0)))</f>
        <v>L</v>
      </c>
      <c r="I1288" s="70" t="str">
        <f>IF($C1288="B",INDEX(Batters[[#All],[T]],MATCH(Table5[[#This Row],[PID]],Batters[[#All],[PID]],0)),INDEX(Table3[[#All],[T]],MATCH(Table5[[#This Row],[PID]],Table3[[#All],[PID]],0)))</f>
        <v>R</v>
      </c>
      <c r="J1288" s="52" t="str">
        <f>IF($C1288="B",INDEX(Batters[[#All],[WE]],MATCH(Table5[[#This Row],[PID]],Batters[[#All],[PID]],0)),INDEX(Table3[[#All],[WE]],MATCH(Table5[[#This Row],[PID]],Table3[[#All],[PID]],0)))</f>
        <v>Normal</v>
      </c>
      <c r="K1288" s="52" t="str">
        <f>IF($C1288="B",INDEX(Batters[[#All],[INT]],MATCH(Table5[[#This Row],[PID]],Batters[[#All],[PID]],0)),INDEX(Table3[[#All],[INT]],MATCH(Table5[[#This Row],[PID]],Table3[[#All],[PID]],0)))</f>
        <v>Normal</v>
      </c>
      <c r="L1288" s="60">
        <f>IF($C1288="B",INDEX(Batters[[#All],[CON P]],MATCH(Table5[[#This Row],[PID]],Batters[[#All],[PID]],0)),INDEX(Table3[[#All],[STU P]],MATCH(Table5[[#This Row],[PID]],Table3[[#All],[PID]],0)))</f>
        <v>3</v>
      </c>
      <c r="M1288" s="56">
        <f>IF($C1288="B",INDEX(Batters[[#All],[GAP P]],MATCH(Table5[[#This Row],[PID]],Batters[[#All],[PID]],0)),INDEX(Table3[[#All],[MOV P]],MATCH(Table5[[#This Row],[PID]],Table3[[#All],[PID]],0)))</f>
        <v>4</v>
      </c>
      <c r="N1288" s="56">
        <f>IF($C1288="B",INDEX(Batters[[#All],[POW P]],MATCH(Table5[[#This Row],[PID]],Batters[[#All],[PID]],0)),INDEX(Table3[[#All],[CON P]],MATCH(Table5[[#This Row],[PID]],Table3[[#All],[PID]],0)))</f>
        <v>3</v>
      </c>
      <c r="O1288" s="56">
        <f>IF($C1288="B",INDEX(Batters[[#All],[EYE P]],MATCH(Table5[[#This Row],[PID]],Batters[[#All],[PID]],0)),INDEX(Table3[[#All],[VELO]],MATCH(Table5[[#This Row],[PID]],Table3[[#All],[PID]],0)))</f>
        <v>5</v>
      </c>
      <c r="P1288" s="56">
        <f>IF($C1288="B",INDEX(Batters[[#All],[K P]],MATCH(Table5[[#This Row],[PID]],Batters[[#All],[PID]],0)),INDEX(Table3[[#All],[STM]],MATCH(Table5[[#This Row],[PID]],Table3[[#All],[PID]],0)))</f>
        <v>3</v>
      </c>
      <c r="Q1288" s="61">
        <f>IF($C1288="B",INDEX(Batters[[#All],[Tot]],MATCH(Table5[[#This Row],[PID]],Batters[[#All],[PID]],0)),INDEX(Table3[[#All],[Tot]],MATCH(Table5[[#This Row],[PID]],Table3[[#All],[PID]],0)))</f>
        <v>37.857450061922925</v>
      </c>
      <c r="R1288" s="70">
        <f>IF($C1288="B",INDEX(Batters[[#All],[zScore]],MATCH(Table5[[#This Row],[PID]],Batters[[#All],[PID]],0)),INDEX(Table3[[#All],[zScore]],MATCH(Table5[[#This Row],[PID]],Table3[[#All],[PID]],0)))</f>
        <v>-1.3910967691719185</v>
      </c>
      <c r="S1288" s="79" t="str">
        <f>IF($C1288="B",INDEX(Batters[[#All],[DEM]],MATCH(Table5[[#This Row],[PID]],Batters[[#All],[PID]],0)),INDEX(Table3[[#All],[DEM]],MATCH(Table5[[#This Row],[PID]],Table3[[#All],[PID]],0)))</f>
        <v>$20k</v>
      </c>
      <c r="T1288" s="62">
        <f>IF($C1288="B",INDEX(Batters[[#All],[Rnk]],MATCH(Table5[[#This Row],[PID]],Batters[[#All],[PID]],0)),INDEX(Table3[[#All],[Rnk]],MATCH(Table5[[#This Row],[PID]],Table3[[#All],[PID]],0)))</f>
        <v>509</v>
      </c>
      <c r="U1288" s="68">
        <f>IF($C1288="B",VLOOKUP($A1288,Bat!$A$4:$BA$1621,47,FALSE),VLOOKUP($A1288,Pit!$A$4:$BF$1557,56,FALSE))</f>
        <v>0</v>
      </c>
      <c r="V1288" s="50">
        <f>IF($C1288="B",VLOOKUP($A1288,Bat!$A$4:$BA$1621,48,FALSE),VLOOKUP($A1288,Pit!$A$4:$BF$1557,57,FALSE))</f>
        <v>0</v>
      </c>
      <c r="W1288" s="50">
        <f>Table5[[#This Row],[posRnk]]+Table5[[#This Row],[zRnk]]+IF($W$3&lt;&gt;Table5[[#This Row],[Type]],50,0)</f>
        <v>1831</v>
      </c>
      <c r="X1288" s="51">
        <f>RANK(Table5[[#This Row],[zScore]],Table5[[#All],[zScore]])</f>
        <v>1272</v>
      </c>
      <c r="Y1288" s="50" t="str">
        <f>IFERROR(INDEX(DraftResults[[#All],[OVR]],MATCH(Table5[[#This Row],[PID]],DraftResults[[#All],[Player ID]],0)),"")</f>
        <v/>
      </c>
      <c r="Z12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8" s="50" t="str">
        <f>IFERROR(INDEX(DraftResults[[#All],[Pick in Round]],MATCH(Table5[[#This Row],[PID]],DraftResults[[#All],[Player ID]],0)),"")</f>
        <v/>
      </c>
      <c r="AB1288" s="50" t="str">
        <f>IFERROR(INDEX(DraftResults[[#All],[Team Name]],MATCH(Table5[[#This Row],[PID]],DraftResults[[#All],[Player ID]],0)),"")</f>
        <v/>
      </c>
      <c r="AC1288" s="50" t="str">
        <f>IF(Table5[[#This Row],[Ovr]]="","",IF(Table5[[#This Row],[cmbList]]="","",Table5[[#This Row],[cmbList]]-Table5[[#This Row],[Ovr]]))</f>
        <v/>
      </c>
      <c r="AD1288" s="54" t="str">
        <f>IF(ISERROR(VLOOKUP($AB1288&amp;"-"&amp;$E1288&amp;" "&amp;F1288,Bonuses!$B$1:$G$1006,4,FALSE)),"",INT(VLOOKUP($AB1288&amp;"-"&amp;$E1288&amp;" "&amp;$F1288,Bonuses!$B$1:$G$1006,4,FALSE)))</f>
        <v/>
      </c>
      <c r="AE12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89" spans="1:31" x14ac:dyDescent="0.25">
      <c r="A1289" s="50">
        <v>20947</v>
      </c>
      <c r="B1289" s="55">
        <f>COUNTIF(Table5[PID],A1289)</f>
        <v>1</v>
      </c>
      <c r="C1289" s="55" t="str">
        <f>IF(COUNTIF(Table3[[#All],[PID]],A1289)&gt;0,"P","B")</f>
        <v>B</v>
      </c>
      <c r="D1289" s="59" t="str">
        <f>IF($C1289="B",INDEX(Batters[[#All],[POS]],MATCH(Table5[[#This Row],[PID]],Batters[[#All],[PID]],0)),INDEX(Table3[[#All],[POS]],MATCH(Table5[[#This Row],[PID]],Table3[[#All],[PID]],0)))</f>
        <v>2B</v>
      </c>
      <c r="E1289" s="52" t="str">
        <f>IF($C1289="B",INDEX(Batters[[#All],[First]],MATCH(Table5[[#This Row],[PID]],Batters[[#All],[PID]],0)),INDEX(Table3[[#All],[First]],MATCH(Table5[[#This Row],[PID]],Table3[[#All],[PID]],0)))</f>
        <v>José</v>
      </c>
      <c r="F1289" s="50" t="str">
        <f>IF($C1289="B",INDEX(Batters[[#All],[Last]],MATCH(A1289,Batters[[#All],[PID]],0)),INDEX(Table3[[#All],[Last]],MATCH(A1289,Table3[[#All],[PID]],0)))</f>
        <v>De La Cruz</v>
      </c>
      <c r="G1289" s="56">
        <f>IF($C1289="B",INDEX(Batters[[#All],[Age]],MATCH(Table5[[#This Row],[PID]],Batters[[#All],[PID]],0)),INDEX(Table3[[#All],[Age]],MATCH(Table5[[#This Row],[PID]],Table3[[#All],[PID]],0)))</f>
        <v>18</v>
      </c>
      <c r="H1289" s="52" t="str">
        <f>IF($C1289="B",INDEX(Batters[[#All],[B]],MATCH(Table5[[#This Row],[PID]],Batters[[#All],[PID]],0)),INDEX(Table3[[#All],[B]],MATCH(Table5[[#This Row],[PID]],Table3[[#All],[PID]],0)))</f>
        <v>R</v>
      </c>
      <c r="I1289" s="70" t="str">
        <f>IF($C1289="B",INDEX(Batters[[#All],[T]],MATCH(Table5[[#This Row],[PID]],Batters[[#All],[PID]],0)),INDEX(Table3[[#All],[T]],MATCH(Table5[[#This Row],[PID]],Table3[[#All],[PID]],0)))</f>
        <v>R</v>
      </c>
      <c r="J1289" s="52" t="str">
        <f>IF($C1289="B",INDEX(Batters[[#All],[WE]],MATCH(Table5[[#This Row],[PID]],Batters[[#All],[PID]],0)),INDEX(Table3[[#All],[WE]],MATCH(Table5[[#This Row],[PID]],Table3[[#All],[PID]],0)))</f>
        <v>Low</v>
      </c>
      <c r="K1289" s="52" t="str">
        <f>IF($C1289="B",INDEX(Batters[[#All],[INT]],MATCH(Table5[[#This Row],[PID]],Batters[[#All],[PID]],0)),INDEX(Table3[[#All],[INT]],MATCH(Table5[[#This Row],[PID]],Table3[[#All],[PID]],0)))</f>
        <v>Normal</v>
      </c>
      <c r="L1289" s="60">
        <f>IF($C1289="B",INDEX(Batters[[#All],[CON P]],MATCH(Table5[[#This Row],[PID]],Batters[[#All],[PID]],0)),INDEX(Table3[[#All],[STU P]],MATCH(Table5[[#This Row],[PID]],Table3[[#All],[PID]],0)))</f>
        <v>2</v>
      </c>
      <c r="M1289" s="56">
        <f>IF($C1289="B",INDEX(Batters[[#All],[GAP P]],MATCH(Table5[[#This Row],[PID]],Batters[[#All],[PID]],0)),INDEX(Table3[[#All],[MOV P]],MATCH(Table5[[#This Row],[PID]],Table3[[#All],[PID]],0)))</f>
        <v>5</v>
      </c>
      <c r="N1289" s="56">
        <f>IF($C1289="B",INDEX(Batters[[#All],[POW P]],MATCH(Table5[[#This Row],[PID]],Batters[[#All],[PID]],0)),INDEX(Table3[[#All],[CON P]],MATCH(Table5[[#This Row],[PID]],Table3[[#All],[PID]],0)))</f>
        <v>4</v>
      </c>
      <c r="O1289" s="56">
        <f>IF($C1289="B",INDEX(Batters[[#All],[EYE P]],MATCH(Table5[[#This Row],[PID]],Batters[[#All],[PID]],0)),INDEX(Table3[[#All],[VELO]],MATCH(Table5[[#This Row],[PID]],Table3[[#All],[PID]],0)))</f>
        <v>4</v>
      </c>
      <c r="P1289" s="56">
        <f>IF($C1289="B",INDEX(Batters[[#All],[K P]],MATCH(Table5[[#This Row],[PID]],Batters[[#All],[PID]],0)),INDEX(Table3[[#All],[STM]],MATCH(Table5[[#This Row],[PID]],Table3[[#All],[PID]],0)))</f>
        <v>2</v>
      </c>
      <c r="Q1289" s="61">
        <f>IF($C1289="B",INDEX(Batters[[#All],[Tot]],MATCH(Table5[[#This Row],[PID]],Batters[[#All],[PID]],0)),INDEX(Table3[[#All],[Tot]],MATCH(Table5[[#This Row],[PID]],Table3[[#All],[PID]],0)))</f>
        <v>37.856659811925169</v>
      </c>
      <c r="R1289" s="70">
        <f>IF($C1289="B",INDEX(Batters[[#All],[zScore]],MATCH(Table5[[#This Row],[PID]],Batters[[#All],[PID]],0)),INDEX(Table3[[#All],[zScore]],MATCH(Table5[[#This Row],[PID]],Table3[[#All],[PID]],0)))</f>
        <v>-1.3912719729380152</v>
      </c>
      <c r="S1289" s="79" t="str">
        <f>IF($C1289="B",INDEX(Batters[[#All],[DEM]],MATCH(Table5[[#This Row],[PID]],Batters[[#All],[PID]],0)),INDEX(Table3[[#All],[DEM]],MATCH(Table5[[#This Row],[PID]],Table3[[#All],[PID]],0)))</f>
        <v>$130k</v>
      </c>
      <c r="T1289" s="62">
        <f>IF($C1289="B",INDEX(Batters[[#All],[Rnk]],MATCH(Table5[[#This Row],[PID]],Batters[[#All],[PID]],0)),INDEX(Table3[[#All],[Rnk]],MATCH(Table5[[#This Row],[PID]],Table3[[#All],[PID]],0)))</f>
        <v>510</v>
      </c>
      <c r="U1289" s="68">
        <f>IF($C1289="B",VLOOKUP($A1289,Bat!$A$4:$BA$1621,47,FALSE),VLOOKUP($A1289,Pit!$A$4:$BF$1557,56,FALSE))</f>
        <v>0</v>
      </c>
      <c r="V1289" s="50">
        <f>IF($C1289="B",VLOOKUP($A1289,Bat!$A$4:$BA$1621,48,FALSE),VLOOKUP($A1289,Pit!$A$4:$BF$1557,57,FALSE))</f>
        <v>0</v>
      </c>
      <c r="W1289" s="50">
        <f>Table5[[#This Row],[posRnk]]+Table5[[#This Row],[zRnk]]+IF($W$3&lt;&gt;Table5[[#This Row],[Type]],50,0)</f>
        <v>1833</v>
      </c>
      <c r="X1289" s="51">
        <f>RANK(Table5[[#This Row],[zScore]],Table5[[#All],[zScore]])</f>
        <v>1273</v>
      </c>
      <c r="Y1289" s="50" t="str">
        <f>IFERROR(INDEX(DraftResults[[#All],[OVR]],MATCH(Table5[[#This Row],[PID]],DraftResults[[#All],[Player ID]],0)),"")</f>
        <v/>
      </c>
      <c r="Z12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89" s="50" t="str">
        <f>IFERROR(INDEX(DraftResults[[#All],[Pick in Round]],MATCH(Table5[[#This Row],[PID]],DraftResults[[#All],[Player ID]],0)),"")</f>
        <v/>
      </c>
      <c r="AB1289" s="50" t="str">
        <f>IFERROR(INDEX(DraftResults[[#All],[Team Name]],MATCH(Table5[[#This Row],[PID]],DraftResults[[#All],[Player ID]],0)),"")</f>
        <v/>
      </c>
      <c r="AC1289" s="50" t="str">
        <f>IF(Table5[[#This Row],[Ovr]]="","",IF(Table5[[#This Row],[cmbList]]="","",Table5[[#This Row],[cmbList]]-Table5[[#This Row],[Ovr]]))</f>
        <v/>
      </c>
      <c r="AD1289" s="54" t="str">
        <f>IF(ISERROR(VLOOKUP($AB1289&amp;"-"&amp;$E1289&amp;" "&amp;F1289,Bonuses!$B$1:$G$1006,4,FALSE)),"",INT(VLOOKUP($AB1289&amp;"-"&amp;$E1289&amp;" "&amp;$F1289,Bonuses!$B$1:$G$1006,4,FALSE)))</f>
        <v/>
      </c>
      <c r="AE12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0" spans="1:31" x14ac:dyDescent="0.25">
      <c r="A1290" s="50">
        <v>12897</v>
      </c>
      <c r="B1290" s="50">
        <f>COUNTIF(Table5[PID],A1290)</f>
        <v>1</v>
      </c>
      <c r="C1290" s="50" t="str">
        <f>IF(COUNTIF(Table3[[#All],[PID]],A1290)&gt;0,"P","B")</f>
        <v>B</v>
      </c>
      <c r="D1290" s="59" t="str">
        <f>IF($C1290="B",INDEX(Batters[[#All],[POS]],MATCH(Table5[[#This Row],[PID]],Batters[[#All],[PID]],0)),INDEX(Table3[[#All],[POS]],MATCH(Table5[[#This Row],[PID]],Table3[[#All],[PID]],0)))</f>
        <v>2B</v>
      </c>
      <c r="E1290" s="52" t="str">
        <f>IF($C1290="B",INDEX(Batters[[#All],[First]],MATCH(Table5[[#This Row],[PID]],Batters[[#All],[PID]],0)),INDEX(Table3[[#All],[First]],MATCH(Table5[[#This Row],[PID]],Table3[[#All],[PID]],0)))</f>
        <v>Aidan</v>
      </c>
      <c r="F1290" s="50" t="str">
        <f>IF($C1290="B",INDEX(Batters[[#All],[Last]],MATCH(A1290,Batters[[#All],[PID]],0)),INDEX(Table3[[#All],[Last]],MATCH(A1290,Table3[[#All],[PID]],0)))</f>
        <v>Kyle</v>
      </c>
      <c r="G1290" s="56">
        <f>IF($C1290="B",INDEX(Batters[[#All],[Age]],MATCH(Table5[[#This Row],[PID]],Batters[[#All],[PID]],0)),INDEX(Table3[[#All],[Age]],MATCH(Table5[[#This Row],[PID]],Table3[[#All],[PID]],0)))</f>
        <v>21</v>
      </c>
      <c r="H1290" s="52" t="str">
        <f>IF($C1290="B",INDEX(Batters[[#All],[B]],MATCH(Table5[[#This Row],[PID]],Batters[[#All],[PID]],0)),INDEX(Table3[[#All],[B]],MATCH(Table5[[#This Row],[PID]],Table3[[#All],[PID]],0)))</f>
        <v>R</v>
      </c>
      <c r="I1290" s="70" t="str">
        <f>IF($C1290="B",INDEX(Batters[[#All],[T]],MATCH(Table5[[#This Row],[PID]],Batters[[#All],[PID]],0)),INDEX(Table3[[#All],[T]],MATCH(Table5[[#This Row],[PID]],Table3[[#All],[PID]],0)))</f>
        <v>R</v>
      </c>
      <c r="J1290" s="52" t="str">
        <f>IF($C1290="B",INDEX(Batters[[#All],[WE]],MATCH(Table5[[#This Row],[PID]],Batters[[#All],[PID]],0)),INDEX(Table3[[#All],[WE]],MATCH(Table5[[#This Row],[PID]],Table3[[#All],[PID]],0)))</f>
        <v>High</v>
      </c>
      <c r="K1290" s="52" t="str">
        <f>IF($C1290="B",INDEX(Batters[[#All],[INT]],MATCH(Table5[[#This Row],[PID]],Batters[[#All],[PID]],0)),INDEX(Table3[[#All],[INT]],MATCH(Table5[[#This Row],[PID]],Table3[[#All],[PID]],0)))</f>
        <v>High</v>
      </c>
      <c r="L1290" s="60">
        <f>IF($C1290="B",INDEX(Batters[[#All],[CON P]],MATCH(Table5[[#This Row],[PID]],Batters[[#All],[PID]],0)),INDEX(Table3[[#All],[STU P]],MATCH(Table5[[#This Row],[PID]],Table3[[#All],[PID]],0)))</f>
        <v>3</v>
      </c>
      <c r="M1290" s="56">
        <f>IF($C1290="B",INDEX(Batters[[#All],[GAP P]],MATCH(Table5[[#This Row],[PID]],Batters[[#All],[PID]],0)),INDEX(Table3[[#All],[MOV P]],MATCH(Table5[[#This Row],[PID]],Table3[[#All],[PID]],0)))</f>
        <v>3</v>
      </c>
      <c r="N1290" s="56">
        <f>IF($C1290="B",INDEX(Batters[[#All],[POW P]],MATCH(Table5[[#This Row],[PID]],Batters[[#All],[PID]],0)),INDEX(Table3[[#All],[CON P]],MATCH(Table5[[#This Row],[PID]],Table3[[#All],[PID]],0)))</f>
        <v>4</v>
      </c>
      <c r="O1290" s="56">
        <f>IF($C1290="B",INDEX(Batters[[#All],[EYE P]],MATCH(Table5[[#This Row],[PID]],Batters[[#All],[PID]],0)),INDEX(Table3[[#All],[VELO]],MATCH(Table5[[#This Row],[PID]],Table3[[#All],[PID]],0)))</f>
        <v>5</v>
      </c>
      <c r="P1290" s="56">
        <f>IF($C1290="B",INDEX(Batters[[#All],[K P]],MATCH(Table5[[#This Row],[PID]],Batters[[#All],[PID]],0)),INDEX(Table3[[#All],[STM]],MATCH(Table5[[#This Row],[PID]],Table3[[#All],[PID]],0)))</f>
        <v>3</v>
      </c>
      <c r="Q1290" s="61">
        <f>IF($C1290="B",INDEX(Batters[[#All],[Tot]],MATCH(Table5[[#This Row],[PID]],Batters[[#All],[PID]],0)),INDEX(Table3[[#All],[Tot]],MATCH(Table5[[#This Row],[PID]],Table3[[#All],[PID]],0)))</f>
        <v>37.84146943478531</v>
      </c>
      <c r="R1290" s="70">
        <f>IF($C1290="B",INDEX(Batters[[#All],[zScore]],MATCH(Table5[[#This Row],[PID]],Batters[[#All],[PID]],0)),INDEX(Table3[[#All],[zScore]],MATCH(Table5[[#This Row],[PID]],Table3[[#All],[PID]],0)))</f>
        <v>-1.3946397822273422</v>
      </c>
      <c r="S1290" s="79" t="str">
        <f>IF($C1290="B",INDEX(Batters[[#All],[DEM]],MATCH(Table5[[#This Row],[PID]],Batters[[#All],[PID]],0)),INDEX(Table3[[#All],[DEM]],MATCH(Table5[[#This Row],[PID]],Table3[[#All],[PID]],0)))</f>
        <v>-</v>
      </c>
      <c r="T1290" s="62">
        <f>IF($C1290="B",INDEX(Batters[[#All],[Rnk]],MATCH(Table5[[#This Row],[PID]],Batters[[#All],[PID]],0)),INDEX(Table3[[#All],[Rnk]],MATCH(Table5[[#This Row],[PID]],Table3[[#All],[PID]],0)))</f>
        <v>511</v>
      </c>
      <c r="U1290" s="68">
        <f>IF($C1290="B",VLOOKUP($A1290,Bat!$A$4:$BA$1621,47,FALSE),VLOOKUP($A1290,Pit!$A$4:$BF$1557,56,FALSE))</f>
        <v>0</v>
      </c>
      <c r="V1290" s="50">
        <f>IF($C1290="B",VLOOKUP($A1290,Bat!$A$4:$BA$1621,48,FALSE),VLOOKUP($A1290,Pit!$A$4:$BF$1557,57,FALSE))</f>
        <v>0</v>
      </c>
      <c r="W1290" s="50">
        <f>Table5[[#This Row],[posRnk]]+Table5[[#This Row],[zRnk]]+IF($W$3&lt;&gt;Table5[[#This Row],[Type]],50,0)</f>
        <v>1835</v>
      </c>
      <c r="X1290" s="51">
        <f>RANK(Table5[[#This Row],[zScore]],Table5[[#All],[zScore]])</f>
        <v>1274</v>
      </c>
      <c r="Y1290" s="50" t="str">
        <f>IFERROR(INDEX(DraftResults[[#All],[OVR]],MATCH(Table5[[#This Row],[PID]],DraftResults[[#All],[Player ID]],0)),"")</f>
        <v/>
      </c>
      <c r="Z12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0" s="50" t="str">
        <f>IFERROR(INDEX(DraftResults[[#All],[Pick in Round]],MATCH(Table5[[#This Row],[PID]],DraftResults[[#All],[Player ID]],0)),"")</f>
        <v/>
      </c>
      <c r="AB1290" s="50" t="str">
        <f>IFERROR(INDEX(DraftResults[[#All],[Team Name]],MATCH(Table5[[#This Row],[PID]],DraftResults[[#All],[Player ID]],0)),"")</f>
        <v/>
      </c>
      <c r="AC1290" s="50" t="str">
        <f>IF(Table5[[#This Row],[Ovr]]="","",IF(Table5[[#This Row],[cmbList]]="","",Table5[[#This Row],[cmbList]]-Table5[[#This Row],[Ovr]]))</f>
        <v/>
      </c>
      <c r="AD1290" s="54" t="str">
        <f>IF(ISERROR(VLOOKUP($AB1290&amp;"-"&amp;$E1290&amp;" "&amp;F1290,Bonuses!$B$1:$G$1006,4,FALSE)),"",INT(VLOOKUP($AB1290&amp;"-"&amp;$E1290&amp;" "&amp;$F1290,Bonuses!$B$1:$G$1006,4,FALSE)))</f>
        <v/>
      </c>
      <c r="AE12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1" spans="1:31" x14ac:dyDescent="0.25">
      <c r="A1291" s="50">
        <v>13247</v>
      </c>
      <c r="B1291" s="50">
        <f>COUNTIF(Table5[PID],A1291)</f>
        <v>1</v>
      </c>
      <c r="C1291" s="50" t="str">
        <f>IF(COUNTIF(Table3[[#All],[PID]],A1291)&gt;0,"P","B")</f>
        <v>B</v>
      </c>
      <c r="D1291" s="59" t="str">
        <f>IF($C1291="B",INDEX(Batters[[#All],[POS]],MATCH(Table5[[#This Row],[PID]],Batters[[#All],[PID]],0)),INDEX(Table3[[#All],[POS]],MATCH(Table5[[#This Row],[PID]],Table3[[#All],[PID]],0)))</f>
        <v>C</v>
      </c>
      <c r="E1291" s="52" t="str">
        <f>IF($C1291="B",INDEX(Batters[[#All],[First]],MATCH(Table5[[#This Row],[PID]],Batters[[#All],[PID]],0)),INDEX(Table3[[#All],[First]],MATCH(Table5[[#This Row],[PID]],Table3[[#All],[PID]],0)))</f>
        <v>John</v>
      </c>
      <c r="F1291" s="50" t="str">
        <f>IF($C1291="B",INDEX(Batters[[#All],[Last]],MATCH(A1291,Batters[[#All],[PID]],0)),INDEX(Table3[[#All],[Last]],MATCH(A1291,Table3[[#All],[PID]],0)))</f>
        <v>Rigsby</v>
      </c>
      <c r="G1291" s="56">
        <f>IF($C1291="B",INDEX(Batters[[#All],[Age]],MATCH(Table5[[#This Row],[PID]],Batters[[#All],[PID]],0)),INDEX(Table3[[#All],[Age]],MATCH(Table5[[#This Row],[PID]],Table3[[#All],[PID]],0)))</f>
        <v>18</v>
      </c>
      <c r="H1291" s="52" t="str">
        <f>IF($C1291="B",INDEX(Batters[[#All],[B]],MATCH(Table5[[#This Row],[PID]],Batters[[#All],[PID]],0)),INDEX(Table3[[#All],[B]],MATCH(Table5[[#This Row],[PID]],Table3[[#All],[PID]],0)))</f>
        <v>R</v>
      </c>
      <c r="I1291" s="70" t="str">
        <f>IF($C1291="B",INDEX(Batters[[#All],[T]],MATCH(Table5[[#This Row],[PID]],Batters[[#All],[PID]],0)),INDEX(Table3[[#All],[T]],MATCH(Table5[[#This Row],[PID]],Table3[[#All],[PID]],0)))</f>
        <v>R</v>
      </c>
      <c r="J1291" s="52" t="str">
        <f>IF($C1291="B",INDEX(Batters[[#All],[WE]],MATCH(Table5[[#This Row],[PID]],Batters[[#All],[PID]],0)),INDEX(Table3[[#All],[WE]],MATCH(Table5[[#This Row],[PID]],Table3[[#All],[PID]],0)))</f>
        <v>Low</v>
      </c>
      <c r="K1291" s="52" t="str">
        <f>IF($C1291="B",INDEX(Batters[[#All],[INT]],MATCH(Table5[[#This Row],[PID]],Batters[[#All],[PID]],0)),INDEX(Table3[[#All],[INT]],MATCH(Table5[[#This Row],[PID]],Table3[[#All],[PID]],0)))</f>
        <v>Normal</v>
      </c>
      <c r="L1291" s="60">
        <f>IF($C1291="B",INDEX(Batters[[#All],[CON P]],MATCH(Table5[[#This Row],[PID]],Batters[[#All],[PID]],0)),INDEX(Table3[[#All],[STU P]],MATCH(Table5[[#This Row],[PID]],Table3[[#All],[PID]],0)))</f>
        <v>2</v>
      </c>
      <c r="M1291" s="56">
        <f>IF($C1291="B",INDEX(Batters[[#All],[GAP P]],MATCH(Table5[[#This Row],[PID]],Batters[[#All],[PID]],0)),INDEX(Table3[[#All],[MOV P]],MATCH(Table5[[#This Row],[PID]],Table3[[#All],[PID]],0)))</f>
        <v>3</v>
      </c>
      <c r="N1291" s="56">
        <f>IF($C1291="B",INDEX(Batters[[#All],[POW P]],MATCH(Table5[[#This Row],[PID]],Batters[[#All],[PID]],0)),INDEX(Table3[[#All],[CON P]],MATCH(Table5[[#This Row],[PID]],Table3[[#All],[PID]],0)))</f>
        <v>4</v>
      </c>
      <c r="O1291" s="56">
        <f>IF($C1291="B",INDEX(Batters[[#All],[EYE P]],MATCH(Table5[[#This Row],[PID]],Batters[[#All],[PID]],0)),INDEX(Table3[[#All],[VELO]],MATCH(Table5[[#This Row],[PID]],Table3[[#All],[PID]],0)))</f>
        <v>5</v>
      </c>
      <c r="P1291" s="56">
        <f>IF($C1291="B",INDEX(Batters[[#All],[K P]],MATCH(Table5[[#This Row],[PID]],Batters[[#All],[PID]],0)),INDEX(Table3[[#All],[STM]],MATCH(Table5[[#This Row],[PID]],Table3[[#All],[PID]],0)))</f>
        <v>1</v>
      </c>
      <c r="Q1291" s="61">
        <f>IF($C1291="B",INDEX(Batters[[#All],[Tot]],MATCH(Table5[[#This Row],[PID]],Batters[[#All],[PID]],0)),INDEX(Table3[[#All],[Tot]],MATCH(Table5[[#This Row],[PID]],Table3[[#All],[PID]],0)))</f>
        <v>37.83013094709009</v>
      </c>
      <c r="R1291" s="70">
        <f>IF($C1291="B",INDEX(Batters[[#All],[zScore]],MATCH(Table5[[#This Row],[PID]],Batters[[#All],[PID]],0)),INDEX(Table3[[#All],[zScore]],MATCH(Table5[[#This Row],[PID]],Table3[[#All],[PID]],0)))</f>
        <v>-1.3971536015904364</v>
      </c>
      <c r="S1291" s="79" t="str">
        <f>IF($C1291="B",INDEX(Batters[[#All],[DEM]],MATCH(Table5[[#This Row],[PID]],Batters[[#All],[PID]],0)),INDEX(Table3[[#All],[DEM]],MATCH(Table5[[#This Row],[PID]],Table3[[#All],[PID]],0)))</f>
        <v>$100k</v>
      </c>
      <c r="T1291" s="62">
        <f>IF($C1291="B",INDEX(Batters[[#All],[Rnk]],MATCH(Table5[[#This Row],[PID]],Batters[[#All],[PID]],0)),INDEX(Table3[[#All],[Rnk]],MATCH(Table5[[#This Row],[PID]],Table3[[#All],[PID]],0)))</f>
        <v>512</v>
      </c>
      <c r="U1291" s="68">
        <f>IF($C1291="B",VLOOKUP($A1291,Bat!$A$4:$BA$1621,47,FALSE),VLOOKUP($A1291,Pit!$A$4:$BF$1557,56,FALSE))</f>
        <v>0</v>
      </c>
      <c r="V1291" s="50">
        <f>IF($C1291="B",VLOOKUP($A1291,Bat!$A$4:$BA$1621,48,FALSE),VLOOKUP($A1291,Pit!$A$4:$BF$1557,57,FALSE))</f>
        <v>0</v>
      </c>
      <c r="W1291" s="50">
        <f>Table5[[#This Row],[posRnk]]+Table5[[#This Row],[zRnk]]+IF($W$3&lt;&gt;Table5[[#This Row],[Type]],50,0)</f>
        <v>1837</v>
      </c>
      <c r="X1291" s="51">
        <f>RANK(Table5[[#This Row],[zScore]],Table5[[#All],[zScore]])</f>
        <v>1275</v>
      </c>
      <c r="Y1291" s="50" t="str">
        <f>IFERROR(INDEX(DraftResults[[#All],[OVR]],MATCH(Table5[[#This Row],[PID]],DraftResults[[#All],[Player ID]],0)),"")</f>
        <v/>
      </c>
      <c r="Z12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1" s="50" t="str">
        <f>IFERROR(INDEX(DraftResults[[#All],[Pick in Round]],MATCH(Table5[[#This Row],[PID]],DraftResults[[#All],[Player ID]],0)),"")</f>
        <v/>
      </c>
      <c r="AB1291" s="50" t="str">
        <f>IFERROR(INDEX(DraftResults[[#All],[Team Name]],MATCH(Table5[[#This Row],[PID]],DraftResults[[#All],[Player ID]],0)),"")</f>
        <v/>
      </c>
      <c r="AC1291" s="50" t="str">
        <f>IF(Table5[[#This Row],[Ovr]]="","",IF(Table5[[#This Row],[cmbList]]="","",Table5[[#This Row],[cmbList]]-Table5[[#This Row],[Ovr]]))</f>
        <v/>
      </c>
      <c r="AD1291" s="54" t="str">
        <f>IF(ISERROR(VLOOKUP($AB1291&amp;"-"&amp;$E1291&amp;" "&amp;F1291,Bonuses!$B$1:$G$1006,4,FALSE)),"",INT(VLOOKUP($AB1291&amp;"-"&amp;$E1291&amp;" "&amp;$F1291,Bonuses!$B$1:$G$1006,4,FALSE)))</f>
        <v/>
      </c>
      <c r="AE12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2" spans="1:31" x14ac:dyDescent="0.25">
      <c r="A1292" s="50">
        <v>17756</v>
      </c>
      <c r="B1292" s="50">
        <f>COUNTIF(Table5[PID],A1292)</f>
        <v>1</v>
      </c>
      <c r="C1292" s="50" t="str">
        <f>IF(COUNTIF(Table3[[#All],[PID]],A1292)&gt;0,"P","B")</f>
        <v>B</v>
      </c>
      <c r="D1292" s="59" t="str">
        <f>IF($C1292="B",INDEX(Batters[[#All],[POS]],MATCH(Table5[[#This Row],[PID]],Batters[[#All],[PID]],0)),INDEX(Table3[[#All],[POS]],MATCH(Table5[[#This Row],[PID]],Table3[[#All],[PID]],0)))</f>
        <v>1B</v>
      </c>
      <c r="E1292" s="52" t="str">
        <f>IF($C1292="B",INDEX(Batters[[#All],[First]],MATCH(Table5[[#This Row],[PID]],Batters[[#All],[PID]],0)),INDEX(Table3[[#All],[First]],MATCH(Table5[[#This Row],[PID]],Table3[[#All],[PID]],0)))</f>
        <v>Kenzaburo</v>
      </c>
      <c r="F1292" s="50" t="str">
        <f>IF($C1292="B",INDEX(Batters[[#All],[Last]],MATCH(A1292,Batters[[#All],[PID]],0)),INDEX(Table3[[#All],[Last]],MATCH(A1292,Table3[[#All],[PID]],0)))</f>
        <v>Ono</v>
      </c>
      <c r="G1292" s="56">
        <f>IF($C1292="B",INDEX(Batters[[#All],[Age]],MATCH(Table5[[#This Row],[PID]],Batters[[#All],[PID]],0)),INDEX(Table3[[#All],[Age]],MATCH(Table5[[#This Row],[PID]],Table3[[#All],[PID]],0)))</f>
        <v>21</v>
      </c>
      <c r="H1292" s="52" t="str">
        <f>IF($C1292="B",INDEX(Batters[[#All],[B]],MATCH(Table5[[#This Row],[PID]],Batters[[#All],[PID]],0)),INDEX(Table3[[#All],[B]],MATCH(Table5[[#This Row],[PID]],Table3[[#All],[PID]],0)))</f>
        <v>L</v>
      </c>
      <c r="I1292" s="70" t="str">
        <f>IF($C1292="B",INDEX(Batters[[#All],[T]],MATCH(Table5[[#This Row],[PID]],Batters[[#All],[PID]],0)),INDEX(Table3[[#All],[T]],MATCH(Table5[[#This Row],[PID]],Table3[[#All],[PID]],0)))</f>
        <v>R</v>
      </c>
      <c r="J1292" s="52" t="str">
        <f>IF($C1292="B",INDEX(Batters[[#All],[WE]],MATCH(Table5[[#This Row],[PID]],Batters[[#All],[PID]],0)),INDEX(Table3[[#All],[WE]],MATCH(Table5[[#This Row],[PID]],Table3[[#All],[PID]],0)))</f>
        <v>Normal</v>
      </c>
      <c r="K1292" s="52" t="str">
        <f>IF($C1292="B",INDEX(Batters[[#All],[INT]],MATCH(Table5[[#This Row],[PID]],Batters[[#All],[PID]],0)),INDEX(Table3[[#All],[INT]],MATCH(Table5[[#This Row],[PID]],Table3[[#All],[PID]],0)))</f>
        <v>Normal</v>
      </c>
      <c r="L1292" s="60">
        <f>IF($C1292="B",INDEX(Batters[[#All],[CON P]],MATCH(Table5[[#This Row],[PID]],Batters[[#All],[PID]],0)),INDEX(Table3[[#All],[STU P]],MATCH(Table5[[#This Row],[PID]],Table3[[#All],[PID]],0)))</f>
        <v>3</v>
      </c>
      <c r="M1292" s="56">
        <f>IF($C1292="B",INDEX(Batters[[#All],[GAP P]],MATCH(Table5[[#This Row],[PID]],Batters[[#All],[PID]],0)),INDEX(Table3[[#All],[MOV P]],MATCH(Table5[[#This Row],[PID]],Table3[[#All],[PID]],0)))</f>
        <v>4</v>
      </c>
      <c r="N1292" s="56">
        <f>IF($C1292="B",INDEX(Batters[[#All],[POW P]],MATCH(Table5[[#This Row],[PID]],Batters[[#All],[PID]],0)),INDEX(Table3[[#All],[CON P]],MATCH(Table5[[#This Row],[PID]],Table3[[#All],[PID]],0)))</f>
        <v>5</v>
      </c>
      <c r="O1292" s="56">
        <f>IF($C1292="B",INDEX(Batters[[#All],[EYE P]],MATCH(Table5[[#This Row],[PID]],Batters[[#All],[PID]],0)),INDEX(Table3[[#All],[VELO]],MATCH(Table5[[#This Row],[PID]],Table3[[#All],[PID]],0)))</f>
        <v>4</v>
      </c>
      <c r="P1292" s="56">
        <f>IF($C1292="B",INDEX(Batters[[#All],[K P]],MATCH(Table5[[#This Row],[PID]],Batters[[#All],[PID]],0)),INDEX(Table3[[#All],[STM]],MATCH(Table5[[#This Row],[PID]],Table3[[#All],[PID]],0)))</f>
        <v>3</v>
      </c>
      <c r="Q1292" s="61">
        <f>IF($C1292="B",INDEX(Batters[[#All],[Tot]],MATCH(Table5[[#This Row],[PID]],Batters[[#All],[PID]],0)),INDEX(Table3[[#All],[Tot]],MATCH(Table5[[#This Row],[PID]],Table3[[#All],[PID]],0)))</f>
        <v>37.823773696713964</v>
      </c>
      <c r="R1292" s="70">
        <f>IF($C1292="B",INDEX(Batters[[#All],[zScore]],MATCH(Table5[[#This Row],[PID]],Batters[[#All],[PID]],0)),INDEX(Table3[[#All],[zScore]],MATCH(Table5[[#This Row],[PID]],Table3[[#All],[PID]],0)))</f>
        <v>-1.3985630469698482</v>
      </c>
      <c r="S1292" s="79" t="str">
        <f>IF($C1292="B",INDEX(Batters[[#All],[DEM]],MATCH(Table5[[#This Row],[PID]],Batters[[#All],[PID]],0)),INDEX(Table3[[#All],[DEM]],MATCH(Table5[[#This Row],[PID]],Table3[[#All],[PID]],0)))</f>
        <v>-</v>
      </c>
      <c r="T1292" s="62">
        <f>IF($C1292="B",INDEX(Batters[[#All],[Rnk]],MATCH(Table5[[#This Row],[PID]],Batters[[#All],[PID]],0)),INDEX(Table3[[#All],[Rnk]],MATCH(Table5[[#This Row],[PID]],Table3[[#All],[PID]],0)))</f>
        <v>513</v>
      </c>
      <c r="U1292" s="68">
        <f>IF($C1292="B",VLOOKUP($A1292,Bat!$A$4:$BA$1621,47,FALSE),VLOOKUP($A1292,Pit!$A$4:$BF$1557,56,FALSE))</f>
        <v>0</v>
      </c>
      <c r="V1292" s="50">
        <f>IF($C1292="B",VLOOKUP($A1292,Bat!$A$4:$BA$1621,48,FALSE),VLOOKUP($A1292,Pit!$A$4:$BF$1557,57,FALSE))</f>
        <v>0</v>
      </c>
      <c r="W1292" s="50">
        <f>Table5[[#This Row],[posRnk]]+Table5[[#This Row],[zRnk]]+IF($W$3&lt;&gt;Table5[[#This Row],[Type]],50,0)</f>
        <v>1839</v>
      </c>
      <c r="X1292" s="51">
        <f>RANK(Table5[[#This Row],[zScore]],Table5[[#All],[zScore]])</f>
        <v>1276</v>
      </c>
      <c r="Y1292" s="50" t="str">
        <f>IFERROR(INDEX(DraftResults[[#All],[OVR]],MATCH(Table5[[#This Row],[PID]],DraftResults[[#All],[Player ID]],0)),"")</f>
        <v/>
      </c>
      <c r="Z12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2" s="50" t="str">
        <f>IFERROR(INDEX(DraftResults[[#All],[Pick in Round]],MATCH(Table5[[#This Row],[PID]],DraftResults[[#All],[Player ID]],0)),"")</f>
        <v/>
      </c>
      <c r="AB1292" s="50" t="str">
        <f>IFERROR(INDEX(DraftResults[[#All],[Team Name]],MATCH(Table5[[#This Row],[PID]],DraftResults[[#All],[Player ID]],0)),"")</f>
        <v/>
      </c>
      <c r="AC1292" s="50" t="str">
        <f>IF(Table5[[#This Row],[Ovr]]="","",IF(Table5[[#This Row],[cmbList]]="","",Table5[[#This Row],[cmbList]]-Table5[[#This Row],[Ovr]]))</f>
        <v/>
      </c>
      <c r="AD1292" s="54" t="str">
        <f>IF(ISERROR(VLOOKUP($AB1292&amp;"-"&amp;$E1292&amp;" "&amp;F1292,Bonuses!$B$1:$G$1006,4,FALSE)),"",INT(VLOOKUP($AB1292&amp;"-"&amp;$E1292&amp;" "&amp;$F1292,Bonuses!$B$1:$G$1006,4,FALSE)))</f>
        <v/>
      </c>
      <c r="AE12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3" spans="1:31" x14ac:dyDescent="0.25">
      <c r="A1293" s="68">
        <v>9675</v>
      </c>
      <c r="B1293" s="69">
        <f>COUNTIF(Table5[PID],A1293)</f>
        <v>1</v>
      </c>
      <c r="C1293" s="69" t="str">
        <f>IF(COUNTIF(Table3[[#All],[PID]],A1293)&gt;0,"P","B")</f>
        <v>P</v>
      </c>
      <c r="D1293" s="59" t="str">
        <f>IF($C1293="B",INDEX(Batters[[#All],[POS]],MATCH(Table5[[#This Row],[PID]],Batters[[#All],[PID]],0)),INDEX(Table3[[#All],[POS]],MATCH(Table5[[#This Row],[PID]],Table3[[#All],[PID]],0)))</f>
        <v>RP</v>
      </c>
      <c r="E1293" s="52" t="str">
        <f>IF($C1293="B",INDEX(Batters[[#All],[First]],MATCH(Table5[[#This Row],[PID]],Batters[[#All],[PID]],0)),INDEX(Table3[[#All],[First]],MATCH(Table5[[#This Row],[PID]],Table3[[#All],[PID]],0)))</f>
        <v>Edward</v>
      </c>
      <c r="F1293" s="55" t="str">
        <f>IF($C1293="B",INDEX(Batters[[#All],[Last]],MATCH(A1293,Batters[[#All],[PID]],0)),INDEX(Table3[[#All],[Last]],MATCH(A1293,Table3[[#All],[PID]],0)))</f>
        <v>Robertson</v>
      </c>
      <c r="G1293" s="56">
        <f>IF($C1293="B",INDEX(Batters[[#All],[Age]],MATCH(Table5[[#This Row],[PID]],Batters[[#All],[PID]],0)),INDEX(Table3[[#All],[Age]],MATCH(Table5[[#This Row],[PID]],Table3[[#All],[PID]],0)))</f>
        <v>22</v>
      </c>
      <c r="H1293" s="52" t="str">
        <f>IF($C1293="B",INDEX(Batters[[#All],[B]],MATCH(Table5[[#This Row],[PID]],Batters[[#All],[PID]],0)),INDEX(Table3[[#All],[B]],MATCH(Table5[[#This Row],[PID]],Table3[[#All],[PID]],0)))</f>
        <v>R</v>
      </c>
      <c r="I1293" s="70" t="str">
        <f>IF($C1293="B",INDEX(Batters[[#All],[T]],MATCH(Table5[[#This Row],[PID]],Batters[[#All],[PID]],0)),INDEX(Table3[[#All],[T]],MATCH(Table5[[#This Row],[PID]],Table3[[#All],[PID]],0)))</f>
        <v>R</v>
      </c>
      <c r="J1293" s="71" t="str">
        <f>IF($C1293="B",INDEX(Batters[[#All],[WE]],MATCH(Table5[[#This Row],[PID]],Batters[[#All],[PID]],0)),INDEX(Table3[[#All],[WE]],MATCH(Table5[[#This Row],[PID]],Table3[[#All],[PID]],0)))</f>
        <v>High</v>
      </c>
      <c r="K1293" s="52" t="str">
        <f>IF($C1293="B",INDEX(Batters[[#All],[INT]],MATCH(Table5[[#This Row],[PID]],Batters[[#All],[PID]],0)),INDEX(Table3[[#All],[INT]],MATCH(Table5[[#This Row],[PID]],Table3[[#All],[PID]],0)))</f>
        <v>Normal</v>
      </c>
      <c r="L1293" s="60">
        <f>IF($C1293="B",INDEX(Batters[[#All],[CON P]],MATCH(Table5[[#This Row],[PID]],Batters[[#All],[PID]],0)),INDEX(Table3[[#All],[STU P]],MATCH(Table5[[#This Row],[PID]],Table3[[#All],[PID]],0)))</f>
        <v>4</v>
      </c>
      <c r="M1293" s="72">
        <f>IF($C1293="B",INDEX(Batters[[#All],[GAP P]],MATCH(Table5[[#This Row],[PID]],Batters[[#All],[PID]],0)),INDEX(Table3[[#All],[MOV P]],MATCH(Table5[[#This Row],[PID]],Table3[[#All],[PID]],0)))</f>
        <v>2</v>
      </c>
      <c r="N1293" s="72">
        <f>IF($C1293="B",INDEX(Batters[[#All],[POW P]],MATCH(Table5[[#This Row],[PID]],Batters[[#All],[PID]],0)),INDEX(Table3[[#All],[CON P]],MATCH(Table5[[#This Row],[PID]],Table3[[#All],[PID]],0)))</f>
        <v>2</v>
      </c>
      <c r="O1293" s="72" t="str">
        <f>IF($C1293="B",INDEX(Batters[[#All],[EYE P]],MATCH(Table5[[#This Row],[PID]],Batters[[#All],[PID]],0)),INDEX(Table3[[#All],[VELO]],MATCH(Table5[[#This Row],[PID]],Table3[[#All],[PID]],0)))</f>
        <v>87-89 Mph</v>
      </c>
      <c r="P1293" s="56">
        <f>IF($C1293="B",INDEX(Batters[[#All],[K P]],MATCH(Table5[[#This Row],[PID]],Batters[[#All],[PID]],0)),INDEX(Table3[[#All],[STM]],MATCH(Table5[[#This Row],[PID]],Table3[[#All],[PID]],0)))</f>
        <v>4</v>
      </c>
      <c r="Q1293" s="61">
        <f>IF($C1293="B",INDEX(Batters[[#All],[Tot]],MATCH(Table5[[#This Row],[PID]],Batters[[#All],[PID]],0)),INDEX(Table3[[#All],[Tot]],MATCH(Table5[[#This Row],[PID]],Table3[[#All],[PID]],0)))</f>
        <v>17.37078953530019</v>
      </c>
      <c r="R1293" s="70">
        <f>IF($C1293="B",INDEX(Batters[[#All],[zScore]],MATCH(Table5[[#This Row],[PID]],Batters[[#All],[PID]],0)),INDEX(Table3[[#All],[zScore]],MATCH(Table5[[#This Row],[PID]],Table3[[#All],[PID]],0)))</f>
        <v>-1.399653580344457</v>
      </c>
      <c r="S1293" s="74" t="str">
        <f>IF($C1293="B",INDEX(Batters[[#All],[DEM]],MATCH(Table5[[#This Row],[PID]],Batters[[#All],[PID]],0)),INDEX(Table3[[#All],[DEM]],MATCH(Table5[[#This Row],[PID]],Table3[[#All],[PID]],0)))</f>
        <v>-</v>
      </c>
      <c r="T1293" s="75">
        <f>IF($C1293="B",INDEX(Batters[[#All],[Rnk]],MATCH(Table5[[#This Row],[PID]],Batters[[#All],[PID]],0)),INDEX(Table3[[#All],[Rnk]],MATCH(Table5[[#This Row],[PID]],Table3[[#All],[PID]],0)))</f>
        <v>763</v>
      </c>
      <c r="U1293" s="68">
        <f>IF($C1293="B",VLOOKUP($A1293,Bat!$A$4:$BA$1621,47,FALSE),VLOOKUP($A1293,Pit!$A$4:$BF$1557,56,FALSE))</f>
        <v>0</v>
      </c>
      <c r="V1293" s="50">
        <f>IF($C1293="B",VLOOKUP($A1293,Bat!$A$4:$BA$1621,48,FALSE),VLOOKUP($A1293,Pit!$A$4:$BF$1557,57,FALSE))</f>
        <v>0</v>
      </c>
      <c r="W1293" s="69">
        <f>Table5[[#This Row],[posRnk]]+Table5[[#This Row],[zRnk]]+IF($W$3&lt;&gt;Table5[[#This Row],[Type]],50,0)</f>
        <v>2090</v>
      </c>
      <c r="X1293" s="73">
        <f>RANK(Table5[[#This Row],[zScore]],Table5[[#All],[zScore]])</f>
        <v>1277</v>
      </c>
      <c r="Y1293" s="69" t="str">
        <f>IFERROR(INDEX(DraftResults[[#All],[OVR]],MATCH(Table5[[#This Row],[PID]],DraftResults[[#All],[Player ID]],0)),"")</f>
        <v/>
      </c>
      <c r="Z129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3" s="69" t="str">
        <f>IFERROR(INDEX(DraftResults[[#All],[Pick in Round]],MATCH(Table5[[#This Row],[PID]],DraftResults[[#All],[Player ID]],0)),"")</f>
        <v/>
      </c>
      <c r="AB1293" s="69" t="str">
        <f>IFERROR(INDEX(DraftResults[[#All],[Team Name]],MATCH(Table5[[#This Row],[PID]],DraftResults[[#All],[Player ID]],0)),"")</f>
        <v/>
      </c>
      <c r="AC1293" s="69" t="str">
        <f>IF(Table5[[#This Row],[Ovr]]="","",IF(Table5[[#This Row],[cmbList]]="","",Table5[[#This Row],[cmbList]]-Table5[[#This Row],[Ovr]]))</f>
        <v/>
      </c>
      <c r="AD1293" s="77" t="str">
        <f>IF(ISERROR(VLOOKUP($AB1293&amp;"-"&amp;$E1293&amp;" "&amp;F1293,Bonuses!$B$1:$G$1006,4,FALSE)),"",INT(VLOOKUP($AB1293&amp;"-"&amp;$E1293&amp;" "&amp;$F1293,Bonuses!$B$1:$G$1006,4,FALSE)))</f>
        <v/>
      </c>
      <c r="AE129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4" spans="1:31" x14ac:dyDescent="0.25">
      <c r="A1294" s="50">
        <v>6814</v>
      </c>
      <c r="B1294" s="50">
        <f>COUNTIF(Table5[PID],A1294)</f>
        <v>1</v>
      </c>
      <c r="C1294" s="50" t="str">
        <f>IF(COUNTIF(Table3[[#All],[PID]],A1294)&gt;0,"P","B")</f>
        <v>B</v>
      </c>
      <c r="D1294" s="59" t="str">
        <f>IF($C1294="B",INDEX(Batters[[#All],[POS]],MATCH(Table5[[#This Row],[PID]],Batters[[#All],[PID]],0)),INDEX(Table3[[#All],[POS]],MATCH(Table5[[#This Row],[PID]],Table3[[#All],[PID]],0)))</f>
        <v>C</v>
      </c>
      <c r="E1294" s="52" t="str">
        <f>IF($C1294="B",INDEX(Batters[[#All],[First]],MATCH(Table5[[#This Row],[PID]],Batters[[#All],[PID]],0)),INDEX(Table3[[#All],[First]],MATCH(Table5[[#This Row],[PID]],Table3[[#All],[PID]],0)))</f>
        <v>Sumio</v>
      </c>
      <c r="F1294" s="50" t="str">
        <f>IF($C1294="B",INDEX(Batters[[#All],[Last]],MATCH(A1294,Batters[[#All],[PID]],0)),INDEX(Table3[[#All],[Last]],MATCH(A1294,Table3[[#All],[PID]],0)))</f>
        <v>Tanaka</v>
      </c>
      <c r="G1294" s="56">
        <f>IF($C1294="B",INDEX(Batters[[#All],[Age]],MATCH(Table5[[#This Row],[PID]],Batters[[#All],[PID]],0)),INDEX(Table3[[#All],[Age]],MATCH(Table5[[#This Row],[PID]],Table3[[#All],[PID]],0)))</f>
        <v>22</v>
      </c>
      <c r="H1294" s="52" t="str">
        <f>IF($C1294="B",INDEX(Batters[[#All],[B]],MATCH(Table5[[#This Row],[PID]],Batters[[#All],[PID]],0)),INDEX(Table3[[#All],[B]],MATCH(Table5[[#This Row],[PID]],Table3[[#All],[PID]],0)))</f>
        <v>R</v>
      </c>
      <c r="I1294" s="70" t="str">
        <f>IF($C1294="B",INDEX(Batters[[#All],[T]],MATCH(Table5[[#This Row],[PID]],Batters[[#All],[PID]],0)),INDEX(Table3[[#All],[T]],MATCH(Table5[[#This Row],[PID]],Table3[[#All],[PID]],0)))</f>
        <v>R</v>
      </c>
      <c r="J1294" s="52" t="str">
        <f>IF($C1294="B",INDEX(Batters[[#All],[WE]],MATCH(Table5[[#This Row],[PID]],Batters[[#All],[PID]],0)),INDEX(Table3[[#All],[WE]],MATCH(Table5[[#This Row],[PID]],Table3[[#All],[PID]],0)))</f>
        <v>Low</v>
      </c>
      <c r="K1294" s="52" t="str">
        <f>IF($C1294="B",INDEX(Batters[[#All],[INT]],MATCH(Table5[[#This Row],[PID]],Batters[[#All],[PID]],0)),INDEX(Table3[[#All],[INT]],MATCH(Table5[[#This Row],[PID]],Table3[[#All],[PID]],0)))</f>
        <v>High</v>
      </c>
      <c r="L1294" s="60">
        <f>IF($C1294="B",INDEX(Batters[[#All],[CON P]],MATCH(Table5[[#This Row],[PID]],Batters[[#All],[PID]],0)),INDEX(Table3[[#All],[STU P]],MATCH(Table5[[#This Row],[PID]],Table3[[#All],[PID]],0)))</f>
        <v>3</v>
      </c>
      <c r="M1294" s="56">
        <f>IF($C1294="B",INDEX(Batters[[#All],[GAP P]],MATCH(Table5[[#This Row],[PID]],Batters[[#All],[PID]],0)),INDEX(Table3[[#All],[MOV P]],MATCH(Table5[[#This Row],[PID]],Table3[[#All],[PID]],0)))</f>
        <v>4</v>
      </c>
      <c r="N1294" s="56">
        <f>IF($C1294="B",INDEX(Batters[[#All],[POW P]],MATCH(Table5[[#This Row],[PID]],Batters[[#All],[PID]],0)),INDEX(Table3[[#All],[CON P]],MATCH(Table5[[#This Row],[PID]],Table3[[#All],[PID]],0)))</f>
        <v>3</v>
      </c>
      <c r="O1294" s="56">
        <f>IF($C1294="B",INDEX(Batters[[#All],[EYE P]],MATCH(Table5[[#This Row],[PID]],Batters[[#All],[PID]],0)),INDEX(Table3[[#All],[VELO]],MATCH(Table5[[#This Row],[PID]],Table3[[#All],[PID]],0)))</f>
        <v>6</v>
      </c>
      <c r="P1294" s="56">
        <f>IF($C1294="B",INDEX(Batters[[#All],[K P]],MATCH(Table5[[#This Row],[PID]],Batters[[#All],[PID]],0)),INDEX(Table3[[#All],[STM]],MATCH(Table5[[#This Row],[PID]],Table3[[#All],[PID]],0)))</f>
        <v>3</v>
      </c>
      <c r="Q1294" s="61">
        <f>IF($C1294="B",INDEX(Batters[[#All],[Tot]],MATCH(Table5[[#This Row],[PID]],Batters[[#All],[PID]],0)),INDEX(Table3[[#All],[Tot]],MATCH(Table5[[#This Row],[PID]],Table3[[#All],[PID]],0)))</f>
        <v>37.818736509916199</v>
      </c>
      <c r="R1294" s="70">
        <f>IF($C1294="B",INDEX(Batters[[#All],[zScore]],MATCH(Table5[[#This Row],[PID]],Batters[[#All],[PID]],0)),INDEX(Table3[[#All],[zScore]],MATCH(Table5[[#This Row],[PID]],Table3[[#All],[PID]],0)))</f>
        <v>-1.3996798253311353</v>
      </c>
      <c r="S1294" s="79" t="str">
        <f>IF($C1294="B",INDEX(Batters[[#All],[DEM]],MATCH(Table5[[#This Row],[PID]],Batters[[#All],[PID]],0)),INDEX(Table3[[#All],[DEM]],MATCH(Table5[[#This Row],[PID]],Table3[[#All],[PID]],0)))</f>
        <v>-</v>
      </c>
      <c r="T1294" s="62">
        <f>IF($C1294="B",INDEX(Batters[[#All],[Rnk]],MATCH(Table5[[#This Row],[PID]],Batters[[#All],[PID]],0)),INDEX(Table3[[#All],[Rnk]],MATCH(Table5[[#This Row],[PID]],Table3[[#All],[PID]],0)))</f>
        <v>514</v>
      </c>
      <c r="U1294" s="68">
        <f>IF($C1294="B",VLOOKUP($A1294,Bat!$A$4:$BA$1621,47,FALSE),VLOOKUP($A1294,Pit!$A$4:$BF$1557,56,FALSE))</f>
        <v>0</v>
      </c>
      <c r="V1294" s="50">
        <f>IF($C1294="B",VLOOKUP($A1294,Bat!$A$4:$BA$1621,48,FALSE),VLOOKUP($A1294,Pit!$A$4:$BF$1557,57,FALSE))</f>
        <v>0</v>
      </c>
      <c r="W1294" s="50">
        <f>Table5[[#This Row],[posRnk]]+Table5[[#This Row],[zRnk]]+IF($W$3&lt;&gt;Table5[[#This Row],[Type]],50,0)</f>
        <v>1842</v>
      </c>
      <c r="X1294" s="51">
        <f>RANK(Table5[[#This Row],[zScore]],Table5[[#All],[zScore]])</f>
        <v>1278</v>
      </c>
      <c r="Y1294" s="50" t="str">
        <f>IFERROR(INDEX(DraftResults[[#All],[OVR]],MATCH(Table5[[#This Row],[PID]],DraftResults[[#All],[Player ID]],0)),"")</f>
        <v/>
      </c>
      <c r="Z12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4" s="50" t="str">
        <f>IFERROR(INDEX(DraftResults[[#All],[Pick in Round]],MATCH(Table5[[#This Row],[PID]],DraftResults[[#All],[Player ID]],0)),"")</f>
        <v/>
      </c>
      <c r="AB1294" s="50" t="str">
        <f>IFERROR(INDEX(DraftResults[[#All],[Team Name]],MATCH(Table5[[#This Row],[PID]],DraftResults[[#All],[Player ID]],0)),"")</f>
        <v/>
      </c>
      <c r="AC1294" s="50" t="str">
        <f>IF(Table5[[#This Row],[Ovr]]="","",IF(Table5[[#This Row],[cmbList]]="","",Table5[[#This Row],[cmbList]]-Table5[[#This Row],[Ovr]]))</f>
        <v/>
      </c>
      <c r="AD1294" s="54" t="str">
        <f>IF(ISERROR(VLOOKUP($AB1294&amp;"-"&amp;$E1294&amp;" "&amp;F1294,Bonuses!$B$1:$G$1006,4,FALSE)),"",INT(VLOOKUP($AB1294&amp;"-"&amp;$E1294&amp;" "&amp;$F1294,Bonuses!$B$1:$G$1006,4,FALSE)))</f>
        <v/>
      </c>
      <c r="AE12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5" spans="1:31" x14ac:dyDescent="0.25">
      <c r="A1295" s="68">
        <v>17985</v>
      </c>
      <c r="B1295" s="69">
        <f>COUNTIF(Table5[PID],A1295)</f>
        <v>1</v>
      </c>
      <c r="C1295" s="69" t="str">
        <f>IF(COUNTIF(Table3[[#All],[PID]],A1295)&gt;0,"P","B")</f>
        <v>P</v>
      </c>
      <c r="D1295" s="59" t="str">
        <f>IF($C1295="B",INDEX(Batters[[#All],[POS]],MATCH(Table5[[#This Row],[PID]],Batters[[#All],[PID]],0)),INDEX(Table3[[#All],[POS]],MATCH(Table5[[#This Row],[PID]],Table3[[#All],[PID]],0)))</f>
        <v>RP</v>
      </c>
      <c r="E1295" s="52" t="str">
        <f>IF($C1295="B",INDEX(Batters[[#All],[First]],MATCH(Table5[[#This Row],[PID]],Batters[[#All],[PID]],0)),INDEX(Table3[[#All],[First]],MATCH(Table5[[#This Row],[PID]],Table3[[#All],[PID]],0)))</f>
        <v>Terry</v>
      </c>
      <c r="F1295" s="55" t="str">
        <f>IF($C1295="B",INDEX(Batters[[#All],[Last]],MATCH(A1295,Batters[[#All],[PID]],0)),INDEX(Table3[[#All],[Last]],MATCH(A1295,Table3[[#All],[PID]],0)))</f>
        <v>Guerrero</v>
      </c>
      <c r="G1295" s="56">
        <f>IF($C1295="B",INDEX(Batters[[#All],[Age]],MATCH(Table5[[#This Row],[PID]],Batters[[#All],[PID]],0)),INDEX(Table3[[#All],[Age]],MATCH(Table5[[#This Row],[PID]],Table3[[#All],[PID]],0)))</f>
        <v>21</v>
      </c>
      <c r="H1295" s="52" t="str">
        <f>IF($C1295="B",INDEX(Batters[[#All],[B]],MATCH(Table5[[#This Row],[PID]],Batters[[#All],[PID]],0)),INDEX(Table3[[#All],[B]],MATCH(Table5[[#This Row],[PID]],Table3[[#All],[PID]],0)))</f>
        <v>L</v>
      </c>
      <c r="I1295" s="70" t="str">
        <f>IF($C1295="B",INDEX(Batters[[#All],[T]],MATCH(Table5[[#This Row],[PID]],Batters[[#All],[PID]],0)),INDEX(Table3[[#All],[T]],MATCH(Table5[[#This Row],[PID]],Table3[[#All],[PID]],0)))</f>
        <v>R</v>
      </c>
      <c r="J1295" s="71" t="str">
        <f>IF($C1295="B",INDEX(Batters[[#All],[WE]],MATCH(Table5[[#This Row],[PID]],Batters[[#All],[PID]],0)),INDEX(Table3[[#All],[WE]],MATCH(Table5[[#This Row],[PID]],Table3[[#All],[PID]],0)))</f>
        <v>Normal</v>
      </c>
      <c r="K1295" s="52" t="str">
        <f>IF($C1295="B",INDEX(Batters[[#All],[INT]],MATCH(Table5[[#This Row],[PID]],Batters[[#All],[PID]],0)),INDEX(Table3[[#All],[INT]],MATCH(Table5[[#This Row],[PID]],Table3[[#All],[PID]],0)))</f>
        <v>High</v>
      </c>
      <c r="L1295" s="60">
        <f>IF($C1295="B",INDEX(Batters[[#All],[CON P]],MATCH(Table5[[#This Row],[PID]],Batters[[#All],[PID]],0)),INDEX(Table3[[#All],[STU P]],MATCH(Table5[[#This Row],[PID]],Table3[[#All],[PID]],0)))</f>
        <v>4</v>
      </c>
      <c r="M1295" s="72">
        <f>IF($C1295="B",INDEX(Batters[[#All],[GAP P]],MATCH(Table5[[#This Row],[PID]],Batters[[#All],[PID]],0)),INDEX(Table3[[#All],[MOV P]],MATCH(Table5[[#This Row],[PID]],Table3[[#All],[PID]],0)))</f>
        <v>2</v>
      </c>
      <c r="N1295" s="72">
        <f>IF($C1295="B",INDEX(Batters[[#All],[POW P]],MATCH(Table5[[#This Row],[PID]],Batters[[#All],[PID]],0)),INDEX(Table3[[#All],[CON P]],MATCH(Table5[[#This Row],[PID]],Table3[[#All],[PID]],0)))</f>
        <v>2</v>
      </c>
      <c r="O1295" s="72" t="str">
        <f>IF($C1295="B",INDEX(Batters[[#All],[EYE P]],MATCH(Table5[[#This Row],[PID]],Batters[[#All],[PID]],0)),INDEX(Table3[[#All],[VELO]],MATCH(Table5[[#This Row],[PID]],Table3[[#All],[PID]],0)))</f>
        <v>90-92 Mph</v>
      </c>
      <c r="P1295" s="56">
        <f>IF($C1295="B",INDEX(Batters[[#All],[K P]],MATCH(Table5[[#This Row],[PID]],Batters[[#All],[PID]],0)),INDEX(Table3[[#All],[STM]],MATCH(Table5[[#This Row],[PID]],Table3[[#All],[PID]],0)))</f>
        <v>8</v>
      </c>
      <c r="Q1295" s="61">
        <f>IF($C1295="B",INDEX(Batters[[#All],[Tot]],MATCH(Table5[[#This Row],[PID]],Batters[[#All],[PID]],0)),INDEX(Table3[[#All],[Tot]],MATCH(Table5[[#This Row],[PID]],Table3[[#All],[PID]],0)))</f>
        <v>17.365376792931514</v>
      </c>
      <c r="R1295" s="70">
        <f>IF($C1295="B",INDEX(Batters[[#All],[zScore]],MATCH(Table5[[#This Row],[PID]],Batters[[#All],[PID]],0)),INDEX(Table3[[#All],[zScore]],MATCH(Table5[[#This Row],[PID]],Table3[[#All],[PID]],0)))</f>
        <v>-1.4000243516041282</v>
      </c>
      <c r="S1295" s="74" t="str">
        <f>IF($C1295="B",INDEX(Batters[[#All],[DEM]],MATCH(Table5[[#This Row],[PID]],Batters[[#All],[PID]],0)),INDEX(Table3[[#All],[DEM]],MATCH(Table5[[#This Row],[PID]],Table3[[#All],[PID]],0)))</f>
        <v>-</v>
      </c>
      <c r="T1295" s="75">
        <f>IF($C1295="B",INDEX(Batters[[#All],[Rnk]],MATCH(Table5[[#This Row],[PID]],Batters[[#All],[PID]],0)),INDEX(Table3[[#All],[Rnk]],MATCH(Table5[[#This Row],[PID]],Table3[[#All],[PID]],0)))</f>
        <v>764</v>
      </c>
      <c r="U1295" s="68">
        <f>IF($C1295="B",VLOOKUP($A1295,Bat!$A$4:$BA$1621,47,FALSE),VLOOKUP($A1295,Pit!$A$4:$BF$1557,56,FALSE))</f>
        <v>0</v>
      </c>
      <c r="V1295" s="50">
        <f>IF($C1295="B",VLOOKUP($A1295,Bat!$A$4:$BA$1621,48,FALSE),VLOOKUP($A1295,Pit!$A$4:$BF$1557,57,FALSE))</f>
        <v>0</v>
      </c>
      <c r="W1295" s="69">
        <f>Table5[[#This Row],[posRnk]]+Table5[[#This Row],[zRnk]]+IF($W$3&lt;&gt;Table5[[#This Row],[Type]],50,0)</f>
        <v>2093</v>
      </c>
      <c r="X1295" s="73">
        <f>RANK(Table5[[#This Row],[zScore]],Table5[[#All],[zScore]])</f>
        <v>1279</v>
      </c>
      <c r="Y1295" s="69" t="str">
        <f>IFERROR(INDEX(DraftResults[[#All],[OVR]],MATCH(Table5[[#This Row],[PID]],DraftResults[[#All],[Player ID]],0)),"")</f>
        <v/>
      </c>
      <c r="Z129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5" s="69" t="str">
        <f>IFERROR(INDEX(DraftResults[[#All],[Pick in Round]],MATCH(Table5[[#This Row],[PID]],DraftResults[[#All],[Player ID]],0)),"")</f>
        <v/>
      </c>
      <c r="AB1295" s="69" t="str">
        <f>IFERROR(INDEX(DraftResults[[#All],[Team Name]],MATCH(Table5[[#This Row],[PID]],DraftResults[[#All],[Player ID]],0)),"")</f>
        <v/>
      </c>
      <c r="AC1295" s="69" t="str">
        <f>IF(Table5[[#This Row],[Ovr]]="","",IF(Table5[[#This Row],[cmbList]]="","",Table5[[#This Row],[cmbList]]-Table5[[#This Row],[Ovr]]))</f>
        <v/>
      </c>
      <c r="AD1295" s="77" t="str">
        <f>IF(ISERROR(VLOOKUP($AB1295&amp;"-"&amp;$E1295&amp;" "&amp;F1295,Bonuses!$B$1:$G$1006,4,FALSE)),"",INT(VLOOKUP($AB1295&amp;"-"&amp;$E1295&amp;" "&amp;$F1295,Bonuses!$B$1:$G$1006,4,FALSE)))</f>
        <v/>
      </c>
      <c r="AE129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6" spans="1:31" x14ac:dyDescent="0.25">
      <c r="A1296" s="50">
        <v>18064</v>
      </c>
      <c r="B1296" s="50">
        <f>COUNTIF(Table5[PID],A1296)</f>
        <v>1</v>
      </c>
      <c r="C1296" s="50" t="str">
        <f>IF(COUNTIF(Table3[[#All],[PID]],A1296)&gt;0,"P","B")</f>
        <v>B</v>
      </c>
      <c r="D1296" s="59" t="str">
        <f>IF($C1296="B",INDEX(Batters[[#All],[POS]],MATCH(Table5[[#This Row],[PID]],Batters[[#All],[PID]],0)),INDEX(Table3[[#All],[POS]],MATCH(Table5[[#This Row],[PID]],Table3[[#All],[PID]],0)))</f>
        <v>RF</v>
      </c>
      <c r="E1296" s="52" t="str">
        <f>IF($C1296="B",INDEX(Batters[[#All],[First]],MATCH(Table5[[#This Row],[PID]],Batters[[#All],[PID]],0)),INDEX(Table3[[#All],[First]],MATCH(Table5[[#This Row],[PID]],Table3[[#All],[PID]],0)))</f>
        <v>Josh</v>
      </c>
      <c r="F1296" s="50" t="str">
        <f>IF($C1296="B",INDEX(Batters[[#All],[Last]],MATCH(A1296,Batters[[#All],[PID]],0)),INDEX(Table3[[#All],[Last]],MATCH(A1296,Table3[[#All],[PID]],0)))</f>
        <v>Norris</v>
      </c>
      <c r="G1296" s="56">
        <f>IF($C1296="B",INDEX(Batters[[#All],[Age]],MATCH(Table5[[#This Row],[PID]],Batters[[#All],[PID]],0)),INDEX(Table3[[#All],[Age]],MATCH(Table5[[#This Row],[PID]],Table3[[#All],[PID]],0)))</f>
        <v>22</v>
      </c>
      <c r="H1296" s="52" t="str">
        <f>IF($C1296="B",INDEX(Batters[[#All],[B]],MATCH(Table5[[#This Row],[PID]],Batters[[#All],[PID]],0)),INDEX(Table3[[#All],[B]],MATCH(Table5[[#This Row],[PID]],Table3[[#All],[PID]],0)))</f>
        <v>R</v>
      </c>
      <c r="I1296" s="70" t="str">
        <f>IF($C1296="B",INDEX(Batters[[#All],[T]],MATCH(Table5[[#This Row],[PID]],Batters[[#All],[PID]],0)),INDEX(Table3[[#All],[T]],MATCH(Table5[[#This Row],[PID]],Table3[[#All],[PID]],0)))</f>
        <v>L</v>
      </c>
      <c r="J1296" s="52" t="str">
        <f>IF($C1296="B",INDEX(Batters[[#All],[WE]],MATCH(Table5[[#This Row],[PID]],Batters[[#All],[PID]],0)),INDEX(Table3[[#All],[WE]],MATCH(Table5[[#This Row],[PID]],Table3[[#All],[PID]],0)))</f>
        <v>Low</v>
      </c>
      <c r="K1296" s="52" t="str">
        <f>IF($C1296="B",INDEX(Batters[[#All],[INT]],MATCH(Table5[[#This Row],[PID]],Batters[[#All],[PID]],0)),INDEX(Table3[[#All],[INT]],MATCH(Table5[[#This Row],[PID]],Table3[[#All],[PID]],0)))</f>
        <v>Normal</v>
      </c>
      <c r="L1296" s="60">
        <f>IF($C1296="B",INDEX(Batters[[#All],[CON P]],MATCH(Table5[[#This Row],[PID]],Batters[[#All],[PID]],0)),INDEX(Table3[[#All],[STU P]],MATCH(Table5[[#This Row],[PID]],Table3[[#All],[PID]],0)))</f>
        <v>3</v>
      </c>
      <c r="M1296" s="56">
        <f>IF($C1296="B",INDEX(Batters[[#All],[GAP P]],MATCH(Table5[[#This Row],[PID]],Batters[[#All],[PID]],0)),INDEX(Table3[[#All],[MOV P]],MATCH(Table5[[#This Row],[PID]],Table3[[#All],[PID]],0)))</f>
        <v>4</v>
      </c>
      <c r="N1296" s="56">
        <f>IF($C1296="B",INDEX(Batters[[#All],[POW P]],MATCH(Table5[[#This Row],[PID]],Batters[[#All],[PID]],0)),INDEX(Table3[[#All],[CON P]],MATCH(Table5[[#This Row],[PID]],Table3[[#All],[PID]],0)))</f>
        <v>5</v>
      </c>
      <c r="O1296" s="56">
        <f>IF($C1296="B",INDEX(Batters[[#All],[EYE P]],MATCH(Table5[[#This Row],[PID]],Batters[[#All],[PID]],0)),INDEX(Table3[[#All],[VELO]],MATCH(Table5[[#This Row],[PID]],Table3[[#All],[PID]],0)))</f>
        <v>4</v>
      </c>
      <c r="P1296" s="56">
        <f>IF($C1296="B",INDEX(Batters[[#All],[K P]],MATCH(Table5[[#This Row],[PID]],Batters[[#All],[PID]],0)),INDEX(Table3[[#All],[STM]],MATCH(Table5[[#This Row],[PID]],Table3[[#All],[PID]],0)))</f>
        <v>3</v>
      </c>
      <c r="Q1296" s="61">
        <f>IF($C1296="B",INDEX(Batters[[#All],[Tot]],MATCH(Table5[[#This Row],[PID]],Batters[[#All],[PID]],0)),INDEX(Table3[[#All],[Tot]],MATCH(Table5[[#This Row],[PID]],Table3[[#All],[PID]],0)))</f>
        <v>37.798773696713965</v>
      </c>
      <c r="R1296" s="70">
        <f>IF($C1296="B",INDEX(Batters[[#All],[zScore]],MATCH(Table5[[#This Row],[PID]],Batters[[#All],[PID]],0)),INDEX(Table3[[#All],[zScore]],MATCH(Table5[[#This Row],[PID]],Table3[[#All],[PID]],0)))</f>
        <v>-1.4041057159541648</v>
      </c>
      <c r="S1296" s="79" t="str">
        <f>IF($C1296="B",INDEX(Batters[[#All],[DEM]],MATCH(Table5[[#This Row],[PID]],Batters[[#All],[PID]],0)),INDEX(Table3[[#All],[DEM]],MATCH(Table5[[#This Row],[PID]],Table3[[#All],[PID]],0)))</f>
        <v>-</v>
      </c>
      <c r="T1296" s="62">
        <f>IF($C1296="B",INDEX(Batters[[#All],[Rnk]],MATCH(Table5[[#This Row],[PID]],Batters[[#All],[PID]],0)),INDEX(Table3[[#All],[Rnk]],MATCH(Table5[[#This Row],[PID]],Table3[[#All],[PID]],0)))</f>
        <v>515</v>
      </c>
      <c r="U1296" s="68">
        <f>IF($C1296="B",VLOOKUP($A1296,Bat!$A$4:$BA$1621,47,FALSE),VLOOKUP($A1296,Pit!$A$4:$BF$1557,56,FALSE))</f>
        <v>0</v>
      </c>
      <c r="V1296" s="50">
        <f>IF($C1296="B",VLOOKUP($A1296,Bat!$A$4:$BA$1621,48,FALSE),VLOOKUP($A1296,Pit!$A$4:$BF$1557,57,FALSE))</f>
        <v>0</v>
      </c>
      <c r="W1296" s="50">
        <f>Table5[[#This Row],[posRnk]]+Table5[[#This Row],[zRnk]]+IF($W$3&lt;&gt;Table5[[#This Row],[Type]],50,0)</f>
        <v>1845</v>
      </c>
      <c r="X1296" s="51">
        <f>RANK(Table5[[#This Row],[zScore]],Table5[[#All],[zScore]])</f>
        <v>1280</v>
      </c>
      <c r="Y1296" s="50" t="str">
        <f>IFERROR(INDEX(DraftResults[[#All],[OVR]],MATCH(Table5[[#This Row],[PID]],DraftResults[[#All],[Player ID]],0)),"")</f>
        <v/>
      </c>
      <c r="Z12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6" s="50" t="str">
        <f>IFERROR(INDEX(DraftResults[[#All],[Pick in Round]],MATCH(Table5[[#This Row],[PID]],DraftResults[[#All],[Player ID]],0)),"")</f>
        <v/>
      </c>
      <c r="AB1296" s="50" t="str">
        <f>IFERROR(INDEX(DraftResults[[#All],[Team Name]],MATCH(Table5[[#This Row],[PID]],DraftResults[[#All],[Player ID]],0)),"")</f>
        <v/>
      </c>
      <c r="AC1296" s="50" t="str">
        <f>IF(Table5[[#This Row],[Ovr]]="","",IF(Table5[[#This Row],[cmbList]]="","",Table5[[#This Row],[cmbList]]-Table5[[#This Row],[Ovr]]))</f>
        <v/>
      </c>
      <c r="AD1296" s="54" t="str">
        <f>IF(ISERROR(VLOOKUP($AB1296&amp;"-"&amp;$E1296&amp;" "&amp;F1296,Bonuses!$B$1:$G$1006,4,FALSE)),"",INT(VLOOKUP($AB1296&amp;"-"&amp;$E1296&amp;" "&amp;$F1296,Bonuses!$B$1:$G$1006,4,FALSE)))</f>
        <v/>
      </c>
      <c r="AE12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7" spans="1:31" x14ac:dyDescent="0.25">
      <c r="A1297" s="50">
        <v>15134</v>
      </c>
      <c r="B1297" s="50">
        <f>COUNTIF(Table5[PID],A1297)</f>
        <v>1</v>
      </c>
      <c r="C1297" s="50" t="str">
        <f>IF(COUNTIF(Table3[[#All],[PID]],A1297)&gt;0,"P","B")</f>
        <v>B</v>
      </c>
      <c r="D1297" s="59" t="str">
        <f>IF($C1297="B",INDEX(Batters[[#All],[POS]],MATCH(Table5[[#This Row],[PID]],Batters[[#All],[PID]],0)),INDEX(Table3[[#All],[POS]],MATCH(Table5[[#This Row],[PID]],Table3[[#All],[PID]],0)))</f>
        <v>1B</v>
      </c>
      <c r="E1297" s="52" t="str">
        <f>IF($C1297="B",INDEX(Batters[[#All],[First]],MATCH(Table5[[#This Row],[PID]],Batters[[#All],[PID]],0)),INDEX(Table3[[#All],[First]],MATCH(Table5[[#This Row],[PID]],Table3[[#All],[PID]],0)))</f>
        <v>Shunen</v>
      </c>
      <c r="F1297" s="50" t="str">
        <f>IF($C1297="B",INDEX(Batters[[#All],[Last]],MATCH(A1297,Batters[[#All],[PID]],0)),INDEX(Table3[[#All],[Last]],MATCH(A1297,Table3[[#All],[PID]],0)))</f>
        <v>Tada</v>
      </c>
      <c r="G1297" s="56">
        <f>IF($C1297="B",INDEX(Batters[[#All],[Age]],MATCH(Table5[[#This Row],[PID]],Batters[[#All],[PID]],0)),INDEX(Table3[[#All],[Age]],MATCH(Table5[[#This Row],[PID]],Table3[[#All],[PID]],0)))</f>
        <v>22</v>
      </c>
      <c r="H1297" s="52" t="str">
        <f>IF($C1297="B",INDEX(Batters[[#All],[B]],MATCH(Table5[[#This Row],[PID]],Batters[[#All],[PID]],0)),INDEX(Table3[[#All],[B]],MATCH(Table5[[#This Row],[PID]],Table3[[#All],[PID]],0)))</f>
        <v>S</v>
      </c>
      <c r="I1297" s="70" t="str">
        <f>IF($C1297="B",INDEX(Batters[[#All],[T]],MATCH(Table5[[#This Row],[PID]],Batters[[#All],[PID]],0)),INDEX(Table3[[#All],[T]],MATCH(Table5[[#This Row],[PID]],Table3[[#All],[PID]],0)))</f>
        <v>R</v>
      </c>
      <c r="J1297" s="52" t="str">
        <f>IF($C1297="B",INDEX(Batters[[#All],[WE]],MATCH(Table5[[#This Row],[PID]],Batters[[#All],[PID]],0)),INDEX(Table3[[#All],[WE]],MATCH(Table5[[#This Row],[PID]],Table3[[#All],[PID]],0)))</f>
        <v>Normal</v>
      </c>
      <c r="K1297" s="52" t="str">
        <f>IF($C1297="B",INDEX(Batters[[#All],[INT]],MATCH(Table5[[#This Row],[PID]],Batters[[#All],[PID]],0)),INDEX(Table3[[#All],[INT]],MATCH(Table5[[#This Row],[PID]],Table3[[#All],[PID]],0)))</f>
        <v>Normal</v>
      </c>
      <c r="L1297" s="60">
        <f>IF($C1297="B",INDEX(Batters[[#All],[CON P]],MATCH(Table5[[#This Row],[PID]],Batters[[#All],[PID]],0)),INDEX(Table3[[#All],[STU P]],MATCH(Table5[[#This Row],[PID]],Table3[[#All],[PID]],0)))</f>
        <v>3</v>
      </c>
      <c r="M1297" s="56">
        <f>IF($C1297="B",INDEX(Batters[[#All],[GAP P]],MATCH(Table5[[#This Row],[PID]],Batters[[#All],[PID]],0)),INDEX(Table3[[#All],[MOV P]],MATCH(Table5[[#This Row],[PID]],Table3[[#All],[PID]],0)))</f>
        <v>5</v>
      </c>
      <c r="N1297" s="56">
        <f>IF($C1297="B",INDEX(Batters[[#All],[POW P]],MATCH(Table5[[#This Row],[PID]],Batters[[#All],[PID]],0)),INDEX(Table3[[#All],[CON P]],MATCH(Table5[[#This Row],[PID]],Table3[[#All],[PID]],0)))</f>
        <v>3</v>
      </c>
      <c r="O1297" s="56">
        <f>IF($C1297="B",INDEX(Batters[[#All],[EYE P]],MATCH(Table5[[#This Row],[PID]],Batters[[#All],[PID]],0)),INDEX(Table3[[#All],[VELO]],MATCH(Table5[[#This Row],[PID]],Table3[[#All],[PID]],0)))</f>
        <v>5</v>
      </c>
      <c r="P1297" s="56">
        <f>IF($C1297="B",INDEX(Batters[[#All],[K P]],MATCH(Table5[[#This Row],[PID]],Batters[[#All],[PID]],0)),INDEX(Table3[[#All],[STM]],MATCH(Table5[[#This Row],[PID]],Table3[[#All],[PID]],0)))</f>
        <v>4</v>
      </c>
      <c r="Q1297" s="61">
        <f>IF($C1297="B",INDEX(Batters[[#All],[Tot]],MATCH(Table5[[#This Row],[PID]],Batters[[#All],[PID]],0)),INDEX(Table3[[#All],[Tot]],MATCH(Table5[[#This Row],[PID]],Table3[[#All],[PID]],0)))</f>
        <v>37.788804016447571</v>
      </c>
      <c r="R1297" s="70">
        <f>IF($C1297="B",INDEX(Batters[[#All],[zScore]],MATCH(Table5[[#This Row],[PID]],Batters[[#All],[PID]],0)),INDEX(Table3[[#All],[zScore]],MATCH(Table5[[#This Row],[PID]],Table3[[#All],[PID]],0)))</f>
        <v>-1.4063160614580088</v>
      </c>
      <c r="S1297" s="79" t="str">
        <f>IF($C1297="B",INDEX(Batters[[#All],[DEM]],MATCH(Table5[[#This Row],[PID]],Batters[[#All],[PID]],0)),INDEX(Table3[[#All],[DEM]],MATCH(Table5[[#This Row],[PID]],Table3[[#All],[PID]],0)))</f>
        <v>-</v>
      </c>
      <c r="T1297" s="62">
        <f>IF($C1297="B",INDEX(Batters[[#All],[Rnk]],MATCH(Table5[[#This Row],[PID]],Batters[[#All],[PID]],0)),INDEX(Table3[[#All],[Rnk]],MATCH(Table5[[#This Row],[PID]],Table3[[#All],[PID]],0)))</f>
        <v>516</v>
      </c>
      <c r="U1297" s="68">
        <f>IF($C1297="B",VLOOKUP($A1297,Bat!$A$4:$BA$1621,47,FALSE),VLOOKUP($A1297,Pit!$A$4:$BF$1557,56,FALSE))</f>
        <v>0</v>
      </c>
      <c r="V1297" s="50">
        <f>IF($C1297="B",VLOOKUP($A1297,Bat!$A$4:$BA$1621,48,FALSE),VLOOKUP($A1297,Pit!$A$4:$BF$1557,57,FALSE))</f>
        <v>0</v>
      </c>
      <c r="W1297" s="50">
        <f>Table5[[#This Row],[posRnk]]+Table5[[#This Row],[zRnk]]+IF($W$3&lt;&gt;Table5[[#This Row],[Type]],50,0)</f>
        <v>1847</v>
      </c>
      <c r="X1297" s="51">
        <f>RANK(Table5[[#This Row],[zScore]],Table5[[#All],[zScore]])</f>
        <v>1281</v>
      </c>
      <c r="Y1297" s="50" t="str">
        <f>IFERROR(INDEX(DraftResults[[#All],[OVR]],MATCH(Table5[[#This Row],[PID]],DraftResults[[#All],[Player ID]],0)),"")</f>
        <v/>
      </c>
      <c r="Z12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7" s="50" t="str">
        <f>IFERROR(INDEX(DraftResults[[#All],[Pick in Round]],MATCH(Table5[[#This Row],[PID]],DraftResults[[#All],[Player ID]],0)),"")</f>
        <v/>
      </c>
      <c r="AB1297" s="50" t="str">
        <f>IFERROR(INDEX(DraftResults[[#All],[Team Name]],MATCH(Table5[[#This Row],[PID]],DraftResults[[#All],[Player ID]],0)),"")</f>
        <v/>
      </c>
      <c r="AC1297" s="50" t="str">
        <f>IF(Table5[[#This Row],[Ovr]]="","",IF(Table5[[#This Row],[cmbList]]="","",Table5[[#This Row],[cmbList]]-Table5[[#This Row],[Ovr]]))</f>
        <v/>
      </c>
      <c r="AD1297" s="54" t="str">
        <f>IF(ISERROR(VLOOKUP($AB1297&amp;"-"&amp;$E1297&amp;" "&amp;F1297,Bonuses!$B$1:$G$1006,4,FALSE)),"",INT(VLOOKUP($AB1297&amp;"-"&amp;$E1297&amp;" "&amp;$F1297,Bonuses!$B$1:$G$1006,4,FALSE)))</f>
        <v/>
      </c>
      <c r="AE12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8" spans="1:31" x14ac:dyDescent="0.25">
      <c r="A1298" s="50">
        <v>18089</v>
      </c>
      <c r="B1298" s="50">
        <f>COUNTIF(Table5[PID],A1298)</f>
        <v>1</v>
      </c>
      <c r="C1298" s="50" t="str">
        <f>IF(COUNTIF(Table3[[#All],[PID]],A1298)&gt;0,"P","B")</f>
        <v>B</v>
      </c>
      <c r="D1298" s="59" t="str">
        <f>IF($C1298="B",INDEX(Batters[[#All],[POS]],MATCH(Table5[[#This Row],[PID]],Batters[[#All],[PID]],0)),INDEX(Table3[[#All],[POS]],MATCH(Table5[[#This Row],[PID]],Table3[[#All],[PID]],0)))</f>
        <v>LF</v>
      </c>
      <c r="E1298" s="52" t="str">
        <f>IF($C1298="B",INDEX(Batters[[#All],[First]],MATCH(Table5[[#This Row],[PID]],Batters[[#All],[PID]],0)),INDEX(Table3[[#All],[First]],MATCH(Table5[[#This Row],[PID]],Table3[[#All],[PID]],0)))</f>
        <v>Brennan</v>
      </c>
      <c r="F1298" s="50" t="str">
        <f>IF($C1298="B",INDEX(Batters[[#All],[Last]],MATCH(A1298,Batters[[#All],[PID]],0)),INDEX(Table3[[#All],[Last]],MATCH(A1298,Table3[[#All],[PID]],0)))</f>
        <v>Sterling</v>
      </c>
      <c r="G1298" s="56">
        <f>IF($C1298="B",INDEX(Batters[[#All],[Age]],MATCH(Table5[[#This Row],[PID]],Batters[[#All],[PID]],0)),INDEX(Table3[[#All],[Age]],MATCH(Table5[[#This Row],[PID]],Table3[[#All],[PID]],0)))</f>
        <v>21</v>
      </c>
      <c r="H1298" s="52" t="str">
        <f>IF($C1298="B",INDEX(Batters[[#All],[B]],MATCH(Table5[[#This Row],[PID]],Batters[[#All],[PID]],0)),INDEX(Table3[[#All],[B]],MATCH(Table5[[#This Row],[PID]],Table3[[#All],[PID]],0)))</f>
        <v>L</v>
      </c>
      <c r="I1298" s="70" t="str">
        <f>IF($C1298="B",INDEX(Batters[[#All],[T]],MATCH(Table5[[#This Row],[PID]],Batters[[#All],[PID]],0)),INDEX(Table3[[#All],[T]],MATCH(Table5[[#This Row],[PID]],Table3[[#All],[PID]],0)))</f>
        <v>L</v>
      </c>
      <c r="J1298" s="52" t="str">
        <f>IF($C1298="B",INDEX(Batters[[#All],[WE]],MATCH(Table5[[#This Row],[PID]],Batters[[#All],[PID]],0)),INDEX(Table3[[#All],[WE]],MATCH(Table5[[#This Row],[PID]],Table3[[#All],[PID]],0)))</f>
        <v>Low</v>
      </c>
      <c r="K1298" s="52" t="str">
        <f>IF($C1298="B",INDEX(Batters[[#All],[INT]],MATCH(Table5[[#This Row],[PID]],Batters[[#All],[PID]],0)),INDEX(Table3[[#All],[INT]],MATCH(Table5[[#This Row],[PID]],Table3[[#All],[PID]],0)))</f>
        <v>Normal</v>
      </c>
      <c r="L1298" s="60">
        <f>IF($C1298="B",INDEX(Batters[[#All],[CON P]],MATCH(Table5[[#This Row],[PID]],Batters[[#All],[PID]],0)),INDEX(Table3[[#All],[STU P]],MATCH(Table5[[#This Row],[PID]],Table3[[#All],[PID]],0)))</f>
        <v>3</v>
      </c>
      <c r="M1298" s="56">
        <f>IF($C1298="B",INDEX(Batters[[#All],[GAP P]],MATCH(Table5[[#This Row],[PID]],Batters[[#All],[PID]],0)),INDEX(Table3[[#All],[MOV P]],MATCH(Table5[[#This Row],[PID]],Table3[[#All],[PID]],0)))</f>
        <v>3</v>
      </c>
      <c r="N1298" s="56">
        <f>IF($C1298="B",INDEX(Batters[[#All],[POW P]],MATCH(Table5[[#This Row],[PID]],Batters[[#All],[PID]],0)),INDEX(Table3[[#All],[CON P]],MATCH(Table5[[#This Row],[PID]],Table3[[#All],[PID]],0)))</f>
        <v>5</v>
      </c>
      <c r="O1298" s="56">
        <f>IF($C1298="B",INDEX(Batters[[#All],[EYE P]],MATCH(Table5[[#This Row],[PID]],Batters[[#All],[PID]],0)),INDEX(Table3[[#All],[VELO]],MATCH(Table5[[#This Row],[PID]],Table3[[#All],[PID]],0)))</f>
        <v>5</v>
      </c>
      <c r="P1298" s="56">
        <f>IF($C1298="B",INDEX(Batters[[#All],[K P]],MATCH(Table5[[#This Row],[PID]],Batters[[#All],[PID]],0)),INDEX(Table3[[#All],[STM]],MATCH(Table5[[#This Row],[PID]],Table3[[#All],[PID]],0)))</f>
        <v>3</v>
      </c>
      <c r="Q1298" s="61">
        <f>IF($C1298="B",INDEX(Batters[[#All],[Tot]],MATCH(Table5[[#This Row],[PID]],Batters[[#All],[PID]],0)),INDEX(Table3[[#All],[Tot]],MATCH(Table5[[#This Row],[PID]],Table3[[#All],[PID]],0)))</f>
        <v>37.762569741404498</v>
      </c>
      <c r="R1298" s="70">
        <f>IF($C1298="B",INDEX(Batters[[#All],[zScore]],MATCH(Table5[[#This Row],[PID]],Batters[[#All],[PID]],0)),INDEX(Table3[[#All],[zScore]],MATCH(Table5[[#This Row],[PID]],Table3[[#All],[PID]],0)))</f>
        <v>-1.4121323775623003</v>
      </c>
      <c r="S1298" s="79" t="str">
        <f>IF($C1298="B",INDEX(Batters[[#All],[DEM]],MATCH(Table5[[#This Row],[PID]],Batters[[#All],[PID]],0)),INDEX(Table3[[#All],[DEM]],MATCH(Table5[[#This Row],[PID]],Table3[[#All],[PID]],0)))</f>
        <v>-</v>
      </c>
      <c r="T1298" s="62">
        <f>IF($C1298="B",INDEX(Batters[[#All],[Rnk]],MATCH(Table5[[#This Row],[PID]],Batters[[#All],[PID]],0)),INDEX(Table3[[#All],[Rnk]],MATCH(Table5[[#This Row],[PID]],Table3[[#All],[PID]],0)))</f>
        <v>517</v>
      </c>
      <c r="U1298" s="68">
        <f>IF($C1298="B",VLOOKUP($A1298,Bat!$A$4:$BA$1621,47,FALSE),VLOOKUP($A1298,Pit!$A$4:$BF$1557,56,FALSE))</f>
        <v>0</v>
      </c>
      <c r="V1298" s="50">
        <f>IF($C1298="B",VLOOKUP($A1298,Bat!$A$4:$BA$1621,48,FALSE),VLOOKUP($A1298,Pit!$A$4:$BF$1557,57,FALSE))</f>
        <v>0</v>
      </c>
      <c r="W1298" s="50">
        <f>Table5[[#This Row],[posRnk]]+Table5[[#This Row],[zRnk]]+IF($W$3&lt;&gt;Table5[[#This Row],[Type]],50,0)</f>
        <v>1849</v>
      </c>
      <c r="X1298" s="51">
        <f>RANK(Table5[[#This Row],[zScore]],Table5[[#All],[zScore]])</f>
        <v>1282</v>
      </c>
      <c r="Y1298" s="50" t="str">
        <f>IFERROR(INDEX(DraftResults[[#All],[OVR]],MATCH(Table5[[#This Row],[PID]],DraftResults[[#All],[Player ID]],0)),"")</f>
        <v/>
      </c>
      <c r="Z12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8" s="50" t="str">
        <f>IFERROR(INDEX(DraftResults[[#All],[Pick in Round]],MATCH(Table5[[#This Row],[PID]],DraftResults[[#All],[Player ID]],0)),"")</f>
        <v/>
      </c>
      <c r="AB1298" s="50" t="str">
        <f>IFERROR(INDEX(DraftResults[[#All],[Team Name]],MATCH(Table5[[#This Row],[PID]],DraftResults[[#All],[Player ID]],0)),"")</f>
        <v/>
      </c>
      <c r="AC1298" s="50" t="str">
        <f>IF(Table5[[#This Row],[Ovr]]="","",IF(Table5[[#This Row],[cmbList]]="","",Table5[[#This Row],[cmbList]]-Table5[[#This Row],[Ovr]]))</f>
        <v/>
      </c>
      <c r="AD1298" s="54" t="str">
        <f>IF(ISERROR(VLOOKUP($AB1298&amp;"-"&amp;$E1298&amp;" "&amp;F1298,Bonuses!$B$1:$G$1006,4,FALSE)),"",INT(VLOOKUP($AB1298&amp;"-"&amp;$E1298&amp;" "&amp;$F1298,Bonuses!$B$1:$G$1006,4,FALSE)))</f>
        <v/>
      </c>
      <c r="AE12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299" spans="1:31" x14ac:dyDescent="0.25">
      <c r="A1299" s="68">
        <v>18022</v>
      </c>
      <c r="B1299" s="69">
        <f>COUNTIF(Table5[PID],A1299)</f>
        <v>1</v>
      </c>
      <c r="C1299" s="69" t="str">
        <f>IF(COUNTIF(Table3[[#All],[PID]],A1299)&gt;0,"P","B")</f>
        <v>P</v>
      </c>
      <c r="D1299" s="59" t="str">
        <f>IF($C1299="B",INDEX(Batters[[#All],[POS]],MATCH(Table5[[#This Row],[PID]],Batters[[#All],[PID]],0)),INDEX(Table3[[#All],[POS]],MATCH(Table5[[#This Row],[PID]],Table3[[#All],[PID]],0)))</f>
        <v>RP</v>
      </c>
      <c r="E1299" s="52" t="str">
        <f>IF($C1299="B",INDEX(Batters[[#All],[First]],MATCH(Table5[[#This Row],[PID]],Batters[[#All],[PID]],0)),INDEX(Table3[[#All],[First]],MATCH(Table5[[#This Row],[PID]],Table3[[#All],[PID]],0)))</f>
        <v>Danny</v>
      </c>
      <c r="F1299" s="55" t="str">
        <f>IF($C1299="B",INDEX(Batters[[#All],[Last]],MATCH(A1299,Batters[[#All],[PID]],0)),INDEX(Table3[[#All],[Last]],MATCH(A1299,Table3[[#All],[PID]],0)))</f>
        <v>Bergeron</v>
      </c>
      <c r="G1299" s="56">
        <f>IF($C1299="B",INDEX(Batters[[#All],[Age]],MATCH(Table5[[#This Row],[PID]],Batters[[#All],[PID]],0)),INDEX(Table3[[#All],[Age]],MATCH(Table5[[#This Row],[PID]],Table3[[#All],[PID]],0)))</f>
        <v>21</v>
      </c>
      <c r="H1299" s="52" t="str">
        <f>IF($C1299="B",INDEX(Batters[[#All],[B]],MATCH(Table5[[#This Row],[PID]],Batters[[#All],[PID]],0)),INDEX(Table3[[#All],[B]],MATCH(Table5[[#This Row],[PID]],Table3[[#All],[PID]],0)))</f>
        <v>R</v>
      </c>
      <c r="I1299" s="70" t="str">
        <f>IF($C1299="B",INDEX(Batters[[#All],[T]],MATCH(Table5[[#This Row],[PID]],Batters[[#All],[PID]],0)),INDEX(Table3[[#All],[T]],MATCH(Table5[[#This Row],[PID]],Table3[[#All],[PID]],0)))</f>
        <v>R</v>
      </c>
      <c r="J1299" s="71" t="str">
        <f>IF($C1299="B",INDEX(Batters[[#All],[WE]],MATCH(Table5[[#This Row],[PID]],Batters[[#All],[PID]],0)),INDEX(Table3[[#All],[WE]],MATCH(Table5[[#This Row],[PID]],Table3[[#All],[PID]],0)))</f>
        <v>High</v>
      </c>
      <c r="K1299" s="52" t="str">
        <f>IF($C1299="B",INDEX(Batters[[#All],[INT]],MATCH(Table5[[#This Row],[PID]],Batters[[#All],[PID]],0)),INDEX(Table3[[#All],[INT]],MATCH(Table5[[#This Row],[PID]],Table3[[#All],[PID]],0)))</f>
        <v>Normal</v>
      </c>
      <c r="L1299" s="60">
        <f>IF($C1299="B",INDEX(Batters[[#All],[CON P]],MATCH(Table5[[#This Row],[PID]],Batters[[#All],[PID]],0)),INDEX(Table3[[#All],[STU P]],MATCH(Table5[[#This Row],[PID]],Table3[[#All],[PID]],0)))</f>
        <v>3</v>
      </c>
      <c r="M1299" s="72">
        <f>IF($C1299="B",INDEX(Batters[[#All],[GAP P]],MATCH(Table5[[#This Row],[PID]],Batters[[#All],[PID]],0)),INDEX(Table3[[#All],[MOV P]],MATCH(Table5[[#This Row],[PID]],Table3[[#All],[PID]],0)))</f>
        <v>2</v>
      </c>
      <c r="N1299" s="72">
        <f>IF($C1299="B",INDEX(Batters[[#All],[POW P]],MATCH(Table5[[#This Row],[PID]],Batters[[#All],[PID]],0)),INDEX(Table3[[#All],[CON P]],MATCH(Table5[[#This Row],[PID]],Table3[[#All],[PID]],0)))</f>
        <v>1</v>
      </c>
      <c r="O1299" s="72" t="str">
        <f>IF($C1299="B",INDEX(Batters[[#All],[EYE P]],MATCH(Table5[[#This Row],[PID]],Batters[[#All],[PID]],0)),INDEX(Table3[[#All],[VELO]],MATCH(Table5[[#This Row],[PID]],Table3[[#All],[PID]],0)))</f>
        <v>89-91 Mph</v>
      </c>
      <c r="P1299" s="56">
        <f>IF($C1299="B",INDEX(Batters[[#All],[K P]],MATCH(Table5[[#This Row],[PID]],Batters[[#All],[PID]],0)),INDEX(Table3[[#All],[STM]],MATCH(Table5[[#This Row],[PID]],Table3[[#All],[PID]],0)))</f>
        <v>6</v>
      </c>
      <c r="Q1299" s="61">
        <f>IF($C1299="B",INDEX(Batters[[#All],[Tot]],MATCH(Table5[[#This Row],[PID]],Batters[[#All],[PID]],0)),INDEX(Table3[[#All],[Tot]],MATCH(Table5[[#This Row],[PID]],Table3[[#All],[PID]],0)))</f>
        <v>17.186369691828059</v>
      </c>
      <c r="R1299" s="70">
        <f>IF($C1299="B",INDEX(Batters[[#All],[zScore]],MATCH(Table5[[#This Row],[PID]],Batters[[#All],[PID]],0)),INDEX(Table3[[#All],[zScore]],MATCH(Table5[[#This Row],[PID]],Table3[[#All],[PID]],0)))</f>
        <v>-1.412286285360717</v>
      </c>
      <c r="S1299" s="74" t="str">
        <f>IF($C1299="B",INDEX(Batters[[#All],[DEM]],MATCH(Table5[[#This Row],[PID]],Batters[[#All],[PID]],0)),INDEX(Table3[[#All],[DEM]],MATCH(Table5[[#This Row],[PID]],Table3[[#All],[PID]],0)))</f>
        <v>-</v>
      </c>
      <c r="T1299" s="75">
        <f>IF($C1299="B",INDEX(Batters[[#All],[Rnk]],MATCH(Table5[[#This Row],[PID]],Batters[[#All],[PID]],0)),INDEX(Table3[[#All],[Rnk]],MATCH(Table5[[#This Row],[PID]],Table3[[#All],[PID]],0)))</f>
        <v>765</v>
      </c>
      <c r="U1299" s="68">
        <f>IF($C1299="B",VLOOKUP($A1299,Bat!$A$4:$BA$1621,47,FALSE),VLOOKUP($A1299,Pit!$A$4:$BF$1557,56,FALSE))</f>
        <v>0</v>
      </c>
      <c r="V1299" s="50">
        <f>IF($C1299="B",VLOOKUP($A1299,Bat!$A$4:$BA$1621,48,FALSE),VLOOKUP($A1299,Pit!$A$4:$BF$1557,57,FALSE))</f>
        <v>0</v>
      </c>
      <c r="W1299" s="69">
        <f>Table5[[#This Row],[posRnk]]+Table5[[#This Row],[zRnk]]+IF($W$3&lt;&gt;Table5[[#This Row],[Type]],50,0)</f>
        <v>2098</v>
      </c>
      <c r="X1299" s="73">
        <f>RANK(Table5[[#This Row],[zScore]],Table5[[#All],[zScore]])</f>
        <v>1283</v>
      </c>
      <c r="Y1299" s="69" t="str">
        <f>IFERROR(INDEX(DraftResults[[#All],[OVR]],MATCH(Table5[[#This Row],[PID]],DraftResults[[#All],[Player ID]],0)),"")</f>
        <v/>
      </c>
      <c r="Z129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299" s="69" t="str">
        <f>IFERROR(INDEX(DraftResults[[#All],[Pick in Round]],MATCH(Table5[[#This Row],[PID]],DraftResults[[#All],[Player ID]],0)),"")</f>
        <v/>
      </c>
      <c r="AB1299" s="69" t="str">
        <f>IFERROR(INDEX(DraftResults[[#All],[Team Name]],MATCH(Table5[[#This Row],[PID]],DraftResults[[#All],[Player ID]],0)),"")</f>
        <v/>
      </c>
      <c r="AC1299" s="69" t="str">
        <f>IF(Table5[[#This Row],[Ovr]]="","",IF(Table5[[#This Row],[cmbList]]="","",Table5[[#This Row],[cmbList]]-Table5[[#This Row],[Ovr]]))</f>
        <v/>
      </c>
      <c r="AD1299" s="77" t="str">
        <f>IF(ISERROR(VLOOKUP($AB1299&amp;"-"&amp;$E1299&amp;" "&amp;F1299,Bonuses!$B$1:$G$1006,4,FALSE)),"",INT(VLOOKUP($AB1299&amp;"-"&amp;$E1299&amp;" "&amp;$F1299,Bonuses!$B$1:$G$1006,4,FALSE)))</f>
        <v/>
      </c>
      <c r="AE129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0" spans="1:31" x14ac:dyDescent="0.25">
      <c r="A1300" s="50">
        <v>9422</v>
      </c>
      <c r="B1300" s="50">
        <f>COUNTIF(Table5[PID],A1300)</f>
        <v>1</v>
      </c>
      <c r="C1300" s="50" t="str">
        <f>IF(COUNTIF(Table3[[#All],[PID]],A1300)&gt;0,"P","B")</f>
        <v>B</v>
      </c>
      <c r="D1300" s="59" t="str">
        <f>IF($C1300="B",INDEX(Batters[[#All],[POS]],MATCH(Table5[[#This Row],[PID]],Batters[[#All],[PID]],0)),INDEX(Table3[[#All],[POS]],MATCH(Table5[[#This Row],[PID]],Table3[[#All],[PID]],0)))</f>
        <v>C</v>
      </c>
      <c r="E1300" s="52" t="str">
        <f>IF($C1300="B",INDEX(Batters[[#All],[First]],MATCH(Table5[[#This Row],[PID]],Batters[[#All],[PID]],0)),INDEX(Table3[[#All],[First]],MATCH(Table5[[#This Row],[PID]],Table3[[#All],[PID]],0)))</f>
        <v>Mike</v>
      </c>
      <c r="F1300" s="50" t="str">
        <f>IF($C1300="B",INDEX(Batters[[#All],[Last]],MATCH(A1300,Batters[[#All],[PID]],0)),INDEX(Table3[[#All],[Last]],MATCH(A1300,Table3[[#All],[PID]],0)))</f>
        <v>Taylor</v>
      </c>
      <c r="G1300" s="56">
        <f>IF($C1300="B",INDEX(Batters[[#All],[Age]],MATCH(Table5[[#This Row],[PID]],Batters[[#All],[PID]],0)),INDEX(Table3[[#All],[Age]],MATCH(Table5[[#This Row],[PID]],Table3[[#All],[PID]],0)))</f>
        <v>22</v>
      </c>
      <c r="H1300" s="52" t="str">
        <f>IF($C1300="B",INDEX(Batters[[#All],[B]],MATCH(Table5[[#This Row],[PID]],Batters[[#All],[PID]],0)),INDEX(Table3[[#All],[B]],MATCH(Table5[[#This Row],[PID]],Table3[[#All],[PID]],0)))</f>
        <v>R</v>
      </c>
      <c r="I1300" s="70" t="str">
        <f>IF($C1300="B",INDEX(Batters[[#All],[T]],MATCH(Table5[[#This Row],[PID]],Batters[[#All],[PID]],0)),INDEX(Table3[[#All],[T]],MATCH(Table5[[#This Row],[PID]],Table3[[#All],[PID]],0)))</f>
        <v>R</v>
      </c>
      <c r="J1300" s="52" t="str">
        <f>IF($C1300="B",INDEX(Batters[[#All],[WE]],MATCH(Table5[[#This Row],[PID]],Batters[[#All],[PID]],0)),INDEX(Table3[[#All],[WE]],MATCH(Table5[[#This Row],[PID]],Table3[[#All],[PID]],0)))</f>
        <v>Normal</v>
      </c>
      <c r="K1300" s="52" t="str">
        <f>IF($C1300="B",INDEX(Batters[[#All],[INT]],MATCH(Table5[[#This Row],[PID]],Batters[[#All],[PID]],0)),INDEX(Table3[[#All],[INT]],MATCH(Table5[[#This Row],[PID]],Table3[[#All],[PID]],0)))</f>
        <v>Normal</v>
      </c>
      <c r="L1300" s="60">
        <f>IF($C1300="B",INDEX(Batters[[#All],[CON P]],MATCH(Table5[[#This Row],[PID]],Batters[[#All],[PID]],0)),INDEX(Table3[[#All],[STU P]],MATCH(Table5[[#This Row],[PID]],Table3[[#All],[PID]],0)))</f>
        <v>3</v>
      </c>
      <c r="M1300" s="56">
        <f>IF($C1300="B",INDEX(Batters[[#All],[GAP P]],MATCH(Table5[[#This Row],[PID]],Batters[[#All],[PID]],0)),INDEX(Table3[[#All],[MOV P]],MATCH(Table5[[#This Row],[PID]],Table3[[#All],[PID]],0)))</f>
        <v>4</v>
      </c>
      <c r="N1300" s="56">
        <f>IF($C1300="B",INDEX(Batters[[#All],[POW P]],MATCH(Table5[[#This Row],[PID]],Batters[[#All],[PID]],0)),INDEX(Table3[[#All],[CON P]],MATCH(Table5[[#This Row],[PID]],Table3[[#All],[PID]],0)))</f>
        <v>3</v>
      </c>
      <c r="O1300" s="56">
        <f>IF($C1300="B",INDEX(Batters[[#All],[EYE P]],MATCH(Table5[[#This Row],[PID]],Batters[[#All],[PID]],0)),INDEX(Table3[[#All],[VELO]],MATCH(Table5[[#This Row],[PID]],Table3[[#All],[PID]],0)))</f>
        <v>5</v>
      </c>
      <c r="P1300" s="56">
        <f>IF($C1300="B",INDEX(Batters[[#All],[K P]],MATCH(Table5[[#This Row],[PID]],Batters[[#All],[PID]],0)),INDEX(Table3[[#All],[STM]],MATCH(Table5[[#This Row],[PID]],Table3[[#All],[PID]],0)))</f>
        <v>3</v>
      </c>
      <c r="Q1300" s="61">
        <f>IF($C1300="B",INDEX(Batters[[#All],[Tot]],MATCH(Table5[[#This Row],[PID]],Batters[[#All],[PID]],0)),INDEX(Table3[[#All],[Tot]],MATCH(Table5[[#This Row],[PID]],Table3[[#All],[PID]],0)))</f>
        <v>37.687583233815744</v>
      </c>
      <c r="R1300" s="70">
        <f>IF($C1300="B",INDEX(Batters[[#All],[zScore]],MATCH(Table5[[#This Row],[PID]],Batters[[#All],[PID]],0)),INDEX(Table3[[#All],[zScore]],MATCH(Table5[[#This Row],[PID]],Table3[[#All],[PID]],0)))</f>
        <v>-1.4287573931564779</v>
      </c>
      <c r="S1300" s="79" t="str">
        <f>IF($C1300="B",INDEX(Batters[[#All],[DEM]],MATCH(Table5[[#This Row],[PID]],Batters[[#All],[PID]],0)),INDEX(Table3[[#All],[DEM]],MATCH(Table5[[#This Row],[PID]],Table3[[#All],[PID]],0)))</f>
        <v>-</v>
      </c>
      <c r="T1300" s="62">
        <f>IF($C1300="B",INDEX(Batters[[#All],[Rnk]],MATCH(Table5[[#This Row],[PID]],Batters[[#All],[PID]],0)),INDEX(Table3[[#All],[Rnk]],MATCH(Table5[[#This Row],[PID]],Table3[[#All],[PID]],0)))</f>
        <v>520</v>
      </c>
      <c r="U1300" s="68">
        <f>IF($C1300="B",VLOOKUP($A1300,Bat!$A$4:$BA$1621,47,FALSE),VLOOKUP($A1300,Pit!$A$4:$BF$1557,56,FALSE))</f>
        <v>0</v>
      </c>
      <c r="V1300" s="50">
        <f>IF($C1300="B",VLOOKUP($A1300,Bat!$A$4:$BA$1621,48,FALSE),VLOOKUP($A1300,Pit!$A$4:$BF$1557,57,FALSE))</f>
        <v>0</v>
      </c>
      <c r="W1300" s="50">
        <f>Table5[[#This Row],[posRnk]]+Table5[[#This Row],[zRnk]]+IF($W$3&lt;&gt;Table5[[#This Row],[Type]],50,0)</f>
        <v>1856</v>
      </c>
      <c r="X1300" s="51">
        <f>RANK(Table5[[#This Row],[zScore]],Table5[[#All],[zScore]])</f>
        <v>1286</v>
      </c>
      <c r="Y1300" s="50" t="str">
        <f>IFERROR(INDEX(DraftResults[[#All],[OVR]],MATCH(Table5[[#This Row],[PID]],DraftResults[[#All],[Player ID]],0)),"")</f>
        <v/>
      </c>
      <c r="Z13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0" s="50" t="str">
        <f>IFERROR(INDEX(DraftResults[[#All],[Pick in Round]],MATCH(Table5[[#This Row],[PID]],DraftResults[[#All],[Player ID]],0)),"")</f>
        <v/>
      </c>
      <c r="AB1300" s="50" t="str">
        <f>IFERROR(INDEX(DraftResults[[#All],[Team Name]],MATCH(Table5[[#This Row],[PID]],DraftResults[[#All],[Player ID]],0)),"")</f>
        <v/>
      </c>
      <c r="AC1300" s="50" t="str">
        <f>IF(Table5[[#This Row],[Ovr]]="","",IF(Table5[[#This Row],[cmbList]]="","",Table5[[#This Row],[cmbList]]-Table5[[#This Row],[Ovr]]))</f>
        <v/>
      </c>
      <c r="AD1300" s="54" t="str">
        <f>IF(ISERROR(VLOOKUP($AB1300&amp;"-"&amp;$E1300&amp;" "&amp;F1300,Bonuses!$B$1:$G$1006,4,FALSE)),"",INT(VLOOKUP($AB1300&amp;"-"&amp;$E1300&amp;" "&amp;$F1300,Bonuses!$B$1:$G$1006,4,FALSE)))</f>
        <v/>
      </c>
      <c r="AE13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1" spans="1:31" x14ac:dyDescent="0.25">
      <c r="A1301" s="68">
        <v>10352</v>
      </c>
      <c r="B1301" s="69">
        <f>COUNTIF(Table5[PID],A1301)</f>
        <v>1</v>
      </c>
      <c r="C1301" s="69" t="str">
        <f>IF(COUNTIF(Table3[[#All],[PID]],A1301)&gt;0,"P","B")</f>
        <v>P</v>
      </c>
      <c r="D1301" s="59" t="str">
        <f>IF($C1301="B",INDEX(Batters[[#All],[POS]],MATCH(Table5[[#This Row],[PID]],Batters[[#All],[PID]],0)),INDEX(Table3[[#All],[POS]],MATCH(Table5[[#This Row],[PID]],Table3[[#All],[PID]],0)))</f>
        <v>RP</v>
      </c>
      <c r="E1301" s="52" t="str">
        <f>IF($C1301="B",INDEX(Batters[[#All],[First]],MATCH(Table5[[#This Row],[PID]],Batters[[#All],[PID]],0)),INDEX(Table3[[#All],[First]],MATCH(Table5[[#This Row],[PID]],Table3[[#All],[PID]],0)))</f>
        <v>Michael</v>
      </c>
      <c r="F1301" s="55" t="str">
        <f>IF($C1301="B",INDEX(Batters[[#All],[Last]],MATCH(A1301,Batters[[#All],[PID]],0)),INDEX(Table3[[#All],[Last]],MATCH(A1301,Table3[[#All],[PID]],0)))</f>
        <v>Jacks</v>
      </c>
      <c r="G1301" s="56">
        <f>IF($C1301="B",INDEX(Batters[[#All],[Age]],MATCH(Table5[[#This Row],[PID]],Batters[[#All],[PID]],0)),INDEX(Table3[[#All],[Age]],MATCH(Table5[[#This Row],[PID]],Table3[[#All],[PID]],0)))</f>
        <v>21</v>
      </c>
      <c r="H1301" s="52" t="str">
        <f>IF($C1301="B",INDEX(Batters[[#All],[B]],MATCH(Table5[[#This Row],[PID]],Batters[[#All],[PID]],0)),INDEX(Table3[[#All],[B]],MATCH(Table5[[#This Row],[PID]],Table3[[#All],[PID]],0)))</f>
        <v>R</v>
      </c>
      <c r="I1301" s="70" t="str">
        <f>IF($C1301="B",INDEX(Batters[[#All],[T]],MATCH(Table5[[#This Row],[PID]],Batters[[#All],[PID]],0)),INDEX(Table3[[#All],[T]],MATCH(Table5[[#This Row],[PID]],Table3[[#All],[PID]],0)))</f>
        <v>R</v>
      </c>
      <c r="J1301" s="71" t="str">
        <f>IF($C1301="B",INDEX(Batters[[#All],[WE]],MATCH(Table5[[#This Row],[PID]],Batters[[#All],[PID]],0)),INDEX(Table3[[#All],[WE]],MATCH(Table5[[#This Row],[PID]],Table3[[#All],[PID]],0)))</f>
        <v>High</v>
      </c>
      <c r="K1301" s="52" t="str">
        <f>IF($C1301="B",INDEX(Batters[[#All],[INT]],MATCH(Table5[[#This Row],[PID]],Batters[[#All],[PID]],0)),INDEX(Table3[[#All],[INT]],MATCH(Table5[[#This Row],[PID]],Table3[[#All],[PID]],0)))</f>
        <v>Normal</v>
      </c>
      <c r="L1301" s="60">
        <f>IF($C1301="B",INDEX(Batters[[#All],[CON P]],MATCH(Table5[[#This Row],[PID]],Batters[[#All],[PID]],0)),INDEX(Table3[[#All],[STU P]],MATCH(Table5[[#This Row],[PID]],Table3[[#All],[PID]],0)))</f>
        <v>3</v>
      </c>
      <c r="M1301" s="72">
        <f>IF($C1301="B",INDEX(Batters[[#All],[GAP P]],MATCH(Table5[[#This Row],[PID]],Batters[[#All],[PID]],0)),INDEX(Table3[[#All],[MOV P]],MATCH(Table5[[#This Row],[PID]],Table3[[#All],[PID]],0)))</f>
        <v>1</v>
      </c>
      <c r="N1301" s="72">
        <f>IF($C1301="B",INDEX(Batters[[#All],[POW P]],MATCH(Table5[[#This Row],[PID]],Batters[[#All],[PID]],0)),INDEX(Table3[[#All],[CON P]],MATCH(Table5[[#This Row],[PID]],Table3[[#All],[PID]],0)))</f>
        <v>2</v>
      </c>
      <c r="O1301" s="72" t="str">
        <f>IF($C1301="B",INDEX(Batters[[#All],[EYE P]],MATCH(Table5[[#This Row],[PID]],Batters[[#All],[PID]],0)),INDEX(Table3[[#All],[VELO]],MATCH(Table5[[#This Row],[PID]],Table3[[#All],[PID]],0)))</f>
        <v>86-88 Mph</v>
      </c>
      <c r="P1301" s="56">
        <f>IF($C1301="B",INDEX(Batters[[#All],[K P]],MATCH(Table5[[#This Row],[PID]],Batters[[#All],[PID]],0)),INDEX(Table3[[#All],[STM]],MATCH(Table5[[#This Row],[PID]],Table3[[#All],[PID]],0)))</f>
        <v>4</v>
      </c>
      <c r="Q1301" s="61">
        <f>IF($C1301="B",INDEX(Batters[[#All],[Tot]],MATCH(Table5[[#This Row],[PID]],Batters[[#All],[PID]],0)),INDEX(Table3[[#All],[Tot]],MATCH(Table5[[#This Row],[PID]],Table3[[#All],[PID]],0)))</f>
        <v>16.882906666667605</v>
      </c>
      <c r="R1301" s="70">
        <f>IF($C1301="B",INDEX(Batters[[#All],[zScore]],MATCH(Table5[[#This Row],[PID]],Batters[[#All],[PID]],0)),INDEX(Table3[[#All],[zScore]],MATCH(Table5[[#This Row],[PID]],Table3[[#All],[PID]],0)))</f>
        <v>-1.4330734132967258</v>
      </c>
      <c r="S1301" s="74" t="str">
        <f>IF($C1301="B",INDEX(Batters[[#All],[DEM]],MATCH(Table5[[#This Row],[PID]],Batters[[#All],[PID]],0)),INDEX(Table3[[#All],[DEM]],MATCH(Table5[[#This Row],[PID]],Table3[[#All],[PID]],0)))</f>
        <v>-</v>
      </c>
      <c r="T1301" s="75">
        <f>IF($C1301="B",INDEX(Batters[[#All],[Rnk]],MATCH(Table5[[#This Row],[PID]],Batters[[#All],[PID]],0)),INDEX(Table3[[#All],[Rnk]],MATCH(Table5[[#This Row],[PID]],Table3[[#All],[PID]],0)))</f>
        <v>766</v>
      </c>
      <c r="U1301" s="68">
        <f>IF($C1301="B",VLOOKUP($A1301,Bat!$A$4:$BA$1621,47,FALSE),VLOOKUP($A1301,Pit!$A$4:$BF$1557,56,FALSE))</f>
        <v>0</v>
      </c>
      <c r="V1301" s="50">
        <f>IF($C1301="B",VLOOKUP($A1301,Bat!$A$4:$BA$1621,48,FALSE),VLOOKUP($A1301,Pit!$A$4:$BF$1557,57,FALSE))</f>
        <v>0</v>
      </c>
      <c r="W1301" s="69">
        <f>Table5[[#This Row],[posRnk]]+Table5[[#This Row],[zRnk]]+IF($W$3&lt;&gt;Table5[[#This Row],[Type]],50,0)</f>
        <v>2103</v>
      </c>
      <c r="X1301" s="73">
        <f>RANK(Table5[[#This Row],[zScore]],Table5[[#All],[zScore]])</f>
        <v>1287</v>
      </c>
      <c r="Y1301" s="69" t="str">
        <f>IFERROR(INDEX(DraftResults[[#All],[OVR]],MATCH(Table5[[#This Row],[PID]],DraftResults[[#All],[Player ID]],0)),"")</f>
        <v/>
      </c>
      <c r="Z1301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1" s="69" t="str">
        <f>IFERROR(INDEX(DraftResults[[#All],[Pick in Round]],MATCH(Table5[[#This Row],[PID]],DraftResults[[#All],[Player ID]],0)),"")</f>
        <v/>
      </c>
      <c r="AB1301" s="69" t="str">
        <f>IFERROR(INDEX(DraftResults[[#All],[Team Name]],MATCH(Table5[[#This Row],[PID]],DraftResults[[#All],[Player ID]],0)),"")</f>
        <v/>
      </c>
      <c r="AC1301" s="69" t="str">
        <f>IF(Table5[[#This Row],[Ovr]]="","",IF(Table5[[#This Row],[cmbList]]="","",Table5[[#This Row],[cmbList]]-Table5[[#This Row],[Ovr]]))</f>
        <v/>
      </c>
      <c r="AD1301" s="77" t="str">
        <f>IF(ISERROR(VLOOKUP($AB1301&amp;"-"&amp;$E1301&amp;" "&amp;F1301,Bonuses!$B$1:$G$1006,4,FALSE)),"",INT(VLOOKUP($AB1301&amp;"-"&amp;$E1301&amp;" "&amp;$F1301,Bonuses!$B$1:$G$1006,4,FALSE)))</f>
        <v/>
      </c>
      <c r="AE1301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2" spans="1:31" x14ac:dyDescent="0.25">
      <c r="A1302" s="50">
        <v>12137</v>
      </c>
      <c r="B1302" s="50">
        <f>COUNTIF(Table5[PID],A1302)</f>
        <v>1</v>
      </c>
      <c r="C1302" s="50" t="str">
        <f>IF(COUNTIF(Table3[[#All],[PID]],A1302)&gt;0,"P","B")</f>
        <v>B</v>
      </c>
      <c r="D1302" s="59" t="str">
        <f>IF($C1302="B",INDEX(Batters[[#All],[POS]],MATCH(Table5[[#This Row],[PID]],Batters[[#All],[PID]],0)),INDEX(Table3[[#All],[POS]],MATCH(Table5[[#This Row],[PID]],Table3[[#All],[PID]],0)))</f>
        <v>LF</v>
      </c>
      <c r="E1302" s="52" t="str">
        <f>IF($C1302="B",INDEX(Batters[[#All],[First]],MATCH(Table5[[#This Row],[PID]],Batters[[#All],[PID]],0)),INDEX(Table3[[#All],[First]],MATCH(Table5[[#This Row],[PID]],Table3[[#All],[PID]],0)))</f>
        <v>Mitsuharu</v>
      </c>
      <c r="F1302" s="50" t="str">
        <f>IF($C1302="B",INDEX(Batters[[#All],[Last]],MATCH(A1302,Batters[[#All],[PID]],0)),INDEX(Table3[[#All],[Last]],MATCH(A1302,Table3[[#All],[PID]],0)))</f>
        <v>Takahashi</v>
      </c>
      <c r="G1302" s="56">
        <f>IF($C1302="B",INDEX(Batters[[#All],[Age]],MATCH(Table5[[#This Row],[PID]],Batters[[#All],[PID]],0)),INDEX(Table3[[#All],[Age]],MATCH(Table5[[#This Row],[PID]],Table3[[#All],[PID]],0)))</f>
        <v>21</v>
      </c>
      <c r="H1302" s="52" t="str">
        <f>IF($C1302="B",INDEX(Batters[[#All],[B]],MATCH(Table5[[#This Row],[PID]],Batters[[#All],[PID]],0)),INDEX(Table3[[#All],[B]],MATCH(Table5[[#This Row],[PID]],Table3[[#All],[PID]],0)))</f>
        <v>S</v>
      </c>
      <c r="I1302" s="70" t="str">
        <f>IF($C1302="B",INDEX(Batters[[#All],[T]],MATCH(Table5[[#This Row],[PID]],Batters[[#All],[PID]],0)),INDEX(Table3[[#All],[T]],MATCH(Table5[[#This Row],[PID]],Table3[[#All],[PID]],0)))</f>
        <v>R</v>
      </c>
      <c r="J1302" s="52" t="str">
        <f>IF($C1302="B",INDEX(Batters[[#All],[WE]],MATCH(Table5[[#This Row],[PID]],Batters[[#All],[PID]],0)),INDEX(Table3[[#All],[WE]],MATCH(Table5[[#This Row],[PID]],Table3[[#All],[PID]],0)))</f>
        <v>Normal</v>
      </c>
      <c r="K1302" s="52" t="str">
        <f>IF($C1302="B",INDEX(Batters[[#All],[INT]],MATCH(Table5[[#This Row],[PID]],Batters[[#All],[PID]],0)),INDEX(Table3[[#All],[INT]],MATCH(Table5[[#This Row],[PID]],Table3[[#All],[PID]],0)))</f>
        <v>Normal</v>
      </c>
      <c r="L1302" s="60">
        <f>IF($C1302="B",INDEX(Batters[[#All],[CON P]],MATCH(Table5[[#This Row],[PID]],Batters[[#All],[PID]],0)),INDEX(Table3[[#All],[STU P]],MATCH(Table5[[#This Row],[PID]],Table3[[#All],[PID]],0)))</f>
        <v>3</v>
      </c>
      <c r="M1302" s="56">
        <f>IF($C1302="B",INDEX(Batters[[#All],[GAP P]],MATCH(Table5[[#This Row],[PID]],Batters[[#All],[PID]],0)),INDEX(Table3[[#All],[MOV P]],MATCH(Table5[[#This Row],[PID]],Table3[[#All],[PID]],0)))</f>
        <v>4</v>
      </c>
      <c r="N1302" s="56">
        <f>IF($C1302="B",INDEX(Batters[[#All],[POW P]],MATCH(Table5[[#This Row],[PID]],Batters[[#All],[PID]],0)),INDEX(Table3[[#All],[CON P]],MATCH(Table5[[#This Row],[PID]],Table3[[#All],[PID]],0)))</f>
        <v>4</v>
      </c>
      <c r="O1302" s="56">
        <f>IF($C1302="B",INDEX(Batters[[#All],[EYE P]],MATCH(Table5[[#This Row],[PID]],Batters[[#All],[PID]],0)),INDEX(Table3[[#All],[VELO]],MATCH(Table5[[#This Row],[PID]],Table3[[#All],[PID]],0)))</f>
        <v>5</v>
      </c>
      <c r="P1302" s="56">
        <f>IF($C1302="B",INDEX(Batters[[#All],[K P]],MATCH(Table5[[#This Row],[PID]],Batters[[#All],[PID]],0)),INDEX(Table3[[#All],[STM]],MATCH(Table5[[#This Row],[PID]],Table3[[#All],[PID]],0)))</f>
        <v>3</v>
      </c>
      <c r="Q1302" s="61">
        <f>IF($C1302="B",INDEX(Batters[[#All],[Tot]],MATCH(Table5[[#This Row],[PID]],Batters[[#All],[PID]],0)),INDEX(Table3[[#All],[Tot]],MATCH(Table5[[#This Row],[PID]],Table3[[#All],[PID]],0)))</f>
        <v>37.651400772883726</v>
      </c>
      <c r="R1302" s="70">
        <f>IF($C1302="B",INDEX(Batters[[#All],[zScore]],MATCH(Table5[[#This Row],[PID]],Batters[[#All],[PID]],0)),INDEX(Table3[[#All],[zScore]],MATCH(Table5[[#This Row],[PID]],Table3[[#All],[PID]],0)))</f>
        <v>-1.4367792893158442</v>
      </c>
      <c r="S1302" s="79" t="str">
        <f>IF($C1302="B",INDEX(Batters[[#All],[DEM]],MATCH(Table5[[#This Row],[PID]],Batters[[#All],[PID]],0)),INDEX(Table3[[#All],[DEM]],MATCH(Table5[[#This Row],[PID]],Table3[[#All],[PID]],0)))</f>
        <v>-</v>
      </c>
      <c r="T1302" s="62">
        <f>IF($C1302="B",INDEX(Batters[[#All],[Rnk]],MATCH(Table5[[#This Row],[PID]],Batters[[#All],[PID]],0)),INDEX(Table3[[#All],[Rnk]],MATCH(Table5[[#This Row],[PID]],Table3[[#All],[PID]],0)))</f>
        <v>521</v>
      </c>
      <c r="U1302" s="68">
        <f>IF($C1302="B",VLOOKUP($A1302,Bat!$A$4:$BA$1621,47,FALSE),VLOOKUP($A1302,Pit!$A$4:$BF$1557,56,FALSE))</f>
        <v>0</v>
      </c>
      <c r="V1302" s="50">
        <f>IF($C1302="B",VLOOKUP($A1302,Bat!$A$4:$BA$1621,48,FALSE),VLOOKUP($A1302,Pit!$A$4:$BF$1557,57,FALSE))</f>
        <v>0</v>
      </c>
      <c r="W1302" s="50">
        <f>Table5[[#This Row],[posRnk]]+Table5[[#This Row],[zRnk]]+IF($W$3&lt;&gt;Table5[[#This Row],[Type]],50,0)</f>
        <v>1859</v>
      </c>
      <c r="X1302" s="51">
        <f>RANK(Table5[[#This Row],[zScore]],Table5[[#All],[zScore]])</f>
        <v>1288</v>
      </c>
      <c r="Y1302" s="50" t="str">
        <f>IFERROR(INDEX(DraftResults[[#All],[OVR]],MATCH(Table5[[#This Row],[PID]],DraftResults[[#All],[Player ID]],0)),"")</f>
        <v/>
      </c>
      <c r="Z13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2" s="50" t="str">
        <f>IFERROR(INDEX(DraftResults[[#All],[Pick in Round]],MATCH(Table5[[#This Row],[PID]],DraftResults[[#All],[Player ID]],0)),"")</f>
        <v/>
      </c>
      <c r="AB1302" s="50" t="str">
        <f>IFERROR(INDEX(DraftResults[[#All],[Team Name]],MATCH(Table5[[#This Row],[PID]],DraftResults[[#All],[Player ID]],0)),"")</f>
        <v/>
      </c>
      <c r="AC1302" s="50" t="str">
        <f>IF(Table5[[#This Row],[Ovr]]="","",IF(Table5[[#This Row],[cmbList]]="","",Table5[[#This Row],[cmbList]]-Table5[[#This Row],[Ovr]]))</f>
        <v/>
      </c>
      <c r="AD1302" s="54" t="str">
        <f>IF(ISERROR(VLOOKUP($AB1302&amp;"-"&amp;$E1302&amp;" "&amp;F1302,Bonuses!$B$1:$G$1006,4,FALSE)),"",INT(VLOOKUP($AB1302&amp;"-"&amp;$E1302&amp;" "&amp;$F1302,Bonuses!$B$1:$G$1006,4,FALSE)))</f>
        <v/>
      </c>
      <c r="AE13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3" spans="1:31" x14ac:dyDescent="0.25">
      <c r="A1303" s="50">
        <v>17039</v>
      </c>
      <c r="B1303" s="50">
        <f>COUNTIF(Table5[PID],A1303)</f>
        <v>1</v>
      </c>
      <c r="C1303" s="50" t="str">
        <f>IF(COUNTIF(Table3[[#All],[PID]],A1303)&gt;0,"P","B")</f>
        <v>B</v>
      </c>
      <c r="D1303" s="59" t="str">
        <f>IF($C1303="B",INDEX(Batters[[#All],[POS]],MATCH(Table5[[#This Row],[PID]],Batters[[#All],[PID]],0)),INDEX(Table3[[#All],[POS]],MATCH(Table5[[#This Row],[PID]],Table3[[#All],[PID]],0)))</f>
        <v>1B</v>
      </c>
      <c r="E1303" s="52" t="str">
        <f>IF($C1303="B",INDEX(Batters[[#All],[First]],MATCH(Table5[[#This Row],[PID]],Batters[[#All],[PID]],0)),INDEX(Table3[[#All],[First]],MATCH(Table5[[#This Row],[PID]],Table3[[#All],[PID]],0)))</f>
        <v>Jaime</v>
      </c>
      <c r="F1303" s="50" t="str">
        <f>IF($C1303="B",INDEX(Batters[[#All],[Last]],MATCH(A1303,Batters[[#All],[PID]],0)),INDEX(Table3[[#All],[Last]],MATCH(A1303,Table3[[#All],[PID]],0)))</f>
        <v>Fajardo</v>
      </c>
      <c r="G1303" s="56">
        <f>IF($C1303="B",INDEX(Batters[[#All],[Age]],MATCH(Table5[[#This Row],[PID]],Batters[[#All],[PID]],0)),INDEX(Table3[[#All],[Age]],MATCH(Table5[[#This Row],[PID]],Table3[[#All],[PID]],0)))</f>
        <v>21</v>
      </c>
      <c r="H1303" s="52" t="str">
        <f>IF($C1303="B",INDEX(Batters[[#All],[B]],MATCH(Table5[[#This Row],[PID]],Batters[[#All],[PID]],0)),INDEX(Table3[[#All],[B]],MATCH(Table5[[#This Row],[PID]],Table3[[#All],[PID]],0)))</f>
        <v>R</v>
      </c>
      <c r="I1303" s="70" t="str">
        <f>IF($C1303="B",INDEX(Batters[[#All],[T]],MATCH(Table5[[#This Row],[PID]],Batters[[#All],[PID]],0)),INDEX(Table3[[#All],[T]],MATCH(Table5[[#This Row],[PID]],Table3[[#All],[PID]],0)))</f>
        <v>R</v>
      </c>
      <c r="J1303" s="52" t="str">
        <f>IF($C1303="B",INDEX(Batters[[#All],[WE]],MATCH(Table5[[#This Row],[PID]],Batters[[#All],[PID]],0)),INDEX(Table3[[#All],[WE]],MATCH(Table5[[#This Row],[PID]],Table3[[#All],[PID]],0)))</f>
        <v>Low</v>
      </c>
      <c r="K1303" s="52" t="str">
        <f>IF($C1303="B",INDEX(Batters[[#All],[INT]],MATCH(Table5[[#This Row],[PID]],Batters[[#All],[PID]],0)),INDEX(Table3[[#All],[INT]],MATCH(Table5[[#This Row],[PID]],Table3[[#All],[PID]],0)))</f>
        <v>Normal</v>
      </c>
      <c r="L1303" s="60">
        <f>IF($C1303="B",INDEX(Batters[[#All],[CON P]],MATCH(Table5[[#This Row],[PID]],Batters[[#All],[PID]],0)),INDEX(Table3[[#All],[STU P]],MATCH(Table5[[#This Row],[PID]],Table3[[#All],[PID]],0)))</f>
        <v>3</v>
      </c>
      <c r="M1303" s="56">
        <f>IF($C1303="B",INDEX(Batters[[#All],[GAP P]],MATCH(Table5[[#This Row],[PID]],Batters[[#All],[PID]],0)),INDEX(Table3[[#All],[MOV P]],MATCH(Table5[[#This Row],[PID]],Table3[[#All],[PID]],0)))</f>
        <v>4</v>
      </c>
      <c r="N1303" s="56">
        <f>IF($C1303="B",INDEX(Batters[[#All],[POW P]],MATCH(Table5[[#This Row],[PID]],Batters[[#All],[PID]],0)),INDEX(Table3[[#All],[CON P]],MATCH(Table5[[#This Row],[PID]],Table3[[#All],[PID]],0)))</f>
        <v>5</v>
      </c>
      <c r="O1303" s="56">
        <f>IF($C1303="B",INDEX(Batters[[#All],[EYE P]],MATCH(Table5[[#This Row],[PID]],Batters[[#All],[PID]],0)),INDEX(Table3[[#All],[VELO]],MATCH(Table5[[#This Row],[PID]],Table3[[#All],[PID]],0)))</f>
        <v>4</v>
      </c>
      <c r="P1303" s="56">
        <f>IF($C1303="B",INDEX(Batters[[#All],[K P]],MATCH(Table5[[#This Row],[PID]],Batters[[#All],[PID]],0)),INDEX(Table3[[#All],[STM]],MATCH(Table5[[#This Row],[PID]],Table3[[#All],[PID]],0)))</f>
        <v>4</v>
      </c>
      <c r="Q1303" s="61">
        <f>IF($C1303="B",INDEX(Batters[[#All],[Tot]],MATCH(Table5[[#This Row],[PID]],Batters[[#All],[PID]],0)),INDEX(Table3[[#All],[Tot]],MATCH(Table5[[#This Row],[PID]],Table3[[#All],[PID]],0)))</f>
        <v>37.638077396462549</v>
      </c>
      <c r="R1303" s="70">
        <f>IF($C1303="B",INDEX(Batters[[#All],[zScore]],MATCH(Table5[[#This Row],[PID]],Batters[[#All],[PID]],0)),INDEX(Table3[[#All],[zScore]],MATCH(Table5[[#This Row],[PID]],Table3[[#All],[PID]],0)))</f>
        <v>-1.4397331719260857</v>
      </c>
      <c r="S1303" s="79" t="str">
        <f>IF($C1303="B",INDEX(Batters[[#All],[DEM]],MATCH(Table5[[#This Row],[PID]],Batters[[#All],[PID]],0)),INDEX(Table3[[#All],[DEM]],MATCH(Table5[[#This Row],[PID]],Table3[[#All],[PID]],0)))</f>
        <v>-</v>
      </c>
      <c r="T1303" s="62">
        <f>IF($C1303="B",INDEX(Batters[[#All],[Rnk]],MATCH(Table5[[#This Row],[PID]],Batters[[#All],[PID]],0)),INDEX(Table3[[#All],[Rnk]],MATCH(Table5[[#This Row],[PID]],Table3[[#All],[PID]],0)))</f>
        <v>522</v>
      </c>
      <c r="U1303" s="68">
        <f>IF($C1303="B",VLOOKUP($A1303,Bat!$A$4:$BA$1621,47,FALSE),VLOOKUP($A1303,Pit!$A$4:$BF$1557,56,FALSE))</f>
        <v>0</v>
      </c>
      <c r="V1303" s="50">
        <f>IF($C1303="B",VLOOKUP($A1303,Bat!$A$4:$BA$1621,48,FALSE),VLOOKUP($A1303,Pit!$A$4:$BF$1557,57,FALSE))</f>
        <v>0</v>
      </c>
      <c r="W1303" s="50">
        <f>Table5[[#This Row],[posRnk]]+Table5[[#This Row],[zRnk]]+IF($W$3&lt;&gt;Table5[[#This Row],[Type]],50,0)</f>
        <v>1861</v>
      </c>
      <c r="X1303" s="51">
        <f>RANK(Table5[[#This Row],[zScore]],Table5[[#All],[zScore]])</f>
        <v>1289</v>
      </c>
      <c r="Y1303" s="50" t="str">
        <f>IFERROR(INDEX(DraftResults[[#All],[OVR]],MATCH(Table5[[#This Row],[PID]],DraftResults[[#All],[Player ID]],0)),"")</f>
        <v/>
      </c>
      <c r="Z13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3" s="50" t="str">
        <f>IFERROR(INDEX(DraftResults[[#All],[Pick in Round]],MATCH(Table5[[#This Row],[PID]],DraftResults[[#All],[Player ID]],0)),"")</f>
        <v/>
      </c>
      <c r="AB1303" s="50" t="str">
        <f>IFERROR(INDEX(DraftResults[[#All],[Team Name]],MATCH(Table5[[#This Row],[PID]],DraftResults[[#All],[Player ID]],0)),"")</f>
        <v/>
      </c>
      <c r="AC1303" s="50" t="str">
        <f>IF(Table5[[#This Row],[Ovr]]="","",IF(Table5[[#This Row],[cmbList]]="","",Table5[[#This Row],[cmbList]]-Table5[[#This Row],[Ovr]]))</f>
        <v/>
      </c>
      <c r="AD1303" s="54" t="str">
        <f>IF(ISERROR(VLOOKUP($AB1303&amp;"-"&amp;$E1303&amp;" "&amp;F1303,Bonuses!$B$1:$G$1006,4,FALSE)),"",INT(VLOOKUP($AB1303&amp;"-"&amp;$E1303&amp;" "&amp;$F1303,Bonuses!$B$1:$G$1006,4,FALSE)))</f>
        <v/>
      </c>
      <c r="AE13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4" spans="1:31" x14ac:dyDescent="0.25">
      <c r="A1304" s="50">
        <v>18301</v>
      </c>
      <c r="B1304" s="50">
        <f>COUNTIF(Table5[PID],A1304)</f>
        <v>1</v>
      </c>
      <c r="C1304" s="50" t="str">
        <f>IF(COUNTIF(Table3[[#All],[PID]],A1304)&gt;0,"P","B")</f>
        <v>B</v>
      </c>
      <c r="D1304" s="59" t="str">
        <f>IF($C1304="B",INDEX(Batters[[#All],[POS]],MATCH(Table5[[#This Row],[PID]],Batters[[#All],[PID]],0)),INDEX(Table3[[#All],[POS]],MATCH(Table5[[#This Row],[PID]],Table3[[#All],[PID]],0)))</f>
        <v>CF</v>
      </c>
      <c r="E1304" s="52" t="str">
        <f>IF($C1304="B",INDEX(Batters[[#All],[First]],MATCH(Table5[[#This Row],[PID]],Batters[[#All],[PID]],0)),INDEX(Table3[[#All],[First]],MATCH(Table5[[#This Row],[PID]],Table3[[#All],[PID]],0)))</f>
        <v>Takiji</v>
      </c>
      <c r="F1304" s="50" t="str">
        <f>IF($C1304="B",INDEX(Batters[[#All],[Last]],MATCH(A1304,Batters[[#All],[PID]],0)),INDEX(Table3[[#All],[Last]],MATCH(A1304,Table3[[#All],[PID]],0)))</f>
        <v>Susui</v>
      </c>
      <c r="G1304" s="56">
        <f>IF($C1304="B",INDEX(Batters[[#All],[Age]],MATCH(Table5[[#This Row],[PID]],Batters[[#All],[PID]],0)),INDEX(Table3[[#All],[Age]],MATCH(Table5[[#This Row],[PID]],Table3[[#All],[PID]],0)))</f>
        <v>21</v>
      </c>
      <c r="H1304" s="52" t="str">
        <f>IF($C1304="B",INDEX(Batters[[#All],[B]],MATCH(Table5[[#This Row],[PID]],Batters[[#All],[PID]],0)),INDEX(Table3[[#All],[B]],MATCH(Table5[[#This Row],[PID]],Table3[[#All],[PID]],0)))</f>
        <v>L</v>
      </c>
      <c r="I1304" s="70" t="str">
        <f>IF($C1304="B",INDEX(Batters[[#All],[T]],MATCH(Table5[[#This Row],[PID]],Batters[[#All],[PID]],0)),INDEX(Table3[[#All],[T]],MATCH(Table5[[#This Row],[PID]],Table3[[#All],[PID]],0)))</f>
        <v>L</v>
      </c>
      <c r="J1304" s="52" t="str">
        <f>IF($C1304="B",INDEX(Batters[[#All],[WE]],MATCH(Table5[[#This Row],[PID]],Batters[[#All],[PID]],0)),INDEX(Table3[[#All],[WE]],MATCH(Table5[[#This Row],[PID]],Table3[[#All],[PID]],0)))</f>
        <v>Normal</v>
      </c>
      <c r="K1304" s="52" t="str">
        <f>IF($C1304="B",INDEX(Batters[[#All],[INT]],MATCH(Table5[[#This Row],[PID]],Batters[[#All],[PID]],0)),INDEX(Table3[[#All],[INT]],MATCH(Table5[[#This Row],[PID]],Table3[[#All],[PID]],0)))</f>
        <v>Normal</v>
      </c>
      <c r="L1304" s="60">
        <f>IF($C1304="B",INDEX(Batters[[#All],[CON P]],MATCH(Table5[[#This Row],[PID]],Batters[[#All],[PID]],0)),INDEX(Table3[[#All],[STU P]],MATCH(Table5[[#This Row],[PID]],Table3[[#All],[PID]],0)))</f>
        <v>3</v>
      </c>
      <c r="M1304" s="56">
        <f>IF($C1304="B",INDEX(Batters[[#All],[GAP P]],MATCH(Table5[[#This Row],[PID]],Batters[[#All],[PID]],0)),INDEX(Table3[[#All],[MOV P]],MATCH(Table5[[#This Row],[PID]],Table3[[#All],[PID]],0)))</f>
        <v>3</v>
      </c>
      <c r="N1304" s="56">
        <f>IF($C1304="B",INDEX(Batters[[#All],[POW P]],MATCH(Table5[[#This Row],[PID]],Batters[[#All],[PID]],0)),INDEX(Table3[[#All],[CON P]],MATCH(Table5[[#This Row],[PID]],Table3[[#All],[PID]],0)))</f>
        <v>4</v>
      </c>
      <c r="O1304" s="56">
        <f>IF($C1304="B",INDEX(Batters[[#All],[EYE P]],MATCH(Table5[[#This Row],[PID]],Batters[[#All],[PID]],0)),INDEX(Table3[[#All],[VELO]],MATCH(Table5[[#This Row],[PID]],Table3[[#All],[PID]],0)))</f>
        <v>5</v>
      </c>
      <c r="P1304" s="56">
        <f>IF($C1304="B",INDEX(Batters[[#All],[K P]],MATCH(Table5[[#This Row],[PID]],Batters[[#All],[PID]],0)),INDEX(Table3[[#All],[STM]],MATCH(Table5[[#This Row],[PID]],Table3[[#All],[PID]],0)))</f>
        <v>3</v>
      </c>
      <c r="Q1304" s="61">
        <f>IF($C1304="B",INDEX(Batters[[#All],[Tot]],MATCH(Table5[[#This Row],[PID]],Batters[[#All],[PID]],0)),INDEX(Table3[[#All],[Tot]],MATCH(Table5[[#This Row],[PID]],Table3[[#All],[PID]],0)))</f>
        <v>37.612164339700776</v>
      </c>
      <c r="R1304" s="70">
        <f>IF($C1304="B",INDEX(Batters[[#All],[zScore]],MATCH(Table5[[#This Row],[PID]],Batters[[#All],[PID]],0)),INDEX(Table3[[#All],[zScore]],MATCH(Table5[[#This Row],[PID]],Table3[[#All],[PID]],0)))</f>
        <v>-1.4454782717661787</v>
      </c>
      <c r="S1304" s="79" t="str">
        <f>IF($C1304="B",INDEX(Batters[[#All],[DEM]],MATCH(Table5[[#This Row],[PID]],Batters[[#All],[PID]],0)),INDEX(Table3[[#All],[DEM]],MATCH(Table5[[#This Row],[PID]],Table3[[#All],[PID]],0)))</f>
        <v>-</v>
      </c>
      <c r="T1304" s="62">
        <f>IF($C1304="B",INDEX(Batters[[#All],[Rnk]],MATCH(Table5[[#This Row],[PID]],Batters[[#All],[PID]],0)),INDEX(Table3[[#All],[Rnk]],MATCH(Table5[[#This Row],[PID]],Table3[[#All],[PID]],0)))</f>
        <v>523</v>
      </c>
      <c r="U1304" s="68">
        <f>IF($C1304="B",VLOOKUP($A1304,Bat!$A$4:$BA$1621,47,FALSE),VLOOKUP($A1304,Pit!$A$4:$BF$1557,56,FALSE))</f>
        <v>0</v>
      </c>
      <c r="V1304" s="50">
        <f>IF($C1304="B",VLOOKUP($A1304,Bat!$A$4:$BA$1621,48,FALSE),VLOOKUP($A1304,Pit!$A$4:$BF$1557,57,FALSE))</f>
        <v>0</v>
      </c>
      <c r="W1304" s="50">
        <f>Table5[[#This Row],[posRnk]]+Table5[[#This Row],[zRnk]]+IF($W$3&lt;&gt;Table5[[#This Row],[Type]],50,0)</f>
        <v>1863</v>
      </c>
      <c r="X1304" s="51">
        <f>RANK(Table5[[#This Row],[zScore]],Table5[[#All],[zScore]])</f>
        <v>1290</v>
      </c>
      <c r="Y1304" s="50" t="str">
        <f>IFERROR(INDEX(DraftResults[[#All],[OVR]],MATCH(Table5[[#This Row],[PID]],DraftResults[[#All],[Player ID]],0)),"")</f>
        <v/>
      </c>
      <c r="Z13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4" s="50" t="str">
        <f>IFERROR(INDEX(DraftResults[[#All],[Pick in Round]],MATCH(Table5[[#This Row],[PID]],DraftResults[[#All],[Player ID]],0)),"")</f>
        <v/>
      </c>
      <c r="AB1304" s="50" t="str">
        <f>IFERROR(INDEX(DraftResults[[#All],[Team Name]],MATCH(Table5[[#This Row],[PID]],DraftResults[[#All],[Player ID]],0)),"")</f>
        <v/>
      </c>
      <c r="AC1304" s="50" t="str">
        <f>IF(Table5[[#This Row],[Ovr]]="","",IF(Table5[[#This Row],[cmbList]]="","",Table5[[#This Row],[cmbList]]-Table5[[#This Row],[Ovr]]))</f>
        <v/>
      </c>
      <c r="AD1304" s="54" t="str">
        <f>IF(ISERROR(VLOOKUP($AB1304&amp;"-"&amp;$E1304&amp;" "&amp;F1304,Bonuses!$B$1:$G$1006,4,FALSE)),"",INT(VLOOKUP($AB1304&amp;"-"&amp;$E1304&amp;" "&amp;$F1304,Bonuses!$B$1:$G$1006,4,FALSE)))</f>
        <v/>
      </c>
      <c r="AE13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5" spans="1:31" x14ac:dyDescent="0.25">
      <c r="A1305" s="68">
        <v>17759</v>
      </c>
      <c r="B1305" s="69">
        <f>COUNTIF(Table5[PID],A1305)</f>
        <v>1</v>
      </c>
      <c r="C1305" s="69" t="str">
        <f>IF(COUNTIF(Table3[[#All],[PID]],A1305)&gt;0,"P","B")</f>
        <v>P</v>
      </c>
      <c r="D1305" s="59" t="str">
        <f>IF($C1305="B",INDEX(Batters[[#All],[POS]],MATCH(Table5[[#This Row],[PID]],Batters[[#All],[PID]],0)),INDEX(Table3[[#All],[POS]],MATCH(Table5[[#This Row],[PID]],Table3[[#All],[PID]],0)))</f>
        <v>RP</v>
      </c>
      <c r="E1305" s="52" t="str">
        <f>IF($C1305="B",INDEX(Batters[[#All],[First]],MATCH(Table5[[#This Row],[PID]],Batters[[#All],[PID]],0)),INDEX(Table3[[#All],[First]],MATCH(Table5[[#This Row],[PID]],Table3[[#All],[PID]],0)))</f>
        <v>Damien</v>
      </c>
      <c r="F1305" s="55" t="str">
        <f>IF($C1305="B",INDEX(Batters[[#All],[Last]],MATCH(A1305,Batters[[#All],[PID]],0)),INDEX(Table3[[#All],[Last]],MATCH(A1305,Table3[[#All],[PID]],0)))</f>
        <v>Moggs</v>
      </c>
      <c r="G1305" s="56">
        <f>IF($C1305="B",INDEX(Batters[[#All],[Age]],MATCH(Table5[[#This Row],[PID]],Batters[[#All],[PID]],0)),INDEX(Table3[[#All],[Age]],MATCH(Table5[[#This Row],[PID]],Table3[[#All],[PID]],0)))</f>
        <v>21</v>
      </c>
      <c r="H1305" s="52" t="str">
        <f>IF($C1305="B",INDEX(Batters[[#All],[B]],MATCH(Table5[[#This Row],[PID]],Batters[[#All],[PID]],0)),INDEX(Table3[[#All],[B]],MATCH(Table5[[#This Row],[PID]],Table3[[#All],[PID]],0)))</f>
        <v>R</v>
      </c>
      <c r="I1305" s="70" t="str">
        <f>IF($C1305="B",INDEX(Batters[[#All],[T]],MATCH(Table5[[#This Row],[PID]],Batters[[#All],[PID]],0)),INDEX(Table3[[#All],[T]],MATCH(Table5[[#This Row],[PID]],Table3[[#All],[PID]],0)))</f>
        <v>R</v>
      </c>
      <c r="J1305" s="71" t="str">
        <f>IF($C1305="B",INDEX(Batters[[#All],[WE]],MATCH(Table5[[#This Row],[PID]],Batters[[#All],[PID]],0)),INDEX(Table3[[#All],[WE]],MATCH(Table5[[#This Row],[PID]],Table3[[#All],[PID]],0)))</f>
        <v>Normal</v>
      </c>
      <c r="K1305" s="52" t="str">
        <f>IF($C1305="B",INDEX(Batters[[#All],[INT]],MATCH(Table5[[#This Row],[PID]],Batters[[#All],[PID]],0)),INDEX(Table3[[#All],[INT]],MATCH(Table5[[#This Row],[PID]],Table3[[#All],[PID]],0)))</f>
        <v>High</v>
      </c>
      <c r="L1305" s="60">
        <f>IF($C1305="B",INDEX(Batters[[#All],[CON P]],MATCH(Table5[[#This Row],[PID]],Batters[[#All],[PID]],0)),INDEX(Table3[[#All],[STU P]],MATCH(Table5[[#This Row],[PID]],Table3[[#All],[PID]],0)))</f>
        <v>3</v>
      </c>
      <c r="M1305" s="72">
        <f>IF($C1305="B",INDEX(Batters[[#All],[GAP P]],MATCH(Table5[[#This Row],[PID]],Batters[[#All],[PID]],0)),INDEX(Table3[[#All],[MOV P]],MATCH(Table5[[#This Row],[PID]],Table3[[#All],[PID]],0)))</f>
        <v>1</v>
      </c>
      <c r="N1305" s="72">
        <f>IF($C1305="B",INDEX(Batters[[#All],[POW P]],MATCH(Table5[[#This Row],[PID]],Batters[[#All],[PID]],0)),INDEX(Table3[[#All],[CON P]],MATCH(Table5[[#This Row],[PID]],Table3[[#All],[PID]],0)))</f>
        <v>2</v>
      </c>
      <c r="O1305" s="72" t="str">
        <f>IF($C1305="B",INDEX(Batters[[#All],[EYE P]],MATCH(Table5[[#This Row],[PID]],Batters[[#All],[PID]],0)),INDEX(Table3[[#All],[VELO]],MATCH(Table5[[#This Row],[PID]],Table3[[#All],[PID]],0)))</f>
        <v>88-90 Mph</v>
      </c>
      <c r="P1305" s="56">
        <f>IF($C1305="B",INDEX(Batters[[#All],[K P]],MATCH(Table5[[#This Row],[PID]],Batters[[#All],[PID]],0)),INDEX(Table3[[#All],[STM]],MATCH(Table5[[#This Row],[PID]],Table3[[#All],[PID]],0)))</f>
        <v>6</v>
      </c>
      <c r="Q1305" s="61">
        <f>IF($C1305="B",INDEX(Batters[[#All],[Tot]],MATCH(Table5[[#This Row],[PID]],Batters[[#All],[PID]],0)),INDEX(Table3[[#All],[Tot]],MATCH(Table5[[#This Row],[PID]],Table3[[#All],[PID]],0)))</f>
        <v>16.600093074793257</v>
      </c>
      <c r="R1305" s="70">
        <f>IF($C1305="B",INDEX(Batters[[#All],[zScore]],MATCH(Table5[[#This Row],[PID]],Batters[[#All],[PID]],0)),INDEX(Table3[[#All],[zScore]],MATCH(Table5[[#This Row],[PID]],Table3[[#All],[PID]],0)))</f>
        <v>-1.4524460611282888</v>
      </c>
      <c r="S1305" s="74" t="str">
        <f>IF($C1305="B",INDEX(Batters[[#All],[DEM]],MATCH(Table5[[#This Row],[PID]],Batters[[#All],[PID]],0)),INDEX(Table3[[#All],[DEM]],MATCH(Table5[[#This Row],[PID]],Table3[[#All],[PID]],0)))</f>
        <v>-</v>
      </c>
      <c r="T1305" s="75">
        <f>IF($C1305="B",INDEX(Batters[[#All],[Rnk]],MATCH(Table5[[#This Row],[PID]],Batters[[#All],[PID]],0)),INDEX(Table3[[#All],[Rnk]],MATCH(Table5[[#This Row],[PID]],Table3[[#All],[PID]],0)))</f>
        <v>767</v>
      </c>
      <c r="U1305" s="68">
        <f>IF($C1305="B",VLOOKUP($A1305,Bat!$A$4:$BA$1621,47,FALSE),VLOOKUP($A1305,Pit!$A$4:$BF$1557,56,FALSE))</f>
        <v>0</v>
      </c>
      <c r="V1305" s="50">
        <f>IF($C1305="B",VLOOKUP($A1305,Bat!$A$4:$BA$1621,48,FALSE),VLOOKUP($A1305,Pit!$A$4:$BF$1557,57,FALSE))</f>
        <v>0</v>
      </c>
      <c r="W1305" s="69">
        <f>Table5[[#This Row],[posRnk]]+Table5[[#This Row],[zRnk]]+IF($W$3&lt;&gt;Table5[[#This Row],[Type]],50,0)</f>
        <v>2108</v>
      </c>
      <c r="X1305" s="73">
        <f>RANK(Table5[[#This Row],[zScore]],Table5[[#All],[zScore]])</f>
        <v>1291</v>
      </c>
      <c r="Y1305" s="69" t="str">
        <f>IFERROR(INDEX(DraftResults[[#All],[OVR]],MATCH(Table5[[#This Row],[PID]],DraftResults[[#All],[Player ID]],0)),"")</f>
        <v/>
      </c>
      <c r="Z130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5" s="69" t="str">
        <f>IFERROR(INDEX(DraftResults[[#All],[Pick in Round]],MATCH(Table5[[#This Row],[PID]],DraftResults[[#All],[Player ID]],0)),"")</f>
        <v/>
      </c>
      <c r="AB1305" s="69" t="str">
        <f>IFERROR(INDEX(DraftResults[[#All],[Team Name]],MATCH(Table5[[#This Row],[PID]],DraftResults[[#All],[Player ID]],0)),"")</f>
        <v/>
      </c>
      <c r="AC1305" s="69" t="str">
        <f>IF(Table5[[#This Row],[Ovr]]="","",IF(Table5[[#This Row],[cmbList]]="","",Table5[[#This Row],[cmbList]]-Table5[[#This Row],[Ovr]]))</f>
        <v/>
      </c>
      <c r="AD1305" s="77" t="str">
        <f>IF(ISERROR(VLOOKUP($AB1305&amp;"-"&amp;$E1305&amp;" "&amp;F1305,Bonuses!$B$1:$G$1006,4,FALSE)),"",INT(VLOOKUP($AB1305&amp;"-"&amp;$E1305&amp;" "&amp;$F1305,Bonuses!$B$1:$G$1006,4,FALSE)))</f>
        <v/>
      </c>
      <c r="AE130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6" spans="1:31" x14ac:dyDescent="0.25">
      <c r="A1306" s="50">
        <v>10306</v>
      </c>
      <c r="B1306" s="50">
        <f>COUNTIF(Table5[PID],A1306)</f>
        <v>1</v>
      </c>
      <c r="C1306" s="50" t="str">
        <f>IF(COUNTIF(Table3[[#All],[PID]],A1306)&gt;0,"P","B")</f>
        <v>B</v>
      </c>
      <c r="D1306" s="59" t="str">
        <f>IF($C1306="B",INDEX(Batters[[#All],[POS]],MATCH(Table5[[#This Row],[PID]],Batters[[#All],[PID]],0)),INDEX(Table3[[#All],[POS]],MATCH(Table5[[#This Row],[PID]],Table3[[#All],[PID]],0)))</f>
        <v>RF</v>
      </c>
      <c r="E1306" s="52" t="str">
        <f>IF($C1306="B",INDEX(Batters[[#All],[First]],MATCH(Table5[[#This Row],[PID]],Batters[[#All],[PID]],0)),INDEX(Table3[[#All],[First]],MATCH(Table5[[#This Row],[PID]],Table3[[#All],[PID]],0)))</f>
        <v>Rafael</v>
      </c>
      <c r="F1306" s="50" t="str">
        <f>IF($C1306="B",INDEX(Batters[[#All],[Last]],MATCH(A1306,Batters[[#All],[PID]],0)),INDEX(Table3[[#All],[Last]],MATCH(A1306,Table3[[#All],[PID]],0)))</f>
        <v>Solís</v>
      </c>
      <c r="G1306" s="56">
        <f>IF($C1306="B",INDEX(Batters[[#All],[Age]],MATCH(Table5[[#This Row],[PID]],Batters[[#All],[PID]],0)),INDEX(Table3[[#All],[Age]],MATCH(Table5[[#This Row],[PID]],Table3[[#All],[PID]],0)))</f>
        <v>21</v>
      </c>
      <c r="H1306" s="52" t="str">
        <f>IF($C1306="B",INDEX(Batters[[#All],[B]],MATCH(Table5[[#This Row],[PID]],Batters[[#All],[PID]],0)),INDEX(Table3[[#All],[B]],MATCH(Table5[[#This Row],[PID]],Table3[[#All],[PID]],0)))</f>
        <v>R</v>
      </c>
      <c r="I1306" s="70" t="str">
        <f>IF($C1306="B",INDEX(Batters[[#All],[T]],MATCH(Table5[[#This Row],[PID]],Batters[[#All],[PID]],0)),INDEX(Table3[[#All],[T]],MATCH(Table5[[#This Row],[PID]],Table3[[#All],[PID]],0)))</f>
        <v>R</v>
      </c>
      <c r="J1306" s="52" t="str">
        <f>IF($C1306="B",INDEX(Batters[[#All],[WE]],MATCH(Table5[[#This Row],[PID]],Batters[[#All],[PID]],0)),INDEX(Table3[[#All],[WE]],MATCH(Table5[[#This Row],[PID]],Table3[[#All],[PID]],0)))</f>
        <v>Normal</v>
      </c>
      <c r="K1306" s="52" t="str">
        <f>IF($C1306="B",INDEX(Batters[[#All],[INT]],MATCH(Table5[[#This Row],[PID]],Batters[[#All],[PID]],0)),INDEX(Table3[[#All],[INT]],MATCH(Table5[[#This Row],[PID]],Table3[[#All],[PID]],0)))</f>
        <v>High</v>
      </c>
      <c r="L1306" s="60">
        <f>IF($C1306="B",INDEX(Batters[[#All],[CON P]],MATCH(Table5[[#This Row],[PID]],Batters[[#All],[PID]],0)),INDEX(Table3[[#All],[STU P]],MATCH(Table5[[#This Row],[PID]],Table3[[#All],[PID]],0)))</f>
        <v>3</v>
      </c>
      <c r="M1306" s="56">
        <f>IF($C1306="B",INDEX(Batters[[#All],[GAP P]],MATCH(Table5[[#This Row],[PID]],Batters[[#All],[PID]],0)),INDEX(Table3[[#All],[MOV P]],MATCH(Table5[[#This Row],[PID]],Table3[[#All],[PID]],0)))</f>
        <v>3</v>
      </c>
      <c r="N1306" s="56">
        <f>IF($C1306="B",INDEX(Batters[[#All],[POW P]],MATCH(Table5[[#This Row],[PID]],Batters[[#All],[PID]],0)),INDEX(Table3[[#All],[CON P]],MATCH(Table5[[#This Row],[PID]],Table3[[#All],[PID]],0)))</f>
        <v>4</v>
      </c>
      <c r="O1306" s="56">
        <f>IF($C1306="B",INDEX(Batters[[#All],[EYE P]],MATCH(Table5[[#This Row],[PID]],Batters[[#All],[PID]],0)),INDEX(Table3[[#All],[VELO]],MATCH(Table5[[#This Row],[PID]],Table3[[#All],[PID]],0)))</f>
        <v>4</v>
      </c>
      <c r="P1306" s="56">
        <f>IF($C1306="B",INDEX(Batters[[#All],[K P]],MATCH(Table5[[#This Row],[PID]],Batters[[#All],[PID]],0)),INDEX(Table3[[#All],[STM]],MATCH(Table5[[#This Row],[PID]],Table3[[#All],[PID]],0)))</f>
        <v>5</v>
      </c>
      <c r="Q1306" s="61">
        <f>IF($C1306="B",INDEX(Batters[[#All],[Tot]],MATCH(Table5[[#This Row],[PID]],Batters[[#All],[PID]],0)),INDEX(Table3[[#All],[Tot]],MATCH(Table5[[#This Row],[PID]],Table3[[#All],[PID]],0)))</f>
        <v>37.554788752307488</v>
      </c>
      <c r="R1306" s="70">
        <f>IF($C1306="B",INDEX(Batters[[#All],[zScore]],MATCH(Table5[[#This Row],[PID]],Batters[[#All],[PID]],0)),INDEX(Table3[[#All],[zScore]],MATCH(Table5[[#This Row],[PID]],Table3[[#All],[PID]],0)))</f>
        <v>-1.4581988273142488</v>
      </c>
      <c r="S1306" s="79" t="str">
        <f>IF($C1306="B",INDEX(Batters[[#All],[DEM]],MATCH(Table5[[#This Row],[PID]],Batters[[#All],[PID]],0)),INDEX(Table3[[#All],[DEM]],MATCH(Table5[[#This Row],[PID]],Table3[[#All],[PID]],0)))</f>
        <v>-</v>
      </c>
      <c r="T1306" s="62">
        <f>IF($C1306="B",INDEX(Batters[[#All],[Rnk]],MATCH(Table5[[#This Row],[PID]],Batters[[#All],[PID]],0)),INDEX(Table3[[#All],[Rnk]],MATCH(Table5[[#This Row],[PID]],Table3[[#All],[PID]],0)))</f>
        <v>524</v>
      </c>
      <c r="U1306" s="68">
        <f>IF($C1306="B",VLOOKUP($A1306,Bat!$A$4:$BA$1621,47,FALSE),VLOOKUP($A1306,Pit!$A$4:$BF$1557,56,FALSE))</f>
        <v>0</v>
      </c>
      <c r="V1306" s="50">
        <f>IF($C1306="B",VLOOKUP($A1306,Bat!$A$4:$BA$1621,48,FALSE),VLOOKUP($A1306,Pit!$A$4:$BF$1557,57,FALSE))</f>
        <v>0</v>
      </c>
      <c r="W1306" s="50">
        <f>Table5[[#This Row],[posRnk]]+Table5[[#This Row],[zRnk]]+IF($W$3&lt;&gt;Table5[[#This Row],[Type]],50,0)</f>
        <v>1866</v>
      </c>
      <c r="X1306" s="51">
        <f>RANK(Table5[[#This Row],[zScore]],Table5[[#All],[zScore]])</f>
        <v>1292</v>
      </c>
      <c r="Y1306" s="50" t="str">
        <f>IFERROR(INDEX(DraftResults[[#All],[OVR]],MATCH(Table5[[#This Row],[PID]],DraftResults[[#All],[Player ID]],0)),"")</f>
        <v/>
      </c>
      <c r="Z13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6" s="50" t="str">
        <f>IFERROR(INDEX(DraftResults[[#All],[Pick in Round]],MATCH(Table5[[#This Row],[PID]],DraftResults[[#All],[Player ID]],0)),"")</f>
        <v/>
      </c>
      <c r="AB1306" s="50" t="str">
        <f>IFERROR(INDEX(DraftResults[[#All],[Team Name]],MATCH(Table5[[#This Row],[PID]],DraftResults[[#All],[Player ID]],0)),"")</f>
        <v/>
      </c>
      <c r="AC1306" s="50" t="str">
        <f>IF(Table5[[#This Row],[Ovr]]="","",IF(Table5[[#This Row],[cmbList]]="","",Table5[[#This Row],[cmbList]]-Table5[[#This Row],[Ovr]]))</f>
        <v/>
      </c>
      <c r="AD1306" s="54" t="str">
        <f>IF(ISERROR(VLOOKUP($AB1306&amp;"-"&amp;$E1306&amp;" "&amp;F1306,Bonuses!$B$1:$G$1006,4,FALSE)),"",INT(VLOOKUP($AB1306&amp;"-"&amp;$E1306&amp;" "&amp;$F1306,Bonuses!$B$1:$G$1006,4,FALSE)))</f>
        <v/>
      </c>
      <c r="AE13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7" spans="1:31" x14ac:dyDescent="0.25">
      <c r="A1307" s="50">
        <v>20907</v>
      </c>
      <c r="B1307" s="50">
        <f>COUNTIF(Table5[PID],A1307)</f>
        <v>1</v>
      </c>
      <c r="C1307" s="50" t="str">
        <f>IF(COUNTIF(Table3[[#All],[PID]],A1307)&gt;0,"P","B")</f>
        <v>B</v>
      </c>
      <c r="D1307" s="59" t="str">
        <f>IF($C1307="B",INDEX(Batters[[#All],[POS]],MATCH(Table5[[#This Row],[PID]],Batters[[#All],[PID]],0)),INDEX(Table3[[#All],[POS]],MATCH(Table5[[#This Row],[PID]],Table3[[#All],[PID]],0)))</f>
        <v>1B</v>
      </c>
      <c r="E1307" s="52" t="str">
        <f>IF($C1307="B",INDEX(Batters[[#All],[First]],MATCH(Table5[[#This Row],[PID]],Batters[[#All],[PID]],0)),INDEX(Table3[[#All],[First]],MATCH(Table5[[#This Row],[PID]],Table3[[#All],[PID]],0)))</f>
        <v>George</v>
      </c>
      <c r="F1307" s="50" t="str">
        <f>IF($C1307="B",INDEX(Batters[[#All],[Last]],MATCH(A1307,Batters[[#All],[PID]],0)),INDEX(Table3[[#All],[Last]],MATCH(A1307,Table3[[#All],[PID]],0)))</f>
        <v>Briggs</v>
      </c>
      <c r="G1307" s="56">
        <f>IF($C1307="B",INDEX(Batters[[#All],[Age]],MATCH(Table5[[#This Row],[PID]],Batters[[#All],[PID]],0)),INDEX(Table3[[#All],[Age]],MATCH(Table5[[#This Row],[PID]],Table3[[#All],[PID]],0)))</f>
        <v>18</v>
      </c>
      <c r="H1307" s="52" t="str">
        <f>IF($C1307="B",INDEX(Batters[[#All],[B]],MATCH(Table5[[#This Row],[PID]],Batters[[#All],[PID]],0)),INDEX(Table3[[#All],[B]],MATCH(Table5[[#This Row],[PID]],Table3[[#All],[PID]],0)))</f>
        <v>L</v>
      </c>
      <c r="I1307" s="70" t="str">
        <f>IF($C1307="B",INDEX(Batters[[#All],[T]],MATCH(Table5[[#This Row],[PID]],Batters[[#All],[PID]],0)),INDEX(Table3[[#All],[T]],MATCH(Table5[[#This Row],[PID]],Table3[[#All],[PID]],0)))</f>
        <v>L</v>
      </c>
      <c r="J1307" s="52" t="str">
        <f>IF($C1307="B",INDEX(Batters[[#All],[WE]],MATCH(Table5[[#This Row],[PID]],Batters[[#All],[PID]],0)),INDEX(Table3[[#All],[WE]],MATCH(Table5[[#This Row],[PID]],Table3[[#All],[PID]],0)))</f>
        <v>Normal</v>
      </c>
      <c r="K1307" s="52" t="str">
        <f>IF($C1307="B",INDEX(Batters[[#All],[INT]],MATCH(Table5[[#This Row],[PID]],Batters[[#All],[PID]],0)),INDEX(Table3[[#All],[INT]],MATCH(Table5[[#This Row],[PID]],Table3[[#All],[PID]],0)))</f>
        <v>High</v>
      </c>
      <c r="L1307" s="60">
        <f>IF($C1307="B",INDEX(Batters[[#All],[CON P]],MATCH(Table5[[#This Row],[PID]],Batters[[#All],[PID]],0)),INDEX(Table3[[#All],[STU P]],MATCH(Table5[[#This Row],[PID]],Table3[[#All],[PID]],0)))</f>
        <v>3</v>
      </c>
      <c r="M1307" s="56">
        <f>IF($C1307="B",INDEX(Batters[[#All],[GAP P]],MATCH(Table5[[#This Row],[PID]],Batters[[#All],[PID]],0)),INDEX(Table3[[#All],[MOV P]],MATCH(Table5[[#This Row],[PID]],Table3[[#All],[PID]],0)))</f>
        <v>2</v>
      </c>
      <c r="N1307" s="56">
        <f>IF($C1307="B",INDEX(Batters[[#All],[POW P]],MATCH(Table5[[#This Row],[PID]],Batters[[#All],[PID]],0)),INDEX(Table3[[#All],[CON P]],MATCH(Table5[[#This Row],[PID]],Table3[[#All],[PID]],0)))</f>
        <v>2</v>
      </c>
      <c r="O1307" s="56">
        <f>IF($C1307="B",INDEX(Batters[[#All],[EYE P]],MATCH(Table5[[#This Row],[PID]],Batters[[#All],[PID]],0)),INDEX(Table3[[#All],[VELO]],MATCH(Table5[[#This Row],[PID]],Table3[[#All],[PID]],0)))</f>
        <v>3</v>
      </c>
      <c r="P1307" s="56">
        <f>IF($C1307="B",INDEX(Batters[[#All],[K P]],MATCH(Table5[[#This Row],[PID]],Batters[[#All],[PID]],0)),INDEX(Table3[[#All],[STM]],MATCH(Table5[[#This Row],[PID]],Table3[[#All],[PID]],0)))</f>
        <v>3</v>
      </c>
      <c r="Q1307" s="61">
        <f>IF($C1307="B",INDEX(Batters[[#All],[Tot]],MATCH(Table5[[#This Row],[PID]],Batters[[#All],[PID]],0)),INDEX(Table3[[#All],[Tot]],MATCH(Table5[[#This Row],[PID]],Table3[[#All],[PID]],0)))</f>
        <v>37.551969524904166</v>
      </c>
      <c r="R1307" s="70">
        <f>IF($C1307="B",INDEX(Batters[[#All],[zScore]],MATCH(Table5[[#This Row],[PID]],Batters[[#All],[PID]],0)),INDEX(Table3[[#All],[zScore]],MATCH(Table5[[#This Row],[PID]],Table3[[#All],[PID]],0)))</f>
        <v>-1.4588238690857738</v>
      </c>
      <c r="S1307" s="79" t="str">
        <f>IF($C1307="B",INDEX(Batters[[#All],[DEM]],MATCH(Table5[[#This Row],[PID]],Batters[[#All],[PID]],0)),INDEX(Table3[[#All],[DEM]],MATCH(Table5[[#This Row],[PID]],Table3[[#All],[PID]],0)))</f>
        <v>$65k</v>
      </c>
      <c r="T1307" s="62">
        <f>IF($C1307="B",INDEX(Batters[[#All],[Rnk]],MATCH(Table5[[#This Row],[PID]],Batters[[#All],[PID]],0)),INDEX(Table3[[#All],[Rnk]],MATCH(Table5[[#This Row],[PID]],Table3[[#All],[PID]],0)))</f>
        <v>525</v>
      </c>
      <c r="U1307" s="68">
        <f>IF($C1307="B",VLOOKUP($A1307,Bat!$A$4:$BA$1621,47,FALSE),VLOOKUP($A1307,Pit!$A$4:$BF$1557,56,FALSE))</f>
        <v>0</v>
      </c>
      <c r="V1307" s="50">
        <f>IF($C1307="B",VLOOKUP($A1307,Bat!$A$4:$BA$1621,48,FALSE),VLOOKUP($A1307,Pit!$A$4:$BF$1557,57,FALSE))</f>
        <v>0</v>
      </c>
      <c r="W1307" s="50">
        <f>Table5[[#This Row],[posRnk]]+Table5[[#This Row],[zRnk]]+IF($W$3&lt;&gt;Table5[[#This Row],[Type]],50,0)</f>
        <v>1868</v>
      </c>
      <c r="X1307" s="51">
        <f>RANK(Table5[[#This Row],[zScore]],Table5[[#All],[zScore]])</f>
        <v>1293</v>
      </c>
      <c r="Y1307" s="50" t="str">
        <f>IFERROR(INDEX(DraftResults[[#All],[OVR]],MATCH(Table5[[#This Row],[PID]],DraftResults[[#All],[Player ID]],0)),"")</f>
        <v/>
      </c>
      <c r="Z13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7" s="50" t="str">
        <f>IFERROR(INDEX(DraftResults[[#All],[Pick in Round]],MATCH(Table5[[#This Row],[PID]],DraftResults[[#All],[Player ID]],0)),"")</f>
        <v/>
      </c>
      <c r="AB1307" s="50" t="str">
        <f>IFERROR(INDEX(DraftResults[[#All],[Team Name]],MATCH(Table5[[#This Row],[PID]],DraftResults[[#All],[Player ID]],0)),"")</f>
        <v/>
      </c>
      <c r="AC1307" s="50" t="str">
        <f>IF(Table5[[#This Row],[Ovr]]="","",IF(Table5[[#This Row],[cmbList]]="","",Table5[[#This Row],[cmbList]]-Table5[[#This Row],[Ovr]]))</f>
        <v/>
      </c>
      <c r="AD1307" s="54" t="str">
        <f>IF(ISERROR(VLOOKUP($AB1307&amp;"-"&amp;$E1307&amp;" "&amp;F1307,Bonuses!$B$1:$G$1006,4,FALSE)),"",INT(VLOOKUP($AB1307&amp;"-"&amp;$E1307&amp;" "&amp;$F1307,Bonuses!$B$1:$G$1006,4,FALSE)))</f>
        <v/>
      </c>
      <c r="AE13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8" spans="1:31" x14ac:dyDescent="0.25">
      <c r="A1308" s="50">
        <v>20281</v>
      </c>
      <c r="B1308" s="50">
        <f>COUNTIF(Table5[PID],A1308)</f>
        <v>1</v>
      </c>
      <c r="C1308" s="50" t="str">
        <f>IF(COUNTIF(Table3[[#All],[PID]],A1308)&gt;0,"P","B")</f>
        <v>B</v>
      </c>
      <c r="D1308" s="59" t="str">
        <f>IF($C1308="B",INDEX(Batters[[#All],[POS]],MATCH(Table5[[#This Row],[PID]],Batters[[#All],[PID]],0)),INDEX(Table3[[#All],[POS]],MATCH(Table5[[#This Row],[PID]],Table3[[#All],[PID]],0)))</f>
        <v>1B</v>
      </c>
      <c r="E1308" s="52" t="str">
        <f>IF($C1308="B",INDEX(Batters[[#All],[First]],MATCH(Table5[[#This Row],[PID]],Batters[[#All],[PID]],0)),INDEX(Table3[[#All],[First]],MATCH(Table5[[#This Row],[PID]],Table3[[#All],[PID]],0)))</f>
        <v>Dan</v>
      </c>
      <c r="F1308" s="50" t="str">
        <f>IF($C1308="B",INDEX(Batters[[#All],[Last]],MATCH(A1308,Batters[[#All],[PID]],0)),INDEX(Table3[[#All],[Last]],MATCH(A1308,Table3[[#All],[PID]],0)))</f>
        <v>Nesbitt</v>
      </c>
      <c r="G1308" s="56">
        <f>IF($C1308="B",INDEX(Batters[[#All],[Age]],MATCH(Table5[[#This Row],[PID]],Batters[[#All],[PID]],0)),INDEX(Table3[[#All],[Age]],MATCH(Table5[[#This Row],[PID]],Table3[[#All],[PID]],0)))</f>
        <v>21</v>
      </c>
      <c r="H1308" s="52" t="str">
        <f>IF($C1308="B",INDEX(Batters[[#All],[B]],MATCH(Table5[[#This Row],[PID]],Batters[[#All],[PID]],0)),INDEX(Table3[[#All],[B]],MATCH(Table5[[#This Row],[PID]],Table3[[#All],[PID]],0)))</f>
        <v>R</v>
      </c>
      <c r="I1308" s="70" t="str">
        <f>IF($C1308="B",INDEX(Batters[[#All],[T]],MATCH(Table5[[#This Row],[PID]],Batters[[#All],[PID]],0)),INDEX(Table3[[#All],[T]],MATCH(Table5[[#This Row],[PID]],Table3[[#All],[PID]],0)))</f>
        <v>R</v>
      </c>
      <c r="J1308" s="52" t="str">
        <f>IF($C1308="B",INDEX(Batters[[#All],[WE]],MATCH(Table5[[#This Row],[PID]],Batters[[#All],[PID]],0)),INDEX(Table3[[#All],[WE]],MATCH(Table5[[#This Row],[PID]],Table3[[#All],[PID]],0)))</f>
        <v>Normal</v>
      </c>
      <c r="K1308" s="52" t="str">
        <f>IF($C1308="B",INDEX(Batters[[#All],[INT]],MATCH(Table5[[#This Row],[PID]],Batters[[#All],[PID]],0)),INDEX(Table3[[#All],[INT]],MATCH(Table5[[#This Row],[PID]],Table3[[#All],[PID]],0)))</f>
        <v>Normal</v>
      </c>
      <c r="L1308" s="60">
        <f>IF($C1308="B",INDEX(Batters[[#All],[CON P]],MATCH(Table5[[#This Row],[PID]],Batters[[#All],[PID]],0)),INDEX(Table3[[#All],[STU P]],MATCH(Table5[[#This Row],[PID]],Table3[[#All],[PID]],0)))</f>
        <v>3</v>
      </c>
      <c r="M1308" s="56">
        <f>IF($C1308="B",INDEX(Batters[[#All],[GAP P]],MATCH(Table5[[#This Row],[PID]],Batters[[#All],[PID]],0)),INDEX(Table3[[#All],[MOV P]],MATCH(Table5[[#This Row],[PID]],Table3[[#All],[PID]],0)))</f>
        <v>4</v>
      </c>
      <c r="N1308" s="56">
        <f>IF($C1308="B",INDEX(Batters[[#All],[POW P]],MATCH(Table5[[#This Row],[PID]],Batters[[#All],[PID]],0)),INDEX(Table3[[#All],[CON P]],MATCH(Table5[[#This Row],[PID]],Table3[[#All],[PID]],0)))</f>
        <v>4</v>
      </c>
      <c r="O1308" s="56">
        <f>IF($C1308="B",INDEX(Batters[[#All],[EYE P]],MATCH(Table5[[#This Row],[PID]],Batters[[#All],[PID]],0)),INDEX(Table3[[#All],[VELO]],MATCH(Table5[[#This Row],[PID]],Table3[[#All],[PID]],0)))</f>
        <v>5</v>
      </c>
      <c r="P1308" s="56">
        <f>IF($C1308="B",INDEX(Batters[[#All],[K P]],MATCH(Table5[[#This Row],[PID]],Batters[[#All],[PID]],0)),INDEX(Table3[[#All],[STM]],MATCH(Table5[[#This Row],[PID]],Table3[[#All],[PID]],0)))</f>
        <v>3</v>
      </c>
      <c r="Q1308" s="61">
        <f>IF($C1308="B",INDEX(Batters[[#All],[Tot]],MATCH(Table5[[#This Row],[PID]],Batters[[#All],[PID]],0)),INDEX(Table3[[#All],[Tot]],MATCH(Table5[[#This Row],[PID]],Table3[[#All],[PID]],0)))</f>
        <v>37.51437336186639</v>
      </c>
      <c r="R1308" s="70">
        <f>IF($C1308="B",INDEX(Batters[[#All],[zScore]],MATCH(Table5[[#This Row],[PID]],Batters[[#All],[PID]],0)),INDEX(Table3[[#All],[zScore]],MATCH(Table5[[#This Row],[PID]],Table3[[#All],[PID]],0)))</f>
        <v>-1.4671591925577261</v>
      </c>
      <c r="S1308" s="79" t="str">
        <f>IF($C1308="B",INDEX(Batters[[#All],[DEM]],MATCH(Table5[[#This Row],[PID]],Batters[[#All],[PID]],0)),INDEX(Table3[[#All],[DEM]],MATCH(Table5[[#This Row],[PID]],Table3[[#All],[PID]],0)))</f>
        <v>-</v>
      </c>
      <c r="T1308" s="62">
        <f>IF($C1308="B",INDEX(Batters[[#All],[Rnk]],MATCH(Table5[[#This Row],[PID]],Batters[[#All],[PID]],0)),INDEX(Table3[[#All],[Rnk]],MATCH(Table5[[#This Row],[PID]],Table3[[#All],[PID]],0)))</f>
        <v>526</v>
      </c>
      <c r="U1308" s="68">
        <f>IF($C1308="B",VLOOKUP($A1308,Bat!$A$4:$BA$1621,47,FALSE),VLOOKUP($A1308,Pit!$A$4:$BF$1557,56,FALSE))</f>
        <v>0</v>
      </c>
      <c r="V1308" s="50">
        <f>IF($C1308="B",VLOOKUP($A1308,Bat!$A$4:$BA$1621,48,FALSE),VLOOKUP($A1308,Pit!$A$4:$BF$1557,57,FALSE))</f>
        <v>0</v>
      </c>
      <c r="W1308" s="50">
        <f>Table5[[#This Row],[posRnk]]+Table5[[#This Row],[zRnk]]+IF($W$3&lt;&gt;Table5[[#This Row],[Type]],50,0)</f>
        <v>1870</v>
      </c>
      <c r="X1308" s="51">
        <f>RANK(Table5[[#This Row],[zScore]],Table5[[#All],[zScore]])</f>
        <v>1294</v>
      </c>
      <c r="Y1308" s="50" t="str">
        <f>IFERROR(INDEX(DraftResults[[#All],[OVR]],MATCH(Table5[[#This Row],[PID]],DraftResults[[#All],[Player ID]],0)),"")</f>
        <v/>
      </c>
      <c r="Z13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8" s="50" t="str">
        <f>IFERROR(INDEX(DraftResults[[#All],[Pick in Round]],MATCH(Table5[[#This Row],[PID]],DraftResults[[#All],[Player ID]],0)),"")</f>
        <v/>
      </c>
      <c r="AB1308" s="50" t="str">
        <f>IFERROR(INDEX(DraftResults[[#All],[Team Name]],MATCH(Table5[[#This Row],[PID]],DraftResults[[#All],[Player ID]],0)),"")</f>
        <v/>
      </c>
      <c r="AC1308" s="50" t="str">
        <f>IF(Table5[[#This Row],[Ovr]]="","",IF(Table5[[#This Row],[cmbList]]="","",Table5[[#This Row],[cmbList]]-Table5[[#This Row],[Ovr]]))</f>
        <v/>
      </c>
      <c r="AD1308" s="54" t="str">
        <f>IF(ISERROR(VLOOKUP($AB1308&amp;"-"&amp;$E1308&amp;" "&amp;F1308,Bonuses!$B$1:$G$1006,4,FALSE)),"",INT(VLOOKUP($AB1308&amp;"-"&amp;$E1308&amp;" "&amp;$F1308,Bonuses!$B$1:$G$1006,4,FALSE)))</f>
        <v/>
      </c>
      <c r="AE13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09" spans="1:31" x14ac:dyDescent="0.25">
      <c r="A1309" s="50">
        <v>16888</v>
      </c>
      <c r="B1309" s="50">
        <f>COUNTIF(Table5[PID],A1309)</f>
        <v>1</v>
      </c>
      <c r="C1309" s="50" t="str">
        <f>IF(COUNTIF(Table3[[#All],[PID]],A1309)&gt;0,"P","B")</f>
        <v>B</v>
      </c>
      <c r="D1309" s="59" t="str">
        <f>IF($C1309="B",INDEX(Batters[[#All],[POS]],MATCH(Table5[[#This Row],[PID]],Batters[[#All],[PID]],0)),INDEX(Table3[[#All],[POS]],MATCH(Table5[[#This Row],[PID]],Table3[[#All],[PID]],0)))</f>
        <v>C</v>
      </c>
      <c r="E1309" s="52" t="str">
        <f>IF($C1309="B",INDEX(Batters[[#All],[First]],MATCH(Table5[[#This Row],[PID]],Batters[[#All],[PID]],0)),INDEX(Table3[[#All],[First]],MATCH(Table5[[#This Row],[PID]],Table3[[#All],[PID]],0)))</f>
        <v>Lorenzo</v>
      </c>
      <c r="F1309" s="50" t="str">
        <f>IF($C1309="B",INDEX(Batters[[#All],[Last]],MATCH(A1309,Batters[[#All],[PID]],0)),INDEX(Table3[[#All],[Last]],MATCH(A1309,Table3[[#All],[PID]],0)))</f>
        <v>Ferrer</v>
      </c>
      <c r="G1309" s="56">
        <f>IF($C1309="B",INDEX(Batters[[#All],[Age]],MATCH(Table5[[#This Row],[PID]],Batters[[#All],[PID]],0)),INDEX(Table3[[#All],[Age]],MATCH(Table5[[#This Row],[PID]],Table3[[#All],[PID]],0)))</f>
        <v>21</v>
      </c>
      <c r="H1309" s="52" t="str">
        <f>IF($C1309="B",INDEX(Batters[[#All],[B]],MATCH(Table5[[#This Row],[PID]],Batters[[#All],[PID]],0)),INDEX(Table3[[#All],[B]],MATCH(Table5[[#This Row],[PID]],Table3[[#All],[PID]],0)))</f>
        <v>L</v>
      </c>
      <c r="I1309" s="70" t="str">
        <f>IF($C1309="B",INDEX(Batters[[#All],[T]],MATCH(Table5[[#This Row],[PID]],Batters[[#All],[PID]],0)),INDEX(Table3[[#All],[T]],MATCH(Table5[[#This Row],[PID]],Table3[[#All],[PID]],0)))</f>
        <v>R</v>
      </c>
      <c r="J1309" s="52" t="str">
        <f>IF($C1309="B",INDEX(Batters[[#All],[WE]],MATCH(Table5[[#This Row],[PID]],Batters[[#All],[PID]],0)),INDEX(Table3[[#All],[WE]],MATCH(Table5[[#This Row],[PID]],Table3[[#All],[PID]],0)))</f>
        <v>High</v>
      </c>
      <c r="K1309" s="52" t="str">
        <f>IF($C1309="B",INDEX(Batters[[#All],[INT]],MATCH(Table5[[#This Row],[PID]],Batters[[#All],[PID]],0)),INDEX(Table3[[#All],[INT]],MATCH(Table5[[#This Row],[PID]],Table3[[#All],[PID]],0)))</f>
        <v>High</v>
      </c>
      <c r="L1309" s="60">
        <f>IF($C1309="B",INDEX(Batters[[#All],[CON P]],MATCH(Table5[[#This Row],[PID]],Batters[[#All],[PID]],0)),INDEX(Table3[[#All],[STU P]],MATCH(Table5[[#This Row],[PID]],Table3[[#All],[PID]],0)))</f>
        <v>3</v>
      </c>
      <c r="M1309" s="56">
        <f>IF($C1309="B",INDEX(Batters[[#All],[GAP P]],MATCH(Table5[[#This Row],[PID]],Batters[[#All],[PID]],0)),INDEX(Table3[[#All],[MOV P]],MATCH(Table5[[#This Row],[PID]],Table3[[#All],[PID]],0)))</f>
        <v>4</v>
      </c>
      <c r="N1309" s="56">
        <f>IF($C1309="B",INDEX(Batters[[#All],[POW P]],MATCH(Table5[[#This Row],[PID]],Batters[[#All],[PID]],0)),INDEX(Table3[[#All],[CON P]],MATCH(Table5[[#This Row],[PID]],Table3[[#All],[PID]],0)))</f>
        <v>3</v>
      </c>
      <c r="O1309" s="56">
        <f>IF($C1309="B",INDEX(Batters[[#All],[EYE P]],MATCH(Table5[[#This Row],[PID]],Batters[[#All],[PID]],0)),INDEX(Table3[[#All],[VELO]],MATCH(Table5[[#This Row],[PID]],Table3[[#All],[PID]],0)))</f>
        <v>4</v>
      </c>
      <c r="P1309" s="56">
        <f>IF($C1309="B",INDEX(Batters[[#All],[K P]],MATCH(Table5[[#This Row],[PID]],Batters[[#All],[PID]],0)),INDEX(Table3[[#All],[STM]],MATCH(Table5[[#This Row],[PID]],Table3[[#All],[PID]],0)))</f>
        <v>3</v>
      </c>
      <c r="Q1309" s="61">
        <f>IF($C1309="B",INDEX(Batters[[#All],[Tot]],MATCH(Table5[[#This Row],[PID]],Batters[[#All],[PID]],0)),INDEX(Table3[[#All],[Tot]],MATCH(Table5[[#This Row],[PID]],Table3[[#All],[PID]],0)))</f>
        <v>37.510871140078585</v>
      </c>
      <c r="R1309" s="70">
        <f>IF($C1309="B",INDEX(Batters[[#All],[zScore]],MATCH(Table5[[#This Row],[PID]],Batters[[#All],[PID]],0)),INDEX(Table3[[#All],[zScore]],MATCH(Table5[[#This Row],[PID]],Table3[[#All],[PID]],0)))</f>
        <v>-1.4679356588009047</v>
      </c>
      <c r="S1309" s="79" t="str">
        <f>IF($C1309="B",INDEX(Batters[[#All],[DEM]],MATCH(Table5[[#This Row],[PID]],Batters[[#All],[PID]],0)),INDEX(Table3[[#All],[DEM]],MATCH(Table5[[#This Row],[PID]],Table3[[#All],[PID]],0)))</f>
        <v>-</v>
      </c>
      <c r="T1309" s="62">
        <f>IF($C1309="B",INDEX(Batters[[#All],[Rnk]],MATCH(Table5[[#This Row],[PID]],Batters[[#All],[PID]],0)),INDEX(Table3[[#All],[Rnk]],MATCH(Table5[[#This Row],[PID]],Table3[[#All],[PID]],0)))</f>
        <v>527</v>
      </c>
      <c r="U1309" s="68">
        <f>IF($C1309="B",VLOOKUP($A1309,Bat!$A$4:$BA$1621,47,FALSE),VLOOKUP($A1309,Pit!$A$4:$BF$1557,56,FALSE))</f>
        <v>0</v>
      </c>
      <c r="V1309" s="50">
        <f>IF($C1309="B",VLOOKUP($A1309,Bat!$A$4:$BA$1621,48,FALSE),VLOOKUP($A1309,Pit!$A$4:$BF$1557,57,FALSE))</f>
        <v>0</v>
      </c>
      <c r="W1309" s="50">
        <f>Table5[[#This Row],[posRnk]]+Table5[[#This Row],[zRnk]]+IF($W$3&lt;&gt;Table5[[#This Row],[Type]],50,0)</f>
        <v>1872</v>
      </c>
      <c r="X1309" s="51">
        <f>RANK(Table5[[#This Row],[zScore]],Table5[[#All],[zScore]])</f>
        <v>1295</v>
      </c>
      <c r="Y1309" s="50" t="str">
        <f>IFERROR(INDEX(DraftResults[[#All],[OVR]],MATCH(Table5[[#This Row],[PID]],DraftResults[[#All],[Player ID]],0)),"")</f>
        <v/>
      </c>
      <c r="Z13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09" s="50" t="str">
        <f>IFERROR(INDEX(DraftResults[[#All],[Pick in Round]],MATCH(Table5[[#This Row],[PID]],DraftResults[[#All],[Player ID]],0)),"")</f>
        <v/>
      </c>
      <c r="AB1309" s="50" t="str">
        <f>IFERROR(INDEX(DraftResults[[#All],[Team Name]],MATCH(Table5[[#This Row],[PID]],DraftResults[[#All],[Player ID]],0)),"")</f>
        <v/>
      </c>
      <c r="AC1309" s="50" t="str">
        <f>IF(Table5[[#This Row],[Ovr]]="","",IF(Table5[[#This Row],[cmbList]]="","",Table5[[#This Row],[cmbList]]-Table5[[#This Row],[Ovr]]))</f>
        <v/>
      </c>
      <c r="AD1309" s="54" t="str">
        <f>IF(ISERROR(VLOOKUP($AB1309&amp;"-"&amp;$E1309&amp;" "&amp;F1309,Bonuses!$B$1:$G$1006,4,FALSE)),"",INT(VLOOKUP($AB1309&amp;"-"&amp;$E1309&amp;" "&amp;$F1309,Bonuses!$B$1:$G$1006,4,FALSE)))</f>
        <v/>
      </c>
      <c r="AE13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0" spans="1:31" x14ac:dyDescent="0.25">
      <c r="A1310" s="50">
        <v>14060</v>
      </c>
      <c r="B1310" s="50">
        <f>COUNTIF(Table5[PID],A1310)</f>
        <v>1</v>
      </c>
      <c r="C1310" s="50" t="str">
        <f>IF(COUNTIF(Table3[[#All],[PID]],A1310)&gt;0,"P","B")</f>
        <v>B</v>
      </c>
      <c r="D1310" s="59" t="str">
        <f>IF($C1310="B",INDEX(Batters[[#All],[POS]],MATCH(Table5[[#This Row],[PID]],Batters[[#All],[PID]],0)),INDEX(Table3[[#All],[POS]],MATCH(Table5[[#This Row],[PID]],Table3[[#All],[PID]],0)))</f>
        <v>LF</v>
      </c>
      <c r="E1310" s="52" t="str">
        <f>IF($C1310="B",INDEX(Batters[[#All],[First]],MATCH(Table5[[#This Row],[PID]],Batters[[#All],[PID]],0)),INDEX(Table3[[#All],[First]],MATCH(Table5[[#This Row],[PID]],Table3[[#All],[PID]],0)))</f>
        <v>Juan Luis</v>
      </c>
      <c r="F1310" s="50" t="str">
        <f>IF($C1310="B",INDEX(Batters[[#All],[Last]],MATCH(A1310,Batters[[#All],[PID]],0)),INDEX(Table3[[#All],[Last]],MATCH(A1310,Table3[[#All],[PID]],0)))</f>
        <v>González</v>
      </c>
      <c r="G1310" s="56">
        <f>IF($C1310="B",INDEX(Batters[[#All],[Age]],MATCH(Table5[[#This Row],[PID]],Batters[[#All],[PID]],0)),INDEX(Table3[[#All],[Age]],MATCH(Table5[[#This Row],[PID]],Table3[[#All],[PID]],0)))</f>
        <v>21</v>
      </c>
      <c r="H1310" s="52" t="str">
        <f>IF($C1310="B",INDEX(Batters[[#All],[B]],MATCH(Table5[[#This Row],[PID]],Batters[[#All],[PID]],0)),INDEX(Table3[[#All],[B]],MATCH(Table5[[#This Row],[PID]],Table3[[#All],[PID]],0)))</f>
        <v>L</v>
      </c>
      <c r="I1310" s="70" t="str">
        <f>IF($C1310="B",INDEX(Batters[[#All],[T]],MATCH(Table5[[#This Row],[PID]],Batters[[#All],[PID]],0)),INDEX(Table3[[#All],[T]],MATCH(Table5[[#This Row],[PID]],Table3[[#All],[PID]],0)))</f>
        <v>R</v>
      </c>
      <c r="J1310" s="52" t="str">
        <f>IF($C1310="B",INDEX(Batters[[#All],[WE]],MATCH(Table5[[#This Row],[PID]],Batters[[#All],[PID]],0)),INDEX(Table3[[#All],[WE]],MATCH(Table5[[#This Row],[PID]],Table3[[#All],[PID]],0)))</f>
        <v>Low</v>
      </c>
      <c r="K1310" s="52" t="str">
        <f>IF($C1310="B",INDEX(Batters[[#All],[INT]],MATCH(Table5[[#This Row],[PID]],Batters[[#All],[PID]],0)),INDEX(Table3[[#All],[INT]],MATCH(Table5[[#This Row],[PID]],Table3[[#All],[PID]],0)))</f>
        <v>Normal</v>
      </c>
      <c r="L1310" s="60">
        <f>IF($C1310="B",INDEX(Batters[[#All],[CON P]],MATCH(Table5[[#This Row],[PID]],Batters[[#All],[PID]],0)),INDEX(Table3[[#All],[STU P]],MATCH(Table5[[#This Row],[PID]],Table3[[#All],[PID]],0)))</f>
        <v>3</v>
      </c>
      <c r="M1310" s="56">
        <f>IF($C1310="B",INDEX(Batters[[#All],[GAP P]],MATCH(Table5[[#This Row],[PID]],Batters[[#All],[PID]],0)),INDEX(Table3[[#All],[MOV P]],MATCH(Table5[[#This Row],[PID]],Table3[[#All],[PID]],0)))</f>
        <v>4</v>
      </c>
      <c r="N1310" s="56">
        <f>IF($C1310="B",INDEX(Batters[[#All],[POW P]],MATCH(Table5[[#This Row],[PID]],Batters[[#All],[PID]],0)),INDEX(Table3[[#All],[CON P]],MATCH(Table5[[#This Row],[PID]],Table3[[#All],[PID]],0)))</f>
        <v>4</v>
      </c>
      <c r="O1310" s="56">
        <f>IF($C1310="B",INDEX(Batters[[#All],[EYE P]],MATCH(Table5[[#This Row],[PID]],Batters[[#All],[PID]],0)),INDEX(Table3[[#All],[VELO]],MATCH(Table5[[#This Row],[PID]],Table3[[#All],[PID]],0)))</f>
        <v>5</v>
      </c>
      <c r="P1310" s="56">
        <f>IF($C1310="B",INDEX(Batters[[#All],[K P]],MATCH(Table5[[#This Row],[PID]],Batters[[#All],[PID]],0)),INDEX(Table3[[#All],[STM]],MATCH(Table5[[#This Row],[PID]],Table3[[#All],[PID]],0)))</f>
        <v>3</v>
      </c>
      <c r="Q1310" s="61">
        <f>IF($C1310="B",INDEX(Batters[[#All],[Tot]],MATCH(Table5[[#This Row],[PID]],Batters[[#All],[PID]],0)),INDEX(Table3[[#All],[Tot]],MATCH(Table5[[#This Row],[PID]],Table3[[#All],[PID]],0)))</f>
        <v>37.50465530218613</v>
      </c>
      <c r="R1310" s="70">
        <f>IF($C1310="B",INDEX(Batters[[#All],[zScore]],MATCH(Table5[[#This Row],[PID]],Batters[[#All],[PID]],0)),INDEX(Table3[[#All],[zScore]],MATCH(Table5[[#This Row],[PID]],Table3[[#All],[PID]],0)))</f>
        <v>-1.4693137520768269</v>
      </c>
      <c r="S1310" s="79" t="str">
        <f>IF($C1310="B",INDEX(Batters[[#All],[DEM]],MATCH(Table5[[#This Row],[PID]],Batters[[#All],[PID]],0)),INDEX(Table3[[#All],[DEM]],MATCH(Table5[[#This Row],[PID]],Table3[[#All],[PID]],0)))</f>
        <v>-</v>
      </c>
      <c r="T1310" s="62">
        <f>IF($C1310="B",INDEX(Batters[[#All],[Rnk]],MATCH(Table5[[#This Row],[PID]],Batters[[#All],[PID]],0)),INDEX(Table3[[#All],[Rnk]],MATCH(Table5[[#This Row],[PID]],Table3[[#All],[PID]],0)))</f>
        <v>528</v>
      </c>
      <c r="U1310" s="68">
        <f>IF($C1310="B",VLOOKUP($A1310,Bat!$A$4:$BA$1621,47,FALSE),VLOOKUP($A1310,Pit!$A$4:$BF$1557,56,FALSE))</f>
        <v>0</v>
      </c>
      <c r="V1310" s="50">
        <f>IF($C1310="B",VLOOKUP($A1310,Bat!$A$4:$BA$1621,48,FALSE),VLOOKUP($A1310,Pit!$A$4:$BF$1557,57,FALSE))</f>
        <v>0</v>
      </c>
      <c r="W1310" s="50">
        <f>Table5[[#This Row],[posRnk]]+Table5[[#This Row],[zRnk]]+IF($W$3&lt;&gt;Table5[[#This Row],[Type]],50,0)</f>
        <v>1874</v>
      </c>
      <c r="X1310" s="51">
        <f>RANK(Table5[[#This Row],[zScore]],Table5[[#All],[zScore]])</f>
        <v>1296</v>
      </c>
      <c r="Y1310" s="50" t="str">
        <f>IFERROR(INDEX(DraftResults[[#All],[OVR]],MATCH(Table5[[#This Row],[PID]],DraftResults[[#All],[Player ID]],0)),"")</f>
        <v/>
      </c>
      <c r="Z13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0" s="50" t="str">
        <f>IFERROR(INDEX(DraftResults[[#All],[Pick in Round]],MATCH(Table5[[#This Row],[PID]],DraftResults[[#All],[Player ID]],0)),"")</f>
        <v/>
      </c>
      <c r="AB1310" s="50" t="str">
        <f>IFERROR(INDEX(DraftResults[[#All],[Team Name]],MATCH(Table5[[#This Row],[PID]],DraftResults[[#All],[Player ID]],0)),"")</f>
        <v/>
      </c>
      <c r="AC1310" s="50" t="str">
        <f>IF(Table5[[#This Row],[Ovr]]="","",IF(Table5[[#This Row],[cmbList]]="","",Table5[[#This Row],[cmbList]]-Table5[[#This Row],[Ovr]]))</f>
        <v/>
      </c>
      <c r="AD1310" s="54" t="str">
        <f>IF(ISERROR(VLOOKUP($AB1310&amp;"-"&amp;$E1310&amp;" "&amp;F1310,Bonuses!$B$1:$G$1006,4,FALSE)),"",INT(VLOOKUP($AB1310&amp;"-"&amp;$E1310&amp;" "&amp;$F1310,Bonuses!$B$1:$G$1006,4,FALSE)))</f>
        <v/>
      </c>
      <c r="AE13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1" spans="1:31" x14ac:dyDescent="0.25">
      <c r="A1311" s="50">
        <v>17811</v>
      </c>
      <c r="B1311" s="50">
        <f>COUNTIF(Table5[PID],A1311)</f>
        <v>1</v>
      </c>
      <c r="C1311" s="50" t="str">
        <f>IF(COUNTIF(Table3[[#All],[PID]],A1311)&gt;0,"P","B")</f>
        <v>B</v>
      </c>
      <c r="D1311" s="59" t="str">
        <f>IF($C1311="B",INDEX(Batters[[#All],[POS]],MATCH(Table5[[#This Row],[PID]],Batters[[#All],[PID]],0)),INDEX(Table3[[#All],[POS]],MATCH(Table5[[#This Row],[PID]],Table3[[#All],[PID]],0)))</f>
        <v>C</v>
      </c>
      <c r="E1311" s="52" t="str">
        <f>IF($C1311="B",INDEX(Batters[[#All],[First]],MATCH(Table5[[#This Row],[PID]],Batters[[#All],[PID]],0)),INDEX(Table3[[#All],[First]],MATCH(Table5[[#This Row],[PID]],Table3[[#All],[PID]],0)))</f>
        <v>Denzel</v>
      </c>
      <c r="F1311" s="50" t="str">
        <f>IF($C1311="B",INDEX(Batters[[#All],[Last]],MATCH(A1311,Batters[[#All],[PID]],0)),INDEX(Table3[[#All],[Last]],MATCH(A1311,Table3[[#All],[PID]],0)))</f>
        <v>Scrivener</v>
      </c>
      <c r="G1311" s="56">
        <f>IF($C1311="B",INDEX(Batters[[#All],[Age]],MATCH(Table5[[#This Row],[PID]],Batters[[#All],[PID]],0)),INDEX(Table3[[#All],[Age]],MATCH(Table5[[#This Row],[PID]],Table3[[#All],[PID]],0)))</f>
        <v>21</v>
      </c>
      <c r="H1311" s="52" t="str">
        <f>IF($C1311="B",INDEX(Batters[[#All],[B]],MATCH(Table5[[#This Row],[PID]],Batters[[#All],[PID]],0)),INDEX(Table3[[#All],[B]],MATCH(Table5[[#This Row],[PID]],Table3[[#All],[PID]],0)))</f>
        <v>R</v>
      </c>
      <c r="I1311" s="70" t="str">
        <f>IF($C1311="B",INDEX(Batters[[#All],[T]],MATCH(Table5[[#This Row],[PID]],Batters[[#All],[PID]],0)),INDEX(Table3[[#All],[T]],MATCH(Table5[[#This Row],[PID]],Table3[[#All],[PID]],0)))</f>
        <v>R</v>
      </c>
      <c r="J1311" s="52" t="str">
        <f>IF($C1311="B",INDEX(Batters[[#All],[WE]],MATCH(Table5[[#This Row],[PID]],Batters[[#All],[PID]],0)),INDEX(Table3[[#All],[WE]],MATCH(Table5[[#This Row],[PID]],Table3[[#All],[PID]],0)))</f>
        <v>High</v>
      </c>
      <c r="K1311" s="52" t="str">
        <f>IF($C1311="B",INDEX(Batters[[#All],[INT]],MATCH(Table5[[#This Row],[PID]],Batters[[#All],[PID]],0)),INDEX(Table3[[#All],[INT]],MATCH(Table5[[#This Row],[PID]],Table3[[#All],[PID]],0)))</f>
        <v>Normal</v>
      </c>
      <c r="L1311" s="60">
        <f>IF($C1311="B",INDEX(Batters[[#All],[CON P]],MATCH(Table5[[#This Row],[PID]],Batters[[#All],[PID]],0)),INDEX(Table3[[#All],[STU P]],MATCH(Table5[[#This Row],[PID]],Table3[[#All],[PID]],0)))</f>
        <v>3</v>
      </c>
      <c r="M1311" s="56">
        <f>IF($C1311="B",INDEX(Batters[[#All],[GAP P]],MATCH(Table5[[#This Row],[PID]],Batters[[#All],[PID]],0)),INDEX(Table3[[#All],[MOV P]],MATCH(Table5[[#This Row],[PID]],Table3[[#All],[PID]],0)))</f>
        <v>3</v>
      </c>
      <c r="N1311" s="56">
        <f>IF($C1311="B",INDEX(Batters[[#All],[POW P]],MATCH(Table5[[#This Row],[PID]],Batters[[#All],[PID]],0)),INDEX(Table3[[#All],[CON P]],MATCH(Table5[[#This Row],[PID]],Table3[[#All],[PID]],0)))</f>
        <v>3</v>
      </c>
      <c r="O1311" s="56">
        <f>IF($C1311="B",INDEX(Batters[[#All],[EYE P]],MATCH(Table5[[#This Row],[PID]],Batters[[#All],[PID]],0)),INDEX(Table3[[#All],[VELO]],MATCH(Table5[[#This Row],[PID]],Table3[[#All],[PID]],0)))</f>
        <v>6</v>
      </c>
      <c r="P1311" s="56">
        <f>IF($C1311="B",INDEX(Batters[[#All],[K P]],MATCH(Table5[[#This Row],[PID]],Batters[[#All],[PID]],0)),INDEX(Table3[[#All],[STM]],MATCH(Table5[[#This Row],[PID]],Table3[[#All],[PID]],0)))</f>
        <v>3</v>
      </c>
      <c r="Q1311" s="61">
        <f>IF($C1311="B",INDEX(Batters[[#All],[Tot]],MATCH(Table5[[#This Row],[PID]],Batters[[#All],[PID]],0)),INDEX(Table3[[#All],[Tot]],MATCH(Table5[[#This Row],[PID]],Table3[[#All],[PID]],0)))</f>
        <v>37.492605817127497</v>
      </c>
      <c r="R1311" s="70">
        <f>IF($C1311="B",INDEX(Batters[[#All],[zScore]],MATCH(Table5[[#This Row],[PID]],Batters[[#All],[PID]],0)),INDEX(Table3[[#All],[zScore]],MATCH(Table5[[#This Row],[PID]],Table3[[#All],[PID]],0)))</f>
        <v>-1.4719852043612858</v>
      </c>
      <c r="S1311" s="79" t="str">
        <f>IF($C1311="B",INDEX(Batters[[#All],[DEM]],MATCH(Table5[[#This Row],[PID]],Batters[[#All],[PID]],0)),INDEX(Table3[[#All],[DEM]],MATCH(Table5[[#This Row],[PID]],Table3[[#All],[PID]],0)))</f>
        <v>-</v>
      </c>
      <c r="T1311" s="62">
        <f>IF($C1311="B",INDEX(Batters[[#All],[Rnk]],MATCH(Table5[[#This Row],[PID]],Batters[[#All],[PID]],0)),INDEX(Table3[[#All],[Rnk]],MATCH(Table5[[#This Row],[PID]],Table3[[#All],[PID]],0)))</f>
        <v>529</v>
      </c>
      <c r="U1311" s="68">
        <f>IF($C1311="B",VLOOKUP($A1311,Bat!$A$4:$BA$1621,47,FALSE),VLOOKUP($A1311,Pit!$A$4:$BF$1557,56,FALSE))</f>
        <v>0</v>
      </c>
      <c r="V1311" s="50">
        <f>IF($C1311="B",VLOOKUP($A1311,Bat!$A$4:$BA$1621,48,FALSE),VLOOKUP($A1311,Pit!$A$4:$BF$1557,57,FALSE))</f>
        <v>0</v>
      </c>
      <c r="W1311" s="50">
        <f>Table5[[#This Row],[posRnk]]+Table5[[#This Row],[zRnk]]+IF($W$3&lt;&gt;Table5[[#This Row],[Type]],50,0)</f>
        <v>1876</v>
      </c>
      <c r="X1311" s="51">
        <f>RANK(Table5[[#This Row],[zScore]],Table5[[#All],[zScore]])</f>
        <v>1297</v>
      </c>
      <c r="Y1311" s="50" t="str">
        <f>IFERROR(INDEX(DraftResults[[#All],[OVR]],MATCH(Table5[[#This Row],[PID]],DraftResults[[#All],[Player ID]],0)),"")</f>
        <v/>
      </c>
      <c r="Z13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1" s="50" t="str">
        <f>IFERROR(INDEX(DraftResults[[#All],[Pick in Round]],MATCH(Table5[[#This Row],[PID]],DraftResults[[#All],[Player ID]],0)),"")</f>
        <v/>
      </c>
      <c r="AB1311" s="50" t="str">
        <f>IFERROR(INDEX(DraftResults[[#All],[Team Name]],MATCH(Table5[[#This Row],[PID]],DraftResults[[#All],[Player ID]],0)),"")</f>
        <v/>
      </c>
      <c r="AC1311" s="50" t="str">
        <f>IF(Table5[[#This Row],[Ovr]]="","",IF(Table5[[#This Row],[cmbList]]="","",Table5[[#This Row],[cmbList]]-Table5[[#This Row],[Ovr]]))</f>
        <v/>
      </c>
      <c r="AD1311" s="54" t="str">
        <f>IF(ISERROR(VLOOKUP($AB1311&amp;"-"&amp;$E1311&amp;" "&amp;F1311,Bonuses!$B$1:$G$1006,4,FALSE)),"",INT(VLOOKUP($AB1311&amp;"-"&amp;$E1311&amp;" "&amp;$F1311,Bonuses!$B$1:$G$1006,4,FALSE)))</f>
        <v/>
      </c>
      <c r="AE13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2" spans="1:31" x14ac:dyDescent="0.25">
      <c r="A1312" s="50">
        <v>12899</v>
      </c>
      <c r="B1312" s="50">
        <f>COUNTIF(Table5[PID],A1312)</f>
        <v>1</v>
      </c>
      <c r="C1312" s="50" t="str">
        <f>IF(COUNTIF(Table3[[#All],[PID]],A1312)&gt;0,"P","B")</f>
        <v>B</v>
      </c>
      <c r="D1312" s="59" t="str">
        <f>IF($C1312="B",INDEX(Batters[[#All],[POS]],MATCH(Table5[[#This Row],[PID]],Batters[[#All],[PID]],0)),INDEX(Table3[[#All],[POS]],MATCH(Table5[[#This Row],[PID]],Table3[[#All],[PID]],0)))</f>
        <v>1B</v>
      </c>
      <c r="E1312" s="52" t="str">
        <f>IF($C1312="B",INDEX(Batters[[#All],[First]],MATCH(Table5[[#This Row],[PID]],Batters[[#All],[PID]],0)),INDEX(Table3[[#All],[First]],MATCH(Table5[[#This Row],[PID]],Table3[[#All],[PID]],0)))</f>
        <v>Jun'ichi</v>
      </c>
      <c r="F1312" s="50" t="str">
        <f>IF($C1312="B",INDEX(Batters[[#All],[Last]],MATCH(A1312,Batters[[#All],[PID]],0)),INDEX(Table3[[#All],[Last]],MATCH(A1312,Table3[[#All],[PID]],0)))</f>
        <v>Nakano</v>
      </c>
      <c r="G1312" s="56">
        <f>IF($C1312="B",INDEX(Batters[[#All],[Age]],MATCH(Table5[[#This Row],[PID]],Batters[[#All],[PID]],0)),INDEX(Table3[[#All],[Age]],MATCH(Table5[[#This Row],[PID]],Table3[[#All],[PID]],0)))</f>
        <v>22</v>
      </c>
      <c r="H1312" s="52" t="str">
        <f>IF($C1312="B",INDEX(Batters[[#All],[B]],MATCH(Table5[[#This Row],[PID]],Batters[[#All],[PID]],0)),INDEX(Table3[[#All],[B]],MATCH(Table5[[#This Row],[PID]],Table3[[#All],[PID]],0)))</f>
        <v>R</v>
      </c>
      <c r="I1312" s="70" t="str">
        <f>IF($C1312="B",INDEX(Batters[[#All],[T]],MATCH(Table5[[#This Row],[PID]],Batters[[#All],[PID]],0)),INDEX(Table3[[#All],[T]],MATCH(Table5[[#This Row],[PID]],Table3[[#All],[PID]],0)))</f>
        <v>R</v>
      </c>
      <c r="J1312" s="52" t="str">
        <f>IF($C1312="B",INDEX(Batters[[#All],[WE]],MATCH(Table5[[#This Row],[PID]],Batters[[#All],[PID]],0)),INDEX(Table3[[#All],[WE]],MATCH(Table5[[#This Row],[PID]],Table3[[#All],[PID]],0)))</f>
        <v>Normal</v>
      </c>
      <c r="K1312" s="52" t="str">
        <f>IF($C1312="B",INDEX(Batters[[#All],[INT]],MATCH(Table5[[#This Row],[PID]],Batters[[#All],[PID]],0)),INDEX(Table3[[#All],[INT]],MATCH(Table5[[#This Row],[PID]],Table3[[#All],[PID]],0)))</f>
        <v>Normal</v>
      </c>
      <c r="L1312" s="60">
        <f>IF($C1312="B",INDEX(Batters[[#All],[CON P]],MATCH(Table5[[#This Row],[PID]],Batters[[#All],[PID]],0)),INDEX(Table3[[#All],[STU P]],MATCH(Table5[[#This Row],[PID]],Table3[[#All],[PID]],0)))</f>
        <v>3</v>
      </c>
      <c r="M1312" s="56">
        <f>IF($C1312="B",INDEX(Batters[[#All],[GAP P]],MATCH(Table5[[#This Row],[PID]],Batters[[#All],[PID]],0)),INDEX(Table3[[#All],[MOV P]],MATCH(Table5[[#This Row],[PID]],Table3[[#All],[PID]],0)))</f>
        <v>4</v>
      </c>
      <c r="N1312" s="56">
        <f>IF($C1312="B",INDEX(Batters[[#All],[POW P]],MATCH(Table5[[#This Row],[PID]],Batters[[#All],[PID]],0)),INDEX(Table3[[#All],[CON P]],MATCH(Table5[[#This Row],[PID]],Table3[[#All],[PID]],0)))</f>
        <v>4</v>
      </c>
      <c r="O1312" s="56">
        <f>IF($C1312="B",INDEX(Batters[[#All],[EYE P]],MATCH(Table5[[#This Row],[PID]],Batters[[#All],[PID]],0)),INDEX(Table3[[#All],[VELO]],MATCH(Table5[[#This Row],[PID]],Table3[[#All],[PID]],0)))</f>
        <v>5</v>
      </c>
      <c r="P1312" s="56">
        <f>IF($C1312="B",INDEX(Batters[[#All],[K P]],MATCH(Table5[[#This Row],[PID]],Batters[[#All],[PID]],0)),INDEX(Table3[[#All],[STM]],MATCH(Table5[[#This Row],[PID]],Table3[[#All],[PID]],0)))</f>
        <v>2</v>
      </c>
      <c r="Q1312" s="61">
        <f>IF($C1312="B",INDEX(Batters[[#All],[Tot]],MATCH(Table5[[#This Row],[PID]],Batters[[#All],[PID]],0)),INDEX(Table3[[#All],[Tot]],MATCH(Table5[[#This Row],[PID]],Table3[[#All],[PID]],0)))</f>
        <v>37.437431233699947</v>
      </c>
      <c r="R1312" s="70">
        <f>IF($C1312="B",INDEX(Batters[[#All],[zScore]],MATCH(Table5[[#This Row],[PID]],Batters[[#All],[PID]],0)),INDEX(Table3[[#All],[zScore]],MATCH(Table5[[#This Row],[PID]],Table3[[#All],[PID]],0)))</f>
        <v>-1.4842177824527458</v>
      </c>
      <c r="S1312" s="79" t="str">
        <f>IF($C1312="B",INDEX(Batters[[#All],[DEM]],MATCH(Table5[[#This Row],[PID]],Batters[[#All],[PID]],0)),INDEX(Table3[[#All],[DEM]],MATCH(Table5[[#This Row],[PID]],Table3[[#All],[PID]],0)))</f>
        <v>-</v>
      </c>
      <c r="T1312" s="62">
        <f>IF($C1312="B",INDEX(Batters[[#All],[Rnk]],MATCH(Table5[[#This Row],[PID]],Batters[[#All],[PID]],0)),INDEX(Table3[[#All],[Rnk]],MATCH(Table5[[#This Row],[PID]],Table3[[#All],[PID]],0)))</f>
        <v>530</v>
      </c>
      <c r="U1312" s="68">
        <f>IF($C1312="B",VLOOKUP($A1312,Bat!$A$4:$BA$1621,47,FALSE),VLOOKUP($A1312,Pit!$A$4:$BF$1557,56,FALSE))</f>
        <v>0</v>
      </c>
      <c r="V1312" s="50">
        <f>IF($C1312="B",VLOOKUP($A1312,Bat!$A$4:$BA$1621,48,FALSE),VLOOKUP($A1312,Pit!$A$4:$BF$1557,57,FALSE))</f>
        <v>0</v>
      </c>
      <c r="W1312" s="50">
        <f>Table5[[#This Row],[posRnk]]+Table5[[#This Row],[zRnk]]+IF($W$3&lt;&gt;Table5[[#This Row],[Type]],50,0)</f>
        <v>1878</v>
      </c>
      <c r="X1312" s="51">
        <f>RANK(Table5[[#This Row],[zScore]],Table5[[#All],[zScore]])</f>
        <v>1298</v>
      </c>
      <c r="Y1312" s="50" t="str">
        <f>IFERROR(INDEX(DraftResults[[#All],[OVR]],MATCH(Table5[[#This Row],[PID]],DraftResults[[#All],[Player ID]],0)),"")</f>
        <v/>
      </c>
      <c r="Z13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2" s="50" t="str">
        <f>IFERROR(INDEX(DraftResults[[#All],[Pick in Round]],MATCH(Table5[[#This Row],[PID]],DraftResults[[#All],[Player ID]],0)),"")</f>
        <v/>
      </c>
      <c r="AB1312" s="50" t="str">
        <f>IFERROR(INDEX(DraftResults[[#All],[Team Name]],MATCH(Table5[[#This Row],[PID]],DraftResults[[#All],[Player ID]],0)),"")</f>
        <v/>
      </c>
      <c r="AC1312" s="50" t="str">
        <f>IF(Table5[[#This Row],[Ovr]]="","",IF(Table5[[#This Row],[cmbList]]="","",Table5[[#This Row],[cmbList]]-Table5[[#This Row],[Ovr]]))</f>
        <v/>
      </c>
      <c r="AD1312" s="54" t="str">
        <f>IF(ISERROR(VLOOKUP($AB1312&amp;"-"&amp;$E1312&amp;" "&amp;F1312,Bonuses!$B$1:$G$1006,4,FALSE)),"",INT(VLOOKUP($AB1312&amp;"-"&amp;$E1312&amp;" "&amp;$F1312,Bonuses!$B$1:$G$1006,4,FALSE)))</f>
        <v/>
      </c>
      <c r="AE13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3" spans="1:31" x14ac:dyDescent="0.25">
      <c r="A1313" s="50">
        <v>21043</v>
      </c>
      <c r="B1313" s="50">
        <f>COUNTIF(Table5[PID],A1313)</f>
        <v>1</v>
      </c>
      <c r="C1313" s="50" t="str">
        <f>IF(COUNTIF(Table3[[#All],[PID]],A1313)&gt;0,"P","B")</f>
        <v>B</v>
      </c>
      <c r="D1313" s="59" t="str">
        <f>IF($C1313="B",INDEX(Batters[[#All],[POS]],MATCH(Table5[[#This Row],[PID]],Batters[[#All],[PID]],0)),INDEX(Table3[[#All],[POS]],MATCH(Table5[[#This Row],[PID]],Table3[[#All],[PID]],0)))</f>
        <v>SS</v>
      </c>
      <c r="E1313" s="52" t="str">
        <f>IF($C1313="B",INDEX(Batters[[#All],[First]],MATCH(Table5[[#This Row],[PID]],Batters[[#All],[PID]],0)),INDEX(Table3[[#All],[First]],MATCH(Table5[[#This Row],[PID]],Table3[[#All],[PID]],0)))</f>
        <v>Juan</v>
      </c>
      <c r="F1313" s="50" t="str">
        <f>IF($C1313="B",INDEX(Batters[[#All],[Last]],MATCH(A1313,Batters[[#All],[PID]],0)),INDEX(Table3[[#All],[Last]],MATCH(A1313,Table3[[#All],[PID]],0)))</f>
        <v>Gonzáles</v>
      </c>
      <c r="G1313" s="56">
        <f>IF($C1313="B",INDEX(Batters[[#All],[Age]],MATCH(Table5[[#This Row],[PID]],Batters[[#All],[PID]],0)),INDEX(Table3[[#All],[Age]],MATCH(Table5[[#This Row],[PID]],Table3[[#All],[PID]],0)))</f>
        <v>16</v>
      </c>
      <c r="H1313" s="52" t="str">
        <f>IF($C1313="B",INDEX(Batters[[#All],[B]],MATCH(Table5[[#This Row],[PID]],Batters[[#All],[PID]],0)),INDEX(Table3[[#All],[B]],MATCH(Table5[[#This Row],[PID]],Table3[[#All],[PID]],0)))</f>
        <v>S</v>
      </c>
      <c r="I1313" s="70" t="str">
        <f>IF($C1313="B",INDEX(Batters[[#All],[T]],MATCH(Table5[[#This Row],[PID]],Batters[[#All],[PID]],0)),INDEX(Table3[[#All],[T]],MATCH(Table5[[#This Row],[PID]],Table3[[#All],[PID]],0)))</f>
        <v>R</v>
      </c>
      <c r="J1313" s="52" t="str">
        <f>IF($C1313="B",INDEX(Batters[[#All],[WE]],MATCH(Table5[[#This Row],[PID]],Batters[[#All],[PID]],0)),INDEX(Table3[[#All],[WE]],MATCH(Table5[[#This Row],[PID]],Table3[[#All],[PID]],0)))</f>
        <v>Normal</v>
      </c>
      <c r="K1313" s="52" t="str">
        <f>IF($C1313="B",INDEX(Batters[[#All],[INT]],MATCH(Table5[[#This Row],[PID]],Batters[[#All],[PID]],0)),INDEX(Table3[[#All],[INT]],MATCH(Table5[[#This Row],[PID]],Table3[[#All],[PID]],0)))</f>
        <v>Normal</v>
      </c>
      <c r="L1313" s="60">
        <f>IF($C1313="B",INDEX(Batters[[#All],[CON P]],MATCH(Table5[[#This Row],[PID]],Batters[[#All],[PID]],0)),INDEX(Table3[[#All],[STU P]],MATCH(Table5[[#This Row],[PID]],Table3[[#All],[PID]],0)))</f>
        <v>2</v>
      </c>
      <c r="M1313" s="56">
        <f>IF($C1313="B",INDEX(Batters[[#All],[GAP P]],MATCH(Table5[[#This Row],[PID]],Batters[[#All],[PID]],0)),INDEX(Table3[[#All],[MOV P]],MATCH(Table5[[#This Row],[PID]],Table3[[#All],[PID]],0)))</f>
        <v>4</v>
      </c>
      <c r="N1313" s="56">
        <f>IF($C1313="B",INDEX(Batters[[#All],[POW P]],MATCH(Table5[[#This Row],[PID]],Batters[[#All],[PID]],0)),INDEX(Table3[[#All],[CON P]],MATCH(Table5[[#This Row],[PID]],Table3[[#All],[PID]],0)))</f>
        <v>2</v>
      </c>
      <c r="O1313" s="56">
        <f>IF($C1313="B",INDEX(Batters[[#All],[EYE P]],MATCH(Table5[[#This Row],[PID]],Batters[[#All],[PID]],0)),INDEX(Table3[[#All],[VELO]],MATCH(Table5[[#This Row],[PID]],Table3[[#All],[PID]],0)))</f>
        <v>5</v>
      </c>
      <c r="P1313" s="56">
        <f>IF($C1313="B",INDEX(Batters[[#All],[K P]],MATCH(Table5[[#This Row],[PID]],Batters[[#All],[PID]],0)),INDEX(Table3[[#All],[STM]],MATCH(Table5[[#This Row],[PID]],Table3[[#All],[PID]],0)))</f>
        <v>3</v>
      </c>
      <c r="Q1313" s="61">
        <f>IF($C1313="B",INDEX(Batters[[#All],[Tot]],MATCH(Table5[[#This Row],[PID]],Batters[[#All],[PID]],0)),INDEX(Table3[[#All],[Tot]],MATCH(Table5[[#This Row],[PID]],Table3[[#All],[PID]],0)))</f>
        <v>37.435403423218524</v>
      </c>
      <c r="R1313" s="70">
        <f>IF($C1313="B",INDEX(Batters[[#All],[zScore]],MATCH(Table5[[#This Row],[PID]],Batters[[#All],[PID]],0)),INDEX(Table3[[#All],[zScore]],MATCH(Table5[[#This Row],[PID]],Table3[[#All],[PID]],0)))</f>
        <v>-1.484667361743204</v>
      </c>
      <c r="S1313" s="79" t="str">
        <f>IF($C1313="B",INDEX(Batters[[#All],[DEM]],MATCH(Table5[[#This Row],[PID]],Batters[[#All],[PID]],0)),INDEX(Table3[[#All],[DEM]],MATCH(Table5[[#This Row],[PID]],Table3[[#All],[PID]],0)))</f>
        <v>$70k</v>
      </c>
      <c r="T1313" s="62">
        <f>IF($C1313="B",INDEX(Batters[[#All],[Rnk]],MATCH(Table5[[#This Row],[PID]],Batters[[#All],[PID]],0)),INDEX(Table3[[#All],[Rnk]],MATCH(Table5[[#This Row],[PID]],Table3[[#All],[PID]],0)))</f>
        <v>531</v>
      </c>
      <c r="U1313" s="68">
        <f>IF($C1313="B",VLOOKUP($A1313,Bat!$A$4:$BA$1621,47,FALSE),VLOOKUP($A1313,Pit!$A$4:$BF$1557,56,FALSE))</f>
        <v>0</v>
      </c>
      <c r="V1313" s="50">
        <f>IF($C1313="B",VLOOKUP($A1313,Bat!$A$4:$BA$1621,48,FALSE),VLOOKUP($A1313,Pit!$A$4:$BF$1557,57,FALSE))</f>
        <v>0</v>
      </c>
      <c r="W1313" s="50">
        <f>Table5[[#This Row],[posRnk]]+Table5[[#This Row],[zRnk]]+IF($W$3&lt;&gt;Table5[[#This Row],[Type]],50,0)</f>
        <v>1880</v>
      </c>
      <c r="X1313" s="51">
        <f>RANK(Table5[[#This Row],[zScore]],Table5[[#All],[zScore]])</f>
        <v>1299</v>
      </c>
      <c r="Y1313" s="50" t="str">
        <f>IFERROR(INDEX(DraftResults[[#All],[OVR]],MATCH(Table5[[#This Row],[PID]],DraftResults[[#All],[Player ID]],0)),"")</f>
        <v/>
      </c>
      <c r="Z13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3" s="50" t="str">
        <f>IFERROR(INDEX(DraftResults[[#All],[Pick in Round]],MATCH(Table5[[#This Row],[PID]],DraftResults[[#All],[Player ID]],0)),"")</f>
        <v/>
      </c>
      <c r="AB1313" s="50" t="str">
        <f>IFERROR(INDEX(DraftResults[[#All],[Team Name]],MATCH(Table5[[#This Row],[PID]],DraftResults[[#All],[Player ID]],0)),"")</f>
        <v/>
      </c>
      <c r="AC1313" s="50" t="str">
        <f>IF(Table5[[#This Row],[Ovr]]="","",IF(Table5[[#This Row],[cmbList]]="","",Table5[[#This Row],[cmbList]]-Table5[[#This Row],[Ovr]]))</f>
        <v/>
      </c>
      <c r="AD1313" s="54" t="str">
        <f>IF(ISERROR(VLOOKUP($AB1313&amp;"-"&amp;$E1313&amp;" "&amp;F1313,Bonuses!$B$1:$G$1006,4,FALSE)),"",INT(VLOOKUP($AB1313&amp;"-"&amp;$E1313&amp;" "&amp;$F1313,Bonuses!$B$1:$G$1006,4,FALSE)))</f>
        <v/>
      </c>
      <c r="AE13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4" spans="1:31" x14ac:dyDescent="0.25">
      <c r="A1314" s="68">
        <v>10064</v>
      </c>
      <c r="B1314" s="69">
        <f>COUNTIF(Table5[PID],A1314)</f>
        <v>1</v>
      </c>
      <c r="C1314" s="69" t="str">
        <f>IF(COUNTIF(Table3[[#All],[PID]],A1314)&gt;0,"P","B")</f>
        <v>P</v>
      </c>
      <c r="D1314" s="59" t="str">
        <f>IF($C1314="B",INDEX(Batters[[#All],[POS]],MATCH(Table5[[#This Row],[PID]],Batters[[#All],[PID]],0)),INDEX(Table3[[#All],[POS]],MATCH(Table5[[#This Row],[PID]],Table3[[#All],[PID]],0)))</f>
        <v>RP</v>
      </c>
      <c r="E1314" s="52" t="str">
        <f>IF($C1314="B",INDEX(Batters[[#All],[First]],MATCH(Table5[[#This Row],[PID]],Batters[[#All],[PID]],0)),INDEX(Table3[[#All],[First]],MATCH(Table5[[#This Row],[PID]],Table3[[#All],[PID]],0)))</f>
        <v>Whit</v>
      </c>
      <c r="F1314" s="55" t="str">
        <f>IF($C1314="B",INDEX(Batters[[#All],[Last]],MATCH(A1314,Batters[[#All],[PID]],0)),INDEX(Table3[[#All],[Last]],MATCH(A1314,Table3[[#All],[PID]],0)))</f>
        <v>McIntosh</v>
      </c>
      <c r="G1314" s="56">
        <f>IF($C1314="B",INDEX(Batters[[#All],[Age]],MATCH(Table5[[#This Row],[PID]],Batters[[#All],[PID]],0)),INDEX(Table3[[#All],[Age]],MATCH(Table5[[#This Row],[PID]],Table3[[#All],[PID]],0)))</f>
        <v>22</v>
      </c>
      <c r="H1314" s="52" t="str">
        <f>IF($C1314="B",INDEX(Batters[[#All],[B]],MATCH(Table5[[#This Row],[PID]],Batters[[#All],[PID]],0)),INDEX(Table3[[#All],[B]],MATCH(Table5[[#This Row],[PID]],Table3[[#All],[PID]],0)))</f>
        <v>R</v>
      </c>
      <c r="I1314" s="70" t="str">
        <f>IF($C1314="B",INDEX(Batters[[#All],[T]],MATCH(Table5[[#This Row],[PID]],Batters[[#All],[PID]],0)),INDEX(Table3[[#All],[T]],MATCH(Table5[[#This Row],[PID]],Table3[[#All],[PID]],0)))</f>
        <v>R</v>
      </c>
      <c r="J1314" s="71" t="str">
        <f>IF($C1314="B",INDEX(Batters[[#All],[WE]],MATCH(Table5[[#This Row],[PID]],Batters[[#All],[PID]],0)),INDEX(Table3[[#All],[WE]],MATCH(Table5[[#This Row],[PID]],Table3[[#All],[PID]],0)))</f>
        <v>Low</v>
      </c>
      <c r="K1314" s="52" t="str">
        <f>IF($C1314="B",INDEX(Batters[[#All],[INT]],MATCH(Table5[[#This Row],[PID]],Batters[[#All],[PID]],0)),INDEX(Table3[[#All],[INT]],MATCH(Table5[[#This Row],[PID]],Table3[[#All],[PID]],0)))</f>
        <v>Normal</v>
      </c>
      <c r="L1314" s="60">
        <f>IF($C1314="B",INDEX(Batters[[#All],[CON P]],MATCH(Table5[[#This Row],[PID]],Batters[[#All],[PID]],0)),INDEX(Table3[[#All],[STU P]],MATCH(Table5[[#This Row],[PID]],Table3[[#All],[PID]],0)))</f>
        <v>4</v>
      </c>
      <c r="M1314" s="72">
        <f>IF($C1314="B",INDEX(Batters[[#All],[GAP P]],MATCH(Table5[[#This Row],[PID]],Batters[[#All],[PID]],0)),INDEX(Table3[[#All],[MOV P]],MATCH(Table5[[#This Row],[PID]],Table3[[#All],[PID]],0)))</f>
        <v>1</v>
      </c>
      <c r="N1314" s="72">
        <f>IF($C1314="B",INDEX(Batters[[#All],[POW P]],MATCH(Table5[[#This Row],[PID]],Batters[[#All],[PID]],0)),INDEX(Table3[[#All],[CON P]],MATCH(Table5[[#This Row],[PID]],Table3[[#All],[PID]],0)))</f>
        <v>2</v>
      </c>
      <c r="O1314" s="72" t="str">
        <f>IF($C1314="B",INDEX(Batters[[#All],[EYE P]],MATCH(Table5[[#This Row],[PID]],Batters[[#All],[PID]],0)),INDEX(Table3[[#All],[VELO]],MATCH(Table5[[#This Row],[PID]],Table3[[#All],[PID]],0)))</f>
        <v>90-92 Mph</v>
      </c>
      <c r="P1314" s="56">
        <f>IF($C1314="B",INDEX(Batters[[#All],[K P]],MATCH(Table5[[#This Row],[PID]],Batters[[#All],[PID]],0)),INDEX(Table3[[#All],[STM]],MATCH(Table5[[#This Row],[PID]],Table3[[#All],[PID]],0)))</f>
        <v>5</v>
      </c>
      <c r="Q1314" s="61">
        <f>IF($C1314="B",INDEX(Batters[[#All],[Tot]],MATCH(Table5[[#This Row],[PID]],Batters[[#All],[PID]],0)),INDEX(Table3[[#All],[Tot]],MATCH(Table5[[#This Row],[PID]],Table3[[#All],[PID]],0)))</f>
        <v>13.52782390272214</v>
      </c>
      <c r="R1314" s="70">
        <f>IF($C1314="B",INDEX(Batters[[#All],[zScore]],MATCH(Table5[[#This Row],[PID]],Batters[[#All],[PID]],0)),INDEX(Table3[[#All],[zScore]],MATCH(Table5[[#This Row],[PID]],Table3[[#All],[PID]],0)))</f>
        <v>-1.4864258313120478</v>
      </c>
      <c r="S1314" s="74" t="str">
        <f>IF($C1314="B",INDEX(Batters[[#All],[DEM]],MATCH(Table5[[#This Row],[PID]],Batters[[#All],[PID]],0)),INDEX(Table3[[#All],[DEM]],MATCH(Table5[[#This Row],[PID]],Table3[[#All],[PID]],0)))</f>
        <v>-</v>
      </c>
      <c r="T1314" s="75">
        <f>IF($C1314="B",INDEX(Batters[[#All],[Rnk]],MATCH(Table5[[#This Row],[PID]],Batters[[#All],[PID]],0)),INDEX(Table3[[#All],[Rnk]],MATCH(Table5[[#This Row],[PID]],Table3[[#All],[PID]],0)))</f>
        <v>768</v>
      </c>
      <c r="U1314" s="68">
        <f>IF($C1314="B",VLOOKUP($A1314,Bat!$A$4:$BA$1621,47,FALSE),VLOOKUP($A1314,Pit!$A$4:$BF$1557,56,FALSE))</f>
        <v>0</v>
      </c>
      <c r="V1314" s="50">
        <f>IF($C1314="B",VLOOKUP($A1314,Bat!$A$4:$BA$1621,48,FALSE),VLOOKUP($A1314,Pit!$A$4:$BF$1557,57,FALSE))</f>
        <v>0</v>
      </c>
      <c r="W1314" s="69">
        <f>Table5[[#This Row],[posRnk]]+Table5[[#This Row],[zRnk]]+IF($W$3&lt;&gt;Table5[[#This Row],[Type]],50,0)</f>
        <v>2118</v>
      </c>
      <c r="X1314" s="73">
        <f>RANK(Table5[[#This Row],[zScore]],Table5[[#All],[zScore]])</f>
        <v>1300</v>
      </c>
      <c r="Y1314" s="69" t="str">
        <f>IFERROR(INDEX(DraftResults[[#All],[OVR]],MATCH(Table5[[#This Row],[PID]],DraftResults[[#All],[Player ID]],0)),"")</f>
        <v/>
      </c>
      <c r="Z131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4" s="69" t="str">
        <f>IFERROR(INDEX(DraftResults[[#All],[Pick in Round]],MATCH(Table5[[#This Row],[PID]],DraftResults[[#All],[Player ID]],0)),"")</f>
        <v/>
      </c>
      <c r="AB1314" s="69" t="str">
        <f>IFERROR(INDEX(DraftResults[[#All],[Team Name]],MATCH(Table5[[#This Row],[PID]],DraftResults[[#All],[Player ID]],0)),"")</f>
        <v/>
      </c>
      <c r="AC1314" s="69" t="str">
        <f>IF(Table5[[#This Row],[Ovr]]="","",IF(Table5[[#This Row],[cmbList]]="","",Table5[[#This Row],[cmbList]]-Table5[[#This Row],[Ovr]]))</f>
        <v/>
      </c>
      <c r="AD1314" s="77" t="str">
        <f>IF(ISERROR(VLOOKUP($AB1314&amp;"-"&amp;$E1314&amp;" "&amp;F1314,Bonuses!$B$1:$G$1006,4,FALSE)),"",INT(VLOOKUP($AB1314&amp;"-"&amp;$E1314&amp;" "&amp;$F1314,Bonuses!$B$1:$G$1006,4,FALSE)))</f>
        <v/>
      </c>
      <c r="AE131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5" spans="1:31" x14ac:dyDescent="0.25">
      <c r="A1315" s="68">
        <v>17028</v>
      </c>
      <c r="B1315" s="69">
        <f>COUNTIF(Table5[PID],A1315)</f>
        <v>1</v>
      </c>
      <c r="C1315" s="69" t="str">
        <f>IF(COUNTIF(Table3[[#All],[PID]],A1315)&gt;0,"P","B")</f>
        <v>P</v>
      </c>
      <c r="D1315" s="59" t="str">
        <f>IF($C1315="B",INDEX(Batters[[#All],[POS]],MATCH(Table5[[#This Row],[PID]],Batters[[#All],[PID]],0)),INDEX(Table3[[#All],[POS]],MATCH(Table5[[#This Row],[PID]],Table3[[#All],[PID]],0)))</f>
        <v>RP</v>
      </c>
      <c r="E1315" s="52" t="str">
        <f>IF($C1315="B",INDEX(Batters[[#All],[First]],MATCH(Table5[[#This Row],[PID]],Batters[[#All],[PID]],0)),INDEX(Table3[[#All],[First]],MATCH(Table5[[#This Row],[PID]],Table3[[#All],[PID]],0)))</f>
        <v>Nobuatsu</v>
      </c>
      <c r="F1315" s="55" t="str">
        <f>IF($C1315="B",INDEX(Batters[[#All],[Last]],MATCH(A1315,Batters[[#All],[PID]],0)),INDEX(Table3[[#All],[Last]],MATCH(A1315,Table3[[#All],[PID]],0)))</f>
        <v>Suzuki</v>
      </c>
      <c r="G1315" s="56">
        <f>IF($C1315="B",INDEX(Batters[[#All],[Age]],MATCH(Table5[[#This Row],[PID]],Batters[[#All],[PID]],0)),INDEX(Table3[[#All],[Age]],MATCH(Table5[[#This Row],[PID]],Table3[[#All],[PID]],0)))</f>
        <v>21</v>
      </c>
      <c r="H1315" s="52" t="str">
        <f>IF($C1315="B",INDEX(Batters[[#All],[B]],MATCH(Table5[[#This Row],[PID]],Batters[[#All],[PID]],0)),INDEX(Table3[[#All],[B]],MATCH(Table5[[#This Row],[PID]],Table3[[#All],[PID]],0)))</f>
        <v>R</v>
      </c>
      <c r="I1315" s="70" t="str">
        <f>IF($C1315="B",INDEX(Batters[[#All],[T]],MATCH(Table5[[#This Row],[PID]],Batters[[#All],[PID]],0)),INDEX(Table3[[#All],[T]],MATCH(Table5[[#This Row],[PID]],Table3[[#All],[PID]],0)))</f>
        <v>R</v>
      </c>
      <c r="J1315" s="71" t="str">
        <f>IF($C1315="B",INDEX(Batters[[#All],[WE]],MATCH(Table5[[#This Row],[PID]],Batters[[#All],[PID]],0)),INDEX(Table3[[#All],[WE]],MATCH(Table5[[#This Row],[PID]],Table3[[#All],[PID]],0)))</f>
        <v>Normal</v>
      </c>
      <c r="K1315" s="52" t="str">
        <f>IF($C1315="B",INDEX(Batters[[#All],[INT]],MATCH(Table5[[#This Row],[PID]],Batters[[#All],[PID]],0)),INDEX(Table3[[#All],[INT]],MATCH(Table5[[#This Row],[PID]],Table3[[#All],[PID]],0)))</f>
        <v>Normal</v>
      </c>
      <c r="L1315" s="60">
        <f>IF($C1315="B",INDEX(Batters[[#All],[CON P]],MATCH(Table5[[#This Row],[PID]],Batters[[#All],[PID]],0)),INDEX(Table3[[#All],[STU P]],MATCH(Table5[[#This Row],[PID]],Table3[[#All],[PID]],0)))</f>
        <v>2</v>
      </c>
      <c r="M1315" s="72">
        <f>IF($C1315="B",INDEX(Batters[[#All],[GAP P]],MATCH(Table5[[#This Row],[PID]],Batters[[#All],[PID]],0)),INDEX(Table3[[#All],[MOV P]],MATCH(Table5[[#This Row],[PID]],Table3[[#All],[PID]],0)))</f>
        <v>2</v>
      </c>
      <c r="N1315" s="72">
        <f>IF($C1315="B",INDEX(Batters[[#All],[POW P]],MATCH(Table5[[#This Row],[PID]],Batters[[#All],[PID]],0)),INDEX(Table3[[#All],[CON P]],MATCH(Table5[[#This Row],[PID]],Table3[[#All],[PID]],0)))</f>
        <v>3</v>
      </c>
      <c r="O1315" s="72" t="str">
        <f>IF($C1315="B",INDEX(Batters[[#All],[EYE P]],MATCH(Table5[[#This Row],[PID]],Batters[[#All],[PID]],0)),INDEX(Table3[[#All],[VELO]],MATCH(Table5[[#This Row],[PID]],Table3[[#All],[PID]],0)))</f>
        <v>83-85 Mph</v>
      </c>
      <c r="P1315" s="56">
        <f>IF($C1315="B",INDEX(Batters[[#All],[K P]],MATCH(Table5[[#This Row],[PID]],Batters[[#All],[PID]],0)),INDEX(Table3[[#All],[STM]],MATCH(Table5[[#This Row],[PID]],Table3[[#All],[PID]],0)))</f>
        <v>6</v>
      </c>
      <c r="Q1315" s="61">
        <f>IF($C1315="B",INDEX(Batters[[#All],[Tot]],MATCH(Table5[[#This Row],[PID]],Batters[[#All],[PID]],0)),INDEX(Table3[[#All],[Tot]],MATCH(Table5[[#This Row],[PID]],Table3[[#All],[PID]],0)))</f>
        <v>16.197183518557164</v>
      </c>
      <c r="R1315" s="70">
        <f>IF($C1315="B",INDEX(Batters[[#All],[zScore]],MATCH(Table5[[#This Row],[PID]],Batters[[#All],[PID]],0)),INDEX(Table3[[#All],[zScore]],MATCH(Table5[[#This Row],[PID]],Table3[[#All],[PID]],0)))</f>
        <v>-1.4893855038268347</v>
      </c>
      <c r="S1315" s="74" t="str">
        <f>IF($C1315="B",INDEX(Batters[[#All],[DEM]],MATCH(Table5[[#This Row],[PID]],Batters[[#All],[PID]],0)),INDEX(Table3[[#All],[DEM]],MATCH(Table5[[#This Row],[PID]],Table3[[#All],[PID]],0)))</f>
        <v>-</v>
      </c>
      <c r="T1315" s="75">
        <f>IF($C1315="B",INDEX(Batters[[#All],[Rnk]],MATCH(Table5[[#This Row],[PID]],Batters[[#All],[PID]],0)),INDEX(Table3[[#All],[Rnk]],MATCH(Table5[[#This Row],[PID]],Table3[[#All],[PID]],0)))</f>
        <v>769</v>
      </c>
      <c r="U1315" s="68">
        <f>IF($C1315="B",VLOOKUP($A1315,Bat!$A$4:$BA$1621,47,FALSE),VLOOKUP($A1315,Pit!$A$4:$BF$1557,56,FALSE))</f>
        <v>0</v>
      </c>
      <c r="V1315" s="50">
        <f>IF($C1315="B",VLOOKUP($A1315,Bat!$A$4:$BA$1621,48,FALSE),VLOOKUP($A1315,Pit!$A$4:$BF$1557,57,FALSE))</f>
        <v>0</v>
      </c>
      <c r="W1315" s="69">
        <f>Table5[[#This Row],[posRnk]]+Table5[[#This Row],[zRnk]]+IF($W$3&lt;&gt;Table5[[#This Row],[Type]],50,0)</f>
        <v>2120</v>
      </c>
      <c r="X1315" s="73">
        <f>RANK(Table5[[#This Row],[zScore]],Table5[[#All],[zScore]])</f>
        <v>1301</v>
      </c>
      <c r="Y1315" s="69" t="str">
        <f>IFERROR(INDEX(DraftResults[[#All],[OVR]],MATCH(Table5[[#This Row],[PID]],DraftResults[[#All],[Player ID]],0)),"")</f>
        <v/>
      </c>
      <c r="Z131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5" s="69" t="str">
        <f>IFERROR(INDEX(DraftResults[[#All],[Pick in Round]],MATCH(Table5[[#This Row],[PID]],DraftResults[[#All],[Player ID]],0)),"")</f>
        <v/>
      </c>
      <c r="AB1315" s="69" t="str">
        <f>IFERROR(INDEX(DraftResults[[#All],[Team Name]],MATCH(Table5[[#This Row],[PID]],DraftResults[[#All],[Player ID]],0)),"")</f>
        <v/>
      </c>
      <c r="AC1315" s="69" t="str">
        <f>IF(Table5[[#This Row],[Ovr]]="","",IF(Table5[[#This Row],[cmbList]]="","",Table5[[#This Row],[cmbList]]-Table5[[#This Row],[Ovr]]))</f>
        <v/>
      </c>
      <c r="AD1315" s="77" t="str">
        <f>IF(ISERROR(VLOOKUP($AB1315&amp;"-"&amp;$E1315&amp;" "&amp;F1315,Bonuses!$B$1:$G$1006,4,FALSE)),"",INT(VLOOKUP($AB1315&amp;"-"&amp;$E1315&amp;" "&amp;$F1315,Bonuses!$B$1:$G$1006,4,FALSE)))</f>
        <v/>
      </c>
      <c r="AE131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6" spans="1:31" x14ac:dyDescent="0.25">
      <c r="A1316" s="50">
        <v>9684</v>
      </c>
      <c r="B1316" s="55">
        <f>COUNTIF(Table5[PID],A1316)</f>
        <v>1</v>
      </c>
      <c r="C1316" s="55" t="str">
        <f>IF(COUNTIF(Table3[[#All],[PID]],A1316)&gt;0,"P","B")</f>
        <v>B</v>
      </c>
      <c r="D1316" s="59" t="str">
        <f>IF($C1316="B",INDEX(Batters[[#All],[POS]],MATCH(Table5[[#This Row],[PID]],Batters[[#All],[PID]],0)),INDEX(Table3[[#All],[POS]],MATCH(Table5[[#This Row],[PID]],Table3[[#All],[PID]],0)))</f>
        <v>C</v>
      </c>
      <c r="E1316" s="52" t="str">
        <f>IF($C1316="B",INDEX(Batters[[#All],[First]],MATCH(Table5[[#This Row],[PID]],Batters[[#All],[PID]],0)),INDEX(Table3[[#All],[First]],MATCH(Table5[[#This Row],[PID]],Table3[[#All],[PID]],0)))</f>
        <v>Ralph</v>
      </c>
      <c r="F1316" s="50" t="str">
        <f>IF($C1316="B",INDEX(Batters[[#All],[Last]],MATCH(A1316,Batters[[#All],[PID]],0)),INDEX(Table3[[#All],[Last]],MATCH(A1316,Table3[[#All],[PID]],0)))</f>
        <v>Strong</v>
      </c>
      <c r="G1316" s="56">
        <f>IF($C1316="B",INDEX(Batters[[#All],[Age]],MATCH(Table5[[#This Row],[PID]],Batters[[#All],[PID]],0)),INDEX(Table3[[#All],[Age]],MATCH(Table5[[#This Row],[PID]],Table3[[#All],[PID]],0)))</f>
        <v>22</v>
      </c>
      <c r="H1316" s="52" t="str">
        <f>IF($C1316="B",INDEX(Batters[[#All],[B]],MATCH(Table5[[#This Row],[PID]],Batters[[#All],[PID]],0)),INDEX(Table3[[#All],[B]],MATCH(Table5[[#This Row],[PID]],Table3[[#All],[PID]],0)))</f>
        <v>S</v>
      </c>
      <c r="I1316" s="70" t="str">
        <f>IF($C1316="B",INDEX(Batters[[#All],[T]],MATCH(Table5[[#This Row],[PID]],Batters[[#All],[PID]],0)),INDEX(Table3[[#All],[T]],MATCH(Table5[[#This Row],[PID]],Table3[[#All],[PID]],0)))</f>
        <v>R</v>
      </c>
      <c r="J1316" s="52" t="str">
        <f>IF($C1316="B",INDEX(Batters[[#All],[WE]],MATCH(Table5[[#This Row],[PID]],Batters[[#All],[PID]],0)),INDEX(Table3[[#All],[WE]],MATCH(Table5[[#This Row],[PID]],Table3[[#All],[PID]],0)))</f>
        <v>Normal</v>
      </c>
      <c r="K1316" s="52" t="str">
        <f>IF($C1316="B",INDEX(Batters[[#All],[INT]],MATCH(Table5[[#This Row],[PID]],Batters[[#All],[PID]],0)),INDEX(Table3[[#All],[INT]],MATCH(Table5[[#This Row],[PID]],Table3[[#All],[PID]],0)))</f>
        <v>Normal</v>
      </c>
      <c r="L1316" s="60">
        <f>IF($C1316="B",INDEX(Batters[[#All],[CON P]],MATCH(Table5[[#This Row],[PID]],Batters[[#All],[PID]],0)),INDEX(Table3[[#All],[STU P]],MATCH(Table5[[#This Row],[PID]],Table3[[#All],[PID]],0)))</f>
        <v>3</v>
      </c>
      <c r="M1316" s="56">
        <f>IF($C1316="B",INDEX(Batters[[#All],[GAP P]],MATCH(Table5[[#This Row],[PID]],Batters[[#All],[PID]],0)),INDEX(Table3[[#All],[MOV P]],MATCH(Table5[[#This Row],[PID]],Table3[[#All],[PID]],0)))</f>
        <v>4</v>
      </c>
      <c r="N1316" s="56">
        <f>IF($C1316="B",INDEX(Batters[[#All],[POW P]],MATCH(Table5[[#This Row],[PID]],Batters[[#All],[PID]],0)),INDEX(Table3[[#All],[CON P]],MATCH(Table5[[#This Row],[PID]],Table3[[#All],[PID]],0)))</f>
        <v>3</v>
      </c>
      <c r="O1316" s="56">
        <f>IF($C1316="B",INDEX(Batters[[#All],[EYE P]],MATCH(Table5[[#This Row],[PID]],Batters[[#All],[PID]],0)),INDEX(Table3[[#All],[VELO]],MATCH(Table5[[#This Row],[PID]],Table3[[#All],[PID]],0)))</f>
        <v>5</v>
      </c>
      <c r="P1316" s="56">
        <f>IF($C1316="B",INDEX(Batters[[#All],[K P]],MATCH(Table5[[#This Row],[PID]],Batters[[#All],[PID]],0)),INDEX(Table3[[#All],[STM]],MATCH(Table5[[#This Row],[PID]],Table3[[#All],[PID]],0)))</f>
        <v>4</v>
      </c>
      <c r="Q1316" s="61">
        <f>IF($C1316="B",INDEX(Batters[[#All],[Tot]],MATCH(Table5[[#This Row],[PID]],Batters[[#All],[PID]],0)),INDEX(Table3[[#All],[Tot]],MATCH(Table5[[#This Row],[PID]],Table3[[#All],[PID]],0)))</f>
        <v>37.405087095004838</v>
      </c>
      <c r="R1316" s="70">
        <f>IF($C1316="B",INDEX(Batters[[#All],[zScore]],MATCH(Table5[[#This Row],[PID]],Batters[[#All],[PID]],0)),INDEX(Table3[[#All],[zScore]],MATCH(Table5[[#This Row],[PID]],Table3[[#All],[PID]],0)))</f>
        <v>-1.4913886966275389</v>
      </c>
      <c r="S1316" s="79" t="str">
        <f>IF($C1316="B",INDEX(Batters[[#All],[DEM]],MATCH(Table5[[#This Row],[PID]],Batters[[#All],[PID]],0)),INDEX(Table3[[#All],[DEM]],MATCH(Table5[[#This Row],[PID]],Table3[[#All],[PID]],0)))</f>
        <v>-</v>
      </c>
      <c r="T1316" s="62">
        <f>IF($C1316="B",INDEX(Batters[[#All],[Rnk]],MATCH(Table5[[#This Row],[PID]],Batters[[#All],[PID]],0)),INDEX(Table3[[#All],[Rnk]],MATCH(Table5[[#This Row],[PID]],Table3[[#All],[PID]],0)))</f>
        <v>532</v>
      </c>
      <c r="U1316" s="68">
        <f>IF($C1316="B",VLOOKUP($A1316,Bat!$A$4:$BA$1621,47,FALSE),VLOOKUP($A1316,Pit!$A$4:$BF$1557,56,FALSE))</f>
        <v>0</v>
      </c>
      <c r="V1316" s="50">
        <f>IF($C1316="B",VLOOKUP($A1316,Bat!$A$4:$BA$1621,48,FALSE),VLOOKUP($A1316,Pit!$A$4:$BF$1557,57,FALSE))</f>
        <v>0</v>
      </c>
      <c r="W1316" s="50">
        <f>Table5[[#This Row],[posRnk]]+Table5[[#This Row],[zRnk]]+IF($W$3&lt;&gt;Table5[[#This Row],[Type]],50,0)</f>
        <v>1884</v>
      </c>
      <c r="X1316" s="51">
        <f>RANK(Table5[[#This Row],[zScore]],Table5[[#All],[zScore]])</f>
        <v>1302</v>
      </c>
      <c r="Y1316" s="50" t="str">
        <f>IFERROR(INDEX(DraftResults[[#All],[OVR]],MATCH(Table5[[#This Row],[PID]],DraftResults[[#All],[Player ID]],0)),"")</f>
        <v/>
      </c>
      <c r="Z13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6" s="50" t="str">
        <f>IFERROR(INDEX(DraftResults[[#All],[Pick in Round]],MATCH(Table5[[#This Row],[PID]],DraftResults[[#All],[Player ID]],0)),"")</f>
        <v/>
      </c>
      <c r="AB1316" s="50" t="str">
        <f>IFERROR(INDEX(DraftResults[[#All],[Team Name]],MATCH(Table5[[#This Row],[PID]],DraftResults[[#All],[Player ID]],0)),"")</f>
        <v/>
      </c>
      <c r="AC1316" s="50" t="str">
        <f>IF(Table5[[#This Row],[Ovr]]="","",IF(Table5[[#This Row],[cmbList]]="","",Table5[[#This Row],[cmbList]]-Table5[[#This Row],[Ovr]]))</f>
        <v/>
      </c>
      <c r="AD1316" s="54" t="str">
        <f>IF(ISERROR(VLOOKUP($AB1316&amp;"-"&amp;$E1316&amp;" "&amp;F1316,Bonuses!$B$1:$G$1006,4,FALSE)),"",INT(VLOOKUP($AB1316&amp;"-"&amp;$E1316&amp;" "&amp;$F1316,Bonuses!$B$1:$G$1006,4,FALSE)))</f>
        <v/>
      </c>
      <c r="AE13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7" spans="1:31" x14ac:dyDescent="0.25">
      <c r="A1317" s="50">
        <v>10478</v>
      </c>
      <c r="B1317" s="50">
        <f>COUNTIF(Table5[PID],A1317)</f>
        <v>1</v>
      </c>
      <c r="C1317" s="50" t="str">
        <f>IF(COUNTIF(Table3[[#All],[PID]],A1317)&gt;0,"P","B")</f>
        <v>B</v>
      </c>
      <c r="D1317" s="59" t="str">
        <f>IF($C1317="B",INDEX(Batters[[#All],[POS]],MATCH(Table5[[#This Row],[PID]],Batters[[#All],[PID]],0)),INDEX(Table3[[#All],[POS]],MATCH(Table5[[#This Row],[PID]],Table3[[#All],[PID]],0)))</f>
        <v>C</v>
      </c>
      <c r="E1317" s="52" t="str">
        <f>IF($C1317="B",INDEX(Batters[[#All],[First]],MATCH(Table5[[#This Row],[PID]],Batters[[#All],[PID]],0)),INDEX(Table3[[#All],[First]],MATCH(Table5[[#This Row],[PID]],Table3[[#All],[PID]],0)))</f>
        <v>Steve</v>
      </c>
      <c r="F1317" s="50" t="str">
        <f>IF($C1317="B",INDEX(Batters[[#All],[Last]],MATCH(A1317,Batters[[#All],[PID]],0)),INDEX(Table3[[#All],[Last]],MATCH(A1317,Table3[[#All],[PID]],0)))</f>
        <v>Nichols</v>
      </c>
      <c r="G1317" s="56">
        <f>IF($C1317="B",INDEX(Batters[[#All],[Age]],MATCH(Table5[[#This Row],[PID]],Batters[[#All],[PID]],0)),INDEX(Table3[[#All],[Age]],MATCH(Table5[[#This Row],[PID]],Table3[[#All],[PID]],0)))</f>
        <v>22</v>
      </c>
      <c r="H1317" s="52" t="str">
        <f>IF($C1317="B",INDEX(Batters[[#All],[B]],MATCH(Table5[[#This Row],[PID]],Batters[[#All],[PID]],0)),INDEX(Table3[[#All],[B]],MATCH(Table5[[#This Row],[PID]],Table3[[#All],[PID]],0)))</f>
        <v>R</v>
      </c>
      <c r="I1317" s="70" t="str">
        <f>IF($C1317="B",INDEX(Batters[[#All],[T]],MATCH(Table5[[#This Row],[PID]],Batters[[#All],[PID]],0)),INDEX(Table3[[#All],[T]],MATCH(Table5[[#This Row],[PID]],Table3[[#All],[PID]],0)))</f>
        <v>R</v>
      </c>
      <c r="J1317" s="52" t="str">
        <f>IF($C1317="B",INDEX(Batters[[#All],[WE]],MATCH(Table5[[#This Row],[PID]],Batters[[#All],[PID]],0)),INDEX(Table3[[#All],[WE]],MATCH(Table5[[#This Row],[PID]],Table3[[#All],[PID]],0)))</f>
        <v>Low</v>
      </c>
      <c r="K1317" s="52" t="str">
        <f>IF($C1317="B",INDEX(Batters[[#All],[INT]],MATCH(Table5[[#This Row],[PID]],Batters[[#All],[PID]],0)),INDEX(Table3[[#All],[INT]],MATCH(Table5[[#This Row],[PID]],Table3[[#All],[PID]],0)))</f>
        <v>Normal</v>
      </c>
      <c r="L1317" s="60">
        <f>IF($C1317="B",INDEX(Batters[[#All],[CON P]],MATCH(Table5[[#This Row],[PID]],Batters[[#All],[PID]],0)),INDEX(Table3[[#All],[STU P]],MATCH(Table5[[#This Row],[PID]],Table3[[#All],[PID]],0)))</f>
        <v>3</v>
      </c>
      <c r="M1317" s="56">
        <f>IF($C1317="B",INDEX(Batters[[#All],[GAP P]],MATCH(Table5[[#This Row],[PID]],Batters[[#All],[PID]],0)),INDEX(Table3[[#All],[MOV P]],MATCH(Table5[[#This Row],[PID]],Table3[[#All],[PID]],0)))</f>
        <v>4</v>
      </c>
      <c r="N1317" s="56">
        <f>IF($C1317="B",INDEX(Batters[[#All],[POW P]],MATCH(Table5[[#This Row],[PID]],Batters[[#All],[PID]],0)),INDEX(Table3[[#All],[CON P]],MATCH(Table5[[#This Row],[PID]],Table3[[#All],[PID]],0)))</f>
        <v>4</v>
      </c>
      <c r="O1317" s="56">
        <f>IF($C1317="B",INDEX(Batters[[#All],[EYE P]],MATCH(Table5[[#This Row],[PID]],Batters[[#All],[PID]],0)),INDEX(Table3[[#All],[VELO]],MATCH(Table5[[#This Row],[PID]],Table3[[#All],[PID]],0)))</f>
        <v>5</v>
      </c>
      <c r="P1317" s="56">
        <f>IF($C1317="B",INDEX(Batters[[#All],[K P]],MATCH(Table5[[#This Row],[PID]],Batters[[#All],[PID]],0)),INDEX(Table3[[#All],[STM]],MATCH(Table5[[#This Row],[PID]],Table3[[#All],[PID]],0)))</f>
        <v>3</v>
      </c>
      <c r="Q1317" s="61">
        <f>IF($C1317="B",INDEX(Batters[[#All],[Tot]],MATCH(Table5[[#This Row],[PID]],Batters[[#All],[PID]],0)),INDEX(Table3[[#All],[Tot]],MATCH(Table5[[#This Row],[PID]],Table3[[#All],[PID]],0)))</f>
        <v>37.392627311504953</v>
      </c>
      <c r="R1317" s="70">
        <f>IF($C1317="B",INDEX(Batters[[#All],[zScore]],MATCH(Table5[[#This Row],[PID]],Batters[[#All],[PID]],0)),INDEX(Table3[[#All],[zScore]],MATCH(Table5[[#This Row],[PID]],Table3[[#All],[PID]],0)))</f>
        <v>-1.4941511148497837</v>
      </c>
      <c r="S1317" s="79" t="str">
        <f>IF($C1317="B",INDEX(Batters[[#All],[DEM]],MATCH(Table5[[#This Row],[PID]],Batters[[#All],[PID]],0)),INDEX(Table3[[#All],[DEM]],MATCH(Table5[[#This Row],[PID]],Table3[[#All],[PID]],0)))</f>
        <v>-</v>
      </c>
      <c r="T1317" s="62">
        <f>IF($C1317="B",INDEX(Batters[[#All],[Rnk]],MATCH(Table5[[#This Row],[PID]],Batters[[#All],[PID]],0)),INDEX(Table3[[#All],[Rnk]],MATCH(Table5[[#This Row],[PID]],Table3[[#All],[PID]],0)))</f>
        <v>533</v>
      </c>
      <c r="U1317" s="68">
        <f>IF($C1317="B",VLOOKUP($A1317,Bat!$A$4:$BA$1621,47,FALSE),VLOOKUP($A1317,Pit!$A$4:$BF$1557,56,FALSE))</f>
        <v>0</v>
      </c>
      <c r="V1317" s="50">
        <f>IF($C1317="B",VLOOKUP($A1317,Bat!$A$4:$BA$1621,48,FALSE),VLOOKUP($A1317,Pit!$A$4:$BF$1557,57,FALSE))</f>
        <v>0</v>
      </c>
      <c r="W1317" s="50">
        <f>Table5[[#This Row],[posRnk]]+Table5[[#This Row],[zRnk]]+IF($W$3&lt;&gt;Table5[[#This Row],[Type]],50,0)</f>
        <v>1886</v>
      </c>
      <c r="X1317" s="51">
        <f>RANK(Table5[[#This Row],[zScore]],Table5[[#All],[zScore]])</f>
        <v>1303</v>
      </c>
      <c r="Y1317" s="50" t="str">
        <f>IFERROR(INDEX(DraftResults[[#All],[OVR]],MATCH(Table5[[#This Row],[PID]],DraftResults[[#All],[Player ID]],0)),"")</f>
        <v/>
      </c>
      <c r="Z13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7" s="50" t="str">
        <f>IFERROR(INDEX(DraftResults[[#All],[Pick in Round]],MATCH(Table5[[#This Row],[PID]],DraftResults[[#All],[Player ID]],0)),"")</f>
        <v/>
      </c>
      <c r="AB1317" s="50" t="str">
        <f>IFERROR(INDEX(DraftResults[[#All],[Team Name]],MATCH(Table5[[#This Row],[PID]],DraftResults[[#All],[Player ID]],0)),"")</f>
        <v/>
      </c>
      <c r="AC1317" s="50" t="str">
        <f>IF(Table5[[#This Row],[Ovr]]="","",IF(Table5[[#This Row],[cmbList]]="","",Table5[[#This Row],[cmbList]]-Table5[[#This Row],[Ovr]]))</f>
        <v/>
      </c>
      <c r="AD1317" s="54" t="str">
        <f>IF(ISERROR(VLOOKUP($AB1317&amp;"-"&amp;$E1317&amp;" "&amp;F1317,Bonuses!$B$1:$G$1006,4,FALSE)),"",INT(VLOOKUP($AB1317&amp;"-"&amp;$E1317&amp;" "&amp;$F1317,Bonuses!$B$1:$G$1006,4,FALSE)))</f>
        <v/>
      </c>
      <c r="AE13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8" spans="1:31" x14ac:dyDescent="0.25">
      <c r="A1318" s="50">
        <v>7078</v>
      </c>
      <c r="B1318" s="50">
        <f>COUNTIF(Table5[PID],A1318)</f>
        <v>1</v>
      </c>
      <c r="C1318" s="50" t="str">
        <f>IF(COUNTIF(Table3[[#All],[PID]],A1318)&gt;0,"P","B")</f>
        <v>B</v>
      </c>
      <c r="D1318" s="59" t="str">
        <f>IF($C1318="B",INDEX(Batters[[#All],[POS]],MATCH(Table5[[#This Row],[PID]],Batters[[#All],[PID]],0)),INDEX(Table3[[#All],[POS]],MATCH(Table5[[#This Row],[PID]],Table3[[#All],[PID]],0)))</f>
        <v>C</v>
      </c>
      <c r="E1318" s="52" t="str">
        <f>IF($C1318="B",INDEX(Batters[[#All],[First]],MATCH(Table5[[#This Row],[PID]],Batters[[#All],[PID]],0)),INDEX(Table3[[#All],[First]],MATCH(Table5[[#This Row],[PID]],Table3[[#All],[PID]],0)))</f>
        <v>Marty</v>
      </c>
      <c r="F1318" s="50" t="str">
        <f>IF($C1318="B",INDEX(Batters[[#All],[Last]],MATCH(A1318,Batters[[#All],[PID]],0)),INDEX(Table3[[#All],[Last]],MATCH(A1318,Table3[[#All],[PID]],0)))</f>
        <v>Sims</v>
      </c>
      <c r="G1318" s="56">
        <f>IF($C1318="B",INDEX(Batters[[#All],[Age]],MATCH(Table5[[#This Row],[PID]],Batters[[#All],[PID]],0)),INDEX(Table3[[#All],[Age]],MATCH(Table5[[#This Row],[PID]],Table3[[#All],[PID]],0)))</f>
        <v>22</v>
      </c>
      <c r="H1318" s="52" t="str">
        <f>IF($C1318="B",INDEX(Batters[[#All],[B]],MATCH(Table5[[#This Row],[PID]],Batters[[#All],[PID]],0)),INDEX(Table3[[#All],[B]],MATCH(Table5[[#This Row],[PID]],Table3[[#All],[PID]],0)))</f>
        <v>S</v>
      </c>
      <c r="I1318" s="70" t="str">
        <f>IF($C1318="B",INDEX(Batters[[#All],[T]],MATCH(Table5[[#This Row],[PID]],Batters[[#All],[PID]],0)),INDEX(Table3[[#All],[T]],MATCH(Table5[[#This Row],[PID]],Table3[[#All],[PID]],0)))</f>
        <v>R</v>
      </c>
      <c r="J1318" s="52" t="str">
        <f>IF($C1318="B",INDEX(Batters[[#All],[WE]],MATCH(Table5[[#This Row],[PID]],Batters[[#All],[PID]],0)),INDEX(Table3[[#All],[WE]],MATCH(Table5[[#This Row],[PID]],Table3[[#All],[PID]],0)))</f>
        <v>Low</v>
      </c>
      <c r="K1318" s="52" t="str">
        <f>IF($C1318="B",INDEX(Batters[[#All],[INT]],MATCH(Table5[[#This Row],[PID]],Batters[[#All],[PID]],0)),INDEX(Table3[[#All],[INT]],MATCH(Table5[[#This Row],[PID]],Table3[[#All],[PID]],0)))</f>
        <v>Normal</v>
      </c>
      <c r="L1318" s="60">
        <f>IF($C1318="B",INDEX(Batters[[#All],[CON P]],MATCH(Table5[[#This Row],[PID]],Batters[[#All],[PID]],0)),INDEX(Table3[[#All],[STU P]],MATCH(Table5[[#This Row],[PID]],Table3[[#All],[PID]],0)))</f>
        <v>3</v>
      </c>
      <c r="M1318" s="56">
        <f>IF($C1318="B",INDEX(Batters[[#All],[GAP P]],MATCH(Table5[[#This Row],[PID]],Batters[[#All],[PID]],0)),INDEX(Table3[[#All],[MOV P]],MATCH(Table5[[#This Row],[PID]],Table3[[#All],[PID]],0)))</f>
        <v>3</v>
      </c>
      <c r="N1318" s="56">
        <f>IF($C1318="B",INDEX(Batters[[#All],[POW P]],MATCH(Table5[[#This Row],[PID]],Batters[[#All],[PID]],0)),INDEX(Table3[[#All],[CON P]],MATCH(Table5[[#This Row],[PID]],Table3[[#All],[PID]],0)))</f>
        <v>4</v>
      </c>
      <c r="O1318" s="56">
        <f>IF($C1318="B",INDEX(Batters[[#All],[EYE P]],MATCH(Table5[[#This Row],[PID]],Batters[[#All],[PID]],0)),INDEX(Table3[[#All],[VELO]],MATCH(Table5[[#This Row],[PID]],Table3[[#All],[PID]],0)))</f>
        <v>6</v>
      </c>
      <c r="P1318" s="56">
        <f>IF($C1318="B",INDEX(Batters[[#All],[K P]],MATCH(Table5[[#This Row],[PID]],Batters[[#All],[PID]],0)),INDEX(Table3[[#All],[STM]],MATCH(Table5[[#This Row],[PID]],Table3[[#All],[PID]],0)))</f>
        <v>2</v>
      </c>
      <c r="Q1318" s="61">
        <f>IF($C1318="B",INDEX(Batters[[#All],[Tot]],MATCH(Table5[[#This Row],[PID]],Batters[[#All],[PID]],0)),INDEX(Table3[[#All],[Tot]],MATCH(Table5[[#This Row],[PID]],Table3[[#All],[PID]],0)))</f>
        <v>37.385198233391435</v>
      </c>
      <c r="R1318" s="70">
        <f>IF($C1318="B",INDEX(Batters[[#All],[zScore]],MATCH(Table5[[#This Row],[PID]],Batters[[#All],[PID]],0)),INDEX(Table3[[#All],[zScore]],MATCH(Table5[[#This Row],[PID]],Table3[[#All],[PID]],0)))</f>
        <v>-1.4957981916834582</v>
      </c>
      <c r="S1318" s="79" t="str">
        <f>IF($C1318="B",INDEX(Batters[[#All],[DEM]],MATCH(Table5[[#This Row],[PID]],Batters[[#All],[PID]],0)),INDEX(Table3[[#All],[DEM]],MATCH(Table5[[#This Row],[PID]],Table3[[#All],[PID]],0)))</f>
        <v>-</v>
      </c>
      <c r="T1318" s="62">
        <f>IF($C1318="B",INDEX(Batters[[#All],[Rnk]],MATCH(Table5[[#This Row],[PID]],Batters[[#All],[PID]],0)),INDEX(Table3[[#All],[Rnk]],MATCH(Table5[[#This Row],[PID]],Table3[[#All],[PID]],0)))</f>
        <v>534</v>
      </c>
      <c r="U1318" s="68">
        <f>IF($C1318="B",VLOOKUP($A1318,Bat!$A$4:$BA$1621,47,FALSE),VLOOKUP($A1318,Pit!$A$4:$BF$1557,56,FALSE))</f>
        <v>0</v>
      </c>
      <c r="V1318" s="50">
        <f>IF($C1318="B",VLOOKUP($A1318,Bat!$A$4:$BA$1621,48,FALSE),VLOOKUP($A1318,Pit!$A$4:$BF$1557,57,FALSE))</f>
        <v>0</v>
      </c>
      <c r="W1318" s="50">
        <f>Table5[[#This Row],[posRnk]]+Table5[[#This Row],[zRnk]]+IF($W$3&lt;&gt;Table5[[#This Row],[Type]],50,0)</f>
        <v>1888</v>
      </c>
      <c r="X1318" s="51">
        <f>RANK(Table5[[#This Row],[zScore]],Table5[[#All],[zScore]])</f>
        <v>1304</v>
      </c>
      <c r="Y1318" s="50" t="str">
        <f>IFERROR(INDEX(DraftResults[[#All],[OVR]],MATCH(Table5[[#This Row],[PID]],DraftResults[[#All],[Player ID]],0)),"")</f>
        <v/>
      </c>
      <c r="Z13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8" s="50" t="str">
        <f>IFERROR(INDEX(DraftResults[[#All],[Pick in Round]],MATCH(Table5[[#This Row],[PID]],DraftResults[[#All],[Player ID]],0)),"")</f>
        <v/>
      </c>
      <c r="AB1318" s="50" t="str">
        <f>IFERROR(INDEX(DraftResults[[#All],[Team Name]],MATCH(Table5[[#This Row],[PID]],DraftResults[[#All],[Player ID]],0)),"")</f>
        <v/>
      </c>
      <c r="AC1318" s="50" t="str">
        <f>IF(Table5[[#This Row],[Ovr]]="","",IF(Table5[[#This Row],[cmbList]]="","",Table5[[#This Row],[cmbList]]-Table5[[#This Row],[Ovr]]))</f>
        <v/>
      </c>
      <c r="AD1318" s="54" t="str">
        <f>IF(ISERROR(VLOOKUP($AB1318&amp;"-"&amp;$E1318&amp;" "&amp;F1318,Bonuses!$B$1:$G$1006,4,FALSE)),"",INT(VLOOKUP($AB1318&amp;"-"&amp;$E1318&amp;" "&amp;$F1318,Bonuses!$B$1:$G$1006,4,FALSE)))</f>
        <v/>
      </c>
      <c r="AE13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19" spans="1:31" x14ac:dyDescent="0.25">
      <c r="A1319" s="50">
        <v>17569</v>
      </c>
      <c r="B1319" s="55">
        <f>COUNTIF(Table5[PID],A1319)</f>
        <v>1</v>
      </c>
      <c r="C1319" s="55" t="str">
        <f>IF(COUNTIF(Table3[[#All],[PID]],A1319)&gt;0,"P","B")</f>
        <v>B</v>
      </c>
      <c r="D1319" s="59" t="str">
        <f>IF($C1319="B",INDEX(Batters[[#All],[POS]],MATCH(Table5[[#This Row],[PID]],Batters[[#All],[PID]],0)),INDEX(Table3[[#All],[POS]],MATCH(Table5[[#This Row],[PID]],Table3[[#All],[PID]],0)))</f>
        <v>C</v>
      </c>
      <c r="E1319" s="52" t="str">
        <f>IF($C1319="B",INDEX(Batters[[#All],[First]],MATCH(Table5[[#This Row],[PID]],Batters[[#All],[PID]],0)),INDEX(Table3[[#All],[First]],MATCH(Table5[[#This Row],[PID]],Table3[[#All],[PID]],0)))</f>
        <v>Mike</v>
      </c>
      <c r="F1319" s="50" t="str">
        <f>IF($C1319="B",INDEX(Batters[[#All],[Last]],MATCH(A1319,Batters[[#All],[PID]],0)),INDEX(Table3[[#All],[Last]],MATCH(A1319,Table3[[#All],[PID]],0)))</f>
        <v>Younts</v>
      </c>
      <c r="G1319" s="56">
        <f>IF($C1319="B",INDEX(Batters[[#All],[Age]],MATCH(Table5[[#This Row],[PID]],Batters[[#All],[PID]],0)),INDEX(Table3[[#All],[Age]],MATCH(Table5[[#This Row],[PID]],Table3[[#All],[PID]],0)))</f>
        <v>18</v>
      </c>
      <c r="H1319" s="52" t="str">
        <f>IF($C1319="B",INDEX(Batters[[#All],[B]],MATCH(Table5[[#This Row],[PID]],Batters[[#All],[PID]],0)),INDEX(Table3[[#All],[B]],MATCH(Table5[[#This Row],[PID]],Table3[[#All],[PID]],0)))</f>
        <v>R</v>
      </c>
      <c r="I1319" s="70" t="str">
        <f>IF($C1319="B",INDEX(Batters[[#All],[T]],MATCH(Table5[[#This Row],[PID]],Batters[[#All],[PID]],0)),INDEX(Table3[[#All],[T]],MATCH(Table5[[#This Row],[PID]],Table3[[#All],[PID]],0)))</f>
        <v>R</v>
      </c>
      <c r="J1319" s="52" t="str">
        <f>IF($C1319="B",INDEX(Batters[[#All],[WE]],MATCH(Table5[[#This Row],[PID]],Batters[[#All],[PID]],0)),INDEX(Table3[[#All],[WE]],MATCH(Table5[[#This Row],[PID]],Table3[[#All],[PID]],0)))</f>
        <v>Normal</v>
      </c>
      <c r="K1319" s="52" t="str">
        <f>IF($C1319="B",INDEX(Batters[[#All],[INT]],MATCH(Table5[[#This Row],[PID]],Batters[[#All],[PID]],0)),INDEX(Table3[[#All],[INT]],MATCH(Table5[[#This Row],[PID]],Table3[[#All],[PID]],0)))</f>
        <v>Low</v>
      </c>
      <c r="L1319" s="60">
        <f>IF($C1319="B",INDEX(Batters[[#All],[CON P]],MATCH(Table5[[#This Row],[PID]],Batters[[#All],[PID]],0)),INDEX(Table3[[#All],[STU P]],MATCH(Table5[[#This Row],[PID]],Table3[[#All],[PID]],0)))</f>
        <v>2</v>
      </c>
      <c r="M1319" s="56">
        <f>IF($C1319="B",INDEX(Batters[[#All],[GAP P]],MATCH(Table5[[#This Row],[PID]],Batters[[#All],[PID]],0)),INDEX(Table3[[#All],[MOV P]],MATCH(Table5[[#This Row],[PID]],Table3[[#All],[PID]],0)))</f>
        <v>4</v>
      </c>
      <c r="N1319" s="56">
        <f>IF($C1319="B",INDEX(Batters[[#All],[POW P]],MATCH(Table5[[#This Row],[PID]],Batters[[#All],[PID]],0)),INDEX(Table3[[#All],[CON P]],MATCH(Table5[[#This Row],[PID]],Table3[[#All],[PID]],0)))</f>
        <v>3</v>
      </c>
      <c r="O1319" s="56">
        <f>IF($C1319="B",INDEX(Batters[[#All],[EYE P]],MATCH(Table5[[#This Row],[PID]],Batters[[#All],[PID]],0)),INDEX(Table3[[#All],[VELO]],MATCH(Table5[[#This Row],[PID]],Table3[[#All],[PID]],0)))</f>
        <v>4</v>
      </c>
      <c r="P1319" s="56">
        <f>IF($C1319="B",INDEX(Batters[[#All],[K P]],MATCH(Table5[[#This Row],[PID]],Batters[[#All],[PID]],0)),INDEX(Table3[[#All],[STM]],MATCH(Table5[[#This Row],[PID]],Table3[[#All],[PID]],0)))</f>
        <v>3</v>
      </c>
      <c r="Q1319" s="61">
        <f>IF($C1319="B",INDEX(Batters[[#All],[Tot]],MATCH(Table5[[#This Row],[PID]],Batters[[#All],[PID]],0)),INDEX(Table3[[#All],[Tot]],MATCH(Table5[[#This Row],[PID]],Table3[[#All],[PID]],0)))</f>
        <v>37.379989129722745</v>
      </c>
      <c r="R1319" s="70">
        <f>IF($C1319="B",INDEX(Batters[[#All],[zScore]],MATCH(Table5[[#This Row],[PID]],Batters[[#All],[PID]],0)),INDEX(Table3[[#All],[zScore]],MATCH(Table5[[#This Row],[PID]],Table3[[#All],[PID]],0)))</f>
        <v>-1.4969530851770798</v>
      </c>
      <c r="S1319" s="79" t="str">
        <f>IF($C1319="B",INDEX(Batters[[#All],[DEM]],MATCH(Table5[[#This Row],[PID]],Batters[[#All],[PID]],0)),INDEX(Table3[[#All],[DEM]],MATCH(Table5[[#This Row],[PID]],Table3[[#All],[PID]],0)))</f>
        <v>$75k</v>
      </c>
      <c r="T1319" s="62">
        <f>IF($C1319="B",INDEX(Batters[[#All],[Rnk]],MATCH(Table5[[#This Row],[PID]],Batters[[#All],[PID]],0)),INDEX(Table3[[#All],[Rnk]],MATCH(Table5[[#This Row],[PID]],Table3[[#All],[PID]],0)))</f>
        <v>535</v>
      </c>
      <c r="U1319" s="68">
        <f>IF($C1319="B",VLOOKUP($A1319,Bat!$A$4:$BA$1621,47,FALSE),VLOOKUP($A1319,Pit!$A$4:$BF$1557,56,FALSE))</f>
        <v>0</v>
      </c>
      <c r="V1319" s="50">
        <f>IF($C1319="B",VLOOKUP($A1319,Bat!$A$4:$BA$1621,48,FALSE),VLOOKUP($A1319,Pit!$A$4:$BF$1557,57,FALSE))</f>
        <v>0</v>
      </c>
      <c r="W1319" s="50">
        <f>Table5[[#This Row],[posRnk]]+Table5[[#This Row],[zRnk]]+IF($W$3&lt;&gt;Table5[[#This Row],[Type]],50,0)</f>
        <v>1890</v>
      </c>
      <c r="X1319" s="51">
        <f>RANK(Table5[[#This Row],[zScore]],Table5[[#All],[zScore]])</f>
        <v>1305</v>
      </c>
      <c r="Y1319" s="50" t="str">
        <f>IFERROR(INDEX(DraftResults[[#All],[OVR]],MATCH(Table5[[#This Row],[PID]],DraftResults[[#All],[Player ID]],0)),"")</f>
        <v/>
      </c>
      <c r="Z13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19" s="50" t="str">
        <f>IFERROR(INDEX(DraftResults[[#All],[Pick in Round]],MATCH(Table5[[#This Row],[PID]],DraftResults[[#All],[Player ID]],0)),"")</f>
        <v/>
      </c>
      <c r="AB1319" s="50" t="str">
        <f>IFERROR(INDEX(DraftResults[[#All],[Team Name]],MATCH(Table5[[#This Row],[PID]],DraftResults[[#All],[Player ID]],0)),"")</f>
        <v/>
      </c>
      <c r="AC1319" s="50" t="str">
        <f>IF(Table5[[#This Row],[Ovr]]="","",IF(Table5[[#This Row],[cmbList]]="","",Table5[[#This Row],[cmbList]]-Table5[[#This Row],[Ovr]]))</f>
        <v/>
      </c>
      <c r="AD1319" s="54" t="str">
        <f>IF(ISERROR(VLOOKUP($AB1319&amp;"-"&amp;$E1319&amp;" "&amp;F1319,Bonuses!$B$1:$G$1006,4,FALSE)),"",INT(VLOOKUP($AB1319&amp;"-"&amp;$E1319&amp;" "&amp;$F1319,Bonuses!$B$1:$G$1006,4,FALSE)))</f>
        <v/>
      </c>
      <c r="AE13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0" spans="1:31" x14ac:dyDescent="0.25">
      <c r="A1320" s="50">
        <v>20788</v>
      </c>
      <c r="B1320" s="50">
        <f>COUNTIF(Table5[PID],A1320)</f>
        <v>1</v>
      </c>
      <c r="C1320" s="50" t="str">
        <f>IF(COUNTIF(Table3[[#All],[PID]],A1320)&gt;0,"P","B")</f>
        <v>B</v>
      </c>
      <c r="D1320" s="59" t="str">
        <f>IF($C1320="B",INDEX(Batters[[#All],[POS]],MATCH(Table5[[#This Row],[PID]],Batters[[#All],[PID]],0)),INDEX(Table3[[#All],[POS]],MATCH(Table5[[#This Row],[PID]],Table3[[#All],[PID]],0)))</f>
        <v>C</v>
      </c>
      <c r="E1320" s="52" t="str">
        <f>IF($C1320="B",INDEX(Batters[[#All],[First]],MATCH(Table5[[#This Row],[PID]],Batters[[#All],[PID]],0)),INDEX(Table3[[#All],[First]],MATCH(Table5[[#This Row],[PID]],Table3[[#All],[PID]],0)))</f>
        <v>Kevin</v>
      </c>
      <c r="F1320" s="50" t="str">
        <f>IF($C1320="B",INDEX(Batters[[#All],[Last]],MATCH(A1320,Batters[[#All],[PID]],0)),INDEX(Table3[[#All],[Last]],MATCH(A1320,Table3[[#All],[PID]],0)))</f>
        <v>Holden</v>
      </c>
      <c r="G1320" s="56">
        <f>IF($C1320="B",INDEX(Batters[[#All],[Age]],MATCH(Table5[[#This Row],[PID]],Batters[[#All],[PID]],0)),INDEX(Table3[[#All],[Age]],MATCH(Table5[[#This Row],[PID]],Table3[[#All],[PID]],0)))</f>
        <v>17</v>
      </c>
      <c r="H1320" s="52" t="str">
        <f>IF($C1320="B",INDEX(Batters[[#All],[B]],MATCH(Table5[[#This Row],[PID]],Batters[[#All],[PID]],0)),INDEX(Table3[[#All],[B]],MATCH(Table5[[#This Row],[PID]],Table3[[#All],[PID]],0)))</f>
        <v>R</v>
      </c>
      <c r="I1320" s="70" t="str">
        <f>IF($C1320="B",INDEX(Batters[[#All],[T]],MATCH(Table5[[#This Row],[PID]],Batters[[#All],[PID]],0)),INDEX(Table3[[#All],[T]],MATCH(Table5[[#This Row],[PID]],Table3[[#All],[PID]],0)))</f>
        <v>R</v>
      </c>
      <c r="J1320" s="52" t="str">
        <f>IF($C1320="B",INDEX(Batters[[#All],[WE]],MATCH(Table5[[#This Row],[PID]],Batters[[#All],[PID]],0)),INDEX(Table3[[#All],[WE]],MATCH(Table5[[#This Row],[PID]],Table3[[#All],[PID]],0)))</f>
        <v>Normal</v>
      </c>
      <c r="K1320" s="52" t="str">
        <f>IF($C1320="B",INDEX(Batters[[#All],[INT]],MATCH(Table5[[#This Row],[PID]],Batters[[#All],[PID]],0)),INDEX(Table3[[#All],[INT]],MATCH(Table5[[#This Row],[PID]],Table3[[#All],[PID]],0)))</f>
        <v>Normal</v>
      </c>
      <c r="L1320" s="60">
        <f>IF($C1320="B",INDEX(Batters[[#All],[CON P]],MATCH(Table5[[#This Row],[PID]],Batters[[#All],[PID]],0)),INDEX(Table3[[#All],[STU P]],MATCH(Table5[[#This Row],[PID]],Table3[[#All],[PID]],0)))</f>
        <v>2</v>
      </c>
      <c r="M1320" s="56">
        <f>IF($C1320="B",INDEX(Batters[[#All],[GAP P]],MATCH(Table5[[#This Row],[PID]],Batters[[#All],[PID]],0)),INDEX(Table3[[#All],[MOV P]],MATCH(Table5[[#This Row],[PID]],Table3[[#All],[PID]],0)))</f>
        <v>4</v>
      </c>
      <c r="N1320" s="56">
        <f>IF($C1320="B",INDEX(Batters[[#All],[POW P]],MATCH(Table5[[#This Row],[PID]],Batters[[#All],[PID]],0)),INDEX(Table3[[#All],[CON P]],MATCH(Table5[[#This Row],[PID]],Table3[[#All],[PID]],0)))</f>
        <v>2</v>
      </c>
      <c r="O1320" s="56">
        <f>IF($C1320="B",INDEX(Batters[[#All],[EYE P]],MATCH(Table5[[#This Row],[PID]],Batters[[#All],[PID]],0)),INDEX(Table3[[#All],[VELO]],MATCH(Table5[[#This Row],[PID]],Table3[[#All],[PID]],0)))</f>
        <v>6</v>
      </c>
      <c r="P1320" s="56">
        <f>IF($C1320="B",INDEX(Batters[[#All],[K P]],MATCH(Table5[[#This Row],[PID]],Batters[[#All],[PID]],0)),INDEX(Table3[[#All],[STM]],MATCH(Table5[[#This Row],[PID]],Table3[[#All],[PID]],0)))</f>
        <v>2</v>
      </c>
      <c r="Q1320" s="61">
        <f>IF($C1320="B",INDEX(Batters[[#All],[Tot]],MATCH(Table5[[#This Row],[PID]],Batters[[#All],[PID]],0)),INDEX(Table3[[#All],[Tot]],MATCH(Table5[[#This Row],[PID]],Table3[[#All],[PID]],0)))</f>
        <v>37.3701612668237</v>
      </c>
      <c r="R1320" s="70">
        <f>IF($C1320="B",INDEX(Batters[[#All],[zScore]],MATCH(Table5[[#This Row],[PID]],Batters[[#All],[PID]],0)),INDEX(Table3[[#All],[zScore]],MATCH(Table5[[#This Row],[PID]],Table3[[#All],[PID]],0)))</f>
        <v>-1.4991319888119858</v>
      </c>
      <c r="S1320" s="79" t="str">
        <f>IF($C1320="B",INDEX(Batters[[#All],[DEM]],MATCH(Table5[[#This Row],[PID]],Batters[[#All],[PID]],0)),INDEX(Table3[[#All],[DEM]],MATCH(Table5[[#This Row],[PID]],Table3[[#All],[PID]],0)))</f>
        <v>$38k</v>
      </c>
      <c r="T1320" s="62">
        <f>IF($C1320="B",INDEX(Batters[[#All],[Rnk]],MATCH(Table5[[#This Row],[PID]],Batters[[#All],[PID]],0)),INDEX(Table3[[#All],[Rnk]],MATCH(Table5[[#This Row],[PID]],Table3[[#All],[PID]],0)))</f>
        <v>536</v>
      </c>
      <c r="U1320" s="68">
        <f>IF($C1320="B",VLOOKUP($A1320,Bat!$A$4:$BA$1621,47,FALSE),VLOOKUP($A1320,Pit!$A$4:$BF$1557,56,FALSE))</f>
        <v>0</v>
      </c>
      <c r="V1320" s="50">
        <f>IF($C1320="B",VLOOKUP($A1320,Bat!$A$4:$BA$1621,48,FALSE),VLOOKUP($A1320,Pit!$A$4:$BF$1557,57,FALSE))</f>
        <v>0</v>
      </c>
      <c r="W1320" s="50">
        <f>Table5[[#This Row],[posRnk]]+Table5[[#This Row],[zRnk]]+IF($W$3&lt;&gt;Table5[[#This Row],[Type]],50,0)</f>
        <v>1892</v>
      </c>
      <c r="X1320" s="51">
        <f>RANK(Table5[[#This Row],[zScore]],Table5[[#All],[zScore]])</f>
        <v>1306</v>
      </c>
      <c r="Y1320" s="50" t="str">
        <f>IFERROR(INDEX(DraftResults[[#All],[OVR]],MATCH(Table5[[#This Row],[PID]],DraftResults[[#All],[Player ID]],0)),"")</f>
        <v/>
      </c>
      <c r="Z13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0" s="50" t="str">
        <f>IFERROR(INDEX(DraftResults[[#All],[Pick in Round]],MATCH(Table5[[#This Row],[PID]],DraftResults[[#All],[Player ID]],0)),"")</f>
        <v/>
      </c>
      <c r="AB1320" s="50" t="str">
        <f>IFERROR(INDEX(DraftResults[[#All],[Team Name]],MATCH(Table5[[#This Row],[PID]],DraftResults[[#All],[Player ID]],0)),"")</f>
        <v/>
      </c>
      <c r="AC1320" s="50" t="str">
        <f>IF(Table5[[#This Row],[Ovr]]="","",IF(Table5[[#This Row],[cmbList]]="","",Table5[[#This Row],[cmbList]]-Table5[[#This Row],[Ovr]]))</f>
        <v/>
      </c>
      <c r="AD1320" s="54" t="str">
        <f>IF(ISERROR(VLOOKUP($AB1320&amp;"-"&amp;$E1320&amp;" "&amp;F1320,Bonuses!$B$1:$G$1006,4,FALSE)),"",INT(VLOOKUP($AB1320&amp;"-"&amp;$E1320&amp;" "&amp;$F1320,Bonuses!$B$1:$G$1006,4,FALSE)))</f>
        <v/>
      </c>
      <c r="AE13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1" spans="1:31" x14ac:dyDescent="0.25">
      <c r="A1321" s="50">
        <v>18177</v>
      </c>
      <c r="B1321" s="50">
        <f>COUNTIF(Table5[PID],A1321)</f>
        <v>1</v>
      </c>
      <c r="C1321" s="50" t="str">
        <f>IF(COUNTIF(Table3[[#All],[PID]],A1321)&gt;0,"P","B")</f>
        <v>B</v>
      </c>
      <c r="D1321" s="59" t="str">
        <f>IF($C1321="B",INDEX(Batters[[#All],[POS]],MATCH(Table5[[#This Row],[PID]],Batters[[#All],[PID]],0)),INDEX(Table3[[#All],[POS]],MATCH(Table5[[#This Row],[PID]],Table3[[#All],[PID]],0)))</f>
        <v>1B</v>
      </c>
      <c r="E1321" s="52" t="str">
        <f>IF($C1321="B",INDEX(Batters[[#All],[First]],MATCH(Table5[[#This Row],[PID]],Batters[[#All],[PID]],0)),INDEX(Table3[[#All],[First]],MATCH(Table5[[#This Row],[PID]],Table3[[#All],[PID]],0)))</f>
        <v>José</v>
      </c>
      <c r="F1321" s="50" t="str">
        <f>IF($C1321="B",INDEX(Batters[[#All],[Last]],MATCH(A1321,Batters[[#All],[PID]],0)),INDEX(Table3[[#All],[Last]],MATCH(A1321,Table3[[#All],[PID]],0)))</f>
        <v>Gutiérrez</v>
      </c>
      <c r="G1321" s="56">
        <f>IF($C1321="B",INDEX(Batters[[#All],[Age]],MATCH(Table5[[#This Row],[PID]],Batters[[#All],[PID]],0)),INDEX(Table3[[#All],[Age]],MATCH(Table5[[#This Row],[PID]],Table3[[#All],[PID]],0)))</f>
        <v>18</v>
      </c>
      <c r="H1321" s="52" t="str">
        <f>IF($C1321="B",INDEX(Batters[[#All],[B]],MATCH(Table5[[#This Row],[PID]],Batters[[#All],[PID]],0)),INDEX(Table3[[#All],[B]],MATCH(Table5[[#This Row],[PID]],Table3[[#All],[PID]],0)))</f>
        <v>R</v>
      </c>
      <c r="I1321" s="70" t="str">
        <f>IF($C1321="B",INDEX(Batters[[#All],[T]],MATCH(Table5[[#This Row],[PID]],Batters[[#All],[PID]],0)),INDEX(Table3[[#All],[T]],MATCH(Table5[[#This Row],[PID]],Table3[[#All],[PID]],0)))</f>
        <v>R</v>
      </c>
      <c r="J1321" s="52" t="str">
        <f>IF($C1321="B",INDEX(Batters[[#All],[WE]],MATCH(Table5[[#This Row],[PID]],Batters[[#All],[PID]],0)),INDEX(Table3[[#All],[WE]],MATCH(Table5[[#This Row],[PID]],Table3[[#All],[PID]],0)))</f>
        <v>Low</v>
      </c>
      <c r="K1321" s="52" t="str">
        <f>IF($C1321="B",INDEX(Batters[[#All],[INT]],MATCH(Table5[[#This Row],[PID]],Batters[[#All],[PID]],0)),INDEX(Table3[[#All],[INT]],MATCH(Table5[[#This Row],[PID]],Table3[[#All],[PID]],0)))</f>
        <v>Normal</v>
      </c>
      <c r="L1321" s="60">
        <f>IF($C1321="B",INDEX(Batters[[#All],[CON P]],MATCH(Table5[[#This Row],[PID]],Batters[[#All],[PID]],0)),INDEX(Table3[[#All],[STU P]],MATCH(Table5[[#This Row],[PID]],Table3[[#All],[PID]],0)))</f>
        <v>2</v>
      </c>
      <c r="M1321" s="56">
        <f>IF($C1321="B",INDEX(Batters[[#All],[GAP P]],MATCH(Table5[[#This Row],[PID]],Batters[[#All],[PID]],0)),INDEX(Table3[[#All],[MOV P]],MATCH(Table5[[#This Row],[PID]],Table3[[#All],[PID]],0)))</f>
        <v>3</v>
      </c>
      <c r="N1321" s="56">
        <f>IF($C1321="B",INDEX(Batters[[#All],[POW P]],MATCH(Table5[[#This Row],[PID]],Batters[[#All],[PID]],0)),INDEX(Table3[[#All],[CON P]],MATCH(Table5[[#This Row],[PID]],Table3[[#All],[PID]],0)))</f>
        <v>3</v>
      </c>
      <c r="O1321" s="56">
        <f>IF($C1321="B",INDEX(Batters[[#All],[EYE P]],MATCH(Table5[[#This Row],[PID]],Batters[[#All],[PID]],0)),INDEX(Table3[[#All],[VELO]],MATCH(Table5[[#This Row],[PID]],Table3[[#All],[PID]],0)))</f>
        <v>5</v>
      </c>
      <c r="P1321" s="56">
        <f>IF($C1321="B",INDEX(Batters[[#All],[K P]],MATCH(Table5[[#This Row],[PID]],Batters[[#All],[PID]],0)),INDEX(Table3[[#All],[STM]],MATCH(Table5[[#This Row],[PID]],Table3[[#All],[PID]],0)))</f>
        <v>4</v>
      </c>
      <c r="Q1321" s="61">
        <f>IF($C1321="B",INDEX(Batters[[#All],[Tot]],MATCH(Table5[[#This Row],[PID]],Batters[[#All],[PID]],0)),INDEX(Table3[[#All],[Tot]],MATCH(Table5[[#This Row],[PID]],Table3[[#All],[PID]],0)))</f>
        <v>37.323981252218275</v>
      </c>
      <c r="R1321" s="70">
        <f>IF($C1321="B",INDEX(Batters[[#All],[zScore]],MATCH(Table5[[#This Row],[PID]],Batters[[#All],[PID]],0)),INDEX(Table3[[#All],[zScore]],MATCH(Table5[[#This Row],[PID]],Table3[[#All],[PID]],0)))</f>
        <v>-1.5093704101979379</v>
      </c>
      <c r="S1321" s="79" t="str">
        <f>IF($C1321="B",INDEX(Batters[[#All],[DEM]],MATCH(Table5[[#This Row],[PID]],Batters[[#All],[PID]],0)),INDEX(Table3[[#All],[DEM]],MATCH(Table5[[#This Row],[PID]],Table3[[#All],[PID]],0)))</f>
        <v>$130k</v>
      </c>
      <c r="T1321" s="62">
        <f>IF($C1321="B",INDEX(Batters[[#All],[Rnk]],MATCH(Table5[[#This Row],[PID]],Batters[[#All],[PID]],0)),INDEX(Table3[[#All],[Rnk]],MATCH(Table5[[#This Row],[PID]],Table3[[#All],[PID]],0)))</f>
        <v>537</v>
      </c>
      <c r="U1321" s="68">
        <f>IF($C1321="B",VLOOKUP($A1321,Bat!$A$4:$BA$1621,47,FALSE),VLOOKUP($A1321,Pit!$A$4:$BF$1557,56,FALSE))</f>
        <v>0</v>
      </c>
      <c r="V1321" s="50">
        <f>IF($C1321="B",VLOOKUP($A1321,Bat!$A$4:$BA$1621,48,FALSE),VLOOKUP($A1321,Pit!$A$4:$BF$1557,57,FALSE))</f>
        <v>0</v>
      </c>
      <c r="W1321" s="50">
        <f>Table5[[#This Row],[posRnk]]+Table5[[#This Row],[zRnk]]+IF($W$3&lt;&gt;Table5[[#This Row],[Type]],50,0)</f>
        <v>1894</v>
      </c>
      <c r="X1321" s="51">
        <f>RANK(Table5[[#This Row],[zScore]],Table5[[#All],[zScore]])</f>
        <v>1307</v>
      </c>
      <c r="Y1321" s="50" t="str">
        <f>IFERROR(INDEX(DraftResults[[#All],[OVR]],MATCH(Table5[[#This Row],[PID]],DraftResults[[#All],[Player ID]],0)),"")</f>
        <v/>
      </c>
      <c r="Z13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1" s="50" t="str">
        <f>IFERROR(INDEX(DraftResults[[#All],[Pick in Round]],MATCH(Table5[[#This Row],[PID]],DraftResults[[#All],[Player ID]],0)),"")</f>
        <v/>
      </c>
      <c r="AB1321" s="50" t="str">
        <f>IFERROR(INDEX(DraftResults[[#All],[Team Name]],MATCH(Table5[[#This Row],[PID]],DraftResults[[#All],[Player ID]],0)),"")</f>
        <v/>
      </c>
      <c r="AC1321" s="50" t="str">
        <f>IF(Table5[[#This Row],[Ovr]]="","",IF(Table5[[#This Row],[cmbList]]="","",Table5[[#This Row],[cmbList]]-Table5[[#This Row],[Ovr]]))</f>
        <v/>
      </c>
      <c r="AD1321" s="54" t="str">
        <f>IF(ISERROR(VLOOKUP($AB1321&amp;"-"&amp;$E1321&amp;" "&amp;F1321,Bonuses!$B$1:$G$1006,4,FALSE)),"",INT(VLOOKUP($AB1321&amp;"-"&amp;$E1321&amp;" "&amp;$F1321,Bonuses!$B$1:$G$1006,4,FALSE)))</f>
        <v/>
      </c>
      <c r="AE13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2" spans="1:31" x14ac:dyDescent="0.25">
      <c r="A1322" s="50">
        <v>18249</v>
      </c>
      <c r="B1322" s="50">
        <f>COUNTIF(Table5[PID],A1322)</f>
        <v>1</v>
      </c>
      <c r="C1322" s="50" t="str">
        <f>IF(COUNTIF(Table3[[#All],[PID]],A1322)&gt;0,"P","B")</f>
        <v>B</v>
      </c>
      <c r="D1322" s="59" t="str">
        <f>IF($C1322="B",INDEX(Batters[[#All],[POS]],MATCH(Table5[[#This Row],[PID]],Batters[[#All],[PID]],0)),INDEX(Table3[[#All],[POS]],MATCH(Table5[[#This Row],[PID]],Table3[[#All],[PID]],0)))</f>
        <v>C</v>
      </c>
      <c r="E1322" s="52" t="str">
        <f>IF($C1322="B",INDEX(Batters[[#All],[First]],MATCH(Table5[[#This Row],[PID]],Batters[[#All],[PID]],0)),INDEX(Table3[[#All],[First]],MATCH(Table5[[#This Row],[PID]],Table3[[#All],[PID]],0)))</f>
        <v>Michael</v>
      </c>
      <c r="F1322" s="50" t="str">
        <f>IF($C1322="B",INDEX(Batters[[#All],[Last]],MATCH(A1322,Batters[[#All],[PID]],0)),INDEX(Table3[[#All],[Last]],MATCH(A1322,Table3[[#All],[PID]],0)))</f>
        <v>Morrison</v>
      </c>
      <c r="G1322" s="56">
        <f>IF($C1322="B",INDEX(Batters[[#All],[Age]],MATCH(Table5[[#This Row],[PID]],Batters[[#All],[PID]],0)),INDEX(Table3[[#All],[Age]],MATCH(Table5[[#This Row],[PID]],Table3[[#All],[PID]],0)))</f>
        <v>18</v>
      </c>
      <c r="H1322" s="52" t="str">
        <f>IF($C1322="B",INDEX(Batters[[#All],[B]],MATCH(Table5[[#This Row],[PID]],Batters[[#All],[PID]],0)),INDEX(Table3[[#All],[B]],MATCH(Table5[[#This Row],[PID]],Table3[[#All],[PID]],0)))</f>
        <v>R</v>
      </c>
      <c r="I1322" s="70" t="str">
        <f>IF($C1322="B",INDEX(Batters[[#All],[T]],MATCH(Table5[[#This Row],[PID]],Batters[[#All],[PID]],0)),INDEX(Table3[[#All],[T]],MATCH(Table5[[#This Row],[PID]],Table3[[#All],[PID]],0)))</f>
        <v>R</v>
      </c>
      <c r="J1322" s="52" t="str">
        <f>IF($C1322="B",INDEX(Batters[[#All],[WE]],MATCH(Table5[[#This Row],[PID]],Batters[[#All],[PID]],0)),INDEX(Table3[[#All],[WE]],MATCH(Table5[[#This Row],[PID]],Table3[[#All],[PID]],0)))</f>
        <v>Normal</v>
      </c>
      <c r="K1322" s="52" t="str">
        <f>IF($C1322="B",INDEX(Batters[[#All],[INT]],MATCH(Table5[[#This Row],[PID]],Batters[[#All],[PID]],0)),INDEX(Table3[[#All],[INT]],MATCH(Table5[[#This Row],[PID]],Table3[[#All],[PID]],0)))</f>
        <v>Normal</v>
      </c>
      <c r="L1322" s="60">
        <f>IF($C1322="B",INDEX(Batters[[#All],[CON P]],MATCH(Table5[[#This Row],[PID]],Batters[[#All],[PID]],0)),INDEX(Table3[[#All],[STU P]],MATCH(Table5[[#This Row],[PID]],Table3[[#All],[PID]],0)))</f>
        <v>2</v>
      </c>
      <c r="M1322" s="56">
        <f>IF($C1322="B",INDEX(Batters[[#All],[GAP P]],MATCH(Table5[[#This Row],[PID]],Batters[[#All],[PID]],0)),INDEX(Table3[[#All],[MOV P]],MATCH(Table5[[#This Row],[PID]],Table3[[#All],[PID]],0)))</f>
        <v>4</v>
      </c>
      <c r="N1322" s="56">
        <f>IF($C1322="B",INDEX(Batters[[#All],[POW P]],MATCH(Table5[[#This Row],[PID]],Batters[[#All],[PID]],0)),INDEX(Table3[[#All],[CON P]],MATCH(Table5[[#This Row],[PID]],Table3[[#All],[PID]],0)))</f>
        <v>3</v>
      </c>
      <c r="O1322" s="56">
        <f>IF($C1322="B",INDEX(Batters[[#All],[EYE P]],MATCH(Table5[[#This Row],[PID]],Batters[[#All],[PID]],0)),INDEX(Table3[[#All],[VELO]],MATCH(Table5[[#This Row],[PID]],Table3[[#All],[PID]],0)))</f>
        <v>5</v>
      </c>
      <c r="P1322" s="56">
        <f>IF($C1322="B",INDEX(Batters[[#All],[K P]],MATCH(Table5[[#This Row],[PID]],Batters[[#All],[PID]],0)),INDEX(Table3[[#All],[STM]],MATCH(Table5[[#This Row],[PID]],Table3[[#All],[PID]],0)))</f>
        <v>2</v>
      </c>
      <c r="Q1322" s="61">
        <f>IF($C1322="B",INDEX(Batters[[#All],[Tot]],MATCH(Table5[[#This Row],[PID]],Batters[[#All],[PID]],0)),INDEX(Table3[[#All],[Tot]],MATCH(Table5[[#This Row],[PID]],Table3[[#All],[PID]],0)))</f>
        <v>37.290384594995544</v>
      </c>
      <c r="R1322" s="70">
        <f>IF($C1322="B",INDEX(Batters[[#All],[zScore]],MATCH(Table5[[#This Row],[PID]],Batters[[#All],[PID]],0)),INDEX(Table3[[#All],[zScore]],MATCH(Table5[[#This Row],[PID]],Table3[[#All],[PID]],0)))</f>
        <v>-1.5168190161965442</v>
      </c>
      <c r="S1322" s="79" t="str">
        <f>IF($C1322="B",INDEX(Batters[[#All],[DEM]],MATCH(Table5[[#This Row],[PID]],Batters[[#All],[PID]],0)),INDEX(Table3[[#All],[DEM]],MATCH(Table5[[#This Row],[PID]],Table3[[#All],[PID]],0)))</f>
        <v>$70k</v>
      </c>
      <c r="T1322" s="62">
        <f>IF($C1322="B",INDEX(Batters[[#All],[Rnk]],MATCH(Table5[[#This Row],[PID]],Batters[[#All],[PID]],0)),INDEX(Table3[[#All],[Rnk]],MATCH(Table5[[#This Row],[PID]],Table3[[#All],[PID]],0)))</f>
        <v>538</v>
      </c>
      <c r="U1322" s="68">
        <f>IF($C1322="B",VLOOKUP($A1322,Bat!$A$4:$BA$1621,47,FALSE),VLOOKUP($A1322,Pit!$A$4:$BF$1557,56,FALSE))</f>
        <v>0</v>
      </c>
      <c r="V1322" s="50">
        <f>IF($C1322="B",VLOOKUP($A1322,Bat!$A$4:$BA$1621,48,FALSE),VLOOKUP($A1322,Pit!$A$4:$BF$1557,57,FALSE))</f>
        <v>0</v>
      </c>
      <c r="W1322" s="50">
        <f>Table5[[#This Row],[posRnk]]+Table5[[#This Row],[zRnk]]+IF($W$3&lt;&gt;Table5[[#This Row],[Type]],50,0)</f>
        <v>1896</v>
      </c>
      <c r="X1322" s="51">
        <f>RANK(Table5[[#This Row],[zScore]],Table5[[#All],[zScore]])</f>
        <v>1308</v>
      </c>
      <c r="Y1322" s="50" t="str">
        <f>IFERROR(INDEX(DraftResults[[#All],[OVR]],MATCH(Table5[[#This Row],[PID]],DraftResults[[#All],[Player ID]],0)),"")</f>
        <v/>
      </c>
      <c r="Z13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2" s="50" t="str">
        <f>IFERROR(INDEX(DraftResults[[#All],[Pick in Round]],MATCH(Table5[[#This Row],[PID]],DraftResults[[#All],[Player ID]],0)),"")</f>
        <v/>
      </c>
      <c r="AB1322" s="50" t="str">
        <f>IFERROR(INDEX(DraftResults[[#All],[Team Name]],MATCH(Table5[[#This Row],[PID]],DraftResults[[#All],[Player ID]],0)),"")</f>
        <v/>
      </c>
      <c r="AC1322" s="50" t="str">
        <f>IF(Table5[[#This Row],[Ovr]]="","",IF(Table5[[#This Row],[cmbList]]="","",Table5[[#This Row],[cmbList]]-Table5[[#This Row],[Ovr]]))</f>
        <v/>
      </c>
      <c r="AD1322" s="54" t="str">
        <f>IF(ISERROR(VLOOKUP($AB1322&amp;"-"&amp;$E1322&amp;" "&amp;F1322,Bonuses!$B$1:$G$1006,4,FALSE)),"",INT(VLOOKUP($AB1322&amp;"-"&amp;$E1322&amp;" "&amp;$F1322,Bonuses!$B$1:$G$1006,4,FALSE)))</f>
        <v/>
      </c>
      <c r="AE13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3" spans="1:31" x14ac:dyDescent="0.25">
      <c r="A1323" s="50">
        <v>9429</v>
      </c>
      <c r="B1323" s="55">
        <f>COUNTIF(Table5[PID],A1323)</f>
        <v>1</v>
      </c>
      <c r="C1323" s="55" t="str">
        <f>IF(COUNTIF(Table3[[#All],[PID]],A1323)&gt;0,"P","B")</f>
        <v>B</v>
      </c>
      <c r="D1323" s="59" t="str">
        <f>IF($C1323="B",INDEX(Batters[[#All],[POS]],MATCH(Table5[[#This Row],[PID]],Batters[[#All],[PID]],0)),INDEX(Table3[[#All],[POS]],MATCH(Table5[[#This Row],[PID]],Table3[[#All],[PID]],0)))</f>
        <v>1B</v>
      </c>
      <c r="E1323" s="52" t="str">
        <f>IF($C1323="B",INDEX(Batters[[#All],[First]],MATCH(Table5[[#This Row],[PID]],Batters[[#All],[PID]],0)),INDEX(Table3[[#All],[First]],MATCH(Table5[[#This Row],[PID]],Table3[[#All],[PID]],0)))</f>
        <v>Ron</v>
      </c>
      <c r="F1323" s="50" t="str">
        <f>IF($C1323="B",INDEX(Batters[[#All],[Last]],MATCH(A1323,Batters[[#All],[PID]],0)),INDEX(Table3[[#All],[Last]],MATCH(A1323,Table3[[#All],[PID]],0)))</f>
        <v>Webb</v>
      </c>
      <c r="G1323" s="56">
        <f>IF($C1323="B",INDEX(Batters[[#All],[Age]],MATCH(Table5[[#This Row],[PID]],Batters[[#All],[PID]],0)),INDEX(Table3[[#All],[Age]],MATCH(Table5[[#This Row],[PID]],Table3[[#All],[PID]],0)))</f>
        <v>22</v>
      </c>
      <c r="H1323" s="52" t="str">
        <f>IF($C1323="B",INDEX(Batters[[#All],[B]],MATCH(Table5[[#This Row],[PID]],Batters[[#All],[PID]],0)),INDEX(Table3[[#All],[B]],MATCH(Table5[[#This Row],[PID]],Table3[[#All],[PID]],0)))</f>
        <v>S</v>
      </c>
      <c r="I1323" s="70" t="str">
        <f>IF($C1323="B",INDEX(Batters[[#All],[T]],MATCH(Table5[[#This Row],[PID]],Batters[[#All],[PID]],0)),INDEX(Table3[[#All],[T]],MATCH(Table5[[#This Row],[PID]],Table3[[#All],[PID]],0)))</f>
        <v>R</v>
      </c>
      <c r="J1323" s="52" t="str">
        <f>IF($C1323="B",INDEX(Batters[[#All],[WE]],MATCH(Table5[[#This Row],[PID]],Batters[[#All],[PID]],0)),INDEX(Table3[[#All],[WE]],MATCH(Table5[[#This Row],[PID]],Table3[[#All],[PID]],0)))</f>
        <v>High</v>
      </c>
      <c r="K1323" s="52" t="str">
        <f>IF($C1323="B",INDEX(Batters[[#All],[INT]],MATCH(Table5[[#This Row],[PID]],Batters[[#All],[PID]],0)),INDEX(Table3[[#All],[INT]],MATCH(Table5[[#This Row],[PID]],Table3[[#All],[PID]],0)))</f>
        <v>High</v>
      </c>
      <c r="L1323" s="60">
        <f>IF($C1323="B",INDEX(Batters[[#All],[CON P]],MATCH(Table5[[#This Row],[PID]],Batters[[#All],[PID]],0)),INDEX(Table3[[#All],[STU P]],MATCH(Table5[[#This Row],[PID]],Table3[[#All],[PID]],0)))</f>
        <v>3</v>
      </c>
      <c r="M1323" s="56">
        <f>IF($C1323="B",INDEX(Batters[[#All],[GAP P]],MATCH(Table5[[#This Row],[PID]],Batters[[#All],[PID]],0)),INDEX(Table3[[#All],[MOV P]],MATCH(Table5[[#This Row],[PID]],Table3[[#All],[PID]],0)))</f>
        <v>3</v>
      </c>
      <c r="N1323" s="56">
        <f>IF($C1323="B",INDEX(Batters[[#All],[POW P]],MATCH(Table5[[#This Row],[PID]],Batters[[#All],[PID]],0)),INDEX(Table3[[#All],[CON P]],MATCH(Table5[[#This Row],[PID]],Table3[[#All],[PID]],0)))</f>
        <v>3</v>
      </c>
      <c r="O1323" s="56">
        <f>IF($C1323="B",INDEX(Batters[[#All],[EYE P]],MATCH(Table5[[#This Row],[PID]],Batters[[#All],[PID]],0)),INDEX(Table3[[#All],[VELO]],MATCH(Table5[[#This Row],[PID]],Table3[[#All],[PID]],0)))</f>
        <v>6</v>
      </c>
      <c r="P1323" s="56">
        <f>IF($C1323="B",INDEX(Batters[[#All],[K P]],MATCH(Table5[[#This Row],[PID]],Batters[[#All],[PID]],0)),INDEX(Table3[[#All],[STM]],MATCH(Table5[[#This Row],[PID]],Table3[[#All],[PID]],0)))</f>
        <v>2</v>
      </c>
      <c r="Q1323" s="61">
        <f>IF($C1323="B",INDEX(Batters[[#All],[Tot]],MATCH(Table5[[#This Row],[PID]],Batters[[#All],[PID]],0)),INDEX(Table3[[#All],[Tot]],MATCH(Table5[[#This Row],[PID]],Table3[[#All],[PID]],0)))</f>
        <v>37.288460305104621</v>
      </c>
      <c r="R1323" s="70">
        <f>IF($C1323="B",INDEX(Batters[[#All],[zScore]],MATCH(Table5[[#This Row],[PID]],Batters[[#All],[PID]],0)),INDEX(Table3[[#All],[zScore]],MATCH(Table5[[#This Row],[PID]],Table3[[#All],[PID]],0)))</f>
        <v>-1.5172456442723543</v>
      </c>
      <c r="S1323" s="79" t="str">
        <f>IF($C1323="B",INDEX(Batters[[#All],[DEM]],MATCH(Table5[[#This Row],[PID]],Batters[[#All],[PID]],0)),INDEX(Table3[[#All],[DEM]],MATCH(Table5[[#This Row],[PID]],Table3[[#All],[PID]],0)))</f>
        <v>-</v>
      </c>
      <c r="T1323" s="62">
        <f>IF($C1323="B",INDEX(Batters[[#All],[Rnk]],MATCH(Table5[[#This Row],[PID]],Batters[[#All],[PID]],0)),INDEX(Table3[[#All],[Rnk]],MATCH(Table5[[#This Row],[PID]],Table3[[#All],[PID]],0)))</f>
        <v>539</v>
      </c>
      <c r="U1323" s="68">
        <f>IF($C1323="B",VLOOKUP($A1323,Bat!$A$4:$BA$1621,47,FALSE),VLOOKUP($A1323,Pit!$A$4:$BF$1557,56,FALSE))</f>
        <v>0</v>
      </c>
      <c r="V1323" s="50">
        <f>IF($C1323="B",VLOOKUP($A1323,Bat!$A$4:$BA$1621,48,FALSE),VLOOKUP($A1323,Pit!$A$4:$BF$1557,57,FALSE))</f>
        <v>0</v>
      </c>
      <c r="W1323" s="50">
        <f>Table5[[#This Row],[posRnk]]+Table5[[#This Row],[zRnk]]+IF($W$3&lt;&gt;Table5[[#This Row],[Type]],50,0)</f>
        <v>1898</v>
      </c>
      <c r="X1323" s="51">
        <f>RANK(Table5[[#This Row],[zScore]],Table5[[#All],[zScore]])</f>
        <v>1309</v>
      </c>
      <c r="Y1323" s="50" t="str">
        <f>IFERROR(INDEX(DraftResults[[#All],[OVR]],MATCH(Table5[[#This Row],[PID]],DraftResults[[#All],[Player ID]],0)),"")</f>
        <v/>
      </c>
      <c r="Z13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3" s="50" t="str">
        <f>IFERROR(INDEX(DraftResults[[#All],[Pick in Round]],MATCH(Table5[[#This Row],[PID]],DraftResults[[#All],[Player ID]],0)),"")</f>
        <v/>
      </c>
      <c r="AB1323" s="50" t="str">
        <f>IFERROR(INDEX(DraftResults[[#All],[Team Name]],MATCH(Table5[[#This Row],[PID]],DraftResults[[#All],[Player ID]],0)),"")</f>
        <v/>
      </c>
      <c r="AC1323" s="50" t="str">
        <f>IF(Table5[[#This Row],[Ovr]]="","",IF(Table5[[#This Row],[cmbList]]="","",Table5[[#This Row],[cmbList]]-Table5[[#This Row],[Ovr]]))</f>
        <v/>
      </c>
      <c r="AD1323" s="54" t="str">
        <f>IF(ISERROR(VLOOKUP($AB1323&amp;"-"&amp;$E1323&amp;" "&amp;F1323,Bonuses!$B$1:$G$1006,4,FALSE)),"",INT(VLOOKUP($AB1323&amp;"-"&amp;$E1323&amp;" "&amp;$F1323,Bonuses!$B$1:$G$1006,4,FALSE)))</f>
        <v/>
      </c>
      <c r="AE13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4" spans="1:31" x14ac:dyDescent="0.25">
      <c r="A1324" s="50">
        <v>18038</v>
      </c>
      <c r="B1324" s="50">
        <f>COUNTIF(Table5[PID],A1324)</f>
        <v>1</v>
      </c>
      <c r="C1324" s="50" t="str">
        <f>IF(COUNTIF(Table3[[#All],[PID]],A1324)&gt;0,"P","B")</f>
        <v>B</v>
      </c>
      <c r="D1324" s="59" t="str">
        <f>IF($C1324="B",INDEX(Batters[[#All],[POS]],MATCH(Table5[[#This Row],[PID]],Batters[[#All],[PID]],0)),INDEX(Table3[[#All],[POS]],MATCH(Table5[[#This Row],[PID]],Table3[[#All],[PID]],0)))</f>
        <v>CF</v>
      </c>
      <c r="E1324" s="52" t="str">
        <f>IF($C1324="B",INDEX(Batters[[#All],[First]],MATCH(Table5[[#This Row],[PID]],Batters[[#All],[PID]],0)),INDEX(Table3[[#All],[First]],MATCH(Table5[[#This Row],[PID]],Table3[[#All],[PID]],0)))</f>
        <v>Travis</v>
      </c>
      <c r="F1324" s="50" t="str">
        <f>IF($C1324="B",INDEX(Batters[[#All],[Last]],MATCH(A1324,Batters[[#All],[PID]],0)),INDEX(Table3[[#All],[Last]],MATCH(A1324,Table3[[#All],[PID]],0)))</f>
        <v>Ransley</v>
      </c>
      <c r="G1324" s="56">
        <f>IF($C1324="B",INDEX(Batters[[#All],[Age]],MATCH(Table5[[#This Row],[PID]],Batters[[#All],[PID]],0)),INDEX(Table3[[#All],[Age]],MATCH(Table5[[#This Row],[PID]],Table3[[#All],[PID]],0)))</f>
        <v>21</v>
      </c>
      <c r="H1324" s="52" t="str">
        <f>IF($C1324="B",INDEX(Batters[[#All],[B]],MATCH(Table5[[#This Row],[PID]],Batters[[#All],[PID]],0)),INDEX(Table3[[#All],[B]],MATCH(Table5[[#This Row],[PID]],Table3[[#All],[PID]],0)))</f>
        <v>L</v>
      </c>
      <c r="I1324" s="70" t="str">
        <f>IF($C1324="B",INDEX(Batters[[#All],[T]],MATCH(Table5[[#This Row],[PID]],Batters[[#All],[PID]],0)),INDEX(Table3[[#All],[T]],MATCH(Table5[[#This Row],[PID]],Table3[[#All],[PID]],0)))</f>
        <v>R</v>
      </c>
      <c r="J1324" s="52" t="str">
        <f>IF($C1324="B",INDEX(Batters[[#All],[WE]],MATCH(Table5[[#This Row],[PID]],Batters[[#All],[PID]],0)),INDEX(Table3[[#All],[WE]],MATCH(Table5[[#This Row],[PID]],Table3[[#All],[PID]],0)))</f>
        <v>Low</v>
      </c>
      <c r="K1324" s="52" t="str">
        <f>IF($C1324="B",INDEX(Batters[[#All],[INT]],MATCH(Table5[[#This Row],[PID]],Batters[[#All],[PID]],0)),INDEX(Table3[[#All],[INT]],MATCH(Table5[[#This Row],[PID]],Table3[[#All],[PID]],0)))</f>
        <v>High</v>
      </c>
      <c r="L1324" s="60">
        <f>IF($C1324="B",INDEX(Batters[[#All],[CON P]],MATCH(Table5[[#This Row],[PID]],Batters[[#All],[PID]],0)),INDEX(Table3[[#All],[STU P]],MATCH(Table5[[#This Row],[PID]],Table3[[#All],[PID]],0)))</f>
        <v>3</v>
      </c>
      <c r="M1324" s="56">
        <f>IF($C1324="B",INDEX(Batters[[#All],[GAP P]],MATCH(Table5[[#This Row],[PID]],Batters[[#All],[PID]],0)),INDEX(Table3[[#All],[MOV P]],MATCH(Table5[[#This Row],[PID]],Table3[[#All],[PID]],0)))</f>
        <v>3</v>
      </c>
      <c r="N1324" s="56">
        <f>IF($C1324="B",INDEX(Batters[[#All],[POW P]],MATCH(Table5[[#This Row],[PID]],Batters[[#All],[PID]],0)),INDEX(Table3[[#All],[CON P]],MATCH(Table5[[#This Row],[PID]],Table3[[#All],[PID]],0)))</f>
        <v>3</v>
      </c>
      <c r="O1324" s="56">
        <f>IF($C1324="B",INDEX(Batters[[#All],[EYE P]],MATCH(Table5[[#This Row],[PID]],Batters[[#All],[PID]],0)),INDEX(Table3[[#All],[VELO]],MATCH(Table5[[#This Row],[PID]],Table3[[#All],[PID]],0)))</f>
        <v>5</v>
      </c>
      <c r="P1324" s="56">
        <f>IF($C1324="B",INDEX(Batters[[#All],[K P]],MATCH(Table5[[#This Row],[PID]],Batters[[#All],[PID]],0)),INDEX(Table3[[#All],[STM]],MATCH(Table5[[#This Row],[PID]],Table3[[#All],[PID]],0)))</f>
        <v>3</v>
      </c>
      <c r="Q1324" s="61">
        <f>IF($C1324="B",INDEX(Batters[[#All],[Tot]],MATCH(Table5[[#This Row],[PID]],Batters[[#All],[PID]],0)),INDEX(Table3[[#All],[Tot]],MATCH(Table5[[#This Row],[PID]],Table3[[#All],[PID]],0)))</f>
        <v>37.273426163846338</v>
      </c>
      <c r="R1324" s="70">
        <f>IF($C1324="B",INDEX(Batters[[#All],[zScore]],MATCH(Table5[[#This Row],[PID]],Batters[[#All],[PID]],0)),INDEX(Table3[[#All],[zScore]],MATCH(Table5[[#This Row],[PID]],Table3[[#All],[PID]],0)))</f>
        <v>-1.5205788150106796</v>
      </c>
      <c r="S1324" s="79" t="str">
        <f>IF($C1324="B",INDEX(Batters[[#All],[DEM]],MATCH(Table5[[#This Row],[PID]],Batters[[#All],[PID]],0)),INDEX(Table3[[#All],[DEM]],MATCH(Table5[[#This Row],[PID]],Table3[[#All],[PID]],0)))</f>
        <v>-</v>
      </c>
      <c r="T1324" s="62">
        <f>IF($C1324="B",INDEX(Batters[[#All],[Rnk]],MATCH(Table5[[#This Row],[PID]],Batters[[#All],[PID]],0)),INDEX(Table3[[#All],[Rnk]],MATCH(Table5[[#This Row],[PID]],Table3[[#All],[PID]],0)))</f>
        <v>540</v>
      </c>
      <c r="U1324" s="68">
        <f>IF($C1324="B",VLOOKUP($A1324,Bat!$A$4:$BA$1621,47,FALSE),VLOOKUP($A1324,Pit!$A$4:$BF$1557,56,FALSE))</f>
        <v>0</v>
      </c>
      <c r="V1324" s="50">
        <f>IF($C1324="B",VLOOKUP($A1324,Bat!$A$4:$BA$1621,48,FALSE),VLOOKUP($A1324,Pit!$A$4:$BF$1557,57,FALSE))</f>
        <v>0</v>
      </c>
      <c r="W1324" s="50">
        <f>Table5[[#This Row],[posRnk]]+Table5[[#This Row],[zRnk]]+IF($W$3&lt;&gt;Table5[[#This Row],[Type]],50,0)</f>
        <v>1900</v>
      </c>
      <c r="X1324" s="51">
        <f>RANK(Table5[[#This Row],[zScore]],Table5[[#All],[zScore]])</f>
        <v>1310</v>
      </c>
      <c r="Y1324" s="50" t="str">
        <f>IFERROR(INDEX(DraftResults[[#All],[OVR]],MATCH(Table5[[#This Row],[PID]],DraftResults[[#All],[Player ID]],0)),"")</f>
        <v/>
      </c>
      <c r="Z13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4" s="50" t="str">
        <f>IFERROR(INDEX(DraftResults[[#All],[Pick in Round]],MATCH(Table5[[#This Row],[PID]],DraftResults[[#All],[Player ID]],0)),"")</f>
        <v/>
      </c>
      <c r="AB1324" s="50" t="str">
        <f>IFERROR(INDEX(DraftResults[[#All],[Team Name]],MATCH(Table5[[#This Row],[PID]],DraftResults[[#All],[Player ID]],0)),"")</f>
        <v/>
      </c>
      <c r="AC1324" s="50" t="str">
        <f>IF(Table5[[#This Row],[Ovr]]="","",IF(Table5[[#This Row],[cmbList]]="","",Table5[[#This Row],[cmbList]]-Table5[[#This Row],[Ovr]]))</f>
        <v/>
      </c>
      <c r="AD1324" s="54" t="str">
        <f>IF(ISERROR(VLOOKUP($AB1324&amp;"-"&amp;$E1324&amp;" "&amp;F1324,Bonuses!$B$1:$G$1006,4,FALSE)),"",INT(VLOOKUP($AB1324&amp;"-"&amp;$E1324&amp;" "&amp;$F1324,Bonuses!$B$1:$G$1006,4,FALSE)))</f>
        <v/>
      </c>
      <c r="AE13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5" spans="1:31" x14ac:dyDescent="0.25">
      <c r="A1325" s="50">
        <v>12960</v>
      </c>
      <c r="B1325" s="50">
        <f>COUNTIF(Table5[PID],A1325)</f>
        <v>1</v>
      </c>
      <c r="C1325" s="50" t="str">
        <f>IF(COUNTIF(Table3[[#All],[PID]],A1325)&gt;0,"P","B")</f>
        <v>B</v>
      </c>
      <c r="D1325" s="59" t="str">
        <f>IF($C1325="B",INDEX(Batters[[#All],[POS]],MATCH(Table5[[#This Row],[PID]],Batters[[#All],[PID]],0)),INDEX(Table3[[#All],[POS]],MATCH(Table5[[#This Row],[PID]],Table3[[#All],[PID]],0)))</f>
        <v>C</v>
      </c>
      <c r="E1325" s="52" t="str">
        <f>IF($C1325="B",INDEX(Batters[[#All],[First]],MATCH(Table5[[#This Row],[PID]],Batters[[#All],[PID]],0)),INDEX(Table3[[#All],[First]],MATCH(Table5[[#This Row],[PID]],Table3[[#All],[PID]],0)))</f>
        <v>Konosuke</v>
      </c>
      <c r="F1325" s="50" t="str">
        <f>IF($C1325="B",INDEX(Batters[[#All],[Last]],MATCH(A1325,Batters[[#All],[PID]],0)),INDEX(Table3[[#All],[Last]],MATCH(A1325,Table3[[#All],[PID]],0)))</f>
        <v>Kamimura</v>
      </c>
      <c r="G1325" s="56">
        <f>IF($C1325="B",INDEX(Batters[[#All],[Age]],MATCH(Table5[[#This Row],[PID]],Batters[[#All],[PID]],0)),INDEX(Table3[[#All],[Age]],MATCH(Table5[[#This Row],[PID]],Table3[[#All],[PID]],0)))</f>
        <v>22</v>
      </c>
      <c r="H1325" s="52" t="str">
        <f>IF($C1325="B",INDEX(Batters[[#All],[B]],MATCH(Table5[[#This Row],[PID]],Batters[[#All],[PID]],0)),INDEX(Table3[[#All],[B]],MATCH(Table5[[#This Row],[PID]],Table3[[#All],[PID]],0)))</f>
        <v>R</v>
      </c>
      <c r="I1325" s="70" t="str">
        <f>IF($C1325="B",INDEX(Batters[[#All],[T]],MATCH(Table5[[#This Row],[PID]],Batters[[#All],[PID]],0)),INDEX(Table3[[#All],[T]],MATCH(Table5[[#This Row],[PID]],Table3[[#All],[PID]],0)))</f>
        <v>R</v>
      </c>
      <c r="J1325" s="52" t="str">
        <f>IF($C1325="B",INDEX(Batters[[#All],[WE]],MATCH(Table5[[#This Row],[PID]],Batters[[#All],[PID]],0)),INDEX(Table3[[#All],[WE]],MATCH(Table5[[#This Row],[PID]],Table3[[#All],[PID]],0)))</f>
        <v>Low</v>
      </c>
      <c r="K1325" s="52" t="str">
        <f>IF($C1325="B",INDEX(Batters[[#All],[INT]],MATCH(Table5[[#This Row],[PID]],Batters[[#All],[PID]],0)),INDEX(Table3[[#All],[INT]],MATCH(Table5[[#This Row],[PID]],Table3[[#All],[PID]],0)))</f>
        <v>Normal</v>
      </c>
      <c r="L1325" s="60">
        <f>IF($C1325="B",INDEX(Batters[[#All],[CON P]],MATCH(Table5[[#This Row],[PID]],Batters[[#All],[PID]],0)),INDEX(Table3[[#All],[STU P]],MATCH(Table5[[#This Row],[PID]],Table3[[#All],[PID]],0)))</f>
        <v>3</v>
      </c>
      <c r="M1325" s="56">
        <f>IF($C1325="B",INDEX(Batters[[#All],[GAP P]],MATCH(Table5[[#This Row],[PID]],Batters[[#All],[PID]],0)),INDEX(Table3[[#All],[MOV P]],MATCH(Table5[[#This Row],[PID]],Table3[[#All],[PID]],0)))</f>
        <v>4</v>
      </c>
      <c r="N1325" s="56">
        <f>IF($C1325="B",INDEX(Batters[[#All],[POW P]],MATCH(Table5[[#This Row],[PID]],Batters[[#All],[PID]],0)),INDEX(Table3[[#All],[CON P]],MATCH(Table5[[#This Row],[PID]],Table3[[#All],[PID]],0)))</f>
        <v>4</v>
      </c>
      <c r="O1325" s="56">
        <f>IF($C1325="B",INDEX(Batters[[#All],[EYE P]],MATCH(Table5[[#This Row],[PID]],Batters[[#All],[PID]],0)),INDEX(Table3[[#All],[VELO]],MATCH(Table5[[#This Row],[PID]],Table3[[#All],[PID]],0)))</f>
        <v>5</v>
      </c>
      <c r="P1325" s="56">
        <f>IF($C1325="B",INDEX(Batters[[#All],[K P]],MATCH(Table5[[#This Row],[PID]],Batters[[#All],[PID]],0)),INDEX(Table3[[#All],[STM]],MATCH(Table5[[#This Row],[PID]],Table3[[#All],[PID]],0)))</f>
        <v>3</v>
      </c>
      <c r="Q1325" s="61">
        <f>IF($C1325="B",INDEX(Batters[[#All],[Tot]],MATCH(Table5[[#This Row],[PID]],Batters[[#All],[PID]],0)),INDEX(Table3[[#All],[Tot]],MATCH(Table5[[#This Row],[PID]],Table3[[#All],[PID]],0)))</f>
        <v>37.233656356503992</v>
      </c>
      <c r="R1325" s="70">
        <f>IF($C1325="B",INDEX(Batters[[#All],[zScore]],MATCH(Table5[[#This Row],[PID]],Batters[[#All],[PID]],0)),INDEX(Table3[[#All],[zScore]],MATCH(Table5[[#This Row],[PID]],Table3[[#All],[PID]],0)))</f>
        <v>-1.5293960501174269</v>
      </c>
      <c r="S1325" s="79" t="str">
        <f>IF($C1325="B",INDEX(Batters[[#All],[DEM]],MATCH(Table5[[#This Row],[PID]],Batters[[#All],[PID]],0)),INDEX(Table3[[#All],[DEM]],MATCH(Table5[[#This Row],[PID]],Table3[[#All],[PID]],0)))</f>
        <v>-</v>
      </c>
      <c r="T1325" s="62">
        <f>IF($C1325="B",INDEX(Batters[[#All],[Rnk]],MATCH(Table5[[#This Row],[PID]],Batters[[#All],[PID]],0)),INDEX(Table3[[#All],[Rnk]],MATCH(Table5[[#This Row],[PID]],Table3[[#All],[PID]],0)))</f>
        <v>541</v>
      </c>
      <c r="U1325" s="68">
        <f>IF($C1325="B",VLOOKUP($A1325,Bat!$A$4:$BA$1621,47,FALSE),VLOOKUP($A1325,Pit!$A$4:$BF$1557,56,FALSE))</f>
        <v>0</v>
      </c>
      <c r="V1325" s="50">
        <f>IF($C1325="B",VLOOKUP($A1325,Bat!$A$4:$BA$1621,48,FALSE),VLOOKUP($A1325,Pit!$A$4:$BF$1557,57,FALSE))</f>
        <v>0</v>
      </c>
      <c r="W1325" s="50">
        <f>Table5[[#This Row],[posRnk]]+Table5[[#This Row],[zRnk]]+IF($W$3&lt;&gt;Table5[[#This Row],[Type]],50,0)</f>
        <v>1902</v>
      </c>
      <c r="X1325" s="51">
        <f>RANK(Table5[[#This Row],[zScore]],Table5[[#All],[zScore]])</f>
        <v>1311</v>
      </c>
      <c r="Y1325" s="50" t="str">
        <f>IFERROR(INDEX(DraftResults[[#All],[OVR]],MATCH(Table5[[#This Row],[PID]],DraftResults[[#All],[Player ID]],0)),"")</f>
        <v/>
      </c>
      <c r="Z13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5" s="50" t="str">
        <f>IFERROR(INDEX(DraftResults[[#All],[Pick in Round]],MATCH(Table5[[#This Row],[PID]],DraftResults[[#All],[Player ID]],0)),"")</f>
        <v/>
      </c>
      <c r="AB1325" s="50" t="str">
        <f>IFERROR(INDEX(DraftResults[[#All],[Team Name]],MATCH(Table5[[#This Row],[PID]],DraftResults[[#All],[Player ID]],0)),"")</f>
        <v/>
      </c>
      <c r="AC1325" s="50" t="str">
        <f>IF(Table5[[#This Row],[Ovr]]="","",IF(Table5[[#This Row],[cmbList]]="","",Table5[[#This Row],[cmbList]]-Table5[[#This Row],[Ovr]]))</f>
        <v/>
      </c>
      <c r="AD1325" s="54" t="str">
        <f>IF(ISERROR(VLOOKUP($AB1325&amp;"-"&amp;$E1325&amp;" "&amp;F1325,Bonuses!$B$1:$G$1006,4,FALSE)),"",INT(VLOOKUP($AB1325&amp;"-"&amp;$E1325&amp;" "&amp;$F1325,Bonuses!$B$1:$G$1006,4,FALSE)))</f>
        <v/>
      </c>
      <c r="AE13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6" spans="1:31" x14ac:dyDescent="0.25">
      <c r="A1326" s="50">
        <v>12208</v>
      </c>
      <c r="B1326" s="50">
        <f>COUNTIF(Table5[PID],A1326)</f>
        <v>1</v>
      </c>
      <c r="C1326" s="50" t="str">
        <f>IF(COUNTIF(Table3[[#All],[PID]],A1326)&gt;0,"P","B")</f>
        <v>B</v>
      </c>
      <c r="D1326" s="59" t="str">
        <f>IF($C1326="B",INDEX(Batters[[#All],[POS]],MATCH(Table5[[#This Row],[PID]],Batters[[#All],[PID]],0)),INDEX(Table3[[#All],[POS]],MATCH(Table5[[#This Row],[PID]],Table3[[#All],[PID]],0)))</f>
        <v>1B</v>
      </c>
      <c r="E1326" s="52" t="str">
        <f>IF($C1326="B",INDEX(Batters[[#All],[First]],MATCH(Table5[[#This Row],[PID]],Batters[[#All],[PID]],0)),INDEX(Table3[[#All],[First]],MATCH(Table5[[#This Row],[PID]],Table3[[#All],[PID]],0)))</f>
        <v>Jason</v>
      </c>
      <c r="F1326" s="50" t="str">
        <f>IF($C1326="B",INDEX(Batters[[#All],[Last]],MATCH(A1326,Batters[[#All],[PID]],0)),INDEX(Table3[[#All],[Last]],MATCH(A1326,Table3[[#All],[PID]],0)))</f>
        <v>Williams</v>
      </c>
      <c r="G1326" s="56">
        <f>IF($C1326="B",INDEX(Batters[[#All],[Age]],MATCH(Table5[[#This Row],[PID]],Batters[[#All],[PID]],0)),INDEX(Table3[[#All],[Age]],MATCH(Table5[[#This Row],[PID]],Table3[[#All],[PID]],0)))</f>
        <v>22</v>
      </c>
      <c r="H1326" s="52" t="str">
        <f>IF($C1326="B",INDEX(Batters[[#All],[B]],MATCH(Table5[[#This Row],[PID]],Batters[[#All],[PID]],0)),INDEX(Table3[[#All],[B]],MATCH(Table5[[#This Row],[PID]],Table3[[#All],[PID]],0)))</f>
        <v>R</v>
      </c>
      <c r="I1326" s="70" t="str">
        <f>IF($C1326="B",INDEX(Batters[[#All],[T]],MATCH(Table5[[#This Row],[PID]],Batters[[#All],[PID]],0)),INDEX(Table3[[#All],[T]],MATCH(Table5[[#This Row],[PID]],Table3[[#All],[PID]],0)))</f>
        <v>R</v>
      </c>
      <c r="J1326" s="52" t="str">
        <f>IF($C1326="B",INDEX(Batters[[#All],[WE]],MATCH(Table5[[#This Row],[PID]],Batters[[#All],[PID]],0)),INDEX(Table3[[#All],[WE]],MATCH(Table5[[#This Row],[PID]],Table3[[#All],[PID]],0)))</f>
        <v>High</v>
      </c>
      <c r="K1326" s="52" t="str">
        <f>IF($C1326="B",INDEX(Batters[[#All],[INT]],MATCH(Table5[[#This Row],[PID]],Batters[[#All],[PID]],0)),INDEX(Table3[[#All],[INT]],MATCH(Table5[[#This Row],[PID]],Table3[[#All],[PID]],0)))</f>
        <v>Normal</v>
      </c>
      <c r="L1326" s="60">
        <f>IF($C1326="B",INDEX(Batters[[#All],[CON P]],MATCH(Table5[[#This Row],[PID]],Batters[[#All],[PID]],0)),INDEX(Table3[[#All],[STU P]],MATCH(Table5[[#This Row],[PID]],Table3[[#All],[PID]],0)))</f>
        <v>3</v>
      </c>
      <c r="M1326" s="56">
        <f>IF($C1326="B",INDEX(Batters[[#All],[GAP P]],MATCH(Table5[[#This Row],[PID]],Batters[[#All],[PID]],0)),INDEX(Table3[[#All],[MOV P]],MATCH(Table5[[#This Row],[PID]],Table3[[#All],[PID]],0)))</f>
        <v>3</v>
      </c>
      <c r="N1326" s="56">
        <f>IF($C1326="B",INDEX(Batters[[#All],[POW P]],MATCH(Table5[[#This Row],[PID]],Batters[[#All],[PID]],0)),INDEX(Table3[[#All],[CON P]],MATCH(Table5[[#This Row],[PID]],Table3[[#All],[PID]],0)))</f>
        <v>4</v>
      </c>
      <c r="O1326" s="56">
        <f>IF($C1326="B",INDEX(Batters[[#All],[EYE P]],MATCH(Table5[[#This Row],[PID]],Batters[[#All],[PID]],0)),INDEX(Table3[[#All],[VELO]],MATCH(Table5[[#This Row],[PID]],Table3[[#All],[PID]],0)))</f>
        <v>5</v>
      </c>
      <c r="P1326" s="56">
        <f>IF($C1326="B",INDEX(Batters[[#All],[K P]],MATCH(Table5[[#This Row],[PID]],Batters[[#All],[PID]],0)),INDEX(Table3[[#All],[STM]],MATCH(Table5[[#This Row],[PID]],Table3[[#All],[PID]],0)))</f>
        <v>3</v>
      </c>
      <c r="Q1326" s="61">
        <f>IF($C1326="B",INDEX(Batters[[#All],[Tot]],MATCH(Table5[[#This Row],[PID]],Batters[[#All],[PID]],0)),INDEX(Table3[[#All],[Tot]],MATCH(Table5[[#This Row],[PID]],Table3[[#All],[PID]],0)))</f>
        <v>37.229908756080505</v>
      </c>
      <c r="R1326" s="70">
        <f>IF($C1326="B",INDEX(Batters[[#All],[zScore]],MATCH(Table5[[#This Row],[PID]],Batters[[#All],[PID]],0)),INDEX(Table3[[#All],[zScore]],MATCH(Table5[[#This Row],[PID]],Table3[[#All],[PID]],0)))</f>
        <v>-1.5302269184627419</v>
      </c>
      <c r="S1326" s="79" t="str">
        <f>IF($C1326="B",INDEX(Batters[[#All],[DEM]],MATCH(Table5[[#This Row],[PID]],Batters[[#All],[PID]],0)),INDEX(Table3[[#All],[DEM]],MATCH(Table5[[#This Row],[PID]],Table3[[#All],[PID]],0)))</f>
        <v>-</v>
      </c>
      <c r="T1326" s="62">
        <f>IF($C1326="B",INDEX(Batters[[#All],[Rnk]],MATCH(Table5[[#This Row],[PID]],Batters[[#All],[PID]],0)),INDEX(Table3[[#All],[Rnk]],MATCH(Table5[[#This Row],[PID]],Table3[[#All],[PID]],0)))</f>
        <v>542</v>
      </c>
      <c r="U1326" s="68">
        <f>IF($C1326="B",VLOOKUP($A1326,Bat!$A$4:$BA$1621,47,FALSE),VLOOKUP($A1326,Pit!$A$4:$BF$1557,56,FALSE))</f>
        <v>0</v>
      </c>
      <c r="V1326" s="50">
        <f>IF($C1326="B",VLOOKUP($A1326,Bat!$A$4:$BA$1621,48,FALSE),VLOOKUP($A1326,Pit!$A$4:$BF$1557,57,FALSE))</f>
        <v>0</v>
      </c>
      <c r="W1326" s="50">
        <f>Table5[[#This Row],[posRnk]]+Table5[[#This Row],[zRnk]]+IF($W$3&lt;&gt;Table5[[#This Row],[Type]],50,0)</f>
        <v>1904</v>
      </c>
      <c r="X1326" s="51">
        <f>RANK(Table5[[#This Row],[zScore]],Table5[[#All],[zScore]])</f>
        <v>1312</v>
      </c>
      <c r="Y1326" s="50" t="str">
        <f>IFERROR(INDEX(DraftResults[[#All],[OVR]],MATCH(Table5[[#This Row],[PID]],DraftResults[[#All],[Player ID]],0)),"")</f>
        <v/>
      </c>
      <c r="Z13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6" s="50" t="str">
        <f>IFERROR(INDEX(DraftResults[[#All],[Pick in Round]],MATCH(Table5[[#This Row],[PID]],DraftResults[[#All],[Player ID]],0)),"")</f>
        <v/>
      </c>
      <c r="AB1326" s="50" t="str">
        <f>IFERROR(INDEX(DraftResults[[#All],[Team Name]],MATCH(Table5[[#This Row],[PID]],DraftResults[[#All],[Player ID]],0)),"")</f>
        <v/>
      </c>
      <c r="AC1326" s="50" t="str">
        <f>IF(Table5[[#This Row],[Ovr]]="","",IF(Table5[[#This Row],[cmbList]]="","",Table5[[#This Row],[cmbList]]-Table5[[#This Row],[Ovr]]))</f>
        <v/>
      </c>
      <c r="AD1326" s="54" t="str">
        <f>IF(ISERROR(VLOOKUP($AB1326&amp;"-"&amp;$E1326&amp;" "&amp;F1326,Bonuses!$B$1:$G$1006,4,FALSE)),"",INT(VLOOKUP($AB1326&amp;"-"&amp;$E1326&amp;" "&amp;$F1326,Bonuses!$B$1:$G$1006,4,FALSE)))</f>
        <v/>
      </c>
      <c r="AE13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7" spans="1:31" x14ac:dyDescent="0.25">
      <c r="A1327" s="50">
        <v>12928</v>
      </c>
      <c r="B1327" s="50">
        <f>COUNTIF(Table5[PID],A1327)</f>
        <v>1</v>
      </c>
      <c r="C1327" s="50" t="str">
        <f>IF(COUNTIF(Table3[[#All],[PID]],A1327)&gt;0,"P","B")</f>
        <v>B</v>
      </c>
      <c r="D1327" s="59" t="str">
        <f>IF($C1327="B",INDEX(Batters[[#All],[POS]],MATCH(Table5[[#This Row],[PID]],Batters[[#All],[PID]],0)),INDEX(Table3[[#All],[POS]],MATCH(Table5[[#This Row],[PID]],Table3[[#All],[PID]],0)))</f>
        <v>C</v>
      </c>
      <c r="E1327" s="52" t="str">
        <f>IF($C1327="B",INDEX(Batters[[#All],[First]],MATCH(Table5[[#This Row],[PID]],Batters[[#All],[PID]],0)),INDEX(Table3[[#All],[First]],MATCH(Table5[[#This Row],[PID]],Table3[[#All],[PID]],0)))</f>
        <v>Lyle</v>
      </c>
      <c r="F1327" s="50" t="str">
        <f>IF($C1327="B",INDEX(Batters[[#All],[Last]],MATCH(A1327,Batters[[#All],[PID]],0)),INDEX(Table3[[#All],[Last]],MATCH(A1327,Table3[[#All],[PID]],0)))</f>
        <v>Polen</v>
      </c>
      <c r="G1327" s="56">
        <f>IF($C1327="B",INDEX(Batters[[#All],[Age]],MATCH(Table5[[#This Row],[PID]],Batters[[#All],[PID]],0)),INDEX(Table3[[#All],[Age]],MATCH(Table5[[#This Row],[PID]],Table3[[#All],[PID]],0)))</f>
        <v>18</v>
      </c>
      <c r="H1327" s="52" t="str">
        <f>IF($C1327="B",INDEX(Batters[[#All],[B]],MATCH(Table5[[#This Row],[PID]],Batters[[#All],[PID]],0)),INDEX(Table3[[#All],[B]],MATCH(Table5[[#This Row],[PID]],Table3[[#All],[PID]],0)))</f>
        <v>R</v>
      </c>
      <c r="I1327" s="70" t="str">
        <f>IF($C1327="B",INDEX(Batters[[#All],[T]],MATCH(Table5[[#This Row],[PID]],Batters[[#All],[PID]],0)),INDEX(Table3[[#All],[T]],MATCH(Table5[[#This Row],[PID]],Table3[[#All],[PID]],0)))</f>
        <v>R</v>
      </c>
      <c r="J1327" s="52" t="str">
        <f>IF($C1327="B",INDEX(Batters[[#All],[WE]],MATCH(Table5[[#This Row],[PID]],Batters[[#All],[PID]],0)),INDEX(Table3[[#All],[WE]],MATCH(Table5[[#This Row],[PID]],Table3[[#All],[PID]],0)))</f>
        <v>Low</v>
      </c>
      <c r="K1327" s="52" t="str">
        <f>IF($C1327="B",INDEX(Batters[[#All],[INT]],MATCH(Table5[[#This Row],[PID]],Batters[[#All],[PID]],0)),INDEX(Table3[[#All],[INT]],MATCH(Table5[[#This Row],[PID]],Table3[[#All],[PID]],0)))</f>
        <v>Normal</v>
      </c>
      <c r="L1327" s="60">
        <f>IF($C1327="B",INDEX(Batters[[#All],[CON P]],MATCH(Table5[[#This Row],[PID]],Batters[[#All],[PID]],0)),INDEX(Table3[[#All],[STU P]],MATCH(Table5[[#This Row],[PID]],Table3[[#All],[PID]],0)))</f>
        <v>2</v>
      </c>
      <c r="M1327" s="56">
        <f>IF($C1327="B",INDEX(Batters[[#All],[GAP P]],MATCH(Table5[[#This Row],[PID]],Batters[[#All],[PID]],0)),INDEX(Table3[[#All],[MOV P]],MATCH(Table5[[#This Row],[PID]],Table3[[#All],[PID]],0)))</f>
        <v>3</v>
      </c>
      <c r="N1327" s="56">
        <f>IF($C1327="B",INDEX(Batters[[#All],[POW P]],MATCH(Table5[[#This Row],[PID]],Batters[[#All],[PID]],0)),INDEX(Table3[[#All],[CON P]],MATCH(Table5[[#This Row],[PID]],Table3[[#All],[PID]],0)))</f>
        <v>4</v>
      </c>
      <c r="O1327" s="56">
        <f>IF($C1327="B",INDEX(Batters[[#All],[EYE P]],MATCH(Table5[[#This Row],[PID]],Batters[[#All],[PID]],0)),INDEX(Table3[[#All],[VELO]],MATCH(Table5[[#This Row],[PID]],Table3[[#All],[PID]],0)))</f>
        <v>5</v>
      </c>
      <c r="P1327" s="56">
        <f>IF($C1327="B",INDEX(Batters[[#All],[K P]],MATCH(Table5[[#This Row],[PID]],Batters[[#All],[PID]],0)),INDEX(Table3[[#All],[STM]],MATCH(Table5[[#This Row],[PID]],Table3[[#All],[PID]],0)))</f>
        <v>2</v>
      </c>
      <c r="Q1327" s="61">
        <f>IF($C1327="B",INDEX(Batters[[#All],[Tot]],MATCH(Table5[[#This Row],[PID]],Batters[[#All],[PID]],0)),INDEX(Table3[[#All],[Tot]],MATCH(Table5[[#This Row],[PID]],Table3[[#All],[PID]],0)))</f>
        <v>37.210327024895093</v>
      </c>
      <c r="R1327" s="70">
        <f>IF($C1327="B",INDEX(Batters[[#All],[zScore]],MATCH(Table5[[#This Row],[PID]],Batters[[#All],[PID]],0)),INDEX(Table3[[#All],[zScore]],MATCH(Table5[[#This Row],[PID]],Table3[[#All],[PID]],0)))</f>
        <v>-1.5345683206267664</v>
      </c>
      <c r="S1327" s="79" t="str">
        <f>IF($C1327="B",INDEX(Batters[[#All],[DEM]],MATCH(Table5[[#This Row],[PID]],Batters[[#All],[PID]],0)),INDEX(Table3[[#All],[DEM]],MATCH(Table5[[#This Row],[PID]],Table3[[#All],[PID]],0)))</f>
        <v>$95k</v>
      </c>
      <c r="T1327" s="62">
        <f>IF($C1327="B",INDEX(Batters[[#All],[Rnk]],MATCH(Table5[[#This Row],[PID]],Batters[[#All],[PID]],0)),INDEX(Table3[[#All],[Rnk]],MATCH(Table5[[#This Row],[PID]],Table3[[#All],[PID]],0)))</f>
        <v>543</v>
      </c>
      <c r="U1327" s="68">
        <f>IF($C1327="B",VLOOKUP($A1327,Bat!$A$4:$BA$1621,47,FALSE),VLOOKUP($A1327,Pit!$A$4:$BF$1557,56,FALSE))</f>
        <v>0</v>
      </c>
      <c r="V1327" s="50">
        <f>IF($C1327="B",VLOOKUP($A1327,Bat!$A$4:$BA$1621,48,FALSE),VLOOKUP($A1327,Pit!$A$4:$BF$1557,57,FALSE))</f>
        <v>0</v>
      </c>
      <c r="W1327" s="50">
        <f>Table5[[#This Row],[posRnk]]+Table5[[#This Row],[zRnk]]+IF($W$3&lt;&gt;Table5[[#This Row],[Type]],50,0)</f>
        <v>1906</v>
      </c>
      <c r="X1327" s="51">
        <f>RANK(Table5[[#This Row],[zScore]],Table5[[#All],[zScore]])</f>
        <v>1313</v>
      </c>
      <c r="Y1327" s="50" t="str">
        <f>IFERROR(INDEX(DraftResults[[#All],[OVR]],MATCH(Table5[[#This Row],[PID]],DraftResults[[#All],[Player ID]],0)),"")</f>
        <v/>
      </c>
      <c r="Z13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7" s="50" t="str">
        <f>IFERROR(INDEX(DraftResults[[#All],[Pick in Round]],MATCH(Table5[[#This Row],[PID]],DraftResults[[#All],[Player ID]],0)),"")</f>
        <v/>
      </c>
      <c r="AB1327" s="50" t="str">
        <f>IFERROR(INDEX(DraftResults[[#All],[Team Name]],MATCH(Table5[[#This Row],[PID]],DraftResults[[#All],[Player ID]],0)),"")</f>
        <v/>
      </c>
      <c r="AC1327" s="50" t="str">
        <f>IF(Table5[[#This Row],[Ovr]]="","",IF(Table5[[#This Row],[cmbList]]="","",Table5[[#This Row],[cmbList]]-Table5[[#This Row],[Ovr]]))</f>
        <v/>
      </c>
      <c r="AD1327" s="54" t="str">
        <f>IF(ISERROR(VLOOKUP($AB1327&amp;"-"&amp;$E1327&amp;" "&amp;F1327,Bonuses!$B$1:$G$1006,4,FALSE)),"",INT(VLOOKUP($AB1327&amp;"-"&amp;$E1327&amp;" "&amp;$F1327,Bonuses!$B$1:$G$1006,4,FALSE)))</f>
        <v/>
      </c>
      <c r="AE13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8" spans="1:31" x14ac:dyDescent="0.25">
      <c r="A1328" s="50">
        <v>20205</v>
      </c>
      <c r="B1328" s="50">
        <f>COUNTIF(Table5[PID],A1328)</f>
        <v>1</v>
      </c>
      <c r="C1328" s="50" t="str">
        <f>IF(COUNTIF(Table3[[#All],[PID]],A1328)&gt;0,"P","B")</f>
        <v>B</v>
      </c>
      <c r="D1328" s="59" t="str">
        <f>IF($C1328="B",INDEX(Batters[[#All],[POS]],MATCH(Table5[[#This Row],[PID]],Batters[[#All],[PID]],0)),INDEX(Table3[[#All],[POS]],MATCH(Table5[[#This Row],[PID]],Table3[[#All],[PID]],0)))</f>
        <v>RF</v>
      </c>
      <c r="E1328" s="52" t="str">
        <f>IF($C1328="B",INDEX(Batters[[#All],[First]],MATCH(Table5[[#This Row],[PID]],Batters[[#All],[PID]],0)),INDEX(Table3[[#All],[First]],MATCH(Table5[[#This Row],[PID]],Table3[[#All],[PID]],0)))</f>
        <v>Darren</v>
      </c>
      <c r="F1328" s="50" t="str">
        <f>IF($C1328="B",INDEX(Batters[[#All],[Last]],MATCH(A1328,Batters[[#All],[PID]],0)),INDEX(Table3[[#All],[Last]],MATCH(A1328,Table3[[#All],[PID]],0)))</f>
        <v>Wynn</v>
      </c>
      <c r="G1328" s="56">
        <f>IF($C1328="B",INDEX(Batters[[#All],[Age]],MATCH(Table5[[#This Row],[PID]],Batters[[#All],[PID]],0)),INDEX(Table3[[#All],[Age]],MATCH(Table5[[#This Row],[PID]],Table3[[#All],[PID]],0)))</f>
        <v>22</v>
      </c>
      <c r="H1328" s="52" t="str">
        <f>IF($C1328="B",INDEX(Batters[[#All],[B]],MATCH(Table5[[#This Row],[PID]],Batters[[#All],[PID]],0)),INDEX(Table3[[#All],[B]],MATCH(Table5[[#This Row],[PID]],Table3[[#All],[PID]],0)))</f>
        <v>R</v>
      </c>
      <c r="I1328" s="70" t="str">
        <f>IF($C1328="B",INDEX(Batters[[#All],[T]],MATCH(Table5[[#This Row],[PID]],Batters[[#All],[PID]],0)),INDEX(Table3[[#All],[T]],MATCH(Table5[[#This Row],[PID]],Table3[[#All],[PID]],0)))</f>
        <v>R</v>
      </c>
      <c r="J1328" s="52" t="str">
        <f>IF($C1328="B",INDEX(Batters[[#All],[WE]],MATCH(Table5[[#This Row],[PID]],Batters[[#All],[PID]],0)),INDEX(Table3[[#All],[WE]],MATCH(Table5[[#This Row],[PID]],Table3[[#All],[PID]],0)))</f>
        <v>Normal</v>
      </c>
      <c r="K1328" s="52" t="str">
        <f>IF($C1328="B",INDEX(Batters[[#All],[INT]],MATCH(Table5[[#This Row],[PID]],Batters[[#All],[PID]],0)),INDEX(Table3[[#All],[INT]],MATCH(Table5[[#This Row],[PID]],Table3[[#All],[PID]],0)))</f>
        <v>Normal</v>
      </c>
      <c r="L1328" s="60">
        <f>IF($C1328="B",INDEX(Batters[[#All],[CON P]],MATCH(Table5[[#This Row],[PID]],Batters[[#All],[PID]],0)),INDEX(Table3[[#All],[STU P]],MATCH(Table5[[#This Row],[PID]],Table3[[#All],[PID]],0)))</f>
        <v>3</v>
      </c>
      <c r="M1328" s="56">
        <f>IF($C1328="B",INDEX(Batters[[#All],[GAP P]],MATCH(Table5[[#This Row],[PID]],Batters[[#All],[PID]],0)),INDEX(Table3[[#All],[MOV P]],MATCH(Table5[[#This Row],[PID]],Table3[[#All],[PID]],0)))</f>
        <v>3</v>
      </c>
      <c r="N1328" s="56">
        <f>IF($C1328="B",INDEX(Batters[[#All],[POW P]],MATCH(Table5[[#This Row],[PID]],Batters[[#All],[PID]],0)),INDEX(Table3[[#All],[CON P]],MATCH(Table5[[#This Row],[PID]],Table3[[#All],[PID]],0)))</f>
        <v>3</v>
      </c>
      <c r="O1328" s="56">
        <f>IF($C1328="B",INDEX(Batters[[#All],[EYE P]],MATCH(Table5[[#This Row],[PID]],Batters[[#All],[PID]],0)),INDEX(Table3[[#All],[VELO]],MATCH(Table5[[#This Row],[PID]],Table3[[#All],[PID]],0)))</f>
        <v>4</v>
      </c>
      <c r="P1328" s="56">
        <f>IF($C1328="B",INDEX(Batters[[#All],[K P]],MATCH(Table5[[#This Row],[PID]],Batters[[#All],[PID]],0)),INDEX(Table3[[#All],[STM]],MATCH(Table5[[#This Row],[PID]],Table3[[#All],[PID]],0)))</f>
        <v>5</v>
      </c>
      <c r="Q1328" s="61">
        <f>IF($C1328="B",INDEX(Batters[[#All],[Tot]],MATCH(Table5[[#This Row],[PID]],Batters[[#All],[PID]],0)),INDEX(Table3[[#All],[Tot]],MATCH(Table5[[#This Row],[PID]],Table3[[#All],[PID]],0)))</f>
        <v>37.162386618567183</v>
      </c>
      <c r="R1328" s="70">
        <f>IF($C1328="B",INDEX(Batters[[#All],[zScore]],MATCH(Table5[[#This Row],[PID]],Batters[[#All],[PID]],0)),INDEX(Table3[[#All],[zScore]],MATCH(Table5[[#This Row],[PID]],Table3[[#All],[PID]],0)))</f>
        <v>-1.545197032756737</v>
      </c>
      <c r="S1328" s="79" t="str">
        <f>IF($C1328="B",INDEX(Batters[[#All],[DEM]],MATCH(Table5[[#This Row],[PID]],Batters[[#All],[PID]],0)),INDEX(Table3[[#All],[DEM]],MATCH(Table5[[#This Row],[PID]],Table3[[#All],[PID]],0)))</f>
        <v>-</v>
      </c>
      <c r="T1328" s="62">
        <f>IF($C1328="B",INDEX(Batters[[#All],[Rnk]],MATCH(Table5[[#This Row],[PID]],Batters[[#All],[PID]],0)),INDEX(Table3[[#All],[Rnk]],MATCH(Table5[[#This Row],[PID]],Table3[[#All],[PID]],0)))</f>
        <v>544</v>
      </c>
      <c r="U1328" s="68">
        <f>IF($C1328="B",VLOOKUP($A1328,Bat!$A$4:$BA$1621,47,FALSE),VLOOKUP($A1328,Pit!$A$4:$BF$1557,56,FALSE))</f>
        <v>0</v>
      </c>
      <c r="V1328" s="50">
        <f>IF($C1328="B",VLOOKUP($A1328,Bat!$A$4:$BA$1621,48,FALSE),VLOOKUP($A1328,Pit!$A$4:$BF$1557,57,FALSE))</f>
        <v>0</v>
      </c>
      <c r="W1328" s="50">
        <f>Table5[[#This Row],[posRnk]]+Table5[[#This Row],[zRnk]]+IF($W$3&lt;&gt;Table5[[#This Row],[Type]],50,0)</f>
        <v>1908</v>
      </c>
      <c r="X1328" s="51">
        <f>RANK(Table5[[#This Row],[zScore]],Table5[[#All],[zScore]])</f>
        <v>1314</v>
      </c>
      <c r="Y1328" s="50" t="str">
        <f>IFERROR(INDEX(DraftResults[[#All],[OVR]],MATCH(Table5[[#This Row],[PID]],DraftResults[[#All],[Player ID]],0)),"")</f>
        <v/>
      </c>
      <c r="Z13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8" s="50" t="str">
        <f>IFERROR(INDEX(DraftResults[[#All],[Pick in Round]],MATCH(Table5[[#This Row],[PID]],DraftResults[[#All],[Player ID]],0)),"")</f>
        <v/>
      </c>
      <c r="AB1328" s="50" t="str">
        <f>IFERROR(INDEX(DraftResults[[#All],[Team Name]],MATCH(Table5[[#This Row],[PID]],DraftResults[[#All],[Player ID]],0)),"")</f>
        <v/>
      </c>
      <c r="AC1328" s="50" t="str">
        <f>IF(Table5[[#This Row],[Ovr]]="","",IF(Table5[[#This Row],[cmbList]]="","",Table5[[#This Row],[cmbList]]-Table5[[#This Row],[Ovr]]))</f>
        <v/>
      </c>
      <c r="AD1328" s="54" t="str">
        <f>IF(ISERROR(VLOOKUP($AB1328&amp;"-"&amp;$E1328&amp;" "&amp;F1328,Bonuses!$B$1:$G$1006,4,FALSE)),"",INT(VLOOKUP($AB1328&amp;"-"&amp;$E1328&amp;" "&amp;$F1328,Bonuses!$B$1:$G$1006,4,FALSE)))</f>
        <v/>
      </c>
      <c r="AE13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29" spans="1:31" x14ac:dyDescent="0.25">
      <c r="A1329" s="68">
        <v>16890</v>
      </c>
      <c r="B1329" s="69">
        <f>COUNTIF(Table5[PID],A1329)</f>
        <v>1</v>
      </c>
      <c r="C1329" s="69" t="str">
        <f>IF(COUNTIF(Table3[[#All],[PID]],A1329)&gt;0,"P","B")</f>
        <v>P</v>
      </c>
      <c r="D1329" s="59" t="str">
        <f>IF($C1329="B",INDEX(Batters[[#All],[POS]],MATCH(Table5[[#This Row],[PID]],Batters[[#All],[PID]],0)),INDEX(Table3[[#All],[POS]],MATCH(Table5[[#This Row],[PID]],Table3[[#All],[PID]],0)))</f>
        <v>RP</v>
      </c>
      <c r="E1329" s="52" t="str">
        <f>IF($C1329="B",INDEX(Batters[[#All],[First]],MATCH(Table5[[#This Row],[PID]],Batters[[#All],[PID]],0)),INDEX(Table3[[#All],[First]],MATCH(Table5[[#This Row],[PID]],Table3[[#All],[PID]],0)))</f>
        <v>Enrique</v>
      </c>
      <c r="F1329" s="55" t="str">
        <f>IF($C1329="B",INDEX(Batters[[#All],[Last]],MATCH(A1329,Batters[[#All],[PID]],0)),INDEX(Table3[[#All],[Last]],MATCH(A1329,Table3[[#All],[PID]],0)))</f>
        <v>Gómez</v>
      </c>
      <c r="G1329" s="56">
        <f>IF($C1329="B",INDEX(Batters[[#All],[Age]],MATCH(Table5[[#This Row],[PID]],Batters[[#All],[PID]],0)),INDEX(Table3[[#All],[Age]],MATCH(Table5[[#This Row],[PID]],Table3[[#All],[PID]],0)))</f>
        <v>21</v>
      </c>
      <c r="H1329" s="52" t="str">
        <f>IF($C1329="B",INDEX(Batters[[#All],[B]],MATCH(Table5[[#This Row],[PID]],Batters[[#All],[PID]],0)),INDEX(Table3[[#All],[B]],MATCH(Table5[[#This Row],[PID]],Table3[[#All],[PID]],0)))</f>
        <v>R</v>
      </c>
      <c r="I1329" s="70" t="str">
        <f>IF($C1329="B",INDEX(Batters[[#All],[T]],MATCH(Table5[[#This Row],[PID]],Batters[[#All],[PID]],0)),INDEX(Table3[[#All],[T]],MATCH(Table5[[#This Row],[PID]],Table3[[#All],[PID]],0)))</f>
        <v>R</v>
      </c>
      <c r="J1329" s="71" t="str">
        <f>IF($C1329="B",INDEX(Batters[[#All],[WE]],MATCH(Table5[[#This Row],[PID]],Batters[[#All],[PID]],0)),INDEX(Table3[[#All],[WE]],MATCH(Table5[[#This Row],[PID]],Table3[[#All],[PID]],0)))</f>
        <v>Normal</v>
      </c>
      <c r="K1329" s="52" t="str">
        <f>IF($C1329="B",INDEX(Batters[[#All],[INT]],MATCH(Table5[[#This Row],[PID]],Batters[[#All],[PID]],0)),INDEX(Table3[[#All],[INT]],MATCH(Table5[[#This Row],[PID]],Table3[[#All],[PID]],0)))</f>
        <v>Normal</v>
      </c>
      <c r="L1329" s="60">
        <f>IF($C1329="B",INDEX(Batters[[#All],[CON P]],MATCH(Table5[[#This Row],[PID]],Batters[[#All],[PID]],0)),INDEX(Table3[[#All],[STU P]],MATCH(Table5[[#This Row],[PID]],Table3[[#All],[PID]],0)))</f>
        <v>3</v>
      </c>
      <c r="M1329" s="72">
        <f>IF($C1329="B",INDEX(Batters[[#All],[GAP P]],MATCH(Table5[[#This Row],[PID]],Batters[[#All],[PID]],0)),INDEX(Table3[[#All],[MOV P]],MATCH(Table5[[#This Row],[PID]],Table3[[#All],[PID]],0)))</f>
        <v>1</v>
      </c>
      <c r="N1329" s="72">
        <f>IF($C1329="B",INDEX(Batters[[#All],[POW P]],MATCH(Table5[[#This Row],[PID]],Batters[[#All],[PID]],0)),INDEX(Table3[[#All],[CON P]],MATCH(Table5[[#This Row],[PID]],Table3[[#All],[PID]],0)))</f>
        <v>1</v>
      </c>
      <c r="O1329" s="72" t="str">
        <f>IF($C1329="B",INDEX(Batters[[#All],[EYE P]],MATCH(Table5[[#This Row],[PID]],Batters[[#All],[PID]],0)),INDEX(Table3[[#All],[VELO]],MATCH(Table5[[#This Row],[PID]],Table3[[#All],[PID]],0)))</f>
        <v>86-88 Mph</v>
      </c>
      <c r="P1329" s="56">
        <f>IF($C1329="B",INDEX(Batters[[#All],[K P]],MATCH(Table5[[#This Row],[PID]],Batters[[#All],[PID]],0)),INDEX(Table3[[#All],[STM]],MATCH(Table5[[#This Row],[PID]],Table3[[#All],[PID]],0)))</f>
        <v>4</v>
      </c>
      <c r="Q1329" s="61">
        <f>IF($C1329="B",INDEX(Batters[[#All],[Tot]],MATCH(Table5[[#This Row],[PID]],Batters[[#All],[PID]],0)),INDEX(Table3[[#All],[Tot]],MATCH(Table5[[#This Row],[PID]],Table3[[#All],[PID]],0)))</f>
        <v>12.625128665317014</v>
      </c>
      <c r="R1329" s="70">
        <f>IF($C1329="B",INDEX(Batters[[#All],[zScore]],MATCH(Table5[[#This Row],[PID]],Batters[[#All],[PID]],0)),INDEX(Table3[[#All],[zScore]],MATCH(Table5[[#This Row],[PID]],Table3[[#All],[PID]],0)))</f>
        <v>-1.5464807660400368</v>
      </c>
      <c r="S1329" s="74" t="str">
        <f>IF($C1329="B",INDEX(Batters[[#All],[DEM]],MATCH(Table5[[#This Row],[PID]],Batters[[#All],[PID]],0)),INDEX(Table3[[#All],[DEM]],MATCH(Table5[[#This Row],[PID]],Table3[[#All],[PID]],0)))</f>
        <v>-</v>
      </c>
      <c r="T1329" s="75">
        <f>IF($C1329="B",INDEX(Batters[[#All],[Rnk]],MATCH(Table5[[#This Row],[PID]],Batters[[#All],[PID]],0)),INDEX(Table3[[#All],[Rnk]],MATCH(Table5[[#This Row],[PID]],Table3[[#All],[PID]],0)))</f>
        <v>770</v>
      </c>
      <c r="U1329" s="68">
        <f>IF($C1329="B",VLOOKUP($A1329,Bat!$A$4:$BA$1621,47,FALSE),VLOOKUP($A1329,Pit!$A$4:$BF$1557,56,FALSE))</f>
        <v>0</v>
      </c>
      <c r="V1329" s="50">
        <f>IF($C1329="B",VLOOKUP($A1329,Bat!$A$4:$BA$1621,48,FALSE),VLOOKUP($A1329,Pit!$A$4:$BF$1557,57,FALSE))</f>
        <v>0</v>
      </c>
      <c r="W1329" s="69">
        <f>Table5[[#This Row],[posRnk]]+Table5[[#This Row],[zRnk]]+IF($W$3&lt;&gt;Table5[[#This Row],[Type]],50,0)</f>
        <v>2135</v>
      </c>
      <c r="X1329" s="73">
        <f>RANK(Table5[[#This Row],[zScore]],Table5[[#All],[zScore]])</f>
        <v>1315</v>
      </c>
      <c r="Y1329" s="69" t="str">
        <f>IFERROR(INDEX(DraftResults[[#All],[OVR]],MATCH(Table5[[#This Row],[PID]],DraftResults[[#All],[Player ID]],0)),"")</f>
        <v/>
      </c>
      <c r="Z1329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29" s="69" t="str">
        <f>IFERROR(INDEX(DraftResults[[#All],[Pick in Round]],MATCH(Table5[[#This Row],[PID]],DraftResults[[#All],[Player ID]],0)),"")</f>
        <v/>
      </c>
      <c r="AB1329" s="69" t="str">
        <f>IFERROR(INDEX(DraftResults[[#All],[Team Name]],MATCH(Table5[[#This Row],[PID]],DraftResults[[#All],[Player ID]],0)),"")</f>
        <v/>
      </c>
      <c r="AC1329" s="69" t="str">
        <f>IF(Table5[[#This Row],[Ovr]]="","",IF(Table5[[#This Row],[cmbList]]="","",Table5[[#This Row],[cmbList]]-Table5[[#This Row],[Ovr]]))</f>
        <v/>
      </c>
      <c r="AD1329" s="77" t="str">
        <f>IF(ISERROR(VLOOKUP($AB1329&amp;"-"&amp;$E1329&amp;" "&amp;F1329,Bonuses!$B$1:$G$1006,4,FALSE)),"",INT(VLOOKUP($AB1329&amp;"-"&amp;$E1329&amp;" "&amp;$F1329,Bonuses!$B$1:$G$1006,4,FALSE)))</f>
        <v/>
      </c>
      <c r="AE1329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0" spans="1:31" x14ac:dyDescent="0.25">
      <c r="A1330" s="50">
        <v>12687</v>
      </c>
      <c r="B1330" s="50">
        <f>COUNTIF(Table5[PID],A1330)</f>
        <v>1</v>
      </c>
      <c r="C1330" s="50" t="str">
        <f>IF(COUNTIF(Table3[[#All],[PID]],A1330)&gt;0,"P","B")</f>
        <v>B</v>
      </c>
      <c r="D1330" s="59" t="str">
        <f>IF($C1330="B",INDEX(Batters[[#All],[POS]],MATCH(Table5[[#This Row],[PID]],Batters[[#All],[PID]],0)),INDEX(Table3[[#All],[POS]],MATCH(Table5[[#This Row],[PID]],Table3[[#All],[PID]],0)))</f>
        <v>1B</v>
      </c>
      <c r="E1330" s="52" t="str">
        <f>IF($C1330="B",INDEX(Batters[[#All],[First]],MATCH(Table5[[#This Row],[PID]],Batters[[#All],[PID]],0)),INDEX(Table3[[#All],[First]],MATCH(Table5[[#This Row],[PID]],Table3[[#All],[PID]],0)))</f>
        <v>Finley</v>
      </c>
      <c r="F1330" s="50" t="str">
        <f>IF($C1330="B",INDEX(Batters[[#All],[Last]],MATCH(A1330,Batters[[#All],[PID]],0)),INDEX(Table3[[#All],[Last]],MATCH(A1330,Table3[[#All],[PID]],0)))</f>
        <v>Tyson</v>
      </c>
      <c r="G1330" s="56">
        <f>IF($C1330="B",INDEX(Batters[[#All],[Age]],MATCH(Table5[[#This Row],[PID]],Batters[[#All],[PID]],0)),INDEX(Table3[[#All],[Age]],MATCH(Table5[[#This Row],[PID]],Table3[[#All],[PID]],0)))</f>
        <v>21</v>
      </c>
      <c r="H1330" s="52" t="str">
        <f>IF($C1330="B",INDEX(Batters[[#All],[B]],MATCH(Table5[[#This Row],[PID]],Batters[[#All],[PID]],0)),INDEX(Table3[[#All],[B]],MATCH(Table5[[#This Row],[PID]],Table3[[#All],[PID]],0)))</f>
        <v>R</v>
      </c>
      <c r="I1330" s="70" t="str">
        <f>IF($C1330="B",INDEX(Batters[[#All],[T]],MATCH(Table5[[#This Row],[PID]],Batters[[#All],[PID]],0)),INDEX(Table3[[#All],[T]],MATCH(Table5[[#This Row],[PID]],Table3[[#All],[PID]],0)))</f>
        <v>R</v>
      </c>
      <c r="J1330" s="52" t="str">
        <f>IF($C1330="B",INDEX(Batters[[#All],[WE]],MATCH(Table5[[#This Row],[PID]],Batters[[#All],[PID]],0)),INDEX(Table3[[#All],[WE]],MATCH(Table5[[#This Row],[PID]],Table3[[#All],[PID]],0)))</f>
        <v>Normal</v>
      </c>
      <c r="K1330" s="52" t="str">
        <f>IF($C1330="B",INDEX(Batters[[#All],[INT]],MATCH(Table5[[#This Row],[PID]],Batters[[#All],[PID]],0)),INDEX(Table3[[#All],[INT]],MATCH(Table5[[#This Row],[PID]],Table3[[#All],[PID]],0)))</f>
        <v>Normal</v>
      </c>
      <c r="L1330" s="60">
        <f>IF($C1330="B",INDEX(Batters[[#All],[CON P]],MATCH(Table5[[#This Row],[PID]],Batters[[#All],[PID]],0)),INDEX(Table3[[#All],[STU P]],MATCH(Table5[[#This Row],[PID]],Table3[[#All],[PID]],0)))</f>
        <v>3</v>
      </c>
      <c r="M1330" s="56">
        <f>IF($C1330="B",INDEX(Batters[[#All],[GAP P]],MATCH(Table5[[#This Row],[PID]],Batters[[#All],[PID]],0)),INDEX(Table3[[#All],[MOV P]],MATCH(Table5[[#This Row],[PID]],Table3[[#All],[PID]],0)))</f>
        <v>3</v>
      </c>
      <c r="N1330" s="56">
        <f>IF($C1330="B",INDEX(Batters[[#All],[POW P]],MATCH(Table5[[#This Row],[PID]],Batters[[#All],[PID]],0)),INDEX(Table3[[#All],[CON P]],MATCH(Table5[[#This Row],[PID]],Table3[[#All],[PID]],0)))</f>
        <v>3</v>
      </c>
      <c r="O1330" s="56">
        <f>IF($C1330="B",INDEX(Batters[[#All],[EYE P]],MATCH(Table5[[#This Row],[PID]],Batters[[#All],[PID]],0)),INDEX(Table3[[#All],[VELO]],MATCH(Table5[[#This Row],[PID]],Table3[[#All],[PID]],0)))</f>
        <v>6</v>
      </c>
      <c r="P1330" s="56">
        <f>IF($C1330="B",INDEX(Batters[[#All],[K P]],MATCH(Table5[[#This Row],[PID]],Batters[[#All],[PID]],0)),INDEX(Table3[[#All],[STM]],MATCH(Table5[[#This Row],[PID]],Table3[[#All],[PID]],0)))</f>
        <v>3</v>
      </c>
      <c r="Q1330" s="61">
        <f>IF($C1330="B",INDEX(Batters[[#All],[Tot]],MATCH(Table5[[#This Row],[PID]],Batters[[#All],[PID]],0)),INDEX(Table3[[#All],[Tot]],MATCH(Table5[[#This Row],[PID]],Table3[[#All],[PID]],0)))</f>
        <v>37.155380912487985</v>
      </c>
      <c r="R1330" s="70">
        <f>IF($C1330="B",INDEX(Batters[[#All],[zScore]],MATCH(Table5[[#This Row],[PID]],Batters[[#All],[PID]],0)),INDEX(Table3[[#All],[zScore]],MATCH(Table5[[#This Row],[PID]],Table3[[#All],[PID]],0)))</f>
        <v>-1.5467502451486737</v>
      </c>
      <c r="S1330" s="79" t="str">
        <f>IF($C1330="B",INDEX(Batters[[#All],[DEM]],MATCH(Table5[[#This Row],[PID]],Batters[[#All],[PID]],0)),INDEX(Table3[[#All],[DEM]],MATCH(Table5[[#This Row],[PID]],Table3[[#All],[PID]],0)))</f>
        <v>$20k</v>
      </c>
      <c r="T1330" s="62">
        <f>IF($C1330="B",INDEX(Batters[[#All],[Rnk]],MATCH(Table5[[#This Row],[PID]],Batters[[#All],[PID]],0)),INDEX(Table3[[#All],[Rnk]],MATCH(Table5[[#This Row],[PID]],Table3[[#All],[PID]],0)))</f>
        <v>545</v>
      </c>
      <c r="U1330" s="68">
        <f>IF($C1330="B",VLOOKUP($A1330,Bat!$A$4:$BA$1621,47,FALSE),VLOOKUP($A1330,Pit!$A$4:$BF$1557,56,FALSE))</f>
        <v>0</v>
      </c>
      <c r="V1330" s="50">
        <f>IF($C1330="B",VLOOKUP($A1330,Bat!$A$4:$BA$1621,48,FALSE),VLOOKUP($A1330,Pit!$A$4:$BF$1557,57,FALSE))</f>
        <v>0</v>
      </c>
      <c r="W1330" s="50">
        <f>Table5[[#This Row],[posRnk]]+Table5[[#This Row],[zRnk]]+IF($W$3&lt;&gt;Table5[[#This Row],[Type]],50,0)</f>
        <v>1911</v>
      </c>
      <c r="X1330" s="51">
        <f>RANK(Table5[[#This Row],[zScore]],Table5[[#All],[zScore]])</f>
        <v>1316</v>
      </c>
      <c r="Y1330" s="50" t="str">
        <f>IFERROR(INDEX(DraftResults[[#All],[OVR]],MATCH(Table5[[#This Row],[PID]],DraftResults[[#All],[Player ID]],0)),"")</f>
        <v/>
      </c>
      <c r="Z13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0" s="50" t="str">
        <f>IFERROR(INDEX(DraftResults[[#All],[Pick in Round]],MATCH(Table5[[#This Row],[PID]],DraftResults[[#All],[Player ID]],0)),"")</f>
        <v/>
      </c>
      <c r="AB1330" s="50" t="str">
        <f>IFERROR(INDEX(DraftResults[[#All],[Team Name]],MATCH(Table5[[#This Row],[PID]],DraftResults[[#All],[Player ID]],0)),"")</f>
        <v/>
      </c>
      <c r="AC1330" s="50" t="str">
        <f>IF(Table5[[#This Row],[Ovr]]="","",IF(Table5[[#This Row],[cmbList]]="","",Table5[[#This Row],[cmbList]]-Table5[[#This Row],[Ovr]]))</f>
        <v/>
      </c>
      <c r="AD1330" s="54" t="str">
        <f>IF(ISERROR(VLOOKUP($AB1330&amp;"-"&amp;$E1330&amp;" "&amp;F1330,Bonuses!$B$1:$G$1006,4,FALSE)),"",INT(VLOOKUP($AB1330&amp;"-"&amp;$E1330&amp;" "&amp;$F1330,Bonuses!$B$1:$G$1006,4,FALSE)))</f>
        <v/>
      </c>
      <c r="AE13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1" spans="1:31" x14ac:dyDescent="0.25">
      <c r="A1331" s="50">
        <v>20439</v>
      </c>
      <c r="B1331" s="50">
        <f>COUNTIF(Table5[PID],A1331)</f>
        <v>1</v>
      </c>
      <c r="C1331" s="50" t="str">
        <f>IF(COUNTIF(Table3[[#All],[PID]],A1331)&gt;0,"P","B")</f>
        <v>B</v>
      </c>
      <c r="D1331" s="59" t="str">
        <f>IF($C1331="B",INDEX(Batters[[#All],[POS]],MATCH(Table5[[#This Row],[PID]],Batters[[#All],[PID]],0)),INDEX(Table3[[#All],[POS]],MATCH(Table5[[#This Row],[PID]],Table3[[#All],[PID]],0)))</f>
        <v>1B</v>
      </c>
      <c r="E1331" s="52" t="str">
        <f>IF($C1331="B",INDEX(Batters[[#All],[First]],MATCH(Table5[[#This Row],[PID]],Batters[[#All],[PID]],0)),INDEX(Table3[[#All],[First]],MATCH(Table5[[#This Row],[PID]],Table3[[#All],[PID]],0)))</f>
        <v>Yin-zhen</v>
      </c>
      <c r="F1331" s="50" t="str">
        <f>IF($C1331="B",INDEX(Batters[[#All],[Last]],MATCH(A1331,Batters[[#All],[PID]],0)),INDEX(Table3[[#All],[Last]],MATCH(A1331,Table3[[#All],[PID]],0)))</f>
        <v>Yang</v>
      </c>
      <c r="G1331" s="56">
        <f>IF($C1331="B",INDEX(Batters[[#All],[Age]],MATCH(Table5[[#This Row],[PID]],Batters[[#All],[PID]],0)),INDEX(Table3[[#All],[Age]],MATCH(Table5[[#This Row],[PID]],Table3[[#All],[PID]],0)))</f>
        <v>18</v>
      </c>
      <c r="H1331" s="52" t="str">
        <f>IF($C1331="B",INDEX(Batters[[#All],[B]],MATCH(Table5[[#This Row],[PID]],Batters[[#All],[PID]],0)),INDEX(Table3[[#All],[B]],MATCH(Table5[[#This Row],[PID]],Table3[[#All],[PID]],0)))</f>
        <v>R</v>
      </c>
      <c r="I1331" s="70" t="str">
        <f>IF($C1331="B",INDEX(Batters[[#All],[T]],MATCH(Table5[[#This Row],[PID]],Batters[[#All],[PID]],0)),INDEX(Table3[[#All],[T]],MATCH(Table5[[#This Row],[PID]],Table3[[#All],[PID]],0)))</f>
        <v>R</v>
      </c>
      <c r="J1331" s="52" t="str">
        <f>IF($C1331="B",INDEX(Batters[[#All],[WE]],MATCH(Table5[[#This Row],[PID]],Batters[[#All],[PID]],0)),INDEX(Table3[[#All],[WE]],MATCH(Table5[[#This Row],[PID]],Table3[[#All],[PID]],0)))</f>
        <v>Low</v>
      </c>
      <c r="K1331" s="52" t="str">
        <f>IF($C1331="B",INDEX(Batters[[#All],[INT]],MATCH(Table5[[#This Row],[PID]],Batters[[#All],[PID]],0)),INDEX(Table3[[#All],[INT]],MATCH(Table5[[#This Row],[PID]],Table3[[#All],[PID]],0)))</f>
        <v>High</v>
      </c>
      <c r="L1331" s="60">
        <f>IF($C1331="B",INDEX(Batters[[#All],[CON P]],MATCH(Table5[[#This Row],[PID]],Batters[[#All],[PID]],0)),INDEX(Table3[[#All],[STU P]],MATCH(Table5[[#This Row],[PID]],Table3[[#All],[PID]],0)))</f>
        <v>2</v>
      </c>
      <c r="M1331" s="56">
        <f>IF($C1331="B",INDEX(Batters[[#All],[GAP P]],MATCH(Table5[[#This Row],[PID]],Batters[[#All],[PID]],0)),INDEX(Table3[[#All],[MOV P]],MATCH(Table5[[#This Row],[PID]],Table3[[#All],[PID]],0)))</f>
        <v>3</v>
      </c>
      <c r="N1331" s="56">
        <f>IF($C1331="B",INDEX(Batters[[#All],[POW P]],MATCH(Table5[[#This Row],[PID]],Batters[[#All],[PID]],0)),INDEX(Table3[[#All],[CON P]],MATCH(Table5[[#This Row],[PID]],Table3[[#All],[PID]],0)))</f>
        <v>3</v>
      </c>
      <c r="O1331" s="56">
        <f>IF($C1331="B",INDEX(Batters[[#All],[EYE P]],MATCH(Table5[[#This Row],[PID]],Batters[[#All],[PID]],0)),INDEX(Table3[[#All],[VELO]],MATCH(Table5[[#This Row],[PID]],Table3[[#All],[PID]],0)))</f>
        <v>5</v>
      </c>
      <c r="P1331" s="56">
        <f>IF($C1331="B",INDEX(Batters[[#All],[K P]],MATCH(Table5[[#This Row],[PID]],Batters[[#All],[PID]],0)),INDEX(Table3[[#All],[STM]],MATCH(Table5[[#This Row],[PID]],Table3[[#All],[PID]],0)))</f>
        <v>3</v>
      </c>
      <c r="Q1331" s="61">
        <f>IF($C1331="B",INDEX(Batters[[#All],[Tot]],MATCH(Table5[[#This Row],[PID]],Batters[[#All],[PID]],0)),INDEX(Table3[[#All],[Tot]],MATCH(Table5[[#This Row],[PID]],Table3[[#All],[PID]],0)))</f>
        <v>37.152756129414229</v>
      </c>
      <c r="R1331" s="70">
        <f>IF($C1331="B",INDEX(Batters[[#All],[zScore]],MATCH(Table5[[#This Row],[PID]],Batters[[#All],[PID]],0)),INDEX(Table3[[#All],[zScore]],MATCH(Table5[[#This Row],[PID]],Table3[[#All],[PID]],0)))</f>
        <v>-1.5473321772980122</v>
      </c>
      <c r="S1331" s="79" t="str">
        <f>IF($C1331="B",INDEX(Batters[[#All],[DEM]],MATCH(Table5[[#This Row],[PID]],Batters[[#All],[PID]],0)),INDEX(Table3[[#All],[DEM]],MATCH(Table5[[#This Row],[PID]],Table3[[#All],[PID]],0)))</f>
        <v>$130k</v>
      </c>
      <c r="T1331" s="62">
        <f>IF($C1331="B",INDEX(Batters[[#All],[Rnk]],MATCH(Table5[[#This Row],[PID]],Batters[[#All],[PID]],0)),INDEX(Table3[[#All],[Rnk]],MATCH(Table5[[#This Row],[PID]],Table3[[#All],[PID]],0)))</f>
        <v>546</v>
      </c>
      <c r="U1331" s="68">
        <f>IF($C1331="B",VLOOKUP($A1331,Bat!$A$4:$BA$1621,47,FALSE),VLOOKUP($A1331,Pit!$A$4:$BF$1557,56,FALSE))</f>
        <v>0</v>
      </c>
      <c r="V1331" s="50">
        <f>IF($C1331="B",VLOOKUP($A1331,Bat!$A$4:$BA$1621,48,FALSE),VLOOKUP($A1331,Pit!$A$4:$BF$1557,57,FALSE))</f>
        <v>0</v>
      </c>
      <c r="W1331" s="50">
        <f>Table5[[#This Row],[posRnk]]+Table5[[#This Row],[zRnk]]+IF($W$3&lt;&gt;Table5[[#This Row],[Type]],50,0)</f>
        <v>1913</v>
      </c>
      <c r="X1331" s="51">
        <f>RANK(Table5[[#This Row],[zScore]],Table5[[#All],[zScore]])</f>
        <v>1317</v>
      </c>
      <c r="Y1331" s="50" t="str">
        <f>IFERROR(INDEX(DraftResults[[#All],[OVR]],MATCH(Table5[[#This Row],[PID]],DraftResults[[#All],[Player ID]],0)),"")</f>
        <v/>
      </c>
      <c r="Z13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1" s="50" t="str">
        <f>IFERROR(INDEX(DraftResults[[#All],[Pick in Round]],MATCH(Table5[[#This Row],[PID]],DraftResults[[#All],[Player ID]],0)),"")</f>
        <v/>
      </c>
      <c r="AB1331" s="50" t="str">
        <f>IFERROR(INDEX(DraftResults[[#All],[Team Name]],MATCH(Table5[[#This Row],[PID]],DraftResults[[#All],[Player ID]],0)),"")</f>
        <v/>
      </c>
      <c r="AC1331" s="50" t="str">
        <f>IF(Table5[[#This Row],[Ovr]]="","",IF(Table5[[#This Row],[cmbList]]="","",Table5[[#This Row],[cmbList]]-Table5[[#This Row],[Ovr]]))</f>
        <v/>
      </c>
      <c r="AD1331" s="54" t="str">
        <f>IF(ISERROR(VLOOKUP($AB1331&amp;"-"&amp;$E1331&amp;" "&amp;F1331,Bonuses!$B$1:$G$1006,4,FALSE)),"",INT(VLOOKUP($AB1331&amp;"-"&amp;$E1331&amp;" "&amp;$F1331,Bonuses!$B$1:$G$1006,4,FALSE)))</f>
        <v/>
      </c>
      <c r="AE13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2" spans="1:31" x14ac:dyDescent="0.25">
      <c r="A1332" s="50">
        <v>12156</v>
      </c>
      <c r="B1332" s="50">
        <f>COUNTIF(Table5[PID],A1332)</f>
        <v>1</v>
      </c>
      <c r="C1332" s="50" t="str">
        <f>IF(COUNTIF(Table3[[#All],[PID]],A1332)&gt;0,"P","B")</f>
        <v>B</v>
      </c>
      <c r="D1332" s="59" t="str">
        <f>IF($C1332="B",INDEX(Batters[[#All],[POS]],MATCH(Table5[[#This Row],[PID]],Batters[[#All],[PID]],0)),INDEX(Table3[[#All],[POS]],MATCH(Table5[[#This Row],[PID]],Table3[[#All],[PID]],0)))</f>
        <v>SS</v>
      </c>
      <c r="E1332" s="52" t="str">
        <f>IF($C1332="B",INDEX(Batters[[#All],[First]],MATCH(Table5[[#This Row],[PID]],Batters[[#All],[PID]],0)),INDEX(Table3[[#All],[First]],MATCH(Table5[[#This Row],[PID]],Table3[[#All],[PID]],0)))</f>
        <v>Melvin</v>
      </c>
      <c r="F1332" s="50" t="str">
        <f>IF($C1332="B",INDEX(Batters[[#All],[Last]],MATCH(A1332,Batters[[#All],[PID]],0)),INDEX(Table3[[#All],[Last]],MATCH(A1332,Table3[[#All],[PID]],0)))</f>
        <v>Maxwell</v>
      </c>
      <c r="G1332" s="56">
        <f>IF($C1332="B",INDEX(Batters[[#All],[Age]],MATCH(Table5[[#This Row],[PID]],Batters[[#All],[PID]],0)),INDEX(Table3[[#All],[Age]],MATCH(Table5[[#This Row],[PID]],Table3[[#All],[PID]],0)))</f>
        <v>22</v>
      </c>
      <c r="H1332" s="52" t="str">
        <f>IF($C1332="B",INDEX(Batters[[#All],[B]],MATCH(Table5[[#This Row],[PID]],Batters[[#All],[PID]],0)),INDEX(Table3[[#All],[B]],MATCH(Table5[[#This Row],[PID]],Table3[[#All],[PID]],0)))</f>
        <v>R</v>
      </c>
      <c r="I1332" s="70" t="str">
        <f>IF($C1332="B",INDEX(Batters[[#All],[T]],MATCH(Table5[[#This Row],[PID]],Batters[[#All],[PID]],0)),INDEX(Table3[[#All],[T]],MATCH(Table5[[#This Row],[PID]],Table3[[#All],[PID]],0)))</f>
        <v>R</v>
      </c>
      <c r="J1332" s="52" t="str">
        <f>IF($C1332="B",INDEX(Batters[[#All],[WE]],MATCH(Table5[[#This Row],[PID]],Batters[[#All],[PID]],0)),INDEX(Table3[[#All],[WE]],MATCH(Table5[[#This Row],[PID]],Table3[[#All],[PID]],0)))</f>
        <v>Low</v>
      </c>
      <c r="K1332" s="52" t="str">
        <f>IF($C1332="B",INDEX(Batters[[#All],[INT]],MATCH(Table5[[#This Row],[PID]],Batters[[#All],[PID]],0)),INDEX(Table3[[#All],[INT]],MATCH(Table5[[#This Row],[PID]],Table3[[#All],[PID]],0)))</f>
        <v>Normal</v>
      </c>
      <c r="L1332" s="60">
        <f>IF($C1332="B",INDEX(Batters[[#All],[CON P]],MATCH(Table5[[#This Row],[PID]],Batters[[#All],[PID]],0)),INDEX(Table3[[#All],[STU P]],MATCH(Table5[[#This Row],[PID]],Table3[[#All],[PID]],0)))</f>
        <v>3</v>
      </c>
      <c r="M1332" s="56">
        <f>IF($C1332="B",INDEX(Batters[[#All],[GAP P]],MATCH(Table5[[#This Row],[PID]],Batters[[#All],[PID]],0)),INDEX(Table3[[#All],[MOV P]],MATCH(Table5[[#This Row],[PID]],Table3[[#All],[PID]],0)))</f>
        <v>4</v>
      </c>
      <c r="N1332" s="56">
        <f>IF($C1332="B",INDEX(Batters[[#All],[POW P]],MATCH(Table5[[#This Row],[PID]],Batters[[#All],[PID]],0)),INDEX(Table3[[#All],[CON P]],MATCH(Table5[[#This Row],[PID]],Table3[[#All],[PID]],0)))</f>
        <v>3</v>
      </c>
      <c r="O1332" s="56">
        <f>IF($C1332="B",INDEX(Batters[[#All],[EYE P]],MATCH(Table5[[#This Row],[PID]],Batters[[#All],[PID]],0)),INDEX(Table3[[#All],[VELO]],MATCH(Table5[[#This Row],[PID]],Table3[[#All],[PID]],0)))</f>
        <v>4</v>
      </c>
      <c r="P1332" s="56">
        <f>IF($C1332="B",INDEX(Batters[[#All],[K P]],MATCH(Table5[[#This Row],[PID]],Batters[[#All],[PID]],0)),INDEX(Table3[[#All],[STM]],MATCH(Table5[[#This Row],[PID]],Table3[[#All],[PID]],0)))</f>
        <v>3</v>
      </c>
      <c r="Q1332" s="61">
        <f>IF($C1332="B",INDEX(Batters[[#All],[Tot]],MATCH(Table5[[#This Row],[PID]],Batters[[#All],[PID]],0)),INDEX(Table3[[#All],[Tot]],MATCH(Table5[[#This Row],[PID]],Table3[[#All],[PID]],0)))</f>
        <v>37.103175428412875</v>
      </c>
      <c r="R1332" s="70">
        <f>IF($C1332="B",INDEX(Batters[[#All],[zScore]],MATCH(Table5[[#This Row],[PID]],Batters[[#All],[PID]],0)),INDEX(Table3[[#All],[zScore]],MATCH(Table5[[#This Row],[PID]],Table3[[#All],[PID]],0)))</f>
        <v>-1.5583245538444481</v>
      </c>
      <c r="S1332" s="79" t="str">
        <f>IF($C1332="B",INDEX(Batters[[#All],[DEM]],MATCH(Table5[[#This Row],[PID]],Batters[[#All],[PID]],0)),INDEX(Table3[[#All],[DEM]],MATCH(Table5[[#This Row],[PID]],Table3[[#All],[PID]],0)))</f>
        <v>-</v>
      </c>
      <c r="T1332" s="62">
        <f>IF($C1332="B",INDEX(Batters[[#All],[Rnk]],MATCH(Table5[[#This Row],[PID]],Batters[[#All],[PID]],0)),INDEX(Table3[[#All],[Rnk]],MATCH(Table5[[#This Row],[PID]],Table3[[#All],[PID]],0)))</f>
        <v>547</v>
      </c>
      <c r="U1332" s="68">
        <f>IF($C1332="B",VLOOKUP($A1332,Bat!$A$4:$BA$1621,47,FALSE),VLOOKUP($A1332,Pit!$A$4:$BF$1557,56,FALSE))</f>
        <v>0</v>
      </c>
      <c r="V1332" s="50">
        <f>IF($C1332="B",VLOOKUP($A1332,Bat!$A$4:$BA$1621,48,FALSE),VLOOKUP($A1332,Pit!$A$4:$BF$1557,57,FALSE))</f>
        <v>0</v>
      </c>
      <c r="W1332" s="50">
        <f>Table5[[#This Row],[posRnk]]+Table5[[#This Row],[zRnk]]+IF($W$3&lt;&gt;Table5[[#This Row],[Type]],50,0)</f>
        <v>1915</v>
      </c>
      <c r="X1332" s="51">
        <f>RANK(Table5[[#This Row],[zScore]],Table5[[#All],[zScore]])</f>
        <v>1318</v>
      </c>
      <c r="Y1332" s="50" t="str">
        <f>IFERROR(INDEX(DraftResults[[#All],[OVR]],MATCH(Table5[[#This Row],[PID]],DraftResults[[#All],[Player ID]],0)),"")</f>
        <v/>
      </c>
      <c r="Z13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2" s="50" t="str">
        <f>IFERROR(INDEX(DraftResults[[#All],[Pick in Round]],MATCH(Table5[[#This Row],[PID]],DraftResults[[#All],[Player ID]],0)),"")</f>
        <v/>
      </c>
      <c r="AB1332" s="50" t="str">
        <f>IFERROR(INDEX(DraftResults[[#All],[Team Name]],MATCH(Table5[[#This Row],[PID]],DraftResults[[#All],[Player ID]],0)),"")</f>
        <v/>
      </c>
      <c r="AC1332" s="50" t="str">
        <f>IF(Table5[[#This Row],[Ovr]]="","",IF(Table5[[#This Row],[cmbList]]="","",Table5[[#This Row],[cmbList]]-Table5[[#This Row],[Ovr]]))</f>
        <v/>
      </c>
      <c r="AD1332" s="54" t="str">
        <f>IF(ISERROR(VLOOKUP($AB1332&amp;"-"&amp;$E1332&amp;" "&amp;F1332,Bonuses!$B$1:$G$1006,4,FALSE)),"",INT(VLOOKUP($AB1332&amp;"-"&amp;$E1332&amp;" "&amp;$F1332,Bonuses!$B$1:$G$1006,4,FALSE)))</f>
        <v/>
      </c>
      <c r="AE13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3" spans="1:31" x14ac:dyDescent="0.25">
      <c r="A1333" s="50">
        <v>8091</v>
      </c>
      <c r="B1333" s="50">
        <f>COUNTIF(Table5[PID],A1333)</f>
        <v>1</v>
      </c>
      <c r="C1333" s="50" t="str">
        <f>IF(COUNTIF(Table3[[#All],[PID]],A1333)&gt;0,"P","B")</f>
        <v>B</v>
      </c>
      <c r="D1333" s="59" t="str">
        <f>IF($C1333="B",INDEX(Batters[[#All],[POS]],MATCH(Table5[[#This Row],[PID]],Batters[[#All],[PID]],0)),INDEX(Table3[[#All],[POS]],MATCH(Table5[[#This Row],[PID]],Table3[[#All],[PID]],0)))</f>
        <v>RF</v>
      </c>
      <c r="E1333" s="52" t="str">
        <f>IF($C1333="B",INDEX(Batters[[#All],[First]],MATCH(Table5[[#This Row],[PID]],Batters[[#All],[PID]],0)),INDEX(Table3[[#All],[First]],MATCH(Table5[[#This Row],[PID]],Table3[[#All],[PID]],0)))</f>
        <v>Bernard</v>
      </c>
      <c r="F1333" s="50" t="str">
        <f>IF($C1333="B",INDEX(Batters[[#All],[Last]],MATCH(A1333,Batters[[#All],[PID]],0)),INDEX(Table3[[#All],[Last]],MATCH(A1333,Table3[[#All],[PID]],0)))</f>
        <v>Brown</v>
      </c>
      <c r="G1333" s="56">
        <f>IF($C1333="B",INDEX(Batters[[#All],[Age]],MATCH(Table5[[#This Row],[PID]],Batters[[#All],[PID]],0)),INDEX(Table3[[#All],[Age]],MATCH(Table5[[#This Row],[PID]],Table3[[#All],[PID]],0)))</f>
        <v>22</v>
      </c>
      <c r="H1333" s="52" t="str">
        <f>IF($C1333="B",INDEX(Batters[[#All],[B]],MATCH(Table5[[#This Row],[PID]],Batters[[#All],[PID]],0)),INDEX(Table3[[#All],[B]],MATCH(Table5[[#This Row],[PID]],Table3[[#All],[PID]],0)))</f>
        <v>L</v>
      </c>
      <c r="I1333" s="70" t="str">
        <f>IF($C1333="B",INDEX(Batters[[#All],[T]],MATCH(Table5[[#This Row],[PID]],Batters[[#All],[PID]],0)),INDEX(Table3[[#All],[T]],MATCH(Table5[[#This Row],[PID]],Table3[[#All],[PID]],0)))</f>
        <v>L</v>
      </c>
      <c r="J1333" s="52" t="str">
        <f>IF($C1333="B",INDEX(Batters[[#All],[WE]],MATCH(Table5[[#This Row],[PID]],Batters[[#All],[PID]],0)),INDEX(Table3[[#All],[WE]],MATCH(Table5[[#This Row],[PID]],Table3[[#All],[PID]],0)))</f>
        <v>Low</v>
      </c>
      <c r="K1333" s="52" t="str">
        <f>IF($C1333="B",INDEX(Batters[[#All],[INT]],MATCH(Table5[[#This Row],[PID]],Batters[[#All],[PID]],0)),INDEX(Table3[[#All],[INT]],MATCH(Table5[[#This Row],[PID]],Table3[[#All],[PID]],0)))</f>
        <v>Normal</v>
      </c>
      <c r="L1333" s="60">
        <f>IF($C1333="B",INDEX(Batters[[#All],[CON P]],MATCH(Table5[[#This Row],[PID]],Batters[[#All],[PID]],0)),INDEX(Table3[[#All],[STU P]],MATCH(Table5[[#This Row],[PID]],Table3[[#All],[PID]],0)))</f>
        <v>3</v>
      </c>
      <c r="M1333" s="56">
        <f>IF($C1333="B",INDEX(Batters[[#All],[GAP P]],MATCH(Table5[[#This Row],[PID]],Batters[[#All],[PID]],0)),INDEX(Table3[[#All],[MOV P]],MATCH(Table5[[#This Row],[PID]],Table3[[#All],[PID]],0)))</f>
        <v>3</v>
      </c>
      <c r="N1333" s="56">
        <f>IF($C1333="B",INDEX(Batters[[#All],[POW P]],MATCH(Table5[[#This Row],[PID]],Batters[[#All],[PID]],0)),INDEX(Table3[[#All],[CON P]],MATCH(Table5[[#This Row],[PID]],Table3[[#All],[PID]],0)))</f>
        <v>4</v>
      </c>
      <c r="O1333" s="56">
        <f>IF($C1333="B",INDEX(Batters[[#All],[EYE P]],MATCH(Table5[[#This Row],[PID]],Batters[[#All],[PID]],0)),INDEX(Table3[[#All],[VELO]],MATCH(Table5[[#This Row],[PID]],Table3[[#All],[PID]],0)))</f>
        <v>5</v>
      </c>
      <c r="P1333" s="56">
        <f>IF($C1333="B",INDEX(Batters[[#All],[K P]],MATCH(Table5[[#This Row],[PID]],Batters[[#All],[PID]],0)),INDEX(Table3[[#All],[STM]],MATCH(Table5[[#This Row],[PID]],Table3[[#All],[PID]],0)))</f>
        <v>4</v>
      </c>
      <c r="Q1333" s="61">
        <f>IF($C1333="B",INDEX(Batters[[#All],[Tot]],MATCH(Table5[[#This Row],[PID]],Batters[[#All],[PID]],0)),INDEX(Table3[[#All],[Tot]],MATCH(Table5[[#This Row],[PID]],Table3[[#All],[PID]],0)))</f>
        <v>37.096692696521245</v>
      </c>
      <c r="R1333" s="70">
        <f>IF($C1333="B",INDEX(Batters[[#All],[zScore]],MATCH(Table5[[#This Row],[PID]],Batters[[#All],[PID]],0)),INDEX(Table3[[#All],[zScore]],MATCH(Table5[[#This Row],[PID]],Table3[[#All],[PID]],0)))</f>
        <v>-1.5597618193240235</v>
      </c>
      <c r="S1333" s="79" t="str">
        <f>IF($C1333="B",INDEX(Batters[[#All],[DEM]],MATCH(Table5[[#This Row],[PID]],Batters[[#All],[PID]],0)),INDEX(Table3[[#All],[DEM]],MATCH(Table5[[#This Row],[PID]],Table3[[#All],[PID]],0)))</f>
        <v>-</v>
      </c>
      <c r="T1333" s="62">
        <f>IF($C1333="B",INDEX(Batters[[#All],[Rnk]],MATCH(Table5[[#This Row],[PID]],Batters[[#All],[PID]],0)),INDEX(Table3[[#All],[Rnk]],MATCH(Table5[[#This Row],[PID]],Table3[[#All],[PID]],0)))</f>
        <v>548</v>
      </c>
      <c r="U1333" s="68">
        <f>IF($C1333="B",VLOOKUP($A1333,Bat!$A$4:$BA$1621,47,FALSE),VLOOKUP($A1333,Pit!$A$4:$BF$1557,56,FALSE))</f>
        <v>0</v>
      </c>
      <c r="V1333" s="50">
        <f>IF($C1333="B",VLOOKUP($A1333,Bat!$A$4:$BA$1621,48,FALSE),VLOOKUP($A1333,Pit!$A$4:$BF$1557,57,FALSE))</f>
        <v>0</v>
      </c>
      <c r="W1333" s="50">
        <f>Table5[[#This Row],[posRnk]]+Table5[[#This Row],[zRnk]]+IF($W$3&lt;&gt;Table5[[#This Row],[Type]],50,0)</f>
        <v>1917</v>
      </c>
      <c r="X1333" s="51">
        <f>RANK(Table5[[#This Row],[zScore]],Table5[[#All],[zScore]])</f>
        <v>1319</v>
      </c>
      <c r="Y1333" s="50" t="str">
        <f>IFERROR(INDEX(DraftResults[[#All],[OVR]],MATCH(Table5[[#This Row],[PID]],DraftResults[[#All],[Player ID]],0)),"")</f>
        <v/>
      </c>
      <c r="Z13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3" s="50" t="str">
        <f>IFERROR(INDEX(DraftResults[[#All],[Pick in Round]],MATCH(Table5[[#This Row],[PID]],DraftResults[[#All],[Player ID]],0)),"")</f>
        <v/>
      </c>
      <c r="AB1333" s="50" t="str">
        <f>IFERROR(INDEX(DraftResults[[#All],[Team Name]],MATCH(Table5[[#This Row],[PID]],DraftResults[[#All],[Player ID]],0)),"")</f>
        <v/>
      </c>
      <c r="AC1333" s="50" t="str">
        <f>IF(Table5[[#This Row],[Ovr]]="","",IF(Table5[[#This Row],[cmbList]]="","",Table5[[#This Row],[cmbList]]-Table5[[#This Row],[Ovr]]))</f>
        <v/>
      </c>
      <c r="AD1333" s="54" t="str">
        <f>IF(ISERROR(VLOOKUP($AB1333&amp;"-"&amp;$E1333&amp;" "&amp;F1333,Bonuses!$B$1:$G$1006,4,FALSE)),"",INT(VLOOKUP($AB1333&amp;"-"&amp;$E1333&amp;" "&amp;$F1333,Bonuses!$B$1:$G$1006,4,FALSE)))</f>
        <v/>
      </c>
      <c r="AE13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4" spans="1:31" x14ac:dyDescent="0.25">
      <c r="A1334" s="50">
        <v>20891</v>
      </c>
      <c r="B1334" s="50">
        <f>COUNTIF(Table5[PID],A1334)</f>
        <v>1</v>
      </c>
      <c r="C1334" s="50" t="str">
        <f>IF(COUNTIF(Table3[[#All],[PID]],A1334)&gt;0,"P","B")</f>
        <v>B</v>
      </c>
      <c r="D1334" s="59" t="str">
        <f>IF($C1334="B",INDEX(Batters[[#All],[POS]],MATCH(Table5[[#This Row],[PID]],Batters[[#All],[PID]],0)),INDEX(Table3[[#All],[POS]],MATCH(Table5[[#This Row],[PID]],Table3[[#All],[PID]],0)))</f>
        <v>2B</v>
      </c>
      <c r="E1334" s="52" t="str">
        <f>IF($C1334="B",INDEX(Batters[[#All],[First]],MATCH(Table5[[#This Row],[PID]],Batters[[#All],[PID]],0)),INDEX(Table3[[#All],[First]],MATCH(Table5[[#This Row],[PID]],Table3[[#All],[PID]],0)))</f>
        <v>Ernie</v>
      </c>
      <c r="F1334" s="50" t="str">
        <f>IF($C1334="B",INDEX(Batters[[#All],[Last]],MATCH(A1334,Batters[[#All],[PID]],0)),INDEX(Table3[[#All],[Last]],MATCH(A1334,Table3[[#All],[PID]],0)))</f>
        <v>Smith</v>
      </c>
      <c r="G1334" s="56">
        <f>IF($C1334="B",INDEX(Batters[[#All],[Age]],MATCH(Table5[[#This Row],[PID]],Batters[[#All],[PID]],0)),INDEX(Table3[[#All],[Age]],MATCH(Table5[[#This Row],[PID]],Table3[[#All],[PID]],0)))</f>
        <v>18</v>
      </c>
      <c r="H1334" s="52" t="str">
        <f>IF($C1334="B",INDEX(Batters[[#All],[B]],MATCH(Table5[[#This Row],[PID]],Batters[[#All],[PID]],0)),INDEX(Table3[[#All],[B]],MATCH(Table5[[#This Row],[PID]],Table3[[#All],[PID]],0)))</f>
        <v>R</v>
      </c>
      <c r="I1334" s="70" t="str">
        <f>IF($C1334="B",INDEX(Batters[[#All],[T]],MATCH(Table5[[#This Row],[PID]],Batters[[#All],[PID]],0)),INDEX(Table3[[#All],[T]],MATCH(Table5[[#This Row],[PID]],Table3[[#All],[PID]],0)))</f>
        <v>R</v>
      </c>
      <c r="J1334" s="52" t="str">
        <f>IF($C1334="B",INDEX(Batters[[#All],[WE]],MATCH(Table5[[#This Row],[PID]],Batters[[#All],[PID]],0)),INDEX(Table3[[#All],[WE]],MATCH(Table5[[#This Row],[PID]],Table3[[#All],[PID]],0)))</f>
        <v>Low</v>
      </c>
      <c r="K1334" s="52" t="str">
        <f>IF($C1334="B",INDEX(Batters[[#All],[INT]],MATCH(Table5[[#This Row],[PID]],Batters[[#All],[PID]],0)),INDEX(Table3[[#All],[INT]],MATCH(Table5[[#This Row],[PID]],Table3[[#All],[PID]],0)))</f>
        <v>Low</v>
      </c>
      <c r="L1334" s="60">
        <f>IF($C1334="B",INDEX(Batters[[#All],[CON P]],MATCH(Table5[[#This Row],[PID]],Batters[[#All],[PID]],0)),INDEX(Table3[[#All],[STU P]],MATCH(Table5[[#This Row],[PID]],Table3[[#All],[PID]],0)))</f>
        <v>2</v>
      </c>
      <c r="M1334" s="56">
        <f>IF($C1334="B",INDEX(Batters[[#All],[GAP P]],MATCH(Table5[[#This Row],[PID]],Batters[[#All],[PID]],0)),INDEX(Table3[[#All],[MOV P]],MATCH(Table5[[#This Row],[PID]],Table3[[#All],[PID]],0)))</f>
        <v>4</v>
      </c>
      <c r="N1334" s="56">
        <f>IF($C1334="B",INDEX(Batters[[#All],[POW P]],MATCH(Table5[[#This Row],[PID]],Batters[[#All],[PID]],0)),INDEX(Table3[[#All],[CON P]],MATCH(Table5[[#This Row],[PID]],Table3[[#All],[PID]],0)))</f>
        <v>4</v>
      </c>
      <c r="O1334" s="56">
        <f>IF($C1334="B",INDEX(Batters[[#All],[EYE P]],MATCH(Table5[[#This Row],[PID]],Batters[[#All],[PID]],0)),INDEX(Table3[[#All],[VELO]],MATCH(Table5[[#This Row],[PID]],Table3[[#All],[PID]],0)))</f>
        <v>4</v>
      </c>
      <c r="P1334" s="56">
        <f>IF($C1334="B",INDEX(Batters[[#All],[K P]],MATCH(Table5[[#This Row],[PID]],Batters[[#All],[PID]],0)),INDEX(Table3[[#All],[STM]],MATCH(Table5[[#This Row],[PID]],Table3[[#All],[PID]],0)))</f>
        <v>3</v>
      </c>
      <c r="Q1334" s="61">
        <f>IF($C1334="B",INDEX(Batters[[#All],[Tot]],MATCH(Table5[[#This Row],[PID]],Batters[[#All],[PID]],0)),INDEX(Table3[[#All],[Tot]],MATCH(Table5[[#This Row],[PID]],Table3[[#All],[PID]],0)))</f>
        <v>37.085698013010528</v>
      </c>
      <c r="R1334" s="70">
        <f>IF($C1334="B",INDEX(Batters[[#All],[zScore]],MATCH(Table5[[#This Row],[PID]],Batters[[#All],[PID]],0)),INDEX(Table3[[#All],[zScore]],MATCH(Table5[[#This Row],[PID]],Table3[[#All],[PID]],0)))</f>
        <v>-1.5621994149755127</v>
      </c>
      <c r="S1334" s="79" t="str">
        <f>IF($C1334="B",INDEX(Batters[[#All],[DEM]],MATCH(Table5[[#This Row],[PID]],Batters[[#All],[PID]],0)),INDEX(Table3[[#All],[DEM]],MATCH(Table5[[#This Row],[PID]],Table3[[#All],[PID]],0)))</f>
        <v>$75k</v>
      </c>
      <c r="T1334" s="62">
        <f>IF($C1334="B",INDEX(Batters[[#All],[Rnk]],MATCH(Table5[[#This Row],[PID]],Batters[[#All],[PID]],0)),INDEX(Table3[[#All],[Rnk]],MATCH(Table5[[#This Row],[PID]],Table3[[#All],[PID]],0)))</f>
        <v>549</v>
      </c>
      <c r="U1334" s="68">
        <f>IF($C1334="B",VLOOKUP($A1334,Bat!$A$4:$BA$1621,47,FALSE),VLOOKUP($A1334,Pit!$A$4:$BF$1557,56,FALSE))</f>
        <v>0</v>
      </c>
      <c r="V1334" s="50">
        <f>IF($C1334="B",VLOOKUP($A1334,Bat!$A$4:$BA$1621,48,FALSE),VLOOKUP($A1334,Pit!$A$4:$BF$1557,57,FALSE))</f>
        <v>0</v>
      </c>
      <c r="W1334" s="50">
        <f>Table5[[#This Row],[posRnk]]+Table5[[#This Row],[zRnk]]+IF($W$3&lt;&gt;Table5[[#This Row],[Type]],50,0)</f>
        <v>1919</v>
      </c>
      <c r="X1334" s="51">
        <f>RANK(Table5[[#This Row],[zScore]],Table5[[#All],[zScore]])</f>
        <v>1320</v>
      </c>
      <c r="Y1334" s="50" t="str">
        <f>IFERROR(INDEX(DraftResults[[#All],[OVR]],MATCH(Table5[[#This Row],[PID]],DraftResults[[#All],[Player ID]],0)),"")</f>
        <v/>
      </c>
      <c r="Z13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4" s="50" t="str">
        <f>IFERROR(INDEX(DraftResults[[#All],[Pick in Round]],MATCH(Table5[[#This Row],[PID]],DraftResults[[#All],[Player ID]],0)),"")</f>
        <v/>
      </c>
      <c r="AB1334" s="50" t="str">
        <f>IFERROR(INDEX(DraftResults[[#All],[Team Name]],MATCH(Table5[[#This Row],[PID]],DraftResults[[#All],[Player ID]],0)),"")</f>
        <v/>
      </c>
      <c r="AC1334" s="50" t="str">
        <f>IF(Table5[[#This Row],[Ovr]]="","",IF(Table5[[#This Row],[cmbList]]="","",Table5[[#This Row],[cmbList]]-Table5[[#This Row],[Ovr]]))</f>
        <v/>
      </c>
      <c r="AD1334" s="54" t="str">
        <f>IF(ISERROR(VLOOKUP($AB1334&amp;"-"&amp;$E1334&amp;" "&amp;F1334,Bonuses!$B$1:$G$1006,4,FALSE)),"",INT(VLOOKUP($AB1334&amp;"-"&amp;$E1334&amp;" "&amp;$F1334,Bonuses!$B$1:$G$1006,4,FALSE)))</f>
        <v/>
      </c>
      <c r="AE13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5" spans="1:31" x14ac:dyDescent="0.25">
      <c r="A1335" s="50">
        <v>17782</v>
      </c>
      <c r="B1335" s="50">
        <f>COUNTIF(Table5[PID],A1335)</f>
        <v>1</v>
      </c>
      <c r="C1335" s="50" t="str">
        <f>IF(COUNTIF(Table3[[#All],[PID]],A1335)&gt;0,"P","B")</f>
        <v>B</v>
      </c>
      <c r="D1335" s="59" t="str">
        <f>IF($C1335="B",INDEX(Batters[[#All],[POS]],MATCH(Table5[[#This Row],[PID]],Batters[[#All],[PID]],0)),INDEX(Table3[[#All],[POS]],MATCH(Table5[[#This Row],[PID]],Table3[[#All],[PID]],0)))</f>
        <v>1B</v>
      </c>
      <c r="E1335" s="52" t="str">
        <f>IF($C1335="B",INDEX(Batters[[#All],[First]],MATCH(Table5[[#This Row],[PID]],Batters[[#All],[PID]],0)),INDEX(Table3[[#All],[First]],MATCH(Table5[[#This Row],[PID]],Table3[[#All],[PID]],0)))</f>
        <v>Toshitsugu</v>
      </c>
      <c r="F1335" s="50" t="str">
        <f>IF($C1335="B",INDEX(Batters[[#All],[Last]],MATCH(A1335,Batters[[#All],[PID]],0)),INDEX(Table3[[#All],[Last]],MATCH(A1335,Table3[[#All],[PID]],0)))</f>
        <v>Gato</v>
      </c>
      <c r="G1335" s="56">
        <f>IF($C1335="B",INDEX(Batters[[#All],[Age]],MATCH(Table5[[#This Row],[PID]],Batters[[#All],[PID]],0)),INDEX(Table3[[#All],[Age]],MATCH(Table5[[#This Row],[PID]],Table3[[#All],[PID]],0)))</f>
        <v>22</v>
      </c>
      <c r="H1335" s="52" t="str">
        <f>IF($C1335="B",INDEX(Batters[[#All],[B]],MATCH(Table5[[#This Row],[PID]],Batters[[#All],[PID]],0)),INDEX(Table3[[#All],[B]],MATCH(Table5[[#This Row],[PID]],Table3[[#All],[PID]],0)))</f>
        <v>R</v>
      </c>
      <c r="I1335" s="70" t="str">
        <f>IF($C1335="B",INDEX(Batters[[#All],[T]],MATCH(Table5[[#This Row],[PID]],Batters[[#All],[PID]],0)),INDEX(Table3[[#All],[T]],MATCH(Table5[[#This Row],[PID]],Table3[[#All],[PID]],0)))</f>
        <v>R</v>
      </c>
      <c r="J1335" s="52" t="str">
        <f>IF($C1335="B",INDEX(Batters[[#All],[WE]],MATCH(Table5[[#This Row],[PID]],Batters[[#All],[PID]],0)),INDEX(Table3[[#All],[WE]],MATCH(Table5[[#This Row],[PID]],Table3[[#All],[PID]],0)))</f>
        <v>Normal</v>
      </c>
      <c r="K1335" s="52" t="str">
        <f>IF($C1335="B",INDEX(Batters[[#All],[INT]],MATCH(Table5[[#This Row],[PID]],Batters[[#All],[PID]],0)),INDEX(Table3[[#All],[INT]],MATCH(Table5[[#This Row],[PID]],Table3[[#All],[PID]],0)))</f>
        <v>Normal</v>
      </c>
      <c r="L1335" s="60">
        <f>IF($C1335="B",INDEX(Batters[[#All],[CON P]],MATCH(Table5[[#This Row],[PID]],Batters[[#All],[PID]],0)),INDEX(Table3[[#All],[STU P]],MATCH(Table5[[#This Row],[PID]],Table3[[#All],[PID]],0)))</f>
        <v>3</v>
      </c>
      <c r="M1335" s="56">
        <f>IF($C1335="B",INDEX(Batters[[#All],[GAP P]],MATCH(Table5[[#This Row],[PID]],Batters[[#All],[PID]],0)),INDEX(Table3[[#All],[MOV P]],MATCH(Table5[[#This Row],[PID]],Table3[[#All],[PID]],0)))</f>
        <v>3</v>
      </c>
      <c r="N1335" s="56">
        <f>IF($C1335="B",INDEX(Batters[[#All],[POW P]],MATCH(Table5[[#This Row],[PID]],Batters[[#All],[PID]],0)),INDEX(Table3[[#All],[CON P]],MATCH(Table5[[#This Row],[PID]],Table3[[#All],[PID]],0)))</f>
        <v>4</v>
      </c>
      <c r="O1335" s="56">
        <f>IF($C1335="B",INDEX(Batters[[#All],[EYE P]],MATCH(Table5[[#This Row],[PID]],Batters[[#All],[PID]],0)),INDEX(Table3[[#All],[VELO]],MATCH(Table5[[#This Row],[PID]],Table3[[#All],[PID]],0)))</f>
        <v>5</v>
      </c>
      <c r="P1335" s="56">
        <f>IF($C1335="B",INDEX(Batters[[#All],[K P]],MATCH(Table5[[#This Row],[PID]],Batters[[#All],[PID]],0)),INDEX(Table3[[#All],[STM]],MATCH(Table5[[#This Row],[PID]],Table3[[#All],[PID]],0)))</f>
        <v>3</v>
      </c>
      <c r="Q1335" s="61">
        <f>IF($C1335="B",INDEX(Batters[[#All],[Tot]],MATCH(Table5[[#This Row],[PID]],Batters[[#All],[PID]],0)),INDEX(Table3[[#All],[Tot]],MATCH(Table5[[#This Row],[PID]],Table3[[#All],[PID]],0)))</f>
        <v>37.074802768118637</v>
      </c>
      <c r="R1335" s="70">
        <f>IF($C1335="B",INDEX(Batters[[#All],[zScore]],MATCH(Table5[[#This Row],[PID]],Batters[[#All],[PID]],0)),INDEX(Table3[[#All],[zScore]],MATCH(Table5[[#This Row],[PID]],Table3[[#All],[PID]],0)))</f>
        <v>-1.5646149644130656</v>
      </c>
      <c r="S1335" s="79" t="str">
        <f>IF($C1335="B",INDEX(Batters[[#All],[DEM]],MATCH(Table5[[#This Row],[PID]],Batters[[#All],[PID]],0)),INDEX(Table3[[#All],[DEM]],MATCH(Table5[[#This Row],[PID]],Table3[[#All],[PID]],0)))</f>
        <v>-</v>
      </c>
      <c r="T1335" s="62">
        <f>IF($C1335="B",INDEX(Batters[[#All],[Rnk]],MATCH(Table5[[#This Row],[PID]],Batters[[#All],[PID]],0)),INDEX(Table3[[#All],[Rnk]],MATCH(Table5[[#This Row],[PID]],Table3[[#All],[PID]],0)))</f>
        <v>550</v>
      </c>
      <c r="U1335" s="68">
        <f>IF($C1335="B",VLOOKUP($A1335,Bat!$A$4:$BA$1621,47,FALSE),VLOOKUP($A1335,Pit!$A$4:$BF$1557,56,FALSE))</f>
        <v>0</v>
      </c>
      <c r="V1335" s="50">
        <f>IF($C1335="B",VLOOKUP($A1335,Bat!$A$4:$BA$1621,48,FALSE),VLOOKUP($A1335,Pit!$A$4:$BF$1557,57,FALSE))</f>
        <v>0</v>
      </c>
      <c r="W1335" s="50">
        <f>Table5[[#This Row],[posRnk]]+Table5[[#This Row],[zRnk]]+IF($W$3&lt;&gt;Table5[[#This Row],[Type]],50,0)</f>
        <v>1921</v>
      </c>
      <c r="X1335" s="51">
        <f>RANK(Table5[[#This Row],[zScore]],Table5[[#All],[zScore]])</f>
        <v>1321</v>
      </c>
      <c r="Y1335" s="50" t="str">
        <f>IFERROR(INDEX(DraftResults[[#All],[OVR]],MATCH(Table5[[#This Row],[PID]],DraftResults[[#All],[Player ID]],0)),"")</f>
        <v/>
      </c>
      <c r="Z13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5" s="50" t="str">
        <f>IFERROR(INDEX(DraftResults[[#All],[Pick in Round]],MATCH(Table5[[#This Row],[PID]],DraftResults[[#All],[Player ID]],0)),"")</f>
        <v/>
      </c>
      <c r="AB1335" s="50" t="str">
        <f>IFERROR(INDEX(DraftResults[[#All],[Team Name]],MATCH(Table5[[#This Row],[PID]],DraftResults[[#All],[Player ID]],0)),"")</f>
        <v/>
      </c>
      <c r="AC1335" s="50" t="str">
        <f>IF(Table5[[#This Row],[Ovr]]="","",IF(Table5[[#This Row],[cmbList]]="","",Table5[[#This Row],[cmbList]]-Table5[[#This Row],[Ovr]]))</f>
        <v/>
      </c>
      <c r="AD1335" s="54" t="str">
        <f>IF(ISERROR(VLOOKUP($AB1335&amp;"-"&amp;$E1335&amp;" "&amp;F1335,Bonuses!$B$1:$G$1006,4,FALSE)),"",INT(VLOOKUP($AB1335&amp;"-"&amp;$E1335&amp;" "&amp;$F1335,Bonuses!$B$1:$G$1006,4,FALSE)))</f>
        <v/>
      </c>
      <c r="AE13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6" spans="1:31" x14ac:dyDescent="0.25">
      <c r="A1336" s="50">
        <v>10529</v>
      </c>
      <c r="B1336" s="50">
        <f>COUNTIF(Table5[PID],A1336)</f>
        <v>1</v>
      </c>
      <c r="C1336" s="50" t="str">
        <f>IF(COUNTIF(Table3[[#All],[PID]],A1336)&gt;0,"P","B")</f>
        <v>B</v>
      </c>
      <c r="D1336" s="59" t="str">
        <f>IF($C1336="B",INDEX(Batters[[#All],[POS]],MATCH(Table5[[#This Row],[PID]],Batters[[#All],[PID]],0)),INDEX(Table3[[#All],[POS]],MATCH(Table5[[#This Row],[PID]],Table3[[#All],[PID]],0)))</f>
        <v>C</v>
      </c>
      <c r="E1336" s="52" t="str">
        <f>IF($C1336="B",INDEX(Batters[[#All],[First]],MATCH(Table5[[#This Row],[PID]],Batters[[#All],[PID]],0)),INDEX(Table3[[#All],[First]],MATCH(Table5[[#This Row],[PID]],Table3[[#All],[PID]],0)))</f>
        <v>Luis</v>
      </c>
      <c r="F1336" s="50" t="str">
        <f>IF($C1336="B",INDEX(Batters[[#All],[Last]],MATCH(A1336,Batters[[#All],[PID]],0)),INDEX(Table3[[#All],[Last]],MATCH(A1336,Table3[[#All],[PID]],0)))</f>
        <v>Randín</v>
      </c>
      <c r="G1336" s="56">
        <f>IF($C1336="B",INDEX(Batters[[#All],[Age]],MATCH(Table5[[#This Row],[PID]],Batters[[#All],[PID]],0)),INDEX(Table3[[#All],[Age]],MATCH(Table5[[#This Row],[PID]],Table3[[#All],[PID]],0)))</f>
        <v>22</v>
      </c>
      <c r="H1336" s="52" t="str">
        <f>IF($C1336="B",INDEX(Batters[[#All],[B]],MATCH(Table5[[#This Row],[PID]],Batters[[#All],[PID]],0)),INDEX(Table3[[#All],[B]],MATCH(Table5[[#This Row],[PID]],Table3[[#All],[PID]],0)))</f>
        <v>R</v>
      </c>
      <c r="I1336" s="70" t="str">
        <f>IF($C1336="B",INDEX(Batters[[#All],[T]],MATCH(Table5[[#This Row],[PID]],Batters[[#All],[PID]],0)),INDEX(Table3[[#All],[T]],MATCH(Table5[[#This Row],[PID]],Table3[[#All],[PID]],0)))</f>
        <v>R</v>
      </c>
      <c r="J1336" s="52" t="str">
        <f>IF($C1336="B",INDEX(Batters[[#All],[WE]],MATCH(Table5[[#This Row],[PID]],Batters[[#All],[PID]],0)),INDEX(Table3[[#All],[WE]],MATCH(Table5[[#This Row],[PID]],Table3[[#All],[PID]],0)))</f>
        <v>Low</v>
      </c>
      <c r="K1336" s="52" t="str">
        <f>IF($C1336="B",INDEX(Batters[[#All],[INT]],MATCH(Table5[[#This Row],[PID]],Batters[[#All],[PID]],0)),INDEX(Table3[[#All],[INT]],MATCH(Table5[[#This Row],[PID]],Table3[[#All],[PID]],0)))</f>
        <v>Normal</v>
      </c>
      <c r="L1336" s="60">
        <f>IF($C1336="B",INDEX(Batters[[#All],[CON P]],MATCH(Table5[[#This Row],[PID]],Batters[[#All],[PID]],0)),INDEX(Table3[[#All],[STU P]],MATCH(Table5[[#This Row],[PID]],Table3[[#All],[PID]],0)))</f>
        <v>3</v>
      </c>
      <c r="M1336" s="56">
        <f>IF($C1336="B",INDEX(Batters[[#All],[GAP P]],MATCH(Table5[[#This Row],[PID]],Batters[[#All],[PID]],0)),INDEX(Table3[[#All],[MOV P]],MATCH(Table5[[#This Row],[PID]],Table3[[#All],[PID]],0)))</f>
        <v>3</v>
      </c>
      <c r="N1336" s="56">
        <f>IF($C1336="B",INDEX(Batters[[#All],[POW P]],MATCH(Table5[[#This Row],[PID]],Batters[[#All],[PID]],0)),INDEX(Table3[[#All],[CON P]],MATCH(Table5[[#This Row],[PID]],Table3[[#All],[PID]],0)))</f>
        <v>4</v>
      </c>
      <c r="O1336" s="56">
        <f>IF($C1336="B",INDEX(Batters[[#All],[EYE P]],MATCH(Table5[[#This Row],[PID]],Batters[[#All],[PID]],0)),INDEX(Table3[[#All],[VELO]],MATCH(Table5[[#This Row],[PID]],Table3[[#All],[PID]],0)))</f>
        <v>4</v>
      </c>
      <c r="P1336" s="56">
        <f>IF($C1336="B",INDEX(Batters[[#All],[K P]],MATCH(Table5[[#This Row],[PID]],Batters[[#All],[PID]],0)),INDEX(Table3[[#All],[STM]],MATCH(Table5[[#This Row],[PID]],Table3[[#All],[PID]],0)))</f>
        <v>3</v>
      </c>
      <c r="Q1336" s="61">
        <f>IF($C1336="B",INDEX(Batters[[#All],[Tot]],MATCH(Table5[[#This Row],[PID]],Batters[[#All],[PID]],0)),INDEX(Table3[[#All],[Tot]],MATCH(Table5[[#This Row],[PID]],Table3[[#All],[PID]],0)))</f>
        <v>37.048288168003666</v>
      </c>
      <c r="R1336" s="70">
        <f>IF($C1336="B",INDEX(Batters[[#All],[zScore]],MATCH(Table5[[#This Row],[PID]],Batters[[#All],[PID]],0)),INDEX(Table3[[#All],[zScore]],MATCH(Table5[[#This Row],[PID]],Table3[[#All],[PID]],0)))</f>
        <v>-1.5704934304806186</v>
      </c>
      <c r="S1336" s="79" t="str">
        <f>IF($C1336="B",INDEX(Batters[[#All],[DEM]],MATCH(Table5[[#This Row],[PID]],Batters[[#All],[PID]],0)),INDEX(Table3[[#All],[DEM]],MATCH(Table5[[#This Row],[PID]],Table3[[#All],[PID]],0)))</f>
        <v>-</v>
      </c>
      <c r="T1336" s="62">
        <f>IF($C1336="B",INDEX(Batters[[#All],[Rnk]],MATCH(Table5[[#This Row],[PID]],Batters[[#All],[PID]],0)),INDEX(Table3[[#All],[Rnk]],MATCH(Table5[[#This Row],[PID]],Table3[[#All],[PID]],0)))</f>
        <v>551</v>
      </c>
      <c r="U1336" s="68">
        <f>IF($C1336="B",VLOOKUP($A1336,Bat!$A$4:$BA$1621,47,FALSE),VLOOKUP($A1336,Pit!$A$4:$BF$1557,56,FALSE))</f>
        <v>0</v>
      </c>
      <c r="V1336" s="50">
        <f>IF($C1336="B",VLOOKUP($A1336,Bat!$A$4:$BA$1621,48,FALSE),VLOOKUP($A1336,Pit!$A$4:$BF$1557,57,FALSE))</f>
        <v>0</v>
      </c>
      <c r="W1336" s="50">
        <f>Table5[[#This Row],[posRnk]]+Table5[[#This Row],[zRnk]]+IF($W$3&lt;&gt;Table5[[#This Row],[Type]],50,0)</f>
        <v>1923</v>
      </c>
      <c r="X1336" s="51">
        <f>RANK(Table5[[#This Row],[zScore]],Table5[[#All],[zScore]])</f>
        <v>1322</v>
      </c>
      <c r="Y1336" s="50" t="str">
        <f>IFERROR(INDEX(DraftResults[[#All],[OVR]],MATCH(Table5[[#This Row],[PID]],DraftResults[[#All],[Player ID]],0)),"")</f>
        <v/>
      </c>
      <c r="Z13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6" s="50" t="str">
        <f>IFERROR(INDEX(DraftResults[[#All],[Pick in Round]],MATCH(Table5[[#This Row],[PID]],DraftResults[[#All],[Player ID]],0)),"")</f>
        <v/>
      </c>
      <c r="AB1336" s="50" t="str">
        <f>IFERROR(INDEX(DraftResults[[#All],[Team Name]],MATCH(Table5[[#This Row],[PID]],DraftResults[[#All],[Player ID]],0)),"")</f>
        <v/>
      </c>
      <c r="AC1336" s="50" t="str">
        <f>IF(Table5[[#This Row],[Ovr]]="","",IF(Table5[[#This Row],[cmbList]]="","",Table5[[#This Row],[cmbList]]-Table5[[#This Row],[Ovr]]))</f>
        <v/>
      </c>
      <c r="AD1336" s="54" t="str">
        <f>IF(ISERROR(VLOOKUP($AB1336&amp;"-"&amp;$E1336&amp;" "&amp;F1336,Bonuses!$B$1:$G$1006,4,FALSE)),"",INT(VLOOKUP($AB1336&amp;"-"&amp;$E1336&amp;" "&amp;$F1336,Bonuses!$B$1:$G$1006,4,FALSE)))</f>
        <v/>
      </c>
      <c r="AE13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7" spans="1:31" x14ac:dyDescent="0.25">
      <c r="A1337" s="50">
        <v>1100</v>
      </c>
      <c r="B1337" s="50">
        <f>COUNTIF(Table5[PID],A1337)</f>
        <v>1</v>
      </c>
      <c r="C1337" s="50" t="str">
        <f>IF(COUNTIF(Table3[[#All],[PID]],A1337)&gt;0,"P","B")</f>
        <v>B</v>
      </c>
      <c r="D1337" s="59" t="str">
        <f>IF($C1337="B",INDEX(Batters[[#All],[POS]],MATCH(Table5[[#This Row],[PID]],Batters[[#All],[PID]],0)),INDEX(Table3[[#All],[POS]],MATCH(Table5[[#This Row],[PID]],Table3[[#All],[PID]],0)))</f>
        <v>2B</v>
      </c>
      <c r="E1337" s="52" t="str">
        <f>IF($C1337="B",INDEX(Batters[[#All],[First]],MATCH(Table5[[#This Row],[PID]],Batters[[#All],[PID]],0)),INDEX(Table3[[#All],[First]],MATCH(Table5[[#This Row],[PID]],Table3[[#All],[PID]],0)))</f>
        <v>Dan</v>
      </c>
      <c r="F1337" s="50" t="str">
        <f>IF($C1337="B",INDEX(Batters[[#All],[Last]],MATCH(A1337,Batters[[#All],[PID]],0)),INDEX(Table3[[#All],[Last]],MATCH(A1337,Table3[[#All],[PID]],0)))</f>
        <v>Greene</v>
      </c>
      <c r="G1337" s="56">
        <f>IF($C1337="B",INDEX(Batters[[#All],[Age]],MATCH(Table5[[#This Row],[PID]],Batters[[#All],[PID]],0)),INDEX(Table3[[#All],[Age]],MATCH(Table5[[#This Row],[PID]],Table3[[#All],[PID]],0)))</f>
        <v>18</v>
      </c>
      <c r="H1337" s="52" t="str">
        <f>IF($C1337="B",INDEX(Batters[[#All],[B]],MATCH(Table5[[#This Row],[PID]],Batters[[#All],[PID]],0)),INDEX(Table3[[#All],[B]],MATCH(Table5[[#This Row],[PID]],Table3[[#All],[PID]],0)))</f>
        <v>L</v>
      </c>
      <c r="I1337" s="70" t="str">
        <f>IF($C1337="B",INDEX(Batters[[#All],[T]],MATCH(Table5[[#This Row],[PID]],Batters[[#All],[PID]],0)),INDEX(Table3[[#All],[T]],MATCH(Table5[[#This Row],[PID]],Table3[[#All],[PID]],0)))</f>
        <v>R</v>
      </c>
      <c r="J1337" s="52" t="str">
        <f>IF($C1337="B",INDEX(Batters[[#All],[WE]],MATCH(Table5[[#This Row],[PID]],Batters[[#All],[PID]],0)),INDEX(Table3[[#All],[WE]],MATCH(Table5[[#This Row],[PID]],Table3[[#All],[PID]],0)))</f>
        <v>Low</v>
      </c>
      <c r="K1337" s="52" t="str">
        <f>IF($C1337="B",INDEX(Batters[[#All],[INT]],MATCH(Table5[[#This Row],[PID]],Batters[[#All],[PID]],0)),INDEX(Table3[[#All],[INT]],MATCH(Table5[[#This Row],[PID]],Table3[[#All],[PID]],0)))</f>
        <v>Normal</v>
      </c>
      <c r="L1337" s="60">
        <f>IF($C1337="B",INDEX(Batters[[#All],[CON P]],MATCH(Table5[[#This Row],[PID]],Batters[[#All],[PID]],0)),INDEX(Table3[[#All],[STU P]],MATCH(Table5[[#This Row],[PID]],Table3[[#All],[PID]],0)))</f>
        <v>2</v>
      </c>
      <c r="M1337" s="56">
        <f>IF($C1337="B",INDEX(Batters[[#All],[GAP P]],MATCH(Table5[[#This Row],[PID]],Batters[[#All],[PID]],0)),INDEX(Table3[[#All],[MOV P]],MATCH(Table5[[#This Row],[PID]],Table3[[#All],[PID]],0)))</f>
        <v>3</v>
      </c>
      <c r="N1337" s="56">
        <f>IF($C1337="B",INDEX(Batters[[#All],[POW P]],MATCH(Table5[[#This Row],[PID]],Batters[[#All],[PID]],0)),INDEX(Table3[[#All],[CON P]],MATCH(Table5[[#This Row],[PID]],Table3[[#All],[PID]],0)))</f>
        <v>3</v>
      </c>
      <c r="O1337" s="56">
        <f>IF($C1337="B",INDEX(Batters[[#All],[EYE P]],MATCH(Table5[[#This Row],[PID]],Batters[[#All],[PID]],0)),INDEX(Table3[[#All],[VELO]],MATCH(Table5[[#This Row],[PID]],Table3[[#All],[PID]],0)))</f>
        <v>5</v>
      </c>
      <c r="P1337" s="56">
        <f>IF($C1337="B",INDEX(Batters[[#All],[K P]],MATCH(Table5[[#This Row],[PID]],Batters[[#All],[PID]],0)),INDEX(Table3[[#All],[STM]],MATCH(Table5[[#This Row],[PID]],Table3[[#All],[PID]],0)))</f>
        <v>3</v>
      </c>
      <c r="Q1337" s="61">
        <f>IF($C1337="B",INDEX(Batters[[#All],[Tot]],MATCH(Table5[[#This Row],[PID]],Batters[[#All],[PID]],0)),INDEX(Table3[[#All],[Tot]],MATCH(Table5[[#This Row],[PID]],Table3[[#All],[PID]],0)))</f>
        <v>37.010451841079941</v>
      </c>
      <c r="R1337" s="70">
        <f>IF($C1337="B",INDEX(Batters[[#All],[zScore]],MATCH(Table5[[#This Row],[PID]],Batters[[#All],[PID]],0)),INDEX(Table3[[#All],[zScore]],MATCH(Table5[[#This Row],[PID]],Table3[[#All],[PID]],0)))</f>
        <v>-1.5788819999094428</v>
      </c>
      <c r="S1337" s="79" t="str">
        <f>IF($C1337="B",INDEX(Batters[[#All],[DEM]],MATCH(Table5[[#This Row],[PID]],Batters[[#All],[PID]],0)),INDEX(Table3[[#All],[DEM]],MATCH(Table5[[#This Row],[PID]],Table3[[#All],[PID]],0)))</f>
        <v>$130k</v>
      </c>
      <c r="T1337" s="62">
        <f>IF($C1337="B",INDEX(Batters[[#All],[Rnk]],MATCH(Table5[[#This Row],[PID]],Batters[[#All],[PID]],0)),INDEX(Table3[[#All],[Rnk]],MATCH(Table5[[#This Row],[PID]],Table3[[#All],[PID]],0)))</f>
        <v>553</v>
      </c>
      <c r="U1337" s="68">
        <f>IF($C1337="B",VLOOKUP($A1337,Bat!$A$4:$BA$1621,47,FALSE),VLOOKUP($A1337,Pit!$A$4:$BF$1557,56,FALSE))</f>
        <v>0</v>
      </c>
      <c r="V1337" s="50">
        <f>IF($C1337="B",VLOOKUP($A1337,Bat!$A$4:$BA$1621,48,FALSE),VLOOKUP($A1337,Pit!$A$4:$BF$1557,57,FALSE))</f>
        <v>0</v>
      </c>
      <c r="W1337" s="50">
        <f>Table5[[#This Row],[posRnk]]+Table5[[#This Row],[zRnk]]+IF($W$3&lt;&gt;Table5[[#This Row],[Type]],50,0)</f>
        <v>1927</v>
      </c>
      <c r="X1337" s="51">
        <f>RANK(Table5[[#This Row],[zScore]],Table5[[#All],[zScore]])</f>
        <v>1324</v>
      </c>
      <c r="Y1337" s="50" t="str">
        <f>IFERROR(INDEX(DraftResults[[#All],[OVR]],MATCH(Table5[[#This Row],[PID]],DraftResults[[#All],[Player ID]],0)),"")</f>
        <v/>
      </c>
      <c r="Z13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7" s="50" t="str">
        <f>IFERROR(INDEX(DraftResults[[#All],[Pick in Round]],MATCH(Table5[[#This Row],[PID]],DraftResults[[#All],[Player ID]],0)),"")</f>
        <v/>
      </c>
      <c r="AB1337" s="50" t="str">
        <f>IFERROR(INDEX(DraftResults[[#All],[Team Name]],MATCH(Table5[[#This Row],[PID]],DraftResults[[#All],[Player ID]],0)),"")</f>
        <v/>
      </c>
      <c r="AC1337" s="50" t="str">
        <f>IF(Table5[[#This Row],[Ovr]]="","",IF(Table5[[#This Row],[cmbList]]="","",Table5[[#This Row],[cmbList]]-Table5[[#This Row],[Ovr]]))</f>
        <v/>
      </c>
      <c r="AD1337" s="54" t="str">
        <f>IF(ISERROR(VLOOKUP($AB1337&amp;"-"&amp;$E1337&amp;" "&amp;F1337,Bonuses!$B$1:$G$1006,4,FALSE)),"",INT(VLOOKUP($AB1337&amp;"-"&amp;$E1337&amp;" "&amp;$F1337,Bonuses!$B$1:$G$1006,4,FALSE)))</f>
        <v/>
      </c>
      <c r="AE13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8" spans="1:31" x14ac:dyDescent="0.25">
      <c r="A1338" s="50">
        <v>18029</v>
      </c>
      <c r="B1338" s="50">
        <f>COUNTIF(Table5[PID],A1338)</f>
        <v>1</v>
      </c>
      <c r="C1338" s="50" t="str">
        <f>IF(COUNTIF(Table3[[#All],[PID]],A1338)&gt;0,"P","B")</f>
        <v>B</v>
      </c>
      <c r="D1338" s="59" t="str">
        <f>IF($C1338="B",INDEX(Batters[[#All],[POS]],MATCH(Table5[[#This Row],[PID]],Batters[[#All],[PID]],0)),INDEX(Table3[[#All],[POS]],MATCH(Table5[[#This Row],[PID]],Table3[[#All],[PID]],0)))</f>
        <v>C</v>
      </c>
      <c r="E1338" s="52" t="str">
        <f>IF($C1338="B",INDEX(Batters[[#All],[First]],MATCH(Table5[[#This Row],[PID]],Batters[[#All],[PID]],0)),INDEX(Table3[[#All],[First]],MATCH(Table5[[#This Row],[PID]],Table3[[#All],[PID]],0)))</f>
        <v>Mason</v>
      </c>
      <c r="F1338" s="50" t="str">
        <f>IF($C1338="B",INDEX(Batters[[#All],[Last]],MATCH(A1338,Batters[[#All],[PID]],0)),INDEX(Table3[[#All],[Last]],MATCH(A1338,Table3[[#All],[PID]],0)))</f>
        <v>Key</v>
      </c>
      <c r="G1338" s="56">
        <f>IF($C1338="B",INDEX(Batters[[#All],[Age]],MATCH(Table5[[#This Row],[PID]],Batters[[#All],[PID]],0)),INDEX(Table3[[#All],[Age]],MATCH(Table5[[#This Row],[PID]],Table3[[#All],[PID]],0)))</f>
        <v>21</v>
      </c>
      <c r="H1338" s="52" t="str">
        <f>IF($C1338="B",INDEX(Batters[[#All],[B]],MATCH(Table5[[#This Row],[PID]],Batters[[#All],[PID]],0)),INDEX(Table3[[#All],[B]],MATCH(Table5[[#This Row],[PID]],Table3[[#All],[PID]],0)))</f>
        <v>R</v>
      </c>
      <c r="I1338" s="70" t="str">
        <f>IF($C1338="B",INDEX(Batters[[#All],[T]],MATCH(Table5[[#This Row],[PID]],Batters[[#All],[PID]],0)),INDEX(Table3[[#All],[T]],MATCH(Table5[[#This Row],[PID]],Table3[[#All],[PID]],0)))</f>
        <v>R</v>
      </c>
      <c r="J1338" s="52" t="str">
        <f>IF($C1338="B",INDEX(Batters[[#All],[WE]],MATCH(Table5[[#This Row],[PID]],Batters[[#All],[PID]],0)),INDEX(Table3[[#All],[WE]],MATCH(Table5[[#This Row],[PID]],Table3[[#All],[PID]],0)))</f>
        <v>Normal</v>
      </c>
      <c r="K1338" s="52" t="str">
        <f>IF($C1338="B",INDEX(Batters[[#All],[INT]],MATCH(Table5[[#This Row],[PID]],Batters[[#All],[PID]],0)),INDEX(Table3[[#All],[INT]],MATCH(Table5[[#This Row],[PID]],Table3[[#All],[PID]],0)))</f>
        <v>Normal</v>
      </c>
      <c r="L1338" s="60">
        <f>IF($C1338="B",INDEX(Batters[[#All],[CON P]],MATCH(Table5[[#This Row],[PID]],Batters[[#All],[PID]],0)),INDEX(Table3[[#All],[STU P]],MATCH(Table5[[#This Row],[PID]],Table3[[#All],[PID]],0)))</f>
        <v>3</v>
      </c>
      <c r="M1338" s="56">
        <f>IF($C1338="B",INDEX(Batters[[#All],[GAP P]],MATCH(Table5[[#This Row],[PID]],Batters[[#All],[PID]],0)),INDEX(Table3[[#All],[MOV P]],MATCH(Table5[[#This Row],[PID]],Table3[[#All],[PID]],0)))</f>
        <v>5</v>
      </c>
      <c r="N1338" s="56">
        <f>IF($C1338="B",INDEX(Batters[[#All],[POW P]],MATCH(Table5[[#This Row],[PID]],Batters[[#All],[PID]],0)),INDEX(Table3[[#All],[CON P]],MATCH(Table5[[#This Row],[PID]],Table3[[#All],[PID]],0)))</f>
        <v>3</v>
      </c>
      <c r="O1338" s="56">
        <f>IF($C1338="B",INDEX(Batters[[#All],[EYE P]],MATCH(Table5[[#This Row],[PID]],Batters[[#All],[PID]],0)),INDEX(Table3[[#All],[VELO]],MATCH(Table5[[#This Row],[PID]],Table3[[#All],[PID]],0)))</f>
        <v>5</v>
      </c>
      <c r="P1338" s="56">
        <f>IF($C1338="B",INDEX(Batters[[#All],[K P]],MATCH(Table5[[#This Row],[PID]],Batters[[#All],[PID]],0)),INDEX(Table3[[#All],[STM]],MATCH(Table5[[#This Row],[PID]],Table3[[#All],[PID]],0)))</f>
        <v>2</v>
      </c>
      <c r="Q1338" s="61">
        <f>IF($C1338="B",INDEX(Batters[[#All],[Tot]],MATCH(Table5[[#This Row],[PID]],Batters[[#All],[PID]],0)),INDEX(Table3[[#All],[Tot]],MATCH(Table5[[#This Row],[PID]],Table3[[#All],[PID]],0)))</f>
        <v>37.005120193736737</v>
      </c>
      <c r="R1338" s="70">
        <f>IF($C1338="B",INDEX(Batters[[#All],[zScore]],MATCH(Table5[[#This Row],[PID]],Batters[[#All],[PID]],0)),INDEX(Table3[[#All],[zScore]],MATCH(Table5[[#This Row],[PID]],Table3[[#All],[PID]],0)))</f>
        <v>-1.5800640621640227</v>
      </c>
      <c r="S1338" s="79" t="str">
        <f>IF($C1338="B",INDEX(Batters[[#All],[DEM]],MATCH(Table5[[#This Row],[PID]],Batters[[#All],[PID]],0)),INDEX(Table3[[#All],[DEM]],MATCH(Table5[[#This Row],[PID]],Table3[[#All],[PID]],0)))</f>
        <v>-</v>
      </c>
      <c r="T1338" s="62">
        <f>IF($C1338="B",INDEX(Batters[[#All],[Rnk]],MATCH(Table5[[#This Row],[PID]],Batters[[#All],[PID]],0)),INDEX(Table3[[#All],[Rnk]],MATCH(Table5[[#This Row],[PID]],Table3[[#All],[PID]],0)))</f>
        <v>554</v>
      </c>
      <c r="U1338" s="68">
        <f>IF($C1338="B",VLOOKUP($A1338,Bat!$A$4:$BA$1621,47,FALSE),VLOOKUP($A1338,Pit!$A$4:$BF$1557,56,FALSE))</f>
        <v>0</v>
      </c>
      <c r="V1338" s="50">
        <f>IF($C1338="B",VLOOKUP($A1338,Bat!$A$4:$BA$1621,48,FALSE),VLOOKUP($A1338,Pit!$A$4:$BF$1557,57,FALSE))</f>
        <v>0</v>
      </c>
      <c r="W1338" s="50">
        <f>Table5[[#This Row],[posRnk]]+Table5[[#This Row],[zRnk]]+IF($W$3&lt;&gt;Table5[[#This Row],[Type]],50,0)</f>
        <v>1929</v>
      </c>
      <c r="X1338" s="51">
        <f>RANK(Table5[[#This Row],[zScore]],Table5[[#All],[zScore]])</f>
        <v>1325</v>
      </c>
      <c r="Y1338" s="50" t="str">
        <f>IFERROR(INDEX(DraftResults[[#All],[OVR]],MATCH(Table5[[#This Row],[PID]],DraftResults[[#All],[Player ID]],0)),"")</f>
        <v/>
      </c>
      <c r="Z13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8" s="50" t="str">
        <f>IFERROR(INDEX(DraftResults[[#All],[Pick in Round]],MATCH(Table5[[#This Row],[PID]],DraftResults[[#All],[Player ID]],0)),"")</f>
        <v/>
      </c>
      <c r="AB1338" s="50" t="str">
        <f>IFERROR(INDEX(DraftResults[[#All],[Team Name]],MATCH(Table5[[#This Row],[PID]],DraftResults[[#All],[Player ID]],0)),"")</f>
        <v/>
      </c>
      <c r="AC1338" s="50" t="str">
        <f>IF(Table5[[#This Row],[Ovr]]="","",IF(Table5[[#This Row],[cmbList]]="","",Table5[[#This Row],[cmbList]]-Table5[[#This Row],[Ovr]]))</f>
        <v/>
      </c>
      <c r="AD1338" s="54" t="str">
        <f>IF(ISERROR(VLOOKUP($AB1338&amp;"-"&amp;$E1338&amp;" "&amp;F1338,Bonuses!$B$1:$G$1006,4,FALSE)),"",INT(VLOOKUP($AB1338&amp;"-"&amp;$E1338&amp;" "&amp;$F1338,Bonuses!$B$1:$G$1006,4,FALSE)))</f>
        <v/>
      </c>
      <c r="AE13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39" spans="1:31" x14ac:dyDescent="0.25">
      <c r="A1339" s="50">
        <v>18437</v>
      </c>
      <c r="B1339" s="55">
        <f>COUNTIF(Table5[PID],A1339)</f>
        <v>1</v>
      </c>
      <c r="C1339" s="55" t="str">
        <f>IF(COUNTIF(Table3[[#All],[PID]],A1339)&gt;0,"P","B")</f>
        <v>B</v>
      </c>
      <c r="D1339" s="59" t="str">
        <f>IF($C1339="B",INDEX(Batters[[#All],[POS]],MATCH(Table5[[#This Row],[PID]],Batters[[#All],[PID]],0)),INDEX(Table3[[#All],[POS]],MATCH(Table5[[#This Row],[PID]],Table3[[#All],[PID]],0)))</f>
        <v>C</v>
      </c>
      <c r="E1339" s="52" t="str">
        <f>IF($C1339="B",INDEX(Batters[[#All],[First]],MATCH(Table5[[#This Row],[PID]],Batters[[#All],[PID]],0)),INDEX(Table3[[#All],[First]],MATCH(Table5[[#This Row],[PID]],Table3[[#All],[PID]],0)))</f>
        <v>Craig</v>
      </c>
      <c r="F1339" s="50" t="str">
        <f>IF($C1339="B",INDEX(Batters[[#All],[Last]],MATCH(A1339,Batters[[#All],[PID]],0)),INDEX(Table3[[#All],[Last]],MATCH(A1339,Table3[[#All],[PID]],0)))</f>
        <v>Byard</v>
      </c>
      <c r="G1339" s="56">
        <f>IF($C1339="B",INDEX(Batters[[#All],[Age]],MATCH(Table5[[#This Row],[PID]],Batters[[#All],[PID]],0)),INDEX(Table3[[#All],[Age]],MATCH(Table5[[#This Row],[PID]],Table3[[#All],[PID]],0)))</f>
        <v>18</v>
      </c>
      <c r="H1339" s="52" t="str">
        <f>IF($C1339="B",INDEX(Batters[[#All],[B]],MATCH(Table5[[#This Row],[PID]],Batters[[#All],[PID]],0)),INDEX(Table3[[#All],[B]],MATCH(Table5[[#This Row],[PID]],Table3[[#All],[PID]],0)))</f>
        <v>R</v>
      </c>
      <c r="I1339" s="70" t="str">
        <f>IF($C1339="B",INDEX(Batters[[#All],[T]],MATCH(Table5[[#This Row],[PID]],Batters[[#All],[PID]],0)),INDEX(Table3[[#All],[T]],MATCH(Table5[[#This Row],[PID]],Table3[[#All],[PID]],0)))</f>
        <v>R</v>
      </c>
      <c r="J1339" s="52" t="str">
        <f>IF($C1339="B",INDEX(Batters[[#All],[WE]],MATCH(Table5[[#This Row],[PID]],Batters[[#All],[PID]],0)),INDEX(Table3[[#All],[WE]],MATCH(Table5[[#This Row],[PID]],Table3[[#All],[PID]],0)))</f>
        <v>High</v>
      </c>
      <c r="K1339" s="52" t="str">
        <f>IF($C1339="B",INDEX(Batters[[#All],[INT]],MATCH(Table5[[#This Row],[PID]],Batters[[#All],[PID]],0)),INDEX(Table3[[#All],[INT]],MATCH(Table5[[#This Row],[PID]],Table3[[#All],[PID]],0)))</f>
        <v>Normal</v>
      </c>
      <c r="L1339" s="60">
        <f>IF($C1339="B",INDEX(Batters[[#All],[CON P]],MATCH(Table5[[#This Row],[PID]],Batters[[#All],[PID]],0)),INDEX(Table3[[#All],[STU P]],MATCH(Table5[[#This Row],[PID]],Table3[[#All],[PID]],0)))</f>
        <v>2</v>
      </c>
      <c r="M1339" s="56">
        <f>IF($C1339="B",INDEX(Batters[[#All],[GAP P]],MATCH(Table5[[#This Row],[PID]],Batters[[#All],[PID]],0)),INDEX(Table3[[#All],[MOV P]],MATCH(Table5[[#This Row],[PID]],Table3[[#All],[PID]],0)))</f>
        <v>3</v>
      </c>
      <c r="N1339" s="56">
        <f>IF($C1339="B",INDEX(Batters[[#All],[POW P]],MATCH(Table5[[#This Row],[PID]],Batters[[#All],[PID]],0)),INDEX(Table3[[#All],[CON P]],MATCH(Table5[[#This Row],[PID]],Table3[[#All],[PID]],0)))</f>
        <v>3</v>
      </c>
      <c r="O1339" s="56">
        <f>IF($C1339="B",INDEX(Batters[[#All],[EYE P]],MATCH(Table5[[#This Row],[PID]],Batters[[#All],[PID]],0)),INDEX(Table3[[#All],[VELO]],MATCH(Table5[[#This Row],[PID]],Table3[[#All],[PID]],0)))</f>
        <v>5</v>
      </c>
      <c r="P1339" s="56">
        <f>IF($C1339="B",INDEX(Batters[[#All],[K P]],MATCH(Table5[[#This Row],[PID]],Batters[[#All],[PID]],0)),INDEX(Table3[[#All],[STM]],MATCH(Table5[[#This Row],[PID]],Table3[[#All],[PID]],0)))</f>
        <v>2</v>
      </c>
      <c r="Q1339" s="61">
        <f>IF($C1339="B",INDEX(Batters[[#All],[Tot]],MATCH(Table5[[#This Row],[PID]],Batters[[#All],[PID]],0)),INDEX(Table3[[#All],[Tot]],MATCH(Table5[[#This Row],[PID]],Table3[[#All],[PID]],0)))</f>
        <v>36.977666039571105</v>
      </c>
      <c r="R1339" s="70">
        <f>IF($C1339="B",INDEX(Batters[[#All],[zScore]],MATCH(Table5[[#This Row],[PID]],Batters[[#All],[PID]],0)),INDEX(Table3[[#All],[zScore]],MATCH(Table5[[#This Row],[PID]],Table3[[#All],[PID]],0)))</f>
        <v>-1.5861508337154029</v>
      </c>
      <c r="S1339" s="79" t="str">
        <f>IF($C1339="B",INDEX(Batters[[#All],[DEM]],MATCH(Table5[[#This Row],[PID]],Batters[[#All],[PID]],0)),INDEX(Table3[[#All],[DEM]],MATCH(Table5[[#This Row],[PID]],Table3[[#All],[PID]],0)))</f>
        <v>$100k</v>
      </c>
      <c r="T1339" s="62">
        <f>IF($C1339="B",INDEX(Batters[[#All],[Rnk]],MATCH(Table5[[#This Row],[PID]],Batters[[#All],[PID]],0)),INDEX(Table3[[#All],[Rnk]],MATCH(Table5[[#This Row],[PID]],Table3[[#All],[PID]],0)))</f>
        <v>555</v>
      </c>
      <c r="U1339" s="68">
        <f>IF($C1339="B",VLOOKUP($A1339,Bat!$A$4:$BA$1621,47,FALSE),VLOOKUP($A1339,Pit!$A$4:$BF$1557,56,FALSE))</f>
        <v>0</v>
      </c>
      <c r="V1339" s="50">
        <f>IF($C1339="B",VLOOKUP($A1339,Bat!$A$4:$BA$1621,48,FALSE),VLOOKUP($A1339,Pit!$A$4:$BF$1557,57,FALSE))</f>
        <v>0</v>
      </c>
      <c r="W1339" s="50">
        <f>Table5[[#This Row],[posRnk]]+Table5[[#This Row],[zRnk]]+IF($W$3&lt;&gt;Table5[[#This Row],[Type]],50,0)</f>
        <v>1931</v>
      </c>
      <c r="X1339" s="51">
        <f>RANK(Table5[[#This Row],[zScore]],Table5[[#All],[zScore]])</f>
        <v>1326</v>
      </c>
      <c r="Y1339" s="50" t="str">
        <f>IFERROR(INDEX(DraftResults[[#All],[OVR]],MATCH(Table5[[#This Row],[PID]],DraftResults[[#All],[Player ID]],0)),"")</f>
        <v/>
      </c>
      <c r="Z13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39" s="50" t="str">
        <f>IFERROR(INDEX(DraftResults[[#All],[Pick in Round]],MATCH(Table5[[#This Row],[PID]],DraftResults[[#All],[Player ID]],0)),"")</f>
        <v/>
      </c>
      <c r="AB1339" s="50" t="str">
        <f>IFERROR(INDEX(DraftResults[[#All],[Team Name]],MATCH(Table5[[#This Row],[PID]],DraftResults[[#All],[Player ID]],0)),"")</f>
        <v/>
      </c>
      <c r="AC1339" s="50" t="str">
        <f>IF(Table5[[#This Row],[Ovr]]="","",IF(Table5[[#This Row],[cmbList]]="","",Table5[[#This Row],[cmbList]]-Table5[[#This Row],[Ovr]]))</f>
        <v/>
      </c>
      <c r="AD1339" s="54" t="str">
        <f>IF(ISERROR(VLOOKUP($AB1339&amp;"-"&amp;$E1339&amp;" "&amp;F1339,Bonuses!$B$1:$G$1006,4,FALSE)),"",INT(VLOOKUP($AB1339&amp;"-"&amp;$E1339&amp;" "&amp;$F1339,Bonuses!$B$1:$G$1006,4,FALSE)))</f>
        <v/>
      </c>
      <c r="AE13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0" spans="1:31" x14ac:dyDescent="0.25">
      <c r="A1340" s="68">
        <v>17027</v>
      </c>
      <c r="B1340" s="69">
        <f>COUNTIF(Table5[PID],A1340)</f>
        <v>1</v>
      </c>
      <c r="C1340" s="69" t="str">
        <f>IF(COUNTIF(Table3[[#All],[PID]],A1340)&gt;0,"P","B")</f>
        <v>P</v>
      </c>
      <c r="D1340" s="59" t="str">
        <f>IF($C1340="B",INDEX(Batters[[#All],[POS]],MATCH(Table5[[#This Row],[PID]],Batters[[#All],[PID]],0)),INDEX(Table3[[#All],[POS]],MATCH(Table5[[#This Row],[PID]],Table3[[#All],[PID]],0)))</f>
        <v>RP</v>
      </c>
      <c r="E1340" s="52" t="str">
        <f>IF($C1340="B",INDEX(Batters[[#All],[First]],MATCH(Table5[[#This Row],[PID]],Batters[[#All],[PID]],0)),INDEX(Table3[[#All],[First]],MATCH(Table5[[#This Row],[PID]],Table3[[#All],[PID]],0)))</f>
        <v>Juan</v>
      </c>
      <c r="F1340" s="55" t="str">
        <f>IF($C1340="B",INDEX(Batters[[#All],[Last]],MATCH(A1340,Batters[[#All],[PID]],0)),INDEX(Table3[[#All],[Last]],MATCH(A1340,Table3[[#All],[PID]],0)))</f>
        <v>Rodríguez</v>
      </c>
      <c r="G1340" s="56">
        <f>IF($C1340="B",INDEX(Batters[[#All],[Age]],MATCH(Table5[[#This Row],[PID]],Batters[[#All],[PID]],0)),INDEX(Table3[[#All],[Age]],MATCH(Table5[[#This Row],[PID]],Table3[[#All],[PID]],0)))</f>
        <v>21</v>
      </c>
      <c r="H1340" s="52" t="str">
        <f>IF($C1340="B",INDEX(Batters[[#All],[B]],MATCH(Table5[[#This Row],[PID]],Batters[[#All],[PID]],0)),INDEX(Table3[[#All],[B]],MATCH(Table5[[#This Row],[PID]],Table3[[#All],[PID]],0)))</f>
        <v>R</v>
      </c>
      <c r="I1340" s="70" t="str">
        <f>IF($C1340="B",INDEX(Batters[[#All],[T]],MATCH(Table5[[#This Row],[PID]],Batters[[#All],[PID]],0)),INDEX(Table3[[#All],[T]],MATCH(Table5[[#This Row],[PID]],Table3[[#All],[PID]],0)))</f>
        <v>R</v>
      </c>
      <c r="J1340" s="71" t="str">
        <f>IF($C1340="B",INDEX(Batters[[#All],[WE]],MATCH(Table5[[#This Row],[PID]],Batters[[#All],[PID]],0)),INDEX(Table3[[#All],[WE]],MATCH(Table5[[#This Row],[PID]],Table3[[#All],[PID]],0)))</f>
        <v>Normal</v>
      </c>
      <c r="K1340" s="52" t="str">
        <f>IF($C1340="B",INDEX(Batters[[#All],[INT]],MATCH(Table5[[#This Row],[PID]],Batters[[#All],[PID]],0)),INDEX(Table3[[#All],[INT]],MATCH(Table5[[#This Row],[PID]],Table3[[#All],[PID]],0)))</f>
        <v>Normal</v>
      </c>
      <c r="L1340" s="60">
        <f>IF($C1340="B",INDEX(Batters[[#All],[CON P]],MATCH(Table5[[#This Row],[PID]],Batters[[#All],[PID]],0)),INDEX(Table3[[#All],[STU P]],MATCH(Table5[[#This Row],[PID]],Table3[[#All],[PID]],0)))</f>
        <v>4</v>
      </c>
      <c r="M1340" s="72">
        <f>IF($C1340="B",INDEX(Batters[[#All],[GAP P]],MATCH(Table5[[#This Row],[PID]],Batters[[#All],[PID]],0)),INDEX(Table3[[#All],[MOV P]],MATCH(Table5[[#This Row],[PID]],Table3[[#All],[PID]],0)))</f>
        <v>1</v>
      </c>
      <c r="N1340" s="72">
        <f>IF($C1340="B",INDEX(Batters[[#All],[POW P]],MATCH(Table5[[#This Row],[PID]],Batters[[#All],[PID]],0)),INDEX(Table3[[#All],[CON P]],MATCH(Table5[[#This Row],[PID]],Table3[[#All],[PID]],0)))</f>
        <v>2</v>
      </c>
      <c r="O1340" s="72" t="str">
        <f>IF($C1340="B",INDEX(Batters[[#All],[EYE P]],MATCH(Table5[[#This Row],[PID]],Batters[[#All],[PID]],0)),INDEX(Table3[[#All],[VELO]],MATCH(Table5[[#This Row],[PID]],Table3[[#All],[PID]],0)))</f>
        <v>89-91 Mph</v>
      </c>
      <c r="P1340" s="56">
        <f>IF($C1340="B",INDEX(Batters[[#All],[K P]],MATCH(Table5[[#This Row],[PID]],Batters[[#All],[PID]],0)),INDEX(Table3[[#All],[STM]],MATCH(Table5[[#This Row],[PID]],Table3[[#All],[PID]],0)))</f>
        <v>4</v>
      </c>
      <c r="Q1340" s="61">
        <f>IF($C1340="B",INDEX(Batters[[#All],[Tot]],MATCH(Table5[[#This Row],[PID]],Batters[[#All],[PID]],0)),INDEX(Table3[[#All],[Tot]],MATCH(Table5[[#This Row],[PID]],Table3[[#All],[PID]],0)))</f>
        <v>14.498905341113879</v>
      </c>
      <c r="R1340" s="70">
        <f>IF($C1340="B",INDEX(Batters[[#All],[zScore]],MATCH(Table5[[#This Row],[PID]],Batters[[#All],[PID]],0)),INDEX(Table3[[#All],[zScore]],MATCH(Table5[[#This Row],[PID]],Table3[[#All],[PID]],0)))</f>
        <v>-1.59637680265593</v>
      </c>
      <c r="S1340" s="74" t="str">
        <f>IF($C1340="B",INDEX(Batters[[#All],[DEM]],MATCH(Table5[[#This Row],[PID]],Batters[[#All],[PID]],0)),INDEX(Table3[[#All],[DEM]],MATCH(Table5[[#This Row],[PID]],Table3[[#All],[PID]],0)))</f>
        <v>-</v>
      </c>
      <c r="T1340" s="75">
        <f>IF($C1340="B",INDEX(Batters[[#All],[Rnk]],MATCH(Table5[[#This Row],[PID]],Batters[[#All],[PID]],0)),INDEX(Table3[[#All],[Rnk]],MATCH(Table5[[#This Row],[PID]],Table3[[#All],[PID]],0)))</f>
        <v>771</v>
      </c>
      <c r="U1340" s="68">
        <f>IF($C1340="B",VLOOKUP($A1340,Bat!$A$4:$BA$1621,47,FALSE),VLOOKUP($A1340,Pit!$A$4:$BF$1557,56,FALSE))</f>
        <v>0</v>
      </c>
      <c r="V1340" s="50">
        <f>IF($C1340="B",VLOOKUP($A1340,Bat!$A$4:$BA$1621,48,FALSE),VLOOKUP($A1340,Pit!$A$4:$BF$1557,57,FALSE))</f>
        <v>0</v>
      </c>
      <c r="W1340" s="69">
        <f>Table5[[#This Row],[posRnk]]+Table5[[#This Row],[zRnk]]+IF($W$3&lt;&gt;Table5[[#This Row],[Type]],50,0)</f>
        <v>2148</v>
      </c>
      <c r="X1340" s="73">
        <f>RANK(Table5[[#This Row],[zScore]],Table5[[#All],[zScore]])</f>
        <v>1327</v>
      </c>
      <c r="Y1340" s="69" t="str">
        <f>IFERROR(INDEX(DraftResults[[#All],[OVR]],MATCH(Table5[[#This Row],[PID]],DraftResults[[#All],[Player ID]],0)),"")</f>
        <v/>
      </c>
      <c r="Z1340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0" s="69" t="str">
        <f>IFERROR(INDEX(DraftResults[[#All],[Pick in Round]],MATCH(Table5[[#This Row],[PID]],DraftResults[[#All],[Player ID]],0)),"")</f>
        <v/>
      </c>
      <c r="AB1340" s="69" t="str">
        <f>IFERROR(INDEX(DraftResults[[#All],[Team Name]],MATCH(Table5[[#This Row],[PID]],DraftResults[[#All],[Player ID]],0)),"")</f>
        <v/>
      </c>
      <c r="AC1340" s="69" t="str">
        <f>IF(Table5[[#This Row],[Ovr]]="","",IF(Table5[[#This Row],[cmbList]]="","",Table5[[#This Row],[cmbList]]-Table5[[#This Row],[Ovr]]))</f>
        <v/>
      </c>
      <c r="AD1340" s="77" t="str">
        <f>IF(ISERROR(VLOOKUP($AB1340&amp;"-"&amp;$E1340&amp;" "&amp;F1340,Bonuses!$B$1:$G$1006,4,FALSE)),"",INT(VLOOKUP($AB1340&amp;"-"&amp;$E1340&amp;" "&amp;$F1340,Bonuses!$B$1:$G$1006,4,FALSE)))</f>
        <v/>
      </c>
      <c r="AE1340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1" spans="1:31" x14ac:dyDescent="0.25">
      <c r="A1341" s="50">
        <v>11926</v>
      </c>
      <c r="B1341" s="50">
        <f>COUNTIF(Table5[PID],A1341)</f>
        <v>1</v>
      </c>
      <c r="C1341" s="50" t="str">
        <f>IF(COUNTIF(Table3[[#All],[PID]],A1341)&gt;0,"P","B")</f>
        <v>B</v>
      </c>
      <c r="D1341" s="59" t="str">
        <f>IF($C1341="B",INDEX(Batters[[#All],[POS]],MATCH(Table5[[#This Row],[PID]],Batters[[#All],[PID]],0)),INDEX(Table3[[#All],[POS]],MATCH(Table5[[#This Row],[PID]],Table3[[#All],[PID]],0)))</f>
        <v>C</v>
      </c>
      <c r="E1341" s="52" t="str">
        <f>IF($C1341="B",INDEX(Batters[[#All],[First]],MATCH(Table5[[#This Row],[PID]],Batters[[#All],[PID]],0)),INDEX(Table3[[#All],[First]],MATCH(Table5[[#This Row],[PID]],Table3[[#All],[PID]],0)))</f>
        <v>William</v>
      </c>
      <c r="F1341" s="50" t="str">
        <f>IF($C1341="B",INDEX(Batters[[#All],[Last]],MATCH(A1341,Batters[[#All],[PID]],0)),INDEX(Table3[[#All],[Last]],MATCH(A1341,Table3[[#All],[PID]],0)))</f>
        <v>Olson</v>
      </c>
      <c r="G1341" s="56">
        <f>IF($C1341="B",INDEX(Batters[[#All],[Age]],MATCH(Table5[[#This Row],[PID]],Batters[[#All],[PID]],0)),INDEX(Table3[[#All],[Age]],MATCH(Table5[[#This Row],[PID]],Table3[[#All],[PID]],0)))</f>
        <v>22</v>
      </c>
      <c r="H1341" s="52" t="str">
        <f>IF($C1341="B",INDEX(Batters[[#All],[B]],MATCH(Table5[[#This Row],[PID]],Batters[[#All],[PID]],0)),INDEX(Table3[[#All],[B]],MATCH(Table5[[#This Row],[PID]],Table3[[#All],[PID]],0)))</f>
        <v>R</v>
      </c>
      <c r="I1341" s="70" t="str">
        <f>IF($C1341="B",INDEX(Batters[[#All],[T]],MATCH(Table5[[#This Row],[PID]],Batters[[#All],[PID]],0)),INDEX(Table3[[#All],[T]],MATCH(Table5[[#This Row],[PID]],Table3[[#All],[PID]],0)))</f>
        <v>R</v>
      </c>
      <c r="J1341" s="52" t="str">
        <f>IF($C1341="B",INDEX(Batters[[#All],[WE]],MATCH(Table5[[#This Row],[PID]],Batters[[#All],[PID]],0)),INDEX(Table3[[#All],[WE]],MATCH(Table5[[#This Row],[PID]],Table3[[#All],[PID]],0)))</f>
        <v>Low</v>
      </c>
      <c r="K1341" s="52" t="str">
        <f>IF($C1341="B",INDEX(Batters[[#All],[INT]],MATCH(Table5[[#This Row],[PID]],Batters[[#All],[PID]],0)),INDEX(Table3[[#All],[INT]],MATCH(Table5[[#This Row],[PID]],Table3[[#All],[PID]],0)))</f>
        <v>Normal</v>
      </c>
      <c r="L1341" s="60">
        <f>IF($C1341="B",INDEX(Batters[[#All],[CON P]],MATCH(Table5[[#This Row],[PID]],Batters[[#All],[PID]],0)),INDEX(Table3[[#All],[STU P]],MATCH(Table5[[#This Row],[PID]],Table3[[#All],[PID]],0)))</f>
        <v>3</v>
      </c>
      <c r="M1341" s="56">
        <f>IF($C1341="B",INDEX(Batters[[#All],[GAP P]],MATCH(Table5[[#This Row],[PID]],Batters[[#All],[PID]],0)),INDEX(Table3[[#All],[MOV P]],MATCH(Table5[[#This Row],[PID]],Table3[[#All],[PID]],0)))</f>
        <v>4</v>
      </c>
      <c r="N1341" s="56">
        <f>IF($C1341="B",INDEX(Batters[[#All],[POW P]],MATCH(Table5[[#This Row],[PID]],Batters[[#All],[PID]],0)),INDEX(Table3[[#All],[CON P]],MATCH(Table5[[#This Row],[PID]],Table3[[#All],[PID]],0)))</f>
        <v>4</v>
      </c>
      <c r="O1341" s="56">
        <f>IF($C1341="B",INDEX(Batters[[#All],[EYE P]],MATCH(Table5[[#This Row],[PID]],Batters[[#All],[PID]],0)),INDEX(Table3[[#All],[VELO]],MATCH(Table5[[#This Row],[PID]],Table3[[#All],[PID]],0)))</f>
        <v>5</v>
      </c>
      <c r="P1341" s="56">
        <f>IF($C1341="B",INDEX(Batters[[#All],[K P]],MATCH(Table5[[#This Row],[PID]],Batters[[#All],[PID]],0)),INDEX(Table3[[#All],[STM]],MATCH(Table5[[#This Row],[PID]],Table3[[#All],[PID]],0)))</f>
        <v>2</v>
      </c>
      <c r="Q1341" s="61">
        <f>IF($C1341="B",INDEX(Batters[[#All],[Tot]],MATCH(Table5[[#This Row],[PID]],Batters[[#All],[PID]],0)),INDEX(Table3[[#All],[Tot]],MATCH(Table5[[#This Row],[PID]],Table3[[#All],[PID]],0)))</f>
        <v>36.8951541292966</v>
      </c>
      <c r="R1341" s="70">
        <f>IF($C1341="B",INDEX(Batters[[#All],[zScore]],MATCH(Table5[[#This Row],[PID]],Batters[[#All],[PID]],0)),INDEX(Table3[[#All],[zScore]],MATCH(Table5[[#This Row],[PID]],Table3[[#All],[PID]],0)))</f>
        <v>-1.6044442819520128</v>
      </c>
      <c r="S1341" s="79" t="str">
        <f>IF($C1341="B",INDEX(Batters[[#All],[DEM]],MATCH(Table5[[#This Row],[PID]],Batters[[#All],[PID]],0)),INDEX(Table3[[#All],[DEM]],MATCH(Table5[[#This Row],[PID]],Table3[[#All],[PID]],0)))</f>
        <v>-</v>
      </c>
      <c r="T1341" s="62">
        <f>IF($C1341="B",INDEX(Batters[[#All],[Rnk]],MATCH(Table5[[#This Row],[PID]],Batters[[#All],[PID]],0)),INDEX(Table3[[#All],[Rnk]],MATCH(Table5[[#This Row],[PID]],Table3[[#All],[PID]],0)))</f>
        <v>556</v>
      </c>
      <c r="U1341" s="68">
        <f>IF($C1341="B",VLOOKUP($A1341,Bat!$A$4:$BA$1621,47,FALSE),VLOOKUP($A1341,Pit!$A$4:$BF$1557,56,FALSE))</f>
        <v>0</v>
      </c>
      <c r="V1341" s="50">
        <f>IF($C1341="B",VLOOKUP($A1341,Bat!$A$4:$BA$1621,48,FALSE),VLOOKUP($A1341,Pit!$A$4:$BF$1557,57,FALSE))</f>
        <v>0</v>
      </c>
      <c r="W1341" s="50">
        <f>Table5[[#This Row],[posRnk]]+Table5[[#This Row],[zRnk]]+IF($W$3&lt;&gt;Table5[[#This Row],[Type]],50,0)</f>
        <v>1934</v>
      </c>
      <c r="X1341" s="51">
        <f>RANK(Table5[[#This Row],[zScore]],Table5[[#All],[zScore]])</f>
        <v>1328</v>
      </c>
      <c r="Y1341" s="50" t="str">
        <f>IFERROR(INDEX(DraftResults[[#All],[OVR]],MATCH(Table5[[#This Row],[PID]],DraftResults[[#All],[Player ID]],0)),"")</f>
        <v/>
      </c>
      <c r="Z13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1" s="50" t="str">
        <f>IFERROR(INDEX(DraftResults[[#All],[Pick in Round]],MATCH(Table5[[#This Row],[PID]],DraftResults[[#All],[Player ID]],0)),"")</f>
        <v/>
      </c>
      <c r="AB1341" s="50" t="str">
        <f>IFERROR(INDEX(DraftResults[[#All],[Team Name]],MATCH(Table5[[#This Row],[PID]],DraftResults[[#All],[Player ID]],0)),"")</f>
        <v/>
      </c>
      <c r="AC1341" s="50" t="str">
        <f>IF(Table5[[#This Row],[Ovr]]="","",IF(Table5[[#This Row],[cmbList]]="","",Table5[[#This Row],[cmbList]]-Table5[[#This Row],[Ovr]]))</f>
        <v/>
      </c>
      <c r="AD1341" s="54" t="str">
        <f>IF(ISERROR(VLOOKUP($AB1341&amp;"-"&amp;$E1341&amp;" "&amp;F1341,Bonuses!$B$1:$G$1006,4,FALSE)),"",INT(VLOOKUP($AB1341&amp;"-"&amp;$E1341&amp;" "&amp;$F1341,Bonuses!$B$1:$G$1006,4,FALSE)))</f>
        <v/>
      </c>
      <c r="AE13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2" spans="1:31" x14ac:dyDescent="0.25">
      <c r="A1342" s="50">
        <v>18079</v>
      </c>
      <c r="B1342" s="50">
        <f>COUNTIF(Table5[PID],A1342)</f>
        <v>1</v>
      </c>
      <c r="C1342" s="50" t="str">
        <f>IF(COUNTIF(Table3[[#All],[PID]],A1342)&gt;0,"P","B")</f>
        <v>B</v>
      </c>
      <c r="D1342" s="59" t="str">
        <f>IF($C1342="B",INDEX(Batters[[#All],[POS]],MATCH(Table5[[#This Row],[PID]],Batters[[#All],[PID]],0)),INDEX(Table3[[#All],[POS]],MATCH(Table5[[#This Row],[PID]],Table3[[#All],[PID]],0)))</f>
        <v>LF</v>
      </c>
      <c r="E1342" s="52" t="str">
        <f>IF($C1342="B",INDEX(Batters[[#All],[First]],MATCH(Table5[[#This Row],[PID]],Batters[[#All],[PID]],0)),INDEX(Table3[[#All],[First]],MATCH(Table5[[#This Row],[PID]],Table3[[#All],[PID]],0)))</f>
        <v>Anderson</v>
      </c>
      <c r="F1342" s="50" t="str">
        <f>IF($C1342="B",INDEX(Batters[[#All],[Last]],MATCH(A1342,Batters[[#All],[PID]],0)),INDEX(Table3[[#All],[Last]],MATCH(A1342,Table3[[#All],[PID]],0)))</f>
        <v>Lowry</v>
      </c>
      <c r="G1342" s="56">
        <f>IF($C1342="B",INDEX(Batters[[#All],[Age]],MATCH(Table5[[#This Row],[PID]],Batters[[#All],[PID]],0)),INDEX(Table3[[#All],[Age]],MATCH(Table5[[#This Row],[PID]],Table3[[#All],[PID]],0)))</f>
        <v>21</v>
      </c>
      <c r="H1342" s="52" t="str">
        <f>IF($C1342="B",INDEX(Batters[[#All],[B]],MATCH(Table5[[#This Row],[PID]],Batters[[#All],[PID]],0)),INDEX(Table3[[#All],[B]],MATCH(Table5[[#This Row],[PID]],Table3[[#All],[PID]],0)))</f>
        <v>R</v>
      </c>
      <c r="I1342" s="70" t="str">
        <f>IF($C1342="B",INDEX(Batters[[#All],[T]],MATCH(Table5[[#This Row],[PID]],Batters[[#All],[PID]],0)),INDEX(Table3[[#All],[T]],MATCH(Table5[[#This Row],[PID]],Table3[[#All],[PID]],0)))</f>
        <v>R</v>
      </c>
      <c r="J1342" s="52" t="str">
        <f>IF($C1342="B",INDEX(Batters[[#All],[WE]],MATCH(Table5[[#This Row],[PID]],Batters[[#All],[PID]],0)),INDEX(Table3[[#All],[WE]],MATCH(Table5[[#This Row],[PID]],Table3[[#All],[PID]],0)))</f>
        <v>High</v>
      </c>
      <c r="K1342" s="52" t="str">
        <f>IF($C1342="B",INDEX(Batters[[#All],[INT]],MATCH(Table5[[#This Row],[PID]],Batters[[#All],[PID]],0)),INDEX(Table3[[#All],[INT]],MATCH(Table5[[#This Row],[PID]],Table3[[#All],[PID]],0)))</f>
        <v>Normal</v>
      </c>
      <c r="L1342" s="60">
        <f>IF($C1342="B",INDEX(Batters[[#All],[CON P]],MATCH(Table5[[#This Row],[PID]],Batters[[#All],[PID]],0)),INDEX(Table3[[#All],[STU P]],MATCH(Table5[[#This Row],[PID]],Table3[[#All],[PID]],0)))</f>
        <v>3</v>
      </c>
      <c r="M1342" s="56">
        <f>IF($C1342="B",INDEX(Batters[[#All],[GAP P]],MATCH(Table5[[#This Row],[PID]],Batters[[#All],[PID]],0)),INDEX(Table3[[#All],[MOV P]],MATCH(Table5[[#This Row],[PID]],Table3[[#All],[PID]],0)))</f>
        <v>4</v>
      </c>
      <c r="N1342" s="56">
        <f>IF($C1342="B",INDEX(Batters[[#All],[POW P]],MATCH(Table5[[#This Row],[PID]],Batters[[#All],[PID]],0)),INDEX(Table3[[#All],[CON P]],MATCH(Table5[[#This Row],[PID]],Table3[[#All],[PID]],0)))</f>
        <v>2</v>
      </c>
      <c r="O1342" s="56">
        <f>IF($C1342="B",INDEX(Batters[[#All],[EYE P]],MATCH(Table5[[#This Row],[PID]],Batters[[#All],[PID]],0)),INDEX(Table3[[#All],[VELO]],MATCH(Table5[[#This Row],[PID]],Table3[[#All],[PID]],0)))</f>
        <v>5</v>
      </c>
      <c r="P1342" s="56">
        <f>IF($C1342="B",INDEX(Batters[[#All],[K P]],MATCH(Table5[[#This Row],[PID]],Batters[[#All],[PID]],0)),INDEX(Table3[[#All],[STM]],MATCH(Table5[[#This Row],[PID]],Table3[[#All],[PID]],0)))</f>
        <v>4</v>
      </c>
      <c r="Q1342" s="61">
        <f>IF($C1342="B",INDEX(Batters[[#All],[Tot]],MATCH(Table5[[#This Row],[PID]],Batters[[#All],[PID]],0)),INDEX(Table3[[#All],[Tot]],MATCH(Table5[[#This Row],[PID]],Table3[[#All],[PID]],0)))</f>
        <v>36.882602062038721</v>
      </c>
      <c r="R1342" s="70">
        <f>IF($C1342="B",INDEX(Batters[[#All],[zScore]],MATCH(Table5[[#This Row],[PID]],Batters[[#All],[PID]],0)),INDEX(Table3[[#All],[zScore]],MATCH(Table5[[#This Row],[PID]],Table3[[#All],[PID]],0)))</f>
        <v>-1.607227160107185</v>
      </c>
      <c r="S1342" s="79" t="str">
        <f>IF($C1342="B",INDEX(Batters[[#All],[DEM]],MATCH(Table5[[#This Row],[PID]],Batters[[#All],[PID]],0)),INDEX(Table3[[#All],[DEM]],MATCH(Table5[[#This Row],[PID]],Table3[[#All],[PID]],0)))</f>
        <v>-</v>
      </c>
      <c r="T1342" s="62">
        <f>IF($C1342="B",INDEX(Batters[[#All],[Rnk]],MATCH(Table5[[#This Row],[PID]],Batters[[#All],[PID]],0)),INDEX(Table3[[#All],[Rnk]],MATCH(Table5[[#This Row],[PID]],Table3[[#All],[PID]],0)))</f>
        <v>557</v>
      </c>
      <c r="U1342" s="68">
        <f>IF($C1342="B",VLOOKUP($A1342,Bat!$A$4:$BA$1621,47,FALSE),VLOOKUP($A1342,Pit!$A$4:$BF$1557,56,FALSE))</f>
        <v>0</v>
      </c>
      <c r="V1342" s="50">
        <f>IF($C1342="B",VLOOKUP($A1342,Bat!$A$4:$BA$1621,48,FALSE),VLOOKUP($A1342,Pit!$A$4:$BF$1557,57,FALSE))</f>
        <v>0</v>
      </c>
      <c r="W1342" s="50">
        <f>Table5[[#This Row],[posRnk]]+Table5[[#This Row],[zRnk]]+IF($W$3&lt;&gt;Table5[[#This Row],[Type]],50,0)</f>
        <v>1936</v>
      </c>
      <c r="X1342" s="51">
        <f>RANK(Table5[[#This Row],[zScore]],Table5[[#All],[zScore]])</f>
        <v>1329</v>
      </c>
      <c r="Y1342" s="50" t="str">
        <f>IFERROR(INDEX(DraftResults[[#All],[OVR]],MATCH(Table5[[#This Row],[PID]],DraftResults[[#All],[Player ID]],0)),"")</f>
        <v/>
      </c>
      <c r="Z13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2" s="50" t="str">
        <f>IFERROR(INDEX(DraftResults[[#All],[Pick in Round]],MATCH(Table5[[#This Row],[PID]],DraftResults[[#All],[Player ID]],0)),"")</f>
        <v/>
      </c>
      <c r="AB1342" s="50" t="str">
        <f>IFERROR(INDEX(DraftResults[[#All],[Team Name]],MATCH(Table5[[#This Row],[PID]],DraftResults[[#All],[Player ID]],0)),"")</f>
        <v/>
      </c>
      <c r="AC1342" s="50" t="str">
        <f>IF(Table5[[#This Row],[Ovr]]="","",IF(Table5[[#This Row],[cmbList]]="","",Table5[[#This Row],[cmbList]]-Table5[[#This Row],[Ovr]]))</f>
        <v/>
      </c>
      <c r="AD1342" s="54" t="str">
        <f>IF(ISERROR(VLOOKUP($AB1342&amp;"-"&amp;$E1342&amp;" "&amp;F1342,Bonuses!$B$1:$G$1006,4,FALSE)),"",INT(VLOOKUP($AB1342&amp;"-"&amp;$E1342&amp;" "&amp;$F1342,Bonuses!$B$1:$G$1006,4,FALSE)))</f>
        <v/>
      </c>
      <c r="AE13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3" spans="1:31" x14ac:dyDescent="0.25">
      <c r="A1343" s="68">
        <v>14054</v>
      </c>
      <c r="B1343" s="69">
        <f>COUNTIF(Table5[PID],A1343)</f>
        <v>1</v>
      </c>
      <c r="C1343" s="69" t="str">
        <f>IF(COUNTIF(Table3[[#All],[PID]],A1343)&gt;0,"P","B")</f>
        <v>P</v>
      </c>
      <c r="D1343" s="59" t="str">
        <f>IF($C1343="B",INDEX(Batters[[#All],[POS]],MATCH(Table5[[#This Row],[PID]],Batters[[#All],[PID]],0)),INDEX(Table3[[#All],[POS]],MATCH(Table5[[#This Row],[PID]],Table3[[#All],[PID]],0)))</f>
        <v>RP</v>
      </c>
      <c r="E1343" s="52" t="str">
        <f>IF($C1343="B",INDEX(Batters[[#All],[First]],MATCH(Table5[[#This Row],[PID]],Batters[[#All],[PID]],0)),INDEX(Table3[[#All],[First]],MATCH(Table5[[#This Row],[PID]],Table3[[#All],[PID]],0)))</f>
        <v>Remke</v>
      </c>
      <c r="F1343" s="55" t="str">
        <f>IF($C1343="B",INDEX(Batters[[#All],[Last]],MATCH(A1343,Batters[[#All],[PID]],0)),INDEX(Table3[[#All],[Last]],MATCH(A1343,Table3[[#All],[PID]],0)))</f>
        <v>Steenis</v>
      </c>
      <c r="G1343" s="56">
        <f>IF($C1343="B",INDEX(Batters[[#All],[Age]],MATCH(Table5[[#This Row],[PID]],Batters[[#All],[PID]],0)),INDEX(Table3[[#All],[Age]],MATCH(Table5[[#This Row],[PID]],Table3[[#All],[PID]],0)))</f>
        <v>21</v>
      </c>
      <c r="H1343" s="52" t="str">
        <f>IF($C1343="B",INDEX(Batters[[#All],[B]],MATCH(Table5[[#This Row],[PID]],Batters[[#All],[PID]],0)),INDEX(Table3[[#All],[B]],MATCH(Table5[[#This Row],[PID]],Table3[[#All],[PID]],0)))</f>
        <v>R</v>
      </c>
      <c r="I1343" s="70" t="str">
        <f>IF($C1343="B",INDEX(Batters[[#All],[T]],MATCH(Table5[[#This Row],[PID]],Batters[[#All],[PID]],0)),INDEX(Table3[[#All],[T]],MATCH(Table5[[#This Row],[PID]],Table3[[#All],[PID]],0)))</f>
        <v>R</v>
      </c>
      <c r="J1343" s="71" t="str">
        <f>IF($C1343="B",INDEX(Batters[[#All],[WE]],MATCH(Table5[[#This Row],[PID]],Batters[[#All],[PID]],0)),INDEX(Table3[[#All],[WE]],MATCH(Table5[[#This Row],[PID]],Table3[[#All],[PID]],0)))</f>
        <v>Low</v>
      </c>
      <c r="K1343" s="52" t="str">
        <f>IF($C1343="B",INDEX(Batters[[#All],[INT]],MATCH(Table5[[#This Row],[PID]],Batters[[#All],[PID]],0)),INDEX(Table3[[#All],[INT]],MATCH(Table5[[#This Row],[PID]],Table3[[#All],[PID]],0)))</f>
        <v>Low</v>
      </c>
      <c r="L1343" s="60">
        <f>IF($C1343="B",INDEX(Batters[[#All],[CON P]],MATCH(Table5[[#This Row],[PID]],Batters[[#All],[PID]],0)),INDEX(Table3[[#All],[STU P]],MATCH(Table5[[#This Row],[PID]],Table3[[#All],[PID]],0)))</f>
        <v>4</v>
      </c>
      <c r="M1343" s="72">
        <f>IF($C1343="B",INDEX(Batters[[#All],[GAP P]],MATCH(Table5[[#This Row],[PID]],Batters[[#All],[PID]],0)),INDEX(Table3[[#All],[MOV P]],MATCH(Table5[[#This Row],[PID]],Table3[[#All],[PID]],0)))</f>
        <v>1</v>
      </c>
      <c r="N1343" s="72">
        <f>IF($C1343="B",INDEX(Batters[[#All],[POW P]],MATCH(Table5[[#This Row],[PID]],Batters[[#All],[PID]],0)),INDEX(Table3[[#All],[CON P]],MATCH(Table5[[#This Row],[PID]],Table3[[#All],[PID]],0)))</f>
        <v>2</v>
      </c>
      <c r="O1343" s="72" t="str">
        <f>IF($C1343="B",INDEX(Batters[[#All],[EYE P]],MATCH(Table5[[#This Row],[PID]],Batters[[#All],[PID]],0)),INDEX(Table3[[#All],[VELO]],MATCH(Table5[[#This Row],[PID]],Table3[[#All],[PID]],0)))</f>
        <v>85-87 Mph</v>
      </c>
      <c r="P1343" s="56">
        <f>IF($C1343="B",INDEX(Batters[[#All],[K P]],MATCH(Table5[[#This Row],[PID]],Batters[[#All],[PID]],0)),INDEX(Table3[[#All],[STM]],MATCH(Table5[[#This Row],[PID]],Table3[[#All],[PID]],0)))</f>
        <v>6</v>
      </c>
      <c r="Q1343" s="61">
        <f>IF($C1343="B",INDEX(Batters[[#All],[Tot]],MATCH(Table5[[#This Row],[PID]],Batters[[#All],[PID]],0)),INDEX(Table3[[#All],[Tot]],MATCH(Table5[[#This Row],[PID]],Table3[[#All],[PID]],0)))</f>
        <v>14.53643270758603</v>
      </c>
      <c r="R1343" s="70">
        <f>IF($C1343="B",INDEX(Batters[[#All],[zScore]],MATCH(Table5[[#This Row],[PID]],Batters[[#All],[PID]],0)),INDEX(Table3[[#All],[zScore]],MATCH(Table5[[#This Row],[PID]],Table3[[#All],[PID]],0)))</f>
        <v>-1.6095615269843566</v>
      </c>
      <c r="S1343" s="74" t="str">
        <f>IF($C1343="B",INDEX(Batters[[#All],[DEM]],MATCH(Table5[[#This Row],[PID]],Batters[[#All],[PID]],0)),INDEX(Table3[[#All],[DEM]],MATCH(Table5[[#This Row],[PID]],Table3[[#All],[PID]],0)))</f>
        <v>-</v>
      </c>
      <c r="T1343" s="75">
        <f>IF($C1343="B",INDEX(Batters[[#All],[Rnk]],MATCH(Table5[[#This Row],[PID]],Batters[[#All],[PID]],0)),INDEX(Table3[[#All],[Rnk]],MATCH(Table5[[#This Row],[PID]],Table3[[#All],[PID]],0)))</f>
        <v>772</v>
      </c>
      <c r="U1343" s="68">
        <f>IF($C1343="B",VLOOKUP($A1343,Bat!$A$4:$BA$1621,47,FALSE),VLOOKUP($A1343,Pit!$A$4:$BF$1557,56,FALSE))</f>
        <v>0</v>
      </c>
      <c r="V1343" s="50">
        <f>IF($C1343="B",VLOOKUP($A1343,Bat!$A$4:$BA$1621,48,FALSE),VLOOKUP($A1343,Pit!$A$4:$BF$1557,57,FALSE))</f>
        <v>0</v>
      </c>
      <c r="W1343" s="69">
        <f>Table5[[#This Row],[posRnk]]+Table5[[#This Row],[zRnk]]+IF($W$3&lt;&gt;Table5[[#This Row],[Type]],50,0)</f>
        <v>2152</v>
      </c>
      <c r="X1343" s="73">
        <f>RANK(Table5[[#This Row],[zScore]],Table5[[#All],[zScore]])</f>
        <v>1330</v>
      </c>
      <c r="Y1343" s="69" t="str">
        <f>IFERROR(INDEX(DraftResults[[#All],[OVR]],MATCH(Table5[[#This Row],[PID]],DraftResults[[#All],[Player ID]],0)),"")</f>
        <v/>
      </c>
      <c r="Z1343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3" s="69" t="str">
        <f>IFERROR(INDEX(DraftResults[[#All],[Pick in Round]],MATCH(Table5[[#This Row],[PID]],DraftResults[[#All],[Player ID]],0)),"")</f>
        <v/>
      </c>
      <c r="AB1343" s="69" t="str">
        <f>IFERROR(INDEX(DraftResults[[#All],[Team Name]],MATCH(Table5[[#This Row],[PID]],DraftResults[[#All],[Player ID]],0)),"")</f>
        <v/>
      </c>
      <c r="AC1343" s="69" t="str">
        <f>IF(Table5[[#This Row],[Ovr]]="","",IF(Table5[[#This Row],[cmbList]]="","",Table5[[#This Row],[cmbList]]-Table5[[#This Row],[Ovr]]))</f>
        <v/>
      </c>
      <c r="AD1343" s="77" t="str">
        <f>IF(ISERROR(VLOOKUP($AB1343&amp;"-"&amp;$E1343&amp;" "&amp;F1343,Bonuses!$B$1:$G$1006,4,FALSE)),"",INT(VLOOKUP($AB1343&amp;"-"&amp;$E1343&amp;" "&amp;$F1343,Bonuses!$B$1:$G$1006,4,FALSE)))</f>
        <v/>
      </c>
      <c r="AE1343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4" spans="1:31" x14ac:dyDescent="0.25">
      <c r="A1344" s="68">
        <v>13394</v>
      </c>
      <c r="B1344" s="69">
        <f>COUNTIF(Table5[PID],A1344)</f>
        <v>1</v>
      </c>
      <c r="C1344" s="69" t="str">
        <f>IF(COUNTIF(Table3[[#All],[PID]],A1344)&gt;0,"P","B")</f>
        <v>P</v>
      </c>
      <c r="D1344" s="59" t="str">
        <f>IF($C1344="B",INDEX(Batters[[#All],[POS]],MATCH(Table5[[#This Row],[PID]],Batters[[#All],[PID]],0)),INDEX(Table3[[#All],[POS]],MATCH(Table5[[#This Row],[PID]],Table3[[#All],[PID]],0)))</f>
        <v>RP</v>
      </c>
      <c r="E1344" s="52" t="str">
        <f>IF($C1344="B",INDEX(Batters[[#All],[First]],MATCH(Table5[[#This Row],[PID]],Batters[[#All],[PID]],0)),INDEX(Table3[[#All],[First]],MATCH(Table5[[#This Row],[PID]],Table3[[#All],[PID]],0)))</f>
        <v>Michael</v>
      </c>
      <c r="F1344" s="55" t="str">
        <f>IF($C1344="B",INDEX(Batters[[#All],[Last]],MATCH(A1344,Batters[[#All],[PID]],0)),INDEX(Table3[[#All],[Last]],MATCH(A1344,Table3[[#All],[PID]],0)))</f>
        <v>Blennerhassett</v>
      </c>
      <c r="G1344" s="56">
        <f>IF($C1344="B",INDEX(Batters[[#All],[Age]],MATCH(Table5[[#This Row],[PID]],Batters[[#All],[PID]],0)),INDEX(Table3[[#All],[Age]],MATCH(Table5[[#This Row],[PID]],Table3[[#All],[PID]],0)))</f>
        <v>22</v>
      </c>
      <c r="H1344" s="52" t="str">
        <f>IF($C1344="B",INDEX(Batters[[#All],[B]],MATCH(Table5[[#This Row],[PID]],Batters[[#All],[PID]],0)),INDEX(Table3[[#All],[B]],MATCH(Table5[[#This Row],[PID]],Table3[[#All],[PID]],0)))</f>
        <v>R</v>
      </c>
      <c r="I1344" s="70" t="str">
        <f>IF($C1344="B",INDEX(Batters[[#All],[T]],MATCH(Table5[[#This Row],[PID]],Batters[[#All],[PID]],0)),INDEX(Table3[[#All],[T]],MATCH(Table5[[#This Row],[PID]],Table3[[#All],[PID]],0)))</f>
        <v>R</v>
      </c>
      <c r="J1344" s="71" t="str">
        <f>IF($C1344="B",INDEX(Batters[[#All],[WE]],MATCH(Table5[[#This Row],[PID]],Batters[[#All],[PID]],0)),INDEX(Table3[[#All],[WE]],MATCH(Table5[[#This Row],[PID]],Table3[[#All],[PID]],0)))</f>
        <v>Low</v>
      </c>
      <c r="K1344" s="52" t="str">
        <f>IF($C1344="B",INDEX(Batters[[#All],[INT]],MATCH(Table5[[#This Row],[PID]],Batters[[#All],[PID]],0)),INDEX(Table3[[#All],[INT]],MATCH(Table5[[#This Row],[PID]],Table3[[#All],[PID]],0)))</f>
        <v>Normal</v>
      </c>
      <c r="L1344" s="60">
        <f>IF($C1344="B",INDEX(Batters[[#All],[CON P]],MATCH(Table5[[#This Row],[PID]],Batters[[#All],[PID]],0)),INDEX(Table3[[#All],[STU P]],MATCH(Table5[[#This Row],[PID]],Table3[[#All],[PID]],0)))</f>
        <v>3</v>
      </c>
      <c r="M1344" s="72">
        <f>IF($C1344="B",INDEX(Batters[[#All],[GAP P]],MATCH(Table5[[#This Row],[PID]],Batters[[#All],[PID]],0)),INDEX(Table3[[#All],[MOV P]],MATCH(Table5[[#This Row],[PID]],Table3[[#All],[PID]],0)))</f>
        <v>2</v>
      </c>
      <c r="N1344" s="72">
        <f>IF($C1344="B",INDEX(Batters[[#All],[POW P]],MATCH(Table5[[#This Row],[PID]],Batters[[#All],[PID]],0)),INDEX(Table3[[#All],[CON P]],MATCH(Table5[[#This Row],[PID]],Table3[[#All],[PID]],0)))</f>
        <v>2</v>
      </c>
      <c r="O1344" s="72" t="str">
        <f>IF($C1344="B",INDEX(Batters[[#All],[EYE P]],MATCH(Table5[[#This Row],[PID]],Batters[[#All],[PID]],0)),INDEX(Table3[[#All],[VELO]],MATCH(Table5[[#This Row],[PID]],Table3[[#All],[PID]],0)))</f>
        <v>87-89 Mph</v>
      </c>
      <c r="P1344" s="56">
        <f>IF($C1344="B",INDEX(Batters[[#All],[K P]],MATCH(Table5[[#This Row],[PID]],Batters[[#All],[PID]],0)),INDEX(Table3[[#All],[STM]],MATCH(Table5[[#This Row],[PID]],Table3[[#All],[PID]],0)))</f>
        <v>9</v>
      </c>
      <c r="Q1344" s="61">
        <f>IF($C1344="B",INDEX(Batters[[#All],[Tot]],MATCH(Table5[[#This Row],[PID]],Batters[[#All],[PID]],0)),INDEX(Table3[[#All],[Tot]],MATCH(Table5[[#This Row],[PID]],Table3[[#All],[PID]],0)))</f>
        <v>11.670014415958867</v>
      </c>
      <c r="R1344" s="70">
        <f>IF($C1344="B",INDEX(Batters[[#All],[zScore]],MATCH(Table5[[#This Row],[PID]],Batters[[#All],[PID]],0)),INDEX(Table3[[#All],[zScore]],MATCH(Table5[[#This Row],[PID]],Table3[[#All],[PID]],0)))</f>
        <v>-1.6100230575313046</v>
      </c>
      <c r="S1344" s="74" t="str">
        <f>IF($C1344="B",INDEX(Batters[[#All],[DEM]],MATCH(Table5[[#This Row],[PID]],Batters[[#All],[PID]],0)),INDEX(Table3[[#All],[DEM]],MATCH(Table5[[#This Row],[PID]],Table3[[#All],[PID]],0)))</f>
        <v>-</v>
      </c>
      <c r="T1344" s="75">
        <f>IF($C1344="B",INDEX(Batters[[#All],[Rnk]],MATCH(Table5[[#This Row],[PID]],Batters[[#All],[PID]],0)),INDEX(Table3[[#All],[Rnk]],MATCH(Table5[[#This Row],[PID]],Table3[[#All],[PID]],0)))</f>
        <v>773</v>
      </c>
      <c r="U1344" s="68">
        <f>IF($C1344="B",VLOOKUP($A1344,Bat!$A$4:$BA$1621,47,FALSE),VLOOKUP($A1344,Pit!$A$4:$BF$1557,56,FALSE))</f>
        <v>0</v>
      </c>
      <c r="V1344" s="50">
        <f>IF($C1344="B",VLOOKUP($A1344,Bat!$A$4:$BA$1621,48,FALSE),VLOOKUP($A1344,Pit!$A$4:$BF$1557,57,FALSE))</f>
        <v>0</v>
      </c>
      <c r="W1344" s="69">
        <f>Table5[[#This Row],[posRnk]]+Table5[[#This Row],[zRnk]]+IF($W$3&lt;&gt;Table5[[#This Row],[Type]],50,0)</f>
        <v>2154</v>
      </c>
      <c r="X1344" s="73">
        <f>RANK(Table5[[#This Row],[zScore]],Table5[[#All],[zScore]])</f>
        <v>1331</v>
      </c>
      <c r="Y1344" s="69" t="str">
        <f>IFERROR(INDEX(DraftResults[[#All],[OVR]],MATCH(Table5[[#This Row],[PID]],DraftResults[[#All],[Player ID]],0)),"")</f>
        <v/>
      </c>
      <c r="Z1344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4" s="69" t="str">
        <f>IFERROR(INDEX(DraftResults[[#All],[Pick in Round]],MATCH(Table5[[#This Row],[PID]],DraftResults[[#All],[Player ID]],0)),"")</f>
        <v/>
      </c>
      <c r="AB1344" s="69" t="str">
        <f>IFERROR(INDEX(DraftResults[[#All],[Team Name]],MATCH(Table5[[#This Row],[PID]],DraftResults[[#All],[Player ID]],0)),"")</f>
        <v/>
      </c>
      <c r="AC1344" s="69" t="str">
        <f>IF(Table5[[#This Row],[Ovr]]="","",IF(Table5[[#This Row],[cmbList]]="","",Table5[[#This Row],[cmbList]]-Table5[[#This Row],[Ovr]]))</f>
        <v/>
      </c>
      <c r="AD1344" s="77" t="str">
        <f>IF(ISERROR(VLOOKUP($AB1344&amp;"-"&amp;$E1344&amp;" "&amp;F1344,Bonuses!$B$1:$G$1006,4,FALSE)),"",INT(VLOOKUP($AB1344&amp;"-"&amp;$E1344&amp;" "&amp;$F1344,Bonuses!$B$1:$G$1006,4,FALSE)))</f>
        <v/>
      </c>
      <c r="AE1344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5" spans="1:31" x14ac:dyDescent="0.25">
      <c r="A1345" s="68">
        <v>20757</v>
      </c>
      <c r="B1345" s="69">
        <f>COUNTIF(Table5[PID],A1345)</f>
        <v>1</v>
      </c>
      <c r="C1345" s="69" t="str">
        <f>IF(COUNTIF(Table3[[#All],[PID]],A1345)&gt;0,"P","B")</f>
        <v>P</v>
      </c>
      <c r="D1345" s="59" t="str">
        <f>IF($C1345="B",INDEX(Batters[[#All],[POS]],MATCH(Table5[[#This Row],[PID]],Batters[[#All],[PID]],0)),INDEX(Table3[[#All],[POS]],MATCH(Table5[[#This Row],[PID]],Table3[[#All],[PID]],0)))</f>
        <v>RP</v>
      </c>
      <c r="E1345" s="52" t="str">
        <f>IF($C1345="B",INDEX(Batters[[#All],[First]],MATCH(Table5[[#This Row],[PID]],Batters[[#All],[PID]],0)),INDEX(Table3[[#All],[First]],MATCH(Table5[[#This Row],[PID]],Table3[[#All],[PID]],0)))</f>
        <v>Ben</v>
      </c>
      <c r="F1345" s="55" t="str">
        <f>IF($C1345="B",INDEX(Batters[[#All],[Last]],MATCH(A1345,Batters[[#All],[PID]],0)),INDEX(Table3[[#All],[Last]],MATCH(A1345,Table3[[#All],[PID]],0)))</f>
        <v>Hamilton</v>
      </c>
      <c r="G1345" s="56">
        <f>IF($C1345="B",INDEX(Batters[[#All],[Age]],MATCH(Table5[[#This Row],[PID]],Batters[[#All],[PID]],0)),INDEX(Table3[[#All],[Age]],MATCH(Table5[[#This Row],[PID]],Table3[[#All],[PID]],0)))</f>
        <v>18</v>
      </c>
      <c r="H1345" s="52" t="str">
        <f>IF($C1345="B",INDEX(Batters[[#All],[B]],MATCH(Table5[[#This Row],[PID]],Batters[[#All],[PID]],0)),INDEX(Table3[[#All],[B]],MATCH(Table5[[#This Row],[PID]],Table3[[#All],[PID]],0)))</f>
        <v>R</v>
      </c>
      <c r="I1345" s="70" t="str">
        <f>IF($C1345="B",INDEX(Batters[[#All],[T]],MATCH(Table5[[#This Row],[PID]],Batters[[#All],[PID]],0)),INDEX(Table3[[#All],[T]],MATCH(Table5[[#This Row],[PID]],Table3[[#All],[PID]],0)))</f>
        <v>R</v>
      </c>
      <c r="J1345" s="71" t="str">
        <f>IF($C1345="B",INDEX(Batters[[#All],[WE]],MATCH(Table5[[#This Row],[PID]],Batters[[#All],[PID]],0)),INDEX(Table3[[#All],[WE]],MATCH(Table5[[#This Row],[PID]],Table3[[#All],[PID]],0)))</f>
        <v>Low</v>
      </c>
      <c r="K1345" s="52" t="str">
        <f>IF($C1345="B",INDEX(Batters[[#All],[INT]],MATCH(Table5[[#This Row],[PID]],Batters[[#All],[PID]],0)),INDEX(Table3[[#All],[INT]],MATCH(Table5[[#This Row],[PID]],Table3[[#All],[PID]],0)))</f>
        <v>Normal</v>
      </c>
      <c r="L1345" s="60">
        <f>IF($C1345="B",INDEX(Batters[[#All],[CON P]],MATCH(Table5[[#This Row],[PID]],Batters[[#All],[PID]],0)),INDEX(Table3[[#All],[STU P]],MATCH(Table5[[#This Row],[PID]],Table3[[#All],[PID]],0)))</f>
        <v>3</v>
      </c>
      <c r="M1345" s="72">
        <f>IF($C1345="B",INDEX(Batters[[#All],[GAP P]],MATCH(Table5[[#This Row],[PID]],Batters[[#All],[PID]],0)),INDEX(Table3[[#All],[MOV P]],MATCH(Table5[[#This Row],[PID]],Table3[[#All],[PID]],0)))</f>
        <v>1</v>
      </c>
      <c r="N1345" s="72">
        <f>IF($C1345="B",INDEX(Batters[[#All],[POW P]],MATCH(Table5[[#This Row],[PID]],Batters[[#All],[PID]],0)),INDEX(Table3[[#All],[CON P]],MATCH(Table5[[#This Row],[PID]],Table3[[#All],[PID]],0)))</f>
        <v>2</v>
      </c>
      <c r="O1345" s="72" t="str">
        <f>IF($C1345="B",INDEX(Batters[[#All],[EYE P]],MATCH(Table5[[#This Row],[PID]],Batters[[#All],[PID]],0)),INDEX(Table3[[#All],[VELO]],MATCH(Table5[[#This Row],[PID]],Table3[[#All],[PID]],0)))</f>
        <v>86-88 Mph</v>
      </c>
      <c r="P1345" s="56">
        <f>IF($C1345="B",INDEX(Batters[[#All],[K P]],MATCH(Table5[[#This Row],[PID]],Batters[[#All],[PID]],0)),INDEX(Table3[[#All],[STM]],MATCH(Table5[[#This Row],[PID]],Table3[[#All],[PID]],0)))</f>
        <v>7</v>
      </c>
      <c r="Q1345" s="61">
        <f>IF($C1345="B",INDEX(Batters[[#All],[Tot]],MATCH(Table5[[#This Row],[PID]],Batters[[#All],[PID]],0)),INDEX(Table3[[#All],[Tot]],MATCH(Table5[[#This Row],[PID]],Table3[[#All],[PID]],0)))</f>
        <v>14.275278823782845</v>
      </c>
      <c r="R1345" s="70">
        <f>IF($C1345="B",INDEX(Batters[[#All],[zScore]],MATCH(Table5[[#This Row],[PID]],Batters[[#All],[PID]],0)),INDEX(Table3[[#All],[zScore]],MATCH(Table5[[#This Row],[PID]],Table3[[#All],[PID]],0)))</f>
        <v>-1.6116951532958026</v>
      </c>
      <c r="S1345" s="74" t="str">
        <f>IF($C1345="B",INDEX(Batters[[#All],[DEM]],MATCH(Table5[[#This Row],[PID]],Batters[[#All],[PID]],0)),INDEX(Table3[[#All],[DEM]],MATCH(Table5[[#This Row],[PID]],Table3[[#All],[PID]],0)))</f>
        <v>$90k</v>
      </c>
      <c r="T1345" s="75">
        <f>IF($C1345="B",INDEX(Batters[[#All],[Rnk]],MATCH(Table5[[#This Row],[PID]],Batters[[#All],[PID]],0)),INDEX(Table3[[#All],[Rnk]],MATCH(Table5[[#This Row],[PID]],Table3[[#All],[PID]],0)))</f>
        <v>774</v>
      </c>
      <c r="U1345" s="68">
        <f>IF($C1345="B",VLOOKUP($A1345,Bat!$A$4:$BA$1621,47,FALSE),VLOOKUP($A1345,Pit!$A$4:$BF$1557,56,FALSE))</f>
        <v>0</v>
      </c>
      <c r="V1345" s="50">
        <f>IF($C1345="B",VLOOKUP($A1345,Bat!$A$4:$BA$1621,48,FALSE),VLOOKUP($A1345,Pit!$A$4:$BF$1557,57,FALSE))</f>
        <v>0</v>
      </c>
      <c r="W1345" s="69">
        <f>Table5[[#This Row],[posRnk]]+Table5[[#This Row],[zRnk]]+IF($W$3&lt;&gt;Table5[[#This Row],[Type]],50,0)</f>
        <v>2156</v>
      </c>
      <c r="X1345" s="73">
        <f>RANK(Table5[[#This Row],[zScore]],Table5[[#All],[zScore]])</f>
        <v>1332</v>
      </c>
      <c r="Y1345" s="69" t="str">
        <f>IFERROR(INDEX(DraftResults[[#All],[OVR]],MATCH(Table5[[#This Row],[PID]],DraftResults[[#All],[Player ID]],0)),"")</f>
        <v/>
      </c>
      <c r="Z1345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5" s="69" t="str">
        <f>IFERROR(INDEX(DraftResults[[#All],[Pick in Round]],MATCH(Table5[[#This Row],[PID]],DraftResults[[#All],[Player ID]],0)),"")</f>
        <v/>
      </c>
      <c r="AB1345" s="69" t="str">
        <f>IFERROR(INDEX(DraftResults[[#All],[Team Name]],MATCH(Table5[[#This Row],[PID]],DraftResults[[#All],[Player ID]],0)),"")</f>
        <v/>
      </c>
      <c r="AC1345" s="69" t="str">
        <f>IF(Table5[[#This Row],[Ovr]]="","",IF(Table5[[#This Row],[cmbList]]="","",Table5[[#This Row],[cmbList]]-Table5[[#This Row],[Ovr]]))</f>
        <v/>
      </c>
      <c r="AD1345" s="77" t="str">
        <f>IF(ISERROR(VLOOKUP($AB1345&amp;"-"&amp;$E1345&amp;" "&amp;F1345,Bonuses!$B$1:$G$1006,4,FALSE)),"",INT(VLOOKUP($AB1345&amp;"-"&amp;$E1345&amp;" "&amp;$F1345,Bonuses!$B$1:$G$1006,4,FALSE)))</f>
        <v/>
      </c>
      <c r="AE1345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6" spans="1:31" x14ac:dyDescent="0.25">
      <c r="A1346" s="68">
        <v>3430</v>
      </c>
      <c r="B1346" s="69">
        <f>COUNTIF(Table5[PID],A1346)</f>
        <v>1</v>
      </c>
      <c r="C1346" s="69" t="str">
        <f>IF(COUNTIF(Table3[[#All],[PID]],A1346)&gt;0,"P","B")</f>
        <v>P</v>
      </c>
      <c r="D1346" s="59" t="str">
        <f>IF($C1346="B",INDEX(Batters[[#All],[POS]],MATCH(Table5[[#This Row],[PID]],Batters[[#All],[PID]],0)),INDEX(Table3[[#All],[POS]],MATCH(Table5[[#This Row],[PID]],Table3[[#All],[PID]],0)))</f>
        <v>RP</v>
      </c>
      <c r="E1346" s="52" t="str">
        <f>IF($C1346="B",INDEX(Batters[[#All],[First]],MATCH(Table5[[#This Row],[PID]],Batters[[#All],[PID]],0)),INDEX(Table3[[#All],[First]],MATCH(Table5[[#This Row],[PID]],Table3[[#All],[PID]],0)))</f>
        <v>Vicente</v>
      </c>
      <c r="F1346" s="55" t="str">
        <f>IF($C1346="B",INDEX(Batters[[#All],[Last]],MATCH(A1346,Batters[[#All],[PID]],0)),INDEX(Table3[[#All],[Last]],MATCH(A1346,Table3[[#All],[PID]],0)))</f>
        <v>Torres</v>
      </c>
      <c r="G1346" s="56">
        <f>IF($C1346="B",INDEX(Batters[[#All],[Age]],MATCH(Table5[[#This Row],[PID]],Batters[[#All],[PID]],0)),INDEX(Table3[[#All],[Age]],MATCH(Table5[[#This Row],[PID]],Table3[[#All],[PID]],0)))</f>
        <v>22</v>
      </c>
      <c r="H1346" s="52" t="str">
        <f>IF($C1346="B",INDEX(Batters[[#All],[B]],MATCH(Table5[[#This Row],[PID]],Batters[[#All],[PID]],0)),INDEX(Table3[[#All],[B]],MATCH(Table5[[#This Row],[PID]],Table3[[#All],[PID]],0)))</f>
        <v>L</v>
      </c>
      <c r="I1346" s="70" t="str">
        <f>IF($C1346="B",INDEX(Batters[[#All],[T]],MATCH(Table5[[#This Row],[PID]],Batters[[#All],[PID]],0)),INDEX(Table3[[#All],[T]],MATCH(Table5[[#This Row],[PID]],Table3[[#All],[PID]],0)))</f>
        <v>L</v>
      </c>
      <c r="J1346" s="71" t="str">
        <f>IF($C1346="B",INDEX(Batters[[#All],[WE]],MATCH(Table5[[#This Row],[PID]],Batters[[#All],[PID]],0)),INDEX(Table3[[#All],[WE]],MATCH(Table5[[#This Row],[PID]],Table3[[#All],[PID]],0)))</f>
        <v>Low</v>
      </c>
      <c r="K1346" s="52" t="str">
        <f>IF($C1346="B",INDEX(Batters[[#All],[INT]],MATCH(Table5[[#This Row],[PID]],Batters[[#All],[PID]],0)),INDEX(Table3[[#All],[INT]],MATCH(Table5[[#This Row],[PID]],Table3[[#All],[PID]],0)))</f>
        <v>High</v>
      </c>
      <c r="L1346" s="60">
        <f>IF($C1346="B",INDEX(Batters[[#All],[CON P]],MATCH(Table5[[#This Row],[PID]],Batters[[#All],[PID]],0)),INDEX(Table3[[#All],[STU P]],MATCH(Table5[[#This Row],[PID]],Table3[[#All],[PID]],0)))</f>
        <v>4</v>
      </c>
      <c r="M1346" s="72">
        <f>IF($C1346="B",INDEX(Batters[[#All],[GAP P]],MATCH(Table5[[#This Row],[PID]],Batters[[#All],[PID]],0)),INDEX(Table3[[#All],[MOV P]],MATCH(Table5[[#This Row],[PID]],Table3[[#All],[PID]],0)))</f>
        <v>1</v>
      </c>
      <c r="N1346" s="72">
        <f>IF($C1346="B",INDEX(Batters[[#All],[POW P]],MATCH(Table5[[#This Row],[PID]],Batters[[#All],[PID]],0)),INDEX(Table3[[#All],[CON P]],MATCH(Table5[[#This Row],[PID]],Table3[[#All],[PID]],0)))</f>
        <v>2</v>
      </c>
      <c r="O1346" s="72" t="str">
        <f>IF($C1346="B",INDEX(Batters[[#All],[EYE P]],MATCH(Table5[[#This Row],[PID]],Batters[[#All],[PID]],0)),INDEX(Table3[[#All],[VELO]],MATCH(Table5[[#This Row],[PID]],Table3[[#All],[PID]],0)))</f>
        <v>89-91 Mph</v>
      </c>
      <c r="P1346" s="56">
        <f>IF($C1346="B",INDEX(Batters[[#All],[K P]],MATCH(Table5[[#This Row],[PID]],Batters[[#All],[PID]],0)),INDEX(Table3[[#All],[STM]],MATCH(Table5[[#This Row],[PID]],Table3[[#All],[PID]],0)))</f>
        <v>1</v>
      </c>
      <c r="Q1346" s="61">
        <f>IF($C1346="B",INDEX(Batters[[#All],[Tot]],MATCH(Table5[[#This Row],[PID]],Batters[[#All],[PID]],0)),INDEX(Table3[[#All],[Tot]],MATCH(Table5[[#This Row],[PID]],Table3[[#All],[PID]],0)))</f>
        <v>14.498905341113879</v>
      </c>
      <c r="R1346" s="70">
        <f>IF($C1346="B",INDEX(Batters[[#All],[zScore]],MATCH(Table5[[#This Row],[PID]],Batters[[#All],[PID]],0)),INDEX(Table3[[#All],[zScore]],MATCH(Table5[[#This Row],[PID]],Table3[[#All],[PID]],0)))</f>
        <v>-1.6122770997436202</v>
      </c>
      <c r="S1346" s="74" t="str">
        <f>IF($C1346="B",INDEX(Batters[[#All],[DEM]],MATCH(Table5[[#This Row],[PID]],Batters[[#All],[PID]],0)),INDEX(Table3[[#All],[DEM]],MATCH(Table5[[#This Row],[PID]],Table3[[#All],[PID]],0)))</f>
        <v>-</v>
      </c>
      <c r="T1346" s="75">
        <f>IF($C1346="B",INDEX(Batters[[#All],[Rnk]],MATCH(Table5[[#This Row],[PID]],Batters[[#All],[PID]],0)),INDEX(Table3[[#All],[Rnk]],MATCH(Table5[[#This Row],[PID]],Table3[[#All],[PID]],0)))</f>
        <v>775</v>
      </c>
      <c r="U1346" s="68">
        <f>IF($C1346="B",VLOOKUP($A1346,Bat!$A$4:$BA$1621,47,FALSE),VLOOKUP($A1346,Pit!$A$4:$BF$1557,56,FALSE))</f>
        <v>0</v>
      </c>
      <c r="V1346" s="50">
        <f>IF($C1346="B",VLOOKUP($A1346,Bat!$A$4:$BA$1621,48,FALSE),VLOOKUP($A1346,Pit!$A$4:$BF$1557,57,FALSE))</f>
        <v>0</v>
      </c>
      <c r="W1346" s="69">
        <f>Table5[[#This Row],[posRnk]]+Table5[[#This Row],[zRnk]]+IF($W$3&lt;&gt;Table5[[#This Row],[Type]],50,0)</f>
        <v>2158</v>
      </c>
      <c r="X1346" s="73">
        <f>RANK(Table5[[#This Row],[zScore]],Table5[[#All],[zScore]])</f>
        <v>1333</v>
      </c>
      <c r="Y1346" s="69" t="str">
        <f>IFERROR(INDEX(DraftResults[[#All],[OVR]],MATCH(Table5[[#This Row],[PID]],DraftResults[[#All],[Player ID]],0)),"")</f>
        <v/>
      </c>
      <c r="Z1346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6" s="69" t="str">
        <f>IFERROR(INDEX(DraftResults[[#All],[Pick in Round]],MATCH(Table5[[#This Row],[PID]],DraftResults[[#All],[Player ID]],0)),"")</f>
        <v/>
      </c>
      <c r="AB1346" s="69" t="str">
        <f>IFERROR(INDEX(DraftResults[[#All],[Team Name]],MATCH(Table5[[#This Row],[PID]],DraftResults[[#All],[Player ID]],0)),"")</f>
        <v/>
      </c>
      <c r="AC1346" s="69" t="str">
        <f>IF(Table5[[#This Row],[Ovr]]="","",IF(Table5[[#This Row],[cmbList]]="","",Table5[[#This Row],[cmbList]]-Table5[[#This Row],[Ovr]]))</f>
        <v/>
      </c>
      <c r="AD1346" s="77" t="str">
        <f>IF(ISERROR(VLOOKUP($AB1346&amp;"-"&amp;$E1346&amp;" "&amp;F1346,Bonuses!$B$1:$G$1006,4,FALSE)),"",INT(VLOOKUP($AB1346&amp;"-"&amp;$E1346&amp;" "&amp;$F1346,Bonuses!$B$1:$G$1006,4,FALSE)))</f>
        <v/>
      </c>
      <c r="AE1346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7" spans="1:31" x14ac:dyDescent="0.25">
      <c r="A1347" s="50">
        <v>7227</v>
      </c>
      <c r="B1347" s="50">
        <f>COUNTIF(Table5[PID],A1347)</f>
        <v>1</v>
      </c>
      <c r="C1347" s="50" t="str">
        <f>IF(COUNTIF(Table3[[#All],[PID]],A1347)&gt;0,"P","B")</f>
        <v>B</v>
      </c>
      <c r="D1347" s="59" t="str">
        <f>IF($C1347="B",INDEX(Batters[[#All],[POS]],MATCH(Table5[[#This Row],[PID]],Batters[[#All],[PID]],0)),INDEX(Table3[[#All],[POS]],MATCH(Table5[[#This Row],[PID]],Table3[[#All],[PID]],0)))</f>
        <v>SS</v>
      </c>
      <c r="E1347" s="52" t="str">
        <f>IF($C1347="B",INDEX(Batters[[#All],[First]],MATCH(Table5[[#This Row],[PID]],Batters[[#All],[PID]],0)),INDEX(Table3[[#All],[First]],MATCH(Table5[[#This Row],[PID]],Table3[[#All],[PID]],0)))</f>
        <v>Stanley</v>
      </c>
      <c r="F1347" s="50" t="str">
        <f>IF($C1347="B",INDEX(Batters[[#All],[Last]],MATCH(A1347,Batters[[#All],[PID]],0)),INDEX(Table3[[#All],[Last]],MATCH(A1347,Table3[[#All],[PID]],0)))</f>
        <v>Jackson</v>
      </c>
      <c r="G1347" s="56">
        <f>IF($C1347="B",INDEX(Batters[[#All],[Age]],MATCH(Table5[[#This Row],[PID]],Batters[[#All],[PID]],0)),INDEX(Table3[[#All],[Age]],MATCH(Table5[[#This Row],[PID]],Table3[[#All],[PID]],0)))</f>
        <v>21</v>
      </c>
      <c r="H1347" s="52" t="str">
        <f>IF($C1347="B",INDEX(Batters[[#All],[B]],MATCH(Table5[[#This Row],[PID]],Batters[[#All],[PID]],0)),INDEX(Table3[[#All],[B]],MATCH(Table5[[#This Row],[PID]],Table3[[#All],[PID]],0)))</f>
        <v>R</v>
      </c>
      <c r="I1347" s="70" t="str">
        <f>IF($C1347="B",INDEX(Batters[[#All],[T]],MATCH(Table5[[#This Row],[PID]],Batters[[#All],[PID]],0)),INDEX(Table3[[#All],[T]],MATCH(Table5[[#This Row],[PID]],Table3[[#All],[PID]],0)))</f>
        <v>R</v>
      </c>
      <c r="J1347" s="52" t="str">
        <f>IF($C1347="B",INDEX(Batters[[#All],[WE]],MATCH(Table5[[#This Row],[PID]],Batters[[#All],[PID]],0)),INDEX(Table3[[#All],[WE]],MATCH(Table5[[#This Row],[PID]],Table3[[#All],[PID]],0)))</f>
        <v>High</v>
      </c>
      <c r="K1347" s="52" t="str">
        <f>IF($C1347="B",INDEX(Batters[[#All],[INT]],MATCH(Table5[[#This Row],[PID]],Batters[[#All],[PID]],0)),INDEX(Table3[[#All],[INT]],MATCH(Table5[[#This Row],[PID]],Table3[[#All],[PID]],0)))</f>
        <v>Normal</v>
      </c>
      <c r="L1347" s="60">
        <f>IF($C1347="B",INDEX(Batters[[#All],[CON P]],MATCH(Table5[[#This Row],[PID]],Batters[[#All],[PID]],0)),INDEX(Table3[[#All],[STU P]],MATCH(Table5[[#This Row],[PID]],Table3[[#All],[PID]],0)))</f>
        <v>3</v>
      </c>
      <c r="M1347" s="56">
        <f>IF($C1347="B",INDEX(Batters[[#All],[GAP P]],MATCH(Table5[[#This Row],[PID]],Batters[[#All],[PID]],0)),INDEX(Table3[[#All],[MOV P]],MATCH(Table5[[#This Row],[PID]],Table3[[#All],[PID]],0)))</f>
        <v>3</v>
      </c>
      <c r="N1347" s="56">
        <f>IF($C1347="B",INDEX(Batters[[#All],[POW P]],MATCH(Table5[[#This Row],[PID]],Batters[[#All],[PID]],0)),INDEX(Table3[[#All],[CON P]],MATCH(Table5[[#This Row],[PID]],Table3[[#All],[PID]],0)))</f>
        <v>2</v>
      </c>
      <c r="O1347" s="56">
        <f>IF($C1347="B",INDEX(Batters[[#All],[EYE P]],MATCH(Table5[[#This Row],[PID]],Batters[[#All],[PID]],0)),INDEX(Table3[[#All],[VELO]],MATCH(Table5[[#This Row],[PID]],Table3[[#All],[PID]],0)))</f>
        <v>5</v>
      </c>
      <c r="P1347" s="56">
        <f>IF($C1347="B",INDEX(Batters[[#All],[K P]],MATCH(Table5[[#This Row],[PID]],Batters[[#All],[PID]],0)),INDEX(Table3[[#All],[STM]],MATCH(Table5[[#This Row],[PID]],Table3[[#All],[PID]],0)))</f>
        <v>3</v>
      </c>
      <c r="Q1347" s="61">
        <f>IF($C1347="B",INDEX(Batters[[#All],[Tot]],MATCH(Table5[[#This Row],[PID]],Batters[[#All],[PID]],0)),INDEX(Table3[[#All],[Tot]],MATCH(Table5[[#This Row],[PID]],Table3[[#All],[PID]],0)))</f>
        <v>36.826688235559516</v>
      </c>
      <c r="R1347" s="70">
        <f>IF($C1347="B",INDEX(Batters[[#All],[zScore]],MATCH(Table5[[#This Row],[PID]],Batters[[#All],[PID]],0)),INDEX(Table3[[#All],[zScore]],MATCH(Table5[[#This Row],[PID]],Table3[[#All],[PID]],0)))</f>
        <v>-1.619623633380016</v>
      </c>
      <c r="S1347" s="79" t="str">
        <f>IF($C1347="B",INDEX(Batters[[#All],[DEM]],MATCH(Table5[[#This Row],[PID]],Batters[[#All],[PID]],0)),INDEX(Table3[[#All],[DEM]],MATCH(Table5[[#This Row],[PID]],Table3[[#All],[PID]],0)))</f>
        <v>$20k</v>
      </c>
      <c r="T1347" s="62">
        <f>IF($C1347="B",INDEX(Batters[[#All],[Rnk]],MATCH(Table5[[#This Row],[PID]],Batters[[#All],[PID]],0)),INDEX(Table3[[#All],[Rnk]],MATCH(Table5[[#This Row],[PID]],Table3[[#All],[PID]],0)))</f>
        <v>558</v>
      </c>
      <c r="U1347" s="68">
        <f>IF($C1347="B",VLOOKUP($A1347,Bat!$A$4:$BA$1621,47,FALSE),VLOOKUP($A1347,Pit!$A$4:$BF$1557,56,FALSE))</f>
        <v>0</v>
      </c>
      <c r="V1347" s="50">
        <f>IF($C1347="B",VLOOKUP($A1347,Bat!$A$4:$BA$1621,48,FALSE),VLOOKUP($A1347,Pit!$A$4:$BF$1557,57,FALSE))</f>
        <v>0</v>
      </c>
      <c r="W1347" s="50">
        <f>Table5[[#This Row],[posRnk]]+Table5[[#This Row],[zRnk]]+IF($W$3&lt;&gt;Table5[[#This Row],[Type]],50,0)</f>
        <v>1942</v>
      </c>
      <c r="X1347" s="51">
        <f>RANK(Table5[[#This Row],[zScore]],Table5[[#All],[zScore]])</f>
        <v>1334</v>
      </c>
      <c r="Y1347" s="50" t="str">
        <f>IFERROR(INDEX(DraftResults[[#All],[OVR]],MATCH(Table5[[#This Row],[PID]],DraftResults[[#All],[Player ID]],0)),"")</f>
        <v/>
      </c>
      <c r="Z13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7" s="50" t="str">
        <f>IFERROR(INDEX(DraftResults[[#All],[Pick in Round]],MATCH(Table5[[#This Row],[PID]],DraftResults[[#All],[Player ID]],0)),"")</f>
        <v/>
      </c>
      <c r="AB1347" s="50" t="str">
        <f>IFERROR(INDEX(DraftResults[[#All],[Team Name]],MATCH(Table5[[#This Row],[PID]],DraftResults[[#All],[Player ID]],0)),"")</f>
        <v/>
      </c>
      <c r="AC1347" s="50" t="str">
        <f>IF(Table5[[#This Row],[Ovr]]="","",IF(Table5[[#This Row],[cmbList]]="","",Table5[[#This Row],[cmbList]]-Table5[[#This Row],[Ovr]]))</f>
        <v/>
      </c>
      <c r="AD1347" s="54" t="str">
        <f>IF(ISERROR(VLOOKUP($AB1347&amp;"-"&amp;$E1347&amp;" "&amp;F1347,Bonuses!$B$1:$G$1006,4,FALSE)),"",INT(VLOOKUP($AB1347&amp;"-"&amp;$E1347&amp;" "&amp;$F1347,Bonuses!$B$1:$G$1006,4,FALSE)))</f>
        <v/>
      </c>
      <c r="AE13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8" spans="1:31" x14ac:dyDescent="0.25">
      <c r="A1348" s="50">
        <v>18292</v>
      </c>
      <c r="B1348" s="50">
        <f>COUNTIF(Table5[PID],A1348)</f>
        <v>1</v>
      </c>
      <c r="C1348" s="50" t="str">
        <f>IF(COUNTIF(Table3[[#All],[PID]],A1348)&gt;0,"P","B")</f>
        <v>B</v>
      </c>
      <c r="D1348" s="59" t="str">
        <f>IF($C1348="B",INDEX(Batters[[#All],[POS]],MATCH(Table5[[#This Row],[PID]],Batters[[#All],[PID]],0)),INDEX(Table3[[#All],[POS]],MATCH(Table5[[#This Row],[PID]],Table3[[#All],[PID]],0)))</f>
        <v>2B</v>
      </c>
      <c r="E1348" s="52" t="str">
        <f>IF($C1348="B",INDEX(Batters[[#All],[First]],MATCH(Table5[[#This Row],[PID]],Batters[[#All],[PID]],0)),INDEX(Table3[[#All],[First]],MATCH(Table5[[#This Row],[PID]],Table3[[#All],[PID]],0)))</f>
        <v>César</v>
      </c>
      <c r="F1348" s="50" t="str">
        <f>IF($C1348="B",INDEX(Batters[[#All],[Last]],MATCH(A1348,Batters[[#All],[PID]],0)),INDEX(Table3[[#All],[Last]],MATCH(A1348,Table3[[#All],[PID]],0)))</f>
        <v>Sáenz</v>
      </c>
      <c r="G1348" s="56">
        <f>IF($C1348="B",INDEX(Batters[[#All],[Age]],MATCH(Table5[[#This Row],[PID]],Batters[[#All],[PID]],0)),INDEX(Table3[[#All],[Age]],MATCH(Table5[[#This Row],[PID]],Table3[[#All],[PID]],0)))</f>
        <v>21</v>
      </c>
      <c r="H1348" s="52" t="str">
        <f>IF($C1348="B",INDEX(Batters[[#All],[B]],MATCH(Table5[[#This Row],[PID]],Batters[[#All],[PID]],0)),INDEX(Table3[[#All],[B]],MATCH(Table5[[#This Row],[PID]],Table3[[#All],[PID]],0)))</f>
        <v>R</v>
      </c>
      <c r="I1348" s="70" t="str">
        <f>IF($C1348="B",INDEX(Batters[[#All],[T]],MATCH(Table5[[#This Row],[PID]],Batters[[#All],[PID]],0)),INDEX(Table3[[#All],[T]],MATCH(Table5[[#This Row],[PID]],Table3[[#All],[PID]],0)))</f>
        <v>R</v>
      </c>
      <c r="J1348" s="52" t="str">
        <f>IF($C1348="B",INDEX(Batters[[#All],[WE]],MATCH(Table5[[#This Row],[PID]],Batters[[#All],[PID]],0)),INDEX(Table3[[#All],[WE]],MATCH(Table5[[#This Row],[PID]],Table3[[#All],[PID]],0)))</f>
        <v>Low</v>
      </c>
      <c r="K1348" s="52" t="str">
        <f>IF($C1348="B",INDEX(Batters[[#All],[INT]],MATCH(Table5[[#This Row],[PID]],Batters[[#All],[PID]],0)),INDEX(Table3[[#All],[INT]],MATCH(Table5[[#This Row],[PID]],Table3[[#All],[PID]],0)))</f>
        <v>Normal</v>
      </c>
      <c r="L1348" s="60">
        <f>IF($C1348="B",INDEX(Batters[[#All],[CON P]],MATCH(Table5[[#This Row],[PID]],Batters[[#All],[PID]],0)),INDEX(Table3[[#All],[STU P]],MATCH(Table5[[#This Row],[PID]],Table3[[#All],[PID]],0)))</f>
        <v>3</v>
      </c>
      <c r="M1348" s="56">
        <f>IF($C1348="B",INDEX(Batters[[#All],[GAP P]],MATCH(Table5[[#This Row],[PID]],Batters[[#All],[PID]],0)),INDEX(Table3[[#All],[MOV P]],MATCH(Table5[[#This Row],[PID]],Table3[[#All],[PID]],0)))</f>
        <v>5</v>
      </c>
      <c r="N1348" s="56">
        <f>IF($C1348="B",INDEX(Batters[[#All],[POW P]],MATCH(Table5[[#This Row],[PID]],Batters[[#All],[PID]],0)),INDEX(Table3[[#All],[CON P]],MATCH(Table5[[#This Row],[PID]],Table3[[#All],[PID]],0)))</f>
        <v>2</v>
      </c>
      <c r="O1348" s="56">
        <f>IF($C1348="B",INDEX(Batters[[#All],[EYE P]],MATCH(Table5[[#This Row],[PID]],Batters[[#All],[PID]],0)),INDEX(Table3[[#All],[VELO]],MATCH(Table5[[#This Row],[PID]],Table3[[#All],[PID]],0)))</f>
        <v>5</v>
      </c>
      <c r="P1348" s="56">
        <f>IF($C1348="B",INDEX(Batters[[#All],[K P]],MATCH(Table5[[#This Row],[PID]],Batters[[#All],[PID]],0)),INDEX(Table3[[#All],[STM]],MATCH(Table5[[#This Row],[PID]],Table3[[#All],[PID]],0)))</f>
        <v>4</v>
      </c>
      <c r="Q1348" s="61">
        <f>IF($C1348="B",INDEX(Batters[[#All],[Tot]],MATCH(Table5[[#This Row],[PID]],Batters[[#All],[PID]],0)),INDEX(Table3[[#All],[Tot]],MATCH(Table5[[#This Row],[PID]],Table3[[#All],[PID]],0)))</f>
        <v>36.826200894035281</v>
      </c>
      <c r="R1348" s="70">
        <f>IF($C1348="B",INDEX(Batters[[#All],[zScore]],MATCH(Table5[[#This Row],[PID]],Batters[[#All],[PID]],0)),INDEX(Table3[[#All],[zScore]],MATCH(Table5[[#This Row],[PID]],Table3[[#All],[PID]],0)))</f>
        <v>-1.6197316802900616</v>
      </c>
      <c r="S1348" s="79" t="str">
        <f>IF($C1348="B",INDEX(Batters[[#All],[DEM]],MATCH(Table5[[#This Row],[PID]],Batters[[#All],[PID]],0)),INDEX(Table3[[#All],[DEM]],MATCH(Table5[[#This Row],[PID]],Table3[[#All],[PID]],0)))</f>
        <v>-</v>
      </c>
      <c r="T1348" s="62">
        <f>IF($C1348="B",INDEX(Batters[[#All],[Rnk]],MATCH(Table5[[#This Row],[PID]],Batters[[#All],[PID]],0)),INDEX(Table3[[#All],[Rnk]],MATCH(Table5[[#This Row],[PID]],Table3[[#All],[PID]],0)))</f>
        <v>559</v>
      </c>
      <c r="U1348" s="68">
        <f>IF($C1348="B",VLOOKUP($A1348,Bat!$A$4:$BA$1621,47,FALSE),VLOOKUP($A1348,Pit!$A$4:$BF$1557,56,FALSE))</f>
        <v>0</v>
      </c>
      <c r="V1348" s="50">
        <f>IF($C1348="B",VLOOKUP($A1348,Bat!$A$4:$BA$1621,48,FALSE),VLOOKUP($A1348,Pit!$A$4:$BF$1557,57,FALSE))</f>
        <v>0</v>
      </c>
      <c r="W1348" s="50">
        <f>Table5[[#This Row],[posRnk]]+Table5[[#This Row],[zRnk]]+IF($W$3&lt;&gt;Table5[[#This Row],[Type]],50,0)</f>
        <v>1944</v>
      </c>
      <c r="X1348" s="51">
        <f>RANK(Table5[[#This Row],[zScore]],Table5[[#All],[zScore]])</f>
        <v>1335</v>
      </c>
      <c r="Y1348" s="50" t="str">
        <f>IFERROR(INDEX(DraftResults[[#All],[OVR]],MATCH(Table5[[#This Row],[PID]],DraftResults[[#All],[Player ID]],0)),"")</f>
        <v/>
      </c>
      <c r="Z13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8" s="50" t="str">
        <f>IFERROR(INDEX(DraftResults[[#All],[Pick in Round]],MATCH(Table5[[#This Row],[PID]],DraftResults[[#All],[Player ID]],0)),"")</f>
        <v/>
      </c>
      <c r="AB1348" s="50" t="str">
        <f>IFERROR(INDEX(DraftResults[[#All],[Team Name]],MATCH(Table5[[#This Row],[PID]],DraftResults[[#All],[Player ID]],0)),"")</f>
        <v/>
      </c>
      <c r="AC1348" s="50" t="str">
        <f>IF(Table5[[#This Row],[Ovr]]="","",IF(Table5[[#This Row],[cmbList]]="","",Table5[[#This Row],[cmbList]]-Table5[[#This Row],[Ovr]]))</f>
        <v/>
      </c>
      <c r="AD1348" s="54" t="str">
        <f>IF(ISERROR(VLOOKUP($AB1348&amp;"-"&amp;$E1348&amp;" "&amp;F1348,Bonuses!$B$1:$G$1006,4,FALSE)),"",INT(VLOOKUP($AB1348&amp;"-"&amp;$E1348&amp;" "&amp;$F1348,Bonuses!$B$1:$G$1006,4,FALSE)))</f>
        <v/>
      </c>
      <c r="AE13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49" spans="1:31" x14ac:dyDescent="0.25">
      <c r="A1349" s="50">
        <v>16561</v>
      </c>
      <c r="B1349" s="50">
        <f>COUNTIF(Table5[PID],A1349)</f>
        <v>1</v>
      </c>
      <c r="C1349" s="50" t="str">
        <f>IF(COUNTIF(Table3[[#All],[PID]],A1349)&gt;0,"P","B")</f>
        <v>B</v>
      </c>
      <c r="D1349" s="59" t="str">
        <f>IF($C1349="B",INDEX(Batters[[#All],[POS]],MATCH(Table5[[#This Row],[PID]],Batters[[#All],[PID]],0)),INDEX(Table3[[#All],[POS]],MATCH(Table5[[#This Row],[PID]],Table3[[#All],[PID]],0)))</f>
        <v>2B</v>
      </c>
      <c r="E1349" s="52" t="str">
        <f>IF($C1349="B",INDEX(Batters[[#All],[First]],MATCH(Table5[[#This Row],[PID]],Batters[[#All],[PID]],0)),INDEX(Table3[[#All],[First]],MATCH(Table5[[#This Row],[PID]],Table3[[#All],[PID]],0)))</f>
        <v>Harumi</v>
      </c>
      <c r="F1349" s="50" t="str">
        <f>IF($C1349="B",INDEX(Batters[[#All],[Last]],MATCH(A1349,Batters[[#All],[PID]],0)),INDEX(Table3[[#All],[Last]],MATCH(A1349,Table3[[#All],[PID]],0)))</f>
        <v>Arai</v>
      </c>
      <c r="G1349" s="56">
        <f>IF($C1349="B",INDEX(Batters[[#All],[Age]],MATCH(Table5[[#This Row],[PID]],Batters[[#All],[PID]],0)),INDEX(Table3[[#All],[Age]],MATCH(Table5[[#This Row],[PID]],Table3[[#All],[PID]],0)))</f>
        <v>22</v>
      </c>
      <c r="H1349" s="52" t="str">
        <f>IF($C1349="B",INDEX(Batters[[#All],[B]],MATCH(Table5[[#This Row],[PID]],Batters[[#All],[PID]],0)),INDEX(Table3[[#All],[B]],MATCH(Table5[[#This Row],[PID]],Table3[[#All],[PID]],0)))</f>
        <v>R</v>
      </c>
      <c r="I1349" s="70" t="str">
        <f>IF($C1349="B",INDEX(Batters[[#All],[T]],MATCH(Table5[[#This Row],[PID]],Batters[[#All],[PID]],0)),INDEX(Table3[[#All],[T]],MATCH(Table5[[#This Row],[PID]],Table3[[#All],[PID]],0)))</f>
        <v>R</v>
      </c>
      <c r="J1349" s="52" t="str">
        <f>IF($C1349="B",INDEX(Batters[[#All],[WE]],MATCH(Table5[[#This Row],[PID]],Batters[[#All],[PID]],0)),INDEX(Table3[[#All],[WE]],MATCH(Table5[[#This Row],[PID]],Table3[[#All],[PID]],0)))</f>
        <v>Low</v>
      </c>
      <c r="K1349" s="52" t="str">
        <f>IF($C1349="B",INDEX(Batters[[#All],[INT]],MATCH(Table5[[#This Row],[PID]],Batters[[#All],[PID]],0)),INDEX(Table3[[#All],[INT]],MATCH(Table5[[#This Row],[PID]],Table3[[#All],[PID]],0)))</f>
        <v>Normal</v>
      </c>
      <c r="L1349" s="60">
        <f>IF($C1349="B",INDEX(Batters[[#All],[CON P]],MATCH(Table5[[#This Row],[PID]],Batters[[#All],[PID]],0)),INDEX(Table3[[#All],[STU P]],MATCH(Table5[[#This Row],[PID]],Table3[[#All],[PID]],0)))</f>
        <v>3</v>
      </c>
      <c r="M1349" s="56">
        <f>IF($C1349="B",INDEX(Batters[[#All],[GAP P]],MATCH(Table5[[#This Row],[PID]],Batters[[#All],[PID]],0)),INDEX(Table3[[#All],[MOV P]],MATCH(Table5[[#This Row],[PID]],Table3[[#All],[PID]],0)))</f>
        <v>3</v>
      </c>
      <c r="N1349" s="56">
        <f>IF($C1349="B",INDEX(Batters[[#All],[POW P]],MATCH(Table5[[#This Row],[PID]],Batters[[#All],[PID]],0)),INDEX(Table3[[#All],[CON P]],MATCH(Table5[[#This Row],[PID]],Table3[[#All],[PID]],0)))</f>
        <v>3</v>
      </c>
      <c r="O1349" s="56">
        <f>IF($C1349="B",INDEX(Batters[[#All],[EYE P]],MATCH(Table5[[#This Row],[PID]],Batters[[#All],[PID]],0)),INDEX(Table3[[#All],[VELO]],MATCH(Table5[[#This Row],[PID]],Table3[[#All],[PID]],0)))</f>
        <v>6</v>
      </c>
      <c r="P1349" s="56">
        <f>IF($C1349="B",INDEX(Batters[[#All],[K P]],MATCH(Table5[[#This Row],[PID]],Batters[[#All],[PID]],0)),INDEX(Table3[[#All],[STM]],MATCH(Table5[[#This Row],[PID]],Table3[[#All],[PID]],0)))</f>
        <v>3</v>
      </c>
      <c r="Q1349" s="61">
        <f>IF($C1349="B",INDEX(Batters[[#All],[Tot]],MATCH(Table5[[#This Row],[PID]],Batters[[#All],[PID]],0)),INDEX(Table3[[#All],[Tot]],MATCH(Table5[[#This Row],[PID]],Table3[[#All],[PID]],0)))</f>
        <v>36.814017706924133</v>
      </c>
      <c r="R1349" s="70">
        <f>IF($C1349="B",INDEX(Batters[[#All],[zScore]],MATCH(Table5[[#This Row],[PID]],Batters[[#All],[PID]],0)),INDEX(Table3[[#All],[zScore]],MATCH(Table5[[#This Row],[PID]],Table3[[#All],[PID]],0)))</f>
        <v>-1.6224327752233054</v>
      </c>
      <c r="S1349" s="79" t="str">
        <f>IF($C1349="B",INDEX(Batters[[#All],[DEM]],MATCH(Table5[[#This Row],[PID]],Batters[[#All],[PID]],0)),INDEX(Table3[[#All],[DEM]],MATCH(Table5[[#This Row],[PID]],Table3[[#All],[PID]],0)))</f>
        <v>-</v>
      </c>
      <c r="T1349" s="62">
        <f>IF($C1349="B",INDEX(Batters[[#All],[Rnk]],MATCH(Table5[[#This Row],[PID]],Batters[[#All],[PID]],0)),INDEX(Table3[[#All],[Rnk]],MATCH(Table5[[#This Row],[PID]],Table3[[#All],[PID]],0)))</f>
        <v>560</v>
      </c>
      <c r="U1349" s="68">
        <f>IF($C1349="B",VLOOKUP($A1349,Bat!$A$4:$BA$1621,47,FALSE),VLOOKUP($A1349,Pit!$A$4:$BF$1557,56,FALSE))</f>
        <v>0</v>
      </c>
      <c r="V1349" s="50">
        <f>IF($C1349="B",VLOOKUP($A1349,Bat!$A$4:$BA$1621,48,FALSE),VLOOKUP($A1349,Pit!$A$4:$BF$1557,57,FALSE))</f>
        <v>0</v>
      </c>
      <c r="W1349" s="50">
        <f>Table5[[#This Row],[posRnk]]+Table5[[#This Row],[zRnk]]+IF($W$3&lt;&gt;Table5[[#This Row],[Type]],50,0)</f>
        <v>1946</v>
      </c>
      <c r="X1349" s="51">
        <f>RANK(Table5[[#This Row],[zScore]],Table5[[#All],[zScore]])</f>
        <v>1336</v>
      </c>
      <c r="Y1349" s="50" t="str">
        <f>IFERROR(INDEX(DraftResults[[#All],[OVR]],MATCH(Table5[[#This Row],[PID]],DraftResults[[#All],[Player ID]],0)),"")</f>
        <v/>
      </c>
      <c r="Z13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49" s="50" t="str">
        <f>IFERROR(INDEX(DraftResults[[#All],[Pick in Round]],MATCH(Table5[[#This Row],[PID]],DraftResults[[#All],[Player ID]],0)),"")</f>
        <v/>
      </c>
      <c r="AB1349" s="50" t="str">
        <f>IFERROR(INDEX(DraftResults[[#All],[Team Name]],MATCH(Table5[[#This Row],[PID]],DraftResults[[#All],[Player ID]],0)),"")</f>
        <v/>
      </c>
      <c r="AC1349" s="50" t="str">
        <f>IF(Table5[[#This Row],[Ovr]]="","",IF(Table5[[#This Row],[cmbList]]="","",Table5[[#This Row],[cmbList]]-Table5[[#This Row],[Ovr]]))</f>
        <v/>
      </c>
      <c r="AD1349" s="54" t="str">
        <f>IF(ISERROR(VLOOKUP($AB1349&amp;"-"&amp;$E1349&amp;" "&amp;F1349,Bonuses!$B$1:$G$1006,4,FALSE)),"",INT(VLOOKUP($AB1349&amp;"-"&amp;$E1349&amp;" "&amp;$F1349,Bonuses!$B$1:$G$1006,4,FALSE)))</f>
        <v/>
      </c>
      <c r="AE13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0" spans="1:31" x14ac:dyDescent="0.25">
      <c r="A1350" s="50">
        <v>12408</v>
      </c>
      <c r="B1350" s="50">
        <f>COUNTIF(Table5[PID],A1350)</f>
        <v>1</v>
      </c>
      <c r="C1350" s="50" t="str">
        <f>IF(COUNTIF(Table3[[#All],[PID]],A1350)&gt;0,"P","B")</f>
        <v>B</v>
      </c>
      <c r="D1350" s="59" t="str">
        <f>IF($C1350="B",INDEX(Batters[[#All],[POS]],MATCH(Table5[[#This Row],[PID]],Batters[[#All],[PID]],0)),INDEX(Table3[[#All],[POS]],MATCH(Table5[[#This Row],[PID]],Table3[[#All],[PID]],0)))</f>
        <v>SS</v>
      </c>
      <c r="E1350" s="52" t="str">
        <f>IF($C1350="B",INDEX(Batters[[#All],[First]],MATCH(Table5[[#This Row],[PID]],Batters[[#All],[PID]],0)),INDEX(Table3[[#All],[First]],MATCH(Table5[[#This Row],[PID]],Table3[[#All],[PID]],0)))</f>
        <v>Kevin</v>
      </c>
      <c r="F1350" s="50" t="str">
        <f>IF($C1350="B",INDEX(Batters[[#All],[Last]],MATCH(A1350,Batters[[#All],[PID]],0)),INDEX(Table3[[#All],[Last]],MATCH(A1350,Table3[[#All],[PID]],0)))</f>
        <v>Ducklow</v>
      </c>
      <c r="G1350" s="56">
        <f>IF($C1350="B",INDEX(Batters[[#All],[Age]],MATCH(Table5[[#This Row],[PID]],Batters[[#All],[PID]],0)),INDEX(Table3[[#All],[Age]],MATCH(Table5[[#This Row],[PID]],Table3[[#All],[PID]],0)))</f>
        <v>21</v>
      </c>
      <c r="H1350" s="52" t="str">
        <f>IF($C1350="B",INDEX(Batters[[#All],[B]],MATCH(Table5[[#This Row],[PID]],Batters[[#All],[PID]],0)),INDEX(Table3[[#All],[B]],MATCH(Table5[[#This Row],[PID]],Table3[[#All],[PID]],0)))</f>
        <v>R</v>
      </c>
      <c r="I1350" s="70" t="str">
        <f>IF($C1350="B",INDEX(Batters[[#All],[T]],MATCH(Table5[[#This Row],[PID]],Batters[[#All],[PID]],0)),INDEX(Table3[[#All],[T]],MATCH(Table5[[#This Row],[PID]],Table3[[#All],[PID]],0)))</f>
        <v>R</v>
      </c>
      <c r="J1350" s="52" t="str">
        <f>IF($C1350="B",INDEX(Batters[[#All],[WE]],MATCH(Table5[[#This Row],[PID]],Batters[[#All],[PID]],0)),INDEX(Table3[[#All],[WE]],MATCH(Table5[[#This Row],[PID]],Table3[[#All],[PID]],0)))</f>
        <v>Low</v>
      </c>
      <c r="K1350" s="52" t="str">
        <f>IF($C1350="B",INDEX(Batters[[#All],[INT]],MATCH(Table5[[#This Row],[PID]],Batters[[#All],[PID]],0)),INDEX(Table3[[#All],[INT]],MATCH(Table5[[#This Row],[PID]],Table3[[#All],[PID]],0)))</f>
        <v>Normal</v>
      </c>
      <c r="L1350" s="60">
        <f>IF($C1350="B",INDEX(Batters[[#All],[CON P]],MATCH(Table5[[#This Row],[PID]],Batters[[#All],[PID]],0)),INDEX(Table3[[#All],[STU P]],MATCH(Table5[[#This Row],[PID]],Table3[[#All],[PID]],0)))</f>
        <v>3</v>
      </c>
      <c r="M1350" s="56">
        <f>IF($C1350="B",INDEX(Batters[[#All],[GAP P]],MATCH(Table5[[#This Row],[PID]],Batters[[#All],[PID]],0)),INDEX(Table3[[#All],[MOV P]],MATCH(Table5[[#This Row],[PID]],Table3[[#All],[PID]],0)))</f>
        <v>4</v>
      </c>
      <c r="N1350" s="56">
        <f>IF($C1350="B",INDEX(Batters[[#All],[POW P]],MATCH(Table5[[#This Row],[PID]],Batters[[#All],[PID]],0)),INDEX(Table3[[#All],[CON P]],MATCH(Table5[[#This Row],[PID]],Table3[[#All],[PID]],0)))</f>
        <v>3</v>
      </c>
      <c r="O1350" s="56">
        <f>IF($C1350="B",INDEX(Batters[[#All],[EYE P]],MATCH(Table5[[#This Row],[PID]],Batters[[#All],[PID]],0)),INDEX(Table3[[#All],[VELO]],MATCH(Table5[[#This Row],[PID]],Table3[[#All],[PID]],0)))</f>
        <v>4</v>
      </c>
      <c r="P1350" s="56">
        <f>IF($C1350="B",INDEX(Batters[[#All],[K P]],MATCH(Table5[[#This Row],[PID]],Batters[[#All],[PID]],0)),INDEX(Table3[[#All],[STM]],MATCH(Table5[[#This Row],[PID]],Table3[[#All],[PID]],0)))</f>
        <v>3</v>
      </c>
      <c r="Q1350" s="61">
        <f>IF($C1350="B",INDEX(Batters[[#All],[Tot]],MATCH(Table5[[#This Row],[PID]],Batters[[#All],[PID]],0)),INDEX(Table3[[#All],[Tot]],MATCH(Table5[[#This Row],[PID]],Table3[[#All],[PID]],0)))</f>
        <v>36.786508761746205</v>
      </c>
      <c r="R1350" s="70">
        <f>IF($C1350="B",INDEX(Batters[[#All],[zScore]],MATCH(Table5[[#This Row],[PID]],Batters[[#All],[PID]],0)),INDEX(Table3[[#All],[zScore]],MATCH(Table5[[#This Row],[PID]],Table3[[#All],[PID]],0)))</f>
        <v>-1.6285316943124646</v>
      </c>
      <c r="S1350" s="79" t="str">
        <f>IF($C1350="B",INDEX(Batters[[#All],[DEM]],MATCH(Table5[[#This Row],[PID]],Batters[[#All],[PID]],0)),INDEX(Table3[[#All],[DEM]],MATCH(Table5[[#This Row],[PID]],Table3[[#All],[PID]],0)))</f>
        <v>$60k</v>
      </c>
      <c r="T1350" s="62">
        <f>IF($C1350="B",INDEX(Batters[[#All],[Rnk]],MATCH(Table5[[#This Row],[PID]],Batters[[#All],[PID]],0)),INDEX(Table3[[#All],[Rnk]],MATCH(Table5[[#This Row],[PID]],Table3[[#All],[PID]],0)))</f>
        <v>561</v>
      </c>
      <c r="U1350" s="68">
        <f>IF($C1350="B",VLOOKUP($A1350,Bat!$A$4:$BA$1621,47,FALSE),VLOOKUP($A1350,Pit!$A$4:$BF$1557,56,FALSE))</f>
        <v>0</v>
      </c>
      <c r="V1350" s="50">
        <f>IF($C1350="B",VLOOKUP($A1350,Bat!$A$4:$BA$1621,48,FALSE),VLOOKUP($A1350,Pit!$A$4:$BF$1557,57,FALSE))</f>
        <v>0</v>
      </c>
      <c r="W1350" s="50">
        <f>Table5[[#This Row],[posRnk]]+Table5[[#This Row],[zRnk]]+IF($W$3&lt;&gt;Table5[[#This Row],[Type]],50,0)</f>
        <v>1948</v>
      </c>
      <c r="X1350" s="51">
        <f>RANK(Table5[[#This Row],[zScore]],Table5[[#All],[zScore]])</f>
        <v>1337</v>
      </c>
      <c r="Y1350" s="50" t="str">
        <f>IFERROR(INDEX(DraftResults[[#All],[OVR]],MATCH(Table5[[#This Row],[PID]],DraftResults[[#All],[Player ID]],0)),"")</f>
        <v/>
      </c>
      <c r="Z13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0" s="50" t="str">
        <f>IFERROR(INDEX(DraftResults[[#All],[Pick in Round]],MATCH(Table5[[#This Row],[PID]],DraftResults[[#All],[Player ID]],0)),"")</f>
        <v/>
      </c>
      <c r="AB1350" s="50" t="str">
        <f>IFERROR(INDEX(DraftResults[[#All],[Team Name]],MATCH(Table5[[#This Row],[PID]],DraftResults[[#All],[Player ID]],0)),"")</f>
        <v/>
      </c>
      <c r="AC1350" s="50" t="str">
        <f>IF(Table5[[#This Row],[Ovr]]="","",IF(Table5[[#This Row],[cmbList]]="","",Table5[[#This Row],[cmbList]]-Table5[[#This Row],[Ovr]]))</f>
        <v/>
      </c>
      <c r="AD1350" s="54" t="str">
        <f>IF(ISERROR(VLOOKUP($AB1350&amp;"-"&amp;$E1350&amp;" "&amp;F1350,Bonuses!$B$1:$G$1006,4,FALSE)),"",INT(VLOOKUP($AB1350&amp;"-"&amp;$E1350&amp;" "&amp;$F1350,Bonuses!$B$1:$G$1006,4,FALSE)))</f>
        <v/>
      </c>
      <c r="AE13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1" spans="1:31" x14ac:dyDescent="0.25">
      <c r="A1351" s="50">
        <v>18065</v>
      </c>
      <c r="B1351" s="55">
        <f>COUNTIF(Table5[PID],A1351)</f>
        <v>1</v>
      </c>
      <c r="C1351" s="55" t="str">
        <f>IF(COUNTIF(Table3[[#All],[PID]],A1351)&gt;0,"P","B")</f>
        <v>B</v>
      </c>
      <c r="D1351" s="59" t="str">
        <f>IF($C1351="B",INDEX(Batters[[#All],[POS]],MATCH(Table5[[#This Row],[PID]],Batters[[#All],[PID]],0)),INDEX(Table3[[#All],[POS]],MATCH(Table5[[#This Row],[PID]],Table3[[#All],[PID]],0)))</f>
        <v>C</v>
      </c>
      <c r="E1351" s="52" t="str">
        <f>IF($C1351="B",INDEX(Batters[[#All],[First]],MATCH(Table5[[#This Row],[PID]],Batters[[#All],[PID]],0)),INDEX(Table3[[#All],[First]],MATCH(Table5[[#This Row],[PID]],Table3[[#All],[PID]],0)))</f>
        <v>Juan</v>
      </c>
      <c r="F1351" s="50" t="str">
        <f>IF($C1351="B",INDEX(Batters[[#All],[Last]],MATCH(A1351,Batters[[#All],[PID]],0)),INDEX(Table3[[#All],[Last]],MATCH(A1351,Table3[[#All],[PID]],0)))</f>
        <v>Peña</v>
      </c>
      <c r="G1351" s="56">
        <f>IF($C1351="B",INDEX(Batters[[#All],[Age]],MATCH(Table5[[#This Row],[PID]],Batters[[#All],[PID]],0)),INDEX(Table3[[#All],[Age]],MATCH(Table5[[#This Row],[PID]],Table3[[#All],[PID]],0)))</f>
        <v>21</v>
      </c>
      <c r="H1351" s="52" t="str">
        <f>IF($C1351="B",INDEX(Batters[[#All],[B]],MATCH(Table5[[#This Row],[PID]],Batters[[#All],[PID]],0)),INDEX(Table3[[#All],[B]],MATCH(Table5[[#This Row],[PID]],Table3[[#All],[PID]],0)))</f>
        <v>S</v>
      </c>
      <c r="I1351" s="70" t="str">
        <f>IF($C1351="B",INDEX(Batters[[#All],[T]],MATCH(Table5[[#This Row],[PID]],Batters[[#All],[PID]],0)),INDEX(Table3[[#All],[T]],MATCH(Table5[[#This Row],[PID]],Table3[[#All],[PID]],0)))</f>
        <v>R</v>
      </c>
      <c r="J1351" s="52" t="str">
        <f>IF($C1351="B",INDEX(Batters[[#All],[WE]],MATCH(Table5[[#This Row],[PID]],Batters[[#All],[PID]],0)),INDEX(Table3[[#All],[WE]],MATCH(Table5[[#This Row],[PID]],Table3[[#All],[PID]],0)))</f>
        <v>Normal</v>
      </c>
      <c r="K1351" s="52" t="str">
        <f>IF($C1351="B",INDEX(Batters[[#All],[INT]],MATCH(Table5[[#This Row],[PID]],Batters[[#All],[PID]],0)),INDEX(Table3[[#All],[INT]],MATCH(Table5[[#This Row],[PID]],Table3[[#All],[PID]],0)))</f>
        <v>Low</v>
      </c>
      <c r="L1351" s="60">
        <f>IF($C1351="B",INDEX(Batters[[#All],[CON P]],MATCH(Table5[[#This Row],[PID]],Batters[[#All],[PID]],0)),INDEX(Table3[[#All],[STU P]],MATCH(Table5[[#This Row],[PID]],Table3[[#All],[PID]],0)))</f>
        <v>3</v>
      </c>
      <c r="M1351" s="56">
        <f>IF($C1351="B",INDEX(Batters[[#All],[GAP P]],MATCH(Table5[[#This Row],[PID]],Batters[[#All],[PID]],0)),INDEX(Table3[[#All],[MOV P]],MATCH(Table5[[#This Row],[PID]],Table3[[#All],[PID]],0)))</f>
        <v>3</v>
      </c>
      <c r="N1351" s="56">
        <f>IF($C1351="B",INDEX(Batters[[#All],[POW P]],MATCH(Table5[[#This Row],[PID]],Batters[[#All],[PID]],0)),INDEX(Table3[[#All],[CON P]],MATCH(Table5[[#This Row],[PID]],Table3[[#All],[PID]],0)))</f>
        <v>4</v>
      </c>
      <c r="O1351" s="56">
        <f>IF($C1351="B",INDEX(Batters[[#All],[EYE P]],MATCH(Table5[[#This Row],[PID]],Batters[[#All],[PID]],0)),INDEX(Table3[[#All],[VELO]],MATCH(Table5[[#This Row],[PID]],Table3[[#All],[PID]],0)))</f>
        <v>5</v>
      </c>
      <c r="P1351" s="56">
        <f>IF($C1351="B",INDEX(Batters[[#All],[K P]],MATCH(Table5[[#This Row],[PID]],Batters[[#All],[PID]],0)),INDEX(Table3[[#All],[STM]],MATCH(Table5[[#This Row],[PID]],Table3[[#All],[PID]],0)))</f>
        <v>3</v>
      </c>
      <c r="Q1351" s="61">
        <f>IF($C1351="B",INDEX(Batters[[#All],[Tot]],MATCH(Table5[[#This Row],[PID]],Batters[[#All],[PID]],0)),INDEX(Table3[[#All],[Tot]],MATCH(Table5[[#This Row],[PID]],Table3[[#All],[PID]],0)))</f>
        <v>36.765831813117678</v>
      </c>
      <c r="R1351" s="70">
        <f>IF($C1351="B",INDEX(Batters[[#All],[zScore]],MATCH(Table5[[#This Row],[PID]],Batters[[#All],[PID]],0)),INDEX(Table3[[#All],[zScore]],MATCH(Table5[[#This Row],[PID]],Table3[[#All],[PID]],0)))</f>
        <v>-1.6331159135866107</v>
      </c>
      <c r="S1351" s="79" t="str">
        <f>IF($C1351="B",INDEX(Batters[[#All],[DEM]],MATCH(Table5[[#This Row],[PID]],Batters[[#All],[PID]],0)),INDEX(Table3[[#All],[DEM]],MATCH(Table5[[#This Row],[PID]],Table3[[#All],[PID]],0)))</f>
        <v>-</v>
      </c>
      <c r="T1351" s="62">
        <f>IF($C1351="B",INDEX(Batters[[#All],[Rnk]],MATCH(Table5[[#This Row],[PID]],Batters[[#All],[PID]],0)),INDEX(Table3[[#All],[Rnk]],MATCH(Table5[[#This Row],[PID]],Table3[[#All],[PID]],0)))</f>
        <v>562</v>
      </c>
      <c r="U1351" s="68">
        <f>IF($C1351="B",VLOOKUP($A1351,Bat!$A$4:$BA$1621,47,FALSE),VLOOKUP($A1351,Pit!$A$4:$BF$1557,56,FALSE))</f>
        <v>0</v>
      </c>
      <c r="V1351" s="50">
        <f>IF($C1351="B",VLOOKUP($A1351,Bat!$A$4:$BA$1621,48,FALSE),VLOOKUP($A1351,Pit!$A$4:$BF$1557,57,FALSE))</f>
        <v>0</v>
      </c>
      <c r="W1351" s="50">
        <f>Table5[[#This Row],[posRnk]]+Table5[[#This Row],[zRnk]]+IF($W$3&lt;&gt;Table5[[#This Row],[Type]],50,0)</f>
        <v>1950</v>
      </c>
      <c r="X1351" s="51">
        <f>RANK(Table5[[#This Row],[zScore]],Table5[[#All],[zScore]])</f>
        <v>1338</v>
      </c>
      <c r="Y1351" s="50" t="str">
        <f>IFERROR(INDEX(DraftResults[[#All],[OVR]],MATCH(Table5[[#This Row],[PID]],DraftResults[[#All],[Player ID]],0)),"")</f>
        <v/>
      </c>
      <c r="Z13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1" s="50" t="str">
        <f>IFERROR(INDEX(DraftResults[[#All],[Pick in Round]],MATCH(Table5[[#This Row],[PID]],DraftResults[[#All],[Player ID]],0)),"")</f>
        <v/>
      </c>
      <c r="AB1351" s="50" t="str">
        <f>IFERROR(INDEX(DraftResults[[#All],[Team Name]],MATCH(Table5[[#This Row],[PID]],DraftResults[[#All],[Player ID]],0)),"")</f>
        <v/>
      </c>
      <c r="AC1351" s="50" t="str">
        <f>IF(Table5[[#This Row],[Ovr]]="","",IF(Table5[[#This Row],[cmbList]]="","",Table5[[#This Row],[cmbList]]-Table5[[#This Row],[Ovr]]))</f>
        <v/>
      </c>
      <c r="AD1351" s="54" t="str">
        <f>IF(ISERROR(VLOOKUP($AB1351&amp;"-"&amp;$E1351&amp;" "&amp;F1351,Bonuses!$B$1:$G$1006,4,FALSE)),"",INT(VLOOKUP($AB1351&amp;"-"&amp;$E1351&amp;" "&amp;$F1351,Bonuses!$B$1:$G$1006,4,FALSE)))</f>
        <v/>
      </c>
      <c r="AE13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2" spans="1:31" x14ac:dyDescent="0.25">
      <c r="A1352" s="68">
        <v>12135</v>
      </c>
      <c r="B1352" s="69">
        <f>COUNTIF(Table5[PID],A1352)</f>
        <v>1</v>
      </c>
      <c r="C1352" s="69" t="str">
        <f>IF(COUNTIF(Table3[[#All],[PID]],A1352)&gt;0,"P","B")</f>
        <v>P</v>
      </c>
      <c r="D1352" s="59" t="str">
        <f>IF($C1352="B",INDEX(Batters[[#All],[POS]],MATCH(Table5[[#This Row],[PID]],Batters[[#All],[PID]],0)),INDEX(Table3[[#All],[POS]],MATCH(Table5[[#This Row],[PID]],Table3[[#All],[PID]],0)))</f>
        <v>RP</v>
      </c>
      <c r="E1352" s="52" t="str">
        <f>IF($C1352="B",INDEX(Batters[[#All],[First]],MATCH(Table5[[#This Row],[PID]],Batters[[#All],[PID]],0)),INDEX(Table3[[#All],[First]],MATCH(Table5[[#This Row],[PID]],Table3[[#All],[PID]],0)))</f>
        <v>Ferdinand</v>
      </c>
      <c r="F1352" s="55" t="str">
        <f>IF($C1352="B",INDEX(Batters[[#All],[Last]],MATCH(A1352,Batters[[#All],[PID]],0)),INDEX(Table3[[#All],[Last]],MATCH(A1352,Table3[[#All],[PID]],0)))</f>
        <v>Schut</v>
      </c>
      <c r="G1352" s="56">
        <f>IF($C1352="B",INDEX(Batters[[#All],[Age]],MATCH(Table5[[#This Row],[PID]],Batters[[#All],[PID]],0)),INDEX(Table3[[#All],[Age]],MATCH(Table5[[#This Row],[PID]],Table3[[#All],[PID]],0)))</f>
        <v>22</v>
      </c>
      <c r="H1352" s="52" t="str">
        <f>IF($C1352="B",INDEX(Batters[[#All],[B]],MATCH(Table5[[#This Row],[PID]],Batters[[#All],[PID]],0)),INDEX(Table3[[#All],[B]],MATCH(Table5[[#This Row],[PID]],Table3[[#All],[PID]],0)))</f>
        <v>L</v>
      </c>
      <c r="I1352" s="70" t="str">
        <f>IF($C1352="B",INDEX(Batters[[#All],[T]],MATCH(Table5[[#This Row],[PID]],Batters[[#All],[PID]],0)),INDEX(Table3[[#All],[T]],MATCH(Table5[[#This Row],[PID]],Table3[[#All],[PID]],0)))</f>
        <v>L</v>
      </c>
      <c r="J1352" s="71" t="str">
        <f>IF($C1352="B",INDEX(Batters[[#All],[WE]],MATCH(Table5[[#This Row],[PID]],Batters[[#All],[PID]],0)),INDEX(Table3[[#All],[WE]],MATCH(Table5[[#This Row],[PID]],Table3[[#All],[PID]],0)))</f>
        <v>Low</v>
      </c>
      <c r="K1352" s="52" t="str">
        <f>IF($C1352="B",INDEX(Batters[[#All],[INT]],MATCH(Table5[[#This Row],[PID]],Batters[[#All],[PID]],0)),INDEX(Table3[[#All],[INT]],MATCH(Table5[[#This Row],[PID]],Table3[[#All],[PID]],0)))</f>
        <v>High</v>
      </c>
      <c r="L1352" s="60">
        <f>IF($C1352="B",INDEX(Batters[[#All],[CON P]],MATCH(Table5[[#This Row],[PID]],Batters[[#All],[PID]],0)),INDEX(Table3[[#All],[STU P]],MATCH(Table5[[#This Row],[PID]],Table3[[#All],[PID]],0)))</f>
        <v>4</v>
      </c>
      <c r="M1352" s="72">
        <f>IF($C1352="B",INDEX(Batters[[#All],[GAP P]],MATCH(Table5[[#This Row],[PID]],Batters[[#All],[PID]],0)),INDEX(Table3[[#All],[MOV P]],MATCH(Table5[[#This Row],[PID]],Table3[[#All],[PID]],0)))</f>
        <v>1</v>
      </c>
      <c r="N1352" s="72">
        <f>IF($C1352="B",INDEX(Batters[[#All],[POW P]],MATCH(Table5[[#This Row],[PID]],Batters[[#All],[PID]],0)),INDEX(Table3[[#All],[CON P]],MATCH(Table5[[#This Row],[PID]],Table3[[#All],[PID]],0)))</f>
        <v>2</v>
      </c>
      <c r="O1352" s="72" t="str">
        <f>IF($C1352="B",INDEX(Batters[[#All],[EYE P]],MATCH(Table5[[#This Row],[PID]],Batters[[#All],[PID]],0)),INDEX(Table3[[#All],[VELO]],MATCH(Table5[[#This Row],[PID]],Table3[[#All],[PID]],0)))</f>
        <v>89-91 Mph</v>
      </c>
      <c r="P1352" s="56">
        <f>IF($C1352="B",INDEX(Batters[[#All],[K P]],MATCH(Table5[[#This Row],[PID]],Batters[[#All],[PID]],0)),INDEX(Table3[[#All],[STM]],MATCH(Table5[[#This Row],[PID]],Table3[[#All],[PID]],0)))</f>
        <v>6</v>
      </c>
      <c r="Q1352" s="61">
        <f>IF($C1352="B",INDEX(Batters[[#All],[Tot]],MATCH(Table5[[#This Row],[PID]],Batters[[#All],[PID]],0)),INDEX(Table3[[#All],[Tot]],MATCH(Table5[[#This Row],[PID]],Table3[[#All],[PID]],0)))</f>
        <v>13.865788711001432</v>
      </c>
      <c r="R1352" s="70">
        <f>IF($C1352="B",INDEX(Batters[[#All],[zScore]],MATCH(Table5[[#This Row],[PID]],Batters[[#All],[PID]],0)),INDEX(Table3[[#All],[zScore]],MATCH(Table5[[#This Row],[PID]],Table3[[#All],[PID]],0)))</f>
        <v>-1.639745105537652</v>
      </c>
      <c r="S1352" s="74" t="str">
        <f>IF($C1352="B",INDEX(Batters[[#All],[DEM]],MATCH(Table5[[#This Row],[PID]],Batters[[#All],[PID]],0)),INDEX(Table3[[#All],[DEM]],MATCH(Table5[[#This Row],[PID]],Table3[[#All],[PID]],0)))</f>
        <v>-</v>
      </c>
      <c r="T1352" s="75">
        <f>IF($C1352="B",INDEX(Batters[[#All],[Rnk]],MATCH(Table5[[#This Row],[PID]],Batters[[#All],[PID]],0)),INDEX(Table3[[#All],[Rnk]],MATCH(Table5[[#This Row],[PID]],Table3[[#All],[PID]],0)))</f>
        <v>776</v>
      </c>
      <c r="U1352" s="68">
        <f>IF($C1352="B",VLOOKUP($A1352,Bat!$A$4:$BA$1621,47,FALSE),VLOOKUP($A1352,Pit!$A$4:$BF$1557,56,FALSE))</f>
        <v>0</v>
      </c>
      <c r="V1352" s="50">
        <f>IF($C1352="B",VLOOKUP($A1352,Bat!$A$4:$BA$1621,48,FALSE),VLOOKUP($A1352,Pit!$A$4:$BF$1557,57,FALSE))</f>
        <v>0</v>
      </c>
      <c r="W1352" s="69">
        <f>Table5[[#This Row],[posRnk]]+Table5[[#This Row],[zRnk]]+IF($W$3&lt;&gt;Table5[[#This Row],[Type]],50,0)</f>
        <v>2165</v>
      </c>
      <c r="X1352" s="73">
        <f>RANK(Table5[[#This Row],[zScore]],Table5[[#All],[zScore]])</f>
        <v>1339</v>
      </c>
      <c r="Y1352" s="69" t="str">
        <f>IFERROR(INDEX(DraftResults[[#All],[OVR]],MATCH(Table5[[#This Row],[PID]],DraftResults[[#All],[Player ID]],0)),"")</f>
        <v/>
      </c>
      <c r="Z1352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2" s="69" t="str">
        <f>IFERROR(INDEX(DraftResults[[#All],[Pick in Round]],MATCH(Table5[[#This Row],[PID]],DraftResults[[#All],[Player ID]],0)),"")</f>
        <v/>
      </c>
      <c r="AB1352" s="69" t="str">
        <f>IFERROR(INDEX(DraftResults[[#All],[Team Name]],MATCH(Table5[[#This Row],[PID]],DraftResults[[#All],[Player ID]],0)),"")</f>
        <v/>
      </c>
      <c r="AC1352" s="69" t="str">
        <f>IF(Table5[[#This Row],[Ovr]]="","",IF(Table5[[#This Row],[cmbList]]="","",Table5[[#This Row],[cmbList]]-Table5[[#This Row],[Ovr]]))</f>
        <v/>
      </c>
      <c r="AD1352" s="77" t="str">
        <f>IF(ISERROR(VLOOKUP($AB1352&amp;"-"&amp;$E1352&amp;" "&amp;F1352,Bonuses!$B$1:$G$1006,4,FALSE)),"",INT(VLOOKUP($AB1352&amp;"-"&amp;$E1352&amp;" "&amp;$F1352,Bonuses!$B$1:$G$1006,4,FALSE)))</f>
        <v/>
      </c>
      <c r="AE1352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3" spans="1:31" x14ac:dyDescent="0.25">
      <c r="A1353" s="50">
        <v>16907</v>
      </c>
      <c r="B1353" s="55">
        <f>COUNTIF(Table5[PID],A1353)</f>
        <v>1</v>
      </c>
      <c r="C1353" s="55" t="str">
        <f>IF(COUNTIF(Table3[[#All],[PID]],A1353)&gt;0,"P","B")</f>
        <v>B</v>
      </c>
      <c r="D1353" s="59" t="str">
        <f>IF($C1353="B",INDEX(Batters[[#All],[POS]],MATCH(Table5[[#This Row],[PID]],Batters[[#All],[PID]],0)),INDEX(Table3[[#All],[POS]],MATCH(Table5[[#This Row],[PID]],Table3[[#All],[PID]],0)))</f>
        <v>C</v>
      </c>
      <c r="E1353" s="52" t="str">
        <f>IF($C1353="B",INDEX(Batters[[#All],[First]],MATCH(Table5[[#This Row],[PID]],Batters[[#All],[PID]],0)),INDEX(Table3[[#All],[First]],MATCH(Table5[[#This Row],[PID]],Table3[[#All],[PID]],0)))</f>
        <v>Eric</v>
      </c>
      <c r="F1353" s="50" t="str">
        <f>IF($C1353="B",INDEX(Batters[[#All],[Last]],MATCH(A1353,Batters[[#All],[PID]],0)),INDEX(Table3[[#All],[Last]],MATCH(A1353,Table3[[#All],[PID]],0)))</f>
        <v>Parke</v>
      </c>
      <c r="G1353" s="56">
        <f>IF($C1353="B",INDEX(Batters[[#All],[Age]],MATCH(Table5[[#This Row],[PID]],Batters[[#All],[PID]],0)),INDEX(Table3[[#All],[Age]],MATCH(Table5[[#This Row],[PID]],Table3[[#All],[PID]],0)))</f>
        <v>21</v>
      </c>
      <c r="H1353" s="52" t="str">
        <f>IF($C1353="B",INDEX(Batters[[#All],[B]],MATCH(Table5[[#This Row],[PID]],Batters[[#All],[PID]],0)),INDEX(Table3[[#All],[B]],MATCH(Table5[[#This Row],[PID]],Table3[[#All],[PID]],0)))</f>
        <v>L</v>
      </c>
      <c r="I1353" s="70" t="str">
        <f>IF($C1353="B",INDEX(Batters[[#All],[T]],MATCH(Table5[[#This Row],[PID]],Batters[[#All],[PID]],0)),INDEX(Table3[[#All],[T]],MATCH(Table5[[#This Row],[PID]],Table3[[#All],[PID]],0)))</f>
        <v>R</v>
      </c>
      <c r="J1353" s="52" t="str">
        <f>IF($C1353="B",INDEX(Batters[[#All],[WE]],MATCH(Table5[[#This Row],[PID]],Batters[[#All],[PID]],0)),INDEX(Table3[[#All],[WE]],MATCH(Table5[[#This Row],[PID]],Table3[[#All],[PID]],0)))</f>
        <v>Low</v>
      </c>
      <c r="K1353" s="52" t="str">
        <f>IF($C1353="B",INDEX(Batters[[#All],[INT]],MATCH(Table5[[#This Row],[PID]],Batters[[#All],[PID]],0)),INDEX(Table3[[#All],[INT]],MATCH(Table5[[#This Row],[PID]],Table3[[#All],[PID]],0)))</f>
        <v>Normal</v>
      </c>
      <c r="L1353" s="60">
        <f>IF($C1353="B",INDEX(Batters[[#All],[CON P]],MATCH(Table5[[#This Row],[PID]],Batters[[#All],[PID]],0)),INDEX(Table3[[#All],[STU P]],MATCH(Table5[[#This Row],[PID]],Table3[[#All],[PID]],0)))</f>
        <v>3</v>
      </c>
      <c r="M1353" s="56">
        <f>IF($C1353="B",INDEX(Batters[[#All],[GAP P]],MATCH(Table5[[#This Row],[PID]],Batters[[#All],[PID]],0)),INDEX(Table3[[#All],[MOV P]],MATCH(Table5[[#This Row],[PID]],Table3[[#All],[PID]],0)))</f>
        <v>3</v>
      </c>
      <c r="N1353" s="56">
        <f>IF($C1353="B",INDEX(Batters[[#All],[POW P]],MATCH(Table5[[#This Row],[PID]],Batters[[#All],[PID]],0)),INDEX(Table3[[#All],[CON P]],MATCH(Table5[[#This Row],[PID]],Table3[[#All],[PID]],0)))</f>
        <v>4</v>
      </c>
      <c r="O1353" s="56">
        <f>IF($C1353="B",INDEX(Batters[[#All],[EYE P]],MATCH(Table5[[#This Row],[PID]],Batters[[#All],[PID]],0)),INDEX(Table3[[#All],[VELO]],MATCH(Table5[[#This Row],[PID]],Table3[[#All],[PID]],0)))</f>
        <v>5</v>
      </c>
      <c r="P1353" s="56">
        <f>IF($C1353="B",INDEX(Batters[[#All],[K P]],MATCH(Table5[[#This Row],[PID]],Batters[[#All],[PID]],0)),INDEX(Table3[[#All],[STM]],MATCH(Table5[[#This Row],[PID]],Table3[[#All],[PID]],0)))</f>
        <v>3</v>
      </c>
      <c r="Q1353" s="61">
        <f>IF($C1353="B",INDEX(Batters[[#All],[Tot]],MATCH(Table5[[#This Row],[PID]],Batters[[#All],[PID]],0)),INDEX(Table3[[#All],[Tot]],MATCH(Table5[[#This Row],[PID]],Table3[[#All],[PID]],0)))</f>
        <v>36.72847024153554</v>
      </c>
      <c r="R1353" s="70">
        <f>IF($C1353="B",INDEX(Batters[[#All],[zScore]],MATCH(Table5[[#This Row],[PID]],Batters[[#All],[PID]],0)),INDEX(Table3[[#All],[zScore]],MATCH(Table5[[#This Row],[PID]],Table3[[#All],[PID]],0)))</f>
        <v>-1.6413992265471571</v>
      </c>
      <c r="S1353" s="79" t="str">
        <f>IF($C1353="B",INDEX(Batters[[#All],[DEM]],MATCH(Table5[[#This Row],[PID]],Batters[[#All],[PID]],0)),INDEX(Table3[[#All],[DEM]],MATCH(Table5[[#This Row],[PID]],Table3[[#All],[PID]],0)))</f>
        <v>$20k</v>
      </c>
      <c r="T1353" s="62">
        <f>IF($C1353="B",INDEX(Batters[[#All],[Rnk]],MATCH(Table5[[#This Row],[PID]],Batters[[#All],[PID]],0)),INDEX(Table3[[#All],[Rnk]],MATCH(Table5[[#This Row],[PID]],Table3[[#All],[PID]],0)))</f>
        <v>563</v>
      </c>
      <c r="U1353" s="68">
        <f>IF($C1353="B",VLOOKUP($A1353,Bat!$A$4:$BA$1621,47,FALSE),VLOOKUP($A1353,Pit!$A$4:$BF$1557,56,FALSE))</f>
        <v>0</v>
      </c>
      <c r="V1353" s="50">
        <f>IF($C1353="B",VLOOKUP($A1353,Bat!$A$4:$BA$1621,48,FALSE),VLOOKUP($A1353,Pit!$A$4:$BF$1557,57,FALSE))</f>
        <v>0</v>
      </c>
      <c r="W1353" s="50">
        <f>Table5[[#This Row],[posRnk]]+Table5[[#This Row],[zRnk]]+IF($W$3&lt;&gt;Table5[[#This Row],[Type]],50,0)</f>
        <v>1953</v>
      </c>
      <c r="X1353" s="51">
        <f>RANK(Table5[[#This Row],[zScore]],Table5[[#All],[zScore]])</f>
        <v>1340</v>
      </c>
      <c r="Y1353" s="50" t="str">
        <f>IFERROR(INDEX(DraftResults[[#All],[OVR]],MATCH(Table5[[#This Row],[PID]],DraftResults[[#All],[Player ID]],0)),"")</f>
        <v/>
      </c>
      <c r="Z13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3" s="50" t="str">
        <f>IFERROR(INDEX(DraftResults[[#All],[Pick in Round]],MATCH(Table5[[#This Row],[PID]],DraftResults[[#All],[Player ID]],0)),"")</f>
        <v/>
      </c>
      <c r="AB1353" s="50" t="str">
        <f>IFERROR(INDEX(DraftResults[[#All],[Team Name]],MATCH(Table5[[#This Row],[PID]],DraftResults[[#All],[Player ID]],0)),"")</f>
        <v/>
      </c>
      <c r="AC1353" s="50" t="str">
        <f>IF(Table5[[#This Row],[Ovr]]="","",IF(Table5[[#This Row],[cmbList]]="","",Table5[[#This Row],[cmbList]]-Table5[[#This Row],[Ovr]]))</f>
        <v/>
      </c>
      <c r="AD1353" s="54" t="str">
        <f>IF(ISERROR(VLOOKUP($AB1353&amp;"-"&amp;$E1353&amp;" "&amp;F1353,Bonuses!$B$1:$G$1006,4,FALSE)),"",INT(VLOOKUP($AB1353&amp;"-"&amp;$E1353&amp;" "&amp;$F1353,Bonuses!$B$1:$G$1006,4,FALSE)))</f>
        <v/>
      </c>
      <c r="AE13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4" spans="1:31" x14ac:dyDescent="0.25">
      <c r="A1354" s="50">
        <v>12143</v>
      </c>
      <c r="B1354" s="50">
        <f>COUNTIF(Table5[PID],A1354)</f>
        <v>1</v>
      </c>
      <c r="C1354" s="50" t="str">
        <f>IF(COUNTIF(Table3[[#All],[PID]],A1354)&gt;0,"P","B")</f>
        <v>B</v>
      </c>
      <c r="D1354" s="59" t="str">
        <f>IF($C1354="B",INDEX(Batters[[#All],[POS]],MATCH(Table5[[#This Row],[PID]],Batters[[#All],[PID]],0)),INDEX(Table3[[#All],[POS]],MATCH(Table5[[#This Row],[PID]],Table3[[#All],[PID]],0)))</f>
        <v>1B</v>
      </c>
      <c r="E1354" s="52" t="str">
        <f>IF($C1354="B",INDEX(Batters[[#All],[First]],MATCH(Table5[[#This Row],[PID]],Batters[[#All],[PID]],0)),INDEX(Table3[[#All],[First]],MATCH(Table5[[#This Row],[PID]],Table3[[#All],[PID]],0)))</f>
        <v>Scott</v>
      </c>
      <c r="F1354" s="50" t="str">
        <f>IF($C1354="B",INDEX(Batters[[#All],[Last]],MATCH(A1354,Batters[[#All],[PID]],0)),INDEX(Table3[[#All],[Last]],MATCH(A1354,Table3[[#All],[PID]],0)))</f>
        <v>Patton</v>
      </c>
      <c r="G1354" s="56">
        <f>IF($C1354="B",INDEX(Batters[[#All],[Age]],MATCH(Table5[[#This Row],[PID]],Batters[[#All],[PID]],0)),INDEX(Table3[[#All],[Age]],MATCH(Table5[[#This Row],[PID]],Table3[[#All],[PID]],0)))</f>
        <v>22</v>
      </c>
      <c r="H1354" s="52" t="str">
        <f>IF($C1354="B",INDEX(Batters[[#All],[B]],MATCH(Table5[[#This Row],[PID]],Batters[[#All],[PID]],0)),INDEX(Table3[[#All],[B]],MATCH(Table5[[#This Row],[PID]],Table3[[#All],[PID]],0)))</f>
        <v>L</v>
      </c>
      <c r="I1354" s="70" t="str">
        <f>IF($C1354="B",INDEX(Batters[[#All],[T]],MATCH(Table5[[#This Row],[PID]],Batters[[#All],[PID]],0)),INDEX(Table3[[#All],[T]],MATCH(Table5[[#This Row],[PID]],Table3[[#All],[PID]],0)))</f>
        <v>L</v>
      </c>
      <c r="J1354" s="52" t="str">
        <f>IF($C1354="B",INDEX(Batters[[#All],[WE]],MATCH(Table5[[#This Row],[PID]],Batters[[#All],[PID]],0)),INDEX(Table3[[#All],[WE]],MATCH(Table5[[#This Row],[PID]],Table3[[#All],[PID]],0)))</f>
        <v>Normal</v>
      </c>
      <c r="K1354" s="52" t="str">
        <f>IF($C1354="B",INDEX(Batters[[#All],[INT]],MATCH(Table5[[#This Row],[PID]],Batters[[#All],[PID]],0)),INDEX(Table3[[#All],[INT]],MATCH(Table5[[#This Row],[PID]],Table3[[#All],[PID]],0)))</f>
        <v>Normal</v>
      </c>
      <c r="L1354" s="60">
        <f>IF($C1354="B",INDEX(Batters[[#All],[CON P]],MATCH(Table5[[#This Row],[PID]],Batters[[#All],[PID]],0)),INDEX(Table3[[#All],[STU P]],MATCH(Table5[[#This Row],[PID]],Table3[[#All],[PID]],0)))</f>
        <v>3</v>
      </c>
      <c r="M1354" s="56">
        <f>IF($C1354="B",INDEX(Batters[[#All],[GAP P]],MATCH(Table5[[#This Row],[PID]],Batters[[#All],[PID]],0)),INDEX(Table3[[#All],[MOV P]],MATCH(Table5[[#This Row],[PID]],Table3[[#All],[PID]],0)))</f>
        <v>4</v>
      </c>
      <c r="N1354" s="56">
        <f>IF($C1354="B",INDEX(Batters[[#All],[POW P]],MATCH(Table5[[#This Row],[PID]],Batters[[#All],[PID]],0)),INDEX(Table3[[#All],[CON P]],MATCH(Table5[[#This Row],[PID]],Table3[[#All],[PID]],0)))</f>
        <v>4</v>
      </c>
      <c r="O1354" s="56">
        <f>IF($C1354="B",INDEX(Batters[[#All],[EYE P]],MATCH(Table5[[#This Row],[PID]],Batters[[#All],[PID]],0)),INDEX(Table3[[#All],[VELO]],MATCH(Table5[[#This Row],[PID]],Table3[[#All],[PID]],0)))</f>
        <v>4</v>
      </c>
      <c r="P1354" s="56">
        <f>IF($C1354="B",INDEX(Batters[[#All],[K P]],MATCH(Table5[[#This Row],[PID]],Batters[[#All],[PID]],0)),INDEX(Table3[[#All],[STM]],MATCH(Table5[[#This Row],[PID]],Table3[[#All],[PID]],0)))</f>
        <v>3</v>
      </c>
      <c r="Q1354" s="61">
        <f>IF($C1354="B",INDEX(Batters[[#All],[Tot]],MATCH(Table5[[#This Row],[PID]],Batters[[#All],[PID]],0)),INDEX(Table3[[#All],[Tot]],MATCH(Table5[[#This Row],[PID]],Table3[[#All],[PID]],0)))</f>
        <v>36.724275735032066</v>
      </c>
      <c r="R1354" s="70">
        <f>IF($C1354="B",INDEX(Batters[[#All],[zScore]],MATCH(Table5[[#This Row],[PID]],Batters[[#All],[PID]],0)),INDEX(Table3[[#All],[zScore]],MATCH(Table5[[#This Row],[PID]],Table3[[#All],[PID]],0)))</f>
        <v>-1.6423291769912098</v>
      </c>
      <c r="S1354" s="79" t="str">
        <f>IF($C1354="B",INDEX(Batters[[#All],[DEM]],MATCH(Table5[[#This Row],[PID]],Batters[[#All],[PID]],0)),INDEX(Table3[[#All],[DEM]],MATCH(Table5[[#This Row],[PID]],Table3[[#All],[PID]],0)))</f>
        <v>-</v>
      </c>
      <c r="T1354" s="62">
        <f>IF($C1354="B",INDEX(Batters[[#All],[Rnk]],MATCH(Table5[[#This Row],[PID]],Batters[[#All],[PID]],0)),INDEX(Table3[[#All],[Rnk]],MATCH(Table5[[#This Row],[PID]],Table3[[#All],[PID]],0)))</f>
        <v>564</v>
      </c>
      <c r="U1354" s="68">
        <f>IF($C1354="B",VLOOKUP($A1354,Bat!$A$4:$BA$1621,47,FALSE),VLOOKUP($A1354,Pit!$A$4:$BF$1557,56,FALSE))</f>
        <v>0</v>
      </c>
      <c r="V1354" s="50">
        <f>IF($C1354="B",VLOOKUP($A1354,Bat!$A$4:$BA$1621,48,FALSE),VLOOKUP($A1354,Pit!$A$4:$BF$1557,57,FALSE))</f>
        <v>0</v>
      </c>
      <c r="W1354" s="50">
        <f>Table5[[#This Row],[posRnk]]+Table5[[#This Row],[zRnk]]+IF($W$3&lt;&gt;Table5[[#This Row],[Type]],50,0)</f>
        <v>1955</v>
      </c>
      <c r="X1354" s="51">
        <f>RANK(Table5[[#This Row],[zScore]],Table5[[#All],[zScore]])</f>
        <v>1341</v>
      </c>
      <c r="Y1354" s="50" t="str">
        <f>IFERROR(INDEX(DraftResults[[#All],[OVR]],MATCH(Table5[[#This Row],[PID]],DraftResults[[#All],[Player ID]],0)),"")</f>
        <v/>
      </c>
      <c r="Z13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4" s="50" t="str">
        <f>IFERROR(INDEX(DraftResults[[#All],[Pick in Round]],MATCH(Table5[[#This Row],[PID]],DraftResults[[#All],[Player ID]],0)),"")</f>
        <v/>
      </c>
      <c r="AB1354" s="50" t="str">
        <f>IFERROR(INDEX(DraftResults[[#All],[Team Name]],MATCH(Table5[[#This Row],[PID]],DraftResults[[#All],[Player ID]],0)),"")</f>
        <v/>
      </c>
      <c r="AC1354" s="50" t="str">
        <f>IF(Table5[[#This Row],[Ovr]]="","",IF(Table5[[#This Row],[cmbList]]="","",Table5[[#This Row],[cmbList]]-Table5[[#This Row],[Ovr]]))</f>
        <v/>
      </c>
      <c r="AD1354" s="54" t="str">
        <f>IF(ISERROR(VLOOKUP($AB1354&amp;"-"&amp;$E1354&amp;" "&amp;F1354,Bonuses!$B$1:$G$1006,4,FALSE)),"",INT(VLOOKUP($AB1354&amp;"-"&amp;$E1354&amp;" "&amp;$F1354,Bonuses!$B$1:$G$1006,4,FALSE)))</f>
        <v/>
      </c>
      <c r="AE13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5" spans="1:31" x14ac:dyDescent="0.25">
      <c r="A1355" s="50">
        <v>16896</v>
      </c>
      <c r="B1355" s="50">
        <f>COUNTIF(Table5[PID],A1355)</f>
        <v>1</v>
      </c>
      <c r="C1355" s="50" t="str">
        <f>IF(COUNTIF(Table3[[#All],[PID]],A1355)&gt;0,"P","B")</f>
        <v>B</v>
      </c>
      <c r="D1355" s="59" t="str">
        <f>IF($C1355="B",INDEX(Batters[[#All],[POS]],MATCH(Table5[[#This Row],[PID]],Batters[[#All],[PID]],0)),INDEX(Table3[[#All],[POS]],MATCH(Table5[[#This Row],[PID]],Table3[[#All],[PID]],0)))</f>
        <v>1B</v>
      </c>
      <c r="E1355" s="52" t="str">
        <f>IF($C1355="B",INDEX(Batters[[#All],[First]],MATCH(Table5[[#This Row],[PID]],Batters[[#All],[PID]],0)),INDEX(Table3[[#All],[First]],MATCH(Table5[[#This Row],[PID]],Table3[[#All],[PID]],0)))</f>
        <v>Martin</v>
      </c>
      <c r="F1355" s="50" t="str">
        <f>IF($C1355="B",INDEX(Batters[[#All],[Last]],MATCH(A1355,Batters[[#All],[PID]],0)),INDEX(Table3[[#All],[Last]],MATCH(A1355,Table3[[#All],[PID]],0)))</f>
        <v>Butler</v>
      </c>
      <c r="G1355" s="56">
        <f>IF($C1355="B",INDEX(Batters[[#All],[Age]],MATCH(Table5[[#This Row],[PID]],Batters[[#All],[PID]],0)),INDEX(Table3[[#All],[Age]],MATCH(Table5[[#This Row],[PID]],Table3[[#All],[PID]],0)))</f>
        <v>21</v>
      </c>
      <c r="H1355" s="52" t="str">
        <f>IF($C1355="B",INDEX(Batters[[#All],[B]],MATCH(Table5[[#This Row],[PID]],Batters[[#All],[PID]],0)),INDEX(Table3[[#All],[B]],MATCH(Table5[[#This Row],[PID]],Table3[[#All],[PID]],0)))</f>
        <v>R</v>
      </c>
      <c r="I1355" s="70" t="str">
        <f>IF($C1355="B",INDEX(Batters[[#All],[T]],MATCH(Table5[[#This Row],[PID]],Batters[[#All],[PID]],0)),INDEX(Table3[[#All],[T]],MATCH(Table5[[#This Row],[PID]],Table3[[#All],[PID]],0)))</f>
        <v>L</v>
      </c>
      <c r="J1355" s="52" t="str">
        <f>IF($C1355="B",INDEX(Batters[[#All],[WE]],MATCH(Table5[[#This Row],[PID]],Batters[[#All],[PID]],0)),INDEX(Table3[[#All],[WE]],MATCH(Table5[[#This Row],[PID]],Table3[[#All],[PID]],0)))</f>
        <v>Normal</v>
      </c>
      <c r="K1355" s="52" t="str">
        <f>IF($C1355="B",INDEX(Batters[[#All],[INT]],MATCH(Table5[[#This Row],[PID]],Batters[[#All],[PID]],0)),INDEX(Table3[[#All],[INT]],MATCH(Table5[[#This Row],[PID]],Table3[[#All],[PID]],0)))</f>
        <v>High</v>
      </c>
      <c r="L1355" s="60">
        <f>IF($C1355="B",INDEX(Batters[[#All],[CON P]],MATCH(Table5[[#This Row],[PID]],Batters[[#All],[PID]],0)),INDEX(Table3[[#All],[STU P]],MATCH(Table5[[#This Row],[PID]],Table3[[#All],[PID]],0)))</f>
        <v>3</v>
      </c>
      <c r="M1355" s="56">
        <f>IF($C1355="B",INDEX(Batters[[#All],[GAP P]],MATCH(Table5[[#This Row],[PID]],Batters[[#All],[PID]],0)),INDEX(Table3[[#All],[MOV P]],MATCH(Table5[[#This Row],[PID]],Table3[[#All],[PID]],0)))</f>
        <v>2</v>
      </c>
      <c r="N1355" s="56">
        <f>IF($C1355="B",INDEX(Batters[[#All],[POW P]],MATCH(Table5[[#This Row],[PID]],Batters[[#All],[PID]],0)),INDEX(Table3[[#All],[CON P]],MATCH(Table5[[#This Row],[PID]],Table3[[#All],[PID]],0)))</f>
        <v>4</v>
      </c>
      <c r="O1355" s="56">
        <f>IF($C1355="B",INDEX(Batters[[#All],[EYE P]],MATCH(Table5[[#This Row],[PID]],Batters[[#All],[PID]],0)),INDEX(Table3[[#All],[VELO]],MATCH(Table5[[#This Row],[PID]],Table3[[#All],[PID]],0)))</f>
        <v>5</v>
      </c>
      <c r="P1355" s="56">
        <f>IF($C1355="B",INDEX(Batters[[#All],[K P]],MATCH(Table5[[#This Row],[PID]],Batters[[#All],[PID]],0)),INDEX(Table3[[#All],[STM]],MATCH(Table5[[#This Row],[PID]],Table3[[#All],[PID]],0)))</f>
        <v>3</v>
      </c>
      <c r="Q1355" s="61">
        <f>IF($C1355="B",INDEX(Batters[[#All],[Tot]],MATCH(Table5[[#This Row],[PID]],Batters[[#All],[PID]],0)),INDEX(Table3[[#All],[Tot]],MATCH(Table5[[#This Row],[PID]],Table3[[#All],[PID]],0)))</f>
        <v>36.715751686111105</v>
      </c>
      <c r="R1355" s="70">
        <f>IF($C1355="B",INDEX(Batters[[#All],[zScore]],MATCH(Table5[[#This Row],[PID]],Batters[[#All],[PID]],0)),INDEX(Table3[[#All],[zScore]],MATCH(Table5[[#This Row],[PID]],Table3[[#All],[PID]],0)))</f>
        <v>-1.6442190162542103</v>
      </c>
      <c r="S1355" s="79" t="str">
        <f>IF($C1355="B",INDEX(Batters[[#All],[DEM]],MATCH(Table5[[#This Row],[PID]],Batters[[#All],[PID]],0)),INDEX(Table3[[#All],[DEM]],MATCH(Table5[[#This Row],[PID]],Table3[[#All],[PID]],0)))</f>
        <v>$20k</v>
      </c>
      <c r="T1355" s="62">
        <f>IF($C1355="B",INDEX(Batters[[#All],[Rnk]],MATCH(Table5[[#This Row],[PID]],Batters[[#All],[PID]],0)),INDEX(Table3[[#All],[Rnk]],MATCH(Table5[[#This Row],[PID]],Table3[[#All],[PID]],0)))</f>
        <v>565</v>
      </c>
      <c r="U1355" s="68">
        <f>IF($C1355="B",VLOOKUP($A1355,Bat!$A$4:$BA$1621,47,FALSE),VLOOKUP($A1355,Pit!$A$4:$BF$1557,56,FALSE))</f>
        <v>0</v>
      </c>
      <c r="V1355" s="50">
        <f>IF($C1355="B",VLOOKUP($A1355,Bat!$A$4:$BA$1621,48,FALSE),VLOOKUP($A1355,Pit!$A$4:$BF$1557,57,FALSE))</f>
        <v>0</v>
      </c>
      <c r="W1355" s="50">
        <f>Table5[[#This Row],[posRnk]]+Table5[[#This Row],[zRnk]]+IF($W$3&lt;&gt;Table5[[#This Row],[Type]],50,0)</f>
        <v>1957</v>
      </c>
      <c r="X1355" s="51">
        <f>RANK(Table5[[#This Row],[zScore]],Table5[[#All],[zScore]])</f>
        <v>1342</v>
      </c>
      <c r="Y1355" s="50" t="str">
        <f>IFERROR(INDEX(DraftResults[[#All],[OVR]],MATCH(Table5[[#This Row],[PID]],DraftResults[[#All],[Player ID]],0)),"")</f>
        <v/>
      </c>
      <c r="Z13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5" s="50" t="str">
        <f>IFERROR(INDEX(DraftResults[[#All],[Pick in Round]],MATCH(Table5[[#This Row],[PID]],DraftResults[[#All],[Player ID]],0)),"")</f>
        <v/>
      </c>
      <c r="AB1355" s="50" t="str">
        <f>IFERROR(INDEX(DraftResults[[#All],[Team Name]],MATCH(Table5[[#This Row],[PID]],DraftResults[[#All],[Player ID]],0)),"")</f>
        <v/>
      </c>
      <c r="AC1355" s="50" t="str">
        <f>IF(Table5[[#This Row],[Ovr]]="","",IF(Table5[[#This Row],[cmbList]]="","",Table5[[#This Row],[cmbList]]-Table5[[#This Row],[Ovr]]))</f>
        <v/>
      </c>
      <c r="AD1355" s="54" t="str">
        <f>IF(ISERROR(VLOOKUP($AB1355&amp;"-"&amp;$E1355&amp;" "&amp;F1355,Bonuses!$B$1:$G$1006,4,FALSE)),"",INT(VLOOKUP($AB1355&amp;"-"&amp;$E1355&amp;" "&amp;$F1355,Bonuses!$B$1:$G$1006,4,FALSE)))</f>
        <v/>
      </c>
      <c r="AE13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6" spans="1:31" x14ac:dyDescent="0.25">
      <c r="A1356" s="50">
        <v>17780</v>
      </c>
      <c r="B1356" s="50">
        <f>COUNTIF(Table5[PID],A1356)</f>
        <v>1</v>
      </c>
      <c r="C1356" s="50" t="str">
        <f>IF(COUNTIF(Table3[[#All],[PID]],A1356)&gt;0,"P","B")</f>
        <v>B</v>
      </c>
      <c r="D1356" s="59" t="str">
        <f>IF($C1356="B",INDEX(Batters[[#All],[POS]],MATCH(Table5[[#This Row],[PID]],Batters[[#All],[PID]],0)),INDEX(Table3[[#All],[POS]],MATCH(Table5[[#This Row],[PID]],Table3[[#All],[PID]],0)))</f>
        <v>LF</v>
      </c>
      <c r="E1356" s="52" t="str">
        <f>IF($C1356="B",INDEX(Batters[[#All],[First]],MATCH(Table5[[#This Row],[PID]],Batters[[#All],[PID]],0)),INDEX(Table3[[#All],[First]],MATCH(Table5[[#This Row],[PID]],Table3[[#All],[PID]],0)))</f>
        <v>Tokuma</v>
      </c>
      <c r="F1356" s="50" t="str">
        <f>IF($C1356="B",INDEX(Batters[[#All],[Last]],MATCH(A1356,Batters[[#All],[PID]],0)),INDEX(Table3[[#All],[Last]],MATCH(A1356,Table3[[#All],[PID]],0)))</f>
        <v>Yokoyama</v>
      </c>
      <c r="G1356" s="56">
        <f>IF($C1356="B",INDEX(Batters[[#All],[Age]],MATCH(Table5[[#This Row],[PID]],Batters[[#All],[PID]],0)),INDEX(Table3[[#All],[Age]],MATCH(Table5[[#This Row],[PID]],Table3[[#All],[PID]],0)))</f>
        <v>21</v>
      </c>
      <c r="H1356" s="52" t="str">
        <f>IF($C1356="B",INDEX(Batters[[#All],[B]],MATCH(Table5[[#This Row],[PID]],Batters[[#All],[PID]],0)),INDEX(Table3[[#All],[B]],MATCH(Table5[[#This Row],[PID]],Table3[[#All],[PID]],0)))</f>
        <v>L</v>
      </c>
      <c r="I1356" s="70" t="str">
        <f>IF($C1356="B",INDEX(Batters[[#All],[T]],MATCH(Table5[[#This Row],[PID]],Batters[[#All],[PID]],0)),INDEX(Table3[[#All],[T]],MATCH(Table5[[#This Row],[PID]],Table3[[#All],[PID]],0)))</f>
        <v>R</v>
      </c>
      <c r="J1356" s="52" t="str">
        <f>IF($C1356="B",INDEX(Batters[[#All],[WE]],MATCH(Table5[[#This Row],[PID]],Batters[[#All],[PID]],0)),INDEX(Table3[[#All],[WE]],MATCH(Table5[[#This Row],[PID]],Table3[[#All],[PID]],0)))</f>
        <v>Normal</v>
      </c>
      <c r="K1356" s="52" t="str">
        <f>IF($C1356="B",INDEX(Batters[[#All],[INT]],MATCH(Table5[[#This Row],[PID]],Batters[[#All],[PID]],0)),INDEX(Table3[[#All],[INT]],MATCH(Table5[[#This Row],[PID]],Table3[[#All],[PID]],0)))</f>
        <v>Normal</v>
      </c>
      <c r="L1356" s="60">
        <f>IF($C1356="B",INDEX(Batters[[#All],[CON P]],MATCH(Table5[[#This Row],[PID]],Batters[[#All],[PID]],0)),INDEX(Table3[[#All],[STU P]],MATCH(Table5[[#This Row],[PID]],Table3[[#All],[PID]],0)))</f>
        <v>3</v>
      </c>
      <c r="M1356" s="56">
        <f>IF($C1356="B",INDEX(Batters[[#All],[GAP P]],MATCH(Table5[[#This Row],[PID]],Batters[[#All],[PID]],0)),INDEX(Table3[[#All],[MOV P]],MATCH(Table5[[#This Row],[PID]],Table3[[#All],[PID]],0)))</f>
        <v>4</v>
      </c>
      <c r="N1356" s="56">
        <f>IF($C1356="B",INDEX(Batters[[#All],[POW P]],MATCH(Table5[[#This Row],[PID]],Batters[[#All],[PID]],0)),INDEX(Table3[[#All],[CON P]],MATCH(Table5[[#This Row],[PID]],Table3[[#All],[PID]],0)))</f>
        <v>3</v>
      </c>
      <c r="O1356" s="56">
        <f>IF($C1356="B",INDEX(Batters[[#All],[EYE P]],MATCH(Table5[[#This Row],[PID]],Batters[[#All],[PID]],0)),INDEX(Table3[[#All],[VELO]],MATCH(Table5[[#This Row],[PID]],Table3[[#All],[PID]],0)))</f>
        <v>5</v>
      </c>
      <c r="P1356" s="56">
        <f>IF($C1356="B",INDEX(Batters[[#All],[K P]],MATCH(Table5[[#This Row],[PID]],Batters[[#All],[PID]],0)),INDEX(Table3[[#All],[STM]],MATCH(Table5[[#This Row],[PID]],Table3[[#All],[PID]],0)))</f>
        <v>3</v>
      </c>
      <c r="Q1356" s="61">
        <f>IF($C1356="B",INDEX(Batters[[#All],[Tot]],MATCH(Table5[[#This Row],[PID]],Batters[[#All],[PID]],0)),INDEX(Table3[[#All],[Tot]],MATCH(Table5[[#This Row],[PID]],Table3[[#All],[PID]],0)))</f>
        <v>36.699891017199839</v>
      </c>
      <c r="R1356" s="70">
        <f>IF($C1356="B",INDEX(Batters[[#All],[zScore]],MATCH(Table5[[#This Row],[PID]],Batters[[#All],[PID]],0)),INDEX(Table3[[#All],[zScore]],MATCH(Table5[[#This Row],[PID]],Table3[[#All],[PID]],0)))</f>
        <v>-1.6477354337600101</v>
      </c>
      <c r="S1356" s="79" t="str">
        <f>IF($C1356="B",INDEX(Batters[[#All],[DEM]],MATCH(Table5[[#This Row],[PID]],Batters[[#All],[PID]],0)),INDEX(Table3[[#All],[DEM]],MATCH(Table5[[#This Row],[PID]],Table3[[#All],[PID]],0)))</f>
        <v>-</v>
      </c>
      <c r="T1356" s="62">
        <f>IF($C1356="B",INDEX(Batters[[#All],[Rnk]],MATCH(Table5[[#This Row],[PID]],Batters[[#All],[PID]],0)),INDEX(Table3[[#All],[Rnk]],MATCH(Table5[[#This Row],[PID]],Table3[[#All],[PID]],0)))</f>
        <v>566</v>
      </c>
      <c r="U1356" s="68">
        <f>IF($C1356="B",VLOOKUP($A1356,Bat!$A$4:$BA$1621,47,FALSE),VLOOKUP($A1356,Pit!$A$4:$BF$1557,56,FALSE))</f>
        <v>0</v>
      </c>
      <c r="V1356" s="50">
        <f>IF($C1356="B",VLOOKUP($A1356,Bat!$A$4:$BA$1621,48,FALSE),VLOOKUP($A1356,Pit!$A$4:$BF$1557,57,FALSE))</f>
        <v>0</v>
      </c>
      <c r="W1356" s="50">
        <f>Table5[[#This Row],[posRnk]]+Table5[[#This Row],[zRnk]]+IF($W$3&lt;&gt;Table5[[#This Row],[Type]],50,0)</f>
        <v>1959</v>
      </c>
      <c r="X1356" s="51">
        <f>RANK(Table5[[#This Row],[zScore]],Table5[[#All],[zScore]])</f>
        <v>1343</v>
      </c>
      <c r="Y1356" s="50" t="str">
        <f>IFERROR(INDEX(DraftResults[[#All],[OVR]],MATCH(Table5[[#This Row],[PID]],DraftResults[[#All],[Player ID]],0)),"")</f>
        <v/>
      </c>
      <c r="Z13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6" s="50" t="str">
        <f>IFERROR(INDEX(DraftResults[[#All],[Pick in Round]],MATCH(Table5[[#This Row],[PID]],DraftResults[[#All],[Player ID]],0)),"")</f>
        <v/>
      </c>
      <c r="AB1356" s="50" t="str">
        <f>IFERROR(INDEX(DraftResults[[#All],[Team Name]],MATCH(Table5[[#This Row],[PID]],DraftResults[[#All],[Player ID]],0)),"")</f>
        <v/>
      </c>
      <c r="AC1356" s="50" t="str">
        <f>IF(Table5[[#This Row],[Ovr]]="","",IF(Table5[[#This Row],[cmbList]]="","",Table5[[#This Row],[cmbList]]-Table5[[#This Row],[Ovr]]))</f>
        <v/>
      </c>
      <c r="AD1356" s="54" t="str">
        <f>IF(ISERROR(VLOOKUP($AB1356&amp;"-"&amp;$E1356&amp;" "&amp;F1356,Bonuses!$B$1:$G$1006,4,FALSE)),"",INT(VLOOKUP($AB1356&amp;"-"&amp;$E1356&amp;" "&amp;$F1356,Bonuses!$B$1:$G$1006,4,FALSE)))</f>
        <v/>
      </c>
      <c r="AE13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7" spans="1:31" x14ac:dyDescent="0.25">
      <c r="A1357" s="50">
        <v>17971</v>
      </c>
      <c r="B1357" s="50">
        <f>COUNTIF(Table5[PID],A1357)</f>
        <v>1</v>
      </c>
      <c r="C1357" s="50" t="str">
        <f>IF(COUNTIF(Table3[[#All],[PID]],A1357)&gt;0,"P","B")</f>
        <v>B</v>
      </c>
      <c r="D1357" s="59" t="str">
        <f>IF($C1357="B",INDEX(Batters[[#All],[POS]],MATCH(Table5[[#This Row],[PID]],Batters[[#All],[PID]],0)),INDEX(Table3[[#All],[POS]],MATCH(Table5[[#This Row],[PID]],Table3[[#All],[PID]],0)))</f>
        <v>C</v>
      </c>
      <c r="E1357" s="52" t="str">
        <f>IF($C1357="B",INDEX(Batters[[#All],[First]],MATCH(Table5[[#This Row],[PID]],Batters[[#All],[PID]],0)),INDEX(Table3[[#All],[First]],MATCH(Table5[[#This Row],[PID]],Table3[[#All],[PID]],0)))</f>
        <v>Joe</v>
      </c>
      <c r="F1357" s="50" t="str">
        <f>IF($C1357="B",INDEX(Batters[[#All],[Last]],MATCH(A1357,Batters[[#All],[PID]],0)),INDEX(Table3[[#All],[Last]],MATCH(A1357,Table3[[#All],[PID]],0)))</f>
        <v>O'Brian</v>
      </c>
      <c r="G1357" s="56">
        <f>IF($C1357="B",INDEX(Batters[[#All],[Age]],MATCH(Table5[[#This Row],[PID]],Batters[[#All],[PID]],0)),INDEX(Table3[[#All],[Age]],MATCH(Table5[[#This Row],[PID]],Table3[[#All],[PID]],0)))</f>
        <v>21</v>
      </c>
      <c r="H1357" s="52" t="str">
        <f>IF($C1357="B",INDEX(Batters[[#All],[B]],MATCH(Table5[[#This Row],[PID]],Batters[[#All],[PID]],0)),INDEX(Table3[[#All],[B]],MATCH(Table5[[#This Row],[PID]],Table3[[#All],[PID]],0)))</f>
        <v>R</v>
      </c>
      <c r="I1357" s="70" t="str">
        <f>IF($C1357="B",INDEX(Batters[[#All],[T]],MATCH(Table5[[#This Row],[PID]],Batters[[#All],[PID]],0)),INDEX(Table3[[#All],[T]],MATCH(Table5[[#This Row],[PID]],Table3[[#All],[PID]],0)))</f>
        <v>R</v>
      </c>
      <c r="J1357" s="52" t="str">
        <f>IF($C1357="B",INDEX(Batters[[#All],[WE]],MATCH(Table5[[#This Row],[PID]],Batters[[#All],[PID]],0)),INDEX(Table3[[#All],[WE]],MATCH(Table5[[#This Row],[PID]],Table3[[#All],[PID]],0)))</f>
        <v>Normal</v>
      </c>
      <c r="K1357" s="52" t="str">
        <f>IF($C1357="B",INDEX(Batters[[#All],[INT]],MATCH(Table5[[#This Row],[PID]],Batters[[#All],[PID]],0)),INDEX(Table3[[#All],[INT]],MATCH(Table5[[#This Row],[PID]],Table3[[#All],[PID]],0)))</f>
        <v>Normal</v>
      </c>
      <c r="L1357" s="60">
        <f>IF($C1357="B",INDEX(Batters[[#All],[CON P]],MATCH(Table5[[#This Row],[PID]],Batters[[#All],[PID]],0)),INDEX(Table3[[#All],[STU P]],MATCH(Table5[[#This Row],[PID]],Table3[[#All],[PID]],0)))</f>
        <v>3</v>
      </c>
      <c r="M1357" s="56">
        <f>IF($C1357="B",INDEX(Batters[[#All],[GAP P]],MATCH(Table5[[#This Row],[PID]],Batters[[#All],[PID]],0)),INDEX(Table3[[#All],[MOV P]],MATCH(Table5[[#This Row],[PID]],Table3[[#All],[PID]],0)))</f>
        <v>4</v>
      </c>
      <c r="N1357" s="56">
        <f>IF($C1357="B",INDEX(Batters[[#All],[POW P]],MATCH(Table5[[#This Row],[PID]],Batters[[#All],[PID]],0)),INDEX(Table3[[#All],[CON P]],MATCH(Table5[[#This Row],[PID]],Table3[[#All],[PID]],0)))</f>
        <v>3</v>
      </c>
      <c r="O1357" s="56">
        <f>IF($C1357="B",INDEX(Batters[[#All],[EYE P]],MATCH(Table5[[#This Row],[PID]],Batters[[#All],[PID]],0)),INDEX(Table3[[#All],[VELO]],MATCH(Table5[[#This Row],[PID]],Table3[[#All],[PID]],0)))</f>
        <v>4</v>
      </c>
      <c r="P1357" s="56">
        <f>IF($C1357="B",INDEX(Batters[[#All],[K P]],MATCH(Table5[[#This Row],[PID]],Batters[[#All],[PID]],0)),INDEX(Table3[[#All],[STM]],MATCH(Table5[[#This Row],[PID]],Table3[[#All],[PID]],0)))</f>
        <v>3</v>
      </c>
      <c r="Q1357" s="61">
        <f>IF($C1357="B",INDEX(Batters[[#All],[Tot]],MATCH(Table5[[#This Row],[PID]],Batters[[#All],[PID]],0)),INDEX(Table3[[#All],[Tot]],MATCH(Table5[[#This Row],[PID]],Table3[[#All],[PID]],0)))</f>
        <v>36.692022369718686</v>
      </c>
      <c r="R1357" s="70">
        <f>IF($C1357="B",INDEX(Batters[[#All],[zScore]],MATCH(Table5[[#This Row],[PID]],Batters[[#All],[PID]],0)),INDEX(Table3[[#All],[zScore]],MATCH(Table5[[#This Row],[PID]],Table3[[#All],[PID]],0)))</f>
        <v>-1.6494799660937027</v>
      </c>
      <c r="S1357" s="79" t="str">
        <f>IF($C1357="B",INDEX(Batters[[#All],[DEM]],MATCH(Table5[[#This Row],[PID]],Batters[[#All],[PID]],0)),INDEX(Table3[[#All],[DEM]],MATCH(Table5[[#This Row],[PID]],Table3[[#All],[PID]],0)))</f>
        <v>-</v>
      </c>
      <c r="T1357" s="62">
        <f>IF($C1357="B",INDEX(Batters[[#All],[Rnk]],MATCH(Table5[[#This Row],[PID]],Batters[[#All],[PID]],0)),INDEX(Table3[[#All],[Rnk]],MATCH(Table5[[#This Row],[PID]],Table3[[#All],[PID]],0)))</f>
        <v>567</v>
      </c>
      <c r="U1357" s="68">
        <f>IF($C1357="B",VLOOKUP($A1357,Bat!$A$4:$BA$1621,47,FALSE),VLOOKUP($A1357,Pit!$A$4:$BF$1557,56,FALSE))</f>
        <v>0</v>
      </c>
      <c r="V1357" s="50">
        <f>IF($C1357="B",VLOOKUP($A1357,Bat!$A$4:$BA$1621,48,FALSE),VLOOKUP($A1357,Pit!$A$4:$BF$1557,57,FALSE))</f>
        <v>0</v>
      </c>
      <c r="W1357" s="50">
        <f>Table5[[#This Row],[posRnk]]+Table5[[#This Row],[zRnk]]+IF($W$3&lt;&gt;Table5[[#This Row],[Type]],50,0)</f>
        <v>1961</v>
      </c>
      <c r="X1357" s="51">
        <f>RANK(Table5[[#This Row],[zScore]],Table5[[#All],[zScore]])</f>
        <v>1344</v>
      </c>
      <c r="Y1357" s="50" t="str">
        <f>IFERROR(INDEX(DraftResults[[#All],[OVR]],MATCH(Table5[[#This Row],[PID]],DraftResults[[#All],[Player ID]],0)),"")</f>
        <v/>
      </c>
      <c r="Z13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7" s="50" t="str">
        <f>IFERROR(INDEX(DraftResults[[#All],[Pick in Round]],MATCH(Table5[[#This Row],[PID]],DraftResults[[#All],[Player ID]],0)),"")</f>
        <v/>
      </c>
      <c r="AB1357" s="50" t="str">
        <f>IFERROR(INDEX(DraftResults[[#All],[Team Name]],MATCH(Table5[[#This Row],[PID]],DraftResults[[#All],[Player ID]],0)),"")</f>
        <v/>
      </c>
      <c r="AC1357" s="50" t="str">
        <f>IF(Table5[[#This Row],[Ovr]]="","",IF(Table5[[#This Row],[cmbList]]="","",Table5[[#This Row],[cmbList]]-Table5[[#This Row],[Ovr]]))</f>
        <v/>
      </c>
      <c r="AD1357" s="54" t="str">
        <f>IF(ISERROR(VLOOKUP($AB1357&amp;"-"&amp;$E1357&amp;" "&amp;F1357,Bonuses!$B$1:$G$1006,4,FALSE)),"",INT(VLOOKUP($AB1357&amp;"-"&amp;$E1357&amp;" "&amp;$F1357,Bonuses!$B$1:$G$1006,4,FALSE)))</f>
        <v/>
      </c>
      <c r="AE13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8" spans="1:31" x14ac:dyDescent="0.25">
      <c r="A1358" s="50">
        <v>20612</v>
      </c>
      <c r="B1358" s="50">
        <f>COUNTIF(Table5[PID],A1358)</f>
        <v>1</v>
      </c>
      <c r="C1358" s="50" t="str">
        <f>IF(COUNTIF(Table3[[#All],[PID]],A1358)&gt;0,"P","B")</f>
        <v>B</v>
      </c>
      <c r="D1358" s="59" t="str">
        <f>IF($C1358="B",INDEX(Batters[[#All],[POS]],MATCH(Table5[[#This Row],[PID]],Batters[[#All],[PID]],0)),INDEX(Table3[[#All],[POS]],MATCH(Table5[[#This Row],[PID]],Table3[[#All],[PID]],0)))</f>
        <v>1B</v>
      </c>
      <c r="E1358" s="52" t="str">
        <f>IF($C1358="B",INDEX(Batters[[#All],[First]],MATCH(Table5[[#This Row],[PID]],Batters[[#All],[PID]],0)),INDEX(Table3[[#All],[First]],MATCH(Table5[[#This Row],[PID]],Table3[[#All],[PID]],0)))</f>
        <v>En-lai</v>
      </c>
      <c r="F1358" s="50" t="str">
        <f>IF($C1358="B",INDEX(Batters[[#All],[Last]],MATCH(A1358,Batters[[#All],[PID]],0)),INDEX(Table3[[#All],[Last]],MATCH(A1358,Table3[[#All],[PID]],0)))</f>
        <v>Luo</v>
      </c>
      <c r="G1358" s="56">
        <f>IF($C1358="B",INDEX(Batters[[#All],[Age]],MATCH(Table5[[#This Row],[PID]],Batters[[#All],[PID]],0)),INDEX(Table3[[#All],[Age]],MATCH(Table5[[#This Row],[PID]],Table3[[#All],[PID]],0)))</f>
        <v>18</v>
      </c>
      <c r="H1358" s="52" t="str">
        <f>IF($C1358="B",INDEX(Batters[[#All],[B]],MATCH(Table5[[#This Row],[PID]],Batters[[#All],[PID]],0)),INDEX(Table3[[#All],[B]],MATCH(Table5[[#This Row],[PID]],Table3[[#All],[PID]],0)))</f>
        <v>R</v>
      </c>
      <c r="I1358" s="70" t="str">
        <f>IF($C1358="B",INDEX(Batters[[#All],[T]],MATCH(Table5[[#This Row],[PID]],Batters[[#All],[PID]],0)),INDEX(Table3[[#All],[T]],MATCH(Table5[[#This Row],[PID]],Table3[[#All],[PID]],0)))</f>
        <v>R</v>
      </c>
      <c r="J1358" s="52" t="str">
        <f>IF($C1358="B",INDEX(Batters[[#All],[WE]],MATCH(Table5[[#This Row],[PID]],Batters[[#All],[PID]],0)),INDEX(Table3[[#All],[WE]],MATCH(Table5[[#This Row],[PID]],Table3[[#All],[PID]],0)))</f>
        <v>Normal</v>
      </c>
      <c r="K1358" s="52" t="str">
        <f>IF($C1358="B",INDEX(Batters[[#All],[INT]],MATCH(Table5[[#This Row],[PID]],Batters[[#All],[PID]],0)),INDEX(Table3[[#All],[INT]],MATCH(Table5[[#This Row],[PID]],Table3[[#All],[PID]],0)))</f>
        <v>Normal</v>
      </c>
      <c r="L1358" s="60">
        <f>IF($C1358="B",INDEX(Batters[[#All],[CON P]],MATCH(Table5[[#This Row],[PID]],Batters[[#All],[PID]],0)),INDEX(Table3[[#All],[STU P]],MATCH(Table5[[#This Row],[PID]],Table3[[#All],[PID]],0)))</f>
        <v>2</v>
      </c>
      <c r="M1358" s="56">
        <f>IF($C1358="B",INDEX(Batters[[#All],[GAP P]],MATCH(Table5[[#This Row],[PID]],Batters[[#All],[PID]],0)),INDEX(Table3[[#All],[MOV P]],MATCH(Table5[[#This Row],[PID]],Table3[[#All],[PID]],0)))</f>
        <v>3</v>
      </c>
      <c r="N1358" s="56">
        <f>IF($C1358="B",INDEX(Batters[[#All],[POW P]],MATCH(Table5[[#This Row],[PID]],Batters[[#All],[PID]],0)),INDEX(Table3[[#All],[CON P]],MATCH(Table5[[#This Row],[PID]],Table3[[#All],[PID]],0)))</f>
        <v>3</v>
      </c>
      <c r="O1358" s="56">
        <f>IF($C1358="B",INDEX(Batters[[#All],[EYE P]],MATCH(Table5[[#This Row],[PID]],Batters[[#All],[PID]],0)),INDEX(Table3[[#All],[VELO]],MATCH(Table5[[#This Row],[PID]],Table3[[#All],[PID]],0)))</f>
        <v>5</v>
      </c>
      <c r="P1358" s="56">
        <f>IF($C1358="B",INDEX(Batters[[#All],[K P]],MATCH(Table5[[#This Row],[PID]],Batters[[#All],[PID]],0)),INDEX(Table3[[#All],[STM]],MATCH(Table5[[#This Row],[PID]],Table3[[#All],[PID]],0)))</f>
        <v>2</v>
      </c>
      <c r="Q1358" s="61">
        <f>IF($C1358="B",INDEX(Batters[[#All],[Tot]],MATCH(Table5[[#This Row],[PID]],Batters[[#All],[PID]],0)),INDEX(Table3[[#All],[Tot]],MATCH(Table5[[#This Row],[PID]],Table3[[#All],[PID]],0)))</f>
        <v>36.686636994572062</v>
      </c>
      <c r="R1358" s="70">
        <f>IF($C1358="B",INDEX(Batters[[#All],[zScore]],MATCH(Table5[[#This Row],[PID]],Batters[[#All],[PID]],0)),INDEX(Table3[[#All],[zScore]],MATCH(Table5[[#This Row],[PID]],Table3[[#All],[PID]],0)))</f>
        <v>-1.6506739401654666</v>
      </c>
      <c r="S1358" s="79" t="str">
        <f>IF($C1358="B",INDEX(Batters[[#All],[DEM]],MATCH(Table5[[#This Row],[PID]],Batters[[#All],[PID]],0)),INDEX(Table3[[#All],[DEM]],MATCH(Table5[[#This Row],[PID]],Table3[[#All],[PID]],0)))</f>
        <v>$65k</v>
      </c>
      <c r="T1358" s="62">
        <f>IF($C1358="B",INDEX(Batters[[#All],[Rnk]],MATCH(Table5[[#This Row],[PID]],Batters[[#All],[PID]],0)),INDEX(Table3[[#All],[Rnk]],MATCH(Table5[[#This Row],[PID]],Table3[[#All],[PID]],0)))</f>
        <v>568</v>
      </c>
      <c r="U1358" s="68">
        <f>IF($C1358="B",VLOOKUP($A1358,Bat!$A$4:$BA$1621,47,FALSE),VLOOKUP($A1358,Pit!$A$4:$BF$1557,56,FALSE))</f>
        <v>0</v>
      </c>
      <c r="V1358" s="50">
        <f>IF($C1358="B",VLOOKUP($A1358,Bat!$A$4:$BA$1621,48,FALSE),VLOOKUP($A1358,Pit!$A$4:$BF$1557,57,FALSE))</f>
        <v>0</v>
      </c>
      <c r="W1358" s="50">
        <f>Table5[[#This Row],[posRnk]]+Table5[[#This Row],[zRnk]]+IF($W$3&lt;&gt;Table5[[#This Row],[Type]],50,0)</f>
        <v>1963</v>
      </c>
      <c r="X1358" s="51">
        <f>RANK(Table5[[#This Row],[zScore]],Table5[[#All],[zScore]])</f>
        <v>1345</v>
      </c>
      <c r="Y1358" s="50" t="str">
        <f>IFERROR(INDEX(DraftResults[[#All],[OVR]],MATCH(Table5[[#This Row],[PID]],DraftResults[[#All],[Player ID]],0)),"")</f>
        <v/>
      </c>
      <c r="Z13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8" s="50" t="str">
        <f>IFERROR(INDEX(DraftResults[[#All],[Pick in Round]],MATCH(Table5[[#This Row],[PID]],DraftResults[[#All],[Player ID]],0)),"")</f>
        <v/>
      </c>
      <c r="AB1358" s="50" t="str">
        <f>IFERROR(INDEX(DraftResults[[#All],[Team Name]],MATCH(Table5[[#This Row],[PID]],DraftResults[[#All],[Player ID]],0)),"")</f>
        <v/>
      </c>
      <c r="AC1358" s="50" t="str">
        <f>IF(Table5[[#This Row],[Ovr]]="","",IF(Table5[[#This Row],[cmbList]]="","",Table5[[#This Row],[cmbList]]-Table5[[#This Row],[Ovr]]))</f>
        <v/>
      </c>
      <c r="AD1358" s="54" t="str">
        <f>IF(ISERROR(VLOOKUP($AB1358&amp;"-"&amp;$E1358&amp;" "&amp;F1358,Bonuses!$B$1:$G$1006,4,FALSE)),"",INT(VLOOKUP($AB1358&amp;"-"&amp;$E1358&amp;" "&amp;$F1358,Bonuses!$B$1:$G$1006,4,FALSE)))</f>
        <v/>
      </c>
      <c r="AE13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59" spans="1:31" x14ac:dyDescent="0.25">
      <c r="A1359" s="50">
        <v>17987</v>
      </c>
      <c r="B1359" s="50">
        <f>COUNTIF(Table5[PID],A1359)</f>
        <v>1</v>
      </c>
      <c r="C1359" s="50" t="str">
        <f>IF(COUNTIF(Table3[[#All],[PID]],A1359)&gt;0,"P","B")</f>
        <v>B</v>
      </c>
      <c r="D1359" s="59" t="str">
        <f>IF($C1359="B",INDEX(Batters[[#All],[POS]],MATCH(Table5[[#This Row],[PID]],Batters[[#All],[PID]],0)),INDEX(Table3[[#All],[POS]],MATCH(Table5[[#This Row],[PID]],Table3[[#All],[PID]],0)))</f>
        <v>LF</v>
      </c>
      <c r="E1359" s="52" t="str">
        <f>IF($C1359="B",INDEX(Batters[[#All],[First]],MATCH(Table5[[#This Row],[PID]],Batters[[#All],[PID]],0)),INDEX(Table3[[#All],[First]],MATCH(Table5[[#This Row],[PID]],Table3[[#All],[PID]],0)))</f>
        <v>Michael</v>
      </c>
      <c r="F1359" s="50" t="str">
        <f>IF($C1359="B",INDEX(Batters[[#All],[Last]],MATCH(A1359,Batters[[#All],[PID]],0)),INDEX(Table3[[#All],[Last]],MATCH(A1359,Table3[[#All],[PID]],0)))</f>
        <v>Parrish</v>
      </c>
      <c r="G1359" s="56">
        <f>IF($C1359="B",INDEX(Batters[[#All],[Age]],MATCH(Table5[[#This Row],[PID]],Batters[[#All],[PID]],0)),INDEX(Table3[[#All],[Age]],MATCH(Table5[[#This Row],[PID]],Table3[[#All],[PID]],0)))</f>
        <v>21</v>
      </c>
      <c r="H1359" s="52" t="str">
        <f>IF($C1359="B",INDEX(Batters[[#All],[B]],MATCH(Table5[[#This Row],[PID]],Batters[[#All],[PID]],0)),INDEX(Table3[[#All],[B]],MATCH(Table5[[#This Row],[PID]],Table3[[#All],[PID]],0)))</f>
        <v>R</v>
      </c>
      <c r="I1359" s="70" t="str">
        <f>IF($C1359="B",INDEX(Batters[[#All],[T]],MATCH(Table5[[#This Row],[PID]],Batters[[#All],[PID]],0)),INDEX(Table3[[#All],[T]],MATCH(Table5[[#This Row],[PID]],Table3[[#All],[PID]],0)))</f>
        <v>R</v>
      </c>
      <c r="J1359" s="52" t="str">
        <f>IF($C1359="B",INDEX(Batters[[#All],[WE]],MATCH(Table5[[#This Row],[PID]],Batters[[#All],[PID]],0)),INDEX(Table3[[#All],[WE]],MATCH(Table5[[#This Row],[PID]],Table3[[#All],[PID]],0)))</f>
        <v>High</v>
      </c>
      <c r="K1359" s="52" t="str">
        <f>IF($C1359="B",INDEX(Batters[[#All],[INT]],MATCH(Table5[[#This Row],[PID]],Batters[[#All],[PID]],0)),INDEX(Table3[[#All],[INT]],MATCH(Table5[[#This Row],[PID]],Table3[[#All],[PID]],0)))</f>
        <v>High</v>
      </c>
      <c r="L1359" s="60">
        <f>IF($C1359="B",INDEX(Batters[[#All],[CON P]],MATCH(Table5[[#This Row],[PID]],Batters[[#All],[PID]],0)),INDEX(Table3[[#All],[STU P]],MATCH(Table5[[#This Row],[PID]],Table3[[#All],[PID]],0)))</f>
        <v>3</v>
      </c>
      <c r="M1359" s="56">
        <f>IF($C1359="B",INDEX(Batters[[#All],[GAP P]],MATCH(Table5[[#This Row],[PID]],Batters[[#All],[PID]],0)),INDEX(Table3[[#All],[MOV P]],MATCH(Table5[[#This Row],[PID]],Table3[[#All],[PID]],0)))</f>
        <v>4</v>
      </c>
      <c r="N1359" s="56">
        <f>IF($C1359="B",INDEX(Batters[[#All],[POW P]],MATCH(Table5[[#This Row],[PID]],Batters[[#All],[PID]],0)),INDEX(Table3[[#All],[CON P]],MATCH(Table5[[#This Row],[PID]],Table3[[#All],[PID]],0)))</f>
        <v>3</v>
      </c>
      <c r="O1359" s="56">
        <f>IF($C1359="B",INDEX(Batters[[#All],[EYE P]],MATCH(Table5[[#This Row],[PID]],Batters[[#All],[PID]],0)),INDEX(Table3[[#All],[VELO]],MATCH(Table5[[#This Row],[PID]],Table3[[#All],[PID]],0)))</f>
        <v>5</v>
      </c>
      <c r="P1359" s="56">
        <f>IF($C1359="B",INDEX(Batters[[#All],[K P]],MATCH(Table5[[#This Row],[PID]],Batters[[#All],[PID]],0)),INDEX(Table3[[#All],[STM]],MATCH(Table5[[#This Row],[PID]],Table3[[#All],[PID]],0)))</f>
        <v>2</v>
      </c>
      <c r="Q1359" s="61">
        <f>IF($C1359="B",INDEX(Batters[[#All],[Tot]],MATCH(Table5[[#This Row],[PID]],Batters[[#All],[PID]],0)),INDEX(Table3[[#All],[Tot]],MATCH(Table5[[#This Row],[PID]],Table3[[#All],[PID]],0)))</f>
        <v>36.625131572390472</v>
      </c>
      <c r="R1359" s="70">
        <f>IF($C1359="B",INDEX(Batters[[#All],[zScore]],MATCH(Table5[[#This Row],[PID]],Batters[[#All],[PID]],0)),INDEX(Table3[[#All],[zScore]],MATCH(Table5[[#This Row],[PID]],Table3[[#All],[PID]],0)))</f>
        <v>-1.6643101080011955</v>
      </c>
      <c r="S1359" s="79" t="str">
        <f>IF($C1359="B",INDEX(Batters[[#All],[DEM]],MATCH(Table5[[#This Row],[PID]],Batters[[#All],[PID]],0)),INDEX(Table3[[#All],[DEM]],MATCH(Table5[[#This Row],[PID]],Table3[[#All],[PID]],0)))</f>
        <v>-</v>
      </c>
      <c r="T1359" s="62">
        <f>IF($C1359="B",INDEX(Batters[[#All],[Rnk]],MATCH(Table5[[#This Row],[PID]],Batters[[#All],[PID]],0)),INDEX(Table3[[#All],[Rnk]],MATCH(Table5[[#This Row],[PID]],Table3[[#All],[PID]],0)))</f>
        <v>569</v>
      </c>
      <c r="U1359" s="68">
        <f>IF($C1359="B",VLOOKUP($A1359,Bat!$A$4:$BA$1621,47,FALSE),VLOOKUP($A1359,Pit!$A$4:$BF$1557,56,FALSE))</f>
        <v>0</v>
      </c>
      <c r="V1359" s="50">
        <f>IF($C1359="B",VLOOKUP($A1359,Bat!$A$4:$BA$1621,48,FALSE),VLOOKUP($A1359,Pit!$A$4:$BF$1557,57,FALSE))</f>
        <v>0</v>
      </c>
      <c r="W1359" s="50">
        <f>Table5[[#This Row],[posRnk]]+Table5[[#This Row],[zRnk]]+IF($W$3&lt;&gt;Table5[[#This Row],[Type]],50,0)</f>
        <v>1965</v>
      </c>
      <c r="X1359" s="51">
        <f>RANK(Table5[[#This Row],[zScore]],Table5[[#All],[zScore]])</f>
        <v>1346</v>
      </c>
      <c r="Y1359" s="50" t="str">
        <f>IFERROR(INDEX(DraftResults[[#All],[OVR]],MATCH(Table5[[#This Row],[PID]],DraftResults[[#All],[Player ID]],0)),"")</f>
        <v/>
      </c>
      <c r="Z13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59" s="50" t="str">
        <f>IFERROR(INDEX(DraftResults[[#All],[Pick in Round]],MATCH(Table5[[#This Row],[PID]],DraftResults[[#All],[Player ID]],0)),"")</f>
        <v/>
      </c>
      <c r="AB1359" s="50" t="str">
        <f>IFERROR(INDEX(DraftResults[[#All],[Team Name]],MATCH(Table5[[#This Row],[PID]],DraftResults[[#All],[Player ID]],0)),"")</f>
        <v/>
      </c>
      <c r="AC1359" s="50" t="str">
        <f>IF(Table5[[#This Row],[Ovr]]="","",IF(Table5[[#This Row],[cmbList]]="","",Table5[[#This Row],[cmbList]]-Table5[[#This Row],[Ovr]]))</f>
        <v/>
      </c>
      <c r="AD1359" s="54" t="str">
        <f>IF(ISERROR(VLOOKUP($AB1359&amp;"-"&amp;$E1359&amp;" "&amp;F1359,Bonuses!$B$1:$G$1006,4,FALSE)),"",INT(VLOOKUP($AB1359&amp;"-"&amp;$E1359&amp;" "&amp;$F1359,Bonuses!$B$1:$G$1006,4,FALSE)))</f>
        <v/>
      </c>
      <c r="AE13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0" spans="1:31" x14ac:dyDescent="0.25">
      <c r="A1360" s="50">
        <v>10339</v>
      </c>
      <c r="B1360" s="50">
        <f>COUNTIF(Table5[PID],A1360)</f>
        <v>1</v>
      </c>
      <c r="C1360" s="50" t="str">
        <f>IF(COUNTIF(Table3[[#All],[PID]],A1360)&gt;0,"P","B")</f>
        <v>B</v>
      </c>
      <c r="D1360" s="59" t="str">
        <f>IF($C1360="B",INDEX(Batters[[#All],[POS]],MATCH(Table5[[#This Row],[PID]],Batters[[#All],[PID]],0)),INDEX(Table3[[#All],[POS]],MATCH(Table5[[#This Row],[PID]],Table3[[#All],[PID]],0)))</f>
        <v>3B</v>
      </c>
      <c r="E1360" s="52" t="str">
        <f>IF($C1360="B",INDEX(Batters[[#All],[First]],MATCH(Table5[[#This Row],[PID]],Batters[[#All],[PID]],0)),INDEX(Table3[[#All],[First]],MATCH(Table5[[#This Row],[PID]],Table3[[#All],[PID]],0)))</f>
        <v>Katsuhiko</v>
      </c>
      <c r="F1360" s="50" t="str">
        <f>IF($C1360="B",INDEX(Batters[[#All],[Last]],MATCH(A1360,Batters[[#All],[PID]],0)),INDEX(Table3[[#All],[Last]],MATCH(A1360,Table3[[#All],[PID]],0)))</f>
        <v>Goto</v>
      </c>
      <c r="G1360" s="56">
        <f>IF($C1360="B",INDEX(Batters[[#All],[Age]],MATCH(Table5[[#This Row],[PID]],Batters[[#All],[PID]],0)),INDEX(Table3[[#All],[Age]],MATCH(Table5[[#This Row],[PID]],Table3[[#All],[PID]],0)))</f>
        <v>22</v>
      </c>
      <c r="H1360" s="52" t="str">
        <f>IF($C1360="B",INDEX(Batters[[#All],[B]],MATCH(Table5[[#This Row],[PID]],Batters[[#All],[PID]],0)),INDEX(Table3[[#All],[B]],MATCH(Table5[[#This Row],[PID]],Table3[[#All],[PID]],0)))</f>
        <v>R</v>
      </c>
      <c r="I1360" s="70" t="str">
        <f>IF($C1360="B",INDEX(Batters[[#All],[T]],MATCH(Table5[[#This Row],[PID]],Batters[[#All],[PID]],0)),INDEX(Table3[[#All],[T]],MATCH(Table5[[#This Row],[PID]],Table3[[#All],[PID]],0)))</f>
        <v>R</v>
      </c>
      <c r="J1360" s="52" t="str">
        <f>IF($C1360="B",INDEX(Batters[[#All],[WE]],MATCH(Table5[[#This Row],[PID]],Batters[[#All],[PID]],0)),INDEX(Table3[[#All],[WE]],MATCH(Table5[[#This Row],[PID]],Table3[[#All],[PID]],0)))</f>
        <v>Low</v>
      </c>
      <c r="K1360" s="52" t="str">
        <f>IF($C1360="B",INDEX(Batters[[#All],[INT]],MATCH(Table5[[#This Row],[PID]],Batters[[#All],[PID]],0)),INDEX(Table3[[#All],[INT]],MATCH(Table5[[#This Row],[PID]],Table3[[#All],[PID]],0)))</f>
        <v>High</v>
      </c>
      <c r="L1360" s="60">
        <f>IF($C1360="B",INDEX(Batters[[#All],[CON P]],MATCH(Table5[[#This Row],[PID]],Batters[[#All],[PID]],0)),INDEX(Table3[[#All],[STU P]],MATCH(Table5[[#This Row],[PID]],Table3[[#All],[PID]],0)))</f>
        <v>3</v>
      </c>
      <c r="M1360" s="56">
        <f>IF($C1360="B",INDEX(Batters[[#All],[GAP P]],MATCH(Table5[[#This Row],[PID]],Batters[[#All],[PID]],0)),INDEX(Table3[[#All],[MOV P]],MATCH(Table5[[#This Row],[PID]],Table3[[#All],[PID]],0)))</f>
        <v>4</v>
      </c>
      <c r="N1360" s="56">
        <f>IF($C1360="B",INDEX(Batters[[#All],[POW P]],MATCH(Table5[[#This Row],[PID]],Batters[[#All],[PID]],0)),INDEX(Table3[[#All],[CON P]],MATCH(Table5[[#This Row],[PID]],Table3[[#All],[PID]],0)))</f>
        <v>4</v>
      </c>
      <c r="O1360" s="56">
        <f>IF($C1360="B",INDEX(Batters[[#All],[EYE P]],MATCH(Table5[[#This Row],[PID]],Batters[[#All],[PID]],0)),INDEX(Table3[[#All],[VELO]],MATCH(Table5[[#This Row],[PID]],Table3[[#All],[PID]],0)))</f>
        <v>4</v>
      </c>
      <c r="P1360" s="56">
        <f>IF($C1360="B",INDEX(Batters[[#All],[K P]],MATCH(Table5[[#This Row],[PID]],Batters[[#All],[PID]],0)),INDEX(Table3[[#All],[STM]],MATCH(Table5[[#This Row],[PID]],Table3[[#All],[PID]],0)))</f>
        <v>3</v>
      </c>
      <c r="Q1360" s="61">
        <f>IF($C1360="B",INDEX(Batters[[#All],[Tot]],MATCH(Table5[[#This Row],[PID]],Batters[[#All],[PID]],0)),INDEX(Table3[[#All],[Tot]],MATCH(Table5[[#This Row],[PID]],Table3[[#All],[PID]],0)))</f>
        <v>36.616112711389974</v>
      </c>
      <c r="R1360" s="70">
        <f>IF($C1360="B",INDEX(Batters[[#All],[zScore]],MATCH(Table5[[#This Row],[PID]],Batters[[#All],[PID]],0)),INDEX(Table3[[#All],[zScore]],MATCH(Table5[[#This Row],[PID]],Table3[[#All],[PID]],0)))</f>
        <v>-1.6663096504468489</v>
      </c>
      <c r="S1360" s="79" t="str">
        <f>IF($C1360="B",INDEX(Batters[[#All],[DEM]],MATCH(Table5[[#This Row],[PID]],Batters[[#All],[PID]],0)),INDEX(Table3[[#All],[DEM]],MATCH(Table5[[#This Row],[PID]],Table3[[#All],[PID]],0)))</f>
        <v>-</v>
      </c>
      <c r="T1360" s="62">
        <f>IF($C1360="B",INDEX(Batters[[#All],[Rnk]],MATCH(Table5[[#This Row],[PID]],Batters[[#All],[PID]],0)),INDEX(Table3[[#All],[Rnk]],MATCH(Table5[[#This Row],[PID]],Table3[[#All],[PID]],0)))</f>
        <v>570</v>
      </c>
      <c r="U1360" s="68">
        <f>IF($C1360="B",VLOOKUP($A1360,Bat!$A$4:$BA$1621,47,FALSE),VLOOKUP($A1360,Pit!$A$4:$BF$1557,56,FALSE))</f>
        <v>0</v>
      </c>
      <c r="V1360" s="50">
        <f>IF($C1360="B",VLOOKUP($A1360,Bat!$A$4:$BA$1621,48,FALSE),VLOOKUP($A1360,Pit!$A$4:$BF$1557,57,FALSE))</f>
        <v>0</v>
      </c>
      <c r="W1360" s="50">
        <f>Table5[[#This Row],[posRnk]]+Table5[[#This Row],[zRnk]]+IF($W$3&lt;&gt;Table5[[#This Row],[Type]],50,0)</f>
        <v>1967</v>
      </c>
      <c r="X1360" s="51">
        <f>RANK(Table5[[#This Row],[zScore]],Table5[[#All],[zScore]])</f>
        <v>1347</v>
      </c>
      <c r="Y1360" s="50" t="str">
        <f>IFERROR(INDEX(DraftResults[[#All],[OVR]],MATCH(Table5[[#This Row],[PID]],DraftResults[[#All],[Player ID]],0)),"")</f>
        <v/>
      </c>
      <c r="Z13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0" s="50" t="str">
        <f>IFERROR(INDEX(DraftResults[[#All],[Pick in Round]],MATCH(Table5[[#This Row],[PID]],DraftResults[[#All],[Player ID]],0)),"")</f>
        <v/>
      </c>
      <c r="AB1360" s="50" t="str">
        <f>IFERROR(INDEX(DraftResults[[#All],[Team Name]],MATCH(Table5[[#This Row],[PID]],DraftResults[[#All],[Player ID]],0)),"")</f>
        <v/>
      </c>
      <c r="AC1360" s="50" t="str">
        <f>IF(Table5[[#This Row],[Ovr]]="","",IF(Table5[[#This Row],[cmbList]]="","",Table5[[#This Row],[cmbList]]-Table5[[#This Row],[Ovr]]))</f>
        <v/>
      </c>
      <c r="AD1360" s="54" t="str">
        <f>IF(ISERROR(VLOOKUP($AB1360&amp;"-"&amp;$E1360&amp;" "&amp;F1360,Bonuses!$B$1:$G$1006,4,FALSE)),"",INT(VLOOKUP($AB1360&amp;"-"&amp;$E1360&amp;" "&amp;$F1360,Bonuses!$B$1:$G$1006,4,FALSE)))</f>
        <v/>
      </c>
      <c r="AE13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1" spans="1:31" x14ac:dyDescent="0.25">
      <c r="A1361" s="50">
        <v>17970</v>
      </c>
      <c r="B1361" s="50">
        <f>COUNTIF(Table5[PID],A1361)</f>
        <v>1</v>
      </c>
      <c r="C1361" s="50" t="str">
        <f>IF(COUNTIF(Table3[[#All],[PID]],A1361)&gt;0,"P","B")</f>
        <v>B</v>
      </c>
      <c r="D1361" s="59" t="str">
        <f>IF($C1361="B",INDEX(Batters[[#All],[POS]],MATCH(Table5[[#This Row],[PID]],Batters[[#All],[PID]],0)),INDEX(Table3[[#All],[POS]],MATCH(Table5[[#This Row],[PID]],Table3[[#All],[PID]],0)))</f>
        <v>LF</v>
      </c>
      <c r="E1361" s="52" t="str">
        <f>IF($C1361="B",INDEX(Batters[[#All],[First]],MATCH(Table5[[#This Row],[PID]],Batters[[#All],[PID]],0)),INDEX(Table3[[#All],[First]],MATCH(Table5[[#This Row],[PID]],Table3[[#All],[PID]],0)))</f>
        <v>Steven</v>
      </c>
      <c r="F1361" s="50" t="str">
        <f>IF($C1361="B",INDEX(Batters[[#All],[Last]],MATCH(A1361,Batters[[#All],[PID]],0)),INDEX(Table3[[#All],[Last]],MATCH(A1361,Table3[[#All],[PID]],0)))</f>
        <v>Romero</v>
      </c>
      <c r="G1361" s="56">
        <f>IF($C1361="B",INDEX(Batters[[#All],[Age]],MATCH(Table5[[#This Row],[PID]],Batters[[#All],[PID]],0)),INDEX(Table3[[#All],[Age]],MATCH(Table5[[#This Row],[PID]],Table3[[#All],[PID]],0)))</f>
        <v>21</v>
      </c>
      <c r="H1361" s="52" t="str">
        <f>IF($C1361="B",INDEX(Batters[[#All],[B]],MATCH(Table5[[#This Row],[PID]],Batters[[#All],[PID]],0)),INDEX(Table3[[#All],[B]],MATCH(Table5[[#This Row],[PID]],Table3[[#All],[PID]],0)))</f>
        <v>R</v>
      </c>
      <c r="I1361" s="70" t="str">
        <f>IF($C1361="B",INDEX(Batters[[#All],[T]],MATCH(Table5[[#This Row],[PID]],Batters[[#All],[PID]],0)),INDEX(Table3[[#All],[T]],MATCH(Table5[[#This Row],[PID]],Table3[[#All],[PID]],0)))</f>
        <v>R</v>
      </c>
      <c r="J1361" s="52" t="str">
        <f>IF($C1361="B",INDEX(Batters[[#All],[WE]],MATCH(Table5[[#This Row],[PID]],Batters[[#All],[PID]],0)),INDEX(Table3[[#All],[WE]],MATCH(Table5[[#This Row],[PID]],Table3[[#All],[PID]],0)))</f>
        <v>High</v>
      </c>
      <c r="K1361" s="52" t="str">
        <f>IF($C1361="B",INDEX(Batters[[#All],[INT]],MATCH(Table5[[#This Row],[PID]],Batters[[#All],[PID]],0)),INDEX(Table3[[#All],[INT]],MATCH(Table5[[#This Row],[PID]],Table3[[#All],[PID]],0)))</f>
        <v>Low</v>
      </c>
      <c r="L1361" s="60">
        <f>IF($C1361="B",INDEX(Batters[[#All],[CON P]],MATCH(Table5[[#This Row],[PID]],Batters[[#All],[PID]],0)),INDEX(Table3[[#All],[STU P]],MATCH(Table5[[#This Row],[PID]],Table3[[#All],[PID]],0)))</f>
        <v>3</v>
      </c>
      <c r="M1361" s="56">
        <f>IF($C1361="B",INDEX(Batters[[#All],[GAP P]],MATCH(Table5[[#This Row],[PID]],Batters[[#All],[PID]],0)),INDEX(Table3[[#All],[MOV P]],MATCH(Table5[[#This Row],[PID]],Table3[[#All],[PID]],0)))</f>
        <v>3</v>
      </c>
      <c r="N1361" s="56">
        <f>IF($C1361="B",INDEX(Batters[[#All],[POW P]],MATCH(Table5[[#This Row],[PID]],Batters[[#All],[PID]],0)),INDEX(Table3[[#All],[CON P]],MATCH(Table5[[#This Row],[PID]],Table3[[#All],[PID]],0)))</f>
        <v>4</v>
      </c>
      <c r="O1361" s="56">
        <f>IF($C1361="B",INDEX(Batters[[#All],[EYE P]],MATCH(Table5[[#This Row],[PID]],Batters[[#All],[PID]],0)),INDEX(Table3[[#All],[VELO]],MATCH(Table5[[#This Row],[PID]],Table3[[#All],[PID]],0)))</f>
        <v>5</v>
      </c>
      <c r="P1361" s="56">
        <f>IF($C1361="B",INDEX(Batters[[#All],[K P]],MATCH(Table5[[#This Row],[PID]],Batters[[#All],[PID]],0)),INDEX(Table3[[#All],[STM]],MATCH(Table5[[#This Row],[PID]],Table3[[#All],[PID]],0)))</f>
        <v>2</v>
      </c>
      <c r="Q1361" s="61">
        <f>IF($C1361="B",INDEX(Batters[[#All],[Tot]],MATCH(Table5[[#This Row],[PID]],Batters[[#All],[PID]],0)),INDEX(Table3[[#All],[Tot]],MATCH(Table5[[#This Row],[PID]],Table3[[#All],[PID]],0)))</f>
        <v>36.539968014328153</v>
      </c>
      <c r="R1361" s="70">
        <f>IF($C1361="B",INDEX(Batters[[#All],[zScore]],MATCH(Table5[[#This Row],[PID]],Batters[[#All],[PID]],0)),INDEX(Table3[[#All],[zScore]],MATCH(Table5[[#This Row],[PID]],Table3[[#All],[PID]],0)))</f>
        <v>-1.6831914444758396</v>
      </c>
      <c r="S1361" s="79" t="str">
        <f>IF($C1361="B",INDEX(Batters[[#All],[DEM]],MATCH(Table5[[#This Row],[PID]],Batters[[#All],[PID]],0)),INDEX(Table3[[#All],[DEM]],MATCH(Table5[[#This Row],[PID]],Table3[[#All],[PID]],0)))</f>
        <v>-</v>
      </c>
      <c r="T1361" s="62">
        <f>IF($C1361="B",INDEX(Batters[[#All],[Rnk]],MATCH(Table5[[#This Row],[PID]],Batters[[#All],[PID]],0)),INDEX(Table3[[#All],[Rnk]],MATCH(Table5[[#This Row],[PID]],Table3[[#All],[PID]],0)))</f>
        <v>571</v>
      </c>
      <c r="U1361" s="68">
        <f>IF($C1361="B",VLOOKUP($A1361,Bat!$A$4:$BA$1621,47,FALSE),VLOOKUP($A1361,Pit!$A$4:$BF$1557,56,FALSE))</f>
        <v>0</v>
      </c>
      <c r="V1361" s="50">
        <f>IF($C1361="B",VLOOKUP($A1361,Bat!$A$4:$BA$1621,48,FALSE),VLOOKUP($A1361,Pit!$A$4:$BF$1557,57,FALSE))</f>
        <v>0</v>
      </c>
      <c r="W1361" s="50">
        <f>Table5[[#This Row],[posRnk]]+Table5[[#This Row],[zRnk]]+IF($W$3&lt;&gt;Table5[[#This Row],[Type]],50,0)</f>
        <v>1969</v>
      </c>
      <c r="X1361" s="51">
        <f>RANK(Table5[[#This Row],[zScore]],Table5[[#All],[zScore]])</f>
        <v>1348</v>
      </c>
      <c r="Y1361" s="50" t="str">
        <f>IFERROR(INDEX(DraftResults[[#All],[OVR]],MATCH(Table5[[#This Row],[PID]],DraftResults[[#All],[Player ID]],0)),"")</f>
        <v/>
      </c>
      <c r="Z13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1" s="50" t="str">
        <f>IFERROR(INDEX(DraftResults[[#All],[Pick in Round]],MATCH(Table5[[#This Row],[PID]],DraftResults[[#All],[Player ID]],0)),"")</f>
        <v/>
      </c>
      <c r="AB1361" s="50" t="str">
        <f>IFERROR(INDEX(DraftResults[[#All],[Team Name]],MATCH(Table5[[#This Row],[PID]],DraftResults[[#All],[Player ID]],0)),"")</f>
        <v/>
      </c>
      <c r="AC1361" s="50" t="str">
        <f>IF(Table5[[#This Row],[Ovr]]="","",IF(Table5[[#This Row],[cmbList]]="","",Table5[[#This Row],[cmbList]]-Table5[[#This Row],[Ovr]]))</f>
        <v/>
      </c>
      <c r="AD1361" s="54" t="str">
        <f>IF(ISERROR(VLOOKUP($AB1361&amp;"-"&amp;$E1361&amp;" "&amp;F1361,Bonuses!$B$1:$G$1006,4,FALSE)),"",INT(VLOOKUP($AB1361&amp;"-"&amp;$E1361&amp;" "&amp;$F1361,Bonuses!$B$1:$G$1006,4,FALSE)))</f>
        <v/>
      </c>
      <c r="AE13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2" spans="1:31" x14ac:dyDescent="0.25">
      <c r="A1362" s="50">
        <v>15619</v>
      </c>
      <c r="B1362" s="50">
        <f>COUNTIF(Table5[PID],A1362)</f>
        <v>1</v>
      </c>
      <c r="C1362" s="50" t="str">
        <f>IF(COUNTIF(Table3[[#All],[PID]],A1362)&gt;0,"P","B")</f>
        <v>B</v>
      </c>
      <c r="D1362" s="59" t="str">
        <f>IF($C1362="B",INDEX(Batters[[#All],[POS]],MATCH(Table5[[#This Row],[PID]],Batters[[#All],[PID]],0)),INDEX(Table3[[#All],[POS]],MATCH(Table5[[#This Row],[PID]],Table3[[#All],[PID]],0)))</f>
        <v>RF</v>
      </c>
      <c r="E1362" s="52" t="str">
        <f>IF($C1362="B",INDEX(Batters[[#All],[First]],MATCH(Table5[[#This Row],[PID]],Batters[[#All],[PID]],0)),INDEX(Table3[[#All],[First]],MATCH(Table5[[#This Row],[PID]],Table3[[#All],[PID]],0)))</f>
        <v>Alberto</v>
      </c>
      <c r="F1362" s="50" t="str">
        <f>IF($C1362="B",INDEX(Batters[[#All],[Last]],MATCH(A1362,Batters[[#All],[PID]],0)),INDEX(Table3[[#All],[Last]],MATCH(A1362,Table3[[#All],[PID]],0)))</f>
        <v>Hernández</v>
      </c>
      <c r="G1362" s="56">
        <f>IF($C1362="B",INDEX(Batters[[#All],[Age]],MATCH(Table5[[#This Row],[PID]],Batters[[#All],[PID]],0)),INDEX(Table3[[#All],[Age]],MATCH(Table5[[#This Row],[PID]],Table3[[#All],[PID]],0)))</f>
        <v>21</v>
      </c>
      <c r="H1362" s="52" t="str">
        <f>IF($C1362="B",INDEX(Batters[[#All],[B]],MATCH(Table5[[#This Row],[PID]],Batters[[#All],[PID]],0)),INDEX(Table3[[#All],[B]],MATCH(Table5[[#This Row],[PID]],Table3[[#All],[PID]],0)))</f>
        <v>R</v>
      </c>
      <c r="I1362" s="70" t="str">
        <f>IF($C1362="B",INDEX(Batters[[#All],[T]],MATCH(Table5[[#This Row],[PID]],Batters[[#All],[PID]],0)),INDEX(Table3[[#All],[T]],MATCH(Table5[[#This Row],[PID]],Table3[[#All],[PID]],0)))</f>
        <v>R</v>
      </c>
      <c r="J1362" s="52" t="str">
        <f>IF($C1362="B",INDEX(Batters[[#All],[WE]],MATCH(Table5[[#This Row],[PID]],Batters[[#All],[PID]],0)),INDEX(Table3[[#All],[WE]],MATCH(Table5[[#This Row],[PID]],Table3[[#All],[PID]],0)))</f>
        <v>Low</v>
      </c>
      <c r="K1362" s="52" t="str">
        <f>IF($C1362="B",INDEX(Batters[[#All],[INT]],MATCH(Table5[[#This Row],[PID]],Batters[[#All],[PID]],0)),INDEX(Table3[[#All],[INT]],MATCH(Table5[[#This Row],[PID]],Table3[[#All],[PID]],0)))</f>
        <v>High</v>
      </c>
      <c r="L1362" s="60">
        <f>IF($C1362="B",INDEX(Batters[[#All],[CON P]],MATCH(Table5[[#This Row],[PID]],Batters[[#All],[PID]],0)),INDEX(Table3[[#All],[STU P]],MATCH(Table5[[#This Row],[PID]],Table3[[#All],[PID]],0)))</f>
        <v>3</v>
      </c>
      <c r="M1362" s="56">
        <f>IF($C1362="B",INDEX(Batters[[#All],[GAP P]],MATCH(Table5[[#This Row],[PID]],Batters[[#All],[PID]],0)),INDEX(Table3[[#All],[MOV P]],MATCH(Table5[[#This Row],[PID]],Table3[[#All],[PID]],0)))</f>
        <v>4</v>
      </c>
      <c r="N1362" s="56">
        <f>IF($C1362="B",INDEX(Batters[[#All],[POW P]],MATCH(Table5[[#This Row],[PID]],Batters[[#All],[PID]],0)),INDEX(Table3[[#All],[CON P]],MATCH(Table5[[#This Row],[PID]],Table3[[#All],[PID]],0)))</f>
        <v>3</v>
      </c>
      <c r="O1362" s="56">
        <f>IF($C1362="B",INDEX(Batters[[#All],[EYE P]],MATCH(Table5[[#This Row],[PID]],Batters[[#All],[PID]],0)),INDEX(Table3[[#All],[VELO]],MATCH(Table5[[#This Row],[PID]],Table3[[#All],[PID]],0)))</f>
        <v>4</v>
      </c>
      <c r="P1362" s="56">
        <f>IF($C1362="B",INDEX(Batters[[#All],[K P]],MATCH(Table5[[#This Row],[PID]],Batters[[#All],[PID]],0)),INDEX(Table3[[#All],[STM]],MATCH(Table5[[#This Row],[PID]],Table3[[#All],[PID]],0)))</f>
        <v>5</v>
      </c>
      <c r="Q1362" s="61">
        <f>IF($C1362="B",INDEX(Batters[[#All],[Tot]],MATCH(Table5[[#This Row],[PID]],Batters[[#All],[PID]],0)),INDEX(Table3[[#All],[Tot]],MATCH(Table5[[#This Row],[PID]],Table3[[#All],[PID]],0)))</f>
        <v>36.533131530691094</v>
      </c>
      <c r="R1362" s="70">
        <f>IF($C1362="B",INDEX(Batters[[#All],[zScore]],MATCH(Table5[[#This Row],[PID]],Batters[[#All],[PID]],0)),INDEX(Table3[[#All],[zScore]],MATCH(Table5[[#This Row],[PID]],Table3[[#All],[PID]],0)))</f>
        <v>-1.6847071391085164</v>
      </c>
      <c r="S1362" s="79" t="str">
        <f>IF($C1362="B",INDEX(Batters[[#All],[DEM]],MATCH(Table5[[#This Row],[PID]],Batters[[#All],[PID]],0)),INDEX(Table3[[#All],[DEM]],MATCH(Table5[[#This Row],[PID]],Table3[[#All],[PID]],0)))</f>
        <v>$20k</v>
      </c>
      <c r="T1362" s="62">
        <f>IF($C1362="B",INDEX(Batters[[#All],[Rnk]],MATCH(Table5[[#This Row],[PID]],Batters[[#All],[PID]],0)),INDEX(Table3[[#All],[Rnk]],MATCH(Table5[[#This Row],[PID]],Table3[[#All],[PID]],0)))</f>
        <v>572</v>
      </c>
      <c r="U1362" s="68">
        <f>IF($C1362="B",VLOOKUP($A1362,Bat!$A$4:$BA$1621,47,FALSE),VLOOKUP($A1362,Pit!$A$4:$BF$1557,56,FALSE))</f>
        <v>0</v>
      </c>
      <c r="V1362" s="50">
        <f>IF($C1362="B",VLOOKUP($A1362,Bat!$A$4:$BA$1621,48,FALSE),VLOOKUP($A1362,Pit!$A$4:$BF$1557,57,FALSE))</f>
        <v>0</v>
      </c>
      <c r="W1362" s="50">
        <f>Table5[[#This Row],[posRnk]]+Table5[[#This Row],[zRnk]]+IF($W$3&lt;&gt;Table5[[#This Row],[Type]],50,0)</f>
        <v>1971</v>
      </c>
      <c r="X1362" s="51">
        <f>RANK(Table5[[#This Row],[zScore]],Table5[[#All],[zScore]])</f>
        <v>1349</v>
      </c>
      <c r="Y1362" s="50" t="str">
        <f>IFERROR(INDEX(DraftResults[[#All],[OVR]],MATCH(Table5[[#This Row],[PID]],DraftResults[[#All],[Player ID]],0)),"")</f>
        <v/>
      </c>
      <c r="Z13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2" s="50" t="str">
        <f>IFERROR(INDEX(DraftResults[[#All],[Pick in Round]],MATCH(Table5[[#This Row],[PID]],DraftResults[[#All],[Player ID]],0)),"")</f>
        <v/>
      </c>
      <c r="AB1362" s="50" t="str">
        <f>IFERROR(INDEX(DraftResults[[#All],[Team Name]],MATCH(Table5[[#This Row],[PID]],DraftResults[[#All],[Player ID]],0)),"")</f>
        <v/>
      </c>
      <c r="AC1362" s="50" t="str">
        <f>IF(Table5[[#This Row],[Ovr]]="","",IF(Table5[[#This Row],[cmbList]]="","",Table5[[#This Row],[cmbList]]-Table5[[#This Row],[Ovr]]))</f>
        <v/>
      </c>
      <c r="AD1362" s="54" t="str">
        <f>IF(ISERROR(VLOOKUP($AB1362&amp;"-"&amp;$E1362&amp;" "&amp;F1362,Bonuses!$B$1:$G$1006,4,FALSE)),"",INT(VLOOKUP($AB1362&amp;"-"&amp;$E1362&amp;" "&amp;$F1362,Bonuses!$B$1:$G$1006,4,FALSE)))</f>
        <v/>
      </c>
      <c r="AE13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3" spans="1:31" x14ac:dyDescent="0.25">
      <c r="A1363" s="50">
        <v>9644</v>
      </c>
      <c r="B1363" s="55">
        <f>COUNTIF(Table5[PID],A1363)</f>
        <v>1</v>
      </c>
      <c r="C1363" s="55" t="str">
        <f>IF(COUNTIF(Table3[[#All],[PID]],A1363)&gt;0,"P","B")</f>
        <v>B</v>
      </c>
      <c r="D1363" s="59" t="str">
        <f>IF($C1363="B",INDEX(Batters[[#All],[POS]],MATCH(Table5[[#This Row],[PID]],Batters[[#All],[PID]],0)),INDEX(Table3[[#All],[POS]],MATCH(Table5[[#This Row],[PID]],Table3[[#All],[PID]],0)))</f>
        <v>3B</v>
      </c>
      <c r="E1363" s="52" t="str">
        <f>IF($C1363="B",INDEX(Batters[[#All],[First]],MATCH(Table5[[#This Row],[PID]],Batters[[#All],[PID]],0)),INDEX(Table3[[#All],[First]],MATCH(Table5[[#This Row],[PID]],Table3[[#All],[PID]],0)))</f>
        <v>Jeff</v>
      </c>
      <c r="F1363" s="50" t="str">
        <f>IF($C1363="B",INDEX(Batters[[#All],[Last]],MATCH(A1363,Batters[[#All],[PID]],0)),INDEX(Table3[[#All],[Last]],MATCH(A1363,Table3[[#All],[PID]],0)))</f>
        <v>Rodríguez</v>
      </c>
      <c r="G1363" s="56">
        <f>IF($C1363="B",INDEX(Batters[[#All],[Age]],MATCH(Table5[[#This Row],[PID]],Batters[[#All],[PID]],0)),INDEX(Table3[[#All],[Age]],MATCH(Table5[[#This Row],[PID]],Table3[[#All],[PID]],0)))</f>
        <v>22</v>
      </c>
      <c r="H1363" s="52" t="str">
        <f>IF($C1363="B",INDEX(Batters[[#All],[B]],MATCH(Table5[[#This Row],[PID]],Batters[[#All],[PID]],0)),INDEX(Table3[[#All],[B]],MATCH(Table5[[#This Row],[PID]],Table3[[#All],[PID]],0)))</f>
        <v>R</v>
      </c>
      <c r="I1363" s="70" t="str">
        <f>IF($C1363="B",INDEX(Batters[[#All],[T]],MATCH(Table5[[#This Row],[PID]],Batters[[#All],[PID]],0)),INDEX(Table3[[#All],[T]],MATCH(Table5[[#This Row],[PID]],Table3[[#All],[PID]],0)))</f>
        <v>R</v>
      </c>
      <c r="J1363" s="52" t="str">
        <f>IF($C1363="B",INDEX(Batters[[#All],[WE]],MATCH(Table5[[#This Row],[PID]],Batters[[#All],[PID]],0)),INDEX(Table3[[#All],[WE]],MATCH(Table5[[#This Row],[PID]],Table3[[#All],[PID]],0)))</f>
        <v>High</v>
      </c>
      <c r="K1363" s="52" t="str">
        <f>IF($C1363="B",INDEX(Batters[[#All],[INT]],MATCH(Table5[[#This Row],[PID]],Batters[[#All],[PID]],0)),INDEX(Table3[[#All],[INT]],MATCH(Table5[[#This Row],[PID]],Table3[[#All],[PID]],0)))</f>
        <v>Normal</v>
      </c>
      <c r="L1363" s="60">
        <f>IF($C1363="B",INDEX(Batters[[#All],[CON P]],MATCH(Table5[[#This Row],[PID]],Batters[[#All],[PID]],0)),INDEX(Table3[[#All],[STU P]],MATCH(Table5[[#This Row],[PID]],Table3[[#All],[PID]],0)))</f>
        <v>3</v>
      </c>
      <c r="M1363" s="56">
        <f>IF($C1363="B",INDEX(Batters[[#All],[GAP P]],MATCH(Table5[[#This Row],[PID]],Batters[[#All],[PID]],0)),INDEX(Table3[[#All],[MOV P]],MATCH(Table5[[#This Row],[PID]],Table3[[#All],[PID]],0)))</f>
        <v>3</v>
      </c>
      <c r="N1363" s="56">
        <f>IF($C1363="B",INDEX(Batters[[#All],[POW P]],MATCH(Table5[[#This Row],[PID]],Batters[[#All],[PID]],0)),INDEX(Table3[[#All],[CON P]],MATCH(Table5[[#This Row],[PID]],Table3[[#All],[PID]],0)))</f>
        <v>4</v>
      </c>
      <c r="O1363" s="56">
        <f>IF($C1363="B",INDEX(Batters[[#All],[EYE P]],MATCH(Table5[[#This Row],[PID]],Batters[[#All],[PID]],0)),INDEX(Table3[[#All],[VELO]],MATCH(Table5[[#This Row],[PID]],Table3[[#All],[PID]],0)))</f>
        <v>4</v>
      </c>
      <c r="P1363" s="56">
        <f>IF($C1363="B",INDEX(Batters[[#All],[K P]],MATCH(Table5[[#This Row],[PID]],Batters[[#All],[PID]],0)),INDEX(Table3[[#All],[STM]],MATCH(Table5[[#This Row],[PID]],Table3[[#All],[PID]],0)))</f>
        <v>2</v>
      </c>
      <c r="Q1363" s="61">
        <f>IF($C1363="B",INDEX(Batters[[#All],[Tot]],MATCH(Table5[[#This Row],[PID]],Batters[[#All],[PID]],0)),INDEX(Table3[[#All],[Tot]],MATCH(Table5[[#This Row],[PID]],Table3[[#All],[PID]],0)))</f>
        <v>36.51855940217505</v>
      </c>
      <c r="R1363" s="70">
        <f>IF($C1363="B",INDEX(Batters[[#All],[zScore]],MATCH(Table5[[#This Row],[PID]],Batters[[#All],[PID]],0)),INDEX(Table3[[#All],[zScore]],MATCH(Table5[[#This Row],[PID]],Table3[[#All],[PID]],0)))</f>
        <v>-1.6879378784989705</v>
      </c>
      <c r="S1363" s="79" t="str">
        <f>IF($C1363="B",INDEX(Batters[[#All],[DEM]],MATCH(Table5[[#This Row],[PID]],Batters[[#All],[PID]],0)),INDEX(Table3[[#All],[DEM]],MATCH(Table5[[#This Row],[PID]],Table3[[#All],[PID]],0)))</f>
        <v>-</v>
      </c>
      <c r="T1363" s="62">
        <f>IF($C1363="B",INDEX(Batters[[#All],[Rnk]],MATCH(Table5[[#This Row],[PID]],Batters[[#All],[PID]],0)),INDEX(Table3[[#All],[Rnk]],MATCH(Table5[[#This Row],[PID]],Table3[[#All],[PID]],0)))</f>
        <v>573</v>
      </c>
      <c r="U1363" s="68">
        <f>IF($C1363="B",VLOOKUP($A1363,Bat!$A$4:$BA$1621,47,FALSE),VLOOKUP($A1363,Pit!$A$4:$BF$1557,56,FALSE))</f>
        <v>0</v>
      </c>
      <c r="V1363" s="50">
        <f>IF($C1363="B",VLOOKUP($A1363,Bat!$A$4:$BA$1621,48,FALSE),VLOOKUP($A1363,Pit!$A$4:$BF$1557,57,FALSE))</f>
        <v>0</v>
      </c>
      <c r="W1363" s="50">
        <f>Table5[[#This Row],[posRnk]]+Table5[[#This Row],[zRnk]]+IF($W$3&lt;&gt;Table5[[#This Row],[Type]],50,0)</f>
        <v>1973</v>
      </c>
      <c r="X1363" s="51">
        <f>RANK(Table5[[#This Row],[zScore]],Table5[[#All],[zScore]])</f>
        <v>1350</v>
      </c>
      <c r="Y1363" s="50" t="str">
        <f>IFERROR(INDEX(DraftResults[[#All],[OVR]],MATCH(Table5[[#This Row],[PID]],DraftResults[[#All],[Player ID]],0)),"")</f>
        <v/>
      </c>
      <c r="Z13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3" s="50" t="str">
        <f>IFERROR(INDEX(DraftResults[[#All],[Pick in Round]],MATCH(Table5[[#This Row],[PID]],DraftResults[[#All],[Player ID]],0)),"")</f>
        <v/>
      </c>
      <c r="AB1363" s="50" t="str">
        <f>IFERROR(INDEX(DraftResults[[#All],[Team Name]],MATCH(Table5[[#This Row],[PID]],DraftResults[[#All],[Player ID]],0)),"")</f>
        <v/>
      </c>
      <c r="AC1363" s="50" t="str">
        <f>IF(Table5[[#This Row],[Ovr]]="","",IF(Table5[[#This Row],[cmbList]]="","",Table5[[#This Row],[cmbList]]-Table5[[#This Row],[Ovr]]))</f>
        <v/>
      </c>
      <c r="AD1363" s="54" t="str">
        <f>IF(ISERROR(VLOOKUP($AB1363&amp;"-"&amp;$E1363&amp;" "&amp;F1363,Bonuses!$B$1:$G$1006,4,FALSE)),"",INT(VLOOKUP($AB1363&amp;"-"&amp;$E1363&amp;" "&amp;$F1363,Bonuses!$B$1:$G$1006,4,FALSE)))</f>
        <v/>
      </c>
      <c r="AE13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4" spans="1:31" x14ac:dyDescent="0.25">
      <c r="A1364" s="50">
        <v>20512</v>
      </c>
      <c r="B1364" s="50">
        <f>COUNTIF(Table5[PID],A1364)</f>
        <v>1</v>
      </c>
      <c r="C1364" s="50" t="str">
        <f>IF(COUNTIF(Table3[[#All],[PID]],A1364)&gt;0,"P","B")</f>
        <v>B</v>
      </c>
      <c r="D1364" s="59" t="str">
        <f>IF($C1364="B",INDEX(Batters[[#All],[POS]],MATCH(Table5[[#This Row],[PID]],Batters[[#All],[PID]],0)),INDEX(Table3[[#All],[POS]],MATCH(Table5[[#This Row],[PID]],Table3[[#All],[PID]],0)))</f>
        <v>C</v>
      </c>
      <c r="E1364" s="52" t="str">
        <f>IF($C1364="B",INDEX(Batters[[#All],[First]],MATCH(Table5[[#This Row],[PID]],Batters[[#All],[PID]],0)),INDEX(Table3[[#All],[First]],MATCH(Table5[[#This Row],[PID]],Table3[[#All],[PID]],0)))</f>
        <v>Tonito</v>
      </c>
      <c r="F1364" s="50" t="str">
        <f>IF($C1364="B",INDEX(Batters[[#All],[Last]],MATCH(A1364,Batters[[#All],[PID]],0)),INDEX(Table3[[#All],[Last]],MATCH(A1364,Table3[[#All],[PID]],0)))</f>
        <v>Ocaya</v>
      </c>
      <c r="G1364" s="56">
        <f>IF($C1364="B",INDEX(Batters[[#All],[Age]],MATCH(Table5[[#This Row],[PID]],Batters[[#All],[PID]],0)),INDEX(Table3[[#All],[Age]],MATCH(Table5[[#This Row],[PID]],Table3[[#All],[PID]],0)))</f>
        <v>18</v>
      </c>
      <c r="H1364" s="52" t="str">
        <f>IF($C1364="B",INDEX(Batters[[#All],[B]],MATCH(Table5[[#This Row],[PID]],Batters[[#All],[PID]],0)),INDEX(Table3[[#All],[B]],MATCH(Table5[[#This Row],[PID]],Table3[[#All],[PID]],0)))</f>
        <v>R</v>
      </c>
      <c r="I1364" s="70" t="str">
        <f>IF($C1364="B",INDEX(Batters[[#All],[T]],MATCH(Table5[[#This Row],[PID]],Batters[[#All],[PID]],0)),INDEX(Table3[[#All],[T]],MATCH(Table5[[#This Row],[PID]],Table3[[#All],[PID]],0)))</f>
        <v>R</v>
      </c>
      <c r="J1364" s="52" t="str">
        <f>IF($C1364="B",INDEX(Batters[[#All],[WE]],MATCH(Table5[[#This Row],[PID]],Batters[[#All],[PID]],0)),INDEX(Table3[[#All],[WE]],MATCH(Table5[[#This Row],[PID]],Table3[[#All],[PID]],0)))</f>
        <v>Low</v>
      </c>
      <c r="K1364" s="52" t="str">
        <f>IF($C1364="B",INDEX(Batters[[#All],[INT]],MATCH(Table5[[#This Row],[PID]],Batters[[#All],[PID]],0)),INDEX(Table3[[#All],[INT]],MATCH(Table5[[#This Row],[PID]],Table3[[#All],[PID]],0)))</f>
        <v>Normal</v>
      </c>
      <c r="L1364" s="60">
        <f>IF($C1364="B",INDEX(Batters[[#All],[CON P]],MATCH(Table5[[#This Row],[PID]],Batters[[#All],[PID]],0)),INDEX(Table3[[#All],[STU P]],MATCH(Table5[[#This Row],[PID]],Table3[[#All],[PID]],0)))</f>
        <v>2</v>
      </c>
      <c r="M1364" s="56">
        <f>IF($C1364="B",INDEX(Batters[[#All],[GAP P]],MATCH(Table5[[#This Row],[PID]],Batters[[#All],[PID]],0)),INDEX(Table3[[#All],[MOV P]],MATCH(Table5[[#This Row],[PID]],Table3[[#All],[PID]],0)))</f>
        <v>5</v>
      </c>
      <c r="N1364" s="56">
        <f>IF($C1364="B",INDEX(Batters[[#All],[POW P]],MATCH(Table5[[#This Row],[PID]],Batters[[#All],[PID]],0)),INDEX(Table3[[#All],[CON P]],MATCH(Table5[[#This Row],[PID]],Table3[[#All],[PID]],0)))</f>
        <v>2</v>
      </c>
      <c r="O1364" s="56">
        <f>IF($C1364="B",INDEX(Batters[[#All],[EYE P]],MATCH(Table5[[#This Row],[PID]],Batters[[#All],[PID]],0)),INDEX(Table3[[#All],[VELO]],MATCH(Table5[[#This Row],[PID]],Table3[[#All],[PID]],0)))</f>
        <v>4</v>
      </c>
      <c r="P1364" s="56">
        <f>IF($C1364="B",INDEX(Batters[[#All],[K P]],MATCH(Table5[[#This Row],[PID]],Batters[[#All],[PID]],0)),INDEX(Table3[[#All],[STM]],MATCH(Table5[[#This Row],[PID]],Table3[[#All],[PID]],0)))</f>
        <v>4</v>
      </c>
      <c r="Q1364" s="61">
        <f>IF($C1364="B",INDEX(Batters[[#All],[Tot]],MATCH(Table5[[#This Row],[PID]],Batters[[#All],[PID]],0)),INDEX(Table3[[#All],[Tot]],MATCH(Table5[[#This Row],[PID]],Table3[[#All],[PID]],0)))</f>
        <v>36.490242777628197</v>
      </c>
      <c r="R1364" s="70">
        <f>IF($C1364="B",INDEX(Batters[[#All],[zScore]],MATCH(Table5[[#This Row],[PID]],Batters[[#All],[PID]],0)),INDEX(Table3[[#All],[zScore]],MATCH(Table5[[#This Row],[PID]],Table3[[#All],[PID]],0)))</f>
        <v>-1.6942158655636264</v>
      </c>
      <c r="S1364" s="79" t="str">
        <f>IF($C1364="B",INDEX(Batters[[#All],[DEM]],MATCH(Table5[[#This Row],[PID]],Batters[[#All],[PID]],0)),INDEX(Table3[[#All],[DEM]],MATCH(Table5[[#This Row],[PID]],Table3[[#All],[PID]],0)))</f>
        <v>$38k</v>
      </c>
      <c r="T1364" s="62">
        <f>IF($C1364="B",INDEX(Batters[[#All],[Rnk]],MATCH(Table5[[#This Row],[PID]],Batters[[#All],[PID]],0)),INDEX(Table3[[#All],[Rnk]],MATCH(Table5[[#This Row],[PID]],Table3[[#All],[PID]],0)))</f>
        <v>574</v>
      </c>
      <c r="U1364" s="68">
        <f>IF($C1364="B",VLOOKUP($A1364,Bat!$A$4:$BA$1621,47,FALSE),VLOOKUP($A1364,Pit!$A$4:$BF$1557,56,FALSE))</f>
        <v>0</v>
      </c>
      <c r="V1364" s="50">
        <f>IF($C1364="B",VLOOKUP($A1364,Bat!$A$4:$BA$1621,48,FALSE),VLOOKUP($A1364,Pit!$A$4:$BF$1557,57,FALSE))</f>
        <v>0</v>
      </c>
      <c r="W1364" s="50">
        <f>Table5[[#This Row],[posRnk]]+Table5[[#This Row],[zRnk]]+IF($W$3&lt;&gt;Table5[[#This Row],[Type]],50,0)</f>
        <v>1975</v>
      </c>
      <c r="X1364" s="51">
        <f>RANK(Table5[[#This Row],[zScore]],Table5[[#All],[zScore]])</f>
        <v>1351</v>
      </c>
      <c r="Y1364" s="50" t="str">
        <f>IFERROR(INDEX(DraftResults[[#All],[OVR]],MATCH(Table5[[#This Row],[PID]],DraftResults[[#All],[Player ID]],0)),"")</f>
        <v/>
      </c>
      <c r="Z13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4" s="50" t="str">
        <f>IFERROR(INDEX(DraftResults[[#All],[Pick in Round]],MATCH(Table5[[#This Row],[PID]],DraftResults[[#All],[Player ID]],0)),"")</f>
        <v/>
      </c>
      <c r="AB1364" s="50" t="str">
        <f>IFERROR(INDEX(DraftResults[[#All],[Team Name]],MATCH(Table5[[#This Row],[PID]],DraftResults[[#All],[Player ID]],0)),"")</f>
        <v/>
      </c>
      <c r="AC1364" s="50" t="str">
        <f>IF(Table5[[#This Row],[Ovr]]="","",IF(Table5[[#This Row],[cmbList]]="","",Table5[[#This Row],[cmbList]]-Table5[[#This Row],[Ovr]]))</f>
        <v/>
      </c>
      <c r="AD1364" s="54" t="str">
        <f>IF(ISERROR(VLOOKUP($AB1364&amp;"-"&amp;$E1364&amp;" "&amp;F1364,Bonuses!$B$1:$G$1006,4,FALSE)),"",INT(VLOOKUP($AB1364&amp;"-"&amp;$E1364&amp;" "&amp;$F1364,Bonuses!$B$1:$G$1006,4,FALSE)))</f>
        <v/>
      </c>
      <c r="AE13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5" spans="1:31" x14ac:dyDescent="0.25">
      <c r="A1365" s="50">
        <v>9434</v>
      </c>
      <c r="B1365" s="50">
        <f>COUNTIF(Table5[PID],A1365)</f>
        <v>1</v>
      </c>
      <c r="C1365" s="50" t="str">
        <f>IF(COUNTIF(Table3[[#All],[PID]],A1365)&gt;0,"P","B")</f>
        <v>B</v>
      </c>
      <c r="D1365" s="59" t="str">
        <f>IF($C1365="B",INDEX(Batters[[#All],[POS]],MATCH(Table5[[#This Row],[PID]],Batters[[#All],[PID]],0)),INDEX(Table3[[#All],[POS]],MATCH(Table5[[#This Row],[PID]],Table3[[#All],[PID]],0)))</f>
        <v>C</v>
      </c>
      <c r="E1365" s="52" t="str">
        <f>IF($C1365="B",INDEX(Batters[[#All],[First]],MATCH(Table5[[#This Row],[PID]],Batters[[#All],[PID]],0)),INDEX(Table3[[#All],[First]],MATCH(Table5[[#This Row],[PID]],Table3[[#All],[PID]],0)))</f>
        <v>Troy</v>
      </c>
      <c r="F1365" s="50" t="str">
        <f>IF($C1365="B",INDEX(Batters[[#All],[Last]],MATCH(A1365,Batters[[#All],[PID]],0)),INDEX(Table3[[#All],[Last]],MATCH(A1365,Table3[[#All],[PID]],0)))</f>
        <v>Schaefer</v>
      </c>
      <c r="G1365" s="56">
        <f>IF($C1365="B",INDEX(Batters[[#All],[Age]],MATCH(Table5[[#This Row],[PID]],Batters[[#All],[PID]],0)),INDEX(Table3[[#All],[Age]],MATCH(Table5[[#This Row],[PID]],Table3[[#All],[PID]],0)))</f>
        <v>22</v>
      </c>
      <c r="H1365" s="52" t="str">
        <f>IF($C1365="B",INDEX(Batters[[#All],[B]],MATCH(Table5[[#This Row],[PID]],Batters[[#All],[PID]],0)),INDEX(Table3[[#All],[B]],MATCH(Table5[[#This Row],[PID]],Table3[[#All],[PID]],0)))</f>
        <v>R</v>
      </c>
      <c r="I1365" s="70" t="str">
        <f>IF($C1365="B",INDEX(Batters[[#All],[T]],MATCH(Table5[[#This Row],[PID]],Batters[[#All],[PID]],0)),INDEX(Table3[[#All],[T]],MATCH(Table5[[#This Row],[PID]],Table3[[#All],[PID]],0)))</f>
        <v>R</v>
      </c>
      <c r="J1365" s="52" t="str">
        <f>IF($C1365="B",INDEX(Batters[[#All],[WE]],MATCH(Table5[[#This Row],[PID]],Batters[[#All],[PID]],0)),INDEX(Table3[[#All],[WE]],MATCH(Table5[[#This Row],[PID]],Table3[[#All],[PID]],0)))</f>
        <v>High</v>
      </c>
      <c r="K1365" s="52" t="str">
        <f>IF($C1365="B",INDEX(Batters[[#All],[INT]],MATCH(Table5[[#This Row],[PID]],Batters[[#All],[PID]],0)),INDEX(Table3[[#All],[INT]],MATCH(Table5[[#This Row],[PID]],Table3[[#All],[PID]],0)))</f>
        <v>High</v>
      </c>
      <c r="L1365" s="60">
        <f>IF($C1365="B",INDEX(Batters[[#All],[CON P]],MATCH(Table5[[#This Row],[PID]],Batters[[#All],[PID]],0)),INDEX(Table3[[#All],[STU P]],MATCH(Table5[[#This Row],[PID]],Table3[[#All],[PID]],0)))</f>
        <v>3</v>
      </c>
      <c r="M1365" s="56">
        <f>IF($C1365="B",INDEX(Batters[[#All],[GAP P]],MATCH(Table5[[#This Row],[PID]],Batters[[#All],[PID]],0)),INDEX(Table3[[#All],[MOV P]],MATCH(Table5[[#This Row],[PID]],Table3[[#All],[PID]],0)))</f>
        <v>4</v>
      </c>
      <c r="N1365" s="56">
        <f>IF($C1365="B",INDEX(Batters[[#All],[POW P]],MATCH(Table5[[#This Row],[PID]],Batters[[#All],[PID]],0)),INDEX(Table3[[#All],[CON P]],MATCH(Table5[[#This Row],[PID]],Table3[[#All],[PID]],0)))</f>
        <v>3</v>
      </c>
      <c r="O1365" s="56">
        <f>IF($C1365="B",INDEX(Batters[[#All],[EYE P]],MATCH(Table5[[#This Row],[PID]],Batters[[#All],[PID]],0)),INDEX(Table3[[#All],[VELO]],MATCH(Table5[[#This Row],[PID]],Table3[[#All],[PID]],0)))</f>
        <v>3</v>
      </c>
      <c r="P1365" s="56">
        <f>IF($C1365="B",INDEX(Batters[[#All],[K P]],MATCH(Table5[[#This Row],[PID]],Batters[[#All],[PID]],0)),INDEX(Table3[[#All],[STM]],MATCH(Table5[[#This Row],[PID]],Table3[[#All],[PID]],0)))</f>
        <v>3</v>
      </c>
      <c r="Q1365" s="61">
        <f>IF($C1365="B",INDEX(Batters[[#All],[Tot]],MATCH(Table5[[#This Row],[PID]],Batters[[#All],[PID]],0)),INDEX(Table3[[#All],[Tot]],MATCH(Table5[[#This Row],[PID]],Table3[[#All],[PID]],0)))</f>
        <v>36.475583078584833</v>
      </c>
      <c r="R1365" s="70">
        <f>IF($C1365="B",INDEX(Batters[[#All],[zScore]],MATCH(Table5[[#This Row],[PID]],Batters[[#All],[PID]],0)),INDEX(Table3[[#All],[zScore]],MATCH(Table5[[#This Row],[PID]],Table3[[#All],[PID]],0)))</f>
        <v>-1.6974660199319094</v>
      </c>
      <c r="S1365" s="79" t="str">
        <f>IF($C1365="B",INDEX(Batters[[#All],[DEM]],MATCH(Table5[[#This Row],[PID]],Batters[[#All],[PID]],0)),INDEX(Table3[[#All],[DEM]],MATCH(Table5[[#This Row],[PID]],Table3[[#All],[PID]],0)))</f>
        <v>-</v>
      </c>
      <c r="T1365" s="62">
        <f>IF($C1365="B",INDEX(Batters[[#All],[Rnk]],MATCH(Table5[[#This Row],[PID]],Batters[[#All],[PID]],0)),INDEX(Table3[[#All],[Rnk]],MATCH(Table5[[#This Row],[PID]],Table3[[#All],[PID]],0)))</f>
        <v>575</v>
      </c>
      <c r="U1365" s="68">
        <f>IF($C1365="B",VLOOKUP($A1365,Bat!$A$4:$BA$1621,47,FALSE),VLOOKUP($A1365,Pit!$A$4:$BF$1557,56,FALSE))</f>
        <v>0</v>
      </c>
      <c r="V1365" s="50">
        <f>IF($C1365="B",VLOOKUP($A1365,Bat!$A$4:$BA$1621,48,FALSE),VLOOKUP($A1365,Pit!$A$4:$BF$1557,57,FALSE))</f>
        <v>0</v>
      </c>
      <c r="W1365" s="50">
        <f>Table5[[#This Row],[posRnk]]+Table5[[#This Row],[zRnk]]+IF($W$3&lt;&gt;Table5[[#This Row],[Type]],50,0)</f>
        <v>1977</v>
      </c>
      <c r="X1365" s="51">
        <f>RANK(Table5[[#This Row],[zScore]],Table5[[#All],[zScore]])</f>
        <v>1352</v>
      </c>
      <c r="Y1365" s="50" t="str">
        <f>IFERROR(INDEX(DraftResults[[#All],[OVR]],MATCH(Table5[[#This Row],[PID]],DraftResults[[#All],[Player ID]],0)),"")</f>
        <v/>
      </c>
      <c r="Z13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5" s="50" t="str">
        <f>IFERROR(INDEX(DraftResults[[#All],[Pick in Round]],MATCH(Table5[[#This Row],[PID]],DraftResults[[#All],[Player ID]],0)),"")</f>
        <v/>
      </c>
      <c r="AB1365" s="50" t="str">
        <f>IFERROR(INDEX(DraftResults[[#All],[Team Name]],MATCH(Table5[[#This Row],[PID]],DraftResults[[#All],[Player ID]],0)),"")</f>
        <v/>
      </c>
      <c r="AC1365" s="50" t="str">
        <f>IF(Table5[[#This Row],[Ovr]]="","",IF(Table5[[#This Row],[cmbList]]="","",Table5[[#This Row],[cmbList]]-Table5[[#This Row],[Ovr]]))</f>
        <v/>
      </c>
      <c r="AD1365" s="54" t="str">
        <f>IF(ISERROR(VLOOKUP($AB1365&amp;"-"&amp;$E1365&amp;" "&amp;F1365,Bonuses!$B$1:$G$1006,4,FALSE)),"",INT(VLOOKUP($AB1365&amp;"-"&amp;$E1365&amp;" "&amp;$F1365,Bonuses!$B$1:$G$1006,4,FALSE)))</f>
        <v/>
      </c>
      <c r="AE13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6" spans="1:31" x14ac:dyDescent="0.25">
      <c r="A1366" s="50">
        <v>20599</v>
      </c>
      <c r="B1366" s="50">
        <f>COUNTIF(Table5[PID],A1366)</f>
        <v>1</v>
      </c>
      <c r="C1366" s="50" t="str">
        <f>IF(COUNTIF(Table3[[#All],[PID]],A1366)&gt;0,"P","B")</f>
        <v>B</v>
      </c>
      <c r="D1366" s="59" t="str">
        <f>IF($C1366="B",INDEX(Batters[[#All],[POS]],MATCH(Table5[[#This Row],[PID]],Batters[[#All],[PID]],0)),INDEX(Table3[[#All],[POS]],MATCH(Table5[[#This Row],[PID]],Table3[[#All],[PID]],0)))</f>
        <v>2B</v>
      </c>
      <c r="E1366" s="52" t="str">
        <f>IF($C1366="B",INDEX(Batters[[#All],[First]],MATCH(Table5[[#This Row],[PID]],Batters[[#All],[PID]],0)),INDEX(Table3[[#All],[First]],MATCH(Table5[[#This Row],[PID]],Table3[[#All],[PID]],0)))</f>
        <v>Dan-zu</v>
      </c>
      <c r="F1366" s="50" t="str">
        <f>IF($C1366="B",INDEX(Batters[[#All],[Last]],MATCH(A1366,Batters[[#All],[PID]],0)),INDEX(Table3[[#All],[Last]],MATCH(A1366,Table3[[#All],[PID]],0)))</f>
        <v>Zhu</v>
      </c>
      <c r="G1366" s="56">
        <f>IF($C1366="B",INDEX(Batters[[#All],[Age]],MATCH(Table5[[#This Row],[PID]],Batters[[#All],[PID]],0)),INDEX(Table3[[#All],[Age]],MATCH(Table5[[#This Row],[PID]],Table3[[#All],[PID]],0)))</f>
        <v>18</v>
      </c>
      <c r="H1366" s="52" t="str">
        <f>IF($C1366="B",INDEX(Batters[[#All],[B]],MATCH(Table5[[#This Row],[PID]],Batters[[#All],[PID]],0)),INDEX(Table3[[#All],[B]],MATCH(Table5[[#This Row],[PID]],Table3[[#All],[PID]],0)))</f>
        <v>R</v>
      </c>
      <c r="I1366" s="70" t="str">
        <f>IF($C1366="B",INDEX(Batters[[#All],[T]],MATCH(Table5[[#This Row],[PID]],Batters[[#All],[PID]],0)),INDEX(Table3[[#All],[T]],MATCH(Table5[[#This Row],[PID]],Table3[[#All],[PID]],0)))</f>
        <v>R</v>
      </c>
      <c r="J1366" s="52" t="str">
        <f>IF($C1366="B",INDEX(Batters[[#All],[WE]],MATCH(Table5[[#This Row],[PID]],Batters[[#All],[PID]],0)),INDEX(Table3[[#All],[WE]],MATCH(Table5[[#This Row],[PID]],Table3[[#All],[PID]],0)))</f>
        <v>Low</v>
      </c>
      <c r="K1366" s="52" t="str">
        <f>IF($C1366="B",INDEX(Batters[[#All],[INT]],MATCH(Table5[[#This Row],[PID]],Batters[[#All],[PID]],0)),INDEX(Table3[[#All],[INT]],MATCH(Table5[[#This Row],[PID]],Table3[[#All],[PID]],0)))</f>
        <v>Normal</v>
      </c>
      <c r="L1366" s="60">
        <f>IF($C1366="B",INDEX(Batters[[#All],[CON P]],MATCH(Table5[[#This Row],[PID]],Batters[[#All],[PID]],0)),INDEX(Table3[[#All],[STU P]],MATCH(Table5[[#This Row],[PID]],Table3[[#All],[PID]],0)))</f>
        <v>2</v>
      </c>
      <c r="M1366" s="56">
        <f>IF($C1366="B",INDEX(Batters[[#All],[GAP P]],MATCH(Table5[[#This Row],[PID]],Batters[[#All],[PID]],0)),INDEX(Table3[[#All],[MOV P]],MATCH(Table5[[#This Row],[PID]],Table3[[#All],[PID]],0)))</f>
        <v>4</v>
      </c>
      <c r="N1366" s="56">
        <f>IF($C1366="B",INDEX(Batters[[#All],[POW P]],MATCH(Table5[[#This Row],[PID]],Batters[[#All],[PID]],0)),INDEX(Table3[[#All],[CON P]],MATCH(Table5[[#This Row],[PID]],Table3[[#All],[PID]],0)))</f>
        <v>2</v>
      </c>
      <c r="O1366" s="56">
        <f>IF($C1366="B",INDEX(Batters[[#All],[EYE P]],MATCH(Table5[[#This Row],[PID]],Batters[[#All],[PID]],0)),INDEX(Table3[[#All],[VELO]],MATCH(Table5[[#This Row],[PID]],Table3[[#All],[PID]],0)))</f>
        <v>5</v>
      </c>
      <c r="P1366" s="56">
        <f>IF($C1366="B",INDEX(Batters[[#All],[K P]],MATCH(Table5[[#This Row],[PID]],Batters[[#All],[PID]],0)),INDEX(Table3[[#All],[STM]],MATCH(Table5[[#This Row],[PID]],Table3[[#All],[PID]],0)))</f>
        <v>3</v>
      </c>
      <c r="Q1366" s="61">
        <f>IF($C1366="B",INDEX(Batters[[#All],[Tot]],MATCH(Table5[[#This Row],[PID]],Batters[[#All],[PID]],0)),INDEX(Table3[[#All],[Tot]],MATCH(Table5[[#This Row],[PID]],Table3[[#All],[PID]],0)))</f>
        <v>36.473842744513732</v>
      </c>
      <c r="R1366" s="70">
        <f>IF($C1366="B",INDEX(Batters[[#All],[zScore]],MATCH(Table5[[#This Row],[PID]],Batters[[#All],[PID]],0)),INDEX(Table3[[#All],[zScore]],MATCH(Table5[[#This Row],[PID]],Table3[[#All],[PID]],0)))</f>
        <v>-1.697851863759039</v>
      </c>
      <c r="S1366" s="79" t="str">
        <f>IF($C1366="B",INDEX(Batters[[#All],[DEM]],MATCH(Table5[[#This Row],[PID]],Batters[[#All],[PID]],0)),INDEX(Table3[[#All],[DEM]],MATCH(Table5[[#This Row],[PID]],Table3[[#All],[PID]],0)))</f>
        <v>$38k</v>
      </c>
      <c r="T1366" s="62">
        <f>IF($C1366="B",INDEX(Batters[[#All],[Rnk]],MATCH(Table5[[#This Row],[PID]],Batters[[#All],[PID]],0)),INDEX(Table3[[#All],[Rnk]],MATCH(Table5[[#This Row],[PID]],Table3[[#All],[PID]],0)))</f>
        <v>576</v>
      </c>
      <c r="U1366" s="68">
        <f>IF($C1366="B",VLOOKUP($A1366,Bat!$A$4:$BA$1621,47,FALSE),VLOOKUP($A1366,Pit!$A$4:$BF$1557,56,FALSE))</f>
        <v>0</v>
      </c>
      <c r="V1366" s="50">
        <f>IF($C1366="B",VLOOKUP($A1366,Bat!$A$4:$BA$1621,48,FALSE),VLOOKUP($A1366,Pit!$A$4:$BF$1557,57,FALSE))</f>
        <v>0</v>
      </c>
      <c r="W1366" s="50">
        <f>Table5[[#This Row],[posRnk]]+Table5[[#This Row],[zRnk]]+IF($W$3&lt;&gt;Table5[[#This Row],[Type]],50,0)</f>
        <v>1979</v>
      </c>
      <c r="X1366" s="51">
        <f>RANK(Table5[[#This Row],[zScore]],Table5[[#All],[zScore]])</f>
        <v>1353</v>
      </c>
      <c r="Y1366" s="50" t="str">
        <f>IFERROR(INDEX(DraftResults[[#All],[OVR]],MATCH(Table5[[#This Row],[PID]],DraftResults[[#All],[Player ID]],0)),"")</f>
        <v/>
      </c>
      <c r="Z13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6" s="50" t="str">
        <f>IFERROR(INDEX(DraftResults[[#All],[Pick in Round]],MATCH(Table5[[#This Row],[PID]],DraftResults[[#All],[Player ID]],0)),"")</f>
        <v/>
      </c>
      <c r="AB1366" s="50" t="str">
        <f>IFERROR(INDEX(DraftResults[[#All],[Team Name]],MATCH(Table5[[#This Row],[PID]],DraftResults[[#All],[Player ID]],0)),"")</f>
        <v/>
      </c>
      <c r="AC1366" s="50" t="str">
        <f>IF(Table5[[#This Row],[Ovr]]="","",IF(Table5[[#This Row],[cmbList]]="","",Table5[[#This Row],[cmbList]]-Table5[[#This Row],[Ovr]]))</f>
        <v/>
      </c>
      <c r="AD1366" s="54" t="str">
        <f>IF(ISERROR(VLOOKUP($AB1366&amp;"-"&amp;$E1366&amp;" "&amp;F1366,Bonuses!$B$1:$G$1006,4,FALSE)),"",INT(VLOOKUP($AB1366&amp;"-"&amp;$E1366&amp;" "&amp;$F1366,Bonuses!$B$1:$G$1006,4,FALSE)))</f>
        <v/>
      </c>
      <c r="AE13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7" spans="1:31" x14ac:dyDescent="0.25">
      <c r="A1367" s="50">
        <v>21064</v>
      </c>
      <c r="B1367" s="50">
        <f>COUNTIF(Table5[PID],A1367)</f>
        <v>1</v>
      </c>
      <c r="C1367" s="50" t="str">
        <f>IF(COUNTIF(Table3[[#All],[PID]],A1367)&gt;0,"P","B")</f>
        <v>B</v>
      </c>
      <c r="D1367" s="59" t="str">
        <f>IF($C1367="B",INDEX(Batters[[#All],[POS]],MATCH(Table5[[#This Row],[PID]],Batters[[#All],[PID]],0)),INDEX(Table3[[#All],[POS]],MATCH(Table5[[#This Row],[PID]],Table3[[#All],[PID]],0)))</f>
        <v>C</v>
      </c>
      <c r="E1367" s="52" t="str">
        <f>IF($C1367="B",INDEX(Batters[[#All],[First]],MATCH(Table5[[#This Row],[PID]],Batters[[#All],[PID]],0)),INDEX(Table3[[#All],[First]],MATCH(Table5[[#This Row],[PID]],Table3[[#All],[PID]],0)))</f>
        <v>Michael</v>
      </c>
      <c r="F1367" s="50" t="str">
        <f>IF($C1367="B",INDEX(Batters[[#All],[Last]],MATCH(A1367,Batters[[#All],[PID]],0)),INDEX(Table3[[#All],[Last]],MATCH(A1367,Table3[[#All],[PID]],0)))</f>
        <v>Wilkins</v>
      </c>
      <c r="G1367" s="56">
        <f>IF($C1367="B",INDEX(Batters[[#All],[Age]],MATCH(Table5[[#This Row],[PID]],Batters[[#All],[PID]],0)),INDEX(Table3[[#All],[Age]],MATCH(Table5[[#This Row],[PID]],Table3[[#All],[PID]],0)))</f>
        <v>17</v>
      </c>
      <c r="H1367" s="52" t="str">
        <f>IF($C1367="B",INDEX(Batters[[#All],[B]],MATCH(Table5[[#This Row],[PID]],Batters[[#All],[PID]],0)),INDEX(Table3[[#All],[B]],MATCH(Table5[[#This Row],[PID]],Table3[[#All],[PID]],0)))</f>
        <v>S</v>
      </c>
      <c r="I1367" s="70" t="str">
        <f>IF($C1367="B",INDEX(Batters[[#All],[T]],MATCH(Table5[[#This Row],[PID]],Batters[[#All],[PID]],0)),INDEX(Table3[[#All],[T]],MATCH(Table5[[#This Row],[PID]],Table3[[#All],[PID]],0)))</f>
        <v>R</v>
      </c>
      <c r="J1367" s="52" t="str">
        <f>IF($C1367="B",INDEX(Batters[[#All],[WE]],MATCH(Table5[[#This Row],[PID]],Batters[[#All],[PID]],0)),INDEX(Table3[[#All],[WE]],MATCH(Table5[[#This Row],[PID]],Table3[[#All],[PID]],0)))</f>
        <v>High</v>
      </c>
      <c r="K1367" s="52" t="str">
        <f>IF($C1367="B",INDEX(Batters[[#All],[INT]],MATCH(Table5[[#This Row],[PID]],Batters[[#All],[PID]],0)),INDEX(Table3[[#All],[INT]],MATCH(Table5[[#This Row],[PID]],Table3[[#All],[PID]],0)))</f>
        <v>Normal</v>
      </c>
      <c r="L1367" s="60">
        <f>IF($C1367="B",INDEX(Batters[[#All],[CON P]],MATCH(Table5[[#This Row],[PID]],Batters[[#All],[PID]],0)),INDEX(Table3[[#All],[STU P]],MATCH(Table5[[#This Row],[PID]],Table3[[#All],[PID]],0)))</f>
        <v>2</v>
      </c>
      <c r="M1367" s="56">
        <f>IF($C1367="B",INDEX(Batters[[#All],[GAP P]],MATCH(Table5[[#This Row],[PID]],Batters[[#All],[PID]],0)),INDEX(Table3[[#All],[MOV P]],MATCH(Table5[[#This Row],[PID]],Table3[[#All],[PID]],0)))</f>
        <v>3</v>
      </c>
      <c r="N1367" s="56">
        <f>IF($C1367="B",INDEX(Batters[[#All],[POW P]],MATCH(Table5[[#This Row],[PID]],Batters[[#All],[PID]],0)),INDEX(Table3[[#All],[CON P]],MATCH(Table5[[#This Row],[PID]],Table3[[#All],[PID]],0)))</f>
        <v>2</v>
      </c>
      <c r="O1367" s="56">
        <f>IF($C1367="B",INDEX(Batters[[#All],[EYE P]],MATCH(Table5[[#This Row],[PID]],Batters[[#All],[PID]],0)),INDEX(Table3[[#All],[VELO]],MATCH(Table5[[#This Row],[PID]],Table3[[#All],[PID]],0)))</f>
        <v>5</v>
      </c>
      <c r="P1367" s="56">
        <f>IF($C1367="B",INDEX(Batters[[#All],[K P]],MATCH(Table5[[#This Row],[PID]],Batters[[#All],[PID]],0)),INDEX(Table3[[#All],[STM]],MATCH(Table5[[#This Row],[PID]],Table3[[#All],[PID]],0)))</f>
        <v>3</v>
      </c>
      <c r="Q1367" s="61">
        <f>IF($C1367="B",INDEX(Batters[[#All],[Tot]],MATCH(Table5[[#This Row],[PID]],Batters[[#All],[PID]],0)),INDEX(Table3[[#All],[Tot]],MATCH(Table5[[#This Row],[PID]],Table3[[#All],[PID]],0)))</f>
        <v>36.456018201127421</v>
      </c>
      <c r="R1367" s="70">
        <f>IF($C1367="B",INDEX(Batters[[#All],[zScore]],MATCH(Table5[[#This Row],[PID]],Batters[[#All],[PID]],0)),INDEX(Table3[[#All],[zScore]],MATCH(Table5[[#This Row],[PID]],Table3[[#All],[PID]],0)))</f>
        <v>-1.7018036855105159</v>
      </c>
      <c r="S1367" s="79" t="str">
        <f>IF($C1367="B",INDEX(Batters[[#All],[DEM]],MATCH(Table5[[#This Row],[PID]],Batters[[#All],[PID]],0)),INDEX(Table3[[#All],[DEM]],MATCH(Table5[[#This Row],[PID]],Table3[[#All],[PID]],0)))</f>
        <v>$38k</v>
      </c>
      <c r="T1367" s="62">
        <f>IF($C1367="B",INDEX(Batters[[#All],[Rnk]],MATCH(Table5[[#This Row],[PID]],Batters[[#All],[PID]],0)),INDEX(Table3[[#All],[Rnk]],MATCH(Table5[[#This Row],[PID]],Table3[[#All],[PID]],0)))</f>
        <v>577</v>
      </c>
      <c r="U1367" s="68">
        <f>IF($C1367="B",VLOOKUP($A1367,Bat!$A$4:$BA$1621,47,FALSE),VLOOKUP($A1367,Pit!$A$4:$BF$1557,56,FALSE))</f>
        <v>0</v>
      </c>
      <c r="V1367" s="50">
        <f>IF($C1367="B",VLOOKUP($A1367,Bat!$A$4:$BA$1621,48,FALSE),VLOOKUP($A1367,Pit!$A$4:$BF$1557,57,FALSE))</f>
        <v>0</v>
      </c>
      <c r="W1367" s="50">
        <f>Table5[[#This Row],[posRnk]]+Table5[[#This Row],[zRnk]]+IF($W$3&lt;&gt;Table5[[#This Row],[Type]],50,0)</f>
        <v>1981</v>
      </c>
      <c r="X1367" s="51">
        <f>RANK(Table5[[#This Row],[zScore]],Table5[[#All],[zScore]])</f>
        <v>1354</v>
      </c>
      <c r="Y1367" s="50" t="str">
        <f>IFERROR(INDEX(DraftResults[[#All],[OVR]],MATCH(Table5[[#This Row],[PID]],DraftResults[[#All],[Player ID]],0)),"")</f>
        <v/>
      </c>
      <c r="Z13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7" s="50" t="str">
        <f>IFERROR(INDEX(DraftResults[[#All],[Pick in Round]],MATCH(Table5[[#This Row],[PID]],DraftResults[[#All],[Player ID]],0)),"")</f>
        <v/>
      </c>
      <c r="AB1367" s="50" t="str">
        <f>IFERROR(INDEX(DraftResults[[#All],[Team Name]],MATCH(Table5[[#This Row],[PID]],DraftResults[[#All],[Player ID]],0)),"")</f>
        <v/>
      </c>
      <c r="AC1367" s="50" t="str">
        <f>IF(Table5[[#This Row],[Ovr]]="","",IF(Table5[[#This Row],[cmbList]]="","",Table5[[#This Row],[cmbList]]-Table5[[#This Row],[Ovr]]))</f>
        <v/>
      </c>
      <c r="AD1367" s="54" t="str">
        <f>IF(ISERROR(VLOOKUP($AB1367&amp;"-"&amp;$E1367&amp;" "&amp;F1367,Bonuses!$B$1:$G$1006,4,FALSE)),"",INT(VLOOKUP($AB1367&amp;"-"&amp;$E1367&amp;" "&amp;$F1367,Bonuses!$B$1:$G$1006,4,FALSE)))</f>
        <v/>
      </c>
      <c r="AE13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8" spans="1:31" x14ac:dyDescent="0.25">
      <c r="A1368" s="50">
        <v>6022</v>
      </c>
      <c r="B1368" s="50">
        <f>COUNTIF(Table5[PID],A1368)</f>
        <v>1</v>
      </c>
      <c r="C1368" s="50" t="str">
        <f>IF(COUNTIF(Table3[[#All],[PID]],A1368)&gt;0,"P","B")</f>
        <v>B</v>
      </c>
      <c r="D1368" s="59" t="str">
        <f>IF($C1368="B",INDEX(Batters[[#All],[POS]],MATCH(Table5[[#This Row],[PID]],Batters[[#All],[PID]],0)),INDEX(Table3[[#All],[POS]],MATCH(Table5[[#This Row],[PID]],Table3[[#All],[PID]],0)))</f>
        <v>LF</v>
      </c>
      <c r="E1368" s="52" t="str">
        <f>IF($C1368="B",INDEX(Batters[[#All],[First]],MATCH(Table5[[#This Row],[PID]],Batters[[#All],[PID]],0)),INDEX(Table3[[#All],[First]],MATCH(Table5[[#This Row],[PID]],Table3[[#All],[PID]],0)))</f>
        <v>Raymond</v>
      </c>
      <c r="F1368" s="50" t="str">
        <f>IF($C1368="B",INDEX(Batters[[#All],[Last]],MATCH(A1368,Batters[[#All],[PID]],0)),INDEX(Table3[[#All],[Last]],MATCH(A1368,Table3[[#All],[PID]],0)))</f>
        <v>Rodríguez</v>
      </c>
      <c r="G1368" s="56">
        <f>IF($C1368="B",INDEX(Batters[[#All],[Age]],MATCH(Table5[[#This Row],[PID]],Batters[[#All],[PID]],0)),INDEX(Table3[[#All],[Age]],MATCH(Table5[[#This Row],[PID]],Table3[[#All],[PID]],0)))</f>
        <v>21</v>
      </c>
      <c r="H1368" s="52" t="str">
        <f>IF($C1368="B",INDEX(Batters[[#All],[B]],MATCH(Table5[[#This Row],[PID]],Batters[[#All],[PID]],0)),INDEX(Table3[[#All],[B]],MATCH(Table5[[#This Row],[PID]],Table3[[#All],[PID]],0)))</f>
        <v>R</v>
      </c>
      <c r="I1368" s="70" t="str">
        <f>IF($C1368="B",INDEX(Batters[[#All],[T]],MATCH(Table5[[#This Row],[PID]],Batters[[#All],[PID]],0)),INDEX(Table3[[#All],[T]],MATCH(Table5[[#This Row],[PID]],Table3[[#All],[PID]],0)))</f>
        <v>L</v>
      </c>
      <c r="J1368" s="52" t="str">
        <f>IF($C1368="B",INDEX(Batters[[#All],[WE]],MATCH(Table5[[#This Row],[PID]],Batters[[#All],[PID]],0)),INDEX(Table3[[#All],[WE]],MATCH(Table5[[#This Row],[PID]],Table3[[#All],[PID]],0)))</f>
        <v>Normal</v>
      </c>
      <c r="K1368" s="52" t="str">
        <f>IF($C1368="B",INDEX(Batters[[#All],[INT]],MATCH(Table5[[#This Row],[PID]],Batters[[#All],[PID]],0)),INDEX(Table3[[#All],[INT]],MATCH(Table5[[#This Row],[PID]],Table3[[#All],[PID]],0)))</f>
        <v>Normal</v>
      </c>
      <c r="L1368" s="60">
        <f>IF($C1368="B",INDEX(Batters[[#All],[CON P]],MATCH(Table5[[#This Row],[PID]],Batters[[#All],[PID]],0)),INDEX(Table3[[#All],[STU P]],MATCH(Table5[[#This Row],[PID]],Table3[[#All],[PID]],0)))</f>
        <v>3</v>
      </c>
      <c r="M1368" s="56">
        <f>IF($C1368="B",INDEX(Batters[[#All],[GAP P]],MATCH(Table5[[#This Row],[PID]],Batters[[#All],[PID]],0)),INDEX(Table3[[#All],[MOV P]],MATCH(Table5[[#This Row],[PID]],Table3[[#All],[PID]],0)))</f>
        <v>3</v>
      </c>
      <c r="N1368" s="56">
        <f>IF($C1368="B",INDEX(Batters[[#All],[POW P]],MATCH(Table5[[#This Row],[PID]],Batters[[#All],[PID]],0)),INDEX(Table3[[#All],[CON P]],MATCH(Table5[[#This Row],[PID]],Table3[[#All],[PID]],0)))</f>
        <v>4</v>
      </c>
      <c r="O1368" s="56">
        <f>IF($C1368="B",INDEX(Batters[[#All],[EYE P]],MATCH(Table5[[#This Row],[PID]],Batters[[#All],[PID]],0)),INDEX(Table3[[#All],[VELO]],MATCH(Table5[[#This Row],[PID]],Table3[[#All],[PID]],0)))</f>
        <v>4</v>
      </c>
      <c r="P1368" s="56">
        <f>IF($C1368="B",INDEX(Batters[[#All],[K P]],MATCH(Table5[[#This Row],[PID]],Batters[[#All],[PID]],0)),INDEX(Table3[[#All],[STM]],MATCH(Table5[[#This Row],[PID]],Table3[[#All],[PID]],0)))</f>
        <v>4</v>
      </c>
      <c r="Q1368" s="61">
        <f>IF($C1368="B",INDEX(Batters[[#All],[Tot]],MATCH(Table5[[#This Row],[PID]],Batters[[#All],[PID]],0)),INDEX(Table3[[#All],[Tot]],MATCH(Table5[[#This Row],[PID]],Table3[[#All],[PID]],0)))</f>
        <v>36.423845569823179</v>
      </c>
      <c r="R1368" s="70">
        <f>IF($C1368="B",INDEX(Batters[[#All],[zScore]],MATCH(Table5[[#This Row],[PID]],Batters[[#All],[PID]],0)),INDEX(Table3[[#All],[zScore]],MATCH(Table5[[#This Row],[PID]],Table3[[#All],[PID]],0)))</f>
        <v>-1.7089365753374715</v>
      </c>
      <c r="S1368" s="79" t="str">
        <f>IF($C1368="B",INDEX(Batters[[#All],[DEM]],MATCH(Table5[[#This Row],[PID]],Batters[[#All],[PID]],0)),INDEX(Table3[[#All],[DEM]],MATCH(Table5[[#This Row],[PID]],Table3[[#All],[PID]],0)))</f>
        <v>-</v>
      </c>
      <c r="T1368" s="62">
        <f>IF($C1368="B",INDEX(Batters[[#All],[Rnk]],MATCH(Table5[[#This Row],[PID]],Batters[[#All],[PID]],0)),INDEX(Table3[[#All],[Rnk]],MATCH(Table5[[#This Row],[PID]],Table3[[#All],[PID]],0)))</f>
        <v>578</v>
      </c>
      <c r="U1368" s="68">
        <f>IF($C1368="B",VLOOKUP($A1368,Bat!$A$4:$BA$1621,47,FALSE),VLOOKUP($A1368,Pit!$A$4:$BF$1557,56,FALSE))</f>
        <v>0</v>
      </c>
      <c r="V1368" s="50">
        <f>IF($C1368="B",VLOOKUP($A1368,Bat!$A$4:$BA$1621,48,FALSE),VLOOKUP($A1368,Pit!$A$4:$BF$1557,57,FALSE))</f>
        <v>0</v>
      </c>
      <c r="W1368" s="50">
        <f>Table5[[#This Row],[posRnk]]+Table5[[#This Row],[zRnk]]+IF($W$3&lt;&gt;Table5[[#This Row],[Type]],50,0)</f>
        <v>1983</v>
      </c>
      <c r="X1368" s="51">
        <f>RANK(Table5[[#This Row],[zScore]],Table5[[#All],[zScore]])</f>
        <v>1355</v>
      </c>
      <c r="Y1368" s="50" t="str">
        <f>IFERROR(INDEX(DraftResults[[#All],[OVR]],MATCH(Table5[[#This Row],[PID]],DraftResults[[#All],[Player ID]],0)),"")</f>
        <v/>
      </c>
      <c r="Z13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8" s="50" t="str">
        <f>IFERROR(INDEX(DraftResults[[#All],[Pick in Round]],MATCH(Table5[[#This Row],[PID]],DraftResults[[#All],[Player ID]],0)),"")</f>
        <v/>
      </c>
      <c r="AB1368" s="50" t="str">
        <f>IFERROR(INDEX(DraftResults[[#All],[Team Name]],MATCH(Table5[[#This Row],[PID]],DraftResults[[#All],[Player ID]],0)),"")</f>
        <v/>
      </c>
      <c r="AC1368" s="50" t="str">
        <f>IF(Table5[[#This Row],[Ovr]]="","",IF(Table5[[#This Row],[cmbList]]="","",Table5[[#This Row],[cmbList]]-Table5[[#This Row],[Ovr]]))</f>
        <v/>
      </c>
      <c r="AD1368" s="54" t="str">
        <f>IF(ISERROR(VLOOKUP($AB1368&amp;"-"&amp;$E1368&amp;" "&amp;F1368,Bonuses!$B$1:$G$1006,4,FALSE)),"",INT(VLOOKUP($AB1368&amp;"-"&amp;$E1368&amp;" "&amp;$F1368,Bonuses!$B$1:$G$1006,4,FALSE)))</f>
        <v/>
      </c>
      <c r="AE13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69" spans="1:31" x14ac:dyDescent="0.25">
      <c r="A1369" s="50">
        <v>12375</v>
      </c>
      <c r="B1369" s="55">
        <f>COUNTIF(Table5[PID],A1369)</f>
        <v>1</v>
      </c>
      <c r="C1369" s="55" t="str">
        <f>IF(COUNTIF(Table3[[#All],[PID]],A1369)&gt;0,"P","B")</f>
        <v>B</v>
      </c>
      <c r="D1369" s="59" t="str">
        <f>IF($C1369="B",INDEX(Batters[[#All],[POS]],MATCH(Table5[[#This Row],[PID]],Batters[[#All],[PID]],0)),INDEX(Table3[[#All],[POS]],MATCH(Table5[[#This Row],[PID]],Table3[[#All],[PID]],0)))</f>
        <v>C</v>
      </c>
      <c r="E1369" s="52" t="str">
        <f>IF($C1369="B",INDEX(Batters[[#All],[First]],MATCH(Table5[[#This Row],[PID]],Batters[[#All],[PID]],0)),INDEX(Table3[[#All],[First]],MATCH(Table5[[#This Row],[PID]],Table3[[#All],[PID]],0)))</f>
        <v>Drees</v>
      </c>
      <c r="F1369" s="50" t="str">
        <f>IF($C1369="B",INDEX(Batters[[#All],[Last]],MATCH(A1369,Batters[[#All],[PID]],0)),INDEX(Table3[[#All],[Last]],MATCH(A1369,Table3[[#All],[PID]],0)))</f>
        <v>van de Broek</v>
      </c>
      <c r="G1369" s="56">
        <f>IF($C1369="B",INDEX(Batters[[#All],[Age]],MATCH(Table5[[#This Row],[PID]],Batters[[#All],[PID]],0)),INDEX(Table3[[#All],[Age]],MATCH(Table5[[#This Row],[PID]],Table3[[#All],[PID]],0)))</f>
        <v>22</v>
      </c>
      <c r="H1369" s="52" t="str">
        <f>IF($C1369="B",INDEX(Batters[[#All],[B]],MATCH(Table5[[#This Row],[PID]],Batters[[#All],[PID]],0)),INDEX(Table3[[#All],[B]],MATCH(Table5[[#This Row],[PID]],Table3[[#All],[PID]],0)))</f>
        <v>R</v>
      </c>
      <c r="I1369" s="70" t="str">
        <f>IF($C1369="B",INDEX(Batters[[#All],[T]],MATCH(Table5[[#This Row],[PID]],Batters[[#All],[PID]],0)),INDEX(Table3[[#All],[T]],MATCH(Table5[[#This Row],[PID]],Table3[[#All],[PID]],0)))</f>
        <v>R</v>
      </c>
      <c r="J1369" s="52" t="str">
        <f>IF($C1369="B",INDEX(Batters[[#All],[WE]],MATCH(Table5[[#This Row],[PID]],Batters[[#All],[PID]],0)),INDEX(Table3[[#All],[WE]],MATCH(Table5[[#This Row],[PID]],Table3[[#All],[PID]],0)))</f>
        <v>Low</v>
      </c>
      <c r="K1369" s="52" t="str">
        <f>IF($C1369="B",INDEX(Batters[[#All],[INT]],MATCH(Table5[[#This Row],[PID]],Batters[[#All],[PID]],0)),INDEX(Table3[[#All],[INT]],MATCH(Table5[[#This Row],[PID]],Table3[[#All],[PID]],0)))</f>
        <v>Normal</v>
      </c>
      <c r="L1369" s="60">
        <f>IF($C1369="B",INDEX(Batters[[#All],[CON P]],MATCH(Table5[[#This Row],[PID]],Batters[[#All],[PID]],0)),INDEX(Table3[[#All],[STU P]],MATCH(Table5[[#This Row],[PID]],Table3[[#All],[PID]],0)))</f>
        <v>3</v>
      </c>
      <c r="M1369" s="56">
        <f>IF($C1369="B",INDEX(Batters[[#All],[GAP P]],MATCH(Table5[[#This Row],[PID]],Batters[[#All],[PID]],0)),INDEX(Table3[[#All],[MOV P]],MATCH(Table5[[#This Row],[PID]],Table3[[#All],[PID]],0)))</f>
        <v>4</v>
      </c>
      <c r="N1369" s="56">
        <f>IF($C1369="B",INDEX(Batters[[#All],[POW P]],MATCH(Table5[[#This Row],[PID]],Batters[[#All],[PID]],0)),INDEX(Table3[[#All],[CON P]],MATCH(Table5[[#This Row],[PID]],Table3[[#All],[PID]],0)))</f>
        <v>3</v>
      </c>
      <c r="O1369" s="56">
        <f>IF($C1369="B",INDEX(Batters[[#All],[EYE P]],MATCH(Table5[[#This Row],[PID]],Batters[[#All],[PID]],0)),INDEX(Table3[[#All],[VELO]],MATCH(Table5[[#This Row],[PID]],Table3[[#All],[PID]],0)))</f>
        <v>5</v>
      </c>
      <c r="P1369" s="56">
        <f>IF($C1369="B",INDEX(Batters[[#All],[K P]],MATCH(Table5[[#This Row],[PID]],Batters[[#All],[PID]],0)),INDEX(Table3[[#All],[STM]],MATCH(Table5[[#This Row],[PID]],Table3[[#All],[PID]],0)))</f>
        <v>3</v>
      </c>
      <c r="Q1369" s="61">
        <f>IF($C1369="B",INDEX(Batters[[#All],[Tot]],MATCH(Table5[[#This Row],[PID]],Batters[[#All],[PID]],0)),INDEX(Table3[[#All],[Tot]],MATCH(Table5[[#This Row],[PID]],Table3[[#All],[PID]],0)))</f>
        <v>36.408998639143419</v>
      </c>
      <c r="R1369" s="70">
        <f>IF($C1369="B",INDEX(Batters[[#All],[zScore]],MATCH(Table5[[#This Row],[PID]],Batters[[#All],[PID]],0)),INDEX(Table3[[#All],[zScore]],MATCH(Table5[[#This Row],[PID]],Table3[[#All],[PID]],0)))</f>
        <v>-1.7122282402251117</v>
      </c>
      <c r="S1369" s="79" t="str">
        <f>IF($C1369="B",INDEX(Batters[[#All],[DEM]],MATCH(Table5[[#This Row],[PID]],Batters[[#All],[PID]],0)),INDEX(Table3[[#All],[DEM]],MATCH(Table5[[#This Row],[PID]],Table3[[#All],[PID]],0)))</f>
        <v>-</v>
      </c>
      <c r="T1369" s="62">
        <f>IF($C1369="B",INDEX(Batters[[#All],[Rnk]],MATCH(Table5[[#This Row],[PID]],Batters[[#All],[PID]],0)),INDEX(Table3[[#All],[Rnk]],MATCH(Table5[[#This Row],[PID]],Table3[[#All],[PID]],0)))</f>
        <v>579</v>
      </c>
      <c r="U1369" s="68">
        <f>IF($C1369="B",VLOOKUP($A1369,Bat!$A$4:$BA$1621,47,FALSE),VLOOKUP($A1369,Pit!$A$4:$BF$1557,56,FALSE))</f>
        <v>0</v>
      </c>
      <c r="V1369" s="50">
        <f>IF($C1369="B",VLOOKUP($A1369,Bat!$A$4:$BA$1621,48,FALSE),VLOOKUP($A1369,Pit!$A$4:$BF$1557,57,FALSE))</f>
        <v>0</v>
      </c>
      <c r="W1369" s="50">
        <f>Table5[[#This Row],[posRnk]]+Table5[[#This Row],[zRnk]]+IF($W$3&lt;&gt;Table5[[#This Row],[Type]],50,0)</f>
        <v>1985</v>
      </c>
      <c r="X1369" s="51">
        <f>RANK(Table5[[#This Row],[zScore]],Table5[[#All],[zScore]])</f>
        <v>1356</v>
      </c>
      <c r="Y1369" s="50" t="str">
        <f>IFERROR(INDEX(DraftResults[[#All],[OVR]],MATCH(Table5[[#This Row],[PID]],DraftResults[[#All],[Player ID]],0)),"")</f>
        <v/>
      </c>
      <c r="Z13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69" s="50" t="str">
        <f>IFERROR(INDEX(DraftResults[[#All],[Pick in Round]],MATCH(Table5[[#This Row],[PID]],DraftResults[[#All],[Player ID]],0)),"")</f>
        <v/>
      </c>
      <c r="AB1369" s="50" t="str">
        <f>IFERROR(INDEX(DraftResults[[#All],[Team Name]],MATCH(Table5[[#This Row],[PID]],DraftResults[[#All],[Player ID]],0)),"")</f>
        <v/>
      </c>
      <c r="AC1369" s="50" t="str">
        <f>IF(Table5[[#This Row],[Ovr]]="","",IF(Table5[[#This Row],[cmbList]]="","",Table5[[#This Row],[cmbList]]-Table5[[#This Row],[Ovr]]))</f>
        <v/>
      </c>
      <c r="AD1369" s="54" t="str">
        <f>IF(ISERROR(VLOOKUP($AB1369&amp;"-"&amp;$E1369&amp;" "&amp;F1369,Bonuses!$B$1:$G$1006,4,FALSE)),"",INT(VLOOKUP($AB1369&amp;"-"&amp;$E1369&amp;" "&amp;$F1369,Bonuses!$B$1:$G$1006,4,FALSE)))</f>
        <v/>
      </c>
      <c r="AE13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0" spans="1:31" x14ac:dyDescent="0.25">
      <c r="A1370" s="50">
        <v>12223</v>
      </c>
      <c r="B1370" s="50">
        <f>COUNTIF(Table5[PID],A1370)</f>
        <v>1</v>
      </c>
      <c r="C1370" s="50" t="str">
        <f>IF(COUNTIF(Table3[[#All],[PID]],A1370)&gt;0,"P","B")</f>
        <v>B</v>
      </c>
      <c r="D1370" s="59" t="str">
        <f>IF($C1370="B",INDEX(Batters[[#All],[POS]],MATCH(Table5[[#This Row],[PID]],Batters[[#All],[PID]],0)),INDEX(Table3[[#All],[POS]],MATCH(Table5[[#This Row],[PID]],Table3[[#All],[PID]],0)))</f>
        <v>2B</v>
      </c>
      <c r="E1370" s="52" t="str">
        <f>IF($C1370="B",INDEX(Batters[[#All],[First]],MATCH(Table5[[#This Row],[PID]],Batters[[#All],[PID]],0)),INDEX(Table3[[#All],[First]],MATCH(Table5[[#This Row],[PID]],Table3[[#All],[PID]],0)))</f>
        <v>Mike</v>
      </c>
      <c r="F1370" s="50" t="str">
        <f>IF($C1370="B",INDEX(Batters[[#All],[Last]],MATCH(A1370,Batters[[#All],[PID]],0)),INDEX(Table3[[#All],[Last]],MATCH(A1370,Table3[[#All],[PID]],0)))</f>
        <v>Harris</v>
      </c>
      <c r="G1370" s="56">
        <f>IF($C1370="B",INDEX(Batters[[#All],[Age]],MATCH(Table5[[#This Row],[PID]],Batters[[#All],[PID]],0)),INDEX(Table3[[#All],[Age]],MATCH(Table5[[#This Row],[PID]],Table3[[#All],[PID]],0)))</f>
        <v>22</v>
      </c>
      <c r="H1370" s="52" t="str">
        <f>IF($C1370="B",INDEX(Batters[[#All],[B]],MATCH(Table5[[#This Row],[PID]],Batters[[#All],[PID]],0)),INDEX(Table3[[#All],[B]],MATCH(Table5[[#This Row],[PID]],Table3[[#All],[PID]],0)))</f>
        <v>R</v>
      </c>
      <c r="I1370" s="70" t="str">
        <f>IF($C1370="B",INDEX(Batters[[#All],[T]],MATCH(Table5[[#This Row],[PID]],Batters[[#All],[PID]],0)),INDEX(Table3[[#All],[T]],MATCH(Table5[[#This Row],[PID]],Table3[[#All],[PID]],0)))</f>
        <v>R</v>
      </c>
      <c r="J1370" s="52" t="str">
        <f>IF($C1370="B",INDEX(Batters[[#All],[WE]],MATCH(Table5[[#This Row],[PID]],Batters[[#All],[PID]],0)),INDEX(Table3[[#All],[WE]],MATCH(Table5[[#This Row],[PID]],Table3[[#All],[PID]],0)))</f>
        <v>Low</v>
      </c>
      <c r="K1370" s="52" t="str">
        <f>IF($C1370="B",INDEX(Batters[[#All],[INT]],MATCH(Table5[[#This Row],[PID]],Batters[[#All],[PID]],0)),INDEX(Table3[[#All],[INT]],MATCH(Table5[[#This Row],[PID]],Table3[[#All],[PID]],0)))</f>
        <v>Normal</v>
      </c>
      <c r="L1370" s="60">
        <f>IF($C1370="B",INDEX(Batters[[#All],[CON P]],MATCH(Table5[[#This Row],[PID]],Batters[[#All],[PID]],0)),INDEX(Table3[[#All],[STU P]],MATCH(Table5[[#This Row],[PID]],Table3[[#All],[PID]],0)))</f>
        <v>3</v>
      </c>
      <c r="M1370" s="56">
        <f>IF($C1370="B",INDEX(Batters[[#All],[GAP P]],MATCH(Table5[[#This Row],[PID]],Batters[[#All],[PID]],0)),INDEX(Table3[[#All],[MOV P]],MATCH(Table5[[#This Row],[PID]],Table3[[#All],[PID]],0)))</f>
        <v>5</v>
      </c>
      <c r="N1370" s="56">
        <f>IF($C1370="B",INDEX(Batters[[#All],[POW P]],MATCH(Table5[[#This Row],[PID]],Batters[[#All],[PID]],0)),INDEX(Table3[[#All],[CON P]],MATCH(Table5[[#This Row],[PID]],Table3[[#All],[PID]],0)))</f>
        <v>3</v>
      </c>
      <c r="O1370" s="56">
        <f>IF($C1370="B",INDEX(Batters[[#All],[EYE P]],MATCH(Table5[[#This Row],[PID]],Batters[[#All],[PID]],0)),INDEX(Table3[[#All],[VELO]],MATCH(Table5[[#This Row],[PID]],Table3[[#All],[PID]],0)))</f>
        <v>4</v>
      </c>
      <c r="P1370" s="56">
        <f>IF($C1370="B",INDEX(Batters[[#All],[K P]],MATCH(Table5[[#This Row],[PID]],Batters[[#All],[PID]],0)),INDEX(Table3[[#All],[STM]],MATCH(Table5[[#This Row],[PID]],Table3[[#All],[PID]],0)))</f>
        <v>4</v>
      </c>
      <c r="Q1370" s="61">
        <f>IF($C1370="B",INDEX(Batters[[#All],[Tot]],MATCH(Table5[[#This Row],[PID]],Batters[[#All],[PID]],0)),INDEX(Table3[[#All],[Tot]],MATCH(Table5[[#This Row],[PID]],Table3[[#All],[PID]],0)))</f>
        <v>36.398877278968342</v>
      </c>
      <c r="R1370" s="70">
        <f>IF($C1370="B",INDEX(Batters[[#All],[zScore]],MATCH(Table5[[#This Row],[PID]],Batters[[#All],[PID]],0)),INDEX(Table3[[#All],[zScore]],MATCH(Table5[[#This Row],[PID]],Table3[[#All],[PID]],0)))</f>
        <v>-1.7144722141899718</v>
      </c>
      <c r="S1370" s="79" t="str">
        <f>IF($C1370="B",INDEX(Batters[[#All],[DEM]],MATCH(Table5[[#This Row],[PID]],Batters[[#All],[PID]],0)),INDEX(Table3[[#All],[DEM]],MATCH(Table5[[#This Row],[PID]],Table3[[#All],[PID]],0)))</f>
        <v>-</v>
      </c>
      <c r="T1370" s="62">
        <f>IF($C1370="B",INDEX(Batters[[#All],[Rnk]],MATCH(Table5[[#This Row],[PID]],Batters[[#All],[PID]],0)),INDEX(Table3[[#All],[Rnk]],MATCH(Table5[[#This Row],[PID]],Table3[[#All],[PID]],0)))</f>
        <v>580</v>
      </c>
      <c r="U1370" s="68">
        <f>IF($C1370="B",VLOOKUP($A1370,Bat!$A$4:$BA$1621,47,FALSE),VLOOKUP($A1370,Pit!$A$4:$BF$1557,56,FALSE))</f>
        <v>0</v>
      </c>
      <c r="V1370" s="50">
        <f>IF($C1370="B",VLOOKUP($A1370,Bat!$A$4:$BA$1621,48,FALSE),VLOOKUP($A1370,Pit!$A$4:$BF$1557,57,FALSE))</f>
        <v>0</v>
      </c>
      <c r="W1370" s="50">
        <f>Table5[[#This Row],[posRnk]]+Table5[[#This Row],[zRnk]]+IF($W$3&lt;&gt;Table5[[#This Row],[Type]],50,0)</f>
        <v>1987</v>
      </c>
      <c r="X1370" s="51">
        <f>RANK(Table5[[#This Row],[zScore]],Table5[[#All],[zScore]])</f>
        <v>1357</v>
      </c>
      <c r="Y1370" s="50" t="str">
        <f>IFERROR(INDEX(DraftResults[[#All],[OVR]],MATCH(Table5[[#This Row],[PID]],DraftResults[[#All],[Player ID]],0)),"")</f>
        <v/>
      </c>
      <c r="Z13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0" s="50" t="str">
        <f>IFERROR(INDEX(DraftResults[[#All],[Pick in Round]],MATCH(Table5[[#This Row],[PID]],DraftResults[[#All],[Player ID]],0)),"")</f>
        <v/>
      </c>
      <c r="AB1370" s="50" t="str">
        <f>IFERROR(INDEX(DraftResults[[#All],[Team Name]],MATCH(Table5[[#This Row],[PID]],DraftResults[[#All],[Player ID]],0)),"")</f>
        <v/>
      </c>
      <c r="AC1370" s="50" t="str">
        <f>IF(Table5[[#This Row],[Ovr]]="","",IF(Table5[[#This Row],[cmbList]]="","",Table5[[#This Row],[cmbList]]-Table5[[#This Row],[Ovr]]))</f>
        <v/>
      </c>
      <c r="AD1370" s="54" t="str">
        <f>IF(ISERROR(VLOOKUP($AB1370&amp;"-"&amp;$E1370&amp;" "&amp;F1370,Bonuses!$B$1:$G$1006,4,FALSE)),"",INT(VLOOKUP($AB1370&amp;"-"&amp;$E1370&amp;" "&amp;$F1370,Bonuses!$B$1:$G$1006,4,FALSE)))</f>
        <v/>
      </c>
      <c r="AE13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1" spans="1:31" x14ac:dyDescent="0.25">
      <c r="A1371" s="50">
        <v>7337</v>
      </c>
      <c r="B1371" s="50">
        <f>COUNTIF(Table5[PID],A1371)</f>
        <v>1</v>
      </c>
      <c r="C1371" s="50" t="str">
        <f>IF(COUNTIF(Table3[[#All],[PID]],A1371)&gt;0,"P","B")</f>
        <v>B</v>
      </c>
      <c r="D1371" s="59" t="str">
        <f>IF($C1371="B",INDEX(Batters[[#All],[POS]],MATCH(Table5[[#This Row],[PID]],Batters[[#All],[PID]],0)),INDEX(Table3[[#All],[POS]],MATCH(Table5[[#This Row],[PID]],Table3[[#All],[PID]],0)))</f>
        <v>C</v>
      </c>
      <c r="E1371" s="52" t="str">
        <f>IF($C1371="B",INDEX(Batters[[#All],[First]],MATCH(Table5[[#This Row],[PID]],Batters[[#All],[PID]],0)),INDEX(Table3[[#All],[First]],MATCH(Table5[[#This Row],[PID]],Table3[[#All],[PID]],0)))</f>
        <v>José</v>
      </c>
      <c r="F1371" s="50" t="str">
        <f>IF($C1371="B",INDEX(Batters[[#All],[Last]],MATCH(A1371,Batters[[#All],[PID]],0)),INDEX(Table3[[#All],[Last]],MATCH(A1371,Table3[[#All],[PID]],0)))</f>
        <v>Torres</v>
      </c>
      <c r="G1371" s="56">
        <f>IF($C1371="B",INDEX(Batters[[#All],[Age]],MATCH(Table5[[#This Row],[PID]],Batters[[#All],[PID]],0)),INDEX(Table3[[#All],[Age]],MATCH(Table5[[#This Row],[PID]],Table3[[#All],[PID]],0)))</f>
        <v>22</v>
      </c>
      <c r="H1371" s="52" t="str">
        <f>IF($C1371="B",INDEX(Batters[[#All],[B]],MATCH(Table5[[#This Row],[PID]],Batters[[#All],[PID]],0)),INDEX(Table3[[#All],[B]],MATCH(Table5[[#This Row],[PID]],Table3[[#All],[PID]],0)))</f>
        <v>R</v>
      </c>
      <c r="I1371" s="70" t="str">
        <f>IF($C1371="B",INDEX(Batters[[#All],[T]],MATCH(Table5[[#This Row],[PID]],Batters[[#All],[PID]],0)),INDEX(Table3[[#All],[T]],MATCH(Table5[[#This Row],[PID]],Table3[[#All],[PID]],0)))</f>
        <v>R</v>
      </c>
      <c r="J1371" s="52" t="str">
        <f>IF($C1371="B",INDEX(Batters[[#All],[WE]],MATCH(Table5[[#This Row],[PID]],Batters[[#All],[PID]],0)),INDEX(Table3[[#All],[WE]],MATCH(Table5[[#This Row],[PID]],Table3[[#All],[PID]],0)))</f>
        <v>Low</v>
      </c>
      <c r="K1371" s="52" t="str">
        <f>IF($C1371="B",INDEX(Batters[[#All],[INT]],MATCH(Table5[[#This Row],[PID]],Batters[[#All],[PID]],0)),INDEX(Table3[[#All],[INT]],MATCH(Table5[[#This Row],[PID]],Table3[[#All],[PID]],0)))</f>
        <v>Normal</v>
      </c>
      <c r="L1371" s="60">
        <f>IF($C1371="B",INDEX(Batters[[#All],[CON P]],MATCH(Table5[[#This Row],[PID]],Batters[[#All],[PID]],0)),INDEX(Table3[[#All],[STU P]],MATCH(Table5[[#This Row],[PID]],Table3[[#All],[PID]],0)))</f>
        <v>3</v>
      </c>
      <c r="M1371" s="56">
        <f>IF($C1371="B",INDEX(Batters[[#All],[GAP P]],MATCH(Table5[[#This Row],[PID]],Batters[[#All],[PID]],0)),INDEX(Table3[[#All],[MOV P]],MATCH(Table5[[#This Row],[PID]],Table3[[#All],[PID]],0)))</f>
        <v>3</v>
      </c>
      <c r="N1371" s="56">
        <f>IF($C1371="B",INDEX(Batters[[#All],[POW P]],MATCH(Table5[[#This Row],[PID]],Batters[[#All],[PID]],0)),INDEX(Table3[[#All],[CON P]],MATCH(Table5[[#This Row],[PID]],Table3[[#All],[PID]],0)))</f>
        <v>3</v>
      </c>
      <c r="O1371" s="56">
        <f>IF($C1371="B",INDEX(Batters[[#All],[EYE P]],MATCH(Table5[[#This Row],[PID]],Batters[[#All],[PID]],0)),INDEX(Table3[[#All],[VELO]],MATCH(Table5[[#This Row],[PID]],Table3[[#All],[PID]],0)))</f>
        <v>6</v>
      </c>
      <c r="P1371" s="56">
        <f>IF($C1371="B",INDEX(Batters[[#All],[K P]],MATCH(Table5[[#This Row],[PID]],Batters[[#All],[PID]],0)),INDEX(Table3[[#All],[STM]],MATCH(Table5[[#This Row],[PID]],Table3[[#All],[PID]],0)))</f>
        <v>2</v>
      </c>
      <c r="Q1371" s="61">
        <f>IF($C1371="B",INDEX(Batters[[#All],[Tot]],MATCH(Table5[[#This Row],[PID]],Batters[[#All],[PID]],0)),INDEX(Table3[[#All],[Tot]],MATCH(Table5[[#This Row],[PID]],Table3[[#All],[PID]],0)))</f>
        <v>36.388460305104616</v>
      </c>
      <c r="R1371" s="70">
        <f>IF($C1371="B",INDEX(Batters[[#All],[zScore]],MATCH(Table5[[#This Row],[PID]],Batters[[#All],[PID]],0)),INDEX(Table3[[#All],[zScore]],MATCH(Table5[[#This Row],[PID]],Table3[[#All],[PID]],0)))</f>
        <v>-1.7167817277077686</v>
      </c>
      <c r="S1371" s="79" t="str">
        <f>IF($C1371="B",INDEX(Batters[[#All],[DEM]],MATCH(Table5[[#This Row],[PID]],Batters[[#All],[PID]],0)),INDEX(Table3[[#All],[DEM]],MATCH(Table5[[#This Row],[PID]],Table3[[#All],[PID]],0)))</f>
        <v>-</v>
      </c>
      <c r="T1371" s="62">
        <f>IF($C1371="B",INDEX(Batters[[#All],[Rnk]],MATCH(Table5[[#This Row],[PID]],Batters[[#All],[PID]],0)),INDEX(Table3[[#All],[Rnk]],MATCH(Table5[[#This Row],[PID]],Table3[[#All],[PID]],0)))</f>
        <v>582</v>
      </c>
      <c r="U1371" s="68">
        <f>IF($C1371="B",VLOOKUP($A1371,Bat!$A$4:$BA$1621,47,FALSE),VLOOKUP($A1371,Pit!$A$4:$BF$1557,56,FALSE))</f>
        <v>0</v>
      </c>
      <c r="V1371" s="50">
        <f>IF($C1371="B",VLOOKUP($A1371,Bat!$A$4:$BA$1621,48,FALSE),VLOOKUP($A1371,Pit!$A$4:$BF$1557,57,FALSE))</f>
        <v>0</v>
      </c>
      <c r="W1371" s="50">
        <f>Table5[[#This Row],[posRnk]]+Table5[[#This Row],[zRnk]]+IF($W$3&lt;&gt;Table5[[#This Row],[Type]],50,0)</f>
        <v>1991</v>
      </c>
      <c r="X1371" s="51">
        <f>RANK(Table5[[#This Row],[zScore]],Table5[[#All],[zScore]])</f>
        <v>1359</v>
      </c>
      <c r="Y1371" s="50" t="str">
        <f>IFERROR(INDEX(DraftResults[[#All],[OVR]],MATCH(Table5[[#This Row],[PID]],DraftResults[[#All],[Player ID]],0)),"")</f>
        <v/>
      </c>
      <c r="Z13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1" s="50" t="str">
        <f>IFERROR(INDEX(DraftResults[[#All],[Pick in Round]],MATCH(Table5[[#This Row],[PID]],DraftResults[[#All],[Player ID]],0)),"")</f>
        <v/>
      </c>
      <c r="AB1371" s="50" t="str">
        <f>IFERROR(INDEX(DraftResults[[#All],[Team Name]],MATCH(Table5[[#This Row],[PID]],DraftResults[[#All],[Player ID]],0)),"")</f>
        <v/>
      </c>
      <c r="AC1371" s="50" t="str">
        <f>IF(Table5[[#This Row],[Ovr]]="","",IF(Table5[[#This Row],[cmbList]]="","",Table5[[#This Row],[cmbList]]-Table5[[#This Row],[Ovr]]))</f>
        <v/>
      </c>
      <c r="AD1371" s="54" t="str">
        <f>IF(ISERROR(VLOOKUP($AB1371&amp;"-"&amp;$E1371&amp;" "&amp;F1371,Bonuses!$B$1:$G$1006,4,FALSE)),"",INT(VLOOKUP($AB1371&amp;"-"&amp;$E1371&amp;" "&amp;$F1371,Bonuses!$B$1:$G$1006,4,FALSE)))</f>
        <v/>
      </c>
      <c r="AE13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2" spans="1:31" x14ac:dyDescent="0.25">
      <c r="A1372" s="50">
        <v>18120</v>
      </c>
      <c r="B1372" s="50">
        <f>COUNTIF(Table5[PID],A1372)</f>
        <v>1</v>
      </c>
      <c r="C1372" s="50" t="str">
        <f>IF(COUNTIF(Table3[[#All],[PID]],A1372)&gt;0,"P","B")</f>
        <v>B</v>
      </c>
      <c r="D1372" s="59" t="str">
        <f>IF($C1372="B",INDEX(Batters[[#All],[POS]],MATCH(Table5[[#This Row],[PID]],Batters[[#All],[PID]],0)),INDEX(Table3[[#All],[POS]],MATCH(Table5[[#This Row],[PID]],Table3[[#All],[PID]],0)))</f>
        <v>C</v>
      </c>
      <c r="E1372" s="52" t="str">
        <f>IF($C1372="B",INDEX(Batters[[#All],[First]],MATCH(Table5[[#This Row],[PID]],Batters[[#All],[PID]],0)),INDEX(Table3[[#All],[First]],MATCH(Table5[[#This Row],[PID]],Table3[[#All],[PID]],0)))</f>
        <v>Ed</v>
      </c>
      <c r="F1372" s="50" t="str">
        <f>IF($C1372="B",INDEX(Batters[[#All],[Last]],MATCH(A1372,Batters[[#All],[PID]],0)),INDEX(Table3[[#All],[Last]],MATCH(A1372,Table3[[#All],[PID]],0)))</f>
        <v>West</v>
      </c>
      <c r="G1372" s="56">
        <f>IF($C1372="B",INDEX(Batters[[#All],[Age]],MATCH(Table5[[#This Row],[PID]],Batters[[#All],[PID]],0)),INDEX(Table3[[#All],[Age]],MATCH(Table5[[#This Row],[PID]],Table3[[#All],[PID]],0)))</f>
        <v>21</v>
      </c>
      <c r="H1372" s="52" t="str">
        <f>IF($C1372="B",INDEX(Batters[[#All],[B]],MATCH(Table5[[#This Row],[PID]],Batters[[#All],[PID]],0)),INDEX(Table3[[#All],[B]],MATCH(Table5[[#This Row],[PID]],Table3[[#All],[PID]],0)))</f>
        <v>R</v>
      </c>
      <c r="I1372" s="70" t="str">
        <f>IF($C1372="B",INDEX(Batters[[#All],[T]],MATCH(Table5[[#This Row],[PID]],Batters[[#All],[PID]],0)),INDEX(Table3[[#All],[T]],MATCH(Table5[[#This Row],[PID]],Table3[[#All],[PID]],0)))</f>
        <v>R</v>
      </c>
      <c r="J1372" s="52" t="str">
        <f>IF($C1372="B",INDEX(Batters[[#All],[WE]],MATCH(Table5[[#This Row],[PID]],Batters[[#All],[PID]],0)),INDEX(Table3[[#All],[WE]],MATCH(Table5[[#This Row],[PID]],Table3[[#All],[PID]],0)))</f>
        <v>Low</v>
      </c>
      <c r="K1372" s="52" t="str">
        <f>IF($C1372="B",INDEX(Batters[[#All],[INT]],MATCH(Table5[[#This Row],[PID]],Batters[[#All],[PID]],0)),INDEX(Table3[[#All],[INT]],MATCH(Table5[[#This Row],[PID]],Table3[[#All],[PID]],0)))</f>
        <v>Normal</v>
      </c>
      <c r="L1372" s="60">
        <f>IF($C1372="B",INDEX(Batters[[#All],[CON P]],MATCH(Table5[[#This Row],[PID]],Batters[[#All],[PID]],0)),INDEX(Table3[[#All],[STU P]],MATCH(Table5[[#This Row],[PID]],Table3[[#All],[PID]],0)))</f>
        <v>3</v>
      </c>
      <c r="M1372" s="56">
        <f>IF($C1372="B",INDEX(Batters[[#All],[GAP P]],MATCH(Table5[[#This Row],[PID]],Batters[[#All],[PID]],0)),INDEX(Table3[[#All],[MOV P]],MATCH(Table5[[#This Row],[PID]],Table3[[#All],[PID]],0)))</f>
        <v>4</v>
      </c>
      <c r="N1372" s="56">
        <f>IF($C1372="B",INDEX(Batters[[#All],[POW P]],MATCH(Table5[[#This Row],[PID]],Batters[[#All],[PID]],0)),INDEX(Table3[[#All],[CON P]],MATCH(Table5[[#This Row],[PID]],Table3[[#All],[PID]],0)))</f>
        <v>3</v>
      </c>
      <c r="O1372" s="56">
        <f>IF($C1372="B",INDEX(Batters[[#All],[EYE P]],MATCH(Table5[[#This Row],[PID]],Batters[[#All],[PID]],0)),INDEX(Table3[[#All],[VELO]],MATCH(Table5[[#This Row],[PID]],Table3[[#All],[PID]],0)))</f>
        <v>5</v>
      </c>
      <c r="P1372" s="56">
        <f>IF($C1372="B",INDEX(Batters[[#All],[K P]],MATCH(Table5[[#This Row],[PID]],Batters[[#All],[PID]],0)),INDEX(Table3[[#All],[STM]],MATCH(Table5[[#This Row],[PID]],Table3[[#All],[PID]],0)))</f>
        <v>3</v>
      </c>
      <c r="Q1372" s="61">
        <f>IF($C1372="B",INDEX(Batters[[#All],[Tot]],MATCH(Table5[[#This Row],[PID]],Batters[[#All],[PID]],0)),INDEX(Table3[[#All],[Tot]],MATCH(Table5[[#This Row],[PID]],Table3[[#All],[PID]],0)))</f>
        <v>36.346356695194515</v>
      </c>
      <c r="R1372" s="70">
        <f>IF($C1372="B",INDEX(Batters[[#All],[zScore]],MATCH(Table5[[#This Row],[PID]],Batters[[#All],[PID]],0)),INDEX(Table3[[#All],[zScore]],MATCH(Table5[[#This Row],[PID]],Table3[[#All],[PID]],0)))</f>
        <v>-1.7261163826188284</v>
      </c>
      <c r="S1372" s="79" t="str">
        <f>IF($C1372="B",INDEX(Batters[[#All],[DEM]],MATCH(Table5[[#This Row],[PID]],Batters[[#All],[PID]],0)),INDEX(Table3[[#All],[DEM]],MATCH(Table5[[#This Row],[PID]],Table3[[#All],[PID]],0)))</f>
        <v>-</v>
      </c>
      <c r="T1372" s="62">
        <f>IF($C1372="B",INDEX(Batters[[#All],[Rnk]],MATCH(Table5[[#This Row],[PID]],Batters[[#All],[PID]],0)),INDEX(Table3[[#All],[Rnk]],MATCH(Table5[[#This Row],[PID]],Table3[[#All],[PID]],0)))</f>
        <v>585</v>
      </c>
      <c r="U1372" s="68">
        <f>IF($C1372="B",VLOOKUP($A1372,Bat!$A$4:$BA$1621,47,FALSE),VLOOKUP($A1372,Pit!$A$4:$BF$1557,56,FALSE))</f>
        <v>0</v>
      </c>
      <c r="V1372" s="50">
        <f>IF($C1372="B",VLOOKUP($A1372,Bat!$A$4:$BA$1621,48,FALSE),VLOOKUP($A1372,Pit!$A$4:$BF$1557,57,FALSE))</f>
        <v>0</v>
      </c>
      <c r="W1372" s="50">
        <f>Table5[[#This Row],[posRnk]]+Table5[[#This Row],[zRnk]]+IF($W$3&lt;&gt;Table5[[#This Row],[Type]],50,0)</f>
        <v>1997</v>
      </c>
      <c r="X1372" s="51">
        <f>RANK(Table5[[#This Row],[zScore]],Table5[[#All],[zScore]])</f>
        <v>1362</v>
      </c>
      <c r="Y1372" s="50" t="str">
        <f>IFERROR(INDEX(DraftResults[[#All],[OVR]],MATCH(Table5[[#This Row],[PID]],DraftResults[[#All],[Player ID]],0)),"")</f>
        <v/>
      </c>
      <c r="Z13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2" s="50" t="str">
        <f>IFERROR(INDEX(DraftResults[[#All],[Pick in Round]],MATCH(Table5[[#This Row],[PID]],DraftResults[[#All],[Player ID]],0)),"")</f>
        <v/>
      </c>
      <c r="AB1372" s="50" t="str">
        <f>IFERROR(INDEX(DraftResults[[#All],[Team Name]],MATCH(Table5[[#This Row],[PID]],DraftResults[[#All],[Player ID]],0)),"")</f>
        <v/>
      </c>
      <c r="AC1372" s="50" t="str">
        <f>IF(Table5[[#This Row],[Ovr]]="","",IF(Table5[[#This Row],[cmbList]]="","",Table5[[#This Row],[cmbList]]-Table5[[#This Row],[Ovr]]))</f>
        <v/>
      </c>
      <c r="AD1372" s="54" t="str">
        <f>IF(ISERROR(VLOOKUP($AB1372&amp;"-"&amp;$E1372&amp;" "&amp;F1372,Bonuses!$B$1:$G$1006,4,FALSE)),"",INT(VLOOKUP($AB1372&amp;"-"&amp;$E1372&amp;" "&amp;$F1372,Bonuses!$B$1:$G$1006,4,FALSE)))</f>
        <v/>
      </c>
      <c r="AE13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3" spans="1:31" x14ac:dyDescent="0.25">
      <c r="A1373" s="50">
        <v>18032</v>
      </c>
      <c r="B1373" s="50">
        <f>COUNTIF(Table5[PID],A1373)</f>
        <v>1</v>
      </c>
      <c r="C1373" s="50" t="str">
        <f>IF(COUNTIF(Table3[[#All],[PID]],A1373)&gt;0,"P","B")</f>
        <v>B</v>
      </c>
      <c r="D1373" s="59" t="str">
        <f>IF($C1373="B",INDEX(Batters[[#All],[POS]],MATCH(Table5[[#This Row],[PID]],Batters[[#All],[PID]],0)),INDEX(Table3[[#All],[POS]],MATCH(Table5[[#This Row],[PID]],Table3[[#All],[PID]],0)))</f>
        <v>1B</v>
      </c>
      <c r="E1373" s="52" t="str">
        <f>IF($C1373="B",INDEX(Batters[[#All],[First]],MATCH(Table5[[#This Row],[PID]],Batters[[#All],[PID]],0)),INDEX(Table3[[#All],[First]],MATCH(Table5[[#This Row],[PID]],Table3[[#All],[PID]],0)))</f>
        <v>Walt</v>
      </c>
      <c r="F1373" s="50" t="str">
        <f>IF($C1373="B",INDEX(Batters[[#All],[Last]],MATCH(A1373,Batters[[#All],[PID]],0)),INDEX(Table3[[#All],[Last]],MATCH(A1373,Table3[[#All],[PID]],0)))</f>
        <v>Porter</v>
      </c>
      <c r="G1373" s="56">
        <f>IF($C1373="B",INDEX(Batters[[#All],[Age]],MATCH(Table5[[#This Row],[PID]],Batters[[#All],[PID]],0)),INDEX(Table3[[#All],[Age]],MATCH(Table5[[#This Row],[PID]],Table3[[#All],[PID]],0)))</f>
        <v>21</v>
      </c>
      <c r="H1373" s="52" t="str">
        <f>IF($C1373="B",INDEX(Batters[[#All],[B]],MATCH(Table5[[#This Row],[PID]],Batters[[#All],[PID]],0)),INDEX(Table3[[#All],[B]],MATCH(Table5[[#This Row],[PID]],Table3[[#All],[PID]],0)))</f>
        <v>R</v>
      </c>
      <c r="I1373" s="70" t="str">
        <f>IF($C1373="B",INDEX(Batters[[#All],[T]],MATCH(Table5[[#This Row],[PID]],Batters[[#All],[PID]],0)),INDEX(Table3[[#All],[T]],MATCH(Table5[[#This Row],[PID]],Table3[[#All],[PID]],0)))</f>
        <v>R</v>
      </c>
      <c r="J1373" s="52" t="str">
        <f>IF($C1373="B",INDEX(Batters[[#All],[WE]],MATCH(Table5[[#This Row],[PID]],Batters[[#All],[PID]],0)),INDEX(Table3[[#All],[WE]],MATCH(Table5[[#This Row],[PID]],Table3[[#All],[PID]],0)))</f>
        <v>High</v>
      </c>
      <c r="K1373" s="52" t="str">
        <f>IF($C1373="B",INDEX(Batters[[#All],[INT]],MATCH(Table5[[#This Row],[PID]],Batters[[#All],[PID]],0)),INDEX(Table3[[#All],[INT]],MATCH(Table5[[#This Row],[PID]],Table3[[#All],[PID]],0)))</f>
        <v>Normal</v>
      </c>
      <c r="L1373" s="60">
        <f>IF($C1373="B",INDEX(Batters[[#All],[CON P]],MATCH(Table5[[#This Row],[PID]],Batters[[#All],[PID]],0)),INDEX(Table3[[#All],[STU P]],MATCH(Table5[[#This Row],[PID]],Table3[[#All],[PID]],0)))</f>
        <v>3</v>
      </c>
      <c r="M1373" s="56">
        <f>IF($C1373="B",INDEX(Batters[[#All],[GAP P]],MATCH(Table5[[#This Row],[PID]],Batters[[#All],[PID]],0)),INDEX(Table3[[#All],[MOV P]],MATCH(Table5[[#This Row],[PID]],Table3[[#All],[PID]],0)))</f>
        <v>4</v>
      </c>
      <c r="N1373" s="56">
        <f>IF($C1373="B",INDEX(Batters[[#All],[POW P]],MATCH(Table5[[#This Row],[PID]],Batters[[#All],[PID]],0)),INDEX(Table3[[#All],[CON P]],MATCH(Table5[[#This Row],[PID]],Table3[[#All],[PID]],0)))</f>
        <v>5</v>
      </c>
      <c r="O1373" s="56">
        <f>IF($C1373="B",INDEX(Batters[[#All],[EYE P]],MATCH(Table5[[#This Row],[PID]],Batters[[#All],[PID]],0)),INDEX(Table3[[#All],[VELO]],MATCH(Table5[[#This Row],[PID]],Table3[[#All],[PID]],0)))</f>
        <v>3</v>
      </c>
      <c r="P1373" s="56">
        <f>IF($C1373="B",INDEX(Batters[[#All],[K P]],MATCH(Table5[[#This Row],[PID]],Batters[[#All],[PID]],0)),INDEX(Table3[[#All],[STM]],MATCH(Table5[[#This Row],[PID]],Table3[[#All],[PID]],0)))</f>
        <v>2</v>
      </c>
      <c r="Q1373" s="61">
        <f>IF($C1373="B",INDEX(Batters[[#All],[Tot]],MATCH(Table5[[#This Row],[PID]],Batters[[#All],[PID]],0)),INDEX(Table3[[#All],[Tot]],MATCH(Table5[[#This Row],[PID]],Table3[[#All],[PID]],0)))</f>
        <v>36.314913423135593</v>
      </c>
      <c r="R1373" s="70">
        <f>IF($C1373="B",INDEX(Batters[[#All],[zScore]],MATCH(Table5[[#This Row],[PID]],Batters[[#All],[PID]],0)),INDEX(Table3[[#All],[zScore]],MATCH(Table5[[#This Row],[PID]],Table3[[#All],[PID]],0)))</f>
        <v>-1.7330875685710856</v>
      </c>
      <c r="S1373" s="79" t="str">
        <f>IF($C1373="B",INDEX(Batters[[#All],[DEM]],MATCH(Table5[[#This Row],[PID]],Batters[[#All],[PID]],0)),INDEX(Table3[[#All],[DEM]],MATCH(Table5[[#This Row],[PID]],Table3[[#All],[PID]],0)))</f>
        <v>-</v>
      </c>
      <c r="T1373" s="62">
        <f>IF($C1373="B",INDEX(Batters[[#All],[Rnk]],MATCH(Table5[[#This Row],[PID]],Batters[[#All],[PID]],0)),INDEX(Table3[[#All],[Rnk]],MATCH(Table5[[#This Row],[PID]],Table3[[#All],[PID]],0)))</f>
        <v>586</v>
      </c>
      <c r="U1373" s="68">
        <f>IF($C1373="B",VLOOKUP($A1373,Bat!$A$4:$BA$1621,47,FALSE),VLOOKUP($A1373,Pit!$A$4:$BF$1557,56,FALSE))</f>
        <v>0</v>
      </c>
      <c r="V1373" s="50">
        <f>IF($C1373="B",VLOOKUP($A1373,Bat!$A$4:$BA$1621,48,FALSE),VLOOKUP($A1373,Pit!$A$4:$BF$1557,57,FALSE))</f>
        <v>0</v>
      </c>
      <c r="W1373" s="50">
        <f>Table5[[#This Row],[posRnk]]+Table5[[#This Row],[zRnk]]+IF($W$3&lt;&gt;Table5[[#This Row],[Type]],50,0)</f>
        <v>1999</v>
      </c>
      <c r="X1373" s="51">
        <f>RANK(Table5[[#This Row],[zScore]],Table5[[#All],[zScore]])</f>
        <v>1363</v>
      </c>
      <c r="Y1373" s="50" t="str">
        <f>IFERROR(INDEX(DraftResults[[#All],[OVR]],MATCH(Table5[[#This Row],[PID]],DraftResults[[#All],[Player ID]],0)),"")</f>
        <v/>
      </c>
      <c r="Z13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3" s="50" t="str">
        <f>IFERROR(INDEX(DraftResults[[#All],[Pick in Round]],MATCH(Table5[[#This Row],[PID]],DraftResults[[#All],[Player ID]],0)),"")</f>
        <v/>
      </c>
      <c r="AB1373" s="50" t="str">
        <f>IFERROR(INDEX(DraftResults[[#All],[Team Name]],MATCH(Table5[[#This Row],[PID]],DraftResults[[#All],[Player ID]],0)),"")</f>
        <v/>
      </c>
      <c r="AC1373" s="50" t="str">
        <f>IF(Table5[[#This Row],[Ovr]]="","",IF(Table5[[#This Row],[cmbList]]="","",Table5[[#This Row],[cmbList]]-Table5[[#This Row],[Ovr]]))</f>
        <v/>
      </c>
      <c r="AD1373" s="54" t="str">
        <f>IF(ISERROR(VLOOKUP($AB1373&amp;"-"&amp;$E1373&amp;" "&amp;F1373,Bonuses!$B$1:$G$1006,4,FALSE)),"",INT(VLOOKUP($AB1373&amp;"-"&amp;$E1373&amp;" "&amp;$F1373,Bonuses!$B$1:$G$1006,4,FALSE)))</f>
        <v/>
      </c>
      <c r="AE13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4" spans="1:31" x14ac:dyDescent="0.25">
      <c r="A1374" s="50">
        <v>17863</v>
      </c>
      <c r="B1374" s="50">
        <f>COUNTIF(Table5[PID],A1374)</f>
        <v>1</v>
      </c>
      <c r="C1374" s="50" t="str">
        <f>IF(COUNTIF(Table3[[#All],[PID]],A1374)&gt;0,"P","B")</f>
        <v>B</v>
      </c>
      <c r="D1374" s="59" t="str">
        <f>IF($C1374="B",INDEX(Batters[[#All],[POS]],MATCH(Table5[[#This Row],[PID]],Batters[[#All],[PID]],0)),INDEX(Table3[[#All],[POS]],MATCH(Table5[[#This Row],[PID]],Table3[[#All],[PID]],0)))</f>
        <v>1B</v>
      </c>
      <c r="E1374" s="52" t="str">
        <f>IF($C1374="B",INDEX(Batters[[#All],[First]],MATCH(Table5[[#This Row],[PID]],Batters[[#All],[PID]],0)),INDEX(Table3[[#All],[First]],MATCH(Table5[[#This Row],[PID]],Table3[[#All],[PID]],0)))</f>
        <v>Jin</v>
      </c>
      <c r="F1374" s="50" t="str">
        <f>IF($C1374="B",INDEX(Batters[[#All],[Last]],MATCH(A1374,Batters[[#All],[PID]],0)),INDEX(Table3[[#All],[Last]],MATCH(A1374,Table3[[#All],[PID]],0)))</f>
        <v>Nomura</v>
      </c>
      <c r="G1374" s="56">
        <f>IF($C1374="B",INDEX(Batters[[#All],[Age]],MATCH(Table5[[#This Row],[PID]],Batters[[#All],[PID]],0)),INDEX(Table3[[#All],[Age]],MATCH(Table5[[#This Row],[PID]],Table3[[#All],[PID]],0)))</f>
        <v>18</v>
      </c>
      <c r="H1374" s="52" t="str">
        <f>IF($C1374="B",INDEX(Batters[[#All],[B]],MATCH(Table5[[#This Row],[PID]],Batters[[#All],[PID]],0)),INDEX(Table3[[#All],[B]],MATCH(Table5[[#This Row],[PID]],Table3[[#All],[PID]],0)))</f>
        <v>L</v>
      </c>
      <c r="I1374" s="70" t="str">
        <f>IF($C1374="B",INDEX(Batters[[#All],[T]],MATCH(Table5[[#This Row],[PID]],Batters[[#All],[PID]],0)),INDEX(Table3[[#All],[T]],MATCH(Table5[[#This Row],[PID]],Table3[[#All],[PID]],0)))</f>
        <v>L</v>
      </c>
      <c r="J1374" s="52" t="str">
        <f>IF($C1374="B",INDEX(Batters[[#All],[WE]],MATCH(Table5[[#This Row],[PID]],Batters[[#All],[PID]],0)),INDEX(Table3[[#All],[WE]],MATCH(Table5[[#This Row],[PID]],Table3[[#All],[PID]],0)))</f>
        <v>High</v>
      </c>
      <c r="K1374" s="52" t="str">
        <f>IF($C1374="B",INDEX(Batters[[#All],[INT]],MATCH(Table5[[#This Row],[PID]],Batters[[#All],[PID]],0)),INDEX(Table3[[#All],[INT]],MATCH(Table5[[#This Row],[PID]],Table3[[#All],[PID]],0)))</f>
        <v>Normal</v>
      </c>
      <c r="L1374" s="60">
        <f>IF($C1374="B",INDEX(Batters[[#All],[CON P]],MATCH(Table5[[#This Row],[PID]],Batters[[#All],[PID]],0)),INDEX(Table3[[#All],[STU P]],MATCH(Table5[[#This Row],[PID]],Table3[[#All],[PID]],0)))</f>
        <v>3</v>
      </c>
      <c r="M1374" s="56">
        <f>IF($C1374="B",INDEX(Batters[[#All],[GAP P]],MATCH(Table5[[#This Row],[PID]],Batters[[#All],[PID]],0)),INDEX(Table3[[#All],[MOV P]],MATCH(Table5[[#This Row],[PID]],Table3[[#All],[PID]],0)))</f>
        <v>2</v>
      </c>
      <c r="N1374" s="56">
        <f>IF($C1374="B",INDEX(Batters[[#All],[POW P]],MATCH(Table5[[#This Row],[PID]],Batters[[#All],[PID]],0)),INDEX(Table3[[#All],[CON P]],MATCH(Table5[[#This Row],[PID]],Table3[[#All],[PID]],0)))</f>
        <v>2</v>
      </c>
      <c r="O1374" s="56">
        <f>IF($C1374="B",INDEX(Batters[[#All],[EYE P]],MATCH(Table5[[#This Row],[PID]],Batters[[#All],[PID]],0)),INDEX(Table3[[#All],[VELO]],MATCH(Table5[[#This Row],[PID]],Table3[[#All],[PID]],0)))</f>
        <v>1</v>
      </c>
      <c r="P1374" s="56">
        <f>IF($C1374="B",INDEX(Batters[[#All],[K P]],MATCH(Table5[[#This Row],[PID]],Batters[[#All],[PID]],0)),INDEX(Table3[[#All],[STM]],MATCH(Table5[[#This Row],[PID]],Table3[[#All],[PID]],0)))</f>
        <v>5</v>
      </c>
      <c r="Q1374" s="61">
        <f>IF($C1374="B",INDEX(Batters[[#All],[Tot]],MATCH(Table5[[#This Row],[PID]],Batters[[#All],[PID]],0)),INDEX(Table3[[#All],[Tot]],MATCH(Table5[[#This Row],[PID]],Table3[[#All],[PID]],0)))</f>
        <v>36.217335748247649</v>
      </c>
      <c r="R1374" s="70">
        <f>IF($C1374="B",INDEX(Batters[[#All],[zScore]],MATCH(Table5[[#This Row],[PID]],Batters[[#All],[PID]],0)),INDEX(Table3[[#All],[zScore]],MATCH(Table5[[#This Row],[PID]],Table3[[#All],[PID]],0)))</f>
        <v>-1.7547211986576126</v>
      </c>
      <c r="S1374" s="79" t="str">
        <f>IF($C1374="B",INDEX(Batters[[#All],[DEM]],MATCH(Table5[[#This Row],[PID]],Batters[[#All],[PID]],0)),INDEX(Table3[[#All],[DEM]],MATCH(Table5[[#This Row],[PID]],Table3[[#All],[PID]],0)))</f>
        <v>$75k</v>
      </c>
      <c r="T1374" s="62">
        <f>IF($C1374="B",INDEX(Batters[[#All],[Rnk]],MATCH(Table5[[#This Row],[PID]],Batters[[#All],[PID]],0)),INDEX(Table3[[#All],[Rnk]],MATCH(Table5[[#This Row],[PID]],Table3[[#All],[PID]],0)))</f>
        <v>588</v>
      </c>
      <c r="U1374" s="68">
        <f>IF($C1374="B",VLOOKUP($A1374,Bat!$A$4:$BA$1621,47,FALSE),VLOOKUP($A1374,Pit!$A$4:$BF$1557,56,FALSE))</f>
        <v>0</v>
      </c>
      <c r="V1374" s="50">
        <f>IF($C1374="B",VLOOKUP($A1374,Bat!$A$4:$BA$1621,48,FALSE),VLOOKUP($A1374,Pit!$A$4:$BF$1557,57,FALSE))</f>
        <v>0</v>
      </c>
      <c r="W1374" s="50">
        <f>Table5[[#This Row],[posRnk]]+Table5[[#This Row],[zRnk]]+IF($W$3&lt;&gt;Table5[[#This Row],[Type]],50,0)</f>
        <v>2003</v>
      </c>
      <c r="X1374" s="51">
        <f>RANK(Table5[[#This Row],[zScore]],Table5[[#All],[zScore]])</f>
        <v>1365</v>
      </c>
      <c r="Y1374" s="50" t="str">
        <f>IFERROR(INDEX(DraftResults[[#All],[OVR]],MATCH(Table5[[#This Row],[PID]],DraftResults[[#All],[Player ID]],0)),"")</f>
        <v/>
      </c>
      <c r="Z13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4" s="50" t="str">
        <f>IFERROR(INDEX(DraftResults[[#All],[Pick in Round]],MATCH(Table5[[#This Row],[PID]],DraftResults[[#All],[Player ID]],0)),"")</f>
        <v/>
      </c>
      <c r="AB1374" s="50" t="str">
        <f>IFERROR(INDEX(DraftResults[[#All],[Team Name]],MATCH(Table5[[#This Row],[PID]],DraftResults[[#All],[Player ID]],0)),"")</f>
        <v/>
      </c>
      <c r="AC1374" s="50" t="str">
        <f>IF(Table5[[#This Row],[Ovr]]="","",IF(Table5[[#This Row],[cmbList]]="","",Table5[[#This Row],[cmbList]]-Table5[[#This Row],[Ovr]]))</f>
        <v/>
      </c>
      <c r="AD1374" s="54" t="str">
        <f>IF(ISERROR(VLOOKUP($AB1374&amp;"-"&amp;$E1374&amp;" "&amp;F1374,Bonuses!$B$1:$G$1006,4,FALSE)),"",INT(VLOOKUP($AB1374&amp;"-"&amp;$E1374&amp;" "&amp;$F1374,Bonuses!$B$1:$G$1006,4,FALSE)))</f>
        <v/>
      </c>
      <c r="AE13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5" spans="1:31" x14ac:dyDescent="0.25">
      <c r="A1375" s="50">
        <v>17791</v>
      </c>
      <c r="B1375" s="50">
        <f>COUNTIF(Table5[PID],A1375)</f>
        <v>1</v>
      </c>
      <c r="C1375" s="50" t="str">
        <f>IF(COUNTIF(Table3[[#All],[PID]],A1375)&gt;0,"P","B")</f>
        <v>B</v>
      </c>
      <c r="D1375" s="59" t="str">
        <f>IF($C1375="B",INDEX(Batters[[#All],[POS]],MATCH(Table5[[#This Row],[PID]],Batters[[#All],[PID]],0)),INDEX(Table3[[#All],[POS]],MATCH(Table5[[#This Row],[PID]],Table3[[#All],[PID]],0)))</f>
        <v>LF</v>
      </c>
      <c r="E1375" s="52" t="str">
        <f>IF($C1375="B",INDEX(Batters[[#All],[First]],MATCH(Table5[[#This Row],[PID]],Batters[[#All],[PID]],0)),INDEX(Table3[[#All],[First]],MATCH(Table5[[#This Row],[PID]],Table3[[#All],[PID]],0)))</f>
        <v>Hideyoshi</v>
      </c>
      <c r="F1375" s="50" t="str">
        <f>IF($C1375="B",INDEX(Batters[[#All],[Last]],MATCH(A1375,Batters[[#All],[PID]],0)),INDEX(Table3[[#All],[Last]],MATCH(A1375,Table3[[#All],[PID]],0)))</f>
        <v>Suzuki</v>
      </c>
      <c r="G1375" s="56">
        <f>IF($C1375="B",INDEX(Batters[[#All],[Age]],MATCH(Table5[[#This Row],[PID]],Batters[[#All],[PID]],0)),INDEX(Table3[[#All],[Age]],MATCH(Table5[[#This Row],[PID]],Table3[[#All],[PID]],0)))</f>
        <v>21</v>
      </c>
      <c r="H1375" s="52" t="str">
        <f>IF($C1375="B",INDEX(Batters[[#All],[B]],MATCH(Table5[[#This Row],[PID]],Batters[[#All],[PID]],0)),INDEX(Table3[[#All],[B]],MATCH(Table5[[#This Row],[PID]],Table3[[#All],[PID]],0)))</f>
        <v>R</v>
      </c>
      <c r="I1375" s="70" t="str">
        <f>IF($C1375="B",INDEX(Batters[[#All],[T]],MATCH(Table5[[#This Row],[PID]],Batters[[#All],[PID]],0)),INDEX(Table3[[#All],[T]],MATCH(Table5[[#This Row],[PID]],Table3[[#All],[PID]],0)))</f>
        <v>R</v>
      </c>
      <c r="J1375" s="52" t="str">
        <f>IF($C1375="B",INDEX(Batters[[#All],[WE]],MATCH(Table5[[#This Row],[PID]],Batters[[#All],[PID]],0)),INDEX(Table3[[#All],[WE]],MATCH(Table5[[#This Row],[PID]],Table3[[#All],[PID]],0)))</f>
        <v>Normal</v>
      </c>
      <c r="K1375" s="52" t="str">
        <f>IF($C1375="B",INDEX(Batters[[#All],[INT]],MATCH(Table5[[#This Row],[PID]],Batters[[#All],[PID]],0)),INDEX(Table3[[#All],[INT]],MATCH(Table5[[#This Row],[PID]],Table3[[#All],[PID]],0)))</f>
        <v>Normal</v>
      </c>
      <c r="L1375" s="60">
        <f>IF($C1375="B",INDEX(Batters[[#All],[CON P]],MATCH(Table5[[#This Row],[PID]],Batters[[#All],[PID]],0)),INDEX(Table3[[#All],[STU P]],MATCH(Table5[[#This Row],[PID]],Table3[[#All],[PID]],0)))</f>
        <v>3</v>
      </c>
      <c r="M1375" s="56">
        <f>IF($C1375="B",INDEX(Batters[[#All],[GAP P]],MATCH(Table5[[#This Row],[PID]],Batters[[#All],[PID]],0)),INDEX(Table3[[#All],[MOV P]],MATCH(Table5[[#This Row],[PID]],Table3[[#All],[PID]],0)))</f>
        <v>4</v>
      </c>
      <c r="N1375" s="56">
        <f>IF($C1375="B",INDEX(Batters[[#All],[POW P]],MATCH(Table5[[#This Row],[PID]],Batters[[#All],[PID]],0)),INDEX(Table3[[#All],[CON P]],MATCH(Table5[[#This Row],[PID]],Table3[[#All],[PID]],0)))</f>
        <v>4</v>
      </c>
      <c r="O1375" s="56">
        <f>IF($C1375="B",INDEX(Batters[[#All],[EYE P]],MATCH(Table5[[#This Row],[PID]],Batters[[#All],[PID]],0)),INDEX(Table3[[#All],[VELO]],MATCH(Table5[[#This Row],[PID]],Table3[[#All],[PID]],0)))</f>
        <v>3</v>
      </c>
      <c r="P1375" s="56">
        <f>IF($C1375="B",INDEX(Batters[[#All],[K P]],MATCH(Table5[[#This Row],[PID]],Batters[[#All],[PID]],0)),INDEX(Table3[[#All],[STM]],MATCH(Table5[[#This Row],[PID]],Table3[[#All],[PID]],0)))</f>
        <v>4</v>
      </c>
      <c r="Q1375" s="61">
        <f>IF($C1375="B",INDEX(Batters[[#All],[Tot]],MATCH(Table5[[#This Row],[PID]],Batters[[#All],[PID]],0)),INDEX(Table3[[#All],[Tot]],MATCH(Table5[[#This Row],[PID]],Table3[[#All],[PID]],0)))</f>
        <v>36.181491534727421</v>
      </c>
      <c r="R1375" s="70">
        <f>IF($C1375="B",INDEX(Batters[[#All],[zScore]],MATCH(Table5[[#This Row],[PID]],Batters[[#All],[PID]],0)),INDEX(Table3[[#All],[zScore]],MATCH(Table5[[#This Row],[PID]],Table3[[#All],[PID]],0)))</f>
        <v>-1.7626681030794449</v>
      </c>
      <c r="S1375" s="79" t="str">
        <f>IF($C1375="B",INDEX(Batters[[#All],[DEM]],MATCH(Table5[[#This Row],[PID]],Batters[[#All],[PID]],0)),INDEX(Table3[[#All],[DEM]],MATCH(Table5[[#This Row],[PID]],Table3[[#All],[PID]],0)))</f>
        <v>-</v>
      </c>
      <c r="T1375" s="62">
        <f>IF($C1375="B",INDEX(Batters[[#All],[Rnk]],MATCH(Table5[[#This Row],[PID]],Batters[[#All],[PID]],0)),INDEX(Table3[[#All],[Rnk]],MATCH(Table5[[#This Row],[PID]],Table3[[#All],[PID]],0)))</f>
        <v>589</v>
      </c>
      <c r="U1375" s="68">
        <f>IF($C1375="B",VLOOKUP($A1375,Bat!$A$4:$BA$1621,47,FALSE),VLOOKUP($A1375,Pit!$A$4:$BF$1557,56,FALSE))</f>
        <v>0</v>
      </c>
      <c r="V1375" s="50">
        <f>IF($C1375="B",VLOOKUP($A1375,Bat!$A$4:$BA$1621,48,FALSE),VLOOKUP($A1375,Pit!$A$4:$BF$1557,57,FALSE))</f>
        <v>0</v>
      </c>
      <c r="W1375" s="50">
        <f>Table5[[#This Row],[posRnk]]+Table5[[#This Row],[zRnk]]+IF($W$3&lt;&gt;Table5[[#This Row],[Type]],50,0)</f>
        <v>2005</v>
      </c>
      <c r="X1375" s="51">
        <f>RANK(Table5[[#This Row],[zScore]],Table5[[#All],[zScore]])</f>
        <v>1366</v>
      </c>
      <c r="Y1375" s="50" t="str">
        <f>IFERROR(INDEX(DraftResults[[#All],[OVR]],MATCH(Table5[[#This Row],[PID]],DraftResults[[#All],[Player ID]],0)),"")</f>
        <v/>
      </c>
      <c r="Z13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5" s="50" t="str">
        <f>IFERROR(INDEX(DraftResults[[#All],[Pick in Round]],MATCH(Table5[[#This Row],[PID]],DraftResults[[#All],[Player ID]],0)),"")</f>
        <v/>
      </c>
      <c r="AB1375" s="50" t="str">
        <f>IFERROR(INDEX(DraftResults[[#All],[Team Name]],MATCH(Table5[[#This Row],[PID]],DraftResults[[#All],[Player ID]],0)),"")</f>
        <v/>
      </c>
      <c r="AC1375" s="50" t="str">
        <f>IF(Table5[[#This Row],[Ovr]]="","",IF(Table5[[#This Row],[cmbList]]="","",Table5[[#This Row],[cmbList]]-Table5[[#This Row],[Ovr]]))</f>
        <v/>
      </c>
      <c r="AD1375" s="54" t="str">
        <f>IF(ISERROR(VLOOKUP($AB1375&amp;"-"&amp;$E1375&amp;" "&amp;F1375,Bonuses!$B$1:$G$1006,4,FALSE)),"",INT(VLOOKUP($AB1375&amp;"-"&amp;$E1375&amp;" "&amp;$F1375,Bonuses!$B$1:$G$1006,4,FALSE)))</f>
        <v/>
      </c>
      <c r="AE13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6" spans="1:31" x14ac:dyDescent="0.25">
      <c r="A1376" s="50">
        <v>17880</v>
      </c>
      <c r="B1376" s="50">
        <f>COUNTIF(Table5[PID],A1376)</f>
        <v>1</v>
      </c>
      <c r="C1376" s="50" t="str">
        <f>IF(COUNTIF(Table3[[#All],[PID]],A1376)&gt;0,"P","B")</f>
        <v>B</v>
      </c>
      <c r="D1376" s="59" t="str">
        <f>IF($C1376="B",INDEX(Batters[[#All],[POS]],MATCH(Table5[[#This Row],[PID]],Batters[[#All],[PID]],0)),INDEX(Table3[[#All],[POS]],MATCH(Table5[[#This Row],[PID]],Table3[[#All],[PID]],0)))</f>
        <v>1B</v>
      </c>
      <c r="E1376" s="52" t="str">
        <f>IF($C1376="B",INDEX(Batters[[#All],[First]],MATCH(Table5[[#This Row],[PID]],Batters[[#All],[PID]],0)),INDEX(Table3[[#All],[First]],MATCH(Table5[[#This Row],[PID]],Table3[[#All],[PID]],0)))</f>
        <v>Tadamichi</v>
      </c>
      <c r="F1376" s="50" t="str">
        <f>IF($C1376="B",INDEX(Batters[[#All],[Last]],MATCH(A1376,Batters[[#All],[PID]],0)),INDEX(Table3[[#All],[Last]],MATCH(A1376,Table3[[#All],[PID]],0)))</f>
        <v>Sakakibara</v>
      </c>
      <c r="G1376" s="56">
        <f>IF($C1376="B",INDEX(Batters[[#All],[Age]],MATCH(Table5[[#This Row],[PID]],Batters[[#All],[PID]],0)),INDEX(Table3[[#All],[Age]],MATCH(Table5[[#This Row],[PID]],Table3[[#All],[PID]],0)))</f>
        <v>18</v>
      </c>
      <c r="H1376" s="52" t="str">
        <f>IF($C1376="B",INDEX(Batters[[#All],[B]],MATCH(Table5[[#This Row],[PID]],Batters[[#All],[PID]],0)),INDEX(Table3[[#All],[B]],MATCH(Table5[[#This Row],[PID]],Table3[[#All],[PID]],0)))</f>
        <v>L</v>
      </c>
      <c r="I1376" s="70" t="str">
        <f>IF($C1376="B",INDEX(Batters[[#All],[T]],MATCH(Table5[[#This Row],[PID]],Batters[[#All],[PID]],0)),INDEX(Table3[[#All],[T]],MATCH(Table5[[#This Row],[PID]],Table3[[#All],[PID]],0)))</f>
        <v>R</v>
      </c>
      <c r="J1376" s="52" t="str">
        <f>IF($C1376="B",INDEX(Batters[[#All],[WE]],MATCH(Table5[[#This Row],[PID]],Batters[[#All],[PID]],0)),INDEX(Table3[[#All],[WE]],MATCH(Table5[[#This Row],[PID]],Table3[[#All],[PID]],0)))</f>
        <v>Normal</v>
      </c>
      <c r="K1376" s="52" t="str">
        <f>IF($C1376="B",INDEX(Batters[[#All],[INT]],MATCH(Table5[[#This Row],[PID]],Batters[[#All],[PID]],0)),INDEX(Table3[[#All],[INT]],MATCH(Table5[[#This Row],[PID]],Table3[[#All],[PID]],0)))</f>
        <v>Normal</v>
      </c>
      <c r="L1376" s="60">
        <f>IF($C1376="B",INDEX(Batters[[#All],[CON P]],MATCH(Table5[[#This Row],[PID]],Batters[[#All],[PID]],0)),INDEX(Table3[[#All],[STU P]],MATCH(Table5[[#This Row],[PID]],Table3[[#All],[PID]],0)))</f>
        <v>3</v>
      </c>
      <c r="M1376" s="56">
        <f>IF($C1376="B",INDEX(Batters[[#All],[GAP P]],MATCH(Table5[[#This Row],[PID]],Batters[[#All],[PID]],0)),INDEX(Table3[[#All],[MOV P]],MATCH(Table5[[#This Row],[PID]],Table3[[#All],[PID]],0)))</f>
        <v>2</v>
      </c>
      <c r="N1376" s="56">
        <f>IF($C1376="B",INDEX(Batters[[#All],[POW P]],MATCH(Table5[[#This Row],[PID]],Batters[[#All],[PID]],0)),INDEX(Table3[[#All],[CON P]],MATCH(Table5[[#This Row],[PID]],Table3[[#All],[PID]],0)))</f>
        <v>2</v>
      </c>
      <c r="O1376" s="56">
        <f>IF($C1376="B",INDEX(Batters[[#All],[EYE P]],MATCH(Table5[[#This Row],[PID]],Batters[[#All],[PID]],0)),INDEX(Table3[[#All],[VELO]],MATCH(Table5[[#This Row],[PID]],Table3[[#All],[PID]],0)))</f>
        <v>2</v>
      </c>
      <c r="P1376" s="56">
        <f>IF($C1376="B",INDEX(Batters[[#All],[K P]],MATCH(Table5[[#This Row],[PID]],Batters[[#All],[PID]],0)),INDEX(Table3[[#All],[STM]],MATCH(Table5[[#This Row],[PID]],Table3[[#All],[PID]],0)))</f>
        <v>3</v>
      </c>
      <c r="Q1376" s="61">
        <f>IF($C1376="B",INDEX(Batters[[#All],[Tot]],MATCH(Table5[[#This Row],[PID]],Batters[[#All],[PID]],0)),INDEX(Table3[[#All],[Tot]],MATCH(Table5[[#This Row],[PID]],Table3[[#All],[PID]],0)))</f>
        <v>36.180560912751069</v>
      </c>
      <c r="R1376" s="70">
        <f>IF($C1376="B",INDEX(Batters[[#All],[zScore]],MATCH(Table5[[#This Row],[PID]],Batters[[#All],[PID]],0)),INDEX(Table3[[#All],[zScore]],MATCH(Table5[[#This Row],[PID]],Table3[[#All],[PID]],0)))</f>
        <v>-1.7628744282620228</v>
      </c>
      <c r="S1376" s="79" t="str">
        <f>IF($C1376="B",INDEX(Batters[[#All],[DEM]],MATCH(Table5[[#This Row],[PID]],Batters[[#All],[PID]],0)),INDEX(Table3[[#All],[DEM]],MATCH(Table5[[#This Row],[PID]],Table3[[#All],[PID]],0)))</f>
        <v>$70k</v>
      </c>
      <c r="T1376" s="62">
        <f>IF($C1376="B",INDEX(Batters[[#All],[Rnk]],MATCH(Table5[[#This Row],[PID]],Batters[[#All],[PID]],0)),INDEX(Table3[[#All],[Rnk]],MATCH(Table5[[#This Row],[PID]],Table3[[#All],[PID]],0)))</f>
        <v>590</v>
      </c>
      <c r="U1376" s="68">
        <f>IF($C1376="B",VLOOKUP($A1376,Bat!$A$4:$BA$1621,47,FALSE),VLOOKUP($A1376,Pit!$A$4:$BF$1557,56,FALSE))</f>
        <v>0</v>
      </c>
      <c r="V1376" s="50">
        <f>IF($C1376="B",VLOOKUP($A1376,Bat!$A$4:$BA$1621,48,FALSE),VLOOKUP($A1376,Pit!$A$4:$BF$1557,57,FALSE))</f>
        <v>0</v>
      </c>
      <c r="W1376" s="50">
        <f>Table5[[#This Row],[posRnk]]+Table5[[#This Row],[zRnk]]+IF($W$3&lt;&gt;Table5[[#This Row],[Type]],50,0)</f>
        <v>2007</v>
      </c>
      <c r="X1376" s="51">
        <f>RANK(Table5[[#This Row],[zScore]],Table5[[#All],[zScore]])</f>
        <v>1367</v>
      </c>
      <c r="Y1376" s="50" t="str">
        <f>IFERROR(INDEX(DraftResults[[#All],[OVR]],MATCH(Table5[[#This Row],[PID]],DraftResults[[#All],[Player ID]],0)),"")</f>
        <v/>
      </c>
      <c r="Z13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6" s="50" t="str">
        <f>IFERROR(INDEX(DraftResults[[#All],[Pick in Round]],MATCH(Table5[[#This Row],[PID]],DraftResults[[#All],[Player ID]],0)),"")</f>
        <v/>
      </c>
      <c r="AB1376" s="50" t="str">
        <f>IFERROR(INDEX(DraftResults[[#All],[Team Name]],MATCH(Table5[[#This Row],[PID]],DraftResults[[#All],[Player ID]],0)),"")</f>
        <v/>
      </c>
      <c r="AC1376" s="50" t="str">
        <f>IF(Table5[[#This Row],[Ovr]]="","",IF(Table5[[#This Row],[cmbList]]="","",Table5[[#This Row],[cmbList]]-Table5[[#This Row],[Ovr]]))</f>
        <v/>
      </c>
      <c r="AD1376" s="54" t="str">
        <f>IF(ISERROR(VLOOKUP($AB1376&amp;"-"&amp;$E1376&amp;" "&amp;F1376,Bonuses!$B$1:$G$1006,4,FALSE)),"",INT(VLOOKUP($AB1376&amp;"-"&amp;$E1376&amp;" "&amp;$F1376,Bonuses!$B$1:$G$1006,4,FALSE)))</f>
        <v/>
      </c>
      <c r="AE13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7" spans="1:31" x14ac:dyDescent="0.25">
      <c r="A1377" s="50">
        <v>20995</v>
      </c>
      <c r="B1377" s="50">
        <f>COUNTIF(Table5[PID],A1377)</f>
        <v>1</v>
      </c>
      <c r="C1377" s="50" t="str">
        <f>IF(COUNTIF(Table3[[#All],[PID]],A1377)&gt;0,"P","B")</f>
        <v>B</v>
      </c>
      <c r="D1377" s="59" t="str">
        <f>IF($C1377="B",INDEX(Batters[[#All],[POS]],MATCH(Table5[[#This Row],[PID]],Batters[[#All],[PID]],0)),INDEX(Table3[[#All],[POS]],MATCH(Table5[[#This Row],[PID]],Table3[[#All],[PID]],0)))</f>
        <v>CF</v>
      </c>
      <c r="E1377" s="52" t="str">
        <f>IF($C1377="B",INDEX(Batters[[#All],[First]],MATCH(Table5[[#This Row],[PID]],Batters[[#All],[PID]],0)),INDEX(Table3[[#All],[First]],MATCH(Table5[[#This Row],[PID]],Table3[[#All],[PID]],0)))</f>
        <v>Jorge</v>
      </c>
      <c r="F1377" s="50" t="str">
        <f>IF($C1377="B",INDEX(Batters[[#All],[Last]],MATCH(A1377,Batters[[#All],[PID]],0)),INDEX(Table3[[#All],[Last]],MATCH(A1377,Table3[[#All],[PID]],0)))</f>
        <v>Martínez</v>
      </c>
      <c r="G1377" s="56">
        <f>IF($C1377="B",INDEX(Batters[[#All],[Age]],MATCH(Table5[[#This Row],[PID]],Batters[[#All],[PID]],0)),INDEX(Table3[[#All],[Age]],MATCH(Table5[[#This Row],[PID]],Table3[[#All],[PID]],0)))</f>
        <v>18</v>
      </c>
      <c r="H1377" s="52" t="str">
        <f>IF($C1377="B",INDEX(Batters[[#All],[B]],MATCH(Table5[[#This Row],[PID]],Batters[[#All],[PID]],0)),INDEX(Table3[[#All],[B]],MATCH(Table5[[#This Row],[PID]],Table3[[#All],[PID]],0)))</f>
        <v>S</v>
      </c>
      <c r="I1377" s="70" t="str">
        <f>IF($C1377="B",INDEX(Batters[[#All],[T]],MATCH(Table5[[#This Row],[PID]],Batters[[#All],[PID]],0)),INDEX(Table3[[#All],[T]],MATCH(Table5[[#This Row],[PID]],Table3[[#All],[PID]],0)))</f>
        <v>R</v>
      </c>
      <c r="J1377" s="52" t="str">
        <f>IF($C1377="B",INDEX(Batters[[#All],[WE]],MATCH(Table5[[#This Row],[PID]],Batters[[#All],[PID]],0)),INDEX(Table3[[#All],[WE]],MATCH(Table5[[#This Row],[PID]],Table3[[#All],[PID]],0)))</f>
        <v>Low</v>
      </c>
      <c r="K1377" s="52" t="str">
        <f>IF($C1377="B",INDEX(Batters[[#All],[INT]],MATCH(Table5[[#This Row],[PID]],Batters[[#All],[PID]],0)),INDEX(Table3[[#All],[INT]],MATCH(Table5[[#This Row],[PID]],Table3[[#All],[PID]],0)))</f>
        <v>Low</v>
      </c>
      <c r="L1377" s="60">
        <f>IF($C1377="B",INDEX(Batters[[#All],[CON P]],MATCH(Table5[[#This Row],[PID]],Batters[[#All],[PID]],0)),INDEX(Table3[[#All],[STU P]],MATCH(Table5[[#This Row],[PID]],Table3[[#All],[PID]],0)))</f>
        <v>2</v>
      </c>
      <c r="M1377" s="56">
        <f>IF($C1377="B",INDEX(Batters[[#All],[GAP P]],MATCH(Table5[[#This Row],[PID]],Batters[[#All],[PID]],0)),INDEX(Table3[[#All],[MOV P]],MATCH(Table5[[#This Row],[PID]],Table3[[#All],[PID]],0)))</f>
        <v>4</v>
      </c>
      <c r="N1377" s="56">
        <f>IF($C1377="B",INDEX(Batters[[#All],[POW P]],MATCH(Table5[[#This Row],[PID]],Batters[[#All],[PID]],0)),INDEX(Table3[[#All],[CON P]],MATCH(Table5[[#This Row],[PID]],Table3[[#All],[PID]],0)))</f>
        <v>3</v>
      </c>
      <c r="O1377" s="56">
        <f>IF($C1377="B",INDEX(Batters[[#All],[EYE P]],MATCH(Table5[[#This Row],[PID]],Batters[[#All],[PID]],0)),INDEX(Table3[[#All],[VELO]],MATCH(Table5[[#This Row],[PID]],Table3[[#All],[PID]],0)))</f>
        <v>3</v>
      </c>
      <c r="P1377" s="56">
        <f>IF($C1377="B",INDEX(Batters[[#All],[K P]],MATCH(Table5[[#This Row],[PID]],Batters[[#All],[PID]],0)),INDEX(Table3[[#All],[STM]],MATCH(Table5[[#This Row],[PID]],Table3[[#All],[PID]],0)))</f>
        <v>4</v>
      </c>
      <c r="Q1377" s="61">
        <f>IF($C1377="B",INDEX(Batters[[#All],[Tot]],MATCH(Table5[[#This Row],[PID]],Batters[[#All],[PID]],0)),INDEX(Table3[[#All],[Tot]],MATCH(Table5[[#This Row],[PID]],Table3[[#All],[PID]],0)))</f>
        <v>36.172109928707982</v>
      </c>
      <c r="R1377" s="70">
        <f>IF($C1377="B",INDEX(Batters[[#All],[zScore]],MATCH(Table5[[#This Row],[PID]],Batters[[#All],[PID]],0)),INDEX(Table3[[#All],[zScore]],MATCH(Table5[[#This Row],[PID]],Table3[[#All],[PID]],0)))</f>
        <v>-1.7647480685477257</v>
      </c>
      <c r="S1377" s="79" t="str">
        <f>IF($C1377="B",INDEX(Batters[[#All],[DEM]],MATCH(Table5[[#This Row],[PID]],Batters[[#All],[PID]],0)),INDEX(Table3[[#All],[DEM]],MATCH(Table5[[#This Row],[PID]],Table3[[#All],[PID]],0)))</f>
        <v>$75k</v>
      </c>
      <c r="T1377" s="62">
        <f>IF($C1377="B",INDEX(Batters[[#All],[Rnk]],MATCH(Table5[[#This Row],[PID]],Batters[[#All],[PID]],0)),INDEX(Table3[[#All],[Rnk]],MATCH(Table5[[#This Row],[PID]],Table3[[#All],[PID]],0)))</f>
        <v>591</v>
      </c>
      <c r="U1377" s="68">
        <f>IF($C1377="B",VLOOKUP($A1377,Bat!$A$4:$BA$1621,47,FALSE),VLOOKUP($A1377,Pit!$A$4:$BF$1557,56,FALSE))</f>
        <v>0</v>
      </c>
      <c r="V1377" s="50">
        <f>IF($C1377="B",VLOOKUP($A1377,Bat!$A$4:$BA$1621,48,FALSE),VLOOKUP($A1377,Pit!$A$4:$BF$1557,57,FALSE))</f>
        <v>0</v>
      </c>
      <c r="W1377" s="50">
        <f>Table5[[#This Row],[posRnk]]+Table5[[#This Row],[zRnk]]+IF($W$3&lt;&gt;Table5[[#This Row],[Type]],50,0)</f>
        <v>2009</v>
      </c>
      <c r="X1377" s="51">
        <f>RANK(Table5[[#This Row],[zScore]],Table5[[#All],[zScore]])</f>
        <v>1368</v>
      </c>
      <c r="Y1377" s="50" t="str">
        <f>IFERROR(INDEX(DraftResults[[#All],[OVR]],MATCH(Table5[[#This Row],[PID]],DraftResults[[#All],[Player ID]],0)),"")</f>
        <v/>
      </c>
      <c r="Z13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7" s="50" t="str">
        <f>IFERROR(INDEX(DraftResults[[#All],[Pick in Round]],MATCH(Table5[[#This Row],[PID]],DraftResults[[#All],[Player ID]],0)),"")</f>
        <v/>
      </c>
      <c r="AB1377" s="50" t="str">
        <f>IFERROR(INDEX(DraftResults[[#All],[Team Name]],MATCH(Table5[[#This Row],[PID]],DraftResults[[#All],[Player ID]],0)),"")</f>
        <v/>
      </c>
      <c r="AC1377" s="50" t="str">
        <f>IF(Table5[[#This Row],[Ovr]]="","",IF(Table5[[#This Row],[cmbList]]="","",Table5[[#This Row],[cmbList]]-Table5[[#This Row],[Ovr]]))</f>
        <v/>
      </c>
      <c r="AD1377" s="54" t="str">
        <f>IF(ISERROR(VLOOKUP($AB1377&amp;"-"&amp;$E1377&amp;" "&amp;F1377,Bonuses!$B$1:$G$1006,4,FALSE)),"",INT(VLOOKUP($AB1377&amp;"-"&amp;$E1377&amp;" "&amp;$F1377,Bonuses!$B$1:$G$1006,4,FALSE)))</f>
        <v/>
      </c>
      <c r="AE13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8" spans="1:31" x14ac:dyDescent="0.25">
      <c r="A1378" s="50">
        <v>18390</v>
      </c>
      <c r="B1378" s="50">
        <f>COUNTIF(Table5[PID],A1378)</f>
        <v>1</v>
      </c>
      <c r="C1378" s="50" t="str">
        <f>IF(COUNTIF(Table3[[#All],[PID]],A1378)&gt;0,"P","B")</f>
        <v>B</v>
      </c>
      <c r="D1378" s="59" t="str">
        <f>IF($C1378="B",INDEX(Batters[[#All],[POS]],MATCH(Table5[[#This Row],[PID]],Batters[[#All],[PID]],0)),INDEX(Table3[[#All],[POS]],MATCH(Table5[[#This Row],[PID]],Table3[[#All],[PID]],0)))</f>
        <v>C</v>
      </c>
      <c r="E1378" s="52" t="str">
        <f>IF($C1378="B",INDEX(Batters[[#All],[First]],MATCH(Table5[[#This Row],[PID]],Batters[[#All],[PID]],0)),INDEX(Table3[[#All],[First]],MATCH(Table5[[#This Row],[PID]],Table3[[#All],[PID]],0)))</f>
        <v>Kazuhiro</v>
      </c>
      <c r="F1378" s="50" t="str">
        <f>IF($C1378="B",INDEX(Batters[[#All],[Last]],MATCH(A1378,Batters[[#All],[PID]],0)),INDEX(Table3[[#All],[Last]],MATCH(A1378,Table3[[#All],[PID]],0)))</f>
        <v>Watanabe</v>
      </c>
      <c r="G1378" s="56">
        <f>IF($C1378="B",INDEX(Batters[[#All],[Age]],MATCH(Table5[[#This Row],[PID]],Batters[[#All],[PID]],0)),INDEX(Table3[[#All],[Age]],MATCH(Table5[[#This Row],[PID]],Table3[[#All],[PID]],0)))</f>
        <v>18</v>
      </c>
      <c r="H1378" s="52" t="str">
        <f>IF($C1378="B",INDEX(Batters[[#All],[B]],MATCH(Table5[[#This Row],[PID]],Batters[[#All],[PID]],0)),INDEX(Table3[[#All],[B]],MATCH(Table5[[#This Row],[PID]],Table3[[#All],[PID]],0)))</f>
        <v>R</v>
      </c>
      <c r="I1378" s="70" t="str">
        <f>IF($C1378="B",INDEX(Batters[[#All],[T]],MATCH(Table5[[#This Row],[PID]],Batters[[#All],[PID]],0)),INDEX(Table3[[#All],[T]],MATCH(Table5[[#This Row],[PID]],Table3[[#All],[PID]],0)))</f>
        <v>R</v>
      </c>
      <c r="J1378" s="52" t="str">
        <f>IF($C1378="B",INDEX(Batters[[#All],[WE]],MATCH(Table5[[#This Row],[PID]],Batters[[#All],[PID]],0)),INDEX(Table3[[#All],[WE]],MATCH(Table5[[#This Row],[PID]],Table3[[#All],[PID]],0)))</f>
        <v>Normal</v>
      </c>
      <c r="K1378" s="52" t="str">
        <f>IF($C1378="B",INDEX(Batters[[#All],[INT]],MATCH(Table5[[#This Row],[PID]],Batters[[#All],[PID]],0)),INDEX(Table3[[#All],[INT]],MATCH(Table5[[#This Row],[PID]],Table3[[#All],[PID]],0)))</f>
        <v>Normal</v>
      </c>
      <c r="L1378" s="60">
        <f>IF($C1378="B",INDEX(Batters[[#All],[CON P]],MATCH(Table5[[#This Row],[PID]],Batters[[#All],[PID]],0)),INDEX(Table3[[#All],[STU P]],MATCH(Table5[[#This Row],[PID]],Table3[[#All],[PID]],0)))</f>
        <v>2</v>
      </c>
      <c r="M1378" s="56">
        <f>IF($C1378="B",INDEX(Batters[[#All],[GAP P]],MATCH(Table5[[#This Row],[PID]],Batters[[#All],[PID]],0)),INDEX(Table3[[#All],[MOV P]],MATCH(Table5[[#This Row],[PID]],Table3[[#All],[PID]],0)))</f>
        <v>3</v>
      </c>
      <c r="N1378" s="56">
        <f>IF($C1378="B",INDEX(Batters[[#All],[POW P]],MATCH(Table5[[#This Row],[PID]],Batters[[#All],[PID]],0)),INDEX(Table3[[#All],[CON P]],MATCH(Table5[[#This Row],[PID]],Table3[[#All],[PID]],0)))</f>
        <v>2</v>
      </c>
      <c r="O1378" s="56">
        <f>IF($C1378="B",INDEX(Batters[[#All],[EYE P]],MATCH(Table5[[#This Row],[PID]],Batters[[#All],[PID]],0)),INDEX(Table3[[#All],[VELO]],MATCH(Table5[[#This Row],[PID]],Table3[[#All],[PID]],0)))</f>
        <v>5</v>
      </c>
      <c r="P1378" s="56">
        <f>IF($C1378="B",INDEX(Batters[[#All],[K P]],MATCH(Table5[[#This Row],[PID]],Batters[[#All],[PID]],0)),INDEX(Table3[[#All],[STM]],MATCH(Table5[[#This Row],[PID]],Table3[[#All],[PID]],0)))</f>
        <v>3</v>
      </c>
      <c r="Q1378" s="61">
        <f>IF($C1378="B",INDEX(Batters[[#All],[Tot]],MATCH(Table5[[#This Row],[PID]],Batters[[#All],[PID]],0)),INDEX(Table3[[#All],[Tot]],MATCH(Table5[[#This Row],[PID]],Table3[[#All],[PID]],0)))</f>
        <v>36.17009514409024</v>
      </c>
      <c r="R1378" s="70">
        <f>IF($C1378="B",INDEX(Batters[[#All],[zScore]],MATCH(Table5[[#This Row],[PID]],Batters[[#All],[PID]],0)),INDEX(Table3[[#All],[zScore]],MATCH(Table5[[#This Row],[PID]],Table3[[#All],[PID]],0)))</f>
        <v>-1.7651947599161595</v>
      </c>
      <c r="S1378" s="79" t="str">
        <f>IF($C1378="B",INDEX(Batters[[#All],[DEM]],MATCH(Table5[[#This Row],[PID]],Batters[[#All],[PID]],0)),INDEX(Table3[[#All],[DEM]],MATCH(Table5[[#This Row],[PID]],Table3[[#All],[PID]],0)))</f>
        <v>$80k</v>
      </c>
      <c r="T1378" s="62">
        <f>IF($C1378="B",INDEX(Batters[[#All],[Rnk]],MATCH(Table5[[#This Row],[PID]],Batters[[#All],[PID]],0)),INDEX(Table3[[#All],[Rnk]],MATCH(Table5[[#This Row],[PID]],Table3[[#All],[PID]],0)))</f>
        <v>592</v>
      </c>
      <c r="U1378" s="68">
        <f>IF($C1378="B",VLOOKUP($A1378,Bat!$A$4:$BA$1621,47,FALSE),VLOOKUP($A1378,Pit!$A$4:$BF$1557,56,FALSE))</f>
        <v>0</v>
      </c>
      <c r="V1378" s="50">
        <f>IF($C1378="B",VLOOKUP($A1378,Bat!$A$4:$BA$1621,48,FALSE),VLOOKUP($A1378,Pit!$A$4:$BF$1557,57,FALSE))</f>
        <v>0</v>
      </c>
      <c r="W1378" s="50">
        <f>Table5[[#This Row],[posRnk]]+Table5[[#This Row],[zRnk]]+IF($W$3&lt;&gt;Table5[[#This Row],[Type]],50,0)</f>
        <v>2011</v>
      </c>
      <c r="X1378" s="51">
        <f>RANK(Table5[[#This Row],[zScore]],Table5[[#All],[zScore]])</f>
        <v>1369</v>
      </c>
      <c r="Y1378" s="50" t="str">
        <f>IFERROR(INDEX(DraftResults[[#All],[OVR]],MATCH(Table5[[#This Row],[PID]],DraftResults[[#All],[Player ID]],0)),"")</f>
        <v/>
      </c>
      <c r="Z13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8" s="50" t="str">
        <f>IFERROR(INDEX(DraftResults[[#All],[Pick in Round]],MATCH(Table5[[#This Row],[PID]],DraftResults[[#All],[Player ID]],0)),"")</f>
        <v/>
      </c>
      <c r="AB1378" s="50" t="str">
        <f>IFERROR(INDEX(DraftResults[[#All],[Team Name]],MATCH(Table5[[#This Row],[PID]],DraftResults[[#All],[Player ID]],0)),"")</f>
        <v/>
      </c>
      <c r="AC1378" s="50" t="str">
        <f>IF(Table5[[#This Row],[Ovr]]="","",IF(Table5[[#This Row],[cmbList]]="","",Table5[[#This Row],[cmbList]]-Table5[[#This Row],[Ovr]]))</f>
        <v/>
      </c>
      <c r="AD1378" s="54" t="str">
        <f>IF(ISERROR(VLOOKUP($AB1378&amp;"-"&amp;$E1378&amp;" "&amp;F1378,Bonuses!$B$1:$G$1006,4,FALSE)),"",INT(VLOOKUP($AB1378&amp;"-"&amp;$E1378&amp;" "&amp;$F1378,Bonuses!$B$1:$G$1006,4,FALSE)))</f>
        <v/>
      </c>
      <c r="AE13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79" spans="1:31" x14ac:dyDescent="0.25">
      <c r="A1379" s="50">
        <v>7050</v>
      </c>
      <c r="B1379" s="50">
        <f>COUNTIF(Table5[PID],A1379)</f>
        <v>1</v>
      </c>
      <c r="C1379" s="50" t="str">
        <f>IF(COUNTIF(Table3[[#All],[PID]],A1379)&gt;0,"P","B")</f>
        <v>B</v>
      </c>
      <c r="D1379" s="59" t="str">
        <f>IF($C1379="B",INDEX(Batters[[#All],[POS]],MATCH(Table5[[#This Row],[PID]],Batters[[#All],[PID]],0)),INDEX(Table3[[#All],[POS]],MATCH(Table5[[#This Row],[PID]],Table3[[#All],[PID]],0)))</f>
        <v>1B</v>
      </c>
      <c r="E1379" s="52" t="str">
        <f>IF($C1379="B",INDEX(Batters[[#All],[First]],MATCH(Table5[[#This Row],[PID]],Batters[[#All],[PID]],0)),INDEX(Table3[[#All],[First]],MATCH(Table5[[#This Row],[PID]],Table3[[#All],[PID]],0)))</f>
        <v>Orlando</v>
      </c>
      <c r="F1379" s="50" t="str">
        <f>IF($C1379="B",INDEX(Batters[[#All],[Last]],MATCH(A1379,Batters[[#All],[PID]],0)),INDEX(Table3[[#All],[Last]],MATCH(A1379,Table3[[#All],[PID]],0)))</f>
        <v>Bermúdez</v>
      </c>
      <c r="G1379" s="56">
        <f>IF($C1379="B",INDEX(Batters[[#All],[Age]],MATCH(Table5[[#This Row],[PID]],Batters[[#All],[PID]],0)),INDEX(Table3[[#All],[Age]],MATCH(Table5[[#This Row],[PID]],Table3[[#All],[PID]],0)))</f>
        <v>22</v>
      </c>
      <c r="H1379" s="52" t="str">
        <f>IF($C1379="B",INDEX(Batters[[#All],[B]],MATCH(Table5[[#This Row],[PID]],Batters[[#All],[PID]],0)),INDEX(Table3[[#All],[B]],MATCH(Table5[[#This Row],[PID]],Table3[[#All],[PID]],0)))</f>
        <v>R</v>
      </c>
      <c r="I1379" s="70" t="str">
        <f>IF($C1379="B",INDEX(Batters[[#All],[T]],MATCH(Table5[[#This Row],[PID]],Batters[[#All],[PID]],0)),INDEX(Table3[[#All],[T]],MATCH(Table5[[#This Row],[PID]],Table3[[#All],[PID]],0)))</f>
        <v>R</v>
      </c>
      <c r="J1379" s="52" t="str">
        <f>IF($C1379="B",INDEX(Batters[[#All],[WE]],MATCH(Table5[[#This Row],[PID]],Batters[[#All],[PID]],0)),INDEX(Table3[[#All],[WE]],MATCH(Table5[[#This Row],[PID]],Table3[[#All],[PID]],0)))</f>
        <v>High</v>
      </c>
      <c r="K1379" s="52" t="str">
        <f>IF($C1379="B",INDEX(Batters[[#All],[INT]],MATCH(Table5[[#This Row],[PID]],Batters[[#All],[PID]],0)),INDEX(Table3[[#All],[INT]],MATCH(Table5[[#This Row],[PID]],Table3[[#All],[PID]],0)))</f>
        <v>Normal</v>
      </c>
      <c r="L1379" s="60">
        <f>IF($C1379="B",INDEX(Batters[[#All],[CON P]],MATCH(Table5[[#This Row],[PID]],Batters[[#All],[PID]],0)),INDEX(Table3[[#All],[STU P]],MATCH(Table5[[#This Row],[PID]],Table3[[#All],[PID]],0)))</f>
        <v>4</v>
      </c>
      <c r="M1379" s="56">
        <f>IF($C1379="B",INDEX(Batters[[#All],[GAP P]],MATCH(Table5[[#This Row],[PID]],Batters[[#All],[PID]],0)),INDEX(Table3[[#All],[MOV P]],MATCH(Table5[[#This Row],[PID]],Table3[[#All],[PID]],0)))</f>
        <v>3</v>
      </c>
      <c r="N1379" s="56">
        <f>IF($C1379="B",INDEX(Batters[[#All],[POW P]],MATCH(Table5[[#This Row],[PID]],Batters[[#All],[PID]],0)),INDEX(Table3[[#All],[CON P]],MATCH(Table5[[#This Row],[PID]],Table3[[#All],[PID]],0)))</f>
        <v>2</v>
      </c>
      <c r="O1379" s="56">
        <f>IF($C1379="B",INDEX(Batters[[#All],[EYE P]],MATCH(Table5[[#This Row],[PID]],Batters[[#All],[PID]],0)),INDEX(Table3[[#All],[VELO]],MATCH(Table5[[#This Row],[PID]],Table3[[#All],[PID]],0)))</f>
        <v>1</v>
      </c>
      <c r="P1379" s="56">
        <f>IF($C1379="B",INDEX(Batters[[#All],[K P]],MATCH(Table5[[#This Row],[PID]],Batters[[#All],[PID]],0)),INDEX(Table3[[#All],[STM]],MATCH(Table5[[#This Row],[PID]],Table3[[#All],[PID]],0)))</f>
        <v>5</v>
      </c>
      <c r="Q1379" s="61">
        <f>IF($C1379="B",INDEX(Batters[[#All],[Tot]],MATCH(Table5[[#This Row],[PID]],Batters[[#All],[PID]],0)),INDEX(Table3[[#All],[Tot]],MATCH(Table5[[#This Row],[PID]],Table3[[#All],[PID]],0)))</f>
        <v>36.154449115250166</v>
      </c>
      <c r="R1379" s="70">
        <f>IF($C1379="B",INDEX(Batters[[#All],[zScore]],MATCH(Table5[[#This Row],[PID]],Batters[[#All],[PID]],0)),INDEX(Table3[[#All],[zScore]],MATCH(Table5[[#This Row],[PID]],Table3[[#All],[PID]],0)))</f>
        <v>-1.7686635902673435</v>
      </c>
      <c r="S1379" s="79" t="str">
        <f>IF($C1379="B",INDEX(Batters[[#All],[DEM]],MATCH(Table5[[#This Row],[PID]],Batters[[#All],[PID]],0)),INDEX(Table3[[#All],[DEM]],MATCH(Table5[[#This Row],[PID]],Table3[[#All],[PID]],0)))</f>
        <v>-</v>
      </c>
      <c r="T1379" s="62">
        <f>IF($C1379="B",INDEX(Batters[[#All],[Rnk]],MATCH(Table5[[#This Row],[PID]],Batters[[#All],[PID]],0)),INDEX(Table3[[#All],[Rnk]],MATCH(Table5[[#This Row],[PID]],Table3[[#All],[PID]],0)))</f>
        <v>593</v>
      </c>
      <c r="U1379" s="68">
        <f>IF($C1379="B",VLOOKUP($A1379,Bat!$A$4:$BA$1621,47,FALSE),VLOOKUP($A1379,Pit!$A$4:$BF$1557,56,FALSE))</f>
        <v>0</v>
      </c>
      <c r="V1379" s="50">
        <f>IF($C1379="B",VLOOKUP($A1379,Bat!$A$4:$BA$1621,48,FALSE),VLOOKUP($A1379,Pit!$A$4:$BF$1557,57,FALSE))</f>
        <v>0</v>
      </c>
      <c r="W1379" s="50">
        <f>Table5[[#This Row],[posRnk]]+Table5[[#This Row],[zRnk]]+IF($W$3&lt;&gt;Table5[[#This Row],[Type]],50,0)</f>
        <v>2013</v>
      </c>
      <c r="X1379" s="51">
        <f>RANK(Table5[[#This Row],[zScore]],Table5[[#All],[zScore]])</f>
        <v>1370</v>
      </c>
      <c r="Y1379" s="50" t="str">
        <f>IFERROR(INDEX(DraftResults[[#All],[OVR]],MATCH(Table5[[#This Row],[PID]],DraftResults[[#All],[Player ID]],0)),"")</f>
        <v/>
      </c>
      <c r="Z13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79" s="50" t="str">
        <f>IFERROR(INDEX(DraftResults[[#All],[Pick in Round]],MATCH(Table5[[#This Row],[PID]],DraftResults[[#All],[Player ID]],0)),"")</f>
        <v/>
      </c>
      <c r="AB1379" s="50" t="str">
        <f>IFERROR(INDEX(DraftResults[[#All],[Team Name]],MATCH(Table5[[#This Row],[PID]],DraftResults[[#All],[Player ID]],0)),"")</f>
        <v/>
      </c>
      <c r="AC1379" s="50" t="str">
        <f>IF(Table5[[#This Row],[Ovr]]="","",IF(Table5[[#This Row],[cmbList]]="","",Table5[[#This Row],[cmbList]]-Table5[[#This Row],[Ovr]]))</f>
        <v/>
      </c>
      <c r="AD1379" s="54" t="str">
        <f>IF(ISERROR(VLOOKUP($AB1379&amp;"-"&amp;$E1379&amp;" "&amp;F1379,Bonuses!$B$1:$G$1006,4,FALSE)),"",INT(VLOOKUP($AB1379&amp;"-"&amp;$E1379&amp;" "&amp;$F1379,Bonuses!$B$1:$G$1006,4,FALSE)))</f>
        <v/>
      </c>
      <c r="AE13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0" spans="1:31" x14ac:dyDescent="0.25">
      <c r="A1380" s="50">
        <v>17781</v>
      </c>
      <c r="B1380" s="50">
        <f>COUNTIF(Table5[PID],A1380)</f>
        <v>1</v>
      </c>
      <c r="C1380" s="50" t="str">
        <f>IF(COUNTIF(Table3[[#All],[PID]],A1380)&gt;0,"P","B")</f>
        <v>B</v>
      </c>
      <c r="D1380" s="59" t="str">
        <f>IF($C1380="B",INDEX(Batters[[#All],[POS]],MATCH(Table5[[#This Row],[PID]],Batters[[#All],[PID]],0)),INDEX(Table3[[#All],[POS]],MATCH(Table5[[#This Row],[PID]],Table3[[#All],[PID]],0)))</f>
        <v>LF</v>
      </c>
      <c r="E1380" s="52" t="str">
        <f>IF($C1380="B",INDEX(Batters[[#All],[First]],MATCH(Table5[[#This Row],[PID]],Batters[[#All],[PID]],0)),INDEX(Table3[[#All],[First]],MATCH(Table5[[#This Row],[PID]],Table3[[#All],[PID]],0)))</f>
        <v>Motoyuki</v>
      </c>
      <c r="F1380" s="50" t="str">
        <f>IF($C1380="B",INDEX(Batters[[#All],[Last]],MATCH(A1380,Batters[[#All],[PID]],0)),INDEX(Table3[[#All],[Last]],MATCH(A1380,Table3[[#All],[PID]],0)))</f>
        <v>Yoshimura</v>
      </c>
      <c r="G1380" s="56">
        <f>IF($C1380="B",INDEX(Batters[[#All],[Age]],MATCH(Table5[[#This Row],[PID]],Batters[[#All],[PID]],0)),INDEX(Table3[[#All],[Age]],MATCH(Table5[[#This Row],[PID]],Table3[[#All],[PID]],0)))</f>
        <v>21</v>
      </c>
      <c r="H1380" s="52" t="str">
        <f>IF($C1380="B",INDEX(Batters[[#All],[B]],MATCH(Table5[[#This Row],[PID]],Batters[[#All],[PID]],0)),INDEX(Table3[[#All],[B]],MATCH(Table5[[#This Row],[PID]],Table3[[#All],[PID]],0)))</f>
        <v>R</v>
      </c>
      <c r="I1380" s="70" t="str">
        <f>IF($C1380="B",INDEX(Batters[[#All],[T]],MATCH(Table5[[#This Row],[PID]],Batters[[#All],[PID]],0)),INDEX(Table3[[#All],[T]],MATCH(Table5[[#This Row],[PID]],Table3[[#All],[PID]],0)))</f>
        <v>R</v>
      </c>
      <c r="J1380" s="52" t="str">
        <f>IF($C1380="B",INDEX(Batters[[#All],[WE]],MATCH(Table5[[#This Row],[PID]],Batters[[#All],[PID]],0)),INDEX(Table3[[#All],[WE]],MATCH(Table5[[#This Row],[PID]],Table3[[#All],[PID]],0)))</f>
        <v>Low</v>
      </c>
      <c r="K1380" s="52" t="str">
        <f>IF($C1380="B",INDEX(Batters[[#All],[INT]],MATCH(Table5[[#This Row],[PID]],Batters[[#All],[PID]],0)),INDEX(Table3[[#All],[INT]],MATCH(Table5[[#This Row],[PID]],Table3[[#All],[PID]],0)))</f>
        <v>Normal</v>
      </c>
      <c r="L1380" s="60">
        <f>IF($C1380="B",INDEX(Batters[[#All],[CON P]],MATCH(Table5[[#This Row],[PID]],Batters[[#All],[PID]],0)),INDEX(Table3[[#All],[STU P]],MATCH(Table5[[#This Row],[PID]],Table3[[#All],[PID]],0)))</f>
        <v>3</v>
      </c>
      <c r="M1380" s="56">
        <f>IF($C1380="B",INDEX(Batters[[#All],[GAP P]],MATCH(Table5[[#This Row],[PID]],Batters[[#All],[PID]],0)),INDEX(Table3[[#All],[MOV P]],MATCH(Table5[[#This Row],[PID]],Table3[[#All],[PID]],0)))</f>
        <v>3</v>
      </c>
      <c r="N1380" s="56">
        <f>IF($C1380="B",INDEX(Batters[[#All],[POW P]],MATCH(Table5[[#This Row],[PID]],Batters[[#All],[PID]],0)),INDEX(Table3[[#All],[CON P]],MATCH(Table5[[#This Row],[PID]],Table3[[#All],[PID]],0)))</f>
        <v>4</v>
      </c>
      <c r="O1380" s="56">
        <f>IF($C1380="B",INDEX(Batters[[#All],[EYE P]],MATCH(Table5[[#This Row],[PID]],Batters[[#All],[PID]],0)),INDEX(Table3[[#All],[VELO]],MATCH(Table5[[#This Row],[PID]],Table3[[#All],[PID]],0)))</f>
        <v>4</v>
      </c>
      <c r="P1380" s="56">
        <f>IF($C1380="B",INDEX(Batters[[#All],[K P]],MATCH(Table5[[#This Row],[PID]],Batters[[#All],[PID]],0)),INDEX(Table3[[#All],[STM]],MATCH(Table5[[#This Row],[PID]],Table3[[#All],[PID]],0)))</f>
        <v>4</v>
      </c>
      <c r="Q1380" s="61">
        <f>IF($C1380="B",INDEX(Batters[[#All],[Tot]],MATCH(Table5[[#This Row],[PID]],Batters[[#All],[PID]],0)),INDEX(Table3[[#All],[Tot]],MATCH(Table5[[#This Row],[PID]],Table3[[#All],[PID]],0)))</f>
        <v>36.152236186404359</v>
      </c>
      <c r="R1380" s="70">
        <f>IF($C1380="B",INDEX(Batters[[#All],[zScore]],MATCH(Table5[[#This Row],[PID]],Batters[[#All],[PID]],0)),INDEX(Table3[[#All],[zScore]],MATCH(Table5[[#This Row],[PID]],Table3[[#All],[PID]],0)))</f>
        <v>-1.7691542115504699</v>
      </c>
      <c r="S1380" s="79" t="str">
        <f>IF($C1380="B",INDEX(Batters[[#All],[DEM]],MATCH(Table5[[#This Row],[PID]],Batters[[#All],[PID]],0)),INDEX(Table3[[#All],[DEM]],MATCH(Table5[[#This Row],[PID]],Table3[[#All],[PID]],0)))</f>
        <v>-</v>
      </c>
      <c r="T1380" s="62">
        <f>IF($C1380="B",INDEX(Batters[[#All],[Rnk]],MATCH(Table5[[#This Row],[PID]],Batters[[#All],[PID]],0)),INDEX(Table3[[#All],[Rnk]],MATCH(Table5[[#This Row],[PID]],Table3[[#All],[PID]],0)))</f>
        <v>594</v>
      </c>
      <c r="U1380" s="68">
        <f>IF($C1380="B",VLOOKUP($A1380,Bat!$A$4:$BA$1621,47,FALSE),VLOOKUP($A1380,Pit!$A$4:$BF$1557,56,FALSE))</f>
        <v>0</v>
      </c>
      <c r="V1380" s="50">
        <f>IF($C1380="B",VLOOKUP($A1380,Bat!$A$4:$BA$1621,48,FALSE),VLOOKUP($A1380,Pit!$A$4:$BF$1557,57,FALSE))</f>
        <v>0</v>
      </c>
      <c r="W1380" s="50">
        <f>Table5[[#This Row],[posRnk]]+Table5[[#This Row],[zRnk]]+IF($W$3&lt;&gt;Table5[[#This Row],[Type]],50,0)</f>
        <v>2015</v>
      </c>
      <c r="X1380" s="51">
        <f>RANK(Table5[[#This Row],[zScore]],Table5[[#All],[zScore]])</f>
        <v>1371</v>
      </c>
      <c r="Y1380" s="50" t="str">
        <f>IFERROR(INDEX(DraftResults[[#All],[OVR]],MATCH(Table5[[#This Row],[PID]],DraftResults[[#All],[Player ID]],0)),"")</f>
        <v/>
      </c>
      <c r="Z13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0" s="50" t="str">
        <f>IFERROR(INDEX(DraftResults[[#All],[Pick in Round]],MATCH(Table5[[#This Row],[PID]],DraftResults[[#All],[Player ID]],0)),"")</f>
        <v/>
      </c>
      <c r="AB1380" s="50" t="str">
        <f>IFERROR(INDEX(DraftResults[[#All],[Team Name]],MATCH(Table5[[#This Row],[PID]],DraftResults[[#All],[Player ID]],0)),"")</f>
        <v/>
      </c>
      <c r="AC1380" s="50" t="str">
        <f>IF(Table5[[#This Row],[Ovr]]="","",IF(Table5[[#This Row],[cmbList]]="","",Table5[[#This Row],[cmbList]]-Table5[[#This Row],[Ovr]]))</f>
        <v/>
      </c>
      <c r="AD1380" s="54" t="str">
        <f>IF(ISERROR(VLOOKUP($AB1380&amp;"-"&amp;$E1380&amp;" "&amp;F1380,Bonuses!$B$1:$G$1006,4,FALSE)),"",INT(VLOOKUP($AB1380&amp;"-"&amp;$E1380&amp;" "&amp;$F1380,Bonuses!$B$1:$G$1006,4,FALSE)))</f>
        <v/>
      </c>
      <c r="AE13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1" spans="1:31" x14ac:dyDescent="0.25">
      <c r="A1381" s="50">
        <v>16938</v>
      </c>
      <c r="B1381" s="50">
        <f>COUNTIF(Table5[PID],A1381)</f>
        <v>1</v>
      </c>
      <c r="C1381" s="50" t="str">
        <f>IF(COUNTIF(Table3[[#All],[PID]],A1381)&gt;0,"P","B")</f>
        <v>B</v>
      </c>
      <c r="D1381" s="59" t="str">
        <f>IF($C1381="B",INDEX(Batters[[#All],[POS]],MATCH(Table5[[#This Row],[PID]],Batters[[#All],[PID]],0)),INDEX(Table3[[#All],[POS]],MATCH(Table5[[#This Row],[PID]],Table3[[#All],[PID]],0)))</f>
        <v>1B</v>
      </c>
      <c r="E1381" s="52" t="str">
        <f>IF($C1381="B",INDEX(Batters[[#All],[First]],MATCH(Table5[[#This Row],[PID]],Batters[[#All],[PID]],0)),INDEX(Table3[[#All],[First]],MATCH(Table5[[#This Row],[PID]],Table3[[#All],[PID]],0)))</f>
        <v>Jim</v>
      </c>
      <c r="F1381" s="50" t="str">
        <f>IF($C1381="B",INDEX(Batters[[#All],[Last]],MATCH(A1381,Batters[[#All],[PID]],0)),INDEX(Table3[[#All],[Last]],MATCH(A1381,Table3[[#All],[PID]],0)))</f>
        <v>St. John</v>
      </c>
      <c r="G1381" s="56">
        <f>IF($C1381="B",INDEX(Batters[[#All],[Age]],MATCH(Table5[[#This Row],[PID]],Batters[[#All],[PID]],0)),INDEX(Table3[[#All],[Age]],MATCH(Table5[[#This Row],[PID]],Table3[[#All],[PID]],0)))</f>
        <v>21</v>
      </c>
      <c r="H1381" s="52" t="str">
        <f>IF($C1381="B",INDEX(Batters[[#All],[B]],MATCH(Table5[[#This Row],[PID]],Batters[[#All],[PID]],0)),INDEX(Table3[[#All],[B]],MATCH(Table5[[#This Row],[PID]],Table3[[#All],[PID]],0)))</f>
        <v>L</v>
      </c>
      <c r="I1381" s="70" t="str">
        <f>IF($C1381="B",INDEX(Batters[[#All],[T]],MATCH(Table5[[#This Row],[PID]],Batters[[#All],[PID]],0)),INDEX(Table3[[#All],[T]],MATCH(Table5[[#This Row],[PID]],Table3[[#All],[PID]],0)))</f>
        <v>L</v>
      </c>
      <c r="J1381" s="52" t="str">
        <f>IF($C1381="B",INDEX(Batters[[#All],[WE]],MATCH(Table5[[#This Row],[PID]],Batters[[#All],[PID]],0)),INDEX(Table3[[#All],[WE]],MATCH(Table5[[#This Row],[PID]],Table3[[#All],[PID]],0)))</f>
        <v>Normal</v>
      </c>
      <c r="K1381" s="52" t="str">
        <f>IF($C1381="B",INDEX(Batters[[#All],[INT]],MATCH(Table5[[#This Row],[PID]],Batters[[#All],[PID]],0)),INDEX(Table3[[#All],[INT]],MATCH(Table5[[#This Row],[PID]],Table3[[#All],[PID]],0)))</f>
        <v>Normal</v>
      </c>
      <c r="L1381" s="60">
        <f>IF($C1381="B",INDEX(Batters[[#All],[CON P]],MATCH(Table5[[#This Row],[PID]],Batters[[#All],[PID]],0)),INDEX(Table3[[#All],[STU P]],MATCH(Table5[[#This Row],[PID]],Table3[[#All],[PID]],0)))</f>
        <v>3</v>
      </c>
      <c r="M1381" s="56">
        <f>IF($C1381="B",INDEX(Batters[[#All],[GAP P]],MATCH(Table5[[#This Row],[PID]],Batters[[#All],[PID]],0)),INDEX(Table3[[#All],[MOV P]],MATCH(Table5[[#This Row],[PID]],Table3[[#All],[PID]],0)))</f>
        <v>4</v>
      </c>
      <c r="N1381" s="56">
        <f>IF($C1381="B",INDEX(Batters[[#All],[POW P]],MATCH(Table5[[#This Row],[PID]],Batters[[#All],[PID]],0)),INDEX(Table3[[#All],[CON P]],MATCH(Table5[[#This Row],[PID]],Table3[[#All],[PID]],0)))</f>
        <v>2</v>
      </c>
      <c r="O1381" s="56">
        <f>IF($C1381="B",INDEX(Batters[[#All],[EYE P]],MATCH(Table5[[#This Row],[PID]],Batters[[#All],[PID]],0)),INDEX(Table3[[#All],[VELO]],MATCH(Table5[[#This Row],[PID]],Table3[[#All],[PID]],0)))</f>
        <v>5</v>
      </c>
      <c r="P1381" s="56">
        <f>IF($C1381="B",INDEX(Batters[[#All],[K P]],MATCH(Table5[[#This Row],[PID]],Batters[[#All],[PID]],0)),INDEX(Table3[[#All],[STM]],MATCH(Table5[[#This Row],[PID]],Table3[[#All],[PID]],0)))</f>
        <v>4</v>
      </c>
      <c r="Q1381" s="61">
        <f>IF($C1381="B",INDEX(Batters[[#All],[Tot]],MATCH(Table5[[#This Row],[PID]],Batters[[#All],[PID]],0)),INDEX(Table3[[#All],[Tot]],MATCH(Table5[[#This Row],[PID]],Table3[[#All],[PID]],0)))</f>
        <v>36.142787433695368</v>
      </c>
      <c r="R1381" s="70">
        <f>IF($C1381="B",INDEX(Batters[[#All],[zScore]],MATCH(Table5[[#This Row],[PID]],Batters[[#All],[PID]],0)),INDEX(Table3[[#All],[zScore]],MATCH(Table5[[#This Row],[PID]],Table3[[#All],[PID]],0)))</f>
        <v>-1.7712490638936942</v>
      </c>
      <c r="S1381" s="79" t="str">
        <f>IF($C1381="B",INDEX(Batters[[#All],[DEM]],MATCH(Table5[[#This Row],[PID]],Batters[[#All],[PID]],0)),INDEX(Table3[[#All],[DEM]],MATCH(Table5[[#This Row],[PID]],Table3[[#All],[PID]],0)))</f>
        <v>-</v>
      </c>
      <c r="T1381" s="62">
        <f>IF($C1381="B",INDEX(Batters[[#All],[Rnk]],MATCH(Table5[[#This Row],[PID]],Batters[[#All],[PID]],0)),INDEX(Table3[[#All],[Rnk]],MATCH(Table5[[#This Row],[PID]],Table3[[#All],[PID]],0)))</f>
        <v>595</v>
      </c>
      <c r="U1381" s="68">
        <f>IF($C1381="B",VLOOKUP($A1381,Bat!$A$4:$BA$1621,47,FALSE),VLOOKUP($A1381,Pit!$A$4:$BF$1557,56,FALSE))</f>
        <v>0</v>
      </c>
      <c r="V1381" s="50">
        <f>IF($C1381="B",VLOOKUP($A1381,Bat!$A$4:$BA$1621,48,FALSE),VLOOKUP($A1381,Pit!$A$4:$BF$1557,57,FALSE))</f>
        <v>0</v>
      </c>
      <c r="W1381" s="50">
        <f>Table5[[#This Row],[posRnk]]+Table5[[#This Row],[zRnk]]+IF($W$3&lt;&gt;Table5[[#This Row],[Type]],50,0)</f>
        <v>2017</v>
      </c>
      <c r="X1381" s="51">
        <f>RANK(Table5[[#This Row],[zScore]],Table5[[#All],[zScore]])</f>
        <v>1372</v>
      </c>
      <c r="Y1381" s="50" t="str">
        <f>IFERROR(INDEX(DraftResults[[#All],[OVR]],MATCH(Table5[[#This Row],[PID]],DraftResults[[#All],[Player ID]],0)),"")</f>
        <v/>
      </c>
      <c r="Z13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1" s="50" t="str">
        <f>IFERROR(INDEX(DraftResults[[#All],[Pick in Round]],MATCH(Table5[[#This Row],[PID]],DraftResults[[#All],[Player ID]],0)),"")</f>
        <v/>
      </c>
      <c r="AB1381" s="50" t="str">
        <f>IFERROR(INDEX(DraftResults[[#All],[Team Name]],MATCH(Table5[[#This Row],[PID]],DraftResults[[#All],[Player ID]],0)),"")</f>
        <v/>
      </c>
      <c r="AC1381" s="50" t="str">
        <f>IF(Table5[[#This Row],[Ovr]]="","",IF(Table5[[#This Row],[cmbList]]="","",Table5[[#This Row],[cmbList]]-Table5[[#This Row],[Ovr]]))</f>
        <v/>
      </c>
      <c r="AD1381" s="54" t="str">
        <f>IF(ISERROR(VLOOKUP($AB1381&amp;"-"&amp;$E1381&amp;" "&amp;F1381,Bonuses!$B$1:$G$1006,4,FALSE)),"",INT(VLOOKUP($AB1381&amp;"-"&amp;$E1381&amp;" "&amp;$F1381,Bonuses!$B$1:$G$1006,4,FALSE)))</f>
        <v/>
      </c>
      <c r="AE13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2" spans="1:31" x14ac:dyDescent="0.25">
      <c r="A1382" s="50">
        <v>17992</v>
      </c>
      <c r="B1382" s="50">
        <f>COUNTIF(Table5[PID],A1382)</f>
        <v>1</v>
      </c>
      <c r="C1382" s="50" t="str">
        <f>IF(COUNTIF(Table3[[#All],[PID]],A1382)&gt;0,"P","B")</f>
        <v>B</v>
      </c>
      <c r="D1382" s="59" t="str">
        <f>IF($C1382="B",INDEX(Batters[[#All],[POS]],MATCH(Table5[[#This Row],[PID]],Batters[[#All],[PID]],0)),INDEX(Table3[[#All],[POS]],MATCH(Table5[[#This Row],[PID]],Table3[[#All],[PID]],0)))</f>
        <v>LF</v>
      </c>
      <c r="E1382" s="52" t="str">
        <f>IF($C1382="B",INDEX(Batters[[#All],[First]],MATCH(Table5[[#This Row],[PID]],Batters[[#All],[PID]],0)),INDEX(Table3[[#All],[First]],MATCH(Table5[[#This Row],[PID]],Table3[[#All],[PID]],0)))</f>
        <v>Mike</v>
      </c>
      <c r="F1382" s="50" t="str">
        <f>IF($C1382="B",INDEX(Batters[[#All],[Last]],MATCH(A1382,Batters[[#All],[PID]],0)),INDEX(Table3[[#All],[Last]],MATCH(A1382,Table3[[#All],[PID]],0)))</f>
        <v>Hilliard</v>
      </c>
      <c r="G1382" s="56">
        <f>IF($C1382="B",INDEX(Batters[[#All],[Age]],MATCH(Table5[[#This Row],[PID]],Batters[[#All],[PID]],0)),INDEX(Table3[[#All],[Age]],MATCH(Table5[[#This Row],[PID]],Table3[[#All],[PID]],0)))</f>
        <v>22</v>
      </c>
      <c r="H1382" s="52" t="str">
        <f>IF($C1382="B",INDEX(Batters[[#All],[B]],MATCH(Table5[[#This Row],[PID]],Batters[[#All],[PID]],0)),INDEX(Table3[[#All],[B]],MATCH(Table5[[#This Row],[PID]],Table3[[#All],[PID]],0)))</f>
        <v>R</v>
      </c>
      <c r="I1382" s="70" t="str">
        <f>IF($C1382="B",INDEX(Batters[[#All],[T]],MATCH(Table5[[#This Row],[PID]],Batters[[#All],[PID]],0)),INDEX(Table3[[#All],[T]],MATCH(Table5[[#This Row],[PID]],Table3[[#All],[PID]],0)))</f>
        <v>R</v>
      </c>
      <c r="J1382" s="52" t="str">
        <f>IF($C1382="B",INDEX(Batters[[#All],[WE]],MATCH(Table5[[#This Row],[PID]],Batters[[#All],[PID]],0)),INDEX(Table3[[#All],[WE]],MATCH(Table5[[#This Row],[PID]],Table3[[#All],[PID]],0)))</f>
        <v>Low</v>
      </c>
      <c r="K1382" s="52" t="str">
        <f>IF($C1382="B",INDEX(Batters[[#All],[INT]],MATCH(Table5[[#This Row],[PID]],Batters[[#All],[PID]],0)),INDEX(Table3[[#All],[INT]],MATCH(Table5[[#This Row],[PID]],Table3[[#All],[PID]],0)))</f>
        <v>Low</v>
      </c>
      <c r="L1382" s="60">
        <f>IF($C1382="B",INDEX(Batters[[#All],[CON P]],MATCH(Table5[[#This Row],[PID]],Batters[[#All],[PID]],0)),INDEX(Table3[[#All],[STU P]],MATCH(Table5[[#This Row],[PID]],Table3[[#All],[PID]],0)))</f>
        <v>3</v>
      </c>
      <c r="M1382" s="56">
        <f>IF($C1382="B",INDEX(Batters[[#All],[GAP P]],MATCH(Table5[[#This Row],[PID]],Batters[[#All],[PID]],0)),INDEX(Table3[[#All],[MOV P]],MATCH(Table5[[#This Row],[PID]],Table3[[#All],[PID]],0)))</f>
        <v>3</v>
      </c>
      <c r="N1382" s="56">
        <f>IF($C1382="B",INDEX(Batters[[#All],[POW P]],MATCH(Table5[[#This Row],[PID]],Batters[[#All],[PID]],0)),INDEX(Table3[[#All],[CON P]],MATCH(Table5[[#This Row],[PID]],Table3[[#All],[PID]],0)))</f>
        <v>4</v>
      </c>
      <c r="O1382" s="56">
        <f>IF($C1382="B",INDEX(Batters[[#All],[EYE P]],MATCH(Table5[[#This Row],[PID]],Batters[[#All],[PID]],0)),INDEX(Table3[[#All],[VELO]],MATCH(Table5[[#This Row],[PID]],Table3[[#All],[PID]],0)))</f>
        <v>5</v>
      </c>
      <c r="P1382" s="56">
        <f>IF($C1382="B",INDEX(Batters[[#All],[K P]],MATCH(Table5[[#This Row],[PID]],Batters[[#All],[PID]],0)),INDEX(Table3[[#All],[STM]],MATCH(Table5[[#This Row],[PID]],Table3[[#All],[PID]],0)))</f>
        <v>2</v>
      </c>
      <c r="Q1382" s="61">
        <f>IF($C1382="B",INDEX(Batters[[#All],[Tot]],MATCH(Table5[[#This Row],[PID]],Batters[[#All],[PID]],0)),INDEX(Table3[[#All],[Tot]],MATCH(Table5[[#This Row],[PID]],Table3[[#All],[PID]],0)))</f>
        <v>36.128407335623351</v>
      </c>
      <c r="R1382" s="70">
        <f>IF($C1382="B",INDEX(Batters[[#All],[zScore]],MATCH(Table5[[#This Row],[PID]],Batters[[#All],[PID]],0)),INDEX(Table3[[#All],[zScore]],MATCH(Table5[[#This Row],[PID]],Table3[[#All],[PID]],0)))</f>
        <v>-1.7744372288367025</v>
      </c>
      <c r="S1382" s="79" t="str">
        <f>IF($C1382="B",INDEX(Batters[[#All],[DEM]],MATCH(Table5[[#This Row],[PID]],Batters[[#All],[PID]],0)),INDEX(Table3[[#All],[DEM]],MATCH(Table5[[#This Row],[PID]],Table3[[#All],[PID]],0)))</f>
        <v>-</v>
      </c>
      <c r="T1382" s="62">
        <f>IF($C1382="B",INDEX(Batters[[#All],[Rnk]],MATCH(Table5[[#This Row],[PID]],Batters[[#All],[PID]],0)),INDEX(Table3[[#All],[Rnk]],MATCH(Table5[[#This Row],[PID]],Table3[[#All],[PID]],0)))</f>
        <v>596</v>
      </c>
      <c r="U1382" s="68">
        <f>IF($C1382="B",VLOOKUP($A1382,Bat!$A$4:$BA$1621,47,FALSE),VLOOKUP($A1382,Pit!$A$4:$BF$1557,56,FALSE))</f>
        <v>0</v>
      </c>
      <c r="V1382" s="50">
        <f>IF($C1382="B",VLOOKUP($A1382,Bat!$A$4:$BA$1621,48,FALSE),VLOOKUP($A1382,Pit!$A$4:$BF$1557,57,FALSE))</f>
        <v>0</v>
      </c>
      <c r="W1382" s="50">
        <f>Table5[[#This Row],[posRnk]]+Table5[[#This Row],[zRnk]]+IF($W$3&lt;&gt;Table5[[#This Row],[Type]],50,0)</f>
        <v>2019</v>
      </c>
      <c r="X1382" s="51">
        <f>RANK(Table5[[#This Row],[zScore]],Table5[[#All],[zScore]])</f>
        <v>1373</v>
      </c>
      <c r="Y1382" s="50" t="str">
        <f>IFERROR(INDEX(DraftResults[[#All],[OVR]],MATCH(Table5[[#This Row],[PID]],DraftResults[[#All],[Player ID]],0)),"")</f>
        <v/>
      </c>
      <c r="Z13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2" s="50" t="str">
        <f>IFERROR(INDEX(DraftResults[[#All],[Pick in Round]],MATCH(Table5[[#This Row],[PID]],DraftResults[[#All],[Player ID]],0)),"")</f>
        <v/>
      </c>
      <c r="AB1382" s="50" t="str">
        <f>IFERROR(INDEX(DraftResults[[#All],[Team Name]],MATCH(Table5[[#This Row],[PID]],DraftResults[[#All],[Player ID]],0)),"")</f>
        <v/>
      </c>
      <c r="AC1382" s="50" t="str">
        <f>IF(Table5[[#This Row],[Ovr]]="","",IF(Table5[[#This Row],[cmbList]]="","",Table5[[#This Row],[cmbList]]-Table5[[#This Row],[Ovr]]))</f>
        <v/>
      </c>
      <c r="AD1382" s="54" t="str">
        <f>IF(ISERROR(VLOOKUP($AB1382&amp;"-"&amp;$E1382&amp;" "&amp;F1382,Bonuses!$B$1:$G$1006,4,FALSE)),"",INT(VLOOKUP($AB1382&amp;"-"&amp;$E1382&amp;" "&amp;$F1382,Bonuses!$B$1:$G$1006,4,FALSE)))</f>
        <v/>
      </c>
      <c r="AE13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3" spans="1:31" x14ac:dyDescent="0.25">
      <c r="A1383" s="50">
        <v>17763</v>
      </c>
      <c r="B1383" s="50">
        <f>COUNTIF(Table5[PID],A1383)</f>
        <v>1</v>
      </c>
      <c r="C1383" s="50" t="str">
        <f>IF(COUNTIF(Table3[[#All],[PID]],A1383)&gt;0,"P","B")</f>
        <v>B</v>
      </c>
      <c r="D1383" s="59" t="str">
        <f>IF($C1383="B",INDEX(Batters[[#All],[POS]],MATCH(Table5[[#This Row],[PID]],Batters[[#All],[PID]],0)),INDEX(Table3[[#All],[POS]],MATCH(Table5[[#This Row],[PID]],Table3[[#All],[PID]],0)))</f>
        <v>LF</v>
      </c>
      <c r="E1383" s="52" t="str">
        <f>IF($C1383="B",INDEX(Batters[[#All],[First]],MATCH(Table5[[#This Row],[PID]],Batters[[#All],[PID]],0)),INDEX(Table3[[#All],[First]],MATCH(Table5[[#This Row],[PID]],Table3[[#All],[PID]],0)))</f>
        <v>Tamotsu</v>
      </c>
      <c r="F1383" s="50" t="str">
        <f>IF($C1383="B",INDEX(Batters[[#All],[Last]],MATCH(A1383,Batters[[#All],[PID]],0)),INDEX(Table3[[#All],[Last]],MATCH(A1383,Table3[[#All],[PID]],0)))</f>
        <v>Suzuki</v>
      </c>
      <c r="G1383" s="56">
        <f>IF($C1383="B",INDEX(Batters[[#All],[Age]],MATCH(Table5[[#This Row],[PID]],Batters[[#All],[PID]],0)),INDEX(Table3[[#All],[Age]],MATCH(Table5[[#This Row],[PID]],Table3[[#All],[PID]],0)))</f>
        <v>21</v>
      </c>
      <c r="H1383" s="52" t="str">
        <f>IF($C1383="B",INDEX(Batters[[#All],[B]],MATCH(Table5[[#This Row],[PID]],Batters[[#All],[PID]],0)),INDEX(Table3[[#All],[B]],MATCH(Table5[[#This Row],[PID]],Table3[[#All],[PID]],0)))</f>
        <v>L</v>
      </c>
      <c r="I1383" s="70" t="str">
        <f>IF($C1383="B",INDEX(Batters[[#All],[T]],MATCH(Table5[[#This Row],[PID]],Batters[[#All],[PID]],0)),INDEX(Table3[[#All],[T]],MATCH(Table5[[#This Row],[PID]],Table3[[#All],[PID]],0)))</f>
        <v>L</v>
      </c>
      <c r="J1383" s="52" t="str">
        <f>IF($C1383="B",INDEX(Batters[[#All],[WE]],MATCH(Table5[[#This Row],[PID]],Batters[[#All],[PID]],0)),INDEX(Table3[[#All],[WE]],MATCH(Table5[[#This Row],[PID]],Table3[[#All],[PID]],0)))</f>
        <v>Low</v>
      </c>
      <c r="K1383" s="52" t="str">
        <f>IF($C1383="B",INDEX(Batters[[#All],[INT]],MATCH(Table5[[#This Row],[PID]],Batters[[#All],[PID]],0)),INDEX(Table3[[#All],[INT]],MATCH(Table5[[#This Row],[PID]],Table3[[#All],[PID]],0)))</f>
        <v>Normal</v>
      </c>
      <c r="L1383" s="60">
        <f>IF($C1383="B",INDEX(Batters[[#All],[CON P]],MATCH(Table5[[#This Row],[PID]],Batters[[#All],[PID]],0)),INDEX(Table3[[#All],[STU P]],MATCH(Table5[[#This Row],[PID]],Table3[[#All],[PID]],0)))</f>
        <v>3</v>
      </c>
      <c r="M1383" s="56">
        <f>IF($C1383="B",INDEX(Batters[[#All],[GAP P]],MATCH(Table5[[#This Row],[PID]],Batters[[#All],[PID]],0)),INDEX(Table3[[#All],[MOV P]],MATCH(Table5[[#This Row],[PID]],Table3[[#All],[PID]],0)))</f>
        <v>3</v>
      </c>
      <c r="N1383" s="56">
        <f>IF($C1383="B",INDEX(Batters[[#All],[POW P]],MATCH(Table5[[#This Row],[PID]],Batters[[#All],[PID]],0)),INDEX(Table3[[#All],[CON P]],MATCH(Table5[[#This Row],[PID]],Table3[[#All],[PID]],0)))</f>
        <v>3</v>
      </c>
      <c r="O1383" s="56">
        <f>IF($C1383="B",INDEX(Batters[[#All],[EYE P]],MATCH(Table5[[#This Row],[PID]],Batters[[#All],[PID]],0)),INDEX(Table3[[#All],[VELO]],MATCH(Table5[[#This Row],[PID]],Table3[[#All],[PID]],0)))</f>
        <v>5</v>
      </c>
      <c r="P1383" s="56">
        <f>IF($C1383="B",INDEX(Batters[[#All],[K P]],MATCH(Table5[[#This Row],[PID]],Batters[[#All],[PID]],0)),INDEX(Table3[[#All],[STM]],MATCH(Table5[[#This Row],[PID]],Table3[[#All],[PID]],0)))</f>
        <v>3</v>
      </c>
      <c r="Q1383" s="61">
        <f>IF($C1383="B",INDEX(Batters[[#All],[Tot]],MATCH(Table5[[#This Row],[PID]],Batters[[#All],[PID]],0)),INDEX(Table3[[#All],[Tot]],MATCH(Table5[[#This Row],[PID]],Table3[[#All],[PID]],0)))</f>
        <v>36.124864678391297</v>
      </c>
      <c r="R1383" s="70">
        <f>IF($C1383="B",INDEX(Batters[[#All],[zScore]],MATCH(Table5[[#This Row],[PID]],Batters[[#All],[PID]],0)),INDEX(Table3[[#All],[zScore]],MATCH(Table5[[#This Row],[PID]],Table3[[#All],[PID]],0)))</f>
        <v>-1.7752226598911891</v>
      </c>
      <c r="S1383" s="79" t="str">
        <f>IF($C1383="B",INDEX(Batters[[#All],[DEM]],MATCH(Table5[[#This Row],[PID]],Batters[[#All],[PID]],0)),INDEX(Table3[[#All],[DEM]],MATCH(Table5[[#This Row],[PID]],Table3[[#All],[PID]],0)))</f>
        <v>-</v>
      </c>
      <c r="T1383" s="62">
        <f>IF($C1383="B",INDEX(Batters[[#All],[Rnk]],MATCH(Table5[[#This Row],[PID]],Batters[[#All],[PID]],0)),INDEX(Table3[[#All],[Rnk]],MATCH(Table5[[#This Row],[PID]],Table3[[#All],[PID]],0)))</f>
        <v>597</v>
      </c>
      <c r="U1383" s="68">
        <f>IF($C1383="B",VLOOKUP($A1383,Bat!$A$4:$BA$1621,47,FALSE),VLOOKUP($A1383,Pit!$A$4:$BF$1557,56,FALSE))</f>
        <v>0</v>
      </c>
      <c r="V1383" s="50">
        <f>IF($C1383="B",VLOOKUP($A1383,Bat!$A$4:$BA$1621,48,FALSE),VLOOKUP($A1383,Pit!$A$4:$BF$1557,57,FALSE))</f>
        <v>0</v>
      </c>
      <c r="W1383" s="50">
        <f>Table5[[#This Row],[posRnk]]+Table5[[#This Row],[zRnk]]+IF($W$3&lt;&gt;Table5[[#This Row],[Type]],50,0)</f>
        <v>2021</v>
      </c>
      <c r="X1383" s="51">
        <f>RANK(Table5[[#This Row],[zScore]],Table5[[#All],[zScore]])</f>
        <v>1374</v>
      </c>
      <c r="Y1383" s="50" t="str">
        <f>IFERROR(INDEX(DraftResults[[#All],[OVR]],MATCH(Table5[[#This Row],[PID]],DraftResults[[#All],[Player ID]],0)),"")</f>
        <v/>
      </c>
      <c r="Z13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3" s="50" t="str">
        <f>IFERROR(INDEX(DraftResults[[#All],[Pick in Round]],MATCH(Table5[[#This Row],[PID]],DraftResults[[#All],[Player ID]],0)),"")</f>
        <v/>
      </c>
      <c r="AB1383" s="50" t="str">
        <f>IFERROR(INDEX(DraftResults[[#All],[Team Name]],MATCH(Table5[[#This Row],[PID]],DraftResults[[#All],[Player ID]],0)),"")</f>
        <v/>
      </c>
      <c r="AC1383" s="50" t="str">
        <f>IF(Table5[[#This Row],[Ovr]]="","",IF(Table5[[#This Row],[cmbList]]="","",Table5[[#This Row],[cmbList]]-Table5[[#This Row],[Ovr]]))</f>
        <v/>
      </c>
      <c r="AD1383" s="54" t="str">
        <f>IF(ISERROR(VLOOKUP($AB1383&amp;"-"&amp;$E1383&amp;" "&amp;F1383,Bonuses!$B$1:$G$1006,4,FALSE)),"",INT(VLOOKUP($AB1383&amp;"-"&amp;$E1383&amp;" "&amp;$F1383,Bonuses!$B$1:$G$1006,4,FALSE)))</f>
        <v/>
      </c>
      <c r="AE13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4" spans="1:31" x14ac:dyDescent="0.25">
      <c r="A1384" s="50">
        <v>9722</v>
      </c>
      <c r="B1384" s="50">
        <f>COUNTIF(Table5[PID],A1384)</f>
        <v>1</v>
      </c>
      <c r="C1384" s="50" t="str">
        <f>IF(COUNTIF(Table3[[#All],[PID]],A1384)&gt;0,"P","B")</f>
        <v>B</v>
      </c>
      <c r="D1384" s="59" t="str">
        <f>IF($C1384="B",INDEX(Batters[[#All],[POS]],MATCH(Table5[[#This Row],[PID]],Batters[[#All],[PID]],0)),INDEX(Table3[[#All],[POS]],MATCH(Table5[[#This Row],[PID]],Table3[[#All],[PID]],0)))</f>
        <v>RF</v>
      </c>
      <c r="E1384" s="52" t="str">
        <f>IF($C1384="B",INDEX(Batters[[#All],[First]],MATCH(Table5[[#This Row],[PID]],Batters[[#All],[PID]],0)),INDEX(Table3[[#All],[First]],MATCH(Table5[[#This Row],[PID]],Table3[[#All],[PID]],0)))</f>
        <v>Jeff</v>
      </c>
      <c r="F1384" s="50" t="str">
        <f>IF($C1384="B",INDEX(Batters[[#All],[Last]],MATCH(A1384,Batters[[#All],[PID]],0)),INDEX(Table3[[#All],[Last]],MATCH(A1384,Table3[[#All],[PID]],0)))</f>
        <v>Mathews</v>
      </c>
      <c r="G1384" s="56">
        <f>IF($C1384="B",INDEX(Batters[[#All],[Age]],MATCH(Table5[[#This Row],[PID]],Batters[[#All],[PID]],0)),INDEX(Table3[[#All],[Age]],MATCH(Table5[[#This Row],[PID]],Table3[[#All],[PID]],0)))</f>
        <v>22</v>
      </c>
      <c r="H1384" s="52" t="str">
        <f>IF($C1384="B",INDEX(Batters[[#All],[B]],MATCH(Table5[[#This Row],[PID]],Batters[[#All],[PID]],0)),INDEX(Table3[[#All],[B]],MATCH(Table5[[#This Row],[PID]],Table3[[#All],[PID]],0)))</f>
        <v>L</v>
      </c>
      <c r="I1384" s="70" t="str">
        <f>IF($C1384="B",INDEX(Batters[[#All],[T]],MATCH(Table5[[#This Row],[PID]],Batters[[#All],[PID]],0)),INDEX(Table3[[#All],[T]],MATCH(Table5[[#This Row],[PID]],Table3[[#All],[PID]],0)))</f>
        <v>L</v>
      </c>
      <c r="J1384" s="52" t="str">
        <f>IF($C1384="B",INDEX(Batters[[#All],[WE]],MATCH(Table5[[#This Row],[PID]],Batters[[#All],[PID]],0)),INDEX(Table3[[#All],[WE]],MATCH(Table5[[#This Row],[PID]],Table3[[#All],[PID]],0)))</f>
        <v>Low</v>
      </c>
      <c r="K1384" s="52" t="str">
        <f>IF($C1384="B",INDEX(Batters[[#All],[INT]],MATCH(Table5[[#This Row],[PID]],Batters[[#All],[PID]],0)),INDEX(Table3[[#All],[INT]],MATCH(Table5[[#This Row],[PID]],Table3[[#All],[PID]],0)))</f>
        <v>Low</v>
      </c>
      <c r="L1384" s="60">
        <f>IF($C1384="B",INDEX(Batters[[#All],[CON P]],MATCH(Table5[[#This Row],[PID]],Batters[[#All],[PID]],0)),INDEX(Table3[[#All],[STU P]],MATCH(Table5[[#This Row],[PID]],Table3[[#All],[PID]],0)))</f>
        <v>3</v>
      </c>
      <c r="M1384" s="56">
        <f>IF($C1384="B",INDEX(Batters[[#All],[GAP P]],MATCH(Table5[[#This Row],[PID]],Batters[[#All],[PID]],0)),INDEX(Table3[[#All],[MOV P]],MATCH(Table5[[#This Row],[PID]],Table3[[#All],[PID]],0)))</f>
        <v>4</v>
      </c>
      <c r="N1384" s="56">
        <f>IF($C1384="B",INDEX(Batters[[#All],[POW P]],MATCH(Table5[[#This Row],[PID]],Batters[[#All],[PID]],0)),INDEX(Table3[[#All],[CON P]],MATCH(Table5[[#This Row],[PID]],Table3[[#All],[PID]],0)))</f>
        <v>3</v>
      </c>
      <c r="O1384" s="56">
        <f>IF($C1384="B",INDEX(Batters[[#All],[EYE P]],MATCH(Table5[[#This Row],[PID]],Batters[[#All],[PID]],0)),INDEX(Table3[[#All],[VELO]],MATCH(Table5[[#This Row],[PID]],Table3[[#All],[PID]],0)))</f>
        <v>5</v>
      </c>
      <c r="P1384" s="56">
        <f>IF($C1384="B",INDEX(Batters[[#All],[K P]],MATCH(Table5[[#This Row],[PID]],Batters[[#All],[PID]],0)),INDEX(Table3[[#All],[STM]],MATCH(Table5[[#This Row],[PID]],Table3[[#All],[PID]],0)))</f>
        <v>3</v>
      </c>
      <c r="Q1384" s="61">
        <f>IF($C1384="B",INDEX(Batters[[#All],[Tot]],MATCH(Table5[[#This Row],[PID]],Batters[[#All],[PID]],0)),INDEX(Table3[[#All],[Tot]],MATCH(Table5[[#This Row],[PID]],Table3[[#All],[PID]],0)))</f>
        <v>36.092689221777604</v>
      </c>
      <c r="R1384" s="70">
        <f>IF($C1384="B",INDEX(Batters[[#All],[zScore]],MATCH(Table5[[#This Row],[PID]],Batters[[#All],[PID]],0)),INDEX(Table3[[#All],[zScore]],MATCH(Table5[[#This Row],[PID]],Table3[[#All],[PID]],0)))</f>
        <v>-1.7823561761083473</v>
      </c>
      <c r="S1384" s="79" t="str">
        <f>IF($C1384="B",INDEX(Batters[[#All],[DEM]],MATCH(Table5[[#This Row],[PID]],Batters[[#All],[PID]],0)),INDEX(Table3[[#All],[DEM]],MATCH(Table5[[#This Row],[PID]],Table3[[#All],[PID]],0)))</f>
        <v>-</v>
      </c>
      <c r="T1384" s="62">
        <f>IF($C1384="B",INDEX(Batters[[#All],[Rnk]],MATCH(Table5[[#This Row],[PID]],Batters[[#All],[PID]],0)),INDEX(Table3[[#All],[Rnk]],MATCH(Table5[[#This Row],[PID]],Table3[[#All],[PID]],0)))</f>
        <v>598</v>
      </c>
      <c r="U1384" s="68">
        <f>IF($C1384="B",VLOOKUP($A1384,Bat!$A$4:$BA$1621,47,FALSE),VLOOKUP($A1384,Pit!$A$4:$BF$1557,56,FALSE))</f>
        <v>0</v>
      </c>
      <c r="V1384" s="50">
        <f>IF($C1384="B",VLOOKUP($A1384,Bat!$A$4:$BA$1621,48,FALSE),VLOOKUP($A1384,Pit!$A$4:$BF$1557,57,FALSE))</f>
        <v>0</v>
      </c>
      <c r="W1384" s="50">
        <f>Table5[[#This Row],[posRnk]]+Table5[[#This Row],[zRnk]]+IF($W$3&lt;&gt;Table5[[#This Row],[Type]],50,0)</f>
        <v>2023</v>
      </c>
      <c r="X1384" s="51">
        <f>RANK(Table5[[#This Row],[zScore]],Table5[[#All],[zScore]])</f>
        <v>1375</v>
      </c>
      <c r="Y1384" s="50" t="str">
        <f>IFERROR(INDEX(DraftResults[[#All],[OVR]],MATCH(Table5[[#This Row],[PID]],DraftResults[[#All],[Player ID]],0)),"")</f>
        <v/>
      </c>
      <c r="Z13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4" s="50" t="str">
        <f>IFERROR(INDEX(DraftResults[[#All],[Pick in Round]],MATCH(Table5[[#This Row],[PID]],DraftResults[[#All],[Player ID]],0)),"")</f>
        <v/>
      </c>
      <c r="AB1384" s="50" t="str">
        <f>IFERROR(INDEX(DraftResults[[#All],[Team Name]],MATCH(Table5[[#This Row],[PID]],DraftResults[[#All],[Player ID]],0)),"")</f>
        <v/>
      </c>
      <c r="AC1384" s="50" t="str">
        <f>IF(Table5[[#This Row],[Ovr]]="","",IF(Table5[[#This Row],[cmbList]]="","",Table5[[#This Row],[cmbList]]-Table5[[#This Row],[Ovr]]))</f>
        <v/>
      </c>
      <c r="AD1384" s="54" t="str">
        <f>IF(ISERROR(VLOOKUP($AB1384&amp;"-"&amp;$E1384&amp;" "&amp;F1384,Bonuses!$B$1:$G$1006,4,FALSE)),"",INT(VLOOKUP($AB1384&amp;"-"&amp;$E1384&amp;" "&amp;$F1384,Bonuses!$B$1:$G$1006,4,FALSE)))</f>
        <v/>
      </c>
      <c r="AE13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5" spans="1:31" x14ac:dyDescent="0.25">
      <c r="A1385" s="50">
        <v>16396</v>
      </c>
      <c r="B1385" s="55">
        <f>COUNTIF(Table5[PID],A1385)</f>
        <v>1</v>
      </c>
      <c r="C1385" s="55" t="str">
        <f>IF(COUNTIF(Table3[[#All],[PID]],A1385)&gt;0,"P","B")</f>
        <v>B</v>
      </c>
      <c r="D1385" s="59" t="str">
        <f>IF($C1385="B",INDEX(Batters[[#All],[POS]],MATCH(Table5[[#This Row],[PID]],Batters[[#All],[PID]],0)),INDEX(Table3[[#All],[POS]],MATCH(Table5[[#This Row],[PID]],Table3[[#All],[PID]],0)))</f>
        <v>1B</v>
      </c>
      <c r="E1385" s="52" t="str">
        <f>IF($C1385="B",INDEX(Batters[[#All],[First]],MATCH(Table5[[#This Row],[PID]],Batters[[#All],[PID]],0)),INDEX(Table3[[#All],[First]],MATCH(Table5[[#This Row],[PID]],Table3[[#All],[PID]],0)))</f>
        <v>Eduardo</v>
      </c>
      <c r="F1385" s="50" t="str">
        <f>IF($C1385="B",INDEX(Batters[[#All],[Last]],MATCH(A1385,Batters[[#All],[PID]],0)),INDEX(Table3[[#All],[Last]],MATCH(A1385,Table3[[#All],[PID]],0)))</f>
        <v>Sánchez</v>
      </c>
      <c r="G1385" s="56">
        <f>IF($C1385="B",INDEX(Batters[[#All],[Age]],MATCH(Table5[[#This Row],[PID]],Batters[[#All],[PID]],0)),INDEX(Table3[[#All],[Age]],MATCH(Table5[[#This Row],[PID]],Table3[[#All],[PID]],0)))</f>
        <v>22</v>
      </c>
      <c r="H1385" s="52" t="str">
        <f>IF($C1385="B",INDEX(Batters[[#All],[B]],MATCH(Table5[[#This Row],[PID]],Batters[[#All],[PID]],0)),INDEX(Table3[[#All],[B]],MATCH(Table5[[#This Row],[PID]],Table3[[#All],[PID]],0)))</f>
        <v>R</v>
      </c>
      <c r="I1385" s="70" t="str">
        <f>IF($C1385="B",INDEX(Batters[[#All],[T]],MATCH(Table5[[#This Row],[PID]],Batters[[#All],[PID]],0)),INDEX(Table3[[#All],[T]],MATCH(Table5[[#This Row],[PID]],Table3[[#All],[PID]],0)))</f>
        <v>R</v>
      </c>
      <c r="J1385" s="52" t="str">
        <f>IF($C1385="B",INDEX(Batters[[#All],[WE]],MATCH(Table5[[#This Row],[PID]],Batters[[#All],[PID]],0)),INDEX(Table3[[#All],[WE]],MATCH(Table5[[#This Row],[PID]],Table3[[#All],[PID]],0)))</f>
        <v>Low</v>
      </c>
      <c r="K1385" s="52" t="str">
        <f>IF($C1385="B",INDEX(Batters[[#All],[INT]],MATCH(Table5[[#This Row],[PID]],Batters[[#All],[PID]],0)),INDEX(Table3[[#All],[INT]],MATCH(Table5[[#This Row],[PID]],Table3[[#All],[PID]],0)))</f>
        <v>High</v>
      </c>
      <c r="L1385" s="60">
        <f>IF($C1385="B",INDEX(Batters[[#All],[CON P]],MATCH(Table5[[#This Row],[PID]],Batters[[#All],[PID]],0)),INDEX(Table3[[#All],[STU P]],MATCH(Table5[[#This Row],[PID]],Table3[[#All],[PID]],0)))</f>
        <v>3</v>
      </c>
      <c r="M1385" s="56">
        <f>IF($C1385="B",INDEX(Batters[[#All],[GAP P]],MATCH(Table5[[#This Row],[PID]],Batters[[#All],[PID]],0)),INDEX(Table3[[#All],[MOV P]],MATCH(Table5[[#This Row],[PID]],Table3[[#All],[PID]],0)))</f>
        <v>3</v>
      </c>
      <c r="N1385" s="56">
        <f>IF($C1385="B",INDEX(Batters[[#All],[POW P]],MATCH(Table5[[#This Row],[PID]],Batters[[#All],[PID]],0)),INDEX(Table3[[#All],[CON P]],MATCH(Table5[[#This Row],[PID]],Table3[[#All],[PID]],0)))</f>
        <v>3</v>
      </c>
      <c r="O1385" s="56">
        <f>IF($C1385="B",INDEX(Batters[[#All],[EYE P]],MATCH(Table5[[#This Row],[PID]],Batters[[#All],[PID]],0)),INDEX(Table3[[#All],[VELO]],MATCH(Table5[[#This Row],[PID]],Table3[[#All],[PID]],0)))</f>
        <v>5</v>
      </c>
      <c r="P1385" s="56">
        <f>IF($C1385="B",INDEX(Batters[[#All],[K P]],MATCH(Table5[[#This Row],[PID]],Batters[[#All],[PID]],0)),INDEX(Table3[[#All],[STM]],MATCH(Table5[[#This Row],[PID]],Table3[[#All],[PID]],0)))</f>
        <v>3</v>
      </c>
      <c r="Q1385" s="61">
        <f>IF($C1385="B",INDEX(Batters[[#All],[Tot]],MATCH(Table5[[#This Row],[PID]],Batters[[#All],[PID]],0)),INDEX(Table3[[#All],[Tot]],MATCH(Table5[[#This Row],[PID]],Table3[[#All],[PID]],0)))</f>
        <v>36.078064839831818</v>
      </c>
      <c r="R1385" s="70">
        <f>IF($C1385="B",INDEX(Batters[[#All],[zScore]],MATCH(Table5[[#This Row],[PID]],Batters[[#All],[PID]],0)),INDEX(Table3[[#All],[zScore]],MATCH(Table5[[#This Row],[PID]],Table3[[#All],[PID]],0)))</f>
        <v>-1.785598500437376</v>
      </c>
      <c r="S1385" s="79" t="str">
        <f>IF($C1385="B",INDEX(Batters[[#All],[DEM]],MATCH(Table5[[#This Row],[PID]],Batters[[#All],[PID]],0)),INDEX(Table3[[#All],[DEM]],MATCH(Table5[[#This Row],[PID]],Table3[[#All],[PID]],0)))</f>
        <v>-</v>
      </c>
      <c r="T1385" s="62">
        <f>IF($C1385="B",INDEX(Batters[[#All],[Rnk]],MATCH(Table5[[#This Row],[PID]],Batters[[#All],[PID]],0)),INDEX(Table3[[#All],[Rnk]],MATCH(Table5[[#This Row],[PID]],Table3[[#All],[PID]],0)))</f>
        <v>599</v>
      </c>
      <c r="U1385" s="68">
        <f>IF($C1385="B",VLOOKUP($A1385,Bat!$A$4:$BA$1621,47,FALSE),VLOOKUP($A1385,Pit!$A$4:$BF$1557,56,FALSE))</f>
        <v>0</v>
      </c>
      <c r="V1385" s="50">
        <f>IF($C1385="B",VLOOKUP($A1385,Bat!$A$4:$BA$1621,48,FALSE),VLOOKUP($A1385,Pit!$A$4:$BF$1557,57,FALSE))</f>
        <v>0</v>
      </c>
      <c r="W1385" s="50">
        <f>Table5[[#This Row],[posRnk]]+Table5[[#This Row],[zRnk]]+IF($W$3&lt;&gt;Table5[[#This Row],[Type]],50,0)</f>
        <v>2025</v>
      </c>
      <c r="X1385" s="51">
        <f>RANK(Table5[[#This Row],[zScore]],Table5[[#All],[zScore]])</f>
        <v>1376</v>
      </c>
      <c r="Y1385" s="50" t="str">
        <f>IFERROR(INDEX(DraftResults[[#All],[OVR]],MATCH(Table5[[#This Row],[PID]],DraftResults[[#All],[Player ID]],0)),"")</f>
        <v/>
      </c>
      <c r="Z13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5" s="50" t="str">
        <f>IFERROR(INDEX(DraftResults[[#All],[Pick in Round]],MATCH(Table5[[#This Row],[PID]],DraftResults[[#All],[Player ID]],0)),"")</f>
        <v/>
      </c>
      <c r="AB1385" s="50" t="str">
        <f>IFERROR(INDEX(DraftResults[[#All],[Team Name]],MATCH(Table5[[#This Row],[PID]],DraftResults[[#All],[Player ID]],0)),"")</f>
        <v/>
      </c>
      <c r="AC1385" s="50" t="str">
        <f>IF(Table5[[#This Row],[Ovr]]="","",IF(Table5[[#This Row],[cmbList]]="","",Table5[[#This Row],[cmbList]]-Table5[[#This Row],[Ovr]]))</f>
        <v/>
      </c>
      <c r="AD1385" s="54" t="str">
        <f>IF(ISERROR(VLOOKUP($AB1385&amp;"-"&amp;$E1385&amp;" "&amp;F1385,Bonuses!$B$1:$G$1006,4,FALSE)),"",INT(VLOOKUP($AB1385&amp;"-"&amp;$E1385&amp;" "&amp;$F1385,Bonuses!$B$1:$G$1006,4,FALSE)))</f>
        <v/>
      </c>
      <c r="AE13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6" spans="1:31" x14ac:dyDescent="0.25">
      <c r="A1386" s="50">
        <v>9560</v>
      </c>
      <c r="B1386" s="50">
        <f>COUNTIF(Table5[PID],A1386)</f>
        <v>1</v>
      </c>
      <c r="C1386" s="50" t="str">
        <f>IF(COUNTIF(Table3[[#All],[PID]],A1386)&gt;0,"P","B")</f>
        <v>B</v>
      </c>
      <c r="D1386" s="59" t="str">
        <f>IF($C1386="B",INDEX(Batters[[#All],[POS]],MATCH(Table5[[#This Row],[PID]],Batters[[#All],[PID]],0)),INDEX(Table3[[#All],[POS]],MATCH(Table5[[#This Row],[PID]],Table3[[#All],[PID]],0)))</f>
        <v>C</v>
      </c>
      <c r="E1386" s="52" t="str">
        <f>IF($C1386="B",INDEX(Batters[[#All],[First]],MATCH(Table5[[#This Row],[PID]],Batters[[#All],[PID]],0)),INDEX(Table3[[#All],[First]],MATCH(Table5[[#This Row],[PID]],Table3[[#All],[PID]],0)))</f>
        <v>Jeffrey</v>
      </c>
      <c r="F1386" s="50" t="str">
        <f>IF($C1386="B",INDEX(Batters[[#All],[Last]],MATCH(A1386,Batters[[#All],[PID]],0)),INDEX(Table3[[#All],[Last]],MATCH(A1386,Table3[[#All],[PID]],0)))</f>
        <v>Sherman</v>
      </c>
      <c r="G1386" s="56">
        <f>IF($C1386="B",INDEX(Batters[[#All],[Age]],MATCH(Table5[[#This Row],[PID]],Batters[[#All],[PID]],0)),INDEX(Table3[[#All],[Age]],MATCH(Table5[[#This Row],[PID]],Table3[[#All],[PID]],0)))</f>
        <v>22</v>
      </c>
      <c r="H1386" s="52" t="str">
        <f>IF($C1386="B",INDEX(Batters[[#All],[B]],MATCH(Table5[[#This Row],[PID]],Batters[[#All],[PID]],0)),INDEX(Table3[[#All],[B]],MATCH(Table5[[#This Row],[PID]],Table3[[#All],[PID]],0)))</f>
        <v>R</v>
      </c>
      <c r="I1386" s="70" t="str">
        <f>IF($C1386="B",INDEX(Batters[[#All],[T]],MATCH(Table5[[#This Row],[PID]],Batters[[#All],[PID]],0)),INDEX(Table3[[#All],[T]],MATCH(Table5[[#This Row],[PID]],Table3[[#All],[PID]],0)))</f>
        <v>R</v>
      </c>
      <c r="J1386" s="52" t="str">
        <f>IF($C1386="B",INDEX(Batters[[#All],[WE]],MATCH(Table5[[#This Row],[PID]],Batters[[#All],[PID]],0)),INDEX(Table3[[#All],[WE]],MATCH(Table5[[#This Row],[PID]],Table3[[#All],[PID]],0)))</f>
        <v>Normal</v>
      </c>
      <c r="K1386" s="52" t="str">
        <f>IF($C1386="B",INDEX(Batters[[#All],[INT]],MATCH(Table5[[#This Row],[PID]],Batters[[#All],[PID]],0)),INDEX(Table3[[#All],[INT]],MATCH(Table5[[#This Row],[PID]],Table3[[#All],[PID]],0)))</f>
        <v>Normal</v>
      </c>
      <c r="L1386" s="60">
        <f>IF($C1386="B",INDEX(Batters[[#All],[CON P]],MATCH(Table5[[#This Row],[PID]],Batters[[#All],[PID]],0)),INDEX(Table3[[#All],[STU P]],MATCH(Table5[[#This Row],[PID]],Table3[[#All],[PID]],0)))</f>
        <v>3</v>
      </c>
      <c r="M1386" s="56">
        <f>IF($C1386="B",INDEX(Batters[[#All],[GAP P]],MATCH(Table5[[#This Row],[PID]],Batters[[#All],[PID]],0)),INDEX(Table3[[#All],[MOV P]],MATCH(Table5[[#This Row],[PID]],Table3[[#All],[PID]],0)))</f>
        <v>3</v>
      </c>
      <c r="N1386" s="56">
        <f>IF($C1386="B",INDEX(Batters[[#All],[POW P]],MATCH(Table5[[#This Row],[PID]],Batters[[#All],[PID]],0)),INDEX(Table3[[#All],[CON P]],MATCH(Table5[[#This Row],[PID]],Table3[[#All],[PID]],0)))</f>
        <v>3</v>
      </c>
      <c r="O1386" s="56">
        <f>IF($C1386="B",INDEX(Batters[[#All],[EYE P]],MATCH(Table5[[#This Row],[PID]],Batters[[#All],[PID]],0)),INDEX(Table3[[#All],[VELO]],MATCH(Table5[[#This Row],[PID]],Table3[[#All],[PID]],0)))</f>
        <v>5</v>
      </c>
      <c r="P1386" s="56">
        <f>IF($C1386="B",INDEX(Batters[[#All],[K P]],MATCH(Table5[[#This Row],[PID]],Batters[[#All],[PID]],0)),INDEX(Table3[[#All],[STM]],MATCH(Table5[[#This Row],[PID]],Table3[[#All],[PID]],0)))</f>
        <v>3</v>
      </c>
      <c r="Q1386" s="61">
        <f>IF($C1386="B",INDEX(Batters[[#All],[Tot]],MATCH(Table5[[#This Row],[PID]],Batters[[#All],[PID]],0)),INDEX(Table3[[#All],[Tot]],MATCH(Table5[[#This Row],[PID]],Table3[[#All],[PID]],0)))</f>
        <v>36.078064839831818</v>
      </c>
      <c r="R1386" s="70">
        <f>IF($C1386="B",INDEX(Batters[[#All],[zScore]],MATCH(Table5[[#This Row],[PID]],Batters[[#All],[PID]],0)),INDEX(Table3[[#All],[zScore]],MATCH(Table5[[#This Row],[PID]],Table3[[#All],[PID]],0)))</f>
        <v>-1.785598500437376</v>
      </c>
      <c r="S1386" s="79" t="str">
        <f>IF($C1386="B",INDEX(Batters[[#All],[DEM]],MATCH(Table5[[#This Row],[PID]],Batters[[#All],[PID]],0)),INDEX(Table3[[#All],[DEM]],MATCH(Table5[[#This Row],[PID]],Table3[[#All],[PID]],0)))</f>
        <v>-</v>
      </c>
      <c r="T1386" s="62">
        <f>IF($C1386="B",INDEX(Batters[[#All],[Rnk]],MATCH(Table5[[#This Row],[PID]],Batters[[#All],[PID]],0)),INDEX(Table3[[#All],[Rnk]],MATCH(Table5[[#This Row],[PID]],Table3[[#All],[PID]],0)))</f>
        <v>599</v>
      </c>
      <c r="U1386" s="68">
        <f>IF($C1386="B",VLOOKUP($A1386,Bat!$A$4:$BA$1621,47,FALSE),VLOOKUP($A1386,Pit!$A$4:$BF$1557,56,FALSE))</f>
        <v>0</v>
      </c>
      <c r="V1386" s="50">
        <f>IF($C1386="B",VLOOKUP($A1386,Bat!$A$4:$BA$1621,48,FALSE),VLOOKUP($A1386,Pit!$A$4:$BF$1557,57,FALSE))</f>
        <v>0</v>
      </c>
      <c r="W1386" s="50">
        <f>Table5[[#This Row],[posRnk]]+Table5[[#This Row],[zRnk]]+IF($W$3&lt;&gt;Table5[[#This Row],[Type]],50,0)</f>
        <v>2025</v>
      </c>
      <c r="X1386" s="51">
        <f>RANK(Table5[[#This Row],[zScore]],Table5[[#All],[zScore]])</f>
        <v>1376</v>
      </c>
      <c r="Y1386" s="50" t="str">
        <f>IFERROR(INDEX(DraftResults[[#All],[OVR]],MATCH(Table5[[#This Row],[PID]],DraftResults[[#All],[Player ID]],0)),"")</f>
        <v/>
      </c>
      <c r="Z13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6" s="50" t="str">
        <f>IFERROR(INDEX(DraftResults[[#All],[Pick in Round]],MATCH(Table5[[#This Row],[PID]],DraftResults[[#All],[Player ID]],0)),"")</f>
        <v/>
      </c>
      <c r="AB1386" s="50" t="str">
        <f>IFERROR(INDEX(DraftResults[[#All],[Team Name]],MATCH(Table5[[#This Row],[PID]],DraftResults[[#All],[Player ID]],0)),"")</f>
        <v/>
      </c>
      <c r="AC1386" s="50" t="str">
        <f>IF(Table5[[#This Row],[Ovr]]="","",IF(Table5[[#This Row],[cmbList]]="","",Table5[[#This Row],[cmbList]]-Table5[[#This Row],[Ovr]]))</f>
        <v/>
      </c>
      <c r="AD1386" s="54" t="str">
        <f>IF(ISERROR(VLOOKUP($AB1386&amp;"-"&amp;$E1386&amp;" "&amp;F1386,Bonuses!$B$1:$G$1006,4,FALSE)),"",INT(VLOOKUP($AB1386&amp;"-"&amp;$E1386&amp;" "&amp;$F1386,Bonuses!$B$1:$G$1006,4,FALSE)))</f>
        <v/>
      </c>
      <c r="AE13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7" spans="1:31" x14ac:dyDescent="0.25">
      <c r="A1387" s="50">
        <v>15332</v>
      </c>
      <c r="B1387" s="50">
        <f>COUNTIF(Table5[PID],A1387)</f>
        <v>1</v>
      </c>
      <c r="C1387" s="50" t="str">
        <f>IF(COUNTIF(Table3[[#All],[PID]],A1387)&gt;0,"P","B")</f>
        <v>B</v>
      </c>
      <c r="D1387" s="59" t="str">
        <f>IF($C1387="B",INDEX(Batters[[#All],[POS]],MATCH(Table5[[#This Row],[PID]],Batters[[#All],[PID]],0)),INDEX(Table3[[#All],[POS]],MATCH(Table5[[#This Row],[PID]],Table3[[#All],[PID]],0)))</f>
        <v>C</v>
      </c>
      <c r="E1387" s="52" t="str">
        <f>IF($C1387="B",INDEX(Batters[[#All],[First]],MATCH(Table5[[#This Row],[PID]],Batters[[#All],[PID]],0)),INDEX(Table3[[#All],[First]],MATCH(Table5[[#This Row],[PID]],Table3[[#All],[PID]],0)))</f>
        <v>Naofumi</v>
      </c>
      <c r="F1387" s="50" t="str">
        <f>IF($C1387="B",INDEX(Batters[[#All],[Last]],MATCH(A1387,Batters[[#All],[PID]],0)),INDEX(Table3[[#All],[Last]],MATCH(A1387,Table3[[#All],[PID]],0)))</f>
        <v>Miyazaki</v>
      </c>
      <c r="G1387" s="56">
        <f>IF($C1387="B",INDEX(Batters[[#All],[Age]],MATCH(Table5[[#This Row],[PID]],Batters[[#All],[PID]],0)),INDEX(Table3[[#All],[Age]],MATCH(Table5[[#This Row],[PID]],Table3[[#All],[PID]],0)))</f>
        <v>18</v>
      </c>
      <c r="H1387" s="52" t="str">
        <f>IF($C1387="B",INDEX(Batters[[#All],[B]],MATCH(Table5[[#This Row],[PID]],Batters[[#All],[PID]],0)),INDEX(Table3[[#All],[B]],MATCH(Table5[[#This Row],[PID]],Table3[[#All],[PID]],0)))</f>
        <v>R</v>
      </c>
      <c r="I1387" s="70" t="str">
        <f>IF($C1387="B",INDEX(Batters[[#All],[T]],MATCH(Table5[[#This Row],[PID]],Batters[[#All],[PID]],0)),INDEX(Table3[[#All],[T]],MATCH(Table5[[#This Row],[PID]],Table3[[#All],[PID]],0)))</f>
        <v>R</v>
      </c>
      <c r="J1387" s="52" t="str">
        <f>IF($C1387="B",INDEX(Batters[[#All],[WE]],MATCH(Table5[[#This Row],[PID]],Batters[[#All],[PID]],0)),INDEX(Table3[[#All],[WE]],MATCH(Table5[[#This Row],[PID]],Table3[[#All],[PID]],0)))</f>
        <v>Low</v>
      </c>
      <c r="K1387" s="52" t="str">
        <f>IF($C1387="B",INDEX(Batters[[#All],[INT]],MATCH(Table5[[#This Row],[PID]],Batters[[#All],[PID]],0)),INDEX(Table3[[#All],[INT]],MATCH(Table5[[#This Row],[PID]],Table3[[#All],[PID]],0)))</f>
        <v>Low</v>
      </c>
      <c r="L1387" s="60">
        <f>IF($C1387="B",INDEX(Batters[[#All],[CON P]],MATCH(Table5[[#This Row],[PID]],Batters[[#All],[PID]],0)),INDEX(Table3[[#All],[STU P]],MATCH(Table5[[#This Row],[PID]],Table3[[#All],[PID]],0)))</f>
        <v>2</v>
      </c>
      <c r="M1387" s="56">
        <f>IF($C1387="B",INDEX(Batters[[#All],[GAP P]],MATCH(Table5[[#This Row],[PID]],Batters[[#All],[PID]],0)),INDEX(Table3[[#All],[MOV P]],MATCH(Table5[[#This Row],[PID]],Table3[[#All],[PID]],0)))</f>
        <v>3</v>
      </c>
      <c r="N1387" s="56">
        <f>IF($C1387="B",INDEX(Batters[[#All],[POW P]],MATCH(Table5[[#This Row],[PID]],Batters[[#All],[PID]],0)),INDEX(Table3[[#All],[CON P]],MATCH(Table5[[#This Row],[PID]],Table3[[#All],[PID]],0)))</f>
        <v>3</v>
      </c>
      <c r="O1387" s="56">
        <f>IF($C1387="B",INDEX(Batters[[#All],[EYE P]],MATCH(Table5[[#This Row],[PID]],Batters[[#All],[PID]],0)),INDEX(Table3[[#All],[VELO]],MATCH(Table5[[#This Row],[PID]],Table3[[#All],[PID]],0)))</f>
        <v>5</v>
      </c>
      <c r="P1387" s="56">
        <f>IF($C1387="B",INDEX(Batters[[#All],[K P]],MATCH(Table5[[#This Row],[PID]],Batters[[#All],[PID]],0)),INDEX(Table3[[#All],[STM]],MATCH(Table5[[#This Row],[PID]],Table3[[#All],[PID]],0)))</f>
        <v>2</v>
      </c>
      <c r="Q1387" s="61">
        <f>IF($C1387="B",INDEX(Batters[[#All],[Tot]],MATCH(Table5[[#This Row],[PID]],Batters[[#All],[PID]],0)),INDEX(Table3[[#All],[Tot]],MATCH(Table5[[#This Row],[PID]],Table3[[#All],[PID]],0)))</f>
        <v>36.077666039571099</v>
      </c>
      <c r="R1387" s="70">
        <f>IF($C1387="B",INDEX(Batters[[#All],[zScore]],MATCH(Table5[[#This Row],[PID]],Batters[[#All],[PID]],0)),INDEX(Table3[[#All],[zScore]],MATCH(Table5[[#This Row],[PID]],Table3[[#All],[PID]],0)))</f>
        <v>-1.785686917150817</v>
      </c>
      <c r="S1387" s="79" t="str">
        <f>IF($C1387="B",INDEX(Batters[[#All],[DEM]],MATCH(Table5[[#This Row],[PID]],Batters[[#All],[PID]],0)),INDEX(Table3[[#All],[DEM]],MATCH(Table5[[#This Row],[PID]],Table3[[#All],[PID]],0)))</f>
        <v>$65k</v>
      </c>
      <c r="T1387" s="62">
        <f>IF($C1387="B",INDEX(Batters[[#All],[Rnk]],MATCH(Table5[[#This Row],[PID]],Batters[[#All],[PID]],0)),INDEX(Table3[[#All],[Rnk]],MATCH(Table5[[#This Row],[PID]],Table3[[#All],[PID]],0)))</f>
        <v>601</v>
      </c>
      <c r="U1387" s="68">
        <f>IF($C1387="B",VLOOKUP($A1387,Bat!$A$4:$BA$1621,47,FALSE),VLOOKUP($A1387,Pit!$A$4:$BF$1557,56,FALSE))</f>
        <v>0</v>
      </c>
      <c r="V1387" s="50">
        <f>IF($C1387="B",VLOOKUP($A1387,Bat!$A$4:$BA$1621,48,FALSE),VLOOKUP($A1387,Pit!$A$4:$BF$1557,57,FALSE))</f>
        <v>0</v>
      </c>
      <c r="W1387" s="50">
        <f>Table5[[#This Row],[posRnk]]+Table5[[#This Row],[zRnk]]+IF($W$3&lt;&gt;Table5[[#This Row],[Type]],50,0)</f>
        <v>2029</v>
      </c>
      <c r="X1387" s="51">
        <f>RANK(Table5[[#This Row],[zScore]],Table5[[#All],[zScore]])</f>
        <v>1378</v>
      </c>
      <c r="Y1387" s="50" t="str">
        <f>IFERROR(INDEX(DraftResults[[#All],[OVR]],MATCH(Table5[[#This Row],[PID]],DraftResults[[#All],[Player ID]],0)),"")</f>
        <v/>
      </c>
      <c r="Z13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7" s="50" t="str">
        <f>IFERROR(INDEX(DraftResults[[#All],[Pick in Round]],MATCH(Table5[[#This Row],[PID]],DraftResults[[#All],[Player ID]],0)),"")</f>
        <v/>
      </c>
      <c r="AB1387" s="50" t="str">
        <f>IFERROR(INDEX(DraftResults[[#All],[Team Name]],MATCH(Table5[[#This Row],[PID]],DraftResults[[#All],[Player ID]],0)),"")</f>
        <v/>
      </c>
      <c r="AC1387" s="50" t="str">
        <f>IF(Table5[[#This Row],[Ovr]]="","",IF(Table5[[#This Row],[cmbList]]="","",Table5[[#This Row],[cmbList]]-Table5[[#This Row],[Ovr]]))</f>
        <v/>
      </c>
      <c r="AD1387" s="54" t="str">
        <f>IF(ISERROR(VLOOKUP($AB1387&amp;"-"&amp;$E1387&amp;" "&amp;F1387,Bonuses!$B$1:$G$1006,4,FALSE)),"",INT(VLOOKUP($AB1387&amp;"-"&amp;$E1387&amp;" "&amp;$F1387,Bonuses!$B$1:$G$1006,4,FALSE)))</f>
        <v/>
      </c>
      <c r="AE13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8" spans="1:31" x14ac:dyDescent="0.25">
      <c r="A1388" s="50">
        <v>15667</v>
      </c>
      <c r="B1388" s="50">
        <f>COUNTIF(Table5[PID],A1388)</f>
        <v>1</v>
      </c>
      <c r="C1388" s="50" t="str">
        <f>IF(COUNTIF(Table3[[#All],[PID]],A1388)&gt;0,"P","B")</f>
        <v>B</v>
      </c>
      <c r="D1388" s="59" t="str">
        <f>IF($C1388="B",INDEX(Batters[[#All],[POS]],MATCH(Table5[[#This Row],[PID]],Batters[[#All],[PID]],0)),INDEX(Table3[[#All],[POS]],MATCH(Table5[[#This Row],[PID]],Table3[[#All],[PID]],0)))</f>
        <v>C</v>
      </c>
      <c r="E1388" s="52" t="str">
        <f>IF($C1388="B",INDEX(Batters[[#All],[First]],MATCH(Table5[[#This Row],[PID]],Batters[[#All],[PID]],0)),INDEX(Table3[[#All],[First]],MATCH(Table5[[#This Row],[PID]],Table3[[#All],[PID]],0)))</f>
        <v>Shingen</v>
      </c>
      <c r="F1388" s="50" t="str">
        <f>IF($C1388="B",INDEX(Batters[[#All],[Last]],MATCH(A1388,Batters[[#All],[PID]],0)),INDEX(Table3[[#All],[Last]],MATCH(A1388,Table3[[#All],[PID]],0)))</f>
        <v>Yamamoto</v>
      </c>
      <c r="G1388" s="56">
        <f>IF($C1388="B",INDEX(Batters[[#All],[Age]],MATCH(Table5[[#This Row],[PID]],Batters[[#All],[PID]],0)),INDEX(Table3[[#All],[Age]],MATCH(Table5[[#This Row],[PID]],Table3[[#All],[PID]],0)))</f>
        <v>21</v>
      </c>
      <c r="H1388" s="52" t="str">
        <f>IF($C1388="B",INDEX(Batters[[#All],[B]],MATCH(Table5[[#This Row],[PID]],Batters[[#All],[PID]],0)),INDEX(Table3[[#All],[B]],MATCH(Table5[[#This Row],[PID]],Table3[[#All],[PID]],0)))</f>
        <v>L</v>
      </c>
      <c r="I1388" s="70" t="str">
        <f>IF($C1388="B",INDEX(Batters[[#All],[T]],MATCH(Table5[[#This Row],[PID]],Batters[[#All],[PID]],0)),INDEX(Table3[[#All],[T]],MATCH(Table5[[#This Row],[PID]],Table3[[#All],[PID]],0)))</f>
        <v>R</v>
      </c>
      <c r="J1388" s="52" t="str">
        <f>IF($C1388="B",INDEX(Batters[[#All],[WE]],MATCH(Table5[[#This Row],[PID]],Batters[[#All],[PID]],0)),INDEX(Table3[[#All],[WE]],MATCH(Table5[[#This Row],[PID]],Table3[[#All],[PID]],0)))</f>
        <v>Normal</v>
      </c>
      <c r="K1388" s="52" t="str">
        <f>IF($C1388="B",INDEX(Batters[[#All],[INT]],MATCH(Table5[[#This Row],[PID]],Batters[[#All],[PID]],0)),INDEX(Table3[[#All],[INT]],MATCH(Table5[[#This Row],[PID]],Table3[[#All],[PID]],0)))</f>
        <v>Normal</v>
      </c>
      <c r="L1388" s="60">
        <f>IF($C1388="B",INDEX(Batters[[#All],[CON P]],MATCH(Table5[[#This Row],[PID]],Batters[[#All],[PID]],0)),INDEX(Table3[[#All],[STU P]],MATCH(Table5[[#This Row],[PID]],Table3[[#All],[PID]],0)))</f>
        <v>3</v>
      </c>
      <c r="M1388" s="56">
        <f>IF($C1388="B",INDEX(Batters[[#All],[GAP P]],MATCH(Table5[[#This Row],[PID]],Batters[[#All],[PID]],0)),INDEX(Table3[[#All],[MOV P]],MATCH(Table5[[#This Row],[PID]],Table3[[#All],[PID]],0)))</f>
        <v>3</v>
      </c>
      <c r="N1388" s="56">
        <f>IF($C1388="B",INDEX(Batters[[#All],[POW P]],MATCH(Table5[[#This Row],[PID]],Batters[[#All],[PID]],0)),INDEX(Table3[[#All],[CON P]],MATCH(Table5[[#This Row],[PID]],Table3[[#All],[PID]],0)))</f>
        <v>3</v>
      </c>
      <c r="O1388" s="56">
        <f>IF($C1388="B",INDEX(Batters[[#All],[EYE P]],MATCH(Table5[[#This Row],[PID]],Batters[[#All],[PID]],0)),INDEX(Table3[[#All],[VELO]],MATCH(Table5[[#This Row],[PID]],Table3[[#All],[PID]],0)))</f>
        <v>5</v>
      </c>
      <c r="P1388" s="56">
        <f>IF($C1388="B",INDEX(Batters[[#All],[K P]],MATCH(Table5[[#This Row],[PID]],Batters[[#All],[PID]],0)),INDEX(Table3[[#All],[STM]],MATCH(Table5[[#This Row],[PID]],Table3[[#All],[PID]],0)))</f>
        <v>3</v>
      </c>
      <c r="Q1388" s="61">
        <f>IF($C1388="B",INDEX(Batters[[#All],[Tot]],MATCH(Table5[[#This Row],[PID]],Batters[[#All],[PID]],0)),INDEX(Table3[[#All],[Tot]],MATCH(Table5[[#This Row],[PID]],Table3[[#All],[PID]],0)))</f>
        <v>36.0285321518082</v>
      </c>
      <c r="R1388" s="70">
        <f>IF($C1388="B",INDEX(Batters[[#All],[zScore]],MATCH(Table5[[#This Row],[PID]],Batters[[#All],[PID]],0)),INDEX(Table3[[#All],[zScore]],MATCH(Table5[[#This Row],[PID]],Table3[[#All],[PID]],0)))</f>
        <v>-1.7965802321821103</v>
      </c>
      <c r="S1388" s="79" t="str">
        <f>IF($C1388="B",INDEX(Batters[[#All],[DEM]],MATCH(Table5[[#This Row],[PID]],Batters[[#All],[PID]],0)),INDEX(Table3[[#All],[DEM]],MATCH(Table5[[#This Row],[PID]],Table3[[#All],[PID]],0)))</f>
        <v>-</v>
      </c>
      <c r="T1388" s="62">
        <f>IF($C1388="B",INDEX(Batters[[#All],[Rnk]],MATCH(Table5[[#This Row],[PID]],Batters[[#All],[PID]],0)),INDEX(Table3[[#All],[Rnk]],MATCH(Table5[[#This Row],[PID]],Table3[[#All],[PID]],0)))</f>
        <v>602</v>
      </c>
      <c r="U1388" s="68">
        <f>IF($C1388="B",VLOOKUP($A1388,Bat!$A$4:$BA$1621,47,FALSE),VLOOKUP($A1388,Pit!$A$4:$BF$1557,56,FALSE))</f>
        <v>0</v>
      </c>
      <c r="V1388" s="50">
        <f>IF($C1388="B",VLOOKUP($A1388,Bat!$A$4:$BA$1621,48,FALSE),VLOOKUP($A1388,Pit!$A$4:$BF$1557,57,FALSE))</f>
        <v>0</v>
      </c>
      <c r="W1388" s="50">
        <f>Table5[[#This Row],[posRnk]]+Table5[[#This Row],[zRnk]]+IF($W$3&lt;&gt;Table5[[#This Row],[Type]],50,0)</f>
        <v>2031</v>
      </c>
      <c r="X1388" s="51">
        <f>RANK(Table5[[#This Row],[zScore]],Table5[[#All],[zScore]])</f>
        <v>1379</v>
      </c>
      <c r="Y1388" s="50" t="str">
        <f>IFERROR(INDEX(DraftResults[[#All],[OVR]],MATCH(Table5[[#This Row],[PID]],DraftResults[[#All],[Player ID]],0)),"")</f>
        <v/>
      </c>
      <c r="Z13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8" s="50" t="str">
        <f>IFERROR(INDEX(DraftResults[[#All],[Pick in Round]],MATCH(Table5[[#This Row],[PID]],DraftResults[[#All],[Player ID]],0)),"")</f>
        <v/>
      </c>
      <c r="AB1388" s="50" t="str">
        <f>IFERROR(INDEX(DraftResults[[#All],[Team Name]],MATCH(Table5[[#This Row],[PID]],DraftResults[[#All],[Player ID]],0)),"")</f>
        <v/>
      </c>
      <c r="AC1388" s="50" t="str">
        <f>IF(Table5[[#This Row],[Ovr]]="","",IF(Table5[[#This Row],[cmbList]]="","",Table5[[#This Row],[cmbList]]-Table5[[#This Row],[Ovr]]))</f>
        <v/>
      </c>
      <c r="AD1388" s="54" t="str">
        <f>IF(ISERROR(VLOOKUP($AB1388&amp;"-"&amp;$E1388&amp;" "&amp;F1388,Bonuses!$B$1:$G$1006,4,FALSE)),"",INT(VLOOKUP($AB1388&amp;"-"&amp;$E1388&amp;" "&amp;$F1388,Bonuses!$B$1:$G$1006,4,FALSE)))</f>
        <v/>
      </c>
      <c r="AE13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89" spans="1:31" x14ac:dyDescent="0.25">
      <c r="A1389" s="50">
        <v>10296</v>
      </c>
      <c r="B1389" s="50">
        <f>COUNTIF(Table5[PID],A1389)</f>
        <v>1</v>
      </c>
      <c r="C1389" s="50" t="str">
        <f>IF(COUNTIF(Table3[[#All],[PID]],A1389)&gt;0,"P","B")</f>
        <v>B</v>
      </c>
      <c r="D1389" s="59" t="str">
        <f>IF($C1389="B",INDEX(Batters[[#All],[POS]],MATCH(Table5[[#This Row],[PID]],Batters[[#All],[PID]],0)),INDEX(Table3[[#All],[POS]],MATCH(Table5[[#This Row],[PID]],Table3[[#All],[PID]],0)))</f>
        <v>LF</v>
      </c>
      <c r="E1389" s="52" t="str">
        <f>IF($C1389="B",INDEX(Batters[[#All],[First]],MATCH(Table5[[#This Row],[PID]],Batters[[#All],[PID]],0)),INDEX(Table3[[#All],[First]],MATCH(Table5[[#This Row],[PID]],Table3[[#All],[PID]],0)))</f>
        <v>Michael</v>
      </c>
      <c r="F1389" s="50" t="str">
        <f>IF($C1389="B",INDEX(Batters[[#All],[Last]],MATCH(A1389,Batters[[#All],[PID]],0)),INDEX(Table3[[#All],[Last]],MATCH(A1389,Table3[[#All],[PID]],0)))</f>
        <v>MacDonald</v>
      </c>
      <c r="G1389" s="56">
        <f>IF($C1389="B",INDEX(Batters[[#All],[Age]],MATCH(Table5[[#This Row],[PID]],Batters[[#All],[PID]],0)),INDEX(Table3[[#All],[Age]],MATCH(Table5[[#This Row],[PID]],Table3[[#All],[PID]],0)))</f>
        <v>22</v>
      </c>
      <c r="H1389" s="52" t="str">
        <f>IF($C1389="B",INDEX(Batters[[#All],[B]],MATCH(Table5[[#This Row],[PID]],Batters[[#All],[PID]],0)),INDEX(Table3[[#All],[B]],MATCH(Table5[[#This Row],[PID]],Table3[[#All],[PID]],0)))</f>
        <v>R</v>
      </c>
      <c r="I1389" s="70" t="str">
        <f>IF($C1389="B",INDEX(Batters[[#All],[T]],MATCH(Table5[[#This Row],[PID]],Batters[[#All],[PID]],0)),INDEX(Table3[[#All],[T]],MATCH(Table5[[#This Row],[PID]],Table3[[#All],[PID]],0)))</f>
        <v>R</v>
      </c>
      <c r="J1389" s="52" t="str">
        <f>IF($C1389="B",INDEX(Batters[[#All],[WE]],MATCH(Table5[[#This Row],[PID]],Batters[[#All],[PID]],0)),INDEX(Table3[[#All],[WE]],MATCH(Table5[[#This Row],[PID]],Table3[[#All],[PID]],0)))</f>
        <v>Normal</v>
      </c>
      <c r="K1389" s="52" t="str">
        <f>IF($C1389="B",INDEX(Batters[[#All],[INT]],MATCH(Table5[[#This Row],[PID]],Batters[[#All],[PID]],0)),INDEX(Table3[[#All],[INT]],MATCH(Table5[[#This Row],[PID]],Table3[[#All],[PID]],0)))</f>
        <v>High</v>
      </c>
      <c r="L1389" s="60">
        <f>IF($C1389="B",INDEX(Batters[[#All],[CON P]],MATCH(Table5[[#This Row],[PID]],Batters[[#All],[PID]],0)),INDEX(Table3[[#All],[STU P]],MATCH(Table5[[#This Row],[PID]],Table3[[#All],[PID]],0)))</f>
        <v>3</v>
      </c>
      <c r="M1389" s="56">
        <f>IF($C1389="B",INDEX(Batters[[#All],[GAP P]],MATCH(Table5[[#This Row],[PID]],Batters[[#All],[PID]],0)),INDEX(Table3[[#All],[MOV P]],MATCH(Table5[[#This Row],[PID]],Table3[[#All],[PID]],0)))</f>
        <v>3</v>
      </c>
      <c r="N1389" s="56">
        <f>IF($C1389="B",INDEX(Batters[[#All],[POW P]],MATCH(Table5[[#This Row],[PID]],Batters[[#All],[PID]],0)),INDEX(Table3[[#All],[CON P]],MATCH(Table5[[#This Row],[PID]],Table3[[#All],[PID]],0)))</f>
        <v>3</v>
      </c>
      <c r="O1389" s="56">
        <f>IF($C1389="B",INDEX(Batters[[#All],[EYE P]],MATCH(Table5[[#This Row],[PID]],Batters[[#All],[PID]],0)),INDEX(Table3[[#All],[VELO]],MATCH(Table5[[#This Row],[PID]],Table3[[#All],[PID]],0)))</f>
        <v>4</v>
      </c>
      <c r="P1389" s="56">
        <f>IF($C1389="B",INDEX(Batters[[#All],[K P]],MATCH(Table5[[#This Row],[PID]],Batters[[#All],[PID]],0)),INDEX(Table3[[#All],[STM]],MATCH(Table5[[#This Row],[PID]],Table3[[#All],[PID]],0)))</f>
        <v>4</v>
      </c>
      <c r="Q1389" s="61">
        <f>IF($C1389="B",INDEX(Batters[[#All],[Tot]],MATCH(Table5[[#This Row],[PID]],Batters[[#All],[PID]],0)),INDEX(Table3[[#All],[Tot]],MATCH(Table5[[#This Row],[PID]],Table3[[#All],[PID]],0)))</f>
        <v>36.014469213118502</v>
      </c>
      <c r="R1389" s="70">
        <f>IF($C1389="B",INDEX(Batters[[#All],[zScore]],MATCH(Table5[[#This Row],[PID]],Batters[[#All],[PID]],0)),INDEX(Table3[[#All],[zScore]],MATCH(Table5[[#This Row],[PID]],Table3[[#All],[PID]],0)))</f>
        <v>-1.7996980807462599</v>
      </c>
      <c r="S1389" s="79" t="str">
        <f>IF($C1389="B",INDEX(Batters[[#All],[DEM]],MATCH(Table5[[#This Row],[PID]],Batters[[#All],[PID]],0)),INDEX(Table3[[#All],[DEM]],MATCH(Table5[[#This Row],[PID]],Table3[[#All],[PID]],0)))</f>
        <v>-</v>
      </c>
      <c r="T1389" s="62">
        <f>IF($C1389="B",INDEX(Batters[[#All],[Rnk]],MATCH(Table5[[#This Row],[PID]],Batters[[#All],[PID]],0)),INDEX(Table3[[#All],[Rnk]],MATCH(Table5[[#This Row],[PID]],Table3[[#All],[PID]],0)))</f>
        <v>603</v>
      </c>
      <c r="U1389" s="68">
        <f>IF($C1389="B",VLOOKUP($A1389,Bat!$A$4:$BA$1621,47,FALSE),VLOOKUP($A1389,Pit!$A$4:$BF$1557,56,FALSE))</f>
        <v>0</v>
      </c>
      <c r="V1389" s="50">
        <f>IF($C1389="B",VLOOKUP($A1389,Bat!$A$4:$BA$1621,48,FALSE),VLOOKUP($A1389,Pit!$A$4:$BF$1557,57,FALSE))</f>
        <v>0</v>
      </c>
      <c r="W1389" s="50">
        <f>Table5[[#This Row],[posRnk]]+Table5[[#This Row],[zRnk]]+IF($W$3&lt;&gt;Table5[[#This Row],[Type]],50,0)</f>
        <v>2033</v>
      </c>
      <c r="X1389" s="51">
        <f>RANK(Table5[[#This Row],[zScore]],Table5[[#All],[zScore]])</f>
        <v>1380</v>
      </c>
      <c r="Y1389" s="50" t="str">
        <f>IFERROR(INDEX(DraftResults[[#All],[OVR]],MATCH(Table5[[#This Row],[PID]],DraftResults[[#All],[Player ID]],0)),"")</f>
        <v/>
      </c>
      <c r="Z13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89" s="50" t="str">
        <f>IFERROR(INDEX(DraftResults[[#All],[Pick in Round]],MATCH(Table5[[#This Row],[PID]],DraftResults[[#All],[Player ID]],0)),"")</f>
        <v/>
      </c>
      <c r="AB1389" s="50" t="str">
        <f>IFERROR(INDEX(DraftResults[[#All],[Team Name]],MATCH(Table5[[#This Row],[PID]],DraftResults[[#All],[Player ID]],0)),"")</f>
        <v/>
      </c>
      <c r="AC1389" s="50" t="str">
        <f>IF(Table5[[#This Row],[Ovr]]="","",IF(Table5[[#This Row],[cmbList]]="","",Table5[[#This Row],[cmbList]]-Table5[[#This Row],[Ovr]]))</f>
        <v/>
      </c>
      <c r="AD1389" s="54" t="str">
        <f>IF(ISERROR(VLOOKUP($AB1389&amp;"-"&amp;$E1389&amp;" "&amp;F1389,Bonuses!$B$1:$G$1006,4,FALSE)),"",INT(VLOOKUP($AB1389&amp;"-"&amp;$E1389&amp;" "&amp;$F1389,Bonuses!$B$1:$G$1006,4,FALSE)))</f>
        <v/>
      </c>
      <c r="AE13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0" spans="1:31" x14ac:dyDescent="0.25">
      <c r="A1390" s="50">
        <v>17022</v>
      </c>
      <c r="B1390" s="50">
        <f>COUNTIF(Table5[PID],A1390)</f>
        <v>1</v>
      </c>
      <c r="C1390" s="50" t="str">
        <f>IF(COUNTIF(Table3[[#All],[PID]],A1390)&gt;0,"P","B")</f>
        <v>B</v>
      </c>
      <c r="D1390" s="59" t="str">
        <f>IF($C1390="B",INDEX(Batters[[#All],[POS]],MATCH(Table5[[#This Row],[PID]],Batters[[#All],[PID]],0)),INDEX(Table3[[#All],[POS]],MATCH(Table5[[#This Row],[PID]],Table3[[#All],[PID]],0)))</f>
        <v>1B</v>
      </c>
      <c r="E1390" s="52" t="str">
        <f>IF($C1390="B",INDEX(Batters[[#All],[First]],MATCH(Table5[[#This Row],[PID]],Batters[[#All],[PID]],0)),INDEX(Table3[[#All],[First]],MATCH(Table5[[#This Row],[PID]],Table3[[#All],[PID]],0)))</f>
        <v>Shalom</v>
      </c>
      <c r="F1390" s="50" t="str">
        <f>IF($C1390="B",INDEX(Batters[[#All],[Last]],MATCH(A1390,Batters[[#All],[PID]],0)),INDEX(Table3[[#All],[Last]],MATCH(A1390,Table3[[#All],[PID]],0)))</f>
        <v>Wierenga</v>
      </c>
      <c r="G1390" s="56">
        <f>IF($C1390="B",INDEX(Batters[[#All],[Age]],MATCH(Table5[[#This Row],[PID]],Batters[[#All],[PID]],0)),INDEX(Table3[[#All],[Age]],MATCH(Table5[[#This Row],[PID]],Table3[[#All],[PID]],0)))</f>
        <v>21</v>
      </c>
      <c r="H1390" s="52" t="str">
        <f>IF($C1390="B",INDEX(Batters[[#All],[B]],MATCH(Table5[[#This Row],[PID]],Batters[[#All],[PID]],0)),INDEX(Table3[[#All],[B]],MATCH(Table5[[#This Row],[PID]],Table3[[#All],[PID]],0)))</f>
        <v>L</v>
      </c>
      <c r="I1390" s="70" t="str">
        <f>IF($C1390="B",INDEX(Batters[[#All],[T]],MATCH(Table5[[#This Row],[PID]],Batters[[#All],[PID]],0)),INDEX(Table3[[#All],[T]],MATCH(Table5[[#This Row],[PID]],Table3[[#All],[PID]],0)))</f>
        <v>L</v>
      </c>
      <c r="J1390" s="52" t="str">
        <f>IF($C1390="B",INDEX(Batters[[#All],[WE]],MATCH(Table5[[#This Row],[PID]],Batters[[#All],[PID]],0)),INDEX(Table3[[#All],[WE]],MATCH(Table5[[#This Row],[PID]],Table3[[#All],[PID]],0)))</f>
        <v>Normal</v>
      </c>
      <c r="K1390" s="52" t="str">
        <f>IF($C1390="B",INDEX(Batters[[#All],[INT]],MATCH(Table5[[#This Row],[PID]],Batters[[#All],[PID]],0)),INDEX(Table3[[#All],[INT]],MATCH(Table5[[#This Row],[PID]],Table3[[#All],[PID]],0)))</f>
        <v>Normal</v>
      </c>
      <c r="L1390" s="60">
        <f>IF($C1390="B",INDEX(Batters[[#All],[CON P]],MATCH(Table5[[#This Row],[PID]],Batters[[#All],[PID]],0)),INDEX(Table3[[#All],[STU P]],MATCH(Table5[[#This Row],[PID]],Table3[[#All],[PID]],0)))</f>
        <v>4</v>
      </c>
      <c r="M1390" s="56">
        <f>IF($C1390="B",INDEX(Batters[[#All],[GAP P]],MATCH(Table5[[#This Row],[PID]],Batters[[#All],[PID]],0)),INDEX(Table3[[#All],[MOV P]],MATCH(Table5[[#This Row],[PID]],Table3[[#All],[PID]],0)))</f>
        <v>2</v>
      </c>
      <c r="N1390" s="56">
        <f>IF($C1390="B",INDEX(Batters[[#All],[POW P]],MATCH(Table5[[#This Row],[PID]],Batters[[#All],[PID]],0)),INDEX(Table3[[#All],[CON P]],MATCH(Table5[[#This Row],[PID]],Table3[[#All],[PID]],0)))</f>
        <v>3</v>
      </c>
      <c r="O1390" s="56">
        <f>IF($C1390="B",INDEX(Batters[[#All],[EYE P]],MATCH(Table5[[#This Row],[PID]],Batters[[#All],[PID]],0)),INDEX(Table3[[#All],[VELO]],MATCH(Table5[[#This Row],[PID]],Table3[[#All],[PID]],0)))</f>
        <v>1</v>
      </c>
      <c r="P1390" s="56">
        <f>IF($C1390="B",INDEX(Batters[[#All],[K P]],MATCH(Table5[[#This Row],[PID]],Batters[[#All],[PID]],0)),INDEX(Table3[[#All],[STM]],MATCH(Table5[[#This Row],[PID]],Table3[[#All],[PID]],0)))</f>
        <v>5</v>
      </c>
      <c r="Q1390" s="61">
        <f>IF($C1390="B",INDEX(Batters[[#All],[Tot]],MATCH(Table5[[#This Row],[PID]],Batters[[#All],[PID]],0)),INDEX(Table3[[#All],[Tot]],MATCH(Table5[[#This Row],[PID]],Table3[[#All],[PID]],0)))</f>
        <v>35.966999294586827</v>
      </c>
      <c r="R1390" s="70">
        <f>IF($C1390="B",INDEX(Batters[[#All],[zScore]],MATCH(Table5[[#This Row],[PID]],Batters[[#All],[PID]],0)),INDEX(Table3[[#All],[zScore]],MATCH(Table5[[#This Row],[PID]],Table3[[#All],[PID]],0)))</f>
        <v>-1.8102224825516027</v>
      </c>
      <c r="S1390" s="79" t="str">
        <f>IF($C1390="B",INDEX(Batters[[#All],[DEM]],MATCH(Table5[[#This Row],[PID]],Batters[[#All],[PID]],0)),INDEX(Table3[[#All],[DEM]],MATCH(Table5[[#This Row],[PID]],Table3[[#All],[PID]],0)))</f>
        <v>-</v>
      </c>
      <c r="T1390" s="62">
        <f>IF($C1390="B",INDEX(Batters[[#All],[Rnk]],MATCH(Table5[[#This Row],[PID]],Batters[[#All],[PID]],0)),INDEX(Table3[[#All],[Rnk]],MATCH(Table5[[#This Row],[PID]],Table3[[#All],[PID]],0)))</f>
        <v>604</v>
      </c>
      <c r="U1390" s="68">
        <f>IF($C1390="B",VLOOKUP($A1390,Bat!$A$4:$BA$1621,47,FALSE),VLOOKUP($A1390,Pit!$A$4:$BF$1557,56,FALSE))</f>
        <v>0</v>
      </c>
      <c r="V1390" s="50">
        <f>IF($C1390="B",VLOOKUP($A1390,Bat!$A$4:$BA$1621,48,FALSE),VLOOKUP($A1390,Pit!$A$4:$BF$1557,57,FALSE))</f>
        <v>0</v>
      </c>
      <c r="W1390" s="50">
        <f>Table5[[#This Row],[posRnk]]+Table5[[#This Row],[zRnk]]+IF($W$3&lt;&gt;Table5[[#This Row],[Type]],50,0)</f>
        <v>2035</v>
      </c>
      <c r="X1390" s="51">
        <f>RANK(Table5[[#This Row],[zScore]],Table5[[#All],[zScore]])</f>
        <v>1381</v>
      </c>
      <c r="Y1390" s="50" t="str">
        <f>IFERROR(INDEX(DraftResults[[#All],[OVR]],MATCH(Table5[[#This Row],[PID]],DraftResults[[#All],[Player ID]],0)),"")</f>
        <v/>
      </c>
      <c r="Z13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0" s="50" t="str">
        <f>IFERROR(INDEX(DraftResults[[#All],[Pick in Round]],MATCH(Table5[[#This Row],[PID]],DraftResults[[#All],[Player ID]],0)),"")</f>
        <v/>
      </c>
      <c r="AB1390" s="50" t="str">
        <f>IFERROR(INDEX(DraftResults[[#All],[Team Name]],MATCH(Table5[[#This Row],[PID]],DraftResults[[#All],[Player ID]],0)),"")</f>
        <v/>
      </c>
      <c r="AC1390" s="50" t="str">
        <f>IF(Table5[[#This Row],[Ovr]]="","",IF(Table5[[#This Row],[cmbList]]="","",Table5[[#This Row],[cmbList]]-Table5[[#This Row],[Ovr]]))</f>
        <v/>
      </c>
      <c r="AD1390" s="54" t="str">
        <f>IF(ISERROR(VLOOKUP($AB1390&amp;"-"&amp;$E1390&amp;" "&amp;F1390,Bonuses!$B$1:$G$1006,4,FALSE)),"",INT(VLOOKUP($AB1390&amp;"-"&amp;$E1390&amp;" "&amp;$F1390,Bonuses!$B$1:$G$1006,4,FALSE)))</f>
        <v/>
      </c>
      <c r="AE13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1" spans="1:31" x14ac:dyDescent="0.25">
      <c r="A1391" s="50">
        <v>8240</v>
      </c>
      <c r="B1391" s="50">
        <f>COUNTIF(Table5[PID],A1391)</f>
        <v>1</v>
      </c>
      <c r="C1391" s="50" t="str">
        <f>IF(COUNTIF(Table3[[#All],[PID]],A1391)&gt;0,"P","B")</f>
        <v>B</v>
      </c>
      <c r="D1391" s="59" t="str">
        <f>IF($C1391="B",INDEX(Batters[[#All],[POS]],MATCH(Table5[[#This Row],[PID]],Batters[[#All],[PID]],0)),INDEX(Table3[[#All],[POS]],MATCH(Table5[[#This Row],[PID]],Table3[[#All],[PID]],0)))</f>
        <v>2B</v>
      </c>
      <c r="E1391" s="52" t="str">
        <f>IF($C1391="B",INDEX(Batters[[#All],[First]],MATCH(Table5[[#This Row],[PID]],Batters[[#All],[PID]],0)),INDEX(Table3[[#All],[First]],MATCH(Table5[[#This Row],[PID]],Table3[[#All],[PID]],0)))</f>
        <v>Koryusai</v>
      </c>
      <c r="F1391" s="50" t="str">
        <f>IF($C1391="B",INDEX(Batters[[#All],[Last]],MATCH(A1391,Batters[[#All],[PID]],0)),INDEX(Table3[[#All],[Last]],MATCH(A1391,Table3[[#All],[PID]],0)))</f>
        <v>Matsuoka</v>
      </c>
      <c r="G1391" s="56">
        <f>IF($C1391="B",INDEX(Batters[[#All],[Age]],MATCH(Table5[[#This Row],[PID]],Batters[[#All],[PID]],0)),INDEX(Table3[[#All],[Age]],MATCH(Table5[[#This Row],[PID]],Table3[[#All],[PID]],0)))</f>
        <v>22</v>
      </c>
      <c r="H1391" s="52" t="str">
        <f>IF($C1391="B",INDEX(Batters[[#All],[B]],MATCH(Table5[[#This Row],[PID]],Batters[[#All],[PID]],0)),INDEX(Table3[[#All],[B]],MATCH(Table5[[#This Row],[PID]],Table3[[#All],[PID]],0)))</f>
        <v>R</v>
      </c>
      <c r="I1391" s="70" t="str">
        <f>IF($C1391="B",INDEX(Batters[[#All],[T]],MATCH(Table5[[#This Row],[PID]],Batters[[#All],[PID]],0)),INDEX(Table3[[#All],[T]],MATCH(Table5[[#This Row],[PID]],Table3[[#All],[PID]],0)))</f>
        <v>R</v>
      </c>
      <c r="J1391" s="52" t="str">
        <f>IF($C1391="B",INDEX(Batters[[#All],[WE]],MATCH(Table5[[#This Row],[PID]],Batters[[#All],[PID]],0)),INDEX(Table3[[#All],[WE]],MATCH(Table5[[#This Row],[PID]],Table3[[#All],[PID]],0)))</f>
        <v>Low</v>
      </c>
      <c r="K1391" s="52" t="str">
        <f>IF($C1391="B",INDEX(Batters[[#All],[INT]],MATCH(Table5[[#This Row],[PID]],Batters[[#All],[PID]],0)),INDEX(Table3[[#All],[INT]],MATCH(Table5[[#This Row],[PID]],Table3[[#All],[PID]],0)))</f>
        <v>Normal</v>
      </c>
      <c r="L1391" s="60">
        <f>IF($C1391="B",INDEX(Batters[[#All],[CON P]],MATCH(Table5[[#This Row],[PID]],Batters[[#All],[PID]],0)),INDEX(Table3[[#All],[STU P]],MATCH(Table5[[#This Row],[PID]],Table3[[#All],[PID]],0)))</f>
        <v>3</v>
      </c>
      <c r="M1391" s="56">
        <f>IF($C1391="B",INDEX(Batters[[#All],[GAP P]],MATCH(Table5[[#This Row],[PID]],Batters[[#All],[PID]],0)),INDEX(Table3[[#All],[MOV P]],MATCH(Table5[[#This Row],[PID]],Table3[[#All],[PID]],0)))</f>
        <v>3</v>
      </c>
      <c r="N1391" s="56">
        <f>IF($C1391="B",INDEX(Batters[[#All],[POW P]],MATCH(Table5[[#This Row],[PID]],Batters[[#All],[PID]],0)),INDEX(Table3[[#All],[CON P]],MATCH(Table5[[#This Row],[PID]],Table3[[#All],[PID]],0)))</f>
        <v>3</v>
      </c>
      <c r="O1391" s="56">
        <f>IF($C1391="B",INDEX(Batters[[#All],[EYE P]],MATCH(Table5[[#This Row],[PID]],Batters[[#All],[PID]],0)),INDEX(Table3[[#All],[VELO]],MATCH(Table5[[#This Row],[PID]],Table3[[#All],[PID]],0)))</f>
        <v>4</v>
      </c>
      <c r="P1391" s="56">
        <f>IF($C1391="B",INDEX(Batters[[#All],[K P]],MATCH(Table5[[#This Row],[PID]],Batters[[#All],[PID]],0)),INDEX(Table3[[#All],[STM]],MATCH(Table5[[#This Row],[PID]],Table3[[#All],[PID]],0)))</f>
        <v>3</v>
      </c>
      <c r="Q1391" s="61">
        <f>IF($C1391="B",INDEX(Batters[[#All],[Tot]],MATCH(Table5[[#This Row],[PID]],Batters[[#All],[PID]],0)),INDEX(Table3[[#All],[Tot]],MATCH(Table5[[#This Row],[PID]],Table3[[#All],[PID]],0)))</f>
        <v>35.956045789942031</v>
      </c>
      <c r="R1391" s="70">
        <f>IF($C1391="B",INDEX(Batters[[#All],[zScore]],MATCH(Table5[[#This Row],[PID]],Batters[[#All],[PID]],0)),INDEX(Table3[[#All],[zScore]],MATCH(Table5[[#This Row],[PID]],Table3[[#All],[PID]],0)))</f>
        <v>-1.8126509485701741</v>
      </c>
      <c r="S1391" s="79" t="str">
        <f>IF($C1391="B",INDEX(Batters[[#All],[DEM]],MATCH(Table5[[#This Row],[PID]],Batters[[#All],[PID]],0)),INDEX(Table3[[#All],[DEM]],MATCH(Table5[[#This Row],[PID]],Table3[[#All],[PID]],0)))</f>
        <v>-</v>
      </c>
      <c r="T1391" s="62">
        <f>IF($C1391="B",INDEX(Batters[[#All],[Rnk]],MATCH(Table5[[#This Row],[PID]],Batters[[#All],[PID]],0)),INDEX(Table3[[#All],[Rnk]],MATCH(Table5[[#This Row],[PID]],Table3[[#All],[PID]],0)))</f>
        <v>605</v>
      </c>
      <c r="U1391" s="68">
        <f>IF($C1391="B",VLOOKUP($A1391,Bat!$A$4:$BA$1621,47,FALSE),VLOOKUP($A1391,Pit!$A$4:$BF$1557,56,FALSE))</f>
        <v>0</v>
      </c>
      <c r="V1391" s="50">
        <f>IF($C1391="B",VLOOKUP($A1391,Bat!$A$4:$BA$1621,48,FALSE),VLOOKUP($A1391,Pit!$A$4:$BF$1557,57,FALSE))</f>
        <v>0</v>
      </c>
      <c r="W1391" s="50">
        <f>Table5[[#This Row],[posRnk]]+Table5[[#This Row],[zRnk]]+IF($W$3&lt;&gt;Table5[[#This Row],[Type]],50,0)</f>
        <v>2037</v>
      </c>
      <c r="X1391" s="51">
        <f>RANK(Table5[[#This Row],[zScore]],Table5[[#All],[zScore]])</f>
        <v>1382</v>
      </c>
      <c r="Y1391" s="50" t="str">
        <f>IFERROR(INDEX(DraftResults[[#All],[OVR]],MATCH(Table5[[#This Row],[PID]],DraftResults[[#All],[Player ID]],0)),"")</f>
        <v/>
      </c>
      <c r="Z13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1" s="50" t="str">
        <f>IFERROR(INDEX(DraftResults[[#All],[Pick in Round]],MATCH(Table5[[#This Row],[PID]],DraftResults[[#All],[Player ID]],0)),"")</f>
        <v/>
      </c>
      <c r="AB1391" s="50" t="str">
        <f>IFERROR(INDEX(DraftResults[[#All],[Team Name]],MATCH(Table5[[#This Row],[PID]],DraftResults[[#All],[Player ID]],0)),"")</f>
        <v/>
      </c>
      <c r="AC1391" s="50" t="str">
        <f>IF(Table5[[#This Row],[Ovr]]="","",IF(Table5[[#This Row],[cmbList]]="","",Table5[[#This Row],[cmbList]]-Table5[[#This Row],[Ovr]]))</f>
        <v/>
      </c>
      <c r="AD1391" s="54" t="str">
        <f>IF(ISERROR(VLOOKUP($AB1391&amp;"-"&amp;$E1391&amp;" "&amp;F1391,Bonuses!$B$1:$G$1006,4,FALSE)),"",INT(VLOOKUP($AB1391&amp;"-"&amp;$E1391&amp;" "&amp;$F1391,Bonuses!$B$1:$G$1006,4,FALSE)))</f>
        <v/>
      </c>
      <c r="AE13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2" spans="1:31" x14ac:dyDescent="0.25">
      <c r="A1392" s="50">
        <v>3413</v>
      </c>
      <c r="B1392" s="50">
        <f>COUNTIF(Table5[PID],A1392)</f>
        <v>1</v>
      </c>
      <c r="C1392" s="50" t="str">
        <f>IF(COUNTIF(Table3[[#All],[PID]],A1392)&gt;0,"P","B")</f>
        <v>B</v>
      </c>
      <c r="D1392" s="59" t="str">
        <f>IF($C1392="B",INDEX(Batters[[#All],[POS]],MATCH(Table5[[#This Row],[PID]],Batters[[#All],[PID]],0)),INDEX(Table3[[#All],[POS]],MATCH(Table5[[#This Row],[PID]],Table3[[#All],[PID]],0)))</f>
        <v>1B</v>
      </c>
      <c r="E1392" s="52" t="str">
        <f>IF($C1392="B",INDEX(Batters[[#All],[First]],MATCH(Table5[[#This Row],[PID]],Batters[[#All],[PID]],0)),INDEX(Table3[[#All],[First]],MATCH(Table5[[#This Row],[PID]],Table3[[#All],[PID]],0)))</f>
        <v>Eric</v>
      </c>
      <c r="F1392" s="50" t="str">
        <f>IF($C1392="B",INDEX(Batters[[#All],[Last]],MATCH(A1392,Batters[[#All],[PID]],0)),INDEX(Table3[[#All],[Last]],MATCH(A1392,Table3[[#All],[PID]],0)))</f>
        <v>Somers</v>
      </c>
      <c r="G1392" s="56">
        <f>IF($C1392="B",INDEX(Batters[[#All],[Age]],MATCH(Table5[[#This Row],[PID]],Batters[[#All],[PID]],0)),INDEX(Table3[[#All],[Age]],MATCH(Table5[[#This Row],[PID]],Table3[[#All],[PID]],0)))</f>
        <v>22</v>
      </c>
      <c r="H1392" s="52" t="str">
        <f>IF($C1392="B",INDEX(Batters[[#All],[B]],MATCH(Table5[[#This Row],[PID]],Batters[[#All],[PID]],0)),INDEX(Table3[[#All],[B]],MATCH(Table5[[#This Row],[PID]],Table3[[#All],[PID]],0)))</f>
        <v>R</v>
      </c>
      <c r="I1392" s="70" t="str">
        <f>IF($C1392="B",INDEX(Batters[[#All],[T]],MATCH(Table5[[#This Row],[PID]],Batters[[#All],[PID]],0)),INDEX(Table3[[#All],[T]],MATCH(Table5[[#This Row],[PID]],Table3[[#All],[PID]],0)))</f>
        <v>R</v>
      </c>
      <c r="J1392" s="52" t="str">
        <f>IF($C1392="B",INDEX(Batters[[#All],[WE]],MATCH(Table5[[#This Row],[PID]],Batters[[#All],[PID]],0)),INDEX(Table3[[#All],[WE]],MATCH(Table5[[#This Row],[PID]],Table3[[#All],[PID]],0)))</f>
        <v>Low</v>
      </c>
      <c r="K1392" s="52" t="str">
        <f>IF($C1392="B",INDEX(Batters[[#All],[INT]],MATCH(Table5[[#This Row],[PID]],Batters[[#All],[PID]],0)),INDEX(Table3[[#All],[INT]],MATCH(Table5[[#This Row],[PID]],Table3[[#All],[PID]],0)))</f>
        <v>Normal</v>
      </c>
      <c r="L1392" s="60">
        <f>IF($C1392="B",INDEX(Batters[[#All],[CON P]],MATCH(Table5[[#This Row],[PID]],Batters[[#All],[PID]],0)),INDEX(Table3[[#All],[STU P]],MATCH(Table5[[#This Row],[PID]],Table3[[#All],[PID]],0)))</f>
        <v>3</v>
      </c>
      <c r="M1392" s="56">
        <f>IF($C1392="B",INDEX(Batters[[#All],[GAP P]],MATCH(Table5[[#This Row],[PID]],Batters[[#All],[PID]],0)),INDEX(Table3[[#All],[MOV P]],MATCH(Table5[[#This Row],[PID]],Table3[[#All],[PID]],0)))</f>
        <v>4</v>
      </c>
      <c r="N1392" s="56">
        <f>IF($C1392="B",INDEX(Batters[[#All],[POW P]],MATCH(Table5[[#This Row],[PID]],Batters[[#All],[PID]],0)),INDEX(Table3[[#All],[CON P]],MATCH(Table5[[#This Row],[PID]],Table3[[#All],[PID]],0)))</f>
        <v>2</v>
      </c>
      <c r="O1392" s="56">
        <f>IF($C1392="B",INDEX(Batters[[#All],[EYE P]],MATCH(Table5[[#This Row],[PID]],Batters[[#All],[PID]],0)),INDEX(Table3[[#All],[VELO]],MATCH(Table5[[#This Row],[PID]],Table3[[#All],[PID]],0)))</f>
        <v>4</v>
      </c>
      <c r="P1392" s="56">
        <f>IF($C1392="B",INDEX(Batters[[#All],[K P]],MATCH(Table5[[#This Row],[PID]],Batters[[#All],[PID]],0)),INDEX(Table3[[#All],[STM]],MATCH(Table5[[#This Row],[PID]],Table3[[#All],[PID]],0)))</f>
        <v>5</v>
      </c>
      <c r="Q1392" s="61">
        <f>IF($C1392="B",INDEX(Batters[[#All],[Tot]],MATCH(Table5[[#This Row],[PID]],Batters[[#All],[PID]],0)),INDEX(Table3[[#All],[Tot]],MATCH(Table5[[#This Row],[PID]],Table3[[#All],[PID]],0)))</f>
        <v>35.93931748667292</v>
      </c>
      <c r="R1392" s="70">
        <f>IF($C1392="B",INDEX(Batters[[#All],[zScore]],MATCH(Table5[[#This Row],[PID]],Batters[[#All],[PID]],0)),INDEX(Table3[[#All],[zScore]],MATCH(Table5[[#This Row],[PID]],Table3[[#All],[PID]],0)))</f>
        <v>-1.8163597264777722</v>
      </c>
      <c r="S1392" s="79" t="str">
        <f>IF($C1392="B",INDEX(Batters[[#All],[DEM]],MATCH(Table5[[#This Row],[PID]],Batters[[#All],[PID]],0)),INDEX(Table3[[#All],[DEM]],MATCH(Table5[[#This Row],[PID]],Table3[[#All],[PID]],0)))</f>
        <v>-</v>
      </c>
      <c r="T1392" s="62">
        <f>IF($C1392="B",INDEX(Batters[[#All],[Rnk]],MATCH(Table5[[#This Row],[PID]],Batters[[#All],[PID]],0)),INDEX(Table3[[#All],[Rnk]],MATCH(Table5[[#This Row],[PID]],Table3[[#All],[PID]],0)))</f>
        <v>606</v>
      </c>
      <c r="U1392" s="68">
        <f>IF($C1392="B",VLOOKUP($A1392,Bat!$A$4:$BA$1621,47,FALSE),VLOOKUP($A1392,Pit!$A$4:$BF$1557,56,FALSE))</f>
        <v>0</v>
      </c>
      <c r="V1392" s="50">
        <f>IF($C1392="B",VLOOKUP($A1392,Bat!$A$4:$BA$1621,48,FALSE),VLOOKUP($A1392,Pit!$A$4:$BF$1557,57,FALSE))</f>
        <v>0</v>
      </c>
      <c r="W1392" s="50">
        <f>Table5[[#This Row],[posRnk]]+Table5[[#This Row],[zRnk]]+IF($W$3&lt;&gt;Table5[[#This Row],[Type]],50,0)</f>
        <v>2039</v>
      </c>
      <c r="X1392" s="51">
        <f>RANK(Table5[[#This Row],[zScore]],Table5[[#All],[zScore]])</f>
        <v>1383</v>
      </c>
      <c r="Y1392" s="50" t="str">
        <f>IFERROR(INDEX(DraftResults[[#All],[OVR]],MATCH(Table5[[#This Row],[PID]],DraftResults[[#All],[Player ID]],0)),"")</f>
        <v/>
      </c>
      <c r="Z13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2" s="50" t="str">
        <f>IFERROR(INDEX(DraftResults[[#All],[Pick in Round]],MATCH(Table5[[#This Row],[PID]],DraftResults[[#All],[Player ID]],0)),"")</f>
        <v/>
      </c>
      <c r="AB1392" s="50" t="str">
        <f>IFERROR(INDEX(DraftResults[[#All],[Team Name]],MATCH(Table5[[#This Row],[PID]],DraftResults[[#All],[Player ID]],0)),"")</f>
        <v/>
      </c>
      <c r="AC1392" s="50" t="str">
        <f>IF(Table5[[#This Row],[Ovr]]="","",IF(Table5[[#This Row],[cmbList]]="","",Table5[[#This Row],[cmbList]]-Table5[[#This Row],[Ovr]]))</f>
        <v/>
      </c>
      <c r="AD1392" s="54" t="str">
        <f>IF(ISERROR(VLOOKUP($AB1392&amp;"-"&amp;$E1392&amp;" "&amp;F1392,Bonuses!$B$1:$G$1006,4,FALSE)),"",INT(VLOOKUP($AB1392&amp;"-"&amp;$E1392&amp;" "&amp;$F1392,Bonuses!$B$1:$G$1006,4,FALSE)))</f>
        <v/>
      </c>
      <c r="AE13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3" spans="1:31" x14ac:dyDescent="0.25">
      <c r="A1393" s="50">
        <v>20198</v>
      </c>
      <c r="B1393" s="50">
        <f>COUNTIF(Table5[PID],A1393)</f>
        <v>1</v>
      </c>
      <c r="C1393" s="50" t="str">
        <f>IF(COUNTIF(Table3[[#All],[PID]],A1393)&gt;0,"P","B")</f>
        <v>B</v>
      </c>
      <c r="D1393" s="59" t="str">
        <f>IF($C1393="B",INDEX(Batters[[#All],[POS]],MATCH(Table5[[#This Row],[PID]],Batters[[#All],[PID]],0)),INDEX(Table3[[#All],[POS]],MATCH(Table5[[#This Row],[PID]],Table3[[#All],[PID]],0)))</f>
        <v>2B</v>
      </c>
      <c r="E1393" s="52" t="str">
        <f>IF($C1393="B",INDEX(Batters[[#All],[First]],MATCH(Table5[[#This Row],[PID]],Batters[[#All],[PID]],0)),INDEX(Table3[[#All],[First]],MATCH(Table5[[#This Row],[PID]],Table3[[#All],[PID]],0)))</f>
        <v>Harris</v>
      </c>
      <c r="F1393" s="50" t="str">
        <f>IF($C1393="B",INDEX(Batters[[#All],[Last]],MATCH(A1393,Batters[[#All],[PID]],0)),INDEX(Table3[[#All],[Last]],MATCH(A1393,Table3[[#All],[PID]],0)))</f>
        <v>Akhurst</v>
      </c>
      <c r="G1393" s="56">
        <f>IF($C1393="B",INDEX(Batters[[#All],[Age]],MATCH(Table5[[#This Row],[PID]],Batters[[#All],[PID]],0)),INDEX(Table3[[#All],[Age]],MATCH(Table5[[#This Row],[PID]],Table3[[#All],[PID]],0)))</f>
        <v>22</v>
      </c>
      <c r="H1393" s="52" t="str">
        <f>IF($C1393="B",INDEX(Batters[[#All],[B]],MATCH(Table5[[#This Row],[PID]],Batters[[#All],[PID]],0)),INDEX(Table3[[#All],[B]],MATCH(Table5[[#This Row],[PID]],Table3[[#All],[PID]],0)))</f>
        <v>S</v>
      </c>
      <c r="I1393" s="70" t="str">
        <f>IF($C1393="B",INDEX(Batters[[#All],[T]],MATCH(Table5[[#This Row],[PID]],Batters[[#All],[PID]],0)),INDEX(Table3[[#All],[T]],MATCH(Table5[[#This Row],[PID]],Table3[[#All],[PID]],0)))</f>
        <v>R</v>
      </c>
      <c r="J1393" s="52" t="str">
        <f>IF($C1393="B",INDEX(Batters[[#All],[WE]],MATCH(Table5[[#This Row],[PID]],Batters[[#All],[PID]],0)),INDEX(Table3[[#All],[WE]],MATCH(Table5[[#This Row],[PID]],Table3[[#All],[PID]],0)))</f>
        <v>Low</v>
      </c>
      <c r="K1393" s="52" t="str">
        <f>IF($C1393="B",INDEX(Batters[[#All],[INT]],MATCH(Table5[[#This Row],[PID]],Batters[[#All],[PID]],0)),INDEX(Table3[[#All],[INT]],MATCH(Table5[[#This Row],[PID]],Table3[[#All],[PID]],0)))</f>
        <v>Normal</v>
      </c>
      <c r="L1393" s="60">
        <f>IF($C1393="B",INDEX(Batters[[#All],[CON P]],MATCH(Table5[[#This Row],[PID]],Batters[[#All],[PID]],0)),INDEX(Table3[[#All],[STU P]],MATCH(Table5[[#This Row],[PID]],Table3[[#All],[PID]],0)))</f>
        <v>3</v>
      </c>
      <c r="M1393" s="56">
        <f>IF($C1393="B",INDEX(Batters[[#All],[GAP P]],MATCH(Table5[[#This Row],[PID]],Batters[[#All],[PID]],0)),INDEX(Table3[[#All],[MOV P]],MATCH(Table5[[#This Row],[PID]],Table3[[#All],[PID]],0)))</f>
        <v>3</v>
      </c>
      <c r="N1393" s="56">
        <f>IF($C1393="B",INDEX(Batters[[#All],[POW P]],MATCH(Table5[[#This Row],[PID]],Batters[[#All],[PID]],0)),INDEX(Table3[[#All],[CON P]],MATCH(Table5[[#This Row],[PID]],Table3[[#All],[PID]],0)))</f>
        <v>2</v>
      </c>
      <c r="O1393" s="56">
        <f>IF($C1393="B",INDEX(Batters[[#All],[EYE P]],MATCH(Table5[[#This Row],[PID]],Batters[[#All],[PID]],0)),INDEX(Table3[[#All],[VELO]],MATCH(Table5[[#This Row],[PID]],Table3[[#All],[PID]],0)))</f>
        <v>5</v>
      </c>
      <c r="P1393" s="56">
        <f>IF($C1393="B",INDEX(Batters[[#All],[K P]],MATCH(Table5[[#This Row],[PID]],Batters[[#All],[PID]],0)),INDEX(Table3[[#All],[STM]],MATCH(Table5[[#This Row],[PID]],Table3[[#All],[PID]],0)))</f>
        <v>4</v>
      </c>
      <c r="Q1393" s="61">
        <f>IF($C1393="B",INDEX(Batters[[#All],[Tot]],MATCH(Table5[[#This Row],[PID]],Batters[[#All],[PID]],0)),INDEX(Table3[[#All],[Tot]],MATCH(Table5[[#This Row],[PID]],Table3[[#All],[PID]],0)))</f>
        <v>35.927886774577694</v>
      </c>
      <c r="R1393" s="70">
        <f>IF($C1393="B",INDEX(Batters[[#All],[zScore]],MATCH(Table5[[#This Row],[PID]],Batters[[#All],[PID]],0)),INDEX(Table3[[#All],[zScore]],MATCH(Table5[[#This Row],[PID]],Table3[[#All],[PID]],0)))</f>
        <v>-1.8188939926137269</v>
      </c>
      <c r="S1393" s="79" t="str">
        <f>IF($C1393="B",INDEX(Batters[[#All],[DEM]],MATCH(Table5[[#This Row],[PID]],Batters[[#All],[PID]],0)),INDEX(Table3[[#All],[DEM]],MATCH(Table5[[#This Row],[PID]],Table3[[#All],[PID]],0)))</f>
        <v>-</v>
      </c>
      <c r="T1393" s="62">
        <f>IF($C1393="B",INDEX(Batters[[#All],[Rnk]],MATCH(Table5[[#This Row],[PID]],Batters[[#All],[PID]],0)),INDEX(Table3[[#All],[Rnk]],MATCH(Table5[[#This Row],[PID]],Table3[[#All],[PID]],0)))</f>
        <v>607</v>
      </c>
      <c r="U1393" s="68">
        <f>IF($C1393="B",VLOOKUP($A1393,Bat!$A$4:$BA$1621,47,FALSE),VLOOKUP($A1393,Pit!$A$4:$BF$1557,56,FALSE))</f>
        <v>0</v>
      </c>
      <c r="V1393" s="50">
        <f>IF($C1393="B",VLOOKUP($A1393,Bat!$A$4:$BA$1621,48,FALSE),VLOOKUP($A1393,Pit!$A$4:$BF$1557,57,FALSE))</f>
        <v>0</v>
      </c>
      <c r="W1393" s="50">
        <f>Table5[[#This Row],[posRnk]]+Table5[[#This Row],[zRnk]]+IF($W$3&lt;&gt;Table5[[#This Row],[Type]],50,0)</f>
        <v>2041</v>
      </c>
      <c r="X1393" s="51">
        <f>RANK(Table5[[#This Row],[zScore]],Table5[[#All],[zScore]])</f>
        <v>1384</v>
      </c>
      <c r="Y1393" s="50" t="str">
        <f>IFERROR(INDEX(DraftResults[[#All],[OVR]],MATCH(Table5[[#This Row],[PID]],DraftResults[[#All],[Player ID]],0)),"")</f>
        <v/>
      </c>
      <c r="Z13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3" s="50" t="str">
        <f>IFERROR(INDEX(DraftResults[[#All],[Pick in Round]],MATCH(Table5[[#This Row],[PID]],DraftResults[[#All],[Player ID]],0)),"")</f>
        <v/>
      </c>
      <c r="AB1393" s="50" t="str">
        <f>IFERROR(INDEX(DraftResults[[#All],[Team Name]],MATCH(Table5[[#This Row],[PID]],DraftResults[[#All],[Player ID]],0)),"")</f>
        <v/>
      </c>
      <c r="AC1393" s="50" t="str">
        <f>IF(Table5[[#This Row],[Ovr]]="","",IF(Table5[[#This Row],[cmbList]]="","",Table5[[#This Row],[cmbList]]-Table5[[#This Row],[Ovr]]))</f>
        <v/>
      </c>
      <c r="AD1393" s="54" t="str">
        <f>IF(ISERROR(VLOOKUP($AB1393&amp;"-"&amp;$E1393&amp;" "&amp;F1393,Bonuses!$B$1:$G$1006,4,FALSE)),"",INT(VLOOKUP($AB1393&amp;"-"&amp;$E1393&amp;" "&amp;$F1393,Bonuses!$B$1:$G$1006,4,FALSE)))</f>
        <v/>
      </c>
      <c r="AE13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4" spans="1:31" x14ac:dyDescent="0.25">
      <c r="A1394" s="50">
        <v>20366</v>
      </c>
      <c r="B1394" s="50">
        <f>COUNTIF(Table5[PID],A1394)</f>
        <v>1</v>
      </c>
      <c r="C1394" s="50" t="str">
        <f>IF(COUNTIF(Table3[[#All],[PID]],A1394)&gt;0,"P","B")</f>
        <v>B</v>
      </c>
      <c r="D1394" s="59" t="str">
        <f>IF($C1394="B",INDEX(Batters[[#All],[POS]],MATCH(Table5[[#This Row],[PID]],Batters[[#All],[PID]],0)),INDEX(Table3[[#All],[POS]],MATCH(Table5[[#This Row],[PID]],Table3[[#All],[PID]],0)))</f>
        <v>2B</v>
      </c>
      <c r="E1394" s="52" t="str">
        <f>IF($C1394="B",INDEX(Batters[[#All],[First]],MATCH(Table5[[#This Row],[PID]],Batters[[#All],[PID]],0)),INDEX(Table3[[#All],[First]],MATCH(Table5[[#This Row],[PID]],Table3[[#All],[PID]],0)))</f>
        <v>Mark</v>
      </c>
      <c r="F1394" s="50" t="str">
        <f>IF($C1394="B",INDEX(Batters[[#All],[Last]],MATCH(A1394,Batters[[#All],[PID]],0)),INDEX(Table3[[#All],[Last]],MATCH(A1394,Table3[[#All],[PID]],0)))</f>
        <v>Hughes</v>
      </c>
      <c r="G1394" s="56">
        <f>IF($C1394="B",INDEX(Batters[[#All],[Age]],MATCH(Table5[[#This Row],[PID]],Batters[[#All],[PID]],0)),INDEX(Table3[[#All],[Age]],MATCH(Table5[[#This Row],[PID]],Table3[[#All],[PID]],0)))</f>
        <v>19</v>
      </c>
      <c r="H1394" s="52" t="str">
        <f>IF($C1394="B",INDEX(Batters[[#All],[B]],MATCH(Table5[[#This Row],[PID]],Batters[[#All],[PID]],0)),INDEX(Table3[[#All],[B]],MATCH(Table5[[#This Row],[PID]],Table3[[#All],[PID]],0)))</f>
        <v>R</v>
      </c>
      <c r="I1394" s="70" t="str">
        <f>IF($C1394="B",INDEX(Batters[[#All],[T]],MATCH(Table5[[#This Row],[PID]],Batters[[#All],[PID]],0)),INDEX(Table3[[#All],[T]],MATCH(Table5[[#This Row],[PID]],Table3[[#All],[PID]],0)))</f>
        <v>R</v>
      </c>
      <c r="J1394" s="52" t="str">
        <f>IF($C1394="B",INDEX(Batters[[#All],[WE]],MATCH(Table5[[#This Row],[PID]],Batters[[#All],[PID]],0)),INDEX(Table3[[#All],[WE]],MATCH(Table5[[#This Row],[PID]],Table3[[#All],[PID]],0)))</f>
        <v>Low</v>
      </c>
      <c r="K1394" s="52" t="str">
        <f>IF($C1394="B",INDEX(Batters[[#All],[INT]],MATCH(Table5[[#This Row],[PID]],Batters[[#All],[PID]],0)),INDEX(Table3[[#All],[INT]],MATCH(Table5[[#This Row],[PID]],Table3[[#All],[PID]],0)))</f>
        <v>Normal</v>
      </c>
      <c r="L1394" s="60">
        <f>IF($C1394="B",INDEX(Batters[[#All],[CON P]],MATCH(Table5[[#This Row],[PID]],Batters[[#All],[PID]],0)),INDEX(Table3[[#All],[STU P]],MATCH(Table5[[#This Row],[PID]],Table3[[#All],[PID]],0)))</f>
        <v>2</v>
      </c>
      <c r="M1394" s="56">
        <f>IF($C1394="B",INDEX(Batters[[#All],[GAP P]],MATCH(Table5[[#This Row],[PID]],Batters[[#All],[PID]],0)),INDEX(Table3[[#All],[MOV P]],MATCH(Table5[[#This Row],[PID]],Table3[[#All],[PID]],0)))</f>
        <v>3</v>
      </c>
      <c r="N1394" s="56">
        <f>IF($C1394="B",INDEX(Batters[[#All],[POW P]],MATCH(Table5[[#This Row],[PID]],Batters[[#All],[PID]],0)),INDEX(Table3[[#All],[CON P]],MATCH(Table5[[#This Row],[PID]],Table3[[#All],[PID]],0)))</f>
        <v>2</v>
      </c>
      <c r="O1394" s="56">
        <f>IF($C1394="B",INDEX(Batters[[#All],[EYE P]],MATCH(Table5[[#This Row],[PID]],Batters[[#All],[PID]],0)),INDEX(Table3[[#All],[VELO]],MATCH(Table5[[#This Row],[PID]],Table3[[#All],[PID]],0)))</f>
        <v>5</v>
      </c>
      <c r="P1394" s="56">
        <f>IF($C1394="B",INDEX(Batters[[#All],[K P]],MATCH(Table5[[#This Row],[PID]],Batters[[#All],[PID]],0)),INDEX(Table3[[#All],[STM]],MATCH(Table5[[#This Row],[PID]],Table3[[#All],[PID]],0)))</f>
        <v>2</v>
      </c>
      <c r="Q1394" s="61">
        <f>IF($C1394="B",INDEX(Batters[[#All],[Tot]],MATCH(Table5[[#This Row],[PID]],Batters[[#All],[PID]],0)),INDEX(Table3[[#All],[Tot]],MATCH(Table5[[#This Row],[PID]],Table3[[#All],[PID]],0)))</f>
        <v>35.880928111284284</v>
      </c>
      <c r="R1394" s="70">
        <f>IF($C1394="B",INDEX(Batters[[#All],[zScore]],MATCH(Table5[[#This Row],[PID]],Batters[[#All],[PID]],0)),INDEX(Table3[[#All],[zScore]],MATCH(Table5[[#This Row],[PID]],Table3[[#All],[PID]],0)))</f>
        <v>-1.8293050456769817</v>
      </c>
      <c r="S1394" s="79" t="str">
        <f>IF($C1394="B",INDEX(Batters[[#All],[DEM]],MATCH(Table5[[#This Row],[PID]],Batters[[#All],[PID]],0)),INDEX(Table3[[#All],[DEM]],MATCH(Table5[[#This Row],[PID]],Table3[[#All],[PID]],0)))</f>
        <v>$65k</v>
      </c>
      <c r="T1394" s="62">
        <f>IF($C1394="B",INDEX(Batters[[#All],[Rnk]],MATCH(Table5[[#This Row],[PID]],Batters[[#All],[PID]],0)),INDEX(Table3[[#All],[Rnk]],MATCH(Table5[[#This Row],[PID]],Table3[[#All],[PID]],0)))</f>
        <v>608</v>
      </c>
      <c r="U1394" s="68">
        <f>IF($C1394="B",VLOOKUP($A1394,Bat!$A$4:$BA$1621,47,FALSE),VLOOKUP($A1394,Pit!$A$4:$BF$1557,56,FALSE))</f>
        <v>0</v>
      </c>
      <c r="V1394" s="50">
        <f>IF($C1394="B",VLOOKUP($A1394,Bat!$A$4:$BA$1621,48,FALSE),VLOOKUP($A1394,Pit!$A$4:$BF$1557,57,FALSE))</f>
        <v>0</v>
      </c>
      <c r="W1394" s="50">
        <f>Table5[[#This Row],[posRnk]]+Table5[[#This Row],[zRnk]]+IF($W$3&lt;&gt;Table5[[#This Row],[Type]],50,0)</f>
        <v>2043</v>
      </c>
      <c r="X1394" s="51">
        <f>RANK(Table5[[#This Row],[zScore]],Table5[[#All],[zScore]])</f>
        <v>1385</v>
      </c>
      <c r="Y1394" s="50" t="str">
        <f>IFERROR(INDEX(DraftResults[[#All],[OVR]],MATCH(Table5[[#This Row],[PID]],DraftResults[[#All],[Player ID]],0)),"")</f>
        <v/>
      </c>
      <c r="Z13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4" s="50" t="str">
        <f>IFERROR(INDEX(DraftResults[[#All],[Pick in Round]],MATCH(Table5[[#This Row],[PID]],DraftResults[[#All],[Player ID]],0)),"")</f>
        <v/>
      </c>
      <c r="AB1394" s="50" t="str">
        <f>IFERROR(INDEX(DraftResults[[#All],[Team Name]],MATCH(Table5[[#This Row],[PID]],DraftResults[[#All],[Player ID]],0)),"")</f>
        <v/>
      </c>
      <c r="AC1394" s="50" t="str">
        <f>IF(Table5[[#This Row],[Ovr]]="","",IF(Table5[[#This Row],[cmbList]]="","",Table5[[#This Row],[cmbList]]-Table5[[#This Row],[Ovr]]))</f>
        <v/>
      </c>
      <c r="AD1394" s="54" t="str">
        <f>IF(ISERROR(VLOOKUP($AB1394&amp;"-"&amp;$E1394&amp;" "&amp;F1394,Bonuses!$B$1:$G$1006,4,FALSE)),"",INT(VLOOKUP($AB1394&amp;"-"&amp;$E1394&amp;" "&amp;$F1394,Bonuses!$B$1:$G$1006,4,FALSE)))</f>
        <v/>
      </c>
      <c r="AE13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5" spans="1:31" x14ac:dyDescent="0.25">
      <c r="A1395" s="50">
        <v>21088</v>
      </c>
      <c r="B1395" s="50">
        <f>COUNTIF(Table5[PID],A1395)</f>
        <v>1</v>
      </c>
      <c r="C1395" s="50" t="str">
        <f>IF(COUNTIF(Table3[[#All],[PID]],A1395)&gt;0,"P","B")</f>
        <v>B</v>
      </c>
      <c r="D1395" s="59" t="str">
        <f>IF($C1395="B",INDEX(Batters[[#All],[POS]],MATCH(Table5[[#This Row],[PID]],Batters[[#All],[PID]],0)),INDEX(Table3[[#All],[POS]],MATCH(Table5[[#This Row],[PID]],Table3[[#All],[PID]],0)))</f>
        <v>C</v>
      </c>
      <c r="E1395" s="52" t="str">
        <f>IF($C1395="B",INDEX(Batters[[#All],[First]],MATCH(Table5[[#This Row],[PID]],Batters[[#All],[PID]],0)),INDEX(Table3[[#All],[First]],MATCH(Table5[[#This Row],[PID]],Table3[[#All],[PID]],0)))</f>
        <v>Vincent</v>
      </c>
      <c r="F1395" s="50" t="str">
        <f>IF($C1395="B",INDEX(Batters[[#All],[Last]],MATCH(A1395,Batters[[#All],[PID]],0)),INDEX(Table3[[#All],[Last]],MATCH(A1395,Table3[[#All],[PID]],0)))</f>
        <v>Trickle</v>
      </c>
      <c r="G1395" s="56">
        <f>IF($C1395="B",INDEX(Batters[[#All],[Age]],MATCH(Table5[[#This Row],[PID]],Batters[[#All],[PID]],0)),INDEX(Table3[[#All],[Age]],MATCH(Table5[[#This Row],[PID]],Table3[[#All],[PID]],0)))</f>
        <v>18</v>
      </c>
      <c r="H1395" s="52" t="str">
        <f>IF($C1395="B",INDEX(Batters[[#All],[B]],MATCH(Table5[[#This Row],[PID]],Batters[[#All],[PID]],0)),INDEX(Table3[[#All],[B]],MATCH(Table5[[#This Row],[PID]],Table3[[#All],[PID]],0)))</f>
        <v>R</v>
      </c>
      <c r="I1395" s="70" t="str">
        <f>IF($C1395="B",INDEX(Batters[[#All],[T]],MATCH(Table5[[#This Row],[PID]],Batters[[#All],[PID]],0)),INDEX(Table3[[#All],[T]],MATCH(Table5[[#This Row],[PID]],Table3[[#All],[PID]],0)))</f>
        <v>R</v>
      </c>
      <c r="J1395" s="52" t="str">
        <f>IF($C1395="B",INDEX(Batters[[#All],[WE]],MATCH(Table5[[#This Row],[PID]],Batters[[#All],[PID]],0)),INDEX(Table3[[#All],[WE]],MATCH(Table5[[#This Row],[PID]],Table3[[#All],[PID]],0)))</f>
        <v>Low</v>
      </c>
      <c r="K1395" s="52" t="str">
        <f>IF($C1395="B",INDEX(Batters[[#All],[INT]],MATCH(Table5[[#This Row],[PID]],Batters[[#All],[PID]],0)),INDEX(Table3[[#All],[INT]],MATCH(Table5[[#This Row],[PID]],Table3[[#All],[PID]],0)))</f>
        <v>Normal</v>
      </c>
      <c r="L1395" s="60">
        <f>IF($C1395="B",INDEX(Batters[[#All],[CON P]],MATCH(Table5[[#This Row],[PID]],Batters[[#All],[PID]],0)),INDEX(Table3[[#All],[STU P]],MATCH(Table5[[#This Row],[PID]],Table3[[#All],[PID]],0)))</f>
        <v>2</v>
      </c>
      <c r="M1395" s="56">
        <f>IF($C1395="B",INDEX(Batters[[#All],[GAP P]],MATCH(Table5[[#This Row],[PID]],Batters[[#All],[PID]],0)),INDEX(Table3[[#All],[MOV P]],MATCH(Table5[[#This Row],[PID]],Table3[[#All],[PID]],0)))</f>
        <v>3</v>
      </c>
      <c r="N1395" s="56">
        <f>IF($C1395="B",INDEX(Batters[[#All],[POW P]],MATCH(Table5[[#This Row],[PID]],Batters[[#All],[PID]],0)),INDEX(Table3[[#All],[CON P]],MATCH(Table5[[#This Row],[PID]],Table3[[#All],[PID]],0)))</f>
        <v>2</v>
      </c>
      <c r="O1395" s="56">
        <f>IF($C1395="B",INDEX(Batters[[#All],[EYE P]],MATCH(Table5[[#This Row],[PID]],Batters[[#All],[PID]],0)),INDEX(Table3[[#All],[VELO]],MATCH(Table5[[#This Row],[PID]],Table3[[#All],[PID]],0)))</f>
        <v>5</v>
      </c>
      <c r="P1395" s="56">
        <f>IF($C1395="B",INDEX(Batters[[#All],[K P]],MATCH(Table5[[#This Row],[PID]],Batters[[#All],[PID]],0)),INDEX(Table3[[#All],[STM]],MATCH(Table5[[#This Row],[PID]],Table3[[#All],[PID]],0)))</f>
        <v>3</v>
      </c>
      <c r="Q1395" s="61">
        <f>IF($C1395="B",INDEX(Batters[[#All],[Tot]],MATCH(Table5[[#This Row],[PID]],Batters[[#All],[PID]],0)),INDEX(Table3[[#All],[Tot]],MATCH(Table5[[#This Row],[PID]],Table3[[#All],[PID]],0)))</f>
        <v>35.856018201127412</v>
      </c>
      <c r="R1395" s="70">
        <f>IF($C1395="B",INDEX(Batters[[#All],[zScore]],MATCH(Table5[[#This Row],[PID]],Batters[[#All],[PID]],0)),INDEX(Table3[[#All],[zScore]],MATCH(Table5[[#This Row],[PID]],Table3[[#All],[PID]],0)))</f>
        <v>-1.8348277411341263</v>
      </c>
      <c r="S1395" s="79" t="str">
        <f>IF($C1395="B",INDEX(Batters[[#All],[DEM]],MATCH(Table5[[#This Row],[PID]],Batters[[#All],[PID]],0)),INDEX(Table3[[#All],[DEM]],MATCH(Table5[[#This Row],[PID]],Table3[[#All],[PID]],0)))</f>
        <v>$75k</v>
      </c>
      <c r="T1395" s="62">
        <f>IF($C1395="B",INDEX(Batters[[#All],[Rnk]],MATCH(Table5[[#This Row],[PID]],Batters[[#All],[PID]],0)),INDEX(Table3[[#All],[Rnk]],MATCH(Table5[[#This Row],[PID]],Table3[[#All],[PID]],0)))</f>
        <v>609</v>
      </c>
      <c r="U1395" s="68">
        <f>IF($C1395="B",VLOOKUP($A1395,Bat!$A$4:$BA$1621,47,FALSE),VLOOKUP($A1395,Pit!$A$4:$BF$1557,56,FALSE))</f>
        <v>0</v>
      </c>
      <c r="V1395" s="50">
        <f>IF($C1395="B",VLOOKUP($A1395,Bat!$A$4:$BA$1621,48,FALSE),VLOOKUP($A1395,Pit!$A$4:$BF$1557,57,FALSE))</f>
        <v>0</v>
      </c>
      <c r="W1395" s="50">
        <f>Table5[[#This Row],[posRnk]]+Table5[[#This Row],[zRnk]]+IF($W$3&lt;&gt;Table5[[#This Row],[Type]],50,0)</f>
        <v>2045</v>
      </c>
      <c r="X1395" s="51">
        <f>RANK(Table5[[#This Row],[zScore]],Table5[[#All],[zScore]])</f>
        <v>1386</v>
      </c>
      <c r="Y1395" s="50" t="str">
        <f>IFERROR(INDEX(DraftResults[[#All],[OVR]],MATCH(Table5[[#This Row],[PID]],DraftResults[[#All],[Player ID]],0)),"")</f>
        <v/>
      </c>
      <c r="Z13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5" s="50" t="str">
        <f>IFERROR(INDEX(DraftResults[[#All],[Pick in Round]],MATCH(Table5[[#This Row],[PID]],DraftResults[[#All],[Player ID]],0)),"")</f>
        <v/>
      </c>
      <c r="AB1395" s="50" t="str">
        <f>IFERROR(INDEX(DraftResults[[#All],[Team Name]],MATCH(Table5[[#This Row],[PID]],DraftResults[[#All],[Player ID]],0)),"")</f>
        <v/>
      </c>
      <c r="AC1395" s="50" t="str">
        <f>IF(Table5[[#This Row],[Ovr]]="","",IF(Table5[[#This Row],[cmbList]]="","",Table5[[#This Row],[cmbList]]-Table5[[#This Row],[Ovr]]))</f>
        <v/>
      </c>
      <c r="AD1395" s="54" t="str">
        <f>IF(ISERROR(VLOOKUP($AB1395&amp;"-"&amp;$E1395&amp;" "&amp;F1395,Bonuses!$B$1:$G$1006,4,FALSE)),"",INT(VLOOKUP($AB1395&amp;"-"&amp;$E1395&amp;" "&amp;$F1395,Bonuses!$B$1:$G$1006,4,FALSE)))</f>
        <v/>
      </c>
      <c r="AE13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6" spans="1:31" x14ac:dyDescent="0.25">
      <c r="A1396" s="50">
        <v>20437</v>
      </c>
      <c r="B1396" s="50">
        <f>COUNTIF(Table5[PID],A1396)</f>
        <v>1</v>
      </c>
      <c r="C1396" s="50" t="str">
        <f>IF(COUNTIF(Table3[[#All],[PID]],A1396)&gt;0,"P","B")</f>
        <v>B</v>
      </c>
      <c r="D1396" s="59" t="str">
        <f>IF($C1396="B",INDEX(Batters[[#All],[POS]],MATCH(Table5[[#This Row],[PID]],Batters[[#All],[PID]],0)),INDEX(Table3[[#All],[POS]],MATCH(Table5[[#This Row],[PID]],Table3[[#All],[PID]],0)))</f>
        <v>1B</v>
      </c>
      <c r="E1396" s="52" t="str">
        <f>IF($C1396="B",INDEX(Batters[[#All],[First]],MATCH(Table5[[#This Row],[PID]],Batters[[#All],[PID]],0)),INDEX(Table3[[#All],[First]],MATCH(Table5[[#This Row],[PID]],Table3[[#All],[PID]],0)))</f>
        <v>De-wei</v>
      </c>
      <c r="F1396" s="50" t="str">
        <f>IF($C1396="B",INDEX(Batters[[#All],[Last]],MATCH(A1396,Batters[[#All],[PID]],0)),INDEX(Table3[[#All],[Last]],MATCH(A1396,Table3[[#All],[PID]],0)))</f>
        <v>Wu</v>
      </c>
      <c r="G1396" s="56">
        <f>IF($C1396="B",INDEX(Batters[[#All],[Age]],MATCH(Table5[[#This Row],[PID]],Batters[[#All],[PID]],0)),INDEX(Table3[[#All],[Age]],MATCH(Table5[[#This Row],[PID]],Table3[[#All],[PID]],0)))</f>
        <v>18</v>
      </c>
      <c r="H1396" s="52" t="str">
        <f>IF($C1396="B",INDEX(Batters[[#All],[B]],MATCH(Table5[[#This Row],[PID]],Batters[[#All],[PID]],0)),INDEX(Table3[[#All],[B]],MATCH(Table5[[#This Row],[PID]],Table3[[#All],[PID]],0)))</f>
        <v>S</v>
      </c>
      <c r="I1396" s="70" t="str">
        <f>IF($C1396="B",INDEX(Batters[[#All],[T]],MATCH(Table5[[#This Row],[PID]],Batters[[#All],[PID]],0)),INDEX(Table3[[#All],[T]],MATCH(Table5[[#This Row],[PID]],Table3[[#All],[PID]],0)))</f>
        <v>R</v>
      </c>
      <c r="J1396" s="52" t="str">
        <f>IF($C1396="B",INDEX(Batters[[#All],[WE]],MATCH(Table5[[#This Row],[PID]],Batters[[#All],[PID]],0)),INDEX(Table3[[#All],[WE]],MATCH(Table5[[#This Row],[PID]],Table3[[#All],[PID]],0)))</f>
        <v>Normal</v>
      </c>
      <c r="K1396" s="52" t="str">
        <f>IF($C1396="B",INDEX(Batters[[#All],[INT]],MATCH(Table5[[#This Row],[PID]],Batters[[#All],[PID]],0)),INDEX(Table3[[#All],[INT]],MATCH(Table5[[#This Row],[PID]],Table3[[#All],[PID]],0)))</f>
        <v>High</v>
      </c>
      <c r="L1396" s="60">
        <f>IF($C1396="B",INDEX(Batters[[#All],[CON P]],MATCH(Table5[[#This Row],[PID]],Batters[[#All],[PID]],0)),INDEX(Table3[[#All],[STU P]],MATCH(Table5[[#This Row],[PID]],Table3[[#All],[PID]],0)))</f>
        <v>2</v>
      </c>
      <c r="M1396" s="56">
        <f>IF($C1396="B",INDEX(Batters[[#All],[GAP P]],MATCH(Table5[[#This Row],[PID]],Batters[[#All],[PID]],0)),INDEX(Table3[[#All],[MOV P]],MATCH(Table5[[#This Row],[PID]],Table3[[#All],[PID]],0)))</f>
        <v>2</v>
      </c>
      <c r="N1396" s="56">
        <f>IF($C1396="B",INDEX(Batters[[#All],[POW P]],MATCH(Table5[[#This Row],[PID]],Batters[[#All],[PID]],0)),INDEX(Table3[[#All],[CON P]],MATCH(Table5[[#This Row],[PID]],Table3[[#All],[PID]],0)))</f>
        <v>2</v>
      </c>
      <c r="O1396" s="56">
        <f>IF($C1396="B",INDEX(Batters[[#All],[EYE P]],MATCH(Table5[[#This Row],[PID]],Batters[[#All],[PID]],0)),INDEX(Table3[[#All],[VELO]],MATCH(Table5[[#This Row],[PID]],Table3[[#All],[PID]],0)))</f>
        <v>5</v>
      </c>
      <c r="P1396" s="56">
        <f>IF($C1396="B",INDEX(Batters[[#All],[K P]],MATCH(Table5[[#This Row],[PID]],Batters[[#All],[PID]],0)),INDEX(Table3[[#All],[STM]],MATCH(Table5[[#This Row],[PID]],Table3[[#All],[PID]],0)))</f>
        <v>3</v>
      </c>
      <c r="Q1396" s="61">
        <f>IF($C1396="B",INDEX(Batters[[#All],[Tot]],MATCH(Table5[[#This Row],[PID]],Batters[[#All],[PID]],0)),INDEX(Table3[[#All],[Tot]],MATCH(Table5[[#This Row],[PID]],Table3[[#All],[PID]],0)))</f>
        <v>35.843299645702977</v>
      </c>
      <c r="R1396" s="70">
        <f>IF($C1396="B",INDEX(Batters[[#All],[zScore]],MATCH(Table5[[#This Row],[PID]],Batters[[#All],[PID]],0)),INDEX(Table3[[#All],[zScore]],MATCH(Table5[[#This Row],[PID]],Table3[[#All],[PID]],0)))</f>
        <v>-1.8376475308411795</v>
      </c>
      <c r="S1396" s="79" t="str">
        <f>IF($C1396="B",INDEX(Batters[[#All],[DEM]],MATCH(Table5[[#This Row],[PID]],Batters[[#All],[PID]],0)),INDEX(Table3[[#All],[DEM]],MATCH(Table5[[#This Row],[PID]],Table3[[#All],[PID]],0)))</f>
        <v>$65k</v>
      </c>
      <c r="T1396" s="62">
        <f>IF($C1396="B",INDEX(Batters[[#All],[Rnk]],MATCH(Table5[[#This Row],[PID]],Batters[[#All],[PID]],0)),INDEX(Table3[[#All],[Rnk]],MATCH(Table5[[#This Row],[PID]],Table3[[#All],[PID]],0)))</f>
        <v>610</v>
      </c>
      <c r="U1396" s="68">
        <f>IF($C1396="B",VLOOKUP($A1396,Bat!$A$4:$BA$1621,47,FALSE),VLOOKUP($A1396,Pit!$A$4:$BF$1557,56,FALSE))</f>
        <v>0</v>
      </c>
      <c r="V1396" s="50">
        <f>IF($C1396="B",VLOOKUP($A1396,Bat!$A$4:$BA$1621,48,FALSE),VLOOKUP($A1396,Pit!$A$4:$BF$1557,57,FALSE))</f>
        <v>0</v>
      </c>
      <c r="W1396" s="50">
        <f>Table5[[#This Row],[posRnk]]+Table5[[#This Row],[zRnk]]+IF($W$3&lt;&gt;Table5[[#This Row],[Type]],50,0)</f>
        <v>2047</v>
      </c>
      <c r="X1396" s="51">
        <f>RANK(Table5[[#This Row],[zScore]],Table5[[#All],[zScore]])</f>
        <v>1387</v>
      </c>
      <c r="Y1396" s="50" t="str">
        <f>IFERROR(INDEX(DraftResults[[#All],[OVR]],MATCH(Table5[[#This Row],[PID]],DraftResults[[#All],[Player ID]],0)),"")</f>
        <v/>
      </c>
      <c r="Z13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6" s="50" t="str">
        <f>IFERROR(INDEX(DraftResults[[#All],[Pick in Round]],MATCH(Table5[[#This Row],[PID]],DraftResults[[#All],[Player ID]],0)),"")</f>
        <v/>
      </c>
      <c r="AB1396" s="50" t="str">
        <f>IFERROR(INDEX(DraftResults[[#All],[Team Name]],MATCH(Table5[[#This Row],[PID]],DraftResults[[#All],[Player ID]],0)),"")</f>
        <v/>
      </c>
      <c r="AC1396" s="50" t="str">
        <f>IF(Table5[[#This Row],[Ovr]]="","",IF(Table5[[#This Row],[cmbList]]="","",Table5[[#This Row],[cmbList]]-Table5[[#This Row],[Ovr]]))</f>
        <v/>
      </c>
      <c r="AD1396" s="54" t="str">
        <f>IF(ISERROR(VLOOKUP($AB1396&amp;"-"&amp;$E1396&amp;" "&amp;F1396,Bonuses!$B$1:$G$1006,4,FALSE)),"",INT(VLOOKUP($AB1396&amp;"-"&amp;$E1396&amp;" "&amp;$F1396,Bonuses!$B$1:$G$1006,4,FALSE)))</f>
        <v/>
      </c>
      <c r="AE13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7" spans="1:31" x14ac:dyDescent="0.25">
      <c r="A1397" s="50">
        <v>15326</v>
      </c>
      <c r="B1397" s="50">
        <f>COUNTIF(Table5[PID],A1397)</f>
        <v>1</v>
      </c>
      <c r="C1397" s="50" t="str">
        <f>IF(COUNTIF(Table3[[#All],[PID]],A1397)&gt;0,"P","B")</f>
        <v>B</v>
      </c>
      <c r="D1397" s="59" t="str">
        <f>IF($C1397="B",INDEX(Batters[[#All],[POS]],MATCH(Table5[[#This Row],[PID]],Batters[[#All],[PID]],0)),INDEX(Table3[[#All],[POS]],MATCH(Table5[[#This Row],[PID]],Table3[[#All],[PID]],0)))</f>
        <v>2B</v>
      </c>
      <c r="E1397" s="52" t="str">
        <f>IF($C1397="B",INDEX(Batters[[#All],[First]],MATCH(Table5[[#This Row],[PID]],Batters[[#All],[PID]],0)),INDEX(Table3[[#All],[First]],MATCH(Table5[[#This Row],[PID]],Table3[[#All],[PID]],0)))</f>
        <v>Francisco</v>
      </c>
      <c r="F1397" s="50" t="str">
        <f>IF($C1397="B",INDEX(Batters[[#All],[Last]],MATCH(A1397,Batters[[#All],[PID]],0)),INDEX(Table3[[#All],[Last]],MATCH(A1397,Table3[[#All],[PID]],0)))</f>
        <v>Romero</v>
      </c>
      <c r="G1397" s="56">
        <f>IF($C1397="B",INDEX(Batters[[#All],[Age]],MATCH(Table5[[#This Row],[PID]],Batters[[#All],[PID]],0)),INDEX(Table3[[#All],[Age]],MATCH(Table5[[#This Row],[PID]],Table3[[#All],[PID]],0)))</f>
        <v>21</v>
      </c>
      <c r="H1397" s="52" t="str">
        <f>IF($C1397="B",INDEX(Batters[[#All],[B]],MATCH(Table5[[#This Row],[PID]],Batters[[#All],[PID]],0)),INDEX(Table3[[#All],[B]],MATCH(Table5[[#This Row],[PID]],Table3[[#All],[PID]],0)))</f>
        <v>R</v>
      </c>
      <c r="I1397" s="70" t="str">
        <f>IF($C1397="B",INDEX(Batters[[#All],[T]],MATCH(Table5[[#This Row],[PID]],Batters[[#All],[PID]],0)),INDEX(Table3[[#All],[T]],MATCH(Table5[[#This Row],[PID]],Table3[[#All],[PID]],0)))</f>
        <v>R</v>
      </c>
      <c r="J1397" s="52" t="str">
        <f>IF($C1397="B",INDEX(Batters[[#All],[WE]],MATCH(Table5[[#This Row],[PID]],Batters[[#All],[PID]],0)),INDEX(Table3[[#All],[WE]],MATCH(Table5[[#This Row],[PID]],Table3[[#All],[PID]],0)))</f>
        <v>Low</v>
      </c>
      <c r="K1397" s="52" t="str">
        <f>IF($C1397="B",INDEX(Batters[[#All],[INT]],MATCH(Table5[[#This Row],[PID]],Batters[[#All],[PID]],0)),INDEX(Table3[[#All],[INT]],MATCH(Table5[[#This Row],[PID]],Table3[[#All],[PID]],0)))</f>
        <v>Normal</v>
      </c>
      <c r="L1397" s="60">
        <f>IF($C1397="B",INDEX(Batters[[#All],[CON P]],MATCH(Table5[[#This Row],[PID]],Batters[[#All],[PID]],0)),INDEX(Table3[[#All],[STU P]],MATCH(Table5[[#This Row],[PID]],Table3[[#All],[PID]],0)))</f>
        <v>3</v>
      </c>
      <c r="M1397" s="56">
        <f>IF($C1397="B",INDEX(Batters[[#All],[GAP P]],MATCH(Table5[[#This Row],[PID]],Batters[[#All],[PID]],0)),INDEX(Table3[[#All],[MOV P]],MATCH(Table5[[#This Row],[PID]],Table3[[#All],[PID]],0)))</f>
        <v>4</v>
      </c>
      <c r="N1397" s="56">
        <f>IF($C1397="B",INDEX(Batters[[#All],[POW P]],MATCH(Table5[[#This Row],[PID]],Batters[[#All],[PID]],0)),INDEX(Table3[[#All],[CON P]],MATCH(Table5[[#This Row],[PID]],Table3[[#All],[PID]],0)))</f>
        <v>2</v>
      </c>
      <c r="O1397" s="56">
        <f>IF($C1397="B",INDEX(Batters[[#All],[EYE P]],MATCH(Table5[[#This Row],[PID]],Batters[[#All],[PID]],0)),INDEX(Table3[[#All],[VELO]],MATCH(Table5[[#This Row],[PID]],Table3[[#All],[PID]],0)))</f>
        <v>5</v>
      </c>
      <c r="P1397" s="56">
        <f>IF($C1397="B",INDEX(Batters[[#All],[K P]],MATCH(Table5[[#This Row],[PID]],Batters[[#All],[PID]],0)),INDEX(Table3[[#All],[STM]],MATCH(Table5[[#This Row],[PID]],Table3[[#All],[PID]],0)))</f>
        <v>4</v>
      </c>
      <c r="Q1397" s="61">
        <f>IF($C1397="B",INDEX(Batters[[#All],[Tot]],MATCH(Table5[[#This Row],[PID]],Batters[[#All],[PID]],0)),INDEX(Table3[[#All],[Tot]],MATCH(Table5[[#This Row],[PID]],Table3[[#All],[PID]],0)))</f>
        <v>35.833679811751786</v>
      </c>
      <c r="R1397" s="70">
        <f>IF($C1397="B",INDEX(Batters[[#All],[zScore]],MATCH(Table5[[#This Row],[PID]],Batters[[#All],[PID]],0)),INDEX(Table3[[#All],[zScore]],MATCH(Table5[[#This Row],[PID]],Table3[[#All],[PID]],0)))</f>
        <v>-1.8397803130522015</v>
      </c>
      <c r="S1397" s="79" t="str">
        <f>IF($C1397="B",INDEX(Batters[[#All],[DEM]],MATCH(Table5[[#This Row],[PID]],Batters[[#All],[PID]],0)),INDEX(Table3[[#All],[DEM]],MATCH(Table5[[#This Row],[PID]],Table3[[#All],[PID]],0)))</f>
        <v>$20k</v>
      </c>
      <c r="T1397" s="62">
        <f>IF($C1397="B",INDEX(Batters[[#All],[Rnk]],MATCH(Table5[[#This Row],[PID]],Batters[[#All],[PID]],0)),INDEX(Table3[[#All],[Rnk]],MATCH(Table5[[#This Row],[PID]],Table3[[#All],[PID]],0)))</f>
        <v>611</v>
      </c>
      <c r="U1397" s="68">
        <f>IF($C1397="B",VLOOKUP($A1397,Bat!$A$4:$BA$1621,47,FALSE),VLOOKUP($A1397,Pit!$A$4:$BF$1557,56,FALSE))</f>
        <v>0</v>
      </c>
      <c r="V1397" s="50">
        <f>IF($C1397="B",VLOOKUP($A1397,Bat!$A$4:$BA$1621,48,FALSE),VLOOKUP($A1397,Pit!$A$4:$BF$1557,57,FALSE))</f>
        <v>0</v>
      </c>
      <c r="W1397" s="50">
        <f>Table5[[#This Row],[posRnk]]+Table5[[#This Row],[zRnk]]+IF($W$3&lt;&gt;Table5[[#This Row],[Type]],50,0)</f>
        <v>2049</v>
      </c>
      <c r="X1397" s="51">
        <f>RANK(Table5[[#This Row],[zScore]],Table5[[#All],[zScore]])</f>
        <v>1388</v>
      </c>
      <c r="Y1397" s="50" t="str">
        <f>IFERROR(INDEX(DraftResults[[#All],[OVR]],MATCH(Table5[[#This Row],[PID]],DraftResults[[#All],[Player ID]],0)),"")</f>
        <v/>
      </c>
      <c r="Z13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7" s="50" t="str">
        <f>IFERROR(INDEX(DraftResults[[#All],[Pick in Round]],MATCH(Table5[[#This Row],[PID]],DraftResults[[#All],[Player ID]],0)),"")</f>
        <v/>
      </c>
      <c r="AB1397" s="50" t="str">
        <f>IFERROR(INDEX(DraftResults[[#All],[Team Name]],MATCH(Table5[[#This Row],[PID]],DraftResults[[#All],[Player ID]],0)),"")</f>
        <v/>
      </c>
      <c r="AC1397" s="50" t="str">
        <f>IF(Table5[[#This Row],[Ovr]]="","",IF(Table5[[#This Row],[cmbList]]="","",Table5[[#This Row],[cmbList]]-Table5[[#This Row],[Ovr]]))</f>
        <v/>
      </c>
      <c r="AD1397" s="54" t="str">
        <f>IF(ISERROR(VLOOKUP($AB1397&amp;"-"&amp;$E1397&amp;" "&amp;F1397,Bonuses!$B$1:$G$1006,4,FALSE)),"",INT(VLOOKUP($AB1397&amp;"-"&amp;$E1397&amp;" "&amp;$F1397,Bonuses!$B$1:$G$1006,4,FALSE)))</f>
        <v/>
      </c>
      <c r="AE13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8" spans="1:31" x14ac:dyDescent="0.25">
      <c r="A1398" s="68">
        <v>13795</v>
      </c>
      <c r="B1398" s="69">
        <f>COUNTIF(Table5[PID],A1398)</f>
        <v>1</v>
      </c>
      <c r="C1398" s="69" t="str">
        <f>IF(COUNTIF(Table3[[#All],[PID]],A1398)&gt;0,"P","B")</f>
        <v>P</v>
      </c>
      <c r="D1398" s="59" t="str">
        <f>IF($C1398="B",INDEX(Batters[[#All],[POS]],MATCH(Table5[[#This Row],[PID]],Batters[[#All],[PID]],0)),INDEX(Table3[[#All],[POS]],MATCH(Table5[[#This Row],[PID]],Table3[[#All],[PID]],0)))</f>
        <v>RP</v>
      </c>
      <c r="E1398" s="52" t="str">
        <f>IF($C1398="B",INDEX(Batters[[#All],[First]],MATCH(Table5[[#This Row],[PID]],Batters[[#All],[PID]],0)),INDEX(Table3[[#All],[First]],MATCH(Table5[[#This Row],[PID]],Table3[[#All],[PID]],0)))</f>
        <v>Sean</v>
      </c>
      <c r="F1398" s="55" t="str">
        <f>IF($C1398="B",INDEX(Batters[[#All],[Last]],MATCH(A1398,Batters[[#All],[PID]],0)),INDEX(Table3[[#All],[Last]],MATCH(A1398,Table3[[#All],[PID]],0)))</f>
        <v>Wynn</v>
      </c>
      <c r="G1398" s="56">
        <f>IF($C1398="B",INDEX(Batters[[#All],[Age]],MATCH(Table5[[#This Row],[PID]],Batters[[#All],[PID]],0)),INDEX(Table3[[#All],[Age]],MATCH(Table5[[#This Row],[PID]],Table3[[#All],[PID]],0)))</f>
        <v>22</v>
      </c>
      <c r="H1398" s="52" t="str">
        <f>IF($C1398="B",INDEX(Batters[[#All],[B]],MATCH(Table5[[#This Row],[PID]],Batters[[#All],[PID]],0)),INDEX(Table3[[#All],[B]],MATCH(Table5[[#This Row],[PID]],Table3[[#All],[PID]],0)))</f>
        <v>L</v>
      </c>
      <c r="I1398" s="70" t="str">
        <f>IF($C1398="B",INDEX(Batters[[#All],[T]],MATCH(Table5[[#This Row],[PID]],Batters[[#All],[PID]],0)),INDEX(Table3[[#All],[T]],MATCH(Table5[[#This Row],[PID]],Table3[[#All],[PID]],0)))</f>
        <v>L</v>
      </c>
      <c r="J1398" s="71" t="str">
        <f>IF($C1398="B",INDEX(Batters[[#All],[WE]],MATCH(Table5[[#This Row],[PID]],Batters[[#All],[PID]],0)),INDEX(Table3[[#All],[WE]],MATCH(Table5[[#This Row],[PID]],Table3[[#All],[PID]],0)))</f>
        <v>Low</v>
      </c>
      <c r="K1398" s="52" t="str">
        <f>IF($C1398="B",INDEX(Batters[[#All],[INT]],MATCH(Table5[[#This Row],[PID]],Batters[[#All],[PID]],0)),INDEX(Table3[[#All],[INT]],MATCH(Table5[[#This Row],[PID]],Table3[[#All],[PID]],0)))</f>
        <v>Normal</v>
      </c>
      <c r="L1398" s="60">
        <f>IF($C1398="B",INDEX(Batters[[#All],[CON P]],MATCH(Table5[[#This Row],[PID]],Batters[[#All],[PID]],0)),INDEX(Table3[[#All],[STU P]],MATCH(Table5[[#This Row],[PID]],Table3[[#All],[PID]],0)))</f>
        <v>3</v>
      </c>
      <c r="M1398" s="72">
        <f>IF($C1398="B",INDEX(Batters[[#All],[GAP P]],MATCH(Table5[[#This Row],[PID]],Batters[[#All],[PID]],0)),INDEX(Table3[[#All],[MOV P]],MATCH(Table5[[#This Row],[PID]],Table3[[#All],[PID]],0)))</f>
        <v>2</v>
      </c>
      <c r="N1398" s="72">
        <f>IF($C1398="B",INDEX(Batters[[#All],[POW P]],MATCH(Table5[[#This Row],[PID]],Batters[[#All],[PID]],0)),INDEX(Table3[[#All],[CON P]],MATCH(Table5[[#This Row],[PID]],Table3[[#All],[PID]],0)))</f>
        <v>1</v>
      </c>
      <c r="O1398" s="72" t="str">
        <f>IF($C1398="B",INDEX(Batters[[#All],[EYE P]],MATCH(Table5[[#This Row],[PID]],Batters[[#All],[PID]],0)),INDEX(Table3[[#All],[VELO]],MATCH(Table5[[#This Row],[PID]],Table3[[#All],[PID]],0)))</f>
        <v>84-86 Mph</v>
      </c>
      <c r="P1398" s="56">
        <f>IF($C1398="B",INDEX(Batters[[#All],[K P]],MATCH(Table5[[#This Row],[PID]],Batters[[#All],[PID]],0)),INDEX(Table3[[#All],[STM]],MATCH(Table5[[#This Row],[PID]],Table3[[#All],[PID]],0)))</f>
        <v>7</v>
      </c>
      <c r="Q1398" s="61">
        <f>IF($C1398="B",INDEX(Batters[[#All],[Tot]],MATCH(Table5[[#This Row],[PID]],Batters[[#All],[PID]],0)),INDEX(Table3[[#All],[Tot]],MATCH(Table5[[#This Row],[PID]],Table3[[#All],[PID]],0)))</f>
        <v>11.227802792456668</v>
      </c>
      <c r="R1398" s="70">
        <f>IF($C1398="B",INDEX(Batters[[#All],[zScore]],MATCH(Table5[[#This Row],[PID]],Batters[[#All],[PID]],0)),INDEX(Table3[[#All],[zScore]],MATCH(Table5[[#This Row],[PID]],Table3[[#All],[PID]],0)))</f>
        <v>-1.8489821448600434</v>
      </c>
      <c r="S1398" s="74" t="str">
        <f>IF($C1398="B",INDEX(Batters[[#All],[DEM]],MATCH(Table5[[#This Row],[PID]],Batters[[#All],[PID]],0)),INDEX(Table3[[#All],[DEM]],MATCH(Table5[[#This Row],[PID]],Table3[[#All],[PID]],0)))</f>
        <v>-</v>
      </c>
      <c r="T1398" s="75">
        <f>IF($C1398="B",INDEX(Batters[[#All],[Rnk]],MATCH(Table5[[#This Row],[PID]],Batters[[#All],[PID]],0)),INDEX(Table3[[#All],[Rnk]],MATCH(Table5[[#This Row],[PID]],Table3[[#All],[PID]],0)))</f>
        <v>777</v>
      </c>
      <c r="U1398" s="68">
        <f>IF($C1398="B",VLOOKUP($A1398,Bat!$A$4:$BA$1621,47,FALSE),VLOOKUP($A1398,Pit!$A$4:$BF$1557,56,FALSE))</f>
        <v>0</v>
      </c>
      <c r="V1398" s="50">
        <f>IF($C1398="B",VLOOKUP($A1398,Bat!$A$4:$BA$1621,48,FALSE),VLOOKUP($A1398,Pit!$A$4:$BF$1557,57,FALSE))</f>
        <v>0</v>
      </c>
      <c r="W1398" s="69">
        <f>Table5[[#This Row],[posRnk]]+Table5[[#This Row],[zRnk]]+IF($W$3&lt;&gt;Table5[[#This Row],[Type]],50,0)</f>
        <v>2216</v>
      </c>
      <c r="X1398" s="73">
        <f>RANK(Table5[[#This Row],[zScore]],Table5[[#All],[zScore]])</f>
        <v>1389</v>
      </c>
      <c r="Y1398" s="69" t="str">
        <f>IFERROR(INDEX(DraftResults[[#All],[OVR]],MATCH(Table5[[#This Row],[PID]],DraftResults[[#All],[Player ID]],0)),"")</f>
        <v/>
      </c>
      <c r="Z1398" s="76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8" s="69" t="str">
        <f>IFERROR(INDEX(DraftResults[[#All],[Pick in Round]],MATCH(Table5[[#This Row],[PID]],DraftResults[[#All],[Player ID]],0)),"")</f>
        <v/>
      </c>
      <c r="AB1398" s="69" t="str">
        <f>IFERROR(INDEX(DraftResults[[#All],[Team Name]],MATCH(Table5[[#This Row],[PID]],DraftResults[[#All],[Player ID]],0)),"")</f>
        <v/>
      </c>
      <c r="AC1398" s="69" t="str">
        <f>IF(Table5[[#This Row],[Ovr]]="","",IF(Table5[[#This Row],[cmbList]]="","",Table5[[#This Row],[cmbList]]-Table5[[#This Row],[Ovr]]))</f>
        <v/>
      </c>
      <c r="AD1398" s="77" t="str">
        <f>IF(ISERROR(VLOOKUP($AB1398&amp;"-"&amp;$E1398&amp;" "&amp;F1398,Bonuses!$B$1:$G$1006,4,FALSE)),"",INT(VLOOKUP($AB1398&amp;"-"&amp;$E1398&amp;" "&amp;$F1398,Bonuses!$B$1:$G$1006,4,FALSE)))</f>
        <v/>
      </c>
      <c r="AE1398" s="69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399" spans="1:31" x14ac:dyDescent="0.25">
      <c r="A1399" s="50">
        <v>16917</v>
      </c>
      <c r="B1399" s="50">
        <f>COUNTIF(Table5[PID],A1399)</f>
        <v>1</v>
      </c>
      <c r="C1399" s="50" t="str">
        <f>IF(COUNTIF(Table3[[#All],[PID]],A1399)&gt;0,"P","B")</f>
        <v>B</v>
      </c>
      <c r="D1399" s="59" t="str">
        <f>IF($C1399="B",INDEX(Batters[[#All],[POS]],MATCH(Table5[[#This Row],[PID]],Batters[[#All],[PID]],0)),INDEX(Table3[[#All],[POS]],MATCH(Table5[[#This Row],[PID]],Table3[[#All],[PID]],0)))</f>
        <v>3B</v>
      </c>
      <c r="E1399" s="52" t="str">
        <f>IF($C1399="B",INDEX(Batters[[#All],[First]],MATCH(Table5[[#This Row],[PID]],Batters[[#All],[PID]],0)),INDEX(Table3[[#All],[First]],MATCH(Table5[[#This Row],[PID]],Table3[[#All],[PID]],0)))</f>
        <v>Miguel</v>
      </c>
      <c r="F1399" s="50" t="str">
        <f>IF($C1399="B",INDEX(Batters[[#All],[Last]],MATCH(A1399,Batters[[#All],[PID]],0)),INDEX(Table3[[#All],[Last]],MATCH(A1399,Table3[[#All],[PID]],0)))</f>
        <v>Montáñez</v>
      </c>
      <c r="G1399" s="56">
        <f>IF($C1399="B",INDEX(Batters[[#All],[Age]],MATCH(Table5[[#This Row],[PID]],Batters[[#All],[PID]],0)),INDEX(Table3[[#All],[Age]],MATCH(Table5[[#This Row],[PID]],Table3[[#All],[PID]],0)))</f>
        <v>21</v>
      </c>
      <c r="H1399" s="52" t="str">
        <f>IF($C1399="B",INDEX(Batters[[#All],[B]],MATCH(Table5[[#This Row],[PID]],Batters[[#All],[PID]],0)),INDEX(Table3[[#All],[B]],MATCH(Table5[[#This Row],[PID]],Table3[[#All],[PID]],0)))</f>
        <v>R</v>
      </c>
      <c r="I1399" s="70" t="str">
        <f>IF($C1399="B",INDEX(Batters[[#All],[T]],MATCH(Table5[[#This Row],[PID]],Batters[[#All],[PID]],0)),INDEX(Table3[[#All],[T]],MATCH(Table5[[#This Row],[PID]],Table3[[#All],[PID]],0)))</f>
        <v>R</v>
      </c>
      <c r="J1399" s="52" t="str">
        <f>IF($C1399="B",INDEX(Batters[[#All],[WE]],MATCH(Table5[[#This Row],[PID]],Batters[[#All],[PID]],0)),INDEX(Table3[[#All],[WE]],MATCH(Table5[[#This Row],[PID]],Table3[[#All],[PID]],0)))</f>
        <v>Normal</v>
      </c>
      <c r="K1399" s="52" t="str">
        <f>IF($C1399="B",INDEX(Batters[[#All],[INT]],MATCH(Table5[[#This Row],[PID]],Batters[[#All],[PID]],0)),INDEX(Table3[[#All],[INT]],MATCH(Table5[[#This Row],[PID]],Table3[[#All],[PID]],0)))</f>
        <v>Normal</v>
      </c>
      <c r="L1399" s="60">
        <f>IF($C1399="B",INDEX(Batters[[#All],[CON P]],MATCH(Table5[[#This Row],[PID]],Batters[[#All],[PID]],0)),INDEX(Table3[[#All],[STU P]],MATCH(Table5[[#This Row],[PID]],Table3[[#All],[PID]],0)))</f>
        <v>3</v>
      </c>
      <c r="M1399" s="56">
        <f>IF($C1399="B",INDEX(Batters[[#All],[GAP P]],MATCH(Table5[[#This Row],[PID]],Batters[[#All],[PID]],0)),INDEX(Table3[[#All],[MOV P]],MATCH(Table5[[#This Row],[PID]],Table3[[#All],[PID]],0)))</f>
        <v>3</v>
      </c>
      <c r="N1399" s="56">
        <f>IF($C1399="B",INDEX(Batters[[#All],[POW P]],MATCH(Table5[[#This Row],[PID]],Batters[[#All],[PID]],0)),INDEX(Table3[[#All],[CON P]],MATCH(Table5[[#This Row],[PID]],Table3[[#All],[PID]],0)))</f>
        <v>4</v>
      </c>
      <c r="O1399" s="56">
        <f>IF($C1399="B",INDEX(Batters[[#All],[EYE P]],MATCH(Table5[[#This Row],[PID]],Batters[[#All],[PID]],0)),INDEX(Table3[[#All],[VELO]],MATCH(Table5[[#This Row],[PID]],Table3[[#All],[PID]],0)))</f>
        <v>4</v>
      </c>
      <c r="P1399" s="56">
        <f>IF($C1399="B",INDEX(Batters[[#All],[K P]],MATCH(Table5[[#This Row],[PID]],Batters[[#All],[PID]],0)),INDEX(Table3[[#All],[STM]],MATCH(Table5[[#This Row],[PID]],Table3[[#All],[PID]],0)))</f>
        <v>3</v>
      </c>
      <c r="Q1399" s="61">
        <f>IF($C1399="B",INDEX(Batters[[#All],[Tot]],MATCH(Table5[[#This Row],[PID]],Batters[[#All],[PID]],0)),INDEX(Table3[[#All],[Tot]],MATCH(Table5[[#This Row],[PID]],Table3[[#All],[PID]],0)))</f>
        <v>35.784678537017221</v>
      </c>
      <c r="R1399" s="70">
        <f>IF($C1399="B",INDEX(Batters[[#All],[zScore]],MATCH(Table5[[#This Row],[PID]],Batters[[#All],[PID]],0)),INDEX(Table3[[#All],[zScore]],MATCH(Table5[[#This Row],[PID]],Table3[[#All],[PID]],0)))</f>
        <v>-1.8506442268787322</v>
      </c>
      <c r="S1399" s="79" t="str">
        <f>IF($C1399="B",INDEX(Batters[[#All],[DEM]],MATCH(Table5[[#This Row],[PID]],Batters[[#All],[PID]],0)),INDEX(Table3[[#All],[DEM]],MATCH(Table5[[#This Row],[PID]],Table3[[#All],[PID]],0)))</f>
        <v>-</v>
      </c>
      <c r="T1399" s="62">
        <f>IF($C1399="B",INDEX(Batters[[#All],[Rnk]],MATCH(Table5[[#This Row],[PID]],Batters[[#All],[PID]],0)),INDEX(Table3[[#All],[Rnk]],MATCH(Table5[[#This Row],[PID]],Table3[[#All],[PID]],0)))</f>
        <v>612</v>
      </c>
      <c r="U1399" s="68">
        <f>IF($C1399="B",VLOOKUP($A1399,Bat!$A$4:$BA$1621,47,FALSE),VLOOKUP($A1399,Pit!$A$4:$BF$1557,56,FALSE))</f>
        <v>0</v>
      </c>
      <c r="V1399" s="50">
        <f>IF($C1399="B",VLOOKUP($A1399,Bat!$A$4:$BA$1621,48,FALSE),VLOOKUP($A1399,Pit!$A$4:$BF$1557,57,FALSE))</f>
        <v>0</v>
      </c>
      <c r="W1399" s="50">
        <f>Table5[[#This Row],[posRnk]]+Table5[[#This Row],[zRnk]]+IF($W$3&lt;&gt;Table5[[#This Row],[Type]],50,0)</f>
        <v>2052</v>
      </c>
      <c r="X1399" s="51">
        <f>RANK(Table5[[#This Row],[zScore]],Table5[[#All],[zScore]])</f>
        <v>1390</v>
      </c>
      <c r="Y1399" s="50" t="str">
        <f>IFERROR(INDEX(DraftResults[[#All],[OVR]],MATCH(Table5[[#This Row],[PID]],DraftResults[[#All],[Player ID]],0)),"")</f>
        <v/>
      </c>
      <c r="Z13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399" s="50" t="str">
        <f>IFERROR(INDEX(DraftResults[[#All],[Pick in Round]],MATCH(Table5[[#This Row],[PID]],DraftResults[[#All],[Player ID]],0)),"")</f>
        <v/>
      </c>
      <c r="AB1399" s="50" t="str">
        <f>IFERROR(INDEX(DraftResults[[#All],[Team Name]],MATCH(Table5[[#This Row],[PID]],DraftResults[[#All],[Player ID]],0)),"")</f>
        <v/>
      </c>
      <c r="AC1399" s="50" t="str">
        <f>IF(Table5[[#This Row],[Ovr]]="","",IF(Table5[[#This Row],[cmbList]]="","",Table5[[#This Row],[cmbList]]-Table5[[#This Row],[Ovr]]))</f>
        <v/>
      </c>
      <c r="AD1399" s="54" t="str">
        <f>IF(ISERROR(VLOOKUP($AB1399&amp;"-"&amp;$E1399&amp;" "&amp;F1399,Bonuses!$B$1:$G$1006,4,FALSE)),"",INT(VLOOKUP($AB1399&amp;"-"&amp;$E1399&amp;" "&amp;$F1399,Bonuses!$B$1:$G$1006,4,FALSE)))</f>
        <v/>
      </c>
      <c r="AE13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0" spans="1:31" x14ac:dyDescent="0.25">
      <c r="A1400" s="50">
        <v>18166</v>
      </c>
      <c r="B1400" s="50">
        <f>COUNTIF(Table5[PID],A1400)</f>
        <v>1</v>
      </c>
      <c r="C1400" s="50" t="str">
        <f>IF(COUNTIF(Table3[[#All],[PID]],A1400)&gt;0,"P","B")</f>
        <v>B</v>
      </c>
      <c r="D1400" s="59" t="str">
        <f>IF($C1400="B",INDEX(Batters[[#All],[POS]],MATCH(Table5[[#This Row],[PID]],Batters[[#All],[PID]],0)),INDEX(Table3[[#All],[POS]],MATCH(Table5[[#This Row],[PID]],Table3[[#All],[PID]],0)))</f>
        <v>SS</v>
      </c>
      <c r="E1400" s="52" t="str">
        <f>IF($C1400="B",INDEX(Batters[[#All],[First]],MATCH(Table5[[#This Row],[PID]],Batters[[#All],[PID]],0)),INDEX(Table3[[#All],[First]],MATCH(Table5[[#This Row],[PID]],Table3[[#All],[PID]],0)))</f>
        <v>Conner</v>
      </c>
      <c r="F1400" s="50" t="str">
        <f>IF($C1400="B",INDEX(Batters[[#All],[Last]],MATCH(A1400,Batters[[#All],[PID]],0)),INDEX(Table3[[#All],[Last]],MATCH(A1400,Table3[[#All],[PID]],0)))</f>
        <v>Wright</v>
      </c>
      <c r="G1400" s="56">
        <f>IF($C1400="B",INDEX(Batters[[#All],[Age]],MATCH(Table5[[#This Row],[PID]],Batters[[#All],[PID]],0)),INDEX(Table3[[#All],[Age]],MATCH(Table5[[#This Row],[PID]],Table3[[#All],[PID]],0)))</f>
        <v>21</v>
      </c>
      <c r="H1400" s="52" t="str">
        <f>IF($C1400="B",INDEX(Batters[[#All],[B]],MATCH(Table5[[#This Row],[PID]],Batters[[#All],[PID]],0)),INDEX(Table3[[#All],[B]],MATCH(Table5[[#This Row],[PID]],Table3[[#All],[PID]],0)))</f>
        <v>R</v>
      </c>
      <c r="I1400" s="70" t="str">
        <f>IF($C1400="B",INDEX(Batters[[#All],[T]],MATCH(Table5[[#This Row],[PID]],Batters[[#All],[PID]],0)),INDEX(Table3[[#All],[T]],MATCH(Table5[[#This Row],[PID]],Table3[[#All],[PID]],0)))</f>
        <v>R</v>
      </c>
      <c r="J1400" s="52" t="str">
        <f>IF($C1400="B",INDEX(Batters[[#All],[WE]],MATCH(Table5[[#This Row],[PID]],Batters[[#All],[PID]],0)),INDEX(Table3[[#All],[WE]],MATCH(Table5[[#This Row],[PID]],Table3[[#All],[PID]],0)))</f>
        <v>Low</v>
      </c>
      <c r="K1400" s="52" t="str">
        <f>IF($C1400="B",INDEX(Batters[[#All],[INT]],MATCH(Table5[[#This Row],[PID]],Batters[[#All],[PID]],0)),INDEX(Table3[[#All],[INT]],MATCH(Table5[[#This Row],[PID]],Table3[[#All],[PID]],0)))</f>
        <v>Normal</v>
      </c>
      <c r="L1400" s="60">
        <f>IF($C1400="B",INDEX(Batters[[#All],[CON P]],MATCH(Table5[[#This Row],[PID]],Batters[[#All],[PID]],0)),INDEX(Table3[[#All],[STU P]],MATCH(Table5[[#This Row],[PID]],Table3[[#All],[PID]],0)))</f>
        <v>3</v>
      </c>
      <c r="M1400" s="56">
        <f>IF($C1400="B",INDEX(Batters[[#All],[GAP P]],MATCH(Table5[[#This Row],[PID]],Batters[[#All],[PID]],0)),INDEX(Table3[[#All],[MOV P]],MATCH(Table5[[#This Row],[PID]],Table3[[#All],[PID]],0)))</f>
        <v>3</v>
      </c>
      <c r="N1400" s="56">
        <f>IF($C1400="B",INDEX(Batters[[#All],[POW P]],MATCH(Table5[[#This Row],[PID]],Batters[[#All],[PID]],0)),INDEX(Table3[[#All],[CON P]],MATCH(Table5[[#This Row],[PID]],Table3[[#All],[PID]],0)))</f>
        <v>3</v>
      </c>
      <c r="O1400" s="56">
        <f>IF($C1400="B",INDEX(Batters[[#All],[EYE P]],MATCH(Table5[[#This Row],[PID]],Batters[[#All],[PID]],0)),INDEX(Table3[[#All],[VELO]],MATCH(Table5[[#This Row],[PID]],Table3[[#All],[PID]],0)))</f>
        <v>5</v>
      </c>
      <c r="P1400" s="56">
        <f>IF($C1400="B",INDEX(Batters[[#All],[K P]],MATCH(Table5[[#This Row],[PID]],Batters[[#All],[PID]],0)),INDEX(Table3[[#All],[STM]],MATCH(Table5[[#This Row],[PID]],Table3[[#All],[PID]],0)))</f>
        <v>3</v>
      </c>
      <c r="Q1400" s="61">
        <f>IF($C1400="B",INDEX(Batters[[#All],[Tot]],MATCH(Table5[[#This Row],[PID]],Batters[[#All],[PID]],0)),INDEX(Table3[[#All],[Tot]],MATCH(Table5[[#This Row],[PID]],Table3[[#All],[PID]],0)))</f>
        <v>35.778064839831814</v>
      </c>
      <c r="R1400" s="70">
        <f>IF($C1400="B",INDEX(Batters[[#All],[zScore]],MATCH(Table5[[#This Row],[PID]],Batters[[#All],[PID]],0)),INDEX(Table3[[#All],[zScore]],MATCH(Table5[[#This Row],[PID]],Table3[[#All],[PID]],0)))</f>
        <v>-1.8521105282491812</v>
      </c>
      <c r="S1400" s="79" t="str">
        <f>IF($C1400="B",INDEX(Batters[[#All],[DEM]],MATCH(Table5[[#This Row],[PID]],Batters[[#All],[PID]],0)),INDEX(Table3[[#All],[DEM]],MATCH(Table5[[#This Row],[PID]],Table3[[#All],[PID]],0)))</f>
        <v>-</v>
      </c>
      <c r="T1400" s="62">
        <f>IF($C1400="B",INDEX(Batters[[#All],[Rnk]],MATCH(Table5[[#This Row],[PID]],Batters[[#All],[PID]],0)),INDEX(Table3[[#All],[Rnk]],MATCH(Table5[[#This Row],[PID]],Table3[[#All],[PID]],0)))</f>
        <v>613</v>
      </c>
      <c r="U1400" s="68">
        <f>IF($C1400="B",VLOOKUP($A1400,Bat!$A$4:$BA$1621,47,FALSE),VLOOKUP($A1400,Pit!$A$4:$BF$1557,56,FALSE))</f>
        <v>0</v>
      </c>
      <c r="V1400" s="50">
        <f>IF($C1400="B",VLOOKUP($A1400,Bat!$A$4:$BA$1621,48,FALSE),VLOOKUP($A1400,Pit!$A$4:$BF$1557,57,FALSE))</f>
        <v>0</v>
      </c>
      <c r="W1400" s="50">
        <f>Table5[[#This Row],[posRnk]]+Table5[[#This Row],[zRnk]]+IF($W$3&lt;&gt;Table5[[#This Row],[Type]],50,0)</f>
        <v>2054</v>
      </c>
      <c r="X1400" s="51">
        <f>RANK(Table5[[#This Row],[zScore]],Table5[[#All],[zScore]])</f>
        <v>1391</v>
      </c>
      <c r="Y1400" s="50" t="str">
        <f>IFERROR(INDEX(DraftResults[[#All],[OVR]],MATCH(Table5[[#This Row],[PID]],DraftResults[[#All],[Player ID]],0)),"")</f>
        <v/>
      </c>
      <c r="Z14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0" s="50" t="str">
        <f>IFERROR(INDEX(DraftResults[[#All],[Pick in Round]],MATCH(Table5[[#This Row],[PID]],DraftResults[[#All],[Player ID]],0)),"")</f>
        <v/>
      </c>
      <c r="AB1400" s="50" t="str">
        <f>IFERROR(INDEX(DraftResults[[#All],[Team Name]],MATCH(Table5[[#This Row],[PID]],DraftResults[[#All],[Player ID]],0)),"")</f>
        <v/>
      </c>
      <c r="AC1400" s="50" t="str">
        <f>IF(Table5[[#This Row],[Ovr]]="","",IF(Table5[[#This Row],[cmbList]]="","",Table5[[#This Row],[cmbList]]-Table5[[#This Row],[Ovr]]))</f>
        <v/>
      </c>
      <c r="AD1400" s="54" t="str">
        <f>IF(ISERROR(VLOOKUP($AB1400&amp;"-"&amp;$E1400&amp;" "&amp;F1400,Bonuses!$B$1:$G$1006,4,FALSE)),"",INT(VLOOKUP($AB1400&amp;"-"&amp;$E1400&amp;" "&amp;$F1400,Bonuses!$B$1:$G$1006,4,FALSE)))</f>
        <v/>
      </c>
      <c r="AE14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1" spans="1:31" x14ac:dyDescent="0.25">
      <c r="A1401" s="50">
        <v>6011</v>
      </c>
      <c r="B1401" s="50">
        <f>COUNTIF(Table5[PID],A1401)</f>
        <v>1</v>
      </c>
      <c r="C1401" s="50" t="str">
        <f>IF(COUNTIF(Table3[[#All],[PID]],A1401)&gt;0,"P","B")</f>
        <v>B</v>
      </c>
      <c r="D1401" s="59" t="str">
        <f>IF($C1401="B",INDEX(Batters[[#All],[POS]],MATCH(Table5[[#This Row],[PID]],Batters[[#All],[PID]],0)),INDEX(Table3[[#All],[POS]],MATCH(Table5[[#This Row],[PID]],Table3[[#All],[PID]],0)))</f>
        <v>LF</v>
      </c>
      <c r="E1401" s="52" t="str">
        <f>IF($C1401="B",INDEX(Batters[[#All],[First]],MATCH(Table5[[#This Row],[PID]],Batters[[#All],[PID]],0)),INDEX(Table3[[#All],[First]],MATCH(Table5[[#This Row],[PID]],Table3[[#All],[PID]],0)))</f>
        <v>Jim</v>
      </c>
      <c r="F1401" s="50" t="str">
        <f>IF($C1401="B",INDEX(Batters[[#All],[Last]],MATCH(A1401,Batters[[#All],[PID]],0)),INDEX(Table3[[#All],[Last]],MATCH(A1401,Table3[[#All],[PID]],0)))</f>
        <v>Morris</v>
      </c>
      <c r="G1401" s="56">
        <f>IF($C1401="B",INDEX(Batters[[#All],[Age]],MATCH(Table5[[#This Row],[PID]],Batters[[#All],[PID]],0)),INDEX(Table3[[#All],[Age]],MATCH(Table5[[#This Row],[PID]],Table3[[#All],[PID]],0)))</f>
        <v>21</v>
      </c>
      <c r="H1401" s="52" t="str">
        <f>IF($C1401="B",INDEX(Batters[[#All],[B]],MATCH(Table5[[#This Row],[PID]],Batters[[#All],[PID]],0)),INDEX(Table3[[#All],[B]],MATCH(Table5[[#This Row],[PID]],Table3[[#All],[PID]],0)))</f>
        <v>R</v>
      </c>
      <c r="I1401" s="70" t="str">
        <f>IF($C1401="B",INDEX(Batters[[#All],[T]],MATCH(Table5[[#This Row],[PID]],Batters[[#All],[PID]],0)),INDEX(Table3[[#All],[T]],MATCH(Table5[[#This Row],[PID]],Table3[[#All],[PID]],0)))</f>
        <v>R</v>
      </c>
      <c r="J1401" s="52" t="str">
        <f>IF($C1401="B",INDEX(Batters[[#All],[WE]],MATCH(Table5[[#This Row],[PID]],Batters[[#All],[PID]],0)),INDEX(Table3[[#All],[WE]],MATCH(Table5[[#This Row],[PID]],Table3[[#All],[PID]],0)))</f>
        <v>Normal</v>
      </c>
      <c r="K1401" s="52" t="str">
        <f>IF($C1401="B",INDEX(Batters[[#All],[INT]],MATCH(Table5[[#This Row],[PID]],Batters[[#All],[PID]],0)),INDEX(Table3[[#All],[INT]],MATCH(Table5[[#This Row],[PID]],Table3[[#All],[PID]],0)))</f>
        <v>Normal</v>
      </c>
      <c r="L1401" s="60">
        <f>IF($C1401="B",INDEX(Batters[[#All],[CON P]],MATCH(Table5[[#This Row],[PID]],Batters[[#All],[PID]],0)),INDEX(Table3[[#All],[STU P]],MATCH(Table5[[#This Row],[PID]],Table3[[#All],[PID]],0)))</f>
        <v>3</v>
      </c>
      <c r="M1401" s="56">
        <f>IF($C1401="B",INDEX(Batters[[#All],[GAP P]],MATCH(Table5[[#This Row],[PID]],Batters[[#All],[PID]],0)),INDEX(Table3[[#All],[MOV P]],MATCH(Table5[[#This Row],[PID]],Table3[[#All],[PID]],0)))</f>
        <v>3</v>
      </c>
      <c r="N1401" s="56">
        <f>IF($C1401="B",INDEX(Batters[[#All],[POW P]],MATCH(Table5[[#This Row],[PID]],Batters[[#All],[PID]],0)),INDEX(Table3[[#All],[CON P]],MATCH(Table5[[#This Row],[PID]],Table3[[#All],[PID]],0)))</f>
        <v>3</v>
      </c>
      <c r="O1401" s="56">
        <f>IF($C1401="B",INDEX(Batters[[#All],[EYE P]],MATCH(Table5[[#This Row],[PID]],Batters[[#All],[PID]],0)),INDEX(Table3[[#All],[VELO]],MATCH(Table5[[#This Row],[PID]],Table3[[#All],[PID]],0)))</f>
        <v>4</v>
      </c>
      <c r="P1401" s="56">
        <f>IF($C1401="B",INDEX(Batters[[#All],[K P]],MATCH(Table5[[#This Row],[PID]],Batters[[#All],[PID]],0)),INDEX(Table3[[#All],[STM]],MATCH(Table5[[#This Row],[PID]],Table3[[#All],[PID]],0)))</f>
        <v>4</v>
      </c>
      <c r="Q1401" s="61">
        <f>IF($C1401="B",INDEX(Batters[[#All],[Tot]],MATCH(Table5[[#This Row],[PID]],Batters[[#All],[PID]],0)),INDEX(Table3[[#All],[Tot]],MATCH(Table5[[#This Row],[PID]],Table3[[#All],[PID]],0)))</f>
        <v>35.751470019868741</v>
      </c>
      <c r="R1401" s="70">
        <f>IF($C1401="B",INDEX(Batters[[#All],[zScore]],MATCH(Table5[[#This Row],[PID]],Batters[[#All],[PID]],0)),INDEX(Table3[[#All],[zScore]],MATCH(Table5[[#This Row],[PID]],Table3[[#All],[PID]],0)))</f>
        <v>-1.8580067795992941</v>
      </c>
      <c r="S1401" s="79" t="str">
        <f>IF($C1401="B",INDEX(Batters[[#All],[DEM]],MATCH(Table5[[#This Row],[PID]],Batters[[#All],[PID]],0)),INDEX(Table3[[#All],[DEM]],MATCH(Table5[[#This Row],[PID]],Table3[[#All],[PID]],0)))</f>
        <v>-</v>
      </c>
      <c r="T1401" s="62">
        <f>IF($C1401="B",INDEX(Batters[[#All],[Rnk]],MATCH(Table5[[#This Row],[PID]],Batters[[#All],[PID]],0)),INDEX(Table3[[#All],[Rnk]],MATCH(Table5[[#This Row],[PID]],Table3[[#All],[PID]],0)))</f>
        <v>615</v>
      </c>
      <c r="U1401" s="68">
        <f>IF($C1401="B",VLOOKUP($A1401,Bat!$A$4:$BA$1621,47,FALSE),VLOOKUP($A1401,Pit!$A$4:$BF$1557,56,FALSE))</f>
        <v>0</v>
      </c>
      <c r="V1401" s="50">
        <f>IF($C1401="B",VLOOKUP($A1401,Bat!$A$4:$BA$1621,48,FALSE),VLOOKUP($A1401,Pit!$A$4:$BF$1557,57,FALSE))</f>
        <v>0</v>
      </c>
      <c r="W1401" s="50">
        <f>Table5[[#This Row],[posRnk]]+Table5[[#This Row],[zRnk]]+IF($W$3&lt;&gt;Table5[[#This Row],[Type]],50,0)</f>
        <v>2058</v>
      </c>
      <c r="X1401" s="51">
        <f>RANK(Table5[[#This Row],[zScore]],Table5[[#All],[zScore]])</f>
        <v>1393</v>
      </c>
      <c r="Y1401" s="50" t="str">
        <f>IFERROR(INDEX(DraftResults[[#All],[OVR]],MATCH(Table5[[#This Row],[PID]],DraftResults[[#All],[Player ID]],0)),"")</f>
        <v/>
      </c>
      <c r="Z14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1" s="50" t="str">
        <f>IFERROR(INDEX(DraftResults[[#All],[Pick in Round]],MATCH(Table5[[#This Row],[PID]],DraftResults[[#All],[Player ID]],0)),"")</f>
        <v/>
      </c>
      <c r="AB1401" s="50" t="str">
        <f>IFERROR(INDEX(DraftResults[[#All],[Team Name]],MATCH(Table5[[#This Row],[PID]],DraftResults[[#All],[Player ID]],0)),"")</f>
        <v/>
      </c>
      <c r="AC1401" s="50" t="str">
        <f>IF(Table5[[#This Row],[Ovr]]="","",IF(Table5[[#This Row],[cmbList]]="","",Table5[[#This Row],[cmbList]]-Table5[[#This Row],[Ovr]]))</f>
        <v/>
      </c>
      <c r="AD1401" s="54" t="str">
        <f>IF(ISERROR(VLOOKUP($AB1401&amp;"-"&amp;$E1401&amp;" "&amp;F1401,Bonuses!$B$1:$G$1006,4,FALSE)),"",INT(VLOOKUP($AB1401&amp;"-"&amp;$E1401&amp;" "&amp;$F1401,Bonuses!$B$1:$G$1006,4,FALSE)))</f>
        <v/>
      </c>
      <c r="AE14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2" spans="1:31" x14ac:dyDescent="0.25">
      <c r="A1402" s="50">
        <v>11960</v>
      </c>
      <c r="B1402" s="50">
        <f>COUNTIF(Table5[PID],A1402)</f>
        <v>1</v>
      </c>
      <c r="C1402" s="50" t="str">
        <f>IF(COUNTIF(Table3[[#All],[PID]],A1402)&gt;0,"P","B")</f>
        <v>B</v>
      </c>
      <c r="D1402" s="59" t="str">
        <f>IF($C1402="B",INDEX(Batters[[#All],[POS]],MATCH(Table5[[#This Row],[PID]],Batters[[#All],[PID]],0)),INDEX(Table3[[#All],[POS]],MATCH(Table5[[#This Row],[PID]],Table3[[#All],[PID]],0)))</f>
        <v>2B</v>
      </c>
      <c r="E1402" s="52" t="str">
        <f>IF($C1402="B",INDEX(Batters[[#All],[First]],MATCH(Table5[[#This Row],[PID]],Batters[[#All],[PID]],0)),INDEX(Table3[[#All],[First]],MATCH(Table5[[#This Row],[PID]],Table3[[#All],[PID]],0)))</f>
        <v>Kantaro</v>
      </c>
      <c r="F1402" s="50" t="str">
        <f>IF($C1402="B",INDEX(Batters[[#All],[Last]],MATCH(A1402,Batters[[#All],[PID]],0)),INDEX(Table3[[#All],[Last]],MATCH(A1402,Table3[[#All],[PID]],0)))</f>
        <v>Sasaki</v>
      </c>
      <c r="G1402" s="56">
        <f>IF($C1402="B",INDEX(Batters[[#All],[Age]],MATCH(Table5[[#This Row],[PID]],Batters[[#All],[PID]],0)),INDEX(Table3[[#All],[Age]],MATCH(Table5[[#This Row],[PID]],Table3[[#All],[PID]],0)))</f>
        <v>21</v>
      </c>
      <c r="H1402" s="52" t="str">
        <f>IF($C1402="B",INDEX(Batters[[#All],[B]],MATCH(Table5[[#This Row],[PID]],Batters[[#All],[PID]],0)),INDEX(Table3[[#All],[B]],MATCH(Table5[[#This Row],[PID]],Table3[[#All],[PID]],0)))</f>
        <v>S</v>
      </c>
      <c r="I1402" s="70" t="str">
        <f>IF($C1402="B",INDEX(Batters[[#All],[T]],MATCH(Table5[[#This Row],[PID]],Batters[[#All],[PID]],0)),INDEX(Table3[[#All],[T]],MATCH(Table5[[#This Row],[PID]],Table3[[#All],[PID]],0)))</f>
        <v>R</v>
      </c>
      <c r="J1402" s="52" t="str">
        <f>IF($C1402="B",INDEX(Batters[[#All],[WE]],MATCH(Table5[[#This Row],[PID]],Batters[[#All],[PID]],0)),INDEX(Table3[[#All],[WE]],MATCH(Table5[[#This Row],[PID]],Table3[[#All],[PID]],0)))</f>
        <v>Normal</v>
      </c>
      <c r="K1402" s="52" t="str">
        <f>IF($C1402="B",INDEX(Batters[[#All],[INT]],MATCH(Table5[[#This Row],[PID]],Batters[[#All],[PID]],0)),INDEX(Table3[[#All],[INT]],MATCH(Table5[[#This Row],[PID]],Table3[[#All],[PID]],0)))</f>
        <v>Normal</v>
      </c>
      <c r="L1402" s="60">
        <f>IF($C1402="B",INDEX(Batters[[#All],[CON P]],MATCH(Table5[[#This Row],[PID]],Batters[[#All],[PID]],0)),INDEX(Table3[[#All],[STU P]],MATCH(Table5[[#This Row],[PID]],Table3[[#All],[PID]],0)))</f>
        <v>3</v>
      </c>
      <c r="M1402" s="56">
        <f>IF($C1402="B",INDEX(Batters[[#All],[GAP P]],MATCH(Table5[[#This Row],[PID]],Batters[[#All],[PID]],0)),INDEX(Table3[[#All],[MOV P]],MATCH(Table5[[#This Row],[PID]],Table3[[#All],[PID]],0)))</f>
        <v>4</v>
      </c>
      <c r="N1402" s="56">
        <f>IF($C1402="B",INDEX(Batters[[#All],[POW P]],MATCH(Table5[[#This Row],[PID]],Batters[[#All],[PID]],0)),INDEX(Table3[[#All],[CON P]],MATCH(Table5[[#This Row],[PID]],Table3[[#All],[PID]],0)))</f>
        <v>3</v>
      </c>
      <c r="O1402" s="56">
        <f>IF($C1402="B",INDEX(Batters[[#All],[EYE P]],MATCH(Table5[[#This Row],[PID]],Batters[[#All],[PID]],0)),INDEX(Table3[[#All],[VELO]],MATCH(Table5[[#This Row],[PID]],Table3[[#All],[PID]],0)))</f>
        <v>4</v>
      </c>
      <c r="P1402" s="56">
        <f>IF($C1402="B",INDEX(Batters[[#All],[K P]],MATCH(Table5[[#This Row],[PID]],Batters[[#All],[PID]],0)),INDEX(Table3[[#All],[STM]],MATCH(Table5[[#This Row],[PID]],Table3[[#All],[PID]],0)))</f>
        <v>3</v>
      </c>
      <c r="Q1402" s="61">
        <f>IF($C1402="B",INDEX(Batters[[#All],[Tot]],MATCH(Table5[[#This Row],[PID]],Batters[[#All],[PID]],0)),INDEX(Table3[[#All],[Tot]],MATCH(Table5[[#This Row],[PID]],Table3[[#All],[PID]],0)))</f>
        <v>35.736508761746208</v>
      </c>
      <c r="R1402" s="70">
        <f>IF($C1402="B",INDEX(Batters[[#All],[zScore]],MATCH(Table5[[#This Row],[PID]],Batters[[#All],[PID]],0)),INDEX(Table3[[#All],[zScore]],MATCH(Table5[[#This Row],[PID]],Table3[[#All],[PID]],0)))</f>
        <v>-1.8613237916537788</v>
      </c>
      <c r="S1402" s="79" t="str">
        <f>IF($C1402="B",INDEX(Batters[[#All],[DEM]],MATCH(Table5[[#This Row],[PID]],Batters[[#All],[PID]],0)),INDEX(Table3[[#All],[DEM]],MATCH(Table5[[#This Row],[PID]],Table3[[#All],[PID]],0)))</f>
        <v>$20k</v>
      </c>
      <c r="T1402" s="62">
        <f>IF($C1402="B",INDEX(Batters[[#All],[Rnk]],MATCH(Table5[[#This Row],[PID]],Batters[[#All],[PID]],0)),INDEX(Table3[[#All],[Rnk]],MATCH(Table5[[#This Row],[PID]],Table3[[#All],[PID]],0)))</f>
        <v>616</v>
      </c>
      <c r="U1402" s="68">
        <f>IF($C1402="B",VLOOKUP($A1402,Bat!$A$4:$BA$1621,47,FALSE),VLOOKUP($A1402,Pit!$A$4:$BF$1557,56,FALSE))</f>
        <v>0</v>
      </c>
      <c r="V1402" s="50">
        <f>IF($C1402="B",VLOOKUP($A1402,Bat!$A$4:$BA$1621,48,FALSE),VLOOKUP($A1402,Pit!$A$4:$BF$1557,57,FALSE))</f>
        <v>0</v>
      </c>
      <c r="W1402" s="50">
        <f>Table5[[#This Row],[posRnk]]+Table5[[#This Row],[zRnk]]+IF($W$3&lt;&gt;Table5[[#This Row],[Type]],50,0)</f>
        <v>2060</v>
      </c>
      <c r="X1402" s="51">
        <f>RANK(Table5[[#This Row],[zScore]],Table5[[#All],[zScore]])</f>
        <v>1394</v>
      </c>
      <c r="Y1402" s="50" t="str">
        <f>IFERROR(INDEX(DraftResults[[#All],[OVR]],MATCH(Table5[[#This Row],[PID]],DraftResults[[#All],[Player ID]],0)),"")</f>
        <v/>
      </c>
      <c r="Z14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2" s="50" t="str">
        <f>IFERROR(INDEX(DraftResults[[#All],[Pick in Round]],MATCH(Table5[[#This Row],[PID]],DraftResults[[#All],[Player ID]],0)),"")</f>
        <v/>
      </c>
      <c r="AB1402" s="50" t="str">
        <f>IFERROR(INDEX(DraftResults[[#All],[Team Name]],MATCH(Table5[[#This Row],[PID]],DraftResults[[#All],[Player ID]],0)),"")</f>
        <v/>
      </c>
      <c r="AC1402" s="50" t="str">
        <f>IF(Table5[[#This Row],[Ovr]]="","",IF(Table5[[#This Row],[cmbList]]="","",Table5[[#This Row],[cmbList]]-Table5[[#This Row],[Ovr]]))</f>
        <v/>
      </c>
      <c r="AD1402" s="54" t="str">
        <f>IF(ISERROR(VLOOKUP($AB1402&amp;"-"&amp;$E1402&amp;" "&amp;F1402,Bonuses!$B$1:$G$1006,4,FALSE)),"",INT(VLOOKUP($AB1402&amp;"-"&amp;$E1402&amp;" "&amp;$F1402,Bonuses!$B$1:$G$1006,4,FALSE)))</f>
        <v/>
      </c>
      <c r="AE14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3" spans="1:31" x14ac:dyDescent="0.25">
      <c r="A1403" s="50">
        <v>12875</v>
      </c>
      <c r="B1403" s="50">
        <f>COUNTIF(Table5[PID],A1403)</f>
        <v>1</v>
      </c>
      <c r="C1403" s="50" t="str">
        <f>IF(COUNTIF(Table3[[#All],[PID]],A1403)&gt;0,"P","B")</f>
        <v>B</v>
      </c>
      <c r="D1403" s="59" t="str">
        <f>IF($C1403="B",INDEX(Batters[[#All],[POS]],MATCH(Table5[[#This Row],[PID]],Batters[[#All],[PID]],0)),INDEX(Table3[[#All],[POS]],MATCH(Table5[[#This Row],[PID]],Table3[[#All],[PID]],0)))</f>
        <v>3B</v>
      </c>
      <c r="E1403" s="52" t="str">
        <f>IF($C1403="B",INDEX(Batters[[#All],[First]],MATCH(Table5[[#This Row],[PID]],Batters[[#All],[PID]],0)),INDEX(Table3[[#All],[First]],MATCH(Table5[[#This Row],[PID]],Table3[[#All],[PID]],0)))</f>
        <v>Steve</v>
      </c>
      <c r="F1403" s="50" t="str">
        <f>IF($C1403="B",INDEX(Batters[[#All],[Last]],MATCH(A1403,Batters[[#All],[PID]],0)),INDEX(Table3[[#All],[Last]],MATCH(A1403,Table3[[#All],[PID]],0)))</f>
        <v>McCauley</v>
      </c>
      <c r="G1403" s="56">
        <f>IF($C1403="B",INDEX(Batters[[#All],[Age]],MATCH(Table5[[#This Row],[PID]],Batters[[#All],[PID]],0)),INDEX(Table3[[#All],[Age]],MATCH(Table5[[#This Row],[PID]],Table3[[#All],[PID]],0)))</f>
        <v>22</v>
      </c>
      <c r="H1403" s="52" t="str">
        <f>IF($C1403="B",INDEX(Batters[[#All],[B]],MATCH(Table5[[#This Row],[PID]],Batters[[#All],[PID]],0)),INDEX(Table3[[#All],[B]],MATCH(Table5[[#This Row],[PID]],Table3[[#All],[PID]],0)))</f>
        <v>R</v>
      </c>
      <c r="I1403" s="70" t="str">
        <f>IF($C1403="B",INDEX(Batters[[#All],[T]],MATCH(Table5[[#This Row],[PID]],Batters[[#All],[PID]],0)),INDEX(Table3[[#All],[T]],MATCH(Table5[[#This Row],[PID]],Table3[[#All],[PID]],0)))</f>
        <v>R</v>
      </c>
      <c r="J1403" s="52" t="str">
        <f>IF($C1403="B",INDEX(Batters[[#All],[WE]],MATCH(Table5[[#This Row],[PID]],Batters[[#All],[PID]],0)),INDEX(Table3[[#All],[WE]],MATCH(Table5[[#This Row],[PID]],Table3[[#All],[PID]],0)))</f>
        <v>Low</v>
      </c>
      <c r="K1403" s="52" t="str">
        <f>IF($C1403="B",INDEX(Batters[[#All],[INT]],MATCH(Table5[[#This Row],[PID]],Batters[[#All],[PID]],0)),INDEX(Table3[[#All],[INT]],MATCH(Table5[[#This Row],[PID]],Table3[[#All],[PID]],0)))</f>
        <v>High</v>
      </c>
      <c r="L1403" s="60">
        <f>IF($C1403="B",INDEX(Batters[[#All],[CON P]],MATCH(Table5[[#This Row],[PID]],Batters[[#All],[PID]],0)),INDEX(Table3[[#All],[STU P]],MATCH(Table5[[#This Row],[PID]],Table3[[#All],[PID]],0)))</f>
        <v>3</v>
      </c>
      <c r="M1403" s="56">
        <f>IF($C1403="B",INDEX(Batters[[#All],[GAP P]],MATCH(Table5[[#This Row],[PID]],Batters[[#All],[PID]],0)),INDEX(Table3[[#All],[MOV P]],MATCH(Table5[[#This Row],[PID]],Table3[[#All],[PID]],0)))</f>
        <v>3</v>
      </c>
      <c r="N1403" s="56">
        <f>IF($C1403="B",INDEX(Batters[[#All],[POW P]],MATCH(Table5[[#This Row],[PID]],Batters[[#All],[PID]],0)),INDEX(Table3[[#All],[CON P]],MATCH(Table5[[#This Row],[PID]],Table3[[#All],[PID]],0)))</f>
        <v>3</v>
      </c>
      <c r="O1403" s="56">
        <f>IF($C1403="B",INDEX(Batters[[#All],[EYE P]],MATCH(Table5[[#This Row],[PID]],Batters[[#All],[PID]],0)),INDEX(Table3[[#All],[VELO]],MATCH(Table5[[#This Row],[PID]],Table3[[#All],[PID]],0)))</f>
        <v>4</v>
      </c>
      <c r="P1403" s="56">
        <f>IF($C1403="B",INDEX(Batters[[#All],[K P]],MATCH(Table5[[#This Row],[PID]],Batters[[#All],[PID]],0)),INDEX(Table3[[#All],[STM]],MATCH(Table5[[#This Row],[PID]],Table3[[#All],[PID]],0)))</f>
        <v>3</v>
      </c>
      <c r="Q1403" s="61">
        <f>IF($C1403="B",INDEX(Batters[[#All],[Tot]],MATCH(Table5[[#This Row],[PID]],Batters[[#All],[PID]],0)),INDEX(Table3[[#All],[Tot]],MATCH(Table5[[#This Row],[PID]],Table3[[#All],[PID]],0)))</f>
        <v>35.734273135313501</v>
      </c>
      <c r="R1403" s="70">
        <f>IF($C1403="B",INDEX(Batters[[#All],[zScore]],MATCH(Table5[[#This Row],[PID]],Batters[[#All],[PID]],0)),INDEX(Table3[[#All],[zScore]],MATCH(Table5[[#This Row],[PID]],Table3[[#All],[PID]],0)))</f>
        <v>-1.8618194451453423</v>
      </c>
      <c r="S1403" s="79" t="str">
        <f>IF($C1403="B",INDEX(Batters[[#All],[DEM]],MATCH(Table5[[#This Row],[PID]],Batters[[#All],[PID]],0)),INDEX(Table3[[#All],[DEM]],MATCH(Table5[[#This Row],[PID]],Table3[[#All],[PID]],0)))</f>
        <v>-</v>
      </c>
      <c r="T1403" s="62">
        <f>IF($C1403="B",INDEX(Batters[[#All],[Rnk]],MATCH(Table5[[#This Row],[PID]],Batters[[#All],[PID]],0)),INDEX(Table3[[#All],[Rnk]],MATCH(Table5[[#This Row],[PID]],Table3[[#All],[PID]],0)))</f>
        <v>617</v>
      </c>
      <c r="U1403" s="68">
        <f>IF($C1403="B",VLOOKUP($A1403,Bat!$A$4:$BA$1621,47,FALSE),VLOOKUP($A1403,Pit!$A$4:$BF$1557,56,FALSE))</f>
        <v>0</v>
      </c>
      <c r="V1403" s="50">
        <f>IF($C1403="B",VLOOKUP($A1403,Bat!$A$4:$BA$1621,48,FALSE),VLOOKUP($A1403,Pit!$A$4:$BF$1557,57,FALSE))</f>
        <v>0</v>
      </c>
      <c r="W1403" s="50">
        <f>Table5[[#This Row],[posRnk]]+Table5[[#This Row],[zRnk]]+IF($W$3&lt;&gt;Table5[[#This Row],[Type]],50,0)</f>
        <v>2062</v>
      </c>
      <c r="X1403" s="51">
        <f>RANK(Table5[[#This Row],[zScore]],Table5[[#All],[zScore]])</f>
        <v>1395</v>
      </c>
      <c r="Y1403" s="50" t="str">
        <f>IFERROR(INDEX(DraftResults[[#All],[OVR]],MATCH(Table5[[#This Row],[PID]],DraftResults[[#All],[Player ID]],0)),"")</f>
        <v/>
      </c>
      <c r="Z14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3" s="50" t="str">
        <f>IFERROR(INDEX(DraftResults[[#All],[Pick in Round]],MATCH(Table5[[#This Row],[PID]],DraftResults[[#All],[Player ID]],0)),"")</f>
        <v/>
      </c>
      <c r="AB1403" s="50" t="str">
        <f>IFERROR(INDEX(DraftResults[[#All],[Team Name]],MATCH(Table5[[#This Row],[PID]],DraftResults[[#All],[Player ID]],0)),"")</f>
        <v/>
      </c>
      <c r="AC1403" s="50" t="str">
        <f>IF(Table5[[#This Row],[Ovr]]="","",IF(Table5[[#This Row],[cmbList]]="","",Table5[[#This Row],[cmbList]]-Table5[[#This Row],[Ovr]]))</f>
        <v/>
      </c>
      <c r="AD1403" s="54" t="str">
        <f>IF(ISERROR(VLOOKUP($AB1403&amp;"-"&amp;$E1403&amp;" "&amp;F1403,Bonuses!$B$1:$G$1006,4,FALSE)),"",INT(VLOOKUP($AB1403&amp;"-"&amp;$E1403&amp;" "&amp;$F1403,Bonuses!$B$1:$G$1006,4,FALSE)))</f>
        <v/>
      </c>
      <c r="AE14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4" spans="1:31" x14ac:dyDescent="0.25">
      <c r="A1404" s="50">
        <v>20787</v>
      </c>
      <c r="B1404" s="50">
        <f>COUNTIF(Table5[PID],A1404)</f>
        <v>1</v>
      </c>
      <c r="C1404" s="50" t="str">
        <f>IF(COUNTIF(Table3[[#All],[PID]],A1404)&gt;0,"P","B")</f>
        <v>B</v>
      </c>
      <c r="D1404" s="59" t="str">
        <f>IF($C1404="B",INDEX(Batters[[#All],[POS]],MATCH(Table5[[#This Row],[PID]],Batters[[#All],[PID]],0)),INDEX(Table3[[#All],[POS]],MATCH(Table5[[#This Row],[PID]],Table3[[#All],[PID]],0)))</f>
        <v>C</v>
      </c>
      <c r="E1404" s="52" t="str">
        <f>IF($C1404="B",INDEX(Batters[[#All],[First]],MATCH(Table5[[#This Row],[PID]],Batters[[#All],[PID]],0)),INDEX(Table3[[#All],[First]],MATCH(Table5[[#This Row],[PID]],Table3[[#All],[PID]],0)))</f>
        <v>Juan</v>
      </c>
      <c r="F1404" s="50" t="str">
        <f>IF($C1404="B",INDEX(Batters[[#All],[Last]],MATCH(A1404,Batters[[#All],[PID]],0)),INDEX(Table3[[#All],[Last]],MATCH(A1404,Table3[[#All],[PID]],0)))</f>
        <v>Madrid</v>
      </c>
      <c r="G1404" s="56">
        <f>IF($C1404="B",INDEX(Batters[[#All],[Age]],MATCH(Table5[[#This Row],[PID]],Batters[[#All],[PID]],0)),INDEX(Table3[[#All],[Age]],MATCH(Table5[[#This Row],[PID]],Table3[[#All],[PID]],0)))</f>
        <v>17</v>
      </c>
      <c r="H1404" s="52" t="str">
        <f>IF($C1404="B",INDEX(Batters[[#All],[B]],MATCH(Table5[[#This Row],[PID]],Batters[[#All],[PID]],0)),INDEX(Table3[[#All],[B]],MATCH(Table5[[#This Row],[PID]],Table3[[#All],[PID]],0)))</f>
        <v>R</v>
      </c>
      <c r="I1404" s="70" t="str">
        <f>IF($C1404="B",INDEX(Batters[[#All],[T]],MATCH(Table5[[#This Row],[PID]],Batters[[#All],[PID]],0)),INDEX(Table3[[#All],[T]],MATCH(Table5[[#This Row],[PID]],Table3[[#All],[PID]],0)))</f>
        <v>R</v>
      </c>
      <c r="J1404" s="52" t="str">
        <f>IF($C1404="B",INDEX(Batters[[#All],[WE]],MATCH(Table5[[#This Row],[PID]],Batters[[#All],[PID]],0)),INDEX(Table3[[#All],[WE]],MATCH(Table5[[#This Row],[PID]],Table3[[#All],[PID]],0)))</f>
        <v>Normal</v>
      </c>
      <c r="K1404" s="52" t="str">
        <f>IF($C1404="B",INDEX(Batters[[#All],[INT]],MATCH(Table5[[#This Row],[PID]],Batters[[#All],[PID]],0)),INDEX(Table3[[#All],[INT]],MATCH(Table5[[#This Row],[PID]],Table3[[#All],[PID]],0)))</f>
        <v>Low</v>
      </c>
      <c r="L1404" s="60">
        <f>IF($C1404="B",INDEX(Batters[[#All],[CON P]],MATCH(Table5[[#This Row],[PID]],Batters[[#All],[PID]],0)),INDEX(Table3[[#All],[STU P]],MATCH(Table5[[#This Row],[PID]],Table3[[#All],[PID]],0)))</f>
        <v>2</v>
      </c>
      <c r="M1404" s="56">
        <f>IF($C1404="B",INDEX(Batters[[#All],[GAP P]],MATCH(Table5[[#This Row],[PID]],Batters[[#All],[PID]],0)),INDEX(Table3[[#All],[MOV P]],MATCH(Table5[[#This Row],[PID]],Table3[[#All],[PID]],0)))</f>
        <v>2</v>
      </c>
      <c r="N1404" s="56">
        <f>IF($C1404="B",INDEX(Batters[[#All],[POW P]],MATCH(Table5[[#This Row],[PID]],Batters[[#All],[PID]],0)),INDEX(Table3[[#All],[CON P]],MATCH(Table5[[#This Row],[PID]],Table3[[#All],[PID]],0)))</f>
        <v>2</v>
      </c>
      <c r="O1404" s="56">
        <f>IF($C1404="B",INDEX(Batters[[#All],[EYE P]],MATCH(Table5[[#This Row],[PID]],Batters[[#All],[PID]],0)),INDEX(Table3[[#All],[VELO]],MATCH(Table5[[#This Row],[PID]],Table3[[#All],[PID]],0)))</f>
        <v>5</v>
      </c>
      <c r="P1404" s="56">
        <f>IF($C1404="B",INDEX(Batters[[#All],[K P]],MATCH(Table5[[#This Row],[PID]],Batters[[#All],[PID]],0)),INDEX(Table3[[#All],[STM]],MATCH(Table5[[#This Row],[PID]],Table3[[#All],[PID]],0)))</f>
        <v>4</v>
      </c>
      <c r="Q1404" s="61">
        <f>IF($C1404="B",INDEX(Batters[[#All],[Tot]],MATCH(Table5[[#This Row],[PID]],Batters[[#All],[PID]],0)),INDEX(Table3[[#All],[Tot]],MATCH(Table5[[#This Row],[PID]],Table3[[#All],[PID]],0)))</f>
        <v>35.72349572350798</v>
      </c>
      <c r="R1404" s="70">
        <f>IF($C1404="B",INDEX(Batters[[#All],[zScore]],MATCH(Table5[[#This Row],[PID]],Batters[[#All],[PID]],0)),INDEX(Table3[[#All],[zScore]],MATCH(Table5[[#This Row],[PID]],Table3[[#All],[PID]],0)))</f>
        <v>-1.8642088701911692</v>
      </c>
      <c r="S1404" s="79" t="str">
        <f>IF($C1404="B",INDEX(Batters[[#All],[DEM]],MATCH(Table5[[#This Row],[PID]],Batters[[#All],[PID]],0)),INDEX(Table3[[#All],[DEM]],MATCH(Table5[[#This Row],[PID]],Table3[[#All],[PID]],0)))</f>
        <v>$75k</v>
      </c>
      <c r="T1404" s="62">
        <f>IF($C1404="B",INDEX(Batters[[#All],[Rnk]],MATCH(Table5[[#This Row],[PID]],Batters[[#All],[PID]],0)),INDEX(Table3[[#All],[Rnk]],MATCH(Table5[[#This Row],[PID]],Table3[[#All],[PID]],0)))</f>
        <v>618</v>
      </c>
      <c r="U1404" s="68">
        <f>IF($C1404="B",VLOOKUP($A1404,Bat!$A$4:$BA$1621,47,FALSE),VLOOKUP($A1404,Pit!$A$4:$BF$1557,56,FALSE))</f>
        <v>0</v>
      </c>
      <c r="V1404" s="50">
        <f>IF($C1404="B",VLOOKUP($A1404,Bat!$A$4:$BA$1621,48,FALSE),VLOOKUP($A1404,Pit!$A$4:$BF$1557,57,FALSE))</f>
        <v>0</v>
      </c>
      <c r="W1404" s="50">
        <f>Table5[[#This Row],[posRnk]]+Table5[[#This Row],[zRnk]]+IF($W$3&lt;&gt;Table5[[#This Row],[Type]],50,0)</f>
        <v>2064</v>
      </c>
      <c r="X1404" s="51">
        <f>RANK(Table5[[#This Row],[zScore]],Table5[[#All],[zScore]])</f>
        <v>1396</v>
      </c>
      <c r="Y1404" s="50" t="str">
        <f>IFERROR(INDEX(DraftResults[[#All],[OVR]],MATCH(Table5[[#This Row],[PID]],DraftResults[[#All],[Player ID]],0)),"")</f>
        <v/>
      </c>
      <c r="Z14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4" s="50" t="str">
        <f>IFERROR(INDEX(DraftResults[[#All],[Pick in Round]],MATCH(Table5[[#This Row],[PID]],DraftResults[[#All],[Player ID]],0)),"")</f>
        <v/>
      </c>
      <c r="AB1404" s="50" t="str">
        <f>IFERROR(INDEX(DraftResults[[#All],[Team Name]],MATCH(Table5[[#This Row],[PID]],DraftResults[[#All],[Player ID]],0)),"")</f>
        <v/>
      </c>
      <c r="AC1404" s="50" t="str">
        <f>IF(Table5[[#This Row],[Ovr]]="","",IF(Table5[[#This Row],[cmbList]]="","",Table5[[#This Row],[cmbList]]-Table5[[#This Row],[Ovr]]))</f>
        <v/>
      </c>
      <c r="AD1404" s="54" t="str">
        <f>IF(ISERROR(VLOOKUP($AB1404&amp;"-"&amp;$E1404&amp;" "&amp;F1404,Bonuses!$B$1:$G$1006,4,FALSE)),"",INT(VLOOKUP($AB1404&amp;"-"&amp;$E1404&amp;" "&amp;$F1404,Bonuses!$B$1:$G$1006,4,FALSE)))</f>
        <v/>
      </c>
      <c r="AE14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5" spans="1:31" x14ac:dyDescent="0.25">
      <c r="A1405" s="50">
        <v>20265</v>
      </c>
      <c r="B1405" s="50">
        <f>COUNTIF(Table5[PID],A1405)</f>
        <v>1</v>
      </c>
      <c r="C1405" s="50" t="str">
        <f>IF(COUNTIF(Table3[[#All],[PID]],A1405)&gt;0,"P","B")</f>
        <v>B</v>
      </c>
      <c r="D1405" s="59" t="str">
        <f>IF($C1405="B",INDEX(Batters[[#All],[POS]],MATCH(Table5[[#This Row],[PID]],Batters[[#All],[PID]],0)),INDEX(Table3[[#All],[POS]],MATCH(Table5[[#This Row],[PID]],Table3[[#All],[PID]],0)))</f>
        <v>SS</v>
      </c>
      <c r="E1405" s="52" t="str">
        <f>IF($C1405="B",INDEX(Batters[[#All],[First]],MATCH(Table5[[#This Row],[PID]],Batters[[#All],[PID]],0)),INDEX(Table3[[#All],[First]],MATCH(Table5[[#This Row],[PID]],Table3[[#All],[PID]],0)))</f>
        <v>Yodo</v>
      </c>
      <c r="F1405" s="50" t="str">
        <f>IF($C1405="B",INDEX(Batters[[#All],[Last]],MATCH(A1405,Batters[[#All],[PID]],0)),INDEX(Table3[[#All],[Last]],MATCH(A1405,Table3[[#All],[PID]],0)))</f>
        <v>Takeuchi</v>
      </c>
      <c r="G1405" s="56">
        <f>IF($C1405="B",INDEX(Batters[[#All],[Age]],MATCH(Table5[[#This Row],[PID]],Batters[[#All],[PID]],0)),INDEX(Table3[[#All],[Age]],MATCH(Table5[[#This Row],[PID]],Table3[[#All],[PID]],0)))</f>
        <v>22</v>
      </c>
      <c r="H1405" s="52" t="str">
        <f>IF($C1405="B",INDEX(Batters[[#All],[B]],MATCH(Table5[[#This Row],[PID]],Batters[[#All],[PID]],0)),INDEX(Table3[[#All],[B]],MATCH(Table5[[#This Row],[PID]],Table3[[#All],[PID]],0)))</f>
        <v>R</v>
      </c>
      <c r="I1405" s="70" t="str">
        <f>IF($C1405="B",INDEX(Batters[[#All],[T]],MATCH(Table5[[#This Row],[PID]],Batters[[#All],[PID]],0)),INDEX(Table3[[#All],[T]],MATCH(Table5[[#This Row],[PID]],Table3[[#All],[PID]],0)))</f>
        <v>R</v>
      </c>
      <c r="J1405" s="52" t="str">
        <f>IF($C1405="B",INDEX(Batters[[#All],[WE]],MATCH(Table5[[#This Row],[PID]],Batters[[#All],[PID]],0)),INDEX(Table3[[#All],[WE]],MATCH(Table5[[#This Row],[PID]],Table3[[#All],[PID]],0)))</f>
        <v>Normal</v>
      </c>
      <c r="K1405" s="52" t="str">
        <f>IF($C1405="B",INDEX(Batters[[#All],[INT]],MATCH(Table5[[#This Row],[PID]],Batters[[#All],[PID]],0)),INDEX(Table3[[#All],[INT]],MATCH(Table5[[#This Row],[PID]],Table3[[#All],[PID]],0)))</f>
        <v>Normal</v>
      </c>
      <c r="L1405" s="60">
        <f>IF($C1405="B",INDEX(Batters[[#All],[CON P]],MATCH(Table5[[#This Row],[PID]],Batters[[#All],[PID]],0)),INDEX(Table3[[#All],[STU P]],MATCH(Table5[[#This Row],[PID]],Table3[[#All],[PID]],0)))</f>
        <v>2</v>
      </c>
      <c r="M1405" s="56">
        <f>IF($C1405="B",INDEX(Batters[[#All],[GAP P]],MATCH(Table5[[#This Row],[PID]],Batters[[#All],[PID]],0)),INDEX(Table3[[#All],[MOV P]],MATCH(Table5[[#This Row],[PID]],Table3[[#All],[PID]],0)))</f>
        <v>5</v>
      </c>
      <c r="N1405" s="56">
        <f>IF($C1405="B",INDEX(Batters[[#All],[POW P]],MATCH(Table5[[#This Row],[PID]],Batters[[#All],[PID]],0)),INDEX(Table3[[#All],[CON P]],MATCH(Table5[[#This Row],[PID]],Table3[[#All],[PID]],0)))</f>
        <v>4</v>
      </c>
      <c r="O1405" s="56">
        <f>IF($C1405="B",INDEX(Batters[[#All],[EYE P]],MATCH(Table5[[#This Row],[PID]],Batters[[#All],[PID]],0)),INDEX(Table3[[#All],[VELO]],MATCH(Table5[[#This Row],[PID]],Table3[[#All],[PID]],0)))</f>
        <v>5</v>
      </c>
      <c r="P1405" s="56">
        <f>IF($C1405="B",INDEX(Batters[[#All],[K P]],MATCH(Table5[[#This Row],[PID]],Batters[[#All],[PID]],0)),INDEX(Table3[[#All],[STM]],MATCH(Table5[[#This Row],[PID]],Table3[[#All],[PID]],0)))</f>
        <v>2</v>
      </c>
      <c r="Q1405" s="61">
        <f>IF($C1405="B",INDEX(Batters[[#All],[Tot]],MATCH(Table5[[#This Row],[PID]],Batters[[#All],[PID]],0)),INDEX(Table3[[#All],[Tot]],MATCH(Table5[[#This Row],[PID]],Table3[[#All],[PID]],0)))</f>
        <v>35.699102813662435</v>
      </c>
      <c r="R1405" s="70">
        <f>IF($C1405="B",INDEX(Batters[[#All],[zScore]],MATCH(Table5[[#This Row],[PID]],Batters[[#All],[PID]],0)),INDEX(Table3[[#All],[zScore]],MATCH(Table5[[#This Row],[PID]],Table3[[#All],[PID]],0)))</f>
        <v>-1.869616943184695</v>
      </c>
      <c r="S1405" s="79" t="str">
        <f>IF($C1405="B",INDEX(Batters[[#All],[DEM]],MATCH(Table5[[#This Row],[PID]],Batters[[#All],[PID]],0)),INDEX(Table3[[#All],[DEM]],MATCH(Table5[[#This Row],[PID]],Table3[[#All],[PID]],0)))</f>
        <v>-</v>
      </c>
      <c r="T1405" s="62">
        <f>IF($C1405="B",INDEX(Batters[[#All],[Rnk]],MATCH(Table5[[#This Row],[PID]],Batters[[#All],[PID]],0)),INDEX(Table3[[#All],[Rnk]],MATCH(Table5[[#This Row],[PID]],Table3[[#All],[PID]],0)))</f>
        <v>619</v>
      </c>
      <c r="U1405" s="68">
        <f>IF($C1405="B",VLOOKUP($A1405,Bat!$A$4:$BA$1621,47,FALSE),VLOOKUP($A1405,Pit!$A$4:$BF$1557,56,FALSE))</f>
        <v>0</v>
      </c>
      <c r="V1405" s="50">
        <f>IF($C1405="B",VLOOKUP($A1405,Bat!$A$4:$BA$1621,48,FALSE),VLOOKUP($A1405,Pit!$A$4:$BF$1557,57,FALSE))</f>
        <v>0</v>
      </c>
      <c r="W1405" s="50">
        <f>Table5[[#This Row],[posRnk]]+Table5[[#This Row],[zRnk]]+IF($W$3&lt;&gt;Table5[[#This Row],[Type]],50,0)</f>
        <v>2066</v>
      </c>
      <c r="X1405" s="51">
        <f>RANK(Table5[[#This Row],[zScore]],Table5[[#All],[zScore]])</f>
        <v>1397</v>
      </c>
      <c r="Y1405" s="50" t="str">
        <f>IFERROR(INDEX(DraftResults[[#All],[OVR]],MATCH(Table5[[#This Row],[PID]],DraftResults[[#All],[Player ID]],0)),"")</f>
        <v/>
      </c>
      <c r="Z14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5" s="50" t="str">
        <f>IFERROR(INDEX(DraftResults[[#All],[Pick in Round]],MATCH(Table5[[#This Row],[PID]],DraftResults[[#All],[Player ID]],0)),"")</f>
        <v/>
      </c>
      <c r="AB1405" s="50" t="str">
        <f>IFERROR(INDEX(DraftResults[[#All],[Team Name]],MATCH(Table5[[#This Row],[PID]],DraftResults[[#All],[Player ID]],0)),"")</f>
        <v/>
      </c>
      <c r="AC1405" s="50" t="str">
        <f>IF(Table5[[#This Row],[Ovr]]="","",IF(Table5[[#This Row],[cmbList]]="","",Table5[[#This Row],[cmbList]]-Table5[[#This Row],[Ovr]]))</f>
        <v/>
      </c>
      <c r="AD1405" s="54" t="str">
        <f>IF(ISERROR(VLOOKUP($AB1405&amp;"-"&amp;$E1405&amp;" "&amp;F1405,Bonuses!$B$1:$G$1006,4,FALSE)),"",INT(VLOOKUP($AB1405&amp;"-"&amp;$E1405&amp;" "&amp;$F1405,Bonuses!$B$1:$G$1006,4,FALSE)))</f>
        <v/>
      </c>
      <c r="AE14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6" spans="1:31" x14ac:dyDescent="0.25">
      <c r="A1406" s="50">
        <v>6983</v>
      </c>
      <c r="B1406" s="50">
        <f>COUNTIF(Table5[PID],A1406)</f>
        <v>1</v>
      </c>
      <c r="C1406" s="50" t="str">
        <f>IF(COUNTIF(Table3[[#All],[PID]],A1406)&gt;0,"P","B")</f>
        <v>B</v>
      </c>
      <c r="D1406" s="59" t="str">
        <f>IF($C1406="B",INDEX(Batters[[#All],[POS]],MATCH(Table5[[#This Row],[PID]],Batters[[#All],[PID]],0)),INDEX(Table3[[#All],[POS]],MATCH(Table5[[#This Row],[PID]],Table3[[#All],[PID]],0)))</f>
        <v>1B</v>
      </c>
      <c r="E1406" s="52" t="str">
        <f>IF($C1406="B",INDEX(Batters[[#All],[First]],MATCH(Table5[[#This Row],[PID]],Batters[[#All],[PID]],0)),INDEX(Table3[[#All],[First]],MATCH(Table5[[#This Row],[PID]],Table3[[#All],[PID]],0)))</f>
        <v>José</v>
      </c>
      <c r="F1406" s="50" t="str">
        <f>IF($C1406="B",INDEX(Batters[[#All],[Last]],MATCH(A1406,Batters[[#All],[PID]],0)),INDEX(Table3[[#All],[Last]],MATCH(A1406,Table3[[#All],[PID]],0)))</f>
        <v>Hernández</v>
      </c>
      <c r="G1406" s="56">
        <f>IF($C1406="B",INDEX(Batters[[#All],[Age]],MATCH(Table5[[#This Row],[PID]],Batters[[#All],[PID]],0)),INDEX(Table3[[#All],[Age]],MATCH(Table5[[#This Row],[PID]],Table3[[#All],[PID]],0)))</f>
        <v>22</v>
      </c>
      <c r="H1406" s="52" t="str">
        <f>IF($C1406="B",INDEX(Batters[[#All],[B]],MATCH(Table5[[#This Row],[PID]],Batters[[#All],[PID]],0)),INDEX(Table3[[#All],[B]],MATCH(Table5[[#This Row],[PID]],Table3[[#All],[PID]],0)))</f>
        <v>L</v>
      </c>
      <c r="I1406" s="70" t="str">
        <f>IF($C1406="B",INDEX(Batters[[#All],[T]],MATCH(Table5[[#This Row],[PID]],Batters[[#All],[PID]],0)),INDEX(Table3[[#All],[T]],MATCH(Table5[[#This Row],[PID]],Table3[[#All],[PID]],0)))</f>
        <v>R</v>
      </c>
      <c r="J1406" s="52" t="str">
        <f>IF($C1406="B",INDEX(Batters[[#All],[WE]],MATCH(Table5[[#This Row],[PID]],Batters[[#All],[PID]],0)),INDEX(Table3[[#All],[WE]],MATCH(Table5[[#This Row],[PID]],Table3[[#All],[PID]],0)))</f>
        <v>Normal</v>
      </c>
      <c r="K1406" s="52" t="str">
        <f>IF($C1406="B",INDEX(Batters[[#All],[INT]],MATCH(Table5[[#This Row],[PID]],Batters[[#All],[PID]],0)),INDEX(Table3[[#All],[INT]],MATCH(Table5[[#This Row],[PID]],Table3[[#All],[PID]],0)))</f>
        <v>Normal</v>
      </c>
      <c r="L1406" s="60">
        <f>IF($C1406="B",INDEX(Batters[[#All],[CON P]],MATCH(Table5[[#This Row],[PID]],Batters[[#All],[PID]],0)),INDEX(Table3[[#All],[STU P]],MATCH(Table5[[#This Row],[PID]],Table3[[#All],[PID]],0)))</f>
        <v>4</v>
      </c>
      <c r="M1406" s="56">
        <f>IF($C1406="B",INDEX(Batters[[#All],[GAP P]],MATCH(Table5[[#This Row],[PID]],Batters[[#All],[PID]],0)),INDEX(Table3[[#All],[MOV P]],MATCH(Table5[[#This Row],[PID]],Table3[[#All],[PID]],0)))</f>
        <v>3</v>
      </c>
      <c r="N1406" s="56">
        <f>IF($C1406="B",INDEX(Batters[[#All],[POW P]],MATCH(Table5[[#This Row],[PID]],Batters[[#All],[PID]],0)),INDEX(Table3[[#All],[CON P]],MATCH(Table5[[#This Row],[PID]],Table3[[#All],[PID]],0)))</f>
        <v>3</v>
      </c>
      <c r="O1406" s="56">
        <f>IF($C1406="B",INDEX(Batters[[#All],[EYE P]],MATCH(Table5[[#This Row],[PID]],Batters[[#All],[PID]],0)),INDEX(Table3[[#All],[VELO]],MATCH(Table5[[#This Row],[PID]],Table3[[#All],[PID]],0)))</f>
        <v>1</v>
      </c>
      <c r="P1406" s="56">
        <f>IF($C1406="B",INDEX(Batters[[#All],[K P]],MATCH(Table5[[#This Row],[PID]],Batters[[#All],[PID]],0)),INDEX(Table3[[#All],[STM]],MATCH(Table5[[#This Row],[PID]],Table3[[#All],[PID]],0)))</f>
        <v>3</v>
      </c>
      <c r="Q1406" s="61">
        <f>IF($C1406="B",INDEX(Batters[[#All],[Tot]],MATCH(Table5[[#This Row],[PID]],Batters[[#All],[PID]],0)),INDEX(Table3[[#All],[Tot]],MATCH(Table5[[#This Row],[PID]],Table3[[#All],[PID]],0)))</f>
        <v>35.666097769365955</v>
      </c>
      <c r="R1406" s="70">
        <f>IF($C1406="B",INDEX(Batters[[#All],[zScore]],MATCH(Table5[[#This Row],[PID]],Batters[[#All],[PID]],0)),INDEX(Table3[[#All],[zScore]],MATCH(Table5[[#This Row],[PID]],Table3[[#All],[PID]],0)))</f>
        <v>-1.8769343845986195</v>
      </c>
      <c r="S1406" s="79" t="str">
        <f>IF($C1406="B",INDEX(Batters[[#All],[DEM]],MATCH(Table5[[#This Row],[PID]],Batters[[#All],[PID]],0)),INDEX(Table3[[#All],[DEM]],MATCH(Table5[[#This Row],[PID]],Table3[[#All],[PID]],0)))</f>
        <v>-</v>
      </c>
      <c r="T1406" s="62">
        <f>IF($C1406="B",INDEX(Batters[[#All],[Rnk]],MATCH(Table5[[#This Row],[PID]],Batters[[#All],[PID]],0)),INDEX(Table3[[#All],[Rnk]],MATCH(Table5[[#This Row],[PID]],Table3[[#All],[PID]],0)))</f>
        <v>620</v>
      </c>
      <c r="U1406" s="68">
        <f>IF($C1406="B",VLOOKUP($A1406,Bat!$A$4:$BA$1621,47,FALSE),VLOOKUP($A1406,Pit!$A$4:$BF$1557,56,FALSE))</f>
        <v>0</v>
      </c>
      <c r="V1406" s="50">
        <f>IF($C1406="B",VLOOKUP($A1406,Bat!$A$4:$BA$1621,48,FALSE),VLOOKUP($A1406,Pit!$A$4:$BF$1557,57,FALSE))</f>
        <v>0</v>
      </c>
      <c r="W1406" s="50">
        <f>Table5[[#This Row],[posRnk]]+Table5[[#This Row],[zRnk]]+IF($W$3&lt;&gt;Table5[[#This Row],[Type]],50,0)</f>
        <v>2068</v>
      </c>
      <c r="X1406" s="51">
        <f>RANK(Table5[[#This Row],[zScore]],Table5[[#All],[zScore]])</f>
        <v>1398</v>
      </c>
      <c r="Y1406" s="50" t="str">
        <f>IFERROR(INDEX(DraftResults[[#All],[OVR]],MATCH(Table5[[#This Row],[PID]],DraftResults[[#All],[Player ID]],0)),"")</f>
        <v/>
      </c>
      <c r="Z14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6" s="50" t="str">
        <f>IFERROR(INDEX(DraftResults[[#All],[Pick in Round]],MATCH(Table5[[#This Row],[PID]],DraftResults[[#All],[Player ID]],0)),"")</f>
        <v/>
      </c>
      <c r="AB1406" s="50" t="str">
        <f>IFERROR(INDEX(DraftResults[[#All],[Team Name]],MATCH(Table5[[#This Row],[PID]],DraftResults[[#All],[Player ID]],0)),"")</f>
        <v/>
      </c>
      <c r="AC1406" s="50" t="str">
        <f>IF(Table5[[#This Row],[Ovr]]="","",IF(Table5[[#This Row],[cmbList]]="","",Table5[[#This Row],[cmbList]]-Table5[[#This Row],[Ovr]]))</f>
        <v/>
      </c>
      <c r="AD1406" s="54" t="str">
        <f>IF(ISERROR(VLOOKUP($AB1406&amp;"-"&amp;$E1406&amp;" "&amp;F1406,Bonuses!$B$1:$G$1006,4,FALSE)),"",INT(VLOOKUP($AB1406&amp;"-"&amp;$E1406&amp;" "&amp;$F1406,Bonuses!$B$1:$G$1006,4,FALSE)))</f>
        <v/>
      </c>
      <c r="AE14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7" spans="1:31" x14ac:dyDescent="0.25">
      <c r="A1407" s="50">
        <v>14724</v>
      </c>
      <c r="B1407" s="50">
        <f>COUNTIF(Table5[PID],A1407)</f>
        <v>1</v>
      </c>
      <c r="C1407" s="50" t="str">
        <f>IF(COUNTIF(Table3[[#All],[PID]],A1407)&gt;0,"P","B")</f>
        <v>B</v>
      </c>
      <c r="D1407" s="59" t="str">
        <f>IF($C1407="B",INDEX(Batters[[#All],[POS]],MATCH(Table5[[#This Row],[PID]],Batters[[#All],[PID]],0)),INDEX(Table3[[#All],[POS]],MATCH(Table5[[#This Row],[PID]],Table3[[#All],[PID]],0)))</f>
        <v>SS</v>
      </c>
      <c r="E1407" s="52" t="str">
        <f>IF($C1407="B",INDEX(Batters[[#All],[First]],MATCH(Table5[[#This Row],[PID]],Batters[[#All],[PID]],0)),INDEX(Table3[[#All],[First]],MATCH(Table5[[#This Row],[PID]],Table3[[#All],[PID]],0)))</f>
        <v>Ah-cy</v>
      </c>
      <c r="F1407" s="50" t="str">
        <f>IF($C1407="B",INDEX(Batters[[#All],[Last]],MATCH(A1407,Batters[[#All],[PID]],0)),INDEX(Table3[[#All],[Last]],MATCH(A1407,Table3[[#All],[PID]],0)))</f>
        <v>Lei</v>
      </c>
      <c r="G1407" s="56">
        <f>IF($C1407="B",INDEX(Batters[[#All],[Age]],MATCH(Table5[[#This Row],[PID]],Batters[[#All],[PID]],0)),INDEX(Table3[[#All],[Age]],MATCH(Table5[[#This Row],[PID]],Table3[[#All],[PID]],0)))</f>
        <v>18</v>
      </c>
      <c r="H1407" s="52" t="str">
        <f>IF($C1407="B",INDEX(Batters[[#All],[B]],MATCH(Table5[[#This Row],[PID]],Batters[[#All],[PID]],0)),INDEX(Table3[[#All],[B]],MATCH(Table5[[#This Row],[PID]],Table3[[#All],[PID]],0)))</f>
        <v>R</v>
      </c>
      <c r="I1407" s="70" t="str">
        <f>IF($C1407="B",INDEX(Batters[[#All],[T]],MATCH(Table5[[#This Row],[PID]],Batters[[#All],[PID]],0)),INDEX(Table3[[#All],[T]],MATCH(Table5[[#This Row],[PID]],Table3[[#All],[PID]],0)))</f>
        <v>R</v>
      </c>
      <c r="J1407" s="52" t="str">
        <f>IF($C1407="B",INDEX(Batters[[#All],[WE]],MATCH(Table5[[#This Row],[PID]],Batters[[#All],[PID]],0)),INDEX(Table3[[#All],[WE]],MATCH(Table5[[#This Row],[PID]],Table3[[#All],[PID]],0)))</f>
        <v>Low</v>
      </c>
      <c r="K1407" s="52" t="str">
        <f>IF($C1407="B",INDEX(Batters[[#All],[INT]],MATCH(Table5[[#This Row],[PID]],Batters[[#All],[PID]],0)),INDEX(Table3[[#All],[INT]],MATCH(Table5[[#This Row],[PID]],Table3[[#All],[PID]],0)))</f>
        <v>Normal</v>
      </c>
      <c r="L1407" s="60">
        <f>IF($C1407="B",INDEX(Batters[[#All],[CON P]],MATCH(Table5[[#This Row],[PID]],Batters[[#All],[PID]],0)),INDEX(Table3[[#All],[STU P]],MATCH(Table5[[#This Row],[PID]],Table3[[#All],[PID]],0)))</f>
        <v>2</v>
      </c>
      <c r="M1407" s="56">
        <f>IF($C1407="B",INDEX(Batters[[#All],[GAP P]],MATCH(Table5[[#This Row],[PID]],Batters[[#All],[PID]],0)),INDEX(Table3[[#All],[MOV P]],MATCH(Table5[[#This Row],[PID]],Table3[[#All],[PID]],0)))</f>
        <v>3</v>
      </c>
      <c r="N1407" s="56">
        <f>IF($C1407="B",INDEX(Batters[[#All],[POW P]],MATCH(Table5[[#This Row],[PID]],Batters[[#All],[PID]],0)),INDEX(Table3[[#All],[CON P]],MATCH(Table5[[#This Row],[PID]],Table3[[#All],[PID]],0)))</f>
        <v>2</v>
      </c>
      <c r="O1407" s="56">
        <f>IF($C1407="B",INDEX(Batters[[#All],[EYE P]],MATCH(Table5[[#This Row],[PID]],Batters[[#All],[PID]],0)),INDEX(Table3[[#All],[VELO]],MATCH(Table5[[#This Row],[PID]],Table3[[#All],[PID]],0)))</f>
        <v>4</v>
      </c>
      <c r="P1407" s="56">
        <f>IF($C1407="B",INDEX(Batters[[#All],[K P]],MATCH(Table5[[#This Row],[PID]],Batters[[#All],[PID]],0)),INDEX(Table3[[#All],[STM]],MATCH(Table5[[#This Row],[PID]],Table3[[#All],[PID]],0)))</f>
        <v>3</v>
      </c>
      <c r="Q1407" s="61">
        <f>IF($C1407="B",INDEX(Batters[[#All],[Tot]],MATCH(Table5[[#This Row],[PID]],Batters[[#All],[PID]],0)),INDEX(Table3[[#All],[Tot]],MATCH(Table5[[#This Row],[PID]],Table3[[#All],[PID]],0)))</f>
        <v>35.617942922307648</v>
      </c>
      <c r="R1407" s="70">
        <f>IF($C1407="B",INDEX(Batters[[#All],[zScore]],MATCH(Table5[[#This Row],[PID]],Batters[[#All],[PID]],0)),INDEX(Table3[[#All],[zScore]],MATCH(Table5[[#This Row],[PID]],Table3[[#All],[PID]],0)))</f>
        <v>-1.8876106396880037</v>
      </c>
      <c r="S1407" s="79" t="str">
        <f>IF($C1407="B",INDEX(Batters[[#All],[DEM]],MATCH(Table5[[#This Row],[PID]],Batters[[#All],[PID]],0)),INDEX(Table3[[#All],[DEM]],MATCH(Table5[[#This Row],[PID]],Table3[[#All],[PID]],0)))</f>
        <v>$80k</v>
      </c>
      <c r="T1407" s="62">
        <f>IF($C1407="B",INDEX(Batters[[#All],[Rnk]],MATCH(Table5[[#This Row],[PID]],Batters[[#All],[PID]],0)),INDEX(Table3[[#All],[Rnk]],MATCH(Table5[[#This Row],[PID]],Table3[[#All],[PID]],0)))</f>
        <v>621</v>
      </c>
      <c r="U1407" s="68">
        <f>IF($C1407="B",VLOOKUP($A1407,Bat!$A$4:$BA$1621,47,FALSE),VLOOKUP($A1407,Pit!$A$4:$BF$1557,56,FALSE))</f>
        <v>0</v>
      </c>
      <c r="V1407" s="50">
        <f>IF($C1407="B",VLOOKUP($A1407,Bat!$A$4:$BA$1621,48,FALSE),VLOOKUP($A1407,Pit!$A$4:$BF$1557,57,FALSE))</f>
        <v>0</v>
      </c>
      <c r="W1407" s="50">
        <f>Table5[[#This Row],[posRnk]]+Table5[[#This Row],[zRnk]]+IF($W$3&lt;&gt;Table5[[#This Row],[Type]],50,0)</f>
        <v>2070</v>
      </c>
      <c r="X1407" s="51">
        <f>RANK(Table5[[#This Row],[zScore]],Table5[[#All],[zScore]])</f>
        <v>1399</v>
      </c>
      <c r="Y1407" s="50" t="str">
        <f>IFERROR(INDEX(DraftResults[[#All],[OVR]],MATCH(Table5[[#This Row],[PID]],DraftResults[[#All],[Player ID]],0)),"")</f>
        <v/>
      </c>
      <c r="Z14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7" s="50" t="str">
        <f>IFERROR(INDEX(DraftResults[[#All],[Pick in Round]],MATCH(Table5[[#This Row],[PID]],DraftResults[[#All],[Player ID]],0)),"")</f>
        <v/>
      </c>
      <c r="AB1407" s="50" t="str">
        <f>IFERROR(INDEX(DraftResults[[#All],[Team Name]],MATCH(Table5[[#This Row],[PID]],DraftResults[[#All],[Player ID]],0)),"")</f>
        <v/>
      </c>
      <c r="AC1407" s="50" t="str">
        <f>IF(Table5[[#This Row],[Ovr]]="","",IF(Table5[[#This Row],[cmbList]]="","",Table5[[#This Row],[cmbList]]-Table5[[#This Row],[Ovr]]))</f>
        <v/>
      </c>
      <c r="AD1407" s="54" t="str">
        <f>IF(ISERROR(VLOOKUP($AB1407&amp;"-"&amp;$E1407&amp;" "&amp;F1407,Bonuses!$B$1:$G$1006,4,FALSE)),"",INT(VLOOKUP($AB1407&amp;"-"&amp;$E1407&amp;" "&amp;$F1407,Bonuses!$B$1:$G$1006,4,FALSE)))</f>
        <v/>
      </c>
      <c r="AE14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8" spans="1:31" x14ac:dyDescent="0.25">
      <c r="A1408" s="50">
        <v>18017</v>
      </c>
      <c r="B1408" s="50">
        <f>COUNTIF(Table5[PID],A1408)</f>
        <v>1</v>
      </c>
      <c r="C1408" s="50" t="str">
        <f>IF(COUNTIF(Table3[[#All],[PID]],A1408)&gt;0,"P","B")</f>
        <v>B</v>
      </c>
      <c r="D1408" s="59" t="str">
        <f>IF($C1408="B",INDEX(Batters[[#All],[POS]],MATCH(Table5[[#This Row],[PID]],Batters[[#All],[PID]],0)),INDEX(Table3[[#All],[POS]],MATCH(Table5[[#This Row],[PID]],Table3[[#All],[PID]],0)))</f>
        <v>CF</v>
      </c>
      <c r="E1408" s="52" t="str">
        <f>IF($C1408="B",INDEX(Batters[[#All],[First]],MATCH(Table5[[#This Row],[PID]],Batters[[#All],[PID]],0)),INDEX(Table3[[#All],[First]],MATCH(Table5[[#This Row],[PID]],Table3[[#All],[PID]],0)))</f>
        <v>Martin</v>
      </c>
      <c r="F1408" s="50" t="str">
        <f>IF($C1408="B",INDEX(Batters[[#All],[Last]],MATCH(A1408,Batters[[#All],[PID]],0)),INDEX(Table3[[#All],[Last]],MATCH(A1408,Table3[[#All],[PID]],0)))</f>
        <v>Harris</v>
      </c>
      <c r="G1408" s="56">
        <f>IF($C1408="B",INDEX(Batters[[#All],[Age]],MATCH(Table5[[#This Row],[PID]],Batters[[#All],[PID]],0)),INDEX(Table3[[#All],[Age]],MATCH(Table5[[#This Row],[PID]],Table3[[#All],[PID]],0)))</f>
        <v>21</v>
      </c>
      <c r="H1408" s="52" t="str">
        <f>IF($C1408="B",INDEX(Batters[[#All],[B]],MATCH(Table5[[#This Row],[PID]],Batters[[#All],[PID]],0)),INDEX(Table3[[#All],[B]],MATCH(Table5[[#This Row],[PID]],Table3[[#All],[PID]],0)))</f>
        <v>R</v>
      </c>
      <c r="I1408" s="70" t="str">
        <f>IF($C1408="B",INDEX(Batters[[#All],[T]],MATCH(Table5[[#This Row],[PID]],Batters[[#All],[PID]],0)),INDEX(Table3[[#All],[T]],MATCH(Table5[[#This Row],[PID]],Table3[[#All],[PID]],0)))</f>
        <v>R</v>
      </c>
      <c r="J1408" s="52" t="str">
        <f>IF($C1408="B",INDEX(Batters[[#All],[WE]],MATCH(Table5[[#This Row],[PID]],Batters[[#All],[PID]],0)),INDEX(Table3[[#All],[WE]],MATCH(Table5[[#This Row],[PID]],Table3[[#All],[PID]],0)))</f>
        <v>Low</v>
      </c>
      <c r="K1408" s="52" t="str">
        <f>IF($C1408="B",INDEX(Batters[[#All],[INT]],MATCH(Table5[[#This Row],[PID]],Batters[[#All],[PID]],0)),INDEX(Table3[[#All],[INT]],MATCH(Table5[[#This Row],[PID]],Table3[[#All],[PID]],0)))</f>
        <v>High</v>
      </c>
      <c r="L1408" s="60">
        <f>IF($C1408="B",INDEX(Batters[[#All],[CON P]],MATCH(Table5[[#This Row],[PID]],Batters[[#All],[PID]],0)),INDEX(Table3[[#All],[STU P]],MATCH(Table5[[#This Row],[PID]],Table3[[#All],[PID]],0)))</f>
        <v>3</v>
      </c>
      <c r="M1408" s="56">
        <f>IF($C1408="B",INDEX(Batters[[#All],[GAP P]],MATCH(Table5[[#This Row],[PID]],Batters[[#All],[PID]],0)),INDEX(Table3[[#All],[MOV P]],MATCH(Table5[[#This Row],[PID]],Table3[[#All],[PID]],0)))</f>
        <v>2</v>
      </c>
      <c r="N1408" s="56">
        <f>IF($C1408="B",INDEX(Batters[[#All],[POW P]],MATCH(Table5[[#This Row],[PID]],Batters[[#All],[PID]],0)),INDEX(Table3[[#All],[CON P]],MATCH(Table5[[#This Row],[PID]],Table3[[#All],[PID]],0)))</f>
        <v>3</v>
      </c>
      <c r="O1408" s="56">
        <f>IF($C1408="B",INDEX(Batters[[#All],[EYE P]],MATCH(Table5[[#This Row],[PID]],Batters[[#All],[PID]],0)),INDEX(Table3[[#All],[VELO]],MATCH(Table5[[#This Row],[PID]],Table3[[#All],[PID]],0)))</f>
        <v>4</v>
      </c>
      <c r="P1408" s="56">
        <f>IF($C1408="B",INDEX(Batters[[#All],[K P]],MATCH(Table5[[#This Row],[PID]],Batters[[#All],[PID]],0)),INDEX(Table3[[#All],[STM]],MATCH(Table5[[#This Row],[PID]],Table3[[#All],[PID]],0)))</f>
        <v>3</v>
      </c>
      <c r="Q1408" s="61">
        <f>IF($C1408="B",INDEX(Batters[[#All],[Tot]],MATCH(Table5[[#This Row],[PID]],Batters[[#All],[PID]],0)),INDEX(Table3[[#All],[Tot]],MATCH(Table5[[#This Row],[PID]],Table3[[#All],[PID]],0)))</f>
        <v>35.60747763692622</v>
      </c>
      <c r="R1408" s="70">
        <f>IF($C1408="B",INDEX(Batters[[#All],[zScore]],MATCH(Table5[[#This Row],[PID]],Batters[[#All],[PID]],0)),INDEX(Table3[[#All],[zScore]],MATCH(Table5[[#This Row],[PID]],Table3[[#All],[PID]],0)))</f>
        <v>-1.8899308641958306</v>
      </c>
      <c r="S1408" s="79" t="str">
        <f>IF($C1408="B",INDEX(Batters[[#All],[DEM]],MATCH(Table5[[#This Row],[PID]],Batters[[#All],[PID]],0)),INDEX(Table3[[#All],[DEM]],MATCH(Table5[[#This Row],[PID]],Table3[[#All],[PID]],0)))</f>
        <v>-</v>
      </c>
      <c r="T1408" s="62">
        <f>IF($C1408="B",INDEX(Batters[[#All],[Rnk]],MATCH(Table5[[#This Row],[PID]],Batters[[#All],[PID]],0)),INDEX(Table3[[#All],[Rnk]],MATCH(Table5[[#This Row],[PID]],Table3[[#All],[PID]],0)))</f>
        <v>622</v>
      </c>
      <c r="U1408" s="68">
        <f>IF($C1408="B",VLOOKUP($A1408,Bat!$A$4:$BA$1621,47,FALSE),VLOOKUP($A1408,Pit!$A$4:$BF$1557,56,FALSE))</f>
        <v>0</v>
      </c>
      <c r="V1408" s="50">
        <f>IF($C1408="B",VLOOKUP($A1408,Bat!$A$4:$BA$1621,48,FALSE),VLOOKUP($A1408,Pit!$A$4:$BF$1557,57,FALSE))</f>
        <v>0</v>
      </c>
      <c r="W1408" s="50">
        <f>Table5[[#This Row],[posRnk]]+Table5[[#This Row],[zRnk]]+IF($W$3&lt;&gt;Table5[[#This Row],[Type]],50,0)</f>
        <v>2072</v>
      </c>
      <c r="X1408" s="51">
        <f>RANK(Table5[[#This Row],[zScore]],Table5[[#All],[zScore]])</f>
        <v>1400</v>
      </c>
      <c r="Y1408" s="50" t="str">
        <f>IFERROR(INDEX(DraftResults[[#All],[OVR]],MATCH(Table5[[#This Row],[PID]],DraftResults[[#All],[Player ID]],0)),"")</f>
        <v/>
      </c>
      <c r="Z14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8" s="50" t="str">
        <f>IFERROR(INDEX(DraftResults[[#All],[Pick in Round]],MATCH(Table5[[#This Row],[PID]],DraftResults[[#All],[Player ID]],0)),"")</f>
        <v/>
      </c>
      <c r="AB1408" s="50" t="str">
        <f>IFERROR(INDEX(DraftResults[[#All],[Team Name]],MATCH(Table5[[#This Row],[PID]],DraftResults[[#All],[Player ID]],0)),"")</f>
        <v/>
      </c>
      <c r="AC1408" s="50" t="str">
        <f>IF(Table5[[#This Row],[Ovr]]="","",IF(Table5[[#This Row],[cmbList]]="","",Table5[[#This Row],[cmbList]]-Table5[[#This Row],[Ovr]]))</f>
        <v/>
      </c>
      <c r="AD1408" s="54" t="str">
        <f>IF(ISERROR(VLOOKUP($AB1408&amp;"-"&amp;$E1408&amp;" "&amp;F1408,Bonuses!$B$1:$G$1006,4,FALSE)),"",INT(VLOOKUP($AB1408&amp;"-"&amp;$E1408&amp;" "&amp;$F1408,Bonuses!$B$1:$G$1006,4,FALSE)))</f>
        <v/>
      </c>
      <c r="AE14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09" spans="1:31" x14ac:dyDescent="0.25">
      <c r="A1409" s="50">
        <v>12221</v>
      </c>
      <c r="B1409" s="50">
        <f>COUNTIF(Table5[PID],A1409)</f>
        <v>1</v>
      </c>
      <c r="C1409" s="50" t="str">
        <f>IF(COUNTIF(Table3[[#All],[PID]],A1409)&gt;0,"P","B")</f>
        <v>B</v>
      </c>
      <c r="D1409" s="59" t="str">
        <f>IF($C1409="B",INDEX(Batters[[#All],[POS]],MATCH(Table5[[#This Row],[PID]],Batters[[#All],[PID]],0)),INDEX(Table3[[#All],[POS]],MATCH(Table5[[#This Row],[PID]],Table3[[#All],[PID]],0)))</f>
        <v>1B</v>
      </c>
      <c r="E1409" s="52" t="str">
        <f>IF($C1409="B",INDEX(Batters[[#All],[First]],MATCH(Table5[[#This Row],[PID]],Batters[[#All],[PID]],0)),INDEX(Table3[[#All],[First]],MATCH(Table5[[#This Row],[PID]],Table3[[#All],[PID]],0)))</f>
        <v>Zach</v>
      </c>
      <c r="F1409" s="50" t="str">
        <f>IF($C1409="B",INDEX(Batters[[#All],[Last]],MATCH(A1409,Batters[[#All],[PID]],0)),INDEX(Table3[[#All],[Last]],MATCH(A1409,Table3[[#All],[PID]],0)))</f>
        <v>Wilcox</v>
      </c>
      <c r="G1409" s="56">
        <f>IF($C1409="B",INDEX(Batters[[#All],[Age]],MATCH(Table5[[#This Row],[PID]],Batters[[#All],[PID]],0)),INDEX(Table3[[#All],[Age]],MATCH(Table5[[#This Row],[PID]],Table3[[#All],[PID]],0)))</f>
        <v>22</v>
      </c>
      <c r="H1409" s="52" t="str">
        <f>IF($C1409="B",INDEX(Batters[[#All],[B]],MATCH(Table5[[#This Row],[PID]],Batters[[#All],[PID]],0)),INDEX(Table3[[#All],[B]],MATCH(Table5[[#This Row],[PID]],Table3[[#All],[PID]],0)))</f>
        <v>L</v>
      </c>
      <c r="I1409" s="70" t="str">
        <f>IF($C1409="B",INDEX(Batters[[#All],[T]],MATCH(Table5[[#This Row],[PID]],Batters[[#All],[PID]],0)),INDEX(Table3[[#All],[T]],MATCH(Table5[[#This Row],[PID]],Table3[[#All],[PID]],0)))</f>
        <v>L</v>
      </c>
      <c r="J1409" s="52" t="str">
        <f>IF($C1409="B",INDEX(Batters[[#All],[WE]],MATCH(Table5[[#This Row],[PID]],Batters[[#All],[PID]],0)),INDEX(Table3[[#All],[WE]],MATCH(Table5[[#This Row],[PID]],Table3[[#All],[PID]],0)))</f>
        <v>Normal</v>
      </c>
      <c r="K1409" s="52" t="str">
        <f>IF($C1409="B",INDEX(Batters[[#All],[INT]],MATCH(Table5[[#This Row],[PID]],Batters[[#All],[PID]],0)),INDEX(Table3[[#All],[INT]],MATCH(Table5[[#This Row],[PID]],Table3[[#All],[PID]],0)))</f>
        <v>Normal</v>
      </c>
      <c r="L1409" s="60">
        <f>IF($C1409="B",INDEX(Batters[[#All],[CON P]],MATCH(Table5[[#This Row],[PID]],Batters[[#All],[PID]],0)),INDEX(Table3[[#All],[STU P]],MATCH(Table5[[#This Row],[PID]],Table3[[#All],[PID]],0)))</f>
        <v>4</v>
      </c>
      <c r="M1409" s="56">
        <f>IF($C1409="B",INDEX(Batters[[#All],[GAP P]],MATCH(Table5[[#This Row],[PID]],Batters[[#All],[PID]],0)),INDEX(Table3[[#All],[MOV P]],MATCH(Table5[[#This Row],[PID]],Table3[[#All],[PID]],0)))</f>
        <v>3</v>
      </c>
      <c r="N1409" s="56">
        <f>IF($C1409="B",INDEX(Batters[[#All],[POW P]],MATCH(Table5[[#This Row],[PID]],Batters[[#All],[PID]],0)),INDEX(Table3[[#All],[CON P]],MATCH(Table5[[#This Row],[PID]],Table3[[#All],[PID]],0)))</f>
        <v>2</v>
      </c>
      <c r="O1409" s="56">
        <f>IF($C1409="B",INDEX(Batters[[#All],[EYE P]],MATCH(Table5[[#This Row],[PID]],Batters[[#All],[PID]],0)),INDEX(Table3[[#All],[VELO]],MATCH(Table5[[#This Row],[PID]],Table3[[#All],[PID]],0)))</f>
        <v>1</v>
      </c>
      <c r="P1409" s="56">
        <f>IF($C1409="B",INDEX(Batters[[#All],[K P]],MATCH(Table5[[#This Row],[PID]],Batters[[#All],[PID]],0)),INDEX(Table3[[#All],[STM]],MATCH(Table5[[#This Row],[PID]],Table3[[#All],[PID]],0)))</f>
        <v>5</v>
      </c>
      <c r="Q1409" s="61">
        <f>IF($C1409="B",INDEX(Batters[[#All],[Tot]],MATCH(Table5[[#This Row],[PID]],Batters[[#All],[PID]],0)),INDEX(Table3[[#All],[Tot]],MATCH(Table5[[#This Row],[PID]],Table3[[#All],[PID]],0)))</f>
        <v>35.584084275704612</v>
      </c>
      <c r="R1409" s="70">
        <f>IF($C1409="B",INDEX(Batters[[#All],[zScore]],MATCH(Table5[[#This Row],[PID]],Batters[[#All],[PID]],0)),INDEX(Table3[[#All],[zScore]],MATCH(Table5[[#This Row],[PID]],Table3[[#All],[PID]],0)))</f>
        <v>-1.8951173305031077</v>
      </c>
      <c r="S1409" s="79" t="str">
        <f>IF($C1409="B",INDEX(Batters[[#All],[DEM]],MATCH(Table5[[#This Row],[PID]],Batters[[#All],[PID]],0)),INDEX(Table3[[#All],[DEM]],MATCH(Table5[[#This Row],[PID]],Table3[[#All],[PID]],0)))</f>
        <v>-</v>
      </c>
      <c r="T1409" s="62">
        <f>IF($C1409="B",INDEX(Batters[[#All],[Rnk]],MATCH(Table5[[#This Row],[PID]],Batters[[#All],[PID]],0)),INDEX(Table3[[#All],[Rnk]],MATCH(Table5[[#This Row],[PID]],Table3[[#All],[PID]],0)))</f>
        <v>623</v>
      </c>
      <c r="U1409" s="68">
        <f>IF($C1409="B",VLOOKUP($A1409,Bat!$A$4:$BA$1621,47,FALSE),VLOOKUP($A1409,Pit!$A$4:$BF$1557,56,FALSE))</f>
        <v>0</v>
      </c>
      <c r="V1409" s="50">
        <f>IF($C1409="B",VLOOKUP($A1409,Bat!$A$4:$BA$1621,48,FALSE),VLOOKUP($A1409,Pit!$A$4:$BF$1557,57,FALSE))</f>
        <v>0</v>
      </c>
      <c r="W1409" s="50">
        <f>Table5[[#This Row],[posRnk]]+Table5[[#This Row],[zRnk]]+IF($W$3&lt;&gt;Table5[[#This Row],[Type]],50,0)</f>
        <v>2074</v>
      </c>
      <c r="X1409" s="51">
        <f>RANK(Table5[[#This Row],[zScore]],Table5[[#All],[zScore]])</f>
        <v>1401</v>
      </c>
      <c r="Y1409" s="50" t="str">
        <f>IFERROR(INDEX(DraftResults[[#All],[OVR]],MATCH(Table5[[#This Row],[PID]],DraftResults[[#All],[Player ID]],0)),"")</f>
        <v/>
      </c>
      <c r="Z14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09" s="50" t="str">
        <f>IFERROR(INDEX(DraftResults[[#All],[Pick in Round]],MATCH(Table5[[#This Row],[PID]],DraftResults[[#All],[Player ID]],0)),"")</f>
        <v/>
      </c>
      <c r="AB1409" s="50" t="str">
        <f>IFERROR(INDEX(DraftResults[[#All],[Team Name]],MATCH(Table5[[#This Row],[PID]],DraftResults[[#All],[Player ID]],0)),"")</f>
        <v/>
      </c>
      <c r="AC1409" s="50" t="str">
        <f>IF(Table5[[#This Row],[Ovr]]="","",IF(Table5[[#This Row],[cmbList]]="","",Table5[[#This Row],[cmbList]]-Table5[[#This Row],[Ovr]]))</f>
        <v/>
      </c>
      <c r="AD1409" s="54" t="str">
        <f>IF(ISERROR(VLOOKUP($AB1409&amp;"-"&amp;$E1409&amp;" "&amp;F1409,Bonuses!$B$1:$G$1006,4,FALSE)),"",INT(VLOOKUP($AB1409&amp;"-"&amp;$E1409&amp;" "&amp;$F1409,Bonuses!$B$1:$G$1006,4,FALSE)))</f>
        <v/>
      </c>
      <c r="AE14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0" spans="1:31" x14ac:dyDescent="0.25">
      <c r="A1410" s="50">
        <v>2195</v>
      </c>
      <c r="B1410" s="50">
        <f>COUNTIF(Table5[PID],A1410)</f>
        <v>1</v>
      </c>
      <c r="C1410" s="50" t="str">
        <f>IF(COUNTIF(Table3[[#All],[PID]],A1410)&gt;0,"P","B")</f>
        <v>B</v>
      </c>
      <c r="D1410" s="59" t="str">
        <f>IF($C1410="B",INDEX(Batters[[#All],[POS]],MATCH(Table5[[#This Row],[PID]],Batters[[#All],[PID]],0)),INDEX(Table3[[#All],[POS]],MATCH(Table5[[#This Row],[PID]],Table3[[#All],[PID]],0)))</f>
        <v>1B</v>
      </c>
      <c r="E1410" s="52" t="str">
        <f>IF($C1410="B",INDEX(Batters[[#All],[First]],MATCH(Table5[[#This Row],[PID]],Batters[[#All],[PID]],0)),INDEX(Table3[[#All],[First]],MATCH(Table5[[#This Row],[PID]],Table3[[#All],[PID]],0)))</f>
        <v>Fernando</v>
      </c>
      <c r="F1410" s="50" t="str">
        <f>IF($C1410="B",INDEX(Batters[[#All],[Last]],MATCH(A1410,Batters[[#All],[PID]],0)),INDEX(Table3[[#All],[Last]],MATCH(A1410,Table3[[#All],[PID]],0)))</f>
        <v>Rosário</v>
      </c>
      <c r="G1410" s="56">
        <f>IF($C1410="B",INDEX(Batters[[#All],[Age]],MATCH(Table5[[#This Row],[PID]],Batters[[#All],[PID]],0)),INDEX(Table3[[#All],[Age]],MATCH(Table5[[#This Row],[PID]],Table3[[#All],[PID]],0)))</f>
        <v>22</v>
      </c>
      <c r="H1410" s="52" t="str">
        <f>IF($C1410="B",INDEX(Batters[[#All],[B]],MATCH(Table5[[#This Row],[PID]],Batters[[#All],[PID]],0)),INDEX(Table3[[#All],[B]],MATCH(Table5[[#This Row],[PID]],Table3[[#All],[PID]],0)))</f>
        <v>L</v>
      </c>
      <c r="I1410" s="70" t="str">
        <f>IF($C1410="B",INDEX(Batters[[#All],[T]],MATCH(Table5[[#This Row],[PID]],Batters[[#All],[PID]],0)),INDEX(Table3[[#All],[T]],MATCH(Table5[[#This Row],[PID]],Table3[[#All],[PID]],0)))</f>
        <v>R</v>
      </c>
      <c r="J1410" s="52" t="str">
        <f>IF($C1410="B",INDEX(Batters[[#All],[WE]],MATCH(Table5[[#This Row],[PID]],Batters[[#All],[PID]],0)),INDEX(Table3[[#All],[WE]],MATCH(Table5[[#This Row],[PID]],Table3[[#All],[PID]],0)))</f>
        <v>Low</v>
      </c>
      <c r="K1410" s="52" t="str">
        <f>IF($C1410="B",INDEX(Batters[[#All],[INT]],MATCH(Table5[[#This Row],[PID]],Batters[[#All],[PID]],0)),INDEX(Table3[[#All],[INT]],MATCH(Table5[[#This Row],[PID]],Table3[[#All],[PID]],0)))</f>
        <v>Low</v>
      </c>
      <c r="L1410" s="60">
        <f>IF($C1410="B",INDEX(Batters[[#All],[CON P]],MATCH(Table5[[#This Row],[PID]],Batters[[#All],[PID]],0)),INDEX(Table3[[#All],[STU P]],MATCH(Table5[[#This Row],[PID]],Table3[[#All],[PID]],0)))</f>
        <v>4</v>
      </c>
      <c r="M1410" s="56">
        <f>IF($C1410="B",INDEX(Batters[[#All],[GAP P]],MATCH(Table5[[#This Row],[PID]],Batters[[#All],[PID]],0)),INDEX(Table3[[#All],[MOV P]],MATCH(Table5[[#This Row],[PID]],Table3[[#All],[PID]],0)))</f>
        <v>3</v>
      </c>
      <c r="N1410" s="56">
        <f>IF($C1410="B",INDEX(Batters[[#All],[POW P]],MATCH(Table5[[#This Row],[PID]],Batters[[#All],[PID]],0)),INDEX(Table3[[#All],[CON P]],MATCH(Table5[[#This Row],[PID]],Table3[[#All],[PID]],0)))</f>
        <v>2</v>
      </c>
      <c r="O1410" s="56">
        <f>IF($C1410="B",INDEX(Batters[[#All],[EYE P]],MATCH(Table5[[#This Row],[PID]],Batters[[#All],[PID]],0)),INDEX(Table3[[#All],[VELO]],MATCH(Table5[[#This Row],[PID]],Table3[[#All],[PID]],0)))</f>
        <v>2</v>
      </c>
      <c r="P1410" s="56">
        <f>IF($C1410="B",INDEX(Batters[[#All],[K P]],MATCH(Table5[[#This Row],[PID]],Batters[[#All],[PID]],0)),INDEX(Table3[[#All],[STM]],MATCH(Table5[[#This Row],[PID]],Table3[[#All],[PID]],0)))</f>
        <v>4</v>
      </c>
      <c r="Q1410" s="61">
        <f>IF($C1410="B",INDEX(Batters[[#All],[Tot]],MATCH(Table5[[#This Row],[PID]],Batters[[#All],[PID]],0)),INDEX(Table3[[#All],[Tot]],MATCH(Table5[[#This Row],[PID]],Table3[[#All],[PID]],0)))</f>
        <v>35.471766003578431</v>
      </c>
      <c r="R1410" s="70">
        <f>IF($C1410="B",INDEX(Batters[[#All],[zScore]],MATCH(Table5[[#This Row],[PID]],Batters[[#All],[PID]],0)),INDEX(Table3[[#All],[zScore]],MATCH(Table5[[#This Row],[PID]],Table3[[#All],[PID]],0)))</f>
        <v>-1.9200190506345423</v>
      </c>
      <c r="S1410" s="79" t="str">
        <f>IF($C1410="B",INDEX(Batters[[#All],[DEM]],MATCH(Table5[[#This Row],[PID]],Batters[[#All],[PID]],0)),INDEX(Table3[[#All],[DEM]],MATCH(Table5[[#This Row],[PID]],Table3[[#All],[PID]],0)))</f>
        <v>-</v>
      </c>
      <c r="T1410" s="62">
        <f>IF($C1410="B",INDEX(Batters[[#All],[Rnk]],MATCH(Table5[[#This Row],[PID]],Batters[[#All],[PID]],0)),INDEX(Table3[[#All],[Rnk]],MATCH(Table5[[#This Row],[PID]],Table3[[#All],[PID]],0)))</f>
        <v>624</v>
      </c>
      <c r="U1410" s="68">
        <f>IF($C1410="B",VLOOKUP($A1410,Bat!$A$4:$BA$1621,47,FALSE),VLOOKUP($A1410,Pit!$A$4:$BF$1557,56,FALSE))</f>
        <v>0</v>
      </c>
      <c r="V1410" s="50">
        <f>IF($C1410="B",VLOOKUP($A1410,Bat!$A$4:$BA$1621,48,FALSE),VLOOKUP($A1410,Pit!$A$4:$BF$1557,57,FALSE))</f>
        <v>0</v>
      </c>
      <c r="W1410" s="50">
        <f>Table5[[#This Row],[posRnk]]+Table5[[#This Row],[zRnk]]+IF($W$3&lt;&gt;Table5[[#This Row],[Type]],50,0)</f>
        <v>2076</v>
      </c>
      <c r="X1410" s="51">
        <f>RANK(Table5[[#This Row],[zScore]],Table5[[#All],[zScore]])</f>
        <v>1402</v>
      </c>
      <c r="Y1410" s="50" t="str">
        <f>IFERROR(INDEX(DraftResults[[#All],[OVR]],MATCH(Table5[[#This Row],[PID]],DraftResults[[#All],[Player ID]],0)),"")</f>
        <v/>
      </c>
      <c r="Z14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0" s="50" t="str">
        <f>IFERROR(INDEX(DraftResults[[#All],[Pick in Round]],MATCH(Table5[[#This Row],[PID]],DraftResults[[#All],[Player ID]],0)),"")</f>
        <v/>
      </c>
      <c r="AB1410" s="50" t="str">
        <f>IFERROR(INDEX(DraftResults[[#All],[Team Name]],MATCH(Table5[[#This Row],[PID]],DraftResults[[#All],[Player ID]],0)),"")</f>
        <v/>
      </c>
      <c r="AC1410" s="50" t="str">
        <f>IF(Table5[[#This Row],[Ovr]]="","",IF(Table5[[#This Row],[cmbList]]="","",Table5[[#This Row],[cmbList]]-Table5[[#This Row],[Ovr]]))</f>
        <v/>
      </c>
      <c r="AD1410" s="54" t="str">
        <f>IF(ISERROR(VLOOKUP($AB1410&amp;"-"&amp;$E1410&amp;" "&amp;F1410,Bonuses!$B$1:$G$1006,4,FALSE)),"",INT(VLOOKUP($AB1410&amp;"-"&amp;$E1410&amp;" "&amp;$F1410,Bonuses!$B$1:$G$1006,4,FALSE)))</f>
        <v/>
      </c>
      <c r="AE14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1" spans="1:31" x14ac:dyDescent="0.25">
      <c r="A1411" s="50">
        <v>14107</v>
      </c>
      <c r="B1411" s="55">
        <f>COUNTIF(Table5[PID],A1411)</f>
        <v>1</v>
      </c>
      <c r="C1411" s="55" t="str">
        <f>IF(COUNTIF(Table3[[#All],[PID]],A1411)&gt;0,"P","B")</f>
        <v>B</v>
      </c>
      <c r="D1411" s="59" t="str">
        <f>IF($C1411="B",INDEX(Batters[[#All],[POS]],MATCH(Table5[[#This Row],[PID]],Batters[[#All],[PID]],0)),INDEX(Table3[[#All],[POS]],MATCH(Table5[[#This Row],[PID]],Table3[[#All],[PID]],0)))</f>
        <v>C</v>
      </c>
      <c r="E1411" s="52" t="str">
        <f>IF($C1411="B",INDEX(Batters[[#All],[First]],MATCH(Table5[[#This Row],[PID]],Batters[[#All],[PID]],0)),INDEX(Table3[[#All],[First]],MATCH(Table5[[#This Row],[PID]],Table3[[#All],[PID]],0)))</f>
        <v>António</v>
      </c>
      <c r="F1411" s="50" t="str">
        <f>IF($C1411="B",INDEX(Batters[[#All],[Last]],MATCH(A1411,Batters[[#All],[PID]],0)),INDEX(Table3[[#All],[Last]],MATCH(A1411,Table3[[#All],[PID]],0)))</f>
        <v>Padilla</v>
      </c>
      <c r="G1411" s="56">
        <f>IF($C1411="B",INDEX(Batters[[#All],[Age]],MATCH(Table5[[#This Row],[PID]],Batters[[#All],[PID]],0)),INDEX(Table3[[#All],[Age]],MATCH(Table5[[#This Row],[PID]],Table3[[#All],[PID]],0)))</f>
        <v>18</v>
      </c>
      <c r="H1411" s="52" t="str">
        <f>IF($C1411="B",INDEX(Batters[[#All],[B]],MATCH(Table5[[#This Row],[PID]],Batters[[#All],[PID]],0)),INDEX(Table3[[#All],[B]],MATCH(Table5[[#This Row],[PID]],Table3[[#All],[PID]],0)))</f>
        <v>R</v>
      </c>
      <c r="I1411" s="70" t="str">
        <f>IF($C1411="B",INDEX(Batters[[#All],[T]],MATCH(Table5[[#This Row],[PID]],Batters[[#All],[PID]],0)),INDEX(Table3[[#All],[T]],MATCH(Table5[[#This Row],[PID]],Table3[[#All],[PID]],0)))</f>
        <v>R</v>
      </c>
      <c r="J1411" s="52" t="str">
        <f>IF($C1411="B",INDEX(Batters[[#All],[WE]],MATCH(Table5[[#This Row],[PID]],Batters[[#All],[PID]],0)),INDEX(Table3[[#All],[WE]],MATCH(Table5[[#This Row],[PID]],Table3[[#All],[PID]],0)))</f>
        <v>High</v>
      </c>
      <c r="K1411" s="52" t="str">
        <f>IF($C1411="B",INDEX(Batters[[#All],[INT]],MATCH(Table5[[#This Row],[PID]],Batters[[#All],[PID]],0)),INDEX(Table3[[#All],[INT]],MATCH(Table5[[#This Row],[PID]],Table3[[#All],[PID]],0)))</f>
        <v>Normal</v>
      </c>
      <c r="L1411" s="60">
        <f>IF($C1411="B",INDEX(Batters[[#All],[CON P]],MATCH(Table5[[#This Row],[PID]],Batters[[#All],[PID]],0)),INDEX(Table3[[#All],[STU P]],MATCH(Table5[[#This Row],[PID]],Table3[[#All],[PID]],0)))</f>
        <v>2</v>
      </c>
      <c r="M1411" s="56">
        <f>IF($C1411="B",INDEX(Batters[[#All],[GAP P]],MATCH(Table5[[#This Row],[PID]],Batters[[#All],[PID]],0)),INDEX(Table3[[#All],[MOV P]],MATCH(Table5[[#This Row],[PID]],Table3[[#All],[PID]],0)))</f>
        <v>3</v>
      </c>
      <c r="N1411" s="56">
        <f>IF($C1411="B",INDEX(Batters[[#All],[POW P]],MATCH(Table5[[#This Row],[PID]],Batters[[#All],[PID]],0)),INDEX(Table3[[#All],[CON P]],MATCH(Table5[[#This Row],[PID]],Table3[[#All],[PID]],0)))</f>
        <v>2</v>
      </c>
      <c r="O1411" s="56">
        <f>IF($C1411="B",INDEX(Batters[[#All],[EYE P]],MATCH(Table5[[#This Row],[PID]],Batters[[#All],[PID]],0)),INDEX(Table3[[#All],[VELO]],MATCH(Table5[[#This Row],[PID]],Table3[[#All],[PID]],0)))</f>
        <v>4</v>
      </c>
      <c r="P1411" s="56">
        <f>IF($C1411="B",INDEX(Batters[[#All],[K P]],MATCH(Table5[[#This Row],[PID]],Batters[[#All],[PID]],0)),INDEX(Table3[[#All],[STM]],MATCH(Table5[[#This Row],[PID]],Table3[[#All],[PID]],0)))</f>
        <v>3</v>
      </c>
      <c r="Q1411" s="61">
        <f>IF($C1411="B",INDEX(Batters[[#All],[Tot]],MATCH(Table5[[#This Row],[PID]],Batters[[#All],[PID]],0)),INDEX(Table3[[#All],[Tot]],MATCH(Table5[[#This Row],[PID]],Table3[[#All],[PID]],0)))</f>
        <v>35.384609588974314</v>
      </c>
      <c r="R1411" s="70">
        <f>IF($C1411="B",INDEX(Batters[[#All],[zScore]],MATCH(Table5[[#This Row],[PID]],Batters[[#All],[PID]],0)),INDEX(Table3[[#All],[zScore]],MATCH(Table5[[#This Row],[PID]],Table3[[#All],[PID]],0)))</f>
        <v>-1.9393422168749628</v>
      </c>
      <c r="S1411" s="79" t="str">
        <f>IF($C1411="B",INDEX(Batters[[#All],[DEM]],MATCH(Table5[[#This Row],[PID]],Batters[[#All],[PID]],0)),INDEX(Table3[[#All],[DEM]],MATCH(Table5[[#This Row],[PID]],Table3[[#All],[PID]],0)))</f>
        <v>$80k</v>
      </c>
      <c r="T1411" s="62">
        <f>IF($C1411="B",INDEX(Batters[[#All],[Rnk]],MATCH(Table5[[#This Row],[PID]],Batters[[#All],[PID]],0)),INDEX(Table3[[#All],[Rnk]],MATCH(Table5[[#This Row],[PID]],Table3[[#All],[PID]],0)))</f>
        <v>625</v>
      </c>
      <c r="U1411" s="68">
        <f>IF($C1411="B",VLOOKUP($A1411,Bat!$A$4:$BA$1621,47,FALSE),VLOOKUP($A1411,Pit!$A$4:$BF$1557,56,FALSE))</f>
        <v>0</v>
      </c>
      <c r="V1411" s="50">
        <f>IF($C1411="B",VLOOKUP($A1411,Bat!$A$4:$BA$1621,48,FALSE),VLOOKUP($A1411,Pit!$A$4:$BF$1557,57,FALSE))</f>
        <v>0</v>
      </c>
      <c r="W1411" s="50">
        <f>Table5[[#This Row],[posRnk]]+Table5[[#This Row],[zRnk]]+IF($W$3&lt;&gt;Table5[[#This Row],[Type]],50,0)</f>
        <v>2078</v>
      </c>
      <c r="X1411" s="51">
        <f>RANK(Table5[[#This Row],[zScore]],Table5[[#All],[zScore]])</f>
        <v>1403</v>
      </c>
      <c r="Y1411" s="50" t="str">
        <f>IFERROR(INDEX(DraftResults[[#All],[OVR]],MATCH(Table5[[#This Row],[PID]],DraftResults[[#All],[Player ID]],0)),"")</f>
        <v/>
      </c>
      <c r="Z14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1" s="50" t="str">
        <f>IFERROR(INDEX(DraftResults[[#All],[Pick in Round]],MATCH(Table5[[#This Row],[PID]],DraftResults[[#All],[Player ID]],0)),"")</f>
        <v/>
      </c>
      <c r="AB1411" s="50" t="str">
        <f>IFERROR(INDEX(DraftResults[[#All],[Team Name]],MATCH(Table5[[#This Row],[PID]],DraftResults[[#All],[Player ID]],0)),"")</f>
        <v/>
      </c>
      <c r="AC1411" s="50" t="str">
        <f>IF(Table5[[#This Row],[Ovr]]="","",IF(Table5[[#This Row],[cmbList]]="","",Table5[[#This Row],[cmbList]]-Table5[[#This Row],[Ovr]]))</f>
        <v/>
      </c>
      <c r="AD1411" s="54" t="str">
        <f>IF(ISERROR(VLOOKUP($AB1411&amp;"-"&amp;$E1411&amp;" "&amp;F1411,Bonuses!$B$1:$G$1006,4,FALSE)),"",INT(VLOOKUP($AB1411&amp;"-"&amp;$E1411&amp;" "&amp;$F1411,Bonuses!$B$1:$G$1006,4,FALSE)))</f>
        <v/>
      </c>
      <c r="AE14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2" spans="1:31" x14ac:dyDescent="0.25">
      <c r="A1412" s="50">
        <v>17796</v>
      </c>
      <c r="B1412" s="50">
        <f>COUNTIF(Table5[PID],A1412)</f>
        <v>1</v>
      </c>
      <c r="C1412" s="50" t="str">
        <f>IF(COUNTIF(Table3[[#All],[PID]],A1412)&gt;0,"P","B")</f>
        <v>B</v>
      </c>
      <c r="D1412" s="59" t="str">
        <f>IF($C1412="B",INDEX(Batters[[#All],[POS]],MATCH(Table5[[#This Row],[PID]],Batters[[#All],[PID]],0)),INDEX(Table3[[#All],[POS]],MATCH(Table5[[#This Row],[PID]],Table3[[#All],[PID]],0)))</f>
        <v>2B</v>
      </c>
      <c r="E1412" s="52" t="str">
        <f>IF($C1412="B",INDEX(Batters[[#All],[First]],MATCH(Table5[[#This Row],[PID]],Batters[[#All],[PID]],0)),INDEX(Table3[[#All],[First]],MATCH(Table5[[#This Row],[PID]],Table3[[#All],[PID]],0)))</f>
        <v>Iemitsu</v>
      </c>
      <c r="F1412" s="50" t="str">
        <f>IF($C1412="B",INDEX(Batters[[#All],[Last]],MATCH(A1412,Batters[[#All],[PID]],0)),INDEX(Table3[[#All],[Last]],MATCH(A1412,Table3[[#All],[PID]],0)))</f>
        <v>Ikeda</v>
      </c>
      <c r="G1412" s="56">
        <f>IF($C1412="B",INDEX(Batters[[#All],[Age]],MATCH(Table5[[#This Row],[PID]],Batters[[#All],[PID]],0)),INDEX(Table3[[#All],[Age]],MATCH(Table5[[#This Row],[PID]],Table3[[#All],[PID]],0)))</f>
        <v>21</v>
      </c>
      <c r="H1412" s="52" t="str">
        <f>IF($C1412="B",INDEX(Batters[[#All],[B]],MATCH(Table5[[#This Row],[PID]],Batters[[#All],[PID]],0)),INDEX(Table3[[#All],[B]],MATCH(Table5[[#This Row],[PID]],Table3[[#All],[PID]],0)))</f>
        <v>R</v>
      </c>
      <c r="I1412" s="70" t="str">
        <f>IF($C1412="B",INDEX(Batters[[#All],[T]],MATCH(Table5[[#This Row],[PID]],Batters[[#All],[PID]],0)),INDEX(Table3[[#All],[T]],MATCH(Table5[[#This Row],[PID]],Table3[[#All],[PID]],0)))</f>
        <v>R</v>
      </c>
      <c r="J1412" s="52" t="str">
        <f>IF($C1412="B",INDEX(Batters[[#All],[WE]],MATCH(Table5[[#This Row],[PID]],Batters[[#All],[PID]],0)),INDEX(Table3[[#All],[WE]],MATCH(Table5[[#This Row],[PID]],Table3[[#All],[PID]],0)))</f>
        <v>Normal</v>
      </c>
      <c r="K1412" s="52" t="str">
        <f>IF($C1412="B",INDEX(Batters[[#All],[INT]],MATCH(Table5[[#This Row],[PID]],Batters[[#All],[PID]],0)),INDEX(Table3[[#All],[INT]],MATCH(Table5[[#This Row],[PID]],Table3[[#All],[PID]],0)))</f>
        <v>Low</v>
      </c>
      <c r="L1412" s="60">
        <f>IF($C1412="B",INDEX(Batters[[#All],[CON P]],MATCH(Table5[[#This Row],[PID]],Batters[[#All],[PID]],0)),INDEX(Table3[[#All],[STU P]],MATCH(Table5[[#This Row],[PID]],Table3[[#All],[PID]],0)))</f>
        <v>3</v>
      </c>
      <c r="M1412" s="56">
        <f>IF($C1412="B",INDEX(Batters[[#All],[GAP P]],MATCH(Table5[[#This Row],[PID]],Batters[[#All],[PID]],0)),INDEX(Table3[[#All],[MOV P]],MATCH(Table5[[#This Row],[PID]],Table3[[#All],[PID]],0)))</f>
        <v>4</v>
      </c>
      <c r="N1412" s="56">
        <f>IF($C1412="B",INDEX(Batters[[#All],[POW P]],MATCH(Table5[[#This Row],[PID]],Batters[[#All],[PID]],0)),INDEX(Table3[[#All],[CON P]],MATCH(Table5[[#This Row],[PID]],Table3[[#All],[PID]],0)))</f>
        <v>3</v>
      </c>
      <c r="O1412" s="56">
        <f>IF($C1412="B",INDEX(Batters[[#All],[EYE P]],MATCH(Table5[[#This Row],[PID]],Batters[[#All],[PID]],0)),INDEX(Table3[[#All],[VELO]],MATCH(Table5[[#This Row],[PID]],Table3[[#All],[PID]],0)))</f>
        <v>3</v>
      </c>
      <c r="P1412" s="56">
        <f>IF($C1412="B",INDEX(Batters[[#All],[K P]],MATCH(Table5[[#This Row],[PID]],Batters[[#All],[PID]],0)),INDEX(Table3[[#All],[STM]],MATCH(Table5[[#This Row],[PID]],Table3[[#All],[PID]],0)))</f>
        <v>3</v>
      </c>
      <c r="Q1412" s="61">
        <f>IF($C1412="B",INDEX(Batters[[#All],[Tot]],MATCH(Table5[[#This Row],[PID]],Batters[[#All],[PID]],0)),INDEX(Table3[[#All],[Tot]],MATCH(Table5[[#This Row],[PID]],Table3[[#All],[PID]],0)))</f>
        <v>35.301023206630276</v>
      </c>
      <c r="R1412" s="70">
        <f>IF($C1412="B",INDEX(Batters[[#All],[zScore]],MATCH(Table5[[#This Row],[PID]],Batters[[#All],[PID]],0)),INDEX(Table3[[#All],[zScore]],MATCH(Table5[[#This Row],[PID]],Table3[[#All],[PID]],0)))</f>
        <v>-1.9578738828321451</v>
      </c>
      <c r="S1412" s="79" t="str">
        <f>IF($C1412="B",INDEX(Batters[[#All],[DEM]],MATCH(Table5[[#This Row],[PID]],Batters[[#All],[PID]],0)),INDEX(Table3[[#All],[DEM]],MATCH(Table5[[#This Row],[PID]],Table3[[#All],[PID]],0)))</f>
        <v>-</v>
      </c>
      <c r="T1412" s="62">
        <f>IF($C1412="B",INDEX(Batters[[#All],[Rnk]],MATCH(Table5[[#This Row],[PID]],Batters[[#All],[PID]],0)),INDEX(Table3[[#All],[Rnk]],MATCH(Table5[[#This Row],[PID]],Table3[[#All],[PID]],0)))</f>
        <v>626</v>
      </c>
      <c r="U1412" s="68">
        <f>IF($C1412="B",VLOOKUP($A1412,Bat!$A$4:$BA$1621,47,FALSE),VLOOKUP($A1412,Pit!$A$4:$BF$1557,56,FALSE))</f>
        <v>0</v>
      </c>
      <c r="V1412" s="50">
        <f>IF($C1412="B",VLOOKUP($A1412,Bat!$A$4:$BA$1621,48,FALSE),VLOOKUP($A1412,Pit!$A$4:$BF$1557,57,FALSE))</f>
        <v>0</v>
      </c>
      <c r="W1412" s="50">
        <f>Table5[[#This Row],[posRnk]]+Table5[[#This Row],[zRnk]]+IF($W$3&lt;&gt;Table5[[#This Row],[Type]],50,0)</f>
        <v>2080</v>
      </c>
      <c r="X1412" s="51">
        <f>RANK(Table5[[#This Row],[zScore]],Table5[[#All],[zScore]])</f>
        <v>1404</v>
      </c>
      <c r="Y1412" s="50" t="str">
        <f>IFERROR(INDEX(DraftResults[[#All],[OVR]],MATCH(Table5[[#This Row],[PID]],DraftResults[[#All],[Player ID]],0)),"")</f>
        <v/>
      </c>
      <c r="Z14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2" s="50" t="str">
        <f>IFERROR(INDEX(DraftResults[[#All],[Pick in Round]],MATCH(Table5[[#This Row],[PID]],DraftResults[[#All],[Player ID]],0)),"")</f>
        <v/>
      </c>
      <c r="AB1412" s="50" t="str">
        <f>IFERROR(INDEX(DraftResults[[#All],[Team Name]],MATCH(Table5[[#This Row],[PID]],DraftResults[[#All],[Player ID]],0)),"")</f>
        <v/>
      </c>
      <c r="AC1412" s="50" t="str">
        <f>IF(Table5[[#This Row],[Ovr]]="","",IF(Table5[[#This Row],[cmbList]]="","",Table5[[#This Row],[cmbList]]-Table5[[#This Row],[Ovr]]))</f>
        <v/>
      </c>
      <c r="AD1412" s="54" t="str">
        <f>IF(ISERROR(VLOOKUP($AB1412&amp;"-"&amp;$E1412&amp;" "&amp;F1412,Bonuses!$B$1:$G$1006,4,FALSE)),"",INT(VLOOKUP($AB1412&amp;"-"&amp;$E1412&amp;" "&amp;$F1412,Bonuses!$B$1:$G$1006,4,FALSE)))</f>
        <v/>
      </c>
      <c r="AE14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3" spans="1:31" x14ac:dyDescent="0.25">
      <c r="A1413" s="50">
        <v>12594</v>
      </c>
      <c r="B1413" s="50">
        <f>COUNTIF(Table5[PID],A1413)</f>
        <v>1</v>
      </c>
      <c r="C1413" s="50" t="str">
        <f>IF(COUNTIF(Table3[[#All],[PID]],A1413)&gt;0,"P","B")</f>
        <v>B</v>
      </c>
      <c r="D1413" s="59" t="str">
        <f>IF($C1413="B",INDEX(Batters[[#All],[POS]],MATCH(Table5[[#This Row],[PID]],Batters[[#All],[PID]],0)),INDEX(Table3[[#All],[POS]],MATCH(Table5[[#This Row],[PID]],Table3[[#All],[PID]],0)))</f>
        <v>C</v>
      </c>
      <c r="E1413" s="52" t="str">
        <f>IF($C1413="B",INDEX(Batters[[#All],[First]],MATCH(Table5[[#This Row],[PID]],Batters[[#All],[PID]],0)),INDEX(Table3[[#All],[First]],MATCH(Table5[[#This Row],[PID]],Table3[[#All],[PID]],0)))</f>
        <v>Alex</v>
      </c>
      <c r="F1413" s="50" t="str">
        <f>IF($C1413="B",INDEX(Batters[[#All],[Last]],MATCH(A1413,Batters[[#All],[PID]],0)),INDEX(Table3[[#All],[Last]],MATCH(A1413,Table3[[#All],[PID]],0)))</f>
        <v>Borlase</v>
      </c>
      <c r="G1413" s="56">
        <f>IF($C1413="B",INDEX(Batters[[#All],[Age]],MATCH(Table5[[#This Row],[PID]],Batters[[#All],[PID]],0)),INDEX(Table3[[#All],[Age]],MATCH(Table5[[#This Row],[PID]],Table3[[#All],[PID]],0)))</f>
        <v>22</v>
      </c>
      <c r="H1413" s="52" t="str">
        <f>IF($C1413="B",INDEX(Batters[[#All],[B]],MATCH(Table5[[#This Row],[PID]],Batters[[#All],[PID]],0)),INDEX(Table3[[#All],[B]],MATCH(Table5[[#This Row],[PID]],Table3[[#All],[PID]],0)))</f>
        <v>R</v>
      </c>
      <c r="I1413" s="70" t="str">
        <f>IF($C1413="B",INDEX(Batters[[#All],[T]],MATCH(Table5[[#This Row],[PID]],Batters[[#All],[PID]],0)),INDEX(Table3[[#All],[T]],MATCH(Table5[[#This Row],[PID]],Table3[[#All],[PID]],0)))</f>
        <v>R</v>
      </c>
      <c r="J1413" s="52" t="str">
        <f>IF($C1413="B",INDEX(Batters[[#All],[WE]],MATCH(Table5[[#This Row],[PID]],Batters[[#All],[PID]],0)),INDEX(Table3[[#All],[WE]],MATCH(Table5[[#This Row],[PID]],Table3[[#All],[PID]],0)))</f>
        <v>High</v>
      </c>
      <c r="K1413" s="52" t="str">
        <f>IF($C1413="B",INDEX(Batters[[#All],[INT]],MATCH(Table5[[#This Row],[PID]],Batters[[#All],[PID]],0)),INDEX(Table3[[#All],[INT]],MATCH(Table5[[#This Row],[PID]],Table3[[#All],[PID]],0)))</f>
        <v>Normal</v>
      </c>
      <c r="L1413" s="60">
        <f>IF($C1413="B",INDEX(Batters[[#All],[CON P]],MATCH(Table5[[#This Row],[PID]],Batters[[#All],[PID]],0)),INDEX(Table3[[#All],[STU P]],MATCH(Table5[[#This Row],[PID]],Table3[[#All],[PID]],0)))</f>
        <v>3</v>
      </c>
      <c r="M1413" s="56">
        <f>IF($C1413="B",INDEX(Batters[[#All],[GAP P]],MATCH(Table5[[#This Row],[PID]],Batters[[#All],[PID]],0)),INDEX(Table3[[#All],[MOV P]],MATCH(Table5[[#This Row],[PID]],Table3[[#All],[PID]],0)))</f>
        <v>3</v>
      </c>
      <c r="N1413" s="56">
        <f>IF($C1413="B",INDEX(Batters[[#All],[POW P]],MATCH(Table5[[#This Row],[PID]],Batters[[#All],[PID]],0)),INDEX(Table3[[#All],[CON P]],MATCH(Table5[[#This Row],[PID]],Table3[[#All],[PID]],0)))</f>
        <v>3</v>
      </c>
      <c r="O1413" s="56">
        <f>IF($C1413="B",INDEX(Batters[[#All],[EYE P]],MATCH(Table5[[#This Row],[PID]],Batters[[#All],[PID]],0)),INDEX(Table3[[#All],[VELO]],MATCH(Table5[[#This Row],[PID]],Table3[[#All],[PID]],0)))</f>
        <v>4</v>
      </c>
      <c r="P1413" s="56">
        <f>IF($C1413="B",INDEX(Batters[[#All],[K P]],MATCH(Table5[[#This Row],[PID]],Batters[[#All],[PID]],0)),INDEX(Table3[[#All],[STM]],MATCH(Table5[[#This Row],[PID]],Table3[[#All],[PID]],0)))</f>
        <v>3</v>
      </c>
      <c r="Q1413" s="61">
        <f>IF($C1413="B",INDEX(Batters[[#All],[Tot]],MATCH(Table5[[#This Row],[PID]],Batters[[#All],[PID]],0)),INDEX(Table3[[#All],[Tot]],MATCH(Table5[[#This Row],[PID]],Table3[[#All],[PID]],0)))</f>
        <v>35.284273135313498</v>
      </c>
      <c r="R1413" s="70">
        <f>IF($C1413="B",INDEX(Batters[[#All],[zScore]],MATCH(Table5[[#This Row],[PID]],Batters[[#All],[PID]],0)),INDEX(Table3[[#All],[zScore]],MATCH(Table5[[#This Row],[PID]],Table3[[#All],[PID]],0)))</f>
        <v>-1.9615874868630494</v>
      </c>
      <c r="S1413" s="79" t="str">
        <f>IF($C1413="B",INDEX(Batters[[#All],[DEM]],MATCH(Table5[[#This Row],[PID]],Batters[[#All],[PID]],0)),INDEX(Table3[[#All],[DEM]],MATCH(Table5[[#This Row],[PID]],Table3[[#All],[PID]],0)))</f>
        <v>-</v>
      </c>
      <c r="T1413" s="62">
        <f>IF($C1413="B",INDEX(Batters[[#All],[Rnk]],MATCH(Table5[[#This Row],[PID]],Batters[[#All],[PID]],0)),INDEX(Table3[[#All],[Rnk]],MATCH(Table5[[#This Row],[PID]],Table3[[#All],[PID]],0)))</f>
        <v>627</v>
      </c>
      <c r="U1413" s="68">
        <f>IF($C1413="B",VLOOKUP($A1413,Bat!$A$4:$BA$1621,47,FALSE),VLOOKUP($A1413,Pit!$A$4:$BF$1557,56,FALSE))</f>
        <v>0</v>
      </c>
      <c r="V1413" s="50">
        <f>IF($C1413="B",VLOOKUP($A1413,Bat!$A$4:$BA$1621,48,FALSE),VLOOKUP($A1413,Pit!$A$4:$BF$1557,57,FALSE))</f>
        <v>0</v>
      </c>
      <c r="W1413" s="50">
        <f>Table5[[#This Row],[posRnk]]+Table5[[#This Row],[zRnk]]+IF($W$3&lt;&gt;Table5[[#This Row],[Type]],50,0)</f>
        <v>2082</v>
      </c>
      <c r="X1413" s="51">
        <f>RANK(Table5[[#This Row],[zScore]],Table5[[#All],[zScore]])</f>
        <v>1405</v>
      </c>
      <c r="Y1413" s="50" t="str">
        <f>IFERROR(INDEX(DraftResults[[#All],[OVR]],MATCH(Table5[[#This Row],[PID]],DraftResults[[#All],[Player ID]],0)),"")</f>
        <v/>
      </c>
      <c r="Z14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3" s="50" t="str">
        <f>IFERROR(INDEX(DraftResults[[#All],[Pick in Round]],MATCH(Table5[[#This Row],[PID]],DraftResults[[#All],[Player ID]],0)),"")</f>
        <v/>
      </c>
      <c r="AB1413" s="50" t="str">
        <f>IFERROR(INDEX(DraftResults[[#All],[Team Name]],MATCH(Table5[[#This Row],[PID]],DraftResults[[#All],[Player ID]],0)),"")</f>
        <v/>
      </c>
      <c r="AC1413" s="50" t="str">
        <f>IF(Table5[[#This Row],[Ovr]]="","",IF(Table5[[#This Row],[cmbList]]="","",Table5[[#This Row],[cmbList]]-Table5[[#This Row],[Ovr]]))</f>
        <v/>
      </c>
      <c r="AD1413" s="54" t="str">
        <f>IF(ISERROR(VLOOKUP($AB1413&amp;"-"&amp;$E1413&amp;" "&amp;F1413,Bonuses!$B$1:$G$1006,4,FALSE)),"",INT(VLOOKUP($AB1413&amp;"-"&amp;$E1413&amp;" "&amp;$F1413,Bonuses!$B$1:$G$1006,4,FALSE)))</f>
        <v/>
      </c>
      <c r="AE14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4" spans="1:31" x14ac:dyDescent="0.25">
      <c r="A1414" s="50">
        <v>9715</v>
      </c>
      <c r="B1414" s="55">
        <f>COUNTIF(Table5[PID],A1414)</f>
        <v>1</v>
      </c>
      <c r="C1414" s="55" t="str">
        <f>IF(COUNTIF(Table3[[#All],[PID]],A1414)&gt;0,"P","B")</f>
        <v>B</v>
      </c>
      <c r="D1414" s="59" t="str">
        <f>IF($C1414="B",INDEX(Batters[[#All],[POS]],MATCH(Table5[[#This Row],[PID]],Batters[[#All],[PID]],0)),INDEX(Table3[[#All],[POS]],MATCH(Table5[[#This Row],[PID]],Table3[[#All],[PID]],0)))</f>
        <v>1B</v>
      </c>
      <c r="E1414" s="52" t="str">
        <f>IF($C1414="B",INDEX(Batters[[#All],[First]],MATCH(Table5[[#This Row],[PID]],Batters[[#All],[PID]],0)),INDEX(Table3[[#All],[First]],MATCH(Table5[[#This Row],[PID]],Table3[[#All],[PID]],0)))</f>
        <v>Arnie</v>
      </c>
      <c r="F1414" s="50" t="str">
        <f>IF($C1414="B",INDEX(Batters[[#All],[Last]],MATCH(A1414,Batters[[#All],[PID]],0)),INDEX(Table3[[#All],[Last]],MATCH(A1414,Table3[[#All],[PID]],0)))</f>
        <v>Miranda</v>
      </c>
      <c r="G1414" s="56">
        <f>IF($C1414="B",INDEX(Batters[[#All],[Age]],MATCH(Table5[[#This Row],[PID]],Batters[[#All],[PID]],0)),INDEX(Table3[[#All],[Age]],MATCH(Table5[[#This Row],[PID]],Table3[[#All],[PID]],0)))</f>
        <v>22</v>
      </c>
      <c r="H1414" s="52" t="str">
        <f>IF($C1414="B",INDEX(Batters[[#All],[B]],MATCH(Table5[[#This Row],[PID]],Batters[[#All],[PID]],0)),INDEX(Table3[[#All],[B]],MATCH(Table5[[#This Row],[PID]],Table3[[#All],[PID]],0)))</f>
        <v>S</v>
      </c>
      <c r="I1414" s="70" t="str">
        <f>IF($C1414="B",INDEX(Batters[[#All],[T]],MATCH(Table5[[#This Row],[PID]],Batters[[#All],[PID]],0)),INDEX(Table3[[#All],[T]],MATCH(Table5[[#This Row],[PID]],Table3[[#All],[PID]],0)))</f>
        <v>R</v>
      </c>
      <c r="J1414" s="52" t="str">
        <f>IF($C1414="B",INDEX(Batters[[#All],[WE]],MATCH(Table5[[#This Row],[PID]],Batters[[#All],[PID]],0)),INDEX(Table3[[#All],[WE]],MATCH(Table5[[#This Row],[PID]],Table3[[#All],[PID]],0)))</f>
        <v>Normal</v>
      </c>
      <c r="K1414" s="52" t="str">
        <f>IF($C1414="B",INDEX(Batters[[#All],[INT]],MATCH(Table5[[#This Row],[PID]],Batters[[#All],[PID]],0)),INDEX(Table3[[#All],[INT]],MATCH(Table5[[#This Row],[PID]],Table3[[#All],[PID]],0)))</f>
        <v>Normal</v>
      </c>
      <c r="L1414" s="60">
        <f>IF($C1414="B",INDEX(Batters[[#All],[CON P]],MATCH(Table5[[#This Row],[PID]],Batters[[#All],[PID]],0)),INDEX(Table3[[#All],[STU P]],MATCH(Table5[[#This Row],[PID]],Table3[[#All],[PID]],0)))</f>
        <v>4</v>
      </c>
      <c r="M1414" s="56">
        <f>IF($C1414="B",INDEX(Batters[[#All],[GAP P]],MATCH(Table5[[#This Row],[PID]],Batters[[#All],[PID]],0)),INDEX(Table3[[#All],[MOV P]],MATCH(Table5[[#This Row],[PID]],Table3[[#All],[PID]],0)))</f>
        <v>3</v>
      </c>
      <c r="N1414" s="56">
        <f>IF($C1414="B",INDEX(Batters[[#All],[POW P]],MATCH(Table5[[#This Row],[PID]],Batters[[#All],[PID]],0)),INDEX(Table3[[#All],[CON P]],MATCH(Table5[[#This Row],[PID]],Table3[[#All],[PID]],0)))</f>
        <v>2</v>
      </c>
      <c r="O1414" s="56">
        <f>IF($C1414="B",INDEX(Batters[[#All],[EYE P]],MATCH(Table5[[#This Row],[PID]],Batters[[#All],[PID]],0)),INDEX(Table3[[#All],[VELO]],MATCH(Table5[[#This Row],[PID]],Table3[[#All],[PID]],0)))</f>
        <v>1</v>
      </c>
      <c r="P1414" s="56">
        <f>IF($C1414="B",INDEX(Batters[[#All],[K P]],MATCH(Table5[[#This Row],[PID]],Batters[[#All],[PID]],0)),INDEX(Table3[[#All],[STM]],MATCH(Table5[[#This Row],[PID]],Table3[[#All],[PID]],0)))</f>
        <v>4</v>
      </c>
      <c r="Q1414" s="61">
        <f>IF($C1414="B",INDEX(Batters[[#All],[Tot]],MATCH(Table5[[#This Row],[PID]],Batters[[#All],[PID]],0)),INDEX(Table3[[#All],[Tot]],MATCH(Table5[[#This Row],[PID]],Table3[[#All],[PID]],0)))</f>
        <v>35.141249769481753</v>
      </c>
      <c r="R1414" s="70">
        <f>IF($C1414="B",INDEX(Batters[[#All],[zScore]],MATCH(Table5[[#This Row],[PID]],Batters[[#All],[PID]],0)),INDEX(Table3[[#All],[zScore]],MATCH(Table5[[#This Row],[PID]],Table3[[#All],[PID]],0)))</f>
        <v>-1.9932967338161789</v>
      </c>
      <c r="S1414" s="79" t="str">
        <f>IF($C1414="B",INDEX(Batters[[#All],[DEM]],MATCH(Table5[[#This Row],[PID]],Batters[[#All],[PID]],0)),INDEX(Table3[[#All],[DEM]],MATCH(Table5[[#This Row],[PID]],Table3[[#All],[PID]],0)))</f>
        <v>-</v>
      </c>
      <c r="T1414" s="62">
        <f>IF($C1414="B",INDEX(Batters[[#All],[Rnk]],MATCH(Table5[[#This Row],[PID]],Batters[[#All],[PID]],0)),INDEX(Table3[[#All],[Rnk]],MATCH(Table5[[#This Row],[PID]],Table3[[#All],[PID]],0)))</f>
        <v>628</v>
      </c>
      <c r="U1414" s="68">
        <f>IF($C1414="B",VLOOKUP($A1414,Bat!$A$4:$BA$1621,47,FALSE),VLOOKUP($A1414,Pit!$A$4:$BF$1557,56,FALSE))</f>
        <v>0</v>
      </c>
      <c r="V1414" s="50">
        <f>IF($C1414="B",VLOOKUP($A1414,Bat!$A$4:$BA$1621,48,FALSE),VLOOKUP($A1414,Pit!$A$4:$BF$1557,57,FALSE))</f>
        <v>0</v>
      </c>
      <c r="W1414" s="50">
        <f>Table5[[#This Row],[posRnk]]+Table5[[#This Row],[zRnk]]+IF($W$3&lt;&gt;Table5[[#This Row],[Type]],50,0)</f>
        <v>2084</v>
      </c>
      <c r="X1414" s="51">
        <f>RANK(Table5[[#This Row],[zScore]],Table5[[#All],[zScore]])</f>
        <v>1406</v>
      </c>
      <c r="Y1414" s="50" t="str">
        <f>IFERROR(INDEX(DraftResults[[#All],[OVR]],MATCH(Table5[[#This Row],[PID]],DraftResults[[#All],[Player ID]],0)),"")</f>
        <v/>
      </c>
      <c r="Z14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4" s="50" t="str">
        <f>IFERROR(INDEX(DraftResults[[#All],[Pick in Round]],MATCH(Table5[[#This Row],[PID]],DraftResults[[#All],[Player ID]],0)),"")</f>
        <v/>
      </c>
      <c r="AB1414" s="50" t="str">
        <f>IFERROR(INDEX(DraftResults[[#All],[Team Name]],MATCH(Table5[[#This Row],[PID]],DraftResults[[#All],[Player ID]],0)),"")</f>
        <v/>
      </c>
      <c r="AC1414" s="50" t="str">
        <f>IF(Table5[[#This Row],[Ovr]]="","",IF(Table5[[#This Row],[cmbList]]="","",Table5[[#This Row],[cmbList]]-Table5[[#This Row],[Ovr]]))</f>
        <v/>
      </c>
      <c r="AD1414" s="54" t="str">
        <f>IF(ISERROR(VLOOKUP($AB1414&amp;"-"&amp;$E1414&amp;" "&amp;F1414,Bonuses!$B$1:$G$1006,4,FALSE)),"",INT(VLOOKUP($AB1414&amp;"-"&amp;$E1414&amp;" "&amp;$F1414,Bonuses!$B$1:$G$1006,4,FALSE)))</f>
        <v/>
      </c>
      <c r="AE14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5" spans="1:31" x14ac:dyDescent="0.25">
      <c r="A1415" s="50">
        <v>18005</v>
      </c>
      <c r="B1415" s="50">
        <f>COUNTIF(Table5[PID],A1415)</f>
        <v>1</v>
      </c>
      <c r="C1415" s="50" t="str">
        <f>IF(COUNTIF(Table3[[#All],[PID]],A1415)&gt;0,"P","B")</f>
        <v>B</v>
      </c>
      <c r="D1415" s="59" t="str">
        <f>IF($C1415="B",INDEX(Batters[[#All],[POS]],MATCH(Table5[[#This Row],[PID]],Batters[[#All],[PID]],0)),INDEX(Table3[[#All],[POS]],MATCH(Table5[[#This Row],[PID]],Table3[[#All],[PID]],0)))</f>
        <v>SS</v>
      </c>
      <c r="E1415" s="52" t="str">
        <f>IF($C1415="B",INDEX(Batters[[#All],[First]],MATCH(Table5[[#This Row],[PID]],Batters[[#All],[PID]],0)),INDEX(Table3[[#All],[First]],MATCH(Table5[[#This Row],[PID]],Table3[[#All],[PID]],0)))</f>
        <v>Michael</v>
      </c>
      <c r="F1415" s="50" t="str">
        <f>IF($C1415="B",INDEX(Batters[[#All],[Last]],MATCH(A1415,Batters[[#All],[PID]],0)),INDEX(Table3[[#All],[Last]],MATCH(A1415,Table3[[#All],[PID]],0)))</f>
        <v>Gonzáles</v>
      </c>
      <c r="G1415" s="56">
        <f>IF($C1415="B",INDEX(Batters[[#All],[Age]],MATCH(Table5[[#This Row],[PID]],Batters[[#All],[PID]],0)),INDEX(Table3[[#All],[Age]],MATCH(Table5[[#This Row],[PID]],Table3[[#All],[PID]],0)))</f>
        <v>21</v>
      </c>
      <c r="H1415" s="52" t="str">
        <f>IF($C1415="B",INDEX(Batters[[#All],[B]],MATCH(Table5[[#This Row],[PID]],Batters[[#All],[PID]],0)),INDEX(Table3[[#All],[B]],MATCH(Table5[[#This Row],[PID]],Table3[[#All],[PID]],0)))</f>
        <v>R</v>
      </c>
      <c r="I1415" s="70" t="str">
        <f>IF($C1415="B",INDEX(Batters[[#All],[T]],MATCH(Table5[[#This Row],[PID]],Batters[[#All],[PID]],0)),INDEX(Table3[[#All],[T]],MATCH(Table5[[#This Row],[PID]],Table3[[#All],[PID]],0)))</f>
        <v>R</v>
      </c>
      <c r="J1415" s="52" t="str">
        <f>IF($C1415="B",INDEX(Batters[[#All],[WE]],MATCH(Table5[[#This Row],[PID]],Batters[[#All],[PID]],0)),INDEX(Table3[[#All],[WE]],MATCH(Table5[[#This Row],[PID]],Table3[[#All],[PID]],0)))</f>
        <v>Low</v>
      </c>
      <c r="K1415" s="52" t="str">
        <f>IF($C1415="B",INDEX(Batters[[#All],[INT]],MATCH(Table5[[#This Row],[PID]],Batters[[#All],[PID]],0)),INDEX(Table3[[#All],[INT]],MATCH(Table5[[#This Row],[PID]],Table3[[#All],[PID]],0)))</f>
        <v>Normal</v>
      </c>
      <c r="L1415" s="60">
        <f>IF($C1415="B",INDEX(Batters[[#All],[CON P]],MATCH(Table5[[#This Row],[PID]],Batters[[#All],[PID]],0)),INDEX(Table3[[#All],[STU P]],MATCH(Table5[[#This Row],[PID]],Table3[[#All],[PID]],0)))</f>
        <v>3</v>
      </c>
      <c r="M1415" s="56">
        <f>IF($C1415="B",INDEX(Batters[[#All],[GAP P]],MATCH(Table5[[#This Row],[PID]],Batters[[#All],[PID]],0)),INDEX(Table3[[#All],[MOV P]],MATCH(Table5[[#This Row],[PID]],Table3[[#All],[PID]],0)))</f>
        <v>3</v>
      </c>
      <c r="N1415" s="56">
        <f>IF($C1415="B",INDEX(Batters[[#All],[POW P]],MATCH(Table5[[#This Row],[PID]],Batters[[#All],[PID]],0)),INDEX(Table3[[#All],[CON P]],MATCH(Table5[[#This Row],[PID]],Table3[[#All],[PID]],0)))</f>
        <v>3</v>
      </c>
      <c r="O1415" s="56">
        <f>IF($C1415="B",INDEX(Batters[[#All],[EYE P]],MATCH(Table5[[#This Row],[PID]],Batters[[#All],[PID]],0)),INDEX(Table3[[#All],[VELO]],MATCH(Table5[[#This Row],[PID]],Table3[[#All],[PID]],0)))</f>
        <v>4</v>
      </c>
      <c r="P1415" s="56">
        <f>IF($C1415="B",INDEX(Batters[[#All],[K P]],MATCH(Table5[[#This Row],[PID]],Batters[[#All],[PID]],0)),INDEX(Table3[[#All],[STM]],MATCH(Table5[[#This Row],[PID]],Table3[[#All],[PID]],0)))</f>
        <v>4</v>
      </c>
      <c r="Q1415" s="61">
        <f>IF($C1415="B",INDEX(Batters[[#All],[Tot]],MATCH(Table5[[#This Row],[PID]],Batters[[#All],[PID]],0)),INDEX(Table3[[#All],[Tot]],MATCH(Table5[[#This Row],[PID]],Table3[[#All],[PID]],0)))</f>
        <v>35.13621526347994</v>
      </c>
      <c r="R1415" s="70">
        <f>IF($C1415="B",INDEX(Batters[[#All],[zScore]],MATCH(Table5[[#This Row],[PID]],Batters[[#All],[PID]],0)),INDEX(Table3[[#All],[zScore]],MATCH(Table5[[#This Row],[PID]],Table3[[#All],[PID]],0)))</f>
        <v>-1.9944129178268832</v>
      </c>
      <c r="S1415" s="79" t="str">
        <f>IF($C1415="B",INDEX(Batters[[#All],[DEM]],MATCH(Table5[[#This Row],[PID]],Batters[[#All],[PID]],0)),INDEX(Table3[[#All],[DEM]],MATCH(Table5[[#This Row],[PID]],Table3[[#All],[PID]],0)))</f>
        <v>-</v>
      </c>
      <c r="T1415" s="62">
        <f>IF($C1415="B",INDEX(Batters[[#All],[Rnk]],MATCH(Table5[[#This Row],[PID]],Batters[[#All],[PID]],0)),INDEX(Table3[[#All],[Rnk]],MATCH(Table5[[#This Row],[PID]],Table3[[#All],[PID]],0)))</f>
        <v>629</v>
      </c>
      <c r="U1415" s="68">
        <f>IF($C1415="B",VLOOKUP($A1415,Bat!$A$4:$BA$1621,47,FALSE),VLOOKUP($A1415,Pit!$A$4:$BF$1557,56,FALSE))</f>
        <v>0</v>
      </c>
      <c r="V1415" s="50">
        <f>IF($C1415="B",VLOOKUP($A1415,Bat!$A$4:$BA$1621,48,FALSE),VLOOKUP($A1415,Pit!$A$4:$BF$1557,57,FALSE))</f>
        <v>0</v>
      </c>
      <c r="W1415" s="50">
        <f>Table5[[#This Row],[posRnk]]+Table5[[#This Row],[zRnk]]+IF($W$3&lt;&gt;Table5[[#This Row],[Type]],50,0)</f>
        <v>2086</v>
      </c>
      <c r="X1415" s="51">
        <f>RANK(Table5[[#This Row],[zScore]],Table5[[#All],[zScore]])</f>
        <v>1407</v>
      </c>
      <c r="Y1415" s="50" t="str">
        <f>IFERROR(INDEX(DraftResults[[#All],[OVR]],MATCH(Table5[[#This Row],[PID]],DraftResults[[#All],[Player ID]],0)),"")</f>
        <v/>
      </c>
      <c r="Z14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5" s="50" t="str">
        <f>IFERROR(INDEX(DraftResults[[#All],[Pick in Round]],MATCH(Table5[[#This Row],[PID]],DraftResults[[#All],[Player ID]],0)),"")</f>
        <v/>
      </c>
      <c r="AB1415" s="50" t="str">
        <f>IFERROR(INDEX(DraftResults[[#All],[Team Name]],MATCH(Table5[[#This Row],[PID]],DraftResults[[#All],[Player ID]],0)),"")</f>
        <v/>
      </c>
      <c r="AC1415" s="50" t="str">
        <f>IF(Table5[[#This Row],[Ovr]]="","",IF(Table5[[#This Row],[cmbList]]="","",Table5[[#This Row],[cmbList]]-Table5[[#This Row],[Ovr]]))</f>
        <v/>
      </c>
      <c r="AD1415" s="54" t="str">
        <f>IF(ISERROR(VLOOKUP($AB1415&amp;"-"&amp;$E1415&amp;" "&amp;F1415,Bonuses!$B$1:$G$1006,4,FALSE)),"",INT(VLOOKUP($AB1415&amp;"-"&amp;$E1415&amp;" "&amp;$F1415,Bonuses!$B$1:$G$1006,4,FALSE)))</f>
        <v/>
      </c>
      <c r="AE14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6" spans="1:31" x14ac:dyDescent="0.25">
      <c r="A1416" s="50">
        <v>12835</v>
      </c>
      <c r="B1416" s="55">
        <f>COUNTIF(Table5[PID],A1416)</f>
        <v>1</v>
      </c>
      <c r="C1416" s="55" t="str">
        <f>IF(COUNTIF(Table3[[#All],[PID]],A1416)&gt;0,"P","B")</f>
        <v>B</v>
      </c>
      <c r="D1416" s="59" t="str">
        <f>IF($C1416="B",INDEX(Batters[[#All],[POS]],MATCH(Table5[[#This Row],[PID]],Batters[[#All],[PID]],0)),INDEX(Table3[[#All],[POS]],MATCH(Table5[[#This Row],[PID]],Table3[[#All],[PID]],0)))</f>
        <v>3B</v>
      </c>
      <c r="E1416" s="52" t="str">
        <f>IF($C1416="B",INDEX(Batters[[#All],[First]],MATCH(Table5[[#This Row],[PID]],Batters[[#All],[PID]],0)),INDEX(Table3[[#All],[First]],MATCH(Table5[[#This Row],[PID]],Table3[[#All],[PID]],0)))</f>
        <v>Joe</v>
      </c>
      <c r="F1416" s="50" t="str">
        <f>IF($C1416="B",INDEX(Batters[[#All],[Last]],MATCH(A1416,Batters[[#All],[PID]],0)),INDEX(Table3[[#All],[Last]],MATCH(A1416,Table3[[#All],[PID]],0)))</f>
        <v>Davis</v>
      </c>
      <c r="G1416" s="56">
        <f>IF($C1416="B",INDEX(Batters[[#All],[Age]],MATCH(Table5[[#This Row],[PID]],Batters[[#All],[PID]],0)),INDEX(Table3[[#All],[Age]],MATCH(Table5[[#This Row],[PID]],Table3[[#All],[PID]],0)))</f>
        <v>21</v>
      </c>
      <c r="H1416" s="52" t="str">
        <f>IF($C1416="B",INDEX(Batters[[#All],[B]],MATCH(Table5[[#This Row],[PID]],Batters[[#All],[PID]],0)),INDEX(Table3[[#All],[B]],MATCH(Table5[[#This Row],[PID]],Table3[[#All],[PID]],0)))</f>
        <v>S</v>
      </c>
      <c r="I1416" s="70" t="str">
        <f>IF($C1416="B",INDEX(Batters[[#All],[T]],MATCH(Table5[[#This Row],[PID]],Batters[[#All],[PID]],0)),INDEX(Table3[[#All],[T]],MATCH(Table5[[#This Row],[PID]],Table3[[#All],[PID]],0)))</f>
        <v>R</v>
      </c>
      <c r="J1416" s="52" t="str">
        <f>IF($C1416="B",INDEX(Batters[[#All],[WE]],MATCH(Table5[[#This Row],[PID]],Batters[[#All],[PID]],0)),INDEX(Table3[[#All],[WE]],MATCH(Table5[[#This Row],[PID]],Table3[[#All],[PID]],0)))</f>
        <v>Low</v>
      </c>
      <c r="K1416" s="52" t="str">
        <f>IF($C1416="B",INDEX(Batters[[#All],[INT]],MATCH(Table5[[#This Row],[PID]],Batters[[#All],[PID]],0)),INDEX(Table3[[#All],[INT]],MATCH(Table5[[#This Row],[PID]],Table3[[#All],[PID]],0)))</f>
        <v>Normal</v>
      </c>
      <c r="L1416" s="60">
        <f>IF($C1416="B",INDEX(Batters[[#All],[CON P]],MATCH(Table5[[#This Row],[PID]],Batters[[#All],[PID]],0)),INDEX(Table3[[#All],[STU P]],MATCH(Table5[[#This Row],[PID]],Table3[[#All],[PID]],0)))</f>
        <v>3</v>
      </c>
      <c r="M1416" s="56">
        <f>IF($C1416="B",INDEX(Batters[[#All],[GAP P]],MATCH(Table5[[#This Row],[PID]],Batters[[#All],[PID]],0)),INDEX(Table3[[#All],[MOV P]],MATCH(Table5[[#This Row],[PID]],Table3[[#All],[PID]],0)))</f>
        <v>3</v>
      </c>
      <c r="N1416" s="56">
        <f>IF($C1416="B",INDEX(Batters[[#All],[POW P]],MATCH(Table5[[#This Row],[PID]],Batters[[#All],[PID]],0)),INDEX(Table3[[#All],[CON P]],MATCH(Table5[[#This Row],[PID]],Table3[[#All],[PID]],0)))</f>
        <v>3</v>
      </c>
      <c r="O1416" s="56">
        <f>IF($C1416="B",INDEX(Batters[[#All],[EYE P]],MATCH(Table5[[#This Row],[PID]],Batters[[#All],[PID]],0)),INDEX(Table3[[#All],[VELO]],MATCH(Table5[[#This Row],[PID]],Table3[[#All],[PID]],0)))</f>
        <v>4</v>
      </c>
      <c r="P1416" s="56">
        <f>IF($C1416="B",INDEX(Batters[[#All],[K P]],MATCH(Table5[[#This Row],[PID]],Batters[[#All],[PID]],0)),INDEX(Table3[[#All],[STM]],MATCH(Table5[[#This Row],[PID]],Table3[[#All],[PID]],0)))</f>
        <v>4</v>
      </c>
      <c r="Q1416" s="61">
        <f>IF($C1416="B",INDEX(Batters[[#All],[Tot]],MATCH(Table5[[#This Row],[PID]],Batters[[#All],[PID]],0)),INDEX(Table3[[#All],[Tot]],MATCH(Table5[[#This Row],[PID]],Table3[[#All],[PID]],0)))</f>
        <v>35.132213629498231</v>
      </c>
      <c r="R1416" s="70">
        <f>IF($C1416="B",INDEX(Batters[[#All],[zScore]],MATCH(Table5[[#This Row],[PID]],Batters[[#All],[PID]],0)),INDEX(Table3[[#All],[zScore]],MATCH(Table5[[#This Row],[PID]],Table3[[#All],[PID]],0)))</f>
        <v>-1.9953001071291634</v>
      </c>
      <c r="S1416" s="79" t="str">
        <f>IF($C1416="B",INDEX(Batters[[#All],[DEM]],MATCH(Table5[[#This Row],[PID]],Batters[[#All],[PID]],0)),INDEX(Table3[[#All],[DEM]],MATCH(Table5[[#This Row],[PID]],Table3[[#All],[PID]],0)))</f>
        <v>-</v>
      </c>
      <c r="T1416" s="62">
        <f>IF($C1416="B",INDEX(Batters[[#All],[Rnk]],MATCH(Table5[[#This Row],[PID]],Batters[[#All],[PID]],0)),INDEX(Table3[[#All],[Rnk]],MATCH(Table5[[#This Row],[PID]],Table3[[#All],[PID]],0)))</f>
        <v>630</v>
      </c>
      <c r="U1416" s="68">
        <f>IF($C1416="B",VLOOKUP($A1416,Bat!$A$4:$BA$1621,47,FALSE),VLOOKUP($A1416,Pit!$A$4:$BF$1557,56,FALSE))</f>
        <v>0</v>
      </c>
      <c r="V1416" s="50">
        <f>IF($C1416="B",VLOOKUP($A1416,Bat!$A$4:$BA$1621,48,FALSE),VLOOKUP($A1416,Pit!$A$4:$BF$1557,57,FALSE))</f>
        <v>0</v>
      </c>
      <c r="W1416" s="50">
        <f>Table5[[#This Row],[posRnk]]+Table5[[#This Row],[zRnk]]+IF($W$3&lt;&gt;Table5[[#This Row],[Type]],50,0)</f>
        <v>2088</v>
      </c>
      <c r="X1416" s="51">
        <f>RANK(Table5[[#This Row],[zScore]],Table5[[#All],[zScore]])</f>
        <v>1408</v>
      </c>
      <c r="Y1416" s="50" t="str">
        <f>IFERROR(INDEX(DraftResults[[#All],[OVR]],MATCH(Table5[[#This Row],[PID]],DraftResults[[#All],[Player ID]],0)),"")</f>
        <v/>
      </c>
      <c r="Z14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6" s="50" t="str">
        <f>IFERROR(INDEX(DraftResults[[#All],[Pick in Round]],MATCH(Table5[[#This Row],[PID]],DraftResults[[#All],[Player ID]],0)),"")</f>
        <v/>
      </c>
      <c r="AB1416" s="50" t="str">
        <f>IFERROR(INDEX(DraftResults[[#All],[Team Name]],MATCH(Table5[[#This Row],[PID]],DraftResults[[#All],[Player ID]],0)),"")</f>
        <v/>
      </c>
      <c r="AC1416" s="50" t="str">
        <f>IF(Table5[[#This Row],[Ovr]]="","",IF(Table5[[#This Row],[cmbList]]="","",Table5[[#This Row],[cmbList]]-Table5[[#This Row],[Ovr]]))</f>
        <v/>
      </c>
      <c r="AD1416" s="54" t="str">
        <f>IF(ISERROR(VLOOKUP($AB1416&amp;"-"&amp;$E1416&amp;" "&amp;F1416,Bonuses!$B$1:$G$1006,4,FALSE)),"",INT(VLOOKUP($AB1416&amp;"-"&amp;$E1416&amp;" "&amp;$F1416,Bonuses!$B$1:$G$1006,4,FALSE)))</f>
        <v/>
      </c>
      <c r="AE14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7" spans="1:31" x14ac:dyDescent="0.25">
      <c r="A1417" s="50">
        <v>7298</v>
      </c>
      <c r="B1417" s="50">
        <f>COUNTIF(Table5[PID],A1417)</f>
        <v>1</v>
      </c>
      <c r="C1417" s="50" t="str">
        <f>IF(COUNTIF(Table3[[#All],[PID]],A1417)&gt;0,"P","B")</f>
        <v>B</v>
      </c>
      <c r="D1417" s="59" t="str">
        <f>IF($C1417="B",INDEX(Batters[[#All],[POS]],MATCH(Table5[[#This Row],[PID]],Batters[[#All],[PID]],0)),INDEX(Table3[[#All],[POS]],MATCH(Table5[[#This Row],[PID]],Table3[[#All],[PID]],0)))</f>
        <v>1B</v>
      </c>
      <c r="E1417" s="52" t="str">
        <f>IF($C1417="B",INDEX(Batters[[#All],[First]],MATCH(Table5[[#This Row],[PID]],Batters[[#All],[PID]],0)),INDEX(Table3[[#All],[First]],MATCH(Table5[[#This Row],[PID]],Table3[[#All],[PID]],0)))</f>
        <v>Paul</v>
      </c>
      <c r="F1417" s="50" t="str">
        <f>IF($C1417="B",INDEX(Batters[[#All],[Last]],MATCH(A1417,Batters[[#All],[PID]],0)),INDEX(Table3[[#All],[Last]],MATCH(A1417,Table3[[#All],[PID]],0)))</f>
        <v>Coffey</v>
      </c>
      <c r="G1417" s="56">
        <f>IF($C1417="B",INDEX(Batters[[#All],[Age]],MATCH(Table5[[#This Row],[PID]],Batters[[#All],[PID]],0)),INDEX(Table3[[#All],[Age]],MATCH(Table5[[#This Row],[PID]],Table3[[#All],[PID]],0)))</f>
        <v>22</v>
      </c>
      <c r="H1417" s="52" t="str">
        <f>IF($C1417="B",INDEX(Batters[[#All],[B]],MATCH(Table5[[#This Row],[PID]],Batters[[#All],[PID]],0)),INDEX(Table3[[#All],[B]],MATCH(Table5[[#This Row],[PID]],Table3[[#All],[PID]],0)))</f>
        <v>S</v>
      </c>
      <c r="I1417" s="70" t="str">
        <f>IF($C1417="B",INDEX(Batters[[#All],[T]],MATCH(Table5[[#This Row],[PID]],Batters[[#All],[PID]],0)),INDEX(Table3[[#All],[T]],MATCH(Table5[[#This Row],[PID]],Table3[[#All],[PID]],0)))</f>
        <v>R</v>
      </c>
      <c r="J1417" s="52" t="str">
        <f>IF($C1417="B",INDEX(Batters[[#All],[WE]],MATCH(Table5[[#This Row],[PID]],Batters[[#All],[PID]],0)),INDEX(Table3[[#All],[WE]],MATCH(Table5[[#This Row],[PID]],Table3[[#All],[PID]],0)))</f>
        <v>Low</v>
      </c>
      <c r="K1417" s="52" t="str">
        <f>IF($C1417="B",INDEX(Batters[[#All],[INT]],MATCH(Table5[[#This Row],[PID]],Batters[[#All],[PID]],0)),INDEX(Table3[[#All],[INT]],MATCH(Table5[[#This Row],[PID]],Table3[[#All],[PID]],0)))</f>
        <v>Normal</v>
      </c>
      <c r="L1417" s="60">
        <f>IF($C1417="B",INDEX(Batters[[#All],[CON P]],MATCH(Table5[[#This Row],[PID]],Batters[[#All],[PID]],0)),INDEX(Table3[[#All],[STU P]],MATCH(Table5[[#This Row],[PID]],Table3[[#All],[PID]],0)))</f>
        <v>3</v>
      </c>
      <c r="M1417" s="56">
        <f>IF($C1417="B",INDEX(Batters[[#All],[GAP P]],MATCH(Table5[[#This Row],[PID]],Batters[[#All],[PID]],0)),INDEX(Table3[[#All],[MOV P]],MATCH(Table5[[#This Row],[PID]],Table3[[#All],[PID]],0)))</f>
        <v>3</v>
      </c>
      <c r="N1417" s="56">
        <f>IF($C1417="B",INDEX(Batters[[#All],[POW P]],MATCH(Table5[[#This Row],[PID]],Batters[[#All],[PID]],0)),INDEX(Table3[[#All],[CON P]],MATCH(Table5[[#This Row],[PID]],Table3[[#All],[PID]],0)))</f>
        <v>3</v>
      </c>
      <c r="O1417" s="56">
        <f>IF($C1417="B",INDEX(Batters[[#All],[EYE P]],MATCH(Table5[[#This Row],[PID]],Batters[[#All],[PID]],0)),INDEX(Table3[[#All],[VELO]],MATCH(Table5[[#This Row],[PID]],Table3[[#All],[PID]],0)))</f>
        <v>4</v>
      </c>
      <c r="P1417" s="56">
        <f>IF($C1417="B",INDEX(Batters[[#All],[K P]],MATCH(Table5[[#This Row],[PID]],Batters[[#All],[PID]],0)),INDEX(Table3[[#All],[STM]],MATCH(Table5[[#This Row],[PID]],Table3[[#All],[PID]],0)))</f>
        <v>4</v>
      </c>
      <c r="Q1417" s="61">
        <f>IF($C1417="B",INDEX(Batters[[#All],[Tot]],MATCH(Table5[[#This Row],[PID]],Batters[[#All],[PID]],0)),INDEX(Table3[[#All],[Tot]],MATCH(Table5[[#This Row],[PID]],Table3[[#All],[PID]],0)))</f>
        <v>35.131109275518071</v>
      </c>
      <c r="R1417" s="70">
        <f>IF($C1417="B",INDEX(Batters[[#All],[zScore]],MATCH(Table5[[#This Row],[PID]],Batters[[#All],[PID]],0)),INDEX(Table3[[#All],[zScore]],MATCH(Table5[[#This Row],[PID]],Table3[[#All],[PID]],0)))</f>
        <v>-1.9955449498713052</v>
      </c>
      <c r="S1417" s="79" t="str">
        <f>IF($C1417="B",INDEX(Batters[[#All],[DEM]],MATCH(Table5[[#This Row],[PID]],Batters[[#All],[PID]],0)),INDEX(Table3[[#All],[DEM]],MATCH(Table5[[#This Row],[PID]],Table3[[#All],[PID]],0)))</f>
        <v>-</v>
      </c>
      <c r="T1417" s="62">
        <f>IF($C1417="B",INDEX(Batters[[#All],[Rnk]],MATCH(Table5[[#This Row],[PID]],Batters[[#All],[PID]],0)),INDEX(Table3[[#All],[Rnk]],MATCH(Table5[[#This Row],[PID]],Table3[[#All],[PID]],0)))</f>
        <v>631</v>
      </c>
      <c r="U1417" s="68">
        <f>IF($C1417="B",VLOOKUP($A1417,Bat!$A$4:$BA$1621,47,FALSE),VLOOKUP($A1417,Pit!$A$4:$BF$1557,56,FALSE))</f>
        <v>0</v>
      </c>
      <c r="V1417" s="50">
        <f>IF($C1417="B",VLOOKUP($A1417,Bat!$A$4:$BA$1621,48,FALSE),VLOOKUP($A1417,Pit!$A$4:$BF$1557,57,FALSE))</f>
        <v>0</v>
      </c>
      <c r="W1417" s="50">
        <f>Table5[[#This Row],[posRnk]]+Table5[[#This Row],[zRnk]]+IF($W$3&lt;&gt;Table5[[#This Row],[Type]],50,0)</f>
        <v>2090</v>
      </c>
      <c r="X1417" s="51">
        <f>RANK(Table5[[#This Row],[zScore]],Table5[[#All],[zScore]])</f>
        <v>1409</v>
      </c>
      <c r="Y1417" s="50" t="str">
        <f>IFERROR(INDEX(DraftResults[[#All],[OVR]],MATCH(Table5[[#This Row],[PID]],DraftResults[[#All],[Player ID]],0)),"")</f>
        <v/>
      </c>
      <c r="Z14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7" s="50" t="str">
        <f>IFERROR(INDEX(DraftResults[[#All],[Pick in Round]],MATCH(Table5[[#This Row],[PID]],DraftResults[[#All],[Player ID]],0)),"")</f>
        <v/>
      </c>
      <c r="AB1417" s="50" t="str">
        <f>IFERROR(INDEX(DraftResults[[#All],[Team Name]],MATCH(Table5[[#This Row],[PID]],DraftResults[[#All],[Player ID]],0)),"")</f>
        <v/>
      </c>
      <c r="AC1417" s="50" t="str">
        <f>IF(Table5[[#This Row],[Ovr]]="","",IF(Table5[[#This Row],[cmbList]]="","",Table5[[#This Row],[cmbList]]-Table5[[#This Row],[Ovr]]))</f>
        <v/>
      </c>
      <c r="AD1417" s="54" t="str">
        <f>IF(ISERROR(VLOOKUP($AB1417&amp;"-"&amp;$E1417&amp;" "&amp;F1417,Bonuses!$B$1:$G$1006,4,FALSE)),"",INT(VLOOKUP($AB1417&amp;"-"&amp;$E1417&amp;" "&amp;$F1417,Bonuses!$B$1:$G$1006,4,FALSE)))</f>
        <v/>
      </c>
      <c r="AE14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8" spans="1:31" x14ac:dyDescent="0.25">
      <c r="A1418" s="50">
        <v>9828</v>
      </c>
      <c r="B1418" s="50">
        <f>COUNTIF(Table5[PID],A1418)</f>
        <v>1</v>
      </c>
      <c r="C1418" s="50" t="str">
        <f>IF(COUNTIF(Table3[[#All],[PID]],A1418)&gt;0,"P","B")</f>
        <v>B</v>
      </c>
      <c r="D1418" s="59" t="str">
        <f>IF($C1418="B",INDEX(Batters[[#All],[POS]],MATCH(Table5[[#This Row],[PID]],Batters[[#All],[PID]],0)),INDEX(Table3[[#All],[POS]],MATCH(Table5[[#This Row],[PID]],Table3[[#All],[PID]],0)))</f>
        <v>LF</v>
      </c>
      <c r="E1418" s="52" t="str">
        <f>IF($C1418="B",INDEX(Batters[[#All],[First]],MATCH(Table5[[#This Row],[PID]],Batters[[#All],[PID]],0)),INDEX(Table3[[#All],[First]],MATCH(Table5[[#This Row],[PID]],Table3[[#All],[PID]],0)))</f>
        <v>Norberto</v>
      </c>
      <c r="F1418" s="50" t="str">
        <f>IF($C1418="B",INDEX(Batters[[#All],[Last]],MATCH(A1418,Batters[[#All],[PID]],0)),INDEX(Table3[[#All],[Last]],MATCH(A1418,Table3[[#All],[PID]],0)))</f>
        <v>De Jesús</v>
      </c>
      <c r="G1418" s="56">
        <f>IF($C1418="B",INDEX(Batters[[#All],[Age]],MATCH(Table5[[#This Row],[PID]],Batters[[#All],[PID]],0)),INDEX(Table3[[#All],[Age]],MATCH(Table5[[#This Row],[PID]],Table3[[#All],[PID]],0)))</f>
        <v>21</v>
      </c>
      <c r="H1418" s="52" t="str">
        <f>IF($C1418="B",INDEX(Batters[[#All],[B]],MATCH(Table5[[#This Row],[PID]],Batters[[#All],[PID]],0)),INDEX(Table3[[#All],[B]],MATCH(Table5[[#This Row],[PID]],Table3[[#All],[PID]],0)))</f>
        <v>S</v>
      </c>
      <c r="I1418" s="70" t="str">
        <f>IF($C1418="B",INDEX(Batters[[#All],[T]],MATCH(Table5[[#This Row],[PID]],Batters[[#All],[PID]],0)),INDEX(Table3[[#All],[T]],MATCH(Table5[[#This Row],[PID]],Table3[[#All],[PID]],0)))</f>
        <v>L</v>
      </c>
      <c r="J1418" s="52" t="str">
        <f>IF($C1418="B",INDEX(Batters[[#All],[WE]],MATCH(Table5[[#This Row],[PID]],Batters[[#All],[PID]],0)),INDEX(Table3[[#All],[WE]],MATCH(Table5[[#This Row],[PID]],Table3[[#All],[PID]],0)))</f>
        <v>High</v>
      </c>
      <c r="K1418" s="52" t="str">
        <f>IF($C1418="B",INDEX(Batters[[#All],[INT]],MATCH(Table5[[#This Row],[PID]],Batters[[#All],[PID]],0)),INDEX(Table3[[#All],[INT]],MATCH(Table5[[#This Row],[PID]],Table3[[#All],[PID]],0)))</f>
        <v>Normal</v>
      </c>
      <c r="L1418" s="60">
        <f>IF($C1418="B",INDEX(Batters[[#All],[CON P]],MATCH(Table5[[#This Row],[PID]],Batters[[#All],[PID]],0)),INDEX(Table3[[#All],[STU P]],MATCH(Table5[[#This Row],[PID]],Table3[[#All],[PID]],0)))</f>
        <v>3</v>
      </c>
      <c r="M1418" s="56">
        <f>IF($C1418="B",INDEX(Batters[[#All],[GAP P]],MATCH(Table5[[#This Row],[PID]],Batters[[#All],[PID]],0)),INDEX(Table3[[#All],[MOV P]],MATCH(Table5[[#This Row],[PID]],Table3[[#All],[PID]],0)))</f>
        <v>2</v>
      </c>
      <c r="N1418" s="56">
        <f>IF($C1418="B",INDEX(Batters[[#All],[POW P]],MATCH(Table5[[#This Row],[PID]],Batters[[#All],[PID]],0)),INDEX(Table3[[#All],[CON P]],MATCH(Table5[[#This Row],[PID]],Table3[[#All],[PID]],0)))</f>
        <v>3</v>
      </c>
      <c r="O1418" s="56">
        <f>IF($C1418="B",INDEX(Batters[[#All],[EYE P]],MATCH(Table5[[#This Row],[PID]],Batters[[#All],[PID]],0)),INDEX(Table3[[#All],[VELO]],MATCH(Table5[[#This Row],[PID]],Table3[[#All],[PID]],0)))</f>
        <v>4</v>
      </c>
      <c r="P1418" s="56">
        <f>IF($C1418="B",INDEX(Batters[[#All],[K P]],MATCH(Table5[[#This Row],[PID]],Batters[[#All],[PID]],0)),INDEX(Table3[[#All],[STM]],MATCH(Table5[[#This Row],[PID]],Table3[[#All],[PID]],0)))</f>
        <v>4</v>
      </c>
      <c r="Q1418" s="61">
        <f>IF($C1418="B",INDEX(Batters[[#All],[Tot]],MATCH(Table5[[#This Row],[PID]],Batters[[#All],[PID]],0)),INDEX(Table3[[#All],[Tot]],MATCH(Table5[[#This Row],[PID]],Table3[[#All],[PID]],0)))</f>
        <v>35.11438908611192</v>
      </c>
      <c r="R1418" s="70">
        <f>IF($C1418="B",INDEX(Batters[[#All],[zScore]],MATCH(Table5[[#This Row],[PID]],Batters[[#All],[PID]],0)),INDEX(Table3[[#All],[zScore]],MATCH(Table5[[#This Row],[PID]],Table3[[#All],[PID]],0)))</f>
        <v>-1.9992519288806403</v>
      </c>
      <c r="S1418" s="79" t="str">
        <f>IF($C1418="B",INDEX(Batters[[#All],[DEM]],MATCH(Table5[[#This Row],[PID]],Batters[[#All],[PID]],0)),INDEX(Table3[[#All],[DEM]],MATCH(Table5[[#This Row],[PID]],Table3[[#All],[PID]],0)))</f>
        <v>$20k</v>
      </c>
      <c r="T1418" s="62">
        <f>IF($C1418="B",INDEX(Batters[[#All],[Rnk]],MATCH(Table5[[#This Row],[PID]],Batters[[#All],[PID]],0)),INDEX(Table3[[#All],[Rnk]],MATCH(Table5[[#This Row],[PID]],Table3[[#All],[PID]],0)))</f>
        <v>632</v>
      </c>
      <c r="U1418" s="68">
        <f>IF($C1418="B",VLOOKUP($A1418,Bat!$A$4:$BA$1621,47,FALSE),VLOOKUP($A1418,Pit!$A$4:$BF$1557,56,FALSE))</f>
        <v>0</v>
      </c>
      <c r="V1418" s="50">
        <f>IF($C1418="B",VLOOKUP($A1418,Bat!$A$4:$BA$1621,48,FALSE),VLOOKUP($A1418,Pit!$A$4:$BF$1557,57,FALSE))</f>
        <v>0</v>
      </c>
      <c r="W1418" s="50">
        <f>Table5[[#This Row],[posRnk]]+Table5[[#This Row],[zRnk]]+IF($W$3&lt;&gt;Table5[[#This Row],[Type]],50,0)</f>
        <v>2092</v>
      </c>
      <c r="X1418" s="51">
        <f>RANK(Table5[[#This Row],[zScore]],Table5[[#All],[zScore]])</f>
        <v>1410</v>
      </c>
      <c r="Y1418" s="50" t="str">
        <f>IFERROR(INDEX(DraftResults[[#All],[OVR]],MATCH(Table5[[#This Row],[PID]],DraftResults[[#All],[Player ID]],0)),"")</f>
        <v/>
      </c>
      <c r="Z14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8" s="50" t="str">
        <f>IFERROR(INDEX(DraftResults[[#All],[Pick in Round]],MATCH(Table5[[#This Row],[PID]],DraftResults[[#All],[Player ID]],0)),"")</f>
        <v/>
      </c>
      <c r="AB1418" s="50" t="str">
        <f>IFERROR(INDEX(DraftResults[[#All],[Team Name]],MATCH(Table5[[#This Row],[PID]],DraftResults[[#All],[Player ID]],0)),"")</f>
        <v/>
      </c>
      <c r="AC1418" s="50" t="str">
        <f>IF(Table5[[#This Row],[Ovr]]="","",IF(Table5[[#This Row],[cmbList]]="","",Table5[[#This Row],[cmbList]]-Table5[[#This Row],[Ovr]]))</f>
        <v/>
      </c>
      <c r="AD1418" s="54" t="str">
        <f>IF(ISERROR(VLOOKUP($AB1418&amp;"-"&amp;$E1418&amp;" "&amp;F1418,Bonuses!$B$1:$G$1006,4,FALSE)),"",INT(VLOOKUP($AB1418&amp;"-"&amp;$E1418&amp;" "&amp;$F1418,Bonuses!$B$1:$G$1006,4,FALSE)))</f>
        <v/>
      </c>
      <c r="AE14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19" spans="1:31" x14ac:dyDescent="0.25">
      <c r="A1419" s="50">
        <v>9473</v>
      </c>
      <c r="B1419" s="50">
        <f>COUNTIF(Table5[PID],A1419)</f>
        <v>1</v>
      </c>
      <c r="C1419" s="50" t="str">
        <f>IF(COUNTIF(Table3[[#All],[PID]],A1419)&gt;0,"P","B")</f>
        <v>B</v>
      </c>
      <c r="D1419" s="59" t="str">
        <f>IF($C1419="B",INDEX(Batters[[#All],[POS]],MATCH(Table5[[#This Row],[PID]],Batters[[#All],[PID]],0)),INDEX(Table3[[#All],[POS]],MATCH(Table5[[#This Row],[PID]],Table3[[#All],[PID]],0)))</f>
        <v>2B</v>
      </c>
      <c r="E1419" s="52" t="str">
        <f>IF($C1419="B",INDEX(Batters[[#All],[First]],MATCH(Table5[[#This Row],[PID]],Batters[[#All],[PID]],0)),INDEX(Table3[[#All],[First]],MATCH(Table5[[#This Row],[PID]],Table3[[#All],[PID]],0)))</f>
        <v>Bob</v>
      </c>
      <c r="F1419" s="50" t="str">
        <f>IF($C1419="B",INDEX(Batters[[#All],[Last]],MATCH(A1419,Batters[[#All],[PID]],0)),INDEX(Table3[[#All],[Last]],MATCH(A1419,Table3[[#All],[PID]],0)))</f>
        <v>Williams</v>
      </c>
      <c r="G1419" s="56">
        <f>IF($C1419="B",INDEX(Batters[[#All],[Age]],MATCH(Table5[[#This Row],[PID]],Batters[[#All],[PID]],0)),INDEX(Table3[[#All],[Age]],MATCH(Table5[[#This Row],[PID]],Table3[[#All],[PID]],0)))</f>
        <v>21</v>
      </c>
      <c r="H1419" s="52" t="str">
        <f>IF($C1419="B",INDEX(Batters[[#All],[B]],MATCH(Table5[[#This Row],[PID]],Batters[[#All],[PID]],0)),INDEX(Table3[[#All],[B]],MATCH(Table5[[#This Row],[PID]],Table3[[#All],[PID]],0)))</f>
        <v>R</v>
      </c>
      <c r="I1419" s="70" t="str">
        <f>IF($C1419="B",INDEX(Batters[[#All],[T]],MATCH(Table5[[#This Row],[PID]],Batters[[#All],[PID]],0)),INDEX(Table3[[#All],[T]],MATCH(Table5[[#This Row],[PID]],Table3[[#All],[PID]],0)))</f>
        <v>R</v>
      </c>
      <c r="J1419" s="52" t="str">
        <f>IF($C1419="B",INDEX(Batters[[#All],[WE]],MATCH(Table5[[#This Row],[PID]],Batters[[#All],[PID]],0)),INDEX(Table3[[#All],[WE]],MATCH(Table5[[#This Row],[PID]],Table3[[#All],[PID]],0)))</f>
        <v>Low</v>
      </c>
      <c r="K1419" s="52" t="str">
        <f>IF($C1419="B",INDEX(Batters[[#All],[INT]],MATCH(Table5[[#This Row],[PID]],Batters[[#All],[PID]],0)),INDEX(Table3[[#All],[INT]],MATCH(Table5[[#This Row],[PID]],Table3[[#All],[PID]],0)))</f>
        <v>Normal</v>
      </c>
      <c r="L1419" s="60">
        <f>IF($C1419="B",INDEX(Batters[[#All],[CON P]],MATCH(Table5[[#This Row],[PID]],Batters[[#All],[PID]],0)),INDEX(Table3[[#All],[STU P]],MATCH(Table5[[#This Row],[PID]],Table3[[#All],[PID]],0)))</f>
        <v>3</v>
      </c>
      <c r="M1419" s="56">
        <f>IF($C1419="B",INDEX(Batters[[#All],[GAP P]],MATCH(Table5[[#This Row],[PID]],Batters[[#All],[PID]],0)),INDEX(Table3[[#All],[MOV P]],MATCH(Table5[[#This Row],[PID]],Table3[[#All],[PID]],0)))</f>
        <v>2</v>
      </c>
      <c r="N1419" s="56">
        <f>IF($C1419="B",INDEX(Batters[[#All],[POW P]],MATCH(Table5[[#This Row],[PID]],Batters[[#All],[PID]],0)),INDEX(Table3[[#All],[CON P]],MATCH(Table5[[#This Row],[PID]],Table3[[#All],[PID]],0)))</f>
        <v>2</v>
      </c>
      <c r="O1419" s="56">
        <f>IF($C1419="B",INDEX(Batters[[#All],[EYE P]],MATCH(Table5[[#This Row],[PID]],Batters[[#All],[PID]],0)),INDEX(Table3[[#All],[VELO]],MATCH(Table5[[#This Row],[PID]],Table3[[#All],[PID]],0)))</f>
        <v>5</v>
      </c>
      <c r="P1419" s="56">
        <f>IF($C1419="B",INDEX(Batters[[#All],[K P]],MATCH(Table5[[#This Row],[PID]],Batters[[#All],[PID]],0)),INDEX(Table3[[#All],[STM]],MATCH(Table5[[#This Row],[PID]],Table3[[#All],[PID]],0)))</f>
        <v>3</v>
      </c>
      <c r="Q1419" s="61">
        <f>IF($C1419="B",INDEX(Batters[[#All],[Tot]],MATCH(Table5[[#This Row],[PID]],Batters[[#All],[PID]],0)),INDEX(Table3[[#All],[Tot]],MATCH(Table5[[#This Row],[PID]],Table3[[#All],[PID]],0)))</f>
        <v>35.113969680135071</v>
      </c>
      <c r="R1419" s="70">
        <f>IF($C1419="B",INDEX(Batters[[#All],[zScore]],MATCH(Table5[[#This Row],[PID]],Batters[[#All],[PID]],0)),INDEX(Table3[[#All],[zScore]],MATCH(Table5[[#This Row],[PID]],Table3[[#All],[PID]],0)))</f>
        <v>-1.999344914020629</v>
      </c>
      <c r="S1419" s="79" t="str">
        <f>IF($C1419="B",INDEX(Batters[[#All],[DEM]],MATCH(Table5[[#This Row],[PID]],Batters[[#All],[PID]],0)),INDEX(Table3[[#All],[DEM]],MATCH(Table5[[#This Row],[PID]],Table3[[#All],[PID]],0)))</f>
        <v>-</v>
      </c>
      <c r="T1419" s="62">
        <f>IF($C1419="B",INDEX(Batters[[#All],[Rnk]],MATCH(Table5[[#This Row],[PID]],Batters[[#All],[PID]],0)),INDEX(Table3[[#All],[Rnk]],MATCH(Table5[[#This Row],[PID]],Table3[[#All],[PID]],0)))</f>
        <v>633</v>
      </c>
      <c r="U1419" s="68">
        <f>IF($C1419="B",VLOOKUP($A1419,Bat!$A$4:$BA$1621,47,FALSE),VLOOKUP($A1419,Pit!$A$4:$BF$1557,56,FALSE))</f>
        <v>0</v>
      </c>
      <c r="V1419" s="50">
        <f>IF($C1419="B",VLOOKUP($A1419,Bat!$A$4:$BA$1621,48,FALSE),VLOOKUP($A1419,Pit!$A$4:$BF$1557,57,FALSE))</f>
        <v>0</v>
      </c>
      <c r="W1419" s="50">
        <f>Table5[[#This Row],[posRnk]]+Table5[[#This Row],[zRnk]]+IF($W$3&lt;&gt;Table5[[#This Row],[Type]],50,0)</f>
        <v>2094</v>
      </c>
      <c r="X1419" s="51">
        <f>RANK(Table5[[#This Row],[zScore]],Table5[[#All],[zScore]])</f>
        <v>1411</v>
      </c>
      <c r="Y1419" s="50" t="str">
        <f>IFERROR(INDEX(DraftResults[[#All],[OVR]],MATCH(Table5[[#This Row],[PID]],DraftResults[[#All],[Player ID]],0)),"")</f>
        <v/>
      </c>
      <c r="Z14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19" s="50" t="str">
        <f>IFERROR(INDEX(DraftResults[[#All],[Pick in Round]],MATCH(Table5[[#This Row],[PID]],DraftResults[[#All],[Player ID]],0)),"")</f>
        <v/>
      </c>
      <c r="AB1419" s="50" t="str">
        <f>IFERROR(INDEX(DraftResults[[#All],[Team Name]],MATCH(Table5[[#This Row],[PID]],DraftResults[[#All],[Player ID]],0)),"")</f>
        <v/>
      </c>
      <c r="AC1419" s="50" t="str">
        <f>IF(Table5[[#This Row],[Ovr]]="","",IF(Table5[[#This Row],[cmbList]]="","",Table5[[#This Row],[cmbList]]-Table5[[#This Row],[Ovr]]))</f>
        <v/>
      </c>
      <c r="AD1419" s="54" t="str">
        <f>IF(ISERROR(VLOOKUP($AB1419&amp;"-"&amp;$E1419&amp;" "&amp;F1419,Bonuses!$B$1:$G$1006,4,FALSE)),"",INT(VLOOKUP($AB1419&amp;"-"&amp;$E1419&amp;" "&amp;$F1419,Bonuses!$B$1:$G$1006,4,FALSE)))</f>
        <v/>
      </c>
      <c r="AE14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0" spans="1:31" x14ac:dyDescent="0.25">
      <c r="A1420" s="50">
        <v>20194</v>
      </c>
      <c r="B1420" s="50">
        <f>COUNTIF(Table5[PID],A1420)</f>
        <v>1</v>
      </c>
      <c r="C1420" s="50" t="str">
        <f>IF(COUNTIF(Table3[[#All],[PID]],A1420)&gt;0,"P","B")</f>
        <v>B</v>
      </c>
      <c r="D1420" s="59" t="str">
        <f>IF($C1420="B",INDEX(Batters[[#All],[POS]],MATCH(Table5[[#This Row],[PID]],Batters[[#All],[PID]],0)),INDEX(Table3[[#All],[POS]],MATCH(Table5[[#This Row],[PID]],Table3[[#All],[PID]],0)))</f>
        <v>C</v>
      </c>
      <c r="E1420" s="52" t="str">
        <f>IF($C1420="B",INDEX(Batters[[#All],[First]],MATCH(Table5[[#This Row],[PID]],Batters[[#All],[PID]],0)),INDEX(Table3[[#All],[First]],MATCH(Table5[[#This Row],[PID]],Table3[[#All],[PID]],0)))</f>
        <v>António</v>
      </c>
      <c r="F1420" s="50" t="str">
        <f>IF($C1420="B",INDEX(Batters[[#All],[Last]],MATCH(A1420,Batters[[#All],[PID]],0)),INDEX(Table3[[#All],[Last]],MATCH(A1420,Table3[[#All],[PID]],0)))</f>
        <v>Vázquez</v>
      </c>
      <c r="G1420" s="56">
        <f>IF($C1420="B",INDEX(Batters[[#All],[Age]],MATCH(Table5[[#This Row],[PID]],Batters[[#All],[PID]],0)),INDEX(Table3[[#All],[Age]],MATCH(Table5[[#This Row],[PID]],Table3[[#All],[PID]],0)))</f>
        <v>22</v>
      </c>
      <c r="H1420" s="52" t="str">
        <f>IF($C1420="B",INDEX(Batters[[#All],[B]],MATCH(Table5[[#This Row],[PID]],Batters[[#All],[PID]],0)),INDEX(Table3[[#All],[B]],MATCH(Table5[[#This Row],[PID]],Table3[[#All],[PID]],0)))</f>
        <v>R</v>
      </c>
      <c r="I1420" s="70" t="str">
        <f>IF($C1420="B",INDEX(Batters[[#All],[T]],MATCH(Table5[[#This Row],[PID]],Batters[[#All],[PID]],0)),INDEX(Table3[[#All],[T]],MATCH(Table5[[#This Row],[PID]],Table3[[#All],[PID]],0)))</f>
        <v>R</v>
      </c>
      <c r="J1420" s="52" t="str">
        <f>IF($C1420="B",INDEX(Batters[[#All],[WE]],MATCH(Table5[[#This Row],[PID]],Batters[[#All],[PID]],0)),INDEX(Table3[[#All],[WE]],MATCH(Table5[[#This Row],[PID]],Table3[[#All],[PID]],0)))</f>
        <v>Normal</v>
      </c>
      <c r="K1420" s="52" t="str">
        <f>IF($C1420="B",INDEX(Batters[[#All],[INT]],MATCH(Table5[[#This Row],[PID]],Batters[[#All],[PID]],0)),INDEX(Table3[[#All],[INT]],MATCH(Table5[[#This Row],[PID]],Table3[[#All],[PID]],0)))</f>
        <v>Normal</v>
      </c>
      <c r="L1420" s="60">
        <f>IF($C1420="B",INDEX(Batters[[#All],[CON P]],MATCH(Table5[[#This Row],[PID]],Batters[[#All],[PID]],0)),INDEX(Table3[[#All],[STU P]],MATCH(Table5[[#This Row],[PID]],Table3[[#All],[PID]],0)))</f>
        <v>2</v>
      </c>
      <c r="M1420" s="56">
        <f>IF($C1420="B",INDEX(Batters[[#All],[GAP P]],MATCH(Table5[[#This Row],[PID]],Batters[[#All],[PID]],0)),INDEX(Table3[[#All],[MOV P]],MATCH(Table5[[#This Row],[PID]],Table3[[#All],[PID]],0)))</f>
        <v>5</v>
      </c>
      <c r="N1420" s="56">
        <f>IF($C1420="B",INDEX(Batters[[#All],[POW P]],MATCH(Table5[[#This Row],[PID]],Batters[[#All],[PID]],0)),INDEX(Table3[[#All],[CON P]],MATCH(Table5[[#This Row],[PID]],Table3[[#All],[PID]],0)))</f>
        <v>2</v>
      </c>
      <c r="O1420" s="56">
        <f>IF($C1420="B",INDEX(Batters[[#All],[EYE P]],MATCH(Table5[[#This Row],[PID]],Batters[[#All],[PID]],0)),INDEX(Table3[[#All],[VELO]],MATCH(Table5[[#This Row],[PID]],Table3[[#All],[PID]],0)))</f>
        <v>6</v>
      </c>
      <c r="P1420" s="56">
        <f>IF($C1420="B",INDEX(Batters[[#All],[K P]],MATCH(Table5[[#This Row],[PID]],Batters[[#All],[PID]],0)),INDEX(Table3[[#All],[STM]],MATCH(Table5[[#This Row],[PID]],Table3[[#All],[PID]],0)))</f>
        <v>2</v>
      </c>
      <c r="Q1420" s="61">
        <f>IF($C1420="B",INDEX(Batters[[#All],[Tot]],MATCH(Table5[[#This Row],[PID]],Batters[[#All],[PID]],0)),INDEX(Table3[[#All],[Tot]],MATCH(Table5[[#This Row],[PID]],Table3[[#All],[PID]],0)))</f>
        <v>35.095004663174755</v>
      </c>
      <c r="R1420" s="70">
        <f>IF($C1420="B",INDEX(Batters[[#All],[zScore]],MATCH(Table5[[#This Row],[PID]],Batters[[#All],[PID]],0)),INDEX(Table3[[#All],[zScore]],MATCH(Table5[[#This Row],[PID]],Table3[[#All],[PID]],0)))</f>
        <v>-2.0035495864723485</v>
      </c>
      <c r="S1420" s="79" t="str">
        <f>IF($C1420="B",INDEX(Batters[[#All],[DEM]],MATCH(Table5[[#This Row],[PID]],Batters[[#All],[PID]],0)),INDEX(Table3[[#All],[DEM]],MATCH(Table5[[#This Row],[PID]],Table3[[#All],[PID]],0)))</f>
        <v>-</v>
      </c>
      <c r="T1420" s="62">
        <f>IF($C1420="B",INDEX(Batters[[#All],[Rnk]],MATCH(Table5[[#This Row],[PID]],Batters[[#All],[PID]],0)),INDEX(Table3[[#All],[Rnk]],MATCH(Table5[[#This Row],[PID]],Table3[[#All],[PID]],0)))</f>
        <v>634</v>
      </c>
      <c r="U1420" s="68">
        <f>IF($C1420="B",VLOOKUP($A1420,Bat!$A$4:$BA$1621,47,FALSE),VLOOKUP($A1420,Pit!$A$4:$BF$1557,56,FALSE))</f>
        <v>0</v>
      </c>
      <c r="V1420" s="50">
        <f>IF($C1420="B",VLOOKUP($A1420,Bat!$A$4:$BA$1621,48,FALSE),VLOOKUP($A1420,Pit!$A$4:$BF$1557,57,FALSE))</f>
        <v>0</v>
      </c>
      <c r="W1420" s="50">
        <f>Table5[[#This Row],[posRnk]]+Table5[[#This Row],[zRnk]]+IF($W$3&lt;&gt;Table5[[#This Row],[Type]],50,0)</f>
        <v>2096</v>
      </c>
      <c r="X1420" s="51">
        <f>RANK(Table5[[#This Row],[zScore]],Table5[[#All],[zScore]])</f>
        <v>1412</v>
      </c>
      <c r="Y1420" s="50" t="str">
        <f>IFERROR(INDEX(DraftResults[[#All],[OVR]],MATCH(Table5[[#This Row],[PID]],DraftResults[[#All],[Player ID]],0)),"")</f>
        <v/>
      </c>
      <c r="Z14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0" s="50" t="str">
        <f>IFERROR(INDEX(DraftResults[[#All],[Pick in Round]],MATCH(Table5[[#This Row],[PID]],DraftResults[[#All],[Player ID]],0)),"")</f>
        <v/>
      </c>
      <c r="AB1420" s="50" t="str">
        <f>IFERROR(INDEX(DraftResults[[#All],[Team Name]],MATCH(Table5[[#This Row],[PID]],DraftResults[[#All],[Player ID]],0)),"")</f>
        <v/>
      </c>
      <c r="AC1420" s="50" t="str">
        <f>IF(Table5[[#This Row],[Ovr]]="","",IF(Table5[[#This Row],[cmbList]]="","",Table5[[#This Row],[cmbList]]-Table5[[#This Row],[Ovr]]))</f>
        <v/>
      </c>
      <c r="AD1420" s="54" t="str">
        <f>IF(ISERROR(VLOOKUP($AB1420&amp;"-"&amp;$E1420&amp;" "&amp;F1420,Bonuses!$B$1:$G$1006,4,FALSE)),"",INT(VLOOKUP($AB1420&amp;"-"&amp;$E1420&amp;" "&amp;$F1420,Bonuses!$B$1:$G$1006,4,FALSE)))</f>
        <v/>
      </c>
      <c r="AE14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1" spans="1:31" x14ac:dyDescent="0.25">
      <c r="A1421" s="50">
        <v>15080</v>
      </c>
      <c r="B1421" s="50">
        <f>COUNTIF(Table5[PID],A1421)</f>
        <v>1</v>
      </c>
      <c r="C1421" s="50" t="str">
        <f>IF(COUNTIF(Table3[[#All],[PID]],A1421)&gt;0,"P","B")</f>
        <v>B</v>
      </c>
      <c r="D1421" s="59" t="str">
        <f>IF($C1421="B",INDEX(Batters[[#All],[POS]],MATCH(Table5[[#This Row],[PID]],Batters[[#All],[PID]],0)),INDEX(Table3[[#All],[POS]],MATCH(Table5[[#This Row],[PID]],Table3[[#All],[PID]],0)))</f>
        <v>LF</v>
      </c>
      <c r="E1421" s="52" t="str">
        <f>IF($C1421="B",INDEX(Batters[[#All],[First]],MATCH(Table5[[#This Row],[PID]],Batters[[#All],[PID]],0)),INDEX(Table3[[#All],[First]],MATCH(Table5[[#This Row],[PID]],Table3[[#All],[PID]],0)))</f>
        <v>Jonathan</v>
      </c>
      <c r="F1421" s="50" t="str">
        <f>IF($C1421="B",INDEX(Batters[[#All],[Last]],MATCH(A1421,Batters[[#All],[PID]],0)),INDEX(Table3[[#All],[Last]],MATCH(A1421,Table3[[#All],[PID]],0)))</f>
        <v>Langman</v>
      </c>
      <c r="G1421" s="56">
        <f>IF($C1421="B",INDEX(Batters[[#All],[Age]],MATCH(Table5[[#This Row],[PID]],Batters[[#All],[PID]],0)),INDEX(Table3[[#All],[Age]],MATCH(Table5[[#This Row],[PID]],Table3[[#All],[PID]],0)))</f>
        <v>22</v>
      </c>
      <c r="H1421" s="52" t="str">
        <f>IF($C1421="B",INDEX(Batters[[#All],[B]],MATCH(Table5[[#This Row],[PID]],Batters[[#All],[PID]],0)),INDEX(Table3[[#All],[B]],MATCH(Table5[[#This Row],[PID]],Table3[[#All],[PID]],0)))</f>
        <v>R</v>
      </c>
      <c r="I1421" s="70" t="str">
        <f>IF($C1421="B",INDEX(Batters[[#All],[T]],MATCH(Table5[[#This Row],[PID]],Batters[[#All],[PID]],0)),INDEX(Table3[[#All],[T]],MATCH(Table5[[#This Row],[PID]],Table3[[#All],[PID]],0)))</f>
        <v>R</v>
      </c>
      <c r="J1421" s="52" t="str">
        <f>IF($C1421="B",INDEX(Batters[[#All],[WE]],MATCH(Table5[[#This Row],[PID]],Batters[[#All],[PID]],0)),INDEX(Table3[[#All],[WE]],MATCH(Table5[[#This Row],[PID]],Table3[[#All],[PID]],0)))</f>
        <v>Low</v>
      </c>
      <c r="K1421" s="52" t="str">
        <f>IF($C1421="B",INDEX(Batters[[#All],[INT]],MATCH(Table5[[#This Row],[PID]],Batters[[#All],[PID]],0)),INDEX(Table3[[#All],[INT]],MATCH(Table5[[#This Row],[PID]],Table3[[#All],[PID]],0)))</f>
        <v>High</v>
      </c>
      <c r="L1421" s="60">
        <f>IF($C1421="B",INDEX(Batters[[#All],[CON P]],MATCH(Table5[[#This Row],[PID]],Batters[[#All],[PID]],0)),INDEX(Table3[[#All],[STU P]],MATCH(Table5[[#This Row],[PID]],Table3[[#All],[PID]],0)))</f>
        <v>3</v>
      </c>
      <c r="M1421" s="56">
        <f>IF($C1421="B",INDEX(Batters[[#All],[GAP P]],MATCH(Table5[[#This Row],[PID]],Batters[[#All],[PID]],0)),INDEX(Table3[[#All],[MOV P]],MATCH(Table5[[#This Row],[PID]],Table3[[#All],[PID]],0)))</f>
        <v>4</v>
      </c>
      <c r="N1421" s="56">
        <f>IF($C1421="B",INDEX(Batters[[#All],[POW P]],MATCH(Table5[[#This Row],[PID]],Batters[[#All],[PID]],0)),INDEX(Table3[[#All],[CON P]],MATCH(Table5[[#This Row],[PID]],Table3[[#All],[PID]],0)))</f>
        <v>2</v>
      </c>
      <c r="O1421" s="56">
        <f>IF($C1421="B",INDEX(Batters[[#All],[EYE P]],MATCH(Table5[[#This Row],[PID]],Batters[[#All],[PID]],0)),INDEX(Table3[[#All],[VELO]],MATCH(Table5[[#This Row],[PID]],Table3[[#All],[PID]],0)))</f>
        <v>4</v>
      </c>
      <c r="P1421" s="56">
        <f>IF($C1421="B",INDEX(Batters[[#All],[K P]],MATCH(Table5[[#This Row],[PID]],Batters[[#All],[PID]],0)),INDEX(Table3[[#All],[STM]],MATCH(Table5[[#This Row],[PID]],Table3[[#All],[PID]],0)))</f>
        <v>4</v>
      </c>
      <c r="Q1421" s="61">
        <f>IF($C1421="B",INDEX(Batters[[#All],[Tot]],MATCH(Table5[[#This Row],[PID]],Batters[[#All],[PID]],0)),INDEX(Table3[[#All],[Tot]],MATCH(Table5[[#This Row],[PID]],Table3[[#All],[PID]],0)))</f>
        <v>35.089557462199707</v>
      </c>
      <c r="R1421" s="70">
        <f>IF($C1421="B",INDEX(Batters[[#All],[zScore]],MATCH(Table5[[#This Row],[PID]],Batters[[#All],[PID]],0)),INDEX(Table3[[#All],[zScore]],MATCH(Table5[[#This Row],[PID]],Table3[[#All],[PID]],0)))</f>
        <v>-2.0047572677481784</v>
      </c>
      <c r="S1421" s="79" t="str">
        <f>IF($C1421="B",INDEX(Batters[[#All],[DEM]],MATCH(Table5[[#This Row],[PID]],Batters[[#All],[PID]],0)),INDEX(Table3[[#All],[DEM]],MATCH(Table5[[#This Row],[PID]],Table3[[#All],[PID]],0)))</f>
        <v>-</v>
      </c>
      <c r="T1421" s="62">
        <f>IF($C1421="B",INDEX(Batters[[#All],[Rnk]],MATCH(Table5[[#This Row],[PID]],Batters[[#All],[PID]],0)),INDEX(Table3[[#All],[Rnk]],MATCH(Table5[[#This Row],[PID]],Table3[[#All],[PID]],0)))</f>
        <v>635</v>
      </c>
      <c r="U1421" s="68">
        <f>IF($C1421="B",VLOOKUP($A1421,Bat!$A$4:$BA$1621,47,FALSE),VLOOKUP($A1421,Pit!$A$4:$BF$1557,56,FALSE))</f>
        <v>0</v>
      </c>
      <c r="V1421" s="50">
        <f>IF($C1421="B",VLOOKUP($A1421,Bat!$A$4:$BA$1621,48,FALSE),VLOOKUP($A1421,Pit!$A$4:$BF$1557,57,FALSE))</f>
        <v>0</v>
      </c>
      <c r="W1421" s="50">
        <f>Table5[[#This Row],[posRnk]]+Table5[[#This Row],[zRnk]]+IF($W$3&lt;&gt;Table5[[#This Row],[Type]],50,0)</f>
        <v>2098</v>
      </c>
      <c r="X1421" s="51">
        <f>RANK(Table5[[#This Row],[zScore]],Table5[[#All],[zScore]])</f>
        <v>1413</v>
      </c>
      <c r="Y1421" s="50" t="str">
        <f>IFERROR(INDEX(DraftResults[[#All],[OVR]],MATCH(Table5[[#This Row],[PID]],DraftResults[[#All],[Player ID]],0)),"")</f>
        <v/>
      </c>
      <c r="Z14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1" s="50" t="str">
        <f>IFERROR(INDEX(DraftResults[[#All],[Pick in Round]],MATCH(Table5[[#This Row],[PID]],DraftResults[[#All],[Player ID]],0)),"")</f>
        <v/>
      </c>
      <c r="AB1421" s="50" t="str">
        <f>IFERROR(INDEX(DraftResults[[#All],[Team Name]],MATCH(Table5[[#This Row],[PID]],DraftResults[[#All],[Player ID]],0)),"")</f>
        <v/>
      </c>
      <c r="AC1421" s="50" t="str">
        <f>IF(Table5[[#This Row],[Ovr]]="","",IF(Table5[[#This Row],[cmbList]]="","",Table5[[#This Row],[cmbList]]-Table5[[#This Row],[Ovr]]))</f>
        <v/>
      </c>
      <c r="AD1421" s="54" t="str">
        <f>IF(ISERROR(VLOOKUP($AB1421&amp;"-"&amp;$E1421&amp;" "&amp;F1421,Bonuses!$B$1:$G$1006,4,FALSE)),"",INT(VLOOKUP($AB1421&amp;"-"&amp;$E1421&amp;" "&amp;$F1421,Bonuses!$B$1:$G$1006,4,FALSE)))</f>
        <v/>
      </c>
      <c r="AE14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2" spans="1:31" x14ac:dyDescent="0.25">
      <c r="A1422" s="50">
        <v>18052</v>
      </c>
      <c r="B1422" s="50">
        <f>COUNTIF(Table5[PID],A1422)</f>
        <v>1</v>
      </c>
      <c r="C1422" s="50" t="str">
        <f>IF(COUNTIF(Table3[[#All],[PID]],A1422)&gt;0,"P","B")</f>
        <v>B</v>
      </c>
      <c r="D1422" s="59" t="str">
        <f>IF($C1422="B",INDEX(Batters[[#All],[POS]],MATCH(Table5[[#This Row],[PID]],Batters[[#All],[PID]],0)),INDEX(Table3[[#All],[POS]],MATCH(Table5[[#This Row],[PID]],Table3[[#All],[PID]],0)))</f>
        <v>RF</v>
      </c>
      <c r="E1422" s="52" t="str">
        <f>IF($C1422="B",INDEX(Batters[[#All],[First]],MATCH(Table5[[#This Row],[PID]],Batters[[#All],[PID]],0)),INDEX(Table3[[#All],[First]],MATCH(Table5[[#This Row],[PID]],Table3[[#All],[PID]],0)))</f>
        <v>Steve</v>
      </c>
      <c r="F1422" s="50" t="str">
        <f>IF($C1422="B",INDEX(Batters[[#All],[Last]],MATCH(A1422,Batters[[#All],[PID]],0)),INDEX(Table3[[#All],[Last]],MATCH(A1422,Table3[[#All],[PID]],0)))</f>
        <v>Díaz</v>
      </c>
      <c r="G1422" s="56">
        <f>IF($C1422="B",INDEX(Batters[[#All],[Age]],MATCH(Table5[[#This Row],[PID]],Batters[[#All],[PID]],0)),INDEX(Table3[[#All],[Age]],MATCH(Table5[[#This Row],[PID]],Table3[[#All],[PID]],0)))</f>
        <v>22</v>
      </c>
      <c r="H1422" s="52" t="str">
        <f>IF($C1422="B",INDEX(Batters[[#All],[B]],MATCH(Table5[[#This Row],[PID]],Batters[[#All],[PID]],0)),INDEX(Table3[[#All],[B]],MATCH(Table5[[#This Row],[PID]],Table3[[#All],[PID]],0)))</f>
        <v>S</v>
      </c>
      <c r="I1422" s="70" t="str">
        <f>IF($C1422="B",INDEX(Batters[[#All],[T]],MATCH(Table5[[#This Row],[PID]],Batters[[#All],[PID]],0)),INDEX(Table3[[#All],[T]],MATCH(Table5[[#This Row],[PID]],Table3[[#All],[PID]],0)))</f>
        <v>R</v>
      </c>
      <c r="J1422" s="52" t="str">
        <f>IF($C1422="B",INDEX(Batters[[#All],[WE]],MATCH(Table5[[#This Row],[PID]],Batters[[#All],[PID]],0)),INDEX(Table3[[#All],[WE]],MATCH(Table5[[#This Row],[PID]],Table3[[#All],[PID]],0)))</f>
        <v>Low</v>
      </c>
      <c r="K1422" s="52" t="str">
        <f>IF($C1422="B",INDEX(Batters[[#All],[INT]],MATCH(Table5[[#This Row],[PID]],Batters[[#All],[PID]],0)),INDEX(Table3[[#All],[INT]],MATCH(Table5[[#This Row],[PID]],Table3[[#All],[PID]],0)))</f>
        <v>Normal</v>
      </c>
      <c r="L1422" s="60">
        <f>IF($C1422="B",INDEX(Batters[[#All],[CON P]],MATCH(Table5[[#This Row],[PID]],Batters[[#All],[PID]],0)),INDEX(Table3[[#All],[STU P]],MATCH(Table5[[#This Row],[PID]],Table3[[#All],[PID]],0)))</f>
        <v>3</v>
      </c>
      <c r="M1422" s="56">
        <f>IF($C1422="B",INDEX(Batters[[#All],[GAP P]],MATCH(Table5[[#This Row],[PID]],Batters[[#All],[PID]],0)),INDEX(Table3[[#All],[MOV P]],MATCH(Table5[[#This Row],[PID]],Table3[[#All],[PID]],0)))</f>
        <v>2</v>
      </c>
      <c r="N1422" s="56">
        <f>IF($C1422="B",INDEX(Batters[[#All],[POW P]],MATCH(Table5[[#This Row],[PID]],Batters[[#All],[PID]],0)),INDEX(Table3[[#All],[CON P]],MATCH(Table5[[#This Row],[PID]],Table3[[#All],[PID]],0)))</f>
        <v>3</v>
      </c>
      <c r="O1422" s="56">
        <f>IF($C1422="B",INDEX(Batters[[#All],[EYE P]],MATCH(Table5[[#This Row],[PID]],Batters[[#All],[PID]],0)),INDEX(Table3[[#All],[VELO]],MATCH(Table5[[#This Row],[PID]],Table3[[#All],[PID]],0)))</f>
        <v>4</v>
      </c>
      <c r="P1422" s="56">
        <f>IF($C1422="B",INDEX(Batters[[#All],[K P]],MATCH(Table5[[#This Row],[PID]],Batters[[#All],[PID]],0)),INDEX(Table3[[#All],[STM]],MATCH(Table5[[#This Row],[PID]],Table3[[#All],[PID]],0)))</f>
        <v>3</v>
      </c>
      <c r="Q1422" s="61">
        <f>IF($C1422="B",INDEX(Batters[[#All],[Tot]],MATCH(Table5[[#This Row],[PID]],Batters[[#All],[PID]],0)),INDEX(Table3[[#All],[Tot]],MATCH(Table5[[#This Row],[PID]],Table3[[#All],[PID]],0)))</f>
        <v>35.063194062624774</v>
      </c>
      <c r="R1422" s="70">
        <f>IF($C1422="B",INDEX(Batters[[#All],[zScore]],MATCH(Table5[[#This Row],[PID]],Batters[[#All],[PID]],0)),INDEX(Table3[[#All],[zScore]],MATCH(Table5[[#This Row],[PID]],Table3[[#All],[PID]],0)))</f>
        <v>-2.0106022116339837</v>
      </c>
      <c r="S1422" s="79" t="str">
        <f>IF($C1422="B",INDEX(Batters[[#All],[DEM]],MATCH(Table5[[#This Row],[PID]],Batters[[#All],[PID]],0)),INDEX(Table3[[#All],[DEM]],MATCH(Table5[[#This Row],[PID]],Table3[[#All],[PID]],0)))</f>
        <v>-</v>
      </c>
      <c r="T1422" s="62">
        <f>IF($C1422="B",INDEX(Batters[[#All],[Rnk]],MATCH(Table5[[#This Row],[PID]],Batters[[#All],[PID]],0)),INDEX(Table3[[#All],[Rnk]],MATCH(Table5[[#This Row],[PID]],Table3[[#All],[PID]],0)))</f>
        <v>636</v>
      </c>
      <c r="U1422" s="68">
        <f>IF($C1422="B",VLOOKUP($A1422,Bat!$A$4:$BA$1621,47,FALSE),VLOOKUP($A1422,Pit!$A$4:$BF$1557,56,FALSE))</f>
        <v>0</v>
      </c>
      <c r="V1422" s="50">
        <f>IF($C1422="B",VLOOKUP($A1422,Bat!$A$4:$BA$1621,48,FALSE),VLOOKUP($A1422,Pit!$A$4:$BF$1557,57,FALSE))</f>
        <v>0</v>
      </c>
      <c r="W1422" s="50">
        <f>Table5[[#This Row],[posRnk]]+Table5[[#This Row],[zRnk]]+IF($W$3&lt;&gt;Table5[[#This Row],[Type]],50,0)</f>
        <v>2100</v>
      </c>
      <c r="X1422" s="51">
        <f>RANK(Table5[[#This Row],[zScore]],Table5[[#All],[zScore]])</f>
        <v>1414</v>
      </c>
      <c r="Y1422" s="50" t="str">
        <f>IFERROR(INDEX(DraftResults[[#All],[OVR]],MATCH(Table5[[#This Row],[PID]],DraftResults[[#All],[Player ID]],0)),"")</f>
        <v/>
      </c>
      <c r="Z14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2" s="50" t="str">
        <f>IFERROR(INDEX(DraftResults[[#All],[Pick in Round]],MATCH(Table5[[#This Row],[PID]],DraftResults[[#All],[Player ID]],0)),"")</f>
        <v/>
      </c>
      <c r="AB1422" s="50" t="str">
        <f>IFERROR(INDEX(DraftResults[[#All],[Team Name]],MATCH(Table5[[#This Row],[PID]],DraftResults[[#All],[Player ID]],0)),"")</f>
        <v/>
      </c>
      <c r="AC1422" s="50" t="str">
        <f>IF(Table5[[#This Row],[Ovr]]="","",IF(Table5[[#This Row],[cmbList]]="","",Table5[[#This Row],[cmbList]]-Table5[[#This Row],[Ovr]]))</f>
        <v/>
      </c>
      <c r="AD1422" s="54" t="str">
        <f>IF(ISERROR(VLOOKUP($AB1422&amp;"-"&amp;$E1422&amp;" "&amp;F1422,Bonuses!$B$1:$G$1006,4,FALSE)),"",INT(VLOOKUP($AB1422&amp;"-"&amp;$E1422&amp;" "&amp;$F1422,Bonuses!$B$1:$G$1006,4,FALSE)))</f>
        <v/>
      </c>
      <c r="AE14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3" spans="1:31" x14ac:dyDescent="0.25">
      <c r="A1423" s="50">
        <v>18087</v>
      </c>
      <c r="B1423" s="50">
        <f>COUNTIF(Table5[PID],A1423)</f>
        <v>1</v>
      </c>
      <c r="C1423" s="50" t="str">
        <f>IF(COUNTIF(Table3[[#All],[PID]],A1423)&gt;0,"P","B")</f>
        <v>B</v>
      </c>
      <c r="D1423" s="59" t="str">
        <f>IF($C1423="B",INDEX(Batters[[#All],[POS]],MATCH(Table5[[#This Row],[PID]],Batters[[#All],[PID]],0)),INDEX(Table3[[#All],[POS]],MATCH(Table5[[#This Row],[PID]],Table3[[#All],[PID]],0)))</f>
        <v>CF</v>
      </c>
      <c r="E1423" s="52" t="str">
        <f>IF($C1423="B",INDEX(Batters[[#All],[First]],MATCH(Table5[[#This Row],[PID]],Batters[[#All],[PID]],0)),INDEX(Table3[[#All],[First]],MATCH(Table5[[#This Row],[PID]],Table3[[#All],[PID]],0)))</f>
        <v>Howard</v>
      </c>
      <c r="F1423" s="50" t="str">
        <f>IF($C1423="B",INDEX(Batters[[#All],[Last]],MATCH(A1423,Batters[[#All],[PID]],0)),INDEX(Table3[[#All],[Last]],MATCH(A1423,Table3[[#All],[PID]],0)))</f>
        <v>Stanley</v>
      </c>
      <c r="G1423" s="56">
        <f>IF($C1423="B",INDEX(Batters[[#All],[Age]],MATCH(Table5[[#This Row],[PID]],Batters[[#All],[PID]],0)),INDEX(Table3[[#All],[Age]],MATCH(Table5[[#This Row],[PID]],Table3[[#All],[PID]],0)))</f>
        <v>21</v>
      </c>
      <c r="H1423" s="52" t="str">
        <f>IF($C1423="B",INDEX(Batters[[#All],[B]],MATCH(Table5[[#This Row],[PID]],Batters[[#All],[PID]],0)),INDEX(Table3[[#All],[B]],MATCH(Table5[[#This Row],[PID]],Table3[[#All],[PID]],0)))</f>
        <v>R</v>
      </c>
      <c r="I1423" s="70" t="str">
        <f>IF($C1423="B",INDEX(Batters[[#All],[T]],MATCH(Table5[[#This Row],[PID]],Batters[[#All],[PID]],0)),INDEX(Table3[[#All],[T]],MATCH(Table5[[#This Row],[PID]],Table3[[#All],[PID]],0)))</f>
        <v>R</v>
      </c>
      <c r="J1423" s="52" t="str">
        <f>IF($C1423="B",INDEX(Batters[[#All],[WE]],MATCH(Table5[[#This Row],[PID]],Batters[[#All],[PID]],0)),INDEX(Table3[[#All],[WE]],MATCH(Table5[[#This Row],[PID]],Table3[[#All],[PID]],0)))</f>
        <v>Normal</v>
      </c>
      <c r="K1423" s="52" t="str">
        <f>IF($C1423="B",INDEX(Batters[[#All],[INT]],MATCH(Table5[[#This Row],[PID]],Batters[[#All],[PID]],0)),INDEX(Table3[[#All],[INT]],MATCH(Table5[[#This Row],[PID]],Table3[[#All],[PID]],0)))</f>
        <v>Normal</v>
      </c>
      <c r="L1423" s="60">
        <f>IF($C1423="B",INDEX(Batters[[#All],[CON P]],MATCH(Table5[[#This Row],[PID]],Batters[[#All],[PID]],0)),INDEX(Table3[[#All],[STU P]],MATCH(Table5[[#This Row],[PID]],Table3[[#All],[PID]],0)))</f>
        <v>3</v>
      </c>
      <c r="M1423" s="56">
        <f>IF($C1423="B",INDEX(Batters[[#All],[GAP P]],MATCH(Table5[[#This Row],[PID]],Batters[[#All],[PID]],0)),INDEX(Table3[[#All],[MOV P]],MATCH(Table5[[#This Row],[PID]],Table3[[#All],[PID]],0)))</f>
        <v>2</v>
      </c>
      <c r="N1423" s="56">
        <f>IF($C1423="B",INDEX(Batters[[#All],[POW P]],MATCH(Table5[[#This Row],[PID]],Batters[[#All],[PID]],0)),INDEX(Table3[[#All],[CON P]],MATCH(Table5[[#This Row],[PID]],Table3[[#All],[PID]],0)))</f>
        <v>2</v>
      </c>
      <c r="O1423" s="56">
        <f>IF($C1423="B",INDEX(Batters[[#All],[EYE P]],MATCH(Table5[[#This Row],[PID]],Batters[[#All],[PID]],0)),INDEX(Table3[[#All],[VELO]],MATCH(Table5[[#This Row],[PID]],Table3[[#All],[PID]],0)))</f>
        <v>5</v>
      </c>
      <c r="P1423" s="56">
        <f>IF($C1423="B",INDEX(Batters[[#All],[K P]],MATCH(Table5[[#This Row],[PID]],Batters[[#All],[PID]],0)),INDEX(Table3[[#All],[STM]],MATCH(Table5[[#This Row],[PID]],Table3[[#All],[PID]],0)))</f>
        <v>3</v>
      </c>
      <c r="Q1423" s="61">
        <f>IF($C1423="B",INDEX(Batters[[#All],[Tot]],MATCH(Table5[[#This Row],[PID]],Batters[[#All],[PID]],0)),INDEX(Table3[[#All],[Tot]],MATCH(Table5[[#This Row],[PID]],Table3[[#All],[PID]],0)))</f>
        <v>35.013529552089629</v>
      </c>
      <c r="R1423" s="70">
        <f>IF($C1423="B",INDEX(Batters[[#All],[zScore]],MATCH(Table5[[#This Row],[PID]],Batters[[#All],[PID]],0)),INDEX(Table3[[#All],[zScore]],MATCH(Table5[[#This Row],[PID]],Table3[[#All],[PID]],0)))</f>
        <v>-2.021613169320561</v>
      </c>
      <c r="S1423" s="79" t="str">
        <f>IF($C1423="B",INDEX(Batters[[#All],[DEM]],MATCH(Table5[[#This Row],[PID]],Batters[[#All],[PID]],0)),INDEX(Table3[[#All],[DEM]],MATCH(Table5[[#This Row],[PID]],Table3[[#All],[PID]],0)))</f>
        <v>-</v>
      </c>
      <c r="T1423" s="62">
        <f>IF($C1423="B",INDEX(Batters[[#All],[Rnk]],MATCH(Table5[[#This Row],[PID]],Batters[[#All],[PID]],0)),INDEX(Table3[[#All],[Rnk]],MATCH(Table5[[#This Row],[PID]],Table3[[#All],[PID]],0)))</f>
        <v>637</v>
      </c>
      <c r="U1423" s="68">
        <f>IF($C1423="B",VLOOKUP($A1423,Bat!$A$4:$BA$1621,47,FALSE),VLOOKUP($A1423,Pit!$A$4:$BF$1557,56,FALSE))</f>
        <v>0</v>
      </c>
      <c r="V1423" s="50">
        <f>IF($C1423="B",VLOOKUP($A1423,Bat!$A$4:$BA$1621,48,FALSE),VLOOKUP($A1423,Pit!$A$4:$BF$1557,57,FALSE))</f>
        <v>0</v>
      </c>
      <c r="W1423" s="50">
        <f>Table5[[#This Row],[posRnk]]+Table5[[#This Row],[zRnk]]+IF($W$3&lt;&gt;Table5[[#This Row],[Type]],50,0)</f>
        <v>2102</v>
      </c>
      <c r="X1423" s="51">
        <f>RANK(Table5[[#This Row],[zScore]],Table5[[#All],[zScore]])</f>
        <v>1415</v>
      </c>
      <c r="Y1423" s="50" t="str">
        <f>IFERROR(INDEX(DraftResults[[#All],[OVR]],MATCH(Table5[[#This Row],[PID]],DraftResults[[#All],[Player ID]],0)),"")</f>
        <v/>
      </c>
      <c r="Z14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3" s="50" t="str">
        <f>IFERROR(INDEX(DraftResults[[#All],[Pick in Round]],MATCH(Table5[[#This Row],[PID]],DraftResults[[#All],[Player ID]],0)),"")</f>
        <v/>
      </c>
      <c r="AB1423" s="50" t="str">
        <f>IFERROR(INDEX(DraftResults[[#All],[Team Name]],MATCH(Table5[[#This Row],[PID]],DraftResults[[#All],[Player ID]],0)),"")</f>
        <v/>
      </c>
      <c r="AC1423" s="50" t="str">
        <f>IF(Table5[[#This Row],[Ovr]]="","",IF(Table5[[#This Row],[cmbList]]="","",Table5[[#This Row],[cmbList]]-Table5[[#This Row],[Ovr]]))</f>
        <v/>
      </c>
      <c r="AD1423" s="54" t="str">
        <f>IF(ISERROR(VLOOKUP($AB1423&amp;"-"&amp;$E1423&amp;" "&amp;F1423,Bonuses!$B$1:$G$1006,4,FALSE)),"",INT(VLOOKUP($AB1423&amp;"-"&amp;$E1423&amp;" "&amp;$F1423,Bonuses!$B$1:$G$1006,4,FALSE)))</f>
        <v/>
      </c>
      <c r="AE14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4" spans="1:31" x14ac:dyDescent="0.25">
      <c r="A1424" s="50">
        <v>15914</v>
      </c>
      <c r="B1424" s="55">
        <f>COUNTIF(Table5[PID],A1424)</f>
        <v>1</v>
      </c>
      <c r="C1424" s="55" t="str">
        <f>IF(COUNTIF(Table3[[#All],[PID]],A1424)&gt;0,"P","B")</f>
        <v>B</v>
      </c>
      <c r="D1424" s="59" t="str">
        <f>IF($C1424="B",INDEX(Batters[[#All],[POS]],MATCH(Table5[[#This Row],[PID]],Batters[[#All],[PID]],0)),INDEX(Table3[[#All],[POS]],MATCH(Table5[[#This Row],[PID]],Table3[[#All],[PID]],0)))</f>
        <v>C</v>
      </c>
      <c r="E1424" s="52" t="str">
        <f>IF($C1424="B",INDEX(Batters[[#All],[First]],MATCH(Table5[[#This Row],[PID]],Batters[[#All],[PID]],0)),INDEX(Table3[[#All],[First]],MATCH(Table5[[#This Row],[PID]],Table3[[#All],[PID]],0)))</f>
        <v>Mike</v>
      </c>
      <c r="F1424" s="50" t="str">
        <f>IF($C1424="B",INDEX(Batters[[#All],[Last]],MATCH(A1424,Batters[[#All],[PID]],0)),INDEX(Table3[[#All],[Last]],MATCH(A1424,Table3[[#All],[PID]],0)))</f>
        <v>Maccley</v>
      </c>
      <c r="G1424" s="56">
        <f>IF($C1424="B",INDEX(Batters[[#All],[Age]],MATCH(Table5[[#This Row],[PID]],Batters[[#All],[PID]],0)),INDEX(Table3[[#All],[Age]],MATCH(Table5[[#This Row],[PID]],Table3[[#All],[PID]],0)))</f>
        <v>21</v>
      </c>
      <c r="H1424" s="52" t="str">
        <f>IF($C1424="B",INDEX(Batters[[#All],[B]],MATCH(Table5[[#This Row],[PID]],Batters[[#All],[PID]],0)),INDEX(Table3[[#All],[B]],MATCH(Table5[[#This Row],[PID]],Table3[[#All],[PID]],0)))</f>
        <v>R</v>
      </c>
      <c r="I1424" s="70" t="str">
        <f>IF($C1424="B",INDEX(Batters[[#All],[T]],MATCH(Table5[[#This Row],[PID]],Batters[[#All],[PID]],0)),INDEX(Table3[[#All],[T]],MATCH(Table5[[#This Row],[PID]],Table3[[#All],[PID]],0)))</f>
        <v>R</v>
      </c>
      <c r="J1424" s="52" t="str">
        <f>IF($C1424="B",INDEX(Batters[[#All],[WE]],MATCH(Table5[[#This Row],[PID]],Batters[[#All],[PID]],0)),INDEX(Table3[[#All],[WE]],MATCH(Table5[[#This Row],[PID]],Table3[[#All],[PID]],0)))</f>
        <v>Normal</v>
      </c>
      <c r="K1424" s="52" t="str">
        <f>IF($C1424="B",INDEX(Batters[[#All],[INT]],MATCH(Table5[[#This Row],[PID]],Batters[[#All],[PID]],0)),INDEX(Table3[[#All],[INT]],MATCH(Table5[[#This Row],[PID]],Table3[[#All],[PID]],0)))</f>
        <v>Normal</v>
      </c>
      <c r="L1424" s="60">
        <f>IF($C1424="B",INDEX(Batters[[#All],[CON P]],MATCH(Table5[[#This Row],[PID]],Batters[[#All],[PID]],0)),INDEX(Table3[[#All],[STU P]],MATCH(Table5[[#This Row],[PID]],Table3[[#All],[PID]],0)))</f>
        <v>3</v>
      </c>
      <c r="M1424" s="56">
        <f>IF($C1424="B",INDEX(Batters[[#All],[GAP P]],MATCH(Table5[[#This Row],[PID]],Batters[[#All],[PID]],0)),INDEX(Table3[[#All],[MOV P]],MATCH(Table5[[#This Row],[PID]],Table3[[#All],[PID]],0)))</f>
        <v>3</v>
      </c>
      <c r="N1424" s="56">
        <f>IF($C1424="B",INDEX(Batters[[#All],[POW P]],MATCH(Table5[[#This Row],[PID]],Batters[[#All],[PID]],0)),INDEX(Table3[[#All],[CON P]],MATCH(Table5[[#This Row],[PID]],Table3[[#All],[PID]],0)))</f>
        <v>3</v>
      </c>
      <c r="O1424" s="56">
        <f>IF($C1424="B",INDEX(Batters[[#All],[EYE P]],MATCH(Table5[[#This Row],[PID]],Batters[[#All],[PID]],0)),INDEX(Table3[[#All],[VELO]],MATCH(Table5[[#This Row],[PID]],Table3[[#All],[PID]],0)))</f>
        <v>4</v>
      </c>
      <c r="P1424" s="56">
        <f>IF($C1424="B",INDEX(Batters[[#All],[K P]],MATCH(Table5[[#This Row],[PID]],Batters[[#All],[PID]],0)),INDEX(Table3[[#All],[STM]],MATCH(Table5[[#This Row],[PID]],Table3[[#All],[PID]],0)))</f>
        <v>3</v>
      </c>
      <c r="Q1424" s="61">
        <f>IF($C1424="B",INDEX(Batters[[#All],[Tot]],MATCH(Table5[[#This Row],[PID]],Batters[[#All],[PID]],0)),INDEX(Table3[[#All],[Tot]],MATCH(Table5[[#This Row],[PID]],Table3[[#All],[PID]],0)))</f>
        <v>34.95601918567494</v>
      </c>
      <c r="R1424" s="70">
        <f>IF($C1424="B",INDEX(Batters[[#All],[zScore]],MATCH(Table5[[#This Row],[PID]],Batters[[#All],[PID]],0)),INDEX(Table3[[#All],[zScore]],MATCH(Table5[[#This Row],[PID]],Table3[[#All],[PID]],0)))</f>
        <v>-2.0343636062886974</v>
      </c>
      <c r="S1424" s="79" t="str">
        <f>IF($C1424="B",INDEX(Batters[[#All],[DEM]],MATCH(Table5[[#This Row],[PID]],Batters[[#All],[PID]],0)),INDEX(Table3[[#All],[DEM]],MATCH(Table5[[#This Row],[PID]],Table3[[#All],[PID]],0)))</f>
        <v>-</v>
      </c>
      <c r="T1424" s="62">
        <f>IF($C1424="B",INDEX(Batters[[#All],[Rnk]],MATCH(Table5[[#This Row],[PID]],Batters[[#All],[PID]],0)),INDEX(Table3[[#All],[Rnk]],MATCH(Table5[[#This Row],[PID]],Table3[[#All],[PID]],0)))</f>
        <v>638</v>
      </c>
      <c r="U1424" s="68">
        <f>IF($C1424="B",VLOOKUP($A1424,Bat!$A$4:$BA$1621,47,FALSE),VLOOKUP($A1424,Pit!$A$4:$BF$1557,56,FALSE))</f>
        <v>0</v>
      </c>
      <c r="V1424" s="50">
        <f>IF($C1424="B",VLOOKUP($A1424,Bat!$A$4:$BA$1621,48,FALSE),VLOOKUP($A1424,Pit!$A$4:$BF$1557,57,FALSE))</f>
        <v>0</v>
      </c>
      <c r="W1424" s="50">
        <f>Table5[[#This Row],[posRnk]]+Table5[[#This Row],[zRnk]]+IF($W$3&lt;&gt;Table5[[#This Row],[Type]],50,0)</f>
        <v>2104</v>
      </c>
      <c r="X1424" s="51">
        <f>RANK(Table5[[#This Row],[zScore]],Table5[[#All],[zScore]])</f>
        <v>1416</v>
      </c>
      <c r="Y1424" s="50" t="str">
        <f>IFERROR(INDEX(DraftResults[[#All],[OVR]],MATCH(Table5[[#This Row],[PID]],DraftResults[[#All],[Player ID]],0)),"")</f>
        <v/>
      </c>
      <c r="Z14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4" s="50" t="str">
        <f>IFERROR(INDEX(DraftResults[[#All],[Pick in Round]],MATCH(Table5[[#This Row],[PID]],DraftResults[[#All],[Player ID]],0)),"")</f>
        <v/>
      </c>
      <c r="AB1424" s="50" t="str">
        <f>IFERROR(INDEX(DraftResults[[#All],[Team Name]],MATCH(Table5[[#This Row],[PID]],DraftResults[[#All],[Player ID]],0)),"")</f>
        <v/>
      </c>
      <c r="AC1424" s="50" t="str">
        <f>IF(Table5[[#This Row],[Ovr]]="","",IF(Table5[[#This Row],[cmbList]]="","",Table5[[#This Row],[cmbList]]-Table5[[#This Row],[Ovr]]))</f>
        <v/>
      </c>
      <c r="AD1424" s="54" t="str">
        <f>IF(ISERROR(VLOOKUP($AB1424&amp;"-"&amp;$E1424&amp;" "&amp;F1424,Bonuses!$B$1:$G$1006,4,FALSE)),"",INT(VLOOKUP($AB1424&amp;"-"&amp;$E1424&amp;" "&amp;$F1424,Bonuses!$B$1:$G$1006,4,FALSE)))</f>
        <v/>
      </c>
      <c r="AE14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5" spans="1:31" x14ac:dyDescent="0.25">
      <c r="A1425" s="50">
        <v>9130</v>
      </c>
      <c r="B1425" s="50">
        <f>COUNTIF(Table5[PID],A1425)</f>
        <v>1</v>
      </c>
      <c r="C1425" s="50" t="str">
        <f>IF(COUNTIF(Table3[[#All],[PID]],A1425)&gt;0,"P","B")</f>
        <v>B</v>
      </c>
      <c r="D1425" s="59" t="str">
        <f>IF($C1425="B",INDEX(Batters[[#All],[POS]],MATCH(Table5[[#This Row],[PID]],Batters[[#All],[PID]],0)),INDEX(Table3[[#All],[POS]],MATCH(Table5[[#This Row],[PID]],Table3[[#All],[PID]],0)))</f>
        <v>1B</v>
      </c>
      <c r="E1425" s="52" t="str">
        <f>IF($C1425="B",INDEX(Batters[[#All],[First]],MATCH(Table5[[#This Row],[PID]],Batters[[#All],[PID]],0)),INDEX(Table3[[#All],[First]],MATCH(Table5[[#This Row],[PID]],Table3[[#All],[PID]],0)))</f>
        <v>Fred</v>
      </c>
      <c r="F1425" s="50" t="str">
        <f>IF($C1425="B",INDEX(Batters[[#All],[Last]],MATCH(A1425,Batters[[#All],[PID]],0)),INDEX(Table3[[#All],[Last]],MATCH(A1425,Table3[[#All],[PID]],0)))</f>
        <v>Ward</v>
      </c>
      <c r="G1425" s="56">
        <f>IF($C1425="B",INDEX(Batters[[#All],[Age]],MATCH(Table5[[#This Row],[PID]],Batters[[#All],[PID]],0)),INDEX(Table3[[#All],[Age]],MATCH(Table5[[#This Row],[PID]],Table3[[#All],[PID]],0)))</f>
        <v>22</v>
      </c>
      <c r="H1425" s="52" t="str">
        <f>IF($C1425="B",INDEX(Batters[[#All],[B]],MATCH(Table5[[#This Row],[PID]],Batters[[#All],[PID]],0)),INDEX(Table3[[#All],[B]],MATCH(Table5[[#This Row],[PID]],Table3[[#All],[PID]],0)))</f>
        <v>L</v>
      </c>
      <c r="I1425" s="70" t="str">
        <f>IF($C1425="B",INDEX(Batters[[#All],[T]],MATCH(Table5[[#This Row],[PID]],Batters[[#All],[PID]],0)),INDEX(Table3[[#All],[T]],MATCH(Table5[[#This Row],[PID]],Table3[[#All],[PID]],0)))</f>
        <v>R</v>
      </c>
      <c r="J1425" s="52" t="str">
        <f>IF($C1425="B",INDEX(Batters[[#All],[WE]],MATCH(Table5[[#This Row],[PID]],Batters[[#All],[PID]],0)),INDEX(Table3[[#All],[WE]],MATCH(Table5[[#This Row],[PID]],Table3[[#All],[PID]],0)))</f>
        <v>Low</v>
      </c>
      <c r="K1425" s="52" t="str">
        <f>IF($C1425="B",INDEX(Batters[[#All],[INT]],MATCH(Table5[[#This Row],[PID]],Batters[[#All],[PID]],0)),INDEX(Table3[[#All],[INT]],MATCH(Table5[[#This Row],[PID]],Table3[[#All],[PID]],0)))</f>
        <v>High</v>
      </c>
      <c r="L1425" s="60">
        <f>IF($C1425="B",INDEX(Batters[[#All],[CON P]],MATCH(Table5[[#This Row],[PID]],Batters[[#All],[PID]],0)),INDEX(Table3[[#All],[STU P]],MATCH(Table5[[#This Row],[PID]],Table3[[#All],[PID]],0)))</f>
        <v>3</v>
      </c>
      <c r="M1425" s="56">
        <f>IF($C1425="B",INDEX(Batters[[#All],[GAP P]],MATCH(Table5[[#This Row],[PID]],Batters[[#All],[PID]],0)),INDEX(Table3[[#All],[MOV P]],MATCH(Table5[[#This Row],[PID]],Table3[[#All],[PID]],0)))</f>
        <v>4</v>
      </c>
      <c r="N1425" s="56">
        <f>IF($C1425="B",INDEX(Batters[[#All],[POW P]],MATCH(Table5[[#This Row],[PID]],Batters[[#All],[PID]],0)),INDEX(Table3[[#All],[CON P]],MATCH(Table5[[#This Row],[PID]],Table3[[#All],[PID]],0)))</f>
        <v>2</v>
      </c>
      <c r="O1425" s="56">
        <f>IF($C1425="B",INDEX(Batters[[#All],[EYE P]],MATCH(Table5[[#This Row],[PID]],Batters[[#All],[PID]],0)),INDEX(Table3[[#All],[VELO]],MATCH(Table5[[#This Row],[PID]],Table3[[#All],[PID]],0)))</f>
        <v>3</v>
      </c>
      <c r="P1425" s="56">
        <f>IF($C1425="B",INDEX(Batters[[#All],[K P]],MATCH(Table5[[#This Row],[PID]],Batters[[#All],[PID]],0)),INDEX(Table3[[#All],[STM]],MATCH(Table5[[#This Row],[PID]],Table3[[#All],[PID]],0)))</f>
        <v>4</v>
      </c>
      <c r="Q1425" s="61">
        <f>IF($C1425="B",INDEX(Batters[[#All],[Tot]],MATCH(Table5[[#This Row],[PID]],Batters[[#All],[PID]],0)),INDEX(Table3[[#All],[Tot]],MATCH(Table5[[#This Row],[PID]],Table3[[#All],[PID]],0)))</f>
        <v>34.933711162733104</v>
      </c>
      <c r="R1425" s="70">
        <f>IF($C1425="B",INDEX(Batters[[#All],[zScore]],MATCH(Table5[[#This Row],[PID]],Batters[[#All],[PID]],0)),INDEX(Table3[[#All],[zScore]],MATCH(Table5[[#This Row],[PID]],Table3[[#All],[PID]],0)))</f>
        <v>-2.0393094457631431</v>
      </c>
      <c r="S1425" s="79" t="str">
        <f>IF($C1425="B",INDEX(Batters[[#All],[DEM]],MATCH(Table5[[#This Row],[PID]],Batters[[#All],[PID]],0)),INDEX(Table3[[#All],[DEM]],MATCH(Table5[[#This Row],[PID]],Table3[[#All],[PID]],0)))</f>
        <v>-</v>
      </c>
      <c r="T1425" s="62">
        <f>IF($C1425="B",INDEX(Batters[[#All],[Rnk]],MATCH(Table5[[#This Row],[PID]],Batters[[#All],[PID]],0)),INDEX(Table3[[#All],[Rnk]],MATCH(Table5[[#This Row],[PID]],Table3[[#All],[PID]],0)))</f>
        <v>639</v>
      </c>
      <c r="U1425" s="68">
        <f>IF($C1425="B",VLOOKUP($A1425,Bat!$A$4:$BA$1621,47,FALSE),VLOOKUP($A1425,Pit!$A$4:$BF$1557,56,FALSE))</f>
        <v>0</v>
      </c>
      <c r="V1425" s="50">
        <f>IF($C1425="B",VLOOKUP($A1425,Bat!$A$4:$BA$1621,48,FALSE),VLOOKUP($A1425,Pit!$A$4:$BF$1557,57,FALSE))</f>
        <v>0</v>
      </c>
      <c r="W1425" s="50">
        <f>Table5[[#This Row],[posRnk]]+Table5[[#This Row],[zRnk]]+IF($W$3&lt;&gt;Table5[[#This Row],[Type]],50,0)</f>
        <v>2106</v>
      </c>
      <c r="X1425" s="51">
        <f>RANK(Table5[[#This Row],[zScore]],Table5[[#All],[zScore]])</f>
        <v>1417</v>
      </c>
      <c r="Y1425" s="50" t="str">
        <f>IFERROR(INDEX(DraftResults[[#All],[OVR]],MATCH(Table5[[#This Row],[PID]],DraftResults[[#All],[Player ID]],0)),"")</f>
        <v/>
      </c>
      <c r="Z14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5" s="50" t="str">
        <f>IFERROR(INDEX(DraftResults[[#All],[Pick in Round]],MATCH(Table5[[#This Row],[PID]],DraftResults[[#All],[Player ID]],0)),"")</f>
        <v/>
      </c>
      <c r="AB1425" s="50" t="str">
        <f>IFERROR(INDEX(DraftResults[[#All],[Team Name]],MATCH(Table5[[#This Row],[PID]],DraftResults[[#All],[Player ID]],0)),"")</f>
        <v/>
      </c>
      <c r="AC1425" s="50" t="str">
        <f>IF(Table5[[#This Row],[Ovr]]="","",IF(Table5[[#This Row],[cmbList]]="","",Table5[[#This Row],[cmbList]]-Table5[[#This Row],[Ovr]]))</f>
        <v/>
      </c>
      <c r="AD1425" s="54" t="str">
        <f>IF(ISERROR(VLOOKUP($AB1425&amp;"-"&amp;$E1425&amp;" "&amp;F1425,Bonuses!$B$1:$G$1006,4,FALSE)),"",INT(VLOOKUP($AB1425&amp;"-"&amp;$E1425&amp;" "&amp;$F1425,Bonuses!$B$1:$G$1006,4,FALSE)))</f>
        <v/>
      </c>
      <c r="AE14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6" spans="1:31" x14ac:dyDescent="0.25">
      <c r="A1426" s="50">
        <v>14702</v>
      </c>
      <c r="B1426" s="50">
        <f>COUNTIF(Table5[PID],A1426)</f>
        <v>1</v>
      </c>
      <c r="C1426" s="50" t="str">
        <f>IF(COUNTIF(Table3[[#All],[PID]],A1426)&gt;0,"P","B")</f>
        <v>B</v>
      </c>
      <c r="D1426" s="59" t="str">
        <f>IF($C1426="B",INDEX(Batters[[#All],[POS]],MATCH(Table5[[#This Row],[PID]],Batters[[#All],[PID]],0)),INDEX(Table3[[#All],[POS]],MATCH(Table5[[#This Row],[PID]],Table3[[#All],[PID]],0)))</f>
        <v>1B</v>
      </c>
      <c r="E1426" s="52" t="str">
        <f>IF($C1426="B",INDEX(Batters[[#All],[First]],MATCH(Table5[[#This Row],[PID]],Batters[[#All],[PID]],0)),INDEX(Table3[[#All],[First]],MATCH(Table5[[#This Row],[PID]],Table3[[#All],[PID]],0)))</f>
        <v>Shigochiyo</v>
      </c>
      <c r="F1426" s="50" t="str">
        <f>IF($C1426="B",INDEX(Batters[[#All],[Last]],MATCH(A1426,Batters[[#All],[PID]],0)),INDEX(Table3[[#All],[Last]],MATCH(A1426,Table3[[#All],[PID]],0)))</f>
        <v>Miyazaki</v>
      </c>
      <c r="G1426" s="56">
        <f>IF($C1426="B",INDEX(Batters[[#All],[Age]],MATCH(Table5[[#This Row],[PID]],Batters[[#All],[PID]],0)),INDEX(Table3[[#All],[Age]],MATCH(Table5[[#This Row],[PID]],Table3[[#All],[PID]],0)))</f>
        <v>22</v>
      </c>
      <c r="H1426" s="52" t="str">
        <f>IF($C1426="B",INDEX(Batters[[#All],[B]],MATCH(Table5[[#This Row],[PID]],Batters[[#All],[PID]],0)),INDEX(Table3[[#All],[B]],MATCH(Table5[[#This Row],[PID]],Table3[[#All],[PID]],0)))</f>
        <v>R</v>
      </c>
      <c r="I1426" s="70" t="str">
        <f>IF($C1426="B",INDEX(Batters[[#All],[T]],MATCH(Table5[[#This Row],[PID]],Batters[[#All],[PID]],0)),INDEX(Table3[[#All],[T]],MATCH(Table5[[#This Row],[PID]],Table3[[#All],[PID]],0)))</f>
        <v>R</v>
      </c>
      <c r="J1426" s="52" t="str">
        <f>IF($C1426="B",INDEX(Batters[[#All],[WE]],MATCH(Table5[[#This Row],[PID]],Batters[[#All],[PID]],0)),INDEX(Table3[[#All],[WE]],MATCH(Table5[[#This Row],[PID]],Table3[[#All],[PID]],0)))</f>
        <v>Normal</v>
      </c>
      <c r="K1426" s="52" t="str">
        <f>IF($C1426="B",INDEX(Batters[[#All],[INT]],MATCH(Table5[[#This Row],[PID]],Batters[[#All],[PID]],0)),INDEX(Table3[[#All],[INT]],MATCH(Table5[[#This Row],[PID]],Table3[[#All],[PID]],0)))</f>
        <v>Normal</v>
      </c>
      <c r="L1426" s="60">
        <f>IF($C1426="B",INDEX(Batters[[#All],[CON P]],MATCH(Table5[[#This Row],[PID]],Batters[[#All],[PID]],0)),INDEX(Table3[[#All],[STU P]],MATCH(Table5[[#This Row],[PID]],Table3[[#All],[PID]],0)))</f>
        <v>3</v>
      </c>
      <c r="M1426" s="56">
        <f>IF($C1426="B",INDEX(Batters[[#All],[GAP P]],MATCH(Table5[[#This Row],[PID]],Batters[[#All],[PID]],0)),INDEX(Table3[[#All],[MOV P]],MATCH(Table5[[#This Row],[PID]],Table3[[#All],[PID]],0)))</f>
        <v>5</v>
      </c>
      <c r="N1426" s="56">
        <f>IF($C1426="B",INDEX(Batters[[#All],[POW P]],MATCH(Table5[[#This Row],[PID]],Batters[[#All],[PID]],0)),INDEX(Table3[[#All],[CON P]],MATCH(Table5[[#This Row],[PID]],Table3[[#All],[PID]],0)))</f>
        <v>3</v>
      </c>
      <c r="O1426" s="56">
        <f>IF($C1426="B",INDEX(Batters[[#All],[EYE P]],MATCH(Table5[[#This Row],[PID]],Batters[[#All],[PID]],0)),INDEX(Table3[[#All],[VELO]],MATCH(Table5[[#This Row],[PID]],Table3[[#All],[PID]],0)))</f>
        <v>3</v>
      </c>
      <c r="P1426" s="56">
        <f>IF($C1426="B",INDEX(Batters[[#All],[K P]],MATCH(Table5[[#This Row],[PID]],Batters[[#All],[PID]],0)),INDEX(Table3[[#All],[STM]],MATCH(Table5[[#This Row],[PID]],Table3[[#All],[PID]],0)))</f>
        <v>2</v>
      </c>
      <c r="Q1426" s="61">
        <f>IF($C1426="B",INDEX(Batters[[#All],[Tot]],MATCH(Table5[[#This Row],[PID]],Batters[[#All],[PID]],0)),INDEX(Table3[[#All],[Tot]],MATCH(Table5[[#This Row],[PID]],Table3[[#All],[PID]],0)))</f>
        <v>34.888211544166147</v>
      </c>
      <c r="R1426" s="70">
        <f>IF($C1426="B",INDEX(Batters[[#All],[zScore]],MATCH(Table5[[#This Row],[PID]],Batters[[#All],[PID]],0)),INDEX(Table3[[#All],[zScore]],MATCH(Table5[[#This Row],[PID]],Table3[[#All],[PID]],0)))</f>
        <v>-2.0493970187483161</v>
      </c>
      <c r="S1426" s="79" t="str">
        <f>IF($C1426="B",INDEX(Batters[[#All],[DEM]],MATCH(Table5[[#This Row],[PID]],Batters[[#All],[PID]],0)),INDEX(Table3[[#All],[DEM]],MATCH(Table5[[#This Row],[PID]],Table3[[#All],[PID]],0)))</f>
        <v>-</v>
      </c>
      <c r="T1426" s="62">
        <f>IF($C1426="B",INDEX(Batters[[#All],[Rnk]],MATCH(Table5[[#This Row],[PID]],Batters[[#All],[PID]],0)),INDEX(Table3[[#All],[Rnk]],MATCH(Table5[[#This Row],[PID]],Table3[[#All],[PID]],0)))</f>
        <v>640</v>
      </c>
      <c r="U1426" s="68">
        <f>IF($C1426="B",VLOOKUP($A1426,Bat!$A$4:$BA$1621,47,FALSE),VLOOKUP($A1426,Pit!$A$4:$BF$1557,56,FALSE))</f>
        <v>0</v>
      </c>
      <c r="V1426" s="50">
        <f>IF($C1426="B",VLOOKUP($A1426,Bat!$A$4:$BA$1621,48,FALSE),VLOOKUP($A1426,Pit!$A$4:$BF$1557,57,FALSE))</f>
        <v>0</v>
      </c>
      <c r="W1426" s="50">
        <f>Table5[[#This Row],[posRnk]]+Table5[[#This Row],[zRnk]]+IF($W$3&lt;&gt;Table5[[#This Row],[Type]],50,0)</f>
        <v>2108</v>
      </c>
      <c r="X1426" s="51">
        <f>RANK(Table5[[#This Row],[zScore]],Table5[[#All],[zScore]])</f>
        <v>1418</v>
      </c>
      <c r="Y1426" s="50" t="str">
        <f>IFERROR(INDEX(DraftResults[[#All],[OVR]],MATCH(Table5[[#This Row],[PID]],DraftResults[[#All],[Player ID]],0)),"")</f>
        <v/>
      </c>
      <c r="Z14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6" s="50" t="str">
        <f>IFERROR(INDEX(DraftResults[[#All],[Pick in Round]],MATCH(Table5[[#This Row],[PID]],DraftResults[[#All],[Player ID]],0)),"")</f>
        <v/>
      </c>
      <c r="AB1426" s="50" t="str">
        <f>IFERROR(INDEX(DraftResults[[#All],[Team Name]],MATCH(Table5[[#This Row],[PID]],DraftResults[[#All],[Player ID]],0)),"")</f>
        <v/>
      </c>
      <c r="AC1426" s="50" t="str">
        <f>IF(Table5[[#This Row],[Ovr]]="","",IF(Table5[[#This Row],[cmbList]]="","",Table5[[#This Row],[cmbList]]-Table5[[#This Row],[Ovr]]))</f>
        <v/>
      </c>
      <c r="AD1426" s="54" t="str">
        <f>IF(ISERROR(VLOOKUP($AB1426&amp;"-"&amp;$E1426&amp;" "&amp;F1426,Bonuses!$B$1:$G$1006,4,FALSE)),"",INT(VLOOKUP($AB1426&amp;"-"&amp;$E1426&amp;" "&amp;$F1426,Bonuses!$B$1:$G$1006,4,FALSE)))</f>
        <v/>
      </c>
      <c r="AE14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7" spans="1:31" x14ac:dyDescent="0.25">
      <c r="A1427" s="50">
        <v>9355</v>
      </c>
      <c r="B1427" s="50">
        <f>COUNTIF(Table5[PID],A1427)</f>
        <v>1</v>
      </c>
      <c r="C1427" s="50" t="str">
        <f>IF(COUNTIF(Table3[[#All],[PID]],A1427)&gt;0,"P","B")</f>
        <v>B</v>
      </c>
      <c r="D1427" s="59" t="str">
        <f>IF($C1427="B",INDEX(Batters[[#All],[POS]],MATCH(Table5[[#This Row],[PID]],Batters[[#All],[PID]],0)),INDEX(Table3[[#All],[POS]],MATCH(Table5[[#This Row],[PID]],Table3[[#All],[PID]],0)))</f>
        <v>RF</v>
      </c>
      <c r="E1427" s="52" t="str">
        <f>IF($C1427="B",INDEX(Batters[[#All],[First]],MATCH(Table5[[#This Row],[PID]],Batters[[#All],[PID]],0)),INDEX(Table3[[#All],[First]],MATCH(Table5[[#This Row],[PID]],Table3[[#All],[PID]],0)))</f>
        <v>Rich</v>
      </c>
      <c r="F1427" s="50" t="str">
        <f>IF($C1427="B",INDEX(Batters[[#All],[Last]],MATCH(A1427,Batters[[#All],[PID]],0)),INDEX(Table3[[#All],[Last]],MATCH(A1427,Table3[[#All],[PID]],0)))</f>
        <v>Pérez</v>
      </c>
      <c r="G1427" s="56">
        <f>IF($C1427="B",INDEX(Batters[[#All],[Age]],MATCH(Table5[[#This Row],[PID]],Batters[[#All],[PID]],0)),INDEX(Table3[[#All],[Age]],MATCH(Table5[[#This Row],[PID]],Table3[[#All],[PID]],0)))</f>
        <v>21</v>
      </c>
      <c r="H1427" s="52" t="str">
        <f>IF($C1427="B",INDEX(Batters[[#All],[B]],MATCH(Table5[[#This Row],[PID]],Batters[[#All],[PID]],0)),INDEX(Table3[[#All],[B]],MATCH(Table5[[#This Row],[PID]],Table3[[#All],[PID]],0)))</f>
        <v>R</v>
      </c>
      <c r="I1427" s="70" t="str">
        <f>IF($C1427="B",INDEX(Batters[[#All],[T]],MATCH(Table5[[#This Row],[PID]],Batters[[#All],[PID]],0)),INDEX(Table3[[#All],[T]],MATCH(Table5[[#This Row],[PID]],Table3[[#All],[PID]],0)))</f>
        <v>R</v>
      </c>
      <c r="J1427" s="52" t="str">
        <f>IF($C1427="B",INDEX(Batters[[#All],[WE]],MATCH(Table5[[#This Row],[PID]],Batters[[#All],[PID]],0)),INDEX(Table3[[#All],[WE]],MATCH(Table5[[#This Row],[PID]],Table3[[#All],[PID]],0)))</f>
        <v>Normal</v>
      </c>
      <c r="K1427" s="52" t="str">
        <f>IF($C1427="B",INDEX(Batters[[#All],[INT]],MATCH(Table5[[#This Row],[PID]],Batters[[#All],[PID]],0)),INDEX(Table3[[#All],[INT]],MATCH(Table5[[#This Row],[PID]],Table3[[#All],[PID]],0)))</f>
        <v>Normal</v>
      </c>
      <c r="L1427" s="60">
        <f>IF($C1427="B",INDEX(Batters[[#All],[CON P]],MATCH(Table5[[#This Row],[PID]],Batters[[#All],[PID]],0)),INDEX(Table3[[#All],[STU P]],MATCH(Table5[[#This Row],[PID]],Table3[[#All],[PID]],0)))</f>
        <v>3</v>
      </c>
      <c r="M1427" s="56">
        <f>IF($C1427="B",INDEX(Batters[[#All],[GAP P]],MATCH(Table5[[#This Row],[PID]],Batters[[#All],[PID]],0)),INDEX(Table3[[#All],[MOV P]],MATCH(Table5[[#This Row],[PID]],Table3[[#All],[PID]],0)))</f>
        <v>4</v>
      </c>
      <c r="N1427" s="56">
        <f>IF($C1427="B",INDEX(Batters[[#All],[POW P]],MATCH(Table5[[#This Row],[PID]],Batters[[#All],[PID]],0)),INDEX(Table3[[#All],[CON P]],MATCH(Table5[[#This Row],[PID]],Table3[[#All],[PID]],0)))</f>
        <v>2</v>
      </c>
      <c r="O1427" s="56">
        <f>IF($C1427="B",INDEX(Batters[[#All],[EYE P]],MATCH(Table5[[#This Row],[PID]],Batters[[#All],[PID]],0)),INDEX(Table3[[#All],[VELO]],MATCH(Table5[[#This Row],[PID]],Table3[[#All],[PID]],0)))</f>
        <v>4</v>
      </c>
      <c r="P1427" s="56">
        <f>IF($C1427="B",INDEX(Batters[[#All],[K P]],MATCH(Table5[[#This Row],[PID]],Batters[[#All],[PID]],0)),INDEX(Table3[[#All],[STM]],MATCH(Table5[[#This Row],[PID]],Table3[[#All],[PID]],0)))</f>
        <v>3</v>
      </c>
      <c r="Q1427" s="61">
        <f>IF($C1427="B",INDEX(Batters[[#All],[Tot]],MATCH(Table5[[#This Row],[PID]],Batters[[#All],[PID]],0)),INDEX(Table3[[#All],[Tot]],MATCH(Table5[[#This Row],[PID]],Table3[[#All],[PID]],0)))</f>
        <v>34.88725456920136</v>
      </c>
      <c r="R1427" s="70">
        <f>IF($C1427="B",INDEX(Batters[[#All],[zScore]],MATCH(Table5[[#This Row],[PID]],Batters[[#All],[PID]],0)),INDEX(Table3[[#All],[zScore]],MATCH(Table5[[#This Row],[PID]],Table3[[#All],[PID]],0)))</f>
        <v>-2.0496091865665598</v>
      </c>
      <c r="S1427" s="79" t="str">
        <f>IF($C1427="B",INDEX(Batters[[#All],[DEM]],MATCH(Table5[[#This Row],[PID]],Batters[[#All],[PID]],0)),INDEX(Table3[[#All],[DEM]],MATCH(Table5[[#This Row],[PID]],Table3[[#All],[PID]],0)))</f>
        <v>-</v>
      </c>
      <c r="T1427" s="62">
        <f>IF($C1427="B",INDEX(Batters[[#All],[Rnk]],MATCH(Table5[[#This Row],[PID]],Batters[[#All],[PID]],0)),INDEX(Table3[[#All],[Rnk]],MATCH(Table5[[#This Row],[PID]],Table3[[#All],[PID]],0)))</f>
        <v>641</v>
      </c>
      <c r="U1427" s="68">
        <f>IF($C1427="B",VLOOKUP($A1427,Bat!$A$4:$BA$1621,47,FALSE),VLOOKUP($A1427,Pit!$A$4:$BF$1557,56,FALSE))</f>
        <v>0</v>
      </c>
      <c r="V1427" s="50">
        <f>IF($C1427="B",VLOOKUP($A1427,Bat!$A$4:$BA$1621,48,FALSE),VLOOKUP($A1427,Pit!$A$4:$BF$1557,57,FALSE))</f>
        <v>0</v>
      </c>
      <c r="W1427" s="50">
        <f>Table5[[#This Row],[posRnk]]+Table5[[#This Row],[zRnk]]+IF($W$3&lt;&gt;Table5[[#This Row],[Type]],50,0)</f>
        <v>2110</v>
      </c>
      <c r="X1427" s="51">
        <f>RANK(Table5[[#This Row],[zScore]],Table5[[#All],[zScore]])</f>
        <v>1419</v>
      </c>
      <c r="Y1427" s="50" t="str">
        <f>IFERROR(INDEX(DraftResults[[#All],[OVR]],MATCH(Table5[[#This Row],[PID]],DraftResults[[#All],[Player ID]],0)),"")</f>
        <v/>
      </c>
      <c r="Z14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7" s="50" t="str">
        <f>IFERROR(INDEX(DraftResults[[#All],[Pick in Round]],MATCH(Table5[[#This Row],[PID]],DraftResults[[#All],[Player ID]],0)),"")</f>
        <v/>
      </c>
      <c r="AB1427" s="50" t="str">
        <f>IFERROR(INDEX(DraftResults[[#All],[Team Name]],MATCH(Table5[[#This Row],[PID]],DraftResults[[#All],[Player ID]],0)),"")</f>
        <v/>
      </c>
      <c r="AC1427" s="50" t="str">
        <f>IF(Table5[[#This Row],[Ovr]]="","",IF(Table5[[#This Row],[cmbList]]="","",Table5[[#This Row],[cmbList]]-Table5[[#This Row],[Ovr]]))</f>
        <v/>
      </c>
      <c r="AD1427" s="54" t="str">
        <f>IF(ISERROR(VLOOKUP($AB1427&amp;"-"&amp;$E1427&amp;" "&amp;F1427,Bonuses!$B$1:$G$1006,4,FALSE)),"",INT(VLOOKUP($AB1427&amp;"-"&amp;$E1427&amp;" "&amp;$F1427,Bonuses!$B$1:$G$1006,4,FALSE)))</f>
        <v/>
      </c>
      <c r="AE14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8" spans="1:31" x14ac:dyDescent="0.25">
      <c r="A1428" s="50">
        <v>9570</v>
      </c>
      <c r="B1428" s="50">
        <f>COUNTIF(Table5[PID],A1428)</f>
        <v>1</v>
      </c>
      <c r="C1428" s="50" t="str">
        <f>IF(COUNTIF(Table3[[#All],[PID]],A1428)&gt;0,"P","B")</f>
        <v>B</v>
      </c>
      <c r="D1428" s="59" t="str">
        <f>IF($C1428="B",INDEX(Batters[[#All],[POS]],MATCH(Table5[[#This Row],[PID]],Batters[[#All],[PID]],0)),INDEX(Table3[[#All],[POS]],MATCH(Table5[[#This Row],[PID]],Table3[[#All],[PID]],0)))</f>
        <v>RF</v>
      </c>
      <c r="E1428" s="52" t="str">
        <f>IF($C1428="B",INDEX(Batters[[#All],[First]],MATCH(Table5[[#This Row],[PID]],Batters[[#All],[PID]],0)),INDEX(Table3[[#All],[First]],MATCH(Table5[[#This Row],[PID]],Table3[[#All],[PID]],0)))</f>
        <v>Aaron</v>
      </c>
      <c r="F1428" s="50" t="str">
        <f>IF($C1428="B",INDEX(Batters[[#All],[Last]],MATCH(A1428,Batters[[#All],[PID]],0)),INDEX(Table3[[#All],[Last]],MATCH(A1428,Table3[[#All],[PID]],0)))</f>
        <v>Perkins</v>
      </c>
      <c r="G1428" s="56">
        <f>IF($C1428="B",INDEX(Batters[[#All],[Age]],MATCH(Table5[[#This Row],[PID]],Batters[[#All],[PID]],0)),INDEX(Table3[[#All],[Age]],MATCH(Table5[[#This Row],[PID]],Table3[[#All],[PID]],0)))</f>
        <v>22</v>
      </c>
      <c r="H1428" s="52" t="str">
        <f>IF($C1428="B",INDEX(Batters[[#All],[B]],MATCH(Table5[[#This Row],[PID]],Batters[[#All],[PID]],0)),INDEX(Table3[[#All],[B]],MATCH(Table5[[#This Row],[PID]],Table3[[#All],[PID]],0)))</f>
        <v>L</v>
      </c>
      <c r="I1428" s="70" t="str">
        <f>IF($C1428="B",INDEX(Batters[[#All],[T]],MATCH(Table5[[#This Row],[PID]],Batters[[#All],[PID]],0)),INDEX(Table3[[#All],[T]],MATCH(Table5[[#This Row],[PID]],Table3[[#All],[PID]],0)))</f>
        <v>R</v>
      </c>
      <c r="J1428" s="52" t="str">
        <f>IF($C1428="B",INDEX(Batters[[#All],[WE]],MATCH(Table5[[#This Row],[PID]],Batters[[#All],[PID]],0)),INDEX(Table3[[#All],[WE]],MATCH(Table5[[#This Row],[PID]],Table3[[#All],[PID]],0)))</f>
        <v>Normal</v>
      </c>
      <c r="K1428" s="52" t="str">
        <f>IF($C1428="B",INDEX(Batters[[#All],[INT]],MATCH(Table5[[#This Row],[PID]],Batters[[#All],[PID]],0)),INDEX(Table3[[#All],[INT]],MATCH(Table5[[#This Row],[PID]],Table3[[#All],[PID]],0)))</f>
        <v>Normal</v>
      </c>
      <c r="L1428" s="60">
        <f>IF($C1428="B",INDEX(Batters[[#All],[CON P]],MATCH(Table5[[#This Row],[PID]],Batters[[#All],[PID]],0)),INDEX(Table3[[#All],[STU P]],MATCH(Table5[[#This Row],[PID]],Table3[[#All],[PID]],0)))</f>
        <v>3</v>
      </c>
      <c r="M1428" s="56">
        <f>IF($C1428="B",INDEX(Batters[[#All],[GAP P]],MATCH(Table5[[#This Row],[PID]],Batters[[#All],[PID]],0)),INDEX(Table3[[#All],[MOV P]],MATCH(Table5[[#This Row],[PID]],Table3[[#All],[PID]],0)))</f>
        <v>2</v>
      </c>
      <c r="N1428" s="56">
        <f>IF($C1428="B",INDEX(Batters[[#All],[POW P]],MATCH(Table5[[#This Row],[PID]],Batters[[#All],[PID]],0)),INDEX(Table3[[#All],[CON P]],MATCH(Table5[[#This Row],[PID]],Table3[[#All],[PID]],0)))</f>
        <v>3</v>
      </c>
      <c r="O1428" s="56">
        <f>IF($C1428="B",INDEX(Batters[[#All],[EYE P]],MATCH(Table5[[#This Row],[PID]],Batters[[#All],[PID]],0)),INDEX(Table3[[#All],[VELO]],MATCH(Table5[[#This Row],[PID]],Table3[[#All],[PID]],0)))</f>
        <v>4</v>
      </c>
      <c r="P1428" s="56">
        <f>IF($C1428="B",INDEX(Batters[[#All],[K P]],MATCH(Table5[[#This Row],[PID]],Batters[[#All],[PID]],0)),INDEX(Table3[[#All],[STM]],MATCH(Table5[[#This Row],[PID]],Table3[[#All],[PID]],0)))</f>
        <v>4</v>
      </c>
      <c r="Q1428" s="61">
        <f>IF($C1428="B",INDEX(Batters[[#All],[Tot]],MATCH(Table5[[#This Row],[PID]],Batters[[#All],[PID]],0)),INDEX(Table3[[#All],[Tot]],MATCH(Table5[[#This Row],[PID]],Table3[[#All],[PID]],0)))</f>
        <v>34.854647937695603</v>
      </c>
      <c r="R1428" s="70">
        <f>IF($C1428="B",INDEX(Batters[[#All],[zScore]],MATCH(Table5[[#This Row],[PID]],Batters[[#All],[PID]],0)),INDEX(Table3[[#All],[zScore]],MATCH(Table5[[#This Row],[PID]],Table3[[#All],[PID]],0)))</f>
        <v>-2.0568382971717605</v>
      </c>
      <c r="S1428" s="79" t="str">
        <f>IF($C1428="B",INDEX(Batters[[#All],[DEM]],MATCH(Table5[[#This Row],[PID]],Batters[[#All],[PID]],0)),INDEX(Table3[[#All],[DEM]],MATCH(Table5[[#This Row],[PID]],Table3[[#All],[PID]],0)))</f>
        <v>-</v>
      </c>
      <c r="T1428" s="62">
        <f>IF($C1428="B",INDEX(Batters[[#All],[Rnk]],MATCH(Table5[[#This Row],[PID]],Batters[[#All],[PID]],0)),INDEX(Table3[[#All],[Rnk]],MATCH(Table5[[#This Row],[PID]],Table3[[#All],[PID]],0)))</f>
        <v>642</v>
      </c>
      <c r="U1428" s="68">
        <f>IF($C1428="B",VLOOKUP($A1428,Bat!$A$4:$BA$1621,47,FALSE),VLOOKUP($A1428,Pit!$A$4:$BF$1557,56,FALSE))</f>
        <v>0</v>
      </c>
      <c r="V1428" s="50">
        <f>IF($C1428="B",VLOOKUP($A1428,Bat!$A$4:$BA$1621,48,FALSE),VLOOKUP($A1428,Pit!$A$4:$BF$1557,57,FALSE))</f>
        <v>0</v>
      </c>
      <c r="W1428" s="50">
        <f>Table5[[#This Row],[posRnk]]+Table5[[#This Row],[zRnk]]+IF($W$3&lt;&gt;Table5[[#This Row],[Type]],50,0)</f>
        <v>2112</v>
      </c>
      <c r="X1428" s="51">
        <f>RANK(Table5[[#This Row],[zScore]],Table5[[#All],[zScore]])</f>
        <v>1420</v>
      </c>
      <c r="Y1428" s="50" t="str">
        <f>IFERROR(INDEX(DraftResults[[#All],[OVR]],MATCH(Table5[[#This Row],[PID]],DraftResults[[#All],[Player ID]],0)),"")</f>
        <v/>
      </c>
      <c r="Z14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8" s="50" t="str">
        <f>IFERROR(INDEX(DraftResults[[#All],[Pick in Round]],MATCH(Table5[[#This Row],[PID]],DraftResults[[#All],[Player ID]],0)),"")</f>
        <v/>
      </c>
      <c r="AB1428" s="50" t="str">
        <f>IFERROR(INDEX(DraftResults[[#All],[Team Name]],MATCH(Table5[[#This Row],[PID]],DraftResults[[#All],[Player ID]],0)),"")</f>
        <v/>
      </c>
      <c r="AC1428" s="50" t="str">
        <f>IF(Table5[[#This Row],[Ovr]]="","",IF(Table5[[#This Row],[cmbList]]="","",Table5[[#This Row],[cmbList]]-Table5[[#This Row],[Ovr]]))</f>
        <v/>
      </c>
      <c r="AD1428" s="54" t="str">
        <f>IF(ISERROR(VLOOKUP($AB1428&amp;"-"&amp;$E1428&amp;" "&amp;F1428,Bonuses!$B$1:$G$1006,4,FALSE)),"",INT(VLOOKUP($AB1428&amp;"-"&amp;$E1428&amp;" "&amp;$F1428,Bonuses!$B$1:$G$1006,4,FALSE)))</f>
        <v/>
      </c>
      <c r="AE14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29" spans="1:31" x14ac:dyDescent="0.25">
      <c r="A1429" s="50">
        <v>18102</v>
      </c>
      <c r="B1429" s="50">
        <f>COUNTIF(Table5[PID],A1429)</f>
        <v>1</v>
      </c>
      <c r="C1429" s="50" t="str">
        <f>IF(COUNTIF(Table3[[#All],[PID]],A1429)&gt;0,"P","B")</f>
        <v>B</v>
      </c>
      <c r="D1429" s="59" t="str">
        <f>IF($C1429="B",INDEX(Batters[[#All],[POS]],MATCH(Table5[[#This Row],[PID]],Batters[[#All],[PID]],0)),INDEX(Table3[[#All],[POS]],MATCH(Table5[[#This Row],[PID]],Table3[[#All],[PID]],0)))</f>
        <v>SS</v>
      </c>
      <c r="E1429" s="52" t="str">
        <f>IF($C1429="B",INDEX(Batters[[#All],[First]],MATCH(Table5[[#This Row],[PID]],Batters[[#All],[PID]],0)),INDEX(Table3[[#All],[First]],MATCH(Table5[[#This Row],[PID]],Table3[[#All],[PID]],0)))</f>
        <v>Luis</v>
      </c>
      <c r="F1429" s="50" t="str">
        <f>IF($C1429="B",INDEX(Batters[[#All],[Last]],MATCH(A1429,Batters[[#All],[PID]],0)),INDEX(Table3[[#All],[Last]],MATCH(A1429,Table3[[#All],[PID]],0)))</f>
        <v>López</v>
      </c>
      <c r="G1429" s="56">
        <f>IF($C1429="B",INDEX(Batters[[#All],[Age]],MATCH(Table5[[#This Row],[PID]],Batters[[#All],[PID]],0)),INDEX(Table3[[#All],[Age]],MATCH(Table5[[#This Row],[PID]],Table3[[#All],[PID]],0)))</f>
        <v>21</v>
      </c>
      <c r="H1429" s="52" t="str">
        <f>IF($C1429="B",INDEX(Batters[[#All],[B]],MATCH(Table5[[#This Row],[PID]],Batters[[#All],[PID]],0)),INDEX(Table3[[#All],[B]],MATCH(Table5[[#This Row],[PID]],Table3[[#All],[PID]],0)))</f>
        <v>R</v>
      </c>
      <c r="I1429" s="70" t="str">
        <f>IF($C1429="B",INDEX(Batters[[#All],[T]],MATCH(Table5[[#This Row],[PID]],Batters[[#All],[PID]],0)),INDEX(Table3[[#All],[T]],MATCH(Table5[[#This Row],[PID]],Table3[[#All],[PID]],0)))</f>
        <v>R</v>
      </c>
      <c r="J1429" s="52" t="str">
        <f>IF($C1429="B",INDEX(Batters[[#All],[WE]],MATCH(Table5[[#This Row],[PID]],Batters[[#All],[PID]],0)),INDEX(Table3[[#All],[WE]],MATCH(Table5[[#This Row],[PID]],Table3[[#All],[PID]],0)))</f>
        <v>Low</v>
      </c>
      <c r="K1429" s="52" t="str">
        <f>IF($C1429="B",INDEX(Batters[[#All],[INT]],MATCH(Table5[[#This Row],[PID]],Batters[[#All],[PID]],0)),INDEX(Table3[[#All],[INT]],MATCH(Table5[[#This Row],[PID]],Table3[[#All],[PID]],0)))</f>
        <v>Normal</v>
      </c>
      <c r="L1429" s="60">
        <f>IF($C1429="B",INDEX(Batters[[#All],[CON P]],MATCH(Table5[[#This Row],[PID]],Batters[[#All],[PID]],0)),INDEX(Table3[[#All],[STU P]],MATCH(Table5[[#This Row],[PID]],Table3[[#All],[PID]],0)))</f>
        <v>3</v>
      </c>
      <c r="M1429" s="56">
        <f>IF($C1429="B",INDEX(Batters[[#All],[GAP P]],MATCH(Table5[[#This Row],[PID]],Batters[[#All],[PID]],0)),INDEX(Table3[[#All],[MOV P]],MATCH(Table5[[#This Row],[PID]],Table3[[#All],[PID]],0)))</f>
        <v>2</v>
      </c>
      <c r="N1429" s="56">
        <f>IF($C1429="B",INDEX(Batters[[#All],[POW P]],MATCH(Table5[[#This Row],[PID]],Batters[[#All],[PID]],0)),INDEX(Table3[[#All],[CON P]],MATCH(Table5[[#This Row],[PID]],Table3[[#All],[PID]],0)))</f>
        <v>3</v>
      </c>
      <c r="O1429" s="56">
        <f>IF($C1429="B",INDEX(Batters[[#All],[EYE P]],MATCH(Table5[[#This Row],[PID]],Batters[[#All],[PID]],0)),INDEX(Table3[[#All],[VELO]],MATCH(Table5[[#This Row],[PID]],Table3[[#All],[PID]],0)))</f>
        <v>5</v>
      </c>
      <c r="P1429" s="56">
        <f>IF($C1429="B",INDEX(Batters[[#All],[K P]],MATCH(Table5[[#This Row],[PID]],Batters[[#All],[PID]],0)),INDEX(Table3[[#All],[STM]],MATCH(Table5[[#This Row],[PID]],Table3[[#All],[PID]],0)))</f>
        <v>2</v>
      </c>
      <c r="Q1429" s="61">
        <f>IF($C1429="B",INDEX(Batters[[#All],[Tot]],MATCH(Table5[[#This Row],[PID]],Batters[[#All],[PID]],0)),INDEX(Table3[[#All],[Tot]],MATCH(Table5[[#This Row],[PID]],Table3[[#All],[PID]],0)))</f>
        <v>34.814455301686905</v>
      </c>
      <c r="R1429" s="70">
        <f>IF($C1429="B",INDEX(Batters[[#All],[zScore]],MATCH(Table5[[#This Row],[PID]],Batters[[#All],[PID]],0)),INDEX(Table3[[#All],[zScore]],MATCH(Table5[[#This Row],[PID]],Table3[[#All],[PID]],0)))</f>
        <v>-2.0657492762518945</v>
      </c>
      <c r="S1429" s="79" t="str">
        <f>IF($C1429="B",INDEX(Batters[[#All],[DEM]],MATCH(Table5[[#This Row],[PID]],Batters[[#All],[PID]],0)),INDEX(Table3[[#All],[DEM]],MATCH(Table5[[#This Row],[PID]],Table3[[#All],[PID]],0)))</f>
        <v>-</v>
      </c>
      <c r="T1429" s="62">
        <f>IF($C1429="B",INDEX(Batters[[#All],[Rnk]],MATCH(Table5[[#This Row],[PID]],Batters[[#All],[PID]],0)),INDEX(Table3[[#All],[Rnk]],MATCH(Table5[[#This Row],[PID]],Table3[[#All],[PID]],0)))</f>
        <v>643</v>
      </c>
      <c r="U1429" s="68">
        <f>IF($C1429="B",VLOOKUP($A1429,Bat!$A$4:$BA$1621,47,FALSE),VLOOKUP($A1429,Pit!$A$4:$BF$1557,56,FALSE))</f>
        <v>0</v>
      </c>
      <c r="V1429" s="50">
        <f>IF($C1429="B",VLOOKUP($A1429,Bat!$A$4:$BA$1621,48,FALSE),VLOOKUP($A1429,Pit!$A$4:$BF$1557,57,FALSE))</f>
        <v>0</v>
      </c>
      <c r="W1429" s="50">
        <f>Table5[[#This Row],[posRnk]]+Table5[[#This Row],[zRnk]]+IF($W$3&lt;&gt;Table5[[#This Row],[Type]],50,0)</f>
        <v>2114</v>
      </c>
      <c r="X1429" s="51">
        <f>RANK(Table5[[#This Row],[zScore]],Table5[[#All],[zScore]])</f>
        <v>1421</v>
      </c>
      <c r="Y1429" s="50" t="str">
        <f>IFERROR(INDEX(DraftResults[[#All],[OVR]],MATCH(Table5[[#This Row],[PID]],DraftResults[[#All],[Player ID]],0)),"")</f>
        <v/>
      </c>
      <c r="Z14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29" s="50" t="str">
        <f>IFERROR(INDEX(DraftResults[[#All],[Pick in Round]],MATCH(Table5[[#This Row],[PID]],DraftResults[[#All],[Player ID]],0)),"")</f>
        <v/>
      </c>
      <c r="AB1429" s="50" t="str">
        <f>IFERROR(INDEX(DraftResults[[#All],[Team Name]],MATCH(Table5[[#This Row],[PID]],DraftResults[[#All],[Player ID]],0)),"")</f>
        <v/>
      </c>
      <c r="AC1429" s="50" t="str">
        <f>IF(Table5[[#This Row],[Ovr]]="","",IF(Table5[[#This Row],[cmbList]]="","",Table5[[#This Row],[cmbList]]-Table5[[#This Row],[Ovr]]))</f>
        <v/>
      </c>
      <c r="AD1429" s="54" t="str">
        <f>IF(ISERROR(VLOOKUP($AB1429&amp;"-"&amp;$E1429&amp;" "&amp;F1429,Bonuses!$B$1:$G$1006,4,FALSE)),"",INT(VLOOKUP($AB1429&amp;"-"&amp;$E1429&amp;" "&amp;$F1429,Bonuses!$B$1:$G$1006,4,FALSE)))</f>
        <v/>
      </c>
      <c r="AE14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0" spans="1:31" x14ac:dyDescent="0.25">
      <c r="A1430" s="50">
        <v>15639</v>
      </c>
      <c r="B1430" s="50">
        <f>COUNTIF(Table5[PID],A1430)</f>
        <v>1</v>
      </c>
      <c r="C1430" s="50" t="str">
        <f>IF(COUNTIF(Table3[[#All],[PID]],A1430)&gt;0,"P","B")</f>
        <v>B</v>
      </c>
      <c r="D1430" s="59" t="str">
        <f>IF($C1430="B",INDEX(Batters[[#All],[POS]],MATCH(Table5[[#This Row],[PID]],Batters[[#All],[PID]],0)),INDEX(Table3[[#All],[POS]],MATCH(Table5[[#This Row],[PID]],Table3[[#All],[PID]],0)))</f>
        <v>2B</v>
      </c>
      <c r="E1430" s="52" t="str">
        <f>IF($C1430="B",INDEX(Batters[[#All],[First]],MATCH(Table5[[#This Row],[PID]],Batters[[#All],[PID]],0)),INDEX(Table3[[#All],[First]],MATCH(Table5[[#This Row],[PID]],Table3[[#All],[PID]],0)))</f>
        <v>Motonobu</v>
      </c>
      <c r="F1430" s="50" t="str">
        <f>IF($C1430="B",INDEX(Batters[[#All],[Last]],MATCH(A1430,Batters[[#All],[PID]],0)),INDEX(Table3[[#All],[Last]],MATCH(A1430,Table3[[#All],[PID]],0)))</f>
        <v>Yamaguchi</v>
      </c>
      <c r="G1430" s="56">
        <f>IF($C1430="B",INDEX(Batters[[#All],[Age]],MATCH(Table5[[#This Row],[PID]],Batters[[#All],[PID]],0)),INDEX(Table3[[#All],[Age]],MATCH(Table5[[#This Row],[PID]],Table3[[#All],[PID]],0)))</f>
        <v>21</v>
      </c>
      <c r="H1430" s="52" t="str">
        <f>IF($C1430="B",INDEX(Batters[[#All],[B]],MATCH(Table5[[#This Row],[PID]],Batters[[#All],[PID]],0)),INDEX(Table3[[#All],[B]],MATCH(Table5[[#This Row],[PID]],Table3[[#All],[PID]],0)))</f>
        <v>R</v>
      </c>
      <c r="I1430" s="70" t="str">
        <f>IF($C1430="B",INDEX(Batters[[#All],[T]],MATCH(Table5[[#This Row],[PID]],Batters[[#All],[PID]],0)),INDEX(Table3[[#All],[T]],MATCH(Table5[[#This Row],[PID]],Table3[[#All],[PID]],0)))</f>
        <v>R</v>
      </c>
      <c r="J1430" s="52" t="str">
        <f>IF($C1430="B",INDEX(Batters[[#All],[WE]],MATCH(Table5[[#This Row],[PID]],Batters[[#All],[PID]],0)),INDEX(Table3[[#All],[WE]],MATCH(Table5[[#This Row],[PID]],Table3[[#All],[PID]],0)))</f>
        <v>Normal</v>
      </c>
      <c r="K1430" s="52" t="str">
        <f>IF($C1430="B",INDEX(Batters[[#All],[INT]],MATCH(Table5[[#This Row],[PID]],Batters[[#All],[PID]],0)),INDEX(Table3[[#All],[INT]],MATCH(Table5[[#This Row],[PID]],Table3[[#All],[PID]],0)))</f>
        <v>Normal</v>
      </c>
      <c r="L1430" s="60">
        <f>IF($C1430="B",INDEX(Batters[[#All],[CON P]],MATCH(Table5[[#This Row],[PID]],Batters[[#All],[PID]],0)),INDEX(Table3[[#All],[STU P]],MATCH(Table5[[#This Row],[PID]],Table3[[#All],[PID]],0)))</f>
        <v>3</v>
      </c>
      <c r="M1430" s="56">
        <f>IF($C1430="B",INDEX(Batters[[#All],[GAP P]],MATCH(Table5[[#This Row],[PID]],Batters[[#All],[PID]],0)),INDEX(Table3[[#All],[MOV P]],MATCH(Table5[[#This Row],[PID]],Table3[[#All],[PID]],0)))</f>
        <v>3</v>
      </c>
      <c r="N1430" s="56">
        <f>IF($C1430="B",INDEX(Batters[[#All],[POW P]],MATCH(Table5[[#This Row],[PID]],Batters[[#All],[PID]],0)),INDEX(Table3[[#All],[CON P]],MATCH(Table5[[#This Row],[PID]],Table3[[#All],[PID]],0)))</f>
        <v>2</v>
      </c>
      <c r="O1430" s="56">
        <f>IF($C1430="B",INDEX(Batters[[#All],[EYE P]],MATCH(Table5[[#This Row],[PID]],Batters[[#All],[PID]],0)),INDEX(Table3[[#All],[VELO]],MATCH(Table5[[#This Row],[PID]],Table3[[#All],[PID]],0)))</f>
        <v>3</v>
      </c>
      <c r="P1430" s="56">
        <f>IF($C1430="B",INDEX(Batters[[#All],[K P]],MATCH(Table5[[#This Row],[PID]],Batters[[#All],[PID]],0)),INDEX(Table3[[#All],[STM]],MATCH(Table5[[#This Row],[PID]],Table3[[#All],[PID]],0)))</f>
        <v>5</v>
      </c>
      <c r="Q1430" s="61">
        <f>IF($C1430="B",INDEX(Batters[[#All],[Tot]],MATCH(Table5[[#This Row],[PID]],Batters[[#All],[PID]],0)),INDEX(Table3[[#All],[Tot]],MATCH(Table5[[#This Row],[PID]],Table3[[#All],[PID]],0)))</f>
        <v>34.771522825197238</v>
      </c>
      <c r="R1430" s="70">
        <f>IF($C1430="B",INDEX(Batters[[#All],[zScore]],MATCH(Table5[[#This Row],[PID]],Batters[[#All],[PID]],0)),INDEX(Table3[[#All],[zScore]],MATCH(Table5[[#This Row],[PID]],Table3[[#All],[PID]],0)))</f>
        <v>-2.0752676964862626</v>
      </c>
      <c r="S1430" s="79" t="str">
        <f>IF($C1430="B",INDEX(Batters[[#All],[DEM]],MATCH(Table5[[#This Row],[PID]],Batters[[#All],[PID]],0)),INDEX(Table3[[#All],[DEM]],MATCH(Table5[[#This Row],[PID]],Table3[[#All],[PID]],0)))</f>
        <v>$20k</v>
      </c>
      <c r="T1430" s="62">
        <f>IF($C1430="B",INDEX(Batters[[#All],[Rnk]],MATCH(Table5[[#This Row],[PID]],Batters[[#All],[PID]],0)),INDEX(Table3[[#All],[Rnk]],MATCH(Table5[[#This Row],[PID]],Table3[[#All],[PID]],0)))</f>
        <v>644</v>
      </c>
      <c r="U1430" s="68">
        <f>IF($C1430="B",VLOOKUP($A1430,Bat!$A$4:$BA$1621,47,FALSE),VLOOKUP($A1430,Pit!$A$4:$BF$1557,56,FALSE))</f>
        <v>0</v>
      </c>
      <c r="V1430" s="50">
        <f>IF($C1430="B",VLOOKUP($A1430,Bat!$A$4:$BA$1621,48,FALSE),VLOOKUP($A1430,Pit!$A$4:$BF$1557,57,FALSE))</f>
        <v>0</v>
      </c>
      <c r="W1430" s="50">
        <f>Table5[[#This Row],[posRnk]]+Table5[[#This Row],[zRnk]]+IF($W$3&lt;&gt;Table5[[#This Row],[Type]],50,0)</f>
        <v>2116</v>
      </c>
      <c r="X1430" s="51">
        <f>RANK(Table5[[#This Row],[zScore]],Table5[[#All],[zScore]])</f>
        <v>1422</v>
      </c>
      <c r="Y1430" s="50" t="str">
        <f>IFERROR(INDEX(DraftResults[[#All],[OVR]],MATCH(Table5[[#This Row],[PID]],DraftResults[[#All],[Player ID]],0)),"")</f>
        <v/>
      </c>
      <c r="Z14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0" s="50" t="str">
        <f>IFERROR(INDEX(DraftResults[[#All],[Pick in Round]],MATCH(Table5[[#This Row],[PID]],DraftResults[[#All],[Player ID]],0)),"")</f>
        <v/>
      </c>
      <c r="AB1430" s="50" t="str">
        <f>IFERROR(INDEX(DraftResults[[#All],[Team Name]],MATCH(Table5[[#This Row],[PID]],DraftResults[[#All],[Player ID]],0)),"")</f>
        <v/>
      </c>
      <c r="AC1430" s="50" t="str">
        <f>IF(Table5[[#This Row],[Ovr]]="","",IF(Table5[[#This Row],[cmbList]]="","",Table5[[#This Row],[cmbList]]-Table5[[#This Row],[Ovr]]))</f>
        <v/>
      </c>
      <c r="AD1430" s="54" t="str">
        <f>IF(ISERROR(VLOOKUP($AB1430&amp;"-"&amp;$E1430&amp;" "&amp;F1430,Bonuses!$B$1:$G$1006,4,FALSE)),"",INT(VLOOKUP($AB1430&amp;"-"&amp;$E1430&amp;" "&amp;$F1430,Bonuses!$B$1:$G$1006,4,FALSE)))</f>
        <v/>
      </c>
      <c r="AE14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1" spans="1:31" x14ac:dyDescent="0.25">
      <c r="A1431" s="50">
        <v>16004</v>
      </c>
      <c r="B1431" s="50">
        <f>COUNTIF(Table5[PID],A1431)</f>
        <v>1</v>
      </c>
      <c r="C1431" s="50" t="str">
        <f>IF(COUNTIF(Table3[[#All],[PID]],A1431)&gt;0,"P","B")</f>
        <v>B</v>
      </c>
      <c r="D1431" s="59" t="str">
        <f>IF($C1431="B",INDEX(Batters[[#All],[POS]],MATCH(Table5[[#This Row],[PID]],Batters[[#All],[PID]],0)),INDEX(Table3[[#All],[POS]],MATCH(Table5[[#This Row],[PID]],Table3[[#All],[PID]],0)))</f>
        <v>2B</v>
      </c>
      <c r="E1431" s="52" t="str">
        <f>IF($C1431="B",INDEX(Batters[[#All],[First]],MATCH(Table5[[#This Row],[PID]],Batters[[#All],[PID]],0)),INDEX(Table3[[#All],[First]],MATCH(Table5[[#This Row],[PID]],Table3[[#All],[PID]],0)))</f>
        <v>Pedro</v>
      </c>
      <c r="F1431" s="50" t="str">
        <f>IF($C1431="B",INDEX(Batters[[#All],[Last]],MATCH(A1431,Batters[[#All],[PID]],0)),INDEX(Table3[[#All],[Last]],MATCH(A1431,Table3[[#All],[PID]],0)))</f>
        <v>Venegas</v>
      </c>
      <c r="G1431" s="56">
        <f>IF($C1431="B",INDEX(Batters[[#All],[Age]],MATCH(Table5[[#This Row],[PID]],Batters[[#All],[PID]],0)),INDEX(Table3[[#All],[Age]],MATCH(Table5[[#This Row],[PID]],Table3[[#All],[PID]],0)))</f>
        <v>22</v>
      </c>
      <c r="H1431" s="52" t="str">
        <f>IF($C1431="B",INDEX(Batters[[#All],[B]],MATCH(Table5[[#This Row],[PID]],Batters[[#All],[PID]],0)),INDEX(Table3[[#All],[B]],MATCH(Table5[[#This Row],[PID]],Table3[[#All],[PID]],0)))</f>
        <v>R</v>
      </c>
      <c r="I1431" s="70" t="str">
        <f>IF($C1431="B",INDEX(Batters[[#All],[T]],MATCH(Table5[[#This Row],[PID]],Batters[[#All],[PID]],0)),INDEX(Table3[[#All],[T]],MATCH(Table5[[#This Row],[PID]],Table3[[#All],[PID]],0)))</f>
        <v>R</v>
      </c>
      <c r="J1431" s="52" t="str">
        <f>IF($C1431="B",INDEX(Batters[[#All],[WE]],MATCH(Table5[[#This Row],[PID]],Batters[[#All],[PID]],0)),INDEX(Table3[[#All],[WE]],MATCH(Table5[[#This Row],[PID]],Table3[[#All],[PID]],0)))</f>
        <v>Normal</v>
      </c>
      <c r="K1431" s="52" t="str">
        <f>IF($C1431="B",INDEX(Batters[[#All],[INT]],MATCH(Table5[[#This Row],[PID]],Batters[[#All],[PID]],0)),INDEX(Table3[[#All],[INT]],MATCH(Table5[[#This Row],[PID]],Table3[[#All],[PID]],0)))</f>
        <v>Normal</v>
      </c>
      <c r="L1431" s="60">
        <f>IF($C1431="B",INDEX(Batters[[#All],[CON P]],MATCH(Table5[[#This Row],[PID]],Batters[[#All],[PID]],0)),INDEX(Table3[[#All],[STU P]],MATCH(Table5[[#This Row],[PID]],Table3[[#All],[PID]],0)))</f>
        <v>3</v>
      </c>
      <c r="M1431" s="56">
        <f>IF($C1431="B",INDEX(Batters[[#All],[GAP P]],MATCH(Table5[[#This Row],[PID]],Batters[[#All],[PID]],0)),INDEX(Table3[[#All],[MOV P]],MATCH(Table5[[#This Row],[PID]],Table3[[#All],[PID]],0)))</f>
        <v>3</v>
      </c>
      <c r="N1431" s="56">
        <f>IF($C1431="B",INDEX(Batters[[#All],[POW P]],MATCH(Table5[[#This Row],[PID]],Batters[[#All],[PID]],0)),INDEX(Table3[[#All],[CON P]],MATCH(Table5[[#This Row],[PID]],Table3[[#All],[PID]],0)))</f>
        <v>2</v>
      </c>
      <c r="O1431" s="56">
        <f>IF($C1431="B",INDEX(Batters[[#All],[EYE P]],MATCH(Table5[[#This Row],[PID]],Batters[[#All],[PID]],0)),INDEX(Table3[[#All],[VELO]],MATCH(Table5[[#This Row],[PID]],Table3[[#All],[PID]],0)))</f>
        <v>4</v>
      </c>
      <c r="P1431" s="56">
        <f>IF($C1431="B",INDEX(Batters[[#All],[K P]],MATCH(Table5[[#This Row],[PID]],Batters[[#All],[PID]],0)),INDEX(Table3[[#All],[STM]],MATCH(Table5[[#This Row],[PID]],Table3[[#All],[PID]],0)))</f>
        <v>5</v>
      </c>
      <c r="Q1431" s="61">
        <f>IF($C1431="B",INDEX(Batters[[#All],[Tot]],MATCH(Table5[[#This Row],[PID]],Batters[[#All],[PID]],0)),INDEX(Table3[[#All],[Tot]],MATCH(Table5[[#This Row],[PID]],Table3[[#All],[PID]],0)))</f>
        <v>34.769673412998124</v>
      </c>
      <c r="R1431" s="70">
        <f>IF($C1431="B",INDEX(Batters[[#All],[zScore]],MATCH(Table5[[#This Row],[PID]],Batters[[#All],[PID]],0)),INDEX(Table3[[#All],[zScore]],MATCH(Table5[[#This Row],[PID]],Table3[[#All],[PID]],0)))</f>
        <v>-2.0756777236716726</v>
      </c>
      <c r="S1431" s="79" t="str">
        <f>IF($C1431="B",INDEX(Batters[[#All],[DEM]],MATCH(Table5[[#This Row],[PID]],Batters[[#All],[PID]],0)),INDEX(Table3[[#All],[DEM]],MATCH(Table5[[#This Row],[PID]],Table3[[#All],[PID]],0)))</f>
        <v>-</v>
      </c>
      <c r="T1431" s="62">
        <f>IF($C1431="B",INDEX(Batters[[#All],[Rnk]],MATCH(Table5[[#This Row],[PID]],Batters[[#All],[PID]],0)),INDEX(Table3[[#All],[Rnk]],MATCH(Table5[[#This Row],[PID]],Table3[[#All],[PID]],0)))</f>
        <v>645</v>
      </c>
      <c r="U1431" s="68">
        <f>IF($C1431="B",VLOOKUP($A1431,Bat!$A$4:$BA$1621,47,FALSE),VLOOKUP($A1431,Pit!$A$4:$BF$1557,56,FALSE))</f>
        <v>0</v>
      </c>
      <c r="V1431" s="50">
        <f>IF($C1431="B",VLOOKUP($A1431,Bat!$A$4:$BA$1621,48,FALSE),VLOOKUP($A1431,Pit!$A$4:$BF$1557,57,FALSE))</f>
        <v>0</v>
      </c>
      <c r="W1431" s="50">
        <f>Table5[[#This Row],[posRnk]]+Table5[[#This Row],[zRnk]]+IF($W$3&lt;&gt;Table5[[#This Row],[Type]],50,0)</f>
        <v>2118</v>
      </c>
      <c r="X1431" s="51">
        <f>RANK(Table5[[#This Row],[zScore]],Table5[[#All],[zScore]])</f>
        <v>1423</v>
      </c>
      <c r="Y1431" s="50" t="str">
        <f>IFERROR(INDEX(DraftResults[[#All],[OVR]],MATCH(Table5[[#This Row],[PID]],DraftResults[[#All],[Player ID]],0)),"")</f>
        <v/>
      </c>
      <c r="Z14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1" s="50" t="str">
        <f>IFERROR(INDEX(DraftResults[[#All],[Pick in Round]],MATCH(Table5[[#This Row],[PID]],DraftResults[[#All],[Player ID]],0)),"")</f>
        <v/>
      </c>
      <c r="AB1431" s="50" t="str">
        <f>IFERROR(INDEX(DraftResults[[#All],[Team Name]],MATCH(Table5[[#This Row],[PID]],DraftResults[[#All],[Player ID]],0)),"")</f>
        <v/>
      </c>
      <c r="AC1431" s="50" t="str">
        <f>IF(Table5[[#This Row],[Ovr]]="","",IF(Table5[[#This Row],[cmbList]]="","",Table5[[#This Row],[cmbList]]-Table5[[#This Row],[Ovr]]))</f>
        <v/>
      </c>
      <c r="AD1431" s="54" t="str">
        <f>IF(ISERROR(VLOOKUP($AB1431&amp;"-"&amp;$E1431&amp;" "&amp;F1431,Bonuses!$B$1:$G$1006,4,FALSE)),"",INT(VLOOKUP($AB1431&amp;"-"&amp;$E1431&amp;" "&amp;$F1431,Bonuses!$B$1:$G$1006,4,FALSE)))</f>
        <v/>
      </c>
      <c r="AE14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2" spans="1:31" x14ac:dyDescent="0.25">
      <c r="A1432" s="50">
        <v>18274</v>
      </c>
      <c r="B1432" s="50">
        <f>COUNTIF(Table5[PID],A1432)</f>
        <v>1</v>
      </c>
      <c r="C1432" s="50" t="str">
        <f>IF(COUNTIF(Table3[[#All],[PID]],A1432)&gt;0,"P","B")</f>
        <v>B</v>
      </c>
      <c r="D1432" s="59" t="str">
        <f>IF($C1432="B",INDEX(Batters[[#All],[POS]],MATCH(Table5[[#This Row],[PID]],Batters[[#All],[PID]],0)),INDEX(Table3[[#All],[POS]],MATCH(Table5[[#This Row],[PID]],Table3[[#All],[PID]],0)))</f>
        <v>C</v>
      </c>
      <c r="E1432" s="52" t="str">
        <f>IF($C1432="B",INDEX(Batters[[#All],[First]],MATCH(Table5[[#This Row],[PID]],Batters[[#All],[PID]],0)),INDEX(Table3[[#All],[First]],MATCH(Table5[[#This Row],[PID]],Table3[[#All],[PID]],0)))</f>
        <v>Ralph</v>
      </c>
      <c r="F1432" s="50" t="str">
        <f>IF($C1432="B",INDEX(Batters[[#All],[Last]],MATCH(A1432,Batters[[#All],[PID]],0)),INDEX(Table3[[#All],[Last]],MATCH(A1432,Table3[[#All],[PID]],0)))</f>
        <v>Rice</v>
      </c>
      <c r="G1432" s="56">
        <f>IF($C1432="B",INDEX(Batters[[#All],[Age]],MATCH(Table5[[#This Row],[PID]],Batters[[#All],[PID]],0)),INDEX(Table3[[#All],[Age]],MATCH(Table5[[#This Row],[PID]],Table3[[#All],[PID]],0)))</f>
        <v>18</v>
      </c>
      <c r="H1432" s="52" t="str">
        <f>IF($C1432="B",INDEX(Batters[[#All],[B]],MATCH(Table5[[#This Row],[PID]],Batters[[#All],[PID]],0)),INDEX(Table3[[#All],[B]],MATCH(Table5[[#This Row],[PID]],Table3[[#All],[PID]],0)))</f>
        <v>L</v>
      </c>
      <c r="I1432" s="70" t="str">
        <f>IF($C1432="B",INDEX(Batters[[#All],[T]],MATCH(Table5[[#This Row],[PID]],Batters[[#All],[PID]],0)),INDEX(Table3[[#All],[T]],MATCH(Table5[[#This Row],[PID]],Table3[[#All],[PID]],0)))</f>
        <v>L</v>
      </c>
      <c r="J1432" s="52" t="str">
        <f>IF($C1432="B",INDEX(Batters[[#All],[WE]],MATCH(Table5[[#This Row],[PID]],Batters[[#All],[PID]],0)),INDEX(Table3[[#All],[WE]],MATCH(Table5[[#This Row],[PID]],Table3[[#All],[PID]],0)))</f>
        <v>Low</v>
      </c>
      <c r="K1432" s="52" t="str">
        <f>IF($C1432="B",INDEX(Batters[[#All],[INT]],MATCH(Table5[[#This Row],[PID]],Batters[[#All],[PID]],0)),INDEX(Table3[[#All],[INT]],MATCH(Table5[[#This Row],[PID]],Table3[[#All],[PID]],0)))</f>
        <v>Normal</v>
      </c>
      <c r="L1432" s="60">
        <f>IF($C1432="B",INDEX(Batters[[#All],[CON P]],MATCH(Table5[[#This Row],[PID]],Batters[[#All],[PID]],0)),INDEX(Table3[[#All],[STU P]],MATCH(Table5[[#This Row],[PID]],Table3[[#All],[PID]],0)))</f>
        <v>2</v>
      </c>
      <c r="M1432" s="56">
        <f>IF($C1432="B",INDEX(Batters[[#All],[GAP P]],MATCH(Table5[[#This Row],[PID]],Batters[[#All],[PID]],0)),INDEX(Table3[[#All],[MOV P]],MATCH(Table5[[#This Row],[PID]],Table3[[#All],[PID]],0)))</f>
        <v>2</v>
      </c>
      <c r="N1432" s="56">
        <f>IF($C1432="B",INDEX(Batters[[#All],[POW P]],MATCH(Table5[[#This Row],[PID]],Batters[[#All],[PID]],0)),INDEX(Table3[[#All],[CON P]],MATCH(Table5[[#This Row],[PID]],Table3[[#All],[PID]],0)))</f>
        <v>2</v>
      </c>
      <c r="O1432" s="56">
        <f>IF($C1432="B",INDEX(Batters[[#All],[EYE P]],MATCH(Table5[[#This Row],[PID]],Batters[[#All],[PID]],0)),INDEX(Table3[[#All],[VELO]],MATCH(Table5[[#This Row],[PID]],Table3[[#All],[PID]],0)))</f>
        <v>5</v>
      </c>
      <c r="P1432" s="56">
        <f>IF($C1432="B",INDEX(Batters[[#All],[K P]],MATCH(Table5[[#This Row],[PID]],Batters[[#All],[PID]],0)),INDEX(Table3[[#All],[STM]],MATCH(Table5[[#This Row],[PID]],Table3[[#All],[PID]],0)))</f>
        <v>2</v>
      </c>
      <c r="Q1432" s="61">
        <f>IF($C1432="B",INDEX(Batters[[#All],[Tot]],MATCH(Table5[[#This Row],[PID]],Batters[[#All],[PID]],0)),INDEX(Table3[[#All],[Tot]],MATCH(Table5[[#This Row],[PID]],Table3[[#All],[PID]],0)))</f>
        <v>34.763103567897971</v>
      </c>
      <c r="R1432" s="70">
        <f>IF($C1432="B",INDEX(Batters[[#All],[zScore]],MATCH(Table5[[#This Row],[PID]],Batters[[#All],[PID]],0)),INDEX(Table3[[#All],[zScore]],MATCH(Table5[[#This Row],[PID]],Table3[[#All],[PID]],0)))</f>
        <v>-2.0771343027384077</v>
      </c>
      <c r="S1432" s="79" t="str">
        <f>IF($C1432="B",INDEX(Batters[[#All],[DEM]],MATCH(Table5[[#This Row],[PID]],Batters[[#All],[PID]],0)),INDEX(Table3[[#All],[DEM]],MATCH(Table5[[#This Row],[PID]],Table3[[#All],[PID]],0)))</f>
        <v>$65k</v>
      </c>
      <c r="T1432" s="62">
        <f>IF($C1432="B",INDEX(Batters[[#All],[Rnk]],MATCH(Table5[[#This Row],[PID]],Batters[[#All],[PID]],0)),INDEX(Table3[[#All],[Rnk]],MATCH(Table5[[#This Row],[PID]],Table3[[#All],[PID]],0)))</f>
        <v>646</v>
      </c>
      <c r="U1432" s="68">
        <f>IF($C1432="B",VLOOKUP($A1432,Bat!$A$4:$BA$1621,47,FALSE),VLOOKUP($A1432,Pit!$A$4:$BF$1557,56,FALSE))</f>
        <v>0</v>
      </c>
      <c r="V1432" s="50">
        <f>IF($C1432="B",VLOOKUP($A1432,Bat!$A$4:$BA$1621,48,FALSE),VLOOKUP($A1432,Pit!$A$4:$BF$1557,57,FALSE))</f>
        <v>0</v>
      </c>
      <c r="W1432" s="50">
        <f>Table5[[#This Row],[posRnk]]+Table5[[#This Row],[zRnk]]+IF($W$3&lt;&gt;Table5[[#This Row],[Type]],50,0)</f>
        <v>2120</v>
      </c>
      <c r="X1432" s="51">
        <f>RANK(Table5[[#This Row],[zScore]],Table5[[#All],[zScore]])</f>
        <v>1424</v>
      </c>
      <c r="Y1432" s="50" t="str">
        <f>IFERROR(INDEX(DraftResults[[#All],[OVR]],MATCH(Table5[[#This Row],[PID]],DraftResults[[#All],[Player ID]],0)),"")</f>
        <v/>
      </c>
      <c r="Z14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2" s="50" t="str">
        <f>IFERROR(INDEX(DraftResults[[#All],[Pick in Round]],MATCH(Table5[[#This Row],[PID]],DraftResults[[#All],[Player ID]],0)),"")</f>
        <v/>
      </c>
      <c r="AB1432" s="50" t="str">
        <f>IFERROR(INDEX(DraftResults[[#All],[Team Name]],MATCH(Table5[[#This Row],[PID]],DraftResults[[#All],[Player ID]],0)),"")</f>
        <v/>
      </c>
      <c r="AC1432" s="50" t="str">
        <f>IF(Table5[[#This Row],[Ovr]]="","",IF(Table5[[#This Row],[cmbList]]="","",Table5[[#This Row],[cmbList]]-Table5[[#This Row],[Ovr]]))</f>
        <v/>
      </c>
      <c r="AD1432" s="54" t="str">
        <f>IF(ISERROR(VLOOKUP($AB1432&amp;"-"&amp;$E1432&amp;" "&amp;F1432,Bonuses!$B$1:$G$1006,4,FALSE)),"",INT(VLOOKUP($AB1432&amp;"-"&amp;$E1432&amp;" "&amp;$F1432,Bonuses!$B$1:$G$1006,4,FALSE)))</f>
        <v/>
      </c>
      <c r="AE14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3" spans="1:31" x14ac:dyDescent="0.25">
      <c r="A1433" s="50">
        <v>11900</v>
      </c>
      <c r="B1433" s="50">
        <f>COUNTIF(Table5[PID],A1433)</f>
        <v>1</v>
      </c>
      <c r="C1433" s="50" t="str">
        <f>IF(COUNTIF(Table3[[#All],[PID]],A1433)&gt;0,"P","B")</f>
        <v>B</v>
      </c>
      <c r="D1433" s="59" t="str">
        <f>IF($C1433="B",INDEX(Batters[[#All],[POS]],MATCH(Table5[[#This Row],[PID]],Batters[[#All],[PID]],0)),INDEX(Table3[[#All],[POS]],MATCH(Table5[[#This Row],[PID]],Table3[[#All],[PID]],0)))</f>
        <v>1B</v>
      </c>
      <c r="E1433" s="52" t="str">
        <f>IF($C1433="B",INDEX(Batters[[#All],[First]],MATCH(Table5[[#This Row],[PID]],Batters[[#All],[PID]],0)),INDEX(Table3[[#All],[First]],MATCH(Table5[[#This Row],[PID]],Table3[[#All],[PID]],0)))</f>
        <v>Bert</v>
      </c>
      <c r="F1433" s="50" t="str">
        <f>IF($C1433="B",INDEX(Batters[[#All],[Last]],MATCH(A1433,Batters[[#All],[PID]],0)),INDEX(Table3[[#All],[Last]],MATCH(A1433,Table3[[#All],[PID]],0)))</f>
        <v>López</v>
      </c>
      <c r="G1433" s="56">
        <f>IF($C1433="B",INDEX(Batters[[#All],[Age]],MATCH(Table5[[#This Row],[PID]],Batters[[#All],[PID]],0)),INDEX(Table3[[#All],[Age]],MATCH(Table5[[#This Row],[PID]],Table3[[#All],[PID]],0)))</f>
        <v>22</v>
      </c>
      <c r="H1433" s="52" t="str">
        <f>IF($C1433="B",INDEX(Batters[[#All],[B]],MATCH(Table5[[#This Row],[PID]],Batters[[#All],[PID]],0)),INDEX(Table3[[#All],[B]],MATCH(Table5[[#This Row],[PID]],Table3[[#All],[PID]],0)))</f>
        <v>R</v>
      </c>
      <c r="I1433" s="70" t="str">
        <f>IF($C1433="B",INDEX(Batters[[#All],[T]],MATCH(Table5[[#This Row],[PID]],Batters[[#All],[PID]],0)),INDEX(Table3[[#All],[T]],MATCH(Table5[[#This Row],[PID]],Table3[[#All],[PID]],0)))</f>
        <v>R</v>
      </c>
      <c r="J1433" s="52" t="str">
        <f>IF($C1433="B",INDEX(Batters[[#All],[WE]],MATCH(Table5[[#This Row],[PID]],Batters[[#All],[PID]],0)),INDEX(Table3[[#All],[WE]],MATCH(Table5[[#This Row],[PID]],Table3[[#All],[PID]],0)))</f>
        <v>Low</v>
      </c>
      <c r="K1433" s="52" t="str">
        <f>IF($C1433="B",INDEX(Batters[[#All],[INT]],MATCH(Table5[[#This Row],[PID]],Batters[[#All],[PID]],0)),INDEX(Table3[[#All],[INT]],MATCH(Table5[[#This Row],[PID]],Table3[[#All],[PID]],0)))</f>
        <v>Normal</v>
      </c>
      <c r="L1433" s="60">
        <f>IF($C1433="B",INDEX(Batters[[#All],[CON P]],MATCH(Table5[[#This Row],[PID]],Batters[[#All],[PID]],0)),INDEX(Table3[[#All],[STU P]],MATCH(Table5[[#This Row],[PID]],Table3[[#All],[PID]],0)))</f>
        <v>3</v>
      </c>
      <c r="M1433" s="56">
        <f>IF($C1433="B",INDEX(Batters[[#All],[GAP P]],MATCH(Table5[[#This Row],[PID]],Batters[[#All],[PID]],0)),INDEX(Table3[[#All],[MOV P]],MATCH(Table5[[#This Row],[PID]],Table3[[#All],[PID]],0)))</f>
        <v>3</v>
      </c>
      <c r="N1433" s="56">
        <f>IF($C1433="B",INDEX(Batters[[#All],[POW P]],MATCH(Table5[[#This Row],[PID]],Batters[[#All],[PID]],0)),INDEX(Table3[[#All],[CON P]],MATCH(Table5[[#This Row],[PID]],Table3[[#All],[PID]],0)))</f>
        <v>3</v>
      </c>
      <c r="O1433" s="56">
        <f>IF($C1433="B",INDEX(Batters[[#All],[EYE P]],MATCH(Table5[[#This Row],[PID]],Batters[[#All],[PID]],0)),INDEX(Table3[[#All],[VELO]],MATCH(Table5[[#This Row],[PID]],Table3[[#All],[PID]],0)))</f>
        <v>4</v>
      </c>
      <c r="P1433" s="56">
        <f>IF($C1433="B",INDEX(Batters[[#All],[K P]],MATCH(Table5[[#This Row],[PID]],Batters[[#All],[PID]],0)),INDEX(Table3[[#All],[STM]],MATCH(Table5[[#This Row],[PID]],Table3[[#All],[PID]],0)))</f>
        <v>3</v>
      </c>
      <c r="Q1433" s="61">
        <f>IF($C1433="B",INDEX(Batters[[#All],[Tot]],MATCH(Table5[[#This Row],[PID]],Batters[[#All],[PID]],0)),INDEX(Table3[[#All],[Tot]],MATCH(Table5[[#This Row],[PID]],Table3[[#All],[PID]],0)))</f>
        <v>34.684273135313497</v>
      </c>
      <c r="R1433" s="70">
        <f>IF($C1433="B",INDEX(Batters[[#All],[zScore]],MATCH(Table5[[#This Row],[PID]],Batters[[#All],[PID]],0)),INDEX(Table3[[#All],[zScore]],MATCH(Table5[[#This Row],[PID]],Table3[[#All],[PID]],0)))</f>
        <v>-2.0946115424866583</v>
      </c>
      <c r="S1433" s="79" t="str">
        <f>IF($C1433="B",INDEX(Batters[[#All],[DEM]],MATCH(Table5[[#This Row],[PID]],Batters[[#All],[PID]],0)),INDEX(Table3[[#All],[DEM]],MATCH(Table5[[#This Row],[PID]],Table3[[#All],[PID]],0)))</f>
        <v>-</v>
      </c>
      <c r="T1433" s="62">
        <f>IF($C1433="B",INDEX(Batters[[#All],[Rnk]],MATCH(Table5[[#This Row],[PID]],Batters[[#All],[PID]],0)),INDEX(Table3[[#All],[Rnk]],MATCH(Table5[[#This Row],[PID]],Table3[[#All],[PID]],0)))</f>
        <v>647</v>
      </c>
      <c r="U1433" s="68">
        <f>IF($C1433="B",VLOOKUP($A1433,Bat!$A$4:$BA$1621,47,FALSE),VLOOKUP($A1433,Pit!$A$4:$BF$1557,56,FALSE))</f>
        <v>0</v>
      </c>
      <c r="V1433" s="50">
        <f>IF($C1433="B",VLOOKUP($A1433,Bat!$A$4:$BA$1621,48,FALSE),VLOOKUP($A1433,Pit!$A$4:$BF$1557,57,FALSE))</f>
        <v>0</v>
      </c>
      <c r="W1433" s="50">
        <f>Table5[[#This Row],[posRnk]]+Table5[[#This Row],[zRnk]]+IF($W$3&lt;&gt;Table5[[#This Row],[Type]],50,0)</f>
        <v>2122</v>
      </c>
      <c r="X1433" s="51">
        <f>RANK(Table5[[#This Row],[zScore]],Table5[[#All],[zScore]])</f>
        <v>1425</v>
      </c>
      <c r="Y1433" s="50" t="str">
        <f>IFERROR(INDEX(DraftResults[[#All],[OVR]],MATCH(Table5[[#This Row],[PID]],DraftResults[[#All],[Player ID]],0)),"")</f>
        <v/>
      </c>
      <c r="Z14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3" s="50" t="str">
        <f>IFERROR(INDEX(DraftResults[[#All],[Pick in Round]],MATCH(Table5[[#This Row],[PID]],DraftResults[[#All],[Player ID]],0)),"")</f>
        <v/>
      </c>
      <c r="AB1433" s="50" t="str">
        <f>IFERROR(INDEX(DraftResults[[#All],[Team Name]],MATCH(Table5[[#This Row],[PID]],DraftResults[[#All],[Player ID]],0)),"")</f>
        <v/>
      </c>
      <c r="AC1433" s="50" t="str">
        <f>IF(Table5[[#This Row],[Ovr]]="","",IF(Table5[[#This Row],[cmbList]]="","",Table5[[#This Row],[cmbList]]-Table5[[#This Row],[Ovr]]))</f>
        <v/>
      </c>
      <c r="AD1433" s="54" t="str">
        <f>IF(ISERROR(VLOOKUP($AB1433&amp;"-"&amp;$E1433&amp;" "&amp;F1433,Bonuses!$B$1:$G$1006,4,FALSE)),"",INT(VLOOKUP($AB1433&amp;"-"&amp;$E1433&amp;" "&amp;$F1433,Bonuses!$B$1:$G$1006,4,FALSE)))</f>
        <v/>
      </c>
      <c r="AE14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4" spans="1:31" x14ac:dyDescent="0.25">
      <c r="A1434" s="50">
        <v>5408</v>
      </c>
      <c r="B1434" s="50">
        <f>COUNTIF(Table5[PID],A1434)</f>
        <v>1</v>
      </c>
      <c r="C1434" s="50" t="str">
        <f>IF(COUNTIF(Table3[[#All],[PID]],A1434)&gt;0,"P","B")</f>
        <v>B</v>
      </c>
      <c r="D1434" s="59" t="str">
        <f>IF($C1434="B",INDEX(Batters[[#All],[POS]],MATCH(Table5[[#This Row],[PID]],Batters[[#All],[PID]],0)),INDEX(Table3[[#All],[POS]],MATCH(Table5[[#This Row],[PID]],Table3[[#All],[PID]],0)))</f>
        <v>C</v>
      </c>
      <c r="E1434" s="52" t="str">
        <f>IF($C1434="B",INDEX(Batters[[#All],[First]],MATCH(Table5[[#This Row],[PID]],Batters[[#All],[PID]],0)),INDEX(Table3[[#All],[First]],MATCH(Table5[[#This Row],[PID]],Table3[[#All],[PID]],0)))</f>
        <v>Paul</v>
      </c>
      <c r="F1434" s="50" t="str">
        <f>IF($C1434="B",INDEX(Batters[[#All],[Last]],MATCH(A1434,Batters[[#All],[PID]],0)),INDEX(Table3[[#All],[Last]],MATCH(A1434,Table3[[#All],[PID]],0)))</f>
        <v>Baker</v>
      </c>
      <c r="G1434" s="56">
        <f>IF($C1434="B",INDEX(Batters[[#All],[Age]],MATCH(Table5[[#This Row],[PID]],Batters[[#All],[PID]],0)),INDEX(Table3[[#All],[Age]],MATCH(Table5[[#This Row],[PID]],Table3[[#All],[PID]],0)))</f>
        <v>22</v>
      </c>
      <c r="H1434" s="52" t="str">
        <f>IF($C1434="B",INDEX(Batters[[#All],[B]],MATCH(Table5[[#This Row],[PID]],Batters[[#All],[PID]],0)),INDEX(Table3[[#All],[B]],MATCH(Table5[[#This Row],[PID]],Table3[[#All],[PID]],0)))</f>
        <v>R</v>
      </c>
      <c r="I1434" s="70" t="str">
        <f>IF($C1434="B",INDEX(Batters[[#All],[T]],MATCH(Table5[[#This Row],[PID]],Batters[[#All],[PID]],0)),INDEX(Table3[[#All],[T]],MATCH(Table5[[#This Row],[PID]],Table3[[#All],[PID]],0)))</f>
        <v>R</v>
      </c>
      <c r="J1434" s="52" t="str">
        <f>IF($C1434="B",INDEX(Batters[[#All],[WE]],MATCH(Table5[[#This Row],[PID]],Batters[[#All],[PID]],0)),INDEX(Table3[[#All],[WE]],MATCH(Table5[[#This Row],[PID]],Table3[[#All],[PID]],0)))</f>
        <v>Low</v>
      </c>
      <c r="K1434" s="52" t="str">
        <f>IF($C1434="B",INDEX(Batters[[#All],[INT]],MATCH(Table5[[#This Row],[PID]],Batters[[#All],[PID]],0)),INDEX(Table3[[#All],[INT]],MATCH(Table5[[#This Row],[PID]],Table3[[#All],[PID]],0)))</f>
        <v>Normal</v>
      </c>
      <c r="L1434" s="60">
        <f>IF($C1434="B",INDEX(Batters[[#All],[CON P]],MATCH(Table5[[#This Row],[PID]],Batters[[#All],[PID]],0)),INDEX(Table3[[#All],[STU P]],MATCH(Table5[[#This Row],[PID]],Table3[[#All],[PID]],0)))</f>
        <v>3</v>
      </c>
      <c r="M1434" s="56">
        <f>IF($C1434="B",INDEX(Batters[[#All],[GAP P]],MATCH(Table5[[#This Row],[PID]],Batters[[#All],[PID]],0)),INDEX(Table3[[#All],[MOV P]],MATCH(Table5[[#This Row],[PID]],Table3[[#All],[PID]],0)))</f>
        <v>3</v>
      </c>
      <c r="N1434" s="56">
        <f>IF($C1434="B",INDEX(Batters[[#All],[POW P]],MATCH(Table5[[#This Row],[PID]],Batters[[#All],[PID]],0)),INDEX(Table3[[#All],[CON P]],MATCH(Table5[[#This Row],[PID]],Table3[[#All],[PID]],0)))</f>
        <v>3</v>
      </c>
      <c r="O1434" s="56">
        <f>IF($C1434="B",INDEX(Batters[[#All],[EYE P]],MATCH(Table5[[#This Row],[PID]],Batters[[#All],[PID]],0)),INDEX(Table3[[#All],[VELO]],MATCH(Table5[[#This Row],[PID]],Table3[[#All],[PID]],0)))</f>
        <v>4</v>
      </c>
      <c r="P1434" s="56">
        <f>IF($C1434="B",INDEX(Batters[[#All],[K P]],MATCH(Table5[[#This Row],[PID]],Batters[[#All],[PID]],0)),INDEX(Table3[[#All],[STM]],MATCH(Table5[[#This Row],[PID]],Table3[[#All],[PID]],0)))</f>
        <v>3</v>
      </c>
      <c r="Q1434" s="61">
        <f>IF($C1434="B",INDEX(Batters[[#All],[Tot]],MATCH(Table5[[#This Row],[PID]],Batters[[#All],[PID]],0)),INDEX(Table3[[#All],[Tot]],MATCH(Table5[[#This Row],[PID]],Table3[[#All],[PID]],0)))</f>
        <v>34.684273135313497</v>
      </c>
      <c r="R1434" s="70">
        <f>IF($C1434="B",INDEX(Batters[[#All],[zScore]],MATCH(Table5[[#This Row],[PID]],Batters[[#All],[PID]],0)),INDEX(Table3[[#All],[zScore]],MATCH(Table5[[#This Row],[PID]],Table3[[#All],[PID]],0)))</f>
        <v>-2.0946115424866583</v>
      </c>
      <c r="S1434" s="79" t="str">
        <f>IF($C1434="B",INDEX(Batters[[#All],[DEM]],MATCH(Table5[[#This Row],[PID]],Batters[[#All],[PID]],0)),INDEX(Table3[[#All],[DEM]],MATCH(Table5[[#This Row],[PID]],Table3[[#All],[PID]],0)))</f>
        <v>-</v>
      </c>
      <c r="T1434" s="62">
        <f>IF($C1434="B",INDEX(Batters[[#All],[Rnk]],MATCH(Table5[[#This Row],[PID]],Batters[[#All],[PID]],0)),INDEX(Table3[[#All],[Rnk]],MATCH(Table5[[#This Row],[PID]],Table3[[#All],[PID]],0)))</f>
        <v>647</v>
      </c>
      <c r="U1434" s="68">
        <f>IF($C1434="B",VLOOKUP($A1434,Bat!$A$4:$BA$1621,47,FALSE),VLOOKUP($A1434,Pit!$A$4:$BF$1557,56,FALSE))</f>
        <v>0</v>
      </c>
      <c r="V1434" s="50">
        <f>IF($C1434="B",VLOOKUP($A1434,Bat!$A$4:$BA$1621,48,FALSE),VLOOKUP($A1434,Pit!$A$4:$BF$1557,57,FALSE))</f>
        <v>0</v>
      </c>
      <c r="W1434" s="50">
        <f>Table5[[#This Row],[posRnk]]+Table5[[#This Row],[zRnk]]+IF($W$3&lt;&gt;Table5[[#This Row],[Type]],50,0)</f>
        <v>2122</v>
      </c>
      <c r="X1434" s="51">
        <f>RANK(Table5[[#This Row],[zScore]],Table5[[#All],[zScore]])</f>
        <v>1425</v>
      </c>
      <c r="Y1434" s="50" t="str">
        <f>IFERROR(INDEX(DraftResults[[#All],[OVR]],MATCH(Table5[[#This Row],[PID]],DraftResults[[#All],[Player ID]],0)),"")</f>
        <v/>
      </c>
      <c r="Z14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4" s="50" t="str">
        <f>IFERROR(INDEX(DraftResults[[#All],[Pick in Round]],MATCH(Table5[[#This Row],[PID]],DraftResults[[#All],[Player ID]],0)),"")</f>
        <v/>
      </c>
      <c r="AB1434" s="50" t="str">
        <f>IFERROR(INDEX(DraftResults[[#All],[Team Name]],MATCH(Table5[[#This Row],[PID]],DraftResults[[#All],[Player ID]],0)),"")</f>
        <v/>
      </c>
      <c r="AC1434" s="50" t="str">
        <f>IF(Table5[[#This Row],[Ovr]]="","",IF(Table5[[#This Row],[cmbList]]="","",Table5[[#This Row],[cmbList]]-Table5[[#This Row],[Ovr]]))</f>
        <v/>
      </c>
      <c r="AD1434" s="54" t="str">
        <f>IF(ISERROR(VLOOKUP($AB1434&amp;"-"&amp;$E1434&amp;" "&amp;F1434,Bonuses!$B$1:$G$1006,4,FALSE)),"",INT(VLOOKUP($AB1434&amp;"-"&amp;$E1434&amp;" "&amp;$F1434,Bonuses!$B$1:$G$1006,4,FALSE)))</f>
        <v/>
      </c>
      <c r="AE14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5" spans="1:31" x14ac:dyDescent="0.25">
      <c r="A1435" s="50">
        <v>8504</v>
      </c>
      <c r="B1435" s="50">
        <f>COUNTIF(Table5[PID],A1435)</f>
        <v>1</v>
      </c>
      <c r="C1435" s="50" t="str">
        <f>IF(COUNTIF(Table3[[#All],[PID]],A1435)&gt;0,"P","B")</f>
        <v>B</v>
      </c>
      <c r="D1435" s="59" t="str">
        <f>IF($C1435="B",INDEX(Batters[[#All],[POS]],MATCH(Table5[[#This Row],[PID]],Batters[[#All],[PID]],0)),INDEX(Table3[[#All],[POS]],MATCH(Table5[[#This Row],[PID]],Table3[[#All],[PID]],0)))</f>
        <v>RF</v>
      </c>
      <c r="E1435" s="52" t="str">
        <f>IF($C1435="B",INDEX(Batters[[#All],[First]],MATCH(Table5[[#This Row],[PID]],Batters[[#All],[PID]],0)),INDEX(Table3[[#All],[First]],MATCH(Table5[[#This Row],[PID]],Table3[[#All],[PID]],0)))</f>
        <v>Robert</v>
      </c>
      <c r="F1435" s="50" t="str">
        <f>IF($C1435="B",INDEX(Batters[[#All],[Last]],MATCH(A1435,Batters[[#All],[PID]],0)),INDEX(Table3[[#All],[Last]],MATCH(A1435,Table3[[#All],[PID]],0)))</f>
        <v>Wallace</v>
      </c>
      <c r="G1435" s="56">
        <f>IF($C1435="B",INDEX(Batters[[#All],[Age]],MATCH(Table5[[#This Row],[PID]],Batters[[#All],[PID]],0)),INDEX(Table3[[#All],[Age]],MATCH(Table5[[#This Row],[PID]],Table3[[#All],[PID]],0)))</f>
        <v>21</v>
      </c>
      <c r="H1435" s="52" t="str">
        <f>IF($C1435="B",INDEX(Batters[[#All],[B]],MATCH(Table5[[#This Row],[PID]],Batters[[#All],[PID]],0)),INDEX(Table3[[#All],[B]],MATCH(Table5[[#This Row],[PID]],Table3[[#All],[PID]],0)))</f>
        <v>L</v>
      </c>
      <c r="I1435" s="70" t="str">
        <f>IF($C1435="B",INDEX(Batters[[#All],[T]],MATCH(Table5[[#This Row],[PID]],Batters[[#All],[PID]],0)),INDEX(Table3[[#All],[T]],MATCH(Table5[[#This Row],[PID]],Table3[[#All],[PID]],0)))</f>
        <v>L</v>
      </c>
      <c r="J1435" s="52" t="str">
        <f>IF($C1435="B",INDEX(Batters[[#All],[WE]],MATCH(Table5[[#This Row],[PID]],Batters[[#All],[PID]],0)),INDEX(Table3[[#All],[WE]],MATCH(Table5[[#This Row],[PID]],Table3[[#All],[PID]],0)))</f>
        <v>High</v>
      </c>
      <c r="K1435" s="52" t="str">
        <f>IF($C1435="B",INDEX(Batters[[#All],[INT]],MATCH(Table5[[#This Row],[PID]],Batters[[#All],[PID]],0)),INDEX(Table3[[#All],[INT]],MATCH(Table5[[#This Row],[PID]],Table3[[#All],[PID]],0)))</f>
        <v>Normal</v>
      </c>
      <c r="L1435" s="60">
        <f>IF($C1435="B",INDEX(Batters[[#All],[CON P]],MATCH(Table5[[#This Row],[PID]],Batters[[#All],[PID]],0)),INDEX(Table3[[#All],[STU P]],MATCH(Table5[[#This Row],[PID]],Table3[[#All],[PID]],0)))</f>
        <v>3</v>
      </c>
      <c r="M1435" s="56">
        <f>IF($C1435="B",INDEX(Batters[[#All],[GAP P]],MATCH(Table5[[#This Row],[PID]],Batters[[#All],[PID]],0)),INDEX(Table3[[#All],[MOV P]],MATCH(Table5[[#This Row],[PID]],Table3[[#All],[PID]],0)))</f>
        <v>3</v>
      </c>
      <c r="N1435" s="56">
        <f>IF($C1435="B",INDEX(Batters[[#All],[POW P]],MATCH(Table5[[#This Row],[PID]],Batters[[#All],[PID]],0)),INDEX(Table3[[#All],[CON P]],MATCH(Table5[[#This Row],[PID]],Table3[[#All],[PID]],0)))</f>
        <v>3</v>
      </c>
      <c r="O1435" s="56">
        <f>IF($C1435="B",INDEX(Batters[[#All],[EYE P]],MATCH(Table5[[#This Row],[PID]],Batters[[#All],[PID]],0)),INDEX(Table3[[#All],[VELO]],MATCH(Table5[[#This Row],[PID]],Table3[[#All],[PID]],0)))</f>
        <v>3</v>
      </c>
      <c r="P1435" s="56">
        <f>IF($C1435="B",INDEX(Batters[[#All],[K P]],MATCH(Table5[[#This Row],[PID]],Batters[[#All],[PID]],0)),INDEX(Table3[[#All],[STM]],MATCH(Table5[[#This Row],[PID]],Table3[[#All],[PID]],0)))</f>
        <v>4</v>
      </c>
      <c r="Q1435" s="61">
        <f>IF($C1435="B",INDEX(Batters[[#All],[Tot]],MATCH(Table5[[#This Row],[PID]],Batters[[#All],[PID]],0)),INDEX(Table3[[#All],[Tot]],MATCH(Table5[[#This Row],[PID]],Table3[[#All],[PID]],0)))</f>
        <v>34.666902458787199</v>
      </c>
      <c r="R1435" s="70">
        <f>IF($C1435="B",INDEX(Batters[[#All],[zScore]],MATCH(Table5[[#This Row],[PID]],Batters[[#All],[PID]],0)),INDEX(Table3[[#All],[zScore]],MATCH(Table5[[#This Row],[PID]],Table3[[#All],[PID]],0)))</f>
        <v>-2.0984627388874149</v>
      </c>
      <c r="S1435" s="79" t="str">
        <f>IF($C1435="B",INDEX(Batters[[#All],[DEM]],MATCH(Table5[[#This Row],[PID]],Batters[[#All],[PID]],0)),INDEX(Table3[[#All],[DEM]],MATCH(Table5[[#This Row],[PID]],Table3[[#All],[PID]],0)))</f>
        <v>-</v>
      </c>
      <c r="T1435" s="62">
        <f>IF($C1435="B",INDEX(Batters[[#All],[Rnk]],MATCH(Table5[[#This Row],[PID]],Batters[[#All],[PID]],0)),INDEX(Table3[[#All],[Rnk]],MATCH(Table5[[#This Row],[PID]],Table3[[#All],[PID]],0)))</f>
        <v>649</v>
      </c>
      <c r="U1435" s="68">
        <f>IF($C1435="B",VLOOKUP($A1435,Bat!$A$4:$BA$1621,47,FALSE),VLOOKUP($A1435,Pit!$A$4:$BF$1557,56,FALSE))</f>
        <v>0</v>
      </c>
      <c r="V1435" s="50">
        <f>IF($C1435="B",VLOOKUP($A1435,Bat!$A$4:$BA$1621,48,FALSE),VLOOKUP($A1435,Pit!$A$4:$BF$1557,57,FALSE))</f>
        <v>0</v>
      </c>
      <c r="W1435" s="50">
        <f>Table5[[#This Row],[posRnk]]+Table5[[#This Row],[zRnk]]+IF($W$3&lt;&gt;Table5[[#This Row],[Type]],50,0)</f>
        <v>2126</v>
      </c>
      <c r="X1435" s="51">
        <f>RANK(Table5[[#This Row],[zScore]],Table5[[#All],[zScore]])</f>
        <v>1427</v>
      </c>
      <c r="Y1435" s="50" t="str">
        <f>IFERROR(INDEX(DraftResults[[#All],[OVR]],MATCH(Table5[[#This Row],[PID]],DraftResults[[#All],[Player ID]],0)),"")</f>
        <v/>
      </c>
      <c r="Z14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5" s="50" t="str">
        <f>IFERROR(INDEX(DraftResults[[#All],[Pick in Round]],MATCH(Table5[[#This Row],[PID]],DraftResults[[#All],[Player ID]],0)),"")</f>
        <v/>
      </c>
      <c r="AB1435" s="50" t="str">
        <f>IFERROR(INDEX(DraftResults[[#All],[Team Name]],MATCH(Table5[[#This Row],[PID]],DraftResults[[#All],[Player ID]],0)),"")</f>
        <v/>
      </c>
      <c r="AC1435" s="50" t="str">
        <f>IF(Table5[[#This Row],[Ovr]]="","",IF(Table5[[#This Row],[cmbList]]="","",Table5[[#This Row],[cmbList]]-Table5[[#This Row],[Ovr]]))</f>
        <v/>
      </c>
      <c r="AD1435" s="54" t="str">
        <f>IF(ISERROR(VLOOKUP($AB1435&amp;"-"&amp;$E1435&amp;" "&amp;F1435,Bonuses!$B$1:$G$1006,4,FALSE)),"",INT(VLOOKUP($AB1435&amp;"-"&amp;$E1435&amp;" "&amp;$F1435,Bonuses!$B$1:$G$1006,4,FALSE)))</f>
        <v/>
      </c>
      <c r="AE14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6" spans="1:31" x14ac:dyDescent="0.25">
      <c r="A1436" s="50">
        <v>9533</v>
      </c>
      <c r="B1436" s="50">
        <f>COUNTIF(Table5[PID],A1436)</f>
        <v>1</v>
      </c>
      <c r="C1436" s="50" t="str">
        <f>IF(COUNTIF(Table3[[#All],[PID]],A1436)&gt;0,"P","B")</f>
        <v>B</v>
      </c>
      <c r="D1436" s="59" t="str">
        <f>IF($C1436="B",INDEX(Batters[[#All],[POS]],MATCH(Table5[[#This Row],[PID]],Batters[[#All],[PID]],0)),INDEX(Table3[[#All],[POS]],MATCH(Table5[[#This Row],[PID]],Table3[[#All],[PID]],0)))</f>
        <v>1B</v>
      </c>
      <c r="E1436" s="52" t="str">
        <f>IF($C1436="B",INDEX(Batters[[#All],[First]],MATCH(Table5[[#This Row],[PID]],Batters[[#All],[PID]],0)),INDEX(Table3[[#All],[First]],MATCH(Table5[[#This Row],[PID]],Table3[[#All],[PID]],0)))</f>
        <v>Stephen</v>
      </c>
      <c r="F1436" s="50" t="str">
        <f>IF($C1436="B",INDEX(Batters[[#All],[Last]],MATCH(A1436,Batters[[#All],[PID]],0)),INDEX(Table3[[#All],[Last]],MATCH(A1436,Table3[[#All],[PID]],0)))</f>
        <v>Robinson</v>
      </c>
      <c r="G1436" s="56">
        <f>IF($C1436="B",INDEX(Batters[[#All],[Age]],MATCH(Table5[[#This Row],[PID]],Batters[[#All],[PID]],0)),INDEX(Table3[[#All],[Age]],MATCH(Table5[[#This Row],[PID]],Table3[[#All],[PID]],0)))</f>
        <v>22</v>
      </c>
      <c r="H1436" s="52" t="str">
        <f>IF($C1436="B",INDEX(Batters[[#All],[B]],MATCH(Table5[[#This Row],[PID]],Batters[[#All],[PID]],0)),INDEX(Table3[[#All],[B]],MATCH(Table5[[#This Row],[PID]],Table3[[#All],[PID]],0)))</f>
        <v>R</v>
      </c>
      <c r="I1436" s="70" t="str">
        <f>IF($C1436="B",INDEX(Batters[[#All],[T]],MATCH(Table5[[#This Row],[PID]],Batters[[#All],[PID]],0)),INDEX(Table3[[#All],[T]],MATCH(Table5[[#This Row],[PID]],Table3[[#All],[PID]],0)))</f>
        <v>L</v>
      </c>
      <c r="J1436" s="52" t="str">
        <f>IF($C1436="B",INDEX(Batters[[#All],[WE]],MATCH(Table5[[#This Row],[PID]],Batters[[#All],[PID]],0)),INDEX(Table3[[#All],[WE]],MATCH(Table5[[#This Row],[PID]],Table3[[#All],[PID]],0)))</f>
        <v>Normal</v>
      </c>
      <c r="K1436" s="52" t="str">
        <f>IF($C1436="B",INDEX(Batters[[#All],[INT]],MATCH(Table5[[#This Row],[PID]],Batters[[#All],[PID]],0)),INDEX(Table3[[#All],[INT]],MATCH(Table5[[#This Row],[PID]],Table3[[#All],[PID]],0)))</f>
        <v>Normal</v>
      </c>
      <c r="L1436" s="60">
        <f>IF($C1436="B",INDEX(Batters[[#All],[CON P]],MATCH(Table5[[#This Row],[PID]],Batters[[#All],[PID]],0)),INDEX(Table3[[#All],[STU P]],MATCH(Table5[[#This Row],[PID]],Table3[[#All],[PID]],0)))</f>
        <v>4</v>
      </c>
      <c r="M1436" s="56">
        <f>IF($C1436="B",INDEX(Batters[[#All],[GAP P]],MATCH(Table5[[#This Row],[PID]],Batters[[#All],[PID]],0)),INDEX(Table3[[#All],[MOV P]],MATCH(Table5[[#This Row],[PID]],Table3[[#All],[PID]],0)))</f>
        <v>3</v>
      </c>
      <c r="N1436" s="56">
        <f>IF($C1436="B",INDEX(Batters[[#All],[POW P]],MATCH(Table5[[#This Row],[PID]],Batters[[#All],[PID]],0)),INDEX(Table3[[#All],[CON P]],MATCH(Table5[[#This Row],[PID]],Table3[[#All],[PID]],0)))</f>
        <v>2</v>
      </c>
      <c r="O1436" s="56">
        <f>IF($C1436="B",INDEX(Batters[[#All],[EYE P]],MATCH(Table5[[#This Row],[PID]],Batters[[#All],[PID]],0)),INDEX(Table3[[#All],[VELO]],MATCH(Table5[[#This Row],[PID]],Table3[[#All],[PID]],0)))</f>
        <v>1</v>
      </c>
      <c r="P1436" s="56">
        <f>IF($C1436="B",INDEX(Batters[[#All],[K P]],MATCH(Table5[[#This Row],[PID]],Batters[[#All],[PID]],0)),INDEX(Table3[[#All],[STM]],MATCH(Table5[[#This Row],[PID]],Table3[[#All],[PID]],0)))</f>
        <v>3</v>
      </c>
      <c r="Q1436" s="61">
        <f>IF($C1436="B",INDEX(Batters[[#All],[Tot]],MATCH(Table5[[#This Row],[PID]],Batters[[#All],[PID]],0)),INDEX(Table3[[#All],[Tot]],MATCH(Table5[[#This Row],[PID]],Table3[[#All],[PID]],0)))</f>
        <v>34.655947703714872</v>
      </c>
      <c r="R1436" s="70">
        <f>IF($C1436="B",INDEX(Batters[[#All],[zScore]],MATCH(Table5[[#This Row],[PID]],Batters[[#All],[PID]],0)),INDEX(Table3[[#All],[zScore]],MATCH(Table5[[#This Row],[PID]],Table3[[#All],[PID]],0)))</f>
        <v>-2.1008914821342217</v>
      </c>
      <c r="S1436" s="79" t="str">
        <f>IF($C1436="B",INDEX(Batters[[#All],[DEM]],MATCH(Table5[[#This Row],[PID]],Batters[[#All],[PID]],0)),INDEX(Table3[[#All],[DEM]],MATCH(Table5[[#This Row],[PID]],Table3[[#All],[PID]],0)))</f>
        <v>-</v>
      </c>
      <c r="T1436" s="62">
        <f>IF($C1436="B",INDEX(Batters[[#All],[Rnk]],MATCH(Table5[[#This Row],[PID]],Batters[[#All],[PID]],0)),INDEX(Table3[[#All],[Rnk]],MATCH(Table5[[#This Row],[PID]],Table3[[#All],[PID]],0)))</f>
        <v>650</v>
      </c>
      <c r="U1436" s="68">
        <f>IF($C1436="B",VLOOKUP($A1436,Bat!$A$4:$BA$1621,47,FALSE),VLOOKUP($A1436,Pit!$A$4:$BF$1557,56,FALSE))</f>
        <v>0</v>
      </c>
      <c r="V1436" s="50">
        <f>IF($C1436="B",VLOOKUP($A1436,Bat!$A$4:$BA$1621,48,FALSE),VLOOKUP($A1436,Pit!$A$4:$BF$1557,57,FALSE))</f>
        <v>0</v>
      </c>
      <c r="W1436" s="50">
        <f>Table5[[#This Row],[posRnk]]+Table5[[#This Row],[zRnk]]+IF($W$3&lt;&gt;Table5[[#This Row],[Type]],50,0)</f>
        <v>2128</v>
      </c>
      <c r="X1436" s="51">
        <f>RANK(Table5[[#This Row],[zScore]],Table5[[#All],[zScore]])</f>
        <v>1428</v>
      </c>
      <c r="Y1436" s="50" t="str">
        <f>IFERROR(INDEX(DraftResults[[#All],[OVR]],MATCH(Table5[[#This Row],[PID]],DraftResults[[#All],[Player ID]],0)),"")</f>
        <v/>
      </c>
      <c r="Z14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6" s="50" t="str">
        <f>IFERROR(INDEX(DraftResults[[#All],[Pick in Round]],MATCH(Table5[[#This Row],[PID]],DraftResults[[#All],[Player ID]],0)),"")</f>
        <v/>
      </c>
      <c r="AB1436" s="50" t="str">
        <f>IFERROR(INDEX(DraftResults[[#All],[Team Name]],MATCH(Table5[[#This Row],[PID]],DraftResults[[#All],[Player ID]],0)),"")</f>
        <v/>
      </c>
      <c r="AC1436" s="50" t="str">
        <f>IF(Table5[[#This Row],[Ovr]]="","",IF(Table5[[#This Row],[cmbList]]="","",Table5[[#This Row],[cmbList]]-Table5[[#This Row],[Ovr]]))</f>
        <v/>
      </c>
      <c r="AD1436" s="54" t="str">
        <f>IF(ISERROR(VLOOKUP($AB1436&amp;"-"&amp;$E1436&amp;" "&amp;F1436,Bonuses!$B$1:$G$1006,4,FALSE)),"",INT(VLOOKUP($AB1436&amp;"-"&amp;$E1436&amp;" "&amp;$F1436,Bonuses!$B$1:$G$1006,4,FALSE)))</f>
        <v/>
      </c>
      <c r="AE14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7" spans="1:31" x14ac:dyDescent="0.25">
      <c r="A1437" s="50">
        <v>18021</v>
      </c>
      <c r="B1437" s="50">
        <f>COUNTIF(Table5[PID],A1437)</f>
        <v>1</v>
      </c>
      <c r="C1437" s="50" t="str">
        <f>IF(COUNTIF(Table3[[#All],[PID]],A1437)&gt;0,"P","B")</f>
        <v>B</v>
      </c>
      <c r="D1437" s="59" t="str">
        <f>IF($C1437="B",INDEX(Batters[[#All],[POS]],MATCH(Table5[[#This Row],[PID]],Batters[[#All],[PID]],0)),INDEX(Table3[[#All],[POS]],MATCH(Table5[[#This Row],[PID]],Table3[[#All],[PID]],0)))</f>
        <v>2B</v>
      </c>
      <c r="E1437" s="52" t="str">
        <f>IF($C1437="B",INDEX(Batters[[#All],[First]],MATCH(Table5[[#This Row],[PID]],Batters[[#All],[PID]],0)),INDEX(Table3[[#All],[First]],MATCH(Table5[[#This Row],[PID]],Table3[[#All],[PID]],0)))</f>
        <v>Octávio</v>
      </c>
      <c r="F1437" s="50" t="str">
        <f>IF($C1437="B",INDEX(Batters[[#All],[Last]],MATCH(A1437,Batters[[#All],[PID]],0)),INDEX(Table3[[#All],[Last]],MATCH(A1437,Table3[[#All],[PID]],0)))</f>
        <v>Díaz</v>
      </c>
      <c r="G1437" s="56">
        <f>IF($C1437="B",INDEX(Batters[[#All],[Age]],MATCH(Table5[[#This Row],[PID]],Batters[[#All],[PID]],0)),INDEX(Table3[[#All],[Age]],MATCH(Table5[[#This Row],[PID]],Table3[[#All],[PID]],0)))</f>
        <v>21</v>
      </c>
      <c r="H1437" s="52" t="str">
        <f>IF($C1437="B",INDEX(Batters[[#All],[B]],MATCH(Table5[[#This Row],[PID]],Batters[[#All],[PID]],0)),INDEX(Table3[[#All],[B]],MATCH(Table5[[#This Row],[PID]],Table3[[#All],[PID]],0)))</f>
        <v>R</v>
      </c>
      <c r="I1437" s="70" t="str">
        <f>IF($C1437="B",INDEX(Batters[[#All],[T]],MATCH(Table5[[#This Row],[PID]],Batters[[#All],[PID]],0)),INDEX(Table3[[#All],[T]],MATCH(Table5[[#This Row],[PID]],Table3[[#All],[PID]],0)))</f>
        <v>R</v>
      </c>
      <c r="J1437" s="52" t="str">
        <f>IF($C1437="B",INDEX(Batters[[#All],[WE]],MATCH(Table5[[#This Row],[PID]],Batters[[#All],[PID]],0)),INDEX(Table3[[#All],[WE]],MATCH(Table5[[#This Row],[PID]],Table3[[#All],[PID]],0)))</f>
        <v>Low</v>
      </c>
      <c r="K1437" s="52" t="str">
        <f>IF($C1437="B",INDEX(Batters[[#All],[INT]],MATCH(Table5[[#This Row],[PID]],Batters[[#All],[PID]],0)),INDEX(Table3[[#All],[INT]],MATCH(Table5[[#This Row],[PID]],Table3[[#All],[PID]],0)))</f>
        <v>Normal</v>
      </c>
      <c r="L1437" s="60">
        <f>IF($C1437="B",INDEX(Batters[[#All],[CON P]],MATCH(Table5[[#This Row],[PID]],Batters[[#All],[PID]],0)),INDEX(Table3[[#All],[STU P]],MATCH(Table5[[#This Row],[PID]],Table3[[#All],[PID]],0)))</f>
        <v>3</v>
      </c>
      <c r="M1437" s="56">
        <f>IF($C1437="B",INDEX(Batters[[#All],[GAP P]],MATCH(Table5[[#This Row],[PID]],Batters[[#All],[PID]],0)),INDEX(Table3[[#All],[MOV P]],MATCH(Table5[[#This Row],[PID]],Table3[[#All],[PID]],0)))</f>
        <v>3</v>
      </c>
      <c r="N1437" s="56">
        <f>IF($C1437="B",INDEX(Batters[[#All],[POW P]],MATCH(Table5[[#This Row],[PID]],Batters[[#All],[PID]],0)),INDEX(Table3[[#All],[CON P]],MATCH(Table5[[#This Row],[PID]],Table3[[#All],[PID]],0)))</f>
        <v>2</v>
      </c>
      <c r="O1437" s="56">
        <f>IF($C1437="B",INDEX(Batters[[#All],[EYE P]],MATCH(Table5[[#This Row],[PID]],Batters[[#All],[PID]],0)),INDEX(Table3[[#All],[VELO]],MATCH(Table5[[#This Row],[PID]],Table3[[#All],[PID]],0)))</f>
        <v>4</v>
      </c>
      <c r="P1437" s="56">
        <f>IF($C1437="B",INDEX(Batters[[#All],[K P]],MATCH(Table5[[#This Row],[PID]],Batters[[#All],[PID]],0)),INDEX(Table3[[#All],[STM]],MATCH(Table5[[#This Row],[PID]],Table3[[#All],[PID]],0)))</f>
        <v>3</v>
      </c>
      <c r="Q1437" s="61">
        <f>IF($C1437="B",INDEX(Batters[[#All],[Tot]],MATCH(Table5[[#This Row],[PID]],Batters[[#All],[PID]],0)),INDEX(Table3[[#All],[Tot]],MATCH(Table5[[#This Row],[PID]],Table3[[#All],[PID]],0)))</f>
        <v>34.628564252025718</v>
      </c>
      <c r="R1437" s="70">
        <f>IF($C1437="B",INDEX(Batters[[#All],[zScore]],MATCH(Table5[[#This Row],[PID]],Batters[[#All],[PID]],0)),INDEX(Table3[[#All],[zScore]],MATCH(Table5[[#This Row],[PID]],Table3[[#All],[PID]],0)))</f>
        <v>-2.1069625784686625</v>
      </c>
      <c r="S1437" s="79" t="str">
        <f>IF($C1437="B",INDEX(Batters[[#All],[DEM]],MATCH(Table5[[#This Row],[PID]],Batters[[#All],[PID]],0)),INDEX(Table3[[#All],[DEM]],MATCH(Table5[[#This Row],[PID]],Table3[[#All],[PID]],0)))</f>
        <v>-</v>
      </c>
      <c r="T1437" s="62">
        <f>IF($C1437="B",INDEX(Batters[[#All],[Rnk]],MATCH(Table5[[#This Row],[PID]],Batters[[#All],[PID]],0)),INDEX(Table3[[#All],[Rnk]],MATCH(Table5[[#This Row],[PID]],Table3[[#All],[PID]],0)))</f>
        <v>651</v>
      </c>
      <c r="U1437" s="68">
        <f>IF($C1437="B",VLOOKUP($A1437,Bat!$A$4:$BA$1621,47,FALSE),VLOOKUP($A1437,Pit!$A$4:$BF$1557,56,FALSE))</f>
        <v>0</v>
      </c>
      <c r="V1437" s="50">
        <f>IF($C1437="B",VLOOKUP($A1437,Bat!$A$4:$BA$1621,48,FALSE),VLOOKUP($A1437,Pit!$A$4:$BF$1557,57,FALSE))</f>
        <v>0</v>
      </c>
      <c r="W1437" s="50">
        <f>Table5[[#This Row],[posRnk]]+Table5[[#This Row],[zRnk]]+IF($W$3&lt;&gt;Table5[[#This Row],[Type]],50,0)</f>
        <v>2130</v>
      </c>
      <c r="X1437" s="51">
        <f>RANK(Table5[[#This Row],[zScore]],Table5[[#All],[zScore]])</f>
        <v>1429</v>
      </c>
      <c r="Y1437" s="50" t="str">
        <f>IFERROR(INDEX(DraftResults[[#All],[OVR]],MATCH(Table5[[#This Row],[PID]],DraftResults[[#All],[Player ID]],0)),"")</f>
        <v/>
      </c>
      <c r="Z14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7" s="50" t="str">
        <f>IFERROR(INDEX(DraftResults[[#All],[Pick in Round]],MATCH(Table5[[#This Row],[PID]],DraftResults[[#All],[Player ID]],0)),"")</f>
        <v/>
      </c>
      <c r="AB1437" s="50" t="str">
        <f>IFERROR(INDEX(DraftResults[[#All],[Team Name]],MATCH(Table5[[#This Row],[PID]],DraftResults[[#All],[Player ID]],0)),"")</f>
        <v/>
      </c>
      <c r="AC1437" s="50" t="str">
        <f>IF(Table5[[#This Row],[Ovr]]="","",IF(Table5[[#This Row],[cmbList]]="","",Table5[[#This Row],[cmbList]]-Table5[[#This Row],[Ovr]]))</f>
        <v/>
      </c>
      <c r="AD1437" s="54" t="str">
        <f>IF(ISERROR(VLOOKUP($AB1437&amp;"-"&amp;$E1437&amp;" "&amp;F1437,Bonuses!$B$1:$G$1006,4,FALSE)),"",INT(VLOOKUP($AB1437&amp;"-"&amp;$E1437&amp;" "&amp;$F1437,Bonuses!$B$1:$G$1006,4,FALSE)))</f>
        <v/>
      </c>
      <c r="AE14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8" spans="1:31" x14ac:dyDescent="0.25">
      <c r="A1438" s="50">
        <v>11875</v>
      </c>
      <c r="B1438" s="50">
        <f>COUNTIF(Table5[PID],A1438)</f>
        <v>1</v>
      </c>
      <c r="C1438" s="50" t="str">
        <f>IF(COUNTIF(Table3[[#All],[PID]],A1438)&gt;0,"P","B")</f>
        <v>B</v>
      </c>
      <c r="D1438" s="59" t="str">
        <f>IF($C1438="B",INDEX(Batters[[#All],[POS]],MATCH(Table5[[#This Row],[PID]],Batters[[#All],[PID]],0)),INDEX(Table3[[#All],[POS]],MATCH(Table5[[#This Row],[PID]],Table3[[#All],[PID]],0)))</f>
        <v>SS</v>
      </c>
      <c r="E1438" s="52" t="str">
        <f>IF($C1438="B",INDEX(Batters[[#All],[First]],MATCH(Table5[[#This Row],[PID]],Batters[[#All],[PID]],0)),INDEX(Table3[[#All],[First]],MATCH(Table5[[#This Row],[PID]],Table3[[#All],[PID]],0)))</f>
        <v>Yoshiyuki</v>
      </c>
      <c r="F1438" s="50" t="str">
        <f>IF($C1438="B",INDEX(Batters[[#All],[Last]],MATCH(A1438,Batters[[#All],[PID]],0)),INDEX(Table3[[#All],[Last]],MATCH(A1438,Table3[[#All],[PID]],0)))</f>
        <v>Sato</v>
      </c>
      <c r="G1438" s="56">
        <f>IF($C1438="B",INDEX(Batters[[#All],[Age]],MATCH(Table5[[#This Row],[PID]],Batters[[#All],[PID]],0)),INDEX(Table3[[#All],[Age]],MATCH(Table5[[#This Row],[PID]],Table3[[#All],[PID]],0)))</f>
        <v>21</v>
      </c>
      <c r="H1438" s="52" t="str">
        <f>IF($C1438="B",INDEX(Batters[[#All],[B]],MATCH(Table5[[#This Row],[PID]],Batters[[#All],[PID]],0)),INDEX(Table3[[#All],[B]],MATCH(Table5[[#This Row],[PID]],Table3[[#All],[PID]],0)))</f>
        <v>R</v>
      </c>
      <c r="I1438" s="70" t="str">
        <f>IF($C1438="B",INDEX(Batters[[#All],[T]],MATCH(Table5[[#This Row],[PID]],Batters[[#All],[PID]],0)),INDEX(Table3[[#All],[T]],MATCH(Table5[[#This Row],[PID]],Table3[[#All],[PID]],0)))</f>
        <v>R</v>
      </c>
      <c r="J1438" s="52" t="str">
        <f>IF($C1438="B",INDEX(Batters[[#All],[WE]],MATCH(Table5[[#This Row],[PID]],Batters[[#All],[PID]],0)),INDEX(Table3[[#All],[WE]],MATCH(Table5[[#This Row],[PID]],Table3[[#All],[PID]],0)))</f>
        <v>Low</v>
      </c>
      <c r="K1438" s="52" t="str">
        <f>IF($C1438="B",INDEX(Batters[[#All],[INT]],MATCH(Table5[[#This Row],[PID]],Batters[[#All],[PID]],0)),INDEX(Table3[[#All],[INT]],MATCH(Table5[[#This Row],[PID]],Table3[[#All],[PID]],0)))</f>
        <v>Normal</v>
      </c>
      <c r="L1438" s="60">
        <f>IF($C1438="B",INDEX(Batters[[#All],[CON P]],MATCH(Table5[[#This Row],[PID]],Batters[[#All],[PID]],0)),INDEX(Table3[[#All],[STU P]],MATCH(Table5[[#This Row],[PID]],Table3[[#All],[PID]],0)))</f>
        <v>3</v>
      </c>
      <c r="M1438" s="56">
        <f>IF($C1438="B",INDEX(Batters[[#All],[GAP P]],MATCH(Table5[[#This Row],[PID]],Batters[[#All],[PID]],0)),INDEX(Table3[[#All],[MOV P]],MATCH(Table5[[#This Row],[PID]],Table3[[#All],[PID]],0)))</f>
        <v>2</v>
      </c>
      <c r="N1438" s="56">
        <f>IF($C1438="B",INDEX(Batters[[#All],[POW P]],MATCH(Table5[[#This Row],[PID]],Batters[[#All],[PID]],0)),INDEX(Table3[[#All],[CON P]],MATCH(Table5[[#This Row],[PID]],Table3[[#All],[PID]],0)))</f>
        <v>2</v>
      </c>
      <c r="O1438" s="56">
        <f>IF($C1438="B",INDEX(Batters[[#All],[EYE P]],MATCH(Table5[[#This Row],[PID]],Batters[[#All],[PID]],0)),INDEX(Table3[[#All],[VELO]],MATCH(Table5[[#This Row],[PID]],Table3[[#All],[PID]],0)))</f>
        <v>5</v>
      </c>
      <c r="P1438" s="56">
        <f>IF($C1438="B",INDEX(Batters[[#All],[K P]],MATCH(Table5[[#This Row],[PID]],Batters[[#All],[PID]],0)),INDEX(Table3[[#All],[STM]],MATCH(Table5[[#This Row],[PID]],Table3[[#All],[PID]],0)))</f>
        <v>4</v>
      </c>
      <c r="Q1438" s="61">
        <f>IF($C1438="B",INDEX(Batters[[#All],[Tot]],MATCH(Table5[[#This Row],[PID]],Batters[[#All],[PID]],0)),INDEX(Table3[[#All],[Tot]],MATCH(Table5[[#This Row],[PID]],Table3[[#All],[PID]],0)))</f>
        <v>34.612244334884608</v>
      </c>
      <c r="R1438" s="70">
        <f>IF($C1438="B",INDEX(Batters[[#All],[zScore]],MATCH(Table5[[#This Row],[PID]],Batters[[#All],[PID]],0)),INDEX(Table3[[#All],[zScore]],MATCH(Table5[[#This Row],[PID]],Table3[[#All],[PID]],0)))</f>
        <v>-2.1105808144112488</v>
      </c>
      <c r="S1438" s="79" t="str">
        <f>IF($C1438="B",INDEX(Batters[[#All],[DEM]],MATCH(Table5[[#This Row],[PID]],Batters[[#All],[PID]],0)),INDEX(Table3[[#All],[DEM]],MATCH(Table5[[#This Row],[PID]],Table3[[#All],[PID]],0)))</f>
        <v>-</v>
      </c>
      <c r="T1438" s="62">
        <f>IF($C1438="B",INDEX(Batters[[#All],[Rnk]],MATCH(Table5[[#This Row],[PID]],Batters[[#All],[PID]],0)),INDEX(Table3[[#All],[Rnk]],MATCH(Table5[[#This Row],[PID]],Table3[[#All],[PID]],0)))</f>
        <v>652</v>
      </c>
      <c r="U1438" s="68">
        <f>IF($C1438="B",VLOOKUP($A1438,Bat!$A$4:$BA$1621,47,FALSE),VLOOKUP($A1438,Pit!$A$4:$BF$1557,56,FALSE))</f>
        <v>0</v>
      </c>
      <c r="V1438" s="50">
        <f>IF($C1438="B",VLOOKUP($A1438,Bat!$A$4:$BA$1621,48,FALSE),VLOOKUP($A1438,Pit!$A$4:$BF$1557,57,FALSE))</f>
        <v>0</v>
      </c>
      <c r="W1438" s="50">
        <f>Table5[[#This Row],[posRnk]]+Table5[[#This Row],[zRnk]]+IF($W$3&lt;&gt;Table5[[#This Row],[Type]],50,0)</f>
        <v>2132</v>
      </c>
      <c r="X1438" s="51">
        <f>RANK(Table5[[#This Row],[zScore]],Table5[[#All],[zScore]])</f>
        <v>1430</v>
      </c>
      <c r="Y1438" s="50" t="str">
        <f>IFERROR(INDEX(DraftResults[[#All],[OVR]],MATCH(Table5[[#This Row],[PID]],DraftResults[[#All],[Player ID]],0)),"")</f>
        <v/>
      </c>
      <c r="Z14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8" s="50" t="str">
        <f>IFERROR(INDEX(DraftResults[[#All],[Pick in Round]],MATCH(Table5[[#This Row],[PID]],DraftResults[[#All],[Player ID]],0)),"")</f>
        <v/>
      </c>
      <c r="AB1438" s="50" t="str">
        <f>IFERROR(INDEX(DraftResults[[#All],[Team Name]],MATCH(Table5[[#This Row],[PID]],DraftResults[[#All],[Player ID]],0)),"")</f>
        <v/>
      </c>
      <c r="AC1438" s="50" t="str">
        <f>IF(Table5[[#This Row],[Ovr]]="","",IF(Table5[[#This Row],[cmbList]]="","",Table5[[#This Row],[cmbList]]-Table5[[#This Row],[Ovr]]))</f>
        <v/>
      </c>
      <c r="AD1438" s="54" t="str">
        <f>IF(ISERROR(VLOOKUP($AB1438&amp;"-"&amp;$E1438&amp;" "&amp;F1438,Bonuses!$B$1:$G$1006,4,FALSE)),"",INT(VLOOKUP($AB1438&amp;"-"&amp;$E1438&amp;" "&amp;$F1438,Bonuses!$B$1:$G$1006,4,FALSE)))</f>
        <v/>
      </c>
      <c r="AE14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39" spans="1:31" x14ac:dyDescent="0.25">
      <c r="A1439" s="50">
        <v>12388</v>
      </c>
      <c r="B1439" s="50">
        <f>COUNTIF(Table5[PID],A1439)</f>
        <v>1</v>
      </c>
      <c r="C1439" s="50" t="str">
        <f>IF(COUNTIF(Table3[[#All],[PID]],A1439)&gt;0,"P","B")</f>
        <v>B</v>
      </c>
      <c r="D1439" s="59" t="str">
        <f>IF($C1439="B",INDEX(Batters[[#All],[POS]],MATCH(Table5[[#This Row],[PID]],Batters[[#All],[PID]],0)),INDEX(Table3[[#All],[POS]],MATCH(Table5[[#This Row],[PID]],Table3[[#All],[PID]],0)))</f>
        <v>1B</v>
      </c>
      <c r="E1439" s="52" t="str">
        <f>IF($C1439="B",INDEX(Batters[[#All],[First]],MATCH(Table5[[#This Row],[PID]],Batters[[#All],[PID]],0)),INDEX(Table3[[#All],[First]],MATCH(Table5[[#This Row],[PID]],Table3[[#All],[PID]],0)))</f>
        <v>Iemitsu</v>
      </c>
      <c r="F1439" s="50" t="str">
        <f>IF($C1439="B",INDEX(Batters[[#All],[Last]],MATCH(A1439,Batters[[#All],[PID]],0)),INDEX(Table3[[#All],[Last]],MATCH(A1439,Table3[[#All],[PID]],0)))</f>
        <v>Hayagawa</v>
      </c>
      <c r="G1439" s="56">
        <f>IF($C1439="B",INDEX(Batters[[#All],[Age]],MATCH(Table5[[#This Row],[PID]],Batters[[#All],[PID]],0)),INDEX(Table3[[#All],[Age]],MATCH(Table5[[#This Row],[PID]],Table3[[#All],[PID]],0)))</f>
        <v>22</v>
      </c>
      <c r="H1439" s="52" t="str">
        <f>IF($C1439="B",INDEX(Batters[[#All],[B]],MATCH(Table5[[#This Row],[PID]],Batters[[#All],[PID]],0)),INDEX(Table3[[#All],[B]],MATCH(Table5[[#This Row],[PID]],Table3[[#All],[PID]],0)))</f>
        <v>R</v>
      </c>
      <c r="I1439" s="70" t="str">
        <f>IF($C1439="B",INDEX(Batters[[#All],[T]],MATCH(Table5[[#This Row],[PID]],Batters[[#All],[PID]],0)),INDEX(Table3[[#All],[T]],MATCH(Table5[[#This Row],[PID]],Table3[[#All],[PID]],0)))</f>
        <v>R</v>
      </c>
      <c r="J1439" s="52" t="str">
        <f>IF($C1439="B",INDEX(Batters[[#All],[WE]],MATCH(Table5[[#This Row],[PID]],Batters[[#All],[PID]],0)),INDEX(Table3[[#All],[WE]],MATCH(Table5[[#This Row],[PID]],Table3[[#All],[PID]],0)))</f>
        <v>Normal</v>
      </c>
      <c r="K1439" s="52" t="str">
        <f>IF($C1439="B",INDEX(Batters[[#All],[INT]],MATCH(Table5[[#This Row],[PID]],Batters[[#All],[PID]],0)),INDEX(Table3[[#All],[INT]],MATCH(Table5[[#This Row],[PID]],Table3[[#All],[PID]],0)))</f>
        <v>Normal</v>
      </c>
      <c r="L1439" s="60">
        <f>IF($C1439="B",INDEX(Batters[[#All],[CON P]],MATCH(Table5[[#This Row],[PID]],Batters[[#All],[PID]],0)),INDEX(Table3[[#All],[STU P]],MATCH(Table5[[#This Row],[PID]],Table3[[#All],[PID]],0)))</f>
        <v>4</v>
      </c>
      <c r="M1439" s="56">
        <f>IF($C1439="B",INDEX(Batters[[#All],[GAP P]],MATCH(Table5[[#This Row],[PID]],Batters[[#All],[PID]],0)),INDEX(Table3[[#All],[MOV P]],MATCH(Table5[[#This Row],[PID]],Table3[[#All],[PID]],0)))</f>
        <v>2</v>
      </c>
      <c r="N1439" s="56">
        <f>IF($C1439="B",INDEX(Batters[[#All],[POW P]],MATCH(Table5[[#This Row],[PID]],Batters[[#All],[PID]],0)),INDEX(Table3[[#All],[CON P]],MATCH(Table5[[#This Row],[PID]],Table3[[#All],[PID]],0)))</f>
        <v>2</v>
      </c>
      <c r="O1439" s="56">
        <f>IF($C1439="B",INDEX(Batters[[#All],[EYE P]],MATCH(Table5[[#This Row],[PID]],Batters[[#All],[PID]],0)),INDEX(Table3[[#All],[VELO]],MATCH(Table5[[#This Row],[PID]],Table3[[#All],[PID]],0)))</f>
        <v>1</v>
      </c>
      <c r="P1439" s="56">
        <f>IF($C1439="B",INDEX(Batters[[#All],[K P]],MATCH(Table5[[#This Row],[PID]],Batters[[#All],[PID]],0)),INDEX(Table3[[#All],[STM]],MATCH(Table5[[#This Row],[PID]],Table3[[#All],[PID]],0)))</f>
        <v>4</v>
      </c>
      <c r="Q1439" s="61">
        <f>IF($C1439="B",INDEX(Batters[[#All],[Tot]],MATCH(Table5[[#This Row],[PID]],Batters[[#All],[PID]],0)),INDEX(Table3[[#All],[Tot]],MATCH(Table5[[#This Row],[PID]],Table3[[#All],[PID]],0)))</f>
        <v>34.527426860077149</v>
      </c>
      <c r="R1439" s="70">
        <f>IF($C1439="B",INDEX(Batters[[#All],[zScore]],MATCH(Table5[[#This Row],[PID]],Batters[[#All],[PID]],0)),INDEX(Table3[[#All],[zScore]],MATCH(Table5[[#This Row],[PID]],Table3[[#All],[PID]],0)))</f>
        <v>-2.1293854218889843</v>
      </c>
      <c r="S1439" s="79" t="str">
        <f>IF($C1439="B",INDEX(Batters[[#All],[DEM]],MATCH(Table5[[#This Row],[PID]],Batters[[#All],[PID]],0)),INDEX(Table3[[#All],[DEM]],MATCH(Table5[[#This Row],[PID]],Table3[[#All],[PID]],0)))</f>
        <v>-</v>
      </c>
      <c r="T1439" s="62">
        <f>IF($C1439="B",INDEX(Batters[[#All],[Rnk]],MATCH(Table5[[#This Row],[PID]],Batters[[#All],[PID]],0)),INDEX(Table3[[#All],[Rnk]],MATCH(Table5[[#This Row],[PID]],Table3[[#All],[PID]],0)))</f>
        <v>654</v>
      </c>
      <c r="U1439" s="68">
        <f>IF($C1439="B",VLOOKUP($A1439,Bat!$A$4:$BA$1621,47,FALSE),VLOOKUP($A1439,Pit!$A$4:$BF$1557,56,FALSE))</f>
        <v>0</v>
      </c>
      <c r="V1439" s="50">
        <f>IF($C1439="B",VLOOKUP($A1439,Bat!$A$4:$BA$1621,48,FALSE),VLOOKUP($A1439,Pit!$A$4:$BF$1557,57,FALSE))</f>
        <v>0</v>
      </c>
      <c r="W1439" s="50">
        <f>Table5[[#This Row],[posRnk]]+Table5[[#This Row],[zRnk]]+IF($W$3&lt;&gt;Table5[[#This Row],[Type]],50,0)</f>
        <v>2136</v>
      </c>
      <c r="X1439" s="51">
        <f>RANK(Table5[[#This Row],[zScore]],Table5[[#All],[zScore]])</f>
        <v>1432</v>
      </c>
      <c r="Y1439" s="50" t="str">
        <f>IFERROR(INDEX(DraftResults[[#All],[OVR]],MATCH(Table5[[#This Row],[PID]],DraftResults[[#All],[Player ID]],0)),"")</f>
        <v/>
      </c>
      <c r="Z14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39" s="50" t="str">
        <f>IFERROR(INDEX(DraftResults[[#All],[Pick in Round]],MATCH(Table5[[#This Row],[PID]],DraftResults[[#All],[Player ID]],0)),"")</f>
        <v/>
      </c>
      <c r="AB1439" s="50" t="str">
        <f>IFERROR(INDEX(DraftResults[[#All],[Team Name]],MATCH(Table5[[#This Row],[PID]],DraftResults[[#All],[Player ID]],0)),"")</f>
        <v/>
      </c>
      <c r="AC1439" s="50" t="str">
        <f>IF(Table5[[#This Row],[Ovr]]="","",IF(Table5[[#This Row],[cmbList]]="","",Table5[[#This Row],[cmbList]]-Table5[[#This Row],[Ovr]]))</f>
        <v/>
      </c>
      <c r="AD1439" s="54" t="str">
        <f>IF(ISERROR(VLOOKUP($AB1439&amp;"-"&amp;$E1439&amp;" "&amp;F1439,Bonuses!$B$1:$G$1006,4,FALSE)),"",INT(VLOOKUP($AB1439&amp;"-"&amp;$E1439&amp;" "&amp;$F1439,Bonuses!$B$1:$G$1006,4,FALSE)))</f>
        <v/>
      </c>
      <c r="AE14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0" spans="1:31" x14ac:dyDescent="0.25">
      <c r="A1440" s="50">
        <v>13501</v>
      </c>
      <c r="B1440" s="50">
        <f>COUNTIF(Table5[PID],A1440)</f>
        <v>1</v>
      </c>
      <c r="C1440" s="50" t="str">
        <f>IF(COUNTIF(Table3[[#All],[PID]],A1440)&gt;0,"P","B")</f>
        <v>B</v>
      </c>
      <c r="D1440" s="59" t="str">
        <f>IF($C1440="B",INDEX(Batters[[#All],[POS]],MATCH(Table5[[#This Row],[PID]],Batters[[#All],[PID]],0)),INDEX(Table3[[#All],[POS]],MATCH(Table5[[#This Row],[PID]],Table3[[#All],[PID]],0)))</f>
        <v>1B</v>
      </c>
      <c r="E1440" s="52" t="str">
        <f>IF($C1440="B",INDEX(Batters[[#All],[First]],MATCH(Table5[[#This Row],[PID]],Batters[[#All],[PID]],0)),INDEX(Table3[[#All],[First]],MATCH(Table5[[#This Row],[PID]],Table3[[#All],[PID]],0)))</f>
        <v>Yoshi</v>
      </c>
      <c r="F1440" s="50" t="str">
        <f>IF($C1440="B",INDEX(Batters[[#All],[Last]],MATCH(A1440,Batters[[#All],[PID]],0)),INDEX(Table3[[#All],[Last]],MATCH(A1440,Table3[[#All],[PID]],0)))</f>
        <v>Mizutani</v>
      </c>
      <c r="G1440" s="56">
        <f>IF($C1440="B",INDEX(Batters[[#All],[Age]],MATCH(Table5[[#This Row],[PID]],Batters[[#All],[PID]],0)),INDEX(Table3[[#All],[Age]],MATCH(Table5[[#This Row],[PID]],Table3[[#All],[PID]],0)))</f>
        <v>21</v>
      </c>
      <c r="H1440" s="52" t="str">
        <f>IF($C1440="B",INDEX(Batters[[#All],[B]],MATCH(Table5[[#This Row],[PID]],Batters[[#All],[PID]],0)),INDEX(Table3[[#All],[B]],MATCH(Table5[[#This Row],[PID]],Table3[[#All],[PID]],0)))</f>
        <v>L</v>
      </c>
      <c r="I1440" s="70" t="str">
        <f>IF($C1440="B",INDEX(Batters[[#All],[T]],MATCH(Table5[[#This Row],[PID]],Batters[[#All],[PID]],0)),INDEX(Table3[[#All],[T]],MATCH(Table5[[#This Row],[PID]],Table3[[#All],[PID]],0)))</f>
        <v>L</v>
      </c>
      <c r="J1440" s="52" t="str">
        <f>IF($C1440="B",INDEX(Batters[[#All],[WE]],MATCH(Table5[[#This Row],[PID]],Batters[[#All],[PID]],0)),INDEX(Table3[[#All],[WE]],MATCH(Table5[[#This Row],[PID]],Table3[[#All],[PID]],0)))</f>
        <v>Normal</v>
      </c>
      <c r="K1440" s="52" t="str">
        <f>IF($C1440="B",INDEX(Batters[[#All],[INT]],MATCH(Table5[[#This Row],[PID]],Batters[[#All],[PID]],0)),INDEX(Table3[[#All],[INT]],MATCH(Table5[[#This Row],[PID]],Table3[[#All],[PID]],0)))</f>
        <v>Normal</v>
      </c>
      <c r="L1440" s="60">
        <f>IF($C1440="B",INDEX(Batters[[#All],[CON P]],MATCH(Table5[[#This Row],[PID]],Batters[[#All],[PID]],0)),INDEX(Table3[[#All],[STU P]],MATCH(Table5[[#This Row],[PID]],Table3[[#All],[PID]],0)))</f>
        <v>4</v>
      </c>
      <c r="M1440" s="56">
        <f>IF($C1440="B",INDEX(Batters[[#All],[GAP P]],MATCH(Table5[[#This Row],[PID]],Batters[[#All],[PID]],0)),INDEX(Table3[[#All],[MOV P]],MATCH(Table5[[#This Row],[PID]],Table3[[#All],[PID]],0)))</f>
        <v>2</v>
      </c>
      <c r="N1440" s="56">
        <f>IF($C1440="B",INDEX(Batters[[#All],[POW P]],MATCH(Table5[[#This Row],[PID]],Batters[[#All],[PID]],0)),INDEX(Table3[[#All],[CON P]],MATCH(Table5[[#This Row],[PID]],Table3[[#All],[PID]],0)))</f>
        <v>2</v>
      </c>
      <c r="O1440" s="56">
        <f>IF($C1440="B",INDEX(Batters[[#All],[EYE P]],MATCH(Table5[[#This Row],[PID]],Batters[[#All],[PID]],0)),INDEX(Table3[[#All],[VELO]],MATCH(Table5[[#This Row],[PID]],Table3[[#All],[PID]],0)))</f>
        <v>1</v>
      </c>
      <c r="P1440" s="56">
        <f>IF($C1440="B",INDEX(Batters[[#All],[K P]],MATCH(Table5[[#This Row],[PID]],Batters[[#All],[PID]],0)),INDEX(Table3[[#All],[STM]],MATCH(Table5[[#This Row],[PID]],Table3[[#All],[PID]],0)))</f>
        <v>4</v>
      </c>
      <c r="Q1440" s="61">
        <f>IF($C1440="B",INDEX(Batters[[#All],[Tot]],MATCH(Table5[[#This Row],[PID]],Batters[[#All],[PID]],0)),INDEX(Table3[[#All],[Tot]],MATCH(Table5[[#This Row],[PID]],Table3[[#All],[PID]],0)))</f>
        <v>34.486063654513302</v>
      </c>
      <c r="R1440" s="70">
        <f>IF($C1440="B",INDEX(Batters[[#All],[zScore]],MATCH(Table5[[#This Row],[PID]],Batters[[#All],[PID]],0)),INDEX(Table3[[#All],[zScore]],MATCH(Table5[[#This Row],[PID]],Table3[[#All],[PID]],0)))</f>
        <v>-2.1385559241518108</v>
      </c>
      <c r="S1440" s="79" t="str">
        <f>IF($C1440="B",INDEX(Batters[[#All],[DEM]],MATCH(Table5[[#This Row],[PID]],Batters[[#All],[PID]],0)),INDEX(Table3[[#All],[DEM]],MATCH(Table5[[#This Row],[PID]],Table3[[#All],[PID]],0)))</f>
        <v>-</v>
      </c>
      <c r="T1440" s="62">
        <f>IF($C1440="B",INDEX(Batters[[#All],[Rnk]],MATCH(Table5[[#This Row],[PID]],Batters[[#All],[PID]],0)),INDEX(Table3[[#All],[Rnk]],MATCH(Table5[[#This Row],[PID]],Table3[[#All],[PID]],0)))</f>
        <v>655</v>
      </c>
      <c r="U1440" s="68">
        <f>IF($C1440="B",VLOOKUP($A1440,Bat!$A$4:$BA$1621,47,FALSE),VLOOKUP($A1440,Pit!$A$4:$BF$1557,56,FALSE))</f>
        <v>0</v>
      </c>
      <c r="V1440" s="50">
        <f>IF($C1440="B",VLOOKUP($A1440,Bat!$A$4:$BA$1621,48,FALSE),VLOOKUP($A1440,Pit!$A$4:$BF$1557,57,FALSE))</f>
        <v>0</v>
      </c>
      <c r="W1440" s="50">
        <f>Table5[[#This Row],[posRnk]]+Table5[[#This Row],[zRnk]]+IF($W$3&lt;&gt;Table5[[#This Row],[Type]],50,0)</f>
        <v>2138</v>
      </c>
      <c r="X1440" s="51">
        <f>RANK(Table5[[#This Row],[zScore]],Table5[[#All],[zScore]])</f>
        <v>1433</v>
      </c>
      <c r="Y1440" s="50" t="str">
        <f>IFERROR(INDEX(DraftResults[[#All],[OVR]],MATCH(Table5[[#This Row],[PID]],DraftResults[[#All],[Player ID]],0)),"")</f>
        <v/>
      </c>
      <c r="Z14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0" s="50" t="str">
        <f>IFERROR(INDEX(DraftResults[[#All],[Pick in Round]],MATCH(Table5[[#This Row],[PID]],DraftResults[[#All],[Player ID]],0)),"")</f>
        <v/>
      </c>
      <c r="AB1440" s="50" t="str">
        <f>IFERROR(INDEX(DraftResults[[#All],[Team Name]],MATCH(Table5[[#This Row],[PID]],DraftResults[[#All],[Player ID]],0)),"")</f>
        <v/>
      </c>
      <c r="AC1440" s="50" t="str">
        <f>IF(Table5[[#This Row],[Ovr]]="","",IF(Table5[[#This Row],[cmbList]]="","",Table5[[#This Row],[cmbList]]-Table5[[#This Row],[Ovr]]))</f>
        <v/>
      </c>
      <c r="AD1440" s="54" t="str">
        <f>IF(ISERROR(VLOOKUP($AB1440&amp;"-"&amp;$E1440&amp;" "&amp;F1440,Bonuses!$B$1:$G$1006,4,FALSE)),"",INT(VLOOKUP($AB1440&amp;"-"&amp;$E1440&amp;" "&amp;$F1440,Bonuses!$B$1:$G$1006,4,FALSE)))</f>
        <v/>
      </c>
      <c r="AE14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1" spans="1:31" x14ac:dyDescent="0.25">
      <c r="A1441" s="50">
        <v>18216</v>
      </c>
      <c r="B1441" s="50">
        <f>COUNTIF(Table5[PID],A1441)</f>
        <v>1</v>
      </c>
      <c r="C1441" s="50" t="str">
        <f>IF(COUNTIF(Table3[[#All],[PID]],A1441)&gt;0,"P","B")</f>
        <v>B</v>
      </c>
      <c r="D1441" s="59" t="str">
        <f>IF($C1441="B",INDEX(Batters[[#All],[POS]],MATCH(Table5[[#This Row],[PID]],Batters[[#All],[PID]],0)),INDEX(Table3[[#All],[POS]],MATCH(Table5[[#This Row],[PID]],Table3[[#All],[PID]],0)))</f>
        <v>C</v>
      </c>
      <c r="E1441" s="52" t="str">
        <f>IF($C1441="B",INDEX(Batters[[#All],[First]],MATCH(Table5[[#This Row],[PID]],Batters[[#All],[PID]],0)),INDEX(Table3[[#All],[First]],MATCH(Table5[[#This Row],[PID]],Table3[[#All],[PID]],0)))</f>
        <v>Brandon</v>
      </c>
      <c r="F1441" s="50" t="str">
        <f>IF($C1441="B",INDEX(Batters[[#All],[Last]],MATCH(A1441,Batters[[#All],[PID]],0)),INDEX(Table3[[#All],[Last]],MATCH(A1441,Table3[[#All],[PID]],0)))</f>
        <v>Mitchell</v>
      </c>
      <c r="G1441" s="56">
        <f>IF($C1441="B",INDEX(Batters[[#All],[Age]],MATCH(Table5[[#This Row],[PID]],Batters[[#All],[PID]],0)),INDEX(Table3[[#All],[Age]],MATCH(Table5[[#This Row],[PID]],Table3[[#All],[PID]],0)))</f>
        <v>18</v>
      </c>
      <c r="H1441" s="52" t="str">
        <f>IF($C1441="B",INDEX(Batters[[#All],[B]],MATCH(Table5[[#This Row],[PID]],Batters[[#All],[PID]],0)),INDEX(Table3[[#All],[B]],MATCH(Table5[[#This Row],[PID]],Table3[[#All],[PID]],0)))</f>
        <v>R</v>
      </c>
      <c r="I1441" s="70" t="str">
        <f>IF($C1441="B",INDEX(Batters[[#All],[T]],MATCH(Table5[[#This Row],[PID]],Batters[[#All],[PID]],0)),INDEX(Table3[[#All],[T]],MATCH(Table5[[#This Row],[PID]],Table3[[#All],[PID]],0)))</f>
        <v>R</v>
      </c>
      <c r="J1441" s="52" t="str">
        <f>IF($C1441="B",INDEX(Batters[[#All],[WE]],MATCH(Table5[[#This Row],[PID]],Batters[[#All],[PID]],0)),INDEX(Table3[[#All],[WE]],MATCH(Table5[[#This Row],[PID]],Table3[[#All],[PID]],0)))</f>
        <v>Low</v>
      </c>
      <c r="K1441" s="52" t="str">
        <f>IF($C1441="B",INDEX(Batters[[#All],[INT]],MATCH(Table5[[#This Row],[PID]],Batters[[#All],[PID]],0)),INDEX(Table3[[#All],[INT]],MATCH(Table5[[#This Row],[PID]],Table3[[#All],[PID]],0)))</f>
        <v>High</v>
      </c>
      <c r="L1441" s="60">
        <f>IF($C1441="B",INDEX(Batters[[#All],[CON P]],MATCH(Table5[[#This Row],[PID]],Batters[[#All],[PID]],0)),INDEX(Table3[[#All],[STU P]],MATCH(Table5[[#This Row],[PID]],Table3[[#All],[PID]],0)))</f>
        <v>2</v>
      </c>
      <c r="M1441" s="56">
        <f>IF($C1441="B",INDEX(Batters[[#All],[GAP P]],MATCH(Table5[[#This Row],[PID]],Batters[[#All],[PID]],0)),INDEX(Table3[[#All],[MOV P]],MATCH(Table5[[#This Row],[PID]],Table3[[#All],[PID]],0)))</f>
        <v>2</v>
      </c>
      <c r="N1441" s="56">
        <f>IF($C1441="B",INDEX(Batters[[#All],[POW P]],MATCH(Table5[[#This Row],[PID]],Batters[[#All],[PID]],0)),INDEX(Table3[[#All],[CON P]],MATCH(Table5[[#This Row],[PID]],Table3[[#All],[PID]],0)))</f>
        <v>2</v>
      </c>
      <c r="O1441" s="56">
        <f>IF($C1441="B",INDEX(Batters[[#All],[EYE P]],MATCH(Table5[[#This Row],[PID]],Batters[[#All],[PID]],0)),INDEX(Table3[[#All],[VELO]],MATCH(Table5[[#This Row],[PID]],Table3[[#All],[PID]],0)))</f>
        <v>4</v>
      </c>
      <c r="P1441" s="56">
        <f>IF($C1441="B",INDEX(Batters[[#All],[K P]],MATCH(Table5[[#This Row],[PID]],Batters[[#All],[PID]],0)),INDEX(Table3[[#All],[STM]],MATCH(Table5[[#This Row],[PID]],Table3[[#All],[PID]],0)))</f>
        <v>3</v>
      </c>
      <c r="Q1441" s="61">
        <f>IF($C1441="B",INDEX(Batters[[#All],[Tot]],MATCH(Table5[[#This Row],[PID]],Batters[[#All],[PID]],0)),INDEX(Table3[[#All],[Tot]],MATCH(Table5[[#This Row],[PID]],Table3[[#All],[PID]],0)))</f>
        <v>34.457814090587043</v>
      </c>
      <c r="R1441" s="70">
        <f>IF($C1441="B",INDEX(Batters[[#All],[zScore]],MATCH(Table5[[#This Row],[PID]],Batters[[#All],[PID]],0)),INDEX(Table3[[#All],[zScore]],MATCH(Table5[[#This Row],[PID]],Table3[[#All],[PID]],0)))</f>
        <v>-2.1448190434235932</v>
      </c>
      <c r="S1441" s="79" t="str">
        <f>IF($C1441="B",INDEX(Batters[[#All],[DEM]],MATCH(Table5[[#This Row],[PID]],Batters[[#All],[PID]],0)),INDEX(Table3[[#All],[DEM]],MATCH(Table5[[#This Row],[PID]],Table3[[#All],[PID]],0)))</f>
        <v>$65k</v>
      </c>
      <c r="T1441" s="62">
        <f>IF($C1441="B",INDEX(Batters[[#All],[Rnk]],MATCH(Table5[[#This Row],[PID]],Batters[[#All],[PID]],0)),INDEX(Table3[[#All],[Rnk]],MATCH(Table5[[#This Row],[PID]],Table3[[#All],[PID]],0)))</f>
        <v>656</v>
      </c>
      <c r="U1441" s="68">
        <f>IF($C1441="B",VLOOKUP($A1441,Bat!$A$4:$BA$1621,47,FALSE),VLOOKUP($A1441,Pit!$A$4:$BF$1557,56,FALSE))</f>
        <v>0</v>
      </c>
      <c r="V1441" s="50">
        <f>IF($C1441="B",VLOOKUP($A1441,Bat!$A$4:$BA$1621,48,FALSE),VLOOKUP($A1441,Pit!$A$4:$BF$1557,57,FALSE))</f>
        <v>0</v>
      </c>
      <c r="W1441" s="50">
        <f>Table5[[#This Row],[posRnk]]+Table5[[#This Row],[zRnk]]+IF($W$3&lt;&gt;Table5[[#This Row],[Type]],50,0)</f>
        <v>2140</v>
      </c>
      <c r="X1441" s="51">
        <f>RANK(Table5[[#This Row],[zScore]],Table5[[#All],[zScore]])</f>
        <v>1434</v>
      </c>
      <c r="Y1441" s="50" t="str">
        <f>IFERROR(INDEX(DraftResults[[#All],[OVR]],MATCH(Table5[[#This Row],[PID]],DraftResults[[#All],[Player ID]],0)),"")</f>
        <v/>
      </c>
      <c r="Z14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1" s="50" t="str">
        <f>IFERROR(INDEX(DraftResults[[#All],[Pick in Round]],MATCH(Table5[[#This Row],[PID]],DraftResults[[#All],[Player ID]],0)),"")</f>
        <v/>
      </c>
      <c r="AB1441" s="50" t="str">
        <f>IFERROR(INDEX(DraftResults[[#All],[Team Name]],MATCH(Table5[[#This Row],[PID]],DraftResults[[#All],[Player ID]],0)),"")</f>
        <v/>
      </c>
      <c r="AC1441" s="50" t="str">
        <f>IF(Table5[[#This Row],[Ovr]]="","",IF(Table5[[#This Row],[cmbList]]="","",Table5[[#This Row],[cmbList]]-Table5[[#This Row],[Ovr]]))</f>
        <v/>
      </c>
      <c r="AD1441" s="54" t="str">
        <f>IF(ISERROR(VLOOKUP($AB1441&amp;"-"&amp;$E1441&amp;" "&amp;F1441,Bonuses!$B$1:$G$1006,4,FALSE)),"",INT(VLOOKUP($AB1441&amp;"-"&amp;$E1441&amp;" "&amp;$F1441,Bonuses!$B$1:$G$1006,4,FALSE)))</f>
        <v/>
      </c>
      <c r="AE14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2" spans="1:31" x14ac:dyDescent="0.25">
      <c r="A1442" s="50">
        <v>20339</v>
      </c>
      <c r="B1442" s="55">
        <f>COUNTIF(Table5[PID],A1442)</f>
        <v>1</v>
      </c>
      <c r="C1442" s="55" t="str">
        <f>IF(COUNTIF(Table3[[#All],[PID]],A1442)&gt;0,"P","B")</f>
        <v>B</v>
      </c>
      <c r="D1442" s="59" t="str">
        <f>IF($C1442="B",INDEX(Batters[[#All],[POS]],MATCH(Table5[[#This Row],[PID]],Batters[[#All],[PID]],0)),INDEX(Table3[[#All],[POS]],MATCH(Table5[[#This Row],[PID]],Table3[[#All],[PID]],0)))</f>
        <v>C</v>
      </c>
      <c r="E1442" s="52" t="str">
        <f>IF($C1442="B",INDEX(Batters[[#All],[First]],MATCH(Table5[[#This Row],[PID]],Batters[[#All],[PID]],0)),INDEX(Table3[[#All],[First]],MATCH(Table5[[#This Row],[PID]],Table3[[#All],[PID]],0)))</f>
        <v>Trent</v>
      </c>
      <c r="F1442" s="50" t="str">
        <f>IF($C1442="B",INDEX(Batters[[#All],[Last]],MATCH(A1442,Batters[[#All],[PID]],0)),INDEX(Table3[[#All],[Last]],MATCH(A1442,Table3[[#All],[PID]],0)))</f>
        <v>O'brien</v>
      </c>
      <c r="G1442" s="56">
        <f>IF($C1442="B",INDEX(Batters[[#All],[Age]],MATCH(Table5[[#This Row],[PID]],Batters[[#All],[PID]],0)),INDEX(Table3[[#All],[Age]],MATCH(Table5[[#This Row],[PID]],Table3[[#All],[PID]],0)))</f>
        <v>18</v>
      </c>
      <c r="H1442" s="52" t="str">
        <f>IF($C1442="B",INDEX(Batters[[#All],[B]],MATCH(Table5[[#This Row],[PID]],Batters[[#All],[PID]],0)),INDEX(Table3[[#All],[B]],MATCH(Table5[[#This Row],[PID]],Table3[[#All],[PID]],0)))</f>
        <v>L</v>
      </c>
      <c r="I1442" s="70" t="str">
        <f>IF($C1442="B",INDEX(Batters[[#All],[T]],MATCH(Table5[[#This Row],[PID]],Batters[[#All],[PID]],0)),INDEX(Table3[[#All],[T]],MATCH(Table5[[#This Row],[PID]],Table3[[#All],[PID]],0)))</f>
        <v>R</v>
      </c>
      <c r="J1442" s="52" t="str">
        <f>IF($C1442="B",INDEX(Batters[[#All],[WE]],MATCH(Table5[[#This Row],[PID]],Batters[[#All],[PID]],0)),INDEX(Table3[[#All],[WE]],MATCH(Table5[[#This Row],[PID]],Table3[[#All],[PID]],0)))</f>
        <v>Normal</v>
      </c>
      <c r="K1442" s="52" t="str">
        <f>IF($C1442="B",INDEX(Batters[[#All],[INT]],MATCH(Table5[[#This Row],[PID]],Batters[[#All],[PID]],0)),INDEX(Table3[[#All],[INT]],MATCH(Table5[[#This Row],[PID]],Table3[[#All],[PID]],0)))</f>
        <v>Normal</v>
      </c>
      <c r="L1442" s="60">
        <f>IF($C1442="B",INDEX(Batters[[#All],[CON P]],MATCH(Table5[[#This Row],[PID]],Batters[[#All],[PID]],0)),INDEX(Table3[[#All],[STU P]],MATCH(Table5[[#This Row],[PID]],Table3[[#All],[PID]],0)))</f>
        <v>2</v>
      </c>
      <c r="M1442" s="56">
        <f>IF($C1442="B",INDEX(Batters[[#All],[GAP P]],MATCH(Table5[[#This Row],[PID]],Batters[[#All],[PID]],0)),INDEX(Table3[[#All],[MOV P]],MATCH(Table5[[#This Row],[PID]],Table3[[#All],[PID]],0)))</f>
        <v>3</v>
      </c>
      <c r="N1442" s="56">
        <f>IF($C1442="B",INDEX(Batters[[#All],[POW P]],MATCH(Table5[[#This Row],[PID]],Batters[[#All],[PID]],0)),INDEX(Table3[[#All],[CON P]],MATCH(Table5[[#This Row],[PID]],Table3[[#All],[PID]],0)))</f>
        <v>2</v>
      </c>
      <c r="O1442" s="56">
        <f>IF($C1442="B",INDEX(Batters[[#All],[EYE P]],MATCH(Table5[[#This Row],[PID]],Batters[[#All],[PID]],0)),INDEX(Table3[[#All],[VELO]],MATCH(Table5[[#This Row],[PID]],Table3[[#All],[PID]],0)))</f>
        <v>4</v>
      </c>
      <c r="P1442" s="56">
        <f>IF($C1442="B",INDEX(Batters[[#All],[K P]],MATCH(Table5[[#This Row],[PID]],Batters[[#All],[PID]],0)),INDEX(Table3[[#All],[STM]],MATCH(Table5[[#This Row],[PID]],Table3[[#All],[PID]],0)))</f>
        <v>2</v>
      </c>
      <c r="Q1442" s="61">
        <f>IF($C1442="B",INDEX(Batters[[#All],[Tot]],MATCH(Table5[[#This Row],[PID]],Batters[[#All],[PID]],0)),INDEX(Table3[[#All],[Tot]],MATCH(Table5[[#This Row],[PID]],Table3[[#All],[PID]],0)))</f>
        <v>34.449307523207445</v>
      </c>
      <c r="R1442" s="70">
        <f>IF($C1442="B",INDEX(Batters[[#All],[zScore]],MATCH(Table5[[#This Row],[PID]],Batters[[#All],[PID]],0)),INDEX(Table3[[#All],[zScore]],MATCH(Table5[[#This Row],[PID]],Table3[[#All],[PID]],0)))</f>
        <v>-2.1467050069107092</v>
      </c>
      <c r="S1442" s="79" t="str">
        <f>IF($C1442="B",INDEX(Batters[[#All],[DEM]],MATCH(Table5[[#This Row],[PID]],Batters[[#All],[PID]],0)),INDEX(Table3[[#All],[DEM]],MATCH(Table5[[#This Row],[PID]],Table3[[#All],[PID]],0)))</f>
        <v>$75k</v>
      </c>
      <c r="T1442" s="62">
        <f>IF($C1442="B",INDEX(Batters[[#All],[Rnk]],MATCH(Table5[[#This Row],[PID]],Batters[[#All],[PID]],0)),INDEX(Table3[[#All],[Rnk]],MATCH(Table5[[#This Row],[PID]],Table3[[#All],[PID]],0)))</f>
        <v>657</v>
      </c>
      <c r="U1442" s="68">
        <f>IF($C1442="B",VLOOKUP($A1442,Bat!$A$4:$BA$1621,47,FALSE),VLOOKUP($A1442,Pit!$A$4:$BF$1557,56,FALSE))</f>
        <v>0</v>
      </c>
      <c r="V1442" s="50">
        <f>IF($C1442="B",VLOOKUP($A1442,Bat!$A$4:$BA$1621,48,FALSE),VLOOKUP($A1442,Pit!$A$4:$BF$1557,57,FALSE))</f>
        <v>0</v>
      </c>
      <c r="W1442" s="50">
        <f>Table5[[#This Row],[posRnk]]+Table5[[#This Row],[zRnk]]+IF($W$3&lt;&gt;Table5[[#This Row],[Type]],50,0)</f>
        <v>2142</v>
      </c>
      <c r="X1442" s="51">
        <f>RANK(Table5[[#This Row],[zScore]],Table5[[#All],[zScore]])</f>
        <v>1435</v>
      </c>
      <c r="Y1442" s="50" t="str">
        <f>IFERROR(INDEX(DraftResults[[#All],[OVR]],MATCH(Table5[[#This Row],[PID]],DraftResults[[#All],[Player ID]],0)),"")</f>
        <v/>
      </c>
      <c r="Z14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2" s="50" t="str">
        <f>IFERROR(INDEX(DraftResults[[#All],[Pick in Round]],MATCH(Table5[[#This Row],[PID]],DraftResults[[#All],[Player ID]],0)),"")</f>
        <v/>
      </c>
      <c r="AB1442" s="50" t="str">
        <f>IFERROR(INDEX(DraftResults[[#All],[Team Name]],MATCH(Table5[[#This Row],[PID]],DraftResults[[#All],[Player ID]],0)),"")</f>
        <v/>
      </c>
      <c r="AC1442" s="50" t="str">
        <f>IF(Table5[[#This Row],[Ovr]]="","",IF(Table5[[#This Row],[cmbList]]="","",Table5[[#This Row],[cmbList]]-Table5[[#This Row],[Ovr]]))</f>
        <v/>
      </c>
      <c r="AD1442" s="54" t="str">
        <f>IF(ISERROR(VLOOKUP($AB1442&amp;"-"&amp;$E1442&amp;" "&amp;F1442,Bonuses!$B$1:$G$1006,4,FALSE)),"",INT(VLOOKUP($AB1442&amp;"-"&amp;$E1442&amp;" "&amp;$F1442,Bonuses!$B$1:$G$1006,4,FALSE)))</f>
        <v/>
      </c>
      <c r="AE14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3" spans="1:31" x14ac:dyDescent="0.25">
      <c r="A1443" s="50">
        <v>5246</v>
      </c>
      <c r="B1443" s="50">
        <f>COUNTIF(Table5[PID],A1443)</f>
        <v>1</v>
      </c>
      <c r="C1443" s="50" t="str">
        <f>IF(COUNTIF(Table3[[#All],[PID]],A1443)&gt;0,"P","B")</f>
        <v>B</v>
      </c>
      <c r="D1443" s="59" t="str">
        <f>IF($C1443="B",INDEX(Batters[[#All],[POS]],MATCH(Table5[[#This Row],[PID]],Batters[[#All],[PID]],0)),INDEX(Table3[[#All],[POS]],MATCH(Table5[[#This Row],[PID]],Table3[[#All],[PID]],0)))</f>
        <v>3B</v>
      </c>
      <c r="E1443" s="52" t="str">
        <f>IF($C1443="B",INDEX(Batters[[#All],[First]],MATCH(Table5[[#This Row],[PID]],Batters[[#All],[PID]],0)),INDEX(Table3[[#All],[First]],MATCH(Table5[[#This Row],[PID]],Table3[[#All],[PID]],0)))</f>
        <v>Rob</v>
      </c>
      <c r="F1443" s="50" t="str">
        <f>IF($C1443="B",INDEX(Batters[[#All],[Last]],MATCH(A1443,Batters[[#All],[PID]],0)),INDEX(Table3[[#All],[Last]],MATCH(A1443,Table3[[#All],[PID]],0)))</f>
        <v>Johnston</v>
      </c>
      <c r="G1443" s="56">
        <f>IF($C1443="B",INDEX(Batters[[#All],[Age]],MATCH(Table5[[#This Row],[PID]],Batters[[#All],[PID]],0)),INDEX(Table3[[#All],[Age]],MATCH(Table5[[#This Row],[PID]],Table3[[#All],[PID]],0)))</f>
        <v>21</v>
      </c>
      <c r="H1443" s="52" t="str">
        <f>IF($C1443="B",INDEX(Batters[[#All],[B]],MATCH(Table5[[#This Row],[PID]],Batters[[#All],[PID]],0)),INDEX(Table3[[#All],[B]],MATCH(Table5[[#This Row],[PID]],Table3[[#All],[PID]],0)))</f>
        <v>R</v>
      </c>
      <c r="I1443" s="70" t="str">
        <f>IF($C1443="B",INDEX(Batters[[#All],[T]],MATCH(Table5[[#This Row],[PID]],Batters[[#All],[PID]],0)),INDEX(Table3[[#All],[T]],MATCH(Table5[[#This Row],[PID]],Table3[[#All],[PID]],0)))</f>
        <v>R</v>
      </c>
      <c r="J1443" s="52" t="str">
        <f>IF($C1443="B",INDEX(Batters[[#All],[WE]],MATCH(Table5[[#This Row],[PID]],Batters[[#All],[PID]],0)),INDEX(Table3[[#All],[WE]],MATCH(Table5[[#This Row],[PID]],Table3[[#All],[PID]],0)))</f>
        <v>Low</v>
      </c>
      <c r="K1443" s="52" t="str">
        <f>IF($C1443="B",INDEX(Batters[[#All],[INT]],MATCH(Table5[[#This Row],[PID]],Batters[[#All],[PID]],0)),INDEX(Table3[[#All],[INT]],MATCH(Table5[[#This Row],[PID]],Table3[[#All],[PID]],0)))</f>
        <v>Normal</v>
      </c>
      <c r="L1443" s="60">
        <f>IF($C1443="B",INDEX(Batters[[#All],[CON P]],MATCH(Table5[[#This Row],[PID]],Batters[[#All],[PID]],0)),INDEX(Table3[[#All],[STU P]],MATCH(Table5[[#This Row],[PID]],Table3[[#All],[PID]],0)))</f>
        <v>3</v>
      </c>
      <c r="M1443" s="56">
        <f>IF($C1443="B",INDEX(Batters[[#All],[GAP P]],MATCH(Table5[[#This Row],[PID]],Batters[[#All],[PID]],0)),INDEX(Table3[[#All],[MOV P]],MATCH(Table5[[#This Row],[PID]],Table3[[#All],[PID]],0)))</f>
        <v>2</v>
      </c>
      <c r="N1443" s="56">
        <f>IF($C1443="B",INDEX(Batters[[#All],[POW P]],MATCH(Table5[[#This Row],[PID]],Batters[[#All],[PID]],0)),INDEX(Table3[[#All],[CON P]],MATCH(Table5[[#This Row],[PID]],Table3[[#All],[PID]],0)))</f>
        <v>2</v>
      </c>
      <c r="O1443" s="56">
        <f>IF($C1443="B",INDEX(Batters[[#All],[EYE P]],MATCH(Table5[[#This Row],[PID]],Batters[[#All],[PID]],0)),INDEX(Table3[[#All],[VELO]],MATCH(Table5[[#This Row],[PID]],Table3[[#All],[PID]],0)))</f>
        <v>4</v>
      </c>
      <c r="P1443" s="56">
        <f>IF($C1443="B",INDEX(Batters[[#All],[K P]],MATCH(Table5[[#This Row],[PID]],Batters[[#All],[PID]],0)),INDEX(Table3[[#All],[STM]],MATCH(Table5[[#This Row],[PID]],Table3[[#All],[PID]],0)))</f>
        <v>4</v>
      </c>
      <c r="Q1443" s="61">
        <f>IF($C1443="B",INDEX(Batters[[#All],[Tot]],MATCH(Table5[[#This Row],[PID]],Batters[[#All],[PID]],0)),INDEX(Table3[[#All],[Tot]],MATCH(Table5[[#This Row],[PID]],Table3[[#All],[PID]],0)))</f>
        <v>34.434317824491771</v>
      </c>
      <c r="R1443" s="70">
        <f>IF($C1443="B",INDEX(Batters[[#All],[zScore]],MATCH(Table5[[#This Row],[PID]],Batters[[#All],[PID]],0)),INDEX(Table3[[#All],[zScore]],MATCH(Table5[[#This Row],[PID]],Table3[[#All],[PID]],0)))</f>
        <v>-2.150028324436934</v>
      </c>
      <c r="S1443" s="79" t="str">
        <f>IF($C1443="B",INDEX(Batters[[#All],[DEM]],MATCH(Table5[[#This Row],[PID]],Batters[[#All],[PID]],0)),INDEX(Table3[[#All],[DEM]],MATCH(Table5[[#This Row],[PID]],Table3[[#All],[PID]],0)))</f>
        <v>-</v>
      </c>
      <c r="T1443" s="62">
        <f>IF($C1443="B",INDEX(Batters[[#All],[Rnk]],MATCH(Table5[[#This Row],[PID]],Batters[[#All],[PID]],0)),INDEX(Table3[[#All],[Rnk]],MATCH(Table5[[#This Row],[PID]],Table3[[#All],[PID]],0)))</f>
        <v>658</v>
      </c>
      <c r="U1443" s="68">
        <f>IF($C1443="B",VLOOKUP($A1443,Bat!$A$4:$BA$1621,47,FALSE),VLOOKUP($A1443,Pit!$A$4:$BF$1557,56,FALSE))</f>
        <v>0</v>
      </c>
      <c r="V1443" s="50">
        <f>IF($C1443="B",VLOOKUP($A1443,Bat!$A$4:$BA$1621,48,FALSE),VLOOKUP($A1443,Pit!$A$4:$BF$1557,57,FALSE))</f>
        <v>0</v>
      </c>
      <c r="W1443" s="50">
        <f>Table5[[#This Row],[posRnk]]+Table5[[#This Row],[zRnk]]+IF($W$3&lt;&gt;Table5[[#This Row],[Type]],50,0)</f>
        <v>2144</v>
      </c>
      <c r="X1443" s="51">
        <f>RANK(Table5[[#This Row],[zScore]],Table5[[#All],[zScore]])</f>
        <v>1436</v>
      </c>
      <c r="Y1443" s="50" t="str">
        <f>IFERROR(INDEX(DraftResults[[#All],[OVR]],MATCH(Table5[[#This Row],[PID]],DraftResults[[#All],[Player ID]],0)),"")</f>
        <v/>
      </c>
      <c r="Z14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3" s="50" t="str">
        <f>IFERROR(INDEX(DraftResults[[#All],[Pick in Round]],MATCH(Table5[[#This Row],[PID]],DraftResults[[#All],[Player ID]],0)),"")</f>
        <v/>
      </c>
      <c r="AB1443" s="50" t="str">
        <f>IFERROR(INDEX(DraftResults[[#All],[Team Name]],MATCH(Table5[[#This Row],[PID]],DraftResults[[#All],[Player ID]],0)),"")</f>
        <v/>
      </c>
      <c r="AC1443" s="50" t="str">
        <f>IF(Table5[[#This Row],[Ovr]]="","",IF(Table5[[#This Row],[cmbList]]="","",Table5[[#This Row],[cmbList]]-Table5[[#This Row],[Ovr]]))</f>
        <v/>
      </c>
      <c r="AD1443" s="54" t="str">
        <f>IF(ISERROR(VLOOKUP($AB1443&amp;"-"&amp;$E1443&amp;" "&amp;F1443,Bonuses!$B$1:$G$1006,4,FALSE)),"",INT(VLOOKUP($AB1443&amp;"-"&amp;$E1443&amp;" "&amp;$F1443,Bonuses!$B$1:$G$1006,4,FALSE)))</f>
        <v/>
      </c>
      <c r="AE14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4" spans="1:31" x14ac:dyDescent="0.25">
      <c r="A1444" s="50">
        <v>9504</v>
      </c>
      <c r="B1444" s="50">
        <f>COUNTIF(Table5[PID],A1444)</f>
        <v>1</v>
      </c>
      <c r="C1444" s="50" t="str">
        <f>IF(COUNTIF(Table3[[#All],[PID]],A1444)&gt;0,"P","B")</f>
        <v>B</v>
      </c>
      <c r="D1444" s="59" t="str">
        <f>IF($C1444="B",INDEX(Batters[[#All],[POS]],MATCH(Table5[[#This Row],[PID]],Batters[[#All],[PID]],0)),INDEX(Table3[[#All],[POS]],MATCH(Table5[[#This Row],[PID]],Table3[[#All],[PID]],0)))</f>
        <v>RF</v>
      </c>
      <c r="E1444" s="52" t="str">
        <f>IF($C1444="B",INDEX(Batters[[#All],[First]],MATCH(Table5[[#This Row],[PID]],Batters[[#All],[PID]],0)),INDEX(Table3[[#All],[First]],MATCH(Table5[[#This Row],[PID]],Table3[[#All],[PID]],0)))</f>
        <v>Craig</v>
      </c>
      <c r="F1444" s="50" t="str">
        <f>IF($C1444="B",INDEX(Batters[[#All],[Last]],MATCH(A1444,Batters[[#All],[PID]],0)),INDEX(Table3[[#All],[Last]],MATCH(A1444,Table3[[#All],[PID]],0)))</f>
        <v>Ayala</v>
      </c>
      <c r="G1444" s="56">
        <f>IF($C1444="B",INDEX(Batters[[#All],[Age]],MATCH(Table5[[#This Row],[PID]],Batters[[#All],[PID]],0)),INDEX(Table3[[#All],[Age]],MATCH(Table5[[#This Row],[PID]],Table3[[#All],[PID]],0)))</f>
        <v>21</v>
      </c>
      <c r="H1444" s="52" t="str">
        <f>IF($C1444="B",INDEX(Batters[[#All],[B]],MATCH(Table5[[#This Row],[PID]],Batters[[#All],[PID]],0)),INDEX(Table3[[#All],[B]],MATCH(Table5[[#This Row],[PID]],Table3[[#All],[PID]],0)))</f>
        <v>R</v>
      </c>
      <c r="I1444" s="70" t="str">
        <f>IF($C1444="B",INDEX(Batters[[#All],[T]],MATCH(Table5[[#This Row],[PID]],Batters[[#All],[PID]],0)),INDEX(Table3[[#All],[T]],MATCH(Table5[[#This Row],[PID]],Table3[[#All],[PID]],0)))</f>
        <v>R</v>
      </c>
      <c r="J1444" s="52" t="str">
        <f>IF($C1444="B",INDEX(Batters[[#All],[WE]],MATCH(Table5[[#This Row],[PID]],Batters[[#All],[PID]],0)),INDEX(Table3[[#All],[WE]],MATCH(Table5[[#This Row],[PID]],Table3[[#All],[PID]],0)))</f>
        <v>High</v>
      </c>
      <c r="K1444" s="52" t="str">
        <f>IF($C1444="B",INDEX(Batters[[#All],[INT]],MATCH(Table5[[#This Row],[PID]],Batters[[#All],[PID]],0)),INDEX(Table3[[#All],[INT]],MATCH(Table5[[#This Row],[PID]],Table3[[#All],[PID]],0)))</f>
        <v>Normal</v>
      </c>
      <c r="L1444" s="60">
        <f>IF($C1444="B",INDEX(Batters[[#All],[CON P]],MATCH(Table5[[#This Row],[PID]],Batters[[#All],[PID]],0)),INDEX(Table3[[#All],[STU P]],MATCH(Table5[[#This Row],[PID]],Table3[[#All],[PID]],0)))</f>
        <v>3</v>
      </c>
      <c r="M1444" s="56">
        <f>IF($C1444="B",INDEX(Batters[[#All],[GAP P]],MATCH(Table5[[#This Row],[PID]],Batters[[#All],[PID]],0)),INDEX(Table3[[#All],[MOV P]],MATCH(Table5[[#This Row],[PID]],Table3[[#All],[PID]],0)))</f>
        <v>3</v>
      </c>
      <c r="N1444" s="56">
        <f>IF($C1444="B",INDEX(Batters[[#All],[POW P]],MATCH(Table5[[#This Row],[PID]],Batters[[#All],[PID]],0)),INDEX(Table3[[#All],[CON P]],MATCH(Table5[[#This Row],[PID]],Table3[[#All],[PID]],0)))</f>
        <v>2</v>
      </c>
      <c r="O1444" s="56">
        <f>IF($C1444="B",INDEX(Batters[[#All],[EYE P]],MATCH(Table5[[#This Row],[PID]],Batters[[#All],[PID]],0)),INDEX(Table3[[#All],[VELO]],MATCH(Table5[[#This Row],[PID]],Table3[[#All],[PID]],0)))</f>
        <v>4</v>
      </c>
      <c r="P1444" s="56">
        <f>IF($C1444="B",INDEX(Batters[[#All],[K P]],MATCH(Table5[[#This Row],[PID]],Batters[[#All],[PID]],0)),INDEX(Table3[[#All],[STM]],MATCH(Table5[[#This Row],[PID]],Table3[[#All],[PID]],0)))</f>
        <v>3</v>
      </c>
      <c r="Q1444" s="61">
        <f>IF($C1444="B",INDEX(Batters[[#All],[Tot]],MATCH(Table5[[#This Row],[PID]],Batters[[#All],[PID]],0)),INDEX(Table3[[#All],[Tot]],MATCH(Table5[[#This Row],[PID]],Table3[[#All],[PID]],0)))</f>
        <v>34.40786934711025</v>
      </c>
      <c r="R1444" s="70">
        <f>IF($C1444="B",INDEX(Batters[[#All],[zScore]],MATCH(Table5[[#This Row],[PID]],Batters[[#All],[PID]],0)),INDEX(Table3[[#All],[zScore]],MATCH(Table5[[#This Row],[PID]],Table3[[#All],[PID]],0)))</f>
        <v>-2.1558921306475329</v>
      </c>
      <c r="S1444" s="79" t="str">
        <f>IF($C1444="B",INDEX(Batters[[#All],[DEM]],MATCH(Table5[[#This Row],[PID]],Batters[[#All],[PID]],0)),INDEX(Table3[[#All],[DEM]],MATCH(Table5[[#This Row],[PID]],Table3[[#All],[PID]],0)))</f>
        <v>-</v>
      </c>
      <c r="T1444" s="62">
        <f>IF($C1444="B",INDEX(Batters[[#All],[Rnk]],MATCH(Table5[[#This Row],[PID]],Batters[[#All],[PID]],0)),INDEX(Table3[[#All],[Rnk]],MATCH(Table5[[#This Row],[PID]],Table3[[#All],[PID]],0)))</f>
        <v>659</v>
      </c>
      <c r="U1444" s="68">
        <f>IF($C1444="B",VLOOKUP($A1444,Bat!$A$4:$BA$1621,47,FALSE),VLOOKUP($A1444,Pit!$A$4:$BF$1557,56,FALSE))</f>
        <v>0</v>
      </c>
      <c r="V1444" s="50">
        <f>IF($C1444="B",VLOOKUP($A1444,Bat!$A$4:$BA$1621,48,FALSE),VLOOKUP($A1444,Pit!$A$4:$BF$1557,57,FALSE))</f>
        <v>0</v>
      </c>
      <c r="W1444" s="50">
        <f>Table5[[#This Row],[posRnk]]+Table5[[#This Row],[zRnk]]+IF($W$3&lt;&gt;Table5[[#This Row],[Type]],50,0)</f>
        <v>2146</v>
      </c>
      <c r="X1444" s="51">
        <f>RANK(Table5[[#This Row],[zScore]],Table5[[#All],[zScore]])</f>
        <v>1437</v>
      </c>
      <c r="Y1444" s="50" t="str">
        <f>IFERROR(INDEX(DraftResults[[#All],[OVR]],MATCH(Table5[[#This Row],[PID]],DraftResults[[#All],[Player ID]],0)),"")</f>
        <v/>
      </c>
      <c r="Z144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4" s="50" t="str">
        <f>IFERROR(INDEX(DraftResults[[#All],[Pick in Round]],MATCH(Table5[[#This Row],[PID]],DraftResults[[#All],[Player ID]],0)),"")</f>
        <v/>
      </c>
      <c r="AB1444" s="50" t="str">
        <f>IFERROR(INDEX(DraftResults[[#All],[Team Name]],MATCH(Table5[[#This Row],[PID]],DraftResults[[#All],[Player ID]],0)),"")</f>
        <v/>
      </c>
      <c r="AC1444" s="50" t="str">
        <f>IF(Table5[[#This Row],[Ovr]]="","",IF(Table5[[#This Row],[cmbList]]="","",Table5[[#This Row],[cmbList]]-Table5[[#This Row],[Ovr]]))</f>
        <v/>
      </c>
      <c r="AD1444" s="54" t="str">
        <f>IF(ISERROR(VLOOKUP($AB1444&amp;"-"&amp;$E1444&amp;" "&amp;F1444,Bonuses!$B$1:$G$1006,4,FALSE)),"",INT(VLOOKUP($AB1444&amp;"-"&amp;$E1444&amp;" "&amp;$F1444,Bonuses!$B$1:$G$1006,4,FALSE)))</f>
        <v/>
      </c>
      <c r="AE144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5" spans="1:31" x14ac:dyDescent="0.25">
      <c r="A1445" s="50">
        <v>17964</v>
      </c>
      <c r="B1445" s="50">
        <f>COUNTIF(Table5[PID],A1445)</f>
        <v>1</v>
      </c>
      <c r="C1445" s="50" t="str">
        <f>IF(COUNTIF(Table3[[#All],[PID]],A1445)&gt;0,"P","B")</f>
        <v>B</v>
      </c>
      <c r="D1445" s="59" t="str">
        <f>IF($C1445="B",INDEX(Batters[[#All],[POS]],MATCH(Table5[[#This Row],[PID]],Batters[[#All],[PID]],0)),INDEX(Table3[[#All],[POS]],MATCH(Table5[[#This Row],[PID]],Table3[[#All],[PID]],0)))</f>
        <v>C</v>
      </c>
      <c r="E1445" s="52" t="str">
        <f>IF($C1445="B",INDEX(Batters[[#All],[First]],MATCH(Table5[[#This Row],[PID]],Batters[[#All],[PID]],0)),INDEX(Table3[[#All],[First]],MATCH(Table5[[#This Row],[PID]],Table3[[#All],[PID]],0)))</f>
        <v>Júlio</v>
      </c>
      <c r="F1445" s="50" t="str">
        <f>IF($C1445="B",INDEX(Batters[[#All],[Last]],MATCH(A1445,Batters[[#All],[PID]],0)),INDEX(Table3[[#All],[Last]],MATCH(A1445,Table3[[#All],[PID]],0)))</f>
        <v>Muñíz</v>
      </c>
      <c r="G1445" s="56">
        <f>IF($C1445="B",INDEX(Batters[[#All],[Age]],MATCH(Table5[[#This Row],[PID]],Batters[[#All],[PID]],0)),INDEX(Table3[[#All],[Age]],MATCH(Table5[[#This Row],[PID]],Table3[[#All],[PID]],0)))</f>
        <v>21</v>
      </c>
      <c r="H1445" s="52" t="str">
        <f>IF($C1445="B",INDEX(Batters[[#All],[B]],MATCH(Table5[[#This Row],[PID]],Batters[[#All],[PID]],0)),INDEX(Table3[[#All],[B]],MATCH(Table5[[#This Row],[PID]],Table3[[#All],[PID]],0)))</f>
        <v>R</v>
      </c>
      <c r="I1445" s="70" t="str">
        <f>IF($C1445="B",INDEX(Batters[[#All],[T]],MATCH(Table5[[#This Row],[PID]],Batters[[#All],[PID]],0)),INDEX(Table3[[#All],[T]],MATCH(Table5[[#This Row],[PID]],Table3[[#All],[PID]],0)))</f>
        <v>R</v>
      </c>
      <c r="J1445" s="52" t="str">
        <f>IF($C1445="B",INDEX(Batters[[#All],[WE]],MATCH(Table5[[#This Row],[PID]],Batters[[#All],[PID]],0)),INDEX(Table3[[#All],[WE]],MATCH(Table5[[#This Row],[PID]],Table3[[#All],[PID]],0)))</f>
        <v>Low</v>
      </c>
      <c r="K1445" s="52" t="str">
        <f>IF($C1445="B",INDEX(Batters[[#All],[INT]],MATCH(Table5[[#This Row],[PID]],Batters[[#All],[PID]],0)),INDEX(Table3[[#All],[INT]],MATCH(Table5[[#This Row],[PID]],Table3[[#All],[PID]],0)))</f>
        <v>Normal</v>
      </c>
      <c r="L1445" s="60">
        <f>IF($C1445="B",INDEX(Batters[[#All],[CON P]],MATCH(Table5[[#This Row],[PID]],Batters[[#All],[PID]],0)),INDEX(Table3[[#All],[STU P]],MATCH(Table5[[#This Row],[PID]],Table3[[#All],[PID]],0)))</f>
        <v>3</v>
      </c>
      <c r="M1445" s="56">
        <f>IF($C1445="B",INDEX(Batters[[#All],[GAP P]],MATCH(Table5[[#This Row],[PID]],Batters[[#All],[PID]],0)),INDEX(Table3[[#All],[MOV P]],MATCH(Table5[[#This Row],[PID]],Table3[[#All],[PID]],0)))</f>
        <v>3</v>
      </c>
      <c r="N1445" s="56">
        <f>IF($C1445="B",INDEX(Batters[[#All],[POW P]],MATCH(Table5[[#This Row],[PID]],Batters[[#All],[PID]],0)),INDEX(Table3[[#All],[CON P]],MATCH(Table5[[#This Row],[PID]],Table3[[#All],[PID]],0)))</f>
        <v>3</v>
      </c>
      <c r="O1445" s="56">
        <f>IF($C1445="B",INDEX(Batters[[#All],[EYE P]],MATCH(Table5[[#This Row],[PID]],Batters[[#All],[PID]],0)),INDEX(Table3[[#All],[VELO]],MATCH(Table5[[#This Row],[PID]],Table3[[#All],[PID]],0)))</f>
        <v>4</v>
      </c>
      <c r="P1445" s="56">
        <f>IF($C1445="B",INDEX(Batters[[#All],[K P]],MATCH(Table5[[#This Row],[PID]],Batters[[#All],[PID]],0)),INDEX(Table3[[#All],[STM]],MATCH(Table5[[#This Row],[PID]],Table3[[#All],[PID]],0)))</f>
        <v>2</v>
      </c>
      <c r="Q1445" s="61">
        <f>IF($C1445="B",INDEX(Batters[[#All],[Tot]],MATCH(Table5[[#This Row],[PID]],Batters[[#All],[PID]],0)),INDEX(Table3[[#All],[Tot]],MATCH(Table5[[#This Row],[PID]],Table3[[#All],[PID]],0)))</f>
        <v>34.35004881925969</v>
      </c>
      <c r="R1445" s="70">
        <f>IF($C1445="B",INDEX(Batters[[#All],[zScore]],MATCH(Table5[[#This Row],[PID]],Batters[[#All],[PID]],0)),INDEX(Table3[[#All],[zScore]],MATCH(Table5[[#This Row],[PID]],Table3[[#All],[PID]],0)))</f>
        <v>-2.1687113325024985</v>
      </c>
      <c r="S1445" s="79" t="str">
        <f>IF($C1445="B",INDEX(Batters[[#All],[DEM]],MATCH(Table5[[#This Row],[PID]],Batters[[#All],[PID]],0)),INDEX(Table3[[#All],[DEM]],MATCH(Table5[[#This Row],[PID]],Table3[[#All],[PID]],0)))</f>
        <v>-</v>
      </c>
      <c r="T1445" s="62">
        <f>IF($C1445="B",INDEX(Batters[[#All],[Rnk]],MATCH(Table5[[#This Row],[PID]],Batters[[#All],[PID]],0)),INDEX(Table3[[#All],[Rnk]],MATCH(Table5[[#This Row],[PID]],Table3[[#All],[PID]],0)))</f>
        <v>660</v>
      </c>
      <c r="U1445" s="68">
        <f>IF($C1445="B",VLOOKUP($A1445,Bat!$A$4:$BA$1621,47,FALSE),VLOOKUP($A1445,Pit!$A$4:$BF$1557,56,FALSE))</f>
        <v>0</v>
      </c>
      <c r="V1445" s="50">
        <f>IF($C1445="B",VLOOKUP($A1445,Bat!$A$4:$BA$1621,48,FALSE),VLOOKUP($A1445,Pit!$A$4:$BF$1557,57,FALSE))</f>
        <v>0</v>
      </c>
      <c r="W1445" s="50">
        <f>Table5[[#This Row],[posRnk]]+Table5[[#This Row],[zRnk]]+IF($W$3&lt;&gt;Table5[[#This Row],[Type]],50,0)</f>
        <v>2148</v>
      </c>
      <c r="X1445" s="51">
        <f>RANK(Table5[[#This Row],[zScore]],Table5[[#All],[zScore]])</f>
        <v>1438</v>
      </c>
      <c r="Y1445" s="50" t="str">
        <f>IFERROR(INDEX(DraftResults[[#All],[OVR]],MATCH(Table5[[#This Row],[PID]],DraftResults[[#All],[Player ID]],0)),"")</f>
        <v/>
      </c>
      <c r="Z144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5" s="50" t="str">
        <f>IFERROR(INDEX(DraftResults[[#All],[Pick in Round]],MATCH(Table5[[#This Row],[PID]],DraftResults[[#All],[Player ID]],0)),"")</f>
        <v/>
      </c>
      <c r="AB1445" s="50" t="str">
        <f>IFERROR(INDEX(DraftResults[[#All],[Team Name]],MATCH(Table5[[#This Row],[PID]],DraftResults[[#All],[Player ID]],0)),"")</f>
        <v/>
      </c>
      <c r="AC1445" s="50" t="str">
        <f>IF(Table5[[#This Row],[Ovr]]="","",IF(Table5[[#This Row],[cmbList]]="","",Table5[[#This Row],[cmbList]]-Table5[[#This Row],[Ovr]]))</f>
        <v/>
      </c>
      <c r="AD1445" s="54" t="str">
        <f>IF(ISERROR(VLOOKUP($AB1445&amp;"-"&amp;$E1445&amp;" "&amp;F1445,Bonuses!$B$1:$G$1006,4,FALSE)),"",INT(VLOOKUP($AB1445&amp;"-"&amp;$E1445&amp;" "&amp;$F1445,Bonuses!$B$1:$G$1006,4,FALSE)))</f>
        <v/>
      </c>
      <c r="AE144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6" spans="1:31" x14ac:dyDescent="0.25">
      <c r="A1446" s="50">
        <v>20583</v>
      </c>
      <c r="B1446" s="50">
        <f>COUNTIF(Table5[PID],A1446)</f>
        <v>1</v>
      </c>
      <c r="C1446" s="50" t="str">
        <f>IF(COUNTIF(Table3[[#All],[PID]],A1446)&gt;0,"P","B")</f>
        <v>B</v>
      </c>
      <c r="D1446" s="59" t="str">
        <f>IF($C1446="B",INDEX(Batters[[#All],[POS]],MATCH(Table5[[#This Row],[PID]],Batters[[#All],[PID]],0)),INDEX(Table3[[#All],[POS]],MATCH(Table5[[#This Row],[PID]],Table3[[#All],[PID]],0)))</f>
        <v>1B</v>
      </c>
      <c r="E1446" s="52" t="str">
        <f>IF($C1446="B",INDEX(Batters[[#All],[First]],MATCH(Table5[[#This Row],[PID]],Batters[[#All],[PID]],0)),INDEX(Table3[[#All],[First]],MATCH(Table5[[#This Row],[PID]],Table3[[#All],[PID]],0)))</f>
        <v>Yu-zhang</v>
      </c>
      <c r="F1446" s="50" t="str">
        <f>IF($C1446="B",INDEX(Batters[[#All],[Last]],MATCH(A1446,Batters[[#All],[PID]],0)),INDEX(Table3[[#All],[Last]],MATCH(A1446,Table3[[#All],[PID]],0)))</f>
        <v>Liu</v>
      </c>
      <c r="G1446" s="56">
        <f>IF($C1446="B",INDEX(Batters[[#All],[Age]],MATCH(Table5[[#This Row],[PID]],Batters[[#All],[PID]],0)),INDEX(Table3[[#All],[Age]],MATCH(Table5[[#This Row],[PID]],Table3[[#All],[PID]],0)))</f>
        <v>17</v>
      </c>
      <c r="H1446" s="52" t="str">
        <f>IF($C1446="B",INDEX(Batters[[#All],[B]],MATCH(Table5[[#This Row],[PID]],Batters[[#All],[PID]],0)),INDEX(Table3[[#All],[B]],MATCH(Table5[[#This Row],[PID]],Table3[[#All],[PID]],0)))</f>
        <v>L</v>
      </c>
      <c r="I1446" s="70" t="str">
        <f>IF($C1446="B",INDEX(Batters[[#All],[T]],MATCH(Table5[[#This Row],[PID]],Batters[[#All],[PID]],0)),INDEX(Table3[[#All],[T]],MATCH(Table5[[#This Row],[PID]],Table3[[#All],[PID]],0)))</f>
        <v>R</v>
      </c>
      <c r="J1446" s="52" t="str">
        <f>IF($C1446="B",INDEX(Batters[[#All],[WE]],MATCH(Table5[[#This Row],[PID]],Batters[[#All],[PID]],0)),INDEX(Table3[[#All],[WE]],MATCH(Table5[[#This Row],[PID]],Table3[[#All],[PID]],0)))</f>
        <v>Low</v>
      </c>
      <c r="K1446" s="52" t="str">
        <f>IF($C1446="B",INDEX(Batters[[#All],[INT]],MATCH(Table5[[#This Row],[PID]],Batters[[#All],[PID]],0)),INDEX(Table3[[#All],[INT]],MATCH(Table5[[#This Row],[PID]],Table3[[#All],[PID]],0)))</f>
        <v>Low</v>
      </c>
      <c r="L1446" s="60">
        <f>IF($C1446="B",INDEX(Batters[[#All],[CON P]],MATCH(Table5[[#This Row],[PID]],Batters[[#All],[PID]],0)),INDEX(Table3[[#All],[STU P]],MATCH(Table5[[#This Row],[PID]],Table3[[#All],[PID]],0)))</f>
        <v>2</v>
      </c>
      <c r="M1446" s="56">
        <f>IF($C1446="B",INDEX(Batters[[#All],[GAP P]],MATCH(Table5[[#This Row],[PID]],Batters[[#All],[PID]],0)),INDEX(Table3[[#All],[MOV P]],MATCH(Table5[[#This Row],[PID]],Table3[[#All],[PID]],0)))</f>
        <v>2</v>
      </c>
      <c r="N1446" s="56">
        <f>IF($C1446="B",INDEX(Batters[[#All],[POW P]],MATCH(Table5[[#This Row],[PID]],Batters[[#All],[PID]],0)),INDEX(Table3[[#All],[CON P]],MATCH(Table5[[#This Row],[PID]],Table3[[#All],[PID]],0)))</f>
        <v>2</v>
      </c>
      <c r="O1446" s="56">
        <f>IF($C1446="B",INDEX(Batters[[#All],[EYE P]],MATCH(Table5[[#This Row],[PID]],Batters[[#All],[PID]],0)),INDEX(Table3[[#All],[VELO]],MATCH(Table5[[#This Row],[PID]],Table3[[#All],[PID]],0)))</f>
        <v>4</v>
      </c>
      <c r="P1446" s="56">
        <f>IF($C1446="B",INDEX(Batters[[#All],[K P]],MATCH(Table5[[#This Row],[PID]],Batters[[#All],[PID]],0)),INDEX(Table3[[#All],[STM]],MATCH(Table5[[#This Row],[PID]],Table3[[#All],[PID]],0)))</f>
        <v>4</v>
      </c>
      <c r="Q1446" s="61">
        <f>IF($C1446="B",INDEX(Batters[[#All],[Tot]],MATCH(Table5[[#This Row],[PID]],Batters[[#All],[PID]],0)),INDEX(Table3[[#All],[Tot]],MATCH(Table5[[#This Row],[PID]],Table3[[#All],[PID]],0)))</f>
        <v>34.346981123393007</v>
      </c>
      <c r="R1446" s="70">
        <f>IF($C1446="B",INDEX(Batters[[#All],[zScore]],MATCH(Table5[[#This Row],[PID]],Batters[[#All],[PID]],0)),INDEX(Table3[[#All],[zScore]],MATCH(Table5[[#This Row],[PID]],Table3[[#All],[PID]],0)))</f>
        <v>-2.1693914614118417</v>
      </c>
      <c r="S1446" s="79" t="str">
        <f>IF($C1446="B",INDEX(Batters[[#All],[DEM]],MATCH(Table5[[#This Row],[PID]],Batters[[#All],[PID]],0)),INDEX(Table3[[#All],[DEM]],MATCH(Table5[[#This Row],[PID]],Table3[[#All],[PID]],0)))</f>
        <v>$75k</v>
      </c>
      <c r="T1446" s="62">
        <f>IF($C1446="B",INDEX(Batters[[#All],[Rnk]],MATCH(Table5[[#This Row],[PID]],Batters[[#All],[PID]],0)),INDEX(Table3[[#All],[Rnk]],MATCH(Table5[[#This Row],[PID]],Table3[[#All],[PID]],0)))</f>
        <v>661</v>
      </c>
      <c r="U1446" s="68">
        <f>IF($C1446="B",VLOOKUP($A1446,Bat!$A$4:$BA$1621,47,FALSE),VLOOKUP($A1446,Pit!$A$4:$BF$1557,56,FALSE))</f>
        <v>0</v>
      </c>
      <c r="V1446" s="50">
        <f>IF($C1446="B",VLOOKUP($A1446,Bat!$A$4:$BA$1621,48,FALSE),VLOOKUP($A1446,Pit!$A$4:$BF$1557,57,FALSE))</f>
        <v>0</v>
      </c>
      <c r="W1446" s="50">
        <f>Table5[[#This Row],[posRnk]]+Table5[[#This Row],[zRnk]]+IF($W$3&lt;&gt;Table5[[#This Row],[Type]],50,0)</f>
        <v>2150</v>
      </c>
      <c r="X1446" s="51">
        <f>RANK(Table5[[#This Row],[zScore]],Table5[[#All],[zScore]])</f>
        <v>1439</v>
      </c>
      <c r="Y1446" s="50" t="str">
        <f>IFERROR(INDEX(DraftResults[[#All],[OVR]],MATCH(Table5[[#This Row],[PID]],DraftResults[[#All],[Player ID]],0)),"")</f>
        <v/>
      </c>
      <c r="Z144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6" s="50" t="str">
        <f>IFERROR(INDEX(DraftResults[[#All],[Pick in Round]],MATCH(Table5[[#This Row],[PID]],DraftResults[[#All],[Player ID]],0)),"")</f>
        <v/>
      </c>
      <c r="AB1446" s="50" t="str">
        <f>IFERROR(INDEX(DraftResults[[#All],[Team Name]],MATCH(Table5[[#This Row],[PID]],DraftResults[[#All],[Player ID]],0)),"")</f>
        <v/>
      </c>
      <c r="AC1446" s="50" t="str">
        <f>IF(Table5[[#This Row],[Ovr]]="","",IF(Table5[[#This Row],[cmbList]]="","",Table5[[#This Row],[cmbList]]-Table5[[#This Row],[Ovr]]))</f>
        <v/>
      </c>
      <c r="AD1446" s="54" t="str">
        <f>IF(ISERROR(VLOOKUP($AB1446&amp;"-"&amp;$E1446&amp;" "&amp;F1446,Bonuses!$B$1:$G$1006,4,FALSE)),"",INT(VLOOKUP($AB1446&amp;"-"&amp;$E1446&amp;" "&amp;$F1446,Bonuses!$B$1:$G$1006,4,FALSE)))</f>
        <v/>
      </c>
      <c r="AE144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7" spans="1:31" x14ac:dyDescent="0.25">
      <c r="A1447" s="50">
        <v>14387</v>
      </c>
      <c r="B1447" s="50">
        <f>COUNTIF(Table5[PID],A1447)</f>
        <v>1</v>
      </c>
      <c r="C1447" s="50" t="str">
        <f>IF(COUNTIF(Table3[[#All],[PID]],A1447)&gt;0,"P","B")</f>
        <v>B</v>
      </c>
      <c r="D1447" s="59" t="str">
        <f>IF($C1447="B",INDEX(Batters[[#All],[POS]],MATCH(Table5[[#This Row],[PID]],Batters[[#All],[PID]],0)),INDEX(Table3[[#All],[POS]],MATCH(Table5[[#This Row],[PID]],Table3[[#All],[PID]],0)))</f>
        <v>C</v>
      </c>
      <c r="E1447" s="52" t="str">
        <f>IF($C1447="B",INDEX(Batters[[#All],[First]],MATCH(Table5[[#This Row],[PID]],Batters[[#All],[PID]],0)),INDEX(Table3[[#All],[First]],MATCH(Table5[[#This Row],[PID]],Table3[[#All],[PID]],0)))</f>
        <v>Hideyori</v>
      </c>
      <c r="F1447" s="50" t="str">
        <f>IF($C1447="B",INDEX(Batters[[#All],[Last]],MATCH(A1447,Batters[[#All],[PID]],0)),INDEX(Table3[[#All],[Last]],MATCH(A1447,Table3[[#All],[PID]],0)))</f>
        <v>Okabe</v>
      </c>
      <c r="G1447" s="56">
        <f>IF($C1447="B",INDEX(Batters[[#All],[Age]],MATCH(Table5[[#This Row],[PID]],Batters[[#All],[PID]],0)),INDEX(Table3[[#All],[Age]],MATCH(Table5[[#This Row],[PID]],Table3[[#All],[PID]],0)))</f>
        <v>21</v>
      </c>
      <c r="H1447" s="52" t="str">
        <f>IF($C1447="B",INDEX(Batters[[#All],[B]],MATCH(Table5[[#This Row],[PID]],Batters[[#All],[PID]],0)),INDEX(Table3[[#All],[B]],MATCH(Table5[[#This Row],[PID]],Table3[[#All],[PID]],0)))</f>
        <v>R</v>
      </c>
      <c r="I1447" s="70" t="str">
        <f>IF($C1447="B",INDEX(Batters[[#All],[T]],MATCH(Table5[[#This Row],[PID]],Batters[[#All],[PID]],0)),INDEX(Table3[[#All],[T]],MATCH(Table5[[#This Row],[PID]],Table3[[#All],[PID]],0)))</f>
        <v>R</v>
      </c>
      <c r="J1447" s="52" t="str">
        <f>IF($C1447="B",INDEX(Batters[[#All],[WE]],MATCH(Table5[[#This Row],[PID]],Batters[[#All],[PID]],0)),INDEX(Table3[[#All],[WE]],MATCH(Table5[[#This Row],[PID]],Table3[[#All],[PID]],0)))</f>
        <v>Normal</v>
      </c>
      <c r="K1447" s="52" t="str">
        <f>IF($C1447="B",INDEX(Batters[[#All],[INT]],MATCH(Table5[[#This Row],[PID]],Batters[[#All],[PID]],0)),INDEX(Table3[[#All],[INT]],MATCH(Table5[[#This Row],[PID]],Table3[[#All],[PID]],0)))</f>
        <v>Normal</v>
      </c>
      <c r="L1447" s="60">
        <f>IF($C1447="B",INDEX(Batters[[#All],[CON P]],MATCH(Table5[[#This Row],[PID]],Batters[[#All],[PID]],0)),INDEX(Table3[[#All],[STU P]],MATCH(Table5[[#This Row],[PID]],Table3[[#All],[PID]],0)))</f>
        <v>3</v>
      </c>
      <c r="M1447" s="56">
        <f>IF($C1447="B",INDEX(Batters[[#All],[GAP P]],MATCH(Table5[[#This Row],[PID]],Batters[[#All],[PID]],0)),INDEX(Table3[[#All],[MOV P]],MATCH(Table5[[#This Row],[PID]],Table3[[#All],[PID]],0)))</f>
        <v>2</v>
      </c>
      <c r="N1447" s="56">
        <f>IF($C1447="B",INDEX(Batters[[#All],[POW P]],MATCH(Table5[[#This Row],[PID]],Batters[[#All],[PID]],0)),INDEX(Table3[[#All],[CON P]],MATCH(Table5[[#This Row],[PID]],Table3[[#All],[PID]],0)))</f>
        <v>3</v>
      </c>
      <c r="O1447" s="56">
        <f>IF($C1447="B",INDEX(Batters[[#All],[EYE P]],MATCH(Table5[[#This Row],[PID]],Batters[[#All],[PID]],0)),INDEX(Table3[[#All],[VELO]],MATCH(Table5[[#This Row],[PID]],Table3[[#All],[PID]],0)))</f>
        <v>4</v>
      </c>
      <c r="P1447" s="56">
        <f>IF($C1447="B",INDEX(Batters[[#All],[K P]],MATCH(Table5[[#This Row],[PID]],Batters[[#All],[PID]],0)),INDEX(Table3[[#All],[STM]],MATCH(Table5[[#This Row],[PID]],Table3[[#All],[PID]],0)))</f>
        <v>3</v>
      </c>
      <c r="Q1447" s="61">
        <f>IF($C1447="B",INDEX(Batters[[#All],[Tot]],MATCH(Table5[[#This Row],[PID]],Batters[[#All],[PID]],0)),INDEX(Table3[[#All],[Tot]],MATCH(Table5[[#This Row],[PID]],Table3[[#All],[PID]],0)))</f>
        <v>34.334193008306919</v>
      </c>
      <c r="R1447" s="70">
        <f>IF($C1447="B",INDEX(Batters[[#All],[zScore]],MATCH(Table5[[#This Row],[PID]],Batters[[#All],[PID]],0)),INDEX(Table3[[#All],[zScore]],MATCH(Table5[[#This Row],[PID]],Table3[[#All],[PID]],0)))</f>
        <v>-2.1722266729660631</v>
      </c>
      <c r="S1447" s="79" t="str">
        <f>IF($C1447="B",INDEX(Batters[[#All],[DEM]],MATCH(Table5[[#This Row],[PID]],Batters[[#All],[PID]],0)),INDEX(Table3[[#All],[DEM]],MATCH(Table5[[#This Row],[PID]],Table3[[#All],[PID]],0)))</f>
        <v>-</v>
      </c>
      <c r="T1447" s="62">
        <f>IF($C1447="B",INDEX(Batters[[#All],[Rnk]],MATCH(Table5[[#This Row],[PID]],Batters[[#All],[PID]],0)),INDEX(Table3[[#All],[Rnk]],MATCH(Table5[[#This Row],[PID]],Table3[[#All],[PID]],0)))</f>
        <v>662</v>
      </c>
      <c r="U1447" s="68">
        <f>IF($C1447="B",VLOOKUP($A1447,Bat!$A$4:$BA$1621,47,FALSE),VLOOKUP($A1447,Pit!$A$4:$BF$1557,56,FALSE))</f>
        <v>0</v>
      </c>
      <c r="V1447" s="50">
        <f>IF($C1447="B",VLOOKUP($A1447,Bat!$A$4:$BA$1621,48,FALSE),VLOOKUP($A1447,Pit!$A$4:$BF$1557,57,FALSE))</f>
        <v>0</v>
      </c>
      <c r="W1447" s="50">
        <f>Table5[[#This Row],[posRnk]]+Table5[[#This Row],[zRnk]]+IF($W$3&lt;&gt;Table5[[#This Row],[Type]],50,0)</f>
        <v>2152</v>
      </c>
      <c r="X1447" s="51">
        <f>RANK(Table5[[#This Row],[zScore]],Table5[[#All],[zScore]])</f>
        <v>1440</v>
      </c>
      <c r="Y1447" s="50" t="str">
        <f>IFERROR(INDEX(DraftResults[[#All],[OVR]],MATCH(Table5[[#This Row],[PID]],DraftResults[[#All],[Player ID]],0)),"")</f>
        <v/>
      </c>
      <c r="Z144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7" s="50" t="str">
        <f>IFERROR(INDEX(DraftResults[[#All],[Pick in Round]],MATCH(Table5[[#This Row],[PID]],DraftResults[[#All],[Player ID]],0)),"")</f>
        <v/>
      </c>
      <c r="AB1447" s="50" t="str">
        <f>IFERROR(INDEX(DraftResults[[#All],[Team Name]],MATCH(Table5[[#This Row],[PID]],DraftResults[[#All],[Player ID]],0)),"")</f>
        <v/>
      </c>
      <c r="AC1447" s="50" t="str">
        <f>IF(Table5[[#This Row],[Ovr]]="","",IF(Table5[[#This Row],[cmbList]]="","",Table5[[#This Row],[cmbList]]-Table5[[#This Row],[Ovr]]))</f>
        <v/>
      </c>
      <c r="AD1447" s="54" t="str">
        <f>IF(ISERROR(VLOOKUP($AB1447&amp;"-"&amp;$E1447&amp;" "&amp;F1447,Bonuses!$B$1:$G$1006,4,FALSE)),"",INT(VLOOKUP($AB1447&amp;"-"&amp;$E1447&amp;" "&amp;$F1447,Bonuses!$B$1:$G$1006,4,FALSE)))</f>
        <v/>
      </c>
      <c r="AE144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8" spans="1:31" x14ac:dyDescent="0.25">
      <c r="A1448" s="50">
        <v>9551</v>
      </c>
      <c r="B1448" s="50">
        <f>COUNTIF(Table5[PID],A1448)</f>
        <v>1</v>
      </c>
      <c r="C1448" s="50" t="str">
        <f>IF(COUNTIF(Table3[[#All],[PID]],A1448)&gt;0,"P","B")</f>
        <v>B</v>
      </c>
      <c r="D1448" s="59" t="str">
        <f>IF($C1448="B",INDEX(Batters[[#All],[POS]],MATCH(Table5[[#This Row],[PID]],Batters[[#All],[PID]],0)),INDEX(Table3[[#All],[POS]],MATCH(Table5[[#This Row],[PID]],Table3[[#All],[PID]],0)))</f>
        <v>RF</v>
      </c>
      <c r="E1448" s="52" t="str">
        <f>IF($C1448="B",INDEX(Batters[[#All],[First]],MATCH(Table5[[#This Row],[PID]],Batters[[#All],[PID]],0)),INDEX(Table3[[#All],[First]],MATCH(Table5[[#This Row],[PID]],Table3[[#All],[PID]],0)))</f>
        <v>Takeru</v>
      </c>
      <c r="F1448" s="50" t="str">
        <f>IF($C1448="B",INDEX(Batters[[#All],[Last]],MATCH(A1448,Batters[[#All],[PID]],0)),INDEX(Table3[[#All],[Last]],MATCH(A1448,Table3[[#All],[PID]],0)))</f>
        <v>Seki</v>
      </c>
      <c r="G1448" s="56">
        <f>IF($C1448="B",INDEX(Batters[[#All],[Age]],MATCH(Table5[[#This Row],[PID]],Batters[[#All],[PID]],0)),INDEX(Table3[[#All],[Age]],MATCH(Table5[[#This Row],[PID]],Table3[[#All],[PID]],0)))</f>
        <v>21</v>
      </c>
      <c r="H1448" s="52" t="str">
        <f>IF($C1448="B",INDEX(Batters[[#All],[B]],MATCH(Table5[[#This Row],[PID]],Batters[[#All],[PID]],0)),INDEX(Table3[[#All],[B]],MATCH(Table5[[#This Row],[PID]],Table3[[#All],[PID]],0)))</f>
        <v>R</v>
      </c>
      <c r="I1448" s="70" t="str">
        <f>IF($C1448="B",INDEX(Batters[[#All],[T]],MATCH(Table5[[#This Row],[PID]],Batters[[#All],[PID]],0)),INDEX(Table3[[#All],[T]],MATCH(Table5[[#This Row],[PID]],Table3[[#All],[PID]],0)))</f>
        <v>R</v>
      </c>
      <c r="J1448" s="52" t="str">
        <f>IF($C1448="B",INDEX(Batters[[#All],[WE]],MATCH(Table5[[#This Row],[PID]],Batters[[#All],[PID]],0)),INDEX(Table3[[#All],[WE]],MATCH(Table5[[#This Row],[PID]],Table3[[#All],[PID]],0)))</f>
        <v>Normal</v>
      </c>
      <c r="K1448" s="52" t="str">
        <f>IF($C1448="B",INDEX(Batters[[#All],[INT]],MATCH(Table5[[#This Row],[PID]],Batters[[#All],[PID]],0)),INDEX(Table3[[#All],[INT]],MATCH(Table5[[#This Row],[PID]],Table3[[#All],[PID]],0)))</f>
        <v>Normal</v>
      </c>
      <c r="L1448" s="60">
        <f>IF($C1448="B",INDEX(Batters[[#All],[CON P]],MATCH(Table5[[#This Row],[PID]],Batters[[#All],[PID]],0)),INDEX(Table3[[#All],[STU P]],MATCH(Table5[[#This Row],[PID]],Table3[[#All],[PID]],0)))</f>
        <v>3</v>
      </c>
      <c r="M1448" s="56">
        <f>IF($C1448="B",INDEX(Batters[[#All],[GAP P]],MATCH(Table5[[#This Row],[PID]],Batters[[#All],[PID]],0)),INDEX(Table3[[#All],[MOV P]],MATCH(Table5[[#This Row],[PID]],Table3[[#All],[PID]],0)))</f>
        <v>2</v>
      </c>
      <c r="N1448" s="56">
        <f>IF($C1448="B",INDEX(Batters[[#All],[POW P]],MATCH(Table5[[#This Row],[PID]],Batters[[#All],[PID]],0)),INDEX(Table3[[#All],[CON P]],MATCH(Table5[[#This Row],[PID]],Table3[[#All],[PID]],0)))</f>
        <v>3</v>
      </c>
      <c r="O1448" s="56">
        <f>IF($C1448="B",INDEX(Batters[[#All],[EYE P]],MATCH(Table5[[#This Row],[PID]],Batters[[#All],[PID]],0)),INDEX(Table3[[#All],[VELO]],MATCH(Table5[[#This Row],[PID]],Table3[[#All],[PID]],0)))</f>
        <v>4</v>
      </c>
      <c r="P1448" s="56">
        <f>IF($C1448="B",INDEX(Batters[[#All],[K P]],MATCH(Table5[[#This Row],[PID]],Batters[[#All],[PID]],0)),INDEX(Table3[[#All],[STM]],MATCH(Table5[[#This Row],[PID]],Table3[[#All],[PID]],0)))</f>
        <v>3</v>
      </c>
      <c r="Q1448" s="61">
        <f>IF($C1448="B",INDEX(Batters[[#All],[Tot]],MATCH(Table5[[#This Row],[PID]],Batters[[#All],[PID]],0)),INDEX(Table3[[#All],[Tot]],MATCH(Table5[[#This Row],[PID]],Table3[[#All],[PID]],0)))</f>
        <v>34.334193008306919</v>
      </c>
      <c r="R1448" s="70">
        <f>IF($C1448="B",INDEX(Batters[[#All],[zScore]],MATCH(Table5[[#This Row],[PID]],Batters[[#All],[PID]],0)),INDEX(Table3[[#All],[zScore]],MATCH(Table5[[#This Row],[PID]],Table3[[#All],[PID]],0)))</f>
        <v>-2.1722266729660631</v>
      </c>
      <c r="S1448" s="79" t="str">
        <f>IF($C1448="B",INDEX(Batters[[#All],[DEM]],MATCH(Table5[[#This Row],[PID]],Batters[[#All],[PID]],0)),INDEX(Table3[[#All],[DEM]],MATCH(Table5[[#This Row],[PID]],Table3[[#All],[PID]],0)))</f>
        <v>-</v>
      </c>
      <c r="T1448" s="62">
        <f>IF($C1448="B",INDEX(Batters[[#All],[Rnk]],MATCH(Table5[[#This Row],[PID]],Batters[[#All],[PID]],0)),INDEX(Table3[[#All],[Rnk]],MATCH(Table5[[#This Row],[PID]],Table3[[#All],[PID]],0)))</f>
        <v>662</v>
      </c>
      <c r="U1448" s="68">
        <f>IF($C1448="B",VLOOKUP($A1448,Bat!$A$4:$BA$1621,47,FALSE),VLOOKUP($A1448,Pit!$A$4:$BF$1557,56,FALSE))</f>
        <v>0</v>
      </c>
      <c r="V1448" s="50">
        <f>IF($C1448="B",VLOOKUP($A1448,Bat!$A$4:$BA$1621,48,FALSE),VLOOKUP($A1448,Pit!$A$4:$BF$1557,57,FALSE))</f>
        <v>0</v>
      </c>
      <c r="W1448" s="50">
        <f>Table5[[#This Row],[posRnk]]+Table5[[#This Row],[zRnk]]+IF($W$3&lt;&gt;Table5[[#This Row],[Type]],50,0)</f>
        <v>2152</v>
      </c>
      <c r="X1448" s="51">
        <f>RANK(Table5[[#This Row],[zScore]],Table5[[#All],[zScore]])</f>
        <v>1440</v>
      </c>
      <c r="Y1448" s="50" t="str">
        <f>IFERROR(INDEX(DraftResults[[#All],[OVR]],MATCH(Table5[[#This Row],[PID]],DraftResults[[#All],[Player ID]],0)),"")</f>
        <v/>
      </c>
      <c r="Z144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8" s="50" t="str">
        <f>IFERROR(INDEX(DraftResults[[#All],[Pick in Round]],MATCH(Table5[[#This Row],[PID]],DraftResults[[#All],[Player ID]],0)),"")</f>
        <v/>
      </c>
      <c r="AB1448" s="50" t="str">
        <f>IFERROR(INDEX(DraftResults[[#All],[Team Name]],MATCH(Table5[[#This Row],[PID]],DraftResults[[#All],[Player ID]],0)),"")</f>
        <v/>
      </c>
      <c r="AC1448" s="50" t="str">
        <f>IF(Table5[[#This Row],[Ovr]]="","",IF(Table5[[#This Row],[cmbList]]="","",Table5[[#This Row],[cmbList]]-Table5[[#This Row],[Ovr]]))</f>
        <v/>
      </c>
      <c r="AD1448" s="54" t="str">
        <f>IF(ISERROR(VLOOKUP($AB1448&amp;"-"&amp;$E1448&amp;" "&amp;F1448,Bonuses!$B$1:$G$1006,4,FALSE)),"",INT(VLOOKUP($AB1448&amp;"-"&amp;$E1448&amp;" "&amp;$F1448,Bonuses!$B$1:$G$1006,4,FALSE)))</f>
        <v/>
      </c>
      <c r="AE144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49" spans="1:31" x14ac:dyDescent="0.25">
      <c r="A1449" s="50">
        <v>12745</v>
      </c>
      <c r="B1449" s="55">
        <f>COUNTIF(Table5[PID],A1449)</f>
        <v>1</v>
      </c>
      <c r="C1449" s="55" t="str">
        <f>IF(COUNTIF(Table3[[#All],[PID]],A1449)&gt;0,"P","B")</f>
        <v>B</v>
      </c>
      <c r="D1449" s="59" t="str">
        <f>IF($C1449="B",INDEX(Batters[[#All],[POS]],MATCH(Table5[[#This Row],[PID]],Batters[[#All],[PID]],0)),INDEX(Table3[[#All],[POS]],MATCH(Table5[[#This Row],[PID]],Table3[[#All],[PID]],0)))</f>
        <v>2B</v>
      </c>
      <c r="E1449" s="52" t="str">
        <f>IF($C1449="B",INDEX(Batters[[#All],[First]],MATCH(Table5[[#This Row],[PID]],Batters[[#All],[PID]],0)),INDEX(Table3[[#All],[First]],MATCH(Table5[[#This Row],[PID]],Table3[[#All],[PID]],0)))</f>
        <v>Tomás</v>
      </c>
      <c r="F1449" s="50" t="str">
        <f>IF($C1449="B",INDEX(Batters[[#All],[Last]],MATCH(A1449,Batters[[#All],[PID]],0)),INDEX(Table3[[#All],[Last]],MATCH(A1449,Table3[[#All],[PID]],0)))</f>
        <v>Velázquez</v>
      </c>
      <c r="G1449" s="56">
        <f>IF($C1449="B",INDEX(Batters[[#All],[Age]],MATCH(Table5[[#This Row],[PID]],Batters[[#All],[PID]],0)),INDEX(Table3[[#All],[Age]],MATCH(Table5[[#This Row],[PID]],Table3[[#All],[PID]],0)))</f>
        <v>22</v>
      </c>
      <c r="H1449" s="52" t="str">
        <f>IF($C1449="B",INDEX(Batters[[#All],[B]],MATCH(Table5[[#This Row],[PID]],Batters[[#All],[PID]],0)),INDEX(Table3[[#All],[B]],MATCH(Table5[[#This Row],[PID]],Table3[[#All],[PID]],0)))</f>
        <v>R</v>
      </c>
      <c r="I1449" s="70" t="str">
        <f>IF($C1449="B",INDEX(Batters[[#All],[T]],MATCH(Table5[[#This Row],[PID]],Batters[[#All],[PID]],0)),INDEX(Table3[[#All],[T]],MATCH(Table5[[#This Row],[PID]],Table3[[#All],[PID]],0)))</f>
        <v>R</v>
      </c>
      <c r="J1449" s="52" t="str">
        <f>IF($C1449="B",INDEX(Batters[[#All],[WE]],MATCH(Table5[[#This Row],[PID]],Batters[[#All],[PID]],0)),INDEX(Table3[[#All],[WE]],MATCH(Table5[[#This Row],[PID]],Table3[[#All],[PID]],0)))</f>
        <v>Low</v>
      </c>
      <c r="K1449" s="52" t="str">
        <f>IF($C1449="B",INDEX(Batters[[#All],[INT]],MATCH(Table5[[#This Row],[PID]],Batters[[#All],[PID]],0)),INDEX(Table3[[#All],[INT]],MATCH(Table5[[#This Row],[PID]],Table3[[#All],[PID]],0)))</f>
        <v>Normal</v>
      </c>
      <c r="L1449" s="60">
        <f>IF($C1449="B",INDEX(Batters[[#All],[CON P]],MATCH(Table5[[#This Row],[PID]],Batters[[#All],[PID]],0)),INDEX(Table3[[#All],[STU P]],MATCH(Table5[[#This Row],[PID]],Table3[[#All],[PID]],0)))</f>
        <v>3</v>
      </c>
      <c r="M1449" s="56">
        <f>IF($C1449="B",INDEX(Batters[[#All],[GAP P]],MATCH(Table5[[#This Row],[PID]],Batters[[#All],[PID]],0)),INDEX(Table3[[#All],[MOV P]],MATCH(Table5[[#This Row],[PID]],Table3[[#All],[PID]],0)))</f>
        <v>3</v>
      </c>
      <c r="N1449" s="56">
        <f>IF($C1449="B",INDEX(Batters[[#All],[POW P]],MATCH(Table5[[#This Row],[PID]],Batters[[#All],[PID]],0)),INDEX(Table3[[#All],[CON P]],MATCH(Table5[[#This Row],[PID]],Table3[[#All],[PID]],0)))</f>
        <v>2</v>
      </c>
      <c r="O1449" s="56">
        <f>IF($C1449="B",INDEX(Batters[[#All],[EYE P]],MATCH(Table5[[#This Row],[PID]],Batters[[#All],[PID]],0)),INDEX(Table3[[#All],[VELO]],MATCH(Table5[[#This Row],[PID]],Table3[[#All],[PID]],0)))</f>
        <v>4</v>
      </c>
      <c r="P1449" s="56">
        <f>IF($C1449="B",INDEX(Batters[[#All],[K P]],MATCH(Table5[[#This Row],[PID]],Batters[[#All],[PID]],0)),INDEX(Table3[[#All],[STM]],MATCH(Table5[[#This Row],[PID]],Table3[[#All],[PID]],0)))</f>
        <v>3</v>
      </c>
      <c r="Q1449" s="61">
        <f>IF($C1449="B",INDEX(Batters[[#All],[Tot]],MATCH(Table5[[#This Row],[PID]],Batters[[#All],[PID]],0)),INDEX(Table3[[#All],[Tot]],MATCH(Table5[[#This Row],[PID]],Table3[[#All],[PID]],0)))</f>
        <v>34.305613783971218</v>
      </c>
      <c r="R1449" s="70">
        <f>IF($C1449="B",INDEX(Batters[[#All],[zScore]],MATCH(Table5[[#This Row],[PID]],Batters[[#All],[PID]],0)),INDEX(Table3[[#All],[zScore]],MATCH(Table5[[#This Row],[PID]],Table3[[#All],[PID]],0)))</f>
        <v>-2.1785628801789163</v>
      </c>
      <c r="S1449" s="79" t="str">
        <f>IF($C1449="B",INDEX(Batters[[#All],[DEM]],MATCH(Table5[[#This Row],[PID]],Batters[[#All],[PID]],0)),INDEX(Table3[[#All],[DEM]],MATCH(Table5[[#This Row],[PID]],Table3[[#All],[PID]],0)))</f>
        <v>-</v>
      </c>
      <c r="T1449" s="62">
        <f>IF($C1449="B",INDEX(Batters[[#All],[Rnk]],MATCH(Table5[[#This Row],[PID]],Batters[[#All],[PID]],0)),INDEX(Table3[[#All],[Rnk]],MATCH(Table5[[#This Row],[PID]],Table3[[#All],[PID]],0)))</f>
        <v>664</v>
      </c>
      <c r="U1449" s="68">
        <f>IF($C1449="B",VLOOKUP($A1449,Bat!$A$4:$BA$1621,47,FALSE),VLOOKUP($A1449,Pit!$A$4:$BF$1557,56,FALSE))</f>
        <v>0</v>
      </c>
      <c r="V1449" s="50">
        <f>IF($C1449="B",VLOOKUP($A1449,Bat!$A$4:$BA$1621,48,FALSE),VLOOKUP($A1449,Pit!$A$4:$BF$1557,57,FALSE))</f>
        <v>0</v>
      </c>
      <c r="W1449" s="50">
        <f>Table5[[#This Row],[posRnk]]+Table5[[#This Row],[zRnk]]+IF($W$3&lt;&gt;Table5[[#This Row],[Type]],50,0)</f>
        <v>2156</v>
      </c>
      <c r="X1449" s="51">
        <f>RANK(Table5[[#This Row],[zScore]],Table5[[#All],[zScore]])</f>
        <v>1442</v>
      </c>
      <c r="Y1449" s="50" t="str">
        <f>IFERROR(INDEX(DraftResults[[#All],[OVR]],MATCH(Table5[[#This Row],[PID]],DraftResults[[#All],[Player ID]],0)),"")</f>
        <v/>
      </c>
      <c r="Z144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49" s="50" t="str">
        <f>IFERROR(INDEX(DraftResults[[#All],[Pick in Round]],MATCH(Table5[[#This Row],[PID]],DraftResults[[#All],[Player ID]],0)),"")</f>
        <v/>
      </c>
      <c r="AB1449" s="50" t="str">
        <f>IFERROR(INDEX(DraftResults[[#All],[Team Name]],MATCH(Table5[[#This Row],[PID]],DraftResults[[#All],[Player ID]],0)),"")</f>
        <v/>
      </c>
      <c r="AC1449" s="50" t="str">
        <f>IF(Table5[[#This Row],[Ovr]]="","",IF(Table5[[#This Row],[cmbList]]="","",Table5[[#This Row],[cmbList]]-Table5[[#This Row],[Ovr]]))</f>
        <v/>
      </c>
      <c r="AD1449" s="54" t="str">
        <f>IF(ISERROR(VLOOKUP($AB1449&amp;"-"&amp;$E1449&amp;" "&amp;F1449,Bonuses!$B$1:$G$1006,4,FALSE)),"",INT(VLOOKUP($AB1449&amp;"-"&amp;$E1449&amp;" "&amp;$F1449,Bonuses!$B$1:$G$1006,4,FALSE)))</f>
        <v/>
      </c>
      <c r="AE144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0" spans="1:31" x14ac:dyDescent="0.25">
      <c r="A1450" s="50">
        <v>18383</v>
      </c>
      <c r="B1450" s="50">
        <f>COUNTIF(Table5[PID],A1450)</f>
        <v>1</v>
      </c>
      <c r="C1450" s="50" t="str">
        <f>IF(COUNTIF(Table3[[#All],[PID]],A1450)&gt;0,"P","B")</f>
        <v>B</v>
      </c>
      <c r="D1450" s="59" t="str">
        <f>IF($C1450="B",INDEX(Batters[[#All],[POS]],MATCH(Table5[[#This Row],[PID]],Batters[[#All],[PID]],0)),INDEX(Table3[[#All],[POS]],MATCH(Table5[[#This Row],[PID]],Table3[[#All],[PID]],0)))</f>
        <v>1B</v>
      </c>
      <c r="E1450" s="52" t="str">
        <f>IF($C1450="B",INDEX(Batters[[#All],[First]],MATCH(Table5[[#This Row],[PID]],Batters[[#All],[PID]],0)),INDEX(Table3[[#All],[First]],MATCH(Table5[[#This Row],[PID]],Table3[[#All],[PID]],0)))</f>
        <v>Luis</v>
      </c>
      <c r="F1450" s="50" t="str">
        <f>IF($C1450="B",INDEX(Batters[[#All],[Last]],MATCH(A1450,Batters[[#All],[PID]],0)),INDEX(Table3[[#All],[Last]],MATCH(A1450,Table3[[#All],[PID]],0)))</f>
        <v>Longoria</v>
      </c>
      <c r="G1450" s="56">
        <f>IF($C1450="B",INDEX(Batters[[#All],[Age]],MATCH(Table5[[#This Row],[PID]],Batters[[#All],[PID]],0)),INDEX(Table3[[#All],[Age]],MATCH(Table5[[#This Row],[PID]],Table3[[#All],[PID]],0)))</f>
        <v>18</v>
      </c>
      <c r="H1450" s="52" t="str">
        <f>IF($C1450="B",INDEX(Batters[[#All],[B]],MATCH(Table5[[#This Row],[PID]],Batters[[#All],[PID]],0)),INDEX(Table3[[#All],[B]],MATCH(Table5[[#This Row],[PID]],Table3[[#All],[PID]],0)))</f>
        <v>R</v>
      </c>
      <c r="I1450" s="70" t="str">
        <f>IF($C1450="B",INDEX(Batters[[#All],[T]],MATCH(Table5[[#This Row],[PID]],Batters[[#All],[PID]],0)),INDEX(Table3[[#All],[T]],MATCH(Table5[[#This Row],[PID]],Table3[[#All],[PID]],0)))</f>
        <v>R</v>
      </c>
      <c r="J1450" s="52" t="str">
        <f>IF($C1450="B",INDEX(Batters[[#All],[WE]],MATCH(Table5[[#This Row],[PID]],Batters[[#All],[PID]],0)),INDEX(Table3[[#All],[WE]],MATCH(Table5[[#This Row],[PID]],Table3[[#All],[PID]],0)))</f>
        <v>Normal</v>
      </c>
      <c r="K1450" s="52" t="str">
        <f>IF($C1450="B",INDEX(Batters[[#All],[INT]],MATCH(Table5[[#This Row],[PID]],Batters[[#All],[PID]],0)),INDEX(Table3[[#All],[INT]],MATCH(Table5[[#This Row],[PID]],Table3[[#All],[PID]],0)))</f>
        <v>Low</v>
      </c>
      <c r="L1450" s="60">
        <f>IF($C1450="B",INDEX(Batters[[#All],[CON P]],MATCH(Table5[[#This Row],[PID]],Batters[[#All],[PID]],0)),INDEX(Table3[[#All],[STU P]],MATCH(Table5[[#This Row],[PID]],Table3[[#All],[PID]],0)))</f>
        <v>2</v>
      </c>
      <c r="M1450" s="56">
        <f>IF($C1450="B",INDEX(Batters[[#All],[GAP P]],MATCH(Table5[[#This Row],[PID]],Batters[[#All],[PID]],0)),INDEX(Table3[[#All],[MOV P]],MATCH(Table5[[#This Row],[PID]],Table3[[#All],[PID]],0)))</f>
        <v>2</v>
      </c>
      <c r="N1450" s="56">
        <f>IF($C1450="B",INDEX(Batters[[#All],[POW P]],MATCH(Table5[[#This Row],[PID]],Batters[[#All],[PID]],0)),INDEX(Table3[[#All],[CON P]],MATCH(Table5[[#This Row],[PID]],Table3[[#All],[PID]],0)))</f>
        <v>2</v>
      </c>
      <c r="O1450" s="56">
        <f>IF($C1450="B",INDEX(Batters[[#All],[EYE P]],MATCH(Table5[[#This Row],[PID]],Batters[[#All],[PID]],0)),INDEX(Table3[[#All],[VELO]],MATCH(Table5[[#This Row],[PID]],Table3[[#All],[PID]],0)))</f>
        <v>5</v>
      </c>
      <c r="P1450" s="56">
        <f>IF($C1450="B",INDEX(Batters[[#All],[K P]],MATCH(Table5[[#This Row],[PID]],Batters[[#All],[PID]],0)),INDEX(Table3[[#All],[STM]],MATCH(Table5[[#This Row],[PID]],Table3[[#All],[PID]],0)))</f>
        <v>1</v>
      </c>
      <c r="Q1450" s="61">
        <f>IF($C1450="B",INDEX(Batters[[#All],[Tot]],MATCH(Table5[[#This Row],[PID]],Batters[[#All],[PID]],0)),INDEX(Table3[[#All],[Tot]],MATCH(Table5[[#This Row],[PID]],Table3[[#All],[PID]],0)))</f>
        <v>34.282907490092974</v>
      </c>
      <c r="R1450" s="70">
        <f>IF($C1450="B",INDEX(Batters[[#All],[zScore]],MATCH(Table5[[#This Row],[PID]],Batters[[#All],[PID]],0)),INDEX(Table3[[#All],[zScore]],MATCH(Table5[[#This Row],[PID]],Table3[[#All],[PID]],0)))</f>
        <v>-2.1835970190120255</v>
      </c>
      <c r="S1450" s="79" t="str">
        <f>IF($C1450="B",INDEX(Batters[[#All],[DEM]],MATCH(Table5[[#This Row],[PID]],Batters[[#All],[PID]],0)),INDEX(Table3[[#All],[DEM]],MATCH(Table5[[#This Row],[PID]],Table3[[#All],[PID]],0)))</f>
        <v>$70k</v>
      </c>
      <c r="T1450" s="62">
        <f>IF($C1450="B",INDEX(Batters[[#All],[Rnk]],MATCH(Table5[[#This Row],[PID]],Batters[[#All],[PID]],0)),INDEX(Table3[[#All],[Rnk]],MATCH(Table5[[#This Row],[PID]],Table3[[#All],[PID]],0)))</f>
        <v>665</v>
      </c>
      <c r="U1450" s="68">
        <f>IF($C1450="B",VLOOKUP($A1450,Bat!$A$4:$BA$1621,47,FALSE),VLOOKUP($A1450,Pit!$A$4:$BF$1557,56,FALSE))</f>
        <v>0</v>
      </c>
      <c r="V1450" s="50">
        <f>IF($C1450="B",VLOOKUP($A1450,Bat!$A$4:$BA$1621,48,FALSE),VLOOKUP($A1450,Pit!$A$4:$BF$1557,57,FALSE))</f>
        <v>0</v>
      </c>
      <c r="W1450" s="50">
        <f>Table5[[#This Row],[posRnk]]+Table5[[#This Row],[zRnk]]+IF($W$3&lt;&gt;Table5[[#This Row],[Type]],50,0)</f>
        <v>2158</v>
      </c>
      <c r="X1450" s="51">
        <f>RANK(Table5[[#This Row],[zScore]],Table5[[#All],[zScore]])</f>
        <v>1443</v>
      </c>
      <c r="Y1450" s="50" t="str">
        <f>IFERROR(INDEX(DraftResults[[#All],[OVR]],MATCH(Table5[[#This Row],[PID]],DraftResults[[#All],[Player ID]],0)),"")</f>
        <v/>
      </c>
      <c r="Z145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0" s="50" t="str">
        <f>IFERROR(INDEX(DraftResults[[#All],[Pick in Round]],MATCH(Table5[[#This Row],[PID]],DraftResults[[#All],[Player ID]],0)),"")</f>
        <v/>
      </c>
      <c r="AB1450" s="50" t="str">
        <f>IFERROR(INDEX(DraftResults[[#All],[Team Name]],MATCH(Table5[[#This Row],[PID]],DraftResults[[#All],[Player ID]],0)),"")</f>
        <v/>
      </c>
      <c r="AC1450" s="50" t="str">
        <f>IF(Table5[[#This Row],[Ovr]]="","",IF(Table5[[#This Row],[cmbList]]="","",Table5[[#This Row],[cmbList]]-Table5[[#This Row],[Ovr]]))</f>
        <v/>
      </c>
      <c r="AD1450" s="54" t="str">
        <f>IF(ISERROR(VLOOKUP($AB1450&amp;"-"&amp;$E1450&amp;" "&amp;F1450,Bonuses!$B$1:$G$1006,4,FALSE)),"",INT(VLOOKUP($AB1450&amp;"-"&amp;$E1450&amp;" "&amp;$F1450,Bonuses!$B$1:$G$1006,4,FALSE)))</f>
        <v/>
      </c>
      <c r="AE145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1" spans="1:31" x14ac:dyDescent="0.25">
      <c r="A1451" s="50">
        <v>15922</v>
      </c>
      <c r="B1451" s="50">
        <f>COUNTIF(Table5[PID],A1451)</f>
        <v>1</v>
      </c>
      <c r="C1451" s="50" t="str">
        <f>IF(COUNTIF(Table3[[#All],[PID]],A1451)&gt;0,"P","B")</f>
        <v>B</v>
      </c>
      <c r="D1451" s="59" t="str">
        <f>IF($C1451="B",INDEX(Batters[[#All],[POS]],MATCH(Table5[[#This Row],[PID]],Batters[[#All],[PID]],0)),INDEX(Table3[[#All],[POS]],MATCH(Table5[[#This Row],[PID]],Table3[[#All],[PID]],0)))</f>
        <v>3B</v>
      </c>
      <c r="E1451" s="52" t="str">
        <f>IF($C1451="B",INDEX(Batters[[#All],[First]],MATCH(Table5[[#This Row],[PID]],Batters[[#All],[PID]],0)),INDEX(Table3[[#All],[First]],MATCH(Table5[[#This Row],[PID]],Table3[[#All],[PID]],0)))</f>
        <v>Jay</v>
      </c>
      <c r="F1451" s="50" t="str">
        <f>IF($C1451="B",INDEX(Batters[[#All],[Last]],MATCH(A1451,Batters[[#All],[PID]],0)),INDEX(Table3[[#All],[Last]],MATCH(A1451,Table3[[#All],[PID]],0)))</f>
        <v>Tak</v>
      </c>
      <c r="G1451" s="56">
        <f>IF($C1451="B",INDEX(Batters[[#All],[Age]],MATCH(Table5[[#This Row],[PID]],Batters[[#All],[PID]],0)),INDEX(Table3[[#All],[Age]],MATCH(Table5[[#This Row],[PID]],Table3[[#All],[PID]],0)))</f>
        <v>21</v>
      </c>
      <c r="H1451" s="52" t="str">
        <f>IF($C1451="B",INDEX(Batters[[#All],[B]],MATCH(Table5[[#This Row],[PID]],Batters[[#All],[PID]],0)),INDEX(Table3[[#All],[B]],MATCH(Table5[[#This Row],[PID]],Table3[[#All],[PID]],0)))</f>
        <v>S</v>
      </c>
      <c r="I1451" s="70" t="str">
        <f>IF($C1451="B",INDEX(Batters[[#All],[T]],MATCH(Table5[[#This Row],[PID]],Batters[[#All],[PID]],0)),INDEX(Table3[[#All],[T]],MATCH(Table5[[#This Row],[PID]],Table3[[#All],[PID]],0)))</f>
        <v>R</v>
      </c>
      <c r="J1451" s="52" t="str">
        <f>IF($C1451="B",INDEX(Batters[[#All],[WE]],MATCH(Table5[[#This Row],[PID]],Batters[[#All],[PID]],0)),INDEX(Table3[[#All],[WE]],MATCH(Table5[[#This Row],[PID]],Table3[[#All],[PID]],0)))</f>
        <v>Normal</v>
      </c>
      <c r="K1451" s="52" t="str">
        <f>IF($C1451="B",INDEX(Batters[[#All],[INT]],MATCH(Table5[[#This Row],[PID]],Batters[[#All],[PID]],0)),INDEX(Table3[[#All],[INT]],MATCH(Table5[[#This Row],[PID]],Table3[[#All],[PID]],0)))</f>
        <v>Normal</v>
      </c>
      <c r="L1451" s="60">
        <f>IF($C1451="B",INDEX(Batters[[#All],[CON P]],MATCH(Table5[[#This Row],[PID]],Batters[[#All],[PID]],0)),INDEX(Table3[[#All],[STU P]],MATCH(Table5[[#This Row],[PID]],Table3[[#All],[PID]],0)))</f>
        <v>2</v>
      </c>
      <c r="M1451" s="56">
        <f>IF($C1451="B",INDEX(Batters[[#All],[GAP P]],MATCH(Table5[[#This Row],[PID]],Batters[[#All],[PID]],0)),INDEX(Table3[[#All],[MOV P]],MATCH(Table5[[#This Row],[PID]],Table3[[#All],[PID]],0)))</f>
        <v>3</v>
      </c>
      <c r="N1451" s="56">
        <f>IF($C1451="B",INDEX(Batters[[#All],[POW P]],MATCH(Table5[[#This Row],[PID]],Batters[[#All],[PID]],0)),INDEX(Table3[[#All],[CON P]],MATCH(Table5[[#This Row],[PID]],Table3[[#All],[PID]],0)))</f>
        <v>4</v>
      </c>
      <c r="O1451" s="56">
        <f>IF($C1451="B",INDEX(Batters[[#All],[EYE P]],MATCH(Table5[[#This Row],[PID]],Batters[[#All],[PID]],0)),INDEX(Table3[[#All],[VELO]],MATCH(Table5[[#This Row],[PID]],Table3[[#All],[PID]],0)))</f>
        <v>5</v>
      </c>
      <c r="P1451" s="56">
        <f>IF($C1451="B",INDEX(Batters[[#All],[K P]],MATCH(Table5[[#This Row],[PID]],Batters[[#All],[PID]],0)),INDEX(Table3[[#All],[STM]],MATCH(Table5[[#This Row],[PID]],Table3[[#All],[PID]],0)))</f>
        <v>2</v>
      </c>
      <c r="Q1451" s="61">
        <f>IF($C1451="B",INDEX(Batters[[#All],[Tot]],MATCH(Table5[[#This Row],[PID]],Batters[[#All],[PID]],0)),INDEX(Table3[[#All],[Tot]],MATCH(Table5[[#This Row],[PID]],Table3[[#All],[PID]],0)))</f>
        <v>34.277604129298439</v>
      </c>
      <c r="R1451" s="70">
        <f>IF($C1451="B",INDEX(Batters[[#All],[zScore]],MATCH(Table5[[#This Row],[PID]],Batters[[#All],[PID]],0)),INDEX(Table3[[#All],[zScore]],MATCH(Table5[[#This Row],[PID]],Table3[[#All],[PID]],0)))</f>
        <v>-2.1847728099475661</v>
      </c>
      <c r="S1451" s="79" t="str">
        <f>IF($C1451="B",INDEX(Batters[[#All],[DEM]],MATCH(Table5[[#This Row],[PID]],Batters[[#All],[PID]],0)),INDEX(Table3[[#All],[DEM]],MATCH(Table5[[#This Row],[PID]],Table3[[#All],[PID]],0)))</f>
        <v>-</v>
      </c>
      <c r="T1451" s="62">
        <f>IF($C1451="B",INDEX(Batters[[#All],[Rnk]],MATCH(Table5[[#This Row],[PID]],Batters[[#All],[PID]],0)),INDEX(Table3[[#All],[Rnk]],MATCH(Table5[[#This Row],[PID]],Table3[[#All],[PID]],0)))</f>
        <v>666</v>
      </c>
      <c r="U1451" s="68">
        <f>IF($C1451="B",VLOOKUP($A1451,Bat!$A$4:$BA$1621,47,FALSE),VLOOKUP($A1451,Pit!$A$4:$BF$1557,56,FALSE))</f>
        <v>0</v>
      </c>
      <c r="V1451" s="50">
        <f>IF($C1451="B",VLOOKUP($A1451,Bat!$A$4:$BA$1621,48,FALSE),VLOOKUP($A1451,Pit!$A$4:$BF$1557,57,FALSE))</f>
        <v>0</v>
      </c>
      <c r="W1451" s="50">
        <f>Table5[[#This Row],[posRnk]]+Table5[[#This Row],[zRnk]]+IF($W$3&lt;&gt;Table5[[#This Row],[Type]],50,0)</f>
        <v>2160</v>
      </c>
      <c r="X1451" s="51">
        <f>RANK(Table5[[#This Row],[zScore]],Table5[[#All],[zScore]])</f>
        <v>1444</v>
      </c>
      <c r="Y1451" s="50" t="str">
        <f>IFERROR(INDEX(DraftResults[[#All],[OVR]],MATCH(Table5[[#This Row],[PID]],DraftResults[[#All],[Player ID]],0)),"")</f>
        <v/>
      </c>
      <c r="Z145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1" s="50" t="str">
        <f>IFERROR(INDEX(DraftResults[[#All],[Pick in Round]],MATCH(Table5[[#This Row],[PID]],DraftResults[[#All],[Player ID]],0)),"")</f>
        <v/>
      </c>
      <c r="AB1451" s="50" t="str">
        <f>IFERROR(INDEX(DraftResults[[#All],[Team Name]],MATCH(Table5[[#This Row],[PID]],DraftResults[[#All],[Player ID]],0)),"")</f>
        <v/>
      </c>
      <c r="AC1451" s="50" t="str">
        <f>IF(Table5[[#This Row],[Ovr]]="","",IF(Table5[[#This Row],[cmbList]]="","",Table5[[#This Row],[cmbList]]-Table5[[#This Row],[Ovr]]))</f>
        <v/>
      </c>
      <c r="AD1451" s="54" t="str">
        <f>IF(ISERROR(VLOOKUP($AB1451&amp;"-"&amp;$E1451&amp;" "&amp;F1451,Bonuses!$B$1:$G$1006,4,FALSE)),"",INT(VLOOKUP($AB1451&amp;"-"&amp;$E1451&amp;" "&amp;$F1451,Bonuses!$B$1:$G$1006,4,FALSE)))</f>
        <v/>
      </c>
      <c r="AE145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2" spans="1:31" x14ac:dyDescent="0.25">
      <c r="A1452" s="50">
        <v>10489</v>
      </c>
      <c r="B1452" s="50">
        <f>COUNTIF(Table5[PID],A1452)</f>
        <v>1</v>
      </c>
      <c r="C1452" s="50" t="str">
        <f>IF(COUNTIF(Table3[[#All],[PID]],A1452)&gt;0,"P","B")</f>
        <v>B</v>
      </c>
      <c r="D1452" s="59" t="str">
        <f>IF($C1452="B",INDEX(Batters[[#All],[POS]],MATCH(Table5[[#This Row],[PID]],Batters[[#All],[PID]],0)),INDEX(Table3[[#All],[POS]],MATCH(Table5[[#This Row],[PID]],Table3[[#All],[PID]],0)))</f>
        <v>1B</v>
      </c>
      <c r="E1452" s="52" t="str">
        <f>IF($C1452="B",INDEX(Batters[[#All],[First]],MATCH(Table5[[#This Row],[PID]],Batters[[#All],[PID]],0)),INDEX(Table3[[#All],[First]],MATCH(Table5[[#This Row],[PID]],Table3[[#All],[PID]],0)))</f>
        <v>Bill</v>
      </c>
      <c r="F1452" s="50" t="str">
        <f>IF($C1452="B",INDEX(Batters[[#All],[Last]],MATCH(A1452,Batters[[#All],[PID]],0)),INDEX(Table3[[#All],[Last]],MATCH(A1452,Table3[[#All],[PID]],0)))</f>
        <v>Dean</v>
      </c>
      <c r="G1452" s="56">
        <f>IF($C1452="B",INDEX(Batters[[#All],[Age]],MATCH(Table5[[#This Row],[PID]],Batters[[#All],[PID]],0)),INDEX(Table3[[#All],[Age]],MATCH(Table5[[#This Row],[PID]],Table3[[#All],[PID]],0)))</f>
        <v>22</v>
      </c>
      <c r="H1452" s="52" t="str">
        <f>IF($C1452="B",INDEX(Batters[[#All],[B]],MATCH(Table5[[#This Row],[PID]],Batters[[#All],[PID]],0)),INDEX(Table3[[#All],[B]],MATCH(Table5[[#This Row],[PID]],Table3[[#All],[PID]],0)))</f>
        <v>S</v>
      </c>
      <c r="I1452" s="70" t="str">
        <f>IF($C1452="B",INDEX(Batters[[#All],[T]],MATCH(Table5[[#This Row],[PID]],Batters[[#All],[PID]],0)),INDEX(Table3[[#All],[T]],MATCH(Table5[[#This Row],[PID]],Table3[[#All],[PID]],0)))</f>
        <v>R</v>
      </c>
      <c r="J1452" s="52" t="str">
        <f>IF($C1452="B",INDEX(Batters[[#All],[WE]],MATCH(Table5[[#This Row],[PID]],Batters[[#All],[PID]],0)),INDEX(Table3[[#All],[WE]],MATCH(Table5[[#This Row],[PID]],Table3[[#All],[PID]],0)))</f>
        <v>Low</v>
      </c>
      <c r="K1452" s="52" t="str">
        <f>IF($C1452="B",INDEX(Batters[[#All],[INT]],MATCH(Table5[[#This Row],[PID]],Batters[[#All],[PID]],0)),INDEX(Table3[[#All],[INT]],MATCH(Table5[[#This Row],[PID]],Table3[[#All],[PID]],0)))</f>
        <v>Normal</v>
      </c>
      <c r="L1452" s="60">
        <f>IF($C1452="B",INDEX(Batters[[#All],[CON P]],MATCH(Table5[[#This Row],[PID]],Batters[[#All],[PID]],0)),INDEX(Table3[[#All],[STU P]],MATCH(Table5[[#This Row],[PID]],Table3[[#All],[PID]],0)))</f>
        <v>4</v>
      </c>
      <c r="M1452" s="56">
        <f>IF($C1452="B",INDEX(Batters[[#All],[GAP P]],MATCH(Table5[[#This Row],[PID]],Batters[[#All],[PID]],0)),INDEX(Table3[[#All],[MOV P]],MATCH(Table5[[#This Row],[PID]],Table3[[#All],[PID]],0)))</f>
        <v>2</v>
      </c>
      <c r="N1452" s="56">
        <f>IF($C1452="B",INDEX(Batters[[#All],[POW P]],MATCH(Table5[[#This Row],[PID]],Batters[[#All],[PID]],0)),INDEX(Table3[[#All],[CON P]],MATCH(Table5[[#This Row],[PID]],Table3[[#All],[PID]],0)))</f>
        <v>2</v>
      </c>
      <c r="O1452" s="56">
        <f>IF($C1452="B",INDEX(Batters[[#All],[EYE P]],MATCH(Table5[[#This Row],[PID]],Batters[[#All],[PID]],0)),INDEX(Table3[[#All],[VELO]],MATCH(Table5[[#This Row],[PID]],Table3[[#All],[PID]],0)))</f>
        <v>1</v>
      </c>
      <c r="P1452" s="56">
        <f>IF($C1452="B",INDEX(Batters[[#All],[K P]],MATCH(Table5[[#This Row],[PID]],Batters[[#All],[PID]],0)),INDEX(Table3[[#All],[STM]],MATCH(Table5[[#This Row],[PID]],Table3[[#All],[PID]],0)))</f>
        <v>4</v>
      </c>
      <c r="Q1452" s="61">
        <f>IF($C1452="B",INDEX(Batters[[#All],[Tot]],MATCH(Table5[[#This Row],[PID]],Batters[[#All],[PID]],0)),INDEX(Table3[[#All],[Tot]],MATCH(Table5[[#This Row],[PID]],Table3[[#All],[PID]],0)))</f>
        <v>34.218319238133567</v>
      </c>
      <c r="R1452" s="70">
        <f>IF($C1452="B",INDEX(Batters[[#All],[zScore]],MATCH(Table5[[#This Row],[PID]],Batters[[#All],[PID]],0)),INDEX(Table3[[#All],[zScore]],MATCH(Table5[[#This Row],[PID]],Table3[[#All],[PID]],0)))</f>
        <v>-2.1979166710474916</v>
      </c>
      <c r="S1452" s="79" t="str">
        <f>IF($C1452="B",INDEX(Batters[[#All],[DEM]],MATCH(Table5[[#This Row],[PID]],Batters[[#All],[PID]],0)),INDEX(Table3[[#All],[DEM]],MATCH(Table5[[#This Row],[PID]],Table3[[#All],[PID]],0)))</f>
        <v>-</v>
      </c>
      <c r="T1452" s="62">
        <f>IF($C1452="B",INDEX(Batters[[#All],[Rnk]],MATCH(Table5[[#This Row],[PID]],Batters[[#All],[PID]],0)),INDEX(Table3[[#All],[Rnk]],MATCH(Table5[[#This Row],[PID]],Table3[[#All],[PID]],0)))</f>
        <v>667</v>
      </c>
      <c r="U1452" s="68">
        <f>IF($C1452="B",VLOOKUP($A1452,Bat!$A$4:$BA$1621,47,FALSE),VLOOKUP($A1452,Pit!$A$4:$BF$1557,56,FALSE))</f>
        <v>0</v>
      </c>
      <c r="V1452" s="50">
        <f>IF($C1452="B",VLOOKUP($A1452,Bat!$A$4:$BA$1621,48,FALSE),VLOOKUP($A1452,Pit!$A$4:$BF$1557,57,FALSE))</f>
        <v>0</v>
      </c>
      <c r="W1452" s="50">
        <f>Table5[[#This Row],[posRnk]]+Table5[[#This Row],[zRnk]]+IF($W$3&lt;&gt;Table5[[#This Row],[Type]],50,0)</f>
        <v>2162</v>
      </c>
      <c r="X1452" s="51">
        <f>RANK(Table5[[#This Row],[zScore]],Table5[[#All],[zScore]])</f>
        <v>1445</v>
      </c>
      <c r="Y1452" s="50" t="str">
        <f>IFERROR(INDEX(DraftResults[[#All],[OVR]],MATCH(Table5[[#This Row],[PID]],DraftResults[[#All],[Player ID]],0)),"")</f>
        <v/>
      </c>
      <c r="Z145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2" s="50" t="str">
        <f>IFERROR(INDEX(DraftResults[[#All],[Pick in Round]],MATCH(Table5[[#This Row],[PID]],DraftResults[[#All],[Player ID]],0)),"")</f>
        <v/>
      </c>
      <c r="AB1452" s="50" t="str">
        <f>IFERROR(INDEX(DraftResults[[#All],[Team Name]],MATCH(Table5[[#This Row],[PID]],DraftResults[[#All],[Player ID]],0)),"")</f>
        <v/>
      </c>
      <c r="AC1452" s="50" t="str">
        <f>IF(Table5[[#This Row],[Ovr]]="","",IF(Table5[[#This Row],[cmbList]]="","",Table5[[#This Row],[cmbList]]-Table5[[#This Row],[Ovr]]))</f>
        <v/>
      </c>
      <c r="AD1452" s="54" t="str">
        <f>IF(ISERROR(VLOOKUP($AB1452&amp;"-"&amp;$E1452&amp;" "&amp;F1452,Bonuses!$B$1:$G$1006,4,FALSE)),"",INT(VLOOKUP($AB1452&amp;"-"&amp;$E1452&amp;" "&amp;$F1452,Bonuses!$B$1:$G$1006,4,FALSE)))</f>
        <v/>
      </c>
      <c r="AE145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3" spans="1:31" x14ac:dyDescent="0.25">
      <c r="A1453" s="50">
        <v>12100</v>
      </c>
      <c r="B1453" s="50">
        <f>COUNTIF(Table5[PID],A1453)</f>
        <v>1</v>
      </c>
      <c r="C1453" s="50" t="str">
        <f>IF(COUNTIF(Table3[[#All],[PID]],A1453)&gt;0,"P","B")</f>
        <v>B</v>
      </c>
      <c r="D1453" s="59" t="str">
        <f>IF($C1453="B",INDEX(Batters[[#All],[POS]],MATCH(Table5[[#This Row],[PID]],Batters[[#All],[PID]],0)),INDEX(Table3[[#All],[POS]],MATCH(Table5[[#This Row],[PID]],Table3[[#All],[PID]],0)))</f>
        <v>1B</v>
      </c>
      <c r="E1453" s="52" t="str">
        <f>IF($C1453="B",INDEX(Batters[[#All],[First]],MATCH(Table5[[#This Row],[PID]],Batters[[#All],[PID]],0)),INDEX(Table3[[#All],[First]],MATCH(Table5[[#This Row],[PID]],Table3[[#All],[PID]],0)))</f>
        <v>Nick</v>
      </c>
      <c r="F1453" s="50" t="str">
        <f>IF($C1453="B",INDEX(Batters[[#All],[Last]],MATCH(A1453,Batters[[#All],[PID]],0)),INDEX(Table3[[#All],[Last]],MATCH(A1453,Table3[[#All],[PID]],0)))</f>
        <v>Miller</v>
      </c>
      <c r="G1453" s="56">
        <f>IF($C1453="B",INDEX(Batters[[#All],[Age]],MATCH(Table5[[#This Row],[PID]],Batters[[#All],[PID]],0)),INDEX(Table3[[#All],[Age]],MATCH(Table5[[#This Row],[PID]],Table3[[#All],[PID]],0)))</f>
        <v>22</v>
      </c>
      <c r="H1453" s="52" t="str">
        <f>IF($C1453="B",INDEX(Batters[[#All],[B]],MATCH(Table5[[#This Row],[PID]],Batters[[#All],[PID]],0)),INDEX(Table3[[#All],[B]],MATCH(Table5[[#This Row],[PID]],Table3[[#All],[PID]],0)))</f>
        <v>R</v>
      </c>
      <c r="I1453" s="70" t="str">
        <f>IF($C1453="B",INDEX(Batters[[#All],[T]],MATCH(Table5[[#This Row],[PID]],Batters[[#All],[PID]],0)),INDEX(Table3[[#All],[T]],MATCH(Table5[[#This Row],[PID]],Table3[[#All],[PID]],0)))</f>
        <v>R</v>
      </c>
      <c r="J1453" s="52" t="str">
        <f>IF($C1453="B",INDEX(Batters[[#All],[WE]],MATCH(Table5[[#This Row],[PID]],Batters[[#All],[PID]],0)),INDEX(Table3[[#All],[WE]],MATCH(Table5[[#This Row],[PID]],Table3[[#All],[PID]],0)))</f>
        <v>Low</v>
      </c>
      <c r="K1453" s="52" t="str">
        <f>IF($C1453="B",INDEX(Batters[[#All],[INT]],MATCH(Table5[[#This Row],[PID]],Batters[[#All],[PID]],0)),INDEX(Table3[[#All],[INT]],MATCH(Table5[[#This Row],[PID]],Table3[[#All],[PID]],0)))</f>
        <v>Low</v>
      </c>
      <c r="L1453" s="60">
        <f>IF($C1453="B",INDEX(Batters[[#All],[CON P]],MATCH(Table5[[#This Row],[PID]],Batters[[#All],[PID]],0)),INDEX(Table3[[#All],[STU P]],MATCH(Table5[[#This Row],[PID]],Table3[[#All],[PID]],0)))</f>
        <v>3</v>
      </c>
      <c r="M1453" s="56">
        <f>IF($C1453="B",INDEX(Batters[[#All],[GAP P]],MATCH(Table5[[#This Row],[PID]],Batters[[#All],[PID]],0)),INDEX(Table3[[#All],[MOV P]],MATCH(Table5[[#This Row],[PID]],Table3[[#All],[PID]],0)))</f>
        <v>3</v>
      </c>
      <c r="N1453" s="56">
        <f>IF($C1453="B",INDEX(Batters[[#All],[POW P]],MATCH(Table5[[#This Row],[PID]],Batters[[#All],[PID]],0)),INDEX(Table3[[#All],[CON P]],MATCH(Table5[[#This Row],[PID]],Table3[[#All],[PID]],0)))</f>
        <v>3</v>
      </c>
      <c r="O1453" s="56">
        <f>IF($C1453="B",INDEX(Batters[[#All],[EYE P]],MATCH(Table5[[#This Row],[PID]],Batters[[#All],[PID]],0)),INDEX(Table3[[#All],[VELO]],MATCH(Table5[[#This Row],[PID]],Table3[[#All],[PID]],0)))</f>
        <v>4</v>
      </c>
      <c r="P1453" s="56">
        <f>IF($C1453="B",INDEX(Batters[[#All],[K P]],MATCH(Table5[[#This Row],[PID]],Batters[[#All],[PID]],0)),INDEX(Table3[[#All],[STM]],MATCH(Table5[[#This Row],[PID]],Table3[[#All],[PID]],0)))</f>
        <v>3</v>
      </c>
      <c r="Q1453" s="61">
        <f>IF($C1453="B",INDEX(Batters[[#All],[Tot]],MATCH(Table5[[#This Row],[PID]],Batters[[#All],[PID]],0)),INDEX(Table3[[#All],[Tot]],MATCH(Table5[[#This Row],[PID]],Table3[[#All],[PID]],0)))</f>
        <v>34.196911563731362</v>
      </c>
      <c r="R1453" s="70">
        <f>IF($C1453="B",INDEX(Batters[[#All],[zScore]],MATCH(Table5[[#This Row],[PID]],Batters[[#All],[PID]],0)),INDEX(Table3[[#All],[zScore]],MATCH(Table5[[#This Row],[PID]],Table3[[#All],[PID]],0)))</f>
        <v>-2.20266289716491</v>
      </c>
      <c r="S1453" s="79" t="str">
        <f>IF($C1453="B",INDEX(Batters[[#All],[DEM]],MATCH(Table5[[#This Row],[PID]],Batters[[#All],[PID]],0)),INDEX(Table3[[#All],[DEM]],MATCH(Table5[[#This Row],[PID]],Table3[[#All],[PID]],0)))</f>
        <v>-</v>
      </c>
      <c r="T1453" s="62">
        <f>IF($C1453="B",INDEX(Batters[[#All],[Rnk]],MATCH(Table5[[#This Row],[PID]],Batters[[#All],[PID]],0)),INDEX(Table3[[#All],[Rnk]],MATCH(Table5[[#This Row],[PID]],Table3[[#All],[PID]],0)))</f>
        <v>668</v>
      </c>
      <c r="U1453" s="68">
        <f>IF($C1453="B",VLOOKUP($A1453,Bat!$A$4:$BA$1621,47,FALSE),VLOOKUP($A1453,Pit!$A$4:$BF$1557,56,FALSE))</f>
        <v>0</v>
      </c>
      <c r="V1453" s="50">
        <f>IF($C1453="B",VLOOKUP($A1453,Bat!$A$4:$BA$1621,48,FALSE),VLOOKUP($A1453,Pit!$A$4:$BF$1557,57,FALSE))</f>
        <v>0</v>
      </c>
      <c r="W1453" s="50">
        <f>Table5[[#This Row],[posRnk]]+Table5[[#This Row],[zRnk]]+IF($W$3&lt;&gt;Table5[[#This Row],[Type]],50,0)</f>
        <v>2164</v>
      </c>
      <c r="X1453" s="51">
        <f>RANK(Table5[[#This Row],[zScore]],Table5[[#All],[zScore]])</f>
        <v>1446</v>
      </c>
      <c r="Y1453" s="50" t="str">
        <f>IFERROR(INDEX(DraftResults[[#All],[OVR]],MATCH(Table5[[#This Row],[PID]],DraftResults[[#All],[Player ID]],0)),"")</f>
        <v/>
      </c>
      <c r="Z145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3" s="50" t="str">
        <f>IFERROR(INDEX(DraftResults[[#All],[Pick in Round]],MATCH(Table5[[#This Row],[PID]],DraftResults[[#All],[Player ID]],0)),"")</f>
        <v/>
      </c>
      <c r="AB1453" s="50" t="str">
        <f>IFERROR(INDEX(DraftResults[[#All],[Team Name]],MATCH(Table5[[#This Row],[PID]],DraftResults[[#All],[Player ID]],0)),"")</f>
        <v/>
      </c>
      <c r="AC1453" s="50" t="str">
        <f>IF(Table5[[#This Row],[Ovr]]="","",IF(Table5[[#This Row],[cmbList]]="","",Table5[[#This Row],[cmbList]]-Table5[[#This Row],[Ovr]]))</f>
        <v/>
      </c>
      <c r="AD1453" s="54" t="str">
        <f>IF(ISERROR(VLOOKUP($AB1453&amp;"-"&amp;$E1453&amp;" "&amp;F1453,Bonuses!$B$1:$G$1006,4,FALSE)),"",INT(VLOOKUP($AB1453&amp;"-"&amp;$E1453&amp;" "&amp;$F1453,Bonuses!$B$1:$G$1006,4,FALSE)))</f>
        <v/>
      </c>
      <c r="AE145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4" spans="1:31" x14ac:dyDescent="0.25">
      <c r="A1454" s="50">
        <v>6018</v>
      </c>
      <c r="B1454" s="50">
        <f>COUNTIF(Table5[PID],A1454)</f>
        <v>1</v>
      </c>
      <c r="C1454" s="50" t="str">
        <f>IF(COUNTIF(Table3[[#All],[PID]],A1454)&gt;0,"P","B")</f>
        <v>B</v>
      </c>
      <c r="D1454" s="59" t="str">
        <f>IF($C1454="B",INDEX(Batters[[#All],[POS]],MATCH(Table5[[#This Row],[PID]],Batters[[#All],[PID]],0)),INDEX(Table3[[#All],[POS]],MATCH(Table5[[#This Row],[PID]],Table3[[#All],[PID]],0)))</f>
        <v>LF</v>
      </c>
      <c r="E1454" s="52" t="str">
        <f>IF($C1454="B",INDEX(Batters[[#All],[First]],MATCH(Table5[[#This Row],[PID]],Batters[[#All],[PID]],0)),INDEX(Table3[[#All],[First]],MATCH(Table5[[#This Row],[PID]],Table3[[#All],[PID]],0)))</f>
        <v>Kelvin</v>
      </c>
      <c r="F1454" s="50" t="str">
        <f>IF($C1454="B",INDEX(Batters[[#All],[Last]],MATCH(A1454,Batters[[#All],[PID]],0)),INDEX(Table3[[#All],[Last]],MATCH(A1454,Table3[[#All],[PID]],0)))</f>
        <v>Shepherd</v>
      </c>
      <c r="G1454" s="56">
        <f>IF($C1454="B",INDEX(Batters[[#All],[Age]],MATCH(Table5[[#This Row],[PID]],Batters[[#All],[PID]],0)),INDEX(Table3[[#All],[Age]],MATCH(Table5[[#This Row],[PID]],Table3[[#All],[PID]],0)))</f>
        <v>22</v>
      </c>
      <c r="H1454" s="52" t="str">
        <f>IF($C1454="B",INDEX(Batters[[#All],[B]],MATCH(Table5[[#This Row],[PID]],Batters[[#All],[PID]],0)),INDEX(Table3[[#All],[B]],MATCH(Table5[[#This Row],[PID]],Table3[[#All],[PID]],0)))</f>
        <v>R</v>
      </c>
      <c r="I1454" s="70" t="str">
        <f>IF($C1454="B",INDEX(Batters[[#All],[T]],MATCH(Table5[[#This Row],[PID]],Batters[[#All],[PID]],0)),INDEX(Table3[[#All],[T]],MATCH(Table5[[#This Row],[PID]],Table3[[#All],[PID]],0)))</f>
        <v>R</v>
      </c>
      <c r="J1454" s="52" t="str">
        <f>IF($C1454="B",INDEX(Batters[[#All],[WE]],MATCH(Table5[[#This Row],[PID]],Batters[[#All],[PID]],0)),INDEX(Table3[[#All],[WE]],MATCH(Table5[[#This Row],[PID]],Table3[[#All],[PID]],0)))</f>
        <v>Low</v>
      </c>
      <c r="K1454" s="52" t="str">
        <f>IF($C1454="B",INDEX(Batters[[#All],[INT]],MATCH(Table5[[#This Row],[PID]],Batters[[#All],[PID]],0)),INDEX(Table3[[#All],[INT]],MATCH(Table5[[#This Row],[PID]],Table3[[#All],[PID]],0)))</f>
        <v>Low</v>
      </c>
      <c r="L1454" s="60">
        <f>IF($C1454="B",INDEX(Batters[[#All],[CON P]],MATCH(Table5[[#This Row],[PID]],Batters[[#All],[PID]],0)),INDEX(Table3[[#All],[STU P]],MATCH(Table5[[#This Row],[PID]],Table3[[#All],[PID]],0)))</f>
        <v>3</v>
      </c>
      <c r="M1454" s="56">
        <f>IF($C1454="B",INDEX(Batters[[#All],[GAP P]],MATCH(Table5[[#This Row],[PID]],Batters[[#All],[PID]],0)),INDEX(Table3[[#All],[MOV P]],MATCH(Table5[[#This Row],[PID]],Table3[[#All],[PID]],0)))</f>
        <v>4</v>
      </c>
      <c r="N1454" s="56">
        <f>IF($C1454="B",INDEX(Batters[[#All],[POW P]],MATCH(Table5[[#This Row],[PID]],Batters[[#All],[PID]],0)),INDEX(Table3[[#All],[CON P]],MATCH(Table5[[#This Row],[PID]],Table3[[#All],[PID]],0)))</f>
        <v>2</v>
      </c>
      <c r="O1454" s="56">
        <f>IF($C1454="B",INDEX(Batters[[#All],[EYE P]],MATCH(Table5[[#This Row],[PID]],Batters[[#All],[PID]],0)),INDEX(Table3[[#All],[VELO]],MATCH(Table5[[#This Row],[PID]],Table3[[#All],[PID]],0)))</f>
        <v>4</v>
      </c>
      <c r="P1454" s="56">
        <f>IF($C1454="B",INDEX(Batters[[#All],[K P]],MATCH(Table5[[#This Row],[PID]],Batters[[#All],[PID]],0)),INDEX(Table3[[#All],[STM]],MATCH(Table5[[#This Row],[PID]],Table3[[#All],[PID]],0)))</f>
        <v>3</v>
      </c>
      <c r="Q1454" s="61">
        <f>IF($C1454="B",INDEX(Batters[[#All],[Tot]],MATCH(Table5[[#This Row],[PID]],Batters[[#All],[PID]],0)),INDEX(Table3[[#All],[Tot]],MATCH(Table5[[#This Row],[PID]],Table3[[#All],[PID]],0)))</f>
        <v>34.170922063099496</v>
      </c>
      <c r="R1454" s="70">
        <f>IF($C1454="B",INDEX(Batters[[#All],[zScore]],MATCH(Table5[[#This Row],[PID]],Batters[[#All],[PID]],0)),INDEX(Table3[[#All],[zScore]],MATCH(Table5[[#This Row],[PID]],Table3[[#All],[PID]],0)))</f>
        <v>-2.2084249451277151</v>
      </c>
      <c r="S1454" s="79" t="str">
        <f>IF($C1454="B",INDEX(Batters[[#All],[DEM]],MATCH(Table5[[#This Row],[PID]],Batters[[#All],[PID]],0)),INDEX(Table3[[#All],[DEM]],MATCH(Table5[[#This Row],[PID]],Table3[[#All],[PID]],0)))</f>
        <v>-</v>
      </c>
      <c r="T1454" s="62">
        <f>IF($C1454="B",INDEX(Batters[[#All],[Rnk]],MATCH(Table5[[#This Row],[PID]],Batters[[#All],[PID]],0)),INDEX(Table3[[#All],[Rnk]],MATCH(Table5[[#This Row],[PID]],Table3[[#All],[PID]],0)))</f>
        <v>669</v>
      </c>
      <c r="U1454" s="68">
        <f>IF($C1454="B",VLOOKUP($A1454,Bat!$A$4:$BA$1621,47,FALSE),VLOOKUP($A1454,Pit!$A$4:$BF$1557,56,FALSE))</f>
        <v>0</v>
      </c>
      <c r="V1454" s="50">
        <f>IF($C1454="B",VLOOKUP($A1454,Bat!$A$4:$BA$1621,48,FALSE),VLOOKUP($A1454,Pit!$A$4:$BF$1557,57,FALSE))</f>
        <v>0</v>
      </c>
      <c r="W1454" s="50">
        <f>Table5[[#This Row],[posRnk]]+Table5[[#This Row],[zRnk]]+IF($W$3&lt;&gt;Table5[[#This Row],[Type]],50,0)</f>
        <v>2166</v>
      </c>
      <c r="X1454" s="51">
        <f>RANK(Table5[[#This Row],[zScore]],Table5[[#All],[zScore]])</f>
        <v>1447</v>
      </c>
      <c r="Y1454" s="50" t="str">
        <f>IFERROR(INDEX(DraftResults[[#All],[OVR]],MATCH(Table5[[#This Row],[PID]],DraftResults[[#All],[Player ID]],0)),"")</f>
        <v/>
      </c>
      <c r="Z145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4" s="50" t="str">
        <f>IFERROR(INDEX(DraftResults[[#All],[Pick in Round]],MATCH(Table5[[#This Row],[PID]],DraftResults[[#All],[Player ID]],0)),"")</f>
        <v/>
      </c>
      <c r="AB1454" s="50" t="str">
        <f>IFERROR(INDEX(DraftResults[[#All],[Team Name]],MATCH(Table5[[#This Row],[PID]],DraftResults[[#All],[Player ID]],0)),"")</f>
        <v/>
      </c>
      <c r="AC1454" s="50" t="str">
        <f>IF(Table5[[#This Row],[Ovr]]="","",IF(Table5[[#This Row],[cmbList]]="","",Table5[[#This Row],[cmbList]]-Table5[[#This Row],[Ovr]]))</f>
        <v/>
      </c>
      <c r="AD1454" s="54" t="str">
        <f>IF(ISERROR(VLOOKUP($AB1454&amp;"-"&amp;$E1454&amp;" "&amp;F1454,Bonuses!$B$1:$G$1006,4,FALSE)),"",INT(VLOOKUP($AB1454&amp;"-"&amp;$E1454&amp;" "&amp;$F1454,Bonuses!$B$1:$G$1006,4,FALSE)))</f>
        <v/>
      </c>
      <c r="AE145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5" spans="1:31" x14ac:dyDescent="0.25">
      <c r="A1455" s="50">
        <v>10015</v>
      </c>
      <c r="B1455" s="50">
        <f>COUNTIF(Table5[PID],A1455)</f>
        <v>1</v>
      </c>
      <c r="C1455" s="50" t="str">
        <f>IF(COUNTIF(Table3[[#All],[PID]],A1455)&gt;0,"P","B")</f>
        <v>B</v>
      </c>
      <c r="D1455" s="59" t="str">
        <f>IF($C1455="B",INDEX(Batters[[#All],[POS]],MATCH(Table5[[#This Row],[PID]],Batters[[#All],[PID]],0)),INDEX(Table3[[#All],[POS]],MATCH(Table5[[#This Row],[PID]],Table3[[#All],[PID]],0)))</f>
        <v>C</v>
      </c>
      <c r="E1455" s="52" t="str">
        <f>IF($C1455="B",INDEX(Batters[[#All],[First]],MATCH(Table5[[#This Row],[PID]],Batters[[#All],[PID]],0)),INDEX(Table3[[#All],[First]],MATCH(Table5[[#This Row],[PID]],Table3[[#All],[PID]],0)))</f>
        <v>Chris</v>
      </c>
      <c r="F1455" s="50" t="str">
        <f>IF($C1455="B",INDEX(Batters[[#All],[Last]],MATCH(A1455,Batters[[#All],[PID]],0)),INDEX(Table3[[#All],[Last]],MATCH(A1455,Table3[[#All],[PID]],0)))</f>
        <v>Green</v>
      </c>
      <c r="G1455" s="56">
        <f>IF($C1455="B",INDEX(Batters[[#All],[Age]],MATCH(Table5[[#This Row],[PID]],Batters[[#All],[PID]],0)),INDEX(Table3[[#All],[Age]],MATCH(Table5[[#This Row],[PID]],Table3[[#All],[PID]],0)))</f>
        <v>22</v>
      </c>
      <c r="H1455" s="52" t="str">
        <f>IF($C1455="B",INDEX(Batters[[#All],[B]],MATCH(Table5[[#This Row],[PID]],Batters[[#All],[PID]],0)),INDEX(Table3[[#All],[B]],MATCH(Table5[[#This Row],[PID]],Table3[[#All],[PID]],0)))</f>
        <v>R</v>
      </c>
      <c r="I1455" s="70" t="str">
        <f>IF($C1455="B",INDEX(Batters[[#All],[T]],MATCH(Table5[[#This Row],[PID]],Batters[[#All],[PID]],0)),INDEX(Table3[[#All],[T]],MATCH(Table5[[#This Row],[PID]],Table3[[#All],[PID]],0)))</f>
        <v>R</v>
      </c>
      <c r="J1455" s="52" t="str">
        <f>IF($C1455="B",INDEX(Batters[[#All],[WE]],MATCH(Table5[[#This Row],[PID]],Batters[[#All],[PID]],0)),INDEX(Table3[[#All],[WE]],MATCH(Table5[[#This Row],[PID]],Table3[[#All],[PID]],0)))</f>
        <v>Normal</v>
      </c>
      <c r="K1455" s="52" t="str">
        <f>IF($C1455="B",INDEX(Batters[[#All],[INT]],MATCH(Table5[[#This Row],[PID]],Batters[[#All],[PID]],0)),INDEX(Table3[[#All],[INT]],MATCH(Table5[[#This Row],[PID]],Table3[[#All],[PID]],0)))</f>
        <v>Normal</v>
      </c>
      <c r="L1455" s="60">
        <f>IF($C1455="B",INDEX(Batters[[#All],[CON P]],MATCH(Table5[[#This Row],[PID]],Batters[[#All],[PID]],0)),INDEX(Table3[[#All],[STU P]],MATCH(Table5[[#This Row],[PID]],Table3[[#All],[PID]],0)))</f>
        <v>2</v>
      </c>
      <c r="M1455" s="56">
        <f>IF($C1455="B",INDEX(Batters[[#All],[GAP P]],MATCH(Table5[[#This Row],[PID]],Batters[[#All],[PID]],0)),INDEX(Table3[[#All],[MOV P]],MATCH(Table5[[#This Row],[PID]],Table3[[#All],[PID]],0)))</f>
        <v>3</v>
      </c>
      <c r="N1455" s="56">
        <f>IF($C1455="B",INDEX(Batters[[#All],[POW P]],MATCH(Table5[[#This Row],[PID]],Batters[[#All],[PID]],0)),INDEX(Table3[[#All],[CON P]],MATCH(Table5[[#This Row],[PID]],Table3[[#All],[PID]],0)))</f>
        <v>4</v>
      </c>
      <c r="O1455" s="56">
        <f>IF($C1455="B",INDEX(Batters[[#All],[EYE P]],MATCH(Table5[[#This Row],[PID]],Batters[[#All],[PID]],0)),INDEX(Table3[[#All],[VELO]],MATCH(Table5[[#This Row],[PID]],Table3[[#All],[PID]],0)))</f>
        <v>5</v>
      </c>
      <c r="P1455" s="56">
        <f>IF($C1455="B",INDEX(Batters[[#All],[K P]],MATCH(Table5[[#This Row],[PID]],Batters[[#All],[PID]],0)),INDEX(Table3[[#All],[STM]],MATCH(Table5[[#This Row],[PID]],Table3[[#All],[PID]],0)))</f>
        <v>2</v>
      </c>
      <c r="Q1455" s="61">
        <f>IF($C1455="B",INDEX(Batters[[#All],[Tot]],MATCH(Table5[[#This Row],[PID]],Batters[[#All],[PID]],0)),INDEX(Table3[[#All],[Tot]],MATCH(Table5[[#This Row],[PID]],Table3[[#All],[PID]],0)))</f>
        <v>34.041681072261269</v>
      </c>
      <c r="R1455" s="70">
        <f>IF($C1455="B",INDEX(Batters[[#All],[zScore]],MATCH(Table5[[#This Row],[PID]],Batters[[#All],[PID]],0)),INDEX(Table3[[#All],[zScore]],MATCH(Table5[[#This Row],[PID]],Table3[[#All],[PID]],0)))</f>
        <v>-2.237078546384573</v>
      </c>
      <c r="S1455" s="79" t="str">
        <f>IF($C1455="B",INDEX(Batters[[#All],[DEM]],MATCH(Table5[[#This Row],[PID]],Batters[[#All],[PID]],0)),INDEX(Table3[[#All],[DEM]],MATCH(Table5[[#This Row],[PID]],Table3[[#All],[PID]],0)))</f>
        <v>-</v>
      </c>
      <c r="T1455" s="62">
        <f>IF($C1455="B",INDEX(Batters[[#All],[Rnk]],MATCH(Table5[[#This Row],[PID]],Batters[[#All],[PID]],0)),INDEX(Table3[[#All],[Rnk]],MATCH(Table5[[#This Row],[PID]],Table3[[#All],[PID]],0)))</f>
        <v>670</v>
      </c>
      <c r="U1455" s="68">
        <f>IF($C1455="B",VLOOKUP($A1455,Bat!$A$4:$BA$1621,47,FALSE),VLOOKUP($A1455,Pit!$A$4:$BF$1557,56,FALSE))</f>
        <v>0</v>
      </c>
      <c r="V1455" s="50">
        <f>IF($C1455="B",VLOOKUP($A1455,Bat!$A$4:$BA$1621,48,FALSE),VLOOKUP($A1455,Pit!$A$4:$BF$1557,57,FALSE))</f>
        <v>0</v>
      </c>
      <c r="W1455" s="50">
        <f>Table5[[#This Row],[posRnk]]+Table5[[#This Row],[zRnk]]+IF($W$3&lt;&gt;Table5[[#This Row],[Type]],50,0)</f>
        <v>2168</v>
      </c>
      <c r="X1455" s="51">
        <f>RANK(Table5[[#This Row],[zScore]],Table5[[#All],[zScore]])</f>
        <v>1448</v>
      </c>
      <c r="Y1455" s="50" t="str">
        <f>IFERROR(INDEX(DraftResults[[#All],[OVR]],MATCH(Table5[[#This Row],[PID]],DraftResults[[#All],[Player ID]],0)),"")</f>
        <v/>
      </c>
      <c r="Z145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5" s="50" t="str">
        <f>IFERROR(INDEX(DraftResults[[#All],[Pick in Round]],MATCH(Table5[[#This Row],[PID]],DraftResults[[#All],[Player ID]],0)),"")</f>
        <v/>
      </c>
      <c r="AB1455" s="50" t="str">
        <f>IFERROR(INDEX(DraftResults[[#All],[Team Name]],MATCH(Table5[[#This Row],[PID]],DraftResults[[#All],[Player ID]],0)),"")</f>
        <v/>
      </c>
      <c r="AC1455" s="50" t="str">
        <f>IF(Table5[[#This Row],[Ovr]]="","",IF(Table5[[#This Row],[cmbList]]="","",Table5[[#This Row],[cmbList]]-Table5[[#This Row],[Ovr]]))</f>
        <v/>
      </c>
      <c r="AD1455" s="54" t="str">
        <f>IF(ISERROR(VLOOKUP($AB1455&amp;"-"&amp;$E1455&amp;" "&amp;F1455,Bonuses!$B$1:$G$1006,4,FALSE)),"",INT(VLOOKUP($AB1455&amp;"-"&amp;$E1455&amp;" "&amp;$F1455,Bonuses!$B$1:$G$1006,4,FALSE)))</f>
        <v/>
      </c>
      <c r="AE145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6" spans="1:31" x14ac:dyDescent="0.25">
      <c r="A1456" s="50">
        <v>13443</v>
      </c>
      <c r="B1456" s="50">
        <f>COUNTIF(Table5[PID],A1456)</f>
        <v>1</v>
      </c>
      <c r="C1456" s="50" t="str">
        <f>IF(COUNTIF(Table3[[#All],[PID]],A1456)&gt;0,"P","B")</f>
        <v>B</v>
      </c>
      <c r="D1456" s="59" t="str">
        <f>IF($C1456="B",INDEX(Batters[[#All],[POS]],MATCH(Table5[[#This Row],[PID]],Batters[[#All],[PID]],0)),INDEX(Table3[[#All],[POS]],MATCH(Table5[[#This Row],[PID]],Table3[[#All],[PID]],0)))</f>
        <v>1B</v>
      </c>
      <c r="E1456" s="52" t="str">
        <f>IF($C1456="B",INDEX(Batters[[#All],[First]],MATCH(Table5[[#This Row],[PID]],Batters[[#All],[PID]],0)),INDEX(Table3[[#All],[First]],MATCH(Table5[[#This Row],[PID]],Table3[[#All],[PID]],0)))</f>
        <v>Felipe</v>
      </c>
      <c r="F1456" s="50" t="str">
        <f>IF($C1456="B",INDEX(Batters[[#All],[Last]],MATCH(A1456,Batters[[#All],[PID]],0)),INDEX(Table3[[#All],[Last]],MATCH(A1456,Table3[[#All],[PID]],0)))</f>
        <v>Alicea</v>
      </c>
      <c r="G1456" s="56">
        <f>IF($C1456="B",INDEX(Batters[[#All],[Age]],MATCH(Table5[[#This Row],[PID]],Batters[[#All],[PID]],0)),INDEX(Table3[[#All],[Age]],MATCH(Table5[[#This Row],[PID]],Table3[[#All],[PID]],0)))</f>
        <v>21</v>
      </c>
      <c r="H1456" s="52" t="str">
        <f>IF($C1456="B",INDEX(Batters[[#All],[B]],MATCH(Table5[[#This Row],[PID]],Batters[[#All],[PID]],0)),INDEX(Table3[[#All],[B]],MATCH(Table5[[#This Row],[PID]],Table3[[#All],[PID]],0)))</f>
        <v>R</v>
      </c>
      <c r="I1456" s="70" t="str">
        <f>IF($C1456="B",INDEX(Batters[[#All],[T]],MATCH(Table5[[#This Row],[PID]],Batters[[#All],[PID]],0)),INDEX(Table3[[#All],[T]],MATCH(Table5[[#This Row],[PID]],Table3[[#All],[PID]],0)))</f>
        <v>R</v>
      </c>
      <c r="J1456" s="52" t="str">
        <f>IF($C1456="B",INDEX(Batters[[#All],[WE]],MATCH(Table5[[#This Row],[PID]],Batters[[#All],[PID]],0)),INDEX(Table3[[#All],[WE]],MATCH(Table5[[#This Row],[PID]],Table3[[#All],[PID]],0)))</f>
        <v>Normal</v>
      </c>
      <c r="K1456" s="52" t="str">
        <f>IF($C1456="B",INDEX(Batters[[#All],[INT]],MATCH(Table5[[#This Row],[PID]],Batters[[#All],[PID]],0)),INDEX(Table3[[#All],[INT]],MATCH(Table5[[#This Row],[PID]],Table3[[#All],[PID]],0)))</f>
        <v>Low</v>
      </c>
      <c r="L1456" s="60">
        <f>IF($C1456="B",INDEX(Batters[[#All],[CON P]],MATCH(Table5[[#This Row],[PID]],Batters[[#All],[PID]],0)),INDEX(Table3[[#All],[STU P]],MATCH(Table5[[#This Row],[PID]],Table3[[#All],[PID]],0)))</f>
        <v>3</v>
      </c>
      <c r="M1456" s="56">
        <f>IF($C1456="B",INDEX(Batters[[#All],[GAP P]],MATCH(Table5[[#This Row],[PID]],Batters[[#All],[PID]],0)),INDEX(Table3[[#All],[MOV P]],MATCH(Table5[[#This Row],[PID]],Table3[[#All],[PID]],0)))</f>
        <v>3</v>
      </c>
      <c r="N1456" s="56">
        <f>IF($C1456="B",INDEX(Batters[[#All],[POW P]],MATCH(Table5[[#This Row],[PID]],Batters[[#All],[PID]],0)),INDEX(Table3[[#All],[CON P]],MATCH(Table5[[#This Row],[PID]],Table3[[#All],[PID]],0)))</f>
        <v>2</v>
      </c>
      <c r="O1456" s="56">
        <f>IF($C1456="B",INDEX(Batters[[#All],[EYE P]],MATCH(Table5[[#This Row],[PID]],Batters[[#All],[PID]],0)),INDEX(Table3[[#All],[VELO]],MATCH(Table5[[#This Row],[PID]],Table3[[#All],[PID]],0)))</f>
        <v>4</v>
      </c>
      <c r="P1456" s="56">
        <f>IF($C1456="B",INDEX(Batters[[#All],[K P]],MATCH(Table5[[#This Row],[PID]],Batters[[#All],[PID]],0)),INDEX(Table3[[#All],[STM]],MATCH(Table5[[#This Row],[PID]],Table3[[#All],[PID]],0)))</f>
        <v>3</v>
      </c>
      <c r="Q1456" s="61">
        <f>IF($C1456="B",INDEX(Batters[[#All],[Tot]],MATCH(Table5[[#This Row],[PID]],Batters[[#All],[PID]],0)),INDEX(Table3[[#All],[Tot]],MATCH(Table5[[#This Row],[PID]],Table3[[#All],[PID]],0)))</f>
        <v>33.87517363544454</v>
      </c>
      <c r="R1456" s="70">
        <f>IF($C1456="B",INDEX(Batters[[#All],[zScore]],MATCH(Table5[[#This Row],[PID]],Batters[[#All],[PID]],0)),INDEX(Table3[[#All],[zScore]],MATCH(Table5[[#This Row],[PID]],Table3[[#All],[PID]],0)))</f>
        <v>-2.2739943706126615</v>
      </c>
      <c r="S1456" s="79" t="str">
        <f>IF($C1456="B",INDEX(Batters[[#All],[DEM]],MATCH(Table5[[#This Row],[PID]],Batters[[#All],[PID]],0)),INDEX(Table3[[#All],[DEM]],MATCH(Table5[[#This Row],[PID]],Table3[[#All],[PID]],0)))</f>
        <v>$20k</v>
      </c>
      <c r="T1456" s="62">
        <f>IF($C1456="B",INDEX(Batters[[#All],[Rnk]],MATCH(Table5[[#This Row],[PID]],Batters[[#All],[PID]],0)),INDEX(Table3[[#All],[Rnk]],MATCH(Table5[[#This Row],[PID]],Table3[[#All],[PID]],0)))</f>
        <v>671</v>
      </c>
      <c r="U1456" s="68">
        <f>IF($C1456="B",VLOOKUP($A1456,Bat!$A$4:$BA$1621,47,FALSE),VLOOKUP($A1456,Pit!$A$4:$BF$1557,56,FALSE))</f>
        <v>0</v>
      </c>
      <c r="V1456" s="50">
        <f>IF($C1456="B",VLOOKUP($A1456,Bat!$A$4:$BA$1621,48,FALSE),VLOOKUP($A1456,Pit!$A$4:$BF$1557,57,FALSE))</f>
        <v>0</v>
      </c>
      <c r="W1456" s="50">
        <f>Table5[[#This Row],[posRnk]]+Table5[[#This Row],[zRnk]]+IF($W$3&lt;&gt;Table5[[#This Row],[Type]],50,0)</f>
        <v>2170</v>
      </c>
      <c r="X1456" s="51">
        <f>RANK(Table5[[#This Row],[zScore]],Table5[[#All],[zScore]])</f>
        <v>1449</v>
      </c>
      <c r="Y1456" s="50" t="str">
        <f>IFERROR(INDEX(DraftResults[[#All],[OVR]],MATCH(Table5[[#This Row],[PID]],DraftResults[[#All],[Player ID]],0)),"")</f>
        <v/>
      </c>
      <c r="Z145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6" s="50" t="str">
        <f>IFERROR(INDEX(DraftResults[[#All],[Pick in Round]],MATCH(Table5[[#This Row],[PID]],DraftResults[[#All],[Player ID]],0)),"")</f>
        <v/>
      </c>
      <c r="AB1456" s="50" t="str">
        <f>IFERROR(INDEX(DraftResults[[#All],[Team Name]],MATCH(Table5[[#This Row],[PID]],DraftResults[[#All],[Player ID]],0)),"")</f>
        <v/>
      </c>
      <c r="AC1456" s="50" t="str">
        <f>IF(Table5[[#This Row],[Ovr]]="","",IF(Table5[[#This Row],[cmbList]]="","",Table5[[#This Row],[cmbList]]-Table5[[#This Row],[Ovr]]))</f>
        <v/>
      </c>
      <c r="AD1456" s="54" t="str">
        <f>IF(ISERROR(VLOOKUP($AB1456&amp;"-"&amp;$E1456&amp;" "&amp;F1456,Bonuses!$B$1:$G$1006,4,FALSE)),"",INT(VLOOKUP($AB1456&amp;"-"&amp;$E1456&amp;" "&amp;$F1456,Bonuses!$B$1:$G$1006,4,FALSE)))</f>
        <v/>
      </c>
      <c r="AE145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7" spans="1:31" x14ac:dyDescent="0.25">
      <c r="A1457" s="50">
        <v>12115</v>
      </c>
      <c r="B1457" s="50">
        <f>COUNTIF(Table5[PID],A1457)</f>
        <v>1</v>
      </c>
      <c r="C1457" s="50" t="str">
        <f>IF(COUNTIF(Table3[[#All],[PID]],A1457)&gt;0,"P","B")</f>
        <v>B</v>
      </c>
      <c r="D1457" s="59" t="str">
        <f>IF($C1457="B",INDEX(Batters[[#All],[POS]],MATCH(Table5[[#This Row],[PID]],Batters[[#All],[PID]],0)),INDEX(Table3[[#All],[POS]],MATCH(Table5[[#This Row],[PID]],Table3[[#All],[PID]],0)))</f>
        <v>C</v>
      </c>
      <c r="E1457" s="52" t="str">
        <f>IF($C1457="B",INDEX(Batters[[#All],[First]],MATCH(Table5[[#This Row],[PID]],Batters[[#All],[PID]],0)),INDEX(Table3[[#All],[First]],MATCH(Table5[[#This Row],[PID]],Table3[[#All],[PID]],0)))</f>
        <v>Enrique</v>
      </c>
      <c r="F1457" s="50" t="str">
        <f>IF($C1457="B",INDEX(Batters[[#All],[Last]],MATCH(A1457,Batters[[#All],[PID]],0)),INDEX(Table3[[#All],[Last]],MATCH(A1457,Table3[[#All],[PID]],0)))</f>
        <v>Hernández</v>
      </c>
      <c r="G1457" s="56">
        <f>IF($C1457="B",INDEX(Batters[[#All],[Age]],MATCH(Table5[[#This Row],[PID]],Batters[[#All],[PID]],0)),INDEX(Table3[[#All],[Age]],MATCH(Table5[[#This Row],[PID]],Table3[[#All],[PID]],0)))</f>
        <v>22</v>
      </c>
      <c r="H1457" s="52" t="str">
        <f>IF($C1457="B",INDEX(Batters[[#All],[B]],MATCH(Table5[[#This Row],[PID]],Batters[[#All],[PID]],0)),INDEX(Table3[[#All],[B]],MATCH(Table5[[#This Row],[PID]],Table3[[#All],[PID]],0)))</f>
        <v>S</v>
      </c>
      <c r="I1457" s="70" t="str">
        <f>IF($C1457="B",INDEX(Batters[[#All],[T]],MATCH(Table5[[#This Row],[PID]],Batters[[#All],[PID]],0)),INDEX(Table3[[#All],[T]],MATCH(Table5[[#This Row],[PID]],Table3[[#All],[PID]],0)))</f>
        <v>R</v>
      </c>
      <c r="J1457" s="52" t="str">
        <f>IF($C1457="B",INDEX(Batters[[#All],[WE]],MATCH(Table5[[#This Row],[PID]],Batters[[#All],[PID]],0)),INDEX(Table3[[#All],[WE]],MATCH(Table5[[#This Row],[PID]],Table3[[#All],[PID]],0)))</f>
        <v>Normal</v>
      </c>
      <c r="K1457" s="52" t="str">
        <f>IF($C1457="B",INDEX(Batters[[#All],[INT]],MATCH(Table5[[#This Row],[PID]],Batters[[#All],[PID]],0)),INDEX(Table3[[#All],[INT]],MATCH(Table5[[#This Row],[PID]],Table3[[#All],[PID]],0)))</f>
        <v>Normal</v>
      </c>
      <c r="L1457" s="60">
        <f>IF($C1457="B",INDEX(Batters[[#All],[CON P]],MATCH(Table5[[#This Row],[PID]],Batters[[#All],[PID]],0)),INDEX(Table3[[#All],[STU P]],MATCH(Table5[[#This Row],[PID]],Table3[[#All],[PID]],0)))</f>
        <v>2</v>
      </c>
      <c r="M1457" s="56">
        <f>IF($C1457="B",INDEX(Batters[[#All],[GAP P]],MATCH(Table5[[#This Row],[PID]],Batters[[#All],[PID]],0)),INDEX(Table3[[#All],[MOV P]],MATCH(Table5[[#This Row],[PID]],Table3[[#All],[PID]],0)))</f>
        <v>4</v>
      </c>
      <c r="N1457" s="56">
        <f>IF($C1457="B",INDEX(Batters[[#All],[POW P]],MATCH(Table5[[#This Row],[PID]],Batters[[#All],[PID]],0)),INDEX(Table3[[#All],[CON P]],MATCH(Table5[[#This Row],[PID]],Table3[[#All],[PID]],0)))</f>
        <v>4</v>
      </c>
      <c r="O1457" s="56">
        <f>IF($C1457="B",INDEX(Batters[[#All],[EYE P]],MATCH(Table5[[#This Row],[PID]],Batters[[#All],[PID]],0)),INDEX(Table3[[#All],[VELO]],MATCH(Table5[[#This Row],[PID]],Table3[[#All],[PID]],0)))</f>
        <v>5</v>
      </c>
      <c r="P1457" s="56">
        <f>IF($C1457="B",INDEX(Batters[[#All],[K P]],MATCH(Table5[[#This Row],[PID]],Batters[[#All],[PID]],0)),INDEX(Table3[[#All],[STM]],MATCH(Table5[[#This Row],[PID]],Table3[[#All],[PID]],0)))</f>
        <v>1</v>
      </c>
      <c r="Q1457" s="61">
        <f>IF($C1457="B",INDEX(Batters[[#All],[Tot]],MATCH(Table5[[#This Row],[PID]],Batters[[#All],[PID]],0)),INDEX(Table3[[#All],[Tot]],MATCH(Table5[[#This Row],[PID]],Table3[[#All],[PID]],0)))</f>
        <v>33.824203549880714</v>
      </c>
      <c r="R1457" s="70">
        <f>IF($C1457="B",INDEX(Batters[[#All],[zScore]],MATCH(Table5[[#This Row],[PID]],Batters[[#All],[PID]],0)),INDEX(Table3[[#All],[zScore]],MATCH(Table5[[#This Row],[PID]],Table3[[#All],[PID]],0)))</f>
        <v>-2.2852947831079655</v>
      </c>
      <c r="S1457" s="79" t="str">
        <f>IF($C1457="B",INDEX(Batters[[#All],[DEM]],MATCH(Table5[[#This Row],[PID]],Batters[[#All],[PID]],0)),INDEX(Table3[[#All],[DEM]],MATCH(Table5[[#This Row],[PID]],Table3[[#All],[PID]],0)))</f>
        <v>-</v>
      </c>
      <c r="T1457" s="62">
        <f>IF($C1457="B",INDEX(Batters[[#All],[Rnk]],MATCH(Table5[[#This Row],[PID]],Batters[[#All],[PID]],0)),INDEX(Table3[[#All],[Rnk]],MATCH(Table5[[#This Row],[PID]],Table3[[#All],[PID]],0)))</f>
        <v>672</v>
      </c>
      <c r="U1457" s="68">
        <f>IF($C1457="B",VLOOKUP($A1457,Bat!$A$4:$BA$1621,47,FALSE),VLOOKUP($A1457,Pit!$A$4:$BF$1557,56,FALSE))</f>
        <v>0</v>
      </c>
      <c r="V1457" s="50">
        <f>IF($C1457="B",VLOOKUP($A1457,Bat!$A$4:$BA$1621,48,FALSE),VLOOKUP($A1457,Pit!$A$4:$BF$1557,57,FALSE))</f>
        <v>0</v>
      </c>
      <c r="W1457" s="50">
        <f>Table5[[#This Row],[posRnk]]+Table5[[#This Row],[zRnk]]+IF($W$3&lt;&gt;Table5[[#This Row],[Type]],50,0)</f>
        <v>2172</v>
      </c>
      <c r="X1457" s="51">
        <f>RANK(Table5[[#This Row],[zScore]],Table5[[#All],[zScore]])</f>
        <v>1450</v>
      </c>
      <c r="Y1457" s="50" t="str">
        <f>IFERROR(INDEX(DraftResults[[#All],[OVR]],MATCH(Table5[[#This Row],[PID]],DraftResults[[#All],[Player ID]],0)),"")</f>
        <v/>
      </c>
      <c r="Z145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7" s="50" t="str">
        <f>IFERROR(INDEX(DraftResults[[#All],[Pick in Round]],MATCH(Table5[[#This Row],[PID]],DraftResults[[#All],[Player ID]],0)),"")</f>
        <v/>
      </c>
      <c r="AB1457" s="50" t="str">
        <f>IFERROR(INDEX(DraftResults[[#All],[Team Name]],MATCH(Table5[[#This Row],[PID]],DraftResults[[#All],[Player ID]],0)),"")</f>
        <v/>
      </c>
      <c r="AC1457" s="50" t="str">
        <f>IF(Table5[[#This Row],[Ovr]]="","",IF(Table5[[#This Row],[cmbList]]="","",Table5[[#This Row],[cmbList]]-Table5[[#This Row],[Ovr]]))</f>
        <v/>
      </c>
      <c r="AD1457" s="54" t="str">
        <f>IF(ISERROR(VLOOKUP($AB1457&amp;"-"&amp;$E1457&amp;" "&amp;F1457,Bonuses!$B$1:$G$1006,4,FALSE)),"",INT(VLOOKUP($AB1457&amp;"-"&amp;$E1457&amp;" "&amp;$F1457,Bonuses!$B$1:$G$1006,4,FALSE)))</f>
        <v/>
      </c>
      <c r="AE145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8" spans="1:31" x14ac:dyDescent="0.25">
      <c r="A1458" s="50">
        <v>17995</v>
      </c>
      <c r="B1458" s="50">
        <f>COUNTIF(Table5[PID],A1458)</f>
        <v>1</v>
      </c>
      <c r="C1458" s="50" t="str">
        <f>IF(COUNTIF(Table3[[#All],[PID]],A1458)&gt;0,"P","B")</f>
        <v>B</v>
      </c>
      <c r="D1458" s="59" t="str">
        <f>IF($C1458="B",INDEX(Batters[[#All],[POS]],MATCH(Table5[[#This Row],[PID]],Batters[[#All],[PID]],0)),INDEX(Table3[[#All],[POS]],MATCH(Table5[[#This Row],[PID]],Table3[[#All],[PID]],0)))</f>
        <v>C</v>
      </c>
      <c r="E1458" s="52" t="str">
        <f>IF($C1458="B",INDEX(Batters[[#All],[First]],MATCH(Table5[[#This Row],[PID]],Batters[[#All],[PID]],0)),INDEX(Table3[[#All],[First]],MATCH(Table5[[#This Row],[PID]],Table3[[#All],[PID]],0)))</f>
        <v>Jon</v>
      </c>
      <c r="F1458" s="50" t="str">
        <f>IF($C1458="B",INDEX(Batters[[#All],[Last]],MATCH(A1458,Batters[[#All],[PID]],0)),INDEX(Table3[[#All],[Last]],MATCH(A1458,Table3[[#All],[PID]],0)))</f>
        <v>Badger</v>
      </c>
      <c r="G1458" s="56">
        <f>IF($C1458="B",INDEX(Batters[[#All],[Age]],MATCH(Table5[[#This Row],[PID]],Batters[[#All],[PID]],0)),INDEX(Table3[[#All],[Age]],MATCH(Table5[[#This Row],[PID]],Table3[[#All],[PID]],0)))</f>
        <v>21</v>
      </c>
      <c r="H1458" s="52" t="str">
        <f>IF($C1458="B",INDEX(Batters[[#All],[B]],MATCH(Table5[[#This Row],[PID]],Batters[[#All],[PID]],0)),INDEX(Table3[[#All],[B]],MATCH(Table5[[#This Row],[PID]],Table3[[#All],[PID]],0)))</f>
        <v>R</v>
      </c>
      <c r="I1458" s="70" t="str">
        <f>IF($C1458="B",INDEX(Batters[[#All],[T]],MATCH(Table5[[#This Row],[PID]],Batters[[#All],[PID]],0)),INDEX(Table3[[#All],[T]],MATCH(Table5[[#This Row],[PID]],Table3[[#All],[PID]],0)))</f>
        <v>R</v>
      </c>
      <c r="J1458" s="52" t="str">
        <f>IF($C1458="B",INDEX(Batters[[#All],[WE]],MATCH(Table5[[#This Row],[PID]],Batters[[#All],[PID]],0)),INDEX(Table3[[#All],[WE]],MATCH(Table5[[#This Row],[PID]],Table3[[#All],[PID]],0)))</f>
        <v>Low</v>
      </c>
      <c r="K1458" s="52" t="str">
        <f>IF($C1458="B",INDEX(Batters[[#All],[INT]],MATCH(Table5[[#This Row],[PID]],Batters[[#All],[PID]],0)),INDEX(Table3[[#All],[INT]],MATCH(Table5[[#This Row],[PID]],Table3[[#All],[PID]],0)))</f>
        <v>Normal</v>
      </c>
      <c r="L1458" s="60">
        <f>IF($C1458="B",INDEX(Batters[[#All],[CON P]],MATCH(Table5[[#This Row],[PID]],Batters[[#All],[PID]],0)),INDEX(Table3[[#All],[STU P]],MATCH(Table5[[#This Row],[PID]],Table3[[#All],[PID]],0)))</f>
        <v>3</v>
      </c>
      <c r="M1458" s="56">
        <f>IF($C1458="B",INDEX(Batters[[#All],[GAP P]],MATCH(Table5[[#This Row],[PID]],Batters[[#All],[PID]],0)),INDEX(Table3[[#All],[MOV P]],MATCH(Table5[[#This Row],[PID]],Table3[[#All],[PID]],0)))</f>
        <v>4</v>
      </c>
      <c r="N1458" s="56">
        <f>IF($C1458="B",INDEX(Batters[[#All],[POW P]],MATCH(Table5[[#This Row],[PID]],Batters[[#All],[PID]],0)),INDEX(Table3[[#All],[CON P]],MATCH(Table5[[#This Row],[PID]],Table3[[#All],[PID]],0)))</f>
        <v>2</v>
      </c>
      <c r="O1458" s="56">
        <f>IF($C1458="B",INDEX(Batters[[#All],[EYE P]],MATCH(Table5[[#This Row],[PID]],Batters[[#All],[PID]],0)),INDEX(Table3[[#All],[VELO]],MATCH(Table5[[#This Row],[PID]],Table3[[#All],[PID]],0)))</f>
        <v>4</v>
      </c>
      <c r="P1458" s="56">
        <f>IF($C1458="B",INDEX(Batters[[#All],[K P]],MATCH(Table5[[#This Row],[PID]],Batters[[#All],[PID]],0)),INDEX(Table3[[#All],[STM]],MATCH(Table5[[#This Row],[PID]],Table3[[#All],[PID]],0)))</f>
        <v>2</v>
      </c>
      <c r="Q1458" s="61">
        <f>IF($C1458="B",INDEX(Batters[[#All],[Tot]],MATCH(Table5[[#This Row],[PID]],Batters[[#All],[PID]],0)),INDEX(Table3[[#All],[Tot]],MATCH(Table5[[#This Row],[PID]],Table3[[#All],[PID]],0)))</f>
        <v>33.787802101025854</v>
      </c>
      <c r="R1458" s="70">
        <f>IF($C1458="B",INDEX(Batters[[#All],[zScore]],MATCH(Table5[[#This Row],[PID]],Batters[[#All],[PID]],0)),INDEX(Table3[[#All],[zScore]],MATCH(Table5[[#This Row],[PID]],Table3[[#All],[PID]],0)))</f>
        <v>-2.2933652303700471</v>
      </c>
      <c r="S1458" s="79" t="str">
        <f>IF($C1458="B",INDEX(Batters[[#All],[DEM]],MATCH(Table5[[#This Row],[PID]],Batters[[#All],[PID]],0)),INDEX(Table3[[#All],[DEM]],MATCH(Table5[[#This Row],[PID]],Table3[[#All],[PID]],0)))</f>
        <v>-</v>
      </c>
      <c r="T1458" s="62">
        <f>IF($C1458="B",INDEX(Batters[[#All],[Rnk]],MATCH(Table5[[#This Row],[PID]],Batters[[#All],[PID]],0)),INDEX(Table3[[#All],[Rnk]],MATCH(Table5[[#This Row],[PID]],Table3[[#All],[PID]],0)))</f>
        <v>673</v>
      </c>
      <c r="U1458" s="68">
        <f>IF($C1458="B",VLOOKUP($A1458,Bat!$A$4:$BA$1621,47,FALSE),VLOOKUP($A1458,Pit!$A$4:$BF$1557,56,FALSE))</f>
        <v>0</v>
      </c>
      <c r="V1458" s="50">
        <f>IF($C1458="B",VLOOKUP($A1458,Bat!$A$4:$BA$1621,48,FALSE),VLOOKUP($A1458,Pit!$A$4:$BF$1557,57,FALSE))</f>
        <v>0</v>
      </c>
      <c r="W1458" s="50">
        <f>Table5[[#This Row],[posRnk]]+Table5[[#This Row],[zRnk]]+IF($W$3&lt;&gt;Table5[[#This Row],[Type]],50,0)</f>
        <v>2174</v>
      </c>
      <c r="X1458" s="51">
        <f>RANK(Table5[[#This Row],[zScore]],Table5[[#All],[zScore]])</f>
        <v>1451</v>
      </c>
      <c r="Y1458" s="50" t="str">
        <f>IFERROR(INDEX(DraftResults[[#All],[OVR]],MATCH(Table5[[#This Row],[PID]],DraftResults[[#All],[Player ID]],0)),"")</f>
        <v/>
      </c>
      <c r="Z145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8" s="50" t="str">
        <f>IFERROR(INDEX(DraftResults[[#All],[Pick in Round]],MATCH(Table5[[#This Row],[PID]],DraftResults[[#All],[Player ID]],0)),"")</f>
        <v/>
      </c>
      <c r="AB1458" s="50" t="str">
        <f>IFERROR(INDEX(DraftResults[[#All],[Team Name]],MATCH(Table5[[#This Row],[PID]],DraftResults[[#All],[Player ID]],0)),"")</f>
        <v/>
      </c>
      <c r="AC1458" s="50" t="str">
        <f>IF(Table5[[#This Row],[Ovr]]="","",IF(Table5[[#This Row],[cmbList]]="","",Table5[[#This Row],[cmbList]]-Table5[[#This Row],[Ovr]]))</f>
        <v/>
      </c>
      <c r="AD1458" s="54" t="str">
        <f>IF(ISERROR(VLOOKUP($AB1458&amp;"-"&amp;$E1458&amp;" "&amp;F1458,Bonuses!$B$1:$G$1006,4,FALSE)),"",INT(VLOOKUP($AB1458&amp;"-"&amp;$E1458&amp;" "&amp;$F1458,Bonuses!$B$1:$G$1006,4,FALSE)))</f>
        <v/>
      </c>
      <c r="AE145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59" spans="1:31" x14ac:dyDescent="0.25">
      <c r="A1459" s="50">
        <v>14675</v>
      </c>
      <c r="B1459" s="50">
        <f>COUNTIF(Table5[PID],A1459)</f>
        <v>1</v>
      </c>
      <c r="C1459" s="50" t="str">
        <f>IF(COUNTIF(Table3[[#All],[PID]],A1459)&gt;0,"P","B")</f>
        <v>B</v>
      </c>
      <c r="D1459" s="59" t="str">
        <f>IF($C1459="B",INDEX(Batters[[#All],[POS]],MATCH(Table5[[#This Row],[PID]],Batters[[#All],[PID]],0)),INDEX(Table3[[#All],[POS]],MATCH(Table5[[#This Row],[PID]],Table3[[#All],[PID]],0)))</f>
        <v>1B</v>
      </c>
      <c r="E1459" s="52" t="str">
        <f>IF($C1459="B",INDEX(Batters[[#All],[First]],MATCH(Table5[[#This Row],[PID]],Batters[[#All],[PID]],0)),INDEX(Table3[[#All],[First]],MATCH(Table5[[#This Row],[PID]],Table3[[#All],[PID]],0)))</f>
        <v>Rhys</v>
      </c>
      <c r="F1459" s="50" t="str">
        <f>IF($C1459="B",INDEX(Batters[[#All],[Last]],MATCH(A1459,Batters[[#All],[PID]],0)),INDEX(Table3[[#All],[Last]],MATCH(A1459,Table3[[#All],[PID]],0)))</f>
        <v>Bisset</v>
      </c>
      <c r="G1459" s="56">
        <f>IF($C1459="B",INDEX(Batters[[#All],[Age]],MATCH(Table5[[#This Row],[PID]],Batters[[#All],[PID]],0)),INDEX(Table3[[#All],[Age]],MATCH(Table5[[#This Row],[PID]],Table3[[#All],[PID]],0)))</f>
        <v>22</v>
      </c>
      <c r="H1459" s="52" t="str">
        <f>IF($C1459="B",INDEX(Batters[[#All],[B]],MATCH(Table5[[#This Row],[PID]],Batters[[#All],[PID]],0)),INDEX(Table3[[#All],[B]],MATCH(Table5[[#This Row],[PID]],Table3[[#All],[PID]],0)))</f>
        <v>R</v>
      </c>
      <c r="I1459" s="70" t="str">
        <f>IF($C1459="B",INDEX(Batters[[#All],[T]],MATCH(Table5[[#This Row],[PID]],Batters[[#All],[PID]],0)),INDEX(Table3[[#All],[T]],MATCH(Table5[[#This Row],[PID]],Table3[[#All],[PID]],0)))</f>
        <v>R</v>
      </c>
      <c r="J1459" s="52" t="str">
        <f>IF($C1459="B",INDEX(Batters[[#All],[WE]],MATCH(Table5[[#This Row],[PID]],Batters[[#All],[PID]],0)),INDEX(Table3[[#All],[WE]],MATCH(Table5[[#This Row],[PID]],Table3[[#All],[PID]],0)))</f>
        <v>Normal</v>
      </c>
      <c r="K1459" s="52" t="str">
        <f>IF($C1459="B",INDEX(Batters[[#All],[INT]],MATCH(Table5[[#This Row],[PID]],Batters[[#All],[PID]],0)),INDEX(Table3[[#All],[INT]],MATCH(Table5[[#This Row],[PID]],Table3[[#All],[PID]],0)))</f>
        <v>Normal</v>
      </c>
      <c r="L1459" s="60">
        <f>IF($C1459="B",INDEX(Batters[[#All],[CON P]],MATCH(Table5[[#This Row],[PID]],Batters[[#All],[PID]],0)),INDEX(Table3[[#All],[STU P]],MATCH(Table5[[#This Row],[PID]],Table3[[#All],[PID]],0)))</f>
        <v>3</v>
      </c>
      <c r="M1459" s="56">
        <f>IF($C1459="B",INDEX(Batters[[#All],[GAP P]],MATCH(Table5[[#This Row],[PID]],Batters[[#All],[PID]],0)),INDEX(Table3[[#All],[MOV P]],MATCH(Table5[[#This Row],[PID]],Table3[[#All],[PID]],0)))</f>
        <v>4</v>
      </c>
      <c r="N1459" s="56">
        <f>IF($C1459="B",INDEX(Batters[[#All],[POW P]],MATCH(Table5[[#This Row],[PID]],Batters[[#All],[PID]],0)),INDEX(Table3[[#All],[CON P]],MATCH(Table5[[#This Row],[PID]],Table3[[#All],[PID]],0)))</f>
        <v>2</v>
      </c>
      <c r="O1459" s="56">
        <f>IF($C1459="B",INDEX(Batters[[#All],[EYE P]],MATCH(Table5[[#This Row],[PID]],Batters[[#All],[PID]],0)),INDEX(Table3[[#All],[VELO]],MATCH(Table5[[#This Row],[PID]],Table3[[#All],[PID]],0)))</f>
        <v>3</v>
      </c>
      <c r="P1459" s="56">
        <f>IF($C1459="B",INDEX(Batters[[#All],[K P]],MATCH(Table5[[#This Row],[PID]],Batters[[#All],[PID]],0)),INDEX(Table3[[#All],[STM]],MATCH(Table5[[#This Row],[PID]],Table3[[#All],[PID]],0)))</f>
        <v>3</v>
      </c>
      <c r="Q1459" s="61">
        <f>IF($C1459="B",INDEX(Batters[[#All],[Tot]],MATCH(Table5[[#This Row],[PID]],Batters[[#All],[PID]],0)),INDEX(Table3[[#All],[Tot]],MATCH(Table5[[#This Row],[PID]],Table3[[#All],[PID]],0)))</f>
        <v>33.532846784279727</v>
      </c>
      <c r="R1459" s="70">
        <f>IF($C1459="B",INDEX(Batters[[#All],[zScore]],MATCH(Table5[[#This Row],[PID]],Batters[[#All],[PID]],0)),INDEX(Table3[[#All],[zScore]],MATCH(Table5[[#This Row],[PID]],Table3[[#All],[PID]],0)))</f>
        <v>-2.3498905474306664</v>
      </c>
      <c r="S1459" s="79" t="str">
        <f>IF($C1459="B",INDEX(Batters[[#All],[DEM]],MATCH(Table5[[#This Row],[PID]],Batters[[#All],[PID]],0)),INDEX(Table3[[#All],[DEM]],MATCH(Table5[[#This Row],[PID]],Table3[[#All],[PID]],0)))</f>
        <v>-</v>
      </c>
      <c r="T1459" s="62">
        <f>IF($C1459="B",INDEX(Batters[[#All],[Rnk]],MATCH(Table5[[#This Row],[PID]],Batters[[#All],[PID]],0)),INDEX(Table3[[#All],[Rnk]],MATCH(Table5[[#This Row],[PID]],Table3[[#All],[PID]],0)))</f>
        <v>674</v>
      </c>
      <c r="U1459" s="68">
        <f>IF($C1459="B",VLOOKUP($A1459,Bat!$A$4:$BA$1621,47,FALSE),VLOOKUP($A1459,Pit!$A$4:$BF$1557,56,FALSE))</f>
        <v>0</v>
      </c>
      <c r="V1459" s="50">
        <f>IF($C1459="B",VLOOKUP($A1459,Bat!$A$4:$BA$1621,48,FALSE),VLOOKUP($A1459,Pit!$A$4:$BF$1557,57,FALSE))</f>
        <v>0</v>
      </c>
      <c r="W1459" s="50">
        <f>Table5[[#This Row],[posRnk]]+Table5[[#This Row],[zRnk]]+IF($W$3&lt;&gt;Table5[[#This Row],[Type]],50,0)</f>
        <v>2176</v>
      </c>
      <c r="X1459" s="51">
        <f>RANK(Table5[[#This Row],[zScore]],Table5[[#All],[zScore]])</f>
        <v>1452</v>
      </c>
      <c r="Y1459" s="50" t="str">
        <f>IFERROR(INDEX(DraftResults[[#All],[OVR]],MATCH(Table5[[#This Row],[PID]],DraftResults[[#All],[Player ID]],0)),"")</f>
        <v/>
      </c>
      <c r="Z145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59" s="50" t="str">
        <f>IFERROR(INDEX(DraftResults[[#All],[Pick in Round]],MATCH(Table5[[#This Row],[PID]],DraftResults[[#All],[Player ID]],0)),"")</f>
        <v/>
      </c>
      <c r="AB1459" s="50" t="str">
        <f>IFERROR(INDEX(DraftResults[[#All],[Team Name]],MATCH(Table5[[#This Row],[PID]],DraftResults[[#All],[Player ID]],0)),"")</f>
        <v/>
      </c>
      <c r="AC1459" s="50" t="str">
        <f>IF(Table5[[#This Row],[Ovr]]="","",IF(Table5[[#This Row],[cmbList]]="","",Table5[[#This Row],[cmbList]]-Table5[[#This Row],[Ovr]]))</f>
        <v/>
      </c>
      <c r="AD1459" s="54" t="str">
        <f>IF(ISERROR(VLOOKUP($AB1459&amp;"-"&amp;$E1459&amp;" "&amp;F1459,Bonuses!$B$1:$G$1006,4,FALSE)),"",INT(VLOOKUP($AB1459&amp;"-"&amp;$E1459&amp;" "&amp;$F1459,Bonuses!$B$1:$G$1006,4,FALSE)))</f>
        <v/>
      </c>
      <c r="AE145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0" spans="1:31" x14ac:dyDescent="0.25">
      <c r="A1460" s="50">
        <v>3459</v>
      </c>
      <c r="B1460" s="50">
        <f>COUNTIF(Table5[PID],A1460)</f>
        <v>1</v>
      </c>
      <c r="C1460" s="50" t="str">
        <f>IF(COUNTIF(Table3[[#All],[PID]],A1460)&gt;0,"P","B")</f>
        <v>B</v>
      </c>
      <c r="D1460" s="59" t="str">
        <f>IF($C1460="B",INDEX(Batters[[#All],[POS]],MATCH(Table5[[#This Row],[PID]],Batters[[#All],[PID]],0)),INDEX(Table3[[#All],[POS]],MATCH(Table5[[#This Row],[PID]],Table3[[#All],[PID]],0)))</f>
        <v>C</v>
      </c>
      <c r="E1460" s="52" t="str">
        <f>IF($C1460="B",INDEX(Batters[[#All],[First]],MATCH(Table5[[#This Row],[PID]],Batters[[#All],[PID]],0)),INDEX(Table3[[#All],[First]],MATCH(Table5[[#This Row],[PID]],Table3[[#All],[PID]],0)))</f>
        <v>Charles</v>
      </c>
      <c r="F1460" s="50" t="str">
        <f>IF($C1460="B",INDEX(Batters[[#All],[Last]],MATCH(A1460,Batters[[#All],[PID]],0)),INDEX(Table3[[#All],[Last]],MATCH(A1460,Table3[[#All],[PID]],0)))</f>
        <v>Lavoie</v>
      </c>
      <c r="G1460" s="56">
        <f>IF($C1460="B",INDEX(Batters[[#All],[Age]],MATCH(Table5[[#This Row],[PID]],Batters[[#All],[PID]],0)),INDEX(Table3[[#All],[Age]],MATCH(Table5[[#This Row],[PID]],Table3[[#All],[PID]],0)))</f>
        <v>22</v>
      </c>
      <c r="H1460" s="52" t="str">
        <f>IF($C1460="B",INDEX(Batters[[#All],[B]],MATCH(Table5[[#This Row],[PID]],Batters[[#All],[PID]],0)),INDEX(Table3[[#All],[B]],MATCH(Table5[[#This Row],[PID]],Table3[[#All],[PID]],0)))</f>
        <v>L</v>
      </c>
      <c r="I1460" s="70" t="str">
        <f>IF($C1460="B",INDEX(Batters[[#All],[T]],MATCH(Table5[[#This Row],[PID]],Batters[[#All],[PID]],0)),INDEX(Table3[[#All],[T]],MATCH(Table5[[#This Row],[PID]],Table3[[#All],[PID]],0)))</f>
        <v>R</v>
      </c>
      <c r="J1460" s="52" t="str">
        <f>IF($C1460="B",INDEX(Batters[[#All],[WE]],MATCH(Table5[[#This Row],[PID]],Batters[[#All],[PID]],0)),INDEX(Table3[[#All],[WE]],MATCH(Table5[[#This Row],[PID]],Table3[[#All],[PID]],0)))</f>
        <v>Low</v>
      </c>
      <c r="K1460" s="52" t="str">
        <f>IF($C1460="B",INDEX(Batters[[#All],[INT]],MATCH(Table5[[#This Row],[PID]],Batters[[#All],[PID]],0)),INDEX(Table3[[#All],[INT]],MATCH(Table5[[#This Row],[PID]],Table3[[#All],[PID]],0)))</f>
        <v>High</v>
      </c>
      <c r="L1460" s="60">
        <f>IF($C1460="B",INDEX(Batters[[#All],[CON P]],MATCH(Table5[[#This Row],[PID]],Batters[[#All],[PID]],0)),INDEX(Table3[[#All],[STU P]],MATCH(Table5[[#This Row],[PID]],Table3[[#All],[PID]],0)))</f>
        <v>2</v>
      </c>
      <c r="M1460" s="56">
        <f>IF($C1460="B",INDEX(Batters[[#All],[GAP P]],MATCH(Table5[[#This Row],[PID]],Batters[[#All],[PID]],0)),INDEX(Table3[[#All],[MOV P]],MATCH(Table5[[#This Row],[PID]],Table3[[#All],[PID]],0)))</f>
        <v>5</v>
      </c>
      <c r="N1460" s="56">
        <f>IF($C1460="B",INDEX(Batters[[#All],[POW P]],MATCH(Table5[[#This Row],[PID]],Batters[[#All],[PID]],0)),INDEX(Table3[[#All],[CON P]],MATCH(Table5[[#This Row],[PID]],Table3[[#All],[PID]],0)))</f>
        <v>3</v>
      </c>
      <c r="O1460" s="56">
        <f>IF($C1460="B",INDEX(Batters[[#All],[EYE P]],MATCH(Table5[[#This Row],[PID]],Batters[[#All],[PID]],0)),INDEX(Table3[[#All],[VELO]],MATCH(Table5[[#This Row],[PID]],Table3[[#All],[PID]],0)))</f>
        <v>5</v>
      </c>
      <c r="P1460" s="56">
        <f>IF($C1460="B",INDEX(Batters[[#All],[K P]],MATCH(Table5[[#This Row],[PID]],Batters[[#All],[PID]],0)),INDEX(Table3[[#All],[STM]],MATCH(Table5[[#This Row],[PID]],Table3[[#All],[PID]],0)))</f>
        <v>3</v>
      </c>
      <c r="Q1460" s="61">
        <f>IF($C1460="B",INDEX(Batters[[#All],[Tot]],MATCH(Table5[[#This Row],[PID]],Batters[[#All],[PID]],0)),INDEX(Table3[[#All],[Tot]],MATCH(Table5[[#This Row],[PID]],Table3[[#All],[PID]],0)))</f>
        <v>33.452014847173302</v>
      </c>
      <c r="R1460" s="70">
        <f>IF($C1460="B",INDEX(Batters[[#All],[zScore]],MATCH(Table5[[#This Row],[PID]],Batters[[#All],[PID]],0)),INDEX(Table3[[#All],[zScore]],MATCH(Table5[[#This Row],[PID]],Table3[[#All],[PID]],0)))</f>
        <v>-2.3678115342603481</v>
      </c>
      <c r="S1460" s="79" t="str">
        <f>IF($C1460="B",INDEX(Batters[[#All],[DEM]],MATCH(Table5[[#This Row],[PID]],Batters[[#All],[PID]],0)),INDEX(Table3[[#All],[DEM]],MATCH(Table5[[#This Row],[PID]],Table3[[#All],[PID]],0)))</f>
        <v>-</v>
      </c>
      <c r="T1460" s="62">
        <f>IF($C1460="B",INDEX(Batters[[#All],[Rnk]],MATCH(Table5[[#This Row],[PID]],Batters[[#All],[PID]],0)),INDEX(Table3[[#All],[Rnk]],MATCH(Table5[[#This Row],[PID]],Table3[[#All],[PID]],0)))</f>
        <v>675</v>
      </c>
      <c r="U1460" s="68">
        <f>IF($C1460="B",VLOOKUP($A1460,Bat!$A$4:$BA$1621,47,FALSE),VLOOKUP($A1460,Pit!$A$4:$BF$1557,56,FALSE))</f>
        <v>0</v>
      </c>
      <c r="V1460" s="50">
        <f>IF($C1460="B",VLOOKUP($A1460,Bat!$A$4:$BA$1621,48,FALSE),VLOOKUP($A1460,Pit!$A$4:$BF$1557,57,FALSE))</f>
        <v>0</v>
      </c>
      <c r="W1460" s="50">
        <f>Table5[[#This Row],[posRnk]]+Table5[[#This Row],[zRnk]]+IF($W$3&lt;&gt;Table5[[#This Row],[Type]],50,0)</f>
        <v>2178</v>
      </c>
      <c r="X1460" s="51">
        <f>RANK(Table5[[#This Row],[zScore]],Table5[[#All],[zScore]])</f>
        <v>1453</v>
      </c>
      <c r="Y1460" s="50" t="str">
        <f>IFERROR(INDEX(DraftResults[[#All],[OVR]],MATCH(Table5[[#This Row],[PID]],DraftResults[[#All],[Player ID]],0)),"")</f>
        <v/>
      </c>
      <c r="Z146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0" s="50" t="str">
        <f>IFERROR(INDEX(DraftResults[[#All],[Pick in Round]],MATCH(Table5[[#This Row],[PID]],DraftResults[[#All],[Player ID]],0)),"")</f>
        <v/>
      </c>
      <c r="AB1460" s="50" t="str">
        <f>IFERROR(INDEX(DraftResults[[#All],[Team Name]],MATCH(Table5[[#This Row],[PID]],DraftResults[[#All],[Player ID]],0)),"")</f>
        <v/>
      </c>
      <c r="AC1460" s="50" t="str">
        <f>IF(Table5[[#This Row],[Ovr]]="","",IF(Table5[[#This Row],[cmbList]]="","",Table5[[#This Row],[cmbList]]-Table5[[#This Row],[Ovr]]))</f>
        <v/>
      </c>
      <c r="AD1460" s="54" t="str">
        <f>IF(ISERROR(VLOOKUP($AB1460&amp;"-"&amp;$E1460&amp;" "&amp;F1460,Bonuses!$B$1:$G$1006,4,FALSE)),"",INT(VLOOKUP($AB1460&amp;"-"&amp;$E1460&amp;" "&amp;$F1460,Bonuses!$B$1:$G$1006,4,FALSE)))</f>
        <v/>
      </c>
      <c r="AE146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1" spans="1:31" x14ac:dyDescent="0.25">
      <c r="A1461" s="50">
        <v>17047</v>
      </c>
      <c r="B1461" s="50">
        <f>COUNTIF(Table5[PID],A1461)</f>
        <v>1</v>
      </c>
      <c r="C1461" s="50" t="str">
        <f>IF(COUNTIF(Table3[[#All],[PID]],A1461)&gt;0,"P","B")</f>
        <v>B</v>
      </c>
      <c r="D1461" s="59" t="str">
        <f>IF($C1461="B",INDEX(Batters[[#All],[POS]],MATCH(Table5[[#This Row],[PID]],Batters[[#All],[PID]],0)),INDEX(Table3[[#All],[POS]],MATCH(Table5[[#This Row],[PID]],Table3[[#All],[PID]],0)))</f>
        <v>3B</v>
      </c>
      <c r="E1461" s="52" t="str">
        <f>IF($C1461="B",INDEX(Batters[[#All],[First]],MATCH(Table5[[#This Row],[PID]],Batters[[#All],[PID]],0)),INDEX(Table3[[#All],[First]],MATCH(Table5[[#This Row],[PID]],Table3[[#All],[PID]],0)))</f>
        <v>Kimitada</v>
      </c>
      <c r="F1461" s="50" t="str">
        <f>IF($C1461="B",INDEX(Batters[[#All],[Last]],MATCH(A1461,Batters[[#All],[PID]],0)),INDEX(Table3[[#All],[Last]],MATCH(A1461,Table3[[#All],[PID]],0)))</f>
        <v>Kishita</v>
      </c>
      <c r="G1461" s="56">
        <f>IF($C1461="B",INDEX(Batters[[#All],[Age]],MATCH(Table5[[#This Row],[PID]],Batters[[#All],[PID]],0)),INDEX(Table3[[#All],[Age]],MATCH(Table5[[#This Row],[PID]],Table3[[#All],[PID]],0)))</f>
        <v>21</v>
      </c>
      <c r="H1461" s="52" t="str">
        <f>IF($C1461="B",INDEX(Batters[[#All],[B]],MATCH(Table5[[#This Row],[PID]],Batters[[#All],[PID]],0)),INDEX(Table3[[#All],[B]],MATCH(Table5[[#This Row],[PID]],Table3[[#All],[PID]],0)))</f>
        <v>R</v>
      </c>
      <c r="I1461" s="70" t="str">
        <f>IF($C1461="B",INDEX(Batters[[#All],[T]],MATCH(Table5[[#This Row],[PID]],Batters[[#All],[PID]],0)),INDEX(Table3[[#All],[T]],MATCH(Table5[[#This Row],[PID]],Table3[[#All],[PID]],0)))</f>
        <v>R</v>
      </c>
      <c r="J1461" s="52" t="str">
        <f>IF($C1461="B",INDEX(Batters[[#All],[WE]],MATCH(Table5[[#This Row],[PID]],Batters[[#All],[PID]],0)),INDEX(Table3[[#All],[WE]],MATCH(Table5[[#This Row],[PID]],Table3[[#All],[PID]],0)))</f>
        <v>Low</v>
      </c>
      <c r="K1461" s="52" t="str">
        <f>IF($C1461="B",INDEX(Batters[[#All],[INT]],MATCH(Table5[[#This Row],[PID]],Batters[[#All],[PID]],0)),INDEX(Table3[[#All],[INT]],MATCH(Table5[[#This Row],[PID]],Table3[[#All],[PID]],0)))</f>
        <v>Normal</v>
      </c>
      <c r="L1461" s="60">
        <f>IF($C1461="B",INDEX(Batters[[#All],[CON P]],MATCH(Table5[[#This Row],[PID]],Batters[[#All],[PID]],0)),INDEX(Table3[[#All],[STU P]],MATCH(Table5[[#This Row],[PID]],Table3[[#All],[PID]],0)))</f>
        <v>3</v>
      </c>
      <c r="M1461" s="56">
        <f>IF($C1461="B",INDEX(Batters[[#All],[GAP P]],MATCH(Table5[[#This Row],[PID]],Batters[[#All],[PID]],0)),INDEX(Table3[[#All],[MOV P]],MATCH(Table5[[#This Row],[PID]],Table3[[#All],[PID]],0)))</f>
        <v>3</v>
      </c>
      <c r="N1461" s="56">
        <f>IF($C1461="B",INDEX(Batters[[#All],[POW P]],MATCH(Table5[[#This Row],[PID]],Batters[[#All],[PID]],0)),INDEX(Table3[[#All],[CON P]],MATCH(Table5[[#This Row],[PID]],Table3[[#All],[PID]],0)))</f>
        <v>2</v>
      </c>
      <c r="O1461" s="56">
        <f>IF($C1461="B",INDEX(Batters[[#All],[EYE P]],MATCH(Table5[[#This Row],[PID]],Batters[[#All],[PID]],0)),INDEX(Table3[[#All],[VELO]],MATCH(Table5[[#This Row],[PID]],Table3[[#All],[PID]],0)))</f>
        <v>3</v>
      </c>
      <c r="P1461" s="56">
        <f>IF($C1461="B",INDEX(Batters[[#All],[K P]],MATCH(Table5[[#This Row],[PID]],Batters[[#All],[PID]],0)),INDEX(Table3[[#All],[STM]],MATCH(Table5[[#This Row],[PID]],Table3[[#All],[PID]],0)))</f>
        <v>5</v>
      </c>
      <c r="Q1461" s="61">
        <f>IF($C1461="B",INDEX(Batters[[#All],[Tot]],MATCH(Table5[[#This Row],[PID]],Batters[[#All],[PID]],0)),INDEX(Table3[[#All],[Tot]],MATCH(Table5[[#This Row],[PID]],Table3[[#All],[PID]],0)))</f>
        <v>33.41244180752075</v>
      </c>
      <c r="R1461" s="70">
        <f>IF($C1461="B",INDEX(Batters[[#All],[zScore]],MATCH(Table5[[#This Row],[PID]],Batters[[#All],[PID]],0)),INDEX(Table3[[#All],[zScore]],MATCH(Table5[[#This Row],[PID]],Table3[[#All],[PID]],0)))</f>
        <v>-2.376585144640242</v>
      </c>
      <c r="S1461" s="79" t="str">
        <f>IF($C1461="B",INDEX(Batters[[#All],[DEM]],MATCH(Table5[[#This Row],[PID]],Batters[[#All],[PID]],0)),INDEX(Table3[[#All],[DEM]],MATCH(Table5[[#This Row],[PID]],Table3[[#All],[PID]],0)))</f>
        <v>-</v>
      </c>
      <c r="T1461" s="62">
        <f>IF($C1461="B",INDEX(Batters[[#All],[Rnk]],MATCH(Table5[[#This Row],[PID]],Batters[[#All],[PID]],0)),INDEX(Table3[[#All],[Rnk]],MATCH(Table5[[#This Row],[PID]],Table3[[#All],[PID]],0)))</f>
        <v>676</v>
      </c>
      <c r="U1461" s="68">
        <f>IF($C1461="B",VLOOKUP($A1461,Bat!$A$4:$BA$1621,47,FALSE),VLOOKUP($A1461,Pit!$A$4:$BF$1557,56,FALSE))</f>
        <v>0</v>
      </c>
      <c r="V1461" s="50">
        <f>IF($C1461="B",VLOOKUP($A1461,Bat!$A$4:$BA$1621,48,FALSE),VLOOKUP($A1461,Pit!$A$4:$BF$1557,57,FALSE))</f>
        <v>0</v>
      </c>
      <c r="W1461" s="50">
        <f>Table5[[#This Row],[posRnk]]+Table5[[#This Row],[zRnk]]+IF($W$3&lt;&gt;Table5[[#This Row],[Type]],50,0)</f>
        <v>2180</v>
      </c>
      <c r="X1461" s="51">
        <f>RANK(Table5[[#This Row],[zScore]],Table5[[#All],[zScore]])</f>
        <v>1454</v>
      </c>
      <c r="Y1461" s="50" t="str">
        <f>IFERROR(INDEX(DraftResults[[#All],[OVR]],MATCH(Table5[[#This Row],[PID]],DraftResults[[#All],[Player ID]],0)),"")</f>
        <v/>
      </c>
      <c r="Z146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1" s="50" t="str">
        <f>IFERROR(INDEX(DraftResults[[#All],[Pick in Round]],MATCH(Table5[[#This Row],[PID]],DraftResults[[#All],[Player ID]],0)),"")</f>
        <v/>
      </c>
      <c r="AB1461" s="50" t="str">
        <f>IFERROR(INDEX(DraftResults[[#All],[Team Name]],MATCH(Table5[[#This Row],[PID]],DraftResults[[#All],[Player ID]],0)),"")</f>
        <v/>
      </c>
      <c r="AC1461" s="50" t="str">
        <f>IF(Table5[[#This Row],[Ovr]]="","",IF(Table5[[#This Row],[cmbList]]="","",Table5[[#This Row],[cmbList]]-Table5[[#This Row],[Ovr]]))</f>
        <v/>
      </c>
      <c r="AD1461" s="54" t="str">
        <f>IF(ISERROR(VLOOKUP($AB1461&amp;"-"&amp;$E1461&amp;" "&amp;F1461,Bonuses!$B$1:$G$1006,4,FALSE)),"",INT(VLOOKUP($AB1461&amp;"-"&amp;$E1461&amp;" "&amp;$F1461,Bonuses!$B$1:$G$1006,4,FALSE)))</f>
        <v/>
      </c>
      <c r="AE146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2" spans="1:31" x14ac:dyDescent="0.25">
      <c r="A1462" s="50">
        <v>11363</v>
      </c>
      <c r="B1462" s="55">
        <f>COUNTIF(Table5[PID],A1462)</f>
        <v>1</v>
      </c>
      <c r="C1462" s="55" t="str">
        <f>IF(COUNTIF(Table3[[#All],[PID]],A1462)&gt;0,"P","B")</f>
        <v>B</v>
      </c>
      <c r="D1462" s="59" t="str">
        <f>IF($C1462="B",INDEX(Batters[[#All],[POS]],MATCH(Table5[[#This Row],[PID]],Batters[[#All],[PID]],0)),INDEX(Table3[[#All],[POS]],MATCH(Table5[[#This Row],[PID]],Table3[[#All],[PID]],0)))</f>
        <v>2B</v>
      </c>
      <c r="E1462" s="52" t="str">
        <f>IF($C1462="B",INDEX(Batters[[#All],[First]],MATCH(Table5[[#This Row],[PID]],Batters[[#All],[PID]],0)),INDEX(Table3[[#All],[First]],MATCH(Table5[[#This Row],[PID]],Table3[[#All],[PID]],0)))</f>
        <v>Orlando</v>
      </c>
      <c r="F1462" s="50" t="str">
        <f>IF($C1462="B",INDEX(Batters[[#All],[Last]],MATCH(A1462,Batters[[#All],[PID]],0)),INDEX(Table3[[#All],[Last]],MATCH(A1462,Table3[[#All],[PID]],0)))</f>
        <v>Rodríguez</v>
      </c>
      <c r="G1462" s="56">
        <f>IF($C1462="B",INDEX(Batters[[#All],[Age]],MATCH(Table5[[#This Row],[PID]],Batters[[#All],[PID]],0)),INDEX(Table3[[#All],[Age]],MATCH(Table5[[#This Row],[PID]],Table3[[#All],[PID]],0)))</f>
        <v>22</v>
      </c>
      <c r="H1462" s="52" t="str">
        <f>IF($C1462="B",INDEX(Batters[[#All],[B]],MATCH(Table5[[#This Row],[PID]],Batters[[#All],[PID]],0)),INDEX(Table3[[#All],[B]],MATCH(Table5[[#This Row],[PID]],Table3[[#All],[PID]],0)))</f>
        <v>R</v>
      </c>
      <c r="I1462" s="70" t="str">
        <f>IF($C1462="B",INDEX(Batters[[#All],[T]],MATCH(Table5[[#This Row],[PID]],Batters[[#All],[PID]],0)),INDEX(Table3[[#All],[T]],MATCH(Table5[[#This Row],[PID]],Table3[[#All],[PID]],0)))</f>
        <v>R</v>
      </c>
      <c r="J1462" s="52" t="str">
        <f>IF($C1462="B",INDEX(Batters[[#All],[WE]],MATCH(Table5[[#This Row],[PID]],Batters[[#All],[PID]],0)),INDEX(Table3[[#All],[WE]],MATCH(Table5[[#This Row],[PID]],Table3[[#All],[PID]],0)))</f>
        <v>Low</v>
      </c>
      <c r="K1462" s="52" t="str">
        <f>IF($C1462="B",INDEX(Batters[[#All],[INT]],MATCH(Table5[[#This Row],[PID]],Batters[[#All],[PID]],0)),INDEX(Table3[[#All],[INT]],MATCH(Table5[[#This Row],[PID]],Table3[[#All],[PID]],0)))</f>
        <v>Low</v>
      </c>
      <c r="L1462" s="60">
        <f>IF($C1462="B",INDEX(Batters[[#All],[CON P]],MATCH(Table5[[#This Row],[PID]],Batters[[#All],[PID]],0)),INDEX(Table3[[#All],[STU P]],MATCH(Table5[[#This Row],[PID]],Table3[[#All],[PID]],0)))</f>
        <v>3</v>
      </c>
      <c r="M1462" s="56">
        <f>IF($C1462="B",INDEX(Batters[[#All],[GAP P]],MATCH(Table5[[#This Row],[PID]],Batters[[#All],[PID]],0)),INDEX(Table3[[#All],[MOV P]],MATCH(Table5[[#This Row],[PID]],Table3[[#All],[PID]],0)))</f>
        <v>3</v>
      </c>
      <c r="N1462" s="56">
        <f>IF($C1462="B",INDEX(Batters[[#All],[POW P]],MATCH(Table5[[#This Row],[PID]],Batters[[#All],[PID]],0)),INDEX(Table3[[#All],[CON P]],MATCH(Table5[[#This Row],[PID]],Table3[[#All],[PID]],0)))</f>
        <v>2</v>
      </c>
      <c r="O1462" s="56">
        <f>IF($C1462="B",INDEX(Batters[[#All],[EYE P]],MATCH(Table5[[#This Row],[PID]],Batters[[#All],[PID]],0)),INDEX(Table3[[#All],[VELO]],MATCH(Table5[[#This Row],[PID]],Table3[[#All],[PID]],0)))</f>
        <v>4</v>
      </c>
      <c r="P1462" s="56">
        <f>IF($C1462="B",INDEX(Batters[[#All],[K P]],MATCH(Table5[[#This Row],[PID]],Batters[[#All],[PID]],0)),INDEX(Table3[[#All],[STM]],MATCH(Table5[[#This Row],[PID]],Table3[[#All],[PID]],0)))</f>
        <v>3</v>
      </c>
      <c r="Q1462" s="61">
        <f>IF($C1462="B",INDEX(Batters[[#All],[Tot]],MATCH(Table5[[#This Row],[PID]],Batters[[#All],[PID]],0)),INDEX(Table3[[#All],[Tot]],MATCH(Table5[[#This Row],[PID]],Table3[[#All],[PID]],0)))</f>
        <v>33.39553847499009</v>
      </c>
      <c r="R1462" s="70">
        <f>IF($C1462="B",INDEX(Batters[[#All],[zScore]],MATCH(Table5[[#This Row],[PID]],Batters[[#All],[PID]],0)),INDEX(Table3[[#All],[zScore]],MATCH(Table5[[#This Row],[PID]],Table3[[#All],[PID]],0)))</f>
        <v>-2.3803327277182134</v>
      </c>
      <c r="S1462" s="79" t="str">
        <f>IF($C1462="B",INDEX(Batters[[#All],[DEM]],MATCH(Table5[[#This Row],[PID]],Batters[[#All],[PID]],0)),INDEX(Table3[[#All],[DEM]],MATCH(Table5[[#This Row],[PID]],Table3[[#All],[PID]],0)))</f>
        <v>-</v>
      </c>
      <c r="T1462" s="62">
        <f>IF($C1462="B",INDEX(Batters[[#All],[Rnk]],MATCH(Table5[[#This Row],[PID]],Batters[[#All],[PID]],0)),INDEX(Table3[[#All],[Rnk]],MATCH(Table5[[#This Row],[PID]],Table3[[#All],[PID]],0)))</f>
        <v>677</v>
      </c>
      <c r="U1462" s="68">
        <f>IF($C1462="B",VLOOKUP($A1462,Bat!$A$4:$BA$1621,47,FALSE),VLOOKUP($A1462,Pit!$A$4:$BF$1557,56,FALSE))</f>
        <v>0</v>
      </c>
      <c r="V1462" s="50">
        <f>IF($C1462="B",VLOOKUP($A1462,Bat!$A$4:$BA$1621,48,FALSE),VLOOKUP($A1462,Pit!$A$4:$BF$1557,57,FALSE))</f>
        <v>0</v>
      </c>
      <c r="W1462" s="50">
        <f>Table5[[#This Row],[posRnk]]+Table5[[#This Row],[zRnk]]+IF($W$3&lt;&gt;Table5[[#This Row],[Type]],50,0)</f>
        <v>2182</v>
      </c>
      <c r="X1462" s="51">
        <f>RANK(Table5[[#This Row],[zScore]],Table5[[#All],[zScore]])</f>
        <v>1455</v>
      </c>
      <c r="Y1462" s="50" t="str">
        <f>IFERROR(INDEX(DraftResults[[#All],[OVR]],MATCH(Table5[[#This Row],[PID]],DraftResults[[#All],[Player ID]],0)),"")</f>
        <v/>
      </c>
      <c r="Z146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2" s="50" t="str">
        <f>IFERROR(INDEX(DraftResults[[#All],[Pick in Round]],MATCH(Table5[[#This Row],[PID]],DraftResults[[#All],[Player ID]],0)),"")</f>
        <v/>
      </c>
      <c r="AB1462" s="50" t="str">
        <f>IFERROR(INDEX(DraftResults[[#All],[Team Name]],MATCH(Table5[[#This Row],[PID]],DraftResults[[#All],[Player ID]],0)),"")</f>
        <v/>
      </c>
      <c r="AC1462" s="50" t="str">
        <f>IF(Table5[[#This Row],[Ovr]]="","",IF(Table5[[#This Row],[cmbList]]="","",Table5[[#This Row],[cmbList]]-Table5[[#This Row],[Ovr]]))</f>
        <v/>
      </c>
      <c r="AD1462" s="54" t="str">
        <f>IF(ISERROR(VLOOKUP($AB1462&amp;"-"&amp;$E1462&amp;" "&amp;F1462,Bonuses!$B$1:$G$1006,4,FALSE)),"",INT(VLOOKUP($AB1462&amp;"-"&amp;$E1462&amp;" "&amp;$F1462,Bonuses!$B$1:$G$1006,4,FALSE)))</f>
        <v/>
      </c>
      <c r="AE146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3" spans="1:31" x14ac:dyDescent="0.25">
      <c r="A1463" s="50">
        <v>17990</v>
      </c>
      <c r="B1463" s="50">
        <f>COUNTIF(Table5[PID],A1463)</f>
        <v>1</v>
      </c>
      <c r="C1463" s="50" t="str">
        <f>IF(COUNTIF(Table3[[#All],[PID]],A1463)&gt;0,"P","B")</f>
        <v>B</v>
      </c>
      <c r="D1463" s="59" t="str">
        <f>IF($C1463="B",INDEX(Batters[[#All],[POS]],MATCH(Table5[[#This Row],[PID]],Batters[[#All],[PID]],0)),INDEX(Table3[[#All],[POS]],MATCH(Table5[[#This Row],[PID]],Table3[[#All],[PID]],0)))</f>
        <v>RF</v>
      </c>
      <c r="E1463" s="52" t="str">
        <f>IF($C1463="B",INDEX(Batters[[#All],[First]],MATCH(Table5[[#This Row],[PID]],Batters[[#All],[PID]],0)),INDEX(Table3[[#All],[First]],MATCH(Table5[[#This Row],[PID]],Table3[[#All],[PID]],0)))</f>
        <v>Felipe</v>
      </c>
      <c r="F1463" s="50" t="str">
        <f>IF($C1463="B",INDEX(Batters[[#All],[Last]],MATCH(A1463,Batters[[#All],[PID]],0)),INDEX(Table3[[#All],[Last]],MATCH(A1463,Table3[[#All],[PID]],0)))</f>
        <v>Martínez</v>
      </c>
      <c r="G1463" s="56">
        <f>IF($C1463="B",INDEX(Batters[[#All],[Age]],MATCH(Table5[[#This Row],[PID]],Batters[[#All],[PID]],0)),INDEX(Table3[[#All],[Age]],MATCH(Table5[[#This Row],[PID]],Table3[[#All],[PID]],0)))</f>
        <v>21</v>
      </c>
      <c r="H1463" s="52" t="str">
        <f>IF($C1463="B",INDEX(Batters[[#All],[B]],MATCH(Table5[[#This Row],[PID]],Batters[[#All],[PID]],0)),INDEX(Table3[[#All],[B]],MATCH(Table5[[#This Row],[PID]],Table3[[#All],[PID]],0)))</f>
        <v>L</v>
      </c>
      <c r="I1463" s="70" t="str">
        <f>IF($C1463="B",INDEX(Batters[[#All],[T]],MATCH(Table5[[#This Row],[PID]],Batters[[#All],[PID]],0)),INDEX(Table3[[#All],[T]],MATCH(Table5[[#This Row],[PID]],Table3[[#All],[PID]],0)))</f>
        <v>R</v>
      </c>
      <c r="J1463" s="52" t="str">
        <f>IF($C1463="B",INDEX(Batters[[#All],[WE]],MATCH(Table5[[#This Row],[PID]],Batters[[#All],[PID]],0)),INDEX(Table3[[#All],[WE]],MATCH(Table5[[#This Row],[PID]],Table3[[#All],[PID]],0)))</f>
        <v>Normal</v>
      </c>
      <c r="K1463" s="52" t="str">
        <f>IF($C1463="B",INDEX(Batters[[#All],[INT]],MATCH(Table5[[#This Row],[PID]],Batters[[#All],[PID]],0)),INDEX(Table3[[#All],[INT]],MATCH(Table5[[#This Row],[PID]],Table3[[#All],[PID]],0)))</f>
        <v>Normal</v>
      </c>
      <c r="L1463" s="60">
        <f>IF($C1463="B",INDEX(Batters[[#All],[CON P]],MATCH(Table5[[#This Row],[PID]],Batters[[#All],[PID]],0)),INDEX(Table3[[#All],[STU P]],MATCH(Table5[[#This Row],[PID]],Table3[[#All],[PID]],0)))</f>
        <v>3</v>
      </c>
      <c r="M1463" s="56">
        <f>IF($C1463="B",INDEX(Batters[[#All],[GAP P]],MATCH(Table5[[#This Row],[PID]],Batters[[#All],[PID]],0)),INDEX(Table3[[#All],[MOV P]],MATCH(Table5[[#This Row],[PID]],Table3[[#All],[PID]],0)))</f>
        <v>3</v>
      </c>
      <c r="N1463" s="56">
        <f>IF($C1463="B",INDEX(Batters[[#All],[POW P]],MATCH(Table5[[#This Row],[PID]],Batters[[#All],[PID]],0)),INDEX(Table3[[#All],[CON P]],MATCH(Table5[[#This Row],[PID]],Table3[[#All],[PID]],0)))</f>
        <v>3</v>
      </c>
      <c r="O1463" s="56">
        <f>IF($C1463="B",INDEX(Batters[[#All],[EYE P]],MATCH(Table5[[#This Row],[PID]],Batters[[#All],[PID]],0)),INDEX(Table3[[#All],[VELO]],MATCH(Table5[[#This Row],[PID]],Table3[[#All],[PID]],0)))</f>
        <v>3</v>
      </c>
      <c r="P1463" s="56">
        <f>IF($C1463="B",INDEX(Batters[[#All],[K P]],MATCH(Table5[[#This Row],[PID]],Batters[[#All],[PID]],0)),INDEX(Table3[[#All],[STM]],MATCH(Table5[[#This Row],[PID]],Table3[[#All],[PID]],0)))</f>
        <v>2</v>
      </c>
      <c r="Q1463" s="61">
        <f>IF($C1463="B",INDEX(Batters[[#All],[Tot]],MATCH(Table5[[#This Row],[PID]],Batters[[#All],[PID]],0)),INDEX(Table3[[#All],[Tot]],MATCH(Table5[[#This Row],[PID]],Table3[[#All],[PID]],0)))</f>
        <v>33.381229930810427</v>
      </c>
      <c r="R1463" s="70">
        <f>IF($C1463="B",INDEX(Batters[[#All],[zScore]],MATCH(Table5[[#This Row],[PID]],Batters[[#All],[PID]],0)),INDEX(Table3[[#All],[zScore]],MATCH(Table5[[#This Row],[PID]],Table3[[#All],[PID]],0)))</f>
        <v>-2.3835050286796271</v>
      </c>
      <c r="S1463" s="79" t="str">
        <f>IF($C1463="B",INDEX(Batters[[#All],[DEM]],MATCH(Table5[[#This Row],[PID]],Batters[[#All],[PID]],0)),INDEX(Table3[[#All],[DEM]],MATCH(Table5[[#This Row],[PID]],Table3[[#All],[PID]],0)))</f>
        <v>-</v>
      </c>
      <c r="T1463" s="62">
        <f>IF($C1463="B",INDEX(Batters[[#All],[Rnk]],MATCH(Table5[[#This Row],[PID]],Batters[[#All],[PID]],0)),INDEX(Table3[[#All],[Rnk]],MATCH(Table5[[#This Row],[PID]],Table3[[#All],[PID]],0)))</f>
        <v>678</v>
      </c>
      <c r="U1463" s="68">
        <f>IF($C1463="B",VLOOKUP($A1463,Bat!$A$4:$BA$1621,47,FALSE),VLOOKUP($A1463,Pit!$A$4:$BF$1557,56,FALSE))</f>
        <v>0</v>
      </c>
      <c r="V1463" s="50">
        <f>IF($C1463="B",VLOOKUP($A1463,Bat!$A$4:$BA$1621,48,FALSE),VLOOKUP($A1463,Pit!$A$4:$BF$1557,57,FALSE))</f>
        <v>0</v>
      </c>
      <c r="W1463" s="50">
        <f>Table5[[#This Row],[posRnk]]+Table5[[#This Row],[zRnk]]+IF($W$3&lt;&gt;Table5[[#This Row],[Type]],50,0)</f>
        <v>2184</v>
      </c>
      <c r="X1463" s="51">
        <f>RANK(Table5[[#This Row],[zScore]],Table5[[#All],[zScore]])</f>
        <v>1456</v>
      </c>
      <c r="Y1463" s="50" t="str">
        <f>IFERROR(INDEX(DraftResults[[#All],[OVR]],MATCH(Table5[[#This Row],[PID]],DraftResults[[#All],[Player ID]],0)),"")</f>
        <v/>
      </c>
      <c r="Z146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3" s="50" t="str">
        <f>IFERROR(INDEX(DraftResults[[#All],[Pick in Round]],MATCH(Table5[[#This Row],[PID]],DraftResults[[#All],[Player ID]],0)),"")</f>
        <v/>
      </c>
      <c r="AB1463" s="50" t="str">
        <f>IFERROR(INDEX(DraftResults[[#All],[Team Name]],MATCH(Table5[[#This Row],[PID]],DraftResults[[#All],[Player ID]],0)),"")</f>
        <v/>
      </c>
      <c r="AC1463" s="50" t="str">
        <f>IF(Table5[[#This Row],[Ovr]]="","",IF(Table5[[#This Row],[cmbList]]="","",Table5[[#This Row],[cmbList]]-Table5[[#This Row],[Ovr]]))</f>
        <v/>
      </c>
      <c r="AD1463" s="54" t="str">
        <f>IF(ISERROR(VLOOKUP($AB1463&amp;"-"&amp;$E1463&amp;" "&amp;F1463,Bonuses!$B$1:$G$1006,4,FALSE)),"",INT(VLOOKUP($AB1463&amp;"-"&amp;$E1463&amp;" "&amp;$F1463,Bonuses!$B$1:$G$1006,4,FALSE)))</f>
        <v/>
      </c>
      <c r="AE146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4" spans="1:31" x14ac:dyDescent="0.25">
      <c r="A1464" s="50">
        <v>18037</v>
      </c>
      <c r="B1464" s="50">
        <f>COUNTIF(Table5[PID],A1464)</f>
        <v>1</v>
      </c>
      <c r="C1464" s="50" t="str">
        <f>IF(COUNTIF(Table3[[#All],[PID]],A1464)&gt;0,"P","B")</f>
        <v>B</v>
      </c>
      <c r="D1464" s="59" t="str">
        <f>IF($C1464="B",INDEX(Batters[[#All],[POS]],MATCH(Table5[[#This Row],[PID]],Batters[[#All],[PID]],0)),INDEX(Table3[[#All],[POS]],MATCH(Table5[[#This Row],[PID]],Table3[[#All],[PID]],0)))</f>
        <v>2B</v>
      </c>
      <c r="E1464" s="52" t="str">
        <f>IF($C1464="B",INDEX(Batters[[#All],[First]],MATCH(Table5[[#This Row],[PID]],Batters[[#All],[PID]],0)),INDEX(Table3[[#All],[First]],MATCH(Table5[[#This Row],[PID]],Table3[[#All],[PID]],0)))</f>
        <v>Bill</v>
      </c>
      <c r="F1464" s="50" t="str">
        <f>IF($C1464="B",INDEX(Batters[[#All],[Last]],MATCH(A1464,Batters[[#All],[PID]],0)),INDEX(Table3[[#All],[Last]],MATCH(A1464,Table3[[#All],[PID]],0)))</f>
        <v>Parent</v>
      </c>
      <c r="G1464" s="56">
        <f>IF($C1464="B",INDEX(Batters[[#All],[Age]],MATCH(Table5[[#This Row],[PID]],Batters[[#All],[PID]],0)),INDEX(Table3[[#All],[Age]],MATCH(Table5[[#This Row],[PID]],Table3[[#All],[PID]],0)))</f>
        <v>21</v>
      </c>
      <c r="H1464" s="52" t="str">
        <f>IF($C1464="B",INDEX(Batters[[#All],[B]],MATCH(Table5[[#This Row],[PID]],Batters[[#All],[PID]],0)),INDEX(Table3[[#All],[B]],MATCH(Table5[[#This Row],[PID]],Table3[[#All],[PID]],0)))</f>
        <v>R</v>
      </c>
      <c r="I1464" s="70" t="str">
        <f>IF($C1464="B",INDEX(Batters[[#All],[T]],MATCH(Table5[[#This Row],[PID]],Batters[[#All],[PID]],0)),INDEX(Table3[[#All],[T]],MATCH(Table5[[#This Row],[PID]],Table3[[#All],[PID]],0)))</f>
        <v>R</v>
      </c>
      <c r="J1464" s="52" t="str">
        <f>IF($C1464="B",INDEX(Batters[[#All],[WE]],MATCH(Table5[[#This Row],[PID]],Batters[[#All],[PID]],0)),INDEX(Table3[[#All],[WE]],MATCH(Table5[[#This Row],[PID]],Table3[[#All],[PID]],0)))</f>
        <v>Normal</v>
      </c>
      <c r="K1464" s="52" t="str">
        <f>IF($C1464="B",INDEX(Batters[[#All],[INT]],MATCH(Table5[[#This Row],[PID]],Batters[[#All],[PID]],0)),INDEX(Table3[[#All],[INT]],MATCH(Table5[[#This Row],[PID]],Table3[[#All],[PID]],0)))</f>
        <v>High</v>
      </c>
      <c r="L1464" s="60">
        <f>IF($C1464="B",INDEX(Batters[[#All],[CON P]],MATCH(Table5[[#This Row],[PID]],Batters[[#All],[PID]],0)),INDEX(Table3[[#All],[STU P]],MATCH(Table5[[#This Row],[PID]],Table3[[#All],[PID]],0)))</f>
        <v>3</v>
      </c>
      <c r="M1464" s="56">
        <f>IF($C1464="B",INDEX(Batters[[#All],[GAP P]],MATCH(Table5[[#This Row],[PID]],Batters[[#All],[PID]],0)),INDEX(Table3[[#All],[MOV P]],MATCH(Table5[[#This Row],[PID]],Table3[[#All],[PID]],0)))</f>
        <v>3</v>
      </c>
      <c r="N1464" s="56">
        <f>IF($C1464="B",INDEX(Batters[[#All],[POW P]],MATCH(Table5[[#This Row],[PID]],Batters[[#All],[PID]],0)),INDEX(Table3[[#All],[CON P]],MATCH(Table5[[#This Row],[PID]],Table3[[#All],[PID]],0)))</f>
        <v>2</v>
      </c>
      <c r="O1464" s="56">
        <f>IF($C1464="B",INDEX(Batters[[#All],[EYE P]],MATCH(Table5[[#This Row],[PID]],Batters[[#All],[PID]],0)),INDEX(Table3[[#All],[VELO]],MATCH(Table5[[#This Row],[PID]],Table3[[#All],[PID]],0)))</f>
        <v>3</v>
      </c>
      <c r="P1464" s="56">
        <f>IF($C1464="B",INDEX(Batters[[#All],[K P]],MATCH(Table5[[#This Row],[PID]],Batters[[#All],[PID]],0)),INDEX(Table3[[#All],[STM]],MATCH(Table5[[#This Row],[PID]],Table3[[#All],[PID]],0)))</f>
        <v>3</v>
      </c>
      <c r="Q1464" s="61">
        <f>IF($C1464="B",INDEX(Batters[[#All],[Tot]],MATCH(Table5[[#This Row],[PID]],Batters[[#All],[PID]],0)),INDEX(Table3[[#All],[Tot]],MATCH(Table5[[#This Row],[PID]],Table3[[#All],[PID]],0)))</f>
        <v>33.164688080328617</v>
      </c>
      <c r="R1464" s="70">
        <f>IF($C1464="B",INDEX(Batters[[#All],[zScore]],MATCH(Table5[[#This Row],[PID]],Batters[[#All],[PID]],0)),INDEX(Table3[[#All],[zScore]],MATCH(Table5[[#This Row],[PID]],Table3[[#All],[PID]],0)))</f>
        <v>-2.431513820618513</v>
      </c>
      <c r="S1464" s="79" t="str">
        <f>IF($C1464="B",INDEX(Batters[[#All],[DEM]],MATCH(Table5[[#This Row],[PID]],Batters[[#All],[PID]],0)),INDEX(Table3[[#All],[DEM]],MATCH(Table5[[#This Row],[PID]],Table3[[#All],[PID]],0)))</f>
        <v>-</v>
      </c>
      <c r="T1464" s="62">
        <f>IF($C1464="B",INDEX(Batters[[#All],[Rnk]],MATCH(Table5[[#This Row],[PID]],Batters[[#All],[PID]],0)),INDEX(Table3[[#All],[Rnk]],MATCH(Table5[[#This Row],[PID]],Table3[[#All],[PID]],0)))</f>
        <v>680</v>
      </c>
      <c r="U1464" s="68">
        <f>IF($C1464="B",VLOOKUP($A1464,Bat!$A$4:$BA$1621,47,FALSE),VLOOKUP($A1464,Pit!$A$4:$BF$1557,56,FALSE))</f>
        <v>0</v>
      </c>
      <c r="V1464" s="50">
        <f>IF($C1464="B",VLOOKUP($A1464,Bat!$A$4:$BA$1621,48,FALSE),VLOOKUP($A1464,Pit!$A$4:$BF$1557,57,FALSE))</f>
        <v>0</v>
      </c>
      <c r="W1464" s="50">
        <f>Table5[[#This Row],[posRnk]]+Table5[[#This Row],[zRnk]]+IF($W$3&lt;&gt;Table5[[#This Row],[Type]],50,0)</f>
        <v>2188</v>
      </c>
      <c r="X1464" s="51">
        <f>RANK(Table5[[#This Row],[zScore]],Table5[[#All],[zScore]])</f>
        <v>1458</v>
      </c>
      <c r="Y1464" s="50" t="str">
        <f>IFERROR(INDEX(DraftResults[[#All],[OVR]],MATCH(Table5[[#This Row],[PID]],DraftResults[[#All],[Player ID]],0)),"")</f>
        <v/>
      </c>
      <c r="Z146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4" s="50" t="str">
        <f>IFERROR(INDEX(DraftResults[[#All],[Pick in Round]],MATCH(Table5[[#This Row],[PID]],DraftResults[[#All],[Player ID]],0)),"")</f>
        <v/>
      </c>
      <c r="AB1464" s="50" t="str">
        <f>IFERROR(INDEX(DraftResults[[#All],[Team Name]],MATCH(Table5[[#This Row],[PID]],DraftResults[[#All],[Player ID]],0)),"")</f>
        <v/>
      </c>
      <c r="AC1464" s="50" t="str">
        <f>IF(Table5[[#This Row],[Ovr]]="","",IF(Table5[[#This Row],[cmbList]]="","",Table5[[#This Row],[cmbList]]-Table5[[#This Row],[Ovr]]))</f>
        <v/>
      </c>
      <c r="AD1464" s="54" t="str">
        <f>IF(ISERROR(VLOOKUP($AB1464&amp;"-"&amp;$E1464&amp;" "&amp;F1464,Bonuses!$B$1:$G$1006,4,FALSE)),"",INT(VLOOKUP($AB1464&amp;"-"&amp;$E1464&amp;" "&amp;$F1464,Bonuses!$B$1:$G$1006,4,FALSE)))</f>
        <v/>
      </c>
      <c r="AE146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5" spans="1:31" x14ac:dyDescent="0.25">
      <c r="A1465" s="50">
        <v>6944</v>
      </c>
      <c r="B1465" s="50">
        <f>COUNTIF(Table5[PID],A1465)</f>
        <v>1</v>
      </c>
      <c r="C1465" s="50" t="str">
        <f>IF(COUNTIF(Table3[[#All],[PID]],A1465)&gt;0,"P","B")</f>
        <v>B</v>
      </c>
      <c r="D1465" s="59" t="str">
        <f>IF($C1465="B",INDEX(Batters[[#All],[POS]],MATCH(Table5[[#This Row],[PID]],Batters[[#All],[PID]],0)),INDEX(Table3[[#All],[POS]],MATCH(Table5[[#This Row],[PID]],Table3[[#All],[PID]],0)))</f>
        <v>C</v>
      </c>
      <c r="E1465" s="52" t="str">
        <f>IF($C1465="B",INDEX(Batters[[#All],[First]],MATCH(Table5[[#This Row],[PID]],Batters[[#All],[PID]],0)),INDEX(Table3[[#All],[First]],MATCH(Table5[[#This Row],[PID]],Table3[[#All],[PID]],0)))</f>
        <v>Gunner</v>
      </c>
      <c r="F1465" s="50" t="str">
        <f>IF($C1465="B",INDEX(Batters[[#All],[Last]],MATCH(A1465,Batters[[#All],[PID]],0)),INDEX(Table3[[#All],[Last]],MATCH(A1465,Table3[[#All],[PID]],0)))</f>
        <v>Garrett</v>
      </c>
      <c r="G1465" s="56">
        <f>IF($C1465="B",INDEX(Batters[[#All],[Age]],MATCH(Table5[[#This Row],[PID]],Batters[[#All],[PID]],0)),INDEX(Table3[[#All],[Age]],MATCH(Table5[[#This Row],[PID]],Table3[[#All],[PID]],0)))</f>
        <v>22</v>
      </c>
      <c r="H1465" s="52" t="str">
        <f>IF($C1465="B",INDEX(Batters[[#All],[B]],MATCH(Table5[[#This Row],[PID]],Batters[[#All],[PID]],0)),INDEX(Table3[[#All],[B]],MATCH(Table5[[#This Row],[PID]],Table3[[#All],[PID]],0)))</f>
        <v>R</v>
      </c>
      <c r="I1465" s="70" t="str">
        <f>IF($C1465="B",INDEX(Batters[[#All],[T]],MATCH(Table5[[#This Row],[PID]],Batters[[#All],[PID]],0)),INDEX(Table3[[#All],[T]],MATCH(Table5[[#This Row],[PID]],Table3[[#All],[PID]],0)))</f>
        <v>R</v>
      </c>
      <c r="J1465" s="52" t="str">
        <f>IF($C1465="B",INDEX(Batters[[#All],[WE]],MATCH(Table5[[#This Row],[PID]],Batters[[#All],[PID]],0)),INDEX(Table3[[#All],[WE]],MATCH(Table5[[#This Row],[PID]],Table3[[#All],[PID]],0)))</f>
        <v>Low</v>
      </c>
      <c r="K1465" s="52" t="str">
        <f>IF($C1465="B",INDEX(Batters[[#All],[INT]],MATCH(Table5[[#This Row],[PID]],Batters[[#All],[PID]],0)),INDEX(Table3[[#All],[INT]],MATCH(Table5[[#This Row],[PID]],Table3[[#All],[PID]],0)))</f>
        <v>Normal</v>
      </c>
      <c r="L1465" s="60">
        <f>IF($C1465="B",INDEX(Batters[[#All],[CON P]],MATCH(Table5[[#This Row],[PID]],Batters[[#All],[PID]],0)),INDEX(Table3[[#All],[STU P]],MATCH(Table5[[#This Row],[PID]],Table3[[#All],[PID]],0)))</f>
        <v>2</v>
      </c>
      <c r="M1465" s="56">
        <f>IF($C1465="B",INDEX(Batters[[#All],[GAP P]],MATCH(Table5[[#This Row],[PID]],Batters[[#All],[PID]],0)),INDEX(Table3[[#All],[MOV P]],MATCH(Table5[[#This Row],[PID]],Table3[[#All],[PID]],0)))</f>
        <v>4</v>
      </c>
      <c r="N1465" s="56">
        <f>IF($C1465="B",INDEX(Batters[[#All],[POW P]],MATCH(Table5[[#This Row],[PID]],Batters[[#All],[PID]],0)),INDEX(Table3[[#All],[CON P]],MATCH(Table5[[#This Row],[PID]],Table3[[#All],[PID]],0)))</f>
        <v>3</v>
      </c>
      <c r="O1465" s="56">
        <f>IF($C1465="B",INDEX(Batters[[#All],[EYE P]],MATCH(Table5[[#This Row],[PID]],Batters[[#All],[PID]],0)),INDEX(Table3[[#All],[VELO]],MATCH(Table5[[#This Row],[PID]],Table3[[#All],[PID]],0)))</f>
        <v>6</v>
      </c>
      <c r="P1465" s="56">
        <f>IF($C1465="B",INDEX(Batters[[#All],[K P]],MATCH(Table5[[#This Row],[PID]],Batters[[#All],[PID]],0)),INDEX(Table3[[#All],[STM]],MATCH(Table5[[#This Row],[PID]],Table3[[#All],[PID]],0)))</f>
        <v>2</v>
      </c>
      <c r="Q1465" s="61">
        <f>IF($C1465="B",INDEX(Batters[[#All],[Tot]],MATCH(Table5[[#This Row],[PID]],Batters[[#All],[PID]],0)),INDEX(Table3[[#All],[Tot]],MATCH(Table5[[#This Row],[PID]],Table3[[#All],[PID]],0)))</f>
        <v>33.135614814058833</v>
      </c>
      <c r="R1465" s="70">
        <f>IF($C1465="B",INDEX(Batters[[#All],[zScore]],MATCH(Table5[[#This Row],[PID]],Batters[[#All],[PID]],0)),INDEX(Table3[[#All],[zScore]],MATCH(Table5[[#This Row],[PID]],Table3[[#All],[PID]],0)))</f>
        <v>-2.4379595602675659</v>
      </c>
      <c r="S1465" s="79" t="str">
        <f>IF($C1465="B",INDEX(Batters[[#All],[DEM]],MATCH(Table5[[#This Row],[PID]],Batters[[#All],[PID]],0)),INDEX(Table3[[#All],[DEM]],MATCH(Table5[[#This Row],[PID]],Table3[[#All],[PID]],0)))</f>
        <v>-</v>
      </c>
      <c r="T1465" s="62">
        <f>IF($C1465="B",INDEX(Batters[[#All],[Rnk]],MATCH(Table5[[#This Row],[PID]],Batters[[#All],[PID]],0)),INDEX(Table3[[#All],[Rnk]],MATCH(Table5[[#This Row],[PID]],Table3[[#All],[PID]],0)))</f>
        <v>681</v>
      </c>
      <c r="U1465" s="68">
        <f>IF($C1465="B",VLOOKUP($A1465,Bat!$A$4:$BA$1621,47,FALSE),VLOOKUP($A1465,Pit!$A$4:$BF$1557,56,FALSE))</f>
        <v>0</v>
      </c>
      <c r="V1465" s="50">
        <f>IF($C1465="B",VLOOKUP($A1465,Bat!$A$4:$BA$1621,48,FALSE),VLOOKUP($A1465,Pit!$A$4:$BF$1557,57,FALSE))</f>
        <v>0</v>
      </c>
      <c r="W1465" s="50">
        <f>Table5[[#This Row],[posRnk]]+Table5[[#This Row],[zRnk]]+IF($W$3&lt;&gt;Table5[[#This Row],[Type]],50,0)</f>
        <v>2190</v>
      </c>
      <c r="X1465" s="51">
        <f>RANK(Table5[[#This Row],[zScore]],Table5[[#All],[zScore]])</f>
        <v>1459</v>
      </c>
      <c r="Y1465" s="50" t="str">
        <f>IFERROR(INDEX(DraftResults[[#All],[OVR]],MATCH(Table5[[#This Row],[PID]],DraftResults[[#All],[Player ID]],0)),"")</f>
        <v/>
      </c>
      <c r="Z146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5" s="50" t="str">
        <f>IFERROR(INDEX(DraftResults[[#All],[Pick in Round]],MATCH(Table5[[#This Row],[PID]],DraftResults[[#All],[Player ID]],0)),"")</f>
        <v/>
      </c>
      <c r="AB1465" s="50" t="str">
        <f>IFERROR(INDEX(DraftResults[[#All],[Team Name]],MATCH(Table5[[#This Row],[PID]],DraftResults[[#All],[Player ID]],0)),"")</f>
        <v/>
      </c>
      <c r="AC1465" s="50" t="str">
        <f>IF(Table5[[#This Row],[Ovr]]="","",IF(Table5[[#This Row],[cmbList]]="","",Table5[[#This Row],[cmbList]]-Table5[[#This Row],[Ovr]]))</f>
        <v/>
      </c>
      <c r="AD1465" s="54" t="str">
        <f>IF(ISERROR(VLOOKUP($AB1465&amp;"-"&amp;$E1465&amp;" "&amp;F1465,Bonuses!$B$1:$G$1006,4,FALSE)),"",INT(VLOOKUP($AB1465&amp;"-"&amp;$E1465&amp;" "&amp;$F1465,Bonuses!$B$1:$G$1006,4,FALSE)))</f>
        <v/>
      </c>
      <c r="AE146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6" spans="1:31" x14ac:dyDescent="0.25">
      <c r="A1466" s="50">
        <v>9573</v>
      </c>
      <c r="B1466" s="50">
        <f>COUNTIF(Table5[PID],A1466)</f>
        <v>1</v>
      </c>
      <c r="C1466" s="50" t="str">
        <f>IF(COUNTIF(Table3[[#All],[PID]],A1466)&gt;0,"P","B")</f>
        <v>B</v>
      </c>
      <c r="D1466" s="59" t="str">
        <f>IF($C1466="B",INDEX(Batters[[#All],[POS]],MATCH(Table5[[#This Row],[PID]],Batters[[#All],[PID]],0)),INDEX(Table3[[#All],[POS]],MATCH(Table5[[#This Row],[PID]],Table3[[#All],[PID]],0)))</f>
        <v>C</v>
      </c>
      <c r="E1466" s="52" t="str">
        <f>IF($C1466="B",INDEX(Batters[[#All],[First]],MATCH(Table5[[#This Row],[PID]],Batters[[#All],[PID]],0)),INDEX(Table3[[#All],[First]],MATCH(Table5[[#This Row],[PID]],Table3[[#All],[PID]],0)))</f>
        <v>Lorenzo</v>
      </c>
      <c r="F1466" s="50" t="str">
        <f>IF($C1466="B",INDEX(Batters[[#All],[Last]],MATCH(A1466,Batters[[#All],[PID]],0)),INDEX(Table3[[#All],[Last]],MATCH(A1466,Table3[[#All],[PID]],0)))</f>
        <v>Canseco</v>
      </c>
      <c r="G1466" s="56">
        <f>IF($C1466="B",INDEX(Batters[[#All],[Age]],MATCH(Table5[[#This Row],[PID]],Batters[[#All],[PID]],0)),INDEX(Table3[[#All],[Age]],MATCH(Table5[[#This Row],[PID]],Table3[[#All],[PID]],0)))</f>
        <v>21</v>
      </c>
      <c r="H1466" s="52" t="str">
        <f>IF($C1466="B",INDEX(Batters[[#All],[B]],MATCH(Table5[[#This Row],[PID]],Batters[[#All],[PID]],0)),INDEX(Table3[[#All],[B]],MATCH(Table5[[#This Row],[PID]],Table3[[#All],[PID]],0)))</f>
        <v>R</v>
      </c>
      <c r="I1466" s="70" t="str">
        <f>IF($C1466="B",INDEX(Batters[[#All],[T]],MATCH(Table5[[#This Row],[PID]],Batters[[#All],[PID]],0)),INDEX(Table3[[#All],[T]],MATCH(Table5[[#This Row],[PID]],Table3[[#All],[PID]],0)))</f>
        <v>R</v>
      </c>
      <c r="J1466" s="52" t="str">
        <f>IF($C1466="B",INDEX(Batters[[#All],[WE]],MATCH(Table5[[#This Row],[PID]],Batters[[#All],[PID]],0)),INDEX(Table3[[#All],[WE]],MATCH(Table5[[#This Row],[PID]],Table3[[#All],[PID]],0)))</f>
        <v>Normal</v>
      </c>
      <c r="K1466" s="52" t="str">
        <f>IF($C1466="B",INDEX(Batters[[#All],[INT]],MATCH(Table5[[#This Row],[PID]],Batters[[#All],[PID]],0)),INDEX(Table3[[#All],[INT]],MATCH(Table5[[#This Row],[PID]],Table3[[#All],[PID]],0)))</f>
        <v>High</v>
      </c>
      <c r="L1466" s="60">
        <f>IF($C1466="B",INDEX(Batters[[#All],[CON P]],MATCH(Table5[[#This Row],[PID]],Batters[[#All],[PID]],0)),INDEX(Table3[[#All],[STU P]],MATCH(Table5[[#This Row],[PID]],Table3[[#All],[PID]],0)))</f>
        <v>2</v>
      </c>
      <c r="M1466" s="56">
        <f>IF($C1466="B",INDEX(Batters[[#All],[GAP P]],MATCH(Table5[[#This Row],[PID]],Batters[[#All],[PID]],0)),INDEX(Table3[[#All],[MOV P]],MATCH(Table5[[#This Row],[PID]],Table3[[#All],[PID]],0)))</f>
        <v>3</v>
      </c>
      <c r="N1466" s="56">
        <f>IF($C1466="B",INDEX(Batters[[#All],[POW P]],MATCH(Table5[[#This Row],[PID]],Batters[[#All],[PID]],0)),INDEX(Table3[[#All],[CON P]],MATCH(Table5[[#This Row],[PID]],Table3[[#All],[PID]],0)))</f>
        <v>4</v>
      </c>
      <c r="O1466" s="56">
        <f>IF($C1466="B",INDEX(Batters[[#All],[EYE P]],MATCH(Table5[[#This Row],[PID]],Batters[[#All],[PID]],0)),INDEX(Table3[[#All],[VELO]],MATCH(Table5[[#This Row],[PID]],Table3[[#All],[PID]],0)))</f>
        <v>5</v>
      </c>
      <c r="P1466" s="56">
        <f>IF($C1466="B",INDEX(Batters[[#All],[K P]],MATCH(Table5[[#This Row],[PID]],Batters[[#All],[PID]],0)),INDEX(Table3[[#All],[STM]],MATCH(Table5[[#This Row],[PID]],Table3[[#All],[PID]],0)))</f>
        <v>2</v>
      </c>
      <c r="Q1466" s="61">
        <f>IF($C1466="B",INDEX(Batters[[#All],[Tot]],MATCH(Table5[[#This Row],[PID]],Batters[[#All],[PID]],0)),INDEX(Table3[[#All],[Tot]],MATCH(Table5[[#This Row],[PID]],Table3[[#All],[PID]],0)))</f>
        <v>32.969297979896055</v>
      </c>
      <c r="R1466" s="70">
        <f>IF($C1466="B",INDEX(Batters[[#All],[zScore]],MATCH(Table5[[#This Row],[PID]],Batters[[#All],[PID]],0)),INDEX(Table3[[#All],[zScore]],MATCH(Table5[[#This Row],[PID]],Table3[[#All],[PID]],0)))</f>
        <v>-2.4748331265989192</v>
      </c>
      <c r="S1466" s="79" t="str">
        <f>IF($C1466="B",INDEX(Batters[[#All],[DEM]],MATCH(Table5[[#This Row],[PID]],Batters[[#All],[PID]],0)),INDEX(Table3[[#All],[DEM]],MATCH(Table5[[#This Row],[PID]],Table3[[#All],[PID]],0)))</f>
        <v>$20k</v>
      </c>
      <c r="T1466" s="62">
        <f>IF($C1466="B",INDEX(Batters[[#All],[Rnk]],MATCH(Table5[[#This Row],[PID]],Batters[[#All],[PID]],0)),INDEX(Table3[[#All],[Rnk]],MATCH(Table5[[#This Row],[PID]],Table3[[#All],[PID]],0)))</f>
        <v>682</v>
      </c>
      <c r="U1466" s="68">
        <f>IF($C1466="B",VLOOKUP($A1466,Bat!$A$4:$BA$1621,47,FALSE),VLOOKUP($A1466,Pit!$A$4:$BF$1557,56,FALSE))</f>
        <v>0</v>
      </c>
      <c r="V1466" s="50">
        <f>IF($C1466="B",VLOOKUP($A1466,Bat!$A$4:$BA$1621,48,FALSE),VLOOKUP($A1466,Pit!$A$4:$BF$1557,57,FALSE))</f>
        <v>0</v>
      </c>
      <c r="W1466" s="50">
        <f>Table5[[#This Row],[posRnk]]+Table5[[#This Row],[zRnk]]+IF($W$3&lt;&gt;Table5[[#This Row],[Type]],50,0)</f>
        <v>2192</v>
      </c>
      <c r="X1466" s="51">
        <f>RANK(Table5[[#This Row],[zScore]],Table5[[#All],[zScore]])</f>
        <v>1460</v>
      </c>
      <c r="Y1466" s="50" t="str">
        <f>IFERROR(INDEX(DraftResults[[#All],[OVR]],MATCH(Table5[[#This Row],[PID]],DraftResults[[#All],[Player ID]],0)),"")</f>
        <v/>
      </c>
      <c r="Z146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6" s="50" t="str">
        <f>IFERROR(INDEX(DraftResults[[#All],[Pick in Round]],MATCH(Table5[[#This Row],[PID]],DraftResults[[#All],[Player ID]],0)),"")</f>
        <v/>
      </c>
      <c r="AB1466" s="50" t="str">
        <f>IFERROR(INDEX(DraftResults[[#All],[Team Name]],MATCH(Table5[[#This Row],[PID]],DraftResults[[#All],[Player ID]],0)),"")</f>
        <v/>
      </c>
      <c r="AC1466" s="50" t="str">
        <f>IF(Table5[[#This Row],[Ovr]]="","",IF(Table5[[#This Row],[cmbList]]="","",Table5[[#This Row],[cmbList]]-Table5[[#This Row],[Ovr]]))</f>
        <v/>
      </c>
      <c r="AD1466" s="54" t="str">
        <f>IF(ISERROR(VLOOKUP($AB1466&amp;"-"&amp;$E1466&amp;" "&amp;F1466,Bonuses!$B$1:$G$1006,4,FALSE)),"",INT(VLOOKUP($AB1466&amp;"-"&amp;$E1466&amp;" "&amp;$F1466,Bonuses!$B$1:$G$1006,4,FALSE)))</f>
        <v/>
      </c>
      <c r="AE146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7" spans="1:31" x14ac:dyDescent="0.25">
      <c r="A1467" s="50">
        <v>20282</v>
      </c>
      <c r="B1467" s="50">
        <f>COUNTIF(Table5[PID],A1467)</f>
        <v>1</v>
      </c>
      <c r="C1467" s="50" t="str">
        <f>IF(COUNTIF(Table3[[#All],[PID]],A1467)&gt;0,"P","B")</f>
        <v>B</v>
      </c>
      <c r="D1467" s="59" t="str">
        <f>IF($C1467="B",INDEX(Batters[[#All],[POS]],MATCH(Table5[[#This Row],[PID]],Batters[[#All],[PID]],0)),INDEX(Table3[[#All],[POS]],MATCH(Table5[[#This Row],[PID]],Table3[[#All],[PID]],0)))</f>
        <v>2B</v>
      </c>
      <c r="E1467" s="52" t="str">
        <f>IF($C1467="B",INDEX(Batters[[#All],[First]],MATCH(Table5[[#This Row],[PID]],Batters[[#All],[PID]],0)),INDEX(Table3[[#All],[First]],MATCH(Table5[[#This Row],[PID]],Table3[[#All],[PID]],0)))</f>
        <v>Ju-yi</v>
      </c>
      <c r="F1467" s="50" t="str">
        <f>IF($C1467="B",INDEX(Batters[[#All],[Last]],MATCH(A1467,Batters[[#All],[PID]],0)),INDEX(Table3[[#All],[Last]],MATCH(A1467,Table3[[#All],[PID]],0)))</f>
        <v>Chen</v>
      </c>
      <c r="G1467" s="56">
        <f>IF($C1467="B",INDEX(Batters[[#All],[Age]],MATCH(Table5[[#This Row],[PID]],Batters[[#All],[PID]],0)),INDEX(Table3[[#All],[Age]],MATCH(Table5[[#This Row],[PID]],Table3[[#All],[PID]],0)))</f>
        <v>21</v>
      </c>
      <c r="H1467" s="52" t="str">
        <f>IF($C1467="B",INDEX(Batters[[#All],[B]],MATCH(Table5[[#This Row],[PID]],Batters[[#All],[PID]],0)),INDEX(Table3[[#All],[B]],MATCH(Table5[[#This Row],[PID]],Table3[[#All],[PID]],0)))</f>
        <v>S</v>
      </c>
      <c r="I1467" s="70" t="str">
        <f>IF($C1467="B",INDEX(Batters[[#All],[T]],MATCH(Table5[[#This Row],[PID]],Batters[[#All],[PID]],0)),INDEX(Table3[[#All],[T]],MATCH(Table5[[#This Row],[PID]],Table3[[#All],[PID]],0)))</f>
        <v>R</v>
      </c>
      <c r="J1467" s="52" t="str">
        <f>IF($C1467="B",INDEX(Batters[[#All],[WE]],MATCH(Table5[[#This Row],[PID]],Batters[[#All],[PID]],0)),INDEX(Table3[[#All],[WE]],MATCH(Table5[[#This Row],[PID]],Table3[[#All],[PID]],0)))</f>
        <v>Normal</v>
      </c>
      <c r="K1467" s="52" t="str">
        <f>IF($C1467="B",INDEX(Batters[[#All],[INT]],MATCH(Table5[[#This Row],[PID]],Batters[[#All],[PID]],0)),INDEX(Table3[[#All],[INT]],MATCH(Table5[[#This Row],[PID]],Table3[[#All],[PID]],0)))</f>
        <v>Normal</v>
      </c>
      <c r="L1467" s="60">
        <f>IF($C1467="B",INDEX(Batters[[#All],[CON P]],MATCH(Table5[[#This Row],[PID]],Batters[[#All],[PID]],0)),INDEX(Table3[[#All],[STU P]],MATCH(Table5[[#This Row],[PID]],Table3[[#All],[PID]],0)))</f>
        <v>2</v>
      </c>
      <c r="M1467" s="56">
        <f>IF($C1467="B",INDEX(Batters[[#All],[GAP P]],MATCH(Table5[[#This Row],[PID]],Batters[[#All],[PID]],0)),INDEX(Table3[[#All],[MOV P]],MATCH(Table5[[#This Row],[PID]],Table3[[#All],[PID]],0)))</f>
        <v>4</v>
      </c>
      <c r="N1467" s="56">
        <f>IF($C1467="B",INDEX(Batters[[#All],[POW P]],MATCH(Table5[[#This Row],[PID]],Batters[[#All],[PID]],0)),INDEX(Table3[[#All],[CON P]],MATCH(Table5[[#This Row],[PID]],Table3[[#All],[PID]],0)))</f>
        <v>3</v>
      </c>
      <c r="O1467" s="56">
        <f>IF($C1467="B",INDEX(Batters[[#All],[EYE P]],MATCH(Table5[[#This Row],[PID]],Batters[[#All],[PID]],0)),INDEX(Table3[[#All],[VELO]],MATCH(Table5[[#This Row],[PID]],Table3[[#All],[PID]],0)))</f>
        <v>4</v>
      </c>
      <c r="P1467" s="56">
        <f>IF($C1467="B",INDEX(Batters[[#All],[K P]],MATCH(Table5[[#This Row],[PID]],Batters[[#All],[PID]],0)),INDEX(Table3[[#All],[STM]],MATCH(Table5[[#This Row],[PID]],Table3[[#All],[PID]],0)))</f>
        <v>4</v>
      </c>
      <c r="Q1467" s="61">
        <f>IF($C1467="B",INDEX(Batters[[#All],[Tot]],MATCH(Table5[[#This Row],[PID]],Batters[[#All],[PID]],0)),INDEX(Table3[[#All],[Tot]],MATCH(Table5[[#This Row],[PID]],Table3[[#All],[PID]],0)))</f>
        <v>32.958342588503214</v>
      </c>
      <c r="R1467" s="70">
        <f>IF($C1467="B",INDEX(Batters[[#All],[zScore]],MATCH(Table5[[#This Row],[PID]],Batters[[#All],[PID]],0)),INDEX(Table3[[#All],[zScore]],MATCH(Table5[[#This Row],[PID]],Table3[[#All],[PID]],0)))</f>
        <v>-2.4772620109222849</v>
      </c>
      <c r="S1467" s="79" t="str">
        <f>IF($C1467="B",INDEX(Batters[[#All],[DEM]],MATCH(Table5[[#This Row],[PID]],Batters[[#All],[PID]],0)),INDEX(Table3[[#All],[DEM]],MATCH(Table5[[#This Row],[PID]],Table3[[#All],[PID]],0)))</f>
        <v>$20k</v>
      </c>
      <c r="T1467" s="62">
        <f>IF($C1467="B",INDEX(Batters[[#All],[Rnk]],MATCH(Table5[[#This Row],[PID]],Batters[[#All],[PID]],0)),INDEX(Table3[[#All],[Rnk]],MATCH(Table5[[#This Row],[PID]],Table3[[#All],[PID]],0)))</f>
        <v>683</v>
      </c>
      <c r="U1467" s="68">
        <f>IF($C1467="B",VLOOKUP($A1467,Bat!$A$4:$BA$1621,47,FALSE),VLOOKUP($A1467,Pit!$A$4:$BF$1557,56,FALSE))</f>
        <v>0</v>
      </c>
      <c r="V1467" s="50">
        <f>IF($C1467="B",VLOOKUP($A1467,Bat!$A$4:$BA$1621,48,FALSE),VLOOKUP($A1467,Pit!$A$4:$BF$1557,57,FALSE))</f>
        <v>0</v>
      </c>
      <c r="W1467" s="50">
        <f>Table5[[#This Row],[posRnk]]+Table5[[#This Row],[zRnk]]+IF($W$3&lt;&gt;Table5[[#This Row],[Type]],50,0)</f>
        <v>2194</v>
      </c>
      <c r="X1467" s="51">
        <f>RANK(Table5[[#This Row],[zScore]],Table5[[#All],[zScore]])</f>
        <v>1461</v>
      </c>
      <c r="Y1467" s="50" t="str">
        <f>IFERROR(INDEX(DraftResults[[#All],[OVR]],MATCH(Table5[[#This Row],[PID]],DraftResults[[#All],[Player ID]],0)),"")</f>
        <v/>
      </c>
      <c r="Z146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7" s="50" t="str">
        <f>IFERROR(INDEX(DraftResults[[#All],[Pick in Round]],MATCH(Table5[[#This Row],[PID]],DraftResults[[#All],[Player ID]],0)),"")</f>
        <v/>
      </c>
      <c r="AB1467" s="50" t="str">
        <f>IFERROR(INDEX(DraftResults[[#All],[Team Name]],MATCH(Table5[[#This Row],[PID]],DraftResults[[#All],[Player ID]],0)),"")</f>
        <v/>
      </c>
      <c r="AC1467" s="50" t="str">
        <f>IF(Table5[[#This Row],[Ovr]]="","",IF(Table5[[#This Row],[cmbList]]="","",Table5[[#This Row],[cmbList]]-Table5[[#This Row],[Ovr]]))</f>
        <v/>
      </c>
      <c r="AD1467" s="54" t="str">
        <f>IF(ISERROR(VLOOKUP($AB1467&amp;"-"&amp;$E1467&amp;" "&amp;F1467,Bonuses!$B$1:$G$1006,4,FALSE)),"",INT(VLOOKUP($AB1467&amp;"-"&amp;$E1467&amp;" "&amp;$F1467,Bonuses!$B$1:$G$1006,4,FALSE)))</f>
        <v/>
      </c>
      <c r="AE146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8" spans="1:31" x14ac:dyDescent="0.25">
      <c r="A1468" s="50">
        <v>17819</v>
      </c>
      <c r="B1468" s="50">
        <f>COUNTIF(Table5[PID],A1468)</f>
        <v>1</v>
      </c>
      <c r="C1468" s="50" t="str">
        <f>IF(COUNTIF(Table3[[#All],[PID]],A1468)&gt;0,"P","B")</f>
        <v>B</v>
      </c>
      <c r="D1468" s="59" t="str">
        <f>IF($C1468="B",INDEX(Batters[[#All],[POS]],MATCH(Table5[[#This Row],[PID]],Batters[[#All],[PID]],0)),INDEX(Table3[[#All],[POS]],MATCH(Table5[[#This Row],[PID]],Table3[[#All],[PID]],0)))</f>
        <v>C</v>
      </c>
      <c r="E1468" s="52" t="str">
        <f>IF($C1468="B",INDEX(Batters[[#All],[First]],MATCH(Table5[[#This Row],[PID]],Batters[[#All],[PID]],0)),INDEX(Table3[[#All],[First]],MATCH(Table5[[#This Row],[PID]],Table3[[#All],[PID]],0)))</f>
        <v>Jerrel</v>
      </c>
      <c r="F1468" s="50" t="str">
        <f>IF($C1468="B",INDEX(Batters[[#All],[Last]],MATCH(A1468,Batters[[#All],[PID]],0)),INDEX(Table3[[#All],[Last]],MATCH(A1468,Table3[[#All],[PID]],0)))</f>
        <v>Waasdorp</v>
      </c>
      <c r="G1468" s="56">
        <f>IF($C1468="B",INDEX(Batters[[#All],[Age]],MATCH(Table5[[#This Row],[PID]],Batters[[#All],[PID]],0)),INDEX(Table3[[#All],[Age]],MATCH(Table5[[#This Row],[PID]],Table3[[#All],[PID]],0)))</f>
        <v>22</v>
      </c>
      <c r="H1468" s="52" t="str">
        <f>IF($C1468="B",INDEX(Batters[[#All],[B]],MATCH(Table5[[#This Row],[PID]],Batters[[#All],[PID]],0)),INDEX(Table3[[#All],[B]],MATCH(Table5[[#This Row],[PID]],Table3[[#All],[PID]],0)))</f>
        <v>S</v>
      </c>
      <c r="I1468" s="70" t="str">
        <f>IF($C1468="B",INDEX(Batters[[#All],[T]],MATCH(Table5[[#This Row],[PID]],Batters[[#All],[PID]],0)),INDEX(Table3[[#All],[T]],MATCH(Table5[[#This Row],[PID]],Table3[[#All],[PID]],0)))</f>
        <v>R</v>
      </c>
      <c r="J1468" s="52" t="str">
        <f>IF($C1468="B",INDEX(Batters[[#All],[WE]],MATCH(Table5[[#This Row],[PID]],Batters[[#All],[PID]],0)),INDEX(Table3[[#All],[WE]],MATCH(Table5[[#This Row],[PID]],Table3[[#All],[PID]],0)))</f>
        <v>Normal</v>
      </c>
      <c r="K1468" s="52" t="str">
        <f>IF($C1468="B",INDEX(Batters[[#All],[INT]],MATCH(Table5[[#This Row],[PID]],Batters[[#All],[PID]],0)),INDEX(Table3[[#All],[INT]],MATCH(Table5[[#This Row],[PID]],Table3[[#All],[PID]],0)))</f>
        <v>Normal</v>
      </c>
      <c r="L1468" s="60">
        <f>IF($C1468="B",INDEX(Batters[[#All],[CON P]],MATCH(Table5[[#This Row],[PID]],Batters[[#All],[PID]],0)),INDEX(Table3[[#All],[STU P]],MATCH(Table5[[#This Row],[PID]],Table3[[#All],[PID]],0)))</f>
        <v>2</v>
      </c>
      <c r="M1468" s="56">
        <f>IF($C1468="B",INDEX(Batters[[#All],[GAP P]],MATCH(Table5[[#This Row],[PID]],Batters[[#All],[PID]],0)),INDEX(Table3[[#All],[MOV P]],MATCH(Table5[[#This Row],[PID]],Table3[[#All],[PID]],0)))</f>
        <v>4</v>
      </c>
      <c r="N1468" s="56">
        <f>IF($C1468="B",INDEX(Batters[[#All],[POW P]],MATCH(Table5[[#This Row],[PID]],Batters[[#All],[PID]],0)),INDEX(Table3[[#All],[CON P]],MATCH(Table5[[#This Row],[PID]],Table3[[#All],[PID]],0)))</f>
        <v>3</v>
      </c>
      <c r="O1468" s="56">
        <f>IF($C1468="B",INDEX(Batters[[#All],[EYE P]],MATCH(Table5[[#This Row],[PID]],Batters[[#All],[PID]],0)),INDEX(Table3[[#All],[VELO]],MATCH(Table5[[#This Row],[PID]],Table3[[#All],[PID]],0)))</f>
        <v>6</v>
      </c>
      <c r="P1468" s="56">
        <f>IF($C1468="B",INDEX(Batters[[#All],[K P]],MATCH(Table5[[#This Row],[PID]],Batters[[#All],[PID]],0)),INDEX(Table3[[#All],[STM]],MATCH(Table5[[#This Row],[PID]],Table3[[#All],[PID]],0)))</f>
        <v>1</v>
      </c>
      <c r="Q1468" s="61">
        <f>IF($C1468="B",INDEX(Batters[[#All],[Tot]],MATCH(Table5[[#This Row],[PID]],Batters[[#All],[PID]],0)),INDEX(Table3[[#All],[Tot]],MATCH(Table5[[#This Row],[PID]],Table3[[#All],[PID]],0)))</f>
        <v>32.955418736253833</v>
      </c>
      <c r="R1468" s="70">
        <f>IF($C1468="B",INDEX(Batters[[#All],[zScore]],MATCH(Table5[[#This Row],[PID]],Batters[[#All],[PID]],0)),INDEX(Table3[[#All],[zScore]],MATCH(Table5[[#This Row],[PID]],Table3[[#All],[PID]],0)))</f>
        <v>-2.4779102487293798</v>
      </c>
      <c r="S1468" s="79" t="str">
        <f>IF($C1468="B",INDEX(Batters[[#All],[DEM]],MATCH(Table5[[#This Row],[PID]],Batters[[#All],[PID]],0)),INDEX(Table3[[#All],[DEM]],MATCH(Table5[[#This Row],[PID]],Table3[[#All],[PID]],0)))</f>
        <v>-</v>
      </c>
      <c r="T1468" s="62">
        <f>IF($C1468="B",INDEX(Batters[[#All],[Rnk]],MATCH(Table5[[#This Row],[PID]],Batters[[#All],[PID]],0)),INDEX(Table3[[#All],[Rnk]],MATCH(Table5[[#This Row],[PID]],Table3[[#All],[PID]],0)))</f>
        <v>684</v>
      </c>
      <c r="U1468" s="68">
        <f>IF($C1468="B",VLOOKUP($A1468,Bat!$A$4:$BA$1621,47,FALSE),VLOOKUP($A1468,Pit!$A$4:$BF$1557,56,FALSE))</f>
        <v>0</v>
      </c>
      <c r="V1468" s="50">
        <f>IF($C1468="B",VLOOKUP($A1468,Bat!$A$4:$BA$1621,48,FALSE),VLOOKUP($A1468,Pit!$A$4:$BF$1557,57,FALSE))</f>
        <v>0</v>
      </c>
      <c r="W1468" s="50">
        <f>Table5[[#This Row],[posRnk]]+Table5[[#This Row],[zRnk]]+IF($W$3&lt;&gt;Table5[[#This Row],[Type]],50,0)</f>
        <v>2196</v>
      </c>
      <c r="X1468" s="51">
        <f>RANK(Table5[[#This Row],[zScore]],Table5[[#All],[zScore]])</f>
        <v>1462</v>
      </c>
      <c r="Y1468" s="50" t="str">
        <f>IFERROR(INDEX(DraftResults[[#All],[OVR]],MATCH(Table5[[#This Row],[PID]],DraftResults[[#All],[Player ID]],0)),"")</f>
        <v/>
      </c>
      <c r="Z146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8" s="50" t="str">
        <f>IFERROR(INDEX(DraftResults[[#All],[Pick in Round]],MATCH(Table5[[#This Row],[PID]],DraftResults[[#All],[Player ID]],0)),"")</f>
        <v/>
      </c>
      <c r="AB1468" s="50" t="str">
        <f>IFERROR(INDEX(DraftResults[[#All],[Team Name]],MATCH(Table5[[#This Row],[PID]],DraftResults[[#All],[Player ID]],0)),"")</f>
        <v/>
      </c>
      <c r="AC1468" s="50" t="str">
        <f>IF(Table5[[#This Row],[Ovr]]="","",IF(Table5[[#This Row],[cmbList]]="","",Table5[[#This Row],[cmbList]]-Table5[[#This Row],[Ovr]]))</f>
        <v/>
      </c>
      <c r="AD1468" s="54" t="str">
        <f>IF(ISERROR(VLOOKUP($AB1468&amp;"-"&amp;$E1468&amp;" "&amp;F1468,Bonuses!$B$1:$G$1006,4,FALSE)),"",INT(VLOOKUP($AB1468&amp;"-"&amp;$E1468&amp;" "&amp;$F1468,Bonuses!$B$1:$G$1006,4,FALSE)))</f>
        <v/>
      </c>
      <c r="AE146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69" spans="1:31" x14ac:dyDescent="0.25">
      <c r="A1469" s="50">
        <v>5453</v>
      </c>
      <c r="B1469" s="55">
        <f>COUNTIF(Table5[PID],A1469)</f>
        <v>1</v>
      </c>
      <c r="C1469" s="55" t="str">
        <f>IF(COUNTIF(Table3[[#All],[PID]],A1469)&gt;0,"P","B")</f>
        <v>B</v>
      </c>
      <c r="D1469" s="59" t="str">
        <f>IF($C1469="B",INDEX(Batters[[#All],[POS]],MATCH(Table5[[#This Row],[PID]],Batters[[#All],[PID]],0)),INDEX(Table3[[#All],[POS]],MATCH(Table5[[#This Row],[PID]],Table3[[#All],[PID]],0)))</f>
        <v>1B</v>
      </c>
      <c r="E1469" s="52" t="str">
        <f>IF($C1469="B",INDEX(Batters[[#All],[First]],MATCH(Table5[[#This Row],[PID]],Batters[[#All],[PID]],0)),INDEX(Table3[[#All],[First]],MATCH(Table5[[#This Row],[PID]],Table3[[#All],[PID]],0)))</f>
        <v>Lloyd</v>
      </c>
      <c r="F1469" s="50" t="str">
        <f>IF($C1469="B",INDEX(Batters[[#All],[Last]],MATCH(A1469,Batters[[#All],[PID]],0)),INDEX(Table3[[#All],[Last]],MATCH(A1469,Table3[[#All],[PID]],0)))</f>
        <v>Howe</v>
      </c>
      <c r="G1469" s="56">
        <f>IF($C1469="B",INDEX(Batters[[#All],[Age]],MATCH(Table5[[#This Row],[PID]],Batters[[#All],[PID]],0)),INDEX(Table3[[#All],[Age]],MATCH(Table5[[#This Row],[PID]],Table3[[#All],[PID]],0)))</f>
        <v>22</v>
      </c>
      <c r="H1469" s="52" t="str">
        <f>IF($C1469="B",INDEX(Batters[[#All],[B]],MATCH(Table5[[#This Row],[PID]],Batters[[#All],[PID]],0)),INDEX(Table3[[#All],[B]],MATCH(Table5[[#This Row],[PID]],Table3[[#All],[PID]],0)))</f>
        <v>L</v>
      </c>
      <c r="I1469" s="70" t="str">
        <f>IF($C1469="B",INDEX(Batters[[#All],[T]],MATCH(Table5[[#This Row],[PID]],Batters[[#All],[PID]],0)),INDEX(Table3[[#All],[T]],MATCH(Table5[[#This Row],[PID]],Table3[[#All],[PID]],0)))</f>
        <v>R</v>
      </c>
      <c r="J1469" s="52" t="str">
        <f>IF($C1469="B",INDEX(Batters[[#All],[WE]],MATCH(Table5[[#This Row],[PID]],Batters[[#All],[PID]],0)),INDEX(Table3[[#All],[WE]],MATCH(Table5[[#This Row],[PID]],Table3[[#All],[PID]],0)))</f>
        <v>Low</v>
      </c>
      <c r="K1469" s="52" t="str">
        <f>IF($C1469="B",INDEX(Batters[[#All],[INT]],MATCH(Table5[[#This Row],[PID]],Batters[[#All],[PID]],0)),INDEX(Table3[[#All],[INT]],MATCH(Table5[[#This Row],[PID]],Table3[[#All],[PID]],0)))</f>
        <v>Normal</v>
      </c>
      <c r="L1469" s="60">
        <f>IF($C1469="B",INDEX(Batters[[#All],[CON P]],MATCH(Table5[[#This Row],[PID]],Batters[[#All],[PID]],0)),INDEX(Table3[[#All],[STU P]],MATCH(Table5[[#This Row],[PID]],Table3[[#All],[PID]],0)))</f>
        <v>2</v>
      </c>
      <c r="M1469" s="56">
        <f>IF($C1469="B",INDEX(Batters[[#All],[GAP P]],MATCH(Table5[[#This Row],[PID]],Batters[[#All],[PID]],0)),INDEX(Table3[[#All],[MOV P]],MATCH(Table5[[#This Row],[PID]],Table3[[#All],[PID]],0)))</f>
        <v>3</v>
      </c>
      <c r="N1469" s="56">
        <f>IF($C1469="B",INDEX(Batters[[#All],[POW P]],MATCH(Table5[[#This Row],[PID]],Batters[[#All],[PID]],0)),INDEX(Table3[[#All],[CON P]],MATCH(Table5[[#This Row],[PID]],Table3[[#All],[PID]],0)))</f>
        <v>4</v>
      </c>
      <c r="O1469" s="56">
        <f>IF($C1469="B",INDEX(Batters[[#All],[EYE P]],MATCH(Table5[[#This Row],[PID]],Batters[[#All],[PID]],0)),INDEX(Table3[[#All],[VELO]],MATCH(Table5[[#This Row],[PID]],Table3[[#All],[PID]],0)))</f>
        <v>5</v>
      </c>
      <c r="P1469" s="56">
        <f>IF($C1469="B",INDEX(Batters[[#All],[K P]],MATCH(Table5[[#This Row],[PID]],Batters[[#All],[PID]],0)),INDEX(Table3[[#All],[STM]],MATCH(Table5[[#This Row],[PID]],Table3[[#All],[PID]],0)))</f>
        <v>3</v>
      </c>
      <c r="Q1469" s="61">
        <f>IF($C1469="B",INDEX(Batters[[#All],[Tot]],MATCH(Table5[[#This Row],[PID]],Batters[[#All],[PID]],0)),INDEX(Table3[[#All],[Tot]],MATCH(Table5[[#This Row],[PID]],Table3[[#All],[PID]],0)))</f>
        <v>32.904132733686538</v>
      </c>
      <c r="R1469" s="70">
        <f>IF($C1469="B",INDEX(Batters[[#All],[zScore]],MATCH(Table5[[#This Row],[PID]],Batters[[#All],[PID]],0)),INDEX(Table3[[#All],[zScore]],MATCH(Table5[[#This Row],[PID]],Table3[[#All],[PID]],0)))</f>
        <v>-2.4892807021597538</v>
      </c>
      <c r="S1469" s="79" t="str">
        <f>IF($C1469="B",INDEX(Batters[[#All],[DEM]],MATCH(Table5[[#This Row],[PID]],Batters[[#All],[PID]],0)),INDEX(Table3[[#All],[DEM]],MATCH(Table5[[#This Row],[PID]],Table3[[#All],[PID]],0)))</f>
        <v>-</v>
      </c>
      <c r="T1469" s="62">
        <f>IF($C1469="B",INDEX(Batters[[#All],[Rnk]],MATCH(Table5[[#This Row],[PID]],Batters[[#All],[PID]],0)),INDEX(Table3[[#All],[Rnk]],MATCH(Table5[[#This Row],[PID]],Table3[[#All],[PID]],0)))</f>
        <v>685</v>
      </c>
      <c r="U1469" s="68">
        <f>IF($C1469="B",VLOOKUP($A1469,Bat!$A$4:$BA$1621,47,FALSE),VLOOKUP($A1469,Pit!$A$4:$BF$1557,56,FALSE))</f>
        <v>0</v>
      </c>
      <c r="V1469" s="50">
        <f>IF($C1469="B",VLOOKUP($A1469,Bat!$A$4:$BA$1621,48,FALSE),VLOOKUP($A1469,Pit!$A$4:$BF$1557,57,FALSE))</f>
        <v>0</v>
      </c>
      <c r="W1469" s="50">
        <f>Table5[[#This Row],[posRnk]]+Table5[[#This Row],[zRnk]]+IF($W$3&lt;&gt;Table5[[#This Row],[Type]],50,0)</f>
        <v>2198</v>
      </c>
      <c r="X1469" s="51">
        <f>RANK(Table5[[#This Row],[zScore]],Table5[[#All],[zScore]])</f>
        <v>1463</v>
      </c>
      <c r="Y1469" s="50" t="str">
        <f>IFERROR(INDEX(DraftResults[[#All],[OVR]],MATCH(Table5[[#This Row],[PID]],DraftResults[[#All],[Player ID]],0)),"")</f>
        <v/>
      </c>
      <c r="Z146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69" s="50" t="str">
        <f>IFERROR(INDEX(DraftResults[[#All],[Pick in Round]],MATCH(Table5[[#This Row],[PID]],DraftResults[[#All],[Player ID]],0)),"")</f>
        <v/>
      </c>
      <c r="AB1469" s="50" t="str">
        <f>IFERROR(INDEX(DraftResults[[#All],[Team Name]],MATCH(Table5[[#This Row],[PID]],DraftResults[[#All],[Player ID]],0)),"")</f>
        <v/>
      </c>
      <c r="AC1469" s="50" t="str">
        <f>IF(Table5[[#This Row],[Ovr]]="","",IF(Table5[[#This Row],[cmbList]]="","",Table5[[#This Row],[cmbList]]-Table5[[#This Row],[Ovr]]))</f>
        <v/>
      </c>
      <c r="AD1469" s="54" t="str">
        <f>IF(ISERROR(VLOOKUP($AB1469&amp;"-"&amp;$E1469&amp;" "&amp;F1469,Bonuses!$B$1:$G$1006,4,FALSE)),"",INT(VLOOKUP($AB1469&amp;"-"&amp;$E1469&amp;" "&amp;$F1469,Bonuses!$B$1:$G$1006,4,FALSE)))</f>
        <v/>
      </c>
      <c r="AE146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0" spans="1:31" x14ac:dyDescent="0.25">
      <c r="A1470" s="50">
        <v>12967</v>
      </c>
      <c r="B1470" s="50">
        <f>COUNTIF(Table5[PID],A1470)</f>
        <v>1</v>
      </c>
      <c r="C1470" s="50" t="str">
        <f>IF(COUNTIF(Table3[[#All],[PID]],A1470)&gt;0,"P","B")</f>
        <v>B</v>
      </c>
      <c r="D1470" s="59" t="str">
        <f>IF($C1470="B",INDEX(Batters[[#All],[POS]],MATCH(Table5[[#This Row],[PID]],Batters[[#All],[PID]],0)),INDEX(Table3[[#All],[POS]],MATCH(Table5[[#This Row],[PID]],Table3[[#All],[PID]],0)))</f>
        <v>C</v>
      </c>
      <c r="E1470" s="52" t="str">
        <f>IF($C1470="B",INDEX(Batters[[#All],[First]],MATCH(Table5[[#This Row],[PID]],Batters[[#All],[PID]],0)),INDEX(Table3[[#All],[First]],MATCH(Table5[[#This Row],[PID]],Table3[[#All],[PID]],0)))</f>
        <v>Ryutaro</v>
      </c>
      <c r="F1470" s="50" t="str">
        <f>IF($C1470="B",INDEX(Batters[[#All],[Last]],MATCH(A1470,Batters[[#All],[PID]],0)),INDEX(Table3[[#All],[Last]],MATCH(A1470,Table3[[#All],[PID]],0)))</f>
        <v>Maeda</v>
      </c>
      <c r="G1470" s="56">
        <f>IF($C1470="B",INDEX(Batters[[#All],[Age]],MATCH(Table5[[#This Row],[PID]],Batters[[#All],[PID]],0)),INDEX(Table3[[#All],[Age]],MATCH(Table5[[#This Row],[PID]],Table3[[#All],[PID]],0)))</f>
        <v>22</v>
      </c>
      <c r="H1470" s="52" t="str">
        <f>IF($C1470="B",INDEX(Batters[[#All],[B]],MATCH(Table5[[#This Row],[PID]],Batters[[#All],[PID]],0)),INDEX(Table3[[#All],[B]],MATCH(Table5[[#This Row],[PID]],Table3[[#All],[PID]],0)))</f>
        <v>R</v>
      </c>
      <c r="I1470" s="70" t="str">
        <f>IF($C1470="B",INDEX(Batters[[#All],[T]],MATCH(Table5[[#This Row],[PID]],Batters[[#All],[PID]],0)),INDEX(Table3[[#All],[T]],MATCH(Table5[[#This Row],[PID]],Table3[[#All],[PID]],0)))</f>
        <v>R</v>
      </c>
      <c r="J1470" s="52" t="str">
        <f>IF($C1470="B",INDEX(Batters[[#All],[WE]],MATCH(Table5[[#This Row],[PID]],Batters[[#All],[PID]],0)),INDEX(Table3[[#All],[WE]],MATCH(Table5[[#This Row],[PID]],Table3[[#All],[PID]],0)))</f>
        <v>Low</v>
      </c>
      <c r="K1470" s="52" t="str">
        <f>IF($C1470="B",INDEX(Batters[[#All],[INT]],MATCH(Table5[[#This Row],[PID]],Batters[[#All],[PID]],0)),INDEX(Table3[[#All],[INT]],MATCH(Table5[[#This Row],[PID]],Table3[[#All],[PID]],0)))</f>
        <v>Normal</v>
      </c>
      <c r="L1470" s="60">
        <f>IF($C1470="B",INDEX(Batters[[#All],[CON P]],MATCH(Table5[[#This Row],[PID]],Batters[[#All],[PID]],0)),INDEX(Table3[[#All],[STU P]],MATCH(Table5[[#This Row],[PID]],Table3[[#All],[PID]],0)))</f>
        <v>2</v>
      </c>
      <c r="M1470" s="56">
        <f>IF($C1470="B",INDEX(Batters[[#All],[GAP P]],MATCH(Table5[[#This Row],[PID]],Batters[[#All],[PID]],0)),INDEX(Table3[[#All],[MOV P]],MATCH(Table5[[#This Row],[PID]],Table3[[#All],[PID]],0)))</f>
        <v>4</v>
      </c>
      <c r="N1470" s="56">
        <f>IF($C1470="B",INDEX(Batters[[#All],[POW P]],MATCH(Table5[[#This Row],[PID]],Batters[[#All],[PID]],0)),INDEX(Table3[[#All],[CON P]],MATCH(Table5[[#This Row],[PID]],Table3[[#All],[PID]],0)))</f>
        <v>4</v>
      </c>
      <c r="O1470" s="56">
        <f>IF($C1470="B",INDEX(Batters[[#All],[EYE P]],MATCH(Table5[[#This Row],[PID]],Batters[[#All],[PID]],0)),INDEX(Table3[[#All],[VELO]],MATCH(Table5[[#This Row],[PID]],Table3[[#All],[PID]],0)))</f>
        <v>5</v>
      </c>
      <c r="P1470" s="56">
        <f>IF($C1470="B",INDEX(Batters[[#All],[K P]],MATCH(Table5[[#This Row],[PID]],Batters[[#All],[PID]],0)),INDEX(Table3[[#All],[STM]],MATCH(Table5[[#This Row],[PID]],Table3[[#All],[PID]],0)))</f>
        <v>2</v>
      </c>
      <c r="Q1470" s="61">
        <f>IF($C1470="B",INDEX(Batters[[#All],[Tot]],MATCH(Table5[[#This Row],[PID]],Batters[[#All],[PID]],0)),INDEX(Table3[[#All],[Tot]],MATCH(Table5[[#This Row],[PID]],Table3[[#All],[PID]],0)))</f>
        <v>32.855640648608492</v>
      </c>
      <c r="R1470" s="70">
        <f>IF($C1470="B",INDEX(Batters[[#All],[zScore]],MATCH(Table5[[#This Row],[PID]],Batters[[#All],[PID]],0)),INDEX(Table3[[#All],[zScore]],MATCH(Table5[[#This Row],[PID]],Table3[[#All],[PID]],0)))</f>
        <v>-2.5000317251976316</v>
      </c>
      <c r="S1470" s="79" t="str">
        <f>IF($C1470="B",INDEX(Batters[[#All],[DEM]],MATCH(Table5[[#This Row],[PID]],Batters[[#All],[PID]],0)),INDEX(Table3[[#All],[DEM]],MATCH(Table5[[#This Row],[PID]],Table3[[#All],[PID]],0)))</f>
        <v>-</v>
      </c>
      <c r="T1470" s="62">
        <f>IF($C1470="B",INDEX(Batters[[#All],[Rnk]],MATCH(Table5[[#This Row],[PID]],Batters[[#All],[PID]],0)),INDEX(Table3[[#All],[Rnk]],MATCH(Table5[[#This Row],[PID]],Table3[[#All],[PID]],0)))</f>
        <v>686</v>
      </c>
      <c r="U1470" s="68">
        <f>IF($C1470="B",VLOOKUP($A1470,Bat!$A$4:$BA$1621,47,FALSE),VLOOKUP($A1470,Pit!$A$4:$BF$1557,56,FALSE))</f>
        <v>0</v>
      </c>
      <c r="V1470" s="50">
        <f>IF($C1470="B",VLOOKUP($A1470,Bat!$A$4:$BA$1621,48,FALSE),VLOOKUP($A1470,Pit!$A$4:$BF$1557,57,FALSE))</f>
        <v>0</v>
      </c>
      <c r="W1470" s="50">
        <f>Table5[[#This Row],[posRnk]]+Table5[[#This Row],[zRnk]]+IF($W$3&lt;&gt;Table5[[#This Row],[Type]],50,0)</f>
        <v>2200</v>
      </c>
      <c r="X1470" s="51">
        <f>RANK(Table5[[#This Row],[zScore]],Table5[[#All],[zScore]])</f>
        <v>1464</v>
      </c>
      <c r="Y1470" s="50" t="str">
        <f>IFERROR(INDEX(DraftResults[[#All],[OVR]],MATCH(Table5[[#This Row],[PID]],DraftResults[[#All],[Player ID]],0)),"")</f>
        <v/>
      </c>
      <c r="Z147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0" s="50" t="str">
        <f>IFERROR(INDEX(DraftResults[[#All],[Pick in Round]],MATCH(Table5[[#This Row],[PID]],DraftResults[[#All],[Player ID]],0)),"")</f>
        <v/>
      </c>
      <c r="AB1470" s="50" t="str">
        <f>IFERROR(INDEX(DraftResults[[#All],[Team Name]],MATCH(Table5[[#This Row],[PID]],DraftResults[[#All],[Player ID]],0)),"")</f>
        <v/>
      </c>
      <c r="AC1470" s="50" t="str">
        <f>IF(Table5[[#This Row],[Ovr]]="","",IF(Table5[[#This Row],[cmbList]]="","",Table5[[#This Row],[cmbList]]-Table5[[#This Row],[Ovr]]))</f>
        <v/>
      </c>
      <c r="AD1470" s="54" t="str">
        <f>IF(ISERROR(VLOOKUP($AB1470&amp;"-"&amp;$E1470&amp;" "&amp;F1470,Bonuses!$B$1:$G$1006,4,FALSE)),"",INT(VLOOKUP($AB1470&amp;"-"&amp;$E1470&amp;" "&amp;$F1470,Bonuses!$B$1:$G$1006,4,FALSE)))</f>
        <v/>
      </c>
      <c r="AE147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1" spans="1:31" x14ac:dyDescent="0.25">
      <c r="A1471" s="50">
        <v>12101</v>
      </c>
      <c r="B1471" s="50">
        <f>COUNTIF(Table5[PID],A1471)</f>
        <v>1</v>
      </c>
      <c r="C1471" s="50" t="str">
        <f>IF(COUNTIF(Table3[[#All],[PID]],A1471)&gt;0,"P","B")</f>
        <v>B</v>
      </c>
      <c r="D1471" s="59" t="str">
        <f>IF($C1471="B",INDEX(Batters[[#All],[POS]],MATCH(Table5[[#This Row],[PID]],Batters[[#All],[PID]],0)),INDEX(Table3[[#All],[POS]],MATCH(Table5[[#This Row],[PID]],Table3[[#All],[PID]],0)))</f>
        <v>1B</v>
      </c>
      <c r="E1471" s="52" t="str">
        <f>IF($C1471="B",INDEX(Batters[[#All],[First]],MATCH(Table5[[#This Row],[PID]],Batters[[#All],[PID]],0)),INDEX(Table3[[#All],[First]],MATCH(Table5[[#This Row],[PID]],Table3[[#All],[PID]],0)))</f>
        <v>Brian</v>
      </c>
      <c r="F1471" s="50" t="str">
        <f>IF($C1471="B",INDEX(Batters[[#All],[Last]],MATCH(A1471,Batters[[#All],[PID]],0)),INDEX(Table3[[#All],[Last]],MATCH(A1471,Table3[[#All],[PID]],0)))</f>
        <v>James</v>
      </c>
      <c r="G1471" s="56">
        <f>IF($C1471="B",INDEX(Batters[[#All],[Age]],MATCH(Table5[[#This Row],[PID]],Batters[[#All],[PID]],0)),INDEX(Table3[[#All],[Age]],MATCH(Table5[[#This Row],[PID]],Table3[[#All],[PID]],0)))</f>
        <v>22</v>
      </c>
      <c r="H1471" s="52" t="str">
        <f>IF($C1471="B",INDEX(Batters[[#All],[B]],MATCH(Table5[[#This Row],[PID]],Batters[[#All],[PID]],0)),INDEX(Table3[[#All],[B]],MATCH(Table5[[#This Row],[PID]],Table3[[#All],[PID]],0)))</f>
        <v>S</v>
      </c>
      <c r="I1471" s="70" t="str">
        <f>IF($C1471="B",INDEX(Batters[[#All],[T]],MATCH(Table5[[#This Row],[PID]],Batters[[#All],[PID]],0)),INDEX(Table3[[#All],[T]],MATCH(Table5[[#This Row],[PID]],Table3[[#All],[PID]],0)))</f>
        <v>R</v>
      </c>
      <c r="J1471" s="52" t="str">
        <f>IF($C1471="B",INDEX(Batters[[#All],[WE]],MATCH(Table5[[#This Row],[PID]],Batters[[#All],[PID]],0)),INDEX(Table3[[#All],[WE]],MATCH(Table5[[#This Row],[PID]],Table3[[#All],[PID]],0)))</f>
        <v>Normal</v>
      </c>
      <c r="K1471" s="52" t="str">
        <f>IF($C1471="B",INDEX(Batters[[#All],[INT]],MATCH(Table5[[#This Row],[PID]],Batters[[#All],[PID]],0)),INDEX(Table3[[#All],[INT]],MATCH(Table5[[#This Row],[PID]],Table3[[#All],[PID]],0)))</f>
        <v>Normal</v>
      </c>
      <c r="L1471" s="60">
        <f>IF($C1471="B",INDEX(Batters[[#All],[CON P]],MATCH(Table5[[#This Row],[PID]],Batters[[#All],[PID]],0)),INDEX(Table3[[#All],[STU P]],MATCH(Table5[[#This Row],[PID]],Table3[[#All],[PID]],0)))</f>
        <v>2</v>
      </c>
      <c r="M1471" s="56">
        <f>IF($C1471="B",INDEX(Batters[[#All],[GAP P]],MATCH(Table5[[#This Row],[PID]],Batters[[#All],[PID]],0)),INDEX(Table3[[#All],[MOV P]],MATCH(Table5[[#This Row],[PID]],Table3[[#All],[PID]],0)))</f>
        <v>4</v>
      </c>
      <c r="N1471" s="56">
        <f>IF($C1471="B",INDEX(Batters[[#All],[POW P]],MATCH(Table5[[#This Row],[PID]],Batters[[#All],[PID]],0)),INDEX(Table3[[#All],[CON P]],MATCH(Table5[[#This Row],[PID]],Table3[[#All],[PID]],0)))</f>
        <v>4</v>
      </c>
      <c r="O1471" s="56">
        <f>IF($C1471="B",INDEX(Batters[[#All],[EYE P]],MATCH(Table5[[#This Row],[PID]],Batters[[#All],[PID]],0)),INDEX(Table3[[#All],[VELO]],MATCH(Table5[[#This Row],[PID]],Table3[[#All],[PID]],0)))</f>
        <v>5</v>
      </c>
      <c r="P1471" s="56">
        <f>IF($C1471="B",INDEX(Batters[[#All],[K P]],MATCH(Table5[[#This Row],[PID]],Batters[[#All],[PID]],0)),INDEX(Table3[[#All],[STM]],MATCH(Table5[[#This Row],[PID]],Table3[[#All],[PID]],0)))</f>
        <v>1</v>
      </c>
      <c r="Q1471" s="61">
        <f>IF($C1471="B",INDEX(Batters[[#All],[Tot]],MATCH(Table5[[#This Row],[PID]],Batters[[#All],[PID]],0)),INDEX(Table3[[#All],[Tot]],MATCH(Table5[[#This Row],[PID]],Table3[[#All],[PID]],0)))</f>
        <v>32.829309537842583</v>
      </c>
      <c r="R1471" s="70">
        <f>IF($C1471="B",INDEX(Batters[[#All],[zScore]],MATCH(Table5[[#This Row],[PID]],Batters[[#All],[PID]],0)),INDEX(Table3[[#All],[zScore]],MATCH(Table5[[#This Row],[PID]],Table3[[#All],[PID]],0)))</f>
        <v>-2.5058695104362245</v>
      </c>
      <c r="S1471" s="79" t="str">
        <f>IF($C1471="B",INDEX(Batters[[#All],[DEM]],MATCH(Table5[[#This Row],[PID]],Batters[[#All],[PID]],0)),INDEX(Table3[[#All],[DEM]],MATCH(Table5[[#This Row],[PID]],Table3[[#All],[PID]],0)))</f>
        <v>-</v>
      </c>
      <c r="T1471" s="62">
        <f>IF($C1471="B",INDEX(Batters[[#All],[Rnk]],MATCH(Table5[[#This Row],[PID]],Batters[[#All],[PID]],0)),INDEX(Table3[[#All],[Rnk]],MATCH(Table5[[#This Row],[PID]],Table3[[#All],[PID]],0)))</f>
        <v>687</v>
      </c>
      <c r="U1471" s="68">
        <f>IF($C1471="B",VLOOKUP($A1471,Bat!$A$4:$BA$1621,47,FALSE),VLOOKUP($A1471,Pit!$A$4:$BF$1557,56,FALSE))</f>
        <v>0</v>
      </c>
      <c r="V1471" s="50">
        <f>IF($C1471="B",VLOOKUP($A1471,Bat!$A$4:$BA$1621,48,FALSE),VLOOKUP($A1471,Pit!$A$4:$BF$1557,57,FALSE))</f>
        <v>0</v>
      </c>
      <c r="W1471" s="50">
        <f>Table5[[#This Row],[posRnk]]+Table5[[#This Row],[zRnk]]+IF($W$3&lt;&gt;Table5[[#This Row],[Type]],50,0)</f>
        <v>2202</v>
      </c>
      <c r="X1471" s="51">
        <f>RANK(Table5[[#This Row],[zScore]],Table5[[#All],[zScore]])</f>
        <v>1465</v>
      </c>
      <c r="Y1471" s="50" t="str">
        <f>IFERROR(INDEX(DraftResults[[#All],[OVR]],MATCH(Table5[[#This Row],[PID]],DraftResults[[#All],[Player ID]],0)),"")</f>
        <v/>
      </c>
      <c r="Z147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1" s="50" t="str">
        <f>IFERROR(INDEX(DraftResults[[#All],[Pick in Round]],MATCH(Table5[[#This Row],[PID]],DraftResults[[#All],[Player ID]],0)),"")</f>
        <v/>
      </c>
      <c r="AB1471" s="50" t="str">
        <f>IFERROR(INDEX(DraftResults[[#All],[Team Name]],MATCH(Table5[[#This Row],[PID]],DraftResults[[#All],[Player ID]],0)),"")</f>
        <v/>
      </c>
      <c r="AC1471" s="50" t="str">
        <f>IF(Table5[[#This Row],[Ovr]]="","",IF(Table5[[#This Row],[cmbList]]="","",Table5[[#This Row],[cmbList]]-Table5[[#This Row],[Ovr]]))</f>
        <v/>
      </c>
      <c r="AD1471" s="54" t="str">
        <f>IF(ISERROR(VLOOKUP($AB1471&amp;"-"&amp;$E1471&amp;" "&amp;F1471,Bonuses!$B$1:$G$1006,4,FALSE)),"",INT(VLOOKUP($AB1471&amp;"-"&amp;$E1471&amp;" "&amp;$F1471,Bonuses!$B$1:$G$1006,4,FALSE)))</f>
        <v/>
      </c>
      <c r="AE147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2" spans="1:31" x14ac:dyDescent="0.25">
      <c r="A1472" s="50">
        <v>11922</v>
      </c>
      <c r="B1472" s="50">
        <f>COUNTIF(Table5[PID],A1472)</f>
        <v>1</v>
      </c>
      <c r="C1472" s="50" t="str">
        <f>IF(COUNTIF(Table3[[#All],[PID]],A1472)&gt;0,"P","B")</f>
        <v>B</v>
      </c>
      <c r="D1472" s="59" t="str">
        <f>IF($C1472="B",INDEX(Batters[[#All],[POS]],MATCH(Table5[[#This Row],[PID]],Batters[[#All],[PID]],0)),INDEX(Table3[[#All],[POS]],MATCH(Table5[[#This Row],[PID]],Table3[[#All],[PID]],0)))</f>
        <v>RF</v>
      </c>
      <c r="E1472" s="52" t="str">
        <f>IF($C1472="B",INDEX(Batters[[#All],[First]],MATCH(Table5[[#This Row],[PID]],Batters[[#All],[PID]],0)),INDEX(Table3[[#All],[First]],MATCH(Table5[[#This Row],[PID]],Table3[[#All],[PID]],0)))</f>
        <v>Luis</v>
      </c>
      <c r="F1472" s="50" t="str">
        <f>IF($C1472="B",INDEX(Batters[[#All],[Last]],MATCH(A1472,Batters[[#All],[PID]],0)),INDEX(Table3[[#All],[Last]],MATCH(A1472,Table3[[#All],[PID]],0)))</f>
        <v>Mota</v>
      </c>
      <c r="G1472" s="56">
        <f>IF($C1472="B",INDEX(Batters[[#All],[Age]],MATCH(Table5[[#This Row],[PID]],Batters[[#All],[PID]],0)),INDEX(Table3[[#All],[Age]],MATCH(Table5[[#This Row],[PID]],Table3[[#All],[PID]],0)))</f>
        <v>21</v>
      </c>
      <c r="H1472" s="52" t="str">
        <f>IF($C1472="B",INDEX(Batters[[#All],[B]],MATCH(Table5[[#This Row],[PID]],Batters[[#All],[PID]],0)),INDEX(Table3[[#All],[B]],MATCH(Table5[[#This Row],[PID]],Table3[[#All],[PID]],0)))</f>
        <v>R</v>
      </c>
      <c r="I1472" s="70" t="str">
        <f>IF($C1472="B",INDEX(Batters[[#All],[T]],MATCH(Table5[[#This Row],[PID]],Batters[[#All],[PID]],0)),INDEX(Table3[[#All],[T]],MATCH(Table5[[#This Row],[PID]],Table3[[#All],[PID]],0)))</f>
        <v>R</v>
      </c>
      <c r="J1472" s="52" t="str">
        <f>IF($C1472="B",INDEX(Batters[[#All],[WE]],MATCH(Table5[[#This Row],[PID]],Batters[[#All],[PID]],0)),INDEX(Table3[[#All],[WE]],MATCH(Table5[[#This Row],[PID]],Table3[[#All],[PID]],0)))</f>
        <v>Normal</v>
      </c>
      <c r="K1472" s="52" t="str">
        <f>IF($C1472="B",INDEX(Batters[[#All],[INT]],MATCH(Table5[[#This Row],[PID]],Batters[[#All],[PID]],0)),INDEX(Table3[[#All],[INT]],MATCH(Table5[[#This Row],[PID]],Table3[[#All],[PID]],0)))</f>
        <v>Normal</v>
      </c>
      <c r="L1472" s="60">
        <f>IF($C1472="B",INDEX(Batters[[#All],[CON P]],MATCH(Table5[[#This Row],[PID]],Batters[[#All],[PID]],0)),INDEX(Table3[[#All],[STU P]],MATCH(Table5[[#This Row],[PID]],Table3[[#All],[PID]],0)))</f>
        <v>2</v>
      </c>
      <c r="M1472" s="56">
        <f>IF($C1472="B",INDEX(Batters[[#All],[GAP P]],MATCH(Table5[[#This Row],[PID]],Batters[[#All],[PID]],0)),INDEX(Table3[[#All],[MOV P]],MATCH(Table5[[#This Row],[PID]],Table3[[#All],[PID]],0)))</f>
        <v>3</v>
      </c>
      <c r="N1472" s="56">
        <f>IF($C1472="B",INDEX(Batters[[#All],[POW P]],MATCH(Table5[[#This Row],[PID]],Batters[[#All],[PID]],0)),INDEX(Table3[[#All],[CON P]],MATCH(Table5[[#This Row],[PID]],Table3[[#All],[PID]],0)))</f>
        <v>3</v>
      </c>
      <c r="O1472" s="56">
        <f>IF($C1472="B",INDEX(Batters[[#All],[EYE P]],MATCH(Table5[[#This Row],[PID]],Batters[[#All],[PID]],0)),INDEX(Table3[[#All],[VELO]],MATCH(Table5[[#This Row],[PID]],Table3[[#All],[PID]],0)))</f>
        <v>6</v>
      </c>
      <c r="P1472" s="56">
        <f>IF($C1472="B",INDEX(Batters[[#All],[K P]],MATCH(Table5[[#This Row],[PID]],Batters[[#All],[PID]],0)),INDEX(Table3[[#All],[STM]],MATCH(Table5[[#This Row],[PID]],Table3[[#All],[PID]],0)))</f>
        <v>2</v>
      </c>
      <c r="Q1472" s="61">
        <f>IF($C1472="B",INDEX(Batters[[#All],[Tot]],MATCH(Table5[[#This Row],[PID]],Batters[[#All],[PID]],0)),INDEX(Table3[[#All],[Tot]],MATCH(Table5[[#This Row],[PID]],Table3[[#All],[PID]],0)))</f>
        <v>32.754180639686076</v>
      </c>
      <c r="R1472" s="70">
        <f>IF($C1472="B",INDEX(Batters[[#All],[zScore]],MATCH(Table5[[#This Row],[PID]],Batters[[#All],[PID]],0)),INDEX(Table3[[#All],[zScore]],MATCH(Table5[[#This Row],[PID]],Table3[[#All],[PID]],0)))</f>
        <v>-2.5225260949817438</v>
      </c>
      <c r="S1472" s="79" t="str">
        <f>IF($C1472="B",INDEX(Batters[[#All],[DEM]],MATCH(Table5[[#This Row],[PID]],Batters[[#All],[PID]],0)),INDEX(Table3[[#All],[DEM]],MATCH(Table5[[#This Row],[PID]],Table3[[#All],[PID]],0)))</f>
        <v>-</v>
      </c>
      <c r="T1472" s="62">
        <f>IF($C1472="B",INDEX(Batters[[#All],[Rnk]],MATCH(Table5[[#This Row],[PID]],Batters[[#All],[PID]],0)),INDEX(Table3[[#All],[Rnk]],MATCH(Table5[[#This Row],[PID]],Table3[[#All],[PID]],0)))</f>
        <v>688</v>
      </c>
      <c r="U1472" s="68">
        <f>IF($C1472="B",VLOOKUP($A1472,Bat!$A$4:$BA$1621,47,FALSE),VLOOKUP($A1472,Pit!$A$4:$BF$1557,56,FALSE))</f>
        <v>0</v>
      </c>
      <c r="V1472" s="50">
        <f>IF($C1472="B",VLOOKUP($A1472,Bat!$A$4:$BA$1621,48,FALSE),VLOOKUP($A1472,Pit!$A$4:$BF$1557,57,FALSE))</f>
        <v>0</v>
      </c>
      <c r="W1472" s="50">
        <f>Table5[[#This Row],[posRnk]]+Table5[[#This Row],[zRnk]]+IF($W$3&lt;&gt;Table5[[#This Row],[Type]],50,0)</f>
        <v>2204</v>
      </c>
      <c r="X1472" s="51">
        <f>RANK(Table5[[#This Row],[zScore]],Table5[[#All],[zScore]])</f>
        <v>1466</v>
      </c>
      <c r="Y1472" s="50" t="str">
        <f>IFERROR(INDEX(DraftResults[[#All],[OVR]],MATCH(Table5[[#This Row],[PID]],DraftResults[[#All],[Player ID]],0)),"")</f>
        <v/>
      </c>
      <c r="Z147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2" s="50" t="str">
        <f>IFERROR(INDEX(DraftResults[[#All],[Pick in Round]],MATCH(Table5[[#This Row],[PID]],DraftResults[[#All],[Player ID]],0)),"")</f>
        <v/>
      </c>
      <c r="AB1472" s="50" t="str">
        <f>IFERROR(INDEX(DraftResults[[#All],[Team Name]],MATCH(Table5[[#This Row],[PID]],DraftResults[[#All],[Player ID]],0)),"")</f>
        <v/>
      </c>
      <c r="AC1472" s="50" t="str">
        <f>IF(Table5[[#This Row],[Ovr]]="","",IF(Table5[[#This Row],[cmbList]]="","",Table5[[#This Row],[cmbList]]-Table5[[#This Row],[Ovr]]))</f>
        <v/>
      </c>
      <c r="AD1472" s="54" t="str">
        <f>IF(ISERROR(VLOOKUP($AB1472&amp;"-"&amp;$E1472&amp;" "&amp;F1472,Bonuses!$B$1:$G$1006,4,FALSE)),"",INT(VLOOKUP($AB1472&amp;"-"&amp;$E1472&amp;" "&amp;$F1472,Bonuses!$B$1:$G$1006,4,FALSE)))</f>
        <v/>
      </c>
      <c r="AE147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3" spans="1:31" x14ac:dyDescent="0.25">
      <c r="A1473" s="50">
        <v>10011</v>
      </c>
      <c r="B1473" s="50">
        <f>COUNTIF(Table5[PID],A1473)</f>
        <v>1</v>
      </c>
      <c r="C1473" s="50" t="str">
        <f>IF(COUNTIF(Table3[[#All],[PID]],A1473)&gt;0,"P","B")</f>
        <v>B</v>
      </c>
      <c r="D1473" s="59" t="str">
        <f>IF($C1473="B",INDEX(Batters[[#All],[POS]],MATCH(Table5[[#This Row],[PID]],Batters[[#All],[PID]],0)),INDEX(Table3[[#All],[POS]],MATCH(Table5[[#This Row],[PID]],Table3[[#All],[PID]],0)))</f>
        <v>1B</v>
      </c>
      <c r="E1473" s="52" t="str">
        <f>IF($C1473="B",INDEX(Batters[[#All],[First]],MATCH(Table5[[#This Row],[PID]],Batters[[#All],[PID]],0)),INDEX(Table3[[#All],[First]],MATCH(Table5[[#This Row],[PID]],Table3[[#All],[PID]],0)))</f>
        <v>Nate</v>
      </c>
      <c r="F1473" s="50" t="str">
        <f>IF($C1473="B",INDEX(Batters[[#All],[Last]],MATCH(A1473,Batters[[#All],[PID]],0)),INDEX(Table3[[#All],[Last]],MATCH(A1473,Table3[[#All],[PID]],0)))</f>
        <v>Maturin</v>
      </c>
      <c r="G1473" s="56">
        <f>IF($C1473="B",INDEX(Batters[[#All],[Age]],MATCH(Table5[[#This Row],[PID]],Batters[[#All],[PID]],0)),INDEX(Table3[[#All],[Age]],MATCH(Table5[[#This Row],[PID]],Table3[[#All],[PID]],0)))</f>
        <v>22</v>
      </c>
      <c r="H1473" s="52" t="str">
        <f>IF($C1473="B",INDEX(Batters[[#All],[B]],MATCH(Table5[[#This Row],[PID]],Batters[[#All],[PID]],0)),INDEX(Table3[[#All],[B]],MATCH(Table5[[#This Row],[PID]],Table3[[#All],[PID]],0)))</f>
        <v>R</v>
      </c>
      <c r="I1473" s="70" t="str">
        <f>IF($C1473="B",INDEX(Batters[[#All],[T]],MATCH(Table5[[#This Row],[PID]],Batters[[#All],[PID]],0)),INDEX(Table3[[#All],[T]],MATCH(Table5[[#This Row],[PID]],Table3[[#All],[PID]],0)))</f>
        <v>R</v>
      </c>
      <c r="J1473" s="52" t="str">
        <f>IF($C1473="B",INDEX(Batters[[#All],[WE]],MATCH(Table5[[#This Row],[PID]],Batters[[#All],[PID]],0)),INDEX(Table3[[#All],[WE]],MATCH(Table5[[#This Row],[PID]],Table3[[#All],[PID]],0)))</f>
        <v>Normal</v>
      </c>
      <c r="K1473" s="52" t="str">
        <f>IF($C1473="B",INDEX(Batters[[#All],[INT]],MATCH(Table5[[#This Row],[PID]],Batters[[#All],[PID]],0)),INDEX(Table3[[#All],[INT]],MATCH(Table5[[#This Row],[PID]],Table3[[#All],[PID]],0)))</f>
        <v>Normal</v>
      </c>
      <c r="L1473" s="60">
        <f>IF($C1473="B",INDEX(Batters[[#All],[CON P]],MATCH(Table5[[#This Row],[PID]],Batters[[#All],[PID]],0)),INDEX(Table3[[#All],[STU P]],MATCH(Table5[[#This Row],[PID]],Table3[[#All],[PID]],0)))</f>
        <v>2</v>
      </c>
      <c r="M1473" s="56">
        <f>IF($C1473="B",INDEX(Batters[[#All],[GAP P]],MATCH(Table5[[#This Row],[PID]],Batters[[#All],[PID]],0)),INDEX(Table3[[#All],[MOV P]],MATCH(Table5[[#This Row],[PID]],Table3[[#All],[PID]],0)))</f>
        <v>3</v>
      </c>
      <c r="N1473" s="56">
        <f>IF($C1473="B",INDEX(Batters[[#All],[POW P]],MATCH(Table5[[#This Row],[PID]],Batters[[#All],[PID]],0)),INDEX(Table3[[#All],[CON P]],MATCH(Table5[[#This Row],[PID]],Table3[[#All],[PID]],0)))</f>
        <v>4</v>
      </c>
      <c r="O1473" s="56">
        <f>IF($C1473="B",INDEX(Batters[[#All],[EYE P]],MATCH(Table5[[#This Row],[PID]],Batters[[#All],[PID]],0)),INDEX(Table3[[#All],[VELO]],MATCH(Table5[[#This Row],[PID]],Table3[[#All],[PID]],0)))</f>
        <v>5</v>
      </c>
      <c r="P1473" s="56">
        <f>IF($C1473="B",INDEX(Batters[[#All],[K P]],MATCH(Table5[[#This Row],[PID]],Batters[[#All],[PID]],0)),INDEX(Table3[[#All],[STM]],MATCH(Table5[[#This Row],[PID]],Table3[[#All],[PID]],0)))</f>
        <v>2</v>
      </c>
      <c r="Q1473" s="61">
        <f>IF($C1473="B",INDEX(Batters[[#All],[Tot]],MATCH(Table5[[#This Row],[PID]],Batters[[#All],[PID]],0)),INDEX(Table3[[#All],[Tot]],MATCH(Table5[[#This Row],[PID]],Table3[[#All],[PID]],0)))</f>
        <v>32.691681072261268</v>
      </c>
      <c r="R1473" s="70">
        <f>IF($C1473="B",INDEX(Batters[[#All],[zScore]],MATCH(Table5[[#This Row],[PID]],Batters[[#All],[PID]],0)),INDEX(Table3[[#All],[zScore]],MATCH(Table5[[#This Row],[PID]],Table3[[#All],[PID]],0)))</f>
        <v>-2.5363826715376927</v>
      </c>
      <c r="S1473" s="79" t="str">
        <f>IF($C1473="B",INDEX(Batters[[#All],[DEM]],MATCH(Table5[[#This Row],[PID]],Batters[[#All],[PID]],0)),INDEX(Table3[[#All],[DEM]],MATCH(Table5[[#This Row],[PID]],Table3[[#All],[PID]],0)))</f>
        <v>-</v>
      </c>
      <c r="T1473" s="62">
        <f>IF($C1473="B",INDEX(Batters[[#All],[Rnk]],MATCH(Table5[[#This Row],[PID]],Batters[[#All],[PID]],0)),INDEX(Table3[[#All],[Rnk]],MATCH(Table5[[#This Row],[PID]],Table3[[#All],[PID]],0)))</f>
        <v>689</v>
      </c>
      <c r="U1473" s="68">
        <f>IF($C1473="B",VLOOKUP($A1473,Bat!$A$4:$BA$1621,47,FALSE),VLOOKUP($A1473,Pit!$A$4:$BF$1557,56,FALSE))</f>
        <v>0</v>
      </c>
      <c r="V1473" s="50">
        <f>IF($C1473="B",VLOOKUP($A1473,Bat!$A$4:$BA$1621,48,FALSE),VLOOKUP($A1473,Pit!$A$4:$BF$1557,57,FALSE))</f>
        <v>0</v>
      </c>
      <c r="W1473" s="50">
        <f>Table5[[#This Row],[posRnk]]+Table5[[#This Row],[zRnk]]+IF($W$3&lt;&gt;Table5[[#This Row],[Type]],50,0)</f>
        <v>2206</v>
      </c>
      <c r="X1473" s="51">
        <f>RANK(Table5[[#This Row],[zScore]],Table5[[#All],[zScore]])</f>
        <v>1467</v>
      </c>
      <c r="Y1473" s="50" t="str">
        <f>IFERROR(INDEX(DraftResults[[#All],[OVR]],MATCH(Table5[[#This Row],[PID]],DraftResults[[#All],[Player ID]],0)),"")</f>
        <v/>
      </c>
      <c r="Z147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3" s="50" t="str">
        <f>IFERROR(INDEX(DraftResults[[#All],[Pick in Round]],MATCH(Table5[[#This Row],[PID]],DraftResults[[#All],[Player ID]],0)),"")</f>
        <v/>
      </c>
      <c r="AB1473" s="50" t="str">
        <f>IFERROR(INDEX(DraftResults[[#All],[Team Name]],MATCH(Table5[[#This Row],[PID]],DraftResults[[#All],[Player ID]],0)),"")</f>
        <v/>
      </c>
      <c r="AC1473" s="50" t="str">
        <f>IF(Table5[[#This Row],[Ovr]]="","",IF(Table5[[#This Row],[cmbList]]="","",Table5[[#This Row],[cmbList]]-Table5[[#This Row],[Ovr]]))</f>
        <v/>
      </c>
      <c r="AD1473" s="54" t="str">
        <f>IF(ISERROR(VLOOKUP($AB1473&amp;"-"&amp;$E1473&amp;" "&amp;F1473,Bonuses!$B$1:$G$1006,4,FALSE)),"",INT(VLOOKUP($AB1473&amp;"-"&amp;$E1473&amp;" "&amp;$F1473,Bonuses!$B$1:$G$1006,4,FALSE)))</f>
        <v/>
      </c>
      <c r="AE147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4" spans="1:31" x14ac:dyDescent="0.25">
      <c r="A1474" s="50">
        <v>16909</v>
      </c>
      <c r="B1474" s="50">
        <f>COUNTIF(Table5[PID],A1474)</f>
        <v>1</v>
      </c>
      <c r="C1474" s="50" t="str">
        <f>IF(COUNTIF(Table3[[#All],[PID]],A1474)&gt;0,"P","B")</f>
        <v>B</v>
      </c>
      <c r="D1474" s="59" t="str">
        <f>IF($C1474="B",INDEX(Batters[[#All],[POS]],MATCH(Table5[[#This Row],[PID]],Batters[[#All],[PID]],0)),INDEX(Table3[[#All],[POS]],MATCH(Table5[[#This Row],[PID]],Table3[[#All],[PID]],0)))</f>
        <v>1B</v>
      </c>
      <c r="E1474" s="52" t="str">
        <f>IF($C1474="B",INDEX(Batters[[#All],[First]],MATCH(Table5[[#This Row],[PID]],Batters[[#All],[PID]],0)),INDEX(Table3[[#All],[First]],MATCH(Table5[[#This Row],[PID]],Table3[[#All],[PID]],0)))</f>
        <v>Mathew</v>
      </c>
      <c r="F1474" s="50" t="str">
        <f>IF($C1474="B",INDEX(Batters[[#All],[Last]],MATCH(A1474,Batters[[#All],[PID]],0)),INDEX(Table3[[#All],[Last]],MATCH(A1474,Table3[[#All],[PID]],0)))</f>
        <v>Nelson</v>
      </c>
      <c r="G1474" s="56">
        <f>IF($C1474="B",INDEX(Batters[[#All],[Age]],MATCH(Table5[[#This Row],[PID]],Batters[[#All],[PID]],0)),INDEX(Table3[[#All],[Age]],MATCH(Table5[[#This Row],[PID]],Table3[[#All],[PID]],0)))</f>
        <v>21</v>
      </c>
      <c r="H1474" s="52" t="str">
        <f>IF($C1474="B",INDEX(Batters[[#All],[B]],MATCH(Table5[[#This Row],[PID]],Batters[[#All],[PID]],0)),INDEX(Table3[[#All],[B]],MATCH(Table5[[#This Row],[PID]],Table3[[#All],[PID]],0)))</f>
        <v>S</v>
      </c>
      <c r="I1474" s="70" t="str">
        <f>IF($C1474="B",INDEX(Batters[[#All],[T]],MATCH(Table5[[#This Row],[PID]],Batters[[#All],[PID]],0)),INDEX(Table3[[#All],[T]],MATCH(Table5[[#This Row],[PID]],Table3[[#All],[PID]],0)))</f>
        <v>L</v>
      </c>
      <c r="J1474" s="52" t="str">
        <f>IF($C1474="B",INDEX(Batters[[#All],[WE]],MATCH(Table5[[#This Row],[PID]],Batters[[#All],[PID]],0)),INDEX(Table3[[#All],[WE]],MATCH(Table5[[#This Row],[PID]],Table3[[#All],[PID]],0)))</f>
        <v>High</v>
      </c>
      <c r="K1474" s="52" t="str">
        <f>IF($C1474="B",INDEX(Batters[[#All],[INT]],MATCH(Table5[[#This Row],[PID]],Batters[[#All],[PID]],0)),INDEX(Table3[[#All],[INT]],MATCH(Table5[[#This Row],[PID]],Table3[[#All],[PID]],0)))</f>
        <v>Low</v>
      </c>
      <c r="L1474" s="60">
        <f>IF($C1474="B",INDEX(Batters[[#All],[CON P]],MATCH(Table5[[#This Row],[PID]],Batters[[#All],[PID]],0)),INDEX(Table3[[#All],[STU P]],MATCH(Table5[[#This Row],[PID]],Table3[[#All],[PID]],0)))</f>
        <v>2</v>
      </c>
      <c r="M1474" s="56">
        <f>IF($C1474="B",INDEX(Batters[[#All],[GAP P]],MATCH(Table5[[#This Row],[PID]],Batters[[#All],[PID]],0)),INDEX(Table3[[#All],[MOV P]],MATCH(Table5[[#This Row],[PID]],Table3[[#All],[PID]],0)))</f>
        <v>4</v>
      </c>
      <c r="N1474" s="56">
        <f>IF($C1474="B",INDEX(Batters[[#All],[POW P]],MATCH(Table5[[#This Row],[PID]],Batters[[#All],[PID]],0)),INDEX(Table3[[#All],[CON P]],MATCH(Table5[[#This Row],[PID]],Table3[[#All],[PID]],0)))</f>
        <v>4</v>
      </c>
      <c r="O1474" s="56">
        <f>IF($C1474="B",INDEX(Batters[[#All],[EYE P]],MATCH(Table5[[#This Row],[PID]],Batters[[#All],[PID]],0)),INDEX(Table3[[#All],[VELO]],MATCH(Table5[[#This Row],[PID]],Table3[[#All],[PID]],0)))</f>
        <v>4</v>
      </c>
      <c r="P1474" s="56">
        <f>IF($C1474="B",INDEX(Batters[[#All],[K P]],MATCH(Table5[[#This Row],[PID]],Batters[[#All],[PID]],0)),INDEX(Table3[[#All],[STM]],MATCH(Table5[[#This Row],[PID]],Table3[[#All],[PID]],0)))</f>
        <v>3</v>
      </c>
      <c r="Q1474" s="61">
        <f>IF($C1474="B",INDEX(Batters[[#All],[Tot]],MATCH(Table5[[#This Row],[PID]],Batters[[#All],[PID]],0)),INDEX(Table3[[#All],[Tot]],MATCH(Table5[[#This Row],[PID]],Table3[[#All],[PID]],0)))</f>
        <v>32.690804000972392</v>
      </c>
      <c r="R1474" s="70">
        <f>IF($C1474="B",INDEX(Batters[[#All],[zScore]],MATCH(Table5[[#This Row],[PID]],Batters[[#All],[PID]],0)),INDEX(Table3[[#All],[zScore]],MATCH(Table5[[#This Row],[PID]],Table3[[#All],[PID]],0)))</f>
        <v>-2.5365771241708881</v>
      </c>
      <c r="S1474" s="79" t="str">
        <f>IF($C1474="B",INDEX(Batters[[#All],[DEM]],MATCH(Table5[[#This Row],[PID]],Batters[[#All],[PID]],0)),INDEX(Table3[[#All],[DEM]],MATCH(Table5[[#This Row],[PID]],Table3[[#All],[PID]],0)))</f>
        <v>-</v>
      </c>
      <c r="T1474" s="62">
        <f>IF($C1474="B",INDEX(Batters[[#All],[Rnk]],MATCH(Table5[[#This Row],[PID]],Batters[[#All],[PID]],0)),INDEX(Table3[[#All],[Rnk]],MATCH(Table5[[#This Row],[PID]],Table3[[#All],[PID]],0)))</f>
        <v>690</v>
      </c>
      <c r="U1474" s="68">
        <f>IF($C1474="B",VLOOKUP($A1474,Bat!$A$4:$BA$1621,47,FALSE),VLOOKUP($A1474,Pit!$A$4:$BF$1557,56,FALSE))</f>
        <v>0</v>
      </c>
      <c r="V1474" s="50">
        <f>IF($C1474="B",VLOOKUP($A1474,Bat!$A$4:$BA$1621,48,FALSE),VLOOKUP($A1474,Pit!$A$4:$BF$1557,57,FALSE))</f>
        <v>0</v>
      </c>
      <c r="W1474" s="50">
        <f>Table5[[#This Row],[posRnk]]+Table5[[#This Row],[zRnk]]+IF($W$3&lt;&gt;Table5[[#This Row],[Type]],50,0)</f>
        <v>2208</v>
      </c>
      <c r="X1474" s="51">
        <f>RANK(Table5[[#This Row],[zScore]],Table5[[#All],[zScore]])</f>
        <v>1468</v>
      </c>
      <c r="Y1474" s="50" t="str">
        <f>IFERROR(INDEX(DraftResults[[#All],[OVR]],MATCH(Table5[[#This Row],[PID]],DraftResults[[#All],[Player ID]],0)),"")</f>
        <v/>
      </c>
      <c r="Z147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4" s="50" t="str">
        <f>IFERROR(INDEX(DraftResults[[#All],[Pick in Round]],MATCH(Table5[[#This Row],[PID]],DraftResults[[#All],[Player ID]],0)),"")</f>
        <v/>
      </c>
      <c r="AB1474" s="50" t="str">
        <f>IFERROR(INDEX(DraftResults[[#All],[Team Name]],MATCH(Table5[[#This Row],[PID]],DraftResults[[#All],[Player ID]],0)),"")</f>
        <v/>
      </c>
      <c r="AC1474" s="50" t="str">
        <f>IF(Table5[[#This Row],[Ovr]]="","",IF(Table5[[#This Row],[cmbList]]="","",Table5[[#This Row],[cmbList]]-Table5[[#This Row],[Ovr]]))</f>
        <v/>
      </c>
      <c r="AD1474" s="54" t="str">
        <f>IF(ISERROR(VLOOKUP($AB1474&amp;"-"&amp;$E1474&amp;" "&amp;F1474,Bonuses!$B$1:$G$1006,4,FALSE)),"",INT(VLOOKUP($AB1474&amp;"-"&amp;$E1474&amp;" "&amp;$F1474,Bonuses!$B$1:$G$1006,4,FALSE)))</f>
        <v/>
      </c>
      <c r="AE147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5" spans="1:31" x14ac:dyDescent="0.25">
      <c r="A1475" s="50">
        <v>12599</v>
      </c>
      <c r="B1475" s="50">
        <f>COUNTIF(Table5[PID],A1475)</f>
        <v>1</v>
      </c>
      <c r="C1475" s="50" t="str">
        <f>IF(COUNTIF(Table3[[#All],[PID]],A1475)&gt;0,"P","B")</f>
        <v>B</v>
      </c>
      <c r="D1475" s="59" t="str">
        <f>IF($C1475="B",INDEX(Batters[[#All],[POS]],MATCH(Table5[[#This Row],[PID]],Batters[[#All],[PID]],0)),INDEX(Table3[[#All],[POS]],MATCH(Table5[[#This Row],[PID]],Table3[[#All],[PID]],0)))</f>
        <v>C</v>
      </c>
      <c r="E1475" s="52" t="str">
        <f>IF($C1475="B",INDEX(Batters[[#All],[First]],MATCH(Table5[[#This Row],[PID]],Batters[[#All],[PID]],0)),INDEX(Table3[[#All],[First]],MATCH(Table5[[#This Row],[PID]],Table3[[#All],[PID]],0)))</f>
        <v>Akira</v>
      </c>
      <c r="F1475" s="50" t="str">
        <f>IF($C1475="B",INDEX(Batters[[#All],[Last]],MATCH(A1475,Batters[[#All],[PID]],0)),INDEX(Table3[[#All],[Last]],MATCH(A1475,Table3[[#All],[PID]],0)))</f>
        <v>Mizuno</v>
      </c>
      <c r="G1475" s="56">
        <f>IF($C1475="B",INDEX(Batters[[#All],[Age]],MATCH(Table5[[#This Row],[PID]],Batters[[#All],[PID]],0)),INDEX(Table3[[#All],[Age]],MATCH(Table5[[#This Row],[PID]],Table3[[#All],[PID]],0)))</f>
        <v>22</v>
      </c>
      <c r="H1475" s="52" t="str">
        <f>IF($C1475="B",INDEX(Batters[[#All],[B]],MATCH(Table5[[#This Row],[PID]],Batters[[#All],[PID]],0)),INDEX(Table3[[#All],[B]],MATCH(Table5[[#This Row],[PID]],Table3[[#All],[PID]],0)))</f>
        <v>R</v>
      </c>
      <c r="I1475" s="70" t="str">
        <f>IF($C1475="B",INDEX(Batters[[#All],[T]],MATCH(Table5[[#This Row],[PID]],Batters[[#All],[PID]],0)),INDEX(Table3[[#All],[T]],MATCH(Table5[[#This Row],[PID]],Table3[[#All],[PID]],0)))</f>
        <v>R</v>
      </c>
      <c r="J1475" s="52" t="str">
        <f>IF($C1475="B",INDEX(Batters[[#All],[WE]],MATCH(Table5[[#This Row],[PID]],Batters[[#All],[PID]],0)),INDEX(Table3[[#All],[WE]],MATCH(Table5[[#This Row],[PID]],Table3[[#All],[PID]],0)))</f>
        <v>High</v>
      </c>
      <c r="K1475" s="52" t="str">
        <f>IF($C1475="B",INDEX(Batters[[#All],[INT]],MATCH(Table5[[#This Row],[PID]],Batters[[#All],[PID]],0)),INDEX(Table3[[#All],[INT]],MATCH(Table5[[#This Row],[PID]],Table3[[#All],[PID]],0)))</f>
        <v>Normal</v>
      </c>
      <c r="L1475" s="60">
        <f>IF($C1475="B",INDEX(Batters[[#All],[CON P]],MATCH(Table5[[#This Row],[PID]],Batters[[#All],[PID]],0)),INDEX(Table3[[#All],[STU P]],MATCH(Table5[[#This Row],[PID]],Table3[[#All],[PID]],0)))</f>
        <v>2</v>
      </c>
      <c r="M1475" s="56">
        <f>IF($C1475="B",INDEX(Batters[[#All],[GAP P]],MATCH(Table5[[#This Row],[PID]],Batters[[#All],[PID]],0)),INDEX(Table3[[#All],[MOV P]],MATCH(Table5[[#This Row],[PID]],Table3[[#All],[PID]],0)))</f>
        <v>4</v>
      </c>
      <c r="N1475" s="56">
        <f>IF($C1475="B",INDEX(Batters[[#All],[POW P]],MATCH(Table5[[#This Row],[PID]],Batters[[#All],[PID]],0)),INDEX(Table3[[#All],[CON P]],MATCH(Table5[[#This Row],[PID]],Table3[[#All],[PID]],0)))</f>
        <v>3</v>
      </c>
      <c r="O1475" s="56">
        <f>IF($C1475="B",INDEX(Batters[[#All],[EYE P]],MATCH(Table5[[#This Row],[PID]],Batters[[#All],[PID]],0)),INDEX(Table3[[#All],[VELO]],MATCH(Table5[[#This Row],[PID]],Table3[[#All],[PID]],0)))</f>
        <v>4</v>
      </c>
      <c r="P1475" s="56">
        <f>IF($C1475="B",INDEX(Batters[[#All],[K P]],MATCH(Table5[[#This Row],[PID]],Batters[[#All],[PID]],0)),INDEX(Table3[[#All],[STM]],MATCH(Table5[[#This Row],[PID]],Table3[[#All],[PID]],0)))</f>
        <v>2</v>
      </c>
      <c r="Q1475" s="61">
        <f>IF($C1475="B",INDEX(Batters[[#All],[Tot]],MATCH(Table5[[#This Row],[PID]],Batters[[#All],[PID]],0)),INDEX(Table3[[#All],[Tot]],MATCH(Table5[[#This Row],[PID]],Table3[[#All],[PID]],0)))</f>
        <v>32.651231566462712</v>
      </c>
      <c r="R1475" s="70">
        <f>IF($C1475="B",INDEX(Batters[[#All],[zScore]],MATCH(Table5[[#This Row],[PID]],Batters[[#All],[PID]],0)),INDEX(Table3[[#All],[zScore]],MATCH(Table5[[#This Row],[PID]],Table3[[#All],[PID]],0)))</f>
        <v>-2.5453506003865169</v>
      </c>
      <c r="S1475" s="79" t="str">
        <f>IF($C1475="B",INDEX(Batters[[#All],[DEM]],MATCH(Table5[[#This Row],[PID]],Batters[[#All],[PID]],0)),INDEX(Table3[[#All],[DEM]],MATCH(Table5[[#This Row],[PID]],Table3[[#All],[PID]],0)))</f>
        <v>-</v>
      </c>
      <c r="T1475" s="62">
        <f>IF($C1475="B",INDEX(Batters[[#All],[Rnk]],MATCH(Table5[[#This Row],[PID]],Batters[[#All],[PID]],0)),INDEX(Table3[[#All],[Rnk]],MATCH(Table5[[#This Row],[PID]],Table3[[#All],[PID]],0)))</f>
        <v>691</v>
      </c>
      <c r="U1475" s="68">
        <f>IF($C1475="B",VLOOKUP($A1475,Bat!$A$4:$BA$1621,47,FALSE),VLOOKUP($A1475,Pit!$A$4:$BF$1557,56,FALSE))</f>
        <v>0</v>
      </c>
      <c r="V1475" s="50">
        <f>IF($C1475="B",VLOOKUP($A1475,Bat!$A$4:$BA$1621,48,FALSE),VLOOKUP($A1475,Pit!$A$4:$BF$1557,57,FALSE))</f>
        <v>0</v>
      </c>
      <c r="W1475" s="50">
        <f>Table5[[#This Row],[posRnk]]+Table5[[#This Row],[zRnk]]+IF($W$3&lt;&gt;Table5[[#This Row],[Type]],50,0)</f>
        <v>2210</v>
      </c>
      <c r="X1475" s="51">
        <f>RANK(Table5[[#This Row],[zScore]],Table5[[#All],[zScore]])</f>
        <v>1469</v>
      </c>
      <c r="Y1475" s="50" t="str">
        <f>IFERROR(INDEX(DraftResults[[#All],[OVR]],MATCH(Table5[[#This Row],[PID]],DraftResults[[#All],[Player ID]],0)),"")</f>
        <v/>
      </c>
      <c r="Z147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5" s="50" t="str">
        <f>IFERROR(INDEX(DraftResults[[#All],[Pick in Round]],MATCH(Table5[[#This Row],[PID]],DraftResults[[#All],[Player ID]],0)),"")</f>
        <v/>
      </c>
      <c r="AB1475" s="50" t="str">
        <f>IFERROR(INDEX(DraftResults[[#All],[Team Name]],MATCH(Table5[[#This Row],[PID]],DraftResults[[#All],[Player ID]],0)),"")</f>
        <v/>
      </c>
      <c r="AC1475" s="50" t="str">
        <f>IF(Table5[[#This Row],[Ovr]]="","",IF(Table5[[#This Row],[cmbList]]="","",Table5[[#This Row],[cmbList]]-Table5[[#This Row],[Ovr]]))</f>
        <v/>
      </c>
      <c r="AD1475" s="54" t="str">
        <f>IF(ISERROR(VLOOKUP($AB1475&amp;"-"&amp;$E1475&amp;" "&amp;F1475,Bonuses!$B$1:$G$1006,4,FALSE)),"",INT(VLOOKUP($AB1475&amp;"-"&amp;$E1475&amp;" "&amp;$F1475,Bonuses!$B$1:$G$1006,4,FALSE)))</f>
        <v/>
      </c>
      <c r="AE147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6" spans="1:31" x14ac:dyDescent="0.25">
      <c r="A1476" s="50">
        <v>20762</v>
      </c>
      <c r="B1476" s="50">
        <f>COUNTIF(Table5[PID],A1476)</f>
        <v>1</v>
      </c>
      <c r="C1476" s="50" t="str">
        <f>IF(COUNTIF(Table3[[#All],[PID]],A1476)&gt;0,"P","B")</f>
        <v>B</v>
      </c>
      <c r="D1476" s="59" t="str">
        <f>IF($C1476="B",INDEX(Batters[[#All],[POS]],MATCH(Table5[[#This Row],[PID]],Batters[[#All],[PID]],0)),INDEX(Table3[[#All],[POS]],MATCH(Table5[[#This Row],[PID]],Table3[[#All],[PID]],0)))</f>
        <v>C</v>
      </c>
      <c r="E1476" s="52" t="str">
        <f>IF($C1476="B",INDEX(Batters[[#All],[First]],MATCH(Table5[[#This Row],[PID]],Batters[[#All],[PID]],0)),INDEX(Table3[[#All],[First]],MATCH(Table5[[#This Row],[PID]],Table3[[#All],[PID]],0)))</f>
        <v>Shannon</v>
      </c>
      <c r="F1476" s="50" t="str">
        <f>IF($C1476="B",INDEX(Batters[[#All],[Last]],MATCH(A1476,Batters[[#All],[PID]],0)),INDEX(Table3[[#All],[Last]],MATCH(A1476,Table3[[#All],[PID]],0)))</f>
        <v>Lake</v>
      </c>
      <c r="G1476" s="56">
        <f>IF($C1476="B",INDEX(Batters[[#All],[Age]],MATCH(Table5[[#This Row],[PID]],Batters[[#All],[PID]],0)),INDEX(Table3[[#All],[Age]],MATCH(Table5[[#This Row],[PID]],Table3[[#All],[PID]],0)))</f>
        <v>17</v>
      </c>
      <c r="H1476" s="52" t="str">
        <f>IF($C1476="B",INDEX(Batters[[#All],[B]],MATCH(Table5[[#This Row],[PID]],Batters[[#All],[PID]],0)),INDEX(Table3[[#All],[B]],MATCH(Table5[[#This Row],[PID]],Table3[[#All],[PID]],0)))</f>
        <v>L</v>
      </c>
      <c r="I1476" s="70" t="str">
        <f>IF($C1476="B",INDEX(Batters[[#All],[T]],MATCH(Table5[[#This Row],[PID]],Batters[[#All],[PID]],0)),INDEX(Table3[[#All],[T]],MATCH(Table5[[#This Row],[PID]],Table3[[#All],[PID]],0)))</f>
        <v>R</v>
      </c>
      <c r="J1476" s="52" t="str">
        <f>IF($C1476="B",INDEX(Batters[[#All],[WE]],MATCH(Table5[[#This Row],[PID]],Batters[[#All],[PID]],0)),INDEX(Table3[[#All],[WE]],MATCH(Table5[[#This Row],[PID]],Table3[[#All],[PID]],0)))</f>
        <v>Low</v>
      </c>
      <c r="K1476" s="52" t="str">
        <f>IF($C1476="B",INDEX(Batters[[#All],[INT]],MATCH(Table5[[#This Row],[PID]],Batters[[#All],[PID]],0)),INDEX(Table3[[#All],[INT]],MATCH(Table5[[#This Row],[PID]],Table3[[#All],[PID]],0)))</f>
        <v>Normal</v>
      </c>
      <c r="L1476" s="60">
        <f>IF($C1476="B",INDEX(Batters[[#All],[CON P]],MATCH(Table5[[#This Row],[PID]],Batters[[#All],[PID]],0)),INDEX(Table3[[#All],[STU P]],MATCH(Table5[[#This Row],[PID]],Table3[[#All],[PID]],0)))</f>
        <v>2</v>
      </c>
      <c r="M1476" s="56">
        <f>IF($C1476="B",INDEX(Batters[[#All],[GAP P]],MATCH(Table5[[#This Row],[PID]],Batters[[#All],[PID]],0)),INDEX(Table3[[#All],[MOV P]],MATCH(Table5[[#This Row],[PID]],Table3[[#All],[PID]],0)))</f>
        <v>4</v>
      </c>
      <c r="N1476" s="56">
        <f>IF($C1476="B",INDEX(Batters[[#All],[POW P]],MATCH(Table5[[#This Row],[PID]],Batters[[#All],[PID]],0)),INDEX(Table3[[#All],[CON P]],MATCH(Table5[[#This Row],[PID]],Table3[[#All],[PID]],0)))</f>
        <v>2</v>
      </c>
      <c r="O1476" s="56">
        <f>IF($C1476="B",INDEX(Batters[[#All],[EYE P]],MATCH(Table5[[#This Row],[PID]],Batters[[#All],[PID]],0)),INDEX(Table3[[#All],[VELO]],MATCH(Table5[[#This Row],[PID]],Table3[[#All],[PID]],0)))</f>
        <v>1</v>
      </c>
      <c r="P1476" s="56">
        <f>IF($C1476="B",INDEX(Batters[[#All],[K P]],MATCH(Table5[[#This Row],[PID]],Batters[[#All],[PID]],0)),INDEX(Table3[[#All],[STM]],MATCH(Table5[[#This Row],[PID]],Table3[[#All],[PID]],0)))</f>
        <v>4</v>
      </c>
      <c r="Q1476" s="61">
        <f>IF($C1476="B",INDEX(Batters[[#All],[Tot]],MATCH(Table5[[#This Row],[PID]],Batters[[#All],[PID]],0)),INDEX(Table3[[#All],[Tot]],MATCH(Table5[[#This Row],[PID]],Table3[[#All],[PID]],0)))</f>
        <v>32.633903478896016</v>
      </c>
      <c r="R1476" s="70">
        <f>IF($C1476="B",INDEX(Batters[[#All],[zScore]],MATCH(Table5[[#This Row],[PID]],Batters[[#All],[PID]],0)),INDEX(Table3[[#All],[zScore]],MATCH(Table5[[#This Row],[PID]],Table3[[#All],[PID]],0)))</f>
        <v>-2.5491923545270549</v>
      </c>
      <c r="S1476" s="79" t="str">
        <f>IF($C1476="B",INDEX(Batters[[#All],[DEM]],MATCH(Table5[[#This Row],[PID]],Batters[[#All],[PID]],0)),INDEX(Table3[[#All],[DEM]],MATCH(Table5[[#This Row],[PID]],Table3[[#All],[PID]],0)))</f>
        <v>$65k</v>
      </c>
      <c r="T1476" s="62">
        <f>IF($C1476="B",INDEX(Batters[[#All],[Rnk]],MATCH(Table5[[#This Row],[PID]],Batters[[#All],[PID]],0)),INDEX(Table3[[#All],[Rnk]],MATCH(Table5[[#This Row],[PID]],Table3[[#All],[PID]],0)))</f>
        <v>692</v>
      </c>
      <c r="U1476" s="68">
        <f>IF($C1476="B",VLOOKUP($A1476,Bat!$A$4:$BA$1621,47,FALSE),VLOOKUP($A1476,Pit!$A$4:$BF$1557,56,FALSE))</f>
        <v>0</v>
      </c>
      <c r="V1476" s="50">
        <f>IF($C1476="B",VLOOKUP($A1476,Bat!$A$4:$BA$1621,48,FALSE),VLOOKUP($A1476,Pit!$A$4:$BF$1557,57,FALSE))</f>
        <v>0</v>
      </c>
      <c r="W1476" s="50">
        <f>Table5[[#This Row],[posRnk]]+Table5[[#This Row],[zRnk]]+IF($W$3&lt;&gt;Table5[[#This Row],[Type]],50,0)</f>
        <v>2212</v>
      </c>
      <c r="X1476" s="51">
        <f>RANK(Table5[[#This Row],[zScore]],Table5[[#All],[zScore]])</f>
        <v>1470</v>
      </c>
      <c r="Y1476" s="50" t="str">
        <f>IFERROR(INDEX(DraftResults[[#All],[OVR]],MATCH(Table5[[#This Row],[PID]],DraftResults[[#All],[Player ID]],0)),"")</f>
        <v/>
      </c>
      <c r="Z147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6" s="50" t="str">
        <f>IFERROR(INDEX(DraftResults[[#All],[Pick in Round]],MATCH(Table5[[#This Row],[PID]],DraftResults[[#All],[Player ID]],0)),"")</f>
        <v/>
      </c>
      <c r="AB1476" s="50" t="str">
        <f>IFERROR(INDEX(DraftResults[[#All],[Team Name]],MATCH(Table5[[#This Row],[PID]],DraftResults[[#All],[Player ID]],0)),"")</f>
        <v/>
      </c>
      <c r="AC1476" s="50" t="str">
        <f>IF(Table5[[#This Row],[Ovr]]="","",IF(Table5[[#This Row],[cmbList]]="","",Table5[[#This Row],[cmbList]]-Table5[[#This Row],[Ovr]]))</f>
        <v/>
      </c>
      <c r="AD1476" s="54" t="str">
        <f>IF(ISERROR(VLOOKUP($AB1476&amp;"-"&amp;$E1476&amp;" "&amp;F1476,Bonuses!$B$1:$G$1006,4,FALSE)),"",INT(VLOOKUP($AB1476&amp;"-"&amp;$E1476&amp;" "&amp;$F1476,Bonuses!$B$1:$G$1006,4,FALSE)))</f>
        <v/>
      </c>
      <c r="AE147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7" spans="1:31" x14ac:dyDescent="0.25">
      <c r="A1477" s="50">
        <v>20247</v>
      </c>
      <c r="B1477" s="50">
        <f>COUNTIF(Table5[PID],A1477)</f>
        <v>1</v>
      </c>
      <c r="C1477" s="50" t="str">
        <f>IF(COUNTIF(Table3[[#All],[PID]],A1477)&gt;0,"P","B")</f>
        <v>B</v>
      </c>
      <c r="D1477" s="59" t="str">
        <f>IF($C1477="B",INDEX(Batters[[#All],[POS]],MATCH(Table5[[#This Row],[PID]],Batters[[#All],[PID]],0)),INDEX(Table3[[#All],[POS]],MATCH(Table5[[#This Row],[PID]],Table3[[#All],[PID]],0)))</f>
        <v>LF</v>
      </c>
      <c r="E1477" s="52" t="str">
        <f>IF($C1477="B",INDEX(Batters[[#All],[First]],MATCH(Table5[[#This Row],[PID]],Batters[[#All],[PID]],0)),INDEX(Table3[[#All],[First]],MATCH(Table5[[#This Row],[PID]],Table3[[#All],[PID]],0)))</f>
        <v>Ian</v>
      </c>
      <c r="F1477" s="50" t="str">
        <f>IF($C1477="B",INDEX(Batters[[#All],[Last]],MATCH(A1477,Batters[[#All],[PID]],0)),INDEX(Table3[[#All],[Last]],MATCH(A1477,Table3[[#All],[PID]],0)))</f>
        <v>Sturge</v>
      </c>
      <c r="G1477" s="56">
        <f>IF($C1477="B",INDEX(Batters[[#All],[Age]],MATCH(Table5[[#This Row],[PID]],Batters[[#All],[PID]],0)),INDEX(Table3[[#All],[Age]],MATCH(Table5[[#This Row],[PID]],Table3[[#All],[PID]],0)))</f>
        <v>22</v>
      </c>
      <c r="H1477" s="52" t="str">
        <f>IF($C1477="B",INDEX(Batters[[#All],[B]],MATCH(Table5[[#This Row],[PID]],Batters[[#All],[PID]],0)),INDEX(Table3[[#All],[B]],MATCH(Table5[[#This Row],[PID]],Table3[[#All],[PID]],0)))</f>
        <v>R</v>
      </c>
      <c r="I1477" s="70" t="str">
        <f>IF($C1477="B",INDEX(Batters[[#All],[T]],MATCH(Table5[[#This Row],[PID]],Batters[[#All],[PID]],0)),INDEX(Table3[[#All],[T]],MATCH(Table5[[#This Row],[PID]],Table3[[#All],[PID]],0)))</f>
        <v>R</v>
      </c>
      <c r="J1477" s="52" t="str">
        <f>IF($C1477="B",INDEX(Batters[[#All],[WE]],MATCH(Table5[[#This Row],[PID]],Batters[[#All],[PID]],0)),INDEX(Table3[[#All],[WE]],MATCH(Table5[[#This Row],[PID]],Table3[[#All],[PID]],0)))</f>
        <v>High</v>
      </c>
      <c r="K1477" s="52" t="str">
        <f>IF($C1477="B",INDEX(Batters[[#All],[INT]],MATCH(Table5[[#This Row],[PID]],Batters[[#All],[PID]],0)),INDEX(Table3[[#All],[INT]],MATCH(Table5[[#This Row],[PID]],Table3[[#All],[PID]],0)))</f>
        <v>Normal</v>
      </c>
      <c r="L1477" s="60">
        <f>IF($C1477="B",INDEX(Batters[[#All],[CON P]],MATCH(Table5[[#This Row],[PID]],Batters[[#All],[PID]],0)),INDEX(Table3[[#All],[STU P]],MATCH(Table5[[#This Row],[PID]],Table3[[#All],[PID]],0)))</f>
        <v>3</v>
      </c>
      <c r="M1477" s="56">
        <f>IF($C1477="B",INDEX(Batters[[#All],[GAP P]],MATCH(Table5[[#This Row],[PID]],Batters[[#All],[PID]],0)),INDEX(Table3[[#All],[MOV P]],MATCH(Table5[[#This Row],[PID]],Table3[[#All],[PID]],0)))</f>
        <v>3</v>
      </c>
      <c r="N1477" s="56">
        <f>IF($C1477="B",INDEX(Batters[[#All],[POW P]],MATCH(Table5[[#This Row],[PID]],Batters[[#All],[PID]],0)),INDEX(Table3[[#All],[CON P]],MATCH(Table5[[#This Row],[PID]],Table3[[#All],[PID]],0)))</f>
        <v>2</v>
      </c>
      <c r="O1477" s="56">
        <f>IF($C1477="B",INDEX(Batters[[#All],[EYE P]],MATCH(Table5[[#This Row],[PID]],Batters[[#All],[PID]],0)),INDEX(Table3[[#All],[VELO]],MATCH(Table5[[#This Row],[PID]],Table3[[#All],[PID]],0)))</f>
        <v>2</v>
      </c>
      <c r="P1477" s="56">
        <f>IF($C1477="B",INDEX(Batters[[#All],[K P]],MATCH(Table5[[#This Row],[PID]],Batters[[#All],[PID]],0)),INDEX(Table3[[#All],[STM]],MATCH(Table5[[#This Row],[PID]],Table3[[#All],[PID]],0)))</f>
        <v>4</v>
      </c>
      <c r="Q1477" s="61">
        <f>IF($C1477="B",INDEX(Batters[[#All],[Tot]],MATCH(Table5[[#This Row],[PID]],Batters[[#All],[PID]],0)),INDEX(Table3[[#All],[Tot]],MATCH(Table5[[#This Row],[PID]],Table3[[#All],[PID]],0)))</f>
        <v>32.622705352565156</v>
      </c>
      <c r="R1477" s="70">
        <f>IF($C1477="B",INDEX(Batters[[#All],[zScore]],MATCH(Table5[[#This Row],[PID]],Batters[[#All],[PID]],0)),INDEX(Table3[[#All],[zScore]],MATCH(Table5[[#This Row],[PID]],Table3[[#All],[PID]],0)))</f>
        <v>-2.5516750548269158</v>
      </c>
      <c r="S1477" s="79" t="str">
        <f>IF($C1477="B",INDEX(Batters[[#All],[DEM]],MATCH(Table5[[#This Row],[PID]],Batters[[#All],[PID]],0)),INDEX(Table3[[#All],[DEM]],MATCH(Table5[[#This Row],[PID]],Table3[[#All],[PID]],0)))</f>
        <v>-</v>
      </c>
      <c r="T1477" s="62">
        <f>IF($C1477="B",INDEX(Batters[[#All],[Rnk]],MATCH(Table5[[#This Row],[PID]],Batters[[#All],[PID]],0)),INDEX(Table3[[#All],[Rnk]],MATCH(Table5[[#This Row],[PID]],Table3[[#All],[PID]],0)))</f>
        <v>693</v>
      </c>
      <c r="U1477" s="68">
        <f>IF($C1477="B",VLOOKUP($A1477,Bat!$A$4:$BA$1621,47,FALSE),VLOOKUP($A1477,Pit!$A$4:$BF$1557,56,FALSE))</f>
        <v>0</v>
      </c>
      <c r="V1477" s="50">
        <f>IF($C1477="B",VLOOKUP($A1477,Bat!$A$4:$BA$1621,48,FALSE),VLOOKUP($A1477,Pit!$A$4:$BF$1557,57,FALSE))</f>
        <v>0</v>
      </c>
      <c r="W1477" s="50">
        <f>Table5[[#This Row],[posRnk]]+Table5[[#This Row],[zRnk]]+IF($W$3&lt;&gt;Table5[[#This Row],[Type]],50,0)</f>
        <v>2214</v>
      </c>
      <c r="X1477" s="51">
        <f>RANK(Table5[[#This Row],[zScore]],Table5[[#All],[zScore]])</f>
        <v>1471</v>
      </c>
      <c r="Y1477" s="50" t="str">
        <f>IFERROR(INDEX(DraftResults[[#All],[OVR]],MATCH(Table5[[#This Row],[PID]],DraftResults[[#All],[Player ID]],0)),"")</f>
        <v/>
      </c>
      <c r="Z147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7" s="50" t="str">
        <f>IFERROR(INDEX(DraftResults[[#All],[Pick in Round]],MATCH(Table5[[#This Row],[PID]],DraftResults[[#All],[Player ID]],0)),"")</f>
        <v/>
      </c>
      <c r="AB1477" s="50" t="str">
        <f>IFERROR(INDEX(DraftResults[[#All],[Team Name]],MATCH(Table5[[#This Row],[PID]],DraftResults[[#All],[Player ID]],0)),"")</f>
        <v/>
      </c>
      <c r="AC1477" s="50" t="str">
        <f>IF(Table5[[#This Row],[Ovr]]="","",IF(Table5[[#This Row],[cmbList]]="","",Table5[[#This Row],[cmbList]]-Table5[[#This Row],[Ovr]]))</f>
        <v/>
      </c>
      <c r="AD1477" s="54" t="str">
        <f>IF(ISERROR(VLOOKUP($AB1477&amp;"-"&amp;$E1477&amp;" "&amp;F1477,Bonuses!$B$1:$G$1006,4,FALSE)),"",INT(VLOOKUP($AB1477&amp;"-"&amp;$E1477&amp;" "&amp;$F1477,Bonuses!$B$1:$G$1006,4,FALSE)))</f>
        <v/>
      </c>
      <c r="AE147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8" spans="1:31" x14ac:dyDescent="0.25">
      <c r="A1478" s="50">
        <v>12768</v>
      </c>
      <c r="B1478" s="50">
        <f>COUNTIF(Table5[PID],A1478)</f>
        <v>1</v>
      </c>
      <c r="C1478" s="50" t="str">
        <f>IF(COUNTIF(Table3[[#All],[PID]],A1478)&gt;0,"P","B")</f>
        <v>B</v>
      </c>
      <c r="D1478" s="59" t="str">
        <f>IF($C1478="B",INDEX(Batters[[#All],[POS]],MATCH(Table5[[#This Row],[PID]],Batters[[#All],[PID]],0)),INDEX(Table3[[#All],[POS]],MATCH(Table5[[#This Row],[PID]],Table3[[#All],[PID]],0)))</f>
        <v>1B</v>
      </c>
      <c r="E1478" s="52" t="str">
        <f>IF($C1478="B",INDEX(Batters[[#All],[First]],MATCH(Table5[[#This Row],[PID]],Batters[[#All],[PID]],0)),INDEX(Table3[[#All],[First]],MATCH(Table5[[#This Row],[PID]],Table3[[#All],[PID]],0)))</f>
        <v>Nathan</v>
      </c>
      <c r="F1478" s="50" t="str">
        <f>IF($C1478="B",INDEX(Batters[[#All],[Last]],MATCH(A1478,Batters[[#All],[PID]],0)),INDEX(Table3[[#All],[Last]],MATCH(A1478,Table3[[#All],[PID]],0)))</f>
        <v>Tilden</v>
      </c>
      <c r="G1478" s="56">
        <f>IF($C1478="B",INDEX(Batters[[#All],[Age]],MATCH(Table5[[#This Row],[PID]],Batters[[#All],[PID]],0)),INDEX(Table3[[#All],[Age]],MATCH(Table5[[#This Row],[PID]],Table3[[#All],[PID]],0)))</f>
        <v>22</v>
      </c>
      <c r="H1478" s="52" t="str">
        <f>IF($C1478="B",INDEX(Batters[[#All],[B]],MATCH(Table5[[#This Row],[PID]],Batters[[#All],[PID]],0)),INDEX(Table3[[#All],[B]],MATCH(Table5[[#This Row],[PID]],Table3[[#All],[PID]],0)))</f>
        <v>L</v>
      </c>
      <c r="I1478" s="70" t="str">
        <f>IF($C1478="B",INDEX(Batters[[#All],[T]],MATCH(Table5[[#This Row],[PID]],Batters[[#All],[PID]],0)),INDEX(Table3[[#All],[T]],MATCH(Table5[[#This Row],[PID]],Table3[[#All],[PID]],0)))</f>
        <v>L</v>
      </c>
      <c r="J1478" s="52" t="str">
        <f>IF($C1478="B",INDEX(Batters[[#All],[WE]],MATCH(Table5[[#This Row],[PID]],Batters[[#All],[PID]],0)),INDEX(Table3[[#All],[WE]],MATCH(Table5[[#This Row],[PID]],Table3[[#All],[PID]],0)))</f>
        <v>High</v>
      </c>
      <c r="K1478" s="52" t="str">
        <f>IF($C1478="B",INDEX(Batters[[#All],[INT]],MATCH(Table5[[#This Row],[PID]],Batters[[#All],[PID]],0)),INDEX(Table3[[#All],[INT]],MATCH(Table5[[#This Row],[PID]],Table3[[#All],[PID]],0)))</f>
        <v>Normal</v>
      </c>
      <c r="L1478" s="60">
        <f>IF($C1478="B",INDEX(Batters[[#All],[CON P]],MATCH(Table5[[#This Row],[PID]],Batters[[#All],[PID]],0)),INDEX(Table3[[#All],[STU P]],MATCH(Table5[[#This Row],[PID]],Table3[[#All],[PID]],0)))</f>
        <v>3</v>
      </c>
      <c r="M1478" s="56">
        <f>IF($C1478="B",INDEX(Batters[[#All],[GAP P]],MATCH(Table5[[#This Row],[PID]],Batters[[#All],[PID]],0)),INDEX(Table3[[#All],[MOV P]],MATCH(Table5[[#This Row],[PID]],Table3[[#All],[PID]],0)))</f>
        <v>3</v>
      </c>
      <c r="N1478" s="56">
        <f>IF($C1478="B",INDEX(Batters[[#All],[POW P]],MATCH(Table5[[#This Row],[PID]],Batters[[#All],[PID]],0)),INDEX(Table3[[#All],[CON P]],MATCH(Table5[[#This Row],[PID]],Table3[[#All],[PID]],0)))</f>
        <v>2</v>
      </c>
      <c r="O1478" s="56">
        <f>IF($C1478="B",INDEX(Batters[[#All],[EYE P]],MATCH(Table5[[#This Row],[PID]],Batters[[#All],[PID]],0)),INDEX(Table3[[#All],[VELO]],MATCH(Table5[[#This Row],[PID]],Table3[[#All],[PID]],0)))</f>
        <v>2</v>
      </c>
      <c r="P1478" s="56">
        <f>IF($C1478="B",INDEX(Batters[[#All],[K P]],MATCH(Table5[[#This Row],[PID]],Batters[[#All],[PID]],0)),INDEX(Table3[[#All],[STM]],MATCH(Table5[[#This Row],[PID]],Table3[[#All],[PID]],0)))</f>
        <v>4</v>
      </c>
      <c r="Q1478" s="61">
        <f>IF($C1478="B",INDEX(Batters[[#All],[Tot]],MATCH(Table5[[#This Row],[PID]],Batters[[#All],[PID]],0)),INDEX(Table3[[#All],[Tot]],MATCH(Table5[[#This Row],[PID]],Table3[[#All],[PID]],0)))</f>
        <v>32.610837117562653</v>
      </c>
      <c r="R1478" s="70">
        <f>IF($C1478="B",INDEX(Batters[[#All],[zScore]],MATCH(Table5[[#This Row],[PID]],Batters[[#All],[PID]],0)),INDEX(Table3[[#All],[zScore]],MATCH(Table5[[#This Row],[PID]],Table3[[#All],[PID]],0)))</f>
        <v>-2.5543063227487943</v>
      </c>
      <c r="S1478" s="79" t="str">
        <f>IF($C1478="B",INDEX(Batters[[#All],[DEM]],MATCH(Table5[[#This Row],[PID]],Batters[[#All],[PID]],0)),INDEX(Table3[[#All],[DEM]],MATCH(Table5[[#This Row],[PID]],Table3[[#All],[PID]],0)))</f>
        <v>-</v>
      </c>
      <c r="T1478" s="62">
        <f>IF($C1478="B",INDEX(Batters[[#All],[Rnk]],MATCH(Table5[[#This Row],[PID]],Batters[[#All],[PID]],0)),INDEX(Table3[[#All],[Rnk]],MATCH(Table5[[#This Row],[PID]],Table3[[#All],[PID]],0)))</f>
        <v>694</v>
      </c>
      <c r="U1478" s="68">
        <f>IF($C1478="B",VLOOKUP($A1478,Bat!$A$4:$BA$1621,47,FALSE),VLOOKUP($A1478,Pit!$A$4:$BF$1557,56,FALSE))</f>
        <v>0</v>
      </c>
      <c r="V1478" s="50">
        <f>IF($C1478="B",VLOOKUP($A1478,Bat!$A$4:$BA$1621,48,FALSE),VLOOKUP($A1478,Pit!$A$4:$BF$1557,57,FALSE))</f>
        <v>0</v>
      </c>
      <c r="W1478" s="50">
        <f>Table5[[#This Row],[posRnk]]+Table5[[#This Row],[zRnk]]+IF($W$3&lt;&gt;Table5[[#This Row],[Type]],50,0)</f>
        <v>2216</v>
      </c>
      <c r="X1478" s="51">
        <f>RANK(Table5[[#This Row],[zScore]],Table5[[#All],[zScore]])</f>
        <v>1472</v>
      </c>
      <c r="Y1478" s="50" t="str">
        <f>IFERROR(INDEX(DraftResults[[#All],[OVR]],MATCH(Table5[[#This Row],[PID]],DraftResults[[#All],[Player ID]],0)),"")</f>
        <v/>
      </c>
      <c r="Z147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8" s="50" t="str">
        <f>IFERROR(INDEX(DraftResults[[#All],[Pick in Round]],MATCH(Table5[[#This Row],[PID]],DraftResults[[#All],[Player ID]],0)),"")</f>
        <v/>
      </c>
      <c r="AB1478" s="50" t="str">
        <f>IFERROR(INDEX(DraftResults[[#All],[Team Name]],MATCH(Table5[[#This Row],[PID]],DraftResults[[#All],[Player ID]],0)),"")</f>
        <v/>
      </c>
      <c r="AC1478" s="50" t="str">
        <f>IF(Table5[[#This Row],[Ovr]]="","",IF(Table5[[#This Row],[cmbList]]="","",Table5[[#This Row],[cmbList]]-Table5[[#This Row],[Ovr]]))</f>
        <v/>
      </c>
      <c r="AD1478" s="54" t="str">
        <f>IF(ISERROR(VLOOKUP($AB1478&amp;"-"&amp;$E1478&amp;" "&amp;F1478,Bonuses!$B$1:$G$1006,4,FALSE)),"",INT(VLOOKUP($AB1478&amp;"-"&amp;$E1478&amp;" "&amp;$F1478,Bonuses!$B$1:$G$1006,4,FALSE)))</f>
        <v/>
      </c>
      <c r="AE147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79" spans="1:31" x14ac:dyDescent="0.25">
      <c r="A1479" s="50">
        <v>17986</v>
      </c>
      <c r="B1479" s="50">
        <f>COUNTIF(Table5[PID],A1479)</f>
        <v>1</v>
      </c>
      <c r="C1479" s="50" t="str">
        <f>IF(COUNTIF(Table3[[#All],[PID]],A1479)&gt;0,"P","B")</f>
        <v>B</v>
      </c>
      <c r="D1479" s="59" t="str">
        <f>IF($C1479="B",INDEX(Batters[[#All],[POS]],MATCH(Table5[[#This Row],[PID]],Batters[[#All],[PID]],0)),INDEX(Table3[[#All],[POS]],MATCH(Table5[[#This Row],[PID]],Table3[[#All],[PID]],0)))</f>
        <v>2B</v>
      </c>
      <c r="E1479" s="52" t="str">
        <f>IF($C1479="B",INDEX(Batters[[#All],[First]],MATCH(Table5[[#This Row],[PID]],Batters[[#All],[PID]],0)),INDEX(Table3[[#All],[First]],MATCH(Table5[[#This Row],[PID]],Table3[[#All],[PID]],0)))</f>
        <v>Frank</v>
      </c>
      <c r="F1479" s="50" t="str">
        <f>IF($C1479="B",INDEX(Batters[[#All],[Last]],MATCH(A1479,Batters[[#All],[PID]],0)),INDEX(Table3[[#All],[Last]],MATCH(A1479,Table3[[#All],[PID]],0)))</f>
        <v>Carlson</v>
      </c>
      <c r="G1479" s="56">
        <f>IF($C1479="B",INDEX(Batters[[#All],[Age]],MATCH(Table5[[#This Row],[PID]],Batters[[#All],[PID]],0)),INDEX(Table3[[#All],[Age]],MATCH(Table5[[#This Row],[PID]],Table3[[#All],[PID]],0)))</f>
        <v>21</v>
      </c>
      <c r="H1479" s="52" t="str">
        <f>IF($C1479="B",INDEX(Batters[[#All],[B]],MATCH(Table5[[#This Row],[PID]],Batters[[#All],[PID]],0)),INDEX(Table3[[#All],[B]],MATCH(Table5[[#This Row],[PID]],Table3[[#All],[PID]],0)))</f>
        <v>R</v>
      </c>
      <c r="I1479" s="70" t="str">
        <f>IF($C1479="B",INDEX(Batters[[#All],[T]],MATCH(Table5[[#This Row],[PID]],Batters[[#All],[PID]],0)),INDEX(Table3[[#All],[T]],MATCH(Table5[[#This Row],[PID]],Table3[[#All],[PID]],0)))</f>
        <v>R</v>
      </c>
      <c r="J1479" s="52" t="str">
        <f>IF($C1479="B",INDEX(Batters[[#All],[WE]],MATCH(Table5[[#This Row],[PID]],Batters[[#All],[PID]],0)),INDEX(Table3[[#All],[WE]],MATCH(Table5[[#This Row],[PID]],Table3[[#All],[PID]],0)))</f>
        <v>Low</v>
      </c>
      <c r="K1479" s="52" t="str">
        <f>IF($C1479="B",INDEX(Batters[[#All],[INT]],MATCH(Table5[[#This Row],[PID]],Batters[[#All],[PID]],0)),INDEX(Table3[[#All],[INT]],MATCH(Table5[[#This Row],[PID]],Table3[[#All],[PID]],0)))</f>
        <v>Normal</v>
      </c>
      <c r="L1479" s="60">
        <f>IF($C1479="B",INDEX(Batters[[#All],[CON P]],MATCH(Table5[[#This Row],[PID]],Batters[[#All],[PID]],0)),INDEX(Table3[[#All],[STU P]],MATCH(Table5[[#This Row],[PID]],Table3[[#All],[PID]],0)))</f>
        <v>3</v>
      </c>
      <c r="M1479" s="56">
        <f>IF($C1479="B",INDEX(Batters[[#All],[GAP P]],MATCH(Table5[[#This Row],[PID]],Batters[[#All],[PID]],0)),INDEX(Table3[[#All],[MOV P]],MATCH(Table5[[#This Row],[PID]],Table3[[#All],[PID]],0)))</f>
        <v>2</v>
      </c>
      <c r="N1479" s="56">
        <f>IF($C1479="B",INDEX(Batters[[#All],[POW P]],MATCH(Table5[[#This Row],[PID]],Batters[[#All],[PID]],0)),INDEX(Table3[[#All],[CON P]],MATCH(Table5[[#This Row],[PID]],Table3[[#All],[PID]],0)))</f>
        <v>2</v>
      </c>
      <c r="O1479" s="56">
        <f>IF($C1479="B",INDEX(Batters[[#All],[EYE P]],MATCH(Table5[[#This Row],[PID]],Batters[[#All],[PID]],0)),INDEX(Table3[[#All],[VELO]],MATCH(Table5[[#This Row],[PID]],Table3[[#All],[PID]],0)))</f>
        <v>3</v>
      </c>
      <c r="P1479" s="56">
        <f>IF($C1479="B",INDEX(Batters[[#All],[K P]],MATCH(Table5[[#This Row],[PID]],Batters[[#All],[PID]],0)),INDEX(Table3[[#All],[STM]],MATCH(Table5[[#This Row],[PID]],Table3[[#All],[PID]],0)))</f>
        <v>3</v>
      </c>
      <c r="Q1479" s="61">
        <f>IF($C1479="B",INDEX(Batters[[#All],[Tot]],MATCH(Table5[[#This Row],[PID]],Batters[[#All],[PID]],0)),INDEX(Table3[[#All],[Tot]],MATCH(Table5[[#This Row],[PID]],Table3[[#All],[PID]],0)))</f>
        <v>32.568636191570832</v>
      </c>
      <c r="R1479" s="70">
        <f>IF($C1479="B",INDEX(Batters[[#All],[zScore]],MATCH(Table5[[#This Row],[PID]],Batters[[#All],[PID]],0)),INDEX(Table3[[#All],[zScore]],MATCH(Table5[[#This Row],[PID]],Table3[[#All],[PID]],0)))</f>
        <v>-2.5636625532929673</v>
      </c>
      <c r="S1479" s="79" t="str">
        <f>IF($C1479="B",INDEX(Batters[[#All],[DEM]],MATCH(Table5[[#This Row],[PID]],Batters[[#All],[PID]],0)),INDEX(Table3[[#All],[DEM]],MATCH(Table5[[#This Row],[PID]],Table3[[#All],[PID]],0)))</f>
        <v>-</v>
      </c>
      <c r="T1479" s="62">
        <f>IF($C1479="B",INDEX(Batters[[#All],[Rnk]],MATCH(Table5[[#This Row],[PID]],Batters[[#All],[PID]],0)),INDEX(Table3[[#All],[Rnk]],MATCH(Table5[[#This Row],[PID]],Table3[[#All],[PID]],0)))</f>
        <v>695</v>
      </c>
      <c r="U1479" s="68">
        <f>IF($C1479="B",VLOOKUP($A1479,Bat!$A$4:$BA$1621,47,FALSE),VLOOKUP($A1479,Pit!$A$4:$BF$1557,56,FALSE))</f>
        <v>0</v>
      </c>
      <c r="V1479" s="50">
        <f>IF($C1479="B",VLOOKUP($A1479,Bat!$A$4:$BA$1621,48,FALSE),VLOOKUP($A1479,Pit!$A$4:$BF$1557,57,FALSE))</f>
        <v>0</v>
      </c>
      <c r="W1479" s="50">
        <f>Table5[[#This Row],[posRnk]]+Table5[[#This Row],[zRnk]]+IF($W$3&lt;&gt;Table5[[#This Row],[Type]],50,0)</f>
        <v>2218</v>
      </c>
      <c r="X1479" s="51">
        <f>RANK(Table5[[#This Row],[zScore]],Table5[[#All],[zScore]])</f>
        <v>1473</v>
      </c>
      <c r="Y1479" s="50" t="str">
        <f>IFERROR(INDEX(DraftResults[[#All],[OVR]],MATCH(Table5[[#This Row],[PID]],DraftResults[[#All],[Player ID]],0)),"")</f>
        <v/>
      </c>
      <c r="Z147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79" s="50" t="str">
        <f>IFERROR(INDEX(DraftResults[[#All],[Pick in Round]],MATCH(Table5[[#This Row],[PID]],DraftResults[[#All],[Player ID]],0)),"")</f>
        <v/>
      </c>
      <c r="AB1479" s="50" t="str">
        <f>IFERROR(INDEX(DraftResults[[#All],[Team Name]],MATCH(Table5[[#This Row],[PID]],DraftResults[[#All],[Player ID]],0)),"")</f>
        <v/>
      </c>
      <c r="AC1479" s="50" t="str">
        <f>IF(Table5[[#This Row],[Ovr]]="","",IF(Table5[[#This Row],[cmbList]]="","",Table5[[#This Row],[cmbList]]-Table5[[#This Row],[Ovr]]))</f>
        <v/>
      </c>
      <c r="AD1479" s="54" t="str">
        <f>IF(ISERROR(VLOOKUP($AB1479&amp;"-"&amp;$E1479&amp;" "&amp;F1479,Bonuses!$B$1:$G$1006,4,FALSE)),"",INT(VLOOKUP($AB1479&amp;"-"&amp;$E1479&amp;" "&amp;$F1479,Bonuses!$B$1:$G$1006,4,FALSE)))</f>
        <v/>
      </c>
      <c r="AE147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0" spans="1:31" x14ac:dyDescent="0.25">
      <c r="A1480" s="50">
        <v>16489</v>
      </c>
      <c r="B1480" s="50">
        <f>COUNTIF(Table5[PID],A1480)</f>
        <v>1</v>
      </c>
      <c r="C1480" s="50" t="str">
        <f>IF(COUNTIF(Table3[[#All],[PID]],A1480)&gt;0,"P","B")</f>
        <v>B</v>
      </c>
      <c r="D1480" s="59" t="str">
        <f>IF($C1480="B",INDEX(Batters[[#All],[POS]],MATCH(Table5[[#This Row],[PID]],Batters[[#All],[PID]],0)),INDEX(Table3[[#All],[POS]],MATCH(Table5[[#This Row],[PID]],Table3[[#All],[PID]],0)))</f>
        <v>SS</v>
      </c>
      <c r="E1480" s="52" t="str">
        <f>IF($C1480="B",INDEX(Batters[[#All],[First]],MATCH(Table5[[#This Row],[PID]],Batters[[#All],[PID]],0)),INDEX(Table3[[#All],[First]],MATCH(Table5[[#This Row],[PID]],Table3[[#All],[PID]],0)))</f>
        <v>Tony</v>
      </c>
      <c r="F1480" s="50" t="str">
        <f>IF($C1480="B",INDEX(Batters[[#All],[Last]],MATCH(A1480,Batters[[#All],[PID]],0)),INDEX(Table3[[#All],[Last]],MATCH(A1480,Table3[[#All],[PID]],0)))</f>
        <v>Guardado</v>
      </c>
      <c r="G1480" s="56">
        <f>IF($C1480="B",INDEX(Batters[[#All],[Age]],MATCH(Table5[[#This Row],[PID]],Batters[[#All],[PID]],0)),INDEX(Table3[[#All],[Age]],MATCH(Table5[[#This Row],[PID]],Table3[[#All],[PID]],0)))</f>
        <v>21</v>
      </c>
      <c r="H1480" s="52" t="str">
        <f>IF($C1480="B",INDEX(Batters[[#All],[B]],MATCH(Table5[[#This Row],[PID]],Batters[[#All],[PID]],0)),INDEX(Table3[[#All],[B]],MATCH(Table5[[#This Row],[PID]],Table3[[#All],[PID]],0)))</f>
        <v>R</v>
      </c>
      <c r="I1480" s="70" t="str">
        <f>IF($C1480="B",INDEX(Batters[[#All],[T]],MATCH(Table5[[#This Row],[PID]],Batters[[#All],[PID]],0)),INDEX(Table3[[#All],[T]],MATCH(Table5[[#This Row],[PID]],Table3[[#All],[PID]],0)))</f>
        <v>R</v>
      </c>
      <c r="J1480" s="52" t="str">
        <f>IF($C1480="B",INDEX(Batters[[#All],[WE]],MATCH(Table5[[#This Row],[PID]],Batters[[#All],[PID]],0)),INDEX(Table3[[#All],[WE]],MATCH(Table5[[#This Row],[PID]],Table3[[#All],[PID]],0)))</f>
        <v>High</v>
      </c>
      <c r="K1480" s="52" t="str">
        <f>IF($C1480="B",INDEX(Batters[[#All],[INT]],MATCH(Table5[[#This Row],[PID]],Batters[[#All],[PID]],0)),INDEX(Table3[[#All],[INT]],MATCH(Table5[[#This Row],[PID]],Table3[[#All],[PID]],0)))</f>
        <v>Normal</v>
      </c>
      <c r="L1480" s="60">
        <f>IF($C1480="B",INDEX(Batters[[#All],[CON P]],MATCH(Table5[[#This Row],[PID]],Batters[[#All],[PID]],0)),INDEX(Table3[[#All],[STU P]],MATCH(Table5[[#This Row],[PID]],Table3[[#All],[PID]],0)))</f>
        <v>2</v>
      </c>
      <c r="M1480" s="56">
        <f>IF($C1480="B",INDEX(Batters[[#All],[GAP P]],MATCH(Table5[[#This Row],[PID]],Batters[[#All],[PID]],0)),INDEX(Table3[[#All],[MOV P]],MATCH(Table5[[#This Row],[PID]],Table3[[#All],[PID]],0)))</f>
        <v>3</v>
      </c>
      <c r="N1480" s="56">
        <f>IF($C1480="B",INDEX(Batters[[#All],[POW P]],MATCH(Table5[[#This Row],[PID]],Batters[[#All],[PID]],0)),INDEX(Table3[[#All],[CON P]],MATCH(Table5[[#This Row],[PID]],Table3[[#All],[PID]],0)))</f>
        <v>3</v>
      </c>
      <c r="O1480" s="56">
        <f>IF($C1480="B",INDEX(Batters[[#All],[EYE P]],MATCH(Table5[[#This Row],[PID]],Batters[[#All],[PID]],0)),INDEX(Table3[[#All],[VELO]],MATCH(Table5[[#This Row],[PID]],Table3[[#All],[PID]],0)))</f>
        <v>4</v>
      </c>
      <c r="P1480" s="56">
        <f>IF($C1480="B",INDEX(Batters[[#All],[K P]],MATCH(Table5[[#This Row],[PID]],Batters[[#All],[PID]],0)),INDEX(Table3[[#All],[STM]],MATCH(Table5[[#This Row],[PID]],Table3[[#All],[PID]],0)))</f>
        <v>3</v>
      </c>
      <c r="Q1480" s="61">
        <f>IF($C1480="B",INDEX(Batters[[#All],[Tot]],MATCH(Table5[[#This Row],[PID]],Batters[[#All],[PID]],0)),INDEX(Table3[[#All],[Tot]],MATCH(Table5[[#This Row],[PID]],Table3[[#All],[PID]],0)))</f>
        <v>32.548014183927798</v>
      </c>
      <c r="R1480" s="70">
        <f>IF($C1480="B",INDEX(Batters[[#All],[zScore]],MATCH(Table5[[#This Row],[PID]],Batters[[#All],[PID]],0)),INDEX(Table3[[#All],[zScore]],MATCH(Table5[[#This Row],[PID]],Table3[[#All],[PID]],0)))</f>
        <v>-2.5682345917792633</v>
      </c>
      <c r="S1480" s="79" t="str">
        <f>IF($C1480="B",INDEX(Batters[[#All],[DEM]],MATCH(Table5[[#This Row],[PID]],Batters[[#All],[PID]],0)),INDEX(Table3[[#All],[DEM]],MATCH(Table5[[#This Row],[PID]],Table3[[#All],[PID]],0)))</f>
        <v>-</v>
      </c>
      <c r="T1480" s="62">
        <f>IF($C1480="B",INDEX(Batters[[#All],[Rnk]],MATCH(Table5[[#This Row],[PID]],Batters[[#All],[PID]],0)),INDEX(Table3[[#All],[Rnk]],MATCH(Table5[[#This Row],[PID]],Table3[[#All],[PID]],0)))</f>
        <v>696</v>
      </c>
      <c r="U1480" s="68">
        <f>IF($C1480="B",VLOOKUP($A1480,Bat!$A$4:$BA$1621,47,FALSE),VLOOKUP($A1480,Pit!$A$4:$BF$1557,56,FALSE))</f>
        <v>0</v>
      </c>
      <c r="V1480" s="50">
        <f>IF($C1480="B",VLOOKUP($A1480,Bat!$A$4:$BA$1621,48,FALSE),VLOOKUP($A1480,Pit!$A$4:$BF$1557,57,FALSE))</f>
        <v>0</v>
      </c>
      <c r="W1480" s="50">
        <f>Table5[[#This Row],[posRnk]]+Table5[[#This Row],[zRnk]]+IF($W$3&lt;&gt;Table5[[#This Row],[Type]],50,0)</f>
        <v>2220</v>
      </c>
      <c r="X1480" s="51">
        <f>RANK(Table5[[#This Row],[zScore]],Table5[[#All],[zScore]])</f>
        <v>1474</v>
      </c>
      <c r="Y1480" s="50" t="str">
        <f>IFERROR(INDEX(DraftResults[[#All],[OVR]],MATCH(Table5[[#This Row],[PID]],DraftResults[[#All],[Player ID]],0)),"")</f>
        <v/>
      </c>
      <c r="Z148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0" s="50" t="str">
        <f>IFERROR(INDEX(DraftResults[[#All],[Pick in Round]],MATCH(Table5[[#This Row],[PID]],DraftResults[[#All],[Player ID]],0)),"")</f>
        <v/>
      </c>
      <c r="AB1480" s="50" t="str">
        <f>IFERROR(INDEX(DraftResults[[#All],[Team Name]],MATCH(Table5[[#This Row],[PID]],DraftResults[[#All],[Player ID]],0)),"")</f>
        <v/>
      </c>
      <c r="AC1480" s="50" t="str">
        <f>IF(Table5[[#This Row],[Ovr]]="","",IF(Table5[[#This Row],[cmbList]]="","",Table5[[#This Row],[cmbList]]-Table5[[#This Row],[Ovr]]))</f>
        <v/>
      </c>
      <c r="AD1480" s="54" t="str">
        <f>IF(ISERROR(VLOOKUP($AB1480&amp;"-"&amp;$E1480&amp;" "&amp;F1480,Bonuses!$B$1:$G$1006,4,FALSE)),"",INT(VLOOKUP($AB1480&amp;"-"&amp;$E1480&amp;" "&amp;$F1480,Bonuses!$B$1:$G$1006,4,FALSE)))</f>
        <v/>
      </c>
      <c r="AE148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1" spans="1:31" x14ac:dyDescent="0.25">
      <c r="A1481" s="50">
        <v>16908</v>
      </c>
      <c r="B1481" s="50">
        <f>COUNTIF(Table5[PID],A1481)</f>
        <v>1</v>
      </c>
      <c r="C1481" s="50" t="str">
        <f>IF(COUNTIF(Table3[[#All],[PID]],A1481)&gt;0,"P","B")</f>
        <v>B</v>
      </c>
      <c r="D1481" s="59" t="str">
        <f>IF($C1481="B",INDEX(Batters[[#All],[POS]],MATCH(Table5[[#This Row],[PID]],Batters[[#All],[PID]],0)),INDEX(Table3[[#All],[POS]],MATCH(Table5[[#This Row],[PID]],Table3[[#All],[PID]],0)))</f>
        <v>C</v>
      </c>
      <c r="E1481" s="52" t="str">
        <f>IF($C1481="B",INDEX(Batters[[#All],[First]],MATCH(Table5[[#This Row],[PID]],Batters[[#All],[PID]],0)),INDEX(Table3[[#All],[First]],MATCH(Table5[[#This Row],[PID]],Table3[[#All],[PID]],0)))</f>
        <v>Otis</v>
      </c>
      <c r="F1481" s="50" t="str">
        <f>IF($C1481="B",INDEX(Batters[[#All],[Last]],MATCH(A1481,Batters[[#All],[PID]],0)),INDEX(Table3[[#All],[Last]],MATCH(A1481,Table3[[#All],[PID]],0)))</f>
        <v>Barnes</v>
      </c>
      <c r="G1481" s="56">
        <f>IF($C1481="B",INDEX(Batters[[#All],[Age]],MATCH(Table5[[#This Row],[PID]],Batters[[#All],[PID]],0)),INDEX(Table3[[#All],[Age]],MATCH(Table5[[#This Row],[PID]],Table3[[#All],[PID]],0)))</f>
        <v>21</v>
      </c>
      <c r="H1481" s="52" t="str">
        <f>IF($C1481="B",INDEX(Batters[[#All],[B]],MATCH(Table5[[#This Row],[PID]],Batters[[#All],[PID]],0)),INDEX(Table3[[#All],[B]],MATCH(Table5[[#This Row],[PID]],Table3[[#All],[PID]],0)))</f>
        <v>R</v>
      </c>
      <c r="I1481" s="70" t="str">
        <f>IF($C1481="B",INDEX(Batters[[#All],[T]],MATCH(Table5[[#This Row],[PID]],Batters[[#All],[PID]],0)),INDEX(Table3[[#All],[T]],MATCH(Table5[[#This Row],[PID]],Table3[[#All],[PID]],0)))</f>
        <v>R</v>
      </c>
      <c r="J1481" s="52" t="str">
        <f>IF($C1481="B",INDEX(Batters[[#All],[WE]],MATCH(Table5[[#This Row],[PID]],Batters[[#All],[PID]],0)),INDEX(Table3[[#All],[WE]],MATCH(Table5[[#This Row],[PID]],Table3[[#All],[PID]],0)))</f>
        <v>Normal</v>
      </c>
      <c r="K1481" s="52" t="str">
        <f>IF($C1481="B",INDEX(Batters[[#All],[INT]],MATCH(Table5[[#This Row],[PID]],Batters[[#All],[PID]],0)),INDEX(Table3[[#All],[INT]],MATCH(Table5[[#This Row],[PID]],Table3[[#All],[PID]],0)))</f>
        <v>Normal</v>
      </c>
      <c r="L1481" s="60">
        <f>IF($C1481="B",INDEX(Batters[[#All],[CON P]],MATCH(Table5[[#This Row],[PID]],Batters[[#All],[PID]],0)),INDEX(Table3[[#All],[STU P]],MATCH(Table5[[#This Row],[PID]],Table3[[#All],[PID]],0)))</f>
        <v>2</v>
      </c>
      <c r="M1481" s="56">
        <f>IF($C1481="B",INDEX(Batters[[#All],[GAP P]],MATCH(Table5[[#This Row],[PID]],Batters[[#All],[PID]],0)),INDEX(Table3[[#All],[MOV P]],MATCH(Table5[[#This Row],[PID]],Table3[[#All],[PID]],0)))</f>
        <v>2</v>
      </c>
      <c r="N1481" s="56">
        <f>IF($C1481="B",INDEX(Batters[[#All],[POW P]],MATCH(Table5[[#This Row],[PID]],Batters[[#All],[PID]],0)),INDEX(Table3[[#All],[CON P]],MATCH(Table5[[#This Row],[PID]],Table3[[#All],[PID]],0)))</f>
        <v>3</v>
      </c>
      <c r="O1481" s="56">
        <f>IF($C1481="B",INDEX(Batters[[#All],[EYE P]],MATCH(Table5[[#This Row],[PID]],Batters[[#All],[PID]],0)),INDEX(Table3[[#All],[VELO]],MATCH(Table5[[#This Row],[PID]],Table3[[#All],[PID]],0)))</f>
        <v>4</v>
      </c>
      <c r="P1481" s="56">
        <f>IF($C1481="B",INDEX(Batters[[#All],[K P]],MATCH(Table5[[#This Row],[PID]],Batters[[#All],[PID]],0)),INDEX(Table3[[#All],[STM]],MATCH(Table5[[#This Row],[PID]],Table3[[#All],[PID]],0)))</f>
        <v>3</v>
      </c>
      <c r="Q1481" s="61">
        <f>IF($C1481="B",INDEX(Batters[[#All],[Tot]],MATCH(Table5[[#This Row],[PID]],Batters[[#All],[PID]],0)),INDEX(Table3[[#All],[Tot]],MATCH(Table5[[#This Row],[PID]],Table3[[#All],[PID]],0)))</f>
        <v>32.538522973874819</v>
      </c>
      <c r="R1481" s="70">
        <f>IF($C1481="B",INDEX(Batters[[#All],[zScore]],MATCH(Table5[[#This Row],[PID]],Batters[[#All],[PID]],0)),INDEX(Table3[[#All],[zScore]],MATCH(Table5[[#This Row],[PID]],Table3[[#All],[PID]],0)))</f>
        <v>-2.5703388572026342</v>
      </c>
      <c r="S1481" s="79" t="str">
        <f>IF($C1481="B",INDEX(Batters[[#All],[DEM]],MATCH(Table5[[#This Row],[PID]],Batters[[#All],[PID]],0)),INDEX(Table3[[#All],[DEM]],MATCH(Table5[[#This Row],[PID]],Table3[[#All],[PID]],0)))</f>
        <v>-</v>
      </c>
      <c r="T1481" s="62">
        <f>IF($C1481="B",INDEX(Batters[[#All],[Rnk]],MATCH(Table5[[#This Row],[PID]],Batters[[#All],[PID]],0)),INDEX(Table3[[#All],[Rnk]],MATCH(Table5[[#This Row],[PID]],Table3[[#All],[PID]],0)))</f>
        <v>697</v>
      </c>
      <c r="U1481" s="68">
        <f>IF($C1481="B",VLOOKUP($A1481,Bat!$A$4:$BA$1621,47,FALSE),VLOOKUP($A1481,Pit!$A$4:$BF$1557,56,FALSE))</f>
        <v>0</v>
      </c>
      <c r="V1481" s="50">
        <f>IF($C1481="B",VLOOKUP($A1481,Bat!$A$4:$BA$1621,48,FALSE),VLOOKUP($A1481,Pit!$A$4:$BF$1557,57,FALSE))</f>
        <v>0</v>
      </c>
      <c r="W1481" s="50">
        <f>Table5[[#This Row],[posRnk]]+Table5[[#This Row],[zRnk]]+IF($W$3&lt;&gt;Table5[[#This Row],[Type]],50,0)</f>
        <v>2222</v>
      </c>
      <c r="X1481" s="51">
        <f>RANK(Table5[[#This Row],[zScore]],Table5[[#All],[zScore]])</f>
        <v>1475</v>
      </c>
      <c r="Y1481" s="50" t="str">
        <f>IFERROR(INDEX(DraftResults[[#All],[OVR]],MATCH(Table5[[#This Row],[PID]],DraftResults[[#All],[Player ID]],0)),"")</f>
        <v/>
      </c>
      <c r="Z148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1" s="50" t="str">
        <f>IFERROR(INDEX(DraftResults[[#All],[Pick in Round]],MATCH(Table5[[#This Row],[PID]],DraftResults[[#All],[Player ID]],0)),"")</f>
        <v/>
      </c>
      <c r="AB1481" s="50" t="str">
        <f>IFERROR(INDEX(DraftResults[[#All],[Team Name]],MATCH(Table5[[#This Row],[PID]],DraftResults[[#All],[Player ID]],0)),"")</f>
        <v/>
      </c>
      <c r="AC1481" s="50" t="str">
        <f>IF(Table5[[#This Row],[Ovr]]="","",IF(Table5[[#This Row],[cmbList]]="","",Table5[[#This Row],[cmbList]]-Table5[[#This Row],[Ovr]]))</f>
        <v/>
      </c>
      <c r="AD1481" s="54" t="str">
        <f>IF(ISERROR(VLOOKUP($AB1481&amp;"-"&amp;$E1481&amp;" "&amp;F1481,Bonuses!$B$1:$G$1006,4,FALSE)),"",INT(VLOOKUP($AB1481&amp;"-"&amp;$E1481&amp;" "&amp;$F1481,Bonuses!$B$1:$G$1006,4,FALSE)))</f>
        <v/>
      </c>
      <c r="AE148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2" spans="1:31" x14ac:dyDescent="0.25">
      <c r="A1482" s="50">
        <v>6254</v>
      </c>
      <c r="B1482" s="50">
        <f>COUNTIF(Table5[PID],A1482)</f>
        <v>1</v>
      </c>
      <c r="C1482" s="50" t="str">
        <f>IF(COUNTIF(Table3[[#All],[PID]],A1482)&gt;0,"P","B")</f>
        <v>B</v>
      </c>
      <c r="D1482" s="59" t="str">
        <f>IF($C1482="B",INDEX(Batters[[#All],[POS]],MATCH(Table5[[#This Row],[PID]],Batters[[#All],[PID]],0)),INDEX(Table3[[#All],[POS]],MATCH(Table5[[#This Row],[PID]],Table3[[#All],[PID]],0)))</f>
        <v>C</v>
      </c>
      <c r="E1482" s="52" t="str">
        <f>IF($C1482="B",INDEX(Batters[[#All],[First]],MATCH(Table5[[#This Row],[PID]],Batters[[#All],[PID]],0)),INDEX(Table3[[#All],[First]],MATCH(Table5[[#This Row],[PID]],Table3[[#All],[PID]],0)))</f>
        <v>Ralph</v>
      </c>
      <c r="F1482" s="50" t="str">
        <f>IF($C1482="B",INDEX(Batters[[#All],[Last]],MATCH(A1482,Batters[[#All],[PID]],0)),INDEX(Table3[[#All],[Last]],MATCH(A1482,Table3[[#All],[PID]],0)))</f>
        <v>Rice</v>
      </c>
      <c r="G1482" s="56">
        <f>IF($C1482="B",INDEX(Batters[[#All],[Age]],MATCH(Table5[[#This Row],[PID]],Batters[[#All],[PID]],0)),INDEX(Table3[[#All],[Age]],MATCH(Table5[[#This Row],[PID]],Table3[[#All],[PID]],0)))</f>
        <v>22</v>
      </c>
      <c r="H1482" s="52" t="str">
        <f>IF($C1482="B",INDEX(Batters[[#All],[B]],MATCH(Table5[[#This Row],[PID]],Batters[[#All],[PID]],0)),INDEX(Table3[[#All],[B]],MATCH(Table5[[#This Row],[PID]],Table3[[#All],[PID]],0)))</f>
        <v>R</v>
      </c>
      <c r="I1482" s="70" t="str">
        <f>IF($C1482="B",INDEX(Batters[[#All],[T]],MATCH(Table5[[#This Row],[PID]],Batters[[#All],[PID]],0)),INDEX(Table3[[#All],[T]],MATCH(Table5[[#This Row],[PID]],Table3[[#All],[PID]],0)))</f>
        <v>R</v>
      </c>
      <c r="J1482" s="52" t="str">
        <f>IF($C1482="B",INDEX(Batters[[#All],[WE]],MATCH(Table5[[#This Row],[PID]],Batters[[#All],[PID]],0)),INDEX(Table3[[#All],[WE]],MATCH(Table5[[#This Row],[PID]],Table3[[#All],[PID]],0)))</f>
        <v>Normal</v>
      </c>
      <c r="K1482" s="52" t="str">
        <f>IF($C1482="B",INDEX(Batters[[#All],[INT]],MATCH(Table5[[#This Row],[PID]],Batters[[#All],[PID]],0)),INDEX(Table3[[#All],[INT]],MATCH(Table5[[#This Row],[PID]],Table3[[#All],[PID]],0)))</f>
        <v>Normal</v>
      </c>
      <c r="L1482" s="60">
        <f>IF($C1482="B",INDEX(Batters[[#All],[CON P]],MATCH(Table5[[#This Row],[PID]],Batters[[#All],[PID]],0)),INDEX(Table3[[#All],[STU P]],MATCH(Table5[[#This Row],[PID]],Table3[[#All],[PID]],0)))</f>
        <v>2</v>
      </c>
      <c r="M1482" s="56">
        <f>IF($C1482="B",INDEX(Batters[[#All],[GAP P]],MATCH(Table5[[#This Row],[PID]],Batters[[#All],[PID]],0)),INDEX(Table3[[#All],[MOV P]],MATCH(Table5[[#This Row],[PID]],Table3[[#All],[PID]],0)))</f>
        <v>2</v>
      </c>
      <c r="N1482" s="56">
        <f>IF($C1482="B",INDEX(Batters[[#All],[POW P]],MATCH(Table5[[#This Row],[PID]],Batters[[#All],[PID]],0)),INDEX(Table3[[#All],[CON P]],MATCH(Table5[[#This Row],[PID]],Table3[[#All],[PID]],0)))</f>
        <v>4</v>
      </c>
      <c r="O1482" s="56">
        <f>IF($C1482="B",INDEX(Batters[[#All],[EYE P]],MATCH(Table5[[#This Row],[PID]],Batters[[#All],[PID]],0)),INDEX(Table3[[#All],[VELO]],MATCH(Table5[[#This Row],[PID]],Table3[[#All],[PID]],0)))</f>
        <v>6</v>
      </c>
      <c r="P1482" s="56">
        <f>IF($C1482="B",INDEX(Batters[[#All],[K P]],MATCH(Table5[[#This Row],[PID]],Batters[[#All],[PID]],0)),INDEX(Table3[[#All],[STM]],MATCH(Table5[[#This Row],[PID]],Table3[[#All],[PID]],0)))</f>
        <v>1</v>
      </c>
      <c r="Q1482" s="61">
        <f>IF($C1482="B",INDEX(Batters[[#All],[Tot]],MATCH(Table5[[#This Row],[PID]],Batters[[#All],[PID]],0)),INDEX(Table3[[#All],[Tot]],MATCH(Table5[[#This Row],[PID]],Table3[[#All],[PID]],0)))</f>
        <v>32.516974889744411</v>
      </c>
      <c r="R1482" s="70">
        <f>IF($C1482="B",INDEX(Batters[[#All],[zScore]],MATCH(Table5[[#This Row],[PID]],Batters[[#All],[PID]],0)),INDEX(Table3[[#All],[zScore]],MATCH(Table5[[#This Row],[PID]],Table3[[#All],[PID]],0)))</f>
        <v>-2.5751162131058769</v>
      </c>
      <c r="S1482" s="79" t="str">
        <f>IF($C1482="B",INDEX(Batters[[#All],[DEM]],MATCH(Table5[[#This Row],[PID]],Batters[[#All],[PID]],0)),INDEX(Table3[[#All],[DEM]],MATCH(Table5[[#This Row],[PID]],Table3[[#All],[PID]],0)))</f>
        <v>-</v>
      </c>
      <c r="T1482" s="62">
        <f>IF($C1482="B",INDEX(Batters[[#All],[Rnk]],MATCH(Table5[[#This Row],[PID]],Batters[[#All],[PID]],0)),INDEX(Table3[[#All],[Rnk]],MATCH(Table5[[#This Row],[PID]],Table3[[#All],[PID]],0)))</f>
        <v>698</v>
      </c>
      <c r="U1482" s="68">
        <f>IF($C1482="B",VLOOKUP($A1482,Bat!$A$4:$BA$1621,47,FALSE),VLOOKUP($A1482,Pit!$A$4:$BF$1557,56,FALSE))</f>
        <v>0</v>
      </c>
      <c r="V1482" s="50">
        <f>IF($C1482="B",VLOOKUP($A1482,Bat!$A$4:$BA$1621,48,FALSE),VLOOKUP($A1482,Pit!$A$4:$BF$1557,57,FALSE))</f>
        <v>0</v>
      </c>
      <c r="W1482" s="50">
        <f>Table5[[#This Row],[posRnk]]+Table5[[#This Row],[zRnk]]+IF($W$3&lt;&gt;Table5[[#This Row],[Type]],50,0)</f>
        <v>2224</v>
      </c>
      <c r="X1482" s="51">
        <f>RANK(Table5[[#This Row],[zScore]],Table5[[#All],[zScore]])</f>
        <v>1476</v>
      </c>
      <c r="Y1482" s="50" t="str">
        <f>IFERROR(INDEX(DraftResults[[#All],[OVR]],MATCH(Table5[[#This Row],[PID]],DraftResults[[#All],[Player ID]],0)),"")</f>
        <v/>
      </c>
      <c r="Z148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2" s="50" t="str">
        <f>IFERROR(INDEX(DraftResults[[#All],[Pick in Round]],MATCH(Table5[[#This Row],[PID]],DraftResults[[#All],[Player ID]],0)),"")</f>
        <v/>
      </c>
      <c r="AB1482" s="50" t="str">
        <f>IFERROR(INDEX(DraftResults[[#All],[Team Name]],MATCH(Table5[[#This Row],[PID]],DraftResults[[#All],[Player ID]],0)),"")</f>
        <v/>
      </c>
      <c r="AC1482" s="50" t="str">
        <f>IF(Table5[[#This Row],[Ovr]]="","",IF(Table5[[#This Row],[cmbList]]="","",Table5[[#This Row],[cmbList]]-Table5[[#This Row],[Ovr]]))</f>
        <v/>
      </c>
      <c r="AD1482" s="54" t="str">
        <f>IF(ISERROR(VLOOKUP($AB1482&amp;"-"&amp;$E1482&amp;" "&amp;F1482,Bonuses!$B$1:$G$1006,4,FALSE)),"",INT(VLOOKUP($AB1482&amp;"-"&amp;$E1482&amp;" "&amp;$F1482,Bonuses!$B$1:$G$1006,4,FALSE)))</f>
        <v/>
      </c>
      <c r="AE148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3" spans="1:31" x14ac:dyDescent="0.25">
      <c r="A1483" s="50">
        <v>16929</v>
      </c>
      <c r="B1483" s="50">
        <f>COUNTIF(Table5[PID],A1483)</f>
        <v>1</v>
      </c>
      <c r="C1483" s="50" t="str">
        <f>IF(COUNTIF(Table3[[#All],[PID]],A1483)&gt;0,"P","B")</f>
        <v>B</v>
      </c>
      <c r="D1483" s="59" t="str">
        <f>IF($C1483="B",INDEX(Batters[[#All],[POS]],MATCH(Table5[[#This Row],[PID]],Batters[[#All],[PID]],0)),INDEX(Table3[[#All],[POS]],MATCH(Table5[[#This Row],[PID]],Table3[[#All],[PID]],0)))</f>
        <v>3B</v>
      </c>
      <c r="E1483" s="52" t="str">
        <f>IF($C1483="B",INDEX(Batters[[#All],[First]],MATCH(Table5[[#This Row],[PID]],Batters[[#All],[PID]],0)),INDEX(Table3[[#All],[First]],MATCH(Table5[[#This Row],[PID]],Table3[[#All],[PID]],0)))</f>
        <v>Jim</v>
      </c>
      <c r="F1483" s="50" t="str">
        <f>IF($C1483="B",INDEX(Batters[[#All],[Last]],MATCH(A1483,Batters[[#All],[PID]],0)),INDEX(Table3[[#All],[Last]],MATCH(A1483,Table3[[#All],[PID]],0)))</f>
        <v>Marshall</v>
      </c>
      <c r="G1483" s="56">
        <f>IF($C1483="B",INDEX(Batters[[#All],[Age]],MATCH(Table5[[#This Row],[PID]],Batters[[#All],[PID]],0)),INDEX(Table3[[#All],[Age]],MATCH(Table5[[#This Row],[PID]],Table3[[#All],[PID]],0)))</f>
        <v>21</v>
      </c>
      <c r="H1483" s="52" t="str">
        <f>IF($C1483="B",INDEX(Batters[[#All],[B]],MATCH(Table5[[#This Row],[PID]],Batters[[#All],[PID]],0)),INDEX(Table3[[#All],[B]],MATCH(Table5[[#This Row],[PID]],Table3[[#All],[PID]],0)))</f>
        <v>R</v>
      </c>
      <c r="I1483" s="70" t="str">
        <f>IF($C1483="B",INDEX(Batters[[#All],[T]],MATCH(Table5[[#This Row],[PID]],Batters[[#All],[PID]],0)),INDEX(Table3[[#All],[T]],MATCH(Table5[[#This Row],[PID]],Table3[[#All],[PID]],0)))</f>
        <v>R</v>
      </c>
      <c r="J1483" s="52" t="str">
        <f>IF($C1483="B",INDEX(Batters[[#All],[WE]],MATCH(Table5[[#This Row],[PID]],Batters[[#All],[PID]],0)),INDEX(Table3[[#All],[WE]],MATCH(Table5[[#This Row],[PID]],Table3[[#All],[PID]],0)))</f>
        <v>High</v>
      </c>
      <c r="K1483" s="52" t="str">
        <f>IF($C1483="B",INDEX(Batters[[#All],[INT]],MATCH(Table5[[#This Row],[PID]],Batters[[#All],[PID]],0)),INDEX(Table3[[#All],[INT]],MATCH(Table5[[#This Row],[PID]],Table3[[#All],[PID]],0)))</f>
        <v>Normal</v>
      </c>
      <c r="L1483" s="60">
        <f>IF($C1483="B",INDEX(Batters[[#All],[CON P]],MATCH(Table5[[#This Row],[PID]],Batters[[#All],[PID]],0)),INDEX(Table3[[#All],[STU P]],MATCH(Table5[[#This Row],[PID]],Table3[[#All],[PID]],0)))</f>
        <v>2</v>
      </c>
      <c r="M1483" s="56">
        <f>IF($C1483="B",INDEX(Batters[[#All],[GAP P]],MATCH(Table5[[#This Row],[PID]],Batters[[#All],[PID]],0)),INDEX(Table3[[#All],[MOV P]],MATCH(Table5[[#This Row],[PID]],Table3[[#All],[PID]],0)))</f>
        <v>3</v>
      </c>
      <c r="N1483" s="56">
        <f>IF($C1483="B",INDEX(Batters[[#All],[POW P]],MATCH(Table5[[#This Row],[PID]],Batters[[#All],[PID]],0)),INDEX(Table3[[#All],[CON P]],MATCH(Table5[[#This Row],[PID]],Table3[[#All],[PID]],0)))</f>
        <v>2</v>
      </c>
      <c r="O1483" s="56">
        <f>IF($C1483="B",INDEX(Batters[[#All],[EYE P]],MATCH(Table5[[#This Row],[PID]],Batters[[#All],[PID]],0)),INDEX(Table3[[#All],[VELO]],MATCH(Table5[[#This Row],[PID]],Table3[[#All],[PID]],0)))</f>
        <v>4</v>
      </c>
      <c r="P1483" s="56">
        <f>IF($C1483="B",INDEX(Batters[[#All],[K P]],MATCH(Table5[[#This Row],[PID]],Batters[[#All],[PID]],0)),INDEX(Table3[[#All],[STM]],MATCH(Table5[[#This Row],[PID]],Table3[[#All],[PID]],0)))</f>
        <v>3</v>
      </c>
      <c r="Q1483" s="61">
        <f>IF($C1483="B",INDEX(Batters[[#All],[Tot]],MATCH(Table5[[#This Row],[PID]],Batters[[#All],[PID]],0)),INDEX(Table3[[#All],[Tot]],MATCH(Table5[[#This Row],[PID]],Table3[[#All],[PID]],0)))</f>
        <v>32.497582177956978</v>
      </c>
      <c r="R1483" s="70">
        <f>IF($C1483="B",INDEX(Batters[[#All],[zScore]],MATCH(Table5[[#This Row],[PID]],Batters[[#All],[PID]],0)),INDEX(Table3[[#All],[zScore]],MATCH(Table5[[#This Row],[PID]],Table3[[#All],[PID]],0)))</f>
        <v>-2.5794157083917173</v>
      </c>
      <c r="S1483" s="79" t="str">
        <f>IF($C1483="B",INDEX(Batters[[#All],[DEM]],MATCH(Table5[[#This Row],[PID]],Batters[[#All],[PID]],0)),INDEX(Table3[[#All],[DEM]],MATCH(Table5[[#This Row],[PID]],Table3[[#All],[PID]],0)))</f>
        <v>-</v>
      </c>
      <c r="T1483" s="62">
        <f>IF($C1483="B",INDEX(Batters[[#All],[Rnk]],MATCH(Table5[[#This Row],[PID]],Batters[[#All],[PID]],0)),INDEX(Table3[[#All],[Rnk]],MATCH(Table5[[#This Row],[PID]],Table3[[#All],[PID]],0)))</f>
        <v>699</v>
      </c>
      <c r="U1483" s="68">
        <f>IF($C1483="B",VLOOKUP($A1483,Bat!$A$4:$BA$1621,47,FALSE),VLOOKUP($A1483,Pit!$A$4:$BF$1557,56,FALSE))</f>
        <v>0</v>
      </c>
      <c r="V1483" s="50">
        <f>IF($C1483="B",VLOOKUP($A1483,Bat!$A$4:$BA$1621,48,FALSE),VLOOKUP($A1483,Pit!$A$4:$BF$1557,57,FALSE))</f>
        <v>0</v>
      </c>
      <c r="W1483" s="50">
        <f>Table5[[#This Row],[posRnk]]+Table5[[#This Row],[zRnk]]+IF($W$3&lt;&gt;Table5[[#This Row],[Type]],50,0)</f>
        <v>2226</v>
      </c>
      <c r="X1483" s="51">
        <f>RANK(Table5[[#This Row],[zScore]],Table5[[#All],[zScore]])</f>
        <v>1477</v>
      </c>
      <c r="Y1483" s="50" t="str">
        <f>IFERROR(INDEX(DraftResults[[#All],[OVR]],MATCH(Table5[[#This Row],[PID]],DraftResults[[#All],[Player ID]],0)),"")</f>
        <v/>
      </c>
      <c r="Z148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3" s="50" t="str">
        <f>IFERROR(INDEX(DraftResults[[#All],[Pick in Round]],MATCH(Table5[[#This Row],[PID]],DraftResults[[#All],[Player ID]],0)),"")</f>
        <v/>
      </c>
      <c r="AB1483" s="50" t="str">
        <f>IFERROR(INDEX(DraftResults[[#All],[Team Name]],MATCH(Table5[[#This Row],[PID]],DraftResults[[#All],[Player ID]],0)),"")</f>
        <v/>
      </c>
      <c r="AC1483" s="50" t="str">
        <f>IF(Table5[[#This Row],[Ovr]]="","",IF(Table5[[#This Row],[cmbList]]="","",Table5[[#This Row],[cmbList]]-Table5[[#This Row],[Ovr]]))</f>
        <v/>
      </c>
      <c r="AD1483" s="54" t="str">
        <f>IF(ISERROR(VLOOKUP($AB1483&amp;"-"&amp;$E1483&amp;" "&amp;F1483,Bonuses!$B$1:$G$1006,4,FALSE)),"",INT(VLOOKUP($AB1483&amp;"-"&amp;$E1483&amp;" "&amp;$F1483,Bonuses!$B$1:$G$1006,4,FALSE)))</f>
        <v/>
      </c>
      <c r="AE148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4" spans="1:31" x14ac:dyDescent="0.25">
      <c r="A1484" s="50">
        <v>11967</v>
      </c>
      <c r="B1484" s="50">
        <f>COUNTIF(Table5[PID],A1484)</f>
        <v>1</v>
      </c>
      <c r="C1484" s="50" t="str">
        <f>IF(COUNTIF(Table3[[#All],[PID]],A1484)&gt;0,"P","B")</f>
        <v>B</v>
      </c>
      <c r="D1484" s="59" t="str">
        <f>IF($C1484="B",INDEX(Batters[[#All],[POS]],MATCH(Table5[[#This Row],[PID]],Batters[[#All],[PID]],0)),INDEX(Table3[[#All],[POS]],MATCH(Table5[[#This Row],[PID]],Table3[[#All],[PID]],0)))</f>
        <v>C</v>
      </c>
      <c r="E1484" s="52" t="str">
        <f>IF($C1484="B",INDEX(Batters[[#All],[First]],MATCH(Table5[[#This Row],[PID]],Batters[[#All],[PID]],0)),INDEX(Table3[[#All],[First]],MATCH(Table5[[#This Row],[PID]],Table3[[#All],[PID]],0)))</f>
        <v>Lloyd</v>
      </c>
      <c r="F1484" s="50" t="str">
        <f>IF($C1484="B",INDEX(Batters[[#All],[Last]],MATCH(A1484,Batters[[#All],[PID]],0)),INDEX(Table3[[#All],[Last]],MATCH(A1484,Table3[[#All],[PID]],0)))</f>
        <v>Molina</v>
      </c>
      <c r="G1484" s="56">
        <f>IF($C1484="B",INDEX(Batters[[#All],[Age]],MATCH(Table5[[#This Row],[PID]],Batters[[#All],[PID]],0)),INDEX(Table3[[#All],[Age]],MATCH(Table5[[#This Row],[PID]],Table3[[#All],[PID]],0)))</f>
        <v>22</v>
      </c>
      <c r="H1484" s="52" t="str">
        <f>IF($C1484="B",INDEX(Batters[[#All],[B]],MATCH(Table5[[#This Row],[PID]],Batters[[#All],[PID]],0)),INDEX(Table3[[#All],[B]],MATCH(Table5[[#This Row],[PID]],Table3[[#All],[PID]],0)))</f>
        <v>R</v>
      </c>
      <c r="I1484" s="70" t="str">
        <f>IF($C1484="B",INDEX(Batters[[#All],[T]],MATCH(Table5[[#This Row],[PID]],Batters[[#All],[PID]],0)),INDEX(Table3[[#All],[T]],MATCH(Table5[[#This Row],[PID]],Table3[[#All],[PID]],0)))</f>
        <v>R</v>
      </c>
      <c r="J1484" s="52" t="str">
        <f>IF($C1484="B",INDEX(Batters[[#All],[WE]],MATCH(Table5[[#This Row],[PID]],Batters[[#All],[PID]],0)),INDEX(Table3[[#All],[WE]],MATCH(Table5[[#This Row],[PID]],Table3[[#All],[PID]],0)))</f>
        <v>Low</v>
      </c>
      <c r="K1484" s="52" t="str">
        <f>IF($C1484="B",INDEX(Batters[[#All],[INT]],MATCH(Table5[[#This Row],[PID]],Batters[[#All],[PID]],0)),INDEX(Table3[[#All],[INT]],MATCH(Table5[[#This Row],[PID]],Table3[[#All],[PID]],0)))</f>
        <v>Normal</v>
      </c>
      <c r="L1484" s="60">
        <f>IF($C1484="B",INDEX(Batters[[#All],[CON P]],MATCH(Table5[[#This Row],[PID]],Batters[[#All],[PID]],0)),INDEX(Table3[[#All],[STU P]],MATCH(Table5[[#This Row],[PID]],Table3[[#All],[PID]],0)))</f>
        <v>2</v>
      </c>
      <c r="M1484" s="56">
        <f>IF($C1484="B",INDEX(Batters[[#All],[GAP P]],MATCH(Table5[[#This Row],[PID]],Batters[[#All],[PID]],0)),INDEX(Table3[[#All],[MOV P]],MATCH(Table5[[#This Row],[PID]],Table3[[#All],[PID]],0)))</f>
        <v>3</v>
      </c>
      <c r="N1484" s="56">
        <f>IF($C1484="B",INDEX(Batters[[#All],[POW P]],MATCH(Table5[[#This Row],[PID]],Batters[[#All],[PID]],0)),INDEX(Table3[[#All],[CON P]],MATCH(Table5[[#This Row],[PID]],Table3[[#All],[PID]],0)))</f>
        <v>3</v>
      </c>
      <c r="O1484" s="56">
        <f>IF($C1484="B",INDEX(Batters[[#All],[EYE P]],MATCH(Table5[[#This Row],[PID]],Batters[[#All],[PID]],0)),INDEX(Table3[[#All],[VELO]],MATCH(Table5[[#This Row],[PID]],Table3[[#All],[PID]],0)))</f>
        <v>5</v>
      </c>
      <c r="P1484" s="56">
        <f>IF($C1484="B",INDEX(Batters[[#All],[K P]],MATCH(Table5[[#This Row],[PID]],Batters[[#All],[PID]],0)),INDEX(Table3[[#All],[STM]],MATCH(Table5[[#This Row],[PID]],Table3[[#All],[PID]],0)))</f>
        <v>2</v>
      </c>
      <c r="Q1484" s="61">
        <f>IF($C1484="B",INDEX(Batters[[#All],[Tot]],MATCH(Table5[[#This Row],[PID]],Batters[[#All],[PID]],0)),INDEX(Table3[[#All],[Tot]],MATCH(Table5[[#This Row],[PID]],Table3[[#All],[PID]],0)))</f>
        <v>32.472560051609236</v>
      </c>
      <c r="R1484" s="70">
        <f>IF($C1484="B",INDEX(Batters[[#All],[zScore]],MATCH(Table5[[#This Row],[PID]],Batters[[#All],[PID]],0)),INDEX(Table3[[#All],[zScore]],MATCH(Table5[[#This Row],[PID]],Table3[[#All],[PID]],0)))</f>
        <v>-2.5849632829368887</v>
      </c>
      <c r="S1484" s="79" t="str">
        <f>IF($C1484="B",INDEX(Batters[[#All],[DEM]],MATCH(Table5[[#This Row],[PID]],Batters[[#All],[PID]],0)),INDEX(Table3[[#All],[DEM]],MATCH(Table5[[#This Row],[PID]],Table3[[#All],[PID]],0)))</f>
        <v>-</v>
      </c>
      <c r="T1484" s="62">
        <f>IF($C1484="B",INDEX(Batters[[#All],[Rnk]],MATCH(Table5[[#This Row],[PID]],Batters[[#All],[PID]],0)),INDEX(Table3[[#All],[Rnk]],MATCH(Table5[[#This Row],[PID]],Table3[[#All],[PID]],0)))</f>
        <v>700</v>
      </c>
      <c r="U1484" s="68">
        <f>IF($C1484="B",VLOOKUP($A1484,Bat!$A$4:$BA$1621,47,FALSE),VLOOKUP($A1484,Pit!$A$4:$BF$1557,56,FALSE))</f>
        <v>0</v>
      </c>
      <c r="V1484" s="50">
        <f>IF($C1484="B",VLOOKUP($A1484,Bat!$A$4:$BA$1621,48,FALSE),VLOOKUP($A1484,Pit!$A$4:$BF$1557,57,FALSE))</f>
        <v>0</v>
      </c>
      <c r="W1484" s="50">
        <f>Table5[[#This Row],[posRnk]]+Table5[[#This Row],[zRnk]]+IF($W$3&lt;&gt;Table5[[#This Row],[Type]],50,0)</f>
        <v>2228</v>
      </c>
      <c r="X1484" s="51">
        <f>RANK(Table5[[#This Row],[zScore]],Table5[[#All],[zScore]])</f>
        <v>1478</v>
      </c>
      <c r="Y1484" s="50" t="str">
        <f>IFERROR(INDEX(DraftResults[[#All],[OVR]],MATCH(Table5[[#This Row],[PID]],DraftResults[[#All],[Player ID]],0)),"")</f>
        <v/>
      </c>
      <c r="Z148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4" s="50" t="str">
        <f>IFERROR(INDEX(DraftResults[[#All],[Pick in Round]],MATCH(Table5[[#This Row],[PID]],DraftResults[[#All],[Player ID]],0)),"")</f>
        <v/>
      </c>
      <c r="AB1484" s="50" t="str">
        <f>IFERROR(INDEX(DraftResults[[#All],[Team Name]],MATCH(Table5[[#This Row],[PID]],DraftResults[[#All],[Player ID]],0)),"")</f>
        <v/>
      </c>
      <c r="AC1484" s="50" t="str">
        <f>IF(Table5[[#This Row],[Ovr]]="","",IF(Table5[[#This Row],[cmbList]]="","",Table5[[#This Row],[cmbList]]-Table5[[#This Row],[Ovr]]))</f>
        <v/>
      </c>
      <c r="AD1484" s="54" t="str">
        <f>IF(ISERROR(VLOOKUP($AB1484&amp;"-"&amp;$E1484&amp;" "&amp;F1484,Bonuses!$B$1:$G$1006,4,FALSE)),"",INT(VLOOKUP($AB1484&amp;"-"&amp;$E1484&amp;" "&amp;$F1484,Bonuses!$B$1:$G$1006,4,FALSE)))</f>
        <v/>
      </c>
      <c r="AE148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5" spans="1:31" x14ac:dyDescent="0.25">
      <c r="A1485" s="50">
        <v>13695</v>
      </c>
      <c r="B1485" s="50">
        <f>COUNTIF(Table5[PID],A1485)</f>
        <v>1</v>
      </c>
      <c r="C1485" s="50" t="str">
        <f>IF(COUNTIF(Table3[[#All],[PID]],A1485)&gt;0,"P","B")</f>
        <v>B</v>
      </c>
      <c r="D1485" s="59" t="str">
        <f>IF($C1485="B",INDEX(Batters[[#All],[POS]],MATCH(Table5[[#This Row],[PID]],Batters[[#All],[PID]],0)),INDEX(Table3[[#All],[POS]],MATCH(Table5[[#This Row],[PID]],Table3[[#All],[PID]],0)))</f>
        <v>1B</v>
      </c>
      <c r="E1485" s="52" t="str">
        <f>IF($C1485="B",INDEX(Batters[[#All],[First]],MATCH(Table5[[#This Row],[PID]],Batters[[#All],[PID]],0)),INDEX(Table3[[#All],[First]],MATCH(Table5[[#This Row],[PID]],Table3[[#All],[PID]],0)))</f>
        <v>Manuel</v>
      </c>
      <c r="F1485" s="50" t="str">
        <f>IF($C1485="B",INDEX(Batters[[#All],[Last]],MATCH(A1485,Batters[[#All],[PID]],0)),INDEX(Table3[[#All],[Last]],MATCH(A1485,Table3[[#All],[PID]],0)))</f>
        <v>Pacheco</v>
      </c>
      <c r="G1485" s="56">
        <f>IF($C1485="B",INDEX(Batters[[#All],[Age]],MATCH(Table5[[#This Row],[PID]],Batters[[#All],[PID]],0)),INDEX(Table3[[#All],[Age]],MATCH(Table5[[#This Row],[PID]],Table3[[#All],[PID]],0)))</f>
        <v>18</v>
      </c>
      <c r="H1485" s="52" t="str">
        <f>IF($C1485="B",INDEX(Batters[[#All],[B]],MATCH(Table5[[#This Row],[PID]],Batters[[#All],[PID]],0)),INDEX(Table3[[#All],[B]],MATCH(Table5[[#This Row],[PID]],Table3[[#All],[PID]],0)))</f>
        <v>R</v>
      </c>
      <c r="I1485" s="70" t="str">
        <f>IF($C1485="B",INDEX(Batters[[#All],[T]],MATCH(Table5[[#This Row],[PID]],Batters[[#All],[PID]],0)),INDEX(Table3[[#All],[T]],MATCH(Table5[[#This Row],[PID]],Table3[[#All],[PID]],0)))</f>
        <v>R</v>
      </c>
      <c r="J1485" s="52" t="str">
        <f>IF($C1485="B",INDEX(Batters[[#All],[WE]],MATCH(Table5[[#This Row],[PID]],Batters[[#All],[PID]],0)),INDEX(Table3[[#All],[WE]],MATCH(Table5[[#This Row],[PID]],Table3[[#All],[PID]],0)))</f>
        <v>High</v>
      </c>
      <c r="K1485" s="52" t="str">
        <f>IF($C1485="B",INDEX(Batters[[#All],[INT]],MATCH(Table5[[#This Row],[PID]],Batters[[#All],[PID]],0)),INDEX(Table3[[#All],[INT]],MATCH(Table5[[#This Row],[PID]],Table3[[#All],[PID]],0)))</f>
        <v>Normal</v>
      </c>
      <c r="L1485" s="60">
        <f>IF($C1485="B",INDEX(Batters[[#All],[CON P]],MATCH(Table5[[#This Row],[PID]],Batters[[#All],[PID]],0)),INDEX(Table3[[#All],[STU P]],MATCH(Table5[[#This Row],[PID]],Table3[[#All],[PID]],0)))</f>
        <v>2</v>
      </c>
      <c r="M1485" s="56">
        <f>IF($C1485="B",INDEX(Batters[[#All],[GAP P]],MATCH(Table5[[#This Row],[PID]],Batters[[#All],[PID]],0)),INDEX(Table3[[#All],[MOV P]],MATCH(Table5[[#This Row],[PID]],Table3[[#All],[PID]],0)))</f>
        <v>1</v>
      </c>
      <c r="N1485" s="56">
        <f>IF($C1485="B",INDEX(Batters[[#All],[POW P]],MATCH(Table5[[#This Row],[PID]],Batters[[#All],[PID]],0)),INDEX(Table3[[#All],[CON P]],MATCH(Table5[[#This Row],[PID]],Table3[[#All],[PID]],0)))</f>
        <v>2</v>
      </c>
      <c r="O1485" s="56">
        <f>IF($C1485="B",INDEX(Batters[[#All],[EYE P]],MATCH(Table5[[#This Row],[PID]],Batters[[#All],[PID]],0)),INDEX(Table3[[#All],[VELO]],MATCH(Table5[[#This Row],[PID]],Table3[[#All],[PID]],0)))</f>
        <v>2</v>
      </c>
      <c r="P1485" s="56">
        <f>IF($C1485="B",INDEX(Batters[[#All],[K P]],MATCH(Table5[[#This Row],[PID]],Batters[[#All],[PID]],0)),INDEX(Table3[[#All],[STM]],MATCH(Table5[[#This Row],[PID]],Table3[[#All],[PID]],0)))</f>
        <v>4</v>
      </c>
      <c r="Q1485" s="61">
        <f>IF($C1485="B",INDEX(Batters[[#All],[Tot]],MATCH(Table5[[#This Row],[PID]],Batters[[#All],[PID]],0)),INDEX(Table3[[#All],[Tot]],MATCH(Table5[[#This Row],[PID]],Table3[[#All],[PID]],0)))</f>
        <v>32.472262412737663</v>
      </c>
      <c r="R1485" s="70">
        <f>IF($C1485="B",INDEX(Batters[[#All],[zScore]],MATCH(Table5[[#This Row],[PID]],Batters[[#All],[PID]],0)),INDEX(Table3[[#All],[zScore]],MATCH(Table5[[#This Row],[PID]],Table3[[#All],[PID]],0)))</f>
        <v>-2.5850292714865684</v>
      </c>
      <c r="S1485" s="79" t="str">
        <f>IF($C1485="B",INDEX(Batters[[#All],[DEM]],MATCH(Table5[[#This Row],[PID]],Batters[[#All],[PID]],0)),INDEX(Table3[[#All],[DEM]],MATCH(Table5[[#This Row],[PID]],Table3[[#All],[PID]],0)))</f>
        <v>$65k</v>
      </c>
      <c r="T1485" s="62">
        <f>IF($C1485="B",INDEX(Batters[[#All],[Rnk]],MATCH(Table5[[#This Row],[PID]],Batters[[#All],[PID]],0)),INDEX(Table3[[#All],[Rnk]],MATCH(Table5[[#This Row],[PID]],Table3[[#All],[PID]],0)))</f>
        <v>701</v>
      </c>
      <c r="U1485" s="68">
        <f>IF($C1485="B",VLOOKUP($A1485,Bat!$A$4:$BA$1621,47,FALSE),VLOOKUP($A1485,Pit!$A$4:$BF$1557,56,FALSE))</f>
        <v>0</v>
      </c>
      <c r="V1485" s="50">
        <f>IF($C1485="B",VLOOKUP($A1485,Bat!$A$4:$BA$1621,48,FALSE),VLOOKUP($A1485,Pit!$A$4:$BF$1557,57,FALSE))</f>
        <v>0</v>
      </c>
      <c r="W1485" s="50">
        <f>Table5[[#This Row],[posRnk]]+Table5[[#This Row],[zRnk]]+IF($W$3&lt;&gt;Table5[[#This Row],[Type]],50,0)</f>
        <v>2230</v>
      </c>
      <c r="X1485" s="51">
        <f>RANK(Table5[[#This Row],[zScore]],Table5[[#All],[zScore]])</f>
        <v>1479</v>
      </c>
      <c r="Y1485" s="50" t="str">
        <f>IFERROR(INDEX(DraftResults[[#All],[OVR]],MATCH(Table5[[#This Row],[PID]],DraftResults[[#All],[Player ID]],0)),"")</f>
        <v/>
      </c>
      <c r="Z148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5" s="50" t="str">
        <f>IFERROR(INDEX(DraftResults[[#All],[Pick in Round]],MATCH(Table5[[#This Row],[PID]],DraftResults[[#All],[Player ID]],0)),"")</f>
        <v/>
      </c>
      <c r="AB1485" s="50" t="str">
        <f>IFERROR(INDEX(DraftResults[[#All],[Team Name]],MATCH(Table5[[#This Row],[PID]],DraftResults[[#All],[Player ID]],0)),"")</f>
        <v/>
      </c>
      <c r="AC1485" s="50" t="str">
        <f>IF(Table5[[#This Row],[Ovr]]="","",IF(Table5[[#This Row],[cmbList]]="","",Table5[[#This Row],[cmbList]]-Table5[[#This Row],[Ovr]]))</f>
        <v/>
      </c>
      <c r="AD1485" s="54" t="str">
        <f>IF(ISERROR(VLOOKUP($AB1485&amp;"-"&amp;$E1485&amp;" "&amp;F1485,Bonuses!$B$1:$G$1006,4,FALSE)),"",INT(VLOOKUP($AB1485&amp;"-"&amp;$E1485&amp;" "&amp;$F1485,Bonuses!$B$1:$G$1006,4,FALSE)))</f>
        <v/>
      </c>
      <c r="AE148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6" spans="1:31" x14ac:dyDescent="0.25">
      <c r="A1486" s="50">
        <v>17031</v>
      </c>
      <c r="B1486" s="50">
        <f>COUNTIF(Table5[PID],A1486)</f>
        <v>1</v>
      </c>
      <c r="C1486" s="50" t="str">
        <f>IF(COUNTIF(Table3[[#All],[PID]],A1486)&gt;0,"P","B")</f>
        <v>B</v>
      </c>
      <c r="D1486" s="59" t="str">
        <f>IF($C1486="B",INDEX(Batters[[#All],[POS]],MATCH(Table5[[#This Row],[PID]],Batters[[#All],[PID]],0)),INDEX(Table3[[#All],[POS]],MATCH(Table5[[#This Row],[PID]],Table3[[#All],[PID]],0)))</f>
        <v>C</v>
      </c>
      <c r="E1486" s="52" t="str">
        <f>IF($C1486="B",INDEX(Batters[[#All],[First]],MATCH(Table5[[#This Row],[PID]],Batters[[#All],[PID]],0)),INDEX(Table3[[#All],[First]],MATCH(Table5[[#This Row],[PID]],Table3[[#All],[PID]],0)))</f>
        <v>Evan</v>
      </c>
      <c r="F1486" s="50" t="str">
        <f>IF($C1486="B",INDEX(Batters[[#All],[Last]],MATCH(A1486,Batters[[#All],[PID]],0)),INDEX(Table3[[#All],[Last]],MATCH(A1486,Table3[[#All],[PID]],0)))</f>
        <v>Jelbert</v>
      </c>
      <c r="G1486" s="56">
        <f>IF($C1486="B",INDEX(Batters[[#All],[Age]],MATCH(Table5[[#This Row],[PID]],Batters[[#All],[PID]],0)),INDEX(Table3[[#All],[Age]],MATCH(Table5[[#This Row],[PID]],Table3[[#All],[PID]],0)))</f>
        <v>21</v>
      </c>
      <c r="H1486" s="52" t="str">
        <f>IF($C1486="B",INDEX(Batters[[#All],[B]],MATCH(Table5[[#This Row],[PID]],Batters[[#All],[PID]],0)),INDEX(Table3[[#All],[B]],MATCH(Table5[[#This Row],[PID]],Table3[[#All],[PID]],0)))</f>
        <v>R</v>
      </c>
      <c r="I1486" s="70" t="str">
        <f>IF($C1486="B",INDEX(Batters[[#All],[T]],MATCH(Table5[[#This Row],[PID]],Batters[[#All],[PID]],0)),INDEX(Table3[[#All],[T]],MATCH(Table5[[#This Row],[PID]],Table3[[#All],[PID]],0)))</f>
        <v>R</v>
      </c>
      <c r="J1486" s="52" t="str">
        <f>IF($C1486="B",INDEX(Batters[[#All],[WE]],MATCH(Table5[[#This Row],[PID]],Batters[[#All],[PID]],0)),INDEX(Table3[[#All],[WE]],MATCH(Table5[[#This Row],[PID]],Table3[[#All],[PID]],0)))</f>
        <v>High</v>
      </c>
      <c r="K1486" s="52" t="str">
        <f>IF($C1486="B",INDEX(Batters[[#All],[INT]],MATCH(Table5[[#This Row],[PID]],Batters[[#All],[PID]],0)),INDEX(Table3[[#All],[INT]],MATCH(Table5[[#This Row],[PID]],Table3[[#All],[PID]],0)))</f>
        <v>Normal</v>
      </c>
      <c r="L1486" s="60">
        <f>IF($C1486="B",INDEX(Batters[[#All],[CON P]],MATCH(Table5[[#This Row],[PID]],Batters[[#All],[PID]],0)),INDEX(Table3[[#All],[STU P]],MATCH(Table5[[#This Row],[PID]],Table3[[#All],[PID]],0)))</f>
        <v>2</v>
      </c>
      <c r="M1486" s="56">
        <f>IF($C1486="B",INDEX(Batters[[#All],[GAP P]],MATCH(Table5[[#This Row],[PID]],Batters[[#All],[PID]],0)),INDEX(Table3[[#All],[MOV P]],MATCH(Table5[[#This Row],[PID]],Table3[[#All],[PID]],0)))</f>
        <v>3</v>
      </c>
      <c r="N1486" s="56">
        <f>IF($C1486="B",INDEX(Batters[[#All],[POW P]],MATCH(Table5[[#This Row],[PID]],Batters[[#All],[PID]],0)),INDEX(Table3[[#All],[CON P]],MATCH(Table5[[#This Row],[PID]],Table3[[#All],[PID]],0)))</f>
        <v>3</v>
      </c>
      <c r="O1486" s="56">
        <f>IF($C1486="B",INDEX(Batters[[#All],[EYE P]],MATCH(Table5[[#This Row],[PID]],Batters[[#All],[PID]],0)),INDEX(Table3[[#All],[VELO]],MATCH(Table5[[#This Row],[PID]],Table3[[#All],[PID]],0)))</f>
        <v>5</v>
      </c>
      <c r="P1486" s="56">
        <f>IF($C1486="B",INDEX(Batters[[#All],[K P]],MATCH(Table5[[#This Row],[PID]],Batters[[#All],[PID]],0)),INDEX(Table3[[#All],[STM]],MATCH(Table5[[#This Row],[PID]],Table3[[#All],[PID]],0)))</f>
        <v>3</v>
      </c>
      <c r="Q1486" s="61">
        <f>IF($C1486="B",INDEX(Batters[[#All],[Tot]],MATCH(Table5[[#This Row],[PID]],Batters[[#All],[PID]],0)),INDEX(Table3[[#All],[Tot]],MATCH(Table5[[#This Row],[PID]],Table3[[#All],[PID]],0)))</f>
        <v>32.462968105337978</v>
      </c>
      <c r="R1486" s="70">
        <f>IF($C1486="B",INDEX(Batters[[#All],[zScore]],MATCH(Table5[[#This Row],[PID]],Batters[[#All],[PID]],0)),INDEX(Table3[[#All],[zScore]],MATCH(Table5[[#This Row],[PID]],Table3[[#All],[PID]],0)))</f>
        <v>-2.5870898822607664</v>
      </c>
      <c r="S1486" s="79" t="str">
        <f>IF($C1486="B",INDEX(Batters[[#All],[DEM]],MATCH(Table5[[#This Row],[PID]],Batters[[#All],[PID]],0)),INDEX(Table3[[#All],[DEM]],MATCH(Table5[[#This Row],[PID]],Table3[[#All],[PID]],0)))</f>
        <v>-</v>
      </c>
      <c r="T1486" s="62">
        <f>IF($C1486="B",INDEX(Batters[[#All],[Rnk]],MATCH(Table5[[#This Row],[PID]],Batters[[#All],[PID]],0)),INDEX(Table3[[#All],[Rnk]],MATCH(Table5[[#This Row],[PID]],Table3[[#All],[PID]],0)))</f>
        <v>702</v>
      </c>
      <c r="U1486" s="68">
        <f>IF($C1486="B",VLOOKUP($A1486,Bat!$A$4:$BA$1621,47,FALSE),VLOOKUP($A1486,Pit!$A$4:$BF$1557,56,FALSE))</f>
        <v>0</v>
      </c>
      <c r="V1486" s="50">
        <f>IF($C1486="B",VLOOKUP($A1486,Bat!$A$4:$BA$1621,48,FALSE),VLOOKUP($A1486,Pit!$A$4:$BF$1557,57,FALSE))</f>
        <v>0</v>
      </c>
      <c r="W1486" s="50">
        <f>Table5[[#This Row],[posRnk]]+Table5[[#This Row],[zRnk]]+IF($W$3&lt;&gt;Table5[[#This Row],[Type]],50,0)</f>
        <v>2232</v>
      </c>
      <c r="X1486" s="51">
        <f>RANK(Table5[[#This Row],[zScore]],Table5[[#All],[zScore]])</f>
        <v>1480</v>
      </c>
      <c r="Y1486" s="50" t="str">
        <f>IFERROR(INDEX(DraftResults[[#All],[OVR]],MATCH(Table5[[#This Row],[PID]],DraftResults[[#All],[Player ID]],0)),"")</f>
        <v/>
      </c>
      <c r="Z148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6" s="50" t="str">
        <f>IFERROR(INDEX(DraftResults[[#All],[Pick in Round]],MATCH(Table5[[#This Row],[PID]],DraftResults[[#All],[Player ID]],0)),"")</f>
        <v/>
      </c>
      <c r="AB1486" s="50" t="str">
        <f>IFERROR(INDEX(DraftResults[[#All],[Team Name]],MATCH(Table5[[#This Row],[PID]],DraftResults[[#All],[Player ID]],0)),"")</f>
        <v/>
      </c>
      <c r="AC1486" s="50" t="str">
        <f>IF(Table5[[#This Row],[Ovr]]="","",IF(Table5[[#This Row],[cmbList]]="","",Table5[[#This Row],[cmbList]]-Table5[[#This Row],[Ovr]]))</f>
        <v/>
      </c>
      <c r="AD1486" s="54" t="str">
        <f>IF(ISERROR(VLOOKUP($AB1486&amp;"-"&amp;$E1486&amp;" "&amp;F1486,Bonuses!$B$1:$G$1006,4,FALSE)),"",INT(VLOOKUP($AB1486&amp;"-"&amp;$E1486&amp;" "&amp;$F1486,Bonuses!$B$1:$G$1006,4,FALSE)))</f>
        <v/>
      </c>
      <c r="AE148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7" spans="1:31" x14ac:dyDescent="0.25">
      <c r="A1487" s="50">
        <v>18004</v>
      </c>
      <c r="B1487" s="50">
        <f>COUNTIF(Table5[PID],A1487)</f>
        <v>1</v>
      </c>
      <c r="C1487" s="50" t="str">
        <f>IF(COUNTIF(Table3[[#All],[PID]],A1487)&gt;0,"P","B")</f>
        <v>B</v>
      </c>
      <c r="D1487" s="59" t="str">
        <f>IF($C1487="B",INDEX(Batters[[#All],[POS]],MATCH(Table5[[#This Row],[PID]],Batters[[#All],[PID]],0)),INDEX(Table3[[#All],[POS]],MATCH(Table5[[#This Row],[PID]],Table3[[#All],[PID]],0)))</f>
        <v>1B</v>
      </c>
      <c r="E1487" s="52" t="str">
        <f>IF($C1487="B",INDEX(Batters[[#All],[First]],MATCH(Table5[[#This Row],[PID]],Batters[[#All],[PID]],0)),INDEX(Table3[[#All],[First]],MATCH(Table5[[#This Row],[PID]],Table3[[#All],[PID]],0)))</f>
        <v>Joe</v>
      </c>
      <c r="F1487" s="50" t="str">
        <f>IF($C1487="B",INDEX(Batters[[#All],[Last]],MATCH(A1487,Batters[[#All],[PID]],0)),INDEX(Table3[[#All],[Last]],MATCH(A1487,Table3[[#All],[PID]],0)))</f>
        <v>Ray</v>
      </c>
      <c r="G1487" s="56">
        <f>IF($C1487="B",INDEX(Batters[[#All],[Age]],MATCH(Table5[[#This Row],[PID]],Batters[[#All],[PID]],0)),INDEX(Table3[[#All],[Age]],MATCH(Table5[[#This Row],[PID]],Table3[[#All],[PID]],0)))</f>
        <v>21</v>
      </c>
      <c r="H1487" s="52" t="str">
        <f>IF($C1487="B",INDEX(Batters[[#All],[B]],MATCH(Table5[[#This Row],[PID]],Batters[[#All],[PID]],0)),INDEX(Table3[[#All],[B]],MATCH(Table5[[#This Row],[PID]],Table3[[#All],[PID]],0)))</f>
        <v>R</v>
      </c>
      <c r="I1487" s="70" t="str">
        <f>IF($C1487="B",INDEX(Batters[[#All],[T]],MATCH(Table5[[#This Row],[PID]],Batters[[#All],[PID]],0)),INDEX(Table3[[#All],[T]],MATCH(Table5[[#This Row],[PID]],Table3[[#All],[PID]],0)))</f>
        <v>R</v>
      </c>
      <c r="J1487" s="52" t="str">
        <f>IF($C1487="B",INDEX(Batters[[#All],[WE]],MATCH(Table5[[#This Row],[PID]],Batters[[#All],[PID]],0)),INDEX(Table3[[#All],[WE]],MATCH(Table5[[#This Row],[PID]],Table3[[#All],[PID]],0)))</f>
        <v>Normal</v>
      </c>
      <c r="K1487" s="52" t="str">
        <f>IF($C1487="B",INDEX(Batters[[#All],[INT]],MATCH(Table5[[#This Row],[PID]],Batters[[#All],[PID]],0)),INDEX(Table3[[#All],[INT]],MATCH(Table5[[#This Row],[PID]],Table3[[#All],[PID]],0)))</f>
        <v>Normal</v>
      </c>
      <c r="L1487" s="60">
        <f>IF($C1487="B",INDEX(Batters[[#All],[CON P]],MATCH(Table5[[#This Row],[PID]],Batters[[#All],[PID]],0)),INDEX(Table3[[#All],[STU P]],MATCH(Table5[[#This Row],[PID]],Table3[[#All],[PID]],0)))</f>
        <v>2</v>
      </c>
      <c r="M1487" s="56">
        <f>IF($C1487="B",INDEX(Batters[[#All],[GAP P]],MATCH(Table5[[#This Row],[PID]],Batters[[#All],[PID]],0)),INDEX(Table3[[#All],[MOV P]],MATCH(Table5[[#This Row],[PID]],Table3[[#All],[PID]],0)))</f>
        <v>3</v>
      </c>
      <c r="N1487" s="56">
        <f>IF($C1487="B",INDEX(Batters[[#All],[POW P]],MATCH(Table5[[#This Row],[PID]],Batters[[#All],[PID]],0)),INDEX(Table3[[#All],[CON P]],MATCH(Table5[[#This Row],[PID]],Table3[[#All],[PID]],0)))</f>
        <v>4</v>
      </c>
      <c r="O1487" s="56">
        <f>IF($C1487="B",INDEX(Batters[[#All],[EYE P]],MATCH(Table5[[#This Row],[PID]],Batters[[#All],[PID]],0)),INDEX(Table3[[#All],[VELO]],MATCH(Table5[[#This Row],[PID]],Table3[[#All],[PID]],0)))</f>
        <v>5</v>
      </c>
      <c r="P1487" s="56">
        <f>IF($C1487="B",INDEX(Batters[[#All],[K P]],MATCH(Table5[[#This Row],[PID]],Batters[[#All],[PID]],0)),INDEX(Table3[[#All],[STM]],MATCH(Table5[[#This Row],[PID]],Table3[[#All],[PID]],0)))</f>
        <v>1</v>
      </c>
      <c r="Q1487" s="61">
        <f>IF($C1487="B",INDEX(Batters[[#All],[Tot]],MATCH(Table5[[#This Row],[PID]],Batters[[#All],[PID]],0)),INDEX(Table3[[#All],[Tot]],MATCH(Table5[[#This Row],[PID]],Table3[[#All],[PID]],0)))</f>
        <v>32.419207890052917</v>
      </c>
      <c r="R1487" s="70">
        <f>IF($C1487="B",INDEX(Batters[[#All],[zScore]],MATCH(Table5[[#This Row],[PID]],Batters[[#All],[PID]],0)),INDEX(Table3[[#All],[zScore]],MATCH(Table5[[#This Row],[PID]],Table3[[#All],[PID]],0)))</f>
        <v>-2.5967918177810683</v>
      </c>
      <c r="S1487" s="79" t="str">
        <f>IF($C1487="B",INDEX(Batters[[#All],[DEM]],MATCH(Table5[[#This Row],[PID]],Batters[[#All],[PID]],0)),INDEX(Table3[[#All],[DEM]],MATCH(Table5[[#This Row],[PID]],Table3[[#All],[PID]],0)))</f>
        <v>-</v>
      </c>
      <c r="T1487" s="62">
        <f>IF($C1487="B",INDEX(Batters[[#All],[Rnk]],MATCH(Table5[[#This Row],[PID]],Batters[[#All],[PID]],0)),INDEX(Table3[[#All],[Rnk]],MATCH(Table5[[#This Row],[PID]],Table3[[#All],[PID]],0)))</f>
        <v>703</v>
      </c>
      <c r="U1487" s="68">
        <f>IF($C1487="B",VLOOKUP($A1487,Bat!$A$4:$BA$1621,47,FALSE),VLOOKUP($A1487,Pit!$A$4:$BF$1557,56,FALSE))</f>
        <v>0</v>
      </c>
      <c r="V1487" s="50">
        <f>IF($C1487="B",VLOOKUP($A1487,Bat!$A$4:$BA$1621,48,FALSE),VLOOKUP($A1487,Pit!$A$4:$BF$1557,57,FALSE))</f>
        <v>0</v>
      </c>
      <c r="W1487" s="50">
        <f>Table5[[#This Row],[posRnk]]+Table5[[#This Row],[zRnk]]+IF($W$3&lt;&gt;Table5[[#This Row],[Type]],50,0)</f>
        <v>2234</v>
      </c>
      <c r="X1487" s="51">
        <f>RANK(Table5[[#This Row],[zScore]],Table5[[#All],[zScore]])</f>
        <v>1481</v>
      </c>
      <c r="Y1487" s="50" t="str">
        <f>IFERROR(INDEX(DraftResults[[#All],[OVR]],MATCH(Table5[[#This Row],[PID]],DraftResults[[#All],[Player ID]],0)),"")</f>
        <v/>
      </c>
      <c r="Z148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7" s="50" t="str">
        <f>IFERROR(INDEX(DraftResults[[#All],[Pick in Round]],MATCH(Table5[[#This Row],[PID]],DraftResults[[#All],[Player ID]],0)),"")</f>
        <v/>
      </c>
      <c r="AB1487" s="50" t="str">
        <f>IFERROR(INDEX(DraftResults[[#All],[Team Name]],MATCH(Table5[[#This Row],[PID]],DraftResults[[#All],[Player ID]],0)),"")</f>
        <v/>
      </c>
      <c r="AC1487" s="50" t="str">
        <f>IF(Table5[[#This Row],[Ovr]]="","",IF(Table5[[#This Row],[cmbList]]="","",Table5[[#This Row],[cmbList]]-Table5[[#This Row],[Ovr]]))</f>
        <v/>
      </c>
      <c r="AD1487" s="54" t="str">
        <f>IF(ISERROR(VLOOKUP($AB1487&amp;"-"&amp;$E1487&amp;" "&amp;F1487,Bonuses!$B$1:$G$1006,4,FALSE)),"",INT(VLOOKUP($AB1487&amp;"-"&amp;$E1487&amp;" "&amp;$F1487,Bonuses!$B$1:$G$1006,4,FALSE)))</f>
        <v/>
      </c>
      <c r="AE148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8" spans="1:31" x14ac:dyDescent="0.25">
      <c r="A1488" s="50">
        <v>18039</v>
      </c>
      <c r="B1488" s="50">
        <f>COUNTIF(Table5[PID],A1488)</f>
        <v>1</v>
      </c>
      <c r="C1488" s="50" t="str">
        <f>IF(COUNTIF(Table3[[#All],[PID]],A1488)&gt;0,"P","B")</f>
        <v>B</v>
      </c>
      <c r="D1488" s="59" t="str">
        <f>IF($C1488="B",INDEX(Batters[[#All],[POS]],MATCH(Table5[[#This Row],[PID]],Batters[[#All],[PID]],0)),INDEX(Table3[[#All],[POS]],MATCH(Table5[[#This Row],[PID]],Table3[[#All],[PID]],0)))</f>
        <v>2B</v>
      </c>
      <c r="E1488" s="52" t="str">
        <f>IF($C1488="B",INDEX(Batters[[#All],[First]],MATCH(Table5[[#This Row],[PID]],Batters[[#All],[PID]],0)),INDEX(Table3[[#All],[First]],MATCH(Table5[[#This Row],[PID]],Table3[[#All],[PID]],0)))</f>
        <v>Bob</v>
      </c>
      <c r="F1488" s="50" t="str">
        <f>IF($C1488="B",INDEX(Batters[[#All],[Last]],MATCH(A1488,Batters[[#All],[PID]],0)),INDEX(Table3[[#All],[Last]],MATCH(A1488,Table3[[#All],[PID]],0)))</f>
        <v>Gowdy</v>
      </c>
      <c r="G1488" s="56">
        <f>IF($C1488="B",INDEX(Batters[[#All],[Age]],MATCH(Table5[[#This Row],[PID]],Batters[[#All],[PID]],0)),INDEX(Table3[[#All],[Age]],MATCH(Table5[[#This Row],[PID]],Table3[[#All],[PID]],0)))</f>
        <v>21</v>
      </c>
      <c r="H1488" s="52" t="str">
        <f>IF($C1488="B",INDEX(Batters[[#All],[B]],MATCH(Table5[[#This Row],[PID]],Batters[[#All],[PID]],0)),INDEX(Table3[[#All],[B]],MATCH(Table5[[#This Row],[PID]],Table3[[#All],[PID]],0)))</f>
        <v>R</v>
      </c>
      <c r="I1488" s="70" t="str">
        <f>IF($C1488="B",INDEX(Batters[[#All],[T]],MATCH(Table5[[#This Row],[PID]],Batters[[#All],[PID]],0)),INDEX(Table3[[#All],[T]],MATCH(Table5[[#This Row],[PID]],Table3[[#All],[PID]],0)))</f>
        <v>R</v>
      </c>
      <c r="J1488" s="52" t="str">
        <f>IF($C1488="B",INDEX(Batters[[#All],[WE]],MATCH(Table5[[#This Row],[PID]],Batters[[#All],[PID]],0)),INDEX(Table3[[#All],[WE]],MATCH(Table5[[#This Row],[PID]],Table3[[#All],[PID]],0)))</f>
        <v>High</v>
      </c>
      <c r="K1488" s="52" t="str">
        <f>IF($C1488="B",INDEX(Batters[[#All],[INT]],MATCH(Table5[[#This Row],[PID]],Batters[[#All],[PID]],0)),INDEX(Table3[[#All],[INT]],MATCH(Table5[[#This Row],[PID]],Table3[[#All],[PID]],0)))</f>
        <v>Normal</v>
      </c>
      <c r="L1488" s="60">
        <f>IF($C1488="B",INDEX(Batters[[#All],[CON P]],MATCH(Table5[[#This Row],[PID]],Batters[[#All],[PID]],0)),INDEX(Table3[[#All],[STU P]],MATCH(Table5[[#This Row],[PID]],Table3[[#All],[PID]],0)))</f>
        <v>2</v>
      </c>
      <c r="M1488" s="56">
        <f>IF($C1488="B",INDEX(Batters[[#All],[GAP P]],MATCH(Table5[[#This Row],[PID]],Batters[[#All],[PID]],0)),INDEX(Table3[[#All],[MOV P]],MATCH(Table5[[#This Row],[PID]],Table3[[#All],[PID]],0)))</f>
        <v>3</v>
      </c>
      <c r="N1488" s="56">
        <f>IF($C1488="B",INDEX(Batters[[#All],[POW P]],MATCH(Table5[[#This Row],[PID]],Batters[[#All],[PID]],0)),INDEX(Table3[[#All],[CON P]],MATCH(Table5[[#This Row],[PID]],Table3[[#All],[PID]],0)))</f>
        <v>4</v>
      </c>
      <c r="O1488" s="56">
        <f>IF($C1488="B",INDEX(Batters[[#All],[EYE P]],MATCH(Table5[[#This Row],[PID]],Batters[[#All],[PID]],0)),INDEX(Table3[[#All],[VELO]],MATCH(Table5[[#This Row],[PID]],Table3[[#All],[PID]],0)))</f>
        <v>5</v>
      </c>
      <c r="P1488" s="56">
        <f>IF($C1488="B",INDEX(Batters[[#All],[K P]],MATCH(Table5[[#This Row],[PID]],Batters[[#All],[PID]],0)),INDEX(Table3[[#All],[STM]],MATCH(Table5[[#This Row],[PID]],Table3[[#All],[PID]],0)))</f>
        <v>1</v>
      </c>
      <c r="Q1488" s="61">
        <f>IF($C1488="B",INDEX(Batters[[#All],[Tot]],MATCH(Table5[[#This Row],[PID]],Batters[[#All],[PID]],0)),INDEX(Table3[[#All],[Tot]],MATCH(Table5[[#This Row],[PID]],Table3[[#All],[PID]],0)))</f>
        <v>32.348072857092006</v>
      </c>
      <c r="R1488" s="70">
        <f>IF($C1488="B",INDEX(Batters[[#All],[zScore]],MATCH(Table5[[#This Row],[PID]],Batters[[#All],[PID]],0)),INDEX(Table3[[#All],[zScore]],MATCH(Table5[[#This Row],[PID]],Table3[[#All],[PID]],0)))</f>
        <v>-2.6125629354167006</v>
      </c>
      <c r="S1488" s="79" t="str">
        <f>IF($C1488="B",INDEX(Batters[[#All],[DEM]],MATCH(Table5[[#This Row],[PID]],Batters[[#All],[PID]],0)),INDEX(Table3[[#All],[DEM]],MATCH(Table5[[#This Row],[PID]],Table3[[#All],[PID]],0)))</f>
        <v>-</v>
      </c>
      <c r="T1488" s="62">
        <f>IF($C1488="B",INDEX(Batters[[#All],[Rnk]],MATCH(Table5[[#This Row],[PID]],Batters[[#All],[PID]],0)),INDEX(Table3[[#All],[Rnk]],MATCH(Table5[[#This Row],[PID]],Table3[[#All],[PID]],0)))</f>
        <v>704</v>
      </c>
      <c r="U1488" s="68">
        <f>IF($C1488="B",VLOOKUP($A1488,Bat!$A$4:$BA$1621,47,FALSE),VLOOKUP($A1488,Pit!$A$4:$BF$1557,56,FALSE))</f>
        <v>0</v>
      </c>
      <c r="V1488" s="50">
        <f>IF($C1488="B",VLOOKUP($A1488,Bat!$A$4:$BA$1621,48,FALSE),VLOOKUP($A1488,Pit!$A$4:$BF$1557,57,FALSE))</f>
        <v>0</v>
      </c>
      <c r="W1488" s="50">
        <f>Table5[[#This Row],[posRnk]]+Table5[[#This Row],[zRnk]]+IF($W$3&lt;&gt;Table5[[#This Row],[Type]],50,0)</f>
        <v>2236</v>
      </c>
      <c r="X1488" s="51">
        <f>RANK(Table5[[#This Row],[zScore]],Table5[[#All],[zScore]])</f>
        <v>1482</v>
      </c>
      <c r="Y1488" s="50" t="str">
        <f>IFERROR(INDEX(DraftResults[[#All],[OVR]],MATCH(Table5[[#This Row],[PID]],DraftResults[[#All],[Player ID]],0)),"")</f>
        <v/>
      </c>
      <c r="Z148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8" s="50" t="str">
        <f>IFERROR(INDEX(DraftResults[[#All],[Pick in Round]],MATCH(Table5[[#This Row],[PID]],DraftResults[[#All],[Player ID]],0)),"")</f>
        <v/>
      </c>
      <c r="AB1488" s="50" t="str">
        <f>IFERROR(INDEX(DraftResults[[#All],[Team Name]],MATCH(Table5[[#This Row],[PID]],DraftResults[[#All],[Player ID]],0)),"")</f>
        <v/>
      </c>
      <c r="AC1488" s="50" t="str">
        <f>IF(Table5[[#This Row],[Ovr]]="","",IF(Table5[[#This Row],[cmbList]]="","",Table5[[#This Row],[cmbList]]-Table5[[#This Row],[Ovr]]))</f>
        <v/>
      </c>
      <c r="AD1488" s="54" t="str">
        <f>IF(ISERROR(VLOOKUP($AB1488&amp;"-"&amp;$E1488&amp;" "&amp;F1488,Bonuses!$B$1:$G$1006,4,FALSE)),"",INT(VLOOKUP($AB1488&amp;"-"&amp;$E1488&amp;" "&amp;$F1488,Bonuses!$B$1:$G$1006,4,FALSE)))</f>
        <v/>
      </c>
      <c r="AE148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89" spans="1:31" x14ac:dyDescent="0.25">
      <c r="A1489" s="50">
        <v>11998</v>
      </c>
      <c r="B1489" s="55">
        <f>COUNTIF(Table5[PID],A1489)</f>
        <v>1</v>
      </c>
      <c r="C1489" s="55" t="str">
        <f>IF(COUNTIF(Table3[[#All],[PID]],A1489)&gt;0,"P","B")</f>
        <v>B</v>
      </c>
      <c r="D1489" s="59" t="str">
        <f>IF($C1489="B",INDEX(Batters[[#All],[POS]],MATCH(Table5[[#This Row],[PID]],Batters[[#All],[PID]],0)),INDEX(Table3[[#All],[POS]],MATCH(Table5[[#This Row],[PID]],Table3[[#All],[PID]],0)))</f>
        <v>C</v>
      </c>
      <c r="E1489" s="52" t="str">
        <f>IF($C1489="B",INDEX(Batters[[#All],[First]],MATCH(Table5[[#This Row],[PID]],Batters[[#All],[PID]],0)),INDEX(Table3[[#All],[First]],MATCH(Table5[[#This Row],[PID]],Table3[[#All],[PID]],0)))</f>
        <v>Eric</v>
      </c>
      <c r="F1489" s="50" t="str">
        <f>IF($C1489="B",INDEX(Batters[[#All],[Last]],MATCH(A1489,Batters[[#All],[PID]],0)),INDEX(Table3[[#All],[Last]],MATCH(A1489,Table3[[#All],[PID]],0)))</f>
        <v>Moore</v>
      </c>
      <c r="G1489" s="56">
        <f>IF($C1489="B",INDEX(Batters[[#All],[Age]],MATCH(Table5[[#This Row],[PID]],Batters[[#All],[PID]],0)),INDEX(Table3[[#All],[Age]],MATCH(Table5[[#This Row],[PID]],Table3[[#All],[PID]],0)))</f>
        <v>22</v>
      </c>
      <c r="H1489" s="52" t="str">
        <f>IF($C1489="B",INDEX(Batters[[#All],[B]],MATCH(Table5[[#This Row],[PID]],Batters[[#All],[PID]],0)),INDEX(Table3[[#All],[B]],MATCH(Table5[[#This Row],[PID]],Table3[[#All],[PID]],0)))</f>
        <v>R</v>
      </c>
      <c r="I1489" s="70" t="str">
        <f>IF($C1489="B",INDEX(Batters[[#All],[T]],MATCH(Table5[[#This Row],[PID]],Batters[[#All],[PID]],0)),INDEX(Table3[[#All],[T]],MATCH(Table5[[#This Row],[PID]],Table3[[#All],[PID]],0)))</f>
        <v>R</v>
      </c>
      <c r="J1489" s="52" t="str">
        <f>IF($C1489="B",INDEX(Batters[[#All],[WE]],MATCH(Table5[[#This Row],[PID]],Batters[[#All],[PID]],0)),INDEX(Table3[[#All],[WE]],MATCH(Table5[[#This Row],[PID]],Table3[[#All],[PID]],0)))</f>
        <v>Low</v>
      </c>
      <c r="K1489" s="52" t="str">
        <f>IF($C1489="B",INDEX(Batters[[#All],[INT]],MATCH(Table5[[#This Row],[PID]],Batters[[#All],[PID]],0)),INDEX(Table3[[#All],[INT]],MATCH(Table5[[#This Row],[PID]],Table3[[#All],[PID]],0)))</f>
        <v>Normal</v>
      </c>
      <c r="L1489" s="60">
        <f>IF($C1489="B",INDEX(Batters[[#All],[CON P]],MATCH(Table5[[#This Row],[PID]],Batters[[#All],[PID]],0)),INDEX(Table3[[#All],[STU P]],MATCH(Table5[[#This Row],[PID]],Table3[[#All],[PID]],0)))</f>
        <v>2</v>
      </c>
      <c r="M1489" s="56">
        <f>IF($C1489="B",INDEX(Batters[[#All],[GAP P]],MATCH(Table5[[#This Row],[PID]],Batters[[#All],[PID]],0)),INDEX(Table3[[#All],[MOV P]],MATCH(Table5[[#This Row],[PID]],Table3[[#All],[PID]],0)))</f>
        <v>3</v>
      </c>
      <c r="N1489" s="56">
        <f>IF($C1489="B",INDEX(Batters[[#All],[POW P]],MATCH(Table5[[#This Row],[PID]],Batters[[#All],[PID]],0)),INDEX(Table3[[#All],[CON P]],MATCH(Table5[[#This Row],[PID]],Table3[[#All],[PID]],0)))</f>
        <v>3</v>
      </c>
      <c r="O1489" s="56">
        <f>IF($C1489="B",INDEX(Batters[[#All],[EYE P]],MATCH(Table5[[#This Row],[PID]],Batters[[#All],[PID]],0)),INDEX(Table3[[#All],[VELO]],MATCH(Table5[[#This Row],[PID]],Table3[[#All],[PID]],0)))</f>
        <v>5</v>
      </c>
      <c r="P1489" s="56">
        <f>IF($C1489="B",INDEX(Batters[[#All],[K P]],MATCH(Table5[[#This Row],[PID]],Batters[[#All],[PID]],0)),INDEX(Table3[[#All],[STM]],MATCH(Table5[[#This Row],[PID]],Table3[[#All],[PID]],0)))</f>
        <v>1</v>
      </c>
      <c r="Q1489" s="61">
        <f>IF($C1489="B",INDEX(Batters[[#All],[Tot]],MATCH(Table5[[#This Row],[PID]],Batters[[#All],[PID]],0)),INDEX(Table3[[#All],[Tot]],MATCH(Table5[[#This Row],[PID]],Table3[[#All],[PID]],0)))</f>
        <v>32.330803295099436</v>
      </c>
      <c r="R1489" s="70">
        <f>IF($C1489="B",INDEX(Batters[[#All],[zScore]],MATCH(Table5[[#This Row],[PID]],Batters[[#All],[PID]],0)),INDEX(Table3[[#All],[zScore]],MATCH(Table5[[#This Row],[PID]],Table3[[#All],[PID]],0)))</f>
        <v>-2.6163917140418587</v>
      </c>
      <c r="S1489" s="79" t="str">
        <f>IF($C1489="B",INDEX(Batters[[#All],[DEM]],MATCH(Table5[[#This Row],[PID]],Batters[[#All],[PID]],0)),INDEX(Table3[[#All],[DEM]],MATCH(Table5[[#This Row],[PID]],Table3[[#All],[PID]],0)))</f>
        <v>-</v>
      </c>
      <c r="T1489" s="62">
        <f>IF($C1489="B",INDEX(Batters[[#All],[Rnk]],MATCH(Table5[[#This Row],[PID]],Batters[[#All],[PID]],0)),INDEX(Table3[[#All],[Rnk]],MATCH(Table5[[#This Row],[PID]],Table3[[#All],[PID]],0)))</f>
        <v>705</v>
      </c>
      <c r="U1489" s="68">
        <f>IF($C1489="B",VLOOKUP($A1489,Bat!$A$4:$BA$1621,47,FALSE),VLOOKUP($A1489,Pit!$A$4:$BF$1557,56,FALSE))</f>
        <v>0</v>
      </c>
      <c r="V1489" s="50">
        <f>IF($C1489="B",VLOOKUP($A1489,Bat!$A$4:$BA$1621,48,FALSE),VLOOKUP($A1489,Pit!$A$4:$BF$1557,57,FALSE))</f>
        <v>0</v>
      </c>
      <c r="W1489" s="50">
        <f>Table5[[#This Row],[posRnk]]+Table5[[#This Row],[zRnk]]+IF($W$3&lt;&gt;Table5[[#This Row],[Type]],50,0)</f>
        <v>2238</v>
      </c>
      <c r="X1489" s="51">
        <f>RANK(Table5[[#This Row],[zScore]],Table5[[#All],[zScore]])</f>
        <v>1483</v>
      </c>
      <c r="Y1489" s="50" t="str">
        <f>IFERROR(INDEX(DraftResults[[#All],[OVR]],MATCH(Table5[[#This Row],[PID]],DraftResults[[#All],[Player ID]],0)),"")</f>
        <v/>
      </c>
      <c r="Z148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89" s="50" t="str">
        <f>IFERROR(INDEX(DraftResults[[#All],[Pick in Round]],MATCH(Table5[[#This Row],[PID]],DraftResults[[#All],[Player ID]],0)),"")</f>
        <v/>
      </c>
      <c r="AB1489" s="50" t="str">
        <f>IFERROR(INDEX(DraftResults[[#All],[Team Name]],MATCH(Table5[[#This Row],[PID]],DraftResults[[#All],[Player ID]],0)),"")</f>
        <v/>
      </c>
      <c r="AC1489" s="50" t="str">
        <f>IF(Table5[[#This Row],[Ovr]]="","",IF(Table5[[#This Row],[cmbList]]="","",Table5[[#This Row],[cmbList]]-Table5[[#This Row],[Ovr]]))</f>
        <v/>
      </c>
      <c r="AD1489" s="54" t="str">
        <f>IF(ISERROR(VLOOKUP($AB1489&amp;"-"&amp;$E1489&amp;" "&amp;F1489,Bonuses!$B$1:$G$1006,4,FALSE)),"",INT(VLOOKUP($AB1489&amp;"-"&amp;$E1489&amp;" "&amp;$F1489,Bonuses!$B$1:$G$1006,4,FALSE)))</f>
        <v/>
      </c>
      <c r="AE148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0" spans="1:31" x14ac:dyDescent="0.25">
      <c r="A1490" s="50">
        <v>11968</v>
      </c>
      <c r="B1490" s="50">
        <f>COUNTIF(Table5[PID],A1490)</f>
        <v>1</v>
      </c>
      <c r="C1490" s="50" t="str">
        <f>IF(COUNTIF(Table3[[#All],[PID]],A1490)&gt;0,"P","B")</f>
        <v>B</v>
      </c>
      <c r="D1490" s="59" t="str">
        <f>IF($C1490="B",INDEX(Batters[[#All],[POS]],MATCH(Table5[[#This Row],[PID]],Batters[[#All],[PID]],0)),INDEX(Table3[[#All],[POS]],MATCH(Table5[[#This Row],[PID]],Table3[[#All],[PID]],0)))</f>
        <v>1B</v>
      </c>
      <c r="E1490" s="52" t="str">
        <f>IF($C1490="B",INDEX(Batters[[#All],[First]],MATCH(Table5[[#This Row],[PID]],Batters[[#All],[PID]],0)),INDEX(Table3[[#All],[First]],MATCH(Table5[[#This Row],[PID]],Table3[[#All],[PID]],0)))</f>
        <v>Cristo</v>
      </c>
      <c r="F1490" s="50" t="str">
        <f>IF($C1490="B",INDEX(Batters[[#All],[Last]],MATCH(A1490,Batters[[#All],[PID]],0)),INDEX(Table3[[#All],[Last]],MATCH(A1490,Table3[[#All],[PID]],0)))</f>
        <v>Vázquez</v>
      </c>
      <c r="G1490" s="56">
        <f>IF($C1490="B",INDEX(Batters[[#All],[Age]],MATCH(Table5[[#This Row],[PID]],Batters[[#All],[PID]],0)),INDEX(Table3[[#All],[Age]],MATCH(Table5[[#This Row],[PID]],Table3[[#All],[PID]],0)))</f>
        <v>22</v>
      </c>
      <c r="H1490" s="52" t="str">
        <f>IF($C1490="B",INDEX(Batters[[#All],[B]],MATCH(Table5[[#This Row],[PID]],Batters[[#All],[PID]],0)),INDEX(Table3[[#All],[B]],MATCH(Table5[[#This Row],[PID]],Table3[[#All],[PID]],0)))</f>
        <v>R</v>
      </c>
      <c r="I1490" s="70" t="str">
        <f>IF($C1490="B",INDEX(Batters[[#All],[T]],MATCH(Table5[[#This Row],[PID]],Batters[[#All],[PID]],0)),INDEX(Table3[[#All],[T]],MATCH(Table5[[#This Row],[PID]],Table3[[#All],[PID]],0)))</f>
        <v>R</v>
      </c>
      <c r="J1490" s="52" t="str">
        <f>IF($C1490="B",INDEX(Batters[[#All],[WE]],MATCH(Table5[[#This Row],[PID]],Batters[[#All],[PID]],0)),INDEX(Table3[[#All],[WE]],MATCH(Table5[[#This Row],[PID]],Table3[[#All],[PID]],0)))</f>
        <v>Normal</v>
      </c>
      <c r="K1490" s="52" t="str">
        <f>IF($C1490="B",INDEX(Batters[[#All],[INT]],MATCH(Table5[[#This Row],[PID]],Batters[[#All],[PID]],0)),INDEX(Table3[[#All],[INT]],MATCH(Table5[[#This Row],[PID]],Table3[[#All],[PID]],0)))</f>
        <v>Normal</v>
      </c>
      <c r="L1490" s="60">
        <f>IF($C1490="B",INDEX(Batters[[#All],[CON P]],MATCH(Table5[[#This Row],[PID]],Batters[[#All],[PID]],0)),INDEX(Table3[[#All],[STU P]],MATCH(Table5[[#This Row],[PID]],Table3[[#All],[PID]],0)))</f>
        <v>3</v>
      </c>
      <c r="M1490" s="56">
        <f>IF($C1490="B",INDEX(Batters[[#All],[GAP P]],MATCH(Table5[[#This Row],[PID]],Batters[[#All],[PID]],0)),INDEX(Table3[[#All],[MOV P]],MATCH(Table5[[#This Row],[PID]],Table3[[#All],[PID]],0)))</f>
        <v>3</v>
      </c>
      <c r="N1490" s="56">
        <f>IF($C1490="B",INDEX(Batters[[#All],[POW P]],MATCH(Table5[[#This Row],[PID]],Batters[[#All],[PID]],0)),INDEX(Table3[[#All],[CON P]],MATCH(Table5[[#This Row],[PID]],Table3[[#All],[PID]],0)))</f>
        <v>2</v>
      </c>
      <c r="O1490" s="56">
        <f>IF($C1490="B",INDEX(Batters[[#All],[EYE P]],MATCH(Table5[[#This Row],[PID]],Batters[[#All],[PID]],0)),INDEX(Table3[[#All],[VELO]],MATCH(Table5[[#This Row],[PID]],Table3[[#All],[PID]],0)))</f>
        <v>2</v>
      </c>
      <c r="P1490" s="56">
        <f>IF($C1490="B",INDEX(Batters[[#All],[K P]],MATCH(Table5[[#This Row],[PID]],Batters[[#All],[PID]],0)),INDEX(Table3[[#All],[STM]],MATCH(Table5[[#This Row],[PID]],Table3[[#All],[PID]],0)))</f>
        <v>4</v>
      </c>
      <c r="Q1490" s="61">
        <f>IF($C1490="B",INDEX(Batters[[#All],[Tot]],MATCH(Table5[[#This Row],[PID]],Batters[[#All],[PID]],0)),INDEX(Table3[[#All],[Tot]],MATCH(Table5[[#This Row],[PID]],Table3[[#All],[PID]],0)))</f>
        <v>32.309732763582488</v>
      </c>
      <c r="R1490" s="70">
        <f>IF($C1490="B",INDEX(Batters[[#All],[zScore]],MATCH(Table5[[#This Row],[PID]],Batters[[#All],[PID]],0)),INDEX(Table3[[#All],[zScore]],MATCH(Table5[[#This Row],[PID]],Table3[[#All],[PID]],0)))</f>
        <v>-2.6210631933027413</v>
      </c>
      <c r="S1490" s="79" t="str">
        <f>IF($C1490="B",INDEX(Batters[[#All],[DEM]],MATCH(Table5[[#This Row],[PID]],Batters[[#All],[PID]],0)),INDEX(Table3[[#All],[DEM]],MATCH(Table5[[#This Row],[PID]],Table3[[#All],[PID]],0)))</f>
        <v>-</v>
      </c>
      <c r="T1490" s="62">
        <f>IF($C1490="B",INDEX(Batters[[#All],[Rnk]],MATCH(Table5[[#This Row],[PID]],Batters[[#All],[PID]],0)),INDEX(Table3[[#All],[Rnk]],MATCH(Table5[[#This Row],[PID]],Table3[[#All],[PID]],0)))</f>
        <v>706</v>
      </c>
      <c r="U1490" s="68">
        <f>IF($C1490="B",VLOOKUP($A1490,Bat!$A$4:$BA$1621,47,FALSE),VLOOKUP($A1490,Pit!$A$4:$BF$1557,56,FALSE))</f>
        <v>0</v>
      </c>
      <c r="V1490" s="50">
        <f>IF($C1490="B",VLOOKUP($A1490,Bat!$A$4:$BA$1621,48,FALSE),VLOOKUP($A1490,Pit!$A$4:$BF$1557,57,FALSE))</f>
        <v>0</v>
      </c>
      <c r="W1490" s="50">
        <f>Table5[[#This Row],[posRnk]]+Table5[[#This Row],[zRnk]]+IF($W$3&lt;&gt;Table5[[#This Row],[Type]],50,0)</f>
        <v>2240</v>
      </c>
      <c r="X1490" s="51">
        <f>RANK(Table5[[#This Row],[zScore]],Table5[[#All],[zScore]])</f>
        <v>1484</v>
      </c>
      <c r="Y1490" s="50" t="str">
        <f>IFERROR(INDEX(DraftResults[[#All],[OVR]],MATCH(Table5[[#This Row],[PID]],DraftResults[[#All],[Player ID]],0)),"")</f>
        <v/>
      </c>
      <c r="Z149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0" s="50" t="str">
        <f>IFERROR(INDEX(DraftResults[[#All],[Pick in Round]],MATCH(Table5[[#This Row],[PID]],DraftResults[[#All],[Player ID]],0)),"")</f>
        <v/>
      </c>
      <c r="AB1490" s="50" t="str">
        <f>IFERROR(INDEX(DraftResults[[#All],[Team Name]],MATCH(Table5[[#This Row],[PID]],DraftResults[[#All],[Player ID]],0)),"")</f>
        <v/>
      </c>
      <c r="AC1490" s="50" t="str">
        <f>IF(Table5[[#This Row],[Ovr]]="","",IF(Table5[[#This Row],[cmbList]]="","",Table5[[#This Row],[cmbList]]-Table5[[#This Row],[Ovr]]))</f>
        <v/>
      </c>
      <c r="AD1490" s="54" t="str">
        <f>IF(ISERROR(VLOOKUP($AB1490&amp;"-"&amp;$E1490&amp;" "&amp;F1490,Bonuses!$B$1:$G$1006,4,FALSE)),"",INT(VLOOKUP($AB1490&amp;"-"&amp;$E1490&amp;" "&amp;$F1490,Bonuses!$B$1:$G$1006,4,FALSE)))</f>
        <v/>
      </c>
      <c r="AE149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1" spans="1:31" x14ac:dyDescent="0.25">
      <c r="A1491" s="50">
        <v>17790</v>
      </c>
      <c r="B1491" s="50">
        <f>COUNTIF(Table5[PID],A1491)</f>
        <v>1</v>
      </c>
      <c r="C1491" s="50" t="str">
        <f>IF(COUNTIF(Table3[[#All],[PID]],A1491)&gt;0,"P","B")</f>
        <v>B</v>
      </c>
      <c r="D1491" s="59" t="str">
        <f>IF($C1491="B",INDEX(Batters[[#All],[POS]],MATCH(Table5[[#This Row],[PID]],Batters[[#All],[PID]],0)),INDEX(Table3[[#All],[POS]],MATCH(Table5[[#This Row],[PID]],Table3[[#All],[PID]],0)))</f>
        <v>1B</v>
      </c>
      <c r="E1491" s="52" t="str">
        <f>IF($C1491="B",INDEX(Batters[[#All],[First]],MATCH(Table5[[#This Row],[PID]],Batters[[#All],[PID]],0)),INDEX(Table3[[#All],[First]],MATCH(Table5[[#This Row],[PID]],Table3[[#All],[PID]],0)))</f>
        <v>Ubbe</v>
      </c>
      <c r="F1491" s="50" t="str">
        <f>IF($C1491="B",INDEX(Batters[[#All],[Last]],MATCH(A1491,Batters[[#All],[PID]],0)),INDEX(Table3[[#All],[Last]],MATCH(A1491,Table3[[#All],[PID]],0)))</f>
        <v>Remeeus</v>
      </c>
      <c r="G1491" s="56">
        <f>IF($C1491="B",INDEX(Batters[[#All],[Age]],MATCH(Table5[[#This Row],[PID]],Batters[[#All],[PID]],0)),INDEX(Table3[[#All],[Age]],MATCH(Table5[[#This Row],[PID]],Table3[[#All],[PID]],0)))</f>
        <v>21</v>
      </c>
      <c r="H1491" s="52" t="str">
        <f>IF($C1491="B",INDEX(Batters[[#All],[B]],MATCH(Table5[[#This Row],[PID]],Batters[[#All],[PID]],0)),INDEX(Table3[[#All],[B]],MATCH(Table5[[#This Row],[PID]],Table3[[#All],[PID]],0)))</f>
        <v>S</v>
      </c>
      <c r="I1491" s="70" t="str">
        <f>IF($C1491="B",INDEX(Batters[[#All],[T]],MATCH(Table5[[#This Row],[PID]],Batters[[#All],[PID]],0)),INDEX(Table3[[#All],[T]],MATCH(Table5[[#This Row],[PID]],Table3[[#All],[PID]],0)))</f>
        <v>R</v>
      </c>
      <c r="J1491" s="52" t="str">
        <f>IF($C1491="B",INDEX(Batters[[#All],[WE]],MATCH(Table5[[#This Row],[PID]],Batters[[#All],[PID]],0)),INDEX(Table3[[#All],[WE]],MATCH(Table5[[#This Row],[PID]],Table3[[#All],[PID]],0)))</f>
        <v>Low</v>
      </c>
      <c r="K1491" s="52" t="str">
        <f>IF($C1491="B",INDEX(Batters[[#All],[INT]],MATCH(Table5[[#This Row],[PID]],Batters[[#All],[PID]],0)),INDEX(Table3[[#All],[INT]],MATCH(Table5[[#This Row],[PID]],Table3[[#All],[PID]],0)))</f>
        <v>High</v>
      </c>
      <c r="L1491" s="60">
        <f>IF($C1491="B",INDEX(Batters[[#All],[CON P]],MATCH(Table5[[#This Row],[PID]],Batters[[#All],[PID]],0)),INDEX(Table3[[#All],[STU P]],MATCH(Table5[[#This Row],[PID]],Table3[[#All],[PID]],0)))</f>
        <v>2</v>
      </c>
      <c r="M1491" s="56">
        <f>IF($C1491="B",INDEX(Batters[[#All],[GAP P]],MATCH(Table5[[#This Row],[PID]],Batters[[#All],[PID]],0)),INDEX(Table3[[#All],[MOV P]],MATCH(Table5[[#This Row],[PID]],Table3[[#All],[PID]],0)))</f>
        <v>4</v>
      </c>
      <c r="N1491" s="56">
        <f>IF($C1491="B",INDEX(Batters[[#All],[POW P]],MATCH(Table5[[#This Row],[PID]],Batters[[#All],[PID]],0)),INDEX(Table3[[#All],[CON P]],MATCH(Table5[[#This Row],[PID]],Table3[[#All],[PID]],0)))</f>
        <v>3</v>
      </c>
      <c r="O1491" s="56">
        <f>IF($C1491="B",INDEX(Batters[[#All],[EYE P]],MATCH(Table5[[#This Row],[PID]],Batters[[#All],[PID]],0)),INDEX(Table3[[#All],[VELO]],MATCH(Table5[[#This Row],[PID]],Table3[[#All],[PID]],0)))</f>
        <v>5</v>
      </c>
      <c r="P1491" s="56">
        <f>IF($C1491="B",INDEX(Batters[[#All],[K P]],MATCH(Table5[[#This Row],[PID]],Batters[[#All],[PID]],0)),INDEX(Table3[[#All],[STM]],MATCH(Table5[[#This Row],[PID]],Table3[[#All],[PID]],0)))</f>
        <v>2</v>
      </c>
      <c r="Q1491" s="61">
        <f>IF($C1491="B",INDEX(Batters[[#All],[Tot]],MATCH(Table5[[#This Row],[PID]],Batters[[#All],[PID]],0)),INDEX(Table3[[#All],[Tot]],MATCH(Table5[[#This Row],[PID]],Table3[[#All],[PID]],0)))</f>
        <v>32.308902720321683</v>
      </c>
      <c r="R1491" s="70">
        <f>IF($C1491="B",INDEX(Batters[[#All],[zScore]],MATCH(Table5[[#This Row],[PID]],Batters[[#All],[PID]],0)),INDEX(Table3[[#All],[zScore]],MATCH(Table5[[#This Row],[PID]],Table3[[#All],[PID]],0)))</f>
        <v>-2.6212472195042333</v>
      </c>
      <c r="S1491" s="79" t="str">
        <f>IF($C1491="B",INDEX(Batters[[#All],[DEM]],MATCH(Table5[[#This Row],[PID]],Batters[[#All],[PID]],0)),INDEX(Table3[[#All],[DEM]],MATCH(Table5[[#This Row],[PID]],Table3[[#All],[PID]],0)))</f>
        <v>-</v>
      </c>
      <c r="T1491" s="62">
        <f>IF($C1491="B",INDEX(Batters[[#All],[Rnk]],MATCH(Table5[[#This Row],[PID]],Batters[[#All],[PID]],0)),INDEX(Table3[[#All],[Rnk]],MATCH(Table5[[#This Row],[PID]],Table3[[#All],[PID]],0)))</f>
        <v>707</v>
      </c>
      <c r="U1491" s="68">
        <f>IF($C1491="B",VLOOKUP($A1491,Bat!$A$4:$BA$1621,47,FALSE),VLOOKUP($A1491,Pit!$A$4:$BF$1557,56,FALSE))</f>
        <v>0</v>
      </c>
      <c r="V1491" s="50">
        <f>IF($C1491="B",VLOOKUP($A1491,Bat!$A$4:$BA$1621,48,FALSE),VLOOKUP($A1491,Pit!$A$4:$BF$1557,57,FALSE))</f>
        <v>0</v>
      </c>
      <c r="W1491" s="50">
        <f>Table5[[#This Row],[posRnk]]+Table5[[#This Row],[zRnk]]+IF($W$3&lt;&gt;Table5[[#This Row],[Type]],50,0)</f>
        <v>2242</v>
      </c>
      <c r="X1491" s="51">
        <f>RANK(Table5[[#This Row],[zScore]],Table5[[#All],[zScore]])</f>
        <v>1485</v>
      </c>
      <c r="Y1491" s="50" t="str">
        <f>IFERROR(INDEX(DraftResults[[#All],[OVR]],MATCH(Table5[[#This Row],[PID]],DraftResults[[#All],[Player ID]],0)),"")</f>
        <v/>
      </c>
      <c r="Z149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1" s="50" t="str">
        <f>IFERROR(INDEX(DraftResults[[#All],[Pick in Round]],MATCH(Table5[[#This Row],[PID]],DraftResults[[#All],[Player ID]],0)),"")</f>
        <v/>
      </c>
      <c r="AB1491" s="50" t="str">
        <f>IFERROR(INDEX(DraftResults[[#All],[Team Name]],MATCH(Table5[[#This Row],[PID]],DraftResults[[#All],[Player ID]],0)),"")</f>
        <v/>
      </c>
      <c r="AC1491" s="50" t="str">
        <f>IF(Table5[[#This Row],[Ovr]]="","",IF(Table5[[#This Row],[cmbList]]="","",Table5[[#This Row],[cmbList]]-Table5[[#This Row],[Ovr]]))</f>
        <v/>
      </c>
      <c r="AD1491" s="54" t="str">
        <f>IF(ISERROR(VLOOKUP($AB1491&amp;"-"&amp;$E1491&amp;" "&amp;F1491,Bonuses!$B$1:$G$1006,4,FALSE)),"",INT(VLOOKUP($AB1491&amp;"-"&amp;$E1491&amp;" "&amp;$F1491,Bonuses!$B$1:$G$1006,4,FALSE)))</f>
        <v/>
      </c>
      <c r="AE149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2" spans="1:31" x14ac:dyDescent="0.25">
      <c r="A1492" s="50">
        <v>17015</v>
      </c>
      <c r="B1492" s="50">
        <f>COUNTIF(Table5[PID],A1492)</f>
        <v>1</v>
      </c>
      <c r="C1492" s="50" t="str">
        <f>IF(COUNTIF(Table3[[#All],[PID]],A1492)&gt;0,"P","B")</f>
        <v>B</v>
      </c>
      <c r="D1492" s="59" t="str">
        <f>IF($C1492="B",INDEX(Batters[[#All],[POS]],MATCH(Table5[[#This Row],[PID]],Batters[[#All],[PID]],0)),INDEX(Table3[[#All],[POS]],MATCH(Table5[[#This Row],[PID]],Table3[[#All],[PID]],0)))</f>
        <v>SS</v>
      </c>
      <c r="E1492" s="52" t="str">
        <f>IF($C1492="B",INDEX(Batters[[#All],[First]],MATCH(Table5[[#This Row],[PID]],Batters[[#All],[PID]],0)),INDEX(Table3[[#All],[First]],MATCH(Table5[[#This Row],[PID]],Table3[[#All],[PID]],0)))</f>
        <v>Yunosuke</v>
      </c>
      <c r="F1492" s="50" t="str">
        <f>IF($C1492="B",INDEX(Batters[[#All],[Last]],MATCH(A1492,Batters[[#All],[PID]],0)),INDEX(Table3[[#All],[Last]],MATCH(A1492,Table3[[#All],[PID]],0)))</f>
        <v>Ono</v>
      </c>
      <c r="G1492" s="56">
        <f>IF($C1492="B",INDEX(Batters[[#All],[Age]],MATCH(Table5[[#This Row],[PID]],Batters[[#All],[PID]],0)),INDEX(Table3[[#All],[Age]],MATCH(Table5[[#This Row],[PID]],Table3[[#All],[PID]],0)))</f>
        <v>21</v>
      </c>
      <c r="H1492" s="52" t="str">
        <f>IF($C1492="B",INDEX(Batters[[#All],[B]],MATCH(Table5[[#This Row],[PID]],Batters[[#All],[PID]],0)),INDEX(Table3[[#All],[B]],MATCH(Table5[[#This Row],[PID]],Table3[[#All],[PID]],0)))</f>
        <v>S</v>
      </c>
      <c r="I1492" s="70" t="str">
        <f>IF($C1492="B",INDEX(Batters[[#All],[T]],MATCH(Table5[[#This Row],[PID]],Batters[[#All],[PID]],0)),INDEX(Table3[[#All],[T]],MATCH(Table5[[#This Row],[PID]],Table3[[#All],[PID]],0)))</f>
        <v>R</v>
      </c>
      <c r="J1492" s="52" t="str">
        <f>IF($C1492="B",INDEX(Batters[[#All],[WE]],MATCH(Table5[[#This Row],[PID]],Batters[[#All],[PID]],0)),INDEX(Table3[[#All],[WE]],MATCH(Table5[[#This Row],[PID]],Table3[[#All],[PID]],0)))</f>
        <v>Normal</v>
      </c>
      <c r="K1492" s="52" t="str">
        <f>IF($C1492="B",INDEX(Batters[[#All],[INT]],MATCH(Table5[[#This Row],[PID]],Batters[[#All],[PID]],0)),INDEX(Table3[[#All],[INT]],MATCH(Table5[[#This Row],[PID]],Table3[[#All],[PID]],0)))</f>
        <v>Normal</v>
      </c>
      <c r="L1492" s="60">
        <f>IF($C1492="B",INDEX(Batters[[#All],[CON P]],MATCH(Table5[[#This Row],[PID]],Batters[[#All],[PID]],0)),INDEX(Table3[[#All],[STU P]],MATCH(Table5[[#This Row],[PID]],Table3[[#All],[PID]],0)))</f>
        <v>2</v>
      </c>
      <c r="M1492" s="56">
        <f>IF($C1492="B",INDEX(Batters[[#All],[GAP P]],MATCH(Table5[[#This Row],[PID]],Batters[[#All],[PID]],0)),INDEX(Table3[[#All],[MOV P]],MATCH(Table5[[#This Row],[PID]],Table3[[#All],[PID]],0)))</f>
        <v>4</v>
      </c>
      <c r="N1492" s="56">
        <f>IF($C1492="B",INDEX(Batters[[#All],[POW P]],MATCH(Table5[[#This Row],[PID]],Batters[[#All],[PID]],0)),INDEX(Table3[[#All],[CON P]],MATCH(Table5[[#This Row],[PID]],Table3[[#All],[PID]],0)))</f>
        <v>2</v>
      </c>
      <c r="O1492" s="56">
        <f>IF($C1492="B",INDEX(Batters[[#All],[EYE P]],MATCH(Table5[[#This Row],[PID]],Batters[[#All],[PID]],0)),INDEX(Table3[[#All],[VELO]],MATCH(Table5[[#This Row],[PID]],Table3[[#All],[PID]],0)))</f>
        <v>4</v>
      </c>
      <c r="P1492" s="56">
        <f>IF($C1492="B",INDEX(Batters[[#All],[K P]],MATCH(Table5[[#This Row],[PID]],Batters[[#All],[PID]],0)),INDEX(Table3[[#All],[STM]],MATCH(Table5[[#This Row],[PID]],Table3[[#All],[PID]],0)))</f>
        <v>3</v>
      </c>
      <c r="Q1492" s="61">
        <f>IF($C1492="B",INDEX(Batters[[#All],[Tot]],MATCH(Table5[[#This Row],[PID]],Batters[[#All],[PID]],0)),INDEX(Table3[[#All],[Tot]],MATCH(Table5[[#This Row],[PID]],Table3[[#All],[PID]],0)))</f>
        <v>32.297328144398755</v>
      </c>
      <c r="R1492" s="70">
        <f>IF($C1492="B",INDEX(Batters[[#All],[zScore]],MATCH(Table5[[#This Row],[PID]],Batters[[#All],[PID]],0)),INDEX(Table3[[#All],[zScore]],MATCH(Table5[[#This Row],[PID]],Table3[[#All],[PID]],0)))</f>
        <v>-2.6238133812232189</v>
      </c>
      <c r="S1492" s="79" t="str">
        <f>IF($C1492="B",INDEX(Batters[[#All],[DEM]],MATCH(Table5[[#This Row],[PID]],Batters[[#All],[PID]],0)),INDEX(Table3[[#All],[DEM]],MATCH(Table5[[#This Row],[PID]],Table3[[#All],[PID]],0)))</f>
        <v>-</v>
      </c>
      <c r="T1492" s="62">
        <f>IF($C1492="B",INDEX(Batters[[#All],[Rnk]],MATCH(Table5[[#This Row],[PID]],Batters[[#All],[PID]],0)),INDEX(Table3[[#All],[Rnk]],MATCH(Table5[[#This Row],[PID]],Table3[[#All],[PID]],0)))</f>
        <v>708</v>
      </c>
      <c r="U1492" s="68">
        <f>IF($C1492="B",VLOOKUP($A1492,Bat!$A$4:$BA$1621,47,FALSE),VLOOKUP($A1492,Pit!$A$4:$BF$1557,56,FALSE))</f>
        <v>0</v>
      </c>
      <c r="V1492" s="50">
        <f>IF($C1492="B",VLOOKUP($A1492,Bat!$A$4:$BA$1621,48,FALSE),VLOOKUP($A1492,Pit!$A$4:$BF$1557,57,FALSE))</f>
        <v>0</v>
      </c>
      <c r="W1492" s="50">
        <f>Table5[[#This Row],[posRnk]]+Table5[[#This Row],[zRnk]]+IF($W$3&lt;&gt;Table5[[#This Row],[Type]],50,0)</f>
        <v>2244</v>
      </c>
      <c r="X1492" s="51">
        <f>RANK(Table5[[#This Row],[zScore]],Table5[[#All],[zScore]])</f>
        <v>1486</v>
      </c>
      <c r="Y1492" s="50" t="str">
        <f>IFERROR(INDEX(DraftResults[[#All],[OVR]],MATCH(Table5[[#This Row],[PID]],DraftResults[[#All],[Player ID]],0)),"")</f>
        <v/>
      </c>
      <c r="Z149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2" s="50" t="str">
        <f>IFERROR(INDEX(DraftResults[[#All],[Pick in Round]],MATCH(Table5[[#This Row],[PID]],DraftResults[[#All],[Player ID]],0)),"")</f>
        <v/>
      </c>
      <c r="AB1492" s="50" t="str">
        <f>IFERROR(INDEX(DraftResults[[#All],[Team Name]],MATCH(Table5[[#This Row],[PID]],DraftResults[[#All],[Player ID]],0)),"")</f>
        <v/>
      </c>
      <c r="AC1492" s="50" t="str">
        <f>IF(Table5[[#This Row],[Ovr]]="","",IF(Table5[[#This Row],[cmbList]]="","",Table5[[#This Row],[cmbList]]-Table5[[#This Row],[Ovr]]))</f>
        <v/>
      </c>
      <c r="AD1492" s="54" t="str">
        <f>IF(ISERROR(VLOOKUP($AB1492&amp;"-"&amp;$E1492&amp;" "&amp;F1492,Bonuses!$B$1:$G$1006,4,FALSE)),"",INT(VLOOKUP($AB1492&amp;"-"&amp;$E1492&amp;" "&amp;$F1492,Bonuses!$B$1:$G$1006,4,FALSE)))</f>
        <v/>
      </c>
      <c r="AE149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3" spans="1:31" x14ac:dyDescent="0.25">
      <c r="A1493" s="50">
        <v>4755</v>
      </c>
      <c r="B1493" s="55">
        <f>COUNTIF(Table5[PID],A1493)</f>
        <v>1</v>
      </c>
      <c r="C1493" s="55" t="str">
        <f>IF(COUNTIF(Table3[[#All],[PID]],A1493)&gt;0,"P","B")</f>
        <v>B</v>
      </c>
      <c r="D1493" s="59" t="str">
        <f>IF($C1493="B",INDEX(Batters[[#All],[POS]],MATCH(Table5[[#This Row],[PID]],Batters[[#All],[PID]],0)),INDEX(Table3[[#All],[POS]],MATCH(Table5[[#This Row],[PID]],Table3[[#All],[PID]],0)))</f>
        <v>1B</v>
      </c>
      <c r="E1493" s="52" t="str">
        <f>IF($C1493="B",INDEX(Batters[[#All],[First]],MATCH(Table5[[#This Row],[PID]],Batters[[#All],[PID]],0)),INDEX(Table3[[#All],[First]],MATCH(Table5[[#This Row],[PID]],Table3[[#All],[PID]],0)))</f>
        <v>Bob</v>
      </c>
      <c r="F1493" s="50" t="str">
        <f>IF($C1493="B",INDEX(Batters[[#All],[Last]],MATCH(A1493,Batters[[#All],[PID]],0)),INDEX(Table3[[#All],[Last]],MATCH(A1493,Table3[[#All],[PID]],0)))</f>
        <v>Clay</v>
      </c>
      <c r="G1493" s="56">
        <f>IF($C1493="B",INDEX(Batters[[#All],[Age]],MATCH(Table5[[#This Row],[PID]],Batters[[#All],[PID]],0)),INDEX(Table3[[#All],[Age]],MATCH(Table5[[#This Row],[PID]],Table3[[#All],[PID]],0)))</f>
        <v>22</v>
      </c>
      <c r="H1493" s="52" t="str">
        <f>IF($C1493="B",INDEX(Batters[[#All],[B]],MATCH(Table5[[#This Row],[PID]],Batters[[#All],[PID]],0)),INDEX(Table3[[#All],[B]],MATCH(Table5[[#This Row],[PID]],Table3[[#All],[PID]],0)))</f>
        <v>R</v>
      </c>
      <c r="I1493" s="70" t="str">
        <f>IF($C1493="B",INDEX(Batters[[#All],[T]],MATCH(Table5[[#This Row],[PID]],Batters[[#All],[PID]],0)),INDEX(Table3[[#All],[T]],MATCH(Table5[[#This Row],[PID]],Table3[[#All],[PID]],0)))</f>
        <v>R</v>
      </c>
      <c r="J1493" s="52" t="str">
        <f>IF($C1493="B",INDEX(Batters[[#All],[WE]],MATCH(Table5[[#This Row],[PID]],Batters[[#All],[PID]],0)),INDEX(Table3[[#All],[WE]],MATCH(Table5[[#This Row],[PID]],Table3[[#All],[PID]],0)))</f>
        <v>Normal</v>
      </c>
      <c r="K1493" s="52" t="str">
        <f>IF($C1493="B",INDEX(Batters[[#All],[INT]],MATCH(Table5[[#This Row],[PID]],Batters[[#All],[PID]],0)),INDEX(Table3[[#All],[INT]],MATCH(Table5[[#This Row],[PID]],Table3[[#All],[PID]],0)))</f>
        <v>Normal</v>
      </c>
      <c r="L1493" s="60">
        <f>IF($C1493="B",INDEX(Batters[[#All],[CON P]],MATCH(Table5[[#This Row],[PID]],Batters[[#All],[PID]],0)),INDEX(Table3[[#All],[STU P]],MATCH(Table5[[#This Row],[PID]],Table3[[#All],[PID]],0)))</f>
        <v>3</v>
      </c>
      <c r="M1493" s="56">
        <f>IF($C1493="B",INDEX(Batters[[#All],[GAP P]],MATCH(Table5[[#This Row],[PID]],Batters[[#All],[PID]],0)),INDEX(Table3[[#All],[MOV P]],MATCH(Table5[[#This Row],[PID]],Table3[[#All],[PID]],0)))</f>
        <v>2</v>
      </c>
      <c r="N1493" s="56">
        <f>IF($C1493="B",INDEX(Batters[[#All],[POW P]],MATCH(Table5[[#This Row],[PID]],Batters[[#All],[PID]],0)),INDEX(Table3[[#All],[CON P]],MATCH(Table5[[#This Row],[PID]],Table3[[#All],[PID]],0)))</f>
        <v>2</v>
      </c>
      <c r="O1493" s="56">
        <f>IF($C1493="B",INDEX(Batters[[#All],[EYE P]],MATCH(Table5[[#This Row],[PID]],Batters[[#All],[PID]],0)),INDEX(Table3[[#All],[VELO]],MATCH(Table5[[#This Row],[PID]],Table3[[#All],[PID]],0)))</f>
        <v>3</v>
      </c>
      <c r="P1493" s="56">
        <f>IF($C1493="B",INDEX(Batters[[#All],[K P]],MATCH(Table5[[#This Row],[PID]],Batters[[#All],[PID]],0)),INDEX(Table3[[#All],[STM]],MATCH(Table5[[#This Row],[PID]],Table3[[#All],[PID]],0)))</f>
        <v>3</v>
      </c>
      <c r="Q1493" s="61">
        <f>IF($C1493="B",INDEX(Batters[[#All],[Tot]],MATCH(Table5[[#This Row],[PID]],Batters[[#All],[PID]],0)),INDEX(Table3[[#All],[Tot]],MATCH(Table5[[#This Row],[PID]],Table3[[#All],[PID]],0)))</f>
        <v>32.293196063525393</v>
      </c>
      <c r="R1493" s="70">
        <f>IF($C1493="B",INDEX(Batters[[#All],[zScore]],MATCH(Table5[[#This Row],[PID]],Batters[[#All],[PID]],0)),INDEX(Table3[[#All],[zScore]],MATCH(Table5[[#This Row],[PID]],Table3[[#All],[PID]],0)))</f>
        <v>-2.6247294914831176</v>
      </c>
      <c r="S1493" s="79" t="str">
        <f>IF($C1493="B",INDEX(Batters[[#All],[DEM]],MATCH(Table5[[#This Row],[PID]],Batters[[#All],[PID]],0)),INDEX(Table3[[#All],[DEM]],MATCH(Table5[[#This Row],[PID]],Table3[[#All],[PID]],0)))</f>
        <v>-</v>
      </c>
      <c r="T1493" s="62">
        <f>IF($C1493="B",INDEX(Batters[[#All],[Rnk]],MATCH(Table5[[#This Row],[PID]],Batters[[#All],[PID]],0)),INDEX(Table3[[#All],[Rnk]],MATCH(Table5[[#This Row],[PID]],Table3[[#All],[PID]],0)))</f>
        <v>709</v>
      </c>
      <c r="U1493" s="68">
        <f>IF($C1493="B",VLOOKUP($A1493,Bat!$A$4:$BA$1621,47,FALSE),VLOOKUP($A1493,Pit!$A$4:$BF$1557,56,FALSE))</f>
        <v>0</v>
      </c>
      <c r="V1493" s="50">
        <f>IF($C1493="B",VLOOKUP($A1493,Bat!$A$4:$BA$1621,48,FALSE),VLOOKUP($A1493,Pit!$A$4:$BF$1557,57,FALSE))</f>
        <v>0</v>
      </c>
      <c r="W1493" s="50">
        <f>Table5[[#This Row],[posRnk]]+Table5[[#This Row],[zRnk]]+IF($W$3&lt;&gt;Table5[[#This Row],[Type]],50,0)</f>
        <v>2246</v>
      </c>
      <c r="X1493" s="51">
        <f>RANK(Table5[[#This Row],[zScore]],Table5[[#All],[zScore]])</f>
        <v>1487</v>
      </c>
      <c r="Y1493" s="50" t="str">
        <f>IFERROR(INDEX(DraftResults[[#All],[OVR]],MATCH(Table5[[#This Row],[PID]],DraftResults[[#All],[Player ID]],0)),"")</f>
        <v/>
      </c>
      <c r="Z149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3" s="50" t="str">
        <f>IFERROR(INDEX(DraftResults[[#All],[Pick in Round]],MATCH(Table5[[#This Row],[PID]],DraftResults[[#All],[Player ID]],0)),"")</f>
        <v/>
      </c>
      <c r="AB1493" s="50" t="str">
        <f>IFERROR(INDEX(DraftResults[[#All],[Team Name]],MATCH(Table5[[#This Row],[PID]],DraftResults[[#All],[Player ID]],0)),"")</f>
        <v/>
      </c>
      <c r="AC1493" s="50" t="str">
        <f>IF(Table5[[#This Row],[Ovr]]="","",IF(Table5[[#This Row],[cmbList]]="","",Table5[[#This Row],[cmbList]]-Table5[[#This Row],[Ovr]]))</f>
        <v/>
      </c>
      <c r="AD1493" s="54" t="str">
        <f>IF(ISERROR(VLOOKUP($AB1493&amp;"-"&amp;$E1493&amp;" "&amp;F1493,Bonuses!$B$1:$G$1006,4,FALSE)),"",INT(VLOOKUP($AB1493&amp;"-"&amp;$E1493&amp;" "&amp;$F1493,Bonuses!$B$1:$G$1006,4,FALSE)))</f>
        <v/>
      </c>
      <c r="AE149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4" spans="1:31" x14ac:dyDescent="0.25">
      <c r="A1494" s="50">
        <v>18013</v>
      </c>
      <c r="B1494" s="50">
        <f>COUNTIF(Table5[PID],A1494)</f>
        <v>1</v>
      </c>
      <c r="C1494" s="50" t="str">
        <f>IF(COUNTIF(Table3[[#All],[PID]],A1494)&gt;0,"P","B")</f>
        <v>B</v>
      </c>
      <c r="D1494" s="59" t="str">
        <f>IF($C1494="B",INDEX(Batters[[#All],[POS]],MATCH(Table5[[#This Row],[PID]],Batters[[#All],[PID]],0)),INDEX(Table3[[#All],[POS]],MATCH(Table5[[#This Row],[PID]],Table3[[#All],[PID]],0)))</f>
        <v>SS</v>
      </c>
      <c r="E1494" s="52" t="str">
        <f>IF($C1494="B",INDEX(Batters[[#All],[First]],MATCH(Table5[[#This Row],[PID]],Batters[[#All],[PID]],0)),INDEX(Table3[[#All],[First]],MATCH(Table5[[#This Row],[PID]],Table3[[#All],[PID]],0)))</f>
        <v>Rob</v>
      </c>
      <c r="F1494" s="50" t="str">
        <f>IF($C1494="B",INDEX(Batters[[#All],[Last]],MATCH(A1494,Batters[[#All],[PID]],0)),INDEX(Table3[[#All],[Last]],MATCH(A1494,Table3[[#All],[PID]],0)))</f>
        <v>Boone</v>
      </c>
      <c r="G1494" s="56">
        <f>IF($C1494="B",INDEX(Batters[[#All],[Age]],MATCH(Table5[[#This Row],[PID]],Batters[[#All],[PID]],0)),INDEX(Table3[[#All],[Age]],MATCH(Table5[[#This Row],[PID]],Table3[[#All],[PID]],0)))</f>
        <v>21</v>
      </c>
      <c r="H1494" s="52" t="str">
        <f>IF($C1494="B",INDEX(Batters[[#All],[B]],MATCH(Table5[[#This Row],[PID]],Batters[[#All],[PID]],0)),INDEX(Table3[[#All],[B]],MATCH(Table5[[#This Row],[PID]],Table3[[#All],[PID]],0)))</f>
        <v>S</v>
      </c>
      <c r="I1494" s="70" t="str">
        <f>IF($C1494="B",INDEX(Batters[[#All],[T]],MATCH(Table5[[#This Row],[PID]],Batters[[#All],[PID]],0)),INDEX(Table3[[#All],[T]],MATCH(Table5[[#This Row],[PID]],Table3[[#All],[PID]],0)))</f>
        <v>R</v>
      </c>
      <c r="J1494" s="52" t="str">
        <f>IF($C1494="B",INDEX(Batters[[#All],[WE]],MATCH(Table5[[#This Row],[PID]],Batters[[#All],[PID]],0)),INDEX(Table3[[#All],[WE]],MATCH(Table5[[#This Row],[PID]],Table3[[#All],[PID]],0)))</f>
        <v>Low</v>
      </c>
      <c r="K1494" s="52" t="str">
        <f>IF($C1494="B",INDEX(Batters[[#All],[INT]],MATCH(Table5[[#This Row],[PID]],Batters[[#All],[PID]],0)),INDEX(Table3[[#All],[INT]],MATCH(Table5[[#This Row],[PID]],Table3[[#All],[PID]],0)))</f>
        <v>Low</v>
      </c>
      <c r="L1494" s="60">
        <f>IF($C1494="B",INDEX(Batters[[#All],[CON P]],MATCH(Table5[[#This Row],[PID]],Batters[[#All],[PID]],0)),INDEX(Table3[[#All],[STU P]],MATCH(Table5[[#This Row],[PID]],Table3[[#All],[PID]],0)))</f>
        <v>2</v>
      </c>
      <c r="M1494" s="56">
        <f>IF($C1494="B",INDEX(Batters[[#All],[GAP P]],MATCH(Table5[[#This Row],[PID]],Batters[[#All],[PID]],0)),INDEX(Table3[[#All],[MOV P]],MATCH(Table5[[#This Row],[PID]],Table3[[#All],[PID]],0)))</f>
        <v>3</v>
      </c>
      <c r="N1494" s="56">
        <f>IF($C1494="B",INDEX(Batters[[#All],[POW P]],MATCH(Table5[[#This Row],[PID]],Batters[[#All],[PID]],0)),INDEX(Table3[[#All],[CON P]],MATCH(Table5[[#This Row],[PID]],Table3[[#All],[PID]],0)))</f>
        <v>3</v>
      </c>
      <c r="O1494" s="56">
        <f>IF($C1494="B",INDEX(Batters[[#All],[EYE P]],MATCH(Table5[[#This Row],[PID]],Batters[[#All],[PID]],0)),INDEX(Table3[[#All],[VELO]],MATCH(Table5[[#This Row],[PID]],Table3[[#All],[PID]],0)))</f>
        <v>5</v>
      </c>
      <c r="P1494" s="56">
        <f>IF($C1494="B",INDEX(Batters[[#All],[K P]],MATCH(Table5[[#This Row],[PID]],Batters[[#All],[PID]],0)),INDEX(Table3[[#All],[STM]],MATCH(Table5[[#This Row],[PID]],Table3[[#All],[PID]],0)))</f>
        <v>2</v>
      </c>
      <c r="Q1494" s="61">
        <f>IF($C1494="B",INDEX(Batters[[#All],[Tot]],MATCH(Table5[[#This Row],[PID]],Batters[[#All],[PID]],0)),INDEX(Table3[[#All],[Tot]],MATCH(Table5[[#This Row],[PID]],Table3[[#All],[PID]],0)))</f>
        <v>32.24433270623777</v>
      </c>
      <c r="R1494" s="70">
        <f>IF($C1494="B",INDEX(Batters[[#All],[zScore]],MATCH(Table5[[#This Row],[PID]],Batters[[#All],[PID]],0)),INDEX(Table3[[#All],[zScore]],MATCH(Table5[[#This Row],[PID]],Table3[[#All],[PID]],0)))</f>
        <v>-2.6355628280794261</v>
      </c>
      <c r="S1494" s="79" t="str">
        <f>IF($C1494="B",INDEX(Batters[[#All],[DEM]],MATCH(Table5[[#This Row],[PID]],Batters[[#All],[PID]],0)),INDEX(Table3[[#All],[DEM]],MATCH(Table5[[#This Row],[PID]],Table3[[#All],[PID]],0)))</f>
        <v>-</v>
      </c>
      <c r="T1494" s="62">
        <f>IF($C1494="B",INDEX(Batters[[#All],[Rnk]],MATCH(Table5[[#This Row],[PID]],Batters[[#All],[PID]],0)),INDEX(Table3[[#All],[Rnk]],MATCH(Table5[[#This Row],[PID]],Table3[[#All],[PID]],0)))</f>
        <v>710</v>
      </c>
      <c r="U1494" s="68">
        <f>IF($C1494="B",VLOOKUP($A1494,Bat!$A$4:$BA$1621,47,FALSE),VLOOKUP($A1494,Pit!$A$4:$BF$1557,56,FALSE))</f>
        <v>0</v>
      </c>
      <c r="V1494" s="50">
        <f>IF($C1494="B",VLOOKUP($A1494,Bat!$A$4:$BA$1621,48,FALSE),VLOOKUP($A1494,Pit!$A$4:$BF$1557,57,FALSE))</f>
        <v>0</v>
      </c>
      <c r="W1494" s="50">
        <f>Table5[[#This Row],[posRnk]]+Table5[[#This Row],[zRnk]]+IF($W$3&lt;&gt;Table5[[#This Row],[Type]],50,0)</f>
        <v>2248</v>
      </c>
      <c r="X1494" s="51">
        <f>RANK(Table5[[#This Row],[zScore]],Table5[[#All],[zScore]])</f>
        <v>1488</v>
      </c>
      <c r="Y1494" s="50" t="str">
        <f>IFERROR(INDEX(DraftResults[[#All],[OVR]],MATCH(Table5[[#This Row],[PID]],DraftResults[[#All],[Player ID]],0)),"")</f>
        <v/>
      </c>
      <c r="Z149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4" s="50" t="str">
        <f>IFERROR(INDEX(DraftResults[[#All],[Pick in Round]],MATCH(Table5[[#This Row],[PID]],DraftResults[[#All],[Player ID]],0)),"")</f>
        <v/>
      </c>
      <c r="AB1494" s="50" t="str">
        <f>IFERROR(INDEX(DraftResults[[#All],[Team Name]],MATCH(Table5[[#This Row],[PID]],DraftResults[[#All],[Player ID]],0)),"")</f>
        <v/>
      </c>
      <c r="AC1494" s="50" t="str">
        <f>IF(Table5[[#This Row],[Ovr]]="","",IF(Table5[[#This Row],[cmbList]]="","",Table5[[#This Row],[cmbList]]-Table5[[#This Row],[Ovr]]))</f>
        <v/>
      </c>
      <c r="AD1494" s="54" t="str">
        <f>IF(ISERROR(VLOOKUP($AB1494&amp;"-"&amp;$E1494&amp;" "&amp;F1494,Bonuses!$B$1:$G$1006,4,FALSE)),"",INT(VLOOKUP($AB1494&amp;"-"&amp;$E1494&amp;" "&amp;$F1494,Bonuses!$B$1:$G$1006,4,FALSE)))</f>
        <v/>
      </c>
      <c r="AE149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5" spans="1:31" x14ac:dyDescent="0.25">
      <c r="A1495" s="50">
        <v>5505</v>
      </c>
      <c r="B1495" s="55">
        <f>COUNTIF(Table5[PID],A1495)</f>
        <v>1</v>
      </c>
      <c r="C1495" s="55" t="str">
        <f>IF(COUNTIF(Table3[[#All],[PID]],A1495)&gt;0,"P","B")</f>
        <v>B</v>
      </c>
      <c r="D1495" s="59" t="str">
        <f>IF($C1495="B",INDEX(Batters[[#All],[POS]],MATCH(Table5[[#This Row],[PID]],Batters[[#All],[PID]],0)),INDEX(Table3[[#All],[POS]],MATCH(Table5[[#This Row],[PID]],Table3[[#All],[PID]],0)))</f>
        <v>C</v>
      </c>
      <c r="E1495" s="52" t="str">
        <f>IF($C1495="B",INDEX(Batters[[#All],[First]],MATCH(Table5[[#This Row],[PID]],Batters[[#All],[PID]],0)),INDEX(Table3[[#All],[First]],MATCH(Table5[[#This Row],[PID]],Table3[[#All],[PID]],0)))</f>
        <v>Dani</v>
      </c>
      <c r="F1495" s="50" t="str">
        <f>IF($C1495="B",INDEX(Batters[[#All],[Last]],MATCH(A1495,Batters[[#All],[PID]],0)),INDEX(Table3[[#All],[Last]],MATCH(A1495,Table3[[#All],[PID]],0)))</f>
        <v>Fernández</v>
      </c>
      <c r="G1495" s="56">
        <f>IF($C1495="B",INDEX(Batters[[#All],[Age]],MATCH(Table5[[#This Row],[PID]],Batters[[#All],[PID]],0)),INDEX(Table3[[#All],[Age]],MATCH(Table5[[#This Row],[PID]],Table3[[#All],[PID]],0)))</f>
        <v>21</v>
      </c>
      <c r="H1495" s="52" t="str">
        <f>IF($C1495="B",INDEX(Batters[[#All],[B]],MATCH(Table5[[#This Row],[PID]],Batters[[#All],[PID]],0)),INDEX(Table3[[#All],[B]],MATCH(Table5[[#This Row],[PID]],Table3[[#All],[PID]],0)))</f>
        <v>S</v>
      </c>
      <c r="I1495" s="70" t="str">
        <f>IF($C1495="B",INDEX(Batters[[#All],[T]],MATCH(Table5[[#This Row],[PID]],Batters[[#All],[PID]],0)),INDEX(Table3[[#All],[T]],MATCH(Table5[[#This Row],[PID]],Table3[[#All],[PID]],0)))</f>
        <v>R</v>
      </c>
      <c r="J1495" s="52" t="str">
        <f>IF($C1495="B",INDEX(Batters[[#All],[WE]],MATCH(Table5[[#This Row],[PID]],Batters[[#All],[PID]],0)),INDEX(Table3[[#All],[WE]],MATCH(Table5[[#This Row],[PID]],Table3[[#All],[PID]],0)))</f>
        <v>High</v>
      </c>
      <c r="K1495" s="52" t="str">
        <f>IF($C1495="B",INDEX(Batters[[#All],[INT]],MATCH(Table5[[#This Row],[PID]],Batters[[#All],[PID]],0)),INDEX(Table3[[#All],[INT]],MATCH(Table5[[#This Row],[PID]],Table3[[#All],[PID]],0)))</f>
        <v>Normal</v>
      </c>
      <c r="L1495" s="60">
        <f>IF($C1495="B",INDEX(Batters[[#All],[CON P]],MATCH(Table5[[#This Row],[PID]],Batters[[#All],[PID]],0)),INDEX(Table3[[#All],[STU P]],MATCH(Table5[[#This Row],[PID]],Table3[[#All],[PID]],0)))</f>
        <v>2</v>
      </c>
      <c r="M1495" s="56">
        <f>IF($C1495="B",INDEX(Batters[[#All],[GAP P]],MATCH(Table5[[#This Row],[PID]],Batters[[#All],[PID]],0)),INDEX(Table3[[#All],[MOV P]],MATCH(Table5[[#This Row],[PID]],Table3[[#All],[PID]],0)))</f>
        <v>3</v>
      </c>
      <c r="N1495" s="56">
        <f>IF($C1495="B",INDEX(Batters[[#All],[POW P]],MATCH(Table5[[#This Row],[PID]],Batters[[#All],[PID]],0)),INDEX(Table3[[#All],[CON P]],MATCH(Table5[[#This Row],[PID]],Table3[[#All],[PID]],0)))</f>
        <v>3</v>
      </c>
      <c r="O1495" s="56">
        <f>IF($C1495="B",INDEX(Batters[[#All],[EYE P]],MATCH(Table5[[#This Row],[PID]],Batters[[#All],[PID]],0)),INDEX(Table3[[#All],[VELO]],MATCH(Table5[[#This Row],[PID]],Table3[[#All],[PID]],0)))</f>
        <v>4</v>
      </c>
      <c r="P1495" s="56">
        <f>IF($C1495="B",INDEX(Batters[[#All],[K P]],MATCH(Table5[[#This Row],[PID]],Batters[[#All],[PID]],0)),INDEX(Table3[[#All],[STM]],MATCH(Table5[[#This Row],[PID]],Table3[[#All],[PID]],0)))</f>
        <v>2</v>
      </c>
      <c r="Q1495" s="61">
        <f>IF($C1495="B",INDEX(Batters[[#All],[Tot]],MATCH(Table5[[#This Row],[PID]],Batters[[#All],[PID]],0)),INDEX(Table3[[#All],[Tot]],MATCH(Table5[[#This Row],[PID]],Table3[[#All],[PID]],0)))</f>
        <v>32.242180484455176</v>
      </c>
      <c r="R1495" s="70">
        <f>IF($C1495="B",INDEX(Batters[[#All],[zScore]],MATCH(Table5[[#This Row],[PID]],Batters[[#All],[PID]],0)),INDEX(Table3[[#All],[zScore]],MATCH(Table5[[#This Row],[PID]],Table3[[#All],[PID]],0)))</f>
        <v>-2.6360399901962963</v>
      </c>
      <c r="S1495" s="79" t="str">
        <f>IF($C1495="B",INDEX(Batters[[#All],[DEM]],MATCH(Table5[[#This Row],[PID]],Batters[[#All],[PID]],0)),INDEX(Table3[[#All],[DEM]],MATCH(Table5[[#This Row],[PID]],Table3[[#All],[PID]],0)))</f>
        <v>-</v>
      </c>
      <c r="T1495" s="62">
        <f>IF($C1495="B",INDEX(Batters[[#All],[Rnk]],MATCH(Table5[[#This Row],[PID]],Batters[[#All],[PID]],0)),INDEX(Table3[[#All],[Rnk]],MATCH(Table5[[#This Row],[PID]],Table3[[#All],[PID]],0)))</f>
        <v>711</v>
      </c>
      <c r="U1495" s="68">
        <f>IF($C1495="B",VLOOKUP($A1495,Bat!$A$4:$BA$1621,47,FALSE),VLOOKUP($A1495,Pit!$A$4:$BF$1557,56,FALSE))</f>
        <v>0</v>
      </c>
      <c r="V1495" s="50">
        <f>IF($C1495="B",VLOOKUP($A1495,Bat!$A$4:$BA$1621,48,FALSE),VLOOKUP($A1495,Pit!$A$4:$BF$1557,57,FALSE))</f>
        <v>0</v>
      </c>
      <c r="W1495" s="50">
        <f>Table5[[#This Row],[posRnk]]+Table5[[#This Row],[zRnk]]+IF($W$3&lt;&gt;Table5[[#This Row],[Type]],50,0)</f>
        <v>2250</v>
      </c>
      <c r="X1495" s="51">
        <f>RANK(Table5[[#This Row],[zScore]],Table5[[#All],[zScore]])</f>
        <v>1489</v>
      </c>
      <c r="Y1495" s="50" t="str">
        <f>IFERROR(INDEX(DraftResults[[#All],[OVR]],MATCH(Table5[[#This Row],[PID]],DraftResults[[#All],[Player ID]],0)),"")</f>
        <v/>
      </c>
      <c r="Z149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5" s="50" t="str">
        <f>IFERROR(INDEX(DraftResults[[#All],[Pick in Round]],MATCH(Table5[[#This Row],[PID]],DraftResults[[#All],[Player ID]],0)),"")</f>
        <v/>
      </c>
      <c r="AB1495" s="50" t="str">
        <f>IFERROR(INDEX(DraftResults[[#All],[Team Name]],MATCH(Table5[[#This Row],[PID]],DraftResults[[#All],[Player ID]],0)),"")</f>
        <v/>
      </c>
      <c r="AC1495" s="50" t="str">
        <f>IF(Table5[[#This Row],[Ovr]]="","",IF(Table5[[#This Row],[cmbList]]="","",Table5[[#This Row],[cmbList]]-Table5[[#This Row],[Ovr]]))</f>
        <v/>
      </c>
      <c r="AD1495" s="54" t="str">
        <f>IF(ISERROR(VLOOKUP($AB1495&amp;"-"&amp;$E1495&amp;" "&amp;F1495,Bonuses!$B$1:$G$1006,4,FALSE)),"",INT(VLOOKUP($AB1495&amp;"-"&amp;$E1495&amp;" "&amp;$F1495,Bonuses!$B$1:$G$1006,4,FALSE)))</f>
        <v/>
      </c>
      <c r="AE149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6" spans="1:31" x14ac:dyDescent="0.25">
      <c r="A1496" s="50">
        <v>17023</v>
      </c>
      <c r="B1496" s="50">
        <f>COUNTIF(Table5[PID],A1496)</f>
        <v>1</v>
      </c>
      <c r="C1496" s="50" t="str">
        <f>IF(COUNTIF(Table3[[#All],[PID]],A1496)&gt;0,"P","B")</f>
        <v>B</v>
      </c>
      <c r="D1496" s="59" t="str">
        <f>IF($C1496="B",INDEX(Batters[[#All],[POS]],MATCH(Table5[[#This Row],[PID]],Batters[[#All],[PID]],0)),INDEX(Table3[[#All],[POS]],MATCH(Table5[[#This Row],[PID]],Table3[[#All],[PID]],0)))</f>
        <v>C</v>
      </c>
      <c r="E1496" s="52" t="str">
        <f>IF($C1496="B",INDEX(Batters[[#All],[First]],MATCH(Table5[[#This Row],[PID]],Batters[[#All],[PID]],0)),INDEX(Table3[[#All],[First]],MATCH(Table5[[#This Row],[PID]],Table3[[#All],[PID]],0)))</f>
        <v>Joaquín</v>
      </c>
      <c r="F1496" s="50" t="str">
        <f>IF($C1496="B",INDEX(Batters[[#All],[Last]],MATCH(A1496,Batters[[#All],[PID]],0)),INDEX(Table3[[#All],[Last]],MATCH(A1496,Table3[[#All],[PID]],0)))</f>
        <v>López</v>
      </c>
      <c r="G1496" s="56">
        <f>IF($C1496="B",INDEX(Batters[[#All],[Age]],MATCH(Table5[[#This Row],[PID]],Batters[[#All],[PID]],0)),INDEX(Table3[[#All],[Age]],MATCH(Table5[[#This Row],[PID]],Table3[[#All],[PID]],0)))</f>
        <v>21</v>
      </c>
      <c r="H1496" s="52" t="str">
        <f>IF($C1496="B",INDEX(Batters[[#All],[B]],MATCH(Table5[[#This Row],[PID]],Batters[[#All],[PID]],0)),INDEX(Table3[[#All],[B]],MATCH(Table5[[#This Row],[PID]],Table3[[#All],[PID]],0)))</f>
        <v>R</v>
      </c>
      <c r="I1496" s="70" t="str">
        <f>IF($C1496="B",INDEX(Batters[[#All],[T]],MATCH(Table5[[#This Row],[PID]],Batters[[#All],[PID]],0)),INDEX(Table3[[#All],[T]],MATCH(Table5[[#This Row],[PID]],Table3[[#All],[PID]],0)))</f>
        <v>R</v>
      </c>
      <c r="J1496" s="52" t="str">
        <f>IF($C1496="B",INDEX(Batters[[#All],[WE]],MATCH(Table5[[#This Row],[PID]],Batters[[#All],[PID]],0)),INDEX(Table3[[#All],[WE]],MATCH(Table5[[#This Row],[PID]],Table3[[#All],[PID]],0)))</f>
        <v>Low</v>
      </c>
      <c r="K1496" s="52" t="str">
        <f>IF($C1496="B",INDEX(Batters[[#All],[INT]],MATCH(Table5[[#This Row],[PID]],Batters[[#All],[PID]],0)),INDEX(Table3[[#All],[INT]],MATCH(Table5[[#This Row],[PID]],Table3[[#All],[PID]],0)))</f>
        <v>Low</v>
      </c>
      <c r="L1496" s="60">
        <f>IF($C1496="B",INDEX(Batters[[#All],[CON P]],MATCH(Table5[[#This Row],[PID]],Batters[[#All],[PID]],0)),INDEX(Table3[[#All],[STU P]],MATCH(Table5[[#This Row],[PID]],Table3[[#All],[PID]],0)))</f>
        <v>2</v>
      </c>
      <c r="M1496" s="56">
        <f>IF($C1496="B",INDEX(Batters[[#All],[GAP P]],MATCH(Table5[[#This Row],[PID]],Batters[[#All],[PID]],0)),INDEX(Table3[[#All],[MOV P]],MATCH(Table5[[#This Row],[PID]],Table3[[#All],[PID]],0)))</f>
        <v>4</v>
      </c>
      <c r="N1496" s="56">
        <f>IF($C1496="B",INDEX(Batters[[#All],[POW P]],MATCH(Table5[[#This Row],[PID]],Batters[[#All],[PID]],0)),INDEX(Table3[[#All],[CON P]],MATCH(Table5[[#This Row],[PID]],Table3[[#All],[PID]],0)))</f>
        <v>4</v>
      </c>
      <c r="O1496" s="56">
        <f>IF($C1496="B",INDEX(Batters[[#All],[EYE P]],MATCH(Table5[[#This Row],[PID]],Batters[[#All],[PID]],0)),INDEX(Table3[[#All],[VELO]],MATCH(Table5[[#This Row],[PID]],Table3[[#All],[PID]],0)))</f>
        <v>5</v>
      </c>
      <c r="P1496" s="56">
        <f>IF($C1496="B",INDEX(Batters[[#All],[K P]],MATCH(Table5[[#This Row],[PID]],Batters[[#All],[PID]],0)),INDEX(Table3[[#All],[STM]],MATCH(Table5[[#This Row],[PID]],Table3[[#All],[PID]],0)))</f>
        <v>1</v>
      </c>
      <c r="Q1496" s="61">
        <f>IF($C1496="B",INDEX(Batters[[#All],[Tot]],MATCH(Table5[[#This Row],[PID]],Batters[[#All],[PID]],0)),INDEX(Table3[[#All],[Tot]],MATCH(Table5[[#This Row],[PID]],Table3[[#All],[PID]],0)))</f>
        <v>32.224203549880713</v>
      </c>
      <c r="R1496" s="70">
        <f>IF($C1496="B",INDEX(Batters[[#All],[zScore]],MATCH(Table5[[#This Row],[PID]],Batters[[#All],[PID]],0)),INDEX(Table3[[#All],[zScore]],MATCH(Table5[[#This Row],[PID]],Table3[[#All],[PID]],0)))</f>
        <v>-2.6400255981042555</v>
      </c>
      <c r="S1496" s="79" t="str">
        <f>IF($C1496="B",INDEX(Batters[[#All],[DEM]],MATCH(Table5[[#This Row],[PID]],Batters[[#All],[PID]],0)),INDEX(Table3[[#All],[DEM]],MATCH(Table5[[#This Row],[PID]],Table3[[#All],[PID]],0)))</f>
        <v>-</v>
      </c>
      <c r="T1496" s="62">
        <f>IF($C1496="B",INDEX(Batters[[#All],[Rnk]],MATCH(Table5[[#This Row],[PID]],Batters[[#All],[PID]],0)),INDEX(Table3[[#All],[Rnk]],MATCH(Table5[[#This Row],[PID]],Table3[[#All],[PID]],0)))</f>
        <v>712</v>
      </c>
      <c r="U1496" s="68">
        <f>IF($C1496="B",VLOOKUP($A1496,Bat!$A$4:$BA$1621,47,FALSE),VLOOKUP($A1496,Pit!$A$4:$BF$1557,56,FALSE))</f>
        <v>0</v>
      </c>
      <c r="V1496" s="50">
        <f>IF($C1496="B",VLOOKUP($A1496,Bat!$A$4:$BA$1621,48,FALSE),VLOOKUP($A1496,Pit!$A$4:$BF$1557,57,FALSE))</f>
        <v>0</v>
      </c>
      <c r="W1496" s="50">
        <f>Table5[[#This Row],[posRnk]]+Table5[[#This Row],[zRnk]]+IF($W$3&lt;&gt;Table5[[#This Row],[Type]],50,0)</f>
        <v>2252</v>
      </c>
      <c r="X1496" s="51">
        <f>RANK(Table5[[#This Row],[zScore]],Table5[[#All],[zScore]])</f>
        <v>1490</v>
      </c>
      <c r="Y1496" s="50" t="str">
        <f>IFERROR(INDEX(DraftResults[[#All],[OVR]],MATCH(Table5[[#This Row],[PID]],DraftResults[[#All],[Player ID]],0)),"")</f>
        <v/>
      </c>
      <c r="Z149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6" s="50" t="str">
        <f>IFERROR(INDEX(DraftResults[[#All],[Pick in Round]],MATCH(Table5[[#This Row],[PID]],DraftResults[[#All],[Player ID]],0)),"")</f>
        <v/>
      </c>
      <c r="AB1496" s="50" t="str">
        <f>IFERROR(INDEX(DraftResults[[#All],[Team Name]],MATCH(Table5[[#This Row],[PID]],DraftResults[[#All],[Player ID]],0)),"")</f>
        <v/>
      </c>
      <c r="AC1496" s="50" t="str">
        <f>IF(Table5[[#This Row],[Ovr]]="","",IF(Table5[[#This Row],[cmbList]]="","",Table5[[#This Row],[cmbList]]-Table5[[#This Row],[Ovr]]))</f>
        <v/>
      </c>
      <c r="AD1496" s="54" t="str">
        <f>IF(ISERROR(VLOOKUP($AB1496&amp;"-"&amp;$E1496&amp;" "&amp;F1496,Bonuses!$B$1:$G$1006,4,FALSE)),"",INT(VLOOKUP($AB1496&amp;"-"&amp;$E1496&amp;" "&amp;$F1496,Bonuses!$B$1:$G$1006,4,FALSE)))</f>
        <v/>
      </c>
      <c r="AE149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7" spans="1:31" x14ac:dyDescent="0.25">
      <c r="A1497" s="50">
        <v>16902</v>
      </c>
      <c r="B1497" s="50">
        <f>COUNTIF(Table5[PID],A1497)</f>
        <v>1</v>
      </c>
      <c r="C1497" s="50" t="str">
        <f>IF(COUNTIF(Table3[[#All],[PID]],A1497)&gt;0,"P","B")</f>
        <v>B</v>
      </c>
      <c r="D1497" s="59" t="str">
        <f>IF($C1497="B",INDEX(Batters[[#All],[POS]],MATCH(Table5[[#This Row],[PID]],Batters[[#All],[PID]],0)),INDEX(Table3[[#All],[POS]],MATCH(Table5[[#This Row],[PID]],Table3[[#All],[PID]],0)))</f>
        <v>C</v>
      </c>
      <c r="E1497" s="52" t="str">
        <f>IF($C1497="B",INDEX(Batters[[#All],[First]],MATCH(Table5[[#This Row],[PID]],Batters[[#All],[PID]],0)),INDEX(Table3[[#All],[First]],MATCH(Table5[[#This Row],[PID]],Table3[[#All],[PID]],0)))</f>
        <v>Terry</v>
      </c>
      <c r="F1497" s="50" t="str">
        <f>IF($C1497="B",INDEX(Batters[[#All],[Last]],MATCH(A1497,Batters[[#All],[PID]],0)),INDEX(Table3[[#All],[Last]],MATCH(A1497,Table3[[#All],[PID]],0)))</f>
        <v>O'Slattery</v>
      </c>
      <c r="G1497" s="56">
        <f>IF($C1497="B",INDEX(Batters[[#All],[Age]],MATCH(Table5[[#This Row],[PID]],Batters[[#All],[PID]],0)),INDEX(Table3[[#All],[Age]],MATCH(Table5[[#This Row],[PID]],Table3[[#All],[PID]],0)))</f>
        <v>21</v>
      </c>
      <c r="H1497" s="52" t="str">
        <f>IF($C1497="B",INDEX(Batters[[#All],[B]],MATCH(Table5[[#This Row],[PID]],Batters[[#All],[PID]],0)),INDEX(Table3[[#All],[B]],MATCH(Table5[[#This Row],[PID]],Table3[[#All],[PID]],0)))</f>
        <v>R</v>
      </c>
      <c r="I1497" s="70" t="str">
        <f>IF($C1497="B",INDEX(Batters[[#All],[T]],MATCH(Table5[[#This Row],[PID]],Batters[[#All],[PID]],0)),INDEX(Table3[[#All],[T]],MATCH(Table5[[#This Row],[PID]],Table3[[#All],[PID]],0)))</f>
        <v>R</v>
      </c>
      <c r="J1497" s="52" t="str">
        <f>IF($C1497="B",INDEX(Batters[[#All],[WE]],MATCH(Table5[[#This Row],[PID]],Batters[[#All],[PID]],0)),INDEX(Table3[[#All],[WE]],MATCH(Table5[[#This Row],[PID]],Table3[[#All],[PID]],0)))</f>
        <v>Low</v>
      </c>
      <c r="K1497" s="52" t="str">
        <f>IF($C1497="B",INDEX(Batters[[#All],[INT]],MATCH(Table5[[#This Row],[PID]],Batters[[#All],[PID]],0)),INDEX(Table3[[#All],[INT]],MATCH(Table5[[#This Row],[PID]],Table3[[#All],[PID]],0)))</f>
        <v>Normal</v>
      </c>
      <c r="L1497" s="60">
        <f>IF($C1497="B",INDEX(Batters[[#All],[CON P]],MATCH(Table5[[#This Row],[PID]],Batters[[#All],[PID]],0)),INDEX(Table3[[#All],[STU P]],MATCH(Table5[[#This Row],[PID]],Table3[[#All],[PID]],0)))</f>
        <v>2</v>
      </c>
      <c r="M1497" s="56">
        <f>IF($C1497="B",INDEX(Batters[[#All],[GAP P]],MATCH(Table5[[#This Row],[PID]],Batters[[#All],[PID]],0)),INDEX(Table3[[#All],[MOV P]],MATCH(Table5[[#This Row],[PID]],Table3[[#All],[PID]],0)))</f>
        <v>3</v>
      </c>
      <c r="N1497" s="56">
        <f>IF($C1497="B",INDEX(Batters[[#All],[POW P]],MATCH(Table5[[#This Row],[PID]],Batters[[#All],[PID]],0)),INDEX(Table3[[#All],[CON P]],MATCH(Table5[[#This Row],[PID]],Table3[[#All],[PID]],0)))</f>
        <v>3</v>
      </c>
      <c r="O1497" s="56">
        <f>IF($C1497="B",INDEX(Batters[[#All],[EYE P]],MATCH(Table5[[#This Row],[PID]],Batters[[#All],[PID]],0)),INDEX(Table3[[#All],[VELO]],MATCH(Table5[[#This Row],[PID]],Table3[[#All],[PID]],0)))</f>
        <v>4</v>
      </c>
      <c r="P1497" s="56">
        <f>IF($C1497="B",INDEX(Batters[[#All],[K P]],MATCH(Table5[[#This Row],[PID]],Batters[[#All],[PID]],0)),INDEX(Table3[[#All],[STM]],MATCH(Table5[[#This Row],[PID]],Table3[[#All],[PID]],0)))</f>
        <v>2</v>
      </c>
      <c r="Q1497" s="61">
        <f>IF($C1497="B",INDEX(Batters[[#All],[Tot]],MATCH(Table5[[#This Row],[PID]],Batters[[#All],[PID]],0)),INDEX(Table3[[#All],[Tot]],MATCH(Table5[[#This Row],[PID]],Table3[[#All],[PID]],0)))</f>
        <v>32.14604545149426</v>
      </c>
      <c r="R1497" s="70">
        <f>IF($C1497="B",INDEX(Batters[[#All],[zScore]],MATCH(Table5[[#This Row],[PID]],Batters[[#All],[PID]],0)),INDEX(Table3[[#All],[zScore]],MATCH(Table5[[#This Row],[PID]],Table3[[#All],[PID]],0)))</f>
        <v>-2.657353776816247</v>
      </c>
      <c r="S1497" s="79" t="str">
        <f>IF($C1497="B",INDEX(Batters[[#All],[DEM]],MATCH(Table5[[#This Row],[PID]],Batters[[#All],[PID]],0)),INDEX(Table3[[#All],[DEM]],MATCH(Table5[[#This Row],[PID]],Table3[[#All],[PID]],0)))</f>
        <v>$20k</v>
      </c>
      <c r="T1497" s="62">
        <f>IF($C1497="B",INDEX(Batters[[#All],[Rnk]],MATCH(Table5[[#This Row],[PID]],Batters[[#All],[PID]],0)),INDEX(Table3[[#All],[Rnk]],MATCH(Table5[[#This Row],[PID]],Table3[[#All],[PID]],0)))</f>
        <v>713</v>
      </c>
      <c r="U1497" s="68">
        <f>IF($C1497="B",VLOOKUP($A1497,Bat!$A$4:$BA$1621,47,FALSE),VLOOKUP($A1497,Pit!$A$4:$BF$1557,56,FALSE))</f>
        <v>0</v>
      </c>
      <c r="V1497" s="50">
        <f>IF($C1497="B",VLOOKUP($A1497,Bat!$A$4:$BA$1621,48,FALSE),VLOOKUP($A1497,Pit!$A$4:$BF$1557,57,FALSE))</f>
        <v>0</v>
      </c>
      <c r="W1497" s="50">
        <f>Table5[[#This Row],[posRnk]]+Table5[[#This Row],[zRnk]]+IF($W$3&lt;&gt;Table5[[#This Row],[Type]],50,0)</f>
        <v>2254</v>
      </c>
      <c r="X1497" s="51">
        <f>RANK(Table5[[#This Row],[zScore]],Table5[[#All],[zScore]])</f>
        <v>1491</v>
      </c>
      <c r="Y1497" s="50" t="str">
        <f>IFERROR(INDEX(DraftResults[[#All],[OVR]],MATCH(Table5[[#This Row],[PID]],DraftResults[[#All],[Player ID]],0)),"")</f>
        <v/>
      </c>
      <c r="Z149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7" s="50" t="str">
        <f>IFERROR(INDEX(DraftResults[[#All],[Pick in Round]],MATCH(Table5[[#This Row],[PID]],DraftResults[[#All],[Player ID]],0)),"")</f>
        <v/>
      </c>
      <c r="AB1497" s="50" t="str">
        <f>IFERROR(INDEX(DraftResults[[#All],[Team Name]],MATCH(Table5[[#This Row],[PID]],DraftResults[[#All],[Player ID]],0)),"")</f>
        <v/>
      </c>
      <c r="AC1497" s="50" t="str">
        <f>IF(Table5[[#This Row],[Ovr]]="","",IF(Table5[[#This Row],[cmbList]]="","",Table5[[#This Row],[cmbList]]-Table5[[#This Row],[Ovr]]))</f>
        <v/>
      </c>
      <c r="AD1497" s="54" t="str">
        <f>IF(ISERROR(VLOOKUP($AB1497&amp;"-"&amp;$E1497&amp;" "&amp;F1497,Bonuses!$B$1:$G$1006,4,FALSE)),"",INT(VLOOKUP($AB1497&amp;"-"&amp;$E1497&amp;" "&amp;$F1497,Bonuses!$B$1:$G$1006,4,FALSE)))</f>
        <v/>
      </c>
      <c r="AE149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8" spans="1:31" x14ac:dyDescent="0.25">
      <c r="A1498" s="50">
        <v>17765</v>
      </c>
      <c r="B1498" s="50">
        <f>COUNTIF(Table5[PID],A1498)</f>
        <v>1</v>
      </c>
      <c r="C1498" s="50" t="str">
        <f>IF(COUNTIF(Table3[[#All],[PID]],A1498)&gt;0,"P","B")</f>
        <v>B</v>
      </c>
      <c r="D1498" s="59" t="str">
        <f>IF($C1498="B",INDEX(Batters[[#All],[POS]],MATCH(Table5[[#This Row],[PID]],Batters[[#All],[PID]],0)),INDEX(Table3[[#All],[POS]],MATCH(Table5[[#This Row],[PID]],Table3[[#All],[PID]],0)))</f>
        <v>2B</v>
      </c>
      <c r="E1498" s="52" t="str">
        <f>IF($C1498="B",INDEX(Batters[[#All],[First]],MATCH(Table5[[#This Row],[PID]],Batters[[#All],[PID]],0)),INDEX(Table3[[#All],[First]],MATCH(Table5[[#This Row],[PID]],Table3[[#All],[PID]],0)))</f>
        <v>Tatsuya</v>
      </c>
      <c r="F1498" s="50" t="str">
        <f>IF($C1498="B",INDEX(Batters[[#All],[Last]],MATCH(A1498,Batters[[#All],[PID]],0)),INDEX(Table3[[#All],[Last]],MATCH(A1498,Table3[[#All],[PID]],0)))</f>
        <v>Kondo</v>
      </c>
      <c r="G1498" s="56">
        <f>IF($C1498="B",INDEX(Batters[[#All],[Age]],MATCH(Table5[[#This Row],[PID]],Batters[[#All],[PID]],0)),INDEX(Table3[[#All],[Age]],MATCH(Table5[[#This Row],[PID]],Table3[[#All],[PID]],0)))</f>
        <v>22</v>
      </c>
      <c r="H1498" s="52" t="str">
        <f>IF($C1498="B",INDEX(Batters[[#All],[B]],MATCH(Table5[[#This Row],[PID]],Batters[[#All],[PID]],0)),INDEX(Table3[[#All],[B]],MATCH(Table5[[#This Row],[PID]],Table3[[#All],[PID]],0)))</f>
        <v>S</v>
      </c>
      <c r="I1498" s="70" t="str">
        <f>IF($C1498="B",INDEX(Batters[[#All],[T]],MATCH(Table5[[#This Row],[PID]],Batters[[#All],[PID]],0)),INDEX(Table3[[#All],[T]],MATCH(Table5[[#This Row],[PID]],Table3[[#All],[PID]],0)))</f>
        <v>R</v>
      </c>
      <c r="J1498" s="52" t="str">
        <f>IF($C1498="B",INDEX(Batters[[#All],[WE]],MATCH(Table5[[#This Row],[PID]],Batters[[#All],[PID]],0)),INDEX(Table3[[#All],[WE]],MATCH(Table5[[#This Row],[PID]],Table3[[#All],[PID]],0)))</f>
        <v>Low</v>
      </c>
      <c r="K1498" s="52" t="str">
        <f>IF($C1498="B",INDEX(Batters[[#All],[INT]],MATCH(Table5[[#This Row],[PID]],Batters[[#All],[PID]],0)),INDEX(Table3[[#All],[INT]],MATCH(Table5[[#This Row],[PID]],Table3[[#All],[PID]],0)))</f>
        <v>Normal</v>
      </c>
      <c r="L1498" s="60">
        <f>IF($C1498="B",INDEX(Batters[[#All],[CON P]],MATCH(Table5[[#This Row],[PID]],Batters[[#All],[PID]],0)),INDEX(Table3[[#All],[STU P]],MATCH(Table5[[#This Row],[PID]],Table3[[#All],[PID]],0)))</f>
        <v>2</v>
      </c>
      <c r="M1498" s="56">
        <f>IF($C1498="B",INDEX(Batters[[#All],[GAP P]],MATCH(Table5[[#This Row],[PID]],Batters[[#All],[PID]],0)),INDEX(Table3[[#All],[MOV P]],MATCH(Table5[[#This Row],[PID]],Table3[[#All],[PID]],0)))</f>
        <v>4</v>
      </c>
      <c r="N1498" s="56">
        <f>IF($C1498="B",INDEX(Batters[[#All],[POW P]],MATCH(Table5[[#This Row],[PID]],Batters[[#All],[PID]],0)),INDEX(Table3[[#All],[CON P]],MATCH(Table5[[#This Row],[PID]],Table3[[#All],[PID]],0)))</f>
        <v>2</v>
      </c>
      <c r="O1498" s="56">
        <f>IF($C1498="B",INDEX(Batters[[#All],[EYE P]],MATCH(Table5[[#This Row],[PID]],Batters[[#All],[PID]],0)),INDEX(Table3[[#All],[VELO]],MATCH(Table5[[#This Row],[PID]],Table3[[#All],[PID]],0)))</f>
        <v>5</v>
      </c>
      <c r="P1498" s="56">
        <f>IF($C1498="B",INDEX(Batters[[#All],[K P]],MATCH(Table5[[#This Row],[PID]],Batters[[#All],[PID]],0)),INDEX(Table3[[#All],[STM]],MATCH(Table5[[#This Row],[PID]],Table3[[#All],[PID]],0)))</f>
        <v>2</v>
      </c>
      <c r="Q1498" s="61">
        <f>IF($C1498="B",INDEX(Batters[[#All],[Tot]],MATCH(Table5[[#This Row],[PID]],Batters[[#All],[PID]],0)),INDEX(Table3[[#All],[Tot]],MATCH(Table5[[#This Row],[PID]],Table3[[#All],[PID]],0)))</f>
        <v>32.093646666708729</v>
      </c>
      <c r="R1498" s="70">
        <f>IF($C1498="B",INDEX(Batters[[#All],[zScore]],MATCH(Table5[[#This Row],[PID]],Batters[[#All],[PID]],0)),INDEX(Table3[[#All],[zScore]],MATCH(Table5[[#This Row],[PID]],Table3[[#All],[PID]],0)))</f>
        <v>-2.6689709415861138</v>
      </c>
      <c r="S1498" s="79" t="str">
        <f>IF($C1498="B",INDEX(Batters[[#All],[DEM]],MATCH(Table5[[#This Row],[PID]],Batters[[#All],[PID]],0)),INDEX(Table3[[#All],[DEM]],MATCH(Table5[[#This Row],[PID]],Table3[[#All],[PID]],0)))</f>
        <v>-</v>
      </c>
      <c r="T1498" s="62">
        <f>IF($C1498="B",INDEX(Batters[[#All],[Rnk]],MATCH(Table5[[#This Row],[PID]],Batters[[#All],[PID]],0)),INDEX(Table3[[#All],[Rnk]],MATCH(Table5[[#This Row],[PID]],Table3[[#All],[PID]],0)))</f>
        <v>714</v>
      </c>
      <c r="U1498" s="68">
        <f>IF($C1498="B",VLOOKUP($A1498,Bat!$A$4:$BA$1621,47,FALSE),VLOOKUP($A1498,Pit!$A$4:$BF$1557,56,FALSE))</f>
        <v>0</v>
      </c>
      <c r="V1498" s="50">
        <f>IF($C1498="B",VLOOKUP($A1498,Bat!$A$4:$BA$1621,48,FALSE),VLOOKUP($A1498,Pit!$A$4:$BF$1557,57,FALSE))</f>
        <v>0</v>
      </c>
      <c r="W1498" s="50">
        <f>Table5[[#This Row],[posRnk]]+Table5[[#This Row],[zRnk]]+IF($W$3&lt;&gt;Table5[[#This Row],[Type]],50,0)</f>
        <v>2256</v>
      </c>
      <c r="X1498" s="51">
        <f>RANK(Table5[[#This Row],[zScore]],Table5[[#All],[zScore]])</f>
        <v>1492</v>
      </c>
      <c r="Y1498" s="50" t="str">
        <f>IFERROR(INDEX(DraftResults[[#All],[OVR]],MATCH(Table5[[#This Row],[PID]],DraftResults[[#All],[Player ID]],0)),"")</f>
        <v/>
      </c>
      <c r="Z149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8" s="50" t="str">
        <f>IFERROR(INDEX(DraftResults[[#All],[Pick in Round]],MATCH(Table5[[#This Row],[PID]],DraftResults[[#All],[Player ID]],0)),"")</f>
        <v/>
      </c>
      <c r="AB1498" s="50" t="str">
        <f>IFERROR(INDEX(DraftResults[[#All],[Team Name]],MATCH(Table5[[#This Row],[PID]],DraftResults[[#All],[Player ID]],0)),"")</f>
        <v/>
      </c>
      <c r="AC1498" s="50" t="str">
        <f>IF(Table5[[#This Row],[Ovr]]="","",IF(Table5[[#This Row],[cmbList]]="","",Table5[[#This Row],[cmbList]]-Table5[[#This Row],[Ovr]]))</f>
        <v/>
      </c>
      <c r="AD1498" s="54" t="str">
        <f>IF(ISERROR(VLOOKUP($AB1498&amp;"-"&amp;$E1498&amp;" "&amp;F1498,Bonuses!$B$1:$G$1006,4,FALSE)),"",INT(VLOOKUP($AB1498&amp;"-"&amp;$E1498&amp;" "&amp;$F1498,Bonuses!$B$1:$G$1006,4,FALSE)))</f>
        <v/>
      </c>
      <c r="AE149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499" spans="1:31" x14ac:dyDescent="0.25">
      <c r="A1499" s="50">
        <v>18155</v>
      </c>
      <c r="B1499" s="55">
        <f>COUNTIF(Table5[PID],A1499)</f>
        <v>1</v>
      </c>
      <c r="C1499" s="55" t="str">
        <f>IF(COUNTIF(Table3[[#All],[PID]],A1499)&gt;0,"P","B")</f>
        <v>B</v>
      </c>
      <c r="D1499" s="59" t="str">
        <f>IF($C1499="B",INDEX(Batters[[#All],[POS]],MATCH(Table5[[#This Row],[PID]],Batters[[#All],[PID]],0)),INDEX(Table3[[#All],[POS]],MATCH(Table5[[#This Row],[PID]],Table3[[#All],[PID]],0)))</f>
        <v>C</v>
      </c>
      <c r="E1499" s="52" t="str">
        <f>IF($C1499="B",INDEX(Batters[[#All],[First]],MATCH(Table5[[#This Row],[PID]],Batters[[#All],[PID]],0)),INDEX(Table3[[#All],[First]],MATCH(Table5[[#This Row],[PID]],Table3[[#All],[PID]],0)))</f>
        <v>Lawrence</v>
      </c>
      <c r="F1499" s="50" t="str">
        <f>IF($C1499="B",INDEX(Batters[[#All],[Last]],MATCH(A1499,Batters[[#All],[PID]],0)),INDEX(Table3[[#All],[Last]],MATCH(A1499,Table3[[#All],[PID]],0)))</f>
        <v>Davis</v>
      </c>
      <c r="G1499" s="56">
        <f>IF($C1499="B",INDEX(Batters[[#All],[Age]],MATCH(Table5[[#This Row],[PID]],Batters[[#All],[PID]],0)),INDEX(Table3[[#All],[Age]],MATCH(Table5[[#This Row],[PID]],Table3[[#All],[PID]],0)))</f>
        <v>21</v>
      </c>
      <c r="H1499" s="52" t="str">
        <f>IF($C1499="B",INDEX(Batters[[#All],[B]],MATCH(Table5[[#This Row],[PID]],Batters[[#All],[PID]],0)),INDEX(Table3[[#All],[B]],MATCH(Table5[[#This Row],[PID]],Table3[[#All],[PID]],0)))</f>
        <v>L</v>
      </c>
      <c r="I1499" s="70" t="str">
        <f>IF($C1499="B",INDEX(Batters[[#All],[T]],MATCH(Table5[[#This Row],[PID]],Batters[[#All],[PID]],0)),INDEX(Table3[[#All],[T]],MATCH(Table5[[#This Row],[PID]],Table3[[#All],[PID]],0)))</f>
        <v>R</v>
      </c>
      <c r="J1499" s="52" t="str">
        <f>IF($C1499="B",INDEX(Batters[[#All],[WE]],MATCH(Table5[[#This Row],[PID]],Batters[[#All],[PID]],0)),INDEX(Table3[[#All],[WE]],MATCH(Table5[[#This Row],[PID]],Table3[[#All],[PID]],0)))</f>
        <v>Normal</v>
      </c>
      <c r="K1499" s="52" t="str">
        <f>IF($C1499="B",INDEX(Batters[[#All],[INT]],MATCH(Table5[[#This Row],[PID]],Batters[[#All],[PID]],0)),INDEX(Table3[[#All],[INT]],MATCH(Table5[[#This Row],[PID]],Table3[[#All],[PID]],0)))</f>
        <v>Normal</v>
      </c>
      <c r="L1499" s="60">
        <f>IF($C1499="B",INDEX(Batters[[#All],[CON P]],MATCH(Table5[[#This Row],[PID]],Batters[[#All],[PID]],0)),INDEX(Table3[[#All],[STU P]],MATCH(Table5[[#This Row],[PID]],Table3[[#All],[PID]],0)))</f>
        <v>2</v>
      </c>
      <c r="M1499" s="56">
        <f>IF($C1499="B",INDEX(Batters[[#All],[GAP P]],MATCH(Table5[[#This Row],[PID]],Batters[[#All],[PID]],0)),INDEX(Table3[[#All],[MOV P]],MATCH(Table5[[#This Row],[PID]],Table3[[#All],[PID]],0)))</f>
        <v>3</v>
      </c>
      <c r="N1499" s="56">
        <f>IF($C1499="B",INDEX(Batters[[#All],[POW P]],MATCH(Table5[[#This Row],[PID]],Batters[[#All],[PID]],0)),INDEX(Table3[[#All],[CON P]],MATCH(Table5[[#This Row],[PID]],Table3[[#All],[PID]],0)))</f>
        <v>3</v>
      </c>
      <c r="O1499" s="56">
        <f>IF($C1499="B",INDEX(Batters[[#All],[EYE P]],MATCH(Table5[[#This Row],[PID]],Batters[[#All],[PID]],0)),INDEX(Table3[[#All],[VELO]],MATCH(Table5[[#This Row],[PID]],Table3[[#All],[PID]],0)))</f>
        <v>5</v>
      </c>
      <c r="P1499" s="56">
        <f>IF($C1499="B",INDEX(Batters[[#All],[K P]],MATCH(Table5[[#This Row],[PID]],Batters[[#All],[PID]],0)),INDEX(Table3[[#All],[STM]],MATCH(Table5[[#This Row],[PID]],Table3[[#All],[PID]],0)))</f>
        <v>2</v>
      </c>
      <c r="Q1499" s="61">
        <f>IF($C1499="B",INDEX(Batters[[#All],[Tot]],MATCH(Table5[[#This Row],[PID]],Batters[[#All],[PID]],0)),INDEX(Table3[[#All],[Tot]],MATCH(Table5[[#This Row],[PID]],Table3[[#All],[PID]],0)))</f>
        <v>32.078303661238721</v>
      </c>
      <c r="R1499" s="70">
        <f>IF($C1499="B",INDEX(Batters[[#All],[zScore]],MATCH(Table5[[#This Row],[PID]],Batters[[#All],[PID]],0)),INDEX(Table3[[#All],[zScore]],MATCH(Table5[[#This Row],[PID]],Table3[[#All],[PID]],0)))</f>
        <v>-2.6723725896079062</v>
      </c>
      <c r="S1499" s="79" t="str">
        <f>IF($C1499="B",INDEX(Batters[[#All],[DEM]],MATCH(Table5[[#This Row],[PID]],Batters[[#All],[PID]],0)),INDEX(Table3[[#All],[DEM]],MATCH(Table5[[#This Row],[PID]],Table3[[#All],[PID]],0)))</f>
        <v>-</v>
      </c>
      <c r="T1499" s="62">
        <f>IF($C1499="B",INDEX(Batters[[#All],[Rnk]],MATCH(Table5[[#This Row],[PID]],Batters[[#All],[PID]],0)),INDEX(Table3[[#All],[Rnk]],MATCH(Table5[[#This Row],[PID]],Table3[[#All],[PID]],0)))</f>
        <v>715</v>
      </c>
      <c r="U1499" s="68">
        <f>IF($C1499="B",VLOOKUP($A1499,Bat!$A$4:$BA$1621,47,FALSE),VLOOKUP($A1499,Pit!$A$4:$BF$1557,56,FALSE))</f>
        <v>0</v>
      </c>
      <c r="V1499" s="50">
        <f>IF($C1499="B",VLOOKUP($A1499,Bat!$A$4:$BA$1621,48,FALSE),VLOOKUP($A1499,Pit!$A$4:$BF$1557,57,FALSE))</f>
        <v>0</v>
      </c>
      <c r="W1499" s="50">
        <f>Table5[[#This Row],[posRnk]]+Table5[[#This Row],[zRnk]]+IF($W$3&lt;&gt;Table5[[#This Row],[Type]],50,0)</f>
        <v>2258</v>
      </c>
      <c r="X1499" s="51">
        <f>RANK(Table5[[#This Row],[zScore]],Table5[[#All],[zScore]])</f>
        <v>1493</v>
      </c>
      <c r="Y1499" s="50" t="str">
        <f>IFERROR(INDEX(DraftResults[[#All],[OVR]],MATCH(Table5[[#This Row],[PID]],DraftResults[[#All],[Player ID]],0)),"")</f>
        <v/>
      </c>
      <c r="Z149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499" s="50" t="str">
        <f>IFERROR(INDEX(DraftResults[[#All],[Pick in Round]],MATCH(Table5[[#This Row],[PID]],DraftResults[[#All],[Player ID]],0)),"")</f>
        <v/>
      </c>
      <c r="AB1499" s="50" t="str">
        <f>IFERROR(INDEX(DraftResults[[#All],[Team Name]],MATCH(Table5[[#This Row],[PID]],DraftResults[[#All],[Player ID]],0)),"")</f>
        <v/>
      </c>
      <c r="AC1499" s="50" t="str">
        <f>IF(Table5[[#This Row],[Ovr]]="","",IF(Table5[[#This Row],[cmbList]]="","",Table5[[#This Row],[cmbList]]-Table5[[#This Row],[Ovr]]))</f>
        <v/>
      </c>
      <c r="AD1499" s="54" t="str">
        <f>IF(ISERROR(VLOOKUP($AB1499&amp;"-"&amp;$E1499&amp;" "&amp;F1499,Bonuses!$B$1:$G$1006,4,FALSE)),"",INT(VLOOKUP($AB1499&amp;"-"&amp;$E1499&amp;" "&amp;$F1499,Bonuses!$B$1:$G$1006,4,FALSE)))</f>
        <v/>
      </c>
      <c r="AE149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0" spans="1:31" x14ac:dyDescent="0.25">
      <c r="A1500" s="50">
        <v>18051</v>
      </c>
      <c r="B1500" s="50">
        <f>COUNTIF(Table5[PID],A1500)</f>
        <v>1</v>
      </c>
      <c r="C1500" s="50" t="str">
        <f>IF(COUNTIF(Table3[[#All],[PID]],A1500)&gt;0,"P","B")</f>
        <v>B</v>
      </c>
      <c r="D1500" s="59" t="str">
        <f>IF($C1500="B",INDEX(Batters[[#All],[POS]],MATCH(Table5[[#This Row],[PID]],Batters[[#All],[PID]],0)),INDEX(Table3[[#All],[POS]],MATCH(Table5[[#This Row],[PID]],Table3[[#All],[PID]],0)))</f>
        <v>C</v>
      </c>
      <c r="E1500" s="52" t="str">
        <f>IF($C1500="B",INDEX(Batters[[#All],[First]],MATCH(Table5[[#This Row],[PID]],Batters[[#All],[PID]],0)),INDEX(Table3[[#All],[First]],MATCH(Table5[[#This Row],[PID]],Table3[[#All],[PID]],0)))</f>
        <v>Gerald</v>
      </c>
      <c r="F1500" s="50" t="str">
        <f>IF($C1500="B",INDEX(Batters[[#All],[Last]],MATCH(A1500,Batters[[#All],[PID]],0)),INDEX(Table3[[#All],[Last]],MATCH(A1500,Table3[[#All],[PID]],0)))</f>
        <v>Payne</v>
      </c>
      <c r="G1500" s="56">
        <f>IF($C1500="B",INDEX(Batters[[#All],[Age]],MATCH(Table5[[#This Row],[PID]],Batters[[#All],[PID]],0)),INDEX(Table3[[#All],[Age]],MATCH(Table5[[#This Row],[PID]],Table3[[#All],[PID]],0)))</f>
        <v>22</v>
      </c>
      <c r="H1500" s="52" t="str">
        <f>IF($C1500="B",INDEX(Batters[[#All],[B]],MATCH(Table5[[#This Row],[PID]],Batters[[#All],[PID]],0)),INDEX(Table3[[#All],[B]],MATCH(Table5[[#This Row],[PID]],Table3[[#All],[PID]],0)))</f>
        <v>L</v>
      </c>
      <c r="I1500" s="70" t="str">
        <f>IF($C1500="B",INDEX(Batters[[#All],[T]],MATCH(Table5[[#This Row],[PID]],Batters[[#All],[PID]],0)),INDEX(Table3[[#All],[T]],MATCH(Table5[[#This Row],[PID]],Table3[[#All],[PID]],0)))</f>
        <v>R</v>
      </c>
      <c r="J1500" s="52" t="str">
        <f>IF($C1500="B",INDEX(Batters[[#All],[WE]],MATCH(Table5[[#This Row],[PID]],Batters[[#All],[PID]],0)),INDEX(Table3[[#All],[WE]],MATCH(Table5[[#This Row],[PID]],Table3[[#All],[PID]],0)))</f>
        <v>Low</v>
      </c>
      <c r="K1500" s="52" t="str">
        <f>IF($C1500="B",INDEX(Batters[[#All],[INT]],MATCH(Table5[[#This Row],[PID]],Batters[[#All],[PID]],0)),INDEX(Table3[[#All],[INT]],MATCH(Table5[[#This Row],[PID]],Table3[[#All],[PID]],0)))</f>
        <v>Normal</v>
      </c>
      <c r="L1500" s="60">
        <f>IF($C1500="B",INDEX(Batters[[#All],[CON P]],MATCH(Table5[[#This Row],[PID]],Batters[[#All],[PID]],0)),INDEX(Table3[[#All],[STU P]],MATCH(Table5[[#This Row],[PID]],Table3[[#All],[PID]],0)))</f>
        <v>2</v>
      </c>
      <c r="M1500" s="56">
        <f>IF($C1500="B",INDEX(Batters[[#All],[GAP P]],MATCH(Table5[[#This Row],[PID]],Batters[[#All],[PID]],0)),INDEX(Table3[[#All],[MOV P]],MATCH(Table5[[#This Row],[PID]],Table3[[#All],[PID]],0)))</f>
        <v>4</v>
      </c>
      <c r="N1500" s="56">
        <f>IF($C1500="B",INDEX(Batters[[#All],[POW P]],MATCH(Table5[[#This Row],[PID]],Batters[[#All],[PID]],0)),INDEX(Table3[[#All],[CON P]],MATCH(Table5[[#This Row],[PID]],Table3[[#All],[PID]],0)))</f>
        <v>3</v>
      </c>
      <c r="O1500" s="56">
        <f>IF($C1500="B",INDEX(Batters[[#All],[EYE P]],MATCH(Table5[[#This Row],[PID]],Batters[[#All],[PID]],0)),INDEX(Table3[[#All],[VELO]],MATCH(Table5[[#This Row],[PID]],Table3[[#All],[PID]],0)))</f>
        <v>4</v>
      </c>
      <c r="P1500" s="56">
        <f>IF($C1500="B",INDEX(Batters[[#All],[K P]],MATCH(Table5[[#This Row],[PID]],Batters[[#All],[PID]],0)),INDEX(Table3[[#All],[STM]],MATCH(Table5[[#This Row],[PID]],Table3[[#All],[PID]],0)))</f>
        <v>2</v>
      </c>
      <c r="Q1500" s="61">
        <f>IF($C1500="B",INDEX(Batters[[#All],[Tot]],MATCH(Table5[[#This Row],[PID]],Batters[[#All],[PID]],0)),INDEX(Table3[[#All],[Tot]],MATCH(Table5[[#This Row],[PID]],Table3[[#All],[PID]],0)))</f>
        <v>32.03625308724579</v>
      </c>
      <c r="R1500" s="70">
        <f>IF($C1500="B",INDEX(Batters[[#All],[zScore]],MATCH(Table5[[#This Row],[PID]],Batters[[#All],[PID]],0)),INDEX(Table3[[#All],[zScore]],MATCH(Table5[[#This Row],[PID]],Table3[[#All],[PID]],0)))</f>
        <v>-2.6816954860976403</v>
      </c>
      <c r="S1500" s="79" t="str">
        <f>IF($C1500="B",INDEX(Batters[[#All],[DEM]],MATCH(Table5[[#This Row],[PID]],Batters[[#All],[PID]],0)),INDEX(Table3[[#All],[DEM]],MATCH(Table5[[#This Row],[PID]],Table3[[#All],[PID]],0)))</f>
        <v>-</v>
      </c>
      <c r="T1500" s="62">
        <f>IF($C1500="B",INDEX(Batters[[#All],[Rnk]],MATCH(Table5[[#This Row],[PID]],Batters[[#All],[PID]],0)),INDEX(Table3[[#All],[Rnk]],MATCH(Table5[[#This Row],[PID]],Table3[[#All],[PID]],0)))</f>
        <v>716</v>
      </c>
      <c r="U1500" s="68">
        <f>IF($C1500="B",VLOOKUP($A1500,Bat!$A$4:$BA$1621,47,FALSE),VLOOKUP($A1500,Pit!$A$4:$BF$1557,56,FALSE))</f>
        <v>0</v>
      </c>
      <c r="V1500" s="50">
        <f>IF($C1500="B",VLOOKUP($A1500,Bat!$A$4:$BA$1621,48,FALSE),VLOOKUP($A1500,Pit!$A$4:$BF$1557,57,FALSE))</f>
        <v>0</v>
      </c>
      <c r="W1500" s="50">
        <f>Table5[[#This Row],[posRnk]]+Table5[[#This Row],[zRnk]]+IF($W$3&lt;&gt;Table5[[#This Row],[Type]],50,0)</f>
        <v>2260</v>
      </c>
      <c r="X1500" s="51">
        <f>RANK(Table5[[#This Row],[zScore]],Table5[[#All],[zScore]])</f>
        <v>1494</v>
      </c>
      <c r="Y1500" s="50" t="str">
        <f>IFERROR(INDEX(DraftResults[[#All],[OVR]],MATCH(Table5[[#This Row],[PID]],DraftResults[[#All],[Player ID]],0)),"")</f>
        <v/>
      </c>
      <c r="Z150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0" s="50" t="str">
        <f>IFERROR(INDEX(DraftResults[[#All],[Pick in Round]],MATCH(Table5[[#This Row],[PID]],DraftResults[[#All],[Player ID]],0)),"")</f>
        <v/>
      </c>
      <c r="AB1500" s="50" t="str">
        <f>IFERROR(INDEX(DraftResults[[#All],[Team Name]],MATCH(Table5[[#This Row],[PID]],DraftResults[[#All],[Player ID]],0)),"")</f>
        <v/>
      </c>
      <c r="AC1500" s="50" t="str">
        <f>IF(Table5[[#This Row],[Ovr]]="","",IF(Table5[[#This Row],[cmbList]]="","",Table5[[#This Row],[cmbList]]-Table5[[#This Row],[Ovr]]))</f>
        <v/>
      </c>
      <c r="AD1500" s="54" t="str">
        <f>IF(ISERROR(VLOOKUP($AB1500&amp;"-"&amp;$E1500&amp;" "&amp;F1500,Bonuses!$B$1:$G$1006,4,FALSE)),"",INT(VLOOKUP($AB1500&amp;"-"&amp;$E1500&amp;" "&amp;$F1500,Bonuses!$B$1:$G$1006,4,FALSE)))</f>
        <v/>
      </c>
      <c r="AE150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1" spans="1:31" x14ac:dyDescent="0.25">
      <c r="A1501" s="50">
        <v>12664</v>
      </c>
      <c r="B1501" s="50">
        <f>COUNTIF(Table5[PID],A1501)</f>
        <v>1</v>
      </c>
      <c r="C1501" s="50" t="str">
        <f>IF(COUNTIF(Table3[[#All],[PID]],A1501)&gt;0,"P","B")</f>
        <v>B</v>
      </c>
      <c r="D1501" s="59" t="str">
        <f>IF($C1501="B",INDEX(Batters[[#All],[POS]],MATCH(Table5[[#This Row],[PID]],Batters[[#All],[PID]],0)),INDEX(Table3[[#All],[POS]],MATCH(Table5[[#This Row],[PID]],Table3[[#All],[PID]],0)))</f>
        <v>1B</v>
      </c>
      <c r="E1501" s="52" t="str">
        <f>IF($C1501="B",INDEX(Batters[[#All],[First]],MATCH(Table5[[#This Row],[PID]],Batters[[#All],[PID]],0)),INDEX(Table3[[#All],[First]],MATCH(Table5[[#This Row],[PID]],Table3[[#All],[PID]],0)))</f>
        <v>Alberto</v>
      </c>
      <c r="F1501" s="50" t="str">
        <f>IF($C1501="B",INDEX(Batters[[#All],[Last]],MATCH(A1501,Batters[[#All],[PID]],0)),INDEX(Table3[[#All],[Last]],MATCH(A1501,Table3[[#All],[PID]],0)))</f>
        <v>Torrez</v>
      </c>
      <c r="G1501" s="56">
        <f>IF($C1501="B",INDEX(Batters[[#All],[Age]],MATCH(Table5[[#This Row],[PID]],Batters[[#All],[PID]],0)),INDEX(Table3[[#All],[Age]],MATCH(Table5[[#This Row],[PID]],Table3[[#All],[PID]],0)))</f>
        <v>22</v>
      </c>
      <c r="H1501" s="52" t="str">
        <f>IF($C1501="B",INDEX(Batters[[#All],[B]],MATCH(Table5[[#This Row],[PID]],Batters[[#All],[PID]],0)),INDEX(Table3[[#All],[B]],MATCH(Table5[[#This Row],[PID]],Table3[[#All],[PID]],0)))</f>
        <v>R</v>
      </c>
      <c r="I1501" s="70" t="str">
        <f>IF($C1501="B",INDEX(Batters[[#All],[T]],MATCH(Table5[[#This Row],[PID]],Batters[[#All],[PID]],0)),INDEX(Table3[[#All],[T]],MATCH(Table5[[#This Row],[PID]],Table3[[#All],[PID]],0)))</f>
        <v>R</v>
      </c>
      <c r="J1501" s="52" t="str">
        <f>IF($C1501="B",INDEX(Batters[[#All],[WE]],MATCH(Table5[[#This Row],[PID]],Batters[[#All],[PID]],0)),INDEX(Table3[[#All],[WE]],MATCH(Table5[[#This Row],[PID]],Table3[[#All],[PID]],0)))</f>
        <v>Low</v>
      </c>
      <c r="K1501" s="52" t="str">
        <f>IF($C1501="B",INDEX(Batters[[#All],[INT]],MATCH(Table5[[#This Row],[PID]],Batters[[#All],[PID]],0)),INDEX(Table3[[#All],[INT]],MATCH(Table5[[#This Row],[PID]],Table3[[#All],[PID]],0)))</f>
        <v>Normal</v>
      </c>
      <c r="L1501" s="60">
        <f>IF($C1501="B",INDEX(Batters[[#All],[CON P]],MATCH(Table5[[#This Row],[PID]],Batters[[#All],[PID]],0)),INDEX(Table3[[#All],[STU P]],MATCH(Table5[[#This Row],[PID]],Table3[[#All],[PID]],0)))</f>
        <v>3</v>
      </c>
      <c r="M1501" s="56">
        <f>IF($C1501="B",INDEX(Batters[[#All],[GAP P]],MATCH(Table5[[#This Row],[PID]],Batters[[#All],[PID]],0)),INDEX(Table3[[#All],[MOV P]],MATCH(Table5[[#This Row],[PID]],Table3[[#All],[PID]],0)))</f>
        <v>3</v>
      </c>
      <c r="N1501" s="56">
        <f>IF($C1501="B",INDEX(Batters[[#All],[POW P]],MATCH(Table5[[#This Row],[PID]],Batters[[#All],[PID]],0)),INDEX(Table3[[#All],[CON P]],MATCH(Table5[[#This Row],[PID]],Table3[[#All],[PID]],0)))</f>
        <v>2</v>
      </c>
      <c r="O1501" s="56">
        <f>IF($C1501="B",INDEX(Batters[[#All],[EYE P]],MATCH(Table5[[#This Row],[PID]],Batters[[#All],[PID]],0)),INDEX(Table3[[#All],[VELO]],MATCH(Table5[[#This Row],[PID]],Table3[[#All],[PID]],0)))</f>
        <v>2</v>
      </c>
      <c r="P1501" s="56">
        <f>IF($C1501="B",INDEX(Batters[[#All],[K P]],MATCH(Table5[[#This Row],[PID]],Batters[[#All],[PID]],0)),INDEX(Table3[[#All],[STM]],MATCH(Table5[[#This Row],[PID]],Table3[[#All],[PID]],0)))</f>
        <v>4</v>
      </c>
      <c r="Q1501" s="61">
        <f>IF($C1501="B",INDEX(Batters[[#All],[Tot]],MATCH(Table5[[#This Row],[PID]],Batters[[#All],[PID]],0)),INDEX(Table3[[#All],[Tot]],MATCH(Table5[[#This Row],[PID]],Table3[[#All],[PID]],0)))</f>
        <v>32.013734397564193</v>
      </c>
      <c r="R1501" s="70">
        <f>IF($C1501="B",INDEX(Batters[[#All],[zScore]],MATCH(Table5[[#This Row],[PID]],Batters[[#All],[PID]],0)),INDEX(Table3[[#All],[zScore]],MATCH(Table5[[#This Row],[PID]],Table3[[#All],[PID]],0)))</f>
        <v>-2.6866880318122663</v>
      </c>
      <c r="S1501" s="79" t="str">
        <f>IF($C1501="B",INDEX(Batters[[#All],[DEM]],MATCH(Table5[[#This Row],[PID]],Batters[[#All],[PID]],0)),INDEX(Table3[[#All],[DEM]],MATCH(Table5[[#This Row],[PID]],Table3[[#All],[PID]],0)))</f>
        <v>-</v>
      </c>
      <c r="T1501" s="62">
        <f>IF($C1501="B",INDEX(Batters[[#All],[Rnk]],MATCH(Table5[[#This Row],[PID]],Batters[[#All],[PID]],0)),INDEX(Table3[[#All],[Rnk]],MATCH(Table5[[#This Row],[PID]],Table3[[#All],[PID]],0)))</f>
        <v>717</v>
      </c>
      <c r="U1501" s="68">
        <f>IF($C1501="B",VLOOKUP($A1501,Bat!$A$4:$BA$1621,47,FALSE),VLOOKUP($A1501,Pit!$A$4:$BF$1557,56,FALSE))</f>
        <v>0</v>
      </c>
      <c r="V1501" s="50">
        <f>IF($C1501="B",VLOOKUP($A1501,Bat!$A$4:$BA$1621,48,FALSE),VLOOKUP($A1501,Pit!$A$4:$BF$1557,57,FALSE))</f>
        <v>0</v>
      </c>
      <c r="W1501" s="50">
        <f>Table5[[#This Row],[posRnk]]+Table5[[#This Row],[zRnk]]+IF($W$3&lt;&gt;Table5[[#This Row],[Type]],50,0)</f>
        <v>2262</v>
      </c>
      <c r="X1501" s="51">
        <f>RANK(Table5[[#This Row],[zScore]],Table5[[#All],[zScore]])</f>
        <v>1495</v>
      </c>
      <c r="Y1501" s="50" t="str">
        <f>IFERROR(INDEX(DraftResults[[#All],[OVR]],MATCH(Table5[[#This Row],[PID]],DraftResults[[#All],[Player ID]],0)),"")</f>
        <v/>
      </c>
      <c r="Z150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1" s="50" t="str">
        <f>IFERROR(INDEX(DraftResults[[#All],[Pick in Round]],MATCH(Table5[[#This Row],[PID]],DraftResults[[#All],[Player ID]],0)),"")</f>
        <v/>
      </c>
      <c r="AB1501" s="50" t="str">
        <f>IFERROR(INDEX(DraftResults[[#All],[Team Name]],MATCH(Table5[[#This Row],[PID]],DraftResults[[#All],[Player ID]],0)),"")</f>
        <v/>
      </c>
      <c r="AC1501" s="50" t="str">
        <f>IF(Table5[[#This Row],[Ovr]]="","",IF(Table5[[#This Row],[cmbList]]="","",Table5[[#This Row],[cmbList]]-Table5[[#This Row],[Ovr]]))</f>
        <v/>
      </c>
      <c r="AD1501" s="54" t="str">
        <f>IF(ISERROR(VLOOKUP($AB1501&amp;"-"&amp;$E1501&amp;" "&amp;F1501,Bonuses!$B$1:$G$1006,4,FALSE)),"",INT(VLOOKUP($AB1501&amp;"-"&amp;$E1501&amp;" "&amp;$F1501,Bonuses!$B$1:$G$1006,4,FALSE)))</f>
        <v/>
      </c>
      <c r="AE150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2" spans="1:31" x14ac:dyDescent="0.25">
      <c r="A1502" s="50">
        <v>16936</v>
      </c>
      <c r="B1502" s="50">
        <f>COUNTIF(Table5[PID],A1502)</f>
        <v>1</v>
      </c>
      <c r="C1502" s="50" t="str">
        <f>IF(COUNTIF(Table3[[#All],[PID]],A1502)&gt;0,"P","B")</f>
        <v>B</v>
      </c>
      <c r="D1502" s="59" t="str">
        <f>IF($C1502="B",INDEX(Batters[[#All],[POS]],MATCH(Table5[[#This Row],[PID]],Batters[[#All],[PID]],0)),INDEX(Table3[[#All],[POS]],MATCH(Table5[[#This Row],[PID]],Table3[[#All],[PID]],0)))</f>
        <v>1B</v>
      </c>
      <c r="E1502" s="52" t="str">
        <f>IF($C1502="B",INDEX(Batters[[#All],[First]],MATCH(Table5[[#This Row],[PID]],Batters[[#All],[PID]],0)),INDEX(Table3[[#All],[First]],MATCH(Table5[[#This Row],[PID]],Table3[[#All],[PID]],0)))</f>
        <v>Pat</v>
      </c>
      <c r="F1502" s="50" t="str">
        <f>IF($C1502="B",INDEX(Batters[[#All],[Last]],MATCH(A1502,Batters[[#All],[PID]],0)),INDEX(Table3[[#All],[Last]],MATCH(A1502,Table3[[#All],[PID]],0)))</f>
        <v>Cox</v>
      </c>
      <c r="G1502" s="56">
        <f>IF($C1502="B",INDEX(Batters[[#All],[Age]],MATCH(Table5[[#This Row],[PID]],Batters[[#All],[PID]],0)),INDEX(Table3[[#All],[Age]],MATCH(Table5[[#This Row],[PID]],Table3[[#All],[PID]],0)))</f>
        <v>21</v>
      </c>
      <c r="H1502" s="52" t="str">
        <f>IF($C1502="B",INDEX(Batters[[#All],[B]],MATCH(Table5[[#This Row],[PID]],Batters[[#All],[PID]],0)),INDEX(Table3[[#All],[B]],MATCH(Table5[[#This Row],[PID]],Table3[[#All],[PID]],0)))</f>
        <v>R</v>
      </c>
      <c r="I1502" s="70" t="str">
        <f>IF($C1502="B",INDEX(Batters[[#All],[T]],MATCH(Table5[[#This Row],[PID]],Batters[[#All],[PID]],0)),INDEX(Table3[[#All],[T]],MATCH(Table5[[#This Row],[PID]],Table3[[#All],[PID]],0)))</f>
        <v>R</v>
      </c>
      <c r="J1502" s="52" t="str">
        <f>IF($C1502="B",INDEX(Batters[[#All],[WE]],MATCH(Table5[[#This Row],[PID]],Batters[[#All],[PID]],0)),INDEX(Table3[[#All],[WE]],MATCH(Table5[[#This Row],[PID]],Table3[[#All],[PID]],0)))</f>
        <v>High</v>
      </c>
      <c r="K1502" s="52" t="str">
        <f>IF($C1502="B",INDEX(Batters[[#All],[INT]],MATCH(Table5[[#This Row],[PID]],Batters[[#All],[PID]],0)),INDEX(Table3[[#All],[INT]],MATCH(Table5[[#This Row],[PID]],Table3[[#All],[PID]],0)))</f>
        <v>Normal</v>
      </c>
      <c r="L1502" s="60">
        <f>IF($C1502="B",INDEX(Batters[[#All],[CON P]],MATCH(Table5[[#This Row],[PID]],Batters[[#All],[PID]],0)),INDEX(Table3[[#All],[STU P]],MATCH(Table5[[#This Row],[PID]],Table3[[#All],[PID]],0)))</f>
        <v>2</v>
      </c>
      <c r="M1502" s="56">
        <f>IF($C1502="B",INDEX(Batters[[#All],[GAP P]],MATCH(Table5[[#This Row],[PID]],Batters[[#All],[PID]],0)),INDEX(Table3[[#All],[MOV P]],MATCH(Table5[[#This Row],[PID]],Table3[[#All],[PID]],0)))</f>
        <v>3</v>
      </c>
      <c r="N1502" s="56">
        <f>IF($C1502="B",INDEX(Batters[[#All],[POW P]],MATCH(Table5[[#This Row],[PID]],Batters[[#All],[PID]],0)),INDEX(Table3[[#All],[CON P]],MATCH(Table5[[#This Row],[PID]],Table3[[#All],[PID]],0)))</f>
        <v>3</v>
      </c>
      <c r="O1502" s="56">
        <f>IF($C1502="B",INDEX(Batters[[#All],[EYE P]],MATCH(Table5[[#This Row],[PID]],Batters[[#All],[PID]],0)),INDEX(Table3[[#All],[VELO]],MATCH(Table5[[#This Row],[PID]],Table3[[#All],[PID]],0)))</f>
        <v>5</v>
      </c>
      <c r="P1502" s="56">
        <f>IF($C1502="B",INDEX(Batters[[#All],[K P]],MATCH(Table5[[#This Row],[PID]],Batters[[#All],[PID]],0)),INDEX(Table3[[#All],[STM]],MATCH(Table5[[#This Row],[PID]],Table3[[#All],[PID]],0)))</f>
        <v>2</v>
      </c>
      <c r="Q1502" s="61">
        <f>IF($C1502="B",INDEX(Batters[[#All],[Tot]],MATCH(Table5[[#This Row],[PID]],Batters[[#All],[PID]],0)),INDEX(Table3[[#All],[Tot]],MATCH(Table5[[#This Row],[PID]],Table3[[#All],[PID]],0)))</f>
        <v>31.98153100661019</v>
      </c>
      <c r="R1502" s="70">
        <f>IF($C1502="B",INDEX(Batters[[#All],[zScore]],MATCH(Table5[[#This Row],[PID]],Batters[[#All],[PID]],0)),INDEX(Table3[[#All],[zScore]],MATCH(Table5[[#This Row],[PID]],Table3[[#All],[PID]],0)))</f>
        <v>-2.6938277412614897</v>
      </c>
      <c r="S1502" s="79" t="str">
        <f>IF($C1502="B",INDEX(Batters[[#All],[DEM]],MATCH(Table5[[#This Row],[PID]],Batters[[#All],[PID]],0)),INDEX(Table3[[#All],[DEM]],MATCH(Table5[[#This Row],[PID]],Table3[[#All],[PID]],0)))</f>
        <v>-</v>
      </c>
      <c r="T1502" s="62">
        <f>IF($C1502="B",INDEX(Batters[[#All],[Rnk]],MATCH(Table5[[#This Row],[PID]],Batters[[#All],[PID]],0)),INDEX(Table3[[#All],[Rnk]],MATCH(Table5[[#This Row],[PID]],Table3[[#All],[PID]],0)))</f>
        <v>718</v>
      </c>
      <c r="U1502" s="68">
        <f>IF($C1502="B",VLOOKUP($A1502,Bat!$A$4:$BA$1621,47,FALSE),VLOOKUP($A1502,Pit!$A$4:$BF$1557,56,FALSE))</f>
        <v>0</v>
      </c>
      <c r="V1502" s="50">
        <f>IF($C1502="B",VLOOKUP($A1502,Bat!$A$4:$BA$1621,48,FALSE),VLOOKUP($A1502,Pit!$A$4:$BF$1557,57,FALSE))</f>
        <v>0</v>
      </c>
      <c r="W1502" s="50">
        <f>Table5[[#This Row],[posRnk]]+Table5[[#This Row],[zRnk]]+IF($W$3&lt;&gt;Table5[[#This Row],[Type]],50,0)</f>
        <v>2264</v>
      </c>
      <c r="X1502" s="51">
        <f>RANK(Table5[[#This Row],[zScore]],Table5[[#All],[zScore]])</f>
        <v>1496</v>
      </c>
      <c r="Y1502" s="50" t="str">
        <f>IFERROR(INDEX(DraftResults[[#All],[OVR]],MATCH(Table5[[#This Row],[PID]],DraftResults[[#All],[Player ID]],0)),"")</f>
        <v/>
      </c>
      <c r="Z150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2" s="50" t="str">
        <f>IFERROR(INDEX(DraftResults[[#All],[Pick in Round]],MATCH(Table5[[#This Row],[PID]],DraftResults[[#All],[Player ID]],0)),"")</f>
        <v/>
      </c>
      <c r="AB1502" s="50" t="str">
        <f>IFERROR(INDEX(DraftResults[[#All],[Team Name]],MATCH(Table5[[#This Row],[PID]],DraftResults[[#All],[Player ID]],0)),"")</f>
        <v/>
      </c>
      <c r="AC1502" s="50" t="str">
        <f>IF(Table5[[#This Row],[Ovr]]="","",IF(Table5[[#This Row],[cmbList]]="","",Table5[[#This Row],[cmbList]]-Table5[[#This Row],[Ovr]]))</f>
        <v/>
      </c>
      <c r="AD1502" s="54" t="str">
        <f>IF(ISERROR(VLOOKUP($AB1502&amp;"-"&amp;$E1502&amp;" "&amp;F1502,Bonuses!$B$1:$G$1006,4,FALSE)),"",INT(VLOOKUP($AB1502&amp;"-"&amp;$E1502&amp;" "&amp;$F1502,Bonuses!$B$1:$G$1006,4,FALSE)))</f>
        <v/>
      </c>
      <c r="AE150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3" spans="1:31" x14ac:dyDescent="0.25">
      <c r="A1503" s="50">
        <v>4761</v>
      </c>
      <c r="B1503" s="50">
        <f>COUNTIF(Table5[PID],A1503)</f>
        <v>1</v>
      </c>
      <c r="C1503" s="50" t="str">
        <f>IF(COUNTIF(Table3[[#All],[PID]],A1503)&gt;0,"P","B")</f>
        <v>B</v>
      </c>
      <c r="D1503" s="59" t="str">
        <f>IF($C1503="B",INDEX(Batters[[#All],[POS]],MATCH(Table5[[#This Row],[PID]],Batters[[#All],[PID]],0)),INDEX(Table3[[#All],[POS]],MATCH(Table5[[#This Row],[PID]],Table3[[#All],[PID]],0)))</f>
        <v>C</v>
      </c>
      <c r="E1503" s="52" t="str">
        <f>IF($C1503="B",INDEX(Batters[[#All],[First]],MATCH(Table5[[#This Row],[PID]],Batters[[#All],[PID]],0)),INDEX(Table3[[#All],[First]],MATCH(Table5[[#This Row],[PID]],Table3[[#All],[PID]],0)))</f>
        <v>Joe</v>
      </c>
      <c r="F1503" s="50" t="str">
        <f>IF($C1503="B",INDEX(Batters[[#All],[Last]],MATCH(A1503,Batters[[#All],[PID]],0)),INDEX(Table3[[#All],[Last]],MATCH(A1503,Table3[[#All],[PID]],0)))</f>
        <v>Bolton</v>
      </c>
      <c r="G1503" s="56">
        <f>IF($C1503="B",INDEX(Batters[[#All],[Age]],MATCH(Table5[[#This Row],[PID]],Batters[[#All],[PID]],0)),INDEX(Table3[[#All],[Age]],MATCH(Table5[[#This Row],[PID]],Table3[[#All],[PID]],0)))</f>
        <v>22</v>
      </c>
      <c r="H1503" s="52" t="str">
        <f>IF($C1503="B",INDEX(Batters[[#All],[B]],MATCH(Table5[[#This Row],[PID]],Batters[[#All],[PID]],0)),INDEX(Table3[[#All],[B]],MATCH(Table5[[#This Row],[PID]],Table3[[#All],[PID]],0)))</f>
        <v>L</v>
      </c>
      <c r="I1503" s="70" t="str">
        <f>IF($C1503="B",INDEX(Batters[[#All],[T]],MATCH(Table5[[#This Row],[PID]],Batters[[#All],[PID]],0)),INDEX(Table3[[#All],[T]],MATCH(Table5[[#This Row],[PID]],Table3[[#All],[PID]],0)))</f>
        <v>R</v>
      </c>
      <c r="J1503" s="52" t="str">
        <f>IF($C1503="B",INDEX(Batters[[#All],[WE]],MATCH(Table5[[#This Row],[PID]],Batters[[#All],[PID]],0)),INDEX(Table3[[#All],[WE]],MATCH(Table5[[#This Row],[PID]],Table3[[#All],[PID]],0)))</f>
        <v>Normal</v>
      </c>
      <c r="K1503" s="52" t="str">
        <f>IF($C1503="B",INDEX(Batters[[#All],[INT]],MATCH(Table5[[#This Row],[PID]],Batters[[#All],[PID]],0)),INDEX(Table3[[#All],[INT]],MATCH(Table5[[#This Row],[PID]],Table3[[#All],[PID]],0)))</f>
        <v>Normal</v>
      </c>
      <c r="L1503" s="60">
        <f>IF($C1503="B",INDEX(Batters[[#All],[CON P]],MATCH(Table5[[#This Row],[PID]],Batters[[#All],[PID]],0)),INDEX(Table3[[#All],[STU P]],MATCH(Table5[[#This Row],[PID]],Table3[[#All],[PID]],0)))</f>
        <v>2</v>
      </c>
      <c r="M1503" s="56">
        <f>IF($C1503="B",INDEX(Batters[[#All],[GAP P]],MATCH(Table5[[#This Row],[PID]],Batters[[#All],[PID]],0)),INDEX(Table3[[#All],[MOV P]],MATCH(Table5[[#This Row],[PID]],Table3[[#All],[PID]],0)))</f>
        <v>3</v>
      </c>
      <c r="N1503" s="56">
        <f>IF($C1503="B",INDEX(Batters[[#All],[POW P]],MATCH(Table5[[#This Row],[PID]],Batters[[#All],[PID]],0)),INDEX(Table3[[#All],[CON P]],MATCH(Table5[[#This Row],[PID]],Table3[[#All],[PID]],0)))</f>
        <v>3</v>
      </c>
      <c r="O1503" s="56">
        <f>IF($C1503="B",INDEX(Batters[[#All],[EYE P]],MATCH(Table5[[#This Row],[PID]],Batters[[#All],[PID]],0)),INDEX(Table3[[#All],[VELO]],MATCH(Table5[[#This Row],[PID]],Table3[[#All],[PID]],0)))</f>
        <v>4</v>
      </c>
      <c r="P1503" s="56">
        <f>IF($C1503="B",INDEX(Batters[[#All],[K P]],MATCH(Table5[[#This Row],[PID]],Batters[[#All],[PID]],0)),INDEX(Table3[[#All],[STM]],MATCH(Table5[[#This Row],[PID]],Table3[[#All],[PID]],0)))</f>
        <v>2</v>
      </c>
      <c r="Q1503" s="61">
        <f>IF($C1503="B",INDEX(Batters[[#All],[Tot]],MATCH(Table5[[#This Row],[PID]],Batters[[#All],[PID]],0)),INDEX(Table3[[#All],[Tot]],MATCH(Table5[[#This Row],[PID]],Table3[[#All],[PID]],0)))</f>
        <v>31.956257427418002</v>
      </c>
      <c r="R1503" s="70">
        <f>IF($C1503="B",INDEX(Batters[[#All],[zScore]],MATCH(Table5[[#This Row],[PID]],Batters[[#All],[PID]],0)),INDEX(Table3[[#All],[zScore]],MATCH(Table5[[#This Row],[PID]],Table3[[#All],[PID]],0)))</f>
        <v>-2.6994310646019386</v>
      </c>
      <c r="S1503" s="79" t="str">
        <f>IF($C1503="B",INDEX(Batters[[#All],[DEM]],MATCH(Table5[[#This Row],[PID]],Batters[[#All],[PID]],0)),INDEX(Table3[[#All],[DEM]],MATCH(Table5[[#This Row],[PID]],Table3[[#All],[PID]],0)))</f>
        <v>-</v>
      </c>
      <c r="T1503" s="62">
        <f>IF($C1503="B",INDEX(Batters[[#All],[Rnk]],MATCH(Table5[[#This Row],[PID]],Batters[[#All],[PID]],0)),INDEX(Table3[[#All],[Rnk]],MATCH(Table5[[#This Row],[PID]],Table3[[#All],[PID]],0)))</f>
        <v>719</v>
      </c>
      <c r="U1503" s="68">
        <f>IF($C1503="B",VLOOKUP($A1503,Bat!$A$4:$BA$1621,47,FALSE),VLOOKUP($A1503,Pit!$A$4:$BF$1557,56,FALSE))</f>
        <v>0</v>
      </c>
      <c r="V1503" s="50">
        <f>IF($C1503="B",VLOOKUP($A1503,Bat!$A$4:$BA$1621,48,FALSE),VLOOKUP($A1503,Pit!$A$4:$BF$1557,57,FALSE))</f>
        <v>0</v>
      </c>
      <c r="W1503" s="50">
        <f>Table5[[#This Row],[posRnk]]+Table5[[#This Row],[zRnk]]+IF($W$3&lt;&gt;Table5[[#This Row],[Type]],50,0)</f>
        <v>2266</v>
      </c>
      <c r="X1503" s="51">
        <f>RANK(Table5[[#This Row],[zScore]],Table5[[#All],[zScore]])</f>
        <v>1497</v>
      </c>
      <c r="Y1503" s="50" t="str">
        <f>IFERROR(INDEX(DraftResults[[#All],[OVR]],MATCH(Table5[[#This Row],[PID]],DraftResults[[#All],[Player ID]],0)),"")</f>
        <v/>
      </c>
      <c r="Z150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3" s="50" t="str">
        <f>IFERROR(INDEX(DraftResults[[#All],[Pick in Round]],MATCH(Table5[[#This Row],[PID]],DraftResults[[#All],[Player ID]],0)),"")</f>
        <v/>
      </c>
      <c r="AB1503" s="50" t="str">
        <f>IFERROR(INDEX(DraftResults[[#All],[Team Name]],MATCH(Table5[[#This Row],[PID]],DraftResults[[#All],[Player ID]],0)),"")</f>
        <v/>
      </c>
      <c r="AC1503" s="50" t="str">
        <f>IF(Table5[[#This Row],[Ovr]]="","",IF(Table5[[#This Row],[cmbList]]="","",Table5[[#This Row],[cmbList]]-Table5[[#This Row],[Ovr]]))</f>
        <v/>
      </c>
      <c r="AD1503" s="54" t="str">
        <f>IF(ISERROR(VLOOKUP($AB1503&amp;"-"&amp;$E1503&amp;" "&amp;F1503,Bonuses!$B$1:$G$1006,4,FALSE)),"",INT(VLOOKUP($AB1503&amp;"-"&amp;$E1503&amp;" "&amp;$F1503,Bonuses!$B$1:$G$1006,4,FALSE)))</f>
        <v/>
      </c>
      <c r="AE150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4" spans="1:31" x14ac:dyDescent="0.25">
      <c r="A1504" s="50">
        <v>2795</v>
      </c>
      <c r="B1504" s="50">
        <f>COUNTIF(Table5[PID],A1504)</f>
        <v>1</v>
      </c>
      <c r="C1504" s="50" t="str">
        <f>IF(COUNTIF(Table3[[#All],[PID]],A1504)&gt;0,"P","B")</f>
        <v>B</v>
      </c>
      <c r="D1504" s="59" t="str">
        <f>IF($C1504="B",INDEX(Batters[[#All],[POS]],MATCH(Table5[[#This Row],[PID]],Batters[[#All],[PID]],0)),INDEX(Table3[[#All],[POS]],MATCH(Table5[[#This Row],[PID]],Table3[[#All],[PID]],0)))</f>
        <v>C</v>
      </c>
      <c r="E1504" s="52" t="str">
        <f>IF($C1504="B",INDEX(Batters[[#All],[First]],MATCH(Table5[[#This Row],[PID]],Batters[[#All],[PID]],0)),INDEX(Table3[[#All],[First]],MATCH(Table5[[#This Row],[PID]],Table3[[#All],[PID]],0)))</f>
        <v>Matsuyo</v>
      </c>
      <c r="F1504" s="50" t="str">
        <f>IF($C1504="B",INDEX(Batters[[#All],[Last]],MATCH(A1504,Batters[[#All],[PID]],0)),INDEX(Table3[[#All],[Last]],MATCH(A1504,Table3[[#All],[PID]],0)))</f>
        <v>Nishimura</v>
      </c>
      <c r="G1504" s="56">
        <f>IF($C1504="B",INDEX(Batters[[#All],[Age]],MATCH(Table5[[#This Row],[PID]],Batters[[#All],[PID]],0)),INDEX(Table3[[#All],[Age]],MATCH(Table5[[#This Row],[PID]],Table3[[#All],[PID]],0)))</f>
        <v>22</v>
      </c>
      <c r="H1504" s="52" t="str">
        <f>IF($C1504="B",INDEX(Batters[[#All],[B]],MATCH(Table5[[#This Row],[PID]],Batters[[#All],[PID]],0)),INDEX(Table3[[#All],[B]],MATCH(Table5[[#This Row],[PID]],Table3[[#All],[PID]],0)))</f>
        <v>S</v>
      </c>
      <c r="I1504" s="70" t="str">
        <f>IF($C1504="B",INDEX(Batters[[#All],[T]],MATCH(Table5[[#This Row],[PID]],Batters[[#All],[PID]],0)),INDEX(Table3[[#All],[T]],MATCH(Table5[[#This Row],[PID]],Table3[[#All],[PID]],0)))</f>
        <v>R</v>
      </c>
      <c r="J1504" s="52" t="str">
        <f>IF($C1504="B",INDEX(Batters[[#All],[WE]],MATCH(Table5[[#This Row],[PID]],Batters[[#All],[PID]],0)),INDEX(Table3[[#All],[WE]],MATCH(Table5[[#This Row],[PID]],Table3[[#All],[PID]],0)))</f>
        <v>Low</v>
      </c>
      <c r="K1504" s="52" t="str">
        <f>IF($C1504="B",INDEX(Batters[[#All],[INT]],MATCH(Table5[[#This Row],[PID]],Batters[[#All],[PID]],0)),INDEX(Table3[[#All],[INT]],MATCH(Table5[[#This Row],[PID]],Table3[[#All],[PID]],0)))</f>
        <v>Normal</v>
      </c>
      <c r="L1504" s="60">
        <f>IF($C1504="B",INDEX(Batters[[#All],[CON P]],MATCH(Table5[[#This Row],[PID]],Batters[[#All],[PID]],0)),INDEX(Table3[[#All],[STU P]],MATCH(Table5[[#This Row],[PID]],Table3[[#All],[PID]],0)))</f>
        <v>2</v>
      </c>
      <c r="M1504" s="56">
        <f>IF($C1504="B",INDEX(Batters[[#All],[GAP P]],MATCH(Table5[[#This Row],[PID]],Batters[[#All],[PID]],0)),INDEX(Table3[[#All],[MOV P]],MATCH(Table5[[#This Row],[PID]],Table3[[#All],[PID]],0)))</f>
        <v>3</v>
      </c>
      <c r="N1504" s="56">
        <f>IF($C1504="B",INDEX(Batters[[#All],[POW P]],MATCH(Table5[[#This Row],[PID]],Batters[[#All],[PID]],0)),INDEX(Table3[[#All],[CON P]],MATCH(Table5[[#This Row],[PID]],Table3[[#All],[PID]],0)))</f>
        <v>3</v>
      </c>
      <c r="O1504" s="56">
        <f>IF($C1504="B",INDEX(Batters[[#All],[EYE P]],MATCH(Table5[[#This Row],[PID]],Batters[[#All],[PID]],0)),INDEX(Table3[[#All],[VELO]],MATCH(Table5[[#This Row],[PID]],Table3[[#All],[PID]],0)))</f>
        <v>5</v>
      </c>
      <c r="P1504" s="56">
        <f>IF($C1504="B",INDEX(Batters[[#All],[K P]],MATCH(Table5[[#This Row],[PID]],Batters[[#All],[PID]],0)),INDEX(Table3[[#All],[STM]],MATCH(Table5[[#This Row],[PID]],Table3[[#All],[PID]],0)))</f>
        <v>3</v>
      </c>
      <c r="Q1504" s="61">
        <f>IF($C1504="B",INDEX(Batters[[#All],[Tot]],MATCH(Table5[[#This Row],[PID]],Batters[[#All],[PID]],0)),INDEX(Table3[[#All],[Tot]],MATCH(Table5[[#This Row],[PID]],Table3[[#All],[PID]],0)))</f>
        <v>31.904194643959201</v>
      </c>
      <c r="R1504" s="70">
        <f>IF($C1504="B",INDEX(Batters[[#All],[zScore]],MATCH(Table5[[#This Row],[PID]],Batters[[#All],[PID]],0)),INDEX(Table3[[#All],[zScore]],MATCH(Table5[[#This Row],[PID]],Table3[[#All],[PID]],0)))</f>
        <v>-2.7109737356065109</v>
      </c>
      <c r="S1504" s="79" t="str">
        <f>IF($C1504="B",INDEX(Batters[[#All],[DEM]],MATCH(Table5[[#This Row],[PID]],Batters[[#All],[PID]],0)),INDEX(Table3[[#All],[DEM]],MATCH(Table5[[#This Row],[PID]],Table3[[#All],[PID]],0)))</f>
        <v>-</v>
      </c>
      <c r="T1504" s="62">
        <f>IF($C1504="B",INDEX(Batters[[#All],[Rnk]],MATCH(Table5[[#This Row],[PID]],Batters[[#All],[PID]],0)),INDEX(Table3[[#All],[Rnk]],MATCH(Table5[[#This Row],[PID]],Table3[[#All],[PID]],0)))</f>
        <v>720</v>
      </c>
      <c r="U1504" s="68">
        <f>IF($C1504="B",VLOOKUP($A1504,Bat!$A$4:$BA$1621,47,FALSE),VLOOKUP($A1504,Pit!$A$4:$BF$1557,56,FALSE))</f>
        <v>0</v>
      </c>
      <c r="V1504" s="50">
        <f>IF($C1504="B",VLOOKUP($A1504,Bat!$A$4:$BA$1621,48,FALSE),VLOOKUP($A1504,Pit!$A$4:$BF$1557,57,FALSE))</f>
        <v>0</v>
      </c>
      <c r="W1504" s="50">
        <f>Table5[[#This Row],[posRnk]]+Table5[[#This Row],[zRnk]]+IF($W$3&lt;&gt;Table5[[#This Row],[Type]],50,0)</f>
        <v>2268</v>
      </c>
      <c r="X1504" s="51">
        <f>RANK(Table5[[#This Row],[zScore]],Table5[[#All],[zScore]])</f>
        <v>1498</v>
      </c>
      <c r="Y1504" s="50" t="str">
        <f>IFERROR(INDEX(DraftResults[[#All],[OVR]],MATCH(Table5[[#This Row],[PID]],DraftResults[[#All],[Player ID]],0)),"")</f>
        <v/>
      </c>
      <c r="Z150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4" s="50" t="str">
        <f>IFERROR(INDEX(DraftResults[[#All],[Pick in Round]],MATCH(Table5[[#This Row],[PID]],DraftResults[[#All],[Player ID]],0)),"")</f>
        <v/>
      </c>
      <c r="AB1504" s="50" t="str">
        <f>IFERROR(INDEX(DraftResults[[#All],[Team Name]],MATCH(Table5[[#This Row],[PID]],DraftResults[[#All],[Player ID]],0)),"")</f>
        <v/>
      </c>
      <c r="AC1504" s="50" t="str">
        <f>IF(Table5[[#This Row],[Ovr]]="","",IF(Table5[[#This Row],[cmbList]]="","",Table5[[#This Row],[cmbList]]-Table5[[#This Row],[Ovr]]))</f>
        <v/>
      </c>
      <c r="AD1504" s="54" t="str">
        <f>IF(ISERROR(VLOOKUP($AB1504&amp;"-"&amp;$E1504&amp;" "&amp;F1504,Bonuses!$B$1:$G$1006,4,FALSE)),"",INT(VLOOKUP($AB1504&amp;"-"&amp;$E1504&amp;" "&amp;$F1504,Bonuses!$B$1:$G$1006,4,FALSE)))</f>
        <v/>
      </c>
      <c r="AE150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5" spans="1:31" x14ac:dyDescent="0.25">
      <c r="A1505" s="50">
        <v>9865</v>
      </c>
      <c r="B1505" s="50">
        <f>COUNTIF(Table5[PID],A1505)</f>
        <v>1</v>
      </c>
      <c r="C1505" s="50" t="str">
        <f>IF(COUNTIF(Table3[[#All],[PID]],A1505)&gt;0,"P","B")</f>
        <v>B</v>
      </c>
      <c r="D1505" s="59" t="str">
        <f>IF($C1505="B",INDEX(Batters[[#All],[POS]],MATCH(Table5[[#This Row],[PID]],Batters[[#All],[PID]],0)),INDEX(Table3[[#All],[POS]],MATCH(Table5[[#This Row],[PID]],Table3[[#All],[PID]],0)))</f>
        <v>2B</v>
      </c>
      <c r="E1505" s="52" t="str">
        <f>IF($C1505="B",INDEX(Batters[[#All],[First]],MATCH(Table5[[#This Row],[PID]],Batters[[#All],[PID]],0)),INDEX(Table3[[#All],[First]],MATCH(Table5[[#This Row],[PID]],Table3[[#All],[PID]],0)))</f>
        <v>Noah</v>
      </c>
      <c r="F1505" s="50" t="str">
        <f>IF($C1505="B",INDEX(Batters[[#All],[Last]],MATCH(A1505,Batters[[#All],[PID]],0)),INDEX(Table3[[#All],[Last]],MATCH(A1505,Table3[[#All],[PID]],0)))</f>
        <v>Carey</v>
      </c>
      <c r="G1505" s="56">
        <f>IF($C1505="B",INDEX(Batters[[#All],[Age]],MATCH(Table5[[#This Row],[PID]],Batters[[#All],[PID]],0)),INDEX(Table3[[#All],[Age]],MATCH(Table5[[#This Row],[PID]],Table3[[#All],[PID]],0)))</f>
        <v>22</v>
      </c>
      <c r="H1505" s="52" t="str">
        <f>IF($C1505="B",INDEX(Batters[[#All],[B]],MATCH(Table5[[#This Row],[PID]],Batters[[#All],[PID]],0)),INDEX(Table3[[#All],[B]],MATCH(Table5[[#This Row],[PID]],Table3[[#All],[PID]],0)))</f>
        <v>R</v>
      </c>
      <c r="I1505" s="70" t="str">
        <f>IF($C1505="B",INDEX(Batters[[#All],[T]],MATCH(Table5[[#This Row],[PID]],Batters[[#All],[PID]],0)),INDEX(Table3[[#All],[T]],MATCH(Table5[[#This Row],[PID]],Table3[[#All],[PID]],0)))</f>
        <v>R</v>
      </c>
      <c r="J1505" s="52" t="str">
        <f>IF($C1505="B",INDEX(Batters[[#All],[WE]],MATCH(Table5[[#This Row],[PID]],Batters[[#All],[PID]],0)),INDEX(Table3[[#All],[WE]],MATCH(Table5[[#This Row],[PID]],Table3[[#All],[PID]],0)))</f>
        <v>Normal</v>
      </c>
      <c r="K1505" s="52" t="str">
        <f>IF($C1505="B",INDEX(Batters[[#All],[INT]],MATCH(Table5[[#This Row],[PID]],Batters[[#All],[PID]],0)),INDEX(Table3[[#All],[INT]],MATCH(Table5[[#This Row],[PID]],Table3[[#All],[PID]],0)))</f>
        <v>Normal</v>
      </c>
      <c r="L1505" s="60">
        <f>IF($C1505="B",INDEX(Batters[[#All],[CON P]],MATCH(Table5[[#This Row],[PID]],Batters[[#All],[PID]],0)),INDEX(Table3[[#All],[STU P]],MATCH(Table5[[#This Row],[PID]],Table3[[#All],[PID]],0)))</f>
        <v>2</v>
      </c>
      <c r="M1505" s="56">
        <f>IF($C1505="B",INDEX(Batters[[#All],[GAP P]],MATCH(Table5[[#This Row],[PID]],Batters[[#All],[PID]],0)),INDEX(Table3[[#All],[MOV P]],MATCH(Table5[[#This Row],[PID]],Table3[[#All],[PID]],0)))</f>
        <v>3</v>
      </c>
      <c r="N1505" s="56">
        <f>IF($C1505="B",INDEX(Batters[[#All],[POW P]],MATCH(Table5[[#This Row],[PID]],Batters[[#All],[PID]],0)),INDEX(Table3[[#All],[CON P]],MATCH(Table5[[#This Row],[PID]],Table3[[#All],[PID]],0)))</f>
        <v>4</v>
      </c>
      <c r="O1505" s="56">
        <f>IF($C1505="B",INDEX(Batters[[#All],[EYE P]],MATCH(Table5[[#This Row],[PID]],Batters[[#All],[PID]],0)),INDEX(Table3[[#All],[VELO]],MATCH(Table5[[#This Row],[PID]],Table3[[#All],[PID]],0)))</f>
        <v>4</v>
      </c>
      <c r="P1505" s="56">
        <f>IF($C1505="B",INDEX(Batters[[#All],[K P]],MATCH(Table5[[#This Row],[PID]],Batters[[#All],[PID]],0)),INDEX(Table3[[#All],[STM]],MATCH(Table5[[#This Row],[PID]],Table3[[#All],[PID]],0)))</f>
        <v>2</v>
      </c>
      <c r="Q1505" s="61">
        <f>IF($C1505="B",INDEX(Batters[[#All],[Tot]],MATCH(Table5[[#This Row],[PID]],Batters[[#All],[PID]],0)),INDEX(Table3[[#All],[Tot]],MATCH(Table5[[#This Row],[PID]],Table3[[#All],[PID]],0)))</f>
        <v>31.772862183812006</v>
      </c>
      <c r="R1505" s="70">
        <f>IF($C1505="B",INDEX(Batters[[#All],[zScore]],MATCH(Table5[[#This Row],[PID]],Batters[[#All],[PID]],0)),INDEX(Table3[[#All],[zScore]],MATCH(Table5[[#This Row],[PID]],Table3[[#All],[PID]],0)))</f>
        <v>-2.7400910297461873</v>
      </c>
      <c r="S1505" s="79" t="str">
        <f>IF($C1505="B",INDEX(Batters[[#All],[DEM]],MATCH(Table5[[#This Row],[PID]],Batters[[#All],[PID]],0)),INDEX(Table3[[#All],[DEM]],MATCH(Table5[[#This Row],[PID]],Table3[[#All],[PID]],0)))</f>
        <v>-</v>
      </c>
      <c r="T1505" s="62">
        <f>IF($C1505="B",INDEX(Batters[[#All],[Rnk]],MATCH(Table5[[#This Row],[PID]],Batters[[#All],[PID]],0)),INDEX(Table3[[#All],[Rnk]],MATCH(Table5[[#This Row],[PID]],Table3[[#All],[PID]],0)))</f>
        <v>721</v>
      </c>
      <c r="U1505" s="68">
        <f>IF($C1505="B",VLOOKUP($A1505,Bat!$A$4:$BA$1621,47,FALSE),VLOOKUP($A1505,Pit!$A$4:$BF$1557,56,FALSE))</f>
        <v>0</v>
      </c>
      <c r="V1505" s="50">
        <f>IF($C1505="B",VLOOKUP($A1505,Bat!$A$4:$BA$1621,48,FALSE),VLOOKUP($A1505,Pit!$A$4:$BF$1557,57,FALSE))</f>
        <v>0</v>
      </c>
      <c r="W1505" s="50">
        <f>Table5[[#This Row],[posRnk]]+Table5[[#This Row],[zRnk]]+IF($W$3&lt;&gt;Table5[[#This Row],[Type]],50,0)</f>
        <v>2270</v>
      </c>
      <c r="X1505" s="51">
        <f>RANK(Table5[[#This Row],[zScore]],Table5[[#All],[zScore]])</f>
        <v>1499</v>
      </c>
      <c r="Y1505" s="50" t="str">
        <f>IFERROR(INDEX(DraftResults[[#All],[OVR]],MATCH(Table5[[#This Row],[PID]],DraftResults[[#All],[Player ID]],0)),"")</f>
        <v/>
      </c>
      <c r="Z150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5" s="50" t="str">
        <f>IFERROR(INDEX(DraftResults[[#All],[Pick in Round]],MATCH(Table5[[#This Row],[PID]],DraftResults[[#All],[Player ID]],0)),"")</f>
        <v/>
      </c>
      <c r="AB1505" s="50" t="str">
        <f>IFERROR(INDEX(DraftResults[[#All],[Team Name]],MATCH(Table5[[#This Row],[PID]],DraftResults[[#All],[Player ID]],0)),"")</f>
        <v/>
      </c>
      <c r="AC1505" s="50" t="str">
        <f>IF(Table5[[#This Row],[Ovr]]="","",IF(Table5[[#This Row],[cmbList]]="","",Table5[[#This Row],[cmbList]]-Table5[[#This Row],[Ovr]]))</f>
        <v/>
      </c>
      <c r="AD1505" s="54" t="str">
        <f>IF(ISERROR(VLOOKUP($AB1505&amp;"-"&amp;$E1505&amp;" "&amp;F1505,Bonuses!$B$1:$G$1006,4,FALSE)),"",INT(VLOOKUP($AB1505&amp;"-"&amp;$E1505&amp;" "&amp;$F1505,Bonuses!$B$1:$G$1006,4,FALSE)))</f>
        <v/>
      </c>
      <c r="AE150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6" spans="1:31" x14ac:dyDescent="0.25">
      <c r="A1506" s="50">
        <v>16931</v>
      </c>
      <c r="B1506" s="50">
        <f>COUNTIF(Table5[PID],A1506)</f>
        <v>1</v>
      </c>
      <c r="C1506" s="50" t="str">
        <f>IF(COUNTIF(Table3[[#All],[PID]],A1506)&gt;0,"P","B")</f>
        <v>B</v>
      </c>
      <c r="D1506" s="59" t="str">
        <f>IF($C1506="B",INDEX(Batters[[#All],[POS]],MATCH(Table5[[#This Row],[PID]],Batters[[#All],[PID]],0)),INDEX(Table3[[#All],[POS]],MATCH(Table5[[#This Row],[PID]],Table3[[#All],[PID]],0)))</f>
        <v>1B</v>
      </c>
      <c r="E1506" s="52" t="str">
        <f>IF($C1506="B",INDEX(Batters[[#All],[First]],MATCH(Table5[[#This Row],[PID]],Batters[[#All],[PID]],0)),INDEX(Table3[[#All],[First]],MATCH(Table5[[#This Row],[PID]],Table3[[#All],[PID]],0)))</f>
        <v>Winston</v>
      </c>
      <c r="F1506" s="50" t="str">
        <f>IF($C1506="B",INDEX(Batters[[#All],[Last]],MATCH(A1506,Batters[[#All],[PID]],0)),INDEX(Table3[[#All],[Last]],MATCH(A1506,Table3[[#All],[PID]],0)))</f>
        <v>Ross</v>
      </c>
      <c r="G1506" s="56">
        <f>IF($C1506="B",INDEX(Batters[[#All],[Age]],MATCH(Table5[[#This Row],[PID]],Batters[[#All],[PID]],0)),INDEX(Table3[[#All],[Age]],MATCH(Table5[[#This Row],[PID]],Table3[[#All],[PID]],0)))</f>
        <v>21</v>
      </c>
      <c r="H1506" s="52" t="str">
        <f>IF($C1506="B",INDEX(Batters[[#All],[B]],MATCH(Table5[[#This Row],[PID]],Batters[[#All],[PID]],0)),INDEX(Table3[[#All],[B]],MATCH(Table5[[#This Row],[PID]],Table3[[#All],[PID]],0)))</f>
        <v>R</v>
      </c>
      <c r="I1506" s="70" t="str">
        <f>IF($C1506="B",INDEX(Batters[[#All],[T]],MATCH(Table5[[#This Row],[PID]],Batters[[#All],[PID]],0)),INDEX(Table3[[#All],[T]],MATCH(Table5[[#This Row],[PID]],Table3[[#All],[PID]],0)))</f>
        <v>R</v>
      </c>
      <c r="J1506" s="52" t="str">
        <f>IF($C1506="B",INDEX(Batters[[#All],[WE]],MATCH(Table5[[#This Row],[PID]],Batters[[#All],[PID]],0)),INDEX(Table3[[#All],[WE]],MATCH(Table5[[#This Row],[PID]],Table3[[#All],[PID]],0)))</f>
        <v>Low</v>
      </c>
      <c r="K1506" s="52" t="str">
        <f>IF($C1506="B",INDEX(Batters[[#All],[INT]],MATCH(Table5[[#This Row],[PID]],Batters[[#All],[PID]],0)),INDEX(Table3[[#All],[INT]],MATCH(Table5[[#This Row],[PID]],Table3[[#All],[PID]],0)))</f>
        <v>Normal</v>
      </c>
      <c r="L1506" s="60">
        <f>IF($C1506="B",INDEX(Batters[[#All],[CON P]],MATCH(Table5[[#This Row],[PID]],Batters[[#All],[PID]],0)),INDEX(Table3[[#All],[STU P]],MATCH(Table5[[#This Row],[PID]],Table3[[#All],[PID]],0)))</f>
        <v>2</v>
      </c>
      <c r="M1506" s="56">
        <f>IF($C1506="B",INDEX(Batters[[#All],[GAP P]],MATCH(Table5[[#This Row],[PID]],Batters[[#All],[PID]],0)),INDEX(Table3[[#All],[MOV P]],MATCH(Table5[[#This Row],[PID]],Table3[[#All],[PID]],0)))</f>
        <v>2</v>
      </c>
      <c r="N1506" s="56">
        <f>IF($C1506="B",INDEX(Batters[[#All],[POW P]],MATCH(Table5[[#This Row],[PID]],Batters[[#All],[PID]],0)),INDEX(Table3[[#All],[CON P]],MATCH(Table5[[#This Row],[PID]],Table3[[#All],[PID]],0)))</f>
        <v>3</v>
      </c>
      <c r="O1506" s="56">
        <f>IF($C1506="B",INDEX(Batters[[#All],[EYE P]],MATCH(Table5[[#This Row],[PID]],Batters[[#All],[PID]],0)),INDEX(Table3[[#All],[VELO]],MATCH(Table5[[#This Row],[PID]],Table3[[#All],[PID]],0)))</f>
        <v>4</v>
      </c>
      <c r="P1506" s="56">
        <f>IF($C1506="B",INDEX(Batters[[#All],[K P]],MATCH(Table5[[#This Row],[PID]],Batters[[#All],[PID]],0)),INDEX(Table3[[#All],[STM]],MATCH(Table5[[#This Row],[PID]],Table3[[#All],[PID]],0)))</f>
        <v>3</v>
      </c>
      <c r="Q1506" s="61">
        <f>IF($C1506="B",INDEX(Batters[[#All],[Tot]],MATCH(Table5[[#This Row],[PID]],Batters[[#All],[PID]],0)),INDEX(Table3[[#All],[Tot]],MATCH(Table5[[#This Row],[PID]],Table3[[#All],[PID]],0)))</f>
        <v>31.763522973874821</v>
      </c>
      <c r="R1506" s="70">
        <f>IF($C1506="B",INDEX(Batters[[#All],[zScore]],MATCH(Table5[[#This Row],[PID]],Batters[[#All],[PID]],0)),INDEX(Table3[[#All],[zScore]],MATCH(Table5[[#This Row],[PID]],Table3[[#All],[PID]],0)))</f>
        <v>-2.7421615957164618</v>
      </c>
      <c r="S1506" s="79" t="str">
        <f>IF($C1506="B",INDEX(Batters[[#All],[DEM]],MATCH(Table5[[#This Row],[PID]],Batters[[#All],[PID]],0)),INDEX(Table3[[#All],[DEM]],MATCH(Table5[[#This Row],[PID]],Table3[[#All],[PID]],0)))</f>
        <v>$20k</v>
      </c>
      <c r="T1506" s="62">
        <f>IF($C1506="B",INDEX(Batters[[#All],[Rnk]],MATCH(Table5[[#This Row],[PID]],Batters[[#All],[PID]],0)),INDEX(Table3[[#All],[Rnk]],MATCH(Table5[[#This Row],[PID]],Table3[[#All],[PID]],0)))</f>
        <v>722</v>
      </c>
      <c r="U1506" s="68">
        <f>IF($C1506="B",VLOOKUP($A1506,Bat!$A$4:$BA$1621,47,FALSE),VLOOKUP($A1506,Pit!$A$4:$BF$1557,56,FALSE))</f>
        <v>0</v>
      </c>
      <c r="V1506" s="50">
        <f>IF($C1506="B",VLOOKUP($A1506,Bat!$A$4:$BA$1621,48,FALSE),VLOOKUP($A1506,Pit!$A$4:$BF$1557,57,FALSE))</f>
        <v>0</v>
      </c>
      <c r="W1506" s="50">
        <f>Table5[[#This Row],[posRnk]]+Table5[[#This Row],[zRnk]]+IF($W$3&lt;&gt;Table5[[#This Row],[Type]],50,0)</f>
        <v>2272</v>
      </c>
      <c r="X1506" s="51">
        <f>RANK(Table5[[#This Row],[zScore]],Table5[[#All],[zScore]])</f>
        <v>1500</v>
      </c>
      <c r="Y1506" s="50" t="str">
        <f>IFERROR(INDEX(DraftResults[[#All],[OVR]],MATCH(Table5[[#This Row],[PID]],DraftResults[[#All],[Player ID]],0)),"")</f>
        <v/>
      </c>
      <c r="Z150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6" s="50" t="str">
        <f>IFERROR(INDEX(DraftResults[[#All],[Pick in Round]],MATCH(Table5[[#This Row],[PID]],DraftResults[[#All],[Player ID]],0)),"")</f>
        <v/>
      </c>
      <c r="AB1506" s="50" t="str">
        <f>IFERROR(INDEX(DraftResults[[#All],[Team Name]],MATCH(Table5[[#This Row],[PID]],DraftResults[[#All],[Player ID]],0)),"")</f>
        <v/>
      </c>
      <c r="AC1506" s="50" t="str">
        <f>IF(Table5[[#This Row],[Ovr]]="","",IF(Table5[[#This Row],[cmbList]]="","",Table5[[#This Row],[cmbList]]-Table5[[#This Row],[Ovr]]))</f>
        <v/>
      </c>
      <c r="AD1506" s="54" t="str">
        <f>IF(ISERROR(VLOOKUP($AB1506&amp;"-"&amp;$E1506&amp;" "&amp;F1506,Bonuses!$B$1:$G$1006,4,FALSE)),"",INT(VLOOKUP($AB1506&amp;"-"&amp;$E1506&amp;" "&amp;$F1506,Bonuses!$B$1:$G$1006,4,FALSE)))</f>
        <v/>
      </c>
      <c r="AE150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7" spans="1:31" x14ac:dyDescent="0.25">
      <c r="A1507" s="50">
        <v>6929</v>
      </c>
      <c r="B1507" s="50">
        <f>COUNTIF(Table5[PID],A1507)</f>
        <v>1</v>
      </c>
      <c r="C1507" s="50" t="str">
        <f>IF(COUNTIF(Table3[[#All],[PID]],A1507)&gt;0,"P","B")</f>
        <v>B</v>
      </c>
      <c r="D1507" s="59" t="str">
        <f>IF($C1507="B",INDEX(Batters[[#All],[POS]],MATCH(Table5[[#This Row],[PID]],Batters[[#All],[PID]],0)),INDEX(Table3[[#All],[POS]],MATCH(Table5[[#This Row],[PID]],Table3[[#All],[PID]],0)))</f>
        <v>1B</v>
      </c>
      <c r="E1507" s="52" t="str">
        <f>IF($C1507="B",INDEX(Batters[[#All],[First]],MATCH(Table5[[#This Row],[PID]],Batters[[#All],[PID]],0)),INDEX(Table3[[#All],[First]],MATCH(Table5[[#This Row],[PID]],Table3[[#All],[PID]],0)))</f>
        <v>Alberto</v>
      </c>
      <c r="F1507" s="50" t="str">
        <f>IF($C1507="B",INDEX(Batters[[#All],[Last]],MATCH(A1507,Batters[[#All],[PID]],0)),INDEX(Table3[[#All],[Last]],MATCH(A1507,Table3[[#All],[PID]],0)))</f>
        <v>Hernández</v>
      </c>
      <c r="G1507" s="56">
        <f>IF($C1507="B",INDEX(Batters[[#All],[Age]],MATCH(Table5[[#This Row],[PID]],Batters[[#All],[PID]],0)),INDEX(Table3[[#All],[Age]],MATCH(Table5[[#This Row],[PID]],Table3[[#All],[PID]],0)))</f>
        <v>22</v>
      </c>
      <c r="H1507" s="52" t="str">
        <f>IF($C1507="B",INDEX(Batters[[#All],[B]],MATCH(Table5[[#This Row],[PID]],Batters[[#All],[PID]],0)),INDEX(Table3[[#All],[B]],MATCH(Table5[[#This Row],[PID]],Table3[[#All],[PID]],0)))</f>
        <v>R</v>
      </c>
      <c r="I1507" s="70" t="str">
        <f>IF($C1507="B",INDEX(Batters[[#All],[T]],MATCH(Table5[[#This Row],[PID]],Batters[[#All],[PID]],0)),INDEX(Table3[[#All],[T]],MATCH(Table5[[#This Row],[PID]],Table3[[#All],[PID]],0)))</f>
        <v>R</v>
      </c>
      <c r="J1507" s="52" t="str">
        <f>IF($C1507="B",INDEX(Batters[[#All],[WE]],MATCH(Table5[[#This Row],[PID]],Batters[[#All],[PID]],0)),INDEX(Table3[[#All],[WE]],MATCH(Table5[[#This Row],[PID]],Table3[[#All],[PID]],0)))</f>
        <v>Normal</v>
      </c>
      <c r="K1507" s="52" t="str">
        <f>IF($C1507="B",INDEX(Batters[[#All],[INT]],MATCH(Table5[[#This Row],[PID]],Batters[[#All],[PID]],0)),INDEX(Table3[[#All],[INT]],MATCH(Table5[[#This Row],[PID]],Table3[[#All],[PID]],0)))</f>
        <v>Normal</v>
      </c>
      <c r="L1507" s="60">
        <f>IF($C1507="B",INDEX(Batters[[#All],[CON P]],MATCH(Table5[[#This Row],[PID]],Batters[[#All],[PID]],0)),INDEX(Table3[[#All],[STU P]],MATCH(Table5[[#This Row],[PID]],Table3[[#All],[PID]],0)))</f>
        <v>3</v>
      </c>
      <c r="M1507" s="56">
        <f>IF($C1507="B",INDEX(Batters[[#All],[GAP P]],MATCH(Table5[[#This Row],[PID]],Batters[[#All],[PID]],0)),INDEX(Table3[[#All],[MOV P]],MATCH(Table5[[#This Row],[PID]],Table3[[#All],[PID]],0)))</f>
        <v>3</v>
      </c>
      <c r="N1507" s="56">
        <f>IF($C1507="B",INDEX(Batters[[#All],[POW P]],MATCH(Table5[[#This Row],[PID]],Batters[[#All],[PID]],0)),INDEX(Table3[[#All],[CON P]],MATCH(Table5[[#This Row],[PID]],Table3[[#All],[PID]],0)))</f>
        <v>2</v>
      </c>
      <c r="O1507" s="56">
        <f>IF($C1507="B",INDEX(Batters[[#All],[EYE P]],MATCH(Table5[[#This Row],[PID]],Batters[[#All],[PID]],0)),INDEX(Table3[[#All],[VELO]],MATCH(Table5[[#This Row],[PID]],Table3[[#All],[PID]],0)))</f>
        <v>1</v>
      </c>
      <c r="P1507" s="56">
        <f>IF($C1507="B",INDEX(Batters[[#All],[K P]],MATCH(Table5[[#This Row],[PID]],Batters[[#All],[PID]],0)),INDEX(Table3[[#All],[STM]],MATCH(Table5[[#This Row],[PID]],Table3[[#All],[PID]],0)))</f>
        <v>5</v>
      </c>
      <c r="Q1507" s="61">
        <f>IF($C1507="B",INDEX(Batters[[#All],[Tot]],MATCH(Table5[[#This Row],[PID]],Batters[[#All],[PID]],0)),INDEX(Table3[[#All],[Tot]],MATCH(Table5[[#This Row],[PID]],Table3[[#All],[PID]],0)))</f>
        <v>31.753673092856204</v>
      </c>
      <c r="R1507" s="70">
        <f>IF($C1507="B",INDEX(Batters[[#All],[zScore]],MATCH(Table5[[#This Row],[PID]],Batters[[#All],[PID]],0)),INDEX(Table3[[#All],[zScore]],MATCH(Table5[[#This Row],[PID]],Table3[[#All],[PID]],0)))</f>
        <v>-2.7443453809173057</v>
      </c>
      <c r="S1507" s="79" t="str">
        <f>IF($C1507="B",INDEX(Batters[[#All],[DEM]],MATCH(Table5[[#This Row],[PID]],Batters[[#All],[PID]],0)),INDEX(Table3[[#All],[DEM]],MATCH(Table5[[#This Row],[PID]],Table3[[#All],[PID]],0)))</f>
        <v>-</v>
      </c>
      <c r="T1507" s="62">
        <f>IF($C1507="B",INDEX(Batters[[#All],[Rnk]],MATCH(Table5[[#This Row],[PID]],Batters[[#All],[PID]],0)),INDEX(Table3[[#All],[Rnk]],MATCH(Table5[[#This Row],[PID]],Table3[[#All],[PID]],0)))</f>
        <v>723</v>
      </c>
      <c r="U1507" s="68">
        <f>IF($C1507="B",VLOOKUP($A1507,Bat!$A$4:$BA$1621,47,FALSE),VLOOKUP($A1507,Pit!$A$4:$BF$1557,56,FALSE))</f>
        <v>0</v>
      </c>
      <c r="V1507" s="50">
        <f>IF($C1507="B",VLOOKUP($A1507,Bat!$A$4:$BA$1621,48,FALSE),VLOOKUP($A1507,Pit!$A$4:$BF$1557,57,FALSE))</f>
        <v>0</v>
      </c>
      <c r="W1507" s="50">
        <f>Table5[[#This Row],[posRnk]]+Table5[[#This Row],[zRnk]]+IF($W$3&lt;&gt;Table5[[#This Row],[Type]],50,0)</f>
        <v>2274</v>
      </c>
      <c r="X1507" s="51">
        <f>RANK(Table5[[#This Row],[zScore]],Table5[[#All],[zScore]])</f>
        <v>1501</v>
      </c>
      <c r="Y1507" s="50" t="str">
        <f>IFERROR(INDEX(DraftResults[[#All],[OVR]],MATCH(Table5[[#This Row],[PID]],DraftResults[[#All],[Player ID]],0)),"")</f>
        <v/>
      </c>
      <c r="Z150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7" s="50" t="str">
        <f>IFERROR(INDEX(DraftResults[[#All],[Pick in Round]],MATCH(Table5[[#This Row],[PID]],DraftResults[[#All],[Player ID]],0)),"")</f>
        <v/>
      </c>
      <c r="AB1507" s="50" t="str">
        <f>IFERROR(INDEX(DraftResults[[#All],[Team Name]],MATCH(Table5[[#This Row],[PID]],DraftResults[[#All],[Player ID]],0)),"")</f>
        <v/>
      </c>
      <c r="AC1507" s="50" t="str">
        <f>IF(Table5[[#This Row],[Ovr]]="","",IF(Table5[[#This Row],[cmbList]]="","",Table5[[#This Row],[cmbList]]-Table5[[#This Row],[Ovr]]))</f>
        <v/>
      </c>
      <c r="AD1507" s="54" t="str">
        <f>IF(ISERROR(VLOOKUP($AB1507&amp;"-"&amp;$E1507&amp;" "&amp;F1507,Bonuses!$B$1:$G$1006,4,FALSE)),"",INT(VLOOKUP($AB1507&amp;"-"&amp;$E1507&amp;" "&amp;$F1507,Bonuses!$B$1:$G$1006,4,FALSE)))</f>
        <v/>
      </c>
      <c r="AE150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8" spans="1:31" x14ac:dyDescent="0.25">
      <c r="A1508" s="50">
        <v>14367</v>
      </c>
      <c r="B1508" s="50">
        <f>COUNTIF(Table5[PID],A1508)</f>
        <v>1</v>
      </c>
      <c r="C1508" s="50" t="str">
        <f>IF(COUNTIF(Table3[[#All],[PID]],A1508)&gt;0,"P","B")</f>
        <v>B</v>
      </c>
      <c r="D1508" s="59" t="str">
        <f>IF($C1508="B",INDEX(Batters[[#All],[POS]],MATCH(Table5[[#This Row],[PID]],Batters[[#All],[PID]],0)),INDEX(Table3[[#All],[POS]],MATCH(Table5[[#This Row],[PID]],Table3[[#All],[PID]],0)))</f>
        <v>C</v>
      </c>
      <c r="E1508" s="52" t="str">
        <f>IF($C1508="B",INDEX(Batters[[#All],[First]],MATCH(Table5[[#This Row],[PID]],Batters[[#All],[PID]],0)),INDEX(Table3[[#All],[First]],MATCH(Table5[[#This Row],[PID]],Table3[[#All],[PID]],0)))</f>
        <v>Jeroen</v>
      </c>
      <c r="F1508" s="50" t="str">
        <f>IF($C1508="B",INDEX(Batters[[#All],[Last]],MATCH(A1508,Batters[[#All],[PID]],0)),INDEX(Table3[[#All],[Last]],MATCH(A1508,Table3[[#All],[PID]],0)))</f>
        <v>van Heijbeeck</v>
      </c>
      <c r="G1508" s="56">
        <f>IF($C1508="B",INDEX(Batters[[#All],[Age]],MATCH(Table5[[#This Row],[PID]],Batters[[#All],[PID]],0)),INDEX(Table3[[#All],[Age]],MATCH(Table5[[#This Row],[PID]],Table3[[#All],[PID]],0)))</f>
        <v>21</v>
      </c>
      <c r="H1508" s="52" t="str">
        <f>IF($C1508="B",INDEX(Batters[[#All],[B]],MATCH(Table5[[#This Row],[PID]],Batters[[#All],[PID]],0)),INDEX(Table3[[#All],[B]],MATCH(Table5[[#This Row],[PID]],Table3[[#All],[PID]],0)))</f>
        <v>S</v>
      </c>
      <c r="I1508" s="70" t="str">
        <f>IF($C1508="B",INDEX(Batters[[#All],[T]],MATCH(Table5[[#This Row],[PID]],Batters[[#All],[PID]],0)),INDEX(Table3[[#All],[T]],MATCH(Table5[[#This Row],[PID]],Table3[[#All],[PID]],0)))</f>
        <v>R</v>
      </c>
      <c r="J1508" s="52" t="str">
        <f>IF($C1508="B",INDEX(Batters[[#All],[WE]],MATCH(Table5[[#This Row],[PID]],Batters[[#All],[PID]],0)),INDEX(Table3[[#All],[WE]],MATCH(Table5[[#This Row],[PID]],Table3[[#All],[PID]],0)))</f>
        <v>Normal</v>
      </c>
      <c r="K1508" s="52" t="str">
        <f>IF($C1508="B",INDEX(Batters[[#All],[INT]],MATCH(Table5[[#This Row],[PID]],Batters[[#All],[PID]],0)),INDEX(Table3[[#All],[INT]],MATCH(Table5[[#This Row],[PID]],Table3[[#All],[PID]],0)))</f>
        <v>Normal</v>
      </c>
      <c r="L1508" s="60">
        <f>IF($C1508="B",INDEX(Batters[[#All],[CON P]],MATCH(Table5[[#This Row],[PID]],Batters[[#All],[PID]],0)),INDEX(Table3[[#All],[STU P]],MATCH(Table5[[#This Row],[PID]],Table3[[#All],[PID]],0)))</f>
        <v>2</v>
      </c>
      <c r="M1508" s="56">
        <f>IF($C1508="B",INDEX(Batters[[#All],[GAP P]],MATCH(Table5[[#This Row],[PID]],Batters[[#All],[PID]],0)),INDEX(Table3[[#All],[MOV P]],MATCH(Table5[[#This Row],[PID]],Table3[[#All],[PID]],0)))</f>
        <v>4</v>
      </c>
      <c r="N1508" s="56">
        <f>IF($C1508="B",INDEX(Batters[[#All],[POW P]],MATCH(Table5[[#This Row],[PID]],Batters[[#All],[PID]],0)),INDEX(Table3[[#All],[CON P]],MATCH(Table5[[#This Row],[PID]],Table3[[#All],[PID]],0)))</f>
        <v>3</v>
      </c>
      <c r="O1508" s="56">
        <f>IF($C1508="B",INDEX(Batters[[#All],[EYE P]],MATCH(Table5[[#This Row],[PID]],Batters[[#All],[PID]],0)),INDEX(Table3[[#All],[VELO]],MATCH(Table5[[#This Row],[PID]],Table3[[#All],[PID]],0)))</f>
        <v>5</v>
      </c>
      <c r="P1508" s="56">
        <f>IF($C1508="B",INDEX(Batters[[#All],[K P]],MATCH(Table5[[#This Row],[PID]],Batters[[#All],[PID]],0)),INDEX(Table3[[#All],[STM]],MATCH(Table5[[#This Row],[PID]],Table3[[#All],[PID]],0)))</f>
        <v>1</v>
      </c>
      <c r="Q1508" s="61">
        <f>IF($C1508="B",INDEX(Batters[[#All],[Tot]],MATCH(Table5[[#This Row],[PID]],Batters[[#All],[PID]],0)),INDEX(Table3[[#All],[Tot]],MATCH(Table5[[#This Row],[PID]],Table3[[#All],[PID]],0)))</f>
        <v>31.665294505152417</v>
      </c>
      <c r="R1508" s="70">
        <f>IF($C1508="B",INDEX(Batters[[#All],[zScore]],MATCH(Table5[[#This Row],[PID]],Batters[[#All],[PID]],0)),INDEX(Table3[[#All],[zScore]],MATCH(Table5[[#This Row],[PID]],Table3[[#All],[PID]],0)))</f>
        <v>-2.7639395111950464</v>
      </c>
      <c r="S1508" s="79" t="str">
        <f>IF($C1508="B",INDEX(Batters[[#All],[DEM]],MATCH(Table5[[#This Row],[PID]],Batters[[#All],[PID]],0)),INDEX(Table3[[#All],[DEM]],MATCH(Table5[[#This Row],[PID]],Table3[[#All],[PID]],0)))</f>
        <v>-</v>
      </c>
      <c r="T1508" s="62">
        <f>IF($C1508="B",INDEX(Batters[[#All],[Rnk]],MATCH(Table5[[#This Row],[PID]],Batters[[#All],[PID]],0)),INDEX(Table3[[#All],[Rnk]],MATCH(Table5[[#This Row],[PID]],Table3[[#All],[PID]],0)))</f>
        <v>724</v>
      </c>
      <c r="U1508" s="68">
        <f>IF($C1508="B",VLOOKUP($A1508,Bat!$A$4:$BA$1621,47,FALSE),VLOOKUP($A1508,Pit!$A$4:$BF$1557,56,FALSE))</f>
        <v>0</v>
      </c>
      <c r="V1508" s="50">
        <f>IF($C1508="B",VLOOKUP($A1508,Bat!$A$4:$BA$1621,48,FALSE),VLOOKUP($A1508,Pit!$A$4:$BF$1557,57,FALSE))</f>
        <v>0</v>
      </c>
      <c r="W1508" s="50">
        <f>Table5[[#This Row],[posRnk]]+Table5[[#This Row],[zRnk]]+IF($W$3&lt;&gt;Table5[[#This Row],[Type]],50,0)</f>
        <v>2276</v>
      </c>
      <c r="X1508" s="51">
        <f>RANK(Table5[[#This Row],[zScore]],Table5[[#All],[zScore]])</f>
        <v>1502</v>
      </c>
      <c r="Y1508" s="50" t="str">
        <f>IFERROR(INDEX(DraftResults[[#All],[OVR]],MATCH(Table5[[#This Row],[PID]],DraftResults[[#All],[Player ID]],0)),"")</f>
        <v/>
      </c>
      <c r="Z150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8" s="50" t="str">
        <f>IFERROR(INDEX(DraftResults[[#All],[Pick in Round]],MATCH(Table5[[#This Row],[PID]],DraftResults[[#All],[Player ID]],0)),"")</f>
        <v/>
      </c>
      <c r="AB1508" s="50" t="str">
        <f>IFERROR(INDEX(DraftResults[[#All],[Team Name]],MATCH(Table5[[#This Row],[PID]],DraftResults[[#All],[Player ID]],0)),"")</f>
        <v/>
      </c>
      <c r="AC1508" s="50" t="str">
        <f>IF(Table5[[#This Row],[Ovr]]="","",IF(Table5[[#This Row],[cmbList]]="","",Table5[[#This Row],[cmbList]]-Table5[[#This Row],[Ovr]]))</f>
        <v/>
      </c>
      <c r="AD1508" s="54" t="str">
        <f>IF(ISERROR(VLOOKUP($AB1508&amp;"-"&amp;$E1508&amp;" "&amp;F1508,Bonuses!$B$1:$G$1006,4,FALSE)),"",INT(VLOOKUP($AB1508&amp;"-"&amp;$E1508&amp;" "&amp;$F1508,Bonuses!$B$1:$G$1006,4,FALSE)))</f>
        <v/>
      </c>
      <c r="AE150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09" spans="1:31" x14ac:dyDescent="0.25">
      <c r="A1509" s="50">
        <v>10539</v>
      </c>
      <c r="B1509" s="50">
        <f>COUNTIF(Table5[PID],A1509)</f>
        <v>1</v>
      </c>
      <c r="C1509" s="50" t="str">
        <f>IF(COUNTIF(Table3[[#All],[PID]],A1509)&gt;0,"P","B")</f>
        <v>B</v>
      </c>
      <c r="D1509" s="59" t="str">
        <f>IF($C1509="B",INDEX(Batters[[#All],[POS]],MATCH(Table5[[#This Row],[PID]],Batters[[#All],[PID]],0)),INDEX(Table3[[#All],[POS]],MATCH(Table5[[#This Row],[PID]],Table3[[#All],[PID]],0)))</f>
        <v>1B</v>
      </c>
      <c r="E1509" s="52" t="str">
        <f>IF($C1509="B",INDEX(Batters[[#All],[First]],MATCH(Table5[[#This Row],[PID]],Batters[[#All],[PID]],0)),INDEX(Table3[[#All],[First]],MATCH(Table5[[#This Row],[PID]],Table3[[#All],[PID]],0)))</f>
        <v>Scott</v>
      </c>
      <c r="F1509" s="50" t="str">
        <f>IF($C1509="B",INDEX(Batters[[#All],[Last]],MATCH(A1509,Batters[[#All],[PID]],0)),INDEX(Table3[[#All],[Last]],MATCH(A1509,Table3[[#All],[PID]],0)))</f>
        <v>Hartley</v>
      </c>
      <c r="G1509" s="56">
        <f>IF($C1509="B",INDEX(Batters[[#All],[Age]],MATCH(Table5[[#This Row],[PID]],Batters[[#All],[PID]],0)),INDEX(Table3[[#All],[Age]],MATCH(Table5[[#This Row],[PID]],Table3[[#All],[PID]],0)))</f>
        <v>22</v>
      </c>
      <c r="H1509" s="52" t="str">
        <f>IF($C1509="B",INDEX(Batters[[#All],[B]],MATCH(Table5[[#This Row],[PID]],Batters[[#All],[PID]],0)),INDEX(Table3[[#All],[B]],MATCH(Table5[[#This Row],[PID]],Table3[[#All],[PID]],0)))</f>
        <v>R</v>
      </c>
      <c r="I1509" s="70" t="str">
        <f>IF($C1509="B",INDEX(Batters[[#All],[T]],MATCH(Table5[[#This Row],[PID]],Batters[[#All],[PID]],0)),INDEX(Table3[[#All],[T]],MATCH(Table5[[#This Row],[PID]],Table3[[#All],[PID]],0)))</f>
        <v>R</v>
      </c>
      <c r="J1509" s="52" t="str">
        <f>IF($C1509="B",INDEX(Batters[[#All],[WE]],MATCH(Table5[[#This Row],[PID]],Batters[[#All],[PID]],0)),INDEX(Table3[[#All],[WE]],MATCH(Table5[[#This Row],[PID]],Table3[[#All],[PID]],0)))</f>
        <v>Normal</v>
      </c>
      <c r="K1509" s="52" t="str">
        <f>IF($C1509="B",INDEX(Batters[[#All],[INT]],MATCH(Table5[[#This Row],[PID]],Batters[[#All],[PID]],0)),INDEX(Table3[[#All],[INT]],MATCH(Table5[[#This Row],[PID]],Table3[[#All],[PID]],0)))</f>
        <v>Normal</v>
      </c>
      <c r="L1509" s="60">
        <f>IF($C1509="B",INDEX(Batters[[#All],[CON P]],MATCH(Table5[[#This Row],[PID]],Batters[[#All],[PID]],0)),INDEX(Table3[[#All],[STU P]],MATCH(Table5[[#This Row],[PID]],Table3[[#All],[PID]],0)))</f>
        <v>3</v>
      </c>
      <c r="M1509" s="56">
        <f>IF($C1509="B",INDEX(Batters[[#All],[GAP P]],MATCH(Table5[[#This Row],[PID]],Batters[[#All],[PID]],0)),INDEX(Table3[[#All],[MOV P]],MATCH(Table5[[#This Row],[PID]],Table3[[#All],[PID]],0)))</f>
        <v>2</v>
      </c>
      <c r="N1509" s="56">
        <f>IF($C1509="B",INDEX(Batters[[#All],[POW P]],MATCH(Table5[[#This Row],[PID]],Batters[[#All],[PID]],0)),INDEX(Table3[[#All],[CON P]],MATCH(Table5[[#This Row],[PID]],Table3[[#All],[PID]],0)))</f>
        <v>3</v>
      </c>
      <c r="O1509" s="56">
        <f>IF($C1509="B",INDEX(Batters[[#All],[EYE P]],MATCH(Table5[[#This Row],[PID]],Batters[[#All],[PID]],0)),INDEX(Table3[[#All],[VELO]],MATCH(Table5[[#This Row],[PID]],Table3[[#All],[PID]],0)))</f>
        <v>1</v>
      </c>
      <c r="P1509" s="56">
        <f>IF($C1509="B",INDEX(Batters[[#All],[K P]],MATCH(Table5[[#This Row],[PID]],Batters[[#All],[PID]],0)),INDEX(Table3[[#All],[STM]],MATCH(Table5[[#This Row],[PID]],Table3[[#All],[PID]],0)))</f>
        <v>4</v>
      </c>
      <c r="Q1509" s="61">
        <f>IF($C1509="B",INDEX(Batters[[#All],[Tot]],MATCH(Table5[[#This Row],[PID]],Batters[[#All],[PID]],0)),INDEX(Table3[[#All],[Tot]],MATCH(Table5[[#This Row],[PID]],Table3[[#All],[PID]],0)))</f>
        <v>31.613235902348183</v>
      </c>
      <c r="R1509" s="70">
        <f>IF($C1509="B",INDEX(Batters[[#All],[zScore]],MATCH(Table5[[#This Row],[PID]],Batters[[#All],[PID]],0)),INDEX(Table3[[#All],[zScore]],MATCH(Table5[[#This Row],[PID]],Table3[[#All],[PID]],0)))</f>
        <v>-2.7754812553202428</v>
      </c>
      <c r="S1509" s="79" t="str">
        <f>IF($C1509="B",INDEX(Batters[[#All],[DEM]],MATCH(Table5[[#This Row],[PID]],Batters[[#All],[PID]],0)),INDEX(Table3[[#All],[DEM]],MATCH(Table5[[#This Row],[PID]],Table3[[#All],[PID]],0)))</f>
        <v>-</v>
      </c>
      <c r="T1509" s="62">
        <f>IF($C1509="B",INDEX(Batters[[#All],[Rnk]],MATCH(Table5[[#This Row],[PID]],Batters[[#All],[PID]],0)),INDEX(Table3[[#All],[Rnk]],MATCH(Table5[[#This Row],[PID]],Table3[[#All],[PID]],0)))</f>
        <v>725</v>
      </c>
      <c r="U1509" s="68">
        <f>IF($C1509="B",VLOOKUP($A1509,Bat!$A$4:$BA$1621,47,FALSE),VLOOKUP($A1509,Pit!$A$4:$BF$1557,56,FALSE))</f>
        <v>0</v>
      </c>
      <c r="V1509" s="50">
        <f>IF($C1509="B",VLOOKUP($A1509,Bat!$A$4:$BA$1621,48,FALSE),VLOOKUP($A1509,Pit!$A$4:$BF$1557,57,FALSE))</f>
        <v>0</v>
      </c>
      <c r="W1509" s="50">
        <f>Table5[[#This Row],[posRnk]]+Table5[[#This Row],[zRnk]]+IF($W$3&lt;&gt;Table5[[#This Row],[Type]],50,0)</f>
        <v>2278</v>
      </c>
      <c r="X1509" s="51">
        <f>RANK(Table5[[#This Row],[zScore]],Table5[[#All],[zScore]])</f>
        <v>1503</v>
      </c>
      <c r="Y1509" s="50" t="str">
        <f>IFERROR(INDEX(DraftResults[[#All],[OVR]],MATCH(Table5[[#This Row],[PID]],DraftResults[[#All],[Player ID]],0)),"")</f>
        <v/>
      </c>
      <c r="Z150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09" s="50" t="str">
        <f>IFERROR(INDEX(DraftResults[[#All],[Pick in Round]],MATCH(Table5[[#This Row],[PID]],DraftResults[[#All],[Player ID]],0)),"")</f>
        <v/>
      </c>
      <c r="AB1509" s="50" t="str">
        <f>IFERROR(INDEX(DraftResults[[#All],[Team Name]],MATCH(Table5[[#This Row],[PID]],DraftResults[[#All],[Player ID]],0)),"")</f>
        <v/>
      </c>
      <c r="AC1509" s="50" t="str">
        <f>IF(Table5[[#This Row],[Ovr]]="","",IF(Table5[[#This Row],[cmbList]]="","",Table5[[#This Row],[cmbList]]-Table5[[#This Row],[Ovr]]))</f>
        <v/>
      </c>
      <c r="AD1509" s="54" t="str">
        <f>IF(ISERROR(VLOOKUP($AB1509&amp;"-"&amp;$E1509&amp;" "&amp;F1509,Bonuses!$B$1:$G$1006,4,FALSE)),"",INT(VLOOKUP($AB1509&amp;"-"&amp;$E1509&amp;" "&amp;$F1509,Bonuses!$B$1:$G$1006,4,FALSE)))</f>
        <v/>
      </c>
      <c r="AE150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0" spans="1:31" x14ac:dyDescent="0.25">
      <c r="A1510" s="50">
        <v>18098</v>
      </c>
      <c r="B1510" s="50">
        <f>COUNTIF(Table5[PID],A1510)</f>
        <v>1</v>
      </c>
      <c r="C1510" s="50" t="str">
        <f>IF(COUNTIF(Table3[[#All],[PID]],A1510)&gt;0,"P","B")</f>
        <v>B</v>
      </c>
      <c r="D1510" s="59" t="str">
        <f>IF($C1510="B",INDEX(Batters[[#All],[POS]],MATCH(Table5[[#This Row],[PID]],Batters[[#All],[PID]],0)),INDEX(Table3[[#All],[POS]],MATCH(Table5[[#This Row],[PID]],Table3[[#All],[PID]],0)))</f>
        <v>C</v>
      </c>
      <c r="E1510" s="52" t="str">
        <f>IF($C1510="B",INDEX(Batters[[#All],[First]],MATCH(Table5[[#This Row],[PID]],Batters[[#All],[PID]],0)),INDEX(Table3[[#All],[First]],MATCH(Table5[[#This Row],[PID]],Table3[[#All],[PID]],0)))</f>
        <v>Dallas</v>
      </c>
      <c r="F1510" s="50" t="str">
        <f>IF($C1510="B",INDEX(Batters[[#All],[Last]],MATCH(A1510,Batters[[#All],[PID]],0)),INDEX(Table3[[#All],[Last]],MATCH(A1510,Table3[[#All],[PID]],0)))</f>
        <v>Wade</v>
      </c>
      <c r="G1510" s="56">
        <f>IF($C1510="B",INDEX(Batters[[#All],[Age]],MATCH(Table5[[#This Row],[PID]],Batters[[#All],[PID]],0)),INDEX(Table3[[#All],[Age]],MATCH(Table5[[#This Row],[PID]],Table3[[#All],[PID]],0)))</f>
        <v>21</v>
      </c>
      <c r="H1510" s="52" t="str">
        <f>IF($C1510="B",INDEX(Batters[[#All],[B]],MATCH(Table5[[#This Row],[PID]],Batters[[#All],[PID]],0)),INDEX(Table3[[#All],[B]],MATCH(Table5[[#This Row],[PID]],Table3[[#All],[PID]],0)))</f>
        <v>R</v>
      </c>
      <c r="I1510" s="70" t="str">
        <f>IF($C1510="B",INDEX(Batters[[#All],[T]],MATCH(Table5[[#This Row],[PID]],Batters[[#All],[PID]],0)),INDEX(Table3[[#All],[T]],MATCH(Table5[[#This Row],[PID]],Table3[[#All],[PID]],0)))</f>
        <v>R</v>
      </c>
      <c r="J1510" s="52" t="str">
        <f>IF($C1510="B",INDEX(Batters[[#All],[WE]],MATCH(Table5[[#This Row],[PID]],Batters[[#All],[PID]],0)),INDEX(Table3[[#All],[WE]],MATCH(Table5[[#This Row],[PID]],Table3[[#All],[PID]],0)))</f>
        <v>Low</v>
      </c>
      <c r="K1510" s="52" t="str">
        <f>IF($C1510="B",INDEX(Batters[[#All],[INT]],MATCH(Table5[[#This Row],[PID]],Batters[[#All],[PID]],0)),INDEX(Table3[[#All],[INT]],MATCH(Table5[[#This Row],[PID]],Table3[[#All],[PID]],0)))</f>
        <v>Low</v>
      </c>
      <c r="L1510" s="60">
        <f>IF($C1510="B",INDEX(Batters[[#All],[CON P]],MATCH(Table5[[#This Row],[PID]],Batters[[#All],[PID]],0)),INDEX(Table3[[#All],[STU P]],MATCH(Table5[[#This Row],[PID]],Table3[[#All],[PID]],0)))</f>
        <v>2</v>
      </c>
      <c r="M1510" s="56">
        <f>IF($C1510="B",INDEX(Batters[[#All],[GAP P]],MATCH(Table5[[#This Row],[PID]],Batters[[#All],[PID]],0)),INDEX(Table3[[#All],[MOV P]],MATCH(Table5[[#This Row],[PID]],Table3[[#All],[PID]],0)))</f>
        <v>3</v>
      </c>
      <c r="N1510" s="56">
        <f>IF($C1510="B",INDEX(Batters[[#All],[POW P]],MATCH(Table5[[#This Row],[PID]],Batters[[#All],[PID]],0)),INDEX(Table3[[#All],[CON P]],MATCH(Table5[[#This Row],[PID]],Table3[[#All],[PID]],0)))</f>
        <v>3</v>
      </c>
      <c r="O1510" s="56">
        <f>IF($C1510="B",INDEX(Batters[[#All],[EYE P]],MATCH(Table5[[#This Row],[PID]],Batters[[#All],[PID]],0)),INDEX(Table3[[#All],[VELO]],MATCH(Table5[[#This Row],[PID]],Table3[[#All],[PID]],0)))</f>
        <v>5</v>
      </c>
      <c r="P1510" s="56">
        <f>IF($C1510="B",INDEX(Batters[[#All],[K P]],MATCH(Table5[[#This Row],[PID]],Batters[[#All],[PID]],0)),INDEX(Table3[[#All],[STM]],MATCH(Table5[[#This Row],[PID]],Table3[[#All],[PID]],0)))</f>
        <v>3</v>
      </c>
      <c r="Q1510" s="61">
        <f>IF($C1510="B",INDEX(Batters[[#All],[Tot]],MATCH(Table5[[#This Row],[PID]],Batters[[#All],[PID]],0)),INDEX(Table3[[#All],[Tot]],MATCH(Table5[[#This Row],[PID]],Table3[[#All],[PID]],0)))</f>
        <v>31.612061244979994</v>
      </c>
      <c r="R1510" s="70">
        <f>IF($C1510="B",INDEX(Batters[[#All],[zScore]],MATCH(Table5[[#This Row],[PID]],Batters[[#All],[PID]],0)),INDEX(Table3[[#All],[zScore]],MATCH(Table5[[#This Row],[PID]],Table3[[#All],[PID]],0)))</f>
        <v>-2.7757416847987173</v>
      </c>
      <c r="S1510" s="79" t="str">
        <f>IF($C1510="B",INDEX(Batters[[#All],[DEM]],MATCH(Table5[[#This Row],[PID]],Batters[[#All],[PID]],0)),INDEX(Table3[[#All],[DEM]],MATCH(Table5[[#This Row],[PID]],Table3[[#All],[PID]],0)))</f>
        <v>-</v>
      </c>
      <c r="T1510" s="62">
        <f>IF($C1510="B",INDEX(Batters[[#All],[Rnk]],MATCH(Table5[[#This Row],[PID]],Batters[[#All],[PID]],0)),INDEX(Table3[[#All],[Rnk]],MATCH(Table5[[#This Row],[PID]],Table3[[#All],[PID]],0)))</f>
        <v>726</v>
      </c>
      <c r="U1510" s="68">
        <f>IF($C1510="B",VLOOKUP($A1510,Bat!$A$4:$BA$1621,47,FALSE),VLOOKUP($A1510,Pit!$A$4:$BF$1557,56,FALSE))</f>
        <v>0</v>
      </c>
      <c r="V1510" s="50">
        <f>IF($C1510="B",VLOOKUP($A1510,Bat!$A$4:$BA$1621,48,FALSE),VLOOKUP($A1510,Pit!$A$4:$BF$1557,57,FALSE))</f>
        <v>0</v>
      </c>
      <c r="W1510" s="50">
        <f>Table5[[#This Row],[posRnk]]+Table5[[#This Row],[zRnk]]+IF($W$3&lt;&gt;Table5[[#This Row],[Type]],50,0)</f>
        <v>2280</v>
      </c>
      <c r="X1510" s="51">
        <f>RANK(Table5[[#This Row],[zScore]],Table5[[#All],[zScore]])</f>
        <v>1504</v>
      </c>
      <c r="Y1510" s="50" t="str">
        <f>IFERROR(INDEX(DraftResults[[#All],[OVR]],MATCH(Table5[[#This Row],[PID]],DraftResults[[#All],[Player ID]],0)),"")</f>
        <v/>
      </c>
      <c r="Z151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0" s="50" t="str">
        <f>IFERROR(INDEX(DraftResults[[#All],[Pick in Round]],MATCH(Table5[[#This Row],[PID]],DraftResults[[#All],[Player ID]],0)),"")</f>
        <v/>
      </c>
      <c r="AB1510" s="50" t="str">
        <f>IFERROR(INDEX(DraftResults[[#All],[Team Name]],MATCH(Table5[[#This Row],[PID]],DraftResults[[#All],[Player ID]],0)),"")</f>
        <v/>
      </c>
      <c r="AC1510" s="50" t="str">
        <f>IF(Table5[[#This Row],[Ovr]]="","",IF(Table5[[#This Row],[cmbList]]="","",Table5[[#This Row],[cmbList]]-Table5[[#This Row],[Ovr]]))</f>
        <v/>
      </c>
      <c r="AD1510" s="54" t="str">
        <f>IF(ISERROR(VLOOKUP($AB1510&amp;"-"&amp;$E1510&amp;" "&amp;F1510,Bonuses!$B$1:$G$1006,4,FALSE)),"",INT(VLOOKUP($AB1510&amp;"-"&amp;$E1510&amp;" "&amp;$F1510,Bonuses!$B$1:$G$1006,4,FALSE)))</f>
        <v/>
      </c>
      <c r="AE151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1" spans="1:31" x14ac:dyDescent="0.25">
      <c r="A1511" s="50">
        <v>17808</v>
      </c>
      <c r="B1511" s="50">
        <f>COUNTIF(Table5[PID],A1511)</f>
        <v>1</v>
      </c>
      <c r="C1511" s="50" t="str">
        <f>IF(COUNTIF(Table3[[#All],[PID]],A1511)&gt;0,"P","B")</f>
        <v>B</v>
      </c>
      <c r="D1511" s="59" t="str">
        <f>IF($C1511="B",INDEX(Batters[[#All],[POS]],MATCH(Table5[[#This Row],[PID]],Batters[[#All],[PID]],0)),INDEX(Table3[[#All],[POS]],MATCH(Table5[[#This Row],[PID]],Table3[[#All],[PID]],0)))</f>
        <v>1B</v>
      </c>
      <c r="E1511" s="52" t="str">
        <f>IF($C1511="B",INDEX(Batters[[#All],[First]],MATCH(Table5[[#This Row],[PID]],Batters[[#All],[PID]],0)),INDEX(Table3[[#All],[First]],MATCH(Table5[[#This Row],[PID]],Table3[[#All],[PID]],0)))</f>
        <v>Ryan</v>
      </c>
      <c r="F1511" s="50" t="str">
        <f>IF($C1511="B",INDEX(Batters[[#All],[Last]],MATCH(A1511,Batters[[#All],[PID]],0)),INDEX(Table3[[#All],[Last]],MATCH(A1511,Table3[[#All],[PID]],0)))</f>
        <v>Marson</v>
      </c>
      <c r="G1511" s="56">
        <f>IF($C1511="B",INDEX(Batters[[#All],[Age]],MATCH(Table5[[#This Row],[PID]],Batters[[#All],[PID]],0)),INDEX(Table3[[#All],[Age]],MATCH(Table5[[#This Row],[PID]],Table3[[#All],[PID]],0)))</f>
        <v>21</v>
      </c>
      <c r="H1511" s="52" t="str">
        <f>IF($C1511="B",INDEX(Batters[[#All],[B]],MATCH(Table5[[#This Row],[PID]],Batters[[#All],[PID]],0)),INDEX(Table3[[#All],[B]],MATCH(Table5[[#This Row],[PID]],Table3[[#All],[PID]],0)))</f>
        <v>R</v>
      </c>
      <c r="I1511" s="70" t="str">
        <f>IF($C1511="B",INDEX(Batters[[#All],[T]],MATCH(Table5[[#This Row],[PID]],Batters[[#All],[PID]],0)),INDEX(Table3[[#All],[T]],MATCH(Table5[[#This Row],[PID]],Table3[[#All],[PID]],0)))</f>
        <v>R</v>
      </c>
      <c r="J1511" s="52" t="str">
        <f>IF($C1511="B",INDEX(Batters[[#All],[WE]],MATCH(Table5[[#This Row],[PID]],Batters[[#All],[PID]],0)),INDEX(Table3[[#All],[WE]],MATCH(Table5[[#This Row],[PID]],Table3[[#All],[PID]],0)))</f>
        <v>Normal</v>
      </c>
      <c r="K1511" s="52" t="str">
        <f>IF($C1511="B",INDEX(Batters[[#All],[INT]],MATCH(Table5[[#This Row],[PID]],Batters[[#All],[PID]],0)),INDEX(Table3[[#All],[INT]],MATCH(Table5[[#This Row],[PID]],Table3[[#All],[PID]],0)))</f>
        <v>Normal</v>
      </c>
      <c r="L1511" s="60">
        <f>IF($C1511="B",INDEX(Batters[[#All],[CON P]],MATCH(Table5[[#This Row],[PID]],Batters[[#All],[PID]],0)),INDEX(Table3[[#All],[STU P]],MATCH(Table5[[#This Row],[PID]],Table3[[#All],[PID]],0)))</f>
        <v>3</v>
      </c>
      <c r="M1511" s="56">
        <f>IF($C1511="B",INDEX(Batters[[#All],[GAP P]],MATCH(Table5[[#This Row],[PID]],Batters[[#All],[PID]],0)),INDEX(Table3[[#All],[MOV P]],MATCH(Table5[[#This Row],[PID]],Table3[[#All],[PID]],0)))</f>
        <v>2</v>
      </c>
      <c r="N1511" s="56">
        <f>IF($C1511="B",INDEX(Batters[[#All],[POW P]],MATCH(Table5[[#This Row],[PID]],Batters[[#All],[PID]],0)),INDEX(Table3[[#All],[CON P]],MATCH(Table5[[#This Row],[PID]],Table3[[#All],[PID]],0)))</f>
        <v>2</v>
      </c>
      <c r="O1511" s="56">
        <f>IF($C1511="B",INDEX(Batters[[#All],[EYE P]],MATCH(Table5[[#This Row],[PID]],Batters[[#All],[PID]],0)),INDEX(Table3[[#All],[VELO]],MATCH(Table5[[#This Row],[PID]],Table3[[#All],[PID]],0)))</f>
        <v>2</v>
      </c>
      <c r="P1511" s="56">
        <f>IF($C1511="B",INDEX(Batters[[#All],[K P]],MATCH(Table5[[#This Row],[PID]],Batters[[#All],[PID]],0)),INDEX(Table3[[#All],[STM]],MATCH(Table5[[#This Row],[PID]],Table3[[#All],[PID]],0)))</f>
        <v>4</v>
      </c>
      <c r="Q1511" s="61">
        <f>IF($C1511="B",INDEX(Batters[[#All],[Tot]],MATCH(Table5[[#This Row],[PID]],Batters[[#All],[PID]],0)),INDEX(Table3[[#All],[Tot]],MATCH(Table5[[#This Row],[PID]],Table3[[#All],[PID]],0)))</f>
        <v>31.592242380760979</v>
      </c>
      <c r="R1511" s="70">
        <f>IF($C1511="B",INDEX(Batters[[#All],[zScore]],MATCH(Table5[[#This Row],[PID]],Batters[[#All],[PID]],0)),INDEX(Table3[[#All],[zScore]],MATCH(Table5[[#This Row],[PID]],Table3[[#All],[PID]],0)))</f>
        <v>-2.7801356609591621</v>
      </c>
      <c r="S1511" s="79" t="str">
        <f>IF($C1511="B",INDEX(Batters[[#All],[DEM]],MATCH(Table5[[#This Row],[PID]],Batters[[#All],[PID]],0)),INDEX(Table3[[#All],[DEM]],MATCH(Table5[[#This Row],[PID]],Table3[[#All],[PID]],0)))</f>
        <v>-</v>
      </c>
      <c r="T1511" s="62">
        <f>IF($C1511="B",INDEX(Batters[[#All],[Rnk]],MATCH(Table5[[#This Row],[PID]],Batters[[#All],[PID]],0)),INDEX(Table3[[#All],[Rnk]],MATCH(Table5[[#This Row],[PID]],Table3[[#All],[PID]],0)))</f>
        <v>727</v>
      </c>
      <c r="U1511" s="68">
        <f>IF($C1511="B",VLOOKUP($A1511,Bat!$A$4:$BA$1621,47,FALSE),VLOOKUP($A1511,Pit!$A$4:$BF$1557,56,FALSE))</f>
        <v>0</v>
      </c>
      <c r="V1511" s="50">
        <f>IF($C1511="B",VLOOKUP($A1511,Bat!$A$4:$BA$1621,48,FALSE),VLOOKUP($A1511,Pit!$A$4:$BF$1557,57,FALSE))</f>
        <v>0</v>
      </c>
      <c r="W1511" s="50">
        <f>Table5[[#This Row],[posRnk]]+Table5[[#This Row],[zRnk]]+IF($W$3&lt;&gt;Table5[[#This Row],[Type]],50,0)</f>
        <v>2282</v>
      </c>
      <c r="X1511" s="51">
        <f>RANK(Table5[[#This Row],[zScore]],Table5[[#All],[zScore]])</f>
        <v>1505</v>
      </c>
      <c r="Y1511" s="50" t="str">
        <f>IFERROR(INDEX(DraftResults[[#All],[OVR]],MATCH(Table5[[#This Row],[PID]],DraftResults[[#All],[Player ID]],0)),"")</f>
        <v/>
      </c>
      <c r="Z151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1" s="50" t="str">
        <f>IFERROR(INDEX(DraftResults[[#All],[Pick in Round]],MATCH(Table5[[#This Row],[PID]],DraftResults[[#All],[Player ID]],0)),"")</f>
        <v/>
      </c>
      <c r="AB1511" s="50" t="str">
        <f>IFERROR(INDEX(DraftResults[[#All],[Team Name]],MATCH(Table5[[#This Row],[PID]],DraftResults[[#All],[Player ID]],0)),"")</f>
        <v/>
      </c>
      <c r="AC1511" s="50" t="str">
        <f>IF(Table5[[#This Row],[Ovr]]="","",IF(Table5[[#This Row],[cmbList]]="","",Table5[[#This Row],[cmbList]]-Table5[[#This Row],[Ovr]]))</f>
        <v/>
      </c>
      <c r="AD1511" s="54" t="str">
        <f>IF(ISERROR(VLOOKUP($AB1511&amp;"-"&amp;$E1511&amp;" "&amp;F1511,Bonuses!$B$1:$G$1006,4,FALSE)),"",INT(VLOOKUP($AB1511&amp;"-"&amp;$E1511&amp;" "&amp;$F1511,Bonuses!$B$1:$G$1006,4,FALSE)))</f>
        <v/>
      </c>
      <c r="AE151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2" spans="1:31" x14ac:dyDescent="0.25">
      <c r="A1512" s="50">
        <v>4404</v>
      </c>
      <c r="B1512" s="50">
        <f>COUNTIF(Table5[PID],A1512)</f>
        <v>1</v>
      </c>
      <c r="C1512" s="50" t="str">
        <f>IF(COUNTIF(Table3[[#All],[PID]],A1512)&gt;0,"P","B")</f>
        <v>B</v>
      </c>
      <c r="D1512" s="59" t="str">
        <f>IF($C1512="B",INDEX(Batters[[#All],[POS]],MATCH(Table5[[#This Row],[PID]],Batters[[#All],[PID]],0)),INDEX(Table3[[#All],[POS]],MATCH(Table5[[#This Row],[PID]],Table3[[#All],[PID]],0)))</f>
        <v>C</v>
      </c>
      <c r="E1512" s="52" t="str">
        <f>IF($C1512="B",INDEX(Batters[[#All],[First]],MATCH(Table5[[#This Row],[PID]],Batters[[#All],[PID]],0)),INDEX(Table3[[#All],[First]],MATCH(Table5[[#This Row],[PID]],Table3[[#All],[PID]],0)))</f>
        <v>Chris</v>
      </c>
      <c r="F1512" s="50" t="str">
        <f>IF($C1512="B",INDEX(Batters[[#All],[Last]],MATCH(A1512,Batters[[#All],[PID]],0)),INDEX(Table3[[#All],[Last]],MATCH(A1512,Table3[[#All],[PID]],0)))</f>
        <v>Lyons</v>
      </c>
      <c r="G1512" s="56">
        <f>IF($C1512="B",INDEX(Batters[[#All],[Age]],MATCH(Table5[[#This Row],[PID]],Batters[[#All],[PID]],0)),INDEX(Table3[[#All],[Age]],MATCH(Table5[[#This Row],[PID]],Table3[[#All],[PID]],0)))</f>
        <v>22</v>
      </c>
      <c r="H1512" s="52" t="str">
        <f>IF($C1512="B",INDEX(Batters[[#All],[B]],MATCH(Table5[[#This Row],[PID]],Batters[[#All],[PID]],0)),INDEX(Table3[[#All],[B]],MATCH(Table5[[#This Row],[PID]],Table3[[#All],[PID]],0)))</f>
        <v>R</v>
      </c>
      <c r="I1512" s="70" t="str">
        <f>IF($C1512="B",INDEX(Batters[[#All],[T]],MATCH(Table5[[#This Row],[PID]],Batters[[#All],[PID]],0)),INDEX(Table3[[#All],[T]],MATCH(Table5[[#This Row],[PID]],Table3[[#All],[PID]],0)))</f>
        <v>R</v>
      </c>
      <c r="J1512" s="52" t="str">
        <f>IF($C1512="B",INDEX(Batters[[#All],[WE]],MATCH(Table5[[#This Row],[PID]],Batters[[#All],[PID]],0)),INDEX(Table3[[#All],[WE]],MATCH(Table5[[#This Row],[PID]],Table3[[#All],[PID]],0)))</f>
        <v>Normal</v>
      </c>
      <c r="K1512" s="52" t="str">
        <f>IF($C1512="B",INDEX(Batters[[#All],[INT]],MATCH(Table5[[#This Row],[PID]],Batters[[#All],[PID]],0)),INDEX(Table3[[#All],[INT]],MATCH(Table5[[#This Row],[PID]],Table3[[#All],[PID]],0)))</f>
        <v>Normal</v>
      </c>
      <c r="L1512" s="60">
        <f>IF($C1512="B",INDEX(Batters[[#All],[CON P]],MATCH(Table5[[#This Row],[PID]],Batters[[#All],[PID]],0)),INDEX(Table3[[#All],[STU P]],MATCH(Table5[[#This Row],[PID]],Table3[[#All],[PID]],0)))</f>
        <v>2</v>
      </c>
      <c r="M1512" s="56">
        <f>IF($C1512="B",INDEX(Batters[[#All],[GAP P]],MATCH(Table5[[#This Row],[PID]],Batters[[#All],[PID]],0)),INDEX(Table3[[#All],[MOV P]],MATCH(Table5[[#This Row],[PID]],Table3[[#All],[PID]],0)))</f>
        <v>4</v>
      </c>
      <c r="N1512" s="56">
        <f>IF($C1512="B",INDEX(Batters[[#All],[POW P]],MATCH(Table5[[#This Row],[PID]],Batters[[#All],[PID]],0)),INDEX(Table3[[#All],[CON P]],MATCH(Table5[[#This Row],[PID]],Table3[[#All],[PID]],0)))</f>
        <v>3</v>
      </c>
      <c r="O1512" s="56">
        <f>IF($C1512="B",INDEX(Batters[[#All],[EYE P]],MATCH(Table5[[#This Row],[PID]],Batters[[#All],[PID]],0)),INDEX(Table3[[#All],[VELO]],MATCH(Table5[[#This Row],[PID]],Table3[[#All],[PID]],0)))</f>
        <v>4</v>
      </c>
      <c r="P1512" s="56">
        <f>IF($C1512="B",INDEX(Batters[[#All],[K P]],MATCH(Table5[[#This Row],[PID]],Batters[[#All],[PID]],0)),INDEX(Table3[[#All],[STM]],MATCH(Table5[[#This Row],[PID]],Table3[[#All],[PID]],0)))</f>
        <v>3</v>
      </c>
      <c r="Q1512" s="61">
        <f>IF($C1512="B",INDEX(Batters[[#All],[Tot]],MATCH(Table5[[#This Row],[PID]],Batters[[#All],[PID]],0)),INDEX(Table3[[#All],[Tot]],MATCH(Table5[[#This Row],[PID]],Table3[[#All],[PID]],0)))</f>
        <v>31.585429278249421</v>
      </c>
      <c r="R1512" s="70">
        <f>IF($C1512="B",INDEX(Batters[[#All],[zScore]],MATCH(Table5[[#This Row],[PID]],Batters[[#All],[PID]],0)),INDEX(Table3[[#All],[zScore]],MATCH(Table5[[#This Row],[PID]],Table3[[#All],[PID]],0)))</f>
        <v>-2.7816461718382737</v>
      </c>
      <c r="S1512" s="79" t="str">
        <f>IF($C1512="B",INDEX(Batters[[#All],[DEM]],MATCH(Table5[[#This Row],[PID]],Batters[[#All],[PID]],0)),INDEX(Table3[[#All],[DEM]],MATCH(Table5[[#This Row],[PID]],Table3[[#All],[PID]],0)))</f>
        <v>-</v>
      </c>
      <c r="T1512" s="62">
        <f>IF($C1512="B",INDEX(Batters[[#All],[Rnk]],MATCH(Table5[[#This Row],[PID]],Batters[[#All],[PID]],0)),INDEX(Table3[[#All],[Rnk]],MATCH(Table5[[#This Row],[PID]],Table3[[#All],[PID]],0)))</f>
        <v>728</v>
      </c>
      <c r="U1512" s="68">
        <f>IF($C1512="B",VLOOKUP($A1512,Bat!$A$4:$BA$1621,47,FALSE),VLOOKUP($A1512,Pit!$A$4:$BF$1557,56,FALSE))</f>
        <v>0</v>
      </c>
      <c r="V1512" s="50">
        <f>IF($C1512="B",VLOOKUP($A1512,Bat!$A$4:$BA$1621,48,FALSE),VLOOKUP($A1512,Pit!$A$4:$BF$1557,57,FALSE))</f>
        <v>0</v>
      </c>
      <c r="W1512" s="50">
        <f>Table5[[#This Row],[posRnk]]+Table5[[#This Row],[zRnk]]+IF($W$3&lt;&gt;Table5[[#This Row],[Type]],50,0)</f>
        <v>2284</v>
      </c>
      <c r="X1512" s="51">
        <f>RANK(Table5[[#This Row],[zScore]],Table5[[#All],[zScore]])</f>
        <v>1506</v>
      </c>
      <c r="Y1512" s="50" t="str">
        <f>IFERROR(INDEX(DraftResults[[#All],[OVR]],MATCH(Table5[[#This Row],[PID]],DraftResults[[#All],[Player ID]],0)),"")</f>
        <v/>
      </c>
      <c r="Z151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2" s="50" t="str">
        <f>IFERROR(INDEX(DraftResults[[#All],[Pick in Round]],MATCH(Table5[[#This Row],[PID]],DraftResults[[#All],[Player ID]],0)),"")</f>
        <v/>
      </c>
      <c r="AB1512" s="50" t="str">
        <f>IFERROR(INDEX(DraftResults[[#All],[Team Name]],MATCH(Table5[[#This Row],[PID]],DraftResults[[#All],[Player ID]],0)),"")</f>
        <v/>
      </c>
      <c r="AC1512" s="50" t="str">
        <f>IF(Table5[[#This Row],[Ovr]]="","",IF(Table5[[#This Row],[cmbList]]="","",Table5[[#This Row],[cmbList]]-Table5[[#This Row],[Ovr]]))</f>
        <v/>
      </c>
      <c r="AD1512" s="54" t="str">
        <f>IF(ISERROR(VLOOKUP($AB1512&amp;"-"&amp;$E1512&amp;" "&amp;F1512,Bonuses!$B$1:$G$1006,4,FALSE)),"",INT(VLOOKUP($AB1512&amp;"-"&amp;$E1512&amp;" "&amp;$F1512,Bonuses!$B$1:$G$1006,4,FALSE)))</f>
        <v/>
      </c>
      <c r="AE151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3" spans="1:31" x14ac:dyDescent="0.25">
      <c r="A1513" s="50">
        <v>20457</v>
      </c>
      <c r="B1513" s="50">
        <f>COUNTIF(Table5[PID],A1513)</f>
        <v>1</v>
      </c>
      <c r="C1513" s="50" t="str">
        <f>IF(COUNTIF(Table3[[#All],[PID]],A1513)&gt;0,"P","B")</f>
        <v>B</v>
      </c>
      <c r="D1513" s="59" t="str">
        <f>IF($C1513="B",INDEX(Batters[[#All],[POS]],MATCH(Table5[[#This Row],[PID]],Batters[[#All],[PID]],0)),INDEX(Table3[[#All],[POS]],MATCH(Table5[[#This Row],[PID]],Table3[[#All],[PID]],0)))</f>
        <v>LF</v>
      </c>
      <c r="E1513" s="52" t="str">
        <f>IF($C1513="B",INDEX(Batters[[#All],[First]],MATCH(Table5[[#This Row],[PID]],Batters[[#All],[PID]],0)),INDEX(Table3[[#All],[First]],MATCH(Table5[[#This Row],[PID]],Table3[[#All],[PID]],0)))</f>
        <v>Abizar</v>
      </c>
      <c r="F1513" s="50" t="str">
        <f>IF($C1513="B",INDEX(Batters[[#All],[Last]],MATCH(A1513,Batters[[#All],[PID]],0)),INDEX(Table3[[#All],[Last]],MATCH(A1513,Table3[[#All],[PID]],0)))</f>
        <v>Muljana</v>
      </c>
      <c r="G1513" s="56">
        <f>IF($C1513="B",INDEX(Batters[[#All],[Age]],MATCH(Table5[[#This Row],[PID]],Batters[[#All],[PID]],0)),INDEX(Table3[[#All],[Age]],MATCH(Table5[[#This Row],[PID]],Table3[[#All],[PID]],0)))</f>
        <v>18</v>
      </c>
      <c r="H1513" s="52" t="str">
        <f>IF($C1513="B",INDEX(Batters[[#All],[B]],MATCH(Table5[[#This Row],[PID]],Batters[[#All],[PID]],0)),INDEX(Table3[[#All],[B]],MATCH(Table5[[#This Row],[PID]],Table3[[#All],[PID]],0)))</f>
        <v>S</v>
      </c>
      <c r="I1513" s="70" t="str">
        <f>IF($C1513="B",INDEX(Batters[[#All],[T]],MATCH(Table5[[#This Row],[PID]],Batters[[#All],[PID]],0)),INDEX(Table3[[#All],[T]],MATCH(Table5[[#This Row],[PID]],Table3[[#All],[PID]],0)))</f>
        <v>R</v>
      </c>
      <c r="J1513" s="52" t="str">
        <f>IF($C1513="B",INDEX(Batters[[#All],[WE]],MATCH(Table5[[#This Row],[PID]],Batters[[#All],[PID]],0)),INDEX(Table3[[#All],[WE]],MATCH(Table5[[#This Row],[PID]],Table3[[#All],[PID]],0)))</f>
        <v>High</v>
      </c>
      <c r="K1513" s="52" t="str">
        <f>IF($C1513="B",INDEX(Batters[[#All],[INT]],MATCH(Table5[[#This Row],[PID]],Batters[[#All],[PID]],0)),INDEX(Table3[[#All],[INT]],MATCH(Table5[[#This Row],[PID]],Table3[[#All],[PID]],0)))</f>
        <v>Normal</v>
      </c>
      <c r="L1513" s="60">
        <f>IF($C1513="B",INDEX(Batters[[#All],[CON P]],MATCH(Table5[[#This Row],[PID]],Batters[[#All],[PID]],0)),INDEX(Table3[[#All],[STU P]],MATCH(Table5[[#This Row],[PID]],Table3[[#All],[PID]],0)))</f>
        <v>2</v>
      </c>
      <c r="M1513" s="56">
        <f>IF($C1513="B",INDEX(Batters[[#All],[GAP P]],MATCH(Table5[[#This Row],[PID]],Batters[[#All],[PID]],0)),INDEX(Table3[[#All],[MOV P]],MATCH(Table5[[#This Row],[PID]],Table3[[#All],[PID]],0)))</f>
        <v>2</v>
      </c>
      <c r="N1513" s="56">
        <f>IF($C1513="B",INDEX(Batters[[#All],[POW P]],MATCH(Table5[[#This Row],[PID]],Batters[[#All],[PID]],0)),INDEX(Table3[[#All],[CON P]],MATCH(Table5[[#This Row],[PID]],Table3[[#All],[PID]],0)))</f>
        <v>2</v>
      </c>
      <c r="O1513" s="56">
        <f>IF($C1513="B",INDEX(Batters[[#All],[EYE P]],MATCH(Table5[[#This Row],[PID]],Batters[[#All],[PID]],0)),INDEX(Table3[[#All],[VELO]],MATCH(Table5[[#This Row],[PID]],Table3[[#All],[PID]],0)))</f>
        <v>1</v>
      </c>
      <c r="P1513" s="56">
        <f>IF($C1513="B",INDEX(Batters[[#All],[K P]],MATCH(Table5[[#This Row],[PID]],Batters[[#All],[PID]],0)),INDEX(Table3[[#All],[STM]],MATCH(Table5[[#This Row],[PID]],Table3[[#All],[PID]],0)))</f>
        <v>3</v>
      </c>
      <c r="Q1513" s="61">
        <f>IF($C1513="B",INDEX(Batters[[#All],[Tot]],MATCH(Table5[[#This Row],[PID]],Batters[[#All],[PID]],0)),INDEX(Table3[[#All],[Tot]],MATCH(Table5[[#This Row],[PID]],Table3[[#All],[PID]],0)))</f>
        <v>31.528270290242126</v>
      </c>
      <c r="R1513" s="70">
        <f>IF($C1513="B",INDEX(Batters[[#All],[zScore]],MATCH(Table5[[#This Row],[PID]],Batters[[#All],[PID]],0)),INDEX(Table3[[#All],[zScore]],MATCH(Table5[[#This Row],[PID]],Table3[[#All],[PID]],0)))</f>
        <v>-2.7943187058383927</v>
      </c>
      <c r="S1513" s="79" t="str">
        <f>IF($C1513="B",INDEX(Batters[[#All],[DEM]],MATCH(Table5[[#This Row],[PID]],Batters[[#All],[PID]],0)),INDEX(Table3[[#All],[DEM]],MATCH(Table5[[#This Row],[PID]],Table3[[#All],[PID]],0)))</f>
        <v>$65k</v>
      </c>
      <c r="T1513" s="62">
        <f>IF($C1513="B",INDEX(Batters[[#All],[Rnk]],MATCH(Table5[[#This Row],[PID]],Batters[[#All],[PID]],0)),INDEX(Table3[[#All],[Rnk]],MATCH(Table5[[#This Row],[PID]],Table3[[#All],[PID]],0)))</f>
        <v>729</v>
      </c>
      <c r="U1513" s="68">
        <f>IF($C1513="B",VLOOKUP($A1513,Bat!$A$4:$BA$1621,47,FALSE),VLOOKUP($A1513,Pit!$A$4:$BF$1557,56,FALSE))</f>
        <v>0</v>
      </c>
      <c r="V1513" s="50">
        <f>IF($C1513="B",VLOOKUP($A1513,Bat!$A$4:$BA$1621,48,FALSE),VLOOKUP($A1513,Pit!$A$4:$BF$1557,57,FALSE))</f>
        <v>0</v>
      </c>
      <c r="W1513" s="50">
        <f>Table5[[#This Row],[posRnk]]+Table5[[#This Row],[zRnk]]+IF($W$3&lt;&gt;Table5[[#This Row],[Type]],50,0)</f>
        <v>2286</v>
      </c>
      <c r="X1513" s="51">
        <f>RANK(Table5[[#This Row],[zScore]],Table5[[#All],[zScore]])</f>
        <v>1507</v>
      </c>
      <c r="Y1513" s="50" t="str">
        <f>IFERROR(INDEX(DraftResults[[#All],[OVR]],MATCH(Table5[[#This Row],[PID]],DraftResults[[#All],[Player ID]],0)),"")</f>
        <v/>
      </c>
      <c r="Z151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3" s="50" t="str">
        <f>IFERROR(INDEX(DraftResults[[#All],[Pick in Round]],MATCH(Table5[[#This Row],[PID]],DraftResults[[#All],[Player ID]],0)),"")</f>
        <v/>
      </c>
      <c r="AB1513" s="50" t="str">
        <f>IFERROR(INDEX(DraftResults[[#All],[Team Name]],MATCH(Table5[[#This Row],[PID]],DraftResults[[#All],[Player ID]],0)),"")</f>
        <v/>
      </c>
      <c r="AC1513" s="50" t="str">
        <f>IF(Table5[[#This Row],[Ovr]]="","",IF(Table5[[#This Row],[cmbList]]="","",Table5[[#This Row],[cmbList]]-Table5[[#This Row],[Ovr]]))</f>
        <v/>
      </c>
      <c r="AD1513" s="54" t="str">
        <f>IF(ISERROR(VLOOKUP($AB1513&amp;"-"&amp;$E1513&amp;" "&amp;F1513,Bonuses!$B$1:$G$1006,4,FALSE)),"",INT(VLOOKUP($AB1513&amp;"-"&amp;$E1513&amp;" "&amp;$F1513,Bonuses!$B$1:$G$1006,4,FALSE)))</f>
        <v/>
      </c>
      <c r="AE151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4" spans="1:31" x14ac:dyDescent="0.25">
      <c r="A1514" s="50">
        <v>11888</v>
      </c>
      <c r="B1514" s="50">
        <f>COUNTIF(Table5[PID],A1514)</f>
        <v>1</v>
      </c>
      <c r="C1514" s="50" t="str">
        <f>IF(COUNTIF(Table3[[#All],[PID]],A1514)&gt;0,"P","B")</f>
        <v>B</v>
      </c>
      <c r="D1514" s="59" t="str">
        <f>IF($C1514="B",INDEX(Batters[[#All],[POS]],MATCH(Table5[[#This Row],[PID]],Batters[[#All],[PID]],0)),INDEX(Table3[[#All],[POS]],MATCH(Table5[[#This Row],[PID]],Table3[[#All],[PID]],0)))</f>
        <v>C</v>
      </c>
      <c r="E1514" s="52" t="str">
        <f>IF($C1514="B",INDEX(Batters[[#All],[First]],MATCH(Table5[[#This Row],[PID]],Batters[[#All],[PID]],0)),INDEX(Table3[[#All],[First]],MATCH(Table5[[#This Row],[PID]],Table3[[#All],[PID]],0)))</f>
        <v>Allen</v>
      </c>
      <c r="F1514" s="50" t="str">
        <f>IF($C1514="B",INDEX(Batters[[#All],[Last]],MATCH(A1514,Batters[[#All],[PID]],0)),INDEX(Table3[[#All],[Last]],MATCH(A1514,Table3[[#All],[PID]],0)))</f>
        <v>Gregg</v>
      </c>
      <c r="G1514" s="56">
        <f>IF($C1514="B",INDEX(Batters[[#All],[Age]],MATCH(Table5[[#This Row],[PID]],Batters[[#All],[PID]],0)),INDEX(Table3[[#All],[Age]],MATCH(Table5[[#This Row],[PID]],Table3[[#All],[PID]],0)))</f>
        <v>22</v>
      </c>
      <c r="H1514" s="52" t="str">
        <f>IF($C1514="B",INDEX(Batters[[#All],[B]],MATCH(Table5[[#This Row],[PID]],Batters[[#All],[PID]],0)),INDEX(Table3[[#All],[B]],MATCH(Table5[[#This Row],[PID]],Table3[[#All],[PID]],0)))</f>
        <v>R</v>
      </c>
      <c r="I1514" s="70" t="str">
        <f>IF($C1514="B",INDEX(Batters[[#All],[T]],MATCH(Table5[[#This Row],[PID]],Batters[[#All],[PID]],0)),INDEX(Table3[[#All],[T]],MATCH(Table5[[#This Row],[PID]],Table3[[#All],[PID]],0)))</f>
        <v>R</v>
      </c>
      <c r="J1514" s="52" t="str">
        <f>IF($C1514="B",INDEX(Batters[[#All],[WE]],MATCH(Table5[[#This Row],[PID]],Batters[[#All],[PID]],0)),INDEX(Table3[[#All],[WE]],MATCH(Table5[[#This Row],[PID]],Table3[[#All],[PID]],0)))</f>
        <v>Low</v>
      </c>
      <c r="K1514" s="52" t="str">
        <f>IF($C1514="B",INDEX(Batters[[#All],[INT]],MATCH(Table5[[#This Row],[PID]],Batters[[#All],[PID]],0)),INDEX(Table3[[#All],[INT]],MATCH(Table5[[#This Row],[PID]],Table3[[#All],[PID]],0)))</f>
        <v>Low</v>
      </c>
      <c r="L1514" s="60">
        <f>IF($C1514="B",INDEX(Batters[[#All],[CON P]],MATCH(Table5[[#This Row],[PID]],Batters[[#All],[PID]],0)),INDEX(Table3[[#All],[STU P]],MATCH(Table5[[#This Row],[PID]],Table3[[#All],[PID]],0)))</f>
        <v>2</v>
      </c>
      <c r="M1514" s="56">
        <f>IF($C1514="B",INDEX(Batters[[#All],[GAP P]],MATCH(Table5[[#This Row],[PID]],Batters[[#All],[PID]],0)),INDEX(Table3[[#All],[MOV P]],MATCH(Table5[[#This Row],[PID]],Table3[[#All],[PID]],0)))</f>
        <v>2</v>
      </c>
      <c r="N1514" s="56">
        <f>IF($C1514="B",INDEX(Batters[[#All],[POW P]],MATCH(Table5[[#This Row],[PID]],Batters[[#All],[PID]],0)),INDEX(Table3[[#All],[CON P]],MATCH(Table5[[#This Row],[PID]],Table3[[#All],[PID]],0)))</f>
        <v>4</v>
      </c>
      <c r="O1514" s="56">
        <f>IF($C1514="B",INDEX(Batters[[#All],[EYE P]],MATCH(Table5[[#This Row],[PID]],Batters[[#All],[PID]],0)),INDEX(Table3[[#All],[VELO]],MATCH(Table5[[#This Row],[PID]],Table3[[#All],[PID]],0)))</f>
        <v>5</v>
      </c>
      <c r="P1514" s="56">
        <f>IF($C1514="B",INDEX(Batters[[#All],[K P]],MATCH(Table5[[#This Row],[PID]],Batters[[#All],[PID]],0)),INDEX(Table3[[#All],[STM]],MATCH(Table5[[#This Row],[PID]],Table3[[#All],[PID]],0)))</f>
        <v>2</v>
      </c>
      <c r="Q1514" s="61">
        <f>IF($C1514="B",INDEX(Batters[[#All],[Tot]],MATCH(Table5[[#This Row],[PID]],Batters[[#All],[PID]],0)),INDEX(Table3[[#All],[Tot]],MATCH(Table5[[#This Row],[PID]],Table3[[#All],[PID]],0)))</f>
        <v>31.464885573874</v>
      </c>
      <c r="R1514" s="70">
        <f>IF($C1514="B",INDEX(Batters[[#All],[zScore]],MATCH(Table5[[#This Row],[PID]],Batters[[#All],[PID]],0)),INDEX(Table3[[#All],[zScore]],MATCH(Table5[[#This Row],[PID]],Table3[[#All],[PID]],0)))</f>
        <v>-2.808371525898127</v>
      </c>
      <c r="S1514" s="79" t="str">
        <f>IF($C1514="B",INDEX(Batters[[#All],[DEM]],MATCH(Table5[[#This Row],[PID]],Batters[[#All],[PID]],0)),INDEX(Table3[[#All],[DEM]],MATCH(Table5[[#This Row],[PID]],Table3[[#All],[PID]],0)))</f>
        <v>-</v>
      </c>
      <c r="T1514" s="62">
        <f>IF($C1514="B",INDEX(Batters[[#All],[Rnk]],MATCH(Table5[[#This Row],[PID]],Batters[[#All],[PID]],0)),INDEX(Table3[[#All],[Rnk]],MATCH(Table5[[#This Row],[PID]],Table3[[#All],[PID]],0)))</f>
        <v>730</v>
      </c>
      <c r="U1514" s="68">
        <f>IF($C1514="B",VLOOKUP($A1514,Bat!$A$4:$BA$1621,47,FALSE),VLOOKUP($A1514,Pit!$A$4:$BF$1557,56,FALSE))</f>
        <v>0</v>
      </c>
      <c r="V1514" s="50">
        <f>IF($C1514="B",VLOOKUP($A1514,Bat!$A$4:$BA$1621,48,FALSE),VLOOKUP($A1514,Pit!$A$4:$BF$1557,57,FALSE))</f>
        <v>0</v>
      </c>
      <c r="W1514" s="50">
        <f>Table5[[#This Row],[posRnk]]+Table5[[#This Row],[zRnk]]+IF($W$3&lt;&gt;Table5[[#This Row],[Type]],50,0)</f>
        <v>2288</v>
      </c>
      <c r="X1514" s="51">
        <f>RANK(Table5[[#This Row],[zScore]],Table5[[#All],[zScore]])</f>
        <v>1508</v>
      </c>
      <c r="Y1514" s="50" t="str">
        <f>IFERROR(INDEX(DraftResults[[#All],[OVR]],MATCH(Table5[[#This Row],[PID]],DraftResults[[#All],[Player ID]],0)),"")</f>
        <v/>
      </c>
      <c r="Z151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4" s="50" t="str">
        <f>IFERROR(INDEX(DraftResults[[#All],[Pick in Round]],MATCH(Table5[[#This Row],[PID]],DraftResults[[#All],[Player ID]],0)),"")</f>
        <v/>
      </c>
      <c r="AB1514" s="50" t="str">
        <f>IFERROR(INDEX(DraftResults[[#All],[Team Name]],MATCH(Table5[[#This Row],[PID]],DraftResults[[#All],[Player ID]],0)),"")</f>
        <v/>
      </c>
      <c r="AC1514" s="50" t="str">
        <f>IF(Table5[[#This Row],[Ovr]]="","",IF(Table5[[#This Row],[cmbList]]="","",Table5[[#This Row],[cmbList]]-Table5[[#This Row],[Ovr]]))</f>
        <v/>
      </c>
      <c r="AD1514" s="54" t="str">
        <f>IF(ISERROR(VLOOKUP($AB1514&amp;"-"&amp;$E1514&amp;" "&amp;F1514,Bonuses!$B$1:$G$1006,4,FALSE)),"",INT(VLOOKUP($AB1514&amp;"-"&amp;$E1514&amp;" "&amp;$F1514,Bonuses!$B$1:$G$1006,4,FALSE)))</f>
        <v/>
      </c>
      <c r="AE151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5" spans="1:31" x14ac:dyDescent="0.25">
      <c r="A1515" s="50">
        <v>16893</v>
      </c>
      <c r="B1515" s="50">
        <f>COUNTIF(Table5[PID],A1515)</f>
        <v>1</v>
      </c>
      <c r="C1515" s="50" t="str">
        <f>IF(COUNTIF(Table3[[#All],[PID]],A1515)&gt;0,"P","B")</f>
        <v>B</v>
      </c>
      <c r="D1515" s="59" t="str">
        <f>IF($C1515="B",INDEX(Batters[[#All],[POS]],MATCH(Table5[[#This Row],[PID]],Batters[[#All],[PID]],0)),INDEX(Table3[[#All],[POS]],MATCH(Table5[[#This Row],[PID]],Table3[[#All],[PID]],0)))</f>
        <v>C</v>
      </c>
      <c r="E1515" s="52" t="str">
        <f>IF($C1515="B",INDEX(Batters[[#All],[First]],MATCH(Table5[[#This Row],[PID]],Batters[[#All],[PID]],0)),INDEX(Table3[[#All],[First]],MATCH(Table5[[#This Row],[PID]],Table3[[#All],[PID]],0)))</f>
        <v>Ricardo</v>
      </c>
      <c r="F1515" s="50" t="str">
        <f>IF($C1515="B",INDEX(Batters[[#All],[Last]],MATCH(A1515,Batters[[#All],[PID]],0)),INDEX(Table3[[#All],[Last]],MATCH(A1515,Table3[[#All],[PID]],0)))</f>
        <v>Benítez</v>
      </c>
      <c r="G1515" s="56">
        <f>IF($C1515="B",INDEX(Batters[[#All],[Age]],MATCH(Table5[[#This Row],[PID]],Batters[[#All],[PID]],0)),INDEX(Table3[[#All],[Age]],MATCH(Table5[[#This Row],[PID]],Table3[[#All],[PID]],0)))</f>
        <v>21</v>
      </c>
      <c r="H1515" s="52" t="str">
        <f>IF($C1515="B",INDEX(Batters[[#All],[B]],MATCH(Table5[[#This Row],[PID]],Batters[[#All],[PID]],0)),INDEX(Table3[[#All],[B]],MATCH(Table5[[#This Row],[PID]],Table3[[#All],[PID]],0)))</f>
        <v>R</v>
      </c>
      <c r="I1515" s="70" t="str">
        <f>IF($C1515="B",INDEX(Batters[[#All],[T]],MATCH(Table5[[#This Row],[PID]],Batters[[#All],[PID]],0)),INDEX(Table3[[#All],[T]],MATCH(Table5[[#This Row],[PID]],Table3[[#All],[PID]],0)))</f>
        <v>R</v>
      </c>
      <c r="J1515" s="52" t="str">
        <f>IF($C1515="B",INDEX(Batters[[#All],[WE]],MATCH(Table5[[#This Row],[PID]],Batters[[#All],[PID]],0)),INDEX(Table3[[#All],[WE]],MATCH(Table5[[#This Row],[PID]],Table3[[#All],[PID]],0)))</f>
        <v>Low</v>
      </c>
      <c r="K1515" s="52" t="str">
        <f>IF($C1515="B",INDEX(Batters[[#All],[INT]],MATCH(Table5[[#This Row],[PID]],Batters[[#All],[PID]],0)),INDEX(Table3[[#All],[INT]],MATCH(Table5[[#This Row],[PID]],Table3[[#All],[PID]],0)))</f>
        <v>High</v>
      </c>
      <c r="L1515" s="60">
        <f>IF($C1515="B",INDEX(Batters[[#All],[CON P]],MATCH(Table5[[#This Row],[PID]],Batters[[#All],[PID]],0)),INDEX(Table3[[#All],[STU P]],MATCH(Table5[[#This Row],[PID]],Table3[[#All],[PID]],0)))</f>
        <v>2</v>
      </c>
      <c r="M1515" s="56">
        <f>IF($C1515="B",INDEX(Batters[[#All],[GAP P]],MATCH(Table5[[#This Row],[PID]],Batters[[#All],[PID]],0)),INDEX(Table3[[#All],[MOV P]],MATCH(Table5[[#This Row],[PID]],Table3[[#All],[PID]],0)))</f>
        <v>2</v>
      </c>
      <c r="N1515" s="56">
        <f>IF($C1515="B",INDEX(Batters[[#All],[POW P]],MATCH(Table5[[#This Row],[PID]],Batters[[#All],[PID]],0)),INDEX(Table3[[#All],[CON P]],MATCH(Table5[[#This Row],[PID]],Table3[[#All],[PID]],0)))</f>
        <v>4</v>
      </c>
      <c r="O1515" s="56">
        <f>IF($C1515="B",INDEX(Batters[[#All],[EYE P]],MATCH(Table5[[#This Row],[PID]],Batters[[#All],[PID]],0)),INDEX(Table3[[#All],[VELO]],MATCH(Table5[[#This Row],[PID]],Table3[[#All],[PID]],0)))</f>
        <v>4</v>
      </c>
      <c r="P1515" s="56">
        <f>IF($C1515="B",INDEX(Batters[[#All],[K P]],MATCH(Table5[[#This Row],[PID]],Batters[[#All],[PID]],0)),INDEX(Table3[[#All],[STM]],MATCH(Table5[[#This Row],[PID]],Table3[[#All],[PID]],0)))</f>
        <v>3</v>
      </c>
      <c r="Q1515" s="61">
        <f>IF($C1515="B",INDEX(Batters[[#All],[Tot]],MATCH(Table5[[#This Row],[PID]],Batters[[#All],[PID]],0)),INDEX(Table3[[#All],[Tot]],MATCH(Table5[[#This Row],[PID]],Table3[[#All],[PID]],0)))</f>
        <v>31.46026090216164</v>
      </c>
      <c r="R1515" s="70">
        <f>IF($C1515="B",INDEX(Batters[[#All],[zScore]],MATCH(Table5[[#This Row],[PID]],Batters[[#All],[PID]],0)),INDEX(Table3[[#All],[zScore]],MATCH(Table5[[#This Row],[PID]],Table3[[#All],[PID]],0)))</f>
        <v>-2.8093968468766368</v>
      </c>
      <c r="S1515" s="79" t="str">
        <f>IF($C1515="B",INDEX(Batters[[#All],[DEM]],MATCH(Table5[[#This Row],[PID]],Batters[[#All],[PID]],0)),INDEX(Table3[[#All],[DEM]],MATCH(Table5[[#This Row],[PID]],Table3[[#All],[PID]],0)))</f>
        <v>-</v>
      </c>
      <c r="T1515" s="62">
        <f>IF($C1515="B",INDEX(Batters[[#All],[Rnk]],MATCH(Table5[[#This Row],[PID]],Batters[[#All],[PID]],0)),INDEX(Table3[[#All],[Rnk]],MATCH(Table5[[#This Row],[PID]],Table3[[#All],[PID]],0)))</f>
        <v>731</v>
      </c>
      <c r="U1515" s="68">
        <f>IF($C1515="B",VLOOKUP($A1515,Bat!$A$4:$BA$1621,47,FALSE),VLOOKUP($A1515,Pit!$A$4:$BF$1557,56,FALSE))</f>
        <v>0</v>
      </c>
      <c r="V1515" s="50">
        <f>IF($C1515="B",VLOOKUP($A1515,Bat!$A$4:$BA$1621,48,FALSE),VLOOKUP($A1515,Pit!$A$4:$BF$1557,57,FALSE))</f>
        <v>0</v>
      </c>
      <c r="W1515" s="50">
        <f>Table5[[#This Row],[posRnk]]+Table5[[#This Row],[zRnk]]+IF($W$3&lt;&gt;Table5[[#This Row],[Type]],50,0)</f>
        <v>2290</v>
      </c>
      <c r="X1515" s="51">
        <f>RANK(Table5[[#This Row],[zScore]],Table5[[#All],[zScore]])</f>
        <v>1509</v>
      </c>
      <c r="Y1515" s="50" t="str">
        <f>IFERROR(INDEX(DraftResults[[#All],[OVR]],MATCH(Table5[[#This Row],[PID]],DraftResults[[#All],[Player ID]],0)),"")</f>
        <v/>
      </c>
      <c r="Z151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5" s="50" t="str">
        <f>IFERROR(INDEX(DraftResults[[#All],[Pick in Round]],MATCH(Table5[[#This Row],[PID]],DraftResults[[#All],[Player ID]],0)),"")</f>
        <v/>
      </c>
      <c r="AB1515" s="50" t="str">
        <f>IFERROR(INDEX(DraftResults[[#All],[Team Name]],MATCH(Table5[[#This Row],[PID]],DraftResults[[#All],[Player ID]],0)),"")</f>
        <v/>
      </c>
      <c r="AC1515" s="50" t="str">
        <f>IF(Table5[[#This Row],[Ovr]]="","",IF(Table5[[#This Row],[cmbList]]="","",Table5[[#This Row],[cmbList]]-Table5[[#This Row],[Ovr]]))</f>
        <v/>
      </c>
      <c r="AD1515" s="54" t="str">
        <f>IF(ISERROR(VLOOKUP($AB1515&amp;"-"&amp;$E1515&amp;" "&amp;F1515,Bonuses!$B$1:$G$1006,4,FALSE)),"",INT(VLOOKUP($AB1515&amp;"-"&amp;$E1515&amp;" "&amp;$F1515,Bonuses!$B$1:$G$1006,4,FALSE)))</f>
        <v/>
      </c>
      <c r="AE151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6" spans="1:31" x14ac:dyDescent="0.25">
      <c r="A1516" s="50">
        <v>16657</v>
      </c>
      <c r="B1516" s="50">
        <f>COUNTIF(Table5[PID],A1516)</f>
        <v>1</v>
      </c>
      <c r="C1516" s="50" t="str">
        <f>IF(COUNTIF(Table3[[#All],[PID]],A1516)&gt;0,"P","B")</f>
        <v>B</v>
      </c>
      <c r="D1516" s="59" t="str">
        <f>IF($C1516="B",INDEX(Batters[[#All],[POS]],MATCH(Table5[[#This Row],[PID]],Batters[[#All],[PID]],0)),INDEX(Table3[[#All],[POS]],MATCH(Table5[[#This Row],[PID]],Table3[[#All],[PID]],0)))</f>
        <v>1B</v>
      </c>
      <c r="E1516" s="52" t="str">
        <f>IF($C1516="B",INDEX(Batters[[#All],[First]],MATCH(Table5[[#This Row],[PID]],Batters[[#All],[PID]],0)),INDEX(Table3[[#All],[First]],MATCH(Table5[[#This Row],[PID]],Table3[[#All],[PID]],0)))</f>
        <v>Rikyu</v>
      </c>
      <c r="F1516" s="50" t="str">
        <f>IF($C1516="B",INDEX(Batters[[#All],[Last]],MATCH(A1516,Batters[[#All],[PID]],0)),INDEX(Table3[[#All],[Last]],MATCH(A1516,Table3[[#All],[PID]],0)))</f>
        <v>Inoue</v>
      </c>
      <c r="G1516" s="56">
        <f>IF($C1516="B",INDEX(Batters[[#All],[Age]],MATCH(Table5[[#This Row],[PID]],Batters[[#All],[PID]],0)),INDEX(Table3[[#All],[Age]],MATCH(Table5[[#This Row],[PID]],Table3[[#All],[PID]],0)))</f>
        <v>22</v>
      </c>
      <c r="H1516" s="52" t="str">
        <f>IF($C1516="B",INDEX(Batters[[#All],[B]],MATCH(Table5[[#This Row],[PID]],Batters[[#All],[PID]],0)),INDEX(Table3[[#All],[B]],MATCH(Table5[[#This Row],[PID]],Table3[[#All],[PID]],0)))</f>
        <v>S</v>
      </c>
      <c r="I1516" s="70" t="str">
        <f>IF($C1516="B",INDEX(Batters[[#All],[T]],MATCH(Table5[[#This Row],[PID]],Batters[[#All],[PID]],0)),INDEX(Table3[[#All],[T]],MATCH(Table5[[#This Row],[PID]],Table3[[#All],[PID]],0)))</f>
        <v>R</v>
      </c>
      <c r="J1516" s="52" t="str">
        <f>IF($C1516="B",INDEX(Batters[[#All],[WE]],MATCH(Table5[[#This Row],[PID]],Batters[[#All],[PID]],0)),INDEX(Table3[[#All],[WE]],MATCH(Table5[[#This Row],[PID]],Table3[[#All],[PID]],0)))</f>
        <v>Normal</v>
      </c>
      <c r="K1516" s="52" t="str">
        <f>IF($C1516="B",INDEX(Batters[[#All],[INT]],MATCH(Table5[[#This Row],[PID]],Batters[[#All],[PID]],0)),INDEX(Table3[[#All],[INT]],MATCH(Table5[[#This Row],[PID]],Table3[[#All],[PID]],0)))</f>
        <v>Low</v>
      </c>
      <c r="L1516" s="60">
        <f>IF($C1516="B",INDEX(Batters[[#All],[CON P]],MATCH(Table5[[#This Row],[PID]],Batters[[#All],[PID]],0)),INDEX(Table3[[#All],[STU P]],MATCH(Table5[[#This Row],[PID]],Table3[[#All],[PID]],0)))</f>
        <v>2</v>
      </c>
      <c r="M1516" s="56">
        <f>IF($C1516="B",INDEX(Batters[[#All],[GAP P]],MATCH(Table5[[#This Row],[PID]],Batters[[#All],[PID]],0)),INDEX(Table3[[#All],[MOV P]],MATCH(Table5[[#This Row],[PID]],Table3[[#All],[PID]],0)))</f>
        <v>3</v>
      </c>
      <c r="N1516" s="56">
        <f>IF($C1516="B",INDEX(Batters[[#All],[POW P]],MATCH(Table5[[#This Row],[PID]],Batters[[#All],[PID]],0)),INDEX(Table3[[#All],[CON P]],MATCH(Table5[[#This Row],[PID]],Table3[[#All],[PID]],0)))</f>
        <v>3</v>
      </c>
      <c r="O1516" s="56">
        <f>IF($C1516="B",INDEX(Batters[[#All],[EYE P]],MATCH(Table5[[#This Row],[PID]],Batters[[#All],[PID]],0)),INDEX(Table3[[#All],[VELO]],MATCH(Table5[[#This Row],[PID]],Table3[[#All],[PID]],0)))</f>
        <v>5</v>
      </c>
      <c r="P1516" s="56">
        <f>IF($C1516="B",INDEX(Batters[[#All],[K P]],MATCH(Table5[[#This Row],[PID]],Batters[[#All],[PID]],0)),INDEX(Table3[[#All],[STM]],MATCH(Table5[[#This Row],[PID]],Table3[[#All],[PID]],0)))</f>
        <v>2</v>
      </c>
      <c r="Q1516" s="61">
        <f>IF($C1516="B",INDEX(Batters[[#All],[Tot]],MATCH(Table5[[#This Row],[PID]],Batters[[#All],[PID]],0)),INDEX(Table3[[#All],[Tot]],MATCH(Table5[[#This Row],[PID]],Table3[[#All],[PID]],0)))</f>
        <v>31.400049131936321</v>
      </c>
      <c r="R1516" s="70">
        <f>IF($C1516="B",INDEX(Batters[[#All],[zScore]],MATCH(Table5[[#This Row],[PID]],Batters[[#All],[PID]],0)),INDEX(Table3[[#All],[zScore]],MATCH(Table5[[#This Row],[PID]],Table3[[#All],[PID]],0)))</f>
        <v>-2.8227462033293844</v>
      </c>
      <c r="S1516" s="79" t="str">
        <f>IF($C1516="B",INDEX(Batters[[#All],[DEM]],MATCH(Table5[[#This Row],[PID]],Batters[[#All],[PID]],0)),INDEX(Table3[[#All],[DEM]],MATCH(Table5[[#This Row],[PID]],Table3[[#All],[PID]],0)))</f>
        <v>-</v>
      </c>
      <c r="T1516" s="62">
        <f>IF($C1516="B",INDEX(Batters[[#All],[Rnk]],MATCH(Table5[[#This Row],[PID]],Batters[[#All],[PID]],0)),INDEX(Table3[[#All],[Rnk]],MATCH(Table5[[#This Row],[PID]],Table3[[#All],[PID]],0)))</f>
        <v>732</v>
      </c>
      <c r="U1516" s="68">
        <f>IF($C1516="B",VLOOKUP($A1516,Bat!$A$4:$BA$1621,47,FALSE),VLOOKUP($A1516,Pit!$A$4:$BF$1557,56,FALSE))</f>
        <v>0</v>
      </c>
      <c r="V1516" s="50">
        <f>IF($C1516="B",VLOOKUP($A1516,Bat!$A$4:$BA$1621,48,FALSE),VLOOKUP($A1516,Pit!$A$4:$BF$1557,57,FALSE))</f>
        <v>0</v>
      </c>
      <c r="W1516" s="50">
        <f>Table5[[#This Row],[posRnk]]+Table5[[#This Row],[zRnk]]+IF($W$3&lt;&gt;Table5[[#This Row],[Type]],50,0)</f>
        <v>2292</v>
      </c>
      <c r="X1516" s="51">
        <f>RANK(Table5[[#This Row],[zScore]],Table5[[#All],[zScore]])</f>
        <v>1510</v>
      </c>
      <c r="Y1516" s="50" t="str">
        <f>IFERROR(INDEX(DraftResults[[#All],[OVR]],MATCH(Table5[[#This Row],[PID]],DraftResults[[#All],[Player ID]],0)),"")</f>
        <v/>
      </c>
      <c r="Z151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6" s="50" t="str">
        <f>IFERROR(INDEX(DraftResults[[#All],[Pick in Round]],MATCH(Table5[[#This Row],[PID]],DraftResults[[#All],[Player ID]],0)),"")</f>
        <v/>
      </c>
      <c r="AB1516" s="50" t="str">
        <f>IFERROR(INDEX(DraftResults[[#All],[Team Name]],MATCH(Table5[[#This Row],[PID]],DraftResults[[#All],[Player ID]],0)),"")</f>
        <v/>
      </c>
      <c r="AC1516" s="50" t="str">
        <f>IF(Table5[[#This Row],[Ovr]]="","",IF(Table5[[#This Row],[cmbList]]="","",Table5[[#This Row],[cmbList]]-Table5[[#This Row],[Ovr]]))</f>
        <v/>
      </c>
      <c r="AD1516" s="54" t="str">
        <f>IF(ISERROR(VLOOKUP($AB1516&amp;"-"&amp;$E1516&amp;" "&amp;F1516,Bonuses!$B$1:$G$1006,4,FALSE)),"",INT(VLOOKUP($AB1516&amp;"-"&amp;$E1516&amp;" "&amp;$F1516,Bonuses!$B$1:$G$1006,4,FALSE)))</f>
        <v/>
      </c>
      <c r="AE151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7" spans="1:31" x14ac:dyDescent="0.25">
      <c r="A1517" s="50">
        <v>6051</v>
      </c>
      <c r="B1517" s="50">
        <f>COUNTIF(Table5[PID],A1517)</f>
        <v>1</v>
      </c>
      <c r="C1517" s="50" t="str">
        <f>IF(COUNTIF(Table3[[#All],[PID]],A1517)&gt;0,"P","B")</f>
        <v>B</v>
      </c>
      <c r="D1517" s="59" t="str">
        <f>IF($C1517="B",INDEX(Batters[[#All],[POS]],MATCH(Table5[[#This Row],[PID]],Batters[[#All],[PID]],0)),INDEX(Table3[[#All],[POS]],MATCH(Table5[[#This Row],[PID]],Table3[[#All],[PID]],0)))</f>
        <v>CF</v>
      </c>
      <c r="E1517" s="52" t="str">
        <f>IF($C1517="B",INDEX(Batters[[#All],[First]],MATCH(Table5[[#This Row],[PID]],Batters[[#All],[PID]],0)),INDEX(Table3[[#All],[First]],MATCH(Table5[[#This Row],[PID]],Table3[[#All],[PID]],0)))</f>
        <v>Neil</v>
      </c>
      <c r="F1517" s="50" t="str">
        <f>IF($C1517="B",INDEX(Batters[[#All],[Last]],MATCH(A1517,Batters[[#All],[PID]],0)),INDEX(Table3[[#All],[Last]],MATCH(A1517,Table3[[#All],[PID]],0)))</f>
        <v>Wright</v>
      </c>
      <c r="G1517" s="56">
        <f>IF($C1517="B",INDEX(Batters[[#All],[Age]],MATCH(Table5[[#This Row],[PID]],Batters[[#All],[PID]],0)),INDEX(Table3[[#All],[Age]],MATCH(Table5[[#This Row],[PID]],Table3[[#All],[PID]],0)))</f>
        <v>21</v>
      </c>
      <c r="H1517" s="52" t="str">
        <f>IF($C1517="B",INDEX(Batters[[#All],[B]],MATCH(Table5[[#This Row],[PID]],Batters[[#All],[PID]],0)),INDEX(Table3[[#All],[B]],MATCH(Table5[[#This Row],[PID]],Table3[[#All],[PID]],0)))</f>
        <v>S</v>
      </c>
      <c r="I1517" s="70" t="str">
        <f>IF($C1517="B",INDEX(Batters[[#All],[T]],MATCH(Table5[[#This Row],[PID]],Batters[[#All],[PID]],0)),INDEX(Table3[[#All],[T]],MATCH(Table5[[#This Row],[PID]],Table3[[#All],[PID]],0)))</f>
        <v>R</v>
      </c>
      <c r="J1517" s="52" t="str">
        <f>IF($C1517="B",INDEX(Batters[[#All],[WE]],MATCH(Table5[[#This Row],[PID]],Batters[[#All],[PID]],0)),INDEX(Table3[[#All],[WE]],MATCH(Table5[[#This Row],[PID]],Table3[[#All],[PID]],0)))</f>
        <v>Low</v>
      </c>
      <c r="K1517" s="52" t="str">
        <f>IF($C1517="B",INDEX(Batters[[#All],[INT]],MATCH(Table5[[#This Row],[PID]],Batters[[#All],[PID]],0)),INDEX(Table3[[#All],[INT]],MATCH(Table5[[#This Row],[PID]],Table3[[#All],[PID]],0)))</f>
        <v>Normal</v>
      </c>
      <c r="L1517" s="60">
        <f>IF($C1517="B",INDEX(Batters[[#All],[CON P]],MATCH(Table5[[#This Row],[PID]],Batters[[#All],[PID]],0)),INDEX(Table3[[#All],[STU P]],MATCH(Table5[[#This Row],[PID]],Table3[[#All],[PID]],0)))</f>
        <v>2</v>
      </c>
      <c r="M1517" s="56">
        <f>IF($C1517="B",INDEX(Batters[[#All],[GAP P]],MATCH(Table5[[#This Row],[PID]],Batters[[#All],[PID]],0)),INDEX(Table3[[#All],[MOV P]],MATCH(Table5[[#This Row],[PID]],Table3[[#All],[PID]],0)))</f>
        <v>4</v>
      </c>
      <c r="N1517" s="56">
        <f>IF($C1517="B",INDEX(Batters[[#All],[POW P]],MATCH(Table5[[#This Row],[PID]],Batters[[#All],[PID]],0)),INDEX(Table3[[#All],[CON P]],MATCH(Table5[[#This Row],[PID]],Table3[[#All],[PID]],0)))</f>
        <v>2</v>
      </c>
      <c r="O1517" s="56">
        <f>IF($C1517="B",INDEX(Batters[[#All],[EYE P]],MATCH(Table5[[#This Row],[PID]],Batters[[#All],[PID]],0)),INDEX(Table3[[#All],[VELO]],MATCH(Table5[[#This Row],[PID]],Table3[[#All],[PID]],0)))</f>
        <v>3</v>
      </c>
      <c r="P1517" s="56">
        <f>IF($C1517="B",INDEX(Batters[[#All],[K P]],MATCH(Table5[[#This Row],[PID]],Batters[[#All],[PID]],0)),INDEX(Table3[[#All],[STM]],MATCH(Table5[[#This Row],[PID]],Table3[[#All],[PID]],0)))</f>
        <v>4</v>
      </c>
      <c r="Q1517" s="61">
        <f>IF($C1517="B",INDEX(Batters[[#All],[Tot]],MATCH(Table5[[#This Row],[PID]],Batters[[#All],[PID]],0)),INDEX(Table3[[#All],[Tot]],MATCH(Table5[[#This Row],[PID]],Table3[[#All],[PID]],0)))</f>
        <v>31.399905268108625</v>
      </c>
      <c r="R1517" s="70">
        <f>IF($C1517="B",INDEX(Batters[[#All],[zScore]],MATCH(Table5[[#This Row],[PID]],Batters[[#All],[PID]],0)),INDEX(Table3[[#All],[zScore]],MATCH(Table5[[#This Row],[PID]],Table3[[#All],[PID]],0)))</f>
        <v>-2.8227780989124138</v>
      </c>
      <c r="S1517" s="79" t="str">
        <f>IF($C1517="B",INDEX(Batters[[#All],[DEM]],MATCH(Table5[[#This Row],[PID]],Batters[[#All],[PID]],0)),INDEX(Table3[[#All],[DEM]],MATCH(Table5[[#This Row],[PID]],Table3[[#All],[PID]],0)))</f>
        <v>$20k</v>
      </c>
      <c r="T1517" s="62">
        <f>IF($C1517="B",INDEX(Batters[[#All],[Rnk]],MATCH(Table5[[#This Row],[PID]],Batters[[#All],[PID]],0)),INDEX(Table3[[#All],[Rnk]],MATCH(Table5[[#This Row],[PID]],Table3[[#All],[PID]],0)))</f>
        <v>733</v>
      </c>
      <c r="U1517" s="68">
        <f>IF($C1517="B",VLOOKUP($A1517,Bat!$A$4:$BA$1621,47,FALSE),VLOOKUP($A1517,Pit!$A$4:$BF$1557,56,FALSE))</f>
        <v>0</v>
      </c>
      <c r="V1517" s="50">
        <f>IF($C1517="B",VLOOKUP($A1517,Bat!$A$4:$BA$1621,48,FALSE),VLOOKUP($A1517,Pit!$A$4:$BF$1557,57,FALSE))</f>
        <v>0</v>
      </c>
      <c r="W1517" s="50">
        <f>Table5[[#This Row],[posRnk]]+Table5[[#This Row],[zRnk]]+IF($W$3&lt;&gt;Table5[[#This Row],[Type]],50,0)</f>
        <v>2294</v>
      </c>
      <c r="X1517" s="51">
        <f>RANK(Table5[[#This Row],[zScore]],Table5[[#All],[zScore]])</f>
        <v>1511</v>
      </c>
      <c r="Y1517" s="50" t="str">
        <f>IFERROR(INDEX(DraftResults[[#All],[OVR]],MATCH(Table5[[#This Row],[PID]],DraftResults[[#All],[Player ID]],0)),"")</f>
        <v/>
      </c>
      <c r="Z151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7" s="50" t="str">
        <f>IFERROR(INDEX(DraftResults[[#All],[Pick in Round]],MATCH(Table5[[#This Row],[PID]],DraftResults[[#All],[Player ID]],0)),"")</f>
        <v/>
      </c>
      <c r="AB1517" s="50" t="str">
        <f>IFERROR(INDEX(DraftResults[[#All],[Team Name]],MATCH(Table5[[#This Row],[PID]],DraftResults[[#All],[Player ID]],0)),"")</f>
        <v/>
      </c>
      <c r="AC1517" s="50" t="str">
        <f>IF(Table5[[#This Row],[Ovr]]="","",IF(Table5[[#This Row],[cmbList]]="","",Table5[[#This Row],[cmbList]]-Table5[[#This Row],[Ovr]]))</f>
        <v/>
      </c>
      <c r="AD1517" s="54" t="str">
        <f>IF(ISERROR(VLOOKUP($AB1517&amp;"-"&amp;$E1517&amp;" "&amp;F1517,Bonuses!$B$1:$G$1006,4,FALSE)),"",INT(VLOOKUP($AB1517&amp;"-"&amp;$E1517&amp;" "&amp;$F1517,Bonuses!$B$1:$G$1006,4,FALSE)))</f>
        <v/>
      </c>
      <c r="AE151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8" spans="1:31" x14ac:dyDescent="0.25">
      <c r="A1518" s="50">
        <v>9875</v>
      </c>
      <c r="B1518" s="50">
        <f>COUNTIF(Table5[PID],A1518)</f>
        <v>1</v>
      </c>
      <c r="C1518" s="50" t="str">
        <f>IF(COUNTIF(Table3[[#All],[PID]],A1518)&gt;0,"P","B")</f>
        <v>B</v>
      </c>
      <c r="D1518" s="59" t="str">
        <f>IF($C1518="B",INDEX(Batters[[#All],[POS]],MATCH(Table5[[#This Row],[PID]],Batters[[#All],[PID]],0)),INDEX(Table3[[#All],[POS]],MATCH(Table5[[#This Row],[PID]],Table3[[#All],[PID]],0)))</f>
        <v>C</v>
      </c>
      <c r="E1518" s="52" t="str">
        <f>IF($C1518="B",INDEX(Batters[[#All],[First]],MATCH(Table5[[#This Row],[PID]],Batters[[#All],[PID]],0)),INDEX(Table3[[#All],[First]],MATCH(Table5[[#This Row],[PID]],Table3[[#All],[PID]],0)))</f>
        <v>Shinobu</v>
      </c>
      <c r="F1518" s="50" t="str">
        <f>IF($C1518="B",INDEX(Batters[[#All],[Last]],MATCH(A1518,Batters[[#All],[PID]],0)),INDEX(Table3[[#All],[Last]],MATCH(A1518,Table3[[#All],[PID]],0)))</f>
        <v>Suzuki</v>
      </c>
      <c r="G1518" s="56">
        <f>IF($C1518="B",INDEX(Batters[[#All],[Age]],MATCH(Table5[[#This Row],[PID]],Batters[[#All],[PID]],0)),INDEX(Table3[[#All],[Age]],MATCH(Table5[[#This Row],[PID]],Table3[[#All],[PID]],0)))</f>
        <v>21</v>
      </c>
      <c r="H1518" s="52" t="str">
        <f>IF($C1518="B",INDEX(Batters[[#All],[B]],MATCH(Table5[[#This Row],[PID]],Batters[[#All],[PID]],0)),INDEX(Table3[[#All],[B]],MATCH(Table5[[#This Row],[PID]],Table3[[#All],[PID]],0)))</f>
        <v>R</v>
      </c>
      <c r="I1518" s="70" t="str">
        <f>IF($C1518="B",INDEX(Batters[[#All],[T]],MATCH(Table5[[#This Row],[PID]],Batters[[#All],[PID]],0)),INDEX(Table3[[#All],[T]],MATCH(Table5[[#This Row],[PID]],Table3[[#All],[PID]],0)))</f>
        <v>R</v>
      </c>
      <c r="J1518" s="52" t="str">
        <f>IF($C1518="B",INDEX(Batters[[#All],[WE]],MATCH(Table5[[#This Row],[PID]],Batters[[#All],[PID]],0)),INDEX(Table3[[#All],[WE]],MATCH(Table5[[#This Row],[PID]],Table3[[#All],[PID]],0)))</f>
        <v>Low</v>
      </c>
      <c r="K1518" s="52" t="str">
        <f>IF($C1518="B",INDEX(Batters[[#All],[INT]],MATCH(Table5[[#This Row],[PID]],Batters[[#All],[PID]],0)),INDEX(Table3[[#All],[INT]],MATCH(Table5[[#This Row],[PID]],Table3[[#All],[PID]],0)))</f>
        <v>Normal</v>
      </c>
      <c r="L1518" s="60">
        <f>IF($C1518="B",INDEX(Batters[[#All],[CON P]],MATCH(Table5[[#This Row],[PID]],Batters[[#All],[PID]],0)),INDEX(Table3[[#All],[STU P]],MATCH(Table5[[#This Row],[PID]],Table3[[#All],[PID]],0)))</f>
        <v>2</v>
      </c>
      <c r="M1518" s="56">
        <f>IF($C1518="B",INDEX(Batters[[#All],[GAP P]],MATCH(Table5[[#This Row],[PID]],Batters[[#All],[PID]],0)),INDEX(Table3[[#All],[MOV P]],MATCH(Table5[[#This Row],[PID]],Table3[[#All],[PID]],0)))</f>
        <v>3</v>
      </c>
      <c r="N1518" s="56">
        <f>IF($C1518="B",INDEX(Batters[[#All],[POW P]],MATCH(Table5[[#This Row],[PID]],Batters[[#All],[PID]],0)),INDEX(Table3[[#All],[CON P]],MATCH(Table5[[#This Row],[PID]],Table3[[#All],[PID]],0)))</f>
        <v>4</v>
      </c>
      <c r="O1518" s="56">
        <f>IF($C1518="B",INDEX(Batters[[#All],[EYE P]],MATCH(Table5[[#This Row],[PID]],Batters[[#All],[PID]],0)),INDEX(Table3[[#All],[VELO]],MATCH(Table5[[#This Row],[PID]],Table3[[#All],[PID]],0)))</f>
        <v>4</v>
      </c>
      <c r="P1518" s="56">
        <f>IF($C1518="B",INDEX(Batters[[#All],[K P]],MATCH(Table5[[#This Row],[PID]],Batters[[#All],[PID]],0)),INDEX(Table3[[#All],[STM]],MATCH(Table5[[#This Row],[PID]],Table3[[#All],[PID]],0)))</f>
        <v>2</v>
      </c>
      <c r="Q1518" s="61">
        <f>IF($C1518="B",INDEX(Batters[[#All],[Tot]],MATCH(Table5[[#This Row],[PID]],Batters[[#All],[PID]],0)),INDEX(Table3[[#All],[Tot]],MATCH(Table5[[#This Row],[PID]],Table3[[#All],[PID]],0)))</f>
        <v>31.301089529183471</v>
      </c>
      <c r="R1518" s="70">
        <f>IF($C1518="B",INDEX(Batters[[#All],[zScore]],MATCH(Table5[[#This Row],[PID]],Batters[[#All],[PID]],0)),INDEX(Table3[[#All],[zScore]],MATCH(Table5[[#This Row],[PID]],Table3[[#All],[PID]],0)))</f>
        <v>-2.8446862161645265</v>
      </c>
      <c r="S1518" s="79" t="str">
        <f>IF($C1518="B",INDEX(Batters[[#All],[DEM]],MATCH(Table5[[#This Row],[PID]],Batters[[#All],[PID]],0)),INDEX(Table3[[#All],[DEM]],MATCH(Table5[[#This Row],[PID]],Table3[[#All],[PID]],0)))</f>
        <v>$20k</v>
      </c>
      <c r="T1518" s="62">
        <f>IF($C1518="B",INDEX(Batters[[#All],[Rnk]],MATCH(Table5[[#This Row],[PID]],Batters[[#All],[PID]],0)),INDEX(Table3[[#All],[Rnk]],MATCH(Table5[[#This Row],[PID]],Table3[[#All],[PID]],0)))</f>
        <v>734</v>
      </c>
      <c r="U1518" s="68">
        <f>IF($C1518="B",VLOOKUP($A1518,Bat!$A$4:$BA$1621,47,FALSE),VLOOKUP($A1518,Pit!$A$4:$BF$1557,56,FALSE))</f>
        <v>0</v>
      </c>
      <c r="V1518" s="50">
        <f>IF($C1518="B",VLOOKUP($A1518,Bat!$A$4:$BA$1621,48,FALSE),VLOOKUP($A1518,Pit!$A$4:$BF$1557,57,FALSE))</f>
        <v>0</v>
      </c>
      <c r="W1518" s="50">
        <f>Table5[[#This Row],[posRnk]]+Table5[[#This Row],[zRnk]]+IF($W$3&lt;&gt;Table5[[#This Row],[Type]],50,0)</f>
        <v>2296</v>
      </c>
      <c r="X1518" s="51">
        <f>RANK(Table5[[#This Row],[zScore]],Table5[[#All],[zScore]])</f>
        <v>1512</v>
      </c>
      <c r="Y1518" s="50" t="str">
        <f>IFERROR(INDEX(DraftResults[[#All],[OVR]],MATCH(Table5[[#This Row],[PID]],DraftResults[[#All],[Player ID]],0)),"")</f>
        <v/>
      </c>
      <c r="Z151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8" s="50" t="str">
        <f>IFERROR(INDEX(DraftResults[[#All],[Pick in Round]],MATCH(Table5[[#This Row],[PID]],DraftResults[[#All],[Player ID]],0)),"")</f>
        <v/>
      </c>
      <c r="AB1518" s="50" t="str">
        <f>IFERROR(INDEX(DraftResults[[#All],[Team Name]],MATCH(Table5[[#This Row],[PID]],DraftResults[[#All],[Player ID]],0)),"")</f>
        <v/>
      </c>
      <c r="AC1518" s="50" t="str">
        <f>IF(Table5[[#This Row],[Ovr]]="","",IF(Table5[[#This Row],[cmbList]]="","",Table5[[#This Row],[cmbList]]-Table5[[#This Row],[Ovr]]))</f>
        <v/>
      </c>
      <c r="AD1518" s="54" t="str">
        <f>IF(ISERROR(VLOOKUP($AB1518&amp;"-"&amp;$E1518&amp;" "&amp;F1518,Bonuses!$B$1:$G$1006,4,FALSE)),"",INT(VLOOKUP($AB1518&amp;"-"&amp;$E1518&amp;" "&amp;$F1518,Bonuses!$B$1:$G$1006,4,FALSE)))</f>
        <v/>
      </c>
      <c r="AE151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19" spans="1:31" x14ac:dyDescent="0.25">
      <c r="A1519" s="50">
        <v>10018</v>
      </c>
      <c r="B1519" s="50">
        <f>COUNTIF(Table5[PID],A1519)</f>
        <v>1</v>
      </c>
      <c r="C1519" s="50" t="str">
        <f>IF(COUNTIF(Table3[[#All],[PID]],A1519)&gt;0,"P","B")</f>
        <v>B</v>
      </c>
      <c r="D1519" s="59" t="str">
        <f>IF($C1519="B",INDEX(Batters[[#All],[POS]],MATCH(Table5[[#This Row],[PID]],Batters[[#All],[PID]],0)),INDEX(Table3[[#All],[POS]],MATCH(Table5[[#This Row],[PID]],Table3[[#All],[PID]],0)))</f>
        <v>C</v>
      </c>
      <c r="E1519" s="52" t="str">
        <f>IF($C1519="B",INDEX(Batters[[#All],[First]],MATCH(Table5[[#This Row],[PID]],Batters[[#All],[PID]],0)),INDEX(Table3[[#All],[First]],MATCH(Table5[[#This Row],[PID]],Table3[[#All],[PID]],0)))</f>
        <v>Matt</v>
      </c>
      <c r="F1519" s="50" t="str">
        <f>IF($C1519="B",INDEX(Batters[[#All],[Last]],MATCH(A1519,Batters[[#All],[PID]],0)),INDEX(Table3[[#All],[Last]],MATCH(A1519,Table3[[#All],[PID]],0)))</f>
        <v>Tufts</v>
      </c>
      <c r="G1519" s="56">
        <f>IF($C1519="B",INDEX(Batters[[#All],[Age]],MATCH(Table5[[#This Row],[PID]],Batters[[#All],[PID]],0)),INDEX(Table3[[#All],[Age]],MATCH(Table5[[#This Row],[PID]],Table3[[#All],[PID]],0)))</f>
        <v>21</v>
      </c>
      <c r="H1519" s="52" t="str">
        <f>IF($C1519="B",INDEX(Batters[[#All],[B]],MATCH(Table5[[#This Row],[PID]],Batters[[#All],[PID]],0)),INDEX(Table3[[#All],[B]],MATCH(Table5[[#This Row],[PID]],Table3[[#All],[PID]],0)))</f>
        <v>R</v>
      </c>
      <c r="I1519" s="70" t="str">
        <f>IF($C1519="B",INDEX(Batters[[#All],[T]],MATCH(Table5[[#This Row],[PID]],Batters[[#All],[PID]],0)),INDEX(Table3[[#All],[T]],MATCH(Table5[[#This Row],[PID]],Table3[[#All],[PID]],0)))</f>
        <v>R</v>
      </c>
      <c r="J1519" s="52" t="str">
        <f>IF($C1519="B",INDEX(Batters[[#All],[WE]],MATCH(Table5[[#This Row],[PID]],Batters[[#All],[PID]],0)),INDEX(Table3[[#All],[WE]],MATCH(Table5[[#This Row],[PID]],Table3[[#All],[PID]],0)))</f>
        <v>High</v>
      </c>
      <c r="K1519" s="52" t="str">
        <f>IF($C1519="B",INDEX(Batters[[#All],[INT]],MATCH(Table5[[#This Row],[PID]],Batters[[#All],[PID]],0)),INDEX(Table3[[#All],[INT]],MATCH(Table5[[#This Row],[PID]],Table3[[#All],[PID]],0)))</f>
        <v>Normal</v>
      </c>
      <c r="L1519" s="60">
        <f>IF($C1519="B",INDEX(Batters[[#All],[CON P]],MATCH(Table5[[#This Row],[PID]],Batters[[#All],[PID]],0)),INDEX(Table3[[#All],[STU P]],MATCH(Table5[[#This Row],[PID]],Table3[[#All],[PID]],0)))</f>
        <v>2</v>
      </c>
      <c r="M1519" s="56">
        <f>IF($C1519="B",INDEX(Batters[[#All],[GAP P]],MATCH(Table5[[#This Row],[PID]],Batters[[#All],[PID]],0)),INDEX(Table3[[#All],[MOV P]],MATCH(Table5[[#This Row],[PID]],Table3[[#All],[PID]],0)))</f>
        <v>3</v>
      </c>
      <c r="N1519" s="56">
        <f>IF($C1519="B",INDEX(Batters[[#All],[POW P]],MATCH(Table5[[#This Row],[PID]],Batters[[#All],[PID]],0)),INDEX(Table3[[#All],[CON P]],MATCH(Table5[[#This Row],[PID]],Table3[[#All],[PID]],0)))</f>
        <v>4</v>
      </c>
      <c r="O1519" s="56">
        <f>IF($C1519="B",INDEX(Batters[[#All],[EYE P]],MATCH(Table5[[#This Row],[PID]],Batters[[#All],[PID]],0)),INDEX(Table3[[#All],[VELO]],MATCH(Table5[[#This Row],[PID]],Table3[[#All],[PID]],0)))</f>
        <v>3</v>
      </c>
      <c r="P1519" s="56">
        <f>IF($C1519="B",INDEX(Batters[[#All],[K P]],MATCH(Table5[[#This Row],[PID]],Batters[[#All],[PID]],0)),INDEX(Table3[[#All],[STM]],MATCH(Table5[[#This Row],[PID]],Table3[[#All],[PID]],0)))</f>
        <v>3</v>
      </c>
      <c r="Q1519" s="61">
        <f>IF($C1519="B",INDEX(Batters[[#All],[Tot]],MATCH(Table5[[#This Row],[PID]],Batters[[#All],[PID]],0)),INDEX(Table3[[#All],[Tot]],MATCH(Table5[[#This Row],[PID]],Table3[[#All],[PID]],0)))</f>
        <v>31.292599890432022</v>
      </c>
      <c r="R1519" s="70">
        <f>IF($C1519="B",INDEX(Batters[[#All],[zScore]],MATCH(Table5[[#This Row],[PID]],Batters[[#All],[PID]],0)),INDEX(Table3[[#All],[zScore]],MATCH(Table5[[#This Row],[PID]],Table3[[#All],[PID]],0)))</f>
        <v>-2.846568426460355</v>
      </c>
      <c r="S1519" s="79" t="str">
        <f>IF($C1519="B",INDEX(Batters[[#All],[DEM]],MATCH(Table5[[#This Row],[PID]],Batters[[#All],[PID]],0)),INDEX(Table3[[#All],[DEM]],MATCH(Table5[[#This Row],[PID]],Table3[[#All],[PID]],0)))</f>
        <v>-</v>
      </c>
      <c r="T1519" s="62">
        <f>IF($C1519="B",INDEX(Batters[[#All],[Rnk]],MATCH(Table5[[#This Row],[PID]],Batters[[#All],[PID]],0)),INDEX(Table3[[#All],[Rnk]],MATCH(Table5[[#This Row],[PID]],Table3[[#All],[PID]],0)))</f>
        <v>735</v>
      </c>
      <c r="U1519" s="68">
        <f>IF($C1519="B",VLOOKUP($A1519,Bat!$A$4:$BA$1621,47,FALSE),VLOOKUP($A1519,Pit!$A$4:$BF$1557,56,FALSE))</f>
        <v>0</v>
      </c>
      <c r="V1519" s="50">
        <f>IF($C1519="B",VLOOKUP($A1519,Bat!$A$4:$BA$1621,48,FALSE),VLOOKUP($A1519,Pit!$A$4:$BF$1557,57,FALSE))</f>
        <v>0</v>
      </c>
      <c r="W1519" s="50">
        <f>Table5[[#This Row],[posRnk]]+Table5[[#This Row],[zRnk]]+IF($W$3&lt;&gt;Table5[[#This Row],[Type]],50,0)</f>
        <v>2298</v>
      </c>
      <c r="X1519" s="51">
        <f>RANK(Table5[[#This Row],[zScore]],Table5[[#All],[zScore]])</f>
        <v>1513</v>
      </c>
      <c r="Y1519" s="50" t="str">
        <f>IFERROR(INDEX(DraftResults[[#All],[OVR]],MATCH(Table5[[#This Row],[PID]],DraftResults[[#All],[Player ID]],0)),"")</f>
        <v/>
      </c>
      <c r="Z151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19" s="50" t="str">
        <f>IFERROR(INDEX(DraftResults[[#All],[Pick in Round]],MATCH(Table5[[#This Row],[PID]],DraftResults[[#All],[Player ID]],0)),"")</f>
        <v/>
      </c>
      <c r="AB1519" s="50" t="str">
        <f>IFERROR(INDEX(DraftResults[[#All],[Team Name]],MATCH(Table5[[#This Row],[PID]],DraftResults[[#All],[Player ID]],0)),"")</f>
        <v/>
      </c>
      <c r="AC1519" s="50" t="str">
        <f>IF(Table5[[#This Row],[Ovr]]="","",IF(Table5[[#This Row],[cmbList]]="","",Table5[[#This Row],[cmbList]]-Table5[[#This Row],[Ovr]]))</f>
        <v/>
      </c>
      <c r="AD1519" s="54" t="str">
        <f>IF(ISERROR(VLOOKUP($AB1519&amp;"-"&amp;$E1519&amp;" "&amp;F1519,Bonuses!$B$1:$G$1006,4,FALSE)),"",INT(VLOOKUP($AB1519&amp;"-"&amp;$E1519&amp;" "&amp;$F1519,Bonuses!$B$1:$G$1006,4,FALSE)))</f>
        <v/>
      </c>
      <c r="AE151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0" spans="1:31" x14ac:dyDescent="0.25">
      <c r="A1520" s="50">
        <v>17974</v>
      </c>
      <c r="B1520" s="50">
        <f>COUNTIF(Table5[PID],A1520)</f>
        <v>1</v>
      </c>
      <c r="C1520" s="50" t="str">
        <f>IF(COUNTIF(Table3[[#All],[PID]],A1520)&gt;0,"P","B")</f>
        <v>B</v>
      </c>
      <c r="D1520" s="59" t="str">
        <f>IF($C1520="B",INDEX(Batters[[#All],[POS]],MATCH(Table5[[#This Row],[PID]],Batters[[#All],[PID]],0)),INDEX(Table3[[#All],[POS]],MATCH(Table5[[#This Row],[PID]],Table3[[#All],[PID]],0)))</f>
        <v>C</v>
      </c>
      <c r="E1520" s="52" t="str">
        <f>IF($C1520="B",INDEX(Batters[[#All],[First]],MATCH(Table5[[#This Row],[PID]],Batters[[#All],[PID]],0)),INDEX(Table3[[#All],[First]],MATCH(Table5[[#This Row],[PID]],Table3[[#All],[PID]],0)))</f>
        <v>Mark</v>
      </c>
      <c r="F1520" s="50" t="str">
        <f>IF($C1520="B",INDEX(Batters[[#All],[Last]],MATCH(A1520,Batters[[#All],[PID]],0)),INDEX(Table3[[#All],[Last]],MATCH(A1520,Table3[[#All],[PID]],0)))</f>
        <v>Shannon</v>
      </c>
      <c r="G1520" s="56">
        <f>IF($C1520="B",INDEX(Batters[[#All],[Age]],MATCH(Table5[[#This Row],[PID]],Batters[[#All],[PID]],0)),INDEX(Table3[[#All],[Age]],MATCH(Table5[[#This Row],[PID]],Table3[[#All],[PID]],0)))</f>
        <v>21</v>
      </c>
      <c r="H1520" s="52" t="str">
        <f>IF($C1520="B",INDEX(Batters[[#All],[B]],MATCH(Table5[[#This Row],[PID]],Batters[[#All],[PID]],0)),INDEX(Table3[[#All],[B]],MATCH(Table5[[#This Row],[PID]],Table3[[#All],[PID]],0)))</f>
        <v>R</v>
      </c>
      <c r="I1520" s="70" t="str">
        <f>IF($C1520="B",INDEX(Batters[[#All],[T]],MATCH(Table5[[#This Row],[PID]],Batters[[#All],[PID]],0)),INDEX(Table3[[#All],[T]],MATCH(Table5[[#This Row],[PID]],Table3[[#All],[PID]],0)))</f>
        <v>R</v>
      </c>
      <c r="J1520" s="52" t="str">
        <f>IF($C1520="B",INDEX(Batters[[#All],[WE]],MATCH(Table5[[#This Row],[PID]],Batters[[#All],[PID]],0)),INDEX(Table3[[#All],[WE]],MATCH(Table5[[#This Row],[PID]],Table3[[#All],[PID]],0)))</f>
        <v>Low</v>
      </c>
      <c r="K1520" s="52" t="str">
        <f>IF($C1520="B",INDEX(Batters[[#All],[INT]],MATCH(Table5[[#This Row],[PID]],Batters[[#All],[PID]],0)),INDEX(Table3[[#All],[INT]],MATCH(Table5[[#This Row],[PID]],Table3[[#All],[PID]],0)))</f>
        <v>Normal</v>
      </c>
      <c r="L1520" s="60">
        <f>IF($C1520="B",INDEX(Batters[[#All],[CON P]],MATCH(Table5[[#This Row],[PID]],Batters[[#All],[PID]],0)),INDEX(Table3[[#All],[STU P]],MATCH(Table5[[#This Row],[PID]],Table3[[#All],[PID]],0)))</f>
        <v>2</v>
      </c>
      <c r="M1520" s="56">
        <f>IF($C1520="B",INDEX(Batters[[#All],[GAP P]],MATCH(Table5[[#This Row],[PID]],Batters[[#All],[PID]],0)),INDEX(Table3[[#All],[MOV P]],MATCH(Table5[[#This Row],[PID]],Table3[[#All],[PID]],0)))</f>
        <v>2</v>
      </c>
      <c r="N1520" s="56">
        <f>IF($C1520="B",INDEX(Batters[[#All],[POW P]],MATCH(Table5[[#This Row],[PID]],Batters[[#All],[PID]],0)),INDEX(Table3[[#All],[CON P]],MATCH(Table5[[#This Row],[PID]],Table3[[#All],[PID]],0)))</f>
        <v>2</v>
      </c>
      <c r="O1520" s="56">
        <f>IF($C1520="B",INDEX(Batters[[#All],[EYE P]],MATCH(Table5[[#This Row],[PID]],Batters[[#All],[PID]],0)),INDEX(Table3[[#All],[VELO]],MATCH(Table5[[#This Row],[PID]],Table3[[#All],[PID]],0)))</f>
        <v>5</v>
      </c>
      <c r="P1520" s="56">
        <f>IF($C1520="B",INDEX(Batters[[#All],[K P]],MATCH(Table5[[#This Row],[PID]],Batters[[#All],[PID]],0)),INDEX(Table3[[#All],[STM]],MATCH(Table5[[#This Row],[PID]],Table3[[#All],[PID]],0)))</f>
        <v>2</v>
      </c>
      <c r="Q1520" s="61">
        <f>IF($C1520="B",INDEX(Batters[[#All],[Tot]],MATCH(Table5[[#This Row],[PID]],Batters[[#All],[PID]],0)),INDEX(Table3[[#All],[Tot]],MATCH(Table5[[#This Row],[PID]],Table3[[#All],[PID]],0)))</f>
        <v>31.118209555859842</v>
      </c>
      <c r="R1520" s="70">
        <f>IF($C1520="B",INDEX(Batters[[#All],[zScore]],MATCH(Table5[[#This Row],[PID]],Batters[[#All],[PID]],0)),INDEX(Table3[[#All],[zScore]],MATCH(Table5[[#This Row],[PID]],Table3[[#All],[PID]],0)))</f>
        <v>-2.8852319424042707</v>
      </c>
      <c r="S1520" s="79" t="str">
        <f>IF($C1520="B",INDEX(Batters[[#All],[DEM]],MATCH(Table5[[#This Row],[PID]],Batters[[#All],[PID]],0)),INDEX(Table3[[#All],[DEM]],MATCH(Table5[[#This Row],[PID]],Table3[[#All],[PID]],0)))</f>
        <v>-</v>
      </c>
      <c r="T1520" s="62">
        <f>IF($C1520="B",INDEX(Batters[[#All],[Rnk]],MATCH(Table5[[#This Row],[PID]],Batters[[#All],[PID]],0)),INDEX(Table3[[#All],[Rnk]],MATCH(Table5[[#This Row],[PID]],Table3[[#All],[PID]],0)))</f>
        <v>736</v>
      </c>
      <c r="U1520" s="68">
        <f>IF($C1520="B",VLOOKUP($A1520,Bat!$A$4:$BA$1621,47,FALSE),VLOOKUP($A1520,Pit!$A$4:$BF$1557,56,FALSE))</f>
        <v>0</v>
      </c>
      <c r="V1520" s="50">
        <f>IF($C1520="B",VLOOKUP($A1520,Bat!$A$4:$BA$1621,48,FALSE),VLOOKUP($A1520,Pit!$A$4:$BF$1557,57,FALSE))</f>
        <v>0</v>
      </c>
      <c r="W1520" s="50">
        <f>Table5[[#This Row],[posRnk]]+Table5[[#This Row],[zRnk]]+IF($W$3&lt;&gt;Table5[[#This Row],[Type]],50,0)</f>
        <v>2300</v>
      </c>
      <c r="X1520" s="51">
        <f>RANK(Table5[[#This Row],[zScore]],Table5[[#All],[zScore]])</f>
        <v>1514</v>
      </c>
      <c r="Y1520" s="50" t="str">
        <f>IFERROR(INDEX(DraftResults[[#All],[OVR]],MATCH(Table5[[#This Row],[PID]],DraftResults[[#All],[Player ID]],0)),"")</f>
        <v/>
      </c>
      <c r="Z152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0" s="50" t="str">
        <f>IFERROR(INDEX(DraftResults[[#All],[Pick in Round]],MATCH(Table5[[#This Row],[PID]],DraftResults[[#All],[Player ID]],0)),"")</f>
        <v/>
      </c>
      <c r="AB1520" s="50" t="str">
        <f>IFERROR(INDEX(DraftResults[[#All],[Team Name]],MATCH(Table5[[#This Row],[PID]],DraftResults[[#All],[Player ID]],0)),"")</f>
        <v/>
      </c>
      <c r="AC1520" s="50" t="str">
        <f>IF(Table5[[#This Row],[Ovr]]="","",IF(Table5[[#This Row],[cmbList]]="","",Table5[[#This Row],[cmbList]]-Table5[[#This Row],[Ovr]]))</f>
        <v/>
      </c>
      <c r="AD1520" s="54" t="str">
        <f>IF(ISERROR(VLOOKUP($AB1520&amp;"-"&amp;$E1520&amp;" "&amp;F1520,Bonuses!$B$1:$G$1006,4,FALSE)),"",INT(VLOOKUP($AB1520&amp;"-"&amp;$E1520&amp;" "&amp;$F1520,Bonuses!$B$1:$G$1006,4,FALSE)))</f>
        <v/>
      </c>
      <c r="AE152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1" spans="1:31" x14ac:dyDescent="0.25">
      <c r="A1521" s="50">
        <v>12279</v>
      </c>
      <c r="B1521" s="50">
        <f>COUNTIF(Table5[PID],A1521)</f>
        <v>1</v>
      </c>
      <c r="C1521" s="50" t="str">
        <f>IF(COUNTIF(Table3[[#All],[PID]],A1521)&gt;0,"P","B")</f>
        <v>B</v>
      </c>
      <c r="D1521" s="59" t="str">
        <f>IF($C1521="B",INDEX(Batters[[#All],[POS]],MATCH(Table5[[#This Row],[PID]],Batters[[#All],[PID]],0)),INDEX(Table3[[#All],[POS]],MATCH(Table5[[#This Row],[PID]],Table3[[#All],[PID]],0)))</f>
        <v>1B</v>
      </c>
      <c r="E1521" s="52" t="str">
        <f>IF($C1521="B",INDEX(Batters[[#All],[First]],MATCH(Table5[[#This Row],[PID]],Batters[[#All],[PID]],0)),INDEX(Table3[[#All],[First]],MATCH(Table5[[#This Row],[PID]],Table3[[#All],[PID]],0)))</f>
        <v>Steve</v>
      </c>
      <c r="F1521" s="50" t="str">
        <f>IF($C1521="B",INDEX(Batters[[#All],[Last]],MATCH(A1521,Batters[[#All],[PID]],0)),INDEX(Table3[[#All],[Last]],MATCH(A1521,Table3[[#All],[PID]],0)))</f>
        <v>Tyler</v>
      </c>
      <c r="G1521" s="56">
        <f>IF($C1521="B",INDEX(Batters[[#All],[Age]],MATCH(Table5[[#This Row],[PID]],Batters[[#All],[PID]],0)),INDEX(Table3[[#All],[Age]],MATCH(Table5[[#This Row],[PID]],Table3[[#All],[PID]],0)))</f>
        <v>21</v>
      </c>
      <c r="H1521" s="52" t="str">
        <f>IF($C1521="B",INDEX(Batters[[#All],[B]],MATCH(Table5[[#This Row],[PID]],Batters[[#All],[PID]],0)),INDEX(Table3[[#All],[B]],MATCH(Table5[[#This Row],[PID]],Table3[[#All],[PID]],0)))</f>
        <v>S</v>
      </c>
      <c r="I1521" s="70" t="str">
        <f>IF($C1521="B",INDEX(Batters[[#All],[T]],MATCH(Table5[[#This Row],[PID]],Batters[[#All],[PID]],0)),INDEX(Table3[[#All],[T]],MATCH(Table5[[#This Row],[PID]],Table3[[#All],[PID]],0)))</f>
        <v>L</v>
      </c>
      <c r="J1521" s="52" t="str">
        <f>IF($C1521="B",INDEX(Batters[[#All],[WE]],MATCH(Table5[[#This Row],[PID]],Batters[[#All],[PID]],0)),INDEX(Table3[[#All],[WE]],MATCH(Table5[[#This Row],[PID]],Table3[[#All],[PID]],0)))</f>
        <v>High</v>
      </c>
      <c r="K1521" s="52" t="str">
        <f>IF($C1521="B",INDEX(Batters[[#All],[INT]],MATCH(Table5[[#This Row],[PID]],Batters[[#All],[PID]],0)),INDEX(Table3[[#All],[INT]],MATCH(Table5[[#This Row],[PID]],Table3[[#All],[PID]],0)))</f>
        <v>Normal</v>
      </c>
      <c r="L1521" s="60">
        <f>IF($C1521="B",INDEX(Batters[[#All],[CON P]],MATCH(Table5[[#This Row],[PID]],Batters[[#All],[PID]],0)),INDEX(Table3[[#All],[STU P]],MATCH(Table5[[#This Row],[PID]],Table3[[#All],[PID]],0)))</f>
        <v>2</v>
      </c>
      <c r="M1521" s="56">
        <f>IF($C1521="B",INDEX(Batters[[#All],[GAP P]],MATCH(Table5[[#This Row],[PID]],Batters[[#All],[PID]],0)),INDEX(Table3[[#All],[MOV P]],MATCH(Table5[[#This Row],[PID]],Table3[[#All],[PID]],0)))</f>
        <v>3</v>
      </c>
      <c r="N1521" s="56">
        <f>IF($C1521="B",INDEX(Batters[[#All],[POW P]],MATCH(Table5[[#This Row],[PID]],Batters[[#All],[PID]],0)),INDEX(Table3[[#All],[CON P]],MATCH(Table5[[#This Row],[PID]],Table3[[#All],[PID]],0)))</f>
        <v>3</v>
      </c>
      <c r="O1521" s="56">
        <f>IF($C1521="B",INDEX(Batters[[#All],[EYE P]],MATCH(Table5[[#This Row],[PID]],Batters[[#All],[PID]],0)),INDEX(Table3[[#All],[VELO]],MATCH(Table5[[#This Row],[PID]],Table3[[#All],[PID]],0)))</f>
        <v>4</v>
      </c>
      <c r="P1521" s="56">
        <f>IF($C1521="B",INDEX(Batters[[#All],[K P]],MATCH(Table5[[#This Row],[PID]],Batters[[#All],[PID]],0)),INDEX(Table3[[#All],[STM]],MATCH(Table5[[#This Row],[PID]],Table3[[#All],[PID]],0)))</f>
        <v>2</v>
      </c>
      <c r="Q1521" s="61">
        <f>IF($C1521="B",INDEX(Batters[[#All],[Tot]],MATCH(Table5[[#This Row],[PID]],Batters[[#All],[PID]],0)),INDEX(Table3[[#All],[Tot]],MATCH(Table5[[#This Row],[PID]],Table3[[#All],[PID]],0)))</f>
        <v>31.112074496493303</v>
      </c>
      <c r="R1521" s="70">
        <f>IF($C1521="B",INDEX(Batters[[#All],[zScore]],MATCH(Table5[[#This Row],[PID]],Batters[[#All],[PID]],0)),INDEX(Table3[[#All],[zScore]],MATCH(Table5[[#This Row],[PID]],Table3[[#All],[PID]],0)))</f>
        <v>-2.886592126534985</v>
      </c>
      <c r="S1521" s="79" t="str">
        <f>IF($C1521="B",INDEX(Batters[[#All],[DEM]],MATCH(Table5[[#This Row],[PID]],Batters[[#All],[PID]],0)),INDEX(Table3[[#All],[DEM]],MATCH(Table5[[#This Row],[PID]],Table3[[#All],[PID]],0)))</f>
        <v>-</v>
      </c>
      <c r="T1521" s="62">
        <f>IF($C1521="B",INDEX(Batters[[#All],[Rnk]],MATCH(Table5[[#This Row],[PID]],Batters[[#All],[PID]],0)),INDEX(Table3[[#All],[Rnk]],MATCH(Table5[[#This Row],[PID]],Table3[[#All],[PID]],0)))</f>
        <v>737</v>
      </c>
      <c r="U1521" s="68">
        <f>IF($C1521="B",VLOOKUP($A1521,Bat!$A$4:$BA$1621,47,FALSE),VLOOKUP($A1521,Pit!$A$4:$BF$1557,56,FALSE))</f>
        <v>0</v>
      </c>
      <c r="V1521" s="50">
        <f>IF($C1521="B",VLOOKUP($A1521,Bat!$A$4:$BA$1621,48,FALSE),VLOOKUP($A1521,Pit!$A$4:$BF$1557,57,FALSE))</f>
        <v>0</v>
      </c>
      <c r="W1521" s="50">
        <f>Table5[[#This Row],[posRnk]]+Table5[[#This Row],[zRnk]]+IF($W$3&lt;&gt;Table5[[#This Row],[Type]],50,0)</f>
        <v>2302</v>
      </c>
      <c r="X1521" s="51">
        <f>RANK(Table5[[#This Row],[zScore]],Table5[[#All],[zScore]])</f>
        <v>1515</v>
      </c>
      <c r="Y1521" s="50" t="str">
        <f>IFERROR(INDEX(DraftResults[[#All],[OVR]],MATCH(Table5[[#This Row],[PID]],DraftResults[[#All],[Player ID]],0)),"")</f>
        <v/>
      </c>
      <c r="Z152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1" s="50" t="str">
        <f>IFERROR(INDEX(DraftResults[[#All],[Pick in Round]],MATCH(Table5[[#This Row],[PID]],DraftResults[[#All],[Player ID]],0)),"")</f>
        <v/>
      </c>
      <c r="AB1521" s="50" t="str">
        <f>IFERROR(INDEX(DraftResults[[#All],[Team Name]],MATCH(Table5[[#This Row],[PID]],DraftResults[[#All],[Player ID]],0)),"")</f>
        <v/>
      </c>
      <c r="AC1521" s="50" t="str">
        <f>IF(Table5[[#This Row],[Ovr]]="","",IF(Table5[[#This Row],[cmbList]]="","",Table5[[#This Row],[cmbList]]-Table5[[#This Row],[Ovr]]))</f>
        <v/>
      </c>
      <c r="AD1521" s="54" t="str">
        <f>IF(ISERROR(VLOOKUP($AB1521&amp;"-"&amp;$E1521&amp;" "&amp;F1521,Bonuses!$B$1:$G$1006,4,FALSE)),"",INT(VLOOKUP($AB1521&amp;"-"&amp;$E1521&amp;" "&amp;$F1521,Bonuses!$B$1:$G$1006,4,FALSE)))</f>
        <v/>
      </c>
      <c r="AE152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2" spans="1:31" x14ac:dyDescent="0.25">
      <c r="A1522" s="50">
        <v>20294</v>
      </c>
      <c r="B1522" s="50">
        <f>COUNTIF(Table5[PID],A1522)</f>
        <v>1</v>
      </c>
      <c r="C1522" s="50" t="str">
        <f>IF(COUNTIF(Table3[[#All],[PID]],A1522)&gt;0,"P","B")</f>
        <v>B</v>
      </c>
      <c r="D1522" s="59" t="str">
        <f>IF($C1522="B",INDEX(Batters[[#All],[POS]],MATCH(Table5[[#This Row],[PID]],Batters[[#All],[PID]],0)),INDEX(Table3[[#All],[POS]],MATCH(Table5[[#This Row],[PID]],Table3[[#All],[PID]],0)))</f>
        <v>1B</v>
      </c>
      <c r="E1522" s="52" t="str">
        <f>IF($C1522="B",INDEX(Batters[[#All],[First]],MATCH(Table5[[#This Row],[PID]],Batters[[#All],[PID]],0)),INDEX(Table3[[#All],[First]],MATCH(Table5[[#This Row],[PID]],Table3[[#All],[PID]],0)))</f>
        <v>Xiao-wei</v>
      </c>
      <c r="F1522" s="50" t="str">
        <f>IF($C1522="B",INDEX(Batters[[#All],[Last]],MATCH(A1522,Batters[[#All],[PID]],0)),INDEX(Table3[[#All],[Last]],MATCH(A1522,Table3[[#All],[PID]],0)))</f>
        <v>Zi</v>
      </c>
      <c r="G1522" s="56">
        <f>IF($C1522="B",INDEX(Batters[[#All],[Age]],MATCH(Table5[[#This Row],[PID]],Batters[[#All],[PID]],0)),INDEX(Table3[[#All],[Age]],MATCH(Table5[[#This Row],[PID]],Table3[[#All],[PID]],0)))</f>
        <v>22</v>
      </c>
      <c r="H1522" s="52" t="str">
        <f>IF($C1522="B",INDEX(Batters[[#All],[B]],MATCH(Table5[[#This Row],[PID]],Batters[[#All],[PID]],0)),INDEX(Table3[[#All],[B]],MATCH(Table5[[#This Row],[PID]],Table3[[#All],[PID]],0)))</f>
        <v>R</v>
      </c>
      <c r="I1522" s="70" t="str">
        <f>IF($C1522="B",INDEX(Batters[[#All],[T]],MATCH(Table5[[#This Row],[PID]],Batters[[#All],[PID]],0)),INDEX(Table3[[#All],[T]],MATCH(Table5[[#This Row],[PID]],Table3[[#All],[PID]],0)))</f>
        <v>R</v>
      </c>
      <c r="J1522" s="52" t="str">
        <f>IF($C1522="B",INDEX(Batters[[#All],[WE]],MATCH(Table5[[#This Row],[PID]],Batters[[#All],[PID]],0)),INDEX(Table3[[#All],[WE]],MATCH(Table5[[#This Row],[PID]],Table3[[#All],[PID]],0)))</f>
        <v>Normal</v>
      </c>
      <c r="K1522" s="52" t="str">
        <f>IF($C1522="B",INDEX(Batters[[#All],[INT]],MATCH(Table5[[#This Row],[PID]],Batters[[#All],[PID]],0)),INDEX(Table3[[#All],[INT]],MATCH(Table5[[#This Row],[PID]],Table3[[#All],[PID]],0)))</f>
        <v>Normal</v>
      </c>
      <c r="L1522" s="60">
        <f>IF($C1522="B",INDEX(Batters[[#All],[CON P]],MATCH(Table5[[#This Row],[PID]],Batters[[#All],[PID]],0)),INDEX(Table3[[#All],[STU P]],MATCH(Table5[[#This Row],[PID]],Table3[[#All],[PID]],0)))</f>
        <v>3</v>
      </c>
      <c r="M1522" s="56">
        <f>IF($C1522="B",INDEX(Batters[[#All],[GAP P]],MATCH(Table5[[#This Row],[PID]],Batters[[#All],[PID]],0)),INDEX(Table3[[#All],[MOV P]],MATCH(Table5[[#This Row],[PID]],Table3[[#All],[PID]],0)))</f>
        <v>1</v>
      </c>
      <c r="N1522" s="56">
        <f>IF($C1522="B",INDEX(Batters[[#All],[POW P]],MATCH(Table5[[#This Row],[PID]],Batters[[#All],[PID]],0)),INDEX(Table3[[#All],[CON P]],MATCH(Table5[[#This Row],[PID]],Table3[[#All],[PID]],0)))</f>
        <v>2</v>
      </c>
      <c r="O1522" s="56">
        <f>IF($C1522="B",INDEX(Batters[[#All],[EYE P]],MATCH(Table5[[#This Row],[PID]],Batters[[#All],[PID]],0)),INDEX(Table3[[#All],[VELO]],MATCH(Table5[[#This Row],[PID]],Table3[[#All],[PID]],0)))</f>
        <v>2</v>
      </c>
      <c r="P1522" s="56">
        <f>IF($C1522="B",INDEX(Batters[[#All],[K P]],MATCH(Table5[[#This Row],[PID]],Batters[[#All],[PID]],0)),INDEX(Table3[[#All],[STM]],MATCH(Table5[[#This Row],[PID]],Table3[[#All],[PID]],0)))</f>
        <v>4</v>
      </c>
      <c r="Q1522" s="61">
        <f>IF($C1522="B",INDEX(Batters[[#All],[Tot]],MATCH(Table5[[#This Row],[PID]],Batters[[#All],[PID]],0)),INDEX(Table3[[#All],[Tot]],MATCH(Table5[[#This Row],[PID]],Table3[[#All],[PID]],0)))</f>
        <v>31.04693408115147</v>
      </c>
      <c r="R1522" s="70">
        <f>IF($C1522="B",INDEX(Batters[[#All],[zScore]],MATCH(Table5[[#This Row],[PID]],Batters[[#All],[PID]],0)),INDEX(Table3[[#All],[zScore]],MATCH(Table5[[#This Row],[PID]],Table3[[#All],[PID]],0)))</f>
        <v>-2.9010341969246136</v>
      </c>
      <c r="S1522" s="79" t="str">
        <f>IF($C1522="B",INDEX(Batters[[#All],[DEM]],MATCH(Table5[[#This Row],[PID]],Batters[[#All],[PID]],0)),INDEX(Table3[[#All],[DEM]],MATCH(Table5[[#This Row],[PID]],Table3[[#All],[PID]],0)))</f>
        <v>-</v>
      </c>
      <c r="T1522" s="62">
        <f>IF($C1522="B",INDEX(Batters[[#All],[Rnk]],MATCH(Table5[[#This Row],[PID]],Batters[[#All],[PID]],0)),INDEX(Table3[[#All],[Rnk]],MATCH(Table5[[#This Row],[PID]],Table3[[#All],[PID]],0)))</f>
        <v>738</v>
      </c>
      <c r="U1522" s="68">
        <f>IF($C1522="B",VLOOKUP($A1522,Bat!$A$4:$BA$1621,47,FALSE),VLOOKUP($A1522,Pit!$A$4:$BF$1557,56,FALSE))</f>
        <v>0</v>
      </c>
      <c r="V1522" s="50">
        <f>IF($C1522="B",VLOOKUP($A1522,Bat!$A$4:$BA$1621,48,FALSE),VLOOKUP($A1522,Pit!$A$4:$BF$1557,57,FALSE))</f>
        <v>0</v>
      </c>
      <c r="W1522" s="50">
        <f>Table5[[#This Row],[posRnk]]+Table5[[#This Row],[zRnk]]+IF($W$3&lt;&gt;Table5[[#This Row],[Type]],50,0)</f>
        <v>2304</v>
      </c>
      <c r="X1522" s="51">
        <f>RANK(Table5[[#This Row],[zScore]],Table5[[#All],[zScore]])</f>
        <v>1516</v>
      </c>
      <c r="Y1522" s="50" t="str">
        <f>IFERROR(INDEX(DraftResults[[#All],[OVR]],MATCH(Table5[[#This Row],[PID]],DraftResults[[#All],[Player ID]],0)),"")</f>
        <v/>
      </c>
      <c r="Z152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2" s="50" t="str">
        <f>IFERROR(INDEX(DraftResults[[#All],[Pick in Round]],MATCH(Table5[[#This Row],[PID]],DraftResults[[#All],[Player ID]],0)),"")</f>
        <v/>
      </c>
      <c r="AB1522" s="50" t="str">
        <f>IFERROR(INDEX(DraftResults[[#All],[Team Name]],MATCH(Table5[[#This Row],[PID]],DraftResults[[#All],[Player ID]],0)),"")</f>
        <v/>
      </c>
      <c r="AC1522" s="50" t="str">
        <f>IF(Table5[[#This Row],[Ovr]]="","",IF(Table5[[#This Row],[cmbList]]="","",Table5[[#This Row],[cmbList]]-Table5[[#This Row],[Ovr]]))</f>
        <v/>
      </c>
      <c r="AD1522" s="54" t="str">
        <f>IF(ISERROR(VLOOKUP($AB1522&amp;"-"&amp;$E1522&amp;" "&amp;F1522,Bonuses!$B$1:$G$1006,4,FALSE)),"",INT(VLOOKUP($AB1522&amp;"-"&amp;$E1522&amp;" "&amp;$F1522,Bonuses!$B$1:$G$1006,4,FALSE)))</f>
        <v/>
      </c>
      <c r="AE152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3" spans="1:31" x14ac:dyDescent="0.25">
      <c r="A1523" s="50">
        <v>16930</v>
      </c>
      <c r="B1523" s="50">
        <f>COUNTIF(Table5[PID],A1523)</f>
        <v>1</v>
      </c>
      <c r="C1523" s="50" t="str">
        <f>IF(COUNTIF(Table3[[#All],[PID]],A1523)&gt;0,"P","B")</f>
        <v>B</v>
      </c>
      <c r="D1523" s="59" t="str">
        <f>IF($C1523="B",INDEX(Batters[[#All],[POS]],MATCH(Table5[[#This Row],[PID]],Batters[[#All],[PID]],0)),INDEX(Table3[[#All],[POS]],MATCH(Table5[[#This Row],[PID]],Table3[[#All],[PID]],0)))</f>
        <v>2B</v>
      </c>
      <c r="E1523" s="52" t="str">
        <f>IF($C1523="B",INDEX(Batters[[#All],[First]],MATCH(Table5[[#This Row],[PID]],Batters[[#All],[PID]],0)),INDEX(Table3[[#All],[First]],MATCH(Table5[[#This Row],[PID]],Table3[[#All],[PID]],0)))</f>
        <v>Jack</v>
      </c>
      <c r="F1523" s="50" t="str">
        <f>IF($C1523="B",INDEX(Batters[[#All],[Last]],MATCH(A1523,Batters[[#All],[PID]],0)),INDEX(Table3[[#All],[Last]],MATCH(A1523,Table3[[#All],[PID]],0)))</f>
        <v>Anderson</v>
      </c>
      <c r="G1523" s="56">
        <f>IF($C1523="B",INDEX(Batters[[#All],[Age]],MATCH(Table5[[#This Row],[PID]],Batters[[#All],[PID]],0)),INDEX(Table3[[#All],[Age]],MATCH(Table5[[#This Row],[PID]],Table3[[#All],[PID]],0)))</f>
        <v>21</v>
      </c>
      <c r="H1523" s="52" t="str">
        <f>IF($C1523="B",INDEX(Batters[[#All],[B]],MATCH(Table5[[#This Row],[PID]],Batters[[#All],[PID]],0)),INDEX(Table3[[#All],[B]],MATCH(Table5[[#This Row],[PID]],Table3[[#All],[PID]],0)))</f>
        <v>R</v>
      </c>
      <c r="I1523" s="70" t="str">
        <f>IF($C1523="B",INDEX(Batters[[#All],[T]],MATCH(Table5[[#This Row],[PID]],Batters[[#All],[PID]],0)),INDEX(Table3[[#All],[T]],MATCH(Table5[[#This Row],[PID]],Table3[[#All],[PID]],0)))</f>
        <v>R</v>
      </c>
      <c r="J1523" s="52" t="str">
        <f>IF($C1523="B",INDEX(Batters[[#All],[WE]],MATCH(Table5[[#This Row],[PID]],Batters[[#All],[PID]],0)),INDEX(Table3[[#All],[WE]],MATCH(Table5[[#This Row],[PID]],Table3[[#All],[PID]],0)))</f>
        <v>High</v>
      </c>
      <c r="K1523" s="52" t="str">
        <f>IF($C1523="B",INDEX(Batters[[#All],[INT]],MATCH(Table5[[#This Row],[PID]],Batters[[#All],[PID]],0)),INDEX(Table3[[#All],[INT]],MATCH(Table5[[#This Row],[PID]],Table3[[#All],[PID]],0)))</f>
        <v>Normal</v>
      </c>
      <c r="L1523" s="60">
        <f>IF($C1523="B",INDEX(Batters[[#All],[CON P]],MATCH(Table5[[#This Row],[PID]],Batters[[#All],[PID]],0)),INDEX(Table3[[#All],[STU P]],MATCH(Table5[[#This Row],[PID]],Table3[[#All],[PID]],0)))</f>
        <v>2</v>
      </c>
      <c r="M1523" s="56">
        <f>IF($C1523="B",INDEX(Batters[[#All],[GAP P]],MATCH(Table5[[#This Row],[PID]],Batters[[#All],[PID]],0)),INDEX(Table3[[#All],[MOV P]],MATCH(Table5[[#This Row],[PID]],Table3[[#All],[PID]],0)))</f>
        <v>2</v>
      </c>
      <c r="N1523" s="56">
        <f>IF($C1523="B",INDEX(Batters[[#All],[POW P]],MATCH(Table5[[#This Row],[PID]],Batters[[#All],[PID]],0)),INDEX(Table3[[#All],[CON P]],MATCH(Table5[[#This Row],[PID]],Table3[[#All],[PID]],0)))</f>
        <v>3</v>
      </c>
      <c r="O1523" s="56">
        <f>IF($C1523="B",INDEX(Batters[[#All],[EYE P]],MATCH(Table5[[#This Row],[PID]],Batters[[#All],[PID]],0)),INDEX(Table3[[#All],[VELO]],MATCH(Table5[[#This Row],[PID]],Table3[[#All],[PID]],0)))</f>
        <v>4</v>
      </c>
      <c r="P1523" s="56">
        <f>IF($C1523="B",INDEX(Batters[[#All],[K P]],MATCH(Table5[[#This Row],[PID]],Batters[[#All],[PID]],0)),INDEX(Table3[[#All],[STM]],MATCH(Table5[[#This Row],[PID]],Table3[[#All],[PID]],0)))</f>
        <v>2</v>
      </c>
      <c r="Q1523" s="61">
        <f>IF($C1523="B",INDEX(Batters[[#All],[Tot]],MATCH(Table5[[#This Row],[PID]],Batters[[#All],[PID]],0)),INDEX(Table3[[#All],[Tot]],MATCH(Table5[[#This Row],[PID]],Table3[[#All],[PID]],0)))</f>
        <v>30.955099550698357</v>
      </c>
      <c r="R1523" s="70">
        <f>IF($C1523="B",INDEX(Batters[[#All],[zScore]],MATCH(Table5[[#This Row],[PID]],Batters[[#All],[PID]],0)),INDEX(Table3[[#All],[zScore]],MATCH(Table5[[#This Row],[PID]],Table3[[#All],[PID]],0)))</f>
        <v>-2.9213945330698849</v>
      </c>
      <c r="S1523" s="79" t="str">
        <f>IF($C1523="B",INDEX(Batters[[#All],[DEM]],MATCH(Table5[[#This Row],[PID]],Batters[[#All],[PID]],0)),INDEX(Table3[[#All],[DEM]],MATCH(Table5[[#This Row],[PID]],Table3[[#All],[PID]],0)))</f>
        <v>-</v>
      </c>
      <c r="T1523" s="62">
        <f>IF($C1523="B",INDEX(Batters[[#All],[Rnk]],MATCH(Table5[[#This Row],[PID]],Batters[[#All],[PID]],0)),INDEX(Table3[[#All],[Rnk]],MATCH(Table5[[#This Row],[PID]],Table3[[#All],[PID]],0)))</f>
        <v>739</v>
      </c>
      <c r="U1523" s="68">
        <f>IF($C1523="B",VLOOKUP($A1523,Bat!$A$4:$BA$1621,47,FALSE),VLOOKUP($A1523,Pit!$A$4:$BF$1557,56,FALSE))</f>
        <v>0</v>
      </c>
      <c r="V1523" s="50">
        <f>IF($C1523="B",VLOOKUP($A1523,Bat!$A$4:$BA$1621,48,FALSE),VLOOKUP($A1523,Pit!$A$4:$BF$1557,57,FALSE))</f>
        <v>0</v>
      </c>
      <c r="W1523" s="50">
        <f>Table5[[#This Row],[posRnk]]+Table5[[#This Row],[zRnk]]+IF($W$3&lt;&gt;Table5[[#This Row],[Type]],50,0)</f>
        <v>2306</v>
      </c>
      <c r="X1523" s="51">
        <f>RANK(Table5[[#This Row],[zScore]],Table5[[#All],[zScore]])</f>
        <v>1517</v>
      </c>
      <c r="Y1523" s="50" t="str">
        <f>IFERROR(INDEX(DraftResults[[#All],[OVR]],MATCH(Table5[[#This Row],[PID]],DraftResults[[#All],[Player ID]],0)),"")</f>
        <v/>
      </c>
      <c r="Z152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3" s="50" t="str">
        <f>IFERROR(INDEX(DraftResults[[#All],[Pick in Round]],MATCH(Table5[[#This Row],[PID]],DraftResults[[#All],[Player ID]],0)),"")</f>
        <v/>
      </c>
      <c r="AB1523" s="50" t="str">
        <f>IFERROR(INDEX(DraftResults[[#All],[Team Name]],MATCH(Table5[[#This Row],[PID]],DraftResults[[#All],[Player ID]],0)),"")</f>
        <v/>
      </c>
      <c r="AC1523" s="50" t="str">
        <f>IF(Table5[[#This Row],[Ovr]]="","",IF(Table5[[#This Row],[cmbList]]="","",Table5[[#This Row],[cmbList]]-Table5[[#This Row],[Ovr]]))</f>
        <v/>
      </c>
      <c r="AD1523" s="54" t="str">
        <f>IF(ISERROR(VLOOKUP($AB1523&amp;"-"&amp;$E1523&amp;" "&amp;F1523,Bonuses!$B$1:$G$1006,4,FALSE)),"",INT(VLOOKUP($AB1523&amp;"-"&amp;$E1523&amp;" "&amp;$F1523,Bonuses!$B$1:$G$1006,4,FALSE)))</f>
        <v/>
      </c>
      <c r="AE152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4" spans="1:31" x14ac:dyDescent="0.25">
      <c r="A1524" s="50">
        <v>20505</v>
      </c>
      <c r="B1524" s="50">
        <f>COUNTIF(Table5[PID],A1524)</f>
        <v>1</v>
      </c>
      <c r="C1524" s="50" t="str">
        <f>IF(COUNTIF(Table3[[#All],[PID]],A1524)&gt;0,"P","B")</f>
        <v>B</v>
      </c>
      <c r="D1524" s="59" t="str">
        <f>IF($C1524="B",INDEX(Batters[[#All],[POS]],MATCH(Table5[[#This Row],[PID]],Batters[[#All],[PID]],0)),INDEX(Table3[[#All],[POS]],MATCH(Table5[[#This Row],[PID]],Table3[[#All],[PID]],0)))</f>
        <v>1B</v>
      </c>
      <c r="E1524" s="52" t="str">
        <f>IF($C1524="B",INDEX(Batters[[#All],[First]],MATCH(Table5[[#This Row],[PID]],Batters[[#All],[PID]],0)),INDEX(Table3[[#All],[First]],MATCH(Table5[[#This Row],[PID]],Table3[[#All],[PID]],0)))</f>
        <v>Nestor</v>
      </c>
      <c r="F1524" s="50" t="str">
        <f>IF($C1524="B",INDEX(Batters[[#All],[Last]],MATCH(A1524,Batters[[#All],[PID]],0)),INDEX(Table3[[#All],[Last]],MATCH(A1524,Table3[[#All],[PID]],0)))</f>
        <v>Nuñez</v>
      </c>
      <c r="G1524" s="56">
        <f>IF($C1524="B",INDEX(Batters[[#All],[Age]],MATCH(Table5[[#This Row],[PID]],Batters[[#All],[PID]],0)),INDEX(Table3[[#All],[Age]],MATCH(Table5[[#This Row],[PID]],Table3[[#All],[PID]],0)))</f>
        <v>18</v>
      </c>
      <c r="H1524" s="52" t="str">
        <f>IF($C1524="B",INDEX(Batters[[#All],[B]],MATCH(Table5[[#This Row],[PID]],Batters[[#All],[PID]],0)),INDEX(Table3[[#All],[B]],MATCH(Table5[[#This Row],[PID]],Table3[[#All],[PID]],0)))</f>
        <v>R</v>
      </c>
      <c r="I1524" s="70" t="str">
        <f>IF($C1524="B",INDEX(Batters[[#All],[T]],MATCH(Table5[[#This Row],[PID]],Batters[[#All],[PID]],0)),INDEX(Table3[[#All],[T]],MATCH(Table5[[#This Row],[PID]],Table3[[#All],[PID]],0)))</f>
        <v>R</v>
      </c>
      <c r="J1524" s="52" t="str">
        <f>IF($C1524="B",INDEX(Batters[[#All],[WE]],MATCH(Table5[[#This Row],[PID]],Batters[[#All],[PID]],0)),INDEX(Table3[[#All],[WE]],MATCH(Table5[[#This Row],[PID]],Table3[[#All],[PID]],0)))</f>
        <v>Low</v>
      </c>
      <c r="K1524" s="52" t="str">
        <f>IF($C1524="B",INDEX(Batters[[#All],[INT]],MATCH(Table5[[#This Row],[PID]],Batters[[#All],[PID]],0)),INDEX(Table3[[#All],[INT]],MATCH(Table5[[#This Row],[PID]],Table3[[#All],[PID]],0)))</f>
        <v>Normal</v>
      </c>
      <c r="L1524" s="60">
        <f>IF($C1524="B",INDEX(Batters[[#All],[CON P]],MATCH(Table5[[#This Row],[PID]],Batters[[#All],[PID]],0)),INDEX(Table3[[#All],[STU P]],MATCH(Table5[[#This Row],[PID]],Table3[[#All],[PID]],0)))</f>
        <v>2</v>
      </c>
      <c r="M1524" s="56">
        <f>IF($C1524="B",INDEX(Batters[[#All],[GAP P]],MATCH(Table5[[#This Row],[PID]],Batters[[#All],[PID]],0)),INDEX(Table3[[#All],[MOV P]],MATCH(Table5[[#This Row],[PID]],Table3[[#All],[PID]],0)))</f>
        <v>2</v>
      </c>
      <c r="N1524" s="56">
        <f>IF($C1524="B",INDEX(Batters[[#All],[POW P]],MATCH(Table5[[#This Row],[PID]],Batters[[#All],[PID]],0)),INDEX(Table3[[#All],[CON P]],MATCH(Table5[[#This Row],[PID]],Table3[[#All],[PID]],0)))</f>
        <v>2</v>
      </c>
      <c r="O1524" s="56">
        <f>IF($C1524="B",INDEX(Batters[[#All],[EYE P]],MATCH(Table5[[#This Row],[PID]],Batters[[#All],[PID]],0)),INDEX(Table3[[#All],[VELO]],MATCH(Table5[[#This Row],[PID]],Table3[[#All],[PID]],0)))</f>
        <v>1</v>
      </c>
      <c r="P1524" s="56">
        <f>IF($C1524="B",INDEX(Batters[[#All],[K P]],MATCH(Table5[[#This Row],[PID]],Batters[[#All],[PID]],0)),INDEX(Table3[[#All],[STM]],MATCH(Table5[[#This Row],[PID]],Table3[[#All],[PID]],0)))</f>
        <v>3</v>
      </c>
      <c r="Q1524" s="61">
        <f>IF($C1524="B",INDEX(Batters[[#All],[Tot]],MATCH(Table5[[#This Row],[PID]],Batters[[#All],[PID]],0)),INDEX(Table3[[#All],[Tot]],MATCH(Table5[[#This Row],[PID]],Table3[[#All],[PID]],0)))</f>
        <v>30.928270290242125</v>
      </c>
      <c r="R1524" s="70">
        <f>IF($C1524="B",INDEX(Batters[[#All],[zScore]],MATCH(Table5[[#This Row],[PID]],Batters[[#All],[PID]],0)),INDEX(Table3[[#All],[zScore]],MATCH(Table5[[#This Row],[PID]],Table3[[#All],[PID]],0)))</f>
        <v>-2.9273427614620018</v>
      </c>
      <c r="S1524" s="79" t="str">
        <f>IF($C1524="B",INDEX(Batters[[#All],[DEM]],MATCH(Table5[[#This Row],[PID]],Batters[[#All],[PID]],0)),INDEX(Table3[[#All],[DEM]],MATCH(Table5[[#This Row],[PID]],Table3[[#All],[PID]],0)))</f>
        <v>$75k</v>
      </c>
      <c r="T1524" s="62">
        <f>IF($C1524="B",INDEX(Batters[[#All],[Rnk]],MATCH(Table5[[#This Row],[PID]],Batters[[#All],[PID]],0)),INDEX(Table3[[#All],[Rnk]],MATCH(Table5[[#This Row],[PID]],Table3[[#All],[PID]],0)))</f>
        <v>740</v>
      </c>
      <c r="U1524" s="68">
        <f>IF($C1524="B",VLOOKUP($A1524,Bat!$A$4:$BA$1621,47,FALSE),VLOOKUP($A1524,Pit!$A$4:$BF$1557,56,FALSE))</f>
        <v>0</v>
      </c>
      <c r="V1524" s="50">
        <f>IF($C1524="B",VLOOKUP($A1524,Bat!$A$4:$BA$1621,48,FALSE),VLOOKUP($A1524,Pit!$A$4:$BF$1557,57,FALSE))</f>
        <v>0</v>
      </c>
      <c r="W1524" s="50">
        <f>Table5[[#This Row],[posRnk]]+Table5[[#This Row],[zRnk]]+IF($W$3&lt;&gt;Table5[[#This Row],[Type]],50,0)</f>
        <v>2308</v>
      </c>
      <c r="X1524" s="51">
        <f>RANK(Table5[[#This Row],[zScore]],Table5[[#All],[zScore]])</f>
        <v>1518</v>
      </c>
      <c r="Y1524" s="50" t="str">
        <f>IFERROR(INDEX(DraftResults[[#All],[OVR]],MATCH(Table5[[#This Row],[PID]],DraftResults[[#All],[Player ID]],0)),"")</f>
        <v/>
      </c>
      <c r="Z152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4" s="50" t="str">
        <f>IFERROR(INDEX(DraftResults[[#All],[Pick in Round]],MATCH(Table5[[#This Row],[PID]],DraftResults[[#All],[Player ID]],0)),"")</f>
        <v/>
      </c>
      <c r="AB1524" s="50" t="str">
        <f>IFERROR(INDEX(DraftResults[[#All],[Team Name]],MATCH(Table5[[#This Row],[PID]],DraftResults[[#All],[Player ID]],0)),"")</f>
        <v/>
      </c>
      <c r="AC1524" s="50" t="str">
        <f>IF(Table5[[#This Row],[Ovr]]="","",IF(Table5[[#This Row],[cmbList]]="","",Table5[[#This Row],[cmbList]]-Table5[[#This Row],[Ovr]]))</f>
        <v/>
      </c>
      <c r="AD1524" s="54" t="str">
        <f>IF(ISERROR(VLOOKUP($AB1524&amp;"-"&amp;$E1524&amp;" "&amp;F1524,Bonuses!$B$1:$G$1006,4,FALSE)),"",INT(VLOOKUP($AB1524&amp;"-"&amp;$E1524&amp;" "&amp;$F1524,Bonuses!$B$1:$G$1006,4,FALSE)))</f>
        <v/>
      </c>
      <c r="AE152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5" spans="1:31" x14ac:dyDescent="0.25">
      <c r="A1525" s="50">
        <v>11657</v>
      </c>
      <c r="B1525" s="50">
        <f>COUNTIF(Table5[PID],A1525)</f>
        <v>1</v>
      </c>
      <c r="C1525" s="50" t="str">
        <f>IF(COUNTIF(Table3[[#All],[PID]],A1525)&gt;0,"P","B")</f>
        <v>B</v>
      </c>
      <c r="D1525" s="59" t="str">
        <f>IF($C1525="B",INDEX(Batters[[#All],[POS]],MATCH(Table5[[#This Row],[PID]],Batters[[#All],[PID]],0)),INDEX(Table3[[#All],[POS]],MATCH(Table5[[#This Row],[PID]],Table3[[#All],[PID]],0)))</f>
        <v>1B</v>
      </c>
      <c r="E1525" s="52" t="str">
        <f>IF($C1525="B",INDEX(Batters[[#All],[First]],MATCH(Table5[[#This Row],[PID]],Batters[[#All],[PID]],0)),INDEX(Table3[[#All],[First]],MATCH(Table5[[#This Row],[PID]],Table3[[#All],[PID]],0)))</f>
        <v>Orlando</v>
      </c>
      <c r="F1525" s="50" t="str">
        <f>IF($C1525="B",INDEX(Batters[[#All],[Last]],MATCH(A1525,Batters[[#All],[PID]],0)),INDEX(Table3[[#All],[Last]],MATCH(A1525,Table3[[#All],[PID]],0)))</f>
        <v>Flores</v>
      </c>
      <c r="G1525" s="56">
        <f>IF($C1525="B",INDEX(Batters[[#All],[Age]],MATCH(Table5[[#This Row],[PID]],Batters[[#All],[PID]],0)),INDEX(Table3[[#All],[Age]],MATCH(Table5[[#This Row],[PID]],Table3[[#All],[PID]],0)))</f>
        <v>22</v>
      </c>
      <c r="H1525" s="52" t="str">
        <f>IF($C1525="B",INDEX(Batters[[#All],[B]],MATCH(Table5[[#This Row],[PID]],Batters[[#All],[PID]],0)),INDEX(Table3[[#All],[B]],MATCH(Table5[[#This Row],[PID]],Table3[[#All],[PID]],0)))</f>
        <v>R</v>
      </c>
      <c r="I1525" s="70" t="str">
        <f>IF($C1525="B",INDEX(Batters[[#All],[T]],MATCH(Table5[[#This Row],[PID]],Batters[[#All],[PID]],0)),INDEX(Table3[[#All],[T]],MATCH(Table5[[#This Row],[PID]],Table3[[#All],[PID]],0)))</f>
        <v>R</v>
      </c>
      <c r="J1525" s="52" t="str">
        <f>IF($C1525="B",INDEX(Batters[[#All],[WE]],MATCH(Table5[[#This Row],[PID]],Batters[[#All],[PID]],0)),INDEX(Table3[[#All],[WE]],MATCH(Table5[[#This Row],[PID]],Table3[[#All],[PID]],0)))</f>
        <v>High</v>
      </c>
      <c r="K1525" s="52" t="str">
        <f>IF($C1525="B",INDEX(Batters[[#All],[INT]],MATCH(Table5[[#This Row],[PID]],Batters[[#All],[PID]],0)),INDEX(Table3[[#All],[INT]],MATCH(Table5[[#This Row],[PID]],Table3[[#All],[PID]],0)))</f>
        <v>Normal</v>
      </c>
      <c r="L1525" s="60">
        <f>IF($C1525="B",INDEX(Batters[[#All],[CON P]],MATCH(Table5[[#This Row],[PID]],Batters[[#All],[PID]],0)),INDEX(Table3[[#All],[STU P]],MATCH(Table5[[#This Row],[PID]],Table3[[#All],[PID]],0)))</f>
        <v>3</v>
      </c>
      <c r="M1525" s="56">
        <f>IF($C1525="B",INDEX(Batters[[#All],[GAP P]],MATCH(Table5[[#This Row],[PID]],Batters[[#All],[PID]],0)),INDEX(Table3[[#All],[MOV P]],MATCH(Table5[[#This Row],[PID]],Table3[[#All],[PID]],0)))</f>
        <v>2</v>
      </c>
      <c r="N1525" s="56">
        <f>IF($C1525="B",INDEX(Batters[[#All],[POW P]],MATCH(Table5[[#This Row],[PID]],Batters[[#All],[PID]],0)),INDEX(Table3[[#All],[CON P]],MATCH(Table5[[#This Row],[PID]],Table3[[#All],[PID]],0)))</f>
        <v>2</v>
      </c>
      <c r="O1525" s="56">
        <f>IF($C1525="B",INDEX(Batters[[#All],[EYE P]],MATCH(Table5[[#This Row],[PID]],Batters[[#All],[PID]],0)),INDEX(Table3[[#All],[VELO]],MATCH(Table5[[#This Row],[PID]],Table3[[#All],[PID]],0)))</f>
        <v>1</v>
      </c>
      <c r="P1525" s="56">
        <f>IF($C1525="B",INDEX(Batters[[#All],[K P]],MATCH(Table5[[#This Row],[PID]],Batters[[#All],[PID]],0)),INDEX(Table3[[#All],[STM]],MATCH(Table5[[#This Row],[PID]],Table3[[#All],[PID]],0)))</f>
        <v>4</v>
      </c>
      <c r="Q1525" s="61">
        <f>IF($C1525="B",INDEX(Batters[[#All],[Tot]],MATCH(Table5[[#This Row],[PID]],Batters[[#All],[PID]],0)),INDEX(Table3[[#All],[Tot]],MATCH(Table5[[#This Row],[PID]],Table3[[#All],[PID]],0)))</f>
        <v>30.920499608043077</v>
      </c>
      <c r="R1525" s="70">
        <f>IF($C1525="B",INDEX(Batters[[#All],[zScore]],MATCH(Table5[[#This Row],[PID]],Batters[[#All],[PID]],0)),INDEX(Table3[[#All],[zScore]],MATCH(Table5[[#This Row],[PID]],Table3[[#All],[PID]],0)))</f>
        <v>-2.9290655742304677</v>
      </c>
      <c r="S1525" s="79" t="str">
        <f>IF($C1525="B",INDEX(Batters[[#All],[DEM]],MATCH(Table5[[#This Row],[PID]],Batters[[#All],[PID]],0)),INDEX(Table3[[#All],[DEM]],MATCH(Table5[[#This Row],[PID]],Table3[[#All],[PID]],0)))</f>
        <v>-</v>
      </c>
      <c r="T1525" s="62">
        <f>IF($C1525="B",INDEX(Batters[[#All],[Rnk]],MATCH(Table5[[#This Row],[PID]],Batters[[#All],[PID]],0)),INDEX(Table3[[#All],[Rnk]],MATCH(Table5[[#This Row],[PID]],Table3[[#All],[PID]],0)))</f>
        <v>741</v>
      </c>
      <c r="U1525" s="68">
        <f>IF($C1525="B",VLOOKUP($A1525,Bat!$A$4:$BA$1621,47,FALSE),VLOOKUP($A1525,Pit!$A$4:$BF$1557,56,FALSE))</f>
        <v>0</v>
      </c>
      <c r="V1525" s="50">
        <f>IF($C1525="B",VLOOKUP($A1525,Bat!$A$4:$BA$1621,48,FALSE),VLOOKUP($A1525,Pit!$A$4:$BF$1557,57,FALSE))</f>
        <v>0</v>
      </c>
      <c r="W1525" s="50">
        <f>Table5[[#This Row],[posRnk]]+Table5[[#This Row],[zRnk]]+IF($W$3&lt;&gt;Table5[[#This Row],[Type]],50,0)</f>
        <v>2310</v>
      </c>
      <c r="X1525" s="51">
        <f>RANK(Table5[[#This Row],[zScore]],Table5[[#All],[zScore]])</f>
        <v>1519</v>
      </c>
      <c r="Y1525" s="50" t="str">
        <f>IFERROR(INDEX(DraftResults[[#All],[OVR]],MATCH(Table5[[#This Row],[PID]],DraftResults[[#All],[Player ID]],0)),"")</f>
        <v/>
      </c>
      <c r="Z152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5" s="50" t="str">
        <f>IFERROR(INDEX(DraftResults[[#All],[Pick in Round]],MATCH(Table5[[#This Row],[PID]],DraftResults[[#All],[Player ID]],0)),"")</f>
        <v/>
      </c>
      <c r="AB1525" s="50" t="str">
        <f>IFERROR(INDEX(DraftResults[[#All],[Team Name]],MATCH(Table5[[#This Row],[PID]],DraftResults[[#All],[Player ID]],0)),"")</f>
        <v/>
      </c>
      <c r="AC1525" s="50" t="str">
        <f>IF(Table5[[#This Row],[Ovr]]="","",IF(Table5[[#This Row],[cmbList]]="","",Table5[[#This Row],[cmbList]]-Table5[[#This Row],[Ovr]]))</f>
        <v/>
      </c>
      <c r="AD1525" s="54" t="str">
        <f>IF(ISERROR(VLOOKUP($AB1525&amp;"-"&amp;$E1525&amp;" "&amp;F1525,Bonuses!$B$1:$G$1006,4,FALSE)),"",INT(VLOOKUP($AB1525&amp;"-"&amp;$E1525&amp;" "&amp;$F1525,Bonuses!$B$1:$G$1006,4,FALSE)))</f>
        <v/>
      </c>
      <c r="AE152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6" spans="1:31" x14ac:dyDescent="0.25">
      <c r="A1526" s="50">
        <v>18091</v>
      </c>
      <c r="B1526" s="55">
        <f>COUNTIF(Table5[PID],A1526)</f>
        <v>1</v>
      </c>
      <c r="C1526" s="55" t="str">
        <f>IF(COUNTIF(Table3[[#All],[PID]],A1526)&gt;0,"P","B")</f>
        <v>B</v>
      </c>
      <c r="D1526" s="59" t="str">
        <f>IF($C1526="B",INDEX(Batters[[#All],[POS]],MATCH(Table5[[#This Row],[PID]],Batters[[#All],[PID]],0)),INDEX(Table3[[#All],[POS]],MATCH(Table5[[#This Row],[PID]],Table3[[#All],[PID]],0)))</f>
        <v>C</v>
      </c>
      <c r="E1526" s="52" t="str">
        <f>IF($C1526="B",INDEX(Batters[[#All],[First]],MATCH(Table5[[#This Row],[PID]],Batters[[#All],[PID]],0)),INDEX(Table3[[#All],[First]],MATCH(Table5[[#This Row],[PID]],Table3[[#All],[PID]],0)))</f>
        <v>Vern</v>
      </c>
      <c r="F1526" s="50" t="str">
        <f>IF($C1526="B",INDEX(Batters[[#All],[Last]],MATCH(A1526,Batters[[#All],[PID]],0)),INDEX(Table3[[#All],[Last]],MATCH(A1526,Table3[[#All],[PID]],0)))</f>
        <v>Pearson</v>
      </c>
      <c r="G1526" s="56">
        <f>IF($C1526="B",INDEX(Batters[[#All],[Age]],MATCH(Table5[[#This Row],[PID]],Batters[[#All],[PID]],0)),INDEX(Table3[[#All],[Age]],MATCH(Table5[[#This Row],[PID]],Table3[[#All],[PID]],0)))</f>
        <v>21</v>
      </c>
      <c r="H1526" s="52" t="str">
        <f>IF($C1526="B",INDEX(Batters[[#All],[B]],MATCH(Table5[[#This Row],[PID]],Batters[[#All],[PID]],0)),INDEX(Table3[[#All],[B]],MATCH(Table5[[#This Row],[PID]],Table3[[#All],[PID]],0)))</f>
        <v>S</v>
      </c>
      <c r="I1526" s="70" t="str">
        <f>IF($C1526="B",INDEX(Batters[[#All],[T]],MATCH(Table5[[#This Row],[PID]],Batters[[#All],[PID]],0)),INDEX(Table3[[#All],[T]],MATCH(Table5[[#This Row],[PID]],Table3[[#All],[PID]],0)))</f>
        <v>R</v>
      </c>
      <c r="J1526" s="52" t="str">
        <f>IF($C1526="B",INDEX(Batters[[#All],[WE]],MATCH(Table5[[#This Row],[PID]],Batters[[#All],[PID]],0)),INDEX(Table3[[#All],[WE]],MATCH(Table5[[#This Row],[PID]],Table3[[#All],[PID]],0)))</f>
        <v>Low</v>
      </c>
      <c r="K1526" s="52" t="str">
        <f>IF($C1526="B",INDEX(Batters[[#All],[INT]],MATCH(Table5[[#This Row],[PID]],Batters[[#All],[PID]],0)),INDEX(Table3[[#All],[INT]],MATCH(Table5[[#This Row],[PID]],Table3[[#All],[PID]],0)))</f>
        <v>Normal</v>
      </c>
      <c r="L1526" s="60">
        <f>IF($C1526="B",INDEX(Batters[[#All],[CON P]],MATCH(Table5[[#This Row],[PID]],Batters[[#All],[PID]],0)),INDEX(Table3[[#All],[STU P]],MATCH(Table5[[#This Row],[PID]],Table3[[#All],[PID]],0)))</f>
        <v>2</v>
      </c>
      <c r="M1526" s="56">
        <f>IF($C1526="B",INDEX(Batters[[#All],[GAP P]],MATCH(Table5[[#This Row],[PID]],Batters[[#All],[PID]],0)),INDEX(Table3[[#All],[MOV P]],MATCH(Table5[[#This Row],[PID]],Table3[[#All],[PID]],0)))</f>
        <v>3</v>
      </c>
      <c r="N1526" s="56">
        <f>IF($C1526="B",INDEX(Batters[[#All],[POW P]],MATCH(Table5[[#This Row],[PID]],Batters[[#All],[PID]],0)),INDEX(Table3[[#All],[CON P]],MATCH(Table5[[#This Row],[PID]],Table3[[#All],[PID]],0)))</f>
        <v>3</v>
      </c>
      <c r="O1526" s="56">
        <f>IF($C1526="B",INDEX(Batters[[#All],[EYE P]],MATCH(Table5[[#This Row],[PID]],Batters[[#All],[PID]],0)),INDEX(Table3[[#All],[VELO]],MATCH(Table5[[#This Row],[PID]],Table3[[#All],[PID]],0)))</f>
        <v>5</v>
      </c>
      <c r="P1526" s="56">
        <f>IF($C1526="B",INDEX(Batters[[#All],[K P]],MATCH(Table5[[#This Row],[PID]],Batters[[#All],[PID]],0)),INDEX(Table3[[#All],[STM]],MATCH(Table5[[#This Row],[PID]],Table3[[#All],[PID]],0)))</f>
        <v>1</v>
      </c>
      <c r="Q1526" s="61">
        <f>IF($C1526="B",INDEX(Batters[[#All],[Tot]],MATCH(Table5[[#This Row],[PID]],Batters[[#All],[PID]],0)),INDEX(Table3[[#All],[Tot]],MATCH(Table5[[#This Row],[PID]],Table3[[#All],[PID]],0)))</f>
        <v>30.901334928805191</v>
      </c>
      <c r="R1526" s="70">
        <f>IF($C1526="B",INDEX(Batters[[#All],[zScore]],MATCH(Table5[[#This Row],[PID]],Batters[[#All],[PID]],0)),INDEX(Table3[[#All],[zScore]],MATCH(Table5[[#This Row],[PID]],Table3[[#All],[PID]],0)))</f>
        <v>-2.9333145131587162</v>
      </c>
      <c r="S1526" s="79" t="str">
        <f>IF($C1526="B",INDEX(Batters[[#All],[DEM]],MATCH(Table5[[#This Row],[PID]],Batters[[#All],[PID]],0)),INDEX(Table3[[#All],[DEM]],MATCH(Table5[[#This Row],[PID]],Table3[[#All],[PID]],0)))</f>
        <v>-</v>
      </c>
      <c r="T1526" s="62">
        <f>IF($C1526="B",INDEX(Batters[[#All],[Rnk]],MATCH(Table5[[#This Row],[PID]],Batters[[#All],[PID]],0)),INDEX(Table3[[#All],[Rnk]],MATCH(Table5[[#This Row],[PID]],Table3[[#All],[PID]],0)))</f>
        <v>742</v>
      </c>
      <c r="U1526" s="68">
        <f>IF($C1526="B",VLOOKUP($A1526,Bat!$A$4:$BA$1621,47,FALSE),VLOOKUP($A1526,Pit!$A$4:$BF$1557,56,FALSE))</f>
        <v>0</v>
      </c>
      <c r="V1526" s="50">
        <f>IF($C1526="B",VLOOKUP($A1526,Bat!$A$4:$BA$1621,48,FALSE),VLOOKUP($A1526,Pit!$A$4:$BF$1557,57,FALSE))</f>
        <v>0</v>
      </c>
      <c r="W1526" s="50">
        <f>Table5[[#This Row],[posRnk]]+Table5[[#This Row],[zRnk]]+IF($W$3&lt;&gt;Table5[[#This Row],[Type]],50,0)</f>
        <v>2312</v>
      </c>
      <c r="X1526" s="51">
        <f>RANK(Table5[[#This Row],[zScore]],Table5[[#All],[zScore]])</f>
        <v>1520</v>
      </c>
      <c r="Y1526" s="50" t="str">
        <f>IFERROR(INDEX(DraftResults[[#All],[OVR]],MATCH(Table5[[#This Row],[PID]],DraftResults[[#All],[Player ID]],0)),"")</f>
        <v/>
      </c>
      <c r="Z152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6" s="50" t="str">
        <f>IFERROR(INDEX(DraftResults[[#All],[Pick in Round]],MATCH(Table5[[#This Row],[PID]],DraftResults[[#All],[Player ID]],0)),"")</f>
        <v/>
      </c>
      <c r="AB1526" s="50" t="str">
        <f>IFERROR(INDEX(DraftResults[[#All],[Team Name]],MATCH(Table5[[#This Row],[PID]],DraftResults[[#All],[Player ID]],0)),"")</f>
        <v/>
      </c>
      <c r="AC1526" s="50" t="str">
        <f>IF(Table5[[#This Row],[Ovr]]="","",IF(Table5[[#This Row],[cmbList]]="","",Table5[[#This Row],[cmbList]]-Table5[[#This Row],[Ovr]]))</f>
        <v/>
      </c>
      <c r="AD1526" s="54" t="str">
        <f>IF(ISERROR(VLOOKUP($AB1526&amp;"-"&amp;$E1526&amp;" "&amp;F1526,Bonuses!$B$1:$G$1006,4,FALSE)),"",INT(VLOOKUP($AB1526&amp;"-"&amp;$E1526&amp;" "&amp;$F1526,Bonuses!$B$1:$G$1006,4,FALSE)))</f>
        <v/>
      </c>
      <c r="AE152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7" spans="1:31" x14ac:dyDescent="0.25">
      <c r="A1527" s="50">
        <v>12458</v>
      </c>
      <c r="B1527" s="50">
        <f>COUNTIF(Table5[PID],A1527)</f>
        <v>1</v>
      </c>
      <c r="C1527" s="50" t="str">
        <f>IF(COUNTIF(Table3[[#All],[PID]],A1527)&gt;0,"P","B")</f>
        <v>B</v>
      </c>
      <c r="D1527" s="59" t="str">
        <f>IF($C1527="B",INDEX(Batters[[#All],[POS]],MATCH(Table5[[#This Row],[PID]],Batters[[#All],[PID]],0)),INDEX(Table3[[#All],[POS]],MATCH(Table5[[#This Row],[PID]],Table3[[#All],[PID]],0)))</f>
        <v>C</v>
      </c>
      <c r="E1527" s="52" t="str">
        <f>IF($C1527="B",INDEX(Batters[[#All],[First]],MATCH(Table5[[#This Row],[PID]],Batters[[#All],[PID]],0)),INDEX(Table3[[#All],[First]],MATCH(Table5[[#This Row],[PID]],Table3[[#All],[PID]],0)))</f>
        <v>Ángel</v>
      </c>
      <c r="F1527" s="50" t="str">
        <f>IF($C1527="B",INDEX(Batters[[#All],[Last]],MATCH(A1527,Batters[[#All],[PID]],0)),INDEX(Table3[[#All],[Last]],MATCH(A1527,Table3[[#All],[PID]],0)))</f>
        <v>Hansen</v>
      </c>
      <c r="G1527" s="56">
        <f>IF($C1527="B",INDEX(Batters[[#All],[Age]],MATCH(Table5[[#This Row],[PID]],Batters[[#All],[PID]],0)),INDEX(Table3[[#All],[Age]],MATCH(Table5[[#This Row],[PID]],Table3[[#All],[PID]],0)))</f>
        <v>21</v>
      </c>
      <c r="H1527" s="52" t="str">
        <f>IF($C1527="B",INDEX(Batters[[#All],[B]],MATCH(Table5[[#This Row],[PID]],Batters[[#All],[PID]],0)),INDEX(Table3[[#All],[B]],MATCH(Table5[[#This Row],[PID]],Table3[[#All],[PID]],0)))</f>
        <v>R</v>
      </c>
      <c r="I1527" s="70" t="str">
        <f>IF($C1527="B",INDEX(Batters[[#All],[T]],MATCH(Table5[[#This Row],[PID]],Batters[[#All],[PID]],0)),INDEX(Table3[[#All],[T]],MATCH(Table5[[#This Row],[PID]],Table3[[#All],[PID]],0)))</f>
        <v>R</v>
      </c>
      <c r="J1527" s="52" t="str">
        <f>IF($C1527="B",INDEX(Batters[[#All],[WE]],MATCH(Table5[[#This Row],[PID]],Batters[[#All],[PID]],0)),INDEX(Table3[[#All],[WE]],MATCH(Table5[[#This Row],[PID]],Table3[[#All],[PID]],0)))</f>
        <v>Low</v>
      </c>
      <c r="K1527" s="52" t="str">
        <f>IF($C1527="B",INDEX(Batters[[#All],[INT]],MATCH(Table5[[#This Row],[PID]],Batters[[#All],[PID]],0)),INDEX(Table3[[#All],[INT]],MATCH(Table5[[#This Row],[PID]],Table3[[#All],[PID]],0)))</f>
        <v>Normal</v>
      </c>
      <c r="L1527" s="60">
        <f>IF($C1527="B",INDEX(Batters[[#All],[CON P]],MATCH(Table5[[#This Row],[PID]],Batters[[#All],[PID]],0)),INDEX(Table3[[#All],[STU P]],MATCH(Table5[[#This Row],[PID]],Table3[[#All],[PID]],0)))</f>
        <v>2</v>
      </c>
      <c r="M1527" s="56">
        <f>IF($C1527="B",INDEX(Batters[[#All],[GAP P]],MATCH(Table5[[#This Row],[PID]],Batters[[#All],[PID]],0)),INDEX(Table3[[#All],[MOV P]],MATCH(Table5[[#This Row],[PID]],Table3[[#All],[PID]],0)))</f>
        <v>4</v>
      </c>
      <c r="N1527" s="56">
        <f>IF($C1527="B",INDEX(Batters[[#All],[POW P]],MATCH(Table5[[#This Row],[PID]],Batters[[#All],[PID]],0)),INDEX(Table3[[#All],[CON P]],MATCH(Table5[[#This Row],[PID]],Table3[[#All],[PID]],0)))</f>
        <v>2</v>
      </c>
      <c r="O1527" s="56">
        <f>IF($C1527="B",INDEX(Batters[[#All],[EYE P]],MATCH(Table5[[#This Row],[PID]],Batters[[#All],[PID]],0)),INDEX(Table3[[#All],[VELO]],MATCH(Table5[[#This Row],[PID]],Table3[[#All],[PID]],0)))</f>
        <v>4</v>
      </c>
      <c r="P1527" s="56">
        <f>IF($C1527="B",INDEX(Batters[[#All],[K P]],MATCH(Table5[[#This Row],[PID]],Batters[[#All],[PID]],0)),INDEX(Table3[[#All],[STM]],MATCH(Table5[[#This Row],[PID]],Table3[[#All],[PID]],0)))</f>
        <v>4</v>
      </c>
      <c r="Q1527" s="61">
        <f>IF($C1527="B",INDEX(Batters[[#All],[Tot]],MATCH(Table5[[#This Row],[PID]],Batters[[#All],[PID]],0)),INDEX(Table3[[#All],[Tot]],MATCH(Table5[[#This Row],[PID]],Table3[[#All],[PID]],0)))</f>
        <v>30.88263021016563</v>
      </c>
      <c r="R1527" s="70">
        <f>IF($C1527="B",INDEX(Batters[[#All],[zScore]],MATCH(Table5[[#This Row],[PID]],Batters[[#All],[PID]],0)),INDEX(Table3[[#All],[zScore]],MATCH(Table5[[#This Row],[PID]],Table3[[#All],[PID]],0)))</f>
        <v>-2.9374614757132713</v>
      </c>
      <c r="S1527" s="79" t="str">
        <f>IF($C1527="B",INDEX(Batters[[#All],[DEM]],MATCH(Table5[[#This Row],[PID]],Batters[[#All],[PID]],0)),INDEX(Table3[[#All],[DEM]],MATCH(Table5[[#This Row],[PID]],Table3[[#All],[PID]],0)))</f>
        <v>-</v>
      </c>
      <c r="T1527" s="62">
        <f>IF($C1527="B",INDEX(Batters[[#All],[Rnk]],MATCH(Table5[[#This Row],[PID]],Batters[[#All],[PID]],0)),INDEX(Table3[[#All],[Rnk]],MATCH(Table5[[#This Row],[PID]],Table3[[#All],[PID]],0)))</f>
        <v>744</v>
      </c>
      <c r="U1527" s="68">
        <f>IF($C1527="B",VLOOKUP($A1527,Bat!$A$4:$BA$1621,47,FALSE),VLOOKUP($A1527,Pit!$A$4:$BF$1557,56,FALSE))</f>
        <v>0</v>
      </c>
      <c r="V1527" s="50">
        <f>IF($C1527="B",VLOOKUP($A1527,Bat!$A$4:$BA$1621,48,FALSE),VLOOKUP($A1527,Pit!$A$4:$BF$1557,57,FALSE))</f>
        <v>0</v>
      </c>
      <c r="W1527" s="50">
        <f>Table5[[#This Row],[posRnk]]+Table5[[#This Row],[zRnk]]+IF($W$3&lt;&gt;Table5[[#This Row],[Type]],50,0)</f>
        <v>2315</v>
      </c>
      <c r="X1527" s="51">
        <f>RANK(Table5[[#This Row],[zScore]],Table5[[#All],[zScore]])</f>
        <v>1521</v>
      </c>
      <c r="Y1527" s="50" t="str">
        <f>IFERROR(INDEX(DraftResults[[#All],[OVR]],MATCH(Table5[[#This Row],[PID]],DraftResults[[#All],[Player ID]],0)),"")</f>
        <v/>
      </c>
      <c r="Z152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7" s="50" t="str">
        <f>IFERROR(INDEX(DraftResults[[#All],[Pick in Round]],MATCH(Table5[[#This Row],[PID]],DraftResults[[#All],[Player ID]],0)),"")</f>
        <v/>
      </c>
      <c r="AB1527" s="50" t="str">
        <f>IFERROR(INDEX(DraftResults[[#All],[Team Name]],MATCH(Table5[[#This Row],[PID]],DraftResults[[#All],[Player ID]],0)),"")</f>
        <v/>
      </c>
      <c r="AC1527" s="50" t="str">
        <f>IF(Table5[[#This Row],[Ovr]]="","",IF(Table5[[#This Row],[cmbList]]="","",Table5[[#This Row],[cmbList]]-Table5[[#This Row],[Ovr]]))</f>
        <v/>
      </c>
      <c r="AD1527" s="54" t="str">
        <f>IF(ISERROR(VLOOKUP($AB1527&amp;"-"&amp;$E1527&amp;" "&amp;F1527,Bonuses!$B$1:$G$1006,4,FALSE)),"",INT(VLOOKUP($AB1527&amp;"-"&amp;$E1527&amp;" "&amp;$F1527,Bonuses!$B$1:$G$1006,4,FALSE)))</f>
        <v/>
      </c>
      <c r="AE152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8" spans="1:31" x14ac:dyDescent="0.25">
      <c r="A1528" s="50">
        <v>8396</v>
      </c>
      <c r="B1528" s="50">
        <f>COUNTIF(Table5[PID],A1528)</f>
        <v>1</v>
      </c>
      <c r="C1528" s="50" t="str">
        <f>IF(COUNTIF(Table3[[#All],[PID]],A1528)&gt;0,"P","B")</f>
        <v>B</v>
      </c>
      <c r="D1528" s="59" t="str">
        <f>IF($C1528="B",INDEX(Batters[[#All],[POS]],MATCH(Table5[[#This Row],[PID]],Batters[[#All],[PID]],0)),INDEX(Table3[[#All],[POS]],MATCH(Table5[[#This Row],[PID]],Table3[[#All],[PID]],0)))</f>
        <v>C</v>
      </c>
      <c r="E1528" s="52" t="str">
        <f>IF($C1528="B",INDEX(Batters[[#All],[First]],MATCH(Table5[[#This Row],[PID]],Batters[[#All],[PID]],0)),INDEX(Table3[[#All],[First]],MATCH(Table5[[#This Row],[PID]],Table3[[#All],[PID]],0)))</f>
        <v>Ron</v>
      </c>
      <c r="F1528" s="50" t="str">
        <f>IF($C1528="B",INDEX(Batters[[#All],[Last]],MATCH(A1528,Batters[[#All],[PID]],0)),INDEX(Table3[[#All],[Last]],MATCH(A1528,Table3[[#All],[PID]],0)))</f>
        <v>Lang</v>
      </c>
      <c r="G1528" s="56">
        <f>IF($C1528="B",INDEX(Batters[[#All],[Age]],MATCH(Table5[[#This Row],[PID]],Batters[[#All],[PID]],0)),INDEX(Table3[[#All],[Age]],MATCH(Table5[[#This Row],[PID]],Table3[[#All],[PID]],0)))</f>
        <v>21</v>
      </c>
      <c r="H1528" s="52" t="str">
        <f>IF($C1528="B",INDEX(Batters[[#All],[B]],MATCH(Table5[[#This Row],[PID]],Batters[[#All],[PID]],0)),INDEX(Table3[[#All],[B]],MATCH(Table5[[#This Row],[PID]],Table3[[#All],[PID]],0)))</f>
        <v>R</v>
      </c>
      <c r="I1528" s="70" t="str">
        <f>IF($C1528="B",INDEX(Batters[[#All],[T]],MATCH(Table5[[#This Row],[PID]],Batters[[#All],[PID]],0)),INDEX(Table3[[#All],[T]],MATCH(Table5[[#This Row],[PID]],Table3[[#All],[PID]],0)))</f>
        <v>R</v>
      </c>
      <c r="J1528" s="52" t="str">
        <f>IF($C1528="B",INDEX(Batters[[#All],[WE]],MATCH(Table5[[#This Row],[PID]],Batters[[#All],[PID]],0)),INDEX(Table3[[#All],[WE]],MATCH(Table5[[#This Row],[PID]],Table3[[#All],[PID]],0)))</f>
        <v>Normal</v>
      </c>
      <c r="K1528" s="52" t="str">
        <f>IF($C1528="B",INDEX(Batters[[#All],[INT]],MATCH(Table5[[#This Row],[PID]],Batters[[#All],[PID]],0)),INDEX(Table3[[#All],[INT]],MATCH(Table5[[#This Row],[PID]],Table3[[#All],[PID]],0)))</f>
        <v>Normal</v>
      </c>
      <c r="L1528" s="60">
        <f>IF($C1528="B",INDEX(Batters[[#All],[CON P]],MATCH(Table5[[#This Row],[PID]],Batters[[#All],[PID]],0)),INDEX(Table3[[#All],[STU P]],MATCH(Table5[[#This Row],[PID]],Table3[[#All],[PID]],0)))</f>
        <v>2</v>
      </c>
      <c r="M1528" s="56">
        <f>IF($C1528="B",INDEX(Batters[[#All],[GAP P]],MATCH(Table5[[#This Row],[PID]],Batters[[#All],[PID]],0)),INDEX(Table3[[#All],[MOV P]],MATCH(Table5[[#This Row],[PID]],Table3[[#All],[PID]],0)))</f>
        <v>4</v>
      </c>
      <c r="N1528" s="56">
        <f>IF($C1528="B",INDEX(Batters[[#All],[POW P]],MATCH(Table5[[#This Row],[PID]],Batters[[#All],[PID]],0)),INDEX(Table3[[#All],[CON P]],MATCH(Table5[[#This Row],[PID]],Table3[[#All],[PID]],0)))</f>
        <v>2</v>
      </c>
      <c r="O1528" s="56">
        <f>IF($C1528="B",INDEX(Batters[[#All],[EYE P]],MATCH(Table5[[#This Row],[PID]],Batters[[#All],[PID]],0)),INDEX(Table3[[#All],[VELO]],MATCH(Table5[[#This Row],[PID]],Table3[[#All],[PID]],0)))</f>
        <v>5</v>
      </c>
      <c r="P1528" s="56">
        <f>IF($C1528="B",INDEX(Batters[[#All],[K P]],MATCH(Table5[[#This Row],[PID]],Batters[[#All],[PID]],0)),INDEX(Table3[[#All],[STM]],MATCH(Table5[[#This Row],[PID]],Table3[[#All],[PID]],0)))</f>
        <v>1</v>
      </c>
      <c r="Q1528" s="61">
        <f>IF($C1528="B",INDEX(Batters[[#All],[Tot]],MATCH(Table5[[#This Row],[PID]],Batters[[#All],[PID]],0)),INDEX(Table3[[#All],[Tot]],MATCH(Table5[[#This Row],[PID]],Table3[[#All],[PID]],0)))</f>
        <v>30.813450588903727</v>
      </c>
      <c r="R1528" s="70">
        <f>IF($C1528="B",INDEX(Batters[[#All],[zScore]],MATCH(Table5[[#This Row],[PID]],Batters[[#All],[PID]],0)),INDEX(Table3[[#All],[zScore]],MATCH(Table5[[#This Row],[PID]],Table3[[#All],[PID]],0)))</f>
        <v>-2.9527990653578771</v>
      </c>
      <c r="S1528" s="79" t="str">
        <f>IF($C1528="B",INDEX(Batters[[#All],[DEM]],MATCH(Table5[[#This Row],[PID]],Batters[[#All],[PID]],0)),INDEX(Table3[[#All],[DEM]],MATCH(Table5[[#This Row],[PID]],Table3[[#All],[PID]],0)))</f>
        <v>-</v>
      </c>
      <c r="T1528" s="62">
        <f>IF($C1528="B",INDEX(Batters[[#All],[Rnk]],MATCH(Table5[[#This Row],[PID]],Batters[[#All],[PID]],0)),INDEX(Table3[[#All],[Rnk]],MATCH(Table5[[#This Row],[PID]],Table3[[#All],[PID]],0)))</f>
        <v>745</v>
      </c>
      <c r="U1528" s="68">
        <f>IF($C1528="B",VLOOKUP($A1528,Bat!$A$4:$BA$1621,47,FALSE),VLOOKUP($A1528,Pit!$A$4:$BF$1557,56,FALSE))</f>
        <v>0</v>
      </c>
      <c r="V1528" s="50">
        <f>IF($C1528="B",VLOOKUP($A1528,Bat!$A$4:$BA$1621,48,FALSE),VLOOKUP($A1528,Pit!$A$4:$BF$1557,57,FALSE))</f>
        <v>0</v>
      </c>
      <c r="W1528" s="50">
        <f>Table5[[#This Row],[posRnk]]+Table5[[#This Row],[zRnk]]+IF($W$3&lt;&gt;Table5[[#This Row],[Type]],50,0)</f>
        <v>2317</v>
      </c>
      <c r="X1528" s="51">
        <f>RANK(Table5[[#This Row],[zScore]],Table5[[#All],[zScore]])</f>
        <v>1522</v>
      </c>
      <c r="Y1528" s="50" t="str">
        <f>IFERROR(INDEX(DraftResults[[#All],[OVR]],MATCH(Table5[[#This Row],[PID]],DraftResults[[#All],[Player ID]],0)),"")</f>
        <v/>
      </c>
      <c r="Z152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8" s="50" t="str">
        <f>IFERROR(INDEX(DraftResults[[#All],[Pick in Round]],MATCH(Table5[[#This Row],[PID]],DraftResults[[#All],[Player ID]],0)),"")</f>
        <v/>
      </c>
      <c r="AB1528" s="50" t="str">
        <f>IFERROR(INDEX(DraftResults[[#All],[Team Name]],MATCH(Table5[[#This Row],[PID]],DraftResults[[#All],[Player ID]],0)),"")</f>
        <v/>
      </c>
      <c r="AC1528" s="50" t="str">
        <f>IF(Table5[[#This Row],[Ovr]]="","",IF(Table5[[#This Row],[cmbList]]="","",Table5[[#This Row],[cmbList]]-Table5[[#This Row],[Ovr]]))</f>
        <v/>
      </c>
      <c r="AD1528" s="54" t="str">
        <f>IF(ISERROR(VLOOKUP($AB1528&amp;"-"&amp;$E1528&amp;" "&amp;F1528,Bonuses!$B$1:$G$1006,4,FALSE)),"",INT(VLOOKUP($AB1528&amp;"-"&amp;$E1528&amp;" "&amp;$F1528,Bonuses!$B$1:$G$1006,4,FALSE)))</f>
        <v/>
      </c>
      <c r="AE152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29" spans="1:31" x14ac:dyDescent="0.25">
      <c r="A1529" s="50">
        <v>18138</v>
      </c>
      <c r="B1529" s="50">
        <f>COUNTIF(Table5[PID],A1529)</f>
        <v>1</v>
      </c>
      <c r="C1529" s="50" t="str">
        <f>IF(COUNTIF(Table3[[#All],[PID]],A1529)&gt;0,"P","B")</f>
        <v>B</v>
      </c>
      <c r="D1529" s="59" t="str">
        <f>IF($C1529="B",INDEX(Batters[[#All],[POS]],MATCH(Table5[[#This Row],[PID]],Batters[[#All],[PID]],0)),INDEX(Table3[[#All],[POS]],MATCH(Table5[[#This Row],[PID]],Table3[[#All],[PID]],0)))</f>
        <v>1B</v>
      </c>
      <c r="E1529" s="52" t="str">
        <f>IF($C1529="B",INDEX(Batters[[#All],[First]],MATCH(Table5[[#This Row],[PID]],Batters[[#All],[PID]],0)),INDEX(Table3[[#All],[First]],MATCH(Table5[[#This Row],[PID]],Table3[[#All],[PID]],0)))</f>
        <v>Dennis</v>
      </c>
      <c r="F1529" s="50" t="str">
        <f>IF($C1529="B",INDEX(Batters[[#All],[Last]],MATCH(A1529,Batters[[#All],[PID]],0)),INDEX(Table3[[#All],[Last]],MATCH(A1529,Table3[[#All],[PID]],0)))</f>
        <v>Rosas</v>
      </c>
      <c r="G1529" s="56">
        <f>IF($C1529="B",INDEX(Batters[[#All],[Age]],MATCH(Table5[[#This Row],[PID]],Batters[[#All],[PID]],0)),INDEX(Table3[[#All],[Age]],MATCH(Table5[[#This Row],[PID]],Table3[[#All],[PID]],0)))</f>
        <v>21</v>
      </c>
      <c r="H1529" s="52" t="str">
        <f>IF($C1529="B",INDEX(Batters[[#All],[B]],MATCH(Table5[[#This Row],[PID]],Batters[[#All],[PID]],0)),INDEX(Table3[[#All],[B]],MATCH(Table5[[#This Row],[PID]],Table3[[#All],[PID]],0)))</f>
        <v>R</v>
      </c>
      <c r="I1529" s="70" t="str">
        <f>IF($C1529="B",INDEX(Batters[[#All],[T]],MATCH(Table5[[#This Row],[PID]],Batters[[#All],[PID]],0)),INDEX(Table3[[#All],[T]],MATCH(Table5[[#This Row],[PID]],Table3[[#All],[PID]],0)))</f>
        <v>R</v>
      </c>
      <c r="J1529" s="52" t="str">
        <f>IF($C1529="B",INDEX(Batters[[#All],[WE]],MATCH(Table5[[#This Row],[PID]],Batters[[#All],[PID]],0)),INDEX(Table3[[#All],[WE]],MATCH(Table5[[#This Row],[PID]],Table3[[#All],[PID]],0)))</f>
        <v>Low</v>
      </c>
      <c r="K1529" s="52" t="str">
        <f>IF($C1529="B",INDEX(Batters[[#All],[INT]],MATCH(Table5[[#This Row],[PID]],Batters[[#All],[PID]],0)),INDEX(Table3[[#All],[INT]],MATCH(Table5[[#This Row],[PID]],Table3[[#All],[PID]],0)))</f>
        <v>Normal</v>
      </c>
      <c r="L1529" s="60">
        <f>IF($C1529="B",INDEX(Batters[[#All],[CON P]],MATCH(Table5[[#This Row],[PID]],Batters[[#All],[PID]],0)),INDEX(Table3[[#All],[STU P]],MATCH(Table5[[#This Row],[PID]],Table3[[#All],[PID]],0)))</f>
        <v>2</v>
      </c>
      <c r="M1529" s="56">
        <f>IF($C1529="B",INDEX(Batters[[#All],[GAP P]],MATCH(Table5[[#This Row],[PID]],Batters[[#All],[PID]],0)),INDEX(Table3[[#All],[MOV P]],MATCH(Table5[[#This Row],[PID]],Table3[[#All],[PID]],0)))</f>
        <v>3</v>
      </c>
      <c r="N1529" s="56">
        <f>IF($C1529="B",INDEX(Batters[[#All],[POW P]],MATCH(Table5[[#This Row],[PID]],Batters[[#All],[PID]],0)),INDEX(Table3[[#All],[CON P]],MATCH(Table5[[#This Row],[PID]],Table3[[#All],[PID]],0)))</f>
        <v>3</v>
      </c>
      <c r="O1529" s="56">
        <f>IF($C1529="B",INDEX(Batters[[#All],[EYE P]],MATCH(Table5[[#This Row],[PID]],Batters[[#All],[PID]],0)),INDEX(Table3[[#All],[VELO]],MATCH(Table5[[#This Row],[PID]],Table3[[#All],[PID]],0)))</f>
        <v>4</v>
      </c>
      <c r="P1529" s="56">
        <f>IF($C1529="B",INDEX(Batters[[#All],[K P]],MATCH(Table5[[#This Row],[PID]],Batters[[#All],[PID]],0)),INDEX(Table3[[#All],[STM]],MATCH(Table5[[#This Row],[PID]],Table3[[#All],[PID]],0)))</f>
        <v>3</v>
      </c>
      <c r="Q1529" s="61">
        <f>IF($C1529="B",INDEX(Batters[[#All],[Tot]],MATCH(Table5[[#This Row],[PID]],Batters[[#All],[PID]],0)),INDEX(Table3[[#All],[Tot]],MATCH(Table5[[#This Row],[PID]],Table3[[#All],[PID]],0)))</f>
        <v>30.785212484300221</v>
      </c>
      <c r="R1529" s="70">
        <f>IF($C1529="B",INDEX(Batters[[#All],[zScore]],MATCH(Table5[[#This Row],[PID]],Batters[[#All],[PID]],0)),INDEX(Table3[[#All],[zScore]],MATCH(Table5[[#This Row],[PID]],Table3[[#All],[PID]],0)))</f>
        <v>-2.9590596440203472</v>
      </c>
      <c r="S1529" s="79" t="str">
        <f>IF($C1529="B",INDEX(Batters[[#All],[DEM]],MATCH(Table5[[#This Row],[PID]],Batters[[#All],[PID]],0)),INDEX(Table3[[#All],[DEM]],MATCH(Table5[[#This Row],[PID]],Table3[[#All],[PID]],0)))</f>
        <v>-</v>
      </c>
      <c r="T1529" s="62">
        <f>IF($C1529="B",INDEX(Batters[[#All],[Rnk]],MATCH(Table5[[#This Row],[PID]],Batters[[#All],[PID]],0)),INDEX(Table3[[#All],[Rnk]],MATCH(Table5[[#This Row],[PID]],Table3[[#All],[PID]],0)))</f>
        <v>746</v>
      </c>
      <c r="U1529" s="68">
        <f>IF($C1529="B",VLOOKUP($A1529,Bat!$A$4:$BA$1621,47,FALSE),VLOOKUP($A1529,Pit!$A$4:$BF$1557,56,FALSE))</f>
        <v>0</v>
      </c>
      <c r="V1529" s="50">
        <f>IF($C1529="B",VLOOKUP($A1529,Bat!$A$4:$BA$1621,48,FALSE),VLOOKUP($A1529,Pit!$A$4:$BF$1557,57,FALSE))</f>
        <v>0</v>
      </c>
      <c r="W1529" s="50">
        <f>Table5[[#This Row],[posRnk]]+Table5[[#This Row],[zRnk]]+IF($W$3&lt;&gt;Table5[[#This Row],[Type]],50,0)</f>
        <v>2319</v>
      </c>
      <c r="X1529" s="51">
        <f>RANK(Table5[[#This Row],[zScore]],Table5[[#All],[zScore]])</f>
        <v>1523</v>
      </c>
      <c r="Y1529" s="50" t="str">
        <f>IFERROR(INDEX(DraftResults[[#All],[OVR]],MATCH(Table5[[#This Row],[PID]],DraftResults[[#All],[Player ID]],0)),"")</f>
        <v/>
      </c>
      <c r="Z152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29" s="50" t="str">
        <f>IFERROR(INDEX(DraftResults[[#All],[Pick in Round]],MATCH(Table5[[#This Row],[PID]],DraftResults[[#All],[Player ID]],0)),"")</f>
        <v/>
      </c>
      <c r="AB1529" s="50" t="str">
        <f>IFERROR(INDEX(DraftResults[[#All],[Team Name]],MATCH(Table5[[#This Row],[PID]],DraftResults[[#All],[Player ID]],0)),"")</f>
        <v/>
      </c>
      <c r="AC1529" s="50" t="str">
        <f>IF(Table5[[#This Row],[Ovr]]="","",IF(Table5[[#This Row],[cmbList]]="","",Table5[[#This Row],[cmbList]]-Table5[[#This Row],[Ovr]]))</f>
        <v/>
      </c>
      <c r="AD1529" s="54" t="str">
        <f>IF(ISERROR(VLOOKUP($AB1529&amp;"-"&amp;$E1529&amp;" "&amp;F1529,Bonuses!$B$1:$G$1006,4,FALSE)),"",INT(VLOOKUP($AB1529&amp;"-"&amp;$E1529&amp;" "&amp;$F1529,Bonuses!$B$1:$G$1006,4,FALSE)))</f>
        <v/>
      </c>
      <c r="AE152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0" spans="1:31" x14ac:dyDescent="0.25">
      <c r="A1530" s="50">
        <v>11950</v>
      </c>
      <c r="B1530" s="50">
        <f>COUNTIF(Table5[PID],A1530)</f>
        <v>1</v>
      </c>
      <c r="C1530" s="50" t="str">
        <f>IF(COUNTIF(Table3[[#All],[PID]],A1530)&gt;0,"P","B")</f>
        <v>B</v>
      </c>
      <c r="D1530" s="59" t="str">
        <f>IF($C1530="B",INDEX(Batters[[#All],[POS]],MATCH(Table5[[#This Row],[PID]],Batters[[#All],[PID]],0)),INDEX(Table3[[#All],[POS]],MATCH(Table5[[#This Row],[PID]],Table3[[#All],[PID]],0)))</f>
        <v>1B</v>
      </c>
      <c r="E1530" s="52" t="str">
        <f>IF($C1530="B",INDEX(Batters[[#All],[First]],MATCH(Table5[[#This Row],[PID]],Batters[[#All],[PID]],0)),INDEX(Table3[[#All],[First]],MATCH(Table5[[#This Row],[PID]],Table3[[#All],[PID]],0)))</f>
        <v>Francisco</v>
      </c>
      <c r="F1530" s="50" t="str">
        <f>IF($C1530="B",INDEX(Batters[[#All],[Last]],MATCH(A1530,Batters[[#All],[PID]],0)),INDEX(Table3[[#All],[Last]],MATCH(A1530,Table3[[#All],[PID]],0)))</f>
        <v>Vega</v>
      </c>
      <c r="G1530" s="56">
        <f>IF($C1530="B",INDEX(Batters[[#All],[Age]],MATCH(Table5[[#This Row],[PID]],Batters[[#All],[PID]],0)),INDEX(Table3[[#All],[Age]],MATCH(Table5[[#This Row],[PID]],Table3[[#All],[PID]],0)))</f>
        <v>22</v>
      </c>
      <c r="H1530" s="52" t="str">
        <f>IF($C1530="B",INDEX(Batters[[#All],[B]],MATCH(Table5[[#This Row],[PID]],Batters[[#All],[PID]],0)),INDEX(Table3[[#All],[B]],MATCH(Table5[[#This Row],[PID]],Table3[[#All],[PID]],0)))</f>
        <v>R</v>
      </c>
      <c r="I1530" s="70" t="str">
        <f>IF($C1530="B",INDEX(Batters[[#All],[T]],MATCH(Table5[[#This Row],[PID]],Batters[[#All],[PID]],0)),INDEX(Table3[[#All],[T]],MATCH(Table5[[#This Row],[PID]],Table3[[#All],[PID]],0)))</f>
        <v>R</v>
      </c>
      <c r="J1530" s="52" t="str">
        <f>IF($C1530="B",INDEX(Batters[[#All],[WE]],MATCH(Table5[[#This Row],[PID]],Batters[[#All],[PID]],0)),INDEX(Table3[[#All],[WE]],MATCH(Table5[[#This Row],[PID]],Table3[[#All],[PID]],0)))</f>
        <v>Low</v>
      </c>
      <c r="K1530" s="52" t="str">
        <f>IF($C1530="B",INDEX(Batters[[#All],[INT]],MATCH(Table5[[#This Row],[PID]],Batters[[#All],[PID]],0)),INDEX(Table3[[#All],[INT]],MATCH(Table5[[#This Row],[PID]],Table3[[#All],[PID]],0)))</f>
        <v>Normal</v>
      </c>
      <c r="L1530" s="60">
        <f>IF($C1530="B",INDEX(Batters[[#All],[CON P]],MATCH(Table5[[#This Row],[PID]],Batters[[#All],[PID]],0)),INDEX(Table3[[#All],[STU P]],MATCH(Table5[[#This Row],[PID]],Table3[[#All],[PID]],0)))</f>
        <v>2</v>
      </c>
      <c r="M1530" s="56">
        <f>IF($C1530="B",INDEX(Batters[[#All],[GAP P]],MATCH(Table5[[#This Row],[PID]],Batters[[#All],[PID]],0)),INDEX(Table3[[#All],[MOV P]],MATCH(Table5[[#This Row],[PID]],Table3[[#All],[PID]],0)))</f>
        <v>4</v>
      </c>
      <c r="N1530" s="56">
        <f>IF($C1530="B",INDEX(Batters[[#All],[POW P]],MATCH(Table5[[#This Row],[PID]],Batters[[#All],[PID]],0)),INDEX(Table3[[#All],[CON P]],MATCH(Table5[[#This Row],[PID]],Table3[[#All],[PID]],0)))</f>
        <v>3</v>
      </c>
      <c r="O1530" s="56">
        <f>IF($C1530="B",INDEX(Batters[[#All],[EYE P]],MATCH(Table5[[#This Row],[PID]],Batters[[#All],[PID]],0)),INDEX(Table3[[#All],[VELO]],MATCH(Table5[[#This Row],[PID]],Table3[[#All],[PID]],0)))</f>
        <v>4</v>
      </c>
      <c r="P1530" s="56">
        <f>IF($C1530="B",INDEX(Batters[[#All],[K P]],MATCH(Table5[[#This Row],[PID]],Batters[[#All],[PID]],0)),INDEX(Table3[[#All],[STM]],MATCH(Table5[[#This Row],[PID]],Table3[[#All],[PID]],0)))</f>
        <v>2</v>
      </c>
      <c r="Q1530" s="61">
        <f>IF($C1530="B",INDEX(Batters[[#All],[Tot]],MATCH(Table5[[#This Row],[PID]],Batters[[#All],[PID]],0)),INDEX(Table3[[#All],[Tot]],MATCH(Table5[[#This Row],[PID]],Table3[[#All],[PID]],0)))</f>
        <v>30.763869994880572</v>
      </c>
      <c r="R1530" s="70">
        <f>IF($C1530="B",INDEX(Batters[[#All],[zScore]],MATCH(Table5[[#This Row],[PID]],Batters[[#All],[PID]],0)),INDEX(Table3[[#All],[zScore]],MATCH(Table5[[#This Row],[PID]],Table3[[#All],[PID]],0)))</f>
        <v>-2.9637914181865233</v>
      </c>
      <c r="S1530" s="79" t="str">
        <f>IF($C1530="B",INDEX(Batters[[#All],[DEM]],MATCH(Table5[[#This Row],[PID]],Batters[[#All],[PID]],0)),INDEX(Table3[[#All],[DEM]],MATCH(Table5[[#This Row],[PID]],Table3[[#All],[PID]],0)))</f>
        <v>-</v>
      </c>
      <c r="T1530" s="62">
        <f>IF($C1530="B",INDEX(Batters[[#All],[Rnk]],MATCH(Table5[[#This Row],[PID]],Batters[[#All],[PID]],0)),INDEX(Table3[[#All],[Rnk]],MATCH(Table5[[#This Row],[PID]],Table3[[#All],[PID]],0)))</f>
        <v>747</v>
      </c>
      <c r="U1530" s="68">
        <f>IF($C1530="B",VLOOKUP($A1530,Bat!$A$4:$BA$1621,47,FALSE),VLOOKUP($A1530,Pit!$A$4:$BF$1557,56,FALSE))</f>
        <v>0</v>
      </c>
      <c r="V1530" s="50">
        <f>IF($C1530="B",VLOOKUP($A1530,Bat!$A$4:$BA$1621,48,FALSE),VLOOKUP($A1530,Pit!$A$4:$BF$1557,57,FALSE))</f>
        <v>0</v>
      </c>
      <c r="W1530" s="50">
        <f>Table5[[#This Row],[posRnk]]+Table5[[#This Row],[zRnk]]+IF($W$3&lt;&gt;Table5[[#This Row],[Type]],50,0)</f>
        <v>2321</v>
      </c>
      <c r="X1530" s="51">
        <f>RANK(Table5[[#This Row],[zScore]],Table5[[#All],[zScore]])</f>
        <v>1524</v>
      </c>
      <c r="Y1530" s="50" t="str">
        <f>IFERROR(INDEX(DraftResults[[#All],[OVR]],MATCH(Table5[[#This Row],[PID]],DraftResults[[#All],[Player ID]],0)),"")</f>
        <v/>
      </c>
      <c r="Z153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0" s="50" t="str">
        <f>IFERROR(INDEX(DraftResults[[#All],[Pick in Round]],MATCH(Table5[[#This Row],[PID]],DraftResults[[#All],[Player ID]],0)),"")</f>
        <v/>
      </c>
      <c r="AB1530" s="50" t="str">
        <f>IFERROR(INDEX(DraftResults[[#All],[Team Name]],MATCH(Table5[[#This Row],[PID]],DraftResults[[#All],[Player ID]],0)),"")</f>
        <v/>
      </c>
      <c r="AC1530" s="50" t="str">
        <f>IF(Table5[[#This Row],[Ovr]]="","",IF(Table5[[#This Row],[cmbList]]="","",Table5[[#This Row],[cmbList]]-Table5[[#This Row],[Ovr]]))</f>
        <v/>
      </c>
      <c r="AD1530" s="54" t="str">
        <f>IF(ISERROR(VLOOKUP($AB1530&amp;"-"&amp;$E1530&amp;" "&amp;F1530,Bonuses!$B$1:$G$1006,4,FALSE)),"",INT(VLOOKUP($AB1530&amp;"-"&amp;$E1530&amp;" "&amp;$F1530,Bonuses!$B$1:$G$1006,4,FALSE)))</f>
        <v/>
      </c>
      <c r="AE153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1" spans="1:31" x14ac:dyDescent="0.25">
      <c r="A1531" s="50">
        <v>17997</v>
      </c>
      <c r="B1531" s="50">
        <f>COUNTIF(Table5[PID],A1531)</f>
        <v>1</v>
      </c>
      <c r="C1531" s="50" t="str">
        <f>IF(COUNTIF(Table3[[#All],[PID]],A1531)&gt;0,"P","B")</f>
        <v>B</v>
      </c>
      <c r="D1531" s="59" t="str">
        <f>IF($C1531="B",INDEX(Batters[[#All],[POS]],MATCH(Table5[[#This Row],[PID]],Batters[[#All],[PID]],0)),INDEX(Table3[[#All],[POS]],MATCH(Table5[[#This Row],[PID]],Table3[[#All],[PID]],0)))</f>
        <v>C</v>
      </c>
      <c r="E1531" s="52" t="str">
        <f>IF($C1531="B",INDEX(Batters[[#All],[First]],MATCH(Table5[[#This Row],[PID]],Batters[[#All],[PID]],0)),INDEX(Table3[[#All],[First]],MATCH(Table5[[#This Row],[PID]],Table3[[#All],[PID]],0)))</f>
        <v>Miguel</v>
      </c>
      <c r="F1531" s="50" t="str">
        <f>IF($C1531="B",INDEX(Batters[[#All],[Last]],MATCH(A1531,Batters[[#All],[PID]],0)),INDEX(Table3[[#All],[Last]],MATCH(A1531,Table3[[#All],[PID]],0)))</f>
        <v>Navarro</v>
      </c>
      <c r="G1531" s="56">
        <f>IF($C1531="B",INDEX(Batters[[#All],[Age]],MATCH(Table5[[#This Row],[PID]],Batters[[#All],[PID]],0)),INDEX(Table3[[#All],[Age]],MATCH(Table5[[#This Row],[PID]],Table3[[#All],[PID]],0)))</f>
        <v>22</v>
      </c>
      <c r="H1531" s="52" t="str">
        <f>IF($C1531="B",INDEX(Batters[[#All],[B]],MATCH(Table5[[#This Row],[PID]],Batters[[#All],[PID]],0)),INDEX(Table3[[#All],[B]],MATCH(Table5[[#This Row],[PID]],Table3[[#All],[PID]],0)))</f>
        <v>R</v>
      </c>
      <c r="I1531" s="70" t="str">
        <f>IF($C1531="B",INDEX(Batters[[#All],[T]],MATCH(Table5[[#This Row],[PID]],Batters[[#All],[PID]],0)),INDEX(Table3[[#All],[T]],MATCH(Table5[[#This Row],[PID]],Table3[[#All],[PID]],0)))</f>
        <v>R</v>
      </c>
      <c r="J1531" s="52" t="str">
        <f>IF($C1531="B",INDEX(Batters[[#All],[WE]],MATCH(Table5[[#This Row],[PID]],Batters[[#All],[PID]],0)),INDEX(Table3[[#All],[WE]],MATCH(Table5[[#This Row],[PID]],Table3[[#All],[PID]],0)))</f>
        <v>Low</v>
      </c>
      <c r="K1531" s="52" t="str">
        <f>IF($C1531="B",INDEX(Batters[[#All],[INT]],MATCH(Table5[[#This Row],[PID]],Batters[[#All],[PID]],0)),INDEX(Table3[[#All],[INT]],MATCH(Table5[[#This Row],[PID]],Table3[[#All],[PID]],0)))</f>
        <v>Normal</v>
      </c>
      <c r="L1531" s="60">
        <f>IF($C1531="B",INDEX(Batters[[#All],[CON P]],MATCH(Table5[[#This Row],[PID]],Batters[[#All],[PID]],0)),INDEX(Table3[[#All],[STU P]],MATCH(Table5[[#This Row],[PID]],Table3[[#All],[PID]],0)))</f>
        <v>2</v>
      </c>
      <c r="M1531" s="56">
        <f>IF($C1531="B",INDEX(Batters[[#All],[GAP P]],MATCH(Table5[[#This Row],[PID]],Batters[[#All],[PID]],0)),INDEX(Table3[[#All],[MOV P]],MATCH(Table5[[#This Row],[PID]],Table3[[#All],[PID]],0)))</f>
        <v>3</v>
      </c>
      <c r="N1531" s="56">
        <f>IF($C1531="B",INDEX(Batters[[#All],[POW P]],MATCH(Table5[[#This Row],[PID]],Batters[[#All],[PID]],0)),INDEX(Table3[[#All],[CON P]],MATCH(Table5[[#This Row],[PID]],Table3[[#All],[PID]],0)))</f>
        <v>4</v>
      </c>
      <c r="O1531" s="56">
        <f>IF($C1531="B",INDEX(Batters[[#All],[EYE P]],MATCH(Table5[[#This Row],[PID]],Batters[[#All],[PID]],0)),INDEX(Table3[[#All],[VELO]],MATCH(Table5[[#This Row],[PID]],Table3[[#All],[PID]],0)))</f>
        <v>3</v>
      </c>
      <c r="P1531" s="56">
        <f>IF($C1531="B",INDEX(Batters[[#All],[K P]],MATCH(Table5[[#This Row],[PID]],Batters[[#All],[PID]],0)),INDEX(Table3[[#All],[STM]],MATCH(Table5[[#This Row],[PID]],Table3[[#All],[PID]],0)))</f>
        <v>3</v>
      </c>
      <c r="Q1531" s="61">
        <f>IF($C1531="B",INDEX(Batters[[#All],[Tot]],MATCH(Table5[[#This Row],[PID]],Batters[[#All],[PID]],0)),INDEX(Table3[[#All],[Tot]],MATCH(Table5[[#This Row],[PID]],Table3[[#All],[PID]],0)))</f>
        <v>30.724855474052287</v>
      </c>
      <c r="R1531" s="70">
        <f>IF($C1531="B",INDEX(Batters[[#All],[zScore]],MATCH(Table5[[#This Row],[PID]],Batters[[#All],[PID]],0)),INDEX(Table3[[#All],[zScore]],MATCH(Table5[[#This Row],[PID]],Table3[[#All],[PID]],0)))</f>
        <v>-2.9724412011678405</v>
      </c>
      <c r="S1531" s="79" t="str">
        <f>IF($C1531="B",INDEX(Batters[[#All],[DEM]],MATCH(Table5[[#This Row],[PID]],Batters[[#All],[PID]],0)),INDEX(Table3[[#All],[DEM]],MATCH(Table5[[#This Row],[PID]],Table3[[#All],[PID]],0)))</f>
        <v>-</v>
      </c>
      <c r="T1531" s="62">
        <f>IF($C1531="B",INDEX(Batters[[#All],[Rnk]],MATCH(Table5[[#This Row],[PID]],Batters[[#All],[PID]],0)),INDEX(Table3[[#All],[Rnk]],MATCH(Table5[[#This Row],[PID]],Table3[[#All],[PID]],0)))</f>
        <v>749</v>
      </c>
      <c r="U1531" s="68">
        <f>IF($C1531="B",VLOOKUP($A1531,Bat!$A$4:$BA$1621,47,FALSE),VLOOKUP($A1531,Pit!$A$4:$BF$1557,56,FALSE))</f>
        <v>0</v>
      </c>
      <c r="V1531" s="50">
        <f>IF($C1531="B",VLOOKUP($A1531,Bat!$A$4:$BA$1621,48,FALSE),VLOOKUP($A1531,Pit!$A$4:$BF$1557,57,FALSE))</f>
        <v>0</v>
      </c>
      <c r="W1531" s="50">
        <f>Table5[[#This Row],[posRnk]]+Table5[[#This Row],[zRnk]]+IF($W$3&lt;&gt;Table5[[#This Row],[Type]],50,0)</f>
        <v>2325</v>
      </c>
      <c r="X1531" s="51">
        <f>RANK(Table5[[#This Row],[zScore]],Table5[[#All],[zScore]])</f>
        <v>1526</v>
      </c>
      <c r="Y1531" s="50" t="str">
        <f>IFERROR(INDEX(DraftResults[[#All],[OVR]],MATCH(Table5[[#This Row],[PID]],DraftResults[[#All],[Player ID]],0)),"")</f>
        <v/>
      </c>
      <c r="Z153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1" s="50" t="str">
        <f>IFERROR(INDEX(DraftResults[[#All],[Pick in Round]],MATCH(Table5[[#This Row],[PID]],DraftResults[[#All],[Player ID]],0)),"")</f>
        <v/>
      </c>
      <c r="AB1531" s="50" t="str">
        <f>IFERROR(INDEX(DraftResults[[#All],[Team Name]],MATCH(Table5[[#This Row],[PID]],DraftResults[[#All],[Player ID]],0)),"")</f>
        <v/>
      </c>
      <c r="AC1531" s="50" t="str">
        <f>IF(Table5[[#This Row],[Ovr]]="","",IF(Table5[[#This Row],[cmbList]]="","",Table5[[#This Row],[cmbList]]-Table5[[#This Row],[Ovr]]))</f>
        <v/>
      </c>
      <c r="AD1531" s="54" t="str">
        <f>IF(ISERROR(VLOOKUP($AB1531&amp;"-"&amp;$E1531&amp;" "&amp;F1531,Bonuses!$B$1:$G$1006,4,FALSE)),"",INT(VLOOKUP($AB1531&amp;"-"&amp;$E1531&amp;" "&amp;$F1531,Bonuses!$B$1:$G$1006,4,FALSE)))</f>
        <v/>
      </c>
      <c r="AE153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2" spans="1:31" x14ac:dyDescent="0.25">
      <c r="A1532" s="50">
        <v>12048</v>
      </c>
      <c r="B1532" s="50">
        <f>COUNTIF(Table5[PID],A1532)</f>
        <v>1</v>
      </c>
      <c r="C1532" s="50" t="str">
        <f>IF(COUNTIF(Table3[[#All],[PID]],A1532)&gt;0,"P","B")</f>
        <v>B</v>
      </c>
      <c r="D1532" s="59" t="str">
        <f>IF($C1532="B",INDEX(Batters[[#All],[POS]],MATCH(Table5[[#This Row],[PID]],Batters[[#All],[PID]],0)),INDEX(Table3[[#All],[POS]],MATCH(Table5[[#This Row],[PID]],Table3[[#All],[PID]],0)))</f>
        <v>3B</v>
      </c>
      <c r="E1532" s="52" t="str">
        <f>IF($C1532="B",INDEX(Batters[[#All],[First]],MATCH(Table5[[#This Row],[PID]],Batters[[#All],[PID]],0)),INDEX(Table3[[#All],[First]],MATCH(Table5[[#This Row],[PID]],Table3[[#All],[PID]],0)))</f>
        <v>Jason</v>
      </c>
      <c r="F1532" s="50" t="str">
        <f>IF($C1532="B",INDEX(Batters[[#All],[Last]],MATCH(A1532,Batters[[#All],[PID]],0)),INDEX(Table3[[#All],[Last]],MATCH(A1532,Table3[[#All],[PID]],0)))</f>
        <v>Greene</v>
      </c>
      <c r="G1532" s="56">
        <f>IF($C1532="B",INDEX(Batters[[#All],[Age]],MATCH(Table5[[#This Row],[PID]],Batters[[#All],[PID]],0)),INDEX(Table3[[#All],[Age]],MATCH(Table5[[#This Row],[PID]],Table3[[#All],[PID]],0)))</f>
        <v>22</v>
      </c>
      <c r="H1532" s="52" t="str">
        <f>IF($C1532="B",INDEX(Batters[[#All],[B]],MATCH(Table5[[#This Row],[PID]],Batters[[#All],[PID]],0)),INDEX(Table3[[#All],[B]],MATCH(Table5[[#This Row],[PID]],Table3[[#All],[PID]],0)))</f>
        <v>L</v>
      </c>
      <c r="I1532" s="70" t="str">
        <f>IF($C1532="B",INDEX(Batters[[#All],[T]],MATCH(Table5[[#This Row],[PID]],Batters[[#All],[PID]],0)),INDEX(Table3[[#All],[T]],MATCH(Table5[[#This Row],[PID]],Table3[[#All],[PID]],0)))</f>
        <v>R</v>
      </c>
      <c r="J1532" s="52" t="str">
        <f>IF($C1532="B",INDEX(Batters[[#All],[WE]],MATCH(Table5[[#This Row],[PID]],Batters[[#All],[PID]],0)),INDEX(Table3[[#All],[WE]],MATCH(Table5[[#This Row],[PID]],Table3[[#All],[PID]],0)))</f>
        <v>Normal</v>
      </c>
      <c r="K1532" s="52" t="str">
        <f>IF($C1532="B",INDEX(Batters[[#All],[INT]],MATCH(Table5[[#This Row],[PID]],Batters[[#All],[PID]],0)),INDEX(Table3[[#All],[INT]],MATCH(Table5[[#This Row],[PID]],Table3[[#All],[PID]],0)))</f>
        <v>Low</v>
      </c>
      <c r="L1532" s="60">
        <f>IF($C1532="B",INDEX(Batters[[#All],[CON P]],MATCH(Table5[[#This Row],[PID]],Batters[[#All],[PID]],0)),INDEX(Table3[[#All],[STU P]],MATCH(Table5[[#This Row],[PID]],Table3[[#All],[PID]],0)))</f>
        <v>2</v>
      </c>
      <c r="M1532" s="56">
        <f>IF($C1532="B",INDEX(Batters[[#All],[GAP P]],MATCH(Table5[[#This Row],[PID]],Batters[[#All],[PID]],0)),INDEX(Table3[[#All],[MOV P]],MATCH(Table5[[#This Row],[PID]],Table3[[#All],[PID]],0)))</f>
        <v>2</v>
      </c>
      <c r="N1532" s="56">
        <f>IF($C1532="B",INDEX(Batters[[#All],[POW P]],MATCH(Table5[[#This Row],[PID]],Batters[[#All],[PID]],0)),INDEX(Table3[[#All],[CON P]],MATCH(Table5[[#This Row],[PID]],Table3[[#All],[PID]],0)))</f>
        <v>3</v>
      </c>
      <c r="O1532" s="56">
        <f>IF($C1532="B",INDEX(Batters[[#All],[EYE P]],MATCH(Table5[[#This Row],[PID]],Batters[[#All],[PID]],0)),INDEX(Table3[[#All],[VELO]],MATCH(Table5[[#This Row],[PID]],Table3[[#All],[PID]],0)))</f>
        <v>4</v>
      </c>
      <c r="P1532" s="56">
        <f>IF($C1532="B",INDEX(Batters[[#All],[K P]],MATCH(Table5[[#This Row],[PID]],Batters[[#All],[PID]],0)),INDEX(Table3[[#All],[STM]],MATCH(Table5[[#This Row],[PID]],Table3[[#All],[PID]],0)))</f>
        <v>2</v>
      </c>
      <c r="Q1532" s="61">
        <f>IF($C1532="B",INDEX(Batters[[#All],[Tot]],MATCH(Table5[[#This Row],[PID]],Batters[[#All],[PID]],0)),INDEX(Table3[[#All],[Tot]],MATCH(Table5[[#This Row],[PID]],Table3[[#All],[PID]],0)))</f>
        <v>30.433326896069818</v>
      </c>
      <c r="R1532" s="70">
        <f>IF($C1532="B",INDEX(Batters[[#All],[zScore]],MATCH(Table5[[#This Row],[PID]],Batters[[#All],[PID]],0)),INDEX(Table3[[#All],[zScore]],MATCH(Table5[[#This Row],[PID]],Table3[[#All],[PID]],0)))</f>
        <v>-3.0370750574568595</v>
      </c>
      <c r="S1532" s="79" t="str">
        <f>IF($C1532="B",INDEX(Batters[[#All],[DEM]],MATCH(Table5[[#This Row],[PID]],Batters[[#All],[PID]],0)),INDEX(Table3[[#All],[DEM]],MATCH(Table5[[#This Row],[PID]],Table3[[#All],[PID]],0)))</f>
        <v>-</v>
      </c>
      <c r="T1532" s="62">
        <f>IF($C1532="B",INDEX(Batters[[#All],[Rnk]],MATCH(Table5[[#This Row],[PID]],Batters[[#All],[PID]],0)),INDEX(Table3[[#All],[Rnk]],MATCH(Table5[[#This Row],[PID]],Table3[[#All],[PID]],0)))</f>
        <v>750</v>
      </c>
      <c r="U1532" s="68">
        <f>IF($C1532="B",VLOOKUP($A1532,Bat!$A$4:$BA$1621,47,FALSE),VLOOKUP($A1532,Pit!$A$4:$BF$1557,56,FALSE))</f>
        <v>0</v>
      </c>
      <c r="V1532" s="50">
        <f>IF($C1532="B",VLOOKUP($A1532,Bat!$A$4:$BA$1621,48,FALSE),VLOOKUP($A1532,Pit!$A$4:$BF$1557,57,FALSE))</f>
        <v>0</v>
      </c>
      <c r="W1532" s="50">
        <f>Table5[[#This Row],[posRnk]]+Table5[[#This Row],[zRnk]]+IF($W$3&lt;&gt;Table5[[#This Row],[Type]],50,0)</f>
        <v>2327</v>
      </c>
      <c r="X1532" s="51">
        <f>RANK(Table5[[#This Row],[zScore]],Table5[[#All],[zScore]])</f>
        <v>1527</v>
      </c>
      <c r="Y1532" s="50" t="str">
        <f>IFERROR(INDEX(DraftResults[[#All],[OVR]],MATCH(Table5[[#This Row],[PID]],DraftResults[[#All],[Player ID]],0)),"")</f>
        <v/>
      </c>
      <c r="Z153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2" s="50" t="str">
        <f>IFERROR(INDEX(DraftResults[[#All],[Pick in Round]],MATCH(Table5[[#This Row],[PID]],DraftResults[[#All],[Player ID]],0)),"")</f>
        <v/>
      </c>
      <c r="AB1532" s="50" t="str">
        <f>IFERROR(INDEX(DraftResults[[#All],[Team Name]],MATCH(Table5[[#This Row],[PID]],DraftResults[[#All],[Player ID]],0)),"")</f>
        <v/>
      </c>
      <c r="AC1532" s="50" t="str">
        <f>IF(Table5[[#This Row],[Ovr]]="","",IF(Table5[[#This Row],[cmbList]]="","",Table5[[#This Row],[cmbList]]-Table5[[#This Row],[Ovr]]))</f>
        <v/>
      </c>
      <c r="AD1532" s="54" t="str">
        <f>IF(ISERROR(VLOOKUP($AB1532&amp;"-"&amp;$E1532&amp;" "&amp;F1532,Bonuses!$B$1:$G$1006,4,FALSE)),"",INT(VLOOKUP($AB1532&amp;"-"&amp;$E1532&amp;" "&amp;$F1532,Bonuses!$B$1:$G$1006,4,FALSE)))</f>
        <v/>
      </c>
      <c r="AE153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3" spans="1:31" x14ac:dyDescent="0.25">
      <c r="A1533" s="50">
        <v>6138</v>
      </c>
      <c r="B1533" s="55">
        <f>COUNTIF(Table5[PID],A1533)</f>
        <v>1</v>
      </c>
      <c r="C1533" s="55" t="str">
        <f>IF(COUNTIF(Table3[[#All],[PID]],A1533)&gt;0,"P","B")</f>
        <v>B</v>
      </c>
      <c r="D1533" s="59" t="str">
        <f>IF($C1533="B",INDEX(Batters[[#All],[POS]],MATCH(Table5[[#This Row],[PID]],Batters[[#All],[PID]],0)),INDEX(Table3[[#All],[POS]],MATCH(Table5[[#This Row],[PID]],Table3[[#All],[PID]],0)))</f>
        <v>1B</v>
      </c>
      <c r="E1533" s="52" t="str">
        <f>IF($C1533="B",INDEX(Batters[[#All],[First]],MATCH(Table5[[#This Row],[PID]],Batters[[#All],[PID]],0)),INDEX(Table3[[#All],[First]],MATCH(Table5[[#This Row],[PID]],Table3[[#All],[PID]],0)))</f>
        <v>David</v>
      </c>
      <c r="F1533" s="50" t="str">
        <f>IF($C1533="B",INDEX(Batters[[#All],[Last]],MATCH(A1533,Batters[[#All],[PID]],0)),INDEX(Table3[[#All],[Last]],MATCH(A1533,Table3[[#All],[PID]],0)))</f>
        <v>Madison</v>
      </c>
      <c r="G1533" s="56">
        <f>IF($C1533="B",INDEX(Batters[[#All],[Age]],MATCH(Table5[[#This Row],[PID]],Batters[[#All],[PID]],0)),INDEX(Table3[[#All],[Age]],MATCH(Table5[[#This Row],[PID]],Table3[[#All],[PID]],0)))</f>
        <v>22</v>
      </c>
      <c r="H1533" s="52" t="str">
        <f>IF($C1533="B",INDEX(Batters[[#All],[B]],MATCH(Table5[[#This Row],[PID]],Batters[[#All],[PID]],0)),INDEX(Table3[[#All],[B]],MATCH(Table5[[#This Row],[PID]],Table3[[#All],[PID]],0)))</f>
        <v>R</v>
      </c>
      <c r="I1533" s="70" t="str">
        <f>IF($C1533="B",INDEX(Batters[[#All],[T]],MATCH(Table5[[#This Row],[PID]],Batters[[#All],[PID]],0)),INDEX(Table3[[#All],[T]],MATCH(Table5[[#This Row],[PID]],Table3[[#All],[PID]],0)))</f>
        <v>R</v>
      </c>
      <c r="J1533" s="52" t="str">
        <f>IF($C1533="B",INDEX(Batters[[#All],[WE]],MATCH(Table5[[#This Row],[PID]],Batters[[#All],[PID]],0)),INDEX(Table3[[#All],[WE]],MATCH(Table5[[#This Row],[PID]],Table3[[#All],[PID]],0)))</f>
        <v>Low</v>
      </c>
      <c r="K1533" s="52" t="str">
        <f>IF($C1533="B",INDEX(Batters[[#All],[INT]],MATCH(Table5[[#This Row],[PID]],Batters[[#All],[PID]],0)),INDEX(Table3[[#All],[INT]],MATCH(Table5[[#This Row],[PID]],Table3[[#All],[PID]],0)))</f>
        <v>Normal</v>
      </c>
      <c r="L1533" s="60">
        <f>IF($C1533="B",INDEX(Batters[[#All],[CON P]],MATCH(Table5[[#This Row],[PID]],Batters[[#All],[PID]],0)),INDEX(Table3[[#All],[STU P]],MATCH(Table5[[#This Row],[PID]],Table3[[#All],[PID]],0)))</f>
        <v>3</v>
      </c>
      <c r="M1533" s="56">
        <f>IF($C1533="B",INDEX(Batters[[#All],[GAP P]],MATCH(Table5[[#This Row],[PID]],Batters[[#All],[PID]],0)),INDEX(Table3[[#All],[MOV P]],MATCH(Table5[[#This Row],[PID]],Table3[[#All],[PID]],0)))</f>
        <v>2</v>
      </c>
      <c r="N1533" s="56">
        <f>IF($C1533="B",INDEX(Batters[[#All],[POW P]],MATCH(Table5[[#This Row],[PID]],Batters[[#All],[PID]],0)),INDEX(Table3[[#All],[CON P]],MATCH(Table5[[#This Row],[PID]],Table3[[#All],[PID]],0)))</f>
        <v>2</v>
      </c>
      <c r="O1533" s="56">
        <f>IF($C1533="B",INDEX(Batters[[#All],[EYE P]],MATCH(Table5[[#This Row],[PID]],Batters[[#All],[PID]],0)),INDEX(Table3[[#All],[VELO]],MATCH(Table5[[#This Row],[PID]],Table3[[#All],[PID]],0)))</f>
        <v>1</v>
      </c>
      <c r="P1533" s="56">
        <f>IF($C1533="B",INDEX(Batters[[#All],[K P]],MATCH(Table5[[#This Row],[PID]],Batters[[#All],[PID]],0)),INDEX(Table3[[#All],[STM]],MATCH(Table5[[#This Row],[PID]],Table3[[#All],[PID]],0)))</f>
        <v>4</v>
      </c>
      <c r="Q1533" s="61">
        <f>IF($C1533="B",INDEX(Batters[[#All],[Tot]],MATCH(Table5[[#This Row],[PID]],Batters[[#All],[PID]],0)),INDEX(Table3[[#All],[Tot]],MATCH(Table5[[#This Row],[PID]],Table3[[#All],[PID]],0)))</f>
        <v>30.315393620081203</v>
      </c>
      <c r="R1533" s="70">
        <f>IF($C1533="B",INDEX(Batters[[#All],[zScore]],MATCH(Table5[[#This Row],[PID]],Batters[[#All],[PID]],0)),INDEX(Table3[[#All],[zScore]],MATCH(Table5[[#This Row],[PID]],Table3[[#All],[PID]],0)))</f>
        <v>-3.0632216618984991</v>
      </c>
      <c r="S1533" s="79" t="str">
        <f>IF($C1533="B",INDEX(Batters[[#All],[DEM]],MATCH(Table5[[#This Row],[PID]],Batters[[#All],[PID]],0)),INDEX(Table3[[#All],[DEM]],MATCH(Table5[[#This Row],[PID]],Table3[[#All],[PID]],0)))</f>
        <v>-</v>
      </c>
      <c r="T1533" s="62">
        <f>IF($C1533="B",INDEX(Batters[[#All],[Rnk]],MATCH(Table5[[#This Row],[PID]],Batters[[#All],[PID]],0)),INDEX(Table3[[#All],[Rnk]],MATCH(Table5[[#This Row],[PID]],Table3[[#All],[PID]],0)))</f>
        <v>751</v>
      </c>
      <c r="U1533" s="68">
        <f>IF($C1533="B",VLOOKUP($A1533,Bat!$A$4:$BA$1621,47,FALSE),VLOOKUP($A1533,Pit!$A$4:$BF$1557,56,FALSE))</f>
        <v>0</v>
      </c>
      <c r="V1533" s="50">
        <f>IF($C1533="B",VLOOKUP($A1533,Bat!$A$4:$BA$1621,48,FALSE),VLOOKUP($A1533,Pit!$A$4:$BF$1557,57,FALSE))</f>
        <v>0</v>
      </c>
      <c r="W1533" s="50">
        <f>Table5[[#This Row],[posRnk]]+Table5[[#This Row],[zRnk]]+IF($W$3&lt;&gt;Table5[[#This Row],[Type]],50,0)</f>
        <v>2329</v>
      </c>
      <c r="X1533" s="51">
        <f>RANK(Table5[[#This Row],[zScore]],Table5[[#All],[zScore]])</f>
        <v>1528</v>
      </c>
      <c r="Y1533" s="50" t="str">
        <f>IFERROR(INDEX(DraftResults[[#All],[OVR]],MATCH(Table5[[#This Row],[PID]],DraftResults[[#All],[Player ID]],0)),"")</f>
        <v/>
      </c>
      <c r="Z153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3" s="50" t="str">
        <f>IFERROR(INDEX(DraftResults[[#All],[Pick in Round]],MATCH(Table5[[#This Row],[PID]],DraftResults[[#All],[Player ID]],0)),"")</f>
        <v/>
      </c>
      <c r="AB1533" s="50" t="str">
        <f>IFERROR(INDEX(DraftResults[[#All],[Team Name]],MATCH(Table5[[#This Row],[PID]],DraftResults[[#All],[Player ID]],0)),"")</f>
        <v/>
      </c>
      <c r="AC1533" s="50" t="str">
        <f>IF(Table5[[#This Row],[Ovr]]="","",IF(Table5[[#This Row],[cmbList]]="","",Table5[[#This Row],[cmbList]]-Table5[[#This Row],[Ovr]]))</f>
        <v/>
      </c>
      <c r="AD1533" s="54" t="str">
        <f>IF(ISERROR(VLOOKUP($AB1533&amp;"-"&amp;$E1533&amp;" "&amp;F1533,Bonuses!$B$1:$G$1006,4,FALSE)),"",INT(VLOOKUP($AB1533&amp;"-"&amp;$E1533&amp;" "&amp;$F1533,Bonuses!$B$1:$G$1006,4,FALSE)))</f>
        <v/>
      </c>
      <c r="AE153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4" spans="1:31" x14ac:dyDescent="0.25">
      <c r="A1534" s="50">
        <v>8115</v>
      </c>
      <c r="B1534" s="50">
        <f>COUNTIF(Table5[PID],A1534)</f>
        <v>1</v>
      </c>
      <c r="C1534" s="50" t="str">
        <f>IF(COUNTIF(Table3[[#All],[PID]],A1534)&gt;0,"P","B")</f>
        <v>B</v>
      </c>
      <c r="D1534" s="59" t="str">
        <f>IF($C1534="B",INDEX(Batters[[#All],[POS]],MATCH(Table5[[#This Row],[PID]],Batters[[#All],[PID]],0)),INDEX(Table3[[#All],[POS]],MATCH(Table5[[#This Row],[PID]],Table3[[#All],[PID]],0)))</f>
        <v>C</v>
      </c>
      <c r="E1534" s="52" t="str">
        <f>IF($C1534="B",INDEX(Batters[[#All],[First]],MATCH(Table5[[#This Row],[PID]],Batters[[#All],[PID]],0)),INDEX(Table3[[#All],[First]],MATCH(Table5[[#This Row],[PID]],Table3[[#All],[PID]],0)))</f>
        <v>Takamasa</v>
      </c>
      <c r="F1534" s="50" t="str">
        <f>IF($C1534="B",INDEX(Batters[[#All],[Last]],MATCH(A1534,Batters[[#All],[PID]],0)),INDEX(Table3[[#All],[Last]],MATCH(A1534,Table3[[#All],[PID]],0)))</f>
        <v>Miyashita</v>
      </c>
      <c r="G1534" s="56">
        <f>IF($C1534="B",INDEX(Batters[[#All],[Age]],MATCH(Table5[[#This Row],[PID]],Batters[[#All],[PID]],0)),INDEX(Table3[[#All],[Age]],MATCH(Table5[[#This Row],[PID]],Table3[[#All],[PID]],0)))</f>
        <v>22</v>
      </c>
      <c r="H1534" s="52" t="str">
        <f>IF($C1534="B",INDEX(Batters[[#All],[B]],MATCH(Table5[[#This Row],[PID]],Batters[[#All],[PID]],0)),INDEX(Table3[[#All],[B]],MATCH(Table5[[#This Row],[PID]],Table3[[#All],[PID]],0)))</f>
        <v>R</v>
      </c>
      <c r="I1534" s="70" t="str">
        <f>IF($C1534="B",INDEX(Batters[[#All],[T]],MATCH(Table5[[#This Row],[PID]],Batters[[#All],[PID]],0)),INDEX(Table3[[#All],[T]],MATCH(Table5[[#This Row],[PID]],Table3[[#All],[PID]],0)))</f>
        <v>R</v>
      </c>
      <c r="J1534" s="52" t="str">
        <f>IF($C1534="B",INDEX(Batters[[#All],[WE]],MATCH(Table5[[#This Row],[PID]],Batters[[#All],[PID]],0)),INDEX(Table3[[#All],[WE]],MATCH(Table5[[#This Row],[PID]],Table3[[#All],[PID]],0)))</f>
        <v>Low</v>
      </c>
      <c r="K1534" s="52" t="str">
        <f>IF($C1534="B",INDEX(Batters[[#All],[INT]],MATCH(Table5[[#This Row],[PID]],Batters[[#All],[PID]],0)),INDEX(Table3[[#All],[INT]],MATCH(Table5[[#This Row],[PID]],Table3[[#All],[PID]],0)))</f>
        <v>Normal</v>
      </c>
      <c r="L1534" s="60">
        <f>IF($C1534="B",INDEX(Batters[[#All],[CON P]],MATCH(Table5[[#This Row],[PID]],Batters[[#All],[PID]],0)),INDEX(Table3[[#All],[STU P]],MATCH(Table5[[#This Row],[PID]],Table3[[#All],[PID]],0)))</f>
        <v>2</v>
      </c>
      <c r="M1534" s="56">
        <f>IF($C1534="B",INDEX(Batters[[#All],[GAP P]],MATCH(Table5[[#This Row],[PID]],Batters[[#All],[PID]],0)),INDEX(Table3[[#All],[MOV P]],MATCH(Table5[[#This Row],[PID]],Table3[[#All],[PID]],0)))</f>
        <v>2</v>
      </c>
      <c r="N1534" s="56">
        <f>IF($C1534="B",INDEX(Batters[[#All],[POW P]],MATCH(Table5[[#This Row],[PID]],Batters[[#All],[PID]],0)),INDEX(Table3[[#All],[CON P]],MATCH(Table5[[#This Row],[PID]],Table3[[#All],[PID]],0)))</f>
        <v>3</v>
      </c>
      <c r="O1534" s="56">
        <f>IF($C1534="B",INDEX(Batters[[#All],[EYE P]],MATCH(Table5[[#This Row],[PID]],Batters[[#All],[PID]],0)),INDEX(Table3[[#All],[VELO]],MATCH(Table5[[#This Row],[PID]],Table3[[#All],[PID]],0)))</f>
        <v>4</v>
      </c>
      <c r="P1534" s="56">
        <f>IF($C1534="B",INDEX(Batters[[#All],[K P]],MATCH(Table5[[#This Row],[PID]],Batters[[#All],[PID]],0)),INDEX(Table3[[#All],[STM]],MATCH(Table5[[#This Row],[PID]],Table3[[#All],[PID]],0)))</f>
        <v>3</v>
      </c>
      <c r="Q1534" s="61">
        <f>IF($C1534="B",INDEX(Batters[[#All],[Tot]],MATCH(Table5[[#This Row],[PID]],Batters[[#All],[PID]],0)),INDEX(Table3[[#All],[Tot]],MATCH(Table5[[#This Row],[PID]],Table3[[#All],[PID]],0)))</f>
        <v>30.204084706897479</v>
      </c>
      <c r="R1534" s="70">
        <f>IF($C1534="B",INDEX(Batters[[#All],[zScore]],MATCH(Table5[[#This Row],[PID]],Batters[[#All],[PID]],0)),INDEX(Table3[[#All],[zScore]],MATCH(Table5[[#This Row],[PID]],Table3[[#All],[PID]],0)))</f>
        <v>-3.0878996003297576</v>
      </c>
      <c r="S1534" s="79" t="str">
        <f>IF($C1534="B",INDEX(Batters[[#All],[DEM]],MATCH(Table5[[#This Row],[PID]],Batters[[#All],[PID]],0)),INDEX(Table3[[#All],[DEM]],MATCH(Table5[[#This Row],[PID]],Table3[[#All],[PID]],0)))</f>
        <v>-</v>
      </c>
      <c r="T1534" s="62">
        <f>IF($C1534="B",INDEX(Batters[[#All],[Rnk]],MATCH(Table5[[#This Row],[PID]],Batters[[#All],[PID]],0)),INDEX(Table3[[#All],[Rnk]],MATCH(Table5[[#This Row],[PID]],Table3[[#All],[PID]],0)))</f>
        <v>752</v>
      </c>
      <c r="U1534" s="68">
        <f>IF($C1534="B",VLOOKUP($A1534,Bat!$A$4:$BA$1621,47,FALSE),VLOOKUP($A1534,Pit!$A$4:$BF$1557,56,FALSE))</f>
        <v>0</v>
      </c>
      <c r="V1534" s="50">
        <f>IF($C1534="B",VLOOKUP($A1534,Bat!$A$4:$BA$1621,48,FALSE),VLOOKUP($A1534,Pit!$A$4:$BF$1557,57,FALSE))</f>
        <v>0</v>
      </c>
      <c r="W1534" s="50">
        <f>Table5[[#This Row],[posRnk]]+Table5[[#This Row],[zRnk]]+IF($W$3&lt;&gt;Table5[[#This Row],[Type]],50,0)</f>
        <v>2331</v>
      </c>
      <c r="X1534" s="51">
        <f>RANK(Table5[[#This Row],[zScore]],Table5[[#All],[zScore]])</f>
        <v>1529</v>
      </c>
      <c r="Y1534" s="50" t="str">
        <f>IFERROR(INDEX(DraftResults[[#All],[OVR]],MATCH(Table5[[#This Row],[PID]],DraftResults[[#All],[Player ID]],0)),"")</f>
        <v/>
      </c>
      <c r="Z1534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4" s="50" t="str">
        <f>IFERROR(INDEX(DraftResults[[#All],[Pick in Round]],MATCH(Table5[[#This Row],[PID]],DraftResults[[#All],[Player ID]],0)),"")</f>
        <v/>
      </c>
      <c r="AB1534" s="50" t="str">
        <f>IFERROR(INDEX(DraftResults[[#All],[Team Name]],MATCH(Table5[[#This Row],[PID]],DraftResults[[#All],[Player ID]],0)),"")</f>
        <v/>
      </c>
      <c r="AC1534" s="50" t="str">
        <f>IF(Table5[[#This Row],[Ovr]]="","",IF(Table5[[#This Row],[cmbList]]="","",Table5[[#This Row],[cmbList]]-Table5[[#This Row],[Ovr]]))</f>
        <v/>
      </c>
      <c r="AD1534" s="54" t="str">
        <f>IF(ISERROR(VLOOKUP($AB1534&amp;"-"&amp;$E1534&amp;" "&amp;F1534,Bonuses!$B$1:$G$1006,4,FALSE)),"",INT(VLOOKUP($AB1534&amp;"-"&amp;$E1534&amp;" "&amp;$F1534,Bonuses!$B$1:$G$1006,4,FALSE)))</f>
        <v/>
      </c>
      <c r="AE1534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5" spans="1:31" x14ac:dyDescent="0.25">
      <c r="A1535" s="50">
        <v>9720</v>
      </c>
      <c r="B1535" s="55">
        <f>COUNTIF(Table5[PID],A1535)</f>
        <v>1</v>
      </c>
      <c r="C1535" s="55" t="str">
        <f>IF(COUNTIF(Table3[[#All],[PID]],A1535)&gt;0,"P","B")</f>
        <v>B</v>
      </c>
      <c r="D1535" s="59" t="str">
        <f>IF($C1535="B",INDEX(Batters[[#All],[POS]],MATCH(Table5[[#This Row],[PID]],Batters[[#All],[PID]],0)),INDEX(Table3[[#All],[POS]],MATCH(Table5[[#This Row],[PID]],Table3[[#All],[PID]],0)))</f>
        <v>1B</v>
      </c>
      <c r="E1535" s="52" t="str">
        <f>IF($C1535="B",INDEX(Batters[[#All],[First]],MATCH(Table5[[#This Row],[PID]],Batters[[#All],[PID]],0)),INDEX(Table3[[#All],[First]],MATCH(Table5[[#This Row],[PID]],Table3[[#All],[PID]],0)))</f>
        <v>Carl</v>
      </c>
      <c r="F1535" s="50" t="str">
        <f>IF($C1535="B",INDEX(Batters[[#All],[Last]],MATCH(A1535,Batters[[#All],[PID]],0)),INDEX(Table3[[#All],[Last]],MATCH(A1535,Table3[[#All],[PID]],0)))</f>
        <v>Lee</v>
      </c>
      <c r="G1535" s="56">
        <f>IF($C1535="B",INDEX(Batters[[#All],[Age]],MATCH(Table5[[#This Row],[PID]],Batters[[#All],[PID]],0)),INDEX(Table3[[#All],[Age]],MATCH(Table5[[#This Row],[PID]],Table3[[#All],[PID]],0)))</f>
        <v>22</v>
      </c>
      <c r="H1535" s="52" t="str">
        <f>IF($C1535="B",INDEX(Batters[[#All],[B]],MATCH(Table5[[#This Row],[PID]],Batters[[#All],[PID]],0)),INDEX(Table3[[#All],[B]],MATCH(Table5[[#This Row],[PID]],Table3[[#All],[PID]],0)))</f>
        <v>R</v>
      </c>
      <c r="I1535" s="70" t="str">
        <f>IF($C1535="B",INDEX(Batters[[#All],[T]],MATCH(Table5[[#This Row],[PID]],Batters[[#All],[PID]],0)),INDEX(Table3[[#All],[T]],MATCH(Table5[[#This Row],[PID]],Table3[[#All],[PID]],0)))</f>
        <v>L</v>
      </c>
      <c r="J1535" s="52" t="str">
        <f>IF($C1535="B",INDEX(Batters[[#All],[WE]],MATCH(Table5[[#This Row],[PID]],Batters[[#All],[PID]],0)),INDEX(Table3[[#All],[WE]],MATCH(Table5[[#This Row],[PID]],Table3[[#All],[PID]],0)))</f>
        <v>Normal</v>
      </c>
      <c r="K1535" s="52" t="str">
        <f>IF($C1535="B",INDEX(Batters[[#All],[INT]],MATCH(Table5[[#This Row],[PID]],Batters[[#All],[PID]],0)),INDEX(Table3[[#All],[INT]],MATCH(Table5[[#This Row],[PID]],Table3[[#All],[PID]],0)))</f>
        <v>Normal</v>
      </c>
      <c r="L1535" s="60">
        <f>IF($C1535="B",INDEX(Batters[[#All],[CON P]],MATCH(Table5[[#This Row],[PID]],Batters[[#All],[PID]],0)),INDEX(Table3[[#All],[STU P]],MATCH(Table5[[#This Row],[PID]],Table3[[#All],[PID]],0)))</f>
        <v>3</v>
      </c>
      <c r="M1535" s="56">
        <f>IF($C1535="B",INDEX(Batters[[#All],[GAP P]],MATCH(Table5[[#This Row],[PID]],Batters[[#All],[PID]],0)),INDEX(Table3[[#All],[MOV P]],MATCH(Table5[[#This Row],[PID]],Table3[[#All],[PID]],0)))</f>
        <v>2</v>
      </c>
      <c r="N1535" s="56">
        <f>IF($C1535="B",INDEX(Batters[[#All],[POW P]],MATCH(Table5[[#This Row],[PID]],Batters[[#All],[PID]],0)),INDEX(Table3[[#All],[CON P]],MATCH(Table5[[#This Row],[PID]],Table3[[#All],[PID]],0)))</f>
        <v>2</v>
      </c>
      <c r="O1535" s="56">
        <f>IF($C1535="B",INDEX(Batters[[#All],[EYE P]],MATCH(Table5[[#This Row],[PID]],Batters[[#All],[PID]],0)),INDEX(Table3[[#All],[VELO]],MATCH(Table5[[#This Row],[PID]],Table3[[#All],[PID]],0)))</f>
        <v>1</v>
      </c>
      <c r="P1535" s="56">
        <f>IF($C1535="B",INDEX(Batters[[#All],[K P]],MATCH(Table5[[#This Row],[PID]],Batters[[#All],[PID]],0)),INDEX(Table3[[#All],[STM]],MATCH(Table5[[#This Row],[PID]],Table3[[#All],[PID]],0)))</f>
        <v>3</v>
      </c>
      <c r="Q1535" s="61">
        <f>IF($C1535="B",INDEX(Batters[[#All],[Tot]],MATCH(Table5[[#This Row],[PID]],Batters[[#All],[PID]],0)),INDEX(Table3[[#All],[Tot]],MATCH(Table5[[#This Row],[PID]],Table3[[#All],[PID]],0)))</f>
        <v>30.168557479876632</v>
      </c>
      <c r="R1535" s="70">
        <f>IF($C1535="B",INDEX(Batters[[#All],[zScore]],MATCH(Table5[[#This Row],[PID]],Batters[[#All],[PID]],0)),INDEX(Table3[[#All],[zScore]],MATCH(Table5[[#This Row],[PID]],Table3[[#All],[PID]],0)))</f>
        <v>-3.0957762267020472</v>
      </c>
      <c r="S1535" s="79" t="str">
        <f>IF($C1535="B",INDEX(Batters[[#All],[DEM]],MATCH(Table5[[#This Row],[PID]],Batters[[#All],[PID]],0)),INDEX(Table3[[#All],[DEM]],MATCH(Table5[[#This Row],[PID]],Table3[[#All],[PID]],0)))</f>
        <v>-</v>
      </c>
      <c r="T1535" s="62">
        <f>IF($C1535="B",INDEX(Batters[[#All],[Rnk]],MATCH(Table5[[#This Row],[PID]],Batters[[#All],[PID]],0)),INDEX(Table3[[#All],[Rnk]],MATCH(Table5[[#This Row],[PID]],Table3[[#All],[PID]],0)))</f>
        <v>753</v>
      </c>
      <c r="U1535" s="68">
        <f>IF($C1535="B",VLOOKUP($A1535,Bat!$A$4:$BA$1621,47,FALSE),VLOOKUP($A1535,Pit!$A$4:$BF$1557,56,FALSE))</f>
        <v>0</v>
      </c>
      <c r="V1535" s="50">
        <f>IF($C1535="B",VLOOKUP($A1535,Bat!$A$4:$BA$1621,48,FALSE),VLOOKUP($A1535,Pit!$A$4:$BF$1557,57,FALSE))</f>
        <v>0</v>
      </c>
      <c r="W1535" s="50">
        <f>Table5[[#This Row],[posRnk]]+Table5[[#This Row],[zRnk]]+IF($W$3&lt;&gt;Table5[[#This Row],[Type]],50,0)</f>
        <v>2333</v>
      </c>
      <c r="X1535" s="51">
        <f>RANK(Table5[[#This Row],[zScore]],Table5[[#All],[zScore]])</f>
        <v>1530</v>
      </c>
      <c r="Y1535" s="50" t="str">
        <f>IFERROR(INDEX(DraftResults[[#All],[OVR]],MATCH(Table5[[#This Row],[PID]],DraftResults[[#All],[Player ID]],0)),"")</f>
        <v/>
      </c>
      <c r="Z1535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5" s="50" t="str">
        <f>IFERROR(INDEX(DraftResults[[#All],[Pick in Round]],MATCH(Table5[[#This Row],[PID]],DraftResults[[#All],[Player ID]],0)),"")</f>
        <v/>
      </c>
      <c r="AB1535" s="50" t="str">
        <f>IFERROR(INDEX(DraftResults[[#All],[Team Name]],MATCH(Table5[[#This Row],[PID]],DraftResults[[#All],[Player ID]],0)),"")</f>
        <v/>
      </c>
      <c r="AC1535" s="50" t="str">
        <f>IF(Table5[[#This Row],[Ovr]]="","",IF(Table5[[#This Row],[cmbList]]="","",Table5[[#This Row],[cmbList]]-Table5[[#This Row],[Ovr]]))</f>
        <v/>
      </c>
      <c r="AD1535" s="54" t="str">
        <f>IF(ISERROR(VLOOKUP($AB1535&amp;"-"&amp;$E1535&amp;" "&amp;F1535,Bonuses!$B$1:$G$1006,4,FALSE)),"",INT(VLOOKUP($AB1535&amp;"-"&amp;$E1535&amp;" "&amp;$F1535,Bonuses!$B$1:$G$1006,4,FALSE)))</f>
        <v/>
      </c>
      <c r="AE1535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6" spans="1:31" x14ac:dyDescent="0.25">
      <c r="A1536" s="50">
        <v>12726</v>
      </c>
      <c r="B1536" s="50">
        <f>COUNTIF(Table5[PID],A1536)</f>
        <v>1</v>
      </c>
      <c r="C1536" s="50" t="str">
        <f>IF(COUNTIF(Table3[[#All],[PID]],A1536)&gt;0,"P","B")</f>
        <v>B</v>
      </c>
      <c r="D1536" s="59" t="str">
        <f>IF($C1536="B",INDEX(Batters[[#All],[POS]],MATCH(Table5[[#This Row],[PID]],Batters[[#All],[PID]],0)),INDEX(Table3[[#All],[POS]],MATCH(Table5[[#This Row],[PID]],Table3[[#All],[PID]],0)))</f>
        <v>1B</v>
      </c>
      <c r="E1536" s="52" t="str">
        <f>IF($C1536="B",INDEX(Batters[[#All],[First]],MATCH(Table5[[#This Row],[PID]],Batters[[#All],[PID]],0)),INDEX(Table3[[#All],[First]],MATCH(Table5[[#This Row],[PID]],Table3[[#All],[PID]],0)))</f>
        <v>Tadasu</v>
      </c>
      <c r="F1536" s="50" t="str">
        <f>IF($C1536="B",INDEX(Batters[[#All],[Last]],MATCH(A1536,Batters[[#All],[PID]],0)),INDEX(Table3[[#All],[Last]],MATCH(A1536,Table3[[#All],[PID]],0)))</f>
        <v>Okazaki</v>
      </c>
      <c r="G1536" s="56">
        <f>IF($C1536="B",INDEX(Batters[[#All],[Age]],MATCH(Table5[[#This Row],[PID]],Batters[[#All],[PID]],0)),INDEX(Table3[[#All],[Age]],MATCH(Table5[[#This Row],[PID]],Table3[[#All],[PID]],0)))</f>
        <v>22</v>
      </c>
      <c r="H1536" s="52" t="str">
        <f>IF($C1536="B",INDEX(Batters[[#All],[B]],MATCH(Table5[[#This Row],[PID]],Batters[[#All],[PID]],0)),INDEX(Table3[[#All],[B]],MATCH(Table5[[#This Row],[PID]],Table3[[#All],[PID]],0)))</f>
        <v>L</v>
      </c>
      <c r="I1536" s="70" t="str">
        <f>IF($C1536="B",INDEX(Batters[[#All],[T]],MATCH(Table5[[#This Row],[PID]],Batters[[#All],[PID]],0)),INDEX(Table3[[#All],[T]],MATCH(Table5[[#This Row],[PID]],Table3[[#All],[PID]],0)))</f>
        <v>L</v>
      </c>
      <c r="J1536" s="52" t="str">
        <f>IF($C1536="B",INDEX(Batters[[#All],[WE]],MATCH(Table5[[#This Row],[PID]],Batters[[#All],[PID]],0)),INDEX(Table3[[#All],[WE]],MATCH(Table5[[#This Row],[PID]],Table3[[#All],[PID]],0)))</f>
        <v>Low</v>
      </c>
      <c r="K1536" s="52" t="str">
        <f>IF($C1536="B",INDEX(Batters[[#All],[INT]],MATCH(Table5[[#This Row],[PID]],Batters[[#All],[PID]],0)),INDEX(Table3[[#All],[INT]],MATCH(Table5[[#This Row],[PID]],Table3[[#All],[PID]],0)))</f>
        <v>Low</v>
      </c>
      <c r="L1536" s="60">
        <f>IF($C1536="B",INDEX(Batters[[#All],[CON P]],MATCH(Table5[[#This Row],[PID]],Batters[[#All],[PID]],0)),INDEX(Table3[[#All],[STU P]],MATCH(Table5[[#This Row],[PID]],Table3[[#All],[PID]],0)))</f>
        <v>3</v>
      </c>
      <c r="M1536" s="56">
        <f>IF($C1536="B",INDEX(Batters[[#All],[GAP P]],MATCH(Table5[[#This Row],[PID]],Batters[[#All],[PID]],0)),INDEX(Table3[[#All],[MOV P]],MATCH(Table5[[#This Row],[PID]],Table3[[#All],[PID]],0)))</f>
        <v>2</v>
      </c>
      <c r="N1536" s="56">
        <f>IF($C1536="B",INDEX(Batters[[#All],[POW P]],MATCH(Table5[[#This Row],[PID]],Batters[[#All],[PID]],0)),INDEX(Table3[[#All],[CON P]],MATCH(Table5[[#This Row],[PID]],Table3[[#All],[PID]],0)))</f>
        <v>2</v>
      </c>
      <c r="O1536" s="56">
        <f>IF($C1536="B",INDEX(Batters[[#All],[EYE P]],MATCH(Table5[[#This Row],[PID]],Batters[[#All],[PID]],0)),INDEX(Table3[[#All],[VELO]],MATCH(Table5[[#This Row],[PID]],Table3[[#All],[PID]],0)))</f>
        <v>1</v>
      </c>
      <c r="P1536" s="56">
        <f>IF($C1536="B",INDEX(Batters[[#All],[K P]],MATCH(Table5[[#This Row],[PID]],Batters[[#All],[PID]],0)),INDEX(Table3[[#All],[STM]],MATCH(Table5[[#This Row],[PID]],Table3[[#All],[PID]],0)))</f>
        <v>4</v>
      </c>
      <c r="Q1536" s="61">
        <f>IF($C1536="B",INDEX(Batters[[#All],[Tot]],MATCH(Table5[[#This Row],[PID]],Batters[[#All],[PID]],0)),INDEX(Table3[[#All],[Tot]],MATCH(Table5[[#This Row],[PID]],Table3[[#All],[PID]],0)))</f>
        <v>30.016497974061366</v>
      </c>
      <c r="R1536" s="70">
        <f>IF($C1536="B",INDEX(Batters[[#All],[zScore]],MATCH(Table5[[#This Row],[PID]],Batters[[#All],[PID]],0)),INDEX(Table3[[#All],[zScore]],MATCH(Table5[[#This Row],[PID]],Table3[[#All],[PID]],0)))</f>
        <v>-3.1294888469681612</v>
      </c>
      <c r="S1536" s="79" t="str">
        <f>IF($C1536="B",INDEX(Batters[[#All],[DEM]],MATCH(Table5[[#This Row],[PID]],Batters[[#All],[PID]],0)),INDEX(Table3[[#All],[DEM]],MATCH(Table5[[#This Row],[PID]],Table3[[#All],[PID]],0)))</f>
        <v>-</v>
      </c>
      <c r="T1536" s="62">
        <f>IF($C1536="B",INDEX(Batters[[#All],[Rnk]],MATCH(Table5[[#This Row],[PID]],Batters[[#All],[PID]],0)),INDEX(Table3[[#All],[Rnk]],MATCH(Table5[[#This Row],[PID]],Table3[[#All],[PID]],0)))</f>
        <v>754</v>
      </c>
      <c r="U1536" s="68">
        <f>IF($C1536="B",VLOOKUP($A1536,Bat!$A$4:$BA$1621,47,FALSE),VLOOKUP($A1536,Pit!$A$4:$BF$1557,56,FALSE))</f>
        <v>0</v>
      </c>
      <c r="V1536" s="50">
        <f>IF($C1536="B",VLOOKUP($A1536,Bat!$A$4:$BA$1621,48,FALSE),VLOOKUP($A1536,Pit!$A$4:$BF$1557,57,FALSE))</f>
        <v>0</v>
      </c>
      <c r="W1536" s="50">
        <f>Table5[[#This Row],[posRnk]]+Table5[[#This Row],[zRnk]]+IF($W$3&lt;&gt;Table5[[#This Row],[Type]],50,0)</f>
        <v>2335</v>
      </c>
      <c r="X1536" s="51">
        <f>RANK(Table5[[#This Row],[zScore]],Table5[[#All],[zScore]])</f>
        <v>1531</v>
      </c>
      <c r="Y1536" s="50" t="str">
        <f>IFERROR(INDEX(DraftResults[[#All],[OVR]],MATCH(Table5[[#This Row],[PID]],DraftResults[[#All],[Player ID]],0)),"")</f>
        <v/>
      </c>
      <c r="Z1536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6" s="50" t="str">
        <f>IFERROR(INDEX(DraftResults[[#All],[Pick in Round]],MATCH(Table5[[#This Row],[PID]],DraftResults[[#All],[Player ID]],0)),"")</f>
        <v/>
      </c>
      <c r="AB1536" s="50" t="str">
        <f>IFERROR(INDEX(DraftResults[[#All],[Team Name]],MATCH(Table5[[#This Row],[PID]],DraftResults[[#All],[Player ID]],0)),"")</f>
        <v/>
      </c>
      <c r="AC1536" s="50" t="str">
        <f>IF(Table5[[#This Row],[Ovr]]="","",IF(Table5[[#This Row],[cmbList]]="","",Table5[[#This Row],[cmbList]]-Table5[[#This Row],[Ovr]]))</f>
        <v/>
      </c>
      <c r="AD1536" s="54" t="str">
        <f>IF(ISERROR(VLOOKUP($AB1536&amp;"-"&amp;$E1536&amp;" "&amp;F1536,Bonuses!$B$1:$G$1006,4,FALSE)),"",INT(VLOOKUP($AB1536&amp;"-"&amp;$E1536&amp;" "&amp;$F1536,Bonuses!$B$1:$G$1006,4,FALSE)))</f>
        <v/>
      </c>
      <c r="AE1536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7" spans="1:31" x14ac:dyDescent="0.25">
      <c r="A1537" s="50">
        <v>12939</v>
      </c>
      <c r="B1537" s="50">
        <f>COUNTIF(Table5[PID],A1537)</f>
        <v>1</v>
      </c>
      <c r="C1537" s="50" t="str">
        <f>IF(COUNTIF(Table3[[#All],[PID]],A1537)&gt;0,"P","B")</f>
        <v>B</v>
      </c>
      <c r="D1537" s="59" t="str">
        <f>IF($C1537="B",INDEX(Batters[[#All],[POS]],MATCH(Table5[[#This Row],[PID]],Batters[[#All],[PID]],0)),INDEX(Table3[[#All],[POS]],MATCH(Table5[[#This Row],[PID]],Table3[[#All],[PID]],0)))</f>
        <v>1B</v>
      </c>
      <c r="E1537" s="52" t="str">
        <f>IF($C1537="B",INDEX(Batters[[#All],[First]],MATCH(Table5[[#This Row],[PID]],Batters[[#All],[PID]],0)),INDEX(Table3[[#All],[First]],MATCH(Table5[[#This Row],[PID]],Table3[[#All],[PID]],0)))</f>
        <v>Francisco</v>
      </c>
      <c r="F1537" s="50" t="str">
        <f>IF($C1537="B",INDEX(Batters[[#All],[Last]],MATCH(A1537,Batters[[#All],[PID]],0)),INDEX(Table3[[#All],[Last]],MATCH(A1537,Table3[[#All],[PID]],0)))</f>
        <v>Romrero</v>
      </c>
      <c r="G1537" s="56">
        <f>IF($C1537="B",INDEX(Batters[[#All],[Age]],MATCH(Table5[[#This Row],[PID]],Batters[[#All],[PID]],0)),INDEX(Table3[[#All],[Age]],MATCH(Table5[[#This Row],[PID]],Table3[[#All],[PID]],0)))</f>
        <v>21</v>
      </c>
      <c r="H1537" s="52" t="str">
        <f>IF($C1537="B",INDEX(Batters[[#All],[B]],MATCH(Table5[[#This Row],[PID]],Batters[[#All],[PID]],0)),INDEX(Table3[[#All],[B]],MATCH(Table5[[#This Row],[PID]],Table3[[#All],[PID]],0)))</f>
        <v>R</v>
      </c>
      <c r="I1537" s="70" t="str">
        <f>IF($C1537="B",INDEX(Batters[[#All],[T]],MATCH(Table5[[#This Row],[PID]],Batters[[#All],[PID]],0)),INDEX(Table3[[#All],[T]],MATCH(Table5[[#This Row],[PID]],Table3[[#All],[PID]],0)))</f>
        <v>R</v>
      </c>
      <c r="J1537" s="52" t="str">
        <f>IF($C1537="B",INDEX(Batters[[#All],[WE]],MATCH(Table5[[#This Row],[PID]],Batters[[#All],[PID]],0)),INDEX(Table3[[#All],[WE]],MATCH(Table5[[#This Row],[PID]],Table3[[#All],[PID]],0)))</f>
        <v>Normal</v>
      </c>
      <c r="K1537" s="52" t="str">
        <f>IF($C1537="B",INDEX(Batters[[#All],[INT]],MATCH(Table5[[#This Row],[PID]],Batters[[#All],[PID]],0)),INDEX(Table3[[#All],[INT]],MATCH(Table5[[#This Row],[PID]],Table3[[#All],[PID]],0)))</f>
        <v>Normal</v>
      </c>
      <c r="L1537" s="60">
        <f>IF($C1537="B",INDEX(Batters[[#All],[CON P]],MATCH(Table5[[#This Row],[PID]],Batters[[#All],[PID]],0)),INDEX(Table3[[#All],[STU P]],MATCH(Table5[[#This Row],[PID]],Table3[[#All],[PID]],0)))</f>
        <v>2</v>
      </c>
      <c r="M1537" s="56">
        <f>IF($C1537="B",INDEX(Batters[[#All],[GAP P]],MATCH(Table5[[#This Row],[PID]],Batters[[#All],[PID]],0)),INDEX(Table3[[#All],[MOV P]],MATCH(Table5[[#This Row],[PID]],Table3[[#All],[PID]],0)))</f>
        <v>2</v>
      </c>
      <c r="N1537" s="56">
        <f>IF($C1537="B",INDEX(Batters[[#All],[POW P]],MATCH(Table5[[#This Row],[PID]],Batters[[#All],[PID]],0)),INDEX(Table3[[#All],[CON P]],MATCH(Table5[[#This Row],[PID]],Table3[[#All],[PID]],0)))</f>
        <v>2</v>
      </c>
      <c r="O1537" s="56">
        <f>IF($C1537="B",INDEX(Batters[[#All],[EYE P]],MATCH(Table5[[#This Row],[PID]],Batters[[#All],[PID]],0)),INDEX(Table3[[#All],[VELO]],MATCH(Table5[[#This Row],[PID]],Table3[[#All],[PID]],0)))</f>
        <v>4</v>
      </c>
      <c r="P1537" s="56">
        <f>IF($C1537="B",INDEX(Batters[[#All],[K P]],MATCH(Table5[[#This Row],[PID]],Batters[[#All],[PID]],0)),INDEX(Table3[[#All],[STM]],MATCH(Table5[[#This Row],[PID]],Table3[[#All],[PID]],0)))</f>
        <v>4</v>
      </c>
      <c r="Q1537" s="61">
        <f>IF($C1537="B",INDEX(Batters[[#All],[Tot]],MATCH(Table5[[#This Row],[PID]],Batters[[#All],[PID]],0)),INDEX(Table3[[#All],[Tot]],MATCH(Table5[[#This Row],[PID]],Table3[[#All],[PID]],0)))</f>
        <v>29.938010168392047</v>
      </c>
      <c r="R1537" s="70">
        <f>IF($C1537="B",INDEX(Batters[[#All],[zScore]],MATCH(Table5[[#This Row],[PID]],Batters[[#All],[PID]],0)),INDEX(Table3[[#All],[zScore]],MATCH(Table5[[#This Row],[PID]],Table3[[#All],[PID]],0)))</f>
        <v>-3.1468901240133786</v>
      </c>
      <c r="S1537" s="79" t="str">
        <f>IF($C1537="B",INDEX(Batters[[#All],[DEM]],MATCH(Table5[[#This Row],[PID]],Batters[[#All],[PID]],0)),INDEX(Table3[[#All],[DEM]],MATCH(Table5[[#This Row],[PID]],Table3[[#All],[PID]],0)))</f>
        <v>-</v>
      </c>
      <c r="T1537" s="62">
        <f>IF($C1537="B",INDEX(Batters[[#All],[Rnk]],MATCH(Table5[[#This Row],[PID]],Batters[[#All],[PID]],0)),INDEX(Table3[[#All],[Rnk]],MATCH(Table5[[#This Row],[PID]],Table3[[#All],[PID]],0)))</f>
        <v>755</v>
      </c>
      <c r="U1537" s="68">
        <f>IF($C1537="B",VLOOKUP($A1537,Bat!$A$4:$BA$1621,47,FALSE),VLOOKUP($A1537,Pit!$A$4:$BF$1557,56,FALSE))</f>
        <v>0</v>
      </c>
      <c r="V1537" s="50">
        <f>IF($C1537="B",VLOOKUP($A1537,Bat!$A$4:$BA$1621,48,FALSE),VLOOKUP($A1537,Pit!$A$4:$BF$1557,57,FALSE))</f>
        <v>0</v>
      </c>
      <c r="W1537" s="50">
        <f>Table5[[#This Row],[posRnk]]+Table5[[#This Row],[zRnk]]+IF($W$3&lt;&gt;Table5[[#This Row],[Type]],50,0)</f>
        <v>2337</v>
      </c>
      <c r="X1537" s="51">
        <f>RANK(Table5[[#This Row],[zScore]],Table5[[#All],[zScore]])</f>
        <v>1532</v>
      </c>
      <c r="Y1537" s="50" t="str">
        <f>IFERROR(INDEX(DraftResults[[#All],[OVR]],MATCH(Table5[[#This Row],[PID]],DraftResults[[#All],[Player ID]],0)),"")</f>
        <v/>
      </c>
      <c r="Z1537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7" s="50" t="str">
        <f>IFERROR(INDEX(DraftResults[[#All],[Pick in Round]],MATCH(Table5[[#This Row],[PID]],DraftResults[[#All],[Player ID]],0)),"")</f>
        <v/>
      </c>
      <c r="AB1537" s="50" t="str">
        <f>IFERROR(INDEX(DraftResults[[#All],[Team Name]],MATCH(Table5[[#This Row],[PID]],DraftResults[[#All],[Player ID]],0)),"")</f>
        <v/>
      </c>
      <c r="AC1537" s="50" t="str">
        <f>IF(Table5[[#This Row],[Ovr]]="","",IF(Table5[[#This Row],[cmbList]]="","",Table5[[#This Row],[cmbList]]-Table5[[#This Row],[Ovr]]))</f>
        <v/>
      </c>
      <c r="AD1537" s="54" t="str">
        <f>IF(ISERROR(VLOOKUP($AB1537&amp;"-"&amp;$E1537&amp;" "&amp;F1537,Bonuses!$B$1:$G$1006,4,FALSE)),"",INT(VLOOKUP($AB1537&amp;"-"&amp;$E1537&amp;" "&amp;$F1537,Bonuses!$B$1:$G$1006,4,FALSE)))</f>
        <v/>
      </c>
      <c r="AE1537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8" spans="1:31" x14ac:dyDescent="0.25">
      <c r="A1538" s="50">
        <v>13550</v>
      </c>
      <c r="B1538" s="50">
        <f>COUNTIF(Table5[PID],A1538)</f>
        <v>1</v>
      </c>
      <c r="C1538" s="50" t="str">
        <f>IF(COUNTIF(Table3[[#All],[PID]],A1538)&gt;0,"P","B")</f>
        <v>B</v>
      </c>
      <c r="D1538" s="59" t="str">
        <f>IF($C1538="B",INDEX(Batters[[#All],[POS]],MATCH(Table5[[#This Row],[PID]],Batters[[#All],[PID]],0)),INDEX(Table3[[#All],[POS]],MATCH(Table5[[#This Row],[PID]],Table3[[#All],[PID]],0)))</f>
        <v>1B</v>
      </c>
      <c r="E1538" s="52" t="str">
        <f>IF($C1538="B",INDEX(Batters[[#All],[First]],MATCH(Table5[[#This Row],[PID]],Batters[[#All],[PID]],0)),INDEX(Table3[[#All],[First]],MATCH(Table5[[#This Row],[PID]],Table3[[#All],[PID]],0)))</f>
        <v>Yasuhiro</v>
      </c>
      <c r="F1538" s="50" t="str">
        <f>IF($C1538="B",INDEX(Batters[[#All],[Last]],MATCH(A1538,Batters[[#All],[PID]],0)),INDEX(Table3[[#All],[Last]],MATCH(A1538,Table3[[#All],[PID]],0)))</f>
        <v>Murakami</v>
      </c>
      <c r="G1538" s="56">
        <f>IF($C1538="B",INDEX(Batters[[#All],[Age]],MATCH(Table5[[#This Row],[PID]],Batters[[#All],[PID]],0)),INDEX(Table3[[#All],[Age]],MATCH(Table5[[#This Row],[PID]],Table3[[#All],[PID]],0)))</f>
        <v>22</v>
      </c>
      <c r="H1538" s="52" t="str">
        <f>IF($C1538="B",INDEX(Batters[[#All],[B]],MATCH(Table5[[#This Row],[PID]],Batters[[#All],[PID]],0)),INDEX(Table3[[#All],[B]],MATCH(Table5[[#This Row],[PID]],Table3[[#All],[PID]],0)))</f>
        <v>R</v>
      </c>
      <c r="I1538" s="70" t="str">
        <f>IF($C1538="B",INDEX(Batters[[#All],[T]],MATCH(Table5[[#This Row],[PID]],Batters[[#All],[PID]],0)),INDEX(Table3[[#All],[T]],MATCH(Table5[[#This Row],[PID]],Table3[[#All],[PID]],0)))</f>
        <v>R</v>
      </c>
      <c r="J1538" s="52" t="str">
        <f>IF($C1538="B",INDEX(Batters[[#All],[WE]],MATCH(Table5[[#This Row],[PID]],Batters[[#All],[PID]],0)),INDEX(Table3[[#All],[WE]],MATCH(Table5[[#This Row],[PID]],Table3[[#All],[PID]],0)))</f>
        <v>Low</v>
      </c>
      <c r="K1538" s="52" t="str">
        <f>IF($C1538="B",INDEX(Batters[[#All],[INT]],MATCH(Table5[[#This Row],[PID]],Batters[[#All],[PID]],0)),INDEX(Table3[[#All],[INT]],MATCH(Table5[[#This Row],[PID]],Table3[[#All],[PID]],0)))</f>
        <v>Normal</v>
      </c>
      <c r="L1538" s="60">
        <f>IF($C1538="B",INDEX(Batters[[#All],[CON P]],MATCH(Table5[[#This Row],[PID]],Batters[[#All],[PID]],0)),INDEX(Table3[[#All],[STU P]],MATCH(Table5[[#This Row],[PID]],Table3[[#All],[PID]],0)))</f>
        <v>3</v>
      </c>
      <c r="M1538" s="56">
        <f>IF($C1538="B",INDEX(Batters[[#All],[GAP P]],MATCH(Table5[[#This Row],[PID]],Batters[[#All],[PID]],0)),INDEX(Table3[[#All],[MOV P]],MATCH(Table5[[#This Row],[PID]],Table3[[#All],[PID]],0)))</f>
        <v>2</v>
      </c>
      <c r="N1538" s="56">
        <f>IF($C1538="B",INDEX(Batters[[#All],[POW P]],MATCH(Table5[[#This Row],[PID]],Batters[[#All],[PID]],0)),INDEX(Table3[[#All],[CON P]],MATCH(Table5[[#This Row],[PID]],Table3[[#All],[PID]],0)))</f>
        <v>2</v>
      </c>
      <c r="O1538" s="56">
        <f>IF($C1538="B",INDEX(Batters[[#All],[EYE P]],MATCH(Table5[[#This Row],[PID]],Batters[[#All],[PID]],0)),INDEX(Table3[[#All],[VELO]],MATCH(Table5[[#This Row],[PID]],Table3[[#All],[PID]],0)))</f>
        <v>1</v>
      </c>
      <c r="P1538" s="56">
        <f>IF($C1538="B",INDEX(Batters[[#All],[K P]],MATCH(Table5[[#This Row],[PID]],Batters[[#All],[PID]],0)),INDEX(Table3[[#All],[STM]],MATCH(Table5[[#This Row],[PID]],Table3[[#All],[PID]],0)))</f>
        <v>3</v>
      </c>
      <c r="Q1538" s="61">
        <f>IF($C1538="B",INDEX(Batters[[#All],[Tot]],MATCH(Table5[[#This Row],[PID]],Batters[[#All],[PID]],0)),INDEX(Table3[[#All],[Tot]],MATCH(Table5[[#This Row],[PID]],Table3[[#All],[PID]],0)))</f>
        <v>29.840303530238071</v>
      </c>
      <c r="R1538" s="70">
        <f>IF($C1538="B",INDEX(Batters[[#All],[zScore]],MATCH(Table5[[#This Row],[PID]],Batters[[#All],[PID]],0)),INDEX(Table3[[#All],[zScore]],MATCH(Table5[[#This Row],[PID]],Table3[[#All],[PID]],0)))</f>
        <v>-3.1685523461276959</v>
      </c>
      <c r="S1538" s="79" t="str">
        <f>IF($C1538="B",INDEX(Batters[[#All],[DEM]],MATCH(Table5[[#This Row],[PID]],Batters[[#All],[PID]],0)),INDEX(Table3[[#All],[DEM]],MATCH(Table5[[#This Row],[PID]],Table3[[#All],[PID]],0)))</f>
        <v>-</v>
      </c>
      <c r="T1538" s="62">
        <f>IF($C1538="B",INDEX(Batters[[#All],[Rnk]],MATCH(Table5[[#This Row],[PID]],Batters[[#All],[PID]],0)),INDEX(Table3[[#All],[Rnk]],MATCH(Table5[[#This Row],[PID]],Table3[[#All],[PID]],0)))</f>
        <v>756</v>
      </c>
      <c r="U1538" s="68">
        <f>IF($C1538="B",VLOOKUP($A1538,Bat!$A$4:$BA$1621,47,FALSE),VLOOKUP($A1538,Pit!$A$4:$BF$1557,56,FALSE))</f>
        <v>0</v>
      </c>
      <c r="V1538" s="50">
        <f>IF($C1538="B",VLOOKUP($A1538,Bat!$A$4:$BA$1621,48,FALSE),VLOOKUP($A1538,Pit!$A$4:$BF$1557,57,FALSE))</f>
        <v>0</v>
      </c>
      <c r="W1538" s="50">
        <f>Table5[[#This Row],[posRnk]]+Table5[[#This Row],[zRnk]]+IF($W$3&lt;&gt;Table5[[#This Row],[Type]],50,0)</f>
        <v>2339</v>
      </c>
      <c r="X1538" s="51">
        <f>RANK(Table5[[#This Row],[zScore]],Table5[[#All],[zScore]])</f>
        <v>1533</v>
      </c>
      <c r="Y1538" s="50" t="str">
        <f>IFERROR(INDEX(DraftResults[[#All],[OVR]],MATCH(Table5[[#This Row],[PID]],DraftResults[[#All],[Player ID]],0)),"")</f>
        <v/>
      </c>
      <c r="Z1538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8" s="50" t="str">
        <f>IFERROR(INDEX(DraftResults[[#All],[Pick in Round]],MATCH(Table5[[#This Row],[PID]],DraftResults[[#All],[Player ID]],0)),"")</f>
        <v/>
      </c>
      <c r="AB1538" s="50" t="str">
        <f>IFERROR(INDEX(DraftResults[[#All],[Team Name]],MATCH(Table5[[#This Row],[PID]],DraftResults[[#All],[Player ID]],0)),"")</f>
        <v/>
      </c>
      <c r="AC1538" s="50" t="str">
        <f>IF(Table5[[#This Row],[Ovr]]="","",IF(Table5[[#This Row],[cmbList]]="","",Table5[[#This Row],[cmbList]]-Table5[[#This Row],[Ovr]]))</f>
        <v/>
      </c>
      <c r="AD1538" s="54" t="str">
        <f>IF(ISERROR(VLOOKUP($AB1538&amp;"-"&amp;$E1538&amp;" "&amp;F1538,Bonuses!$B$1:$G$1006,4,FALSE)),"",INT(VLOOKUP($AB1538&amp;"-"&amp;$E1538&amp;" "&amp;$F1538,Bonuses!$B$1:$G$1006,4,FALSE)))</f>
        <v/>
      </c>
      <c r="AE1538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39" spans="1:31" x14ac:dyDescent="0.25">
      <c r="A1539" s="50">
        <v>9150</v>
      </c>
      <c r="B1539" s="50">
        <f>COUNTIF(Table5[PID],A1539)</f>
        <v>1</v>
      </c>
      <c r="C1539" s="50" t="str">
        <f>IF(COUNTIF(Table3[[#All],[PID]],A1539)&gt;0,"P","B")</f>
        <v>B</v>
      </c>
      <c r="D1539" s="59" t="str">
        <f>IF($C1539="B",INDEX(Batters[[#All],[POS]],MATCH(Table5[[#This Row],[PID]],Batters[[#All],[PID]],0)),INDEX(Table3[[#All],[POS]],MATCH(Table5[[#This Row],[PID]],Table3[[#All],[PID]],0)))</f>
        <v>1B</v>
      </c>
      <c r="E1539" s="52" t="str">
        <f>IF($C1539="B",INDEX(Batters[[#All],[First]],MATCH(Table5[[#This Row],[PID]],Batters[[#All],[PID]],0)),INDEX(Table3[[#All],[First]],MATCH(Table5[[#This Row],[PID]],Table3[[#All],[PID]],0)))</f>
        <v>Ken</v>
      </c>
      <c r="F1539" s="50" t="str">
        <f>IF($C1539="B",INDEX(Batters[[#All],[Last]],MATCH(A1539,Batters[[#All],[PID]],0)),INDEX(Table3[[#All],[Last]],MATCH(A1539,Table3[[#All],[PID]],0)))</f>
        <v>Dashwood</v>
      </c>
      <c r="G1539" s="56">
        <f>IF($C1539="B",INDEX(Batters[[#All],[Age]],MATCH(Table5[[#This Row],[PID]],Batters[[#All],[PID]],0)),INDEX(Table3[[#All],[Age]],MATCH(Table5[[#This Row],[PID]],Table3[[#All],[PID]],0)))</f>
        <v>21</v>
      </c>
      <c r="H1539" s="52" t="str">
        <f>IF($C1539="B",INDEX(Batters[[#All],[B]],MATCH(Table5[[#This Row],[PID]],Batters[[#All],[PID]],0)),INDEX(Table3[[#All],[B]],MATCH(Table5[[#This Row],[PID]],Table3[[#All],[PID]],0)))</f>
        <v>R</v>
      </c>
      <c r="I1539" s="70" t="str">
        <f>IF($C1539="B",INDEX(Batters[[#All],[T]],MATCH(Table5[[#This Row],[PID]],Batters[[#All],[PID]],0)),INDEX(Table3[[#All],[T]],MATCH(Table5[[#This Row],[PID]],Table3[[#All],[PID]],0)))</f>
        <v>R</v>
      </c>
      <c r="J1539" s="52" t="str">
        <f>IF($C1539="B",INDEX(Batters[[#All],[WE]],MATCH(Table5[[#This Row],[PID]],Batters[[#All],[PID]],0)),INDEX(Table3[[#All],[WE]],MATCH(Table5[[#This Row],[PID]],Table3[[#All],[PID]],0)))</f>
        <v>Low</v>
      </c>
      <c r="K1539" s="52" t="str">
        <f>IF($C1539="B",INDEX(Batters[[#All],[INT]],MATCH(Table5[[#This Row],[PID]],Batters[[#All],[PID]],0)),INDEX(Table3[[#All],[INT]],MATCH(Table5[[#This Row],[PID]],Table3[[#All],[PID]],0)))</f>
        <v>Low</v>
      </c>
      <c r="L1539" s="60">
        <f>IF($C1539="B",INDEX(Batters[[#All],[CON P]],MATCH(Table5[[#This Row],[PID]],Batters[[#All],[PID]],0)),INDEX(Table3[[#All],[STU P]],MATCH(Table5[[#This Row],[PID]],Table3[[#All],[PID]],0)))</f>
        <v>3</v>
      </c>
      <c r="M1539" s="56">
        <f>IF($C1539="B",INDEX(Batters[[#All],[GAP P]],MATCH(Table5[[#This Row],[PID]],Batters[[#All],[PID]],0)),INDEX(Table3[[#All],[MOV P]],MATCH(Table5[[#This Row],[PID]],Table3[[#All],[PID]],0)))</f>
        <v>2</v>
      </c>
      <c r="N1539" s="56">
        <f>IF($C1539="B",INDEX(Batters[[#All],[POW P]],MATCH(Table5[[#This Row],[PID]],Batters[[#All],[PID]],0)),INDEX(Table3[[#All],[CON P]],MATCH(Table5[[#This Row],[PID]],Table3[[#All],[PID]],0)))</f>
        <v>2</v>
      </c>
      <c r="O1539" s="56">
        <f>IF($C1539="B",INDEX(Batters[[#All],[EYE P]],MATCH(Table5[[#This Row],[PID]],Batters[[#All],[PID]],0)),INDEX(Table3[[#All],[VELO]],MATCH(Table5[[#This Row],[PID]],Table3[[#All],[PID]],0)))</f>
        <v>1</v>
      </c>
      <c r="P1539" s="56">
        <f>IF($C1539="B",INDEX(Batters[[#All],[K P]],MATCH(Table5[[#This Row],[PID]],Batters[[#All],[PID]],0)),INDEX(Table3[[#All],[STM]],MATCH(Table5[[#This Row],[PID]],Table3[[#All],[PID]],0)))</f>
        <v>3</v>
      </c>
      <c r="Q1539" s="61">
        <f>IF($C1539="B",INDEX(Batters[[#All],[Tot]],MATCH(Table5[[#This Row],[PID]],Batters[[#All],[PID]],0)),INDEX(Table3[[#All],[Tot]],MATCH(Table5[[#This Row],[PID]],Table3[[#All],[PID]],0)))</f>
        <v>29.498940324674223</v>
      </c>
      <c r="R1539" s="70">
        <f>IF($C1539="B",INDEX(Batters[[#All],[zScore]],MATCH(Table5[[#This Row],[PID]],Batters[[#All],[PID]],0)),INDEX(Table3[[#All],[zScore]],MATCH(Table5[[#This Row],[PID]],Table3[[#All],[PID]],0)))</f>
        <v>-3.2442348762023268</v>
      </c>
      <c r="S1539" s="79" t="str">
        <f>IF($C1539="B",INDEX(Batters[[#All],[DEM]],MATCH(Table5[[#This Row],[PID]],Batters[[#All],[PID]],0)),INDEX(Table3[[#All],[DEM]],MATCH(Table5[[#This Row],[PID]],Table3[[#All],[PID]],0)))</f>
        <v>-</v>
      </c>
      <c r="T1539" s="62">
        <f>IF($C1539="B",INDEX(Batters[[#All],[Rnk]],MATCH(Table5[[#This Row],[PID]],Batters[[#All],[PID]],0)),INDEX(Table3[[#All],[Rnk]],MATCH(Table5[[#This Row],[PID]],Table3[[#All],[PID]],0)))</f>
        <v>758</v>
      </c>
      <c r="U1539" s="68">
        <f>IF($C1539="B",VLOOKUP($A1539,Bat!$A$4:$BA$1621,47,FALSE),VLOOKUP($A1539,Pit!$A$4:$BF$1557,56,FALSE))</f>
        <v>0</v>
      </c>
      <c r="V1539" s="50">
        <f>IF($C1539="B",VLOOKUP($A1539,Bat!$A$4:$BA$1621,48,FALSE),VLOOKUP($A1539,Pit!$A$4:$BF$1557,57,FALSE))</f>
        <v>0</v>
      </c>
      <c r="W1539" s="50">
        <f>Table5[[#This Row],[posRnk]]+Table5[[#This Row],[zRnk]]+IF($W$3&lt;&gt;Table5[[#This Row],[Type]],50,0)</f>
        <v>2343</v>
      </c>
      <c r="X1539" s="51">
        <f>RANK(Table5[[#This Row],[zScore]],Table5[[#All],[zScore]])</f>
        <v>1535</v>
      </c>
      <c r="Y1539" s="50" t="str">
        <f>IFERROR(INDEX(DraftResults[[#All],[OVR]],MATCH(Table5[[#This Row],[PID]],DraftResults[[#All],[Player ID]],0)),"")</f>
        <v/>
      </c>
      <c r="Z1539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39" s="50" t="str">
        <f>IFERROR(INDEX(DraftResults[[#All],[Pick in Round]],MATCH(Table5[[#This Row],[PID]],DraftResults[[#All],[Player ID]],0)),"")</f>
        <v/>
      </c>
      <c r="AB1539" s="50" t="str">
        <f>IFERROR(INDEX(DraftResults[[#All],[Team Name]],MATCH(Table5[[#This Row],[PID]],DraftResults[[#All],[Player ID]],0)),"")</f>
        <v/>
      </c>
      <c r="AC1539" s="50" t="str">
        <f>IF(Table5[[#This Row],[Ovr]]="","",IF(Table5[[#This Row],[cmbList]]="","",Table5[[#This Row],[cmbList]]-Table5[[#This Row],[Ovr]]))</f>
        <v/>
      </c>
      <c r="AD1539" s="54" t="str">
        <f>IF(ISERROR(VLOOKUP($AB1539&amp;"-"&amp;$E1539&amp;" "&amp;F1539,Bonuses!$B$1:$G$1006,4,FALSE)),"",INT(VLOOKUP($AB1539&amp;"-"&amp;$E1539&amp;" "&amp;$F1539,Bonuses!$B$1:$G$1006,4,FALSE)))</f>
        <v/>
      </c>
      <c r="AE1539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40" spans="1:31" x14ac:dyDescent="0.25">
      <c r="A1540" s="50">
        <v>7340</v>
      </c>
      <c r="B1540" s="50">
        <f>COUNTIF(Table5[PID],A1540)</f>
        <v>1</v>
      </c>
      <c r="C1540" s="50" t="str">
        <f>IF(COUNTIF(Table3[[#All],[PID]],A1540)&gt;0,"P","B")</f>
        <v>B</v>
      </c>
      <c r="D1540" s="59" t="str">
        <f>IF($C1540="B",INDEX(Batters[[#All],[POS]],MATCH(Table5[[#This Row],[PID]],Batters[[#All],[PID]],0)),INDEX(Table3[[#All],[POS]],MATCH(Table5[[#This Row],[PID]],Table3[[#All],[PID]],0)))</f>
        <v>C</v>
      </c>
      <c r="E1540" s="52" t="str">
        <f>IF($C1540="B",INDEX(Batters[[#All],[First]],MATCH(Table5[[#This Row],[PID]],Batters[[#All],[PID]],0)),INDEX(Table3[[#All],[First]],MATCH(Table5[[#This Row],[PID]],Table3[[#All],[PID]],0)))</f>
        <v>Carlton</v>
      </c>
      <c r="F1540" s="50" t="str">
        <f>IF($C1540="B",INDEX(Batters[[#All],[Last]],MATCH(A1540,Batters[[#All],[PID]],0)),INDEX(Table3[[#All],[Last]],MATCH(A1540,Table3[[#All],[PID]],0)))</f>
        <v>Milsom</v>
      </c>
      <c r="G1540" s="56">
        <f>IF($C1540="B",INDEX(Batters[[#All],[Age]],MATCH(Table5[[#This Row],[PID]],Batters[[#All],[PID]],0)),INDEX(Table3[[#All],[Age]],MATCH(Table5[[#This Row],[PID]],Table3[[#All],[PID]],0)))</f>
        <v>21</v>
      </c>
      <c r="H1540" s="52" t="str">
        <f>IF($C1540="B",INDEX(Batters[[#All],[B]],MATCH(Table5[[#This Row],[PID]],Batters[[#All],[PID]],0)),INDEX(Table3[[#All],[B]],MATCH(Table5[[#This Row],[PID]],Table3[[#All],[PID]],0)))</f>
        <v>R</v>
      </c>
      <c r="I1540" s="70" t="str">
        <f>IF($C1540="B",INDEX(Batters[[#All],[T]],MATCH(Table5[[#This Row],[PID]],Batters[[#All],[PID]],0)),INDEX(Table3[[#All],[T]],MATCH(Table5[[#This Row],[PID]],Table3[[#All],[PID]],0)))</f>
        <v>R</v>
      </c>
      <c r="J1540" s="52" t="str">
        <f>IF($C1540="B",INDEX(Batters[[#All],[WE]],MATCH(Table5[[#This Row],[PID]],Batters[[#All],[PID]],0)),INDEX(Table3[[#All],[WE]],MATCH(Table5[[#This Row],[PID]],Table3[[#All],[PID]],0)))</f>
        <v>Low</v>
      </c>
      <c r="K1540" s="52" t="str">
        <f>IF($C1540="B",INDEX(Batters[[#All],[INT]],MATCH(Table5[[#This Row],[PID]],Batters[[#All],[PID]],0)),INDEX(Table3[[#All],[INT]],MATCH(Table5[[#This Row],[PID]],Table3[[#All],[PID]],0)))</f>
        <v>Low</v>
      </c>
      <c r="L1540" s="60">
        <f>IF($C1540="B",INDEX(Batters[[#All],[CON P]],MATCH(Table5[[#This Row],[PID]],Batters[[#All],[PID]],0)),INDEX(Table3[[#All],[STU P]],MATCH(Table5[[#This Row],[PID]],Table3[[#All],[PID]],0)))</f>
        <v>2</v>
      </c>
      <c r="M1540" s="56">
        <f>IF($C1540="B",INDEX(Batters[[#All],[GAP P]],MATCH(Table5[[#This Row],[PID]],Batters[[#All],[PID]],0)),INDEX(Table3[[#All],[MOV P]],MATCH(Table5[[#This Row],[PID]],Table3[[#All],[PID]],0)))</f>
        <v>3</v>
      </c>
      <c r="N1540" s="56">
        <f>IF($C1540="B",INDEX(Batters[[#All],[POW P]],MATCH(Table5[[#This Row],[PID]],Batters[[#All],[PID]],0)),INDEX(Table3[[#All],[CON P]],MATCH(Table5[[#This Row],[PID]],Table3[[#All],[PID]],0)))</f>
        <v>3</v>
      </c>
      <c r="O1540" s="56">
        <f>IF($C1540="B",INDEX(Batters[[#All],[EYE P]],MATCH(Table5[[#This Row],[PID]],Batters[[#All],[PID]],0)),INDEX(Table3[[#All],[VELO]],MATCH(Table5[[#This Row],[PID]],Table3[[#All],[PID]],0)))</f>
        <v>4</v>
      </c>
      <c r="P1540" s="56">
        <f>IF($C1540="B",INDEX(Batters[[#All],[K P]],MATCH(Table5[[#This Row],[PID]],Batters[[#All],[PID]],0)),INDEX(Table3[[#All],[STM]],MATCH(Table5[[#This Row],[PID]],Table3[[#All],[PID]],0)))</f>
        <v>1</v>
      </c>
      <c r="Q1540" s="61">
        <f>IF($C1540="B",INDEX(Batters[[#All],[Tot]],MATCH(Table5[[#This Row],[PID]],Batters[[#All],[PID]],0)),INDEX(Table3[[#All],[Tot]],MATCH(Table5[[#This Row],[PID]],Table3[[#All],[PID]],0)))</f>
        <v>29.356878418688304</v>
      </c>
      <c r="R1540" s="70">
        <f>IF($C1540="B",INDEX(Batters[[#All],[zScore]],MATCH(Table5[[#This Row],[PID]],Batters[[#All],[PID]],0)),INDEX(Table3[[#All],[zScore]],MATCH(Table5[[#This Row],[PID]],Table3[[#All],[PID]],0)))</f>
        <v>-3.2757309610087715</v>
      </c>
      <c r="S1540" s="79" t="str">
        <f>IF($C1540="B",INDEX(Batters[[#All],[DEM]],MATCH(Table5[[#This Row],[PID]],Batters[[#All],[PID]],0)),INDEX(Table3[[#All],[DEM]],MATCH(Table5[[#This Row],[PID]],Table3[[#All],[PID]],0)))</f>
        <v>-</v>
      </c>
      <c r="T1540" s="62">
        <f>IF($C1540="B",INDEX(Batters[[#All],[Rnk]],MATCH(Table5[[#This Row],[PID]],Batters[[#All],[PID]],0)),INDEX(Table3[[#All],[Rnk]],MATCH(Table5[[#This Row],[PID]],Table3[[#All],[PID]],0)))</f>
        <v>759</v>
      </c>
      <c r="U1540" s="68">
        <f>IF($C1540="B",VLOOKUP($A1540,Bat!$A$4:$BA$1621,47,FALSE),VLOOKUP($A1540,Pit!$A$4:$BF$1557,56,FALSE))</f>
        <v>0</v>
      </c>
      <c r="V1540" s="50">
        <f>IF($C1540="B",VLOOKUP($A1540,Bat!$A$4:$BA$1621,48,FALSE),VLOOKUP($A1540,Pit!$A$4:$BF$1557,57,FALSE))</f>
        <v>0</v>
      </c>
      <c r="W1540" s="50">
        <f>Table5[[#This Row],[posRnk]]+Table5[[#This Row],[zRnk]]+IF($W$3&lt;&gt;Table5[[#This Row],[Type]],50,0)</f>
        <v>2345</v>
      </c>
      <c r="X1540" s="51">
        <f>RANK(Table5[[#This Row],[zScore]],Table5[[#All],[zScore]])</f>
        <v>1536</v>
      </c>
      <c r="Y1540" s="50" t="str">
        <f>IFERROR(INDEX(DraftResults[[#All],[OVR]],MATCH(Table5[[#This Row],[PID]],DraftResults[[#All],[Player ID]],0)),"")</f>
        <v/>
      </c>
      <c r="Z1540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40" s="50" t="str">
        <f>IFERROR(INDEX(DraftResults[[#All],[Pick in Round]],MATCH(Table5[[#This Row],[PID]],DraftResults[[#All],[Player ID]],0)),"")</f>
        <v/>
      </c>
      <c r="AB1540" s="50" t="str">
        <f>IFERROR(INDEX(DraftResults[[#All],[Team Name]],MATCH(Table5[[#This Row],[PID]],DraftResults[[#All],[Player ID]],0)),"")</f>
        <v/>
      </c>
      <c r="AC1540" s="50" t="str">
        <f>IF(Table5[[#This Row],[Ovr]]="","",IF(Table5[[#This Row],[cmbList]]="","",Table5[[#This Row],[cmbList]]-Table5[[#This Row],[Ovr]]))</f>
        <v/>
      </c>
      <c r="AD1540" s="54" t="str">
        <f>IF(ISERROR(VLOOKUP($AB1540&amp;"-"&amp;$E1540&amp;" "&amp;F1540,Bonuses!$B$1:$G$1006,4,FALSE)),"",INT(VLOOKUP($AB1540&amp;"-"&amp;$E1540&amp;" "&amp;$F1540,Bonuses!$B$1:$G$1006,4,FALSE)))</f>
        <v/>
      </c>
      <c r="AE1540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41" spans="1:31" x14ac:dyDescent="0.25">
      <c r="A1541" s="50">
        <v>13126</v>
      </c>
      <c r="B1541" s="50">
        <f>COUNTIF(Table5[PID],A1541)</f>
        <v>1</v>
      </c>
      <c r="C1541" s="50" t="str">
        <f>IF(COUNTIF(Table3[[#All],[PID]],A1541)&gt;0,"P","B")</f>
        <v>B</v>
      </c>
      <c r="D1541" s="59" t="str">
        <f>IF($C1541="B",INDEX(Batters[[#All],[POS]],MATCH(Table5[[#This Row],[PID]],Batters[[#All],[PID]],0)),INDEX(Table3[[#All],[POS]],MATCH(Table5[[#This Row],[PID]],Table3[[#All],[PID]],0)))</f>
        <v>RF</v>
      </c>
      <c r="E1541" s="52" t="str">
        <f>IF($C1541="B",INDEX(Batters[[#All],[First]],MATCH(Table5[[#This Row],[PID]],Batters[[#All],[PID]],0)),INDEX(Table3[[#All],[First]],MATCH(Table5[[#This Row],[PID]],Table3[[#All],[PID]],0)))</f>
        <v>Flynn</v>
      </c>
      <c r="F1541" s="50" t="str">
        <f>IF($C1541="B",INDEX(Batters[[#All],[Last]],MATCH(A1541,Batters[[#All],[PID]],0)),INDEX(Table3[[#All],[Last]],MATCH(A1541,Table3[[#All],[PID]],0)))</f>
        <v>Snyder</v>
      </c>
      <c r="G1541" s="56">
        <f>IF($C1541="B",INDEX(Batters[[#All],[Age]],MATCH(Table5[[#This Row],[PID]],Batters[[#All],[PID]],0)),INDEX(Table3[[#All],[Age]],MATCH(Table5[[#This Row],[PID]],Table3[[#All],[PID]],0)))</f>
        <v>21</v>
      </c>
      <c r="H1541" s="52" t="str">
        <f>IF($C1541="B",INDEX(Batters[[#All],[B]],MATCH(Table5[[#This Row],[PID]],Batters[[#All],[PID]],0)),INDEX(Table3[[#All],[B]],MATCH(Table5[[#This Row],[PID]],Table3[[#All],[PID]],0)))</f>
        <v>R</v>
      </c>
      <c r="I1541" s="70" t="str">
        <f>IF($C1541="B",INDEX(Batters[[#All],[T]],MATCH(Table5[[#This Row],[PID]],Batters[[#All],[PID]],0)),INDEX(Table3[[#All],[T]],MATCH(Table5[[#This Row],[PID]],Table3[[#All],[PID]],0)))</f>
        <v>L</v>
      </c>
      <c r="J1541" s="52" t="str">
        <f>IF($C1541="B",INDEX(Batters[[#All],[WE]],MATCH(Table5[[#This Row],[PID]],Batters[[#All],[PID]],0)),INDEX(Table3[[#All],[WE]],MATCH(Table5[[#This Row],[PID]],Table3[[#All],[PID]],0)))</f>
        <v>Low</v>
      </c>
      <c r="K1541" s="52" t="str">
        <f>IF($C1541="B",INDEX(Batters[[#All],[INT]],MATCH(Table5[[#This Row],[PID]],Batters[[#All],[PID]],0)),INDEX(Table3[[#All],[INT]],MATCH(Table5[[#This Row],[PID]],Table3[[#All],[PID]],0)))</f>
        <v>Normal</v>
      </c>
      <c r="L1541" s="60">
        <f>IF($C1541="B",INDEX(Batters[[#All],[CON P]],MATCH(Table5[[#This Row],[PID]],Batters[[#All],[PID]],0)),INDEX(Table3[[#All],[STU P]],MATCH(Table5[[#This Row],[PID]],Table3[[#All],[PID]],0)))</f>
        <v>2</v>
      </c>
      <c r="M1541" s="56">
        <f>IF($C1541="B",INDEX(Batters[[#All],[GAP P]],MATCH(Table5[[#This Row],[PID]],Batters[[#All],[PID]],0)),INDEX(Table3[[#All],[MOV P]],MATCH(Table5[[#This Row],[PID]],Table3[[#All],[PID]],0)))</f>
        <v>3</v>
      </c>
      <c r="N1541" s="56">
        <f>IF($C1541="B",INDEX(Batters[[#All],[POW P]],MATCH(Table5[[#This Row],[PID]],Batters[[#All],[PID]],0)),INDEX(Table3[[#All],[CON P]],MATCH(Table5[[#This Row],[PID]],Table3[[#All],[PID]],0)))</f>
        <v>2</v>
      </c>
      <c r="O1541" s="56">
        <f>IF($C1541="B",INDEX(Batters[[#All],[EYE P]],MATCH(Table5[[#This Row],[PID]],Batters[[#All],[PID]],0)),INDEX(Table3[[#All],[VELO]],MATCH(Table5[[#This Row],[PID]],Table3[[#All],[PID]],0)))</f>
        <v>4</v>
      </c>
      <c r="P1541" s="56">
        <f>IF($C1541="B",INDEX(Batters[[#All],[K P]],MATCH(Table5[[#This Row],[PID]],Batters[[#All],[PID]],0)),INDEX(Table3[[#All],[STM]],MATCH(Table5[[#This Row],[PID]],Table3[[#All],[PID]],0)))</f>
        <v>2</v>
      </c>
      <c r="Q1541" s="61">
        <f>IF($C1541="B",INDEX(Batters[[#All],[Tot]],MATCH(Table5[[#This Row],[PID]],Batters[[#All],[PID]],0)),INDEX(Table3[[#All],[Tot]],MATCH(Table5[[#This Row],[PID]],Table3[[#All],[PID]],0)))</f>
        <v>29.290336568206484</v>
      </c>
      <c r="R1541" s="70">
        <f>IF($C1541="B",INDEX(Batters[[#All],[zScore]],MATCH(Table5[[#This Row],[PID]],Batters[[#All],[PID]],0)),INDEX(Table3[[#All],[zScore]],MATCH(Table5[[#This Row],[PID]],Table3[[#All],[PID]],0)))</f>
        <v>-3.2904837390417572</v>
      </c>
      <c r="S1541" s="79" t="str">
        <f>IF($C1541="B",INDEX(Batters[[#All],[DEM]],MATCH(Table5[[#This Row],[PID]],Batters[[#All],[PID]],0)),INDEX(Table3[[#All],[DEM]],MATCH(Table5[[#This Row],[PID]],Table3[[#All],[PID]],0)))</f>
        <v>-</v>
      </c>
      <c r="T1541" s="62">
        <f>IF($C1541="B",INDEX(Batters[[#All],[Rnk]],MATCH(Table5[[#This Row],[PID]],Batters[[#All],[PID]],0)),INDEX(Table3[[#All],[Rnk]],MATCH(Table5[[#This Row],[PID]],Table3[[#All],[PID]],0)))</f>
        <v>760</v>
      </c>
      <c r="U1541" s="68">
        <f>IF($C1541="B",VLOOKUP($A1541,Bat!$A$4:$BA$1621,47,FALSE),VLOOKUP($A1541,Pit!$A$4:$BF$1557,56,FALSE))</f>
        <v>0</v>
      </c>
      <c r="V1541" s="50">
        <f>IF($C1541="B",VLOOKUP($A1541,Bat!$A$4:$BA$1621,48,FALSE),VLOOKUP($A1541,Pit!$A$4:$BF$1557,57,FALSE))</f>
        <v>0</v>
      </c>
      <c r="W1541" s="50">
        <f>Table5[[#This Row],[posRnk]]+Table5[[#This Row],[zRnk]]+IF($W$3&lt;&gt;Table5[[#This Row],[Type]],50,0)</f>
        <v>2347</v>
      </c>
      <c r="X1541" s="51">
        <f>RANK(Table5[[#This Row],[zScore]],Table5[[#All],[zScore]])</f>
        <v>1537</v>
      </c>
      <c r="Y1541" s="50" t="str">
        <f>IFERROR(INDEX(DraftResults[[#All],[OVR]],MATCH(Table5[[#This Row],[PID]],DraftResults[[#All],[Player ID]],0)),"")</f>
        <v/>
      </c>
      <c r="Z1541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41" s="50" t="str">
        <f>IFERROR(INDEX(DraftResults[[#All],[Pick in Round]],MATCH(Table5[[#This Row],[PID]],DraftResults[[#All],[Player ID]],0)),"")</f>
        <v/>
      </c>
      <c r="AB1541" s="50" t="str">
        <f>IFERROR(INDEX(DraftResults[[#All],[Team Name]],MATCH(Table5[[#This Row],[PID]],DraftResults[[#All],[Player ID]],0)),"")</f>
        <v/>
      </c>
      <c r="AC1541" s="50" t="str">
        <f>IF(Table5[[#This Row],[Ovr]]="","",IF(Table5[[#This Row],[cmbList]]="","",Table5[[#This Row],[cmbList]]-Table5[[#This Row],[Ovr]]))</f>
        <v/>
      </c>
      <c r="AD1541" s="54" t="str">
        <f>IF(ISERROR(VLOOKUP($AB1541&amp;"-"&amp;$E1541&amp;" "&amp;F1541,Bonuses!$B$1:$G$1006,4,FALSE)),"",INT(VLOOKUP($AB1541&amp;"-"&amp;$E1541&amp;" "&amp;$F1541,Bonuses!$B$1:$G$1006,4,FALSE)))</f>
        <v/>
      </c>
      <c r="AE1541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42" spans="1:31" x14ac:dyDescent="0.25">
      <c r="A1542" s="50">
        <v>17760</v>
      </c>
      <c r="B1542" s="50">
        <f>COUNTIF(Table5[PID],A1542)</f>
        <v>1</v>
      </c>
      <c r="C1542" s="50" t="str">
        <f>IF(COUNTIF(Table3[[#All],[PID]],A1542)&gt;0,"P","B")</f>
        <v>B</v>
      </c>
      <c r="D1542" s="59" t="str">
        <f>IF($C1542="B",INDEX(Batters[[#All],[POS]],MATCH(Table5[[#This Row],[PID]],Batters[[#All],[PID]],0)),INDEX(Table3[[#All],[POS]],MATCH(Table5[[#This Row],[PID]],Table3[[#All],[PID]],0)))</f>
        <v>C</v>
      </c>
      <c r="E1542" s="52" t="str">
        <f>IF($C1542="B",INDEX(Batters[[#All],[First]],MATCH(Table5[[#This Row],[PID]],Batters[[#All],[PID]],0)),INDEX(Table3[[#All],[First]],MATCH(Table5[[#This Row],[PID]],Table3[[#All],[PID]],0)))</f>
        <v>Javier</v>
      </c>
      <c r="F1542" s="50" t="str">
        <f>IF($C1542="B",INDEX(Batters[[#All],[Last]],MATCH(A1542,Batters[[#All],[PID]],0)),INDEX(Table3[[#All],[Last]],MATCH(A1542,Table3[[#All],[PID]],0)))</f>
        <v>Gómez</v>
      </c>
      <c r="G1542" s="56">
        <f>IF($C1542="B",INDEX(Batters[[#All],[Age]],MATCH(Table5[[#This Row],[PID]],Batters[[#All],[PID]],0)),INDEX(Table3[[#All],[Age]],MATCH(Table5[[#This Row],[PID]],Table3[[#All],[PID]],0)))</f>
        <v>21</v>
      </c>
      <c r="H1542" s="52" t="str">
        <f>IF($C1542="B",INDEX(Batters[[#All],[B]],MATCH(Table5[[#This Row],[PID]],Batters[[#All],[PID]],0)),INDEX(Table3[[#All],[B]],MATCH(Table5[[#This Row],[PID]],Table3[[#All],[PID]],0)))</f>
        <v>R</v>
      </c>
      <c r="I1542" s="70" t="str">
        <f>IF($C1542="B",INDEX(Batters[[#All],[T]],MATCH(Table5[[#This Row],[PID]],Batters[[#All],[PID]],0)),INDEX(Table3[[#All],[T]],MATCH(Table5[[#This Row],[PID]],Table3[[#All],[PID]],0)))</f>
        <v>R</v>
      </c>
      <c r="J1542" s="52" t="str">
        <f>IF($C1542="B",INDEX(Batters[[#All],[WE]],MATCH(Table5[[#This Row],[PID]],Batters[[#All],[PID]],0)),INDEX(Table3[[#All],[WE]],MATCH(Table5[[#This Row],[PID]],Table3[[#All],[PID]],0)))</f>
        <v>Normal</v>
      </c>
      <c r="K1542" s="52" t="str">
        <f>IF($C1542="B",INDEX(Batters[[#All],[INT]],MATCH(Table5[[#This Row],[PID]],Batters[[#All],[PID]],0)),INDEX(Table3[[#All],[INT]],MATCH(Table5[[#This Row],[PID]],Table3[[#All],[PID]],0)))</f>
        <v>Normal</v>
      </c>
      <c r="L1542" s="60">
        <f>IF($C1542="B",INDEX(Batters[[#All],[CON P]],MATCH(Table5[[#This Row],[PID]],Batters[[#All],[PID]],0)),INDEX(Table3[[#All],[STU P]],MATCH(Table5[[#This Row],[PID]],Table3[[#All],[PID]],0)))</f>
        <v>2</v>
      </c>
      <c r="M1542" s="56">
        <f>IF($C1542="B",INDEX(Batters[[#All],[GAP P]],MATCH(Table5[[#This Row],[PID]],Batters[[#All],[PID]],0)),INDEX(Table3[[#All],[MOV P]],MATCH(Table5[[#This Row],[PID]],Table3[[#All],[PID]],0)))</f>
        <v>2</v>
      </c>
      <c r="N1542" s="56">
        <f>IF($C1542="B",INDEX(Batters[[#All],[POW P]],MATCH(Table5[[#This Row],[PID]],Batters[[#All],[PID]],0)),INDEX(Table3[[#All],[CON P]],MATCH(Table5[[#This Row],[PID]],Table3[[#All],[PID]],0)))</f>
        <v>2</v>
      </c>
      <c r="O1542" s="56">
        <f>IF($C1542="B",INDEX(Batters[[#All],[EYE P]],MATCH(Table5[[#This Row],[PID]],Batters[[#All],[PID]],0)),INDEX(Table3[[#All],[VELO]],MATCH(Table5[[#This Row],[PID]],Table3[[#All],[PID]],0)))</f>
        <v>4</v>
      </c>
      <c r="P1542" s="56">
        <f>IF($C1542="B",INDEX(Batters[[#All],[K P]],MATCH(Table5[[#This Row],[PID]],Batters[[#All],[PID]],0)),INDEX(Table3[[#All],[STM]],MATCH(Table5[[#This Row],[PID]],Table3[[#All],[PID]],0)))</f>
        <v>2</v>
      </c>
      <c r="Q1542" s="61">
        <f>IF($C1542="B",INDEX(Batters[[#All],[Tot]],MATCH(Table5[[#This Row],[PID]],Batters[[#All],[PID]],0)),INDEX(Table3[[#All],[Tot]],MATCH(Table5[[#This Row],[PID]],Table3[[#All],[PID]],0)))</f>
        <v>29.211588967783001</v>
      </c>
      <c r="R1542" s="70">
        <f>IF($C1542="B",INDEX(Batters[[#All],[zScore]],MATCH(Table5[[#This Row],[PID]],Batters[[#All],[PID]],0)),INDEX(Table3[[#All],[zScore]],MATCH(Table5[[#This Row],[PID]],Table3[[#All],[PID]],0)))</f>
        <v>-3.3079426143400226</v>
      </c>
      <c r="S1542" s="79" t="str">
        <f>IF($C1542="B",INDEX(Batters[[#All],[DEM]],MATCH(Table5[[#This Row],[PID]],Batters[[#All],[PID]],0)),INDEX(Table3[[#All],[DEM]],MATCH(Table5[[#This Row],[PID]],Table3[[#All],[PID]],0)))</f>
        <v>-</v>
      </c>
      <c r="T1542" s="62">
        <f>IF($C1542="B",INDEX(Batters[[#All],[Rnk]],MATCH(Table5[[#This Row],[PID]],Batters[[#All],[PID]],0)),INDEX(Table3[[#All],[Rnk]],MATCH(Table5[[#This Row],[PID]],Table3[[#All],[PID]],0)))</f>
        <v>761</v>
      </c>
      <c r="U1542" s="68">
        <f>IF($C1542="B",VLOOKUP($A1542,Bat!$A$4:$BA$1621,47,FALSE),VLOOKUP($A1542,Pit!$A$4:$BF$1557,56,FALSE))</f>
        <v>0</v>
      </c>
      <c r="V1542" s="50">
        <f>IF($C1542="B",VLOOKUP($A1542,Bat!$A$4:$BA$1621,48,FALSE),VLOOKUP($A1542,Pit!$A$4:$BF$1557,57,FALSE))</f>
        <v>0</v>
      </c>
      <c r="W1542" s="50">
        <f>Table5[[#This Row],[posRnk]]+Table5[[#This Row],[zRnk]]+IF($W$3&lt;&gt;Table5[[#This Row],[Type]],50,0)</f>
        <v>2349</v>
      </c>
      <c r="X1542" s="51">
        <f>RANK(Table5[[#This Row],[zScore]],Table5[[#All],[zScore]])</f>
        <v>1538</v>
      </c>
      <c r="Y1542" s="50" t="str">
        <f>IFERROR(INDEX(DraftResults[[#All],[OVR]],MATCH(Table5[[#This Row],[PID]],DraftResults[[#All],[Player ID]],0)),"")</f>
        <v/>
      </c>
      <c r="Z1542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42" s="50" t="str">
        <f>IFERROR(INDEX(DraftResults[[#All],[Pick in Round]],MATCH(Table5[[#This Row],[PID]],DraftResults[[#All],[Player ID]],0)),"")</f>
        <v/>
      </c>
      <c r="AB1542" s="50" t="str">
        <f>IFERROR(INDEX(DraftResults[[#All],[Team Name]],MATCH(Table5[[#This Row],[PID]],DraftResults[[#All],[Player ID]],0)),"")</f>
        <v/>
      </c>
      <c r="AC1542" s="50" t="str">
        <f>IF(Table5[[#This Row],[Ovr]]="","",IF(Table5[[#This Row],[cmbList]]="","",Table5[[#This Row],[cmbList]]-Table5[[#This Row],[Ovr]]))</f>
        <v/>
      </c>
      <c r="AD1542" s="54" t="str">
        <f>IF(ISERROR(VLOOKUP($AB1542&amp;"-"&amp;$E1542&amp;" "&amp;F1542,Bonuses!$B$1:$G$1006,4,FALSE)),"",INT(VLOOKUP($AB1542&amp;"-"&amp;$E1542&amp;" "&amp;$F1542,Bonuses!$B$1:$G$1006,4,FALSE)))</f>
        <v/>
      </c>
      <c r="AE1542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  <row r="1543" spans="1:31" x14ac:dyDescent="0.25">
      <c r="A1543" s="50">
        <v>5972</v>
      </c>
      <c r="B1543" s="50">
        <f>COUNTIF(Table5[PID],A1543)</f>
        <v>1</v>
      </c>
      <c r="C1543" s="50" t="str">
        <f>IF(COUNTIF(Table3[[#All],[PID]],A1543)&gt;0,"P","B")</f>
        <v>B</v>
      </c>
      <c r="D1543" s="59" t="str">
        <f>IF($C1543="B",INDEX(Batters[[#All],[POS]],MATCH(Table5[[#This Row],[PID]],Batters[[#All],[PID]],0)),INDEX(Table3[[#All],[POS]],MATCH(Table5[[#This Row],[PID]],Table3[[#All],[PID]],0)))</f>
        <v>C</v>
      </c>
      <c r="E1543" s="52" t="str">
        <f>IF($C1543="B",INDEX(Batters[[#All],[First]],MATCH(Table5[[#This Row],[PID]],Batters[[#All],[PID]],0)),INDEX(Table3[[#All],[First]],MATCH(Table5[[#This Row],[PID]],Table3[[#All],[PID]],0)))</f>
        <v>Fraser</v>
      </c>
      <c r="F1543" s="50" t="str">
        <f>IF($C1543="B",INDEX(Batters[[#All],[Last]],MATCH(A1543,Batters[[#All],[PID]],0)),INDEX(Table3[[#All],[Last]],MATCH(A1543,Table3[[#All],[PID]],0)))</f>
        <v>Dupont</v>
      </c>
      <c r="G1543" s="56">
        <f>IF($C1543="B",INDEX(Batters[[#All],[Age]],MATCH(Table5[[#This Row],[PID]],Batters[[#All],[PID]],0)),INDEX(Table3[[#All],[Age]],MATCH(Table5[[#This Row],[PID]],Table3[[#All],[PID]],0)))</f>
        <v>22</v>
      </c>
      <c r="H1543" s="52" t="str">
        <f>IF($C1543="B",INDEX(Batters[[#All],[B]],MATCH(Table5[[#This Row],[PID]],Batters[[#All],[PID]],0)),INDEX(Table3[[#All],[B]],MATCH(Table5[[#This Row],[PID]],Table3[[#All],[PID]],0)))</f>
        <v>R</v>
      </c>
      <c r="I1543" s="70" t="str">
        <f>IF($C1543="B",INDEX(Batters[[#All],[T]],MATCH(Table5[[#This Row],[PID]],Batters[[#All],[PID]],0)),INDEX(Table3[[#All],[T]],MATCH(Table5[[#This Row],[PID]],Table3[[#All],[PID]],0)))</f>
        <v>R</v>
      </c>
      <c r="J1543" s="52" t="str">
        <f>IF($C1543="B",INDEX(Batters[[#All],[WE]],MATCH(Table5[[#This Row],[PID]],Batters[[#All],[PID]],0)),INDEX(Table3[[#All],[WE]],MATCH(Table5[[#This Row],[PID]],Table3[[#All],[PID]],0)))</f>
        <v>Low</v>
      </c>
      <c r="K1543" s="52" t="str">
        <f>IF($C1543="B",INDEX(Batters[[#All],[INT]],MATCH(Table5[[#This Row],[PID]],Batters[[#All],[PID]],0)),INDEX(Table3[[#All],[INT]],MATCH(Table5[[#This Row],[PID]],Table3[[#All],[PID]],0)))</f>
        <v>Low</v>
      </c>
      <c r="L1543" s="60">
        <f>IF($C1543="B",INDEX(Batters[[#All],[CON P]],MATCH(Table5[[#This Row],[PID]],Batters[[#All],[PID]],0)),INDEX(Table3[[#All],[STU P]],MATCH(Table5[[#This Row],[PID]],Table3[[#All],[PID]],0)))</f>
        <v>2</v>
      </c>
      <c r="M1543" s="56">
        <f>IF($C1543="B",INDEX(Batters[[#All],[GAP P]],MATCH(Table5[[#This Row],[PID]],Batters[[#All],[PID]],0)),INDEX(Table3[[#All],[MOV P]],MATCH(Table5[[#This Row],[PID]],Table3[[#All],[PID]],0)))</f>
        <v>2</v>
      </c>
      <c r="N1543" s="56">
        <f>IF($C1543="B",INDEX(Batters[[#All],[POW P]],MATCH(Table5[[#This Row],[PID]],Batters[[#All],[PID]],0)),INDEX(Table3[[#All],[CON P]],MATCH(Table5[[#This Row],[PID]],Table3[[#All],[PID]],0)))</f>
        <v>3</v>
      </c>
      <c r="O1543" s="56">
        <f>IF($C1543="B",INDEX(Batters[[#All],[EYE P]],MATCH(Table5[[#This Row],[PID]],Batters[[#All],[PID]],0)),INDEX(Table3[[#All],[VELO]],MATCH(Table5[[#This Row],[PID]],Table3[[#All],[PID]],0)))</f>
        <v>3</v>
      </c>
      <c r="P1543" s="56">
        <f>IF($C1543="B",INDEX(Batters[[#All],[K P]],MATCH(Table5[[#This Row],[PID]],Batters[[#All],[PID]],0)),INDEX(Table3[[#All],[STM]],MATCH(Table5[[#This Row],[PID]],Table3[[#All],[PID]],0)))</f>
        <v>1</v>
      </c>
      <c r="Q1543" s="61">
        <f>IF($C1543="B",INDEX(Batters[[#All],[Tot]],MATCH(Table5[[#This Row],[PID]],Batters[[#All],[PID]],0)),INDEX(Table3[[#All],[Tot]],MATCH(Table5[[#This Row],[PID]],Table3[[#All],[PID]],0)))</f>
        <v>28.000978596482213</v>
      </c>
      <c r="R1543" s="70">
        <f>IF($C1543="B",INDEX(Batters[[#All],[zScore]],MATCH(Table5[[#This Row],[PID]],Batters[[#All],[PID]],0)),INDEX(Table3[[#All],[zScore]],MATCH(Table5[[#This Row],[PID]],Table3[[#All],[PID]],0)))</f>
        <v>-3.576343116624078</v>
      </c>
      <c r="S1543" s="79" t="str">
        <f>IF($C1543="B",INDEX(Batters[[#All],[DEM]],MATCH(Table5[[#This Row],[PID]],Batters[[#All],[PID]],0)),INDEX(Table3[[#All],[DEM]],MATCH(Table5[[#This Row],[PID]],Table3[[#All],[PID]],0)))</f>
        <v>-</v>
      </c>
      <c r="T1543" s="62">
        <f>IF($C1543="B",INDEX(Batters[[#All],[Rnk]],MATCH(Table5[[#This Row],[PID]],Batters[[#All],[PID]],0)),INDEX(Table3[[#All],[Rnk]],MATCH(Table5[[#This Row],[PID]],Table3[[#All],[PID]],0)))</f>
        <v>762</v>
      </c>
      <c r="U1543" s="68">
        <f>IF($C1543="B",VLOOKUP($A1543,Bat!$A$4:$BA$1621,47,FALSE),VLOOKUP($A1543,Pit!$A$4:$BF$1557,56,FALSE))</f>
        <v>0</v>
      </c>
      <c r="V1543" s="50">
        <f>IF($C1543="B",VLOOKUP($A1543,Bat!$A$4:$BA$1621,48,FALSE),VLOOKUP($A1543,Pit!$A$4:$BF$1557,57,FALSE))</f>
        <v>0</v>
      </c>
      <c r="W1543" s="50">
        <f>Table5[[#This Row],[posRnk]]+Table5[[#This Row],[zRnk]]+IF($W$3&lt;&gt;Table5[[#This Row],[Type]],50,0)</f>
        <v>2351</v>
      </c>
      <c r="X1543" s="51">
        <f>RANK(Table5[[#This Row],[zScore]],Table5[[#All],[zScore]])</f>
        <v>1539</v>
      </c>
      <c r="Y1543" s="50" t="str">
        <f>IFERROR(INDEX(DraftResults[[#All],[OVR]],MATCH(Table5[[#This Row],[PID]],DraftResults[[#All],[Player ID]],0)),"")</f>
        <v/>
      </c>
      <c r="Z1543" s="53" t="str">
        <f>IFERROR(IF((INDEX(DraftResults[[#All],[Supplemental]],MATCH(Table5[[#This Row],[PID]],DraftResults[[#All],[Player ID]],0)))=1,"S","")&amp;INDEX(DraftResults[[#All],[Round]],MATCH(Table5[[#This Row],[PID]],DraftResults[[#All],[Player ID]],0)),"")</f>
        <v/>
      </c>
      <c r="AA1543" s="50" t="str">
        <f>IFERROR(INDEX(DraftResults[[#All],[Pick in Round]],MATCH(Table5[[#This Row],[PID]],DraftResults[[#All],[Player ID]],0)),"")</f>
        <v/>
      </c>
      <c r="AB1543" s="50" t="str">
        <f>IFERROR(INDEX(DraftResults[[#All],[Team Name]],MATCH(Table5[[#This Row],[PID]],DraftResults[[#All],[Player ID]],0)),"")</f>
        <v/>
      </c>
      <c r="AC1543" s="50" t="str">
        <f>IF(Table5[[#This Row],[Ovr]]="","",IF(Table5[[#This Row],[cmbList]]="","",Table5[[#This Row],[cmbList]]-Table5[[#This Row],[Ovr]]))</f>
        <v/>
      </c>
      <c r="AD1543" s="54" t="str">
        <f>IF(ISERROR(VLOOKUP($AB1543&amp;"-"&amp;$E1543&amp;" "&amp;F1543,Bonuses!$B$1:$G$1006,4,FALSE)),"",INT(VLOOKUP($AB1543&amp;"-"&amp;$E1543&amp;" "&amp;$F1543,Bonuses!$B$1:$G$1006,4,FALSE)))</f>
        <v/>
      </c>
      <c r="AE1543" s="50" t="str">
        <f>IF(Table5[[#This Row],[Ovr]]&lt;&gt;"",Table5[[#This Row],[Rnd]]&amp;"."&amp;Table5[[#This Row],[Pick]]&amp;" ("&amp;Table5[[#This Row],[Ovr]]&amp;") - "&amp;Table5[[#This Row],[Pos]]&amp;" "&amp;Table5[[#This Row],[First]]&amp;" "&amp;Table5[[#This Row],[Last]],"")</f>
        <v/>
      </c>
    </row>
  </sheetData>
  <sortState xmlns:xlrd2="http://schemas.microsoft.com/office/spreadsheetml/2017/richdata2" ref="A269:AE1116">
    <sortCondition ref="Y5:Y1116"/>
    <sortCondition ref="W5:W1116"/>
    <sortCondition ref="U5:U1116"/>
    <sortCondition ref="T5:T1116"/>
    <sortCondition descending="1" ref="R5:R1116"/>
    <sortCondition ref="G5:G1116"/>
    <sortCondition ref="C5:C1116"/>
  </sortState>
  <conditionalFormatting sqref="AE6:XFD6 W5:XFD5 AF7:XFD7 AD6:AD1126 AE540:XFD1126 AD1127:AE1234 W6:AC1234 A5:W1543">
    <cfRule type="expression" dxfId="6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5" priority="7">
      <formula>IF($C8="B",1,0)</formula>
    </cfRule>
  </conditionalFormatting>
  <conditionalFormatting sqref="AE7">
    <cfRule type="expression" dxfId="4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3" priority="1">
      <formula>IF($C31="B",1,0)</formula>
    </cfRule>
  </conditionalFormatting>
  <conditionalFormatting sqref="AF1127:XFD1177">
    <cfRule type="expression" dxfId="2" priority="1435">
      <formula>IF(#REF!="B",1,0)</formula>
    </cfRule>
  </conditionalFormatting>
  <conditionalFormatting sqref="A5:X1543">
    <cfRule type="expression" dxfId="1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11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D8" sqref="D8"/>
    </sheetView>
  </sheetViews>
  <sheetFormatPr defaultRowHeight="15" x14ac:dyDescent="0.25"/>
  <cols>
    <col min="1" max="1" width="9" bestFit="1" customWidth="1"/>
    <col min="2" max="2" width="15.85546875" bestFit="1" customWidth="1"/>
    <col min="3" max="3" width="15" customWidth="1"/>
    <col min="4" max="4" width="29.28515625" bestFit="1" customWidth="1"/>
    <col min="5" max="5" width="10.28515625" customWidth="1"/>
    <col min="6" max="8" width="11" customWidth="1"/>
    <col min="9" max="9" width="6.28515625" customWidth="1"/>
    <col min="10" max="11" width="11.7109375" customWidth="1"/>
  </cols>
  <sheetData>
    <row r="2" spans="1:11" ht="15.75" customHeight="1" x14ac:dyDescent="0.25">
      <c r="I2">
        <v>2</v>
      </c>
      <c r="J2">
        <v>3</v>
      </c>
      <c r="K2">
        <v>4</v>
      </c>
    </row>
    <row r="3" spans="1:11" x14ac:dyDescent="0.25">
      <c r="A3" t="s">
        <v>1153</v>
      </c>
      <c r="B3" t="s">
        <v>1155</v>
      </c>
      <c r="C3" t="s">
        <v>312</v>
      </c>
      <c r="D3" t="s">
        <v>313</v>
      </c>
      <c r="E3" t="s">
        <v>314</v>
      </c>
      <c r="F3" t="s">
        <v>315</v>
      </c>
      <c r="G3" t="s">
        <v>316</v>
      </c>
      <c r="H3" t="s">
        <v>1154</v>
      </c>
      <c r="I3" t="s">
        <v>122</v>
      </c>
      <c r="J3" t="s">
        <v>406</v>
      </c>
      <c r="K3" t="s">
        <v>407</v>
      </c>
    </row>
    <row r="4" spans="1:11" x14ac:dyDescent="0.25">
      <c r="A4">
        <v>1</v>
      </c>
      <c r="B4">
        <v>0</v>
      </c>
      <c r="C4">
        <v>1</v>
      </c>
      <c r="D4" t="s">
        <v>625</v>
      </c>
      <c r="E4">
        <v>24</v>
      </c>
      <c r="F4">
        <v>20215</v>
      </c>
      <c r="G4" t="s">
        <v>316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</v>
      </c>
      <c r="I4" t="str">
        <f>IF(DraftResults[[#This Row],[Player ID]]=0,"",INDEX(Table5[[#All],[Pos]],MATCH(DraftResults[[#This Row],[Player ID]],Table5[[#All],[PID]],0)))</f>
        <v>CL</v>
      </c>
      <c r="J4" t="str">
        <f>IF(DraftResults[[#This Row],[Player ID]]=0,"",INDEX(Table5[[#All],[First]],MATCH(DraftResults[[#This Row],[Player ID]],Table5[[#All],[PID]],0)))</f>
        <v>Devlyn</v>
      </c>
      <c r="K4" t="str">
        <f>IF(DraftResults[[#This Row],[Player ID]]=0,"",INDEX(Table5[[#All],[Last]],MATCH(DraftResults[[#This Row],[Player ID]],Table5[[#All],[PID]],0)))</f>
        <v>Hale</v>
      </c>
    </row>
    <row r="5" spans="1:11" x14ac:dyDescent="0.25">
      <c r="A5">
        <v>1</v>
      </c>
      <c r="B5">
        <v>0</v>
      </c>
      <c r="C5">
        <v>2</v>
      </c>
      <c r="D5" t="s">
        <v>542</v>
      </c>
      <c r="E5">
        <v>7</v>
      </c>
      <c r="F5">
        <v>20528</v>
      </c>
      <c r="G5" t="s">
        <v>316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</v>
      </c>
      <c r="I5" t="str">
        <f>IF(DraftResults[[#This Row],[Player ID]]=0,"",INDEX(Table5[[#All],[Pos]],MATCH(DraftResults[[#This Row],[Player ID]],Table5[[#All],[PID]],0)))</f>
        <v>SP</v>
      </c>
      <c r="J5" t="str">
        <f>IF(DraftResults[[#This Row],[Player ID]]=0,"",INDEX(Table5[[#All],[First]],MATCH(DraftResults[[#This Row],[Player ID]],Table5[[#All],[PID]],0)))</f>
        <v>Ding-bong</v>
      </c>
      <c r="K5" t="str">
        <f>IF(DraftResults[[#This Row],[Player ID]]=0,"",INDEX(Table5[[#All],[Last]],MATCH(DraftResults[[#This Row],[Player ID]],Table5[[#All],[PID]],0)))</f>
        <v>Zhu</v>
      </c>
    </row>
    <row r="6" spans="1:11" x14ac:dyDescent="0.25">
      <c r="A6">
        <v>1</v>
      </c>
      <c r="B6">
        <v>0</v>
      </c>
      <c r="C6">
        <v>3</v>
      </c>
      <c r="D6" t="s">
        <v>256</v>
      </c>
      <c r="E6">
        <v>8</v>
      </c>
      <c r="F6">
        <v>18318</v>
      </c>
      <c r="G6" t="s">
        <v>316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</v>
      </c>
      <c r="I6" t="str">
        <f>IF(DraftResults[[#This Row],[Player ID]]=0,"",INDEX(Table5[[#All],[Pos]],MATCH(DraftResults[[#This Row],[Player ID]],Table5[[#All],[PID]],0)))</f>
        <v>SP</v>
      </c>
      <c r="J6" t="str">
        <f>IF(DraftResults[[#This Row],[Player ID]]=0,"",INDEX(Table5[[#All],[First]],MATCH(DraftResults[[#This Row],[Player ID]],Table5[[#All],[PID]],0)))</f>
        <v>Karst</v>
      </c>
      <c r="K6" t="str">
        <f>IF(DraftResults[[#This Row],[Player ID]]=0,"",INDEX(Table5[[#All],[Last]],MATCH(DraftResults[[#This Row],[Player ID]],Table5[[#All],[PID]],0)))</f>
        <v>Koninck</v>
      </c>
    </row>
    <row r="7" spans="1:11" x14ac:dyDescent="0.25">
      <c r="A7">
        <v>1</v>
      </c>
      <c r="B7">
        <v>0</v>
      </c>
      <c r="C7">
        <v>4</v>
      </c>
      <c r="D7" t="s">
        <v>628</v>
      </c>
      <c r="E7">
        <v>23</v>
      </c>
      <c r="F7">
        <v>18417</v>
      </c>
      <c r="G7" t="s">
        <v>316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</v>
      </c>
      <c r="I7" t="str">
        <f>IF(DraftResults[[#This Row],[Player ID]]=0,"",INDEX(Table5[[#All],[Pos]],MATCH(DraftResults[[#This Row],[Player ID]],Table5[[#All],[PID]],0)))</f>
        <v>SP</v>
      </c>
      <c r="J7" t="str">
        <f>IF(DraftResults[[#This Row],[Player ID]]=0,"",INDEX(Table5[[#All],[First]],MATCH(DraftResults[[#This Row],[Player ID]],Table5[[#All],[PID]],0)))</f>
        <v>Karel</v>
      </c>
      <c r="K7" t="str">
        <f>IF(DraftResults[[#This Row],[Player ID]]=0,"",INDEX(Table5[[#All],[Last]],MATCH(DraftResults[[#This Row],[Player ID]],Table5[[#All],[PID]],0)))</f>
        <v>Rietkerk</v>
      </c>
    </row>
    <row r="8" spans="1:11" x14ac:dyDescent="0.25">
      <c r="A8">
        <v>1</v>
      </c>
      <c r="B8">
        <v>0</v>
      </c>
      <c r="C8">
        <v>5</v>
      </c>
      <c r="D8" t="s">
        <v>542</v>
      </c>
      <c r="E8">
        <v>7</v>
      </c>
      <c r="F8">
        <v>18393</v>
      </c>
      <c r="G8" t="s">
        <v>316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</v>
      </c>
      <c r="I8" t="str">
        <f>IF(DraftResults[[#This Row],[Player ID]]=0,"",INDEX(Table5[[#All],[Pos]],MATCH(DraftResults[[#This Row],[Player ID]],Table5[[#All],[PID]],0)))</f>
        <v>SP</v>
      </c>
      <c r="J8" t="str">
        <f>IF(DraftResults[[#This Row],[Player ID]]=0,"",INDEX(Table5[[#All],[First]],MATCH(DraftResults[[#This Row],[Player ID]],Table5[[#All],[PID]],0)))</f>
        <v>Finlay</v>
      </c>
      <c r="K8" t="str">
        <f>IF(DraftResults[[#This Row],[Player ID]]=0,"",INDEX(Table5[[#All],[Last]],MATCH(DraftResults[[#This Row],[Player ID]],Table5[[#All],[PID]],0)))</f>
        <v>MacEwan</v>
      </c>
    </row>
    <row r="9" spans="1:11" x14ac:dyDescent="0.25">
      <c r="A9">
        <v>1</v>
      </c>
      <c r="B9">
        <v>0</v>
      </c>
      <c r="C9">
        <v>6</v>
      </c>
      <c r="D9" t="s">
        <v>543</v>
      </c>
      <c r="E9">
        <v>4</v>
      </c>
      <c r="F9">
        <v>18149</v>
      </c>
      <c r="G9" t="s">
        <v>316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</v>
      </c>
      <c r="I9" t="str">
        <f>IF(DraftResults[[#This Row],[Player ID]]=0,"",INDEX(Table5[[#All],[Pos]],MATCH(DraftResults[[#This Row],[Player ID]],Table5[[#All],[PID]],0)))</f>
        <v>SP</v>
      </c>
      <c r="J9" t="str">
        <f>IF(DraftResults[[#This Row],[Player ID]]=0,"",INDEX(Table5[[#All],[First]],MATCH(DraftResults[[#This Row],[Player ID]],Table5[[#All],[PID]],0)))</f>
        <v>Phil</v>
      </c>
      <c r="K9" t="str">
        <f>IF(DraftResults[[#This Row],[Player ID]]=0,"",INDEX(Table5[[#All],[Last]],MATCH(DraftResults[[#This Row],[Player ID]],Table5[[#All],[PID]],0)))</f>
        <v>Warren</v>
      </c>
    </row>
    <row r="10" spans="1:11" x14ac:dyDescent="0.25">
      <c r="A10">
        <v>1</v>
      </c>
      <c r="B10">
        <v>0</v>
      </c>
      <c r="C10">
        <v>7</v>
      </c>
      <c r="D10" t="s">
        <v>248</v>
      </c>
      <c r="E10">
        <v>11</v>
      </c>
      <c r="F10">
        <v>18331</v>
      </c>
      <c r="G10" t="s">
        <v>316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</v>
      </c>
      <c r="I10" t="str">
        <f>IF(DraftResults[[#This Row],[Player ID]]=0,"",INDEX(Table5[[#All],[Pos]],MATCH(DraftResults[[#This Row],[Player ID]],Table5[[#All],[PID]],0)))</f>
        <v>SP</v>
      </c>
      <c r="J10" t="str">
        <f>IF(DraftResults[[#This Row],[Player ID]]=0,"",INDEX(Table5[[#All],[First]],MATCH(DraftResults[[#This Row],[Player ID]],Table5[[#All],[PID]],0)))</f>
        <v>Gonzalo</v>
      </c>
      <c r="K10" t="str">
        <f>IF(DraftResults[[#This Row],[Player ID]]=0,"",INDEX(Table5[[#All],[Last]],MATCH(DraftResults[[#This Row],[Player ID]],Table5[[#All],[PID]],0)))</f>
        <v>Reyna</v>
      </c>
    </row>
    <row r="11" spans="1:11" x14ac:dyDescent="0.25">
      <c r="A11">
        <v>1</v>
      </c>
      <c r="B11">
        <v>0</v>
      </c>
      <c r="C11">
        <v>8</v>
      </c>
      <c r="D11" t="s">
        <v>250</v>
      </c>
      <c r="E11">
        <v>3</v>
      </c>
      <c r="F11">
        <v>18420</v>
      </c>
      <c r="G11" t="s">
        <v>316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</v>
      </c>
      <c r="I11" t="str">
        <f>IF(DraftResults[[#This Row],[Player ID]]=0,"",INDEX(Table5[[#All],[Pos]],MATCH(DraftResults[[#This Row],[Player ID]],Table5[[#All],[PID]],0)))</f>
        <v>CF</v>
      </c>
      <c r="J11" t="str">
        <f>IF(DraftResults[[#This Row],[Player ID]]=0,"",INDEX(Table5[[#All],[First]],MATCH(DraftResults[[#This Row],[Player ID]],Table5[[#All],[PID]],0)))</f>
        <v>Zak</v>
      </c>
      <c r="K11" t="str">
        <f>IF(DraftResults[[#This Row],[Player ID]]=0,"",INDEX(Table5[[#All],[Last]],MATCH(DraftResults[[#This Row],[Player ID]],Table5[[#All],[PID]],0)))</f>
        <v>Osmond</v>
      </c>
    </row>
    <row r="12" spans="1:11" x14ac:dyDescent="0.25">
      <c r="A12">
        <v>1</v>
      </c>
      <c r="B12">
        <v>0</v>
      </c>
      <c r="C12">
        <v>9</v>
      </c>
      <c r="D12" t="s">
        <v>456</v>
      </c>
      <c r="E12">
        <v>164</v>
      </c>
      <c r="F12">
        <v>18159</v>
      </c>
      <c r="G12" t="s">
        <v>316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</v>
      </c>
      <c r="I12" t="str">
        <f>IF(DraftResults[[#This Row],[Player ID]]=0,"",INDEX(Table5[[#All],[Pos]],MATCH(DraftResults[[#This Row],[Player ID]],Table5[[#All],[PID]],0)))</f>
        <v>1B</v>
      </c>
      <c r="J12" t="str">
        <f>IF(DraftResults[[#This Row],[Player ID]]=0,"",INDEX(Table5[[#All],[First]],MATCH(DraftResults[[#This Row],[Player ID]],Table5[[#All],[PID]],0)))</f>
        <v>Rob</v>
      </c>
      <c r="K12" t="str">
        <f>IF(DraftResults[[#This Row],[Player ID]]=0,"",INDEX(Table5[[#All],[Last]],MATCH(DraftResults[[#This Row],[Player ID]],Table5[[#All],[PID]],0)))</f>
        <v>Woodard</v>
      </c>
    </row>
    <row r="13" spans="1:11" x14ac:dyDescent="0.25">
      <c r="A13">
        <v>1</v>
      </c>
      <c r="B13">
        <v>0</v>
      </c>
      <c r="C13">
        <v>10</v>
      </c>
      <c r="D13" t="s">
        <v>461</v>
      </c>
      <c r="E13">
        <v>18</v>
      </c>
      <c r="F13">
        <v>16944</v>
      </c>
      <c r="G13" t="s">
        <v>316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</v>
      </c>
      <c r="I13" t="str">
        <f>IF(DraftResults[[#This Row],[Player ID]]=0,"",INDEX(Table5[[#All],[Pos]],MATCH(DraftResults[[#This Row],[Player ID]],Table5[[#All],[PID]],0)))</f>
        <v>RP</v>
      </c>
      <c r="J13" t="str">
        <f>IF(DraftResults[[#This Row],[Player ID]]=0,"",INDEX(Table5[[#All],[First]],MATCH(DraftResults[[#This Row],[Player ID]],Table5[[#All],[PID]],0)))</f>
        <v>Kyle</v>
      </c>
      <c r="K13" t="str">
        <f>IF(DraftResults[[#This Row],[Player ID]]=0,"",INDEX(Table5[[#All],[Last]],MATCH(DraftResults[[#This Row],[Player ID]],Table5[[#All],[PID]],0)))</f>
        <v>Maynard</v>
      </c>
    </row>
    <row r="14" spans="1:11" x14ac:dyDescent="0.25">
      <c r="A14">
        <v>1</v>
      </c>
      <c r="B14">
        <v>0</v>
      </c>
      <c r="C14">
        <v>11</v>
      </c>
      <c r="D14" t="s">
        <v>253</v>
      </c>
      <c r="E14">
        <v>15</v>
      </c>
      <c r="F14">
        <v>18163</v>
      </c>
      <c r="G14" t="s">
        <v>316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</v>
      </c>
      <c r="I14" t="str">
        <f>IF(DraftResults[[#This Row],[Player ID]]=0,"",INDEX(Table5[[#All],[Pos]],MATCH(DraftResults[[#This Row],[Player ID]],Table5[[#All],[PID]],0)))</f>
        <v>CF</v>
      </c>
      <c r="J14" t="str">
        <f>IF(DraftResults[[#This Row],[Player ID]]=0,"",INDEX(Table5[[#All],[First]],MATCH(DraftResults[[#This Row],[Player ID]],Table5[[#All],[PID]],0)))</f>
        <v>Robert</v>
      </c>
      <c r="K14" t="str">
        <f>IF(DraftResults[[#This Row],[Player ID]]=0,"",INDEX(Table5[[#All],[Last]],MATCH(DraftResults[[#This Row],[Player ID]],Table5[[#All],[PID]],0)))</f>
        <v>Hayes</v>
      </c>
    </row>
    <row r="15" spans="1:11" x14ac:dyDescent="0.25">
      <c r="A15">
        <v>1</v>
      </c>
      <c r="B15">
        <v>0</v>
      </c>
      <c r="C15">
        <v>12</v>
      </c>
      <c r="D15" t="s">
        <v>245</v>
      </c>
      <c r="E15">
        <v>21</v>
      </c>
      <c r="F15">
        <v>18153</v>
      </c>
      <c r="G15" t="s">
        <v>316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</v>
      </c>
      <c r="I15" t="str">
        <f>IF(DraftResults[[#This Row],[Player ID]]=0,"",INDEX(Table5[[#All],[Pos]],MATCH(DraftResults[[#This Row],[Player ID]],Table5[[#All],[PID]],0)))</f>
        <v>CL</v>
      </c>
      <c r="J15" t="str">
        <f>IF(DraftResults[[#This Row],[Player ID]]=0,"",INDEX(Table5[[#All],[First]],MATCH(DraftResults[[#This Row],[Player ID]],Table5[[#All],[PID]],0)))</f>
        <v>John</v>
      </c>
      <c r="K15" t="str">
        <f>IF(DraftResults[[#This Row],[Player ID]]=0,"",INDEX(Table5[[#All],[Last]],MATCH(DraftResults[[#This Row],[Player ID]],Table5[[#All],[PID]],0)))</f>
        <v>Vázquez</v>
      </c>
    </row>
    <row r="16" spans="1:11" x14ac:dyDescent="0.25">
      <c r="A16">
        <v>1</v>
      </c>
      <c r="B16">
        <v>0</v>
      </c>
      <c r="C16">
        <v>13</v>
      </c>
      <c r="D16" t="s">
        <v>243</v>
      </c>
      <c r="E16">
        <v>22</v>
      </c>
      <c r="F16">
        <v>18093</v>
      </c>
      <c r="G16" t="s">
        <v>316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</v>
      </c>
      <c r="I16" t="str">
        <f>IF(DraftResults[[#This Row],[Player ID]]=0,"",INDEX(Table5[[#All],[Pos]],MATCH(DraftResults[[#This Row],[Player ID]],Table5[[#All],[PID]],0)))</f>
        <v>SS</v>
      </c>
      <c r="J16" t="str">
        <f>IF(DraftResults[[#This Row],[Player ID]]=0,"",INDEX(Table5[[#All],[First]],MATCH(DraftResults[[#This Row],[Player ID]],Table5[[#All],[PID]],0)))</f>
        <v>Ken</v>
      </c>
      <c r="K16" t="str">
        <f>IF(DraftResults[[#This Row],[Player ID]]=0,"",INDEX(Table5[[#All],[Last]],MATCH(DraftResults[[#This Row],[Player ID]],Table5[[#All],[PID]],0)))</f>
        <v>Schmidt</v>
      </c>
    </row>
    <row r="17" spans="1:11" x14ac:dyDescent="0.25">
      <c r="A17">
        <v>1</v>
      </c>
      <c r="B17">
        <v>0</v>
      </c>
      <c r="C17">
        <v>14</v>
      </c>
      <c r="D17" t="s">
        <v>251</v>
      </c>
      <c r="E17">
        <v>1</v>
      </c>
      <c r="F17">
        <v>18178</v>
      </c>
      <c r="G17" t="s">
        <v>316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</v>
      </c>
      <c r="I17" t="str">
        <f>IF(DraftResults[[#This Row],[Player ID]]=0,"",INDEX(Table5[[#All],[Pos]],MATCH(DraftResults[[#This Row],[Player ID]],Table5[[#All],[PID]],0)))</f>
        <v>2B</v>
      </c>
      <c r="J17" t="str">
        <f>IF(DraftResults[[#This Row],[Player ID]]=0,"",INDEX(Table5[[#All],[First]],MATCH(DraftResults[[#This Row],[Player ID]],Table5[[#All],[PID]],0)))</f>
        <v>Colin</v>
      </c>
      <c r="K17" t="str">
        <f>IF(DraftResults[[#This Row],[Player ID]]=0,"",INDEX(Table5[[#All],[Last]],MATCH(DraftResults[[#This Row],[Player ID]],Table5[[#All],[PID]],0)))</f>
        <v>Kendall</v>
      </c>
    </row>
    <row r="18" spans="1:11" x14ac:dyDescent="0.25">
      <c r="A18">
        <v>1</v>
      </c>
      <c r="B18">
        <v>0</v>
      </c>
      <c r="C18">
        <v>15</v>
      </c>
      <c r="D18" t="s">
        <v>625</v>
      </c>
      <c r="E18">
        <v>24</v>
      </c>
      <c r="F18">
        <v>20641</v>
      </c>
      <c r="G18" t="s">
        <v>316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</v>
      </c>
      <c r="I18" t="str">
        <f>IF(DraftResults[[#This Row],[Player ID]]=0,"",INDEX(Table5[[#All],[Pos]],MATCH(DraftResults[[#This Row],[Player ID]],Table5[[#All],[PID]],0)))</f>
        <v>2B</v>
      </c>
      <c r="J18" t="str">
        <f>IF(DraftResults[[#This Row],[Player ID]]=0,"",INDEX(Table5[[#All],[First]],MATCH(DraftResults[[#This Row],[Player ID]],Table5[[#All],[PID]],0)))</f>
        <v>Kyung-bae</v>
      </c>
      <c r="K18" t="str">
        <f>IF(DraftResults[[#This Row],[Player ID]]=0,"",INDEX(Table5[[#All],[Last]],MATCH(DraftResults[[#This Row],[Player ID]],Table5[[#All],[PID]],0)))</f>
        <v>Kang</v>
      </c>
    </row>
    <row r="19" spans="1:11" x14ac:dyDescent="0.25">
      <c r="A19">
        <v>1</v>
      </c>
      <c r="B19">
        <v>0</v>
      </c>
      <c r="C19">
        <v>16</v>
      </c>
      <c r="D19" t="s">
        <v>627</v>
      </c>
      <c r="E19">
        <v>13</v>
      </c>
      <c r="F19">
        <v>20700</v>
      </c>
      <c r="G19" t="s">
        <v>316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</v>
      </c>
      <c r="I19" t="str">
        <f>IF(DraftResults[[#This Row],[Player ID]]=0,"",INDEX(Table5[[#All],[Pos]],MATCH(DraftResults[[#This Row],[Player ID]],Table5[[#All],[PID]],0)))</f>
        <v>SP</v>
      </c>
      <c r="J19" t="str">
        <f>IF(DraftResults[[#This Row],[Player ID]]=0,"",INDEX(Table5[[#All],[First]],MATCH(DraftResults[[#This Row],[Player ID]],Table5[[#All],[PID]],0)))</f>
        <v>Jeremy</v>
      </c>
      <c r="K19" t="str">
        <f>IF(DraftResults[[#This Row],[Player ID]]=0,"",INDEX(Table5[[#All],[Last]],MATCH(DraftResults[[#This Row],[Player ID]],Table5[[#All],[PID]],0)))</f>
        <v>Anderson</v>
      </c>
    </row>
    <row r="20" spans="1:11" x14ac:dyDescent="0.25">
      <c r="A20">
        <v>1</v>
      </c>
      <c r="B20">
        <v>0</v>
      </c>
      <c r="C20">
        <v>17</v>
      </c>
      <c r="D20" t="s">
        <v>248</v>
      </c>
      <c r="E20">
        <v>11</v>
      </c>
      <c r="F20">
        <v>18108</v>
      </c>
      <c r="G20" t="s">
        <v>316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</v>
      </c>
      <c r="I20" t="str">
        <f>IF(DraftResults[[#This Row],[Player ID]]=0,"",INDEX(Table5[[#All],[Pos]],MATCH(DraftResults[[#This Row],[Player ID]],Table5[[#All],[PID]],0)))</f>
        <v>RF</v>
      </c>
      <c r="J20" t="str">
        <f>IF(DraftResults[[#This Row],[Player ID]]=0,"",INDEX(Table5[[#All],[First]],MATCH(DraftResults[[#This Row],[Player ID]],Table5[[#All],[PID]],0)))</f>
        <v>Bruce</v>
      </c>
      <c r="K20" t="str">
        <f>IF(DraftResults[[#This Row],[Player ID]]=0,"",INDEX(Table5[[#All],[Last]],MATCH(DraftResults[[#This Row],[Player ID]],Table5[[#All],[PID]],0)))</f>
        <v>Lawson</v>
      </c>
    </row>
    <row r="21" spans="1:11" x14ac:dyDescent="0.25">
      <c r="A21">
        <v>1</v>
      </c>
      <c r="B21">
        <v>0</v>
      </c>
      <c r="C21">
        <v>18</v>
      </c>
      <c r="D21" t="s">
        <v>246</v>
      </c>
      <c r="E21">
        <v>17</v>
      </c>
      <c r="F21">
        <v>18362</v>
      </c>
      <c r="G21" t="s">
        <v>316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</v>
      </c>
      <c r="I21" t="str">
        <f>IF(DraftResults[[#This Row],[Player ID]]=0,"",INDEX(Table5[[#All],[Pos]],MATCH(DraftResults[[#This Row],[Player ID]],Table5[[#All],[PID]],0)))</f>
        <v>SP</v>
      </c>
      <c r="J21" t="str">
        <f>IF(DraftResults[[#This Row],[Player ID]]=0,"",INDEX(Table5[[#All],[First]],MATCH(DraftResults[[#This Row],[Player ID]],Table5[[#All],[PID]],0)))</f>
        <v>Adam</v>
      </c>
      <c r="K21" t="str">
        <f>IF(DraftResults[[#This Row],[Player ID]]=0,"",INDEX(Table5[[#All],[Last]],MATCH(DraftResults[[#This Row],[Player ID]],Table5[[#All],[PID]],0)))</f>
        <v>Geake</v>
      </c>
    </row>
    <row r="22" spans="1:11" x14ac:dyDescent="0.25">
      <c r="A22">
        <v>1</v>
      </c>
      <c r="B22">
        <v>0</v>
      </c>
      <c r="C22">
        <v>19</v>
      </c>
      <c r="D22" t="s">
        <v>629</v>
      </c>
      <c r="E22">
        <v>9</v>
      </c>
      <c r="F22">
        <v>18445</v>
      </c>
      <c r="G22" t="s">
        <v>316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</v>
      </c>
      <c r="I22" t="str">
        <f>IF(DraftResults[[#This Row],[Player ID]]=0,"",INDEX(Table5[[#All],[Pos]],MATCH(DraftResults[[#This Row],[Player ID]],Table5[[#All],[PID]],0)))</f>
        <v>3B</v>
      </c>
      <c r="J22" t="str">
        <f>IF(DraftResults[[#This Row],[Player ID]]=0,"",INDEX(Table5[[#All],[First]],MATCH(DraftResults[[#This Row],[Player ID]],Table5[[#All],[PID]],0)))</f>
        <v>Adam</v>
      </c>
      <c r="K22" t="str">
        <f>IF(DraftResults[[#This Row],[Player ID]]=0,"",INDEX(Table5[[#All],[Last]],MATCH(DraftResults[[#This Row],[Player ID]],Table5[[#All],[PID]],0)))</f>
        <v>Eikelenboom</v>
      </c>
    </row>
    <row r="23" spans="1:11" x14ac:dyDescent="0.25">
      <c r="A23">
        <v>1</v>
      </c>
      <c r="B23">
        <v>0</v>
      </c>
      <c r="C23">
        <v>20</v>
      </c>
      <c r="D23" t="s">
        <v>461</v>
      </c>
      <c r="E23">
        <v>18</v>
      </c>
      <c r="F23">
        <v>17775</v>
      </c>
      <c r="G23" t="s">
        <v>316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</v>
      </c>
      <c r="I23" t="str">
        <f>IF(DraftResults[[#This Row],[Player ID]]=0,"",INDEX(Table5[[#All],[Pos]],MATCH(DraftResults[[#This Row],[Player ID]],Table5[[#All],[PID]],0)))</f>
        <v>CL</v>
      </c>
      <c r="J23" t="str">
        <f>IF(DraftResults[[#This Row],[Player ID]]=0,"",INDEX(Table5[[#All],[First]],MATCH(DraftResults[[#This Row],[Player ID]],Table5[[#All],[PID]],0)))</f>
        <v>Edward</v>
      </c>
      <c r="K23" t="str">
        <f>IF(DraftResults[[#This Row],[Player ID]]=0,"",INDEX(Table5[[#All],[Last]],MATCH(DraftResults[[#This Row],[Player ID]],Table5[[#All],[PID]],0)))</f>
        <v>Neelen</v>
      </c>
    </row>
    <row r="24" spans="1:11" x14ac:dyDescent="0.25">
      <c r="A24">
        <v>1</v>
      </c>
      <c r="B24">
        <v>0</v>
      </c>
      <c r="C24">
        <v>21</v>
      </c>
      <c r="D24" t="s">
        <v>243</v>
      </c>
      <c r="E24">
        <v>22</v>
      </c>
      <c r="F24">
        <v>18319</v>
      </c>
      <c r="G24" t="s">
        <v>316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</v>
      </c>
      <c r="I24" t="str">
        <f>IF(DraftResults[[#This Row],[Player ID]]=0,"",INDEX(Table5[[#All],[Pos]],MATCH(DraftResults[[#This Row],[Player ID]],Table5[[#All],[PID]],0)))</f>
        <v>SP</v>
      </c>
      <c r="J24" t="str">
        <f>IF(DraftResults[[#This Row],[Player ID]]=0,"",INDEX(Table5[[#All],[First]],MATCH(DraftResults[[#This Row],[Player ID]],Table5[[#All],[PID]],0)))</f>
        <v>Sozui</v>
      </c>
      <c r="K24" t="str">
        <f>IF(DraftResults[[#This Row],[Player ID]]=0,"",INDEX(Table5[[#All],[Last]],MATCH(DraftResults[[#This Row],[Player ID]],Table5[[#All],[PID]],0)))</f>
        <v>Kimura</v>
      </c>
    </row>
    <row r="25" spans="1:11" x14ac:dyDescent="0.25">
      <c r="A25">
        <v>1</v>
      </c>
      <c r="B25">
        <v>0</v>
      </c>
      <c r="C25">
        <v>22</v>
      </c>
      <c r="D25" t="s">
        <v>457</v>
      </c>
      <c r="E25">
        <v>166</v>
      </c>
      <c r="F25">
        <v>17912</v>
      </c>
      <c r="G25" t="s">
        <v>316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</v>
      </c>
      <c r="I25" t="str">
        <f>IF(DraftResults[[#This Row],[Player ID]]=0,"",INDEX(Table5[[#All],[Pos]],MATCH(DraftResults[[#This Row],[Player ID]],Table5[[#All],[PID]],0)))</f>
        <v>LF</v>
      </c>
      <c r="J25" t="str">
        <f>IF(DraftResults[[#This Row],[Player ID]]=0,"",INDEX(Table5[[#All],[First]],MATCH(DraftResults[[#This Row],[Player ID]],Table5[[#All],[PID]],0)))</f>
        <v>Katsuhito</v>
      </c>
      <c r="K25" t="str">
        <f>IF(DraftResults[[#This Row],[Player ID]]=0,"",INDEX(Table5[[#All],[Last]],MATCH(DraftResults[[#This Row],[Player ID]],Table5[[#All],[PID]],0)))</f>
        <v>Kato</v>
      </c>
    </row>
    <row r="26" spans="1:11" x14ac:dyDescent="0.25">
      <c r="A26">
        <v>1</v>
      </c>
      <c r="B26">
        <v>0</v>
      </c>
      <c r="C26">
        <v>23</v>
      </c>
      <c r="D26" t="s">
        <v>248</v>
      </c>
      <c r="E26">
        <v>11</v>
      </c>
      <c r="F26">
        <v>18282</v>
      </c>
      <c r="G26" t="s">
        <v>316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</v>
      </c>
      <c r="I26" t="str">
        <f>IF(DraftResults[[#This Row],[Player ID]]=0,"",INDEX(Table5[[#All],[Pos]],MATCH(DraftResults[[#This Row],[Player ID]],Table5[[#All],[PID]],0)))</f>
        <v>SS</v>
      </c>
      <c r="J26" t="str">
        <f>IF(DraftResults[[#This Row],[Player ID]]=0,"",INDEX(Table5[[#All],[First]],MATCH(DraftResults[[#This Row],[Player ID]],Table5[[#All],[PID]],0)))</f>
        <v>Brenden</v>
      </c>
      <c r="K26" t="str">
        <f>IF(DraftResults[[#This Row],[Player ID]]=0,"",INDEX(Table5[[#All],[Last]],MATCH(DraftResults[[#This Row],[Player ID]],Table5[[#All],[PID]],0)))</f>
        <v>Cumberbatch</v>
      </c>
    </row>
    <row r="27" spans="1:11" x14ac:dyDescent="0.25">
      <c r="A27">
        <v>1</v>
      </c>
      <c r="B27">
        <v>0</v>
      </c>
      <c r="C27">
        <v>24</v>
      </c>
      <c r="D27" t="s">
        <v>625</v>
      </c>
      <c r="E27">
        <v>24</v>
      </c>
      <c r="F27">
        <v>20673</v>
      </c>
      <c r="G27" t="s">
        <v>316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</v>
      </c>
      <c r="I27" t="str">
        <f>IF(DraftResults[[#This Row],[Player ID]]=0,"",INDEX(Table5[[#All],[Pos]],MATCH(DraftResults[[#This Row],[Player ID]],Table5[[#All],[PID]],0)))</f>
        <v>LF</v>
      </c>
      <c r="J27" t="str">
        <f>IF(DraftResults[[#This Row],[Player ID]]=0,"",INDEX(Table5[[#All],[First]],MATCH(DraftResults[[#This Row],[Player ID]],Table5[[#All],[PID]],0)))</f>
        <v>Geun-pyo</v>
      </c>
      <c r="K27" t="str">
        <f>IF(DraftResults[[#This Row],[Player ID]]=0,"",INDEX(Table5[[#All],[Last]],MATCH(DraftResults[[#This Row],[Player ID]],Table5[[#All],[PID]],0)))</f>
        <v>Ch'ae</v>
      </c>
    </row>
    <row r="28" spans="1:11" ht="15.75" customHeight="1" x14ac:dyDescent="0.25">
      <c r="A28">
        <v>1</v>
      </c>
      <c r="B28">
        <v>0</v>
      </c>
      <c r="C28">
        <v>25</v>
      </c>
      <c r="D28" t="s">
        <v>454</v>
      </c>
      <c r="E28">
        <v>162</v>
      </c>
      <c r="F28">
        <v>20271</v>
      </c>
      <c r="G28" t="s">
        <v>316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</v>
      </c>
      <c r="I28" t="str">
        <f>IF(DraftResults[[#This Row],[Player ID]]=0,"",INDEX(Table5[[#All],[Pos]],MATCH(DraftResults[[#This Row],[Player ID]],Table5[[#All],[PID]],0)))</f>
        <v>CL</v>
      </c>
      <c r="J28" t="str">
        <f>IF(DraftResults[[#This Row],[Player ID]]=0,"",INDEX(Table5[[#All],[First]],MATCH(DraftResults[[#This Row],[Player ID]],Table5[[#All],[PID]],0)))</f>
        <v>Petro</v>
      </c>
      <c r="K28" t="str">
        <f>IF(DraftResults[[#This Row],[Player ID]]=0,"",INDEX(Table5[[#All],[Last]],MATCH(DraftResults[[#This Row],[Player ID]],Table5[[#All],[PID]],0)))</f>
        <v>Cuypers</v>
      </c>
    </row>
    <row r="29" spans="1:11" x14ac:dyDescent="0.25">
      <c r="A29">
        <v>1</v>
      </c>
      <c r="B29">
        <v>0</v>
      </c>
      <c r="C29">
        <v>26</v>
      </c>
      <c r="D29" t="s">
        <v>459</v>
      </c>
      <c r="E29">
        <v>163</v>
      </c>
      <c r="F29">
        <v>17779</v>
      </c>
      <c r="G29" t="s">
        <v>316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</v>
      </c>
      <c r="I29" t="str">
        <f>IF(DraftResults[[#This Row],[Player ID]]=0,"",INDEX(Table5[[#All],[Pos]],MATCH(DraftResults[[#This Row],[Player ID]],Table5[[#All],[PID]],0)))</f>
        <v>SS</v>
      </c>
      <c r="J29" t="str">
        <f>IF(DraftResults[[#This Row],[Player ID]]=0,"",INDEX(Table5[[#All],[First]],MATCH(DraftResults[[#This Row],[Player ID]],Table5[[#All],[PID]],0)))</f>
        <v>Odmar</v>
      </c>
      <c r="K29" t="str">
        <f>IF(DraftResults[[#This Row],[Player ID]]=0,"",INDEX(Table5[[#All],[Last]],MATCH(DraftResults[[#This Row],[Player ID]],Table5[[#All],[PID]],0)))</f>
        <v>Veldhoven</v>
      </c>
    </row>
    <row r="30" spans="1:11" x14ac:dyDescent="0.25">
      <c r="A30">
        <v>1</v>
      </c>
      <c r="B30">
        <v>0</v>
      </c>
      <c r="C30">
        <v>27</v>
      </c>
      <c r="D30" t="s">
        <v>629</v>
      </c>
      <c r="E30">
        <v>9</v>
      </c>
      <c r="F30">
        <v>18441</v>
      </c>
      <c r="G30" t="s">
        <v>316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</v>
      </c>
      <c r="I30" t="str">
        <f>IF(DraftResults[[#This Row],[Player ID]]=0,"",INDEX(Table5[[#All],[Pos]],MATCH(DraftResults[[#This Row],[Player ID]],Table5[[#All],[PID]],0)))</f>
        <v>CL</v>
      </c>
      <c r="J30" t="str">
        <f>IF(DraftResults[[#This Row],[Player ID]]=0,"",INDEX(Table5[[#All],[First]],MATCH(DraftResults[[#This Row],[Player ID]],Table5[[#All],[PID]],0)))</f>
        <v>Kiyohira</v>
      </c>
      <c r="K30" t="str">
        <f>IF(DraftResults[[#This Row],[Player ID]]=0,"",INDEX(Table5[[#All],[Last]],MATCH(DraftResults[[#This Row],[Player ID]],Table5[[#All],[PID]],0)))</f>
        <v>Goto</v>
      </c>
    </row>
    <row r="31" spans="1:11" x14ac:dyDescent="0.25">
      <c r="A31">
        <v>1</v>
      </c>
      <c r="B31">
        <v>1</v>
      </c>
      <c r="C31">
        <v>1</v>
      </c>
      <c r="D31" t="s">
        <v>254</v>
      </c>
      <c r="E31">
        <v>20</v>
      </c>
      <c r="F31">
        <v>18387</v>
      </c>
      <c r="G31" t="s">
        <v>316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</v>
      </c>
      <c r="I31" t="str">
        <f>IF(DraftResults[[#This Row],[Player ID]]=0,"",INDEX(Table5[[#All],[Pos]],MATCH(DraftResults[[#This Row],[Player ID]],Table5[[#All],[PID]],0)))</f>
        <v>1B</v>
      </c>
      <c r="J31" t="str">
        <f>IF(DraftResults[[#This Row],[Player ID]]=0,"",INDEX(Table5[[#All],[First]],MATCH(DraftResults[[#This Row],[Player ID]],Table5[[#All],[PID]],0)))</f>
        <v>Shimei</v>
      </c>
      <c r="K31" t="str">
        <f>IF(DraftResults[[#This Row],[Player ID]]=0,"",INDEX(Table5[[#All],[Last]],MATCH(DraftResults[[#This Row],[Player ID]],Table5[[#All],[PID]],0)))</f>
        <v>Yashiki</v>
      </c>
    </row>
    <row r="32" spans="1:11" x14ac:dyDescent="0.25">
      <c r="A32">
        <v>1</v>
      </c>
      <c r="B32">
        <v>1</v>
      </c>
      <c r="C32">
        <v>2</v>
      </c>
      <c r="D32" t="s">
        <v>246</v>
      </c>
      <c r="E32">
        <v>17</v>
      </c>
      <c r="F32">
        <v>18003</v>
      </c>
      <c r="G32" t="s">
        <v>316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</v>
      </c>
      <c r="I32" t="str">
        <f>IF(DraftResults[[#This Row],[Player ID]]=0,"",INDEX(Table5[[#All],[Pos]],MATCH(DraftResults[[#This Row],[Player ID]],Table5[[#All],[PID]],0)))</f>
        <v>SP</v>
      </c>
      <c r="J32" t="str">
        <f>IF(DraftResults[[#This Row],[Player ID]]=0,"",INDEX(Table5[[#All],[First]],MATCH(DraftResults[[#This Row],[Player ID]],Table5[[#All],[PID]],0)))</f>
        <v>Albert</v>
      </c>
      <c r="K32" t="str">
        <f>IF(DraftResults[[#This Row],[Player ID]]=0,"",INDEX(Table5[[#All],[Last]],MATCH(DraftResults[[#This Row],[Player ID]],Table5[[#All],[PID]],0)))</f>
        <v>Barrios</v>
      </c>
    </row>
    <row r="33" spans="1:11" x14ac:dyDescent="0.25">
      <c r="A33">
        <v>1</v>
      </c>
      <c r="B33">
        <v>1</v>
      </c>
      <c r="C33">
        <v>3</v>
      </c>
      <c r="D33" t="s">
        <v>252</v>
      </c>
      <c r="E33">
        <v>14</v>
      </c>
      <c r="F33">
        <v>18012</v>
      </c>
      <c r="G33" t="s">
        <v>316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</v>
      </c>
      <c r="I33" t="str">
        <f>IF(DraftResults[[#This Row],[Player ID]]=0,"",INDEX(Table5[[#All],[Pos]],MATCH(DraftResults[[#This Row],[Player ID]],Table5[[#All],[PID]],0)))</f>
        <v>1B</v>
      </c>
      <c r="J33" t="str">
        <f>IF(DraftResults[[#This Row],[Player ID]]=0,"",INDEX(Table5[[#All],[First]],MATCH(DraftResults[[#This Row],[Player ID]],Table5[[#All],[PID]],0)))</f>
        <v>Herb</v>
      </c>
      <c r="K33" t="str">
        <f>IF(DraftResults[[#This Row],[Player ID]]=0,"",INDEX(Table5[[#All],[Last]],MATCH(DraftResults[[#This Row],[Player ID]],Table5[[#All],[PID]],0)))</f>
        <v>MacGruder</v>
      </c>
    </row>
    <row r="34" spans="1:11" x14ac:dyDescent="0.25">
      <c r="A34">
        <v>1</v>
      </c>
      <c r="B34">
        <v>1</v>
      </c>
      <c r="C34">
        <v>4</v>
      </c>
      <c r="D34" t="s">
        <v>252</v>
      </c>
      <c r="E34">
        <v>14</v>
      </c>
      <c r="F34">
        <v>20515</v>
      </c>
      <c r="G34" t="s">
        <v>316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</v>
      </c>
      <c r="I34" t="str">
        <f>IF(DraftResults[[#This Row],[Player ID]]=0,"",INDEX(Table5[[#All],[Pos]],MATCH(DraftResults[[#This Row],[Player ID]],Table5[[#All],[PID]],0)))</f>
        <v>1B</v>
      </c>
      <c r="J34" t="str">
        <f>IF(DraftResults[[#This Row],[Player ID]]=0,"",INDEX(Table5[[#All],[First]],MATCH(DraftResults[[#This Row],[Player ID]],Table5[[#All],[PID]],0)))</f>
        <v>Wildemar</v>
      </c>
      <c r="K34" t="str">
        <f>IF(DraftResults[[#This Row],[Player ID]]=0,"",INDEX(Table5[[#All],[Last]],MATCH(DraftResults[[#This Row],[Player ID]],Table5[[#All],[PID]],0)))</f>
        <v>Fantone</v>
      </c>
    </row>
    <row r="35" spans="1:11" x14ac:dyDescent="0.25">
      <c r="A35">
        <v>1</v>
      </c>
      <c r="B35">
        <v>1</v>
      </c>
      <c r="C35">
        <v>5</v>
      </c>
      <c r="D35" t="s">
        <v>252</v>
      </c>
      <c r="E35">
        <v>14</v>
      </c>
      <c r="F35">
        <v>18306</v>
      </c>
      <c r="G35" t="s">
        <v>316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</v>
      </c>
      <c r="I35" t="str">
        <f>IF(DraftResults[[#This Row],[Player ID]]=0,"",INDEX(Table5[[#All],[Pos]],MATCH(DraftResults[[#This Row],[Player ID]],Table5[[#All],[PID]],0)))</f>
        <v>CF</v>
      </c>
      <c r="J35" t="str">
        <f>IF(DraftResults[[#This Row],[Player ID]]=0,"",INDEX(Table5[[#All],[First]],MATCH(DraftResults[[#This Row],[Player ID]],Table5[[#All],[PID]],0)))</f>
        <v>Micah</v>
      </c>
      <c r="K35" t="str">
        <f>IF(DraftResults[[#This Row],[Player ID]]=0,"",INDEX(Table5[[#All],[Last]],MATCH(DraftResults[[#This Row],[Player ID]],Table5[[#All],[PID]],0)))</f>
        <v>Hill</v>
      </c>
    </row>
    <row r="36" spans="1:11" x14ac:dyDescent="0.25">
      <c r="A36">
        <v>1</v>
      </c>
      <c r="B36">
        <v>1</v>
      </c>
      <c r="C36">
        <v>6</v>
      </c>
      <c r="D36" t="s">
        <v>454</v>
      </c>
      <c r="E36">
        <v>162</v>
      </c>
      <c r="F36">
        <v>18309</v>
      </c>
      <c r="G36" t="s">
        <v>316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</v>
      </c>
      <c r="I36" t="str">
        <f>IF(DraftResults[[#This Row],[Player ID]]=0,"",INDEX(Table5[[#All],[Pos]],MATCH(DraftResults[[#This Row],[Player ID]],Table5[[#All],[PID]],0)))</f>
        <v>CL</v>
      </c>
      <c r="J36" t="str">
        <f>IF(DraftResults[[#This Row],[Player ID]]=0,"",INDEX(Table5[[#All],[First]],MATCH(DraftResults[[#This Row],[Player ID]],Table5[[#All],[PID]],0)))</f>
        <v>Shunen</v>
      </c>
      <c r="K36" t="str">
        <f>IF(DraftResults[[#This Row],[Player ID]]=0,"",INDEX(Table5[[#All],[Last]],MATCH(DraftResults[[#This Row],[Player ID]],Table5[[#All],[PID]],0)))</f>
        <v>Fujihara</v>
      </c>
    </row>
    <row r="37" spans="1:11" x14ac:dyDescent="0.25">
      <c r="A37">
        <v>1</v>
      </c>
      <c r="B37">
        <v>1</v>
      </c>
      <c r="C37">
        <v>7</v>
      </c>
      <c r="D37" t="s">
        <v>248</v>
      </c>
      <c r="E37">
        <v>11</v>
      </c>
      <c r="F37">
        <v>14440</v>
      </c>
      <c r="G37" t="s">
        <v>316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</v>
      </c>
      <c r="I37" t="str">
        <f>IF(DraftResults[[#This Row],[Player ID]]=0,"",INDEX(Table5[[#All],[Pos]],MATCH(DraftResults[[#This Row],[Player ID]],Table5[[#All],[PID]],0)))</f>
        <v>CL</v>
      </c>
      <c r="J37" t="str">
        <f>IF(DraftResults[[#This Row],[Player ID]]=0,"",INDEX(Table5[[#All],[First]],MATCH(DraftResults[[#This Row],[Player ID]],Table5[[#All],[PID]],0)))</f>
        <v>Samuel</v>
      </c>
      <c r="K37" t="str">
        <f>IF(DraftResults[[#This Row],[Player ID]]=0,"",INDEX(Table5[[#All],[Last]],MATCH(DraftResults[[#This Row],[Player ID]],Table5[[#All],[PID]],0)))</f>
        <v>Alderson</v>
      </c>
    </row>
    <row r="38" spans="1:11" x14ac:dyDescent="0.25">
      <c r="A38">
        <v>1</v>
      </c>
      <c r="B38">
        <v>1</v>
      </c>
      <c r="C38">
        <v>8</v>
      </c>
      <c r="D38" t="s">
        <v>629</v>
      </c>
      <c r="E38">
        <v>9</v>
      </c>
      <c r="F38">
        <v>18157</v>
      </c>
      <c r="G38" t="s">
        <v>316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</v>
      </c>
      <c r="I38" t="str">
        <f>IF(DraftResults[[#This Row],[Player ID]]=0,"",INDEX(Table5[[#All],[Pos]],MATCH(DraftResults[[#This Row],[Player ID]],Table5[[#All],[PID]],0)))</f>
        <v>SS</v>
      </c>
      <c r="J38" t="str">
        <f>IF(DraftResults[[#This Row],[Player ID]]=0,"",INDEX(Table5[[#All],[First]],MATCH(DraftResults[[#This Row],[Player ID]],Table5[[#All],[PID]],0)))</f>
        <v>Manny</v>
      </c>
      <c r="K38" t="str">
        <f>IF(DraftResults[[#This Row],[Player ID]]=0,"",INDEX(Table5[[#All],[Last]],MATCH(DraftResults[[#This Row],[Player ID]],Table5[[#All],[PID]],0)))</f>
        <v>Sáenz</v>
      </c>
    </row>
    <row r="39" spans="1:11" x14ac:dyDescent="0.25">
      <c r="A39">
        <v>2</v>
      </c>
      <c r="B39">
        <v>0</v>
      </c>
      <c r="C39">
        <v>1</v>
      </c>
      <c r="D39" t="s">
        <v>248</v>
      </c>
      <c r="E39">
        <v>11</v>
      </c>
      <c r="F39">
        <v>20317</v>
      </c>
      <c r="G39" t="s">
        <v>316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</v>
      </c>
      <c r="I39" t="str">
        <f>IF(DraftResults[[#This Row],[Player ID]]=0,"",INDEX(Table5[[#All],[Pos]],MATCH(DraftResults[[#This Row],[Player ID]],Table5[[#All],[PID]],0)))</f>
        <v>RF</v>
      </c>
      <c r="J39" t="str">
        <f>IF(DraftResults[[#This Row],[Player ID]]=0,"",INDEX(Table5[[#All],[First]],MATCH(DraftResults[[#This Row],[Player ID]],Table5[[#All],[PID]],0)))</f>
        <v>Dae-su</v>
      </c>
      <c r="K39" t="str">
        <f>IF(DraftResults[[#This Row],[Player ID]]=0,"",INDEX(Table5[[#All],[Last]],MATCH(DraftResults[[#This Row],[Player ID]],Table5[[#All],[PID]],0)))</f>
        <v>Hwa</v>
      </c>
    </row>
    <row r="40" spans="1:11" ht="15.75" customHeight="1" x14ac:dyDescent="0.25">
      <c r="A40">
        <v>2</v>
      </c>
      <c r="B40">
        <v>0</v>
      </c>
      <c r="C40">
        <v>2</v>
      </c>
      <c r="D40" t="s">
        <v>254</v>
      </c>
      <c r="E40">
        <v>20</v>
      </c>
      <c r="F40">
        <v>18256</v>
      </c>
      <c r="G40" t="s">
        <v>316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</v>
      </c>
      <c r="I40" t="str">
        <f>IF(DraftResults[[#This Row],[Player ID]]=0,"",INDEX(Table5[[#All],[Pos]],MATCH(DraftResults[[#This Row],[Player ID]],Table5[[#All],[PID]],0)))</f>
        <v>1B</v>
      </c>
      <c r="J40" t="str">
        <f>IF(DraftResults[[#This Row],[Player ID]]=0,"",INDEX(Table5[[#All],[First]],MATCH(DraftResults[[#This Row],[Player ID]],Table5[[#All],[PID]],0)))</f>
        <v>Corbin</v>
      </c>
      <c r="K40" t="str">
        <f>IF(DraftResults[[#This Row],[Player ID]]=0,"",INDEX(Table5[[#All],[Last]],MATCH(DraftResults[[#This Row],[Player ID]],Table5[[#All],[PID]],0)))</f>
        <v>Taylor</v>
      </c>
    </row>
    <row r="41" spans="1:11" x14ac:dyDescent="0.25">
      <c r="A41">
        <v>2</v>
      </c>
      <c r="B41">
        <v>0</v>
      </c>
      <c r="C41">
        <v>3</v>
      </c>
      <c r="D41" t="s">
        <v>542</v>
      </c>
      <c r="E41">
        <v>7</v>
      </c>
      <c r="F41">
        <v>20727</v>
      </c>
      <c r="G41" t="s">
        <v>316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</v>
      </c>
      <c r="I41" t="str">
        <f>IF(DraftResults[[#This Row],[Player ID]]=0,"",INDEX(Table5[[#All],[Pos]],MATCH(DraftResults[[#This Row],[Player ID]],Table5[[#All],[PID]],0)))</f>
        <v>SP</v>
      </c>
      <c r="J41" t="str">
        <f>IF(DraftResults[[#This Row],[Player ID]]=0,"",INDEX(Table5[[#All],[First]],MATCH(DraftResults[[#This Row],[Player ID]],Table5[[#All],[PID]],0)))</f>
        <v>Rusty</v>
      </c>
      <c r="K41" t="str">
        <f>IF(DraftResults[[#This Row],[Player ID]]=0,"",INDEX(Table5[[#All],[Last]],MATCH(DraftResults[[#This Row],[Player ID]],Table5[[#All],[PID]],0)))</f>
        <v>Hughes</v>
      </c>
    </row>
    <row r="42" spans="1:11" x14ac:dyDescent="0.25">
      <c r="A42">
        <v>2</v>
      </c>
      <c r="B42">
        <v>0</v>
      </c>
      <c r="C42">
        <v>4</v>
      </c>
      <c r="D42" t="s">
        <v>256</v>
      </c>
      <c r="E42">
        <v>8</v>
      </c>
      <c r="F42">
        <v>20661</v>
      </c>
      <c r="G42" t="s">
        <v>316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</v>
      </c>
      <c r="I42" t="str">
        <f>IF(DraftResults[[#This Row],[Player ID]]=0,"",INDEX(Table5[[#All],[Pos]],MATCH(DraftResults[[#This Row],[Player ID]],Table5[[#All],[PID]],0)))</f>
        <v>CL</v>
      </c>
      <c r="J42" t="str">
        <f>IF(DraftResults[[#This Row],[Player ID]]=0,"",INDEX(Table5[[#All],[First]],MATCH(DraftResults[[#This Row],[Player ID]],Table5[[#All],[PID]],0)))</f>
        <v>Diego</v>
      </c>
      <c r="K42" t="str">
        <f>IF(DraftResults[[#This Row],[Player ID]]=0,"",INDEX(Table5[[#All],[Last]],MATCH(DraftResults[[#This Row],[Player ID]],Table5[[#All],[PID]],0)))</f>
        <v>Gómez</v>
      </c>
    </row>
    <row r="43" spans="1:11" x14ac:dyDescent="0.25">
      <c r="A43">
        <v>2</v>
      </c>
      <c r="B43">
        <v>0</v>
      </c>
      <c r="C43">
        <v>5</v>
      </c>
      <c r="D43" t="s">
        <v>461</v>
      </c>
      <c r="E43">
        <v>18</v>
      </c>
      <c r="F43">
        <v>13397</v>
      </c>
      <c r="G43" t="s">
        <v>316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</v>
      </c>
      <c r="I43" t="str">
        <f>IF(DraftResults[[#This Row],[Player ID]]=0,"",INDEX(Table5[[#All],[Pos]],MATCH(DraftResults[[#This Row],[Player ID]],Table5[[#All],[PID]],0)))</f>
        <v>CL</v>
      </c>
      <c r="J43" t="str">
        <f>IF(DraftResults[[#This Row],[Player ID]]=0,"",INDEX(Table5[[#All],[First]],MATCH(DraftResults[[#This Row],[Player ID]],Table5[[#All],[PID]],0)))</f>
        <v>Fernando</v>
      </c>
      <c r="K43" t="str">
        <f>IF(DraftResults[[#This Row],[Player ID]]=0,"",INDEX(Table5[[#All],[Last]],MATCH(DraftResults[[#This Row],[Player ID]],Table5[[#All],[PID]],0)))</f>
        <v>Ramos</v>
      </c>
    </row>
    <row r="44" spans="1:11" x14ac:dyDescent="0.25">
      <c r="A44">
        <v>2</v>
      </c>
      <c r="B44">
        <v>0</v>
      </c>
      <c r="C44">
        <v>6</v>
      </c>
      <c r="D44" t="s">
        <v>542</v>
      </c>
      <c r="E44">
        <v>7</v>
      </c>
      <c r="F44">
        <v>18189</v>
      </c>
      <c r="G44" t="s">
        <v>316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</v>
      </c>
      <c r="I44" t="str">
        <f>IF(DraftResults[[#This Row],[Player ID]]=0,"",INDEX(Table5[[#All],[Pos]],MATCH(DraftResults[[#This Row],[Player ID]],Table5[[#All],[PID]],0)))</f>
        <v>SP</v>
      </c>
      <c r="J44" t="str">
        <f>IF(DraftResults[[#This Row],[Player ID]]=0,"",INDEX(Table5[[#All],[First]],MATCH(DraftResults[[#This Row],[Player ID]],Table5[[#All],[PID]],0)))</f>
        <v>Glenn</v>
      </c>
      <c r="K44" t="str">
        <f>IF(DraftResults[[#This Row],[Player ID]]=0,"",INDEX(Table5[[#All],[Last]],MATCH(DraftResults[[#This Row],[Player ID]],Table5[[#All],[PID]],0)))</f>
        <v>Taylor</v>
      </c>
    </row>
    <row r="45" spans="1:11" x14ac:dyDescent="0.25">
      <c r="A45">
        <v>2</v>
      </c>
      <c r="B45">
        <v>0</v>
      </c>
      <c r="C45">
        <v>7</v>
      </c>
      <c r="D45" t="s">
        <v>543</v>
      </c>
      <c r="E45">
        <v>4</v>
      </c>
      <c r="F45">
        <v>18158</v>
      </c>
      <c r="G45" t="s">
        <v>316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</v>
      </c>
      <c r="I45" t="str">
        <f>IF(DraftResults[[#This Row],[Player ID]]=0,"",INDEX(Table5[[#All],[Pos]],MATCH(DraftResults[[#This Row],[Player ID]],Table5[[#All],[PID]],0)))</f>
        <v>SP</v>
      </c>
      <c r="J45" t="str">
        <f>IF(DraftResults[[#This Row],[Player ID]]=0,"",INDEX(Table5[[#All],[First]],MATCH(DraftResults[[#This Row],[Player ID]],Table5[[#All],[PID]],0)))</f>
        <v>Michael</v>
      </c>
      <c r="K45" t="str">
        <f>IF(DraftResults[[#This Row],[Player ID]]=0,"",INDEX(Table5[[#All],[Last]],MATCH(DraftResults[[#This Row],[Player ID]],Table5[[#All],[PID]],0)))</f>
        <v>Henderson</v>
      </c>
    </row>
    <row r="46" spans="1:11" x14ac:dyDescent="0.25">
      <c r="A46">
        <v>2</v>
      </c>
      <c r="B46">
        <v>0</v>
      </c>
      <c r="C46">
        <v>8</v>
      </c>
      <c r="D46" t="s">
        <v>248</v>
      </c>
      <c r="E46">
        <v>11</v>
      </c>
      <c r="F46">
        <v>18296</v>
      </c>
      <c r="G46" t="s">
        <v>316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</v>
      </c>
      <c r="I46" t="str">
        <f>IF(DraftResults[[#This Row],[Player ID]]=0,"",INDEX(Table5[[#All],[Pos]],MATCH(DraftResults[[#This Row],[Player ID]],Table5[[#All],[PID]],0)))</f>
        <v>CL</v>
      </c>
      <c r="J46" t="str">
        <f>IF(DraftResults[[#This Row],[Player ID]]=0,"",INDEX(Table5[[#All],[First]],MATCH(DraftResults[[#This Row],[Player ID]],Table5[[#All],[PID]],0)))</f>
        <v>Eduardo</v>
      </c>
      <c r="K46" t="str">
        <f>IF(DraftResults[[#This Row],[Player ID]]=0,"",INDEX(Table5[[#All],[Last]],MATCH(DraftResults[[#This Row],[Player ID]],Table5[[#All],[PID]],0)))</f>
        <v>Torres</v>
      </c>
    </row>
    <row r="47" spans="1:11" x14ac:dyDescent="0.25">
      <c r="A47">
        <v>2</v>
      </c>
      <c r="B47">
        <v>0</v>
      </c>
      <c r="C47">
        <v>9</v>
      </c>
      <c r="D47" t="s">
        <v>246</v>
      </c>
      <c r="E47">
        <v>17</v>
      </c>
      <c r="F47">
        <v>18164</v>
      </c>
      <c r="G47" t="s">
        <v>316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</v>
      </c>
      <c r="I47" t="str">
        <f>IF(DraftResults[[#This Row],[Player ID]]=0,"",INDEX(Table5[[#All],[Pos]],MATCH(DraftResults[[#This Row],[Player ID]],Table5[[#All],[PID]],0)))</f>
        <v>RF</v>
      </c>
      <c r="J47" t="str">
        <f>IF(DraftResults[[#This Row],[Player ID]]=0,"",INDEX(Table5[[#All],[First]],MATCH(DraftResults[[#This Row],[Player ID]],Table5[[#All],[PID]],0)))</f>
        <v>Marvin</v>
      </c>
      <c r="K47" t="str">
        <f>IF(DraftResults[[#This Row],[Player ID]]=0,"",INDEX(Table5[[#All],[Last]],MATCH(DraftResults[[#This Row],[Player ID]],Table5[[#All],[PID]],0)))</f>
        <v>Heidelberg</v>
      </c>
    </row>
    <row r="48" spans="1:11" x14ac:dyDescent="0.25">
      <c r="A48">
        <v>2</v>
      </c>
      <c r="B48">
        <v>0</v>
      </c>
      <c r="C48">
        <v>10</v>
      </c>
      <c r="D48" t="s">
        <v>250</v>
      </c>
      <c r="E48">
        <v>3</v>
      </c>
      <c r="F48">
        <v>20216</v>
      </c>
      <c r="G48" t="s">
        <v>316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</v>
      </c>
      <c r="I48" t="str">
        <f>IF(DraftResults[[#This Row],[Player ID]]=0,"",INDEX(Table5[[#All],[Pos]],MATCH(DraftResults[[#This Row],[Player ID]],Table5[[#All],[PID]],0)))</f>
        <v>RP</v>
      </c>
      <c r="J48" t="str">
        <f>IF(DraftResults[[#This Row],[Player ID]]=0,"",INDEX(Table5[[#All],[First]],MATCH(DraftResults[[#This Row],[Player ID]],Table5[[#All],[PID]],0)))</f>
        <v>Gerald</v>
      </c>
      <c r="K48" t="str">
        <f>IF(DraftResults[[#This Row],[Player ID]]=0,"",INDEX(Table5[[#All],[Last]],MATCH(DraftResults[[#This Row],[Player ID]],Table5[[#All],[PID]],0)))</f>
        <v>Smith</v>
      </c>
    </row>
    <row r="49" spans="1:11" x14ac:dyDescent="0.25">
      <c r="A49">
        <v>2</v>
      </c>
      <c r="B49">
        <v>0</v>
      </c>
      <c r="C49">
        <v>11</v>
      </c>
      <c r="D49" t="s">
        <v>456</v>
      </c>
      <c r="E49">
        <v>164</v>
      </c>
      <c r="F49">
        <v>18226</v>
      </c>
      <c r="G49" t="s">
        <v>316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</v>
      </c>
      <c r="I49" t="str">
        <f>IF(DraftResults[[#This Row],[Player ID]]=0,"",INDEX(Table5[[#All],[Pos]],MATCH(DraftResults[[#This Row],[Player ID]],Table5[[#All],[PID]],0)))</f>
        <v>SP</v>
      </c>
      <c r="J49" t="str">
        <f>IF(DraftResults[[#This Row],[Player ID]]=0,"",INDEX(Table5[[#All],[First]],MATCH(DraftResults[[#This Row],[Player ID]],Table5[[#All],[PID]],0)))</f>
        <v>Craig</v>
      </c>
      <c r="K49" t="str">
        <f>IF(DraftResults[[#This Row],[Player ID]]=0,"",INDEX(Table5[[#All],[Last]],MATCH(DraftResults[[#This Row],[Player ID]],Table5[[#All],[PID]],0)))</f>
        <v>Keen</v>
      </c>
    </row>
    <row r="50" spans="1:11" x14ac:dyDescent="0.25">
      <c r="A50">
        <v>2</v>
      </c>
      <c r="B50">
        <v>0</v>
      </c>
      <c r="C50">
        <v>12</v>
      </c>
      <c r="D50" t="s">
        <v>461</v>
      </c>
      <c r="E50">
        <v>18</v>
      </c>
      <c r="F50">
        <v>18442</v>
      </c>
      <c r="G50" t="s">
        <v>316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</v>
      </c>
      <c r="I50" t="str">
        <f>IF(DraftResults[[#This Row],[Player ID]]=0,"",INDEX(Table5[[#All],[Pos]],MATCH(DraftResults[[#This Row],[Player ID]],Table5[[#All],[PID]],0)))</f>
        <v>SP</v>
      </c>
      <c r="J50" t="str">
        <f>IF(DraftResults[[#This Row],[Player ID]]=0,"",INDEX(Table5[[#All],[First]],MATCH(DraftResults[[#This Row],[Player ID]],Table5[[#All],[PID]],0)))</f>
        <v>Isaac</v>
      </c>
      <c r="K50" t="str">
        <f>IF(DraftResults[[#This Row],[Player ID]]=0,"",INDEX(Table5[[#All],[Last]],MATCH(DraftResults[[#This Row],[Player ID]],Table5[[#All],[PID]],0)))</f>
        <v>Kennedy</v>
      </c>
    </row>
    <row r="51" spans="1:11" x14ac:dyDescent="0.25">
      <c r="A51">
        <v>2</v>
      </c>
      <c r="B51">
        <v>0</v>
      </c>
      <c r="C51">
        <v>13</v>
      </c>
      <c r="D51" t="s">
        <v>253</v>
      </c>
      <c r="E51">
        <v>15</v>
      </c>
      <c r="F51">
        <v>18200</v>
      </c>
      <c r="G51" t="s">
        <v>316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</v>
      </c>
      <c r="I51" t="str">
        <f>IF(DraftResults[[#This Row],[Player ID]]=0,"",INDEX(Table5[[#All],[Pos]],MATCH(DraftResults[[#This Row],[Player ID]],Table5[[#All],[PID]],0)))</f>
        <v>SP</v>
      </c>
      <c r="J51" t="str">
        <f>IF(DraftResults[[#This Row],[Player ID]]=0,"",INDEX(Table5[[#All],[First]],MATCH(DraftResults[[#This Row],[Player ID]],Table5[[#All],[PID]],0)))</f>
        <v>Jorge</v>
      </c>
      <c r="K51" t="str">
        <f>IF(DraftResults[[#This Row],[Player ID]]=0,"",INDEX(Table5[[#All],[Last]],MATCH(DraftResults[[#This Row],[Player ID]],Table5[[#All],[PID]],0)))</f>
        <v>Rodríguez</v>
      </c>
    </row>
    <row r="52" spans="1:11" x14ac:dyDescent="0.25">
      <c r="A52">
        <v>2</v>
      </c>
      <c r="B52">
        <v>0</v>
      </c>
      <c r="C52">
        <v>14</v>
      </c>
      <c r="D52" t="s">
        <v>245</v>
      </c>
      <c r="E52">
        <v>21</v>
      </c>
      <c r="F52">
        <v>18423</v>
      </c>
      <c r="G52" t="s">
        <v>316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</v>
      </c>
      <c r="I52" t="str">
        <f>IF(DraftResults[[#This Row],[Player ID]]=0,"",INDEX(Table5[[#All],[Pos]],MATCH(DraftResults[[#This Row],[Player ID]],Table5[[#All],[PID]],0)))</f>
        <v>SP</v>
      </c>
      <c r="J52" t="str">
        <f>IF(DraftResults[[#This Row],[Player ID]]=0,"",INDEX(Table5[[#All],[First]],MATCH(DraftResults[[#This Row],[Player ID]],Table5[[#All],[PID]],0)))</f>
        <v>Nathan</v>
      </c>
      <c r="K52" t="str">
        <f>IF(DraftResults[[#This Row],[Player ID]]=0,"",INDEX(Table5[[#All],[Last]],MATCH(DraftResults[[#This Row],[Player ID]],Table5[[#All],[PID]],0)))</f>
        <v>Comyn</v>
      </c>
    </row>
    <row r="53" spans="1:11" x14ac:dyDescent="0.25">
      <c r="A53">
        <v>2</v>
      </c>
      <c r="B53">
        <v>0</v>
      </c>
      <c r="C53">
        <v>15</v>
      </c>
      <c r="D53" t="s">
        <v>243</v>
      </c>
      <c r="E53">
        <v>22</v>
      </c>
      <c r="F53">
        <v>18160</v>
      </c>
      <c r="G53" t="s">
        <v>316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</v>
      </c>
      <c r="I53" t="str">
        <f>IF(DraftResults[[#This Row],[Player ID]]=0,"",INDEX(Table5[[#All],[Pos]],MATCH(DraftResults[[#This Row],[Player ID]],Table5[[#All],[PID]],0)))</f>
        <v>SS</v>
      </c>
      <c r="J53" t="str">
        <f>IF(DraftResults[[#This Row],[Player ID]]=0,"",INDEX(Table5[[#All],[First]],MATCH(DraftResults[[#This Row],[Player ID]],Table5[[#All],[PID]],0)))</f>
        <v>Ken</v>
      </c>
      <c r="K53" t="str">
        <f>IF(DraftResults[[#This Row],[Player ID]]=0,"",INDEX(Table5[[#All],[Last]],MATCH(DraftResults[[#This Row],[Player ID]],Table5[[#All],[PID]],0)))</f>
        <v>Fields</v>
      </c>
    </row>
    <row r="54" spans="1:11" x14ac:dyDescent="0.25">
      <c r="A54">
        <v>2</v>
      </c>
      <c r="B54">
        <v>0</v>
      </c>
      <c r="C54">
        <v>16</v>
      </c>
      <c r="D54" t="s">
        <v>248</v>
      </c>
      <c r="E54">
        <v>11</v>
      </c>
      <c r="F54">
        <v>20969</v>
      </c>
      <c r="G54" t="s">
        <v>316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</v>
      </c>
      <c r="I54" t="str">
        <f>IF(DraftResults[[#This Row],[Player ID]]=0,"",INDEX(Table5[[#All],[Pos]],MATCH(DraftResults[[#This Row],[Player ID]],Table5[[#All],[PID]],0)))</f>
        <v>LF</v>
      </c>
      <c r="J54" t="str">
        <f>IF(DraftResults[[#This Row],[Player ID]]=0,"",INDEX(Table5[[#All],[First]],MATCH(DraftResults[[#This Row],[Player ID]],Table5[[#All],[PID]],0)))</f>
        <v>John</v>
      </c>
      <c r="K54" t="str">
        <f>IF(DraftResults[[#This Row],[Player ID]]=0,"",INDEX(Table5[[#All],[Last]],MATCH(DraftResults[[#This Row],[Player ID]],Table5[[#All],[PID]],0)))</f>
        <v>Newsome</v>
      </c>
    </row>
    <row r="55" spans="1:11" x14ac:dyDescent="0.25">
      <c r="A55">
        <v>2</v>
      </c>
      <c r="B55">
        <v>0</v>
      </c>
      <c r="C55">
        <v>17</v>
      </c>
      <c r="D55" t="s">
        <v>249</v>
      </c>
      <c r="E55">
        <v>10</v>
      </c>
      <c r="F55">
        <v>18134</v>
      </c>
      <c r="G55" t="s">
        <v>316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</v>
      </c>
      <c r="I55" t="str">
        <f>IF(DraftResults[[#This Row],[Player ID]]=0,"",INDEX(Table5[[#All],[Pos]],MATCH(DraftResults[[#This Row],[Player ID]],Table5[[#All],[PID]],0)))</f>
        <v>C</v>
      </c>
      <c r="J55" t="str">
        <f>IF(DraftResults[[#This Row],[Player ID]]=0,"",INDEX(Table5[[#All],[First]],MATCH(DraftResults[[#This Row],[Player ID]],Table5[[#All],[PID]],0)))</f>
        <v>Tony</v>
      </c>
      <c r="K55" t="str">
        <f>IF(DraftResults[[#This Row],[Player ID]]=0,"",INDEX(Table5[[#All],[Last]],MATCH(DraftResults[[#This Row],[Player ID]],Table5[[#All],[PID]],0)))</f>
        <v>González</v>
      </c>
    </row>
    <row r="56" spans="1:11" x14ac:dyDescent="0.25">
      <c r="A56">
        <v>2</v>
      </c>
      <c r="B56">
        <v>0</v>
      </c>
      <c r="C56">
        <v>18</v>
      </c>
      <c r="D56" t="s">
        <v>261</v>
      </c>
      <c r="E56">
        <v>12</v>
      </c>
      <c r="F56">
        <v>14885</v>
      </c>
      <c r="G56" t="s">
        <v>316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</v>
      </c>
      <c r="I56" t="str">
        <f>IF(DraftResults[[#This Row],[Player ID]]=0,"",INDEX(Table5[[#All],[Pos]],MATCH(DraftResults[[#This Row],[Player ID]],Table5[[#All],[PID]],0)))</f>
        <v>SP</v>
      </c>
      <c r="J56" t="str">
        <f>IF(DraftResults[[#This Row],[Player ID]]=0,"",INDEX(Table5[[#All],[First]],MATCH(DraftResults[[#This Row],[Player ID]],Table5[[#All],[PID]],0)))</f>
        <v>Yasunobu</v>
      </c>
      <c r="K56" t="str">
        <f>IF(DraftResults[[#This Row],[Player ID]]=0,"",INDEX(Table5[[#All],[Last]],MATCH(DraftResults[[#This Row],[Player ID]],Table5[[#All],[PID]],0)))</f>
        <v>Suzuki</v>
      </c>
    </row>
    <row r="57" spans="1:11" x14ac:dyDescent="0.25">
      <c r="A57">
        <v>2</v>
      </c>
      <c r="B57">
        <v>0</v>
      </c>
      <c r="C57">
        <v>19</v>
      </c>
      <c r="D57" t="s">
        <v>627</v>
      </c>
      <c r="E57">
        <v>13</v>
      </c>
      <c r="F57">
        <v>18373</v>
      </c>
      <c r="G57" t="s">
        <v>316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</v>
      </c>
      <c r="I57" t="str">
        <f>IF(DraftResults[[#This Row],[Player ID]]=0,"",INDEX(Table5[[#All],[Pos]],MATCH(DraftResults[[#This Row],[Player ID]],Table5[[#All],[PID]],0)))</f>
        <v>CL</v>
      </c>
      <c r="J57" t="str">
        <f>IF(DraftResults[[#This Row],[Player ID]]=0,"",INDEX(Table5[[#All],[First]],MATCH(DraftResults[[#This Row],[Player ID]],Table5[[#All],[PID]],0)))</f>
        <v>Mannus</v>
      </c>
      <c r="K57" t="str">
        <f>IF(DraftResults[[#This Row],[Player ID]]=0,"",INDEX(Table5[[#All],[Last]],MATCH(DraftResults[[#This Row],[Player ID]],Table5[[#All],[PID]],0)))</f>
        <v>Dubbeldam</v>
      </c>
    </row>
    <row r="58" spans="1:11" x14ac:dyDescent="0.25">
      <c r="A58">
        <v>2</v>
      </c>
      <c r="B58">
        <v>0</v>
      </c>
      <c r="C58">
        <v>20</v>
      </c>
      <c r="D58" t="s">
        <v>629</v>
      </c>
      <c r="E58">
        <v>9</v>
      </c>
      <c r="F58">
        <v>18291</v>
      </c>
      <c r="G58" t="s">
        <v>316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</v>
      </c>
      <c r="I58" t="str">
        <f>IF(DraftResults[[#This Row],[Player ID]]=0,"",INDEX(Table5[[#All],[Pos]],MATCH(DraftResults[[#This Row],[Player ID]],Table5[[#All],[PID]],0)))</f>
        <v>C</v>
      </c>
      <c r="J58" t="str">
        <f>IF(DraftResults[[#This Row],[Player ID]]=0,"",INDEX(Table5[[#All],[First]],MATCH(DraftResults[[#This Row],[Player ID]],Table5[[#All],[PID]],0)))</f>
        <v>Andre</v>
      </c>
      <c r="K58" t="str">
        <f>IF(DraftResults[[#This Row],[Player ID]]=0,"",INDEX(Table5[[#All],[Last]],MATCH(DraftResults[[#This Row],[Player ID]],Table5[[#All],[PID]],0)))</f>
        <v>Cooper</v>
      </c>
    </row>
    <row r="59" spans="1:11" x14ac:dyDescent="0.25">
      <c r="A59">
        <v>2</v>
      </c>
      <c r="B59">
        <v>0</v>
      </c>
      <c r="C59">
        <v>21</v>
      </c>
      <c r="D59" t="s">
        <v>455</v>
      </c>
      <c r="E59">
        <v>2</v>
      </c>
      <c r="F59">
        <v>18395</v>
      </c>
      <c r="G59" t="s">
        <v>316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</v>
      </c>
      <c r="I59" t="str">
        <f>IF(DraftResults[[#This Row],[Player ID]]=0,"",INDEX(Table5[[#All],[Pos]],MATCH(DraftResults[[#This Row],[Player ID]],Table5[[#All],[PID]],0)))</f>
        <v>RF</v>
      </c>
      <c r="J59" t="str">
        <f>IF(DraftResults[[#This Row],[Player ID]]=0,"",INDEX(Table5[[#All],[First]],MATCH(DraftResults[[#This Row],[Player ID]],Table5[[#All],[PID]],0)))</f>
        <v>Declan</v>
      </c>
      <c r="K59" t="str">
        <f>IF(DraftResults[[#This Row],[Player ID]]=0,"",INDEX(Table5[[#All],[Last]],MATCH(DraftResults[[#This Row],[Player ID]],Table5[[#All],[PID]],0)))</f>
        <v>Wanlace</v>
      </c>
    </row>
    <row r="60" spans="1:11" x14ac:dyDescent="0.25">
      <c r="A60">
        <v>2</v>
      </c>
      <c r="B60">
        <v>0</v>
      </c>
      <c r="C60">
        <v>22</v>
      </c>
      <c r="D60" t="s">
        <v>245</v>
      </c>
      <c r="E60">
        <v>21</v>
      </c>
      <c r="F60">
        <v>20256</v>
      </c>
      <c r="G60" t="s">
        <v>316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</v>
      </c>
      <c r="I60" t="str">
        <f>IF(DraftResults[[#This Row],[Player ID]]=0,"",INDEX(Table5[[#All],[Pos]],MATCH(DraftResults[[#This Row],[Player ID]],Table5[[#All],[PID]],0)))</f>
        <v>LF</v>
      </c>
      <c r="J60" t="str">
        <f>IF(DraftResults[[#This Row],[Player ID]]=0,"",INDEX(Table5[[#All],[First]],MATCH(DraftResults[[#This Row],[Player ID]],Table5[[#All],[PID]],0)))</f>
        <v>Curt</v>
      </c>
      <c r="K60" t="str">
        <f>IF(DraftResults[[#This Row],[Player ID]]=0,"",INDEX(Table5[[#All],[Last]],MATCH(DraftResults[[#This Row],[Player ID]],Table5[[#All],[PID]],0)))</f>
        <v>Darrah</v>
      </c>
    </row>
    <row r="61" spans="1:11" x14ac:dyDescent="0.25">
      <c r="A61">
        <v>2</v>
      </c>
      <c r="B61">
        <v>0</v>
      </c>
      <c r="C61">
        <v>23</v>
      </c>
      <c r="D61" t="s">
        <v>256</v>
      </c>
      <c r="E61">
        <v>8</v>
      </c>
      <c r="F61">
        <v>18146</v>
      </c>
      <c r="G61" t="s">
        <v>316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</v>
      </c>
      <c r="I61" t="str">
        <f>IF(DraftResults[[#This Row],[Player ID]]=0,"",INDEX(Table5[[#All],[Pos]],MATCH(DraftResults[[#This Row],[Player ID]],Table5[[#All],[PID]],0)))</f>
        <v>LF</v>
      </c>
      <c r="J61" t="str">
        <f>IF(DraftResults[[#This Row],[Player ID]]=0,"",INDEX(Table5[[#All],[First]],MATCH(DraftResults[[#This Row],[Player ID]],Table5[[#All],[PID]],0)))</f>
        <v>Owen</v>
      </c>
      <c r="K61" t="str">
        <f>IF(DraftResults[[#This Row],[Player ID]]=0,"",INDEX(Table5[[#All],[Last]],MATCH(DraftResults[[#This Row],[Player ID]],Table5[[#All],[PID]],0)))</f>
        <v>Ross</v>
      </c>
    </row>
    <row r="62" spans="1:11" x14ac:dyDescent="0.25">
      <c r="A62">
        <v>2</v>
      </c>
      <c r="B62">
        <v>0</v>
      </c>
      <c r="C62">
        <v>24</v>
      </c>
      <c r="D62" t="s">
        <v>629</v>
      </c>
      <c r="E62">
        <v>9</v>
      </c>
      <c r="F62">
        <v>18379</v>
      </c>
      <c r="G62" t="s">
        <v>316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</v>
      </c>
      <c r="I62" t="str">
        <f>IF(DraftResults[[#This Row],[Player ID]]=0,"",INDEX(Table5[[#All],[Pos]],MATCH(DraftResults[[#This Row],[Player ID]],Table5[[#All],[PID]],0)))</f>
        <v>CL</v>
      </c>
      <c r="J62" t="str">
        <f>IF(DraftResults[[#This Row],[Player ID]]=0,"",INDEX(Table5[[#All],[First]],MATCH(DraftResults[[#This Row],[Player ID]],Table5[[#All],[PID]],0)))</f>
        <v>Tetsuzan</v>
      </c>
      <c r="K62" t="str">
        <f>IF(DraftResults[[#This Row],[Player ID]]=0,"",INDEX(Table5[[#All],[Last]],MATCH(DraftResults[[#This Row],[Player ID]],Table5[[#All],[PID]],0)))</f>
        <v>Hashimoto</v>
      </c>
    </row>
    <row r="63" spans="1:11" x14ac:dyDescent="0.25">
      <c r="A63">
        <v>2</v>
      </c>
      <c r="B63">
        <v>0</v>
      </c>
      <c r="C63">
        <v>25</v>
      </c>
      <c r="D63" t="s">
        <v>625</v>
      </c>
      <c r="E63">
        <v>24</v>
      </c>
      <c r="F63">
        <v>18312</v>
      </c>
      <c r="G63" t="s">
        <v>316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</v>
      </c>
      <c r="I63" t="str">
        <f>IF(DraftResults[[#This Row],[Player ID]]=0,"",INDEX(Table5[[#All],[Pos]],MATCH(DraftResults[[#This Row],[Player ID]],Table5[[#All],[PID]],0)))</f>
        <v>3B</v>
      </c>
      <c r="J63" t="str">
        <f>IF(DraftResults[[#This Row],[Player ID]]=0,"",INDEX(Table5[[#All],[First]],MATCH(DraftResults[[#This Row],[Player ID]],Table5[[#All],[PID]],0)))</f>
        <v>Rio</v>
      </c>
      <c r="K63" t="str">
        <f>IF(DraftResults[[#This Row],[Player ID]]=0,"",INDEX(Table5[[#All],[Last]],MATCH(DraftResults[[#This Row],[Player ID]],Table5[[#All],[PID]],0)))</f>
        <v>Broom</v>
      </c>
    </row>
    <row r="64" spans="1:11" x14ac:dyDescent="0.25">
      <c r="A64">
        <v>2</v>
      </c>
      <c r="B64">
        <v>0</v>
      </c>
      <c r="C64">
        <v>26</v>
      </c>
      <c r="D64" t="s">
        <v>248</v>
      </c>
      <c r="E64">
        <v>11</v>
      </c>
      <c r="F64">
        <v>18381</v>
      </c>
      <c r="G64" t="s">
        <v>316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61</v>
      </c>
      <c r="I64" t="str">
        <f>IF(DraftResults[[#This Row],[Player ID]]=0,"",INDEX(Table5[[#All],[Pos]],MATCH(DraftResults[[#This Row],[Player ID]],Table5[[#All],[PID]],0)))</f>
        <v>SP</v>
      </c>
      <c r="J64" t="str">
        <f>IF(DraftResults[[#This Row],[Player ID]]=0,"",INDEX(Table5[[#All],[First]],MATCH(DraftResults[[#This Row],[Player ID]],Table5[[#All],[PID]],0)))</f>
        <v>Hideaki</v>
      </c>
      <c r="K64" t="str">
        <f>IF(DraftResults[[#This Row],[Player ID]]=0,"",INDEX(Table5[[#All],[Last]],MATCH(DraftResults[[#This Row],[Player ID]],Table5[[#All],[PID]],0)))</f>
        <v>Hasegawa</v>
      </c>
    </row>
    <row r="65" spans="1:11" x14ac:dyDescent="0.25">
      <c r="A65">
        <v>2</v>
      </c>
      <c r="B65">
        <v>0</v>
      </c>
      <c r="C65">
        <v>27</v>
      </c>
      <c r="D65" t="s">
        <v>248</v>
      </c>
      <c r="E65">
        <v>11</v>
      </c>
      <c r="F65">
        <v>13915</v>
      </c>
      <c r="G65" t="s">
        <v>316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62</v>
      </c>
      <c r="I65" t="str">
        <f>IF(DraftResults[[#This Row],[Player ID]]=0,"",INDEX(Table5[[#All],[Pos]],MATCH(DraftResults[[#This Row],[Player ID]],Table5[[#All],[PID]],0)))</f>
        <v>RP</v>
      </c>
      <c r="J65" t="str">
        <f>IF(DraftResults[[#This Row],[Player ID]]=0,"",INDEX(Table5[[#All],[First]],MATCH(DraftResults[[#This Row],[Player ID]],Table5[[#All],[PID]],0)))</f>
        <v>Wifredo</v>
      </c>
      <c r="K65" t="str">
        <f>IF(DraftResults[[#This Row],[Player ID]]=0,"",INDEX(Table5[[#All],[Last]],MATCH(DraftResults[[#This Row],[Player ID]],Table5[[#All],[PID]],0)))</f>
        <v>Lam</v>
      </c>
    </row>
    <row r="66" spans="1:11" x14ac:dyDescent="0.25">
      <c r="A66">
        <v>2</v>
      </c>
      <c r="B66">
        <v>0</v>
      </c>
      <c r="C66">
        <v>28</v>
      </c>
      <c r="D66" t="s">
        <v>248</v>
      </c>
      <c r="E66">
        <v>11</v>
      </c>
      <c r="F66">
        <v>18408</v>
      </c>
      <c r="G66" t="s">
        <v>316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63</v>
      </c>
      <c r="I66" t="str">
        <f>IF(DraftResults[[#This Row],[Player ID]]=0,"",INDEX(Table5[[#All],[Pos]],MATCH(DraftResults[[#This Row],[Player ID]],Table5[[#All],[PID]],0)))</f>
        <v>SP</v>
      </c>
      <c r="J66" t="str">
        <f>IF(DraftResults[[#This Row],[Player ID]]=0,"",INDEX(Table5[[#All],[First]],MATCH(DraftResults[[#This Row],[Player ID]],Table5[[#All],[PID]],0)))</f>
        <v>Ichiro</v>
      </c>
      <c r="K66" t="str">
        <f>IF(DraftResults[[#This Row],[Player ID]]=0,"",INDEX(Table5[[#All],[Last]],MATCH(DraftResults[[#This Row],[Player ID]],Table5[[#All],[PID]],0)))</f>
        <v>Taguchi</v>
      </c>
    </row>
    <row r="67" spans="1:11" x14ac:dyDescent="0.25">
      <c r="A67">
        <v>2</v>
      </c>
      <c r="B67">
        <v>0</v>
      </c>
      <c r="C67">
        <v>29</v>
      </c>
      <c r="D67" t="s">
        <v>458</v>
      </c>
      <c r="E67">
        <v>159</v>
      </c>
      <c r="F67">
        <v>18406</v>
      </c>
      <c r="G67" t="s">
        <v>316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64</v>
      </c>
      <c r="I67" t="str">
        <f>IF(DraftResults[[#This Row],[Player ID]]=0,"",INDEX(Table5[[#All],[Pos]],MATCH(DraftResults[[#This Row],[Player ID]],Table5[[#All],[PID]],0)))</f>
        <v>SP</v>
      </c>
      <c r="J67" t="str">
        <f>IF(DraftResults[[#This Row],[Player ID]]=0,"",INDEX(Table5[[#All],[First]],MATCH(DraftResults[[#This Row],[Player ID]],Table5[[#All],[PID]],0)))</f>
        <v>Munemitsu</v>
      </c>
      <c r="K67" t="str">
        <f>IF(DraftResults[[#This Row],[Player ID]]=0,"",INDEX(Table5[[#All],[Last]],MATCH(DraftResults[[#This Row],[Player ID]],Table5[[#All],[PID]],0)))</f>
        <v>Murakami</v>
      </c>
    </row>
    <row r="68" spans="1:11" x14ac:dyDescent="0.25">
      <c r="A68">
        <v>2</v>
      </c>
      <c r="B68">
        <v>0</v>
      </c>
      <c r="C68">
        <v>30</v>
      </c>
      <c r="D68" t="s">
        <v>254</v>
      </c>
      <c r="E68">
        <v>20</v>
      </c>
      <c r="F68">
        <v>17561</v>
      </c>
      <c r="G68" t="s">
        <v>316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65</v>
      </c>
      <c r="I68" t="str">
        <f>IF(DraftResults[[#This Row],[Player ID]]=0,"",INDEX(Table5[[#All],[Pos]],MATCH(DraftResults[[#This Row],[Player ID]],Table5[[#All],[PID]],0)))</f>
        <v>3B</v>
      </c>
      <c r="J68" t="str">
        <f>IF(DraftResults[[#This Row],[Player ID]]=0,"",INDEX(Table5[[#All],[First]],MATCH(DraftResults[[#This Row],[Player ID]],Table5[[#All],[PID]],0)))</f>
        <v>Dan</v>
      </c>
      <c r="K68" t="str">
        <f>IF(DraftResults[[#This Row],[Player ID]]=0,"",INDEX(Table5[[#All],[Last]],MATCH(DraftResults[[#This Row],[Player ID]],Table5[[#All],[PID]],0)))</f>
        <v>Curtis</v>
      </c>
    </row>
    <row r="69" spans="1:11" x14ac:dyDescent="0.25">
      <c r="A69">
        <v>2</v>
      </c>
      <c r="B69">
        <v>0</v>
      </c>
      <c r="C69">
        <v>31</v>
      </c>
      <c r="D69" t="s">
        <v>454</v>
      </c>
      <c r="E69">
        <v>162</v>
      </c>
      <c r="F69">
        <v>18325</v>
      </c>
      <c r="G69" t="s">
        <v>316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66</v>
      </c>
      <c r="I69" t="str">
        <f>IF(DraftResults[[#This Row],[Player ID]]=0,"",INDEX(Table5[[#All],[Pos]],MATCH(DraftResults[[#This Row],[Player ID]],Table5[[#All],[PID]],0)))</f>
        <v>CL</v>
      </c>
      <c r="J69" t="str">
        <f>IF(DraftResults[[#This Row],[Player ID]]=0,"",INDEX(Table5[[#All],[First]],MATCH(DraftResults[[#This Row],[Player ID]],Table5[[#All],[PID]],0)))</f>
        <v>Bastiaan</v>
      </c>
      <c r="K69" t="str">
        <f>IF(DraftResults[[#This Row],[Player ID]]=0,"",INDEX(Table5[[#All],[Last]],MATCH(DraftResults[[#This Row],[Player ID]],Table5[[#All],[PID]],0)))</f>
        <v>Walraven</v>
      </c>
    </row>
    <row r="70" spans="1:11" x14ac:dyDescent="0.25">
      <c r="A70">
        <v>2</v>
      </c>
      <c r="B70">
        <v>0</v>
      </c>
      <c r="C70">
        <v>32</v>
      </c>
      <c r="D70" t="s">
        <v>459</v>
      </c>
      <c r="E70">
        <v>163</v>
      </c>
      <c r="F70">
        <v>18389</v>
      </c>
      <c r="G70" t="s">
        <v>316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67</v>
      </c>
      <c r="I70" t="str">
        <f>IF(DraftResults[[#This Row],[Player ID]]=0,"",INDEX(Table5[[#All],[Pos]],MATCH(DraftResults[[#This Row],[Player ID]],Table5[[#All],[PID]],0)))</f>
        <v>CL</v>
      </c>
      <c r="J70" t="str">
        <f>IF(DraftResults[[#This Row],[Player ID]]=0,"",INDEX(Table5[[#All],[First]],MATCH(DraftResults[[#This Row],[Player ID]],Table5[[#All],[PID]],0)))</f>
        <v>Naofumi</v>
      </c>
      <c r="K70" t="str">
        <f>IF(DraftResults[[#This Row],[Player ID]]=0,"",INDEX(Table5[[#All],[Last]],MATCH(DraftResults[[#This Row],[Player ID]],Table5[[#All],[PID]],0)))</f>
        <v>Okamoto</v>
      </c>
    </row>
    <row r="71" spans="1:11" x14ac:dyDescent="0.25">
      <c r="A71">
        <v>2</v>
      </c>
      <c r="B71">
        <v>0</v>
      </c>
      <c r="C71">
        <v>33</v>
      </c>
      <c r="D71" t="s">
        <v>629</v>
      </c>
      <c r="E71">
        <v>9</v>
      </c>
      <c r="F71">
        <v>18327</v>
      </c>
      <c r="G71" t="s">
        <v>316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68</v>
      </c>
      <c r="I71" t="str">
        <f>IF(DraftResults[[#This Row],[Player ID]]=0,"",INDEX(Table5[[#All],[Pos]],MATCH(DraftResults[[#This Row],[Player ID]],Table5[[#All],[PID]],0)))</f>
        <v>CF</v>
      </c>
      <c r="J71" t="str">
        <f>IF(DraftResults[[#This Row],[Player ID]]=0,"",INDEX(Table5[[#All],[First]],MATCH(DraftResults[[#This Row],[Player ID]],Table5[[#All],[PID]],0)))</f>
        <v>Magnus</v>
      </c>
      <c r="K71" t="str">
        <f>IF(DraftResults[[#This Row],[Player ID]]=0,"",INDEX(Table5[[#All],[Last]],MATCH(DraftResults[[#This Row],[Player ID]],Table5[[#All],[PID]],0)))</f>
        <v>Stroo</v>
      </c>
    </row>
    <row r="72" spans="1:11" ht="15.75" customHeight="1" x14ac:dyDescent="0.25">
      <c r="A72">
        <v>3</v>
      </c>
      <c r="B72">
        <v>0</v>
      </c>
      <c r="C72">
        <v>1</v>
      </c>
      <c r="D72" t="s">
        <v>625</v>
      </c>
      <c r="E72">
        <v>24</v>
      </c>
      <c r="F72">
        <v>18295</v>
      </c>
      <c r="G72" t="s">
        <v>316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69</v>
      </c>
      <c r="I72" t="str">
        <f>IF(DraftResults[[#This Row],[Player ID]]=0,"",INDEX(Table5[[#All],[Pos]],MATCH(DraftResults[[#This Row],[Player ID]],Table5[[#All],[PID]],0)))</f>
        <v>C</v>
      </c>
      <c r="J72" t="str">
        <f>IF(DraftResults[[#This Row],[Player ID]]=0,"",INDEX(Table5[[#All],[First]],MATCH(DraftResults[[#This Row],[Player ID]],Table5[[#All],[PID]],0)))</f>
        <v>Michael</v>
      </c>
      <c r="K72" t="str">
        <f>IF(DraftResults[[#This Row],[Player ID]]=0,"",INDEX(Table5[[#All],[Last]],MATCH(DraftResults[[#This Row],[Player ID]],Table5[[#All],[PID]],0)))</f>
        <v>MacGillivray</v>
      </c>
    </row>
    <row r="73" spans="1:11" x14ac:dyDescent="0.25">
      <c r="A73">
        <v>3</v>
      </c>
      <c r="B73">
        <v>0</v>
      </c>
      <c r="C73">
        <v>2</v>
      </c>
      <c r="D73" t="s">
        <v>542</v>
      </c>
      <c r="E73">
        <v>7</v>
      </c>
      <c r="F73">
        <v>18449</v>
      </c>
      <c r="G73" t="s">
        <v>316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70</v>
      </c>
      <c r="I73" t="str">
        <f>IF(DraftResults[[#This Row],[Player ID]]=0,"",INDEX(Table5[[#All],[Pos]],MATCH(DraftResults[[#This Row],[Player ID]],Table5[[#All],[PID]],0)))</f>
        <v>SP</v>
      </c>
      <c r="J73" t="str">
        <f>IF(DraftResults[[#This Row],[Player ID]]=0,"",INDEX(Table5[[#All],[First]],MATCH(DraftResults[[#This Row],[Player ID]],Table5[[#All],[PID]],0)))</f>
        <v>Cameron</v>
      </c>
      <c r="K73" t="str">
        <f>IF(DraftResults[[#This Row],[Player ID]]=0,"",INDEX(Table5[[#All],[Last]],MATCH(DraftResults[[#This Row],[Player ID]],Table5[[#All],[PID]],0)))</f>
        <v>Auchmulty</v>
      </c>
    </row>
    <row r="74" spans="1:11" x14ac:dyDescent="0.25">
      <c r="A74">
        <v>3</v>
      </c>
      <c r="B74">
        <v>0</v>
      </c>
      <c r="C74">
        <v>3</v>
      </c>
      <c r="D74" t="s">
        <v>256</v>
      </c>
      <c r="E74">
        <v>8</v>
      </c>
      <c r="F74">
        <v>18298</v>
      </c>
      <c r="G74" t="s">
        <v>316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71</v>
      </c>
      <c r="I74" t="str">
        <f>IF(DraftResults[[#This Row],[Player ID]]=0,"",INDEX(Table5[[#All],[Pos]],MATCH(DraftResults[[#This Row],[Player ID]],Table5[[#All],[PID]],0)))</f>
        <v>RF</v>
      </c>
      <c r="J74" t="str">
        <f>IF(DraftResults[[#This Row],[Player ID]]=0,"",INDEX(Table5[[#All],[First]],MATCH(DraftResults[[#This Row],[Player ID]],Table5[[#All],[PID]],0)))</f>
        <v>Lucas</v>
      </c>
      <c r="K74" t="str">
        <f>IF(DraftResults[[#This Row],[Player ID]]=0,"",INDEX(Table5[[#All],[Last]],MATCH(DraftResults[[#This Row],[Player ID]],Table5[[#All],[PID]],0)))</f>
        <v>van Hal</v>
      </c>
    </row>
    <row r="75" spans="1:11" x14ac:dyDescent="0.25">
      <c r="A75">
        <v>3</v>
      </c>
      <c r="B75">
        <v>0</v>
      </c>
      <c r="C75">
        <v>4</v>
      </c>
      <c r="D75" t="s">
        <v>629</v>
      </c>
      <c r="E75">
        <v>9</v>
      </c>
      <c r="F75">
        <v>18230</v>
      </c>
      <c r="G75" t="s">
        <v>316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72</v>
      </c>
      <c r="I75" t="str">
        <f>IF(DraftResults[[#This Row],[Player ID]]=0,"",INDEX(Table5[[#All],[Pos]],MATCH(DraftResults[[#This Row],[Player ID]],Table5[[#All],[PID]],0)))</f>
        <v>LF</v>
      </c>
      <c r="J75" t="str">
        <f>IF(DraftResults[[#This Row],[Player ID]]=0,"",INDEX(Table5[[#All],[First]],MATCH(DraftResults[[#This Row],[Player ID]],Table5[[#All],[PID]],0)))</f>
        <v>Dave</v>
      </c>
      <c r="K75" t="str">
        <f>IF(DraftResults[[#This Row],[Player ID]]=0,"",INDEX(Table5[[#All],[Last]],MATCH(DraftResults[[#This Row],[Player ID]],Table5[[#All],[PID]],0)))</f>
        <v>Sawyer</v>
      </c>
    </row>
    <row r="76" spans="1:11" x14ac:dyDescent="0.25">
      <c r="A76">
        <v>3</v>
      </c>
      <c r="B76">
        <v>0</v>
      </c>
      <c r="C76">
        <v>5</v>
      </c>
      <c r="D76" t="s">
        <v>242</v>
      </c>
      <c r="E76">
        <v>19</v>
      </c>
      <c r="F76">
        <v>20189</v>
      </c>
      <c r="G76" t="s">
        <v>316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73</v>
      </c>
      <c r="I76" t="str">
        <f>IF(DraftResults[[#This Row],[Player ID]]=0,"",INDEX(Table5[[#All],[Pos]],MATCH(DraftResults[[#This Row],[Player ID]],Table5[[#All],[PID]],0)))</f>
        <v>CL</v>
      </c>
      <c r="J76" t="str">
        <f>IF(DraftResults[[#This Row],[Player ID]]=0,"",INDEX(Table5[[#All],[First]],MATCH(DraftResults[[#This Row],[Player ID]],Table5[[#All],[PID]],0)))</f>
        <v>Toshikuni</v>
      </c>
      <c r="K76" t="str">
        <f>IF(DraftResults[[#This Row],[Player ID]]=0,"",INDEX(Table5[[#All],[Last]],MATCH(DraftResults[[#This Row],[Player ID]],Table5[[#All],[PID]],0)))</f>
        <v>Kichida</v>
      </c>
    </row>
    <row r="77" spans="1:11" x14ac:dyDescent="0.25">
      <c r="A77">
        <v>3</v>
      </c>
      <c r="B77">
        <v>0</v>
      </c>
      <c r="C77">
        <v>6</v>
      </c>
      <c r="D77" t="s">
        <v>543</v>
      </c>
      <c r="E77">
        <v>4</v>
      </c>
      <c r="F77">
        <v>18265</v>
      </c>
      <c r="G77" t="s">
        <v>316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74</v>
      </c>
      <c r="I77" t="str">
        <f>IF(DraftResults[[#This Row],[Player ID]]=0,"",INDEX(Table5[[#All],[Pos]],MATCH(DraftResults[[#This Row],[Player ID]],Table5[[#All],[PID]],0)))</f>
        <v>SP</v>
      </c>
      <c r="J77" t="str">
        <f>IF(DraftResults[[#This Row],[Player ID]]=0,"",INDEX(Table5[[#All],[First]],MATCH(DraftResults[[#This Row],[Player ID]],Table5[[#All],[PID]],0)))</f>
        <v>Brian</v>
      </c>
      <c r="K77" t="str">
        <f>IF(DraftResults[[#This Row],[Player ID]]=0,"",INDEX(Table5[[#All],[Last]],MATCH(DraftResults[[#This Row],[Player ID]],Table5[[#All],[PID]],0)))</f>
        <v>Tilghman</v>
      </c>
    </row>
    <row r="78" spans="1:11" x14ac:dyDescent="0.25">
      <c r="A78">
        <v>3</v>
      </c>
      <c r="B78">
        <v>0</v>
      </c>
      <c r="C78">
        <v>7</v>
      </c>
      <c r="D78" t="s">
        <v>625</v>
      </c>
      <c r="E78">
        <v>24</v>
      </c>
      <c r="F78">
        <v>18002</v>
      </c>
      <c r="G78" t="s">
        <v>316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75</v>
      </c>
      <c r="I78" t="str">
        <f>IF(DraftResults[[#This Row],[Player ID]]=0,"",INDEX(Table5[[#All],[Pos]],MATCH(DraftResults[[#This Row],[Player ID]],Table5[[#All],[PID]],0)))</f>
        <v>SP</v>
      </c>
      <c r="J78" t="str">
        <f>IF(DraftResults[[#This Row],[Player ID]]=0,"",INDEX(Table5[[#All],[First]],MATCH(DraftResults[[#This Row],[Player ID]],Table5[[#All],[PID]],0)))</f>
        <v>Tommy</v>
      </c>
      <c r="K78" t="str">
        <f>IF(DraftResults[[#This Row],[Player ID]]=0,"",INDEX(Table5[[#All],[Last]],MATCH(DraftResults[[#This Row],[Player ID]],Table5[[#All],[PID]],0)))</f>
        <v>Atkins</v>
      </c>
    </row>
    <row r="79" spans="1:11" x14ac:dyDescent="0.25">
      <c r="A79">
        <v>3</v>
      </c>
      <c r="B79">
        <v>0</v>
      </c>
      <c r="C79">
        <v>8</v>
      </c>
      <c r="D79" t="s">
        <v>457</v>
      </c>
      <c r="E79">
        <v>166</v>
      </c>
      <c r="F79">
        <v>12544</v>
      </c>
      <c r="G79" t="s">
        <v>316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76</v>
      </c>
      <c r="I79" t="str">
        <f>IF(DraftResults[[#This Row],[Player ID]]=0,"",INDEX(Table5[[#All],[Pos]],MATCH(DraftResults[[#This Row],[Player ID]],Table5[[#All],[PID]],0)))</f>
        <v>CL</v>
      </c>
      <c r="J79" t="str">
        <f>IF(DraftResults[[#This Row],[Player ID]]=0,"",INDEX(Table5[[#All],[First]],MATCH(DraftResults[[#This Row],[Player ID]],Table5[[#All],[PID]],0)))</f>
        <v>Billy</v>
      </c>
      <c r="K79" t="str">
        <f>IF(DraftResults[[#This Row],[Player ID]]=0,"",INDEX(Table5[[#All],[Last]],MATCH(DraftResults[[#This Row],[Player ID]],Table5[[#All],[PID]],0)))</f>
        <v>Summers</v>
      </c>
    </row>
    <row r="80" spans="1:11" x14ac:dyDescent="0.25">
      <c r="A80">
        <v>3</v>
      </c>
      <c r="B80">
        <v>0</v>
      </c>
      <c r="C80">
        <v>9</v>
      </c>
      <c r="D80" t="s">
        <v>456</v>
      </c>
      <c r="E80">
        <v>164</v>
      </c>
      <c r="F80">
        <v>20445</v>
      </c>
      <c r="G80" t="s">
        <v>316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77</v>
      </c>
      <c r="I80" t="str">
        <f>IF(DraftResults[[#This Row],[Player ID]]=0,"",INDEX(Table5[[#All],[Pos]],MATCH(DraftResults[[#This Row],[Player ID]],Table5[[#All],[PID]],0)))</f>
        <v>CF</v>
      </c>
      <c r="J80" t="str">
        <f>IF(DraftResults[[#This Row],[Player ID]]=0,"",INDEX(Table5[[#All],[First]],MATCH(DraftResults[[#This Row],[Player ID]],Table5[[#All],[PID]],0)))</f>
        <v>Nobuhisa</v>
      </c>
      <c r="K80" t="str">
        <f>IF(DraftResults[[#This Row],[Player ID]]=0,"",INDEX(Table5[[#All],[Last]],MATCH(DraftResults[[#This Row],[Player ID]],Table5[[#All],[PID]],0)))</f>
        <v>Tanaka</v>
      </c>
    </row>
    <row r="81" spans="1:11" x14ac:dyDescent="0.25">
      <c r="A81">
        <v>3</v>
      </c>
      <c r="B81">
        <v>0</v>
      </c>
      <c r="C81">
        <v>10</v>
      </c>
      <c r="D81" t="s">
        <v>461</v>
      </c>
      <c r="E81">
        <v>18</v>
      </c>
      <c r="F81">
        <v>20710</v>
      </c>
      <c r="G81" t="s">
        <v>316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78</v>
      </c>
      <c r="I81" t="str">
        <f>IF(DraftResults[[#This Row],[Player ID]]=0,"",INDEX(Table5[[#All],[Pos]],MATCH(DraftResults[[#This Row],[Player ID]],Table5[[#All],[PID]],0)))</f>
        <v>CL</v>
      </c>
      <c r="J81" t="str">
        <f>IF(DraftResults[[#This Row],[Player ID]]=0,"",INDEX(Table5[[#All],[First]],MATCH(DraftResults[[#This Row],[Player ID]],Table5[[#All],[PID]],0)))</f>
        <v>Pat</v>
      </c>
      <c r="K81" t="str">
        <f>IF(DraftResults[[#This Row],[Player ID]]=0,"",INDEX(Table5[[#All],[Last]],MATCH(DraftResults[[#This Row],[Player ID]],Table5[[#All],[PID]],0)))</f>
        <v>Smith</v>
      </c>
    </row>
    <row r="82" spans="1:11" x14ac:dyDescent="0.25">
      <c r="A82">
        <v>3</v>
      </c>
      <c r="B82">
        <v>0</v>
      </c>
      <c r="C82">
        <v>11</v>
      </c>
      <c r="D82" t="s">
        <v>253</v>
      </c>
      <c r="E82">
        <v>15</v>
      </c>
      <c r="F82">
        <v>14736</v>
      </c>
      <c r="G82" t="s">
        <v>316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79</v>
      </c>
      <c r="I82" t="str">
        <f>IF(DraftResults[[#This Row],[Player ID]]=0,"",INDEX(Table5[[#All],[Pos]],MATCH(DraftResults[[#This Row],[Player ID]],Table5[[#All],[PID]],0)))</f>
        <v>3B</v>
      </c>
      <c r="J82" t="str">
        <f>IF(DraftResults[[#This Row],[Player ID]]=0,"",INDEX(Table5[[#All],[First]],MATCH(DraftResults[[#This Row],[Player ID]],Table5[[#All],[PID]],0)))</f>
        <v>Ashwin</v>
      </c>
      <c r="K82" t="str">
        <f>IF(DraftResults[[#This Row],[Player ID]]=0,"",INDEX(Table5[[#All],[Last]],MATCH(DraftResults[[#This Row],[Player ID]],Table5[[#All],[PID]],0)))</f>
        <v>Hoeks</v>
      </c>
    </row>
    <row r="83" spans="1:11" x14ac:dyDescent="0.25">
      <c r="A83">
        <v>3</v>
      </c>
      <c r="B83">
        <v>0</v>
      </c>
      <c r="C83">
        <v>12</v>
      </c>
      <c r="D83" t="s">
        <v>245</v>
      </c>
      <c r="E83">
        <v>21</v>
      </c>
      <c r="F83">
        <v>18112</v>
      </c>
      <c r="G83" t="s">
        <v>316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80</v>
      </c>
      <c r="I83" t="str">
        <f>IF(DraftResults[[#This Row],[Player ID]]=0,"",INDEX(Table5[[#All],[Pos]],MATCH(DraftResults[[#This Row],[Player ID]],Table5[[#All],[PID]],0)))</f>
        <v>CL</v>
      </c>
      <c r="J83" t="str">
        <f>IF(DraftResults[[#This Row],[Player ID]]=0,"",INDEX(Table5[[#All],[First]],MATCH(DraftResults[[#This Row],[Player ID]],Table5[[#All],[PID]],0)))</f>
        <v>Bartolo</v>
      </c>
      <c r="K83" t="str">
        <f>IF(DraftResults[[#This Row],[Player ID]]=0,"",INDEX(Table5[[#All],[Last]],MATCH(DraftResults[[#This Row],[Player ID]],Table5[[#All],[PID]],0)))</f>
        <v>Torres</v>
      </c>
    </row>
    <row r="84" spans="1:11" x14ac:dyDescent="0.25">
      <c r="A84">
        <v>3</v>
      </c>
      <c r="B84">
        <v>0</v>
      </c>
      <c r="C84">
        <v>13</v>
      </c>
      <c r="D84" t="s">
        <v>243</v>
      </c>
      <c r="E84">
        <v>22</v>
      </c>
      <c r="F84">
        <v>18313</v>
      </c>
      <c r="G84" t="s">
        <v>316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81</v>
      </c>
      <c r="I84" t="str">
        <f>IF(DraftResults[[#This Row],[Player ID]]=0,"",INDEX(Table5[[#All],[Pos]],MATCH(DraftResults[[#This Row],[Player ID]],Table5[[#All],[PID]],0)))</f>
        <v>CF</v>
      </c>
      <c r="J84" t="str">
        <f>IF(DraftResults[[#This Row],[Player ID]]=0,"",INDEX(Table5[[#All],[First]],MATCH(DraftResults[[#This Row],[Player ID]],Table5[[#All],[PID]],0)))</f>
        <v>Pablo</v>
      </c>
      <c r="K84" t="str">
        <f>IF(DraftResults[[#This Row],[Player ID]]=0,"",INDEX(Table5[[#All],[Last]],MATCH(DraftResults[[#This Row],[Player ID]],Table5[[#All],[PID]],0)))</f>
        <v>López</v>
      </c>
    </row>
    <row r="85" spans="1:11" x14ac:dyDescent="0.25">
      <c r="A85">
        <v>3</v>
      </c>
      <c r="B85">
        <v>0</v>
      </c>
      <c r="C85">
        <v>14</v>
      </c>
      <c r="D85" t="s">
        <v>248</v>
      </c>
      <c r="E85">
        <v>11</v>
      </c>
      <c r="F85">
        <v>18293</v>
      </c>
      <c r="G85" t="s">
        <v>316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82</v>
      </c>
      <c r="I85" t="str">
        <f>IF(DraftResults[[#This Row],[Player ID]]=0,"",INDEX(Table5[[#All],[Pos]],MATCH(DraftResults[[#This Row],[Player ID]],Table5[[#All],[PID]],0)))</f>
        <v>SP</v>
      </c>
      <c r="J85" t="str">
        <f>IF(DraftResults[[#This Row],[Player ID]]=0,"",INDEX(Table5[[#All],[First]],MATCH(DraftResults[[#This Row],[Player ID]],Table5[[#All],[PID]],0)))</f>
        <v>Kantaro</v>
      </c>
      <c r="K85" t="str">
        <f>IF(DraftResults[[#This Row],[Player ID]]=0,"",INDEX(Table5[[#All],[Last]],MATCH(DraftResults[[#This Row],[Player ID]],Table5[[#All],[PID]],0)))</f>
        <v>Nomura</v>
      </c>
    </row>
    <row r="86" spans="1:11" x14ac:dyDescent="0.25">
      <c r="A86">
        <v>3</v>
      </c>
      <c r="B86">
        <v>0</v>
      </c>
      <c r="C86">
        <v>15</v>
      </c>
      <c r="D86" t="s">
        <v>249</v>
      </c>
      <c r="E86">
        <v>10</v>
      </c>
      <c r="F86">
        <v>18140</v>
      </c>
      <c r="G86" t="s">
        <v>316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83</v>
      </c>
      <c r="I86" t="str">
        <f>IF(DraftResults[[#This Row],[Player ID]]=0,"",INDEX(Table5[[#All],[Pos]],MATCH(DraftResults[[#This Row],[Player ID]],Table5[[#All],[PID]],0)))</f>
        <v>1B</v>
      </c>
      <c r="J86" t="str">
        <f>IF(DraftResults[[#This Row],[Player ID]]=0,"",INDEX(Table5[[#All],[First]],MATCH(DraftResults[[#This Row],[Player ID]],Table5[[#All],[PID]],0)))</f>
        <v>José</v>
      </c>
      <c r="K86" t="str">
        <f>IF(DraftResults[[#This Row],[Player ID]]=0,"",INDEX(Table5[[#All],[Last]],MATCH(DraftResults[[#This Row],[Player ID]],Table5[[#All],[PID]],0)))</f>
        <v>Ayala</v>
      </c>
    </row>
    <row r="87" spans="1:11" x14ac:dyDescent="0.25">
      <c r="A87">
        <v>3</v>
      </c>
      <c r="B87">
        <v>0</v>
      </c>
      <c r="C87">
        <v>16</v>
      </c>
      <c r="D87" t="s">
        <v>250</v>
      </c>
      <c r="E87">
        <v>3</v>
      </c>
      <c r="F87">
        <v>20399</v>
      </c>
      <c r="G87" t="s">
        <v>316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84</v>
      </c>
      <c r="I87" t="str">
        <f>IF(DraftResults[[#This Row],[Player ID]]=0,"",INDEX(Table5[[#All],[Pos]],MATCH(DraftResults[[#This Row],[Player ID]],Table5[[#All],[PID]],0)))</f>
        <v>RF</v>
      </c>
      <c r="J87" t="str">
        <f>IF(DraftResults[[#This Row],[Player ID]]=0,"",INDEX(Table5[[#All],[First]],MATCH(DraftResults[[#This Row],[Player ID]],Table5[[#All],[PID]],0)))</f>
        <v>Tom</v>
      </c>
      <c r="K87" t="str">
        <f>IF(DraftResults[[#This Row],[Player ID]]=0,"",INDEX(Table5[[#All],[Last]],MATCH(DraftResults[[#This Row],[Player ID]],Table5[[#All],[PID]],0)))</f>
        <v>O'Quane</v>
      </c>
    </row>
    <row r="88" spans="1:11" x14ac:dyDescent="0.25">
      <c r="A88">
        <v>3</v>
      </c>
      <c r="B88">
        <v>0</v>
      </c>
      <c r="C88">
        <v>17</v>
      </c>
      <c r="D88" t="s">
        <v>261</v>
      </c>
      <c r="E88">
        <v>12</v>
      </c>
      <c r="F88">
        <v>18130</v>
      </c>
      <c r="G88" t="s">
        <v>316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85</v>
      </c>
      <c r="I88" t="str">
        <f>IF(DraftResults[[#This Row],[Player ID]]=0,"",INDEX(Table5[[#All],[Pos]],MATCH(DraftResults[[#This Row],[Player ID]],Table5[[#All],[PID]],0)))</f>
        <v>SP</v>
      </c>
      <c r="J88" t="str">
        <f>IF(DraftResults[[#This Row],[Player ID]]=0,"",INDEX(Table5[[#All],[First]],MATCH(DraftResults[[#This Row],[Player ID]],Table5[[#All],[PID]],0)))</f>
        <v>Jonathan</v>
      </c>
      <c r="K88" t="str">
        <f>IF(DraftResults[[#This Row],[Player ID]]=0,"",INDEX(Table5[[#All],[Last]],MATCH(DraftResults[[#This Row],[Player ID]],Table5[[#All],[PID]],0)))</f>
        <v>Abley</v>
      </c>
    </row>
    <row r="89" spans="1:11" x14ac:dyDescent="0.25">
      <c r="A89">
        <v>3</v>
      </c>
      <c r="B89">
        <v>0</v>
      </c>
      <c r="C89">
        <v>18</v>
      </c>
      <c r="D89" t="s">
        <v>627</v>
      </c>
      <c r="E89">
        <v>13</v>
      </c>
      <c r="F89">
        <v>14028</v>
      </c>
      <c r="G89" t="s">
        <v>316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86</v>
      </c>
      <c r="I89" t="str">
        <f>IF(DraftResults[[#This Row],[Player ID]]=0,"",INDEX(Table5[[#All],[Pos]],MATCH(DraftResults[[#This Row],[Player ID]],Table5[[#All],[PID]],0)))</f>
        <v>SS</v>
      </c>
      <c r="J89" t="str">
        <f>IF(DraftResults[[#This Row],[Player ID]]=0,"",INDEX(Table5[[#All],[First]],MATCH(DraftResults[[#This Row],[Player ID]],Table5[[#All],[PID]],0)))</f>
        <v>Pete</v>
      </c>
      <c r="K89" t="str">
        <f>IF(DraftResults[[#This Row],[Player ID]]=0,"",INDEX(Table5[[#All],[Last]],MATCH(DraftResults[[#This Row],[Player ID]],Table5[[#All],[PID]],0)))</f>
        <v>Acheson</v>
      </c>
    </row>
    <row r="90" spans="1:11" x14ac:dyDescent="0.25">
      <c r="A90">
        <v>3</v>
      </c>
      <c r="B90">
        <v>0</v>
      </c>
      <c r="C90">
        <v>19</v>
      </c>
      <c r="D90" t="s">
        <v>254</v>
      </c>
      <c r="E90">
        <v>20</v>
      </c>
      <c r="F90">
        <v>14616</v>
      </c>
      <c r="G90" t="s">
        <v>316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87</v>
      </c>
      <c r="I90" t="str">
        <f>IF(DraftResults[[#This Row],[Player ID]]=0,"",INDEX(Table5[[#All],[Pos]],MATCH(DraftResults[[#This Row],[Player ID]],Table5[[#All],[PID]],0)))</f>
        <v>SP</v>
      </c>
      <c r="J90" t="str">
        <f>IF(DraftResults[[#This Row],[Player ID]]=0,"",INDEX(Table5[[#All],[First]],MATCH(DraftResults[[#This Row],[Player ID]],Table5[[#All],[PID]],0)))</f>
        <v>Razan</v>
      </c>
      <c r="K90" t="str">
        <f>IF(DraftResults[[#This Row],[Player ID]]=0,"",INDEX(Table5[[#All],[Last]],MATCH(DraftResults[[#This Row],[Player ID]],Table5[[#All],[PID]],0)))</f>
        <v>Sano</v>
      </c>
    </row>
    <row r="91" spans="1:11" x14ac:dyDescent="0.25">
      <c r="A91">
        <v>3</v>
      </c>
      <c r="B91">
        <v>0</v>
      </c>
      <c r="C91">
        <v>20</v>
      </c>
      <c r="D91" t="s">
        <v>248</v>
      </c>
      <c r="E91">
        <v>11</v>
      </c>
      <c r="F91">
        <v>18316</v>
      </c>
      <c r="G91" t="s">
        <v>316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88</v>
      </c>
      <c r="I91" t="str">
        <f>IF(DraftResults[[#This Row],[Player ID]]=0,"",INDEX(Table5[[#All],[Pos]],MATCH(DraftResults[[#This Row],[Player ID]],Table5[[#All],[PID]],0)))</f>
        <v>2B</v>
      </c>
      <c r="J91" t="str">
        <f>IF(DraftResults[[#This Row],[Player ID]]=0,"",INDEX(Table5[[#All],[First]],MATCH(DraftResults[[#This Row],[Player ID]],Table5[[#All],[PID]],0)))</f>
        <v>Dylan</v>
      </c>
      <c r="K91" t="str">
        <f>IF(DraftResults[[#This Row],[Player ID]]=0,"",INDEX(Table5[[#All],[Last]],MATCH(DraftResults[[#This Row],[Player ID]],Table5[[#All],[PID]],0)))</f>
        <v>Matheson</v>
      </c>
    </row>
    <row r="92" spans="1:11" x14ac:dyDescent="0.25">
      <c r="A92">
        <v>3</v>
      </c>
      <c r="B92">
        <v>0</v>
      </c>
      <c r="C92">
        <v>21</v>
      </c>
      <c r="D92" t="s">
        <v>457</v>
      </c>
      <c r="E92">
        <v>166</v>
      </c>
      <c r="F92">
        <v>18118</v>
      </c>
      <c r="G92" t="s">
        <v>316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89</v>
      </c>
      <c r="I92" t="str">
        <f>IF(DraftResults[[#This Row],[Player ID]]=0,"",INDEX(Table5[[#All],[Pos]],MATCH(DraftResults[[#This Row],[Player ID]],Table5[[#All],[PID]],0)))</f>
        <v>2B</v>
      </c>
      <c r="J92" t="str">
        <f>IF(DraftResults[[#This Row],[Player ID]]=0,"",INDEX(Table5[[#All],[First]],MATCH(DraftResults[[#This Row],[Player ID]],Table5[[#All],[PID]],0)))</f>
        <v>Sean</v>
      </c>
      <c r="K92" t="str">
        <f>IF(DraftResults[[#This Row],[Player ID]]=0,"",INDEX(Table5[[#All],[Last]],MATCH(DraftResults[[#This Row],[Player ID]],Table5[[#All],[PID]],0)))</f>
        <v>Weaver</v>
      </c>
    </row>
    <row r="93" spans="1:11" x14ac:dyDescent="0.25">
      <c r="A93">
        <v>3</v>
      </c>
      <c r="B93">
        <v>0</v>
      </c>
      <c r="C93">
        <v>22</v>
      </c>
      <c r="D93" t="s">
        <v>243</v>
      </c>
      <c r="E93">
        <v>22</v>
      </c>
      <c r="F93">
        <v>18403</v>
      </c>
      <c r="G93" t="s">
        <v>316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90</v>
      </c>
      <c r="I93" t="str">
        <f>IF(DraftResults[[#This Row],[Player ID]]=0,"",INDEX(Table5[[#All],[Pos]],MATCH(DraftResults[[#This Row],[Player ID]],Table5[[#All],[PID]],0)))</f>
        <v>CF</v>
      </c>
      <c r="J93" t="str">
        <f>IF(DraftResults[[#This Row],[Player ID]]=0,"",INDEX(Table5[[#All],[First]],MATCH(DraftResults[[#This Row],[Player ID]],Table5[[#All],[PID]],0)))</f>
        <v>Tokutomi</v>
      </c>
      <c r="K93" t="str">
        <f>IF(DraftResults[[#This Row],[Player ID]]=0,"",INDEX(Table5[[#All],[Last]],MATCH(DraftResults[[#This Row],[Player ID]],Table5[[#All],[PID]],0)))</f>
        <v>Goto</v>
      </c>
    </row>
    <row r="94" spans="1:11" x14ac:dyDescent="0.25">
      <c r="A94">
        <v>3</v>
      </c>
      <c r="B94">
        <v>0</v>
      </c>
      <c r="C94">
        <v>23</v>
      </c>
      <c r="D94" t="s">
        <v>257</v>
      </c>
      <c r="E94">
        <v>16</v>
      </c>
      <c r="F94">
        <v>20524</v>
      </c>
      <c r="G94" t="s">
        <v>316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91</v>
      </c>
      <c r="I94" t="str">
        <f>IF(DraftResults[[#This Row],[Player ID]]=0,"",INDEX(Table5[[#All],[Pos]],MATCH(DraftResults[[#This Row],[Player ID]],Table5[[#All],[PID]],0)))</f>
        <v>CF</v>
      </c>
      <c r="J94" t="str">
        <f>IF(DraftResults[[#This Row],[Player ID]]=0,"",INDEX(Table5[[#All],[First]],MATCH(DraftResults[[#This Row],[Player ID]],Table5[[#All],[PID]],0)))</f>
        <v>Jay</v>
      </c>
      <c r="K94" t="str">
        <f>IF(DraftResults[[#This Row],[Player ID]]=0,"",INDEX(Table5[[#All],[Last]],MATCH(DraftResults[[#This Row],[Player ID]],Table5[[#All],[PID]],0)))</f>
        <v>Rulluda</v>
      </c>
    </row>
    <row r="95" spans="1:11" x14ac:dyDescent="0.25">
      <c r="A95">
        <v>3</v>
      </c>
      <c r="B95">
        <v>0</v>
      </c>
      <c r="C95">
        <v>24</v>
      </c>
      <c r="D95" t="s">
        <v>625</v>
      </c>
      <c r="E95">
        <v>24</v>
      </c>
      <c r="F95">
        <v>18097</v>
      </c>
      <c r="G95" t="s">
        <v>316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92</v>
      </c>
      <c r="I95" t="str">
        <f>IF(DraftResults[[#This Row],[Player ID]]=0,"",INDEX(Table5[[#All],[Pos]],MATCH(DraftResults[[#This Row],[Player ID]],Table5[[#All],[PID]],0)))</f>
        <v>SP</v>
      </c>
      <c r="J95" t="str">
        <f>IF(DraftResults[[#This Row],[Player ID]]=0,"",INDEX(Table5[[#All],[First]],MATCH(DraftResults[[#This Row],[Player ID]],Table5[[#All],[PID]],0)))</f>
        <v>Tom</v>
      </c>
      <c r="K95" t="str">
        <f>IF(DraftResults[[#This Row],[Player ID]]=0,"",INDEX(Table5[[#All],[Last]],MATCH(DraftResults[[#This Row],[Player ID]],Table5[[#All],[PID]],0)))</f>
        <v>Lang</v>
      </c>
    </row>
    <row r="96" spans="1:11" x14ac:dyDescent="0.25">
      <c r="A96">
        <v>3</v>
      </c>
      <c r="B96">
        <v>0</v>
      </c>
      <c r="C96">
        <v>25</v>
      </c>
      <c r="D96" t="s">
        <v>250</v>
      </c>
      <c r="E96">
        <v>3</v>
      </c>
      <c r="F96">
        <v>18248</v>
      </c>
      <c r="G96" t="s">
        <v>316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93</v>
      </c>
      <c r="I96" t="str">
        <f>IF(DraftResults[[#This Row],[Player ID]]=0,"",INDEX(Table5[[#All],[Pos]],MATCH(DraftResults[[#This Row],[Player ID]],Table5[[#All],[PID]],0)))</f>
        <v>C</v>
      </c>
      <c r="J96" t="str">
        <f>IF(DraftResults[[#This Row],[Player ID]]=0,"",INDEX(Table5[[#All],[First]],MATCH(DraftResults[[#This Row],[Player ID]],Table5[[#All],[PID]],0)))</f>
        <v>Alden</v>
      </c>
      <c r="K96" t="str">
        <f>IF(DraftResults[[#This Row],[Player ID]]=0,"",INDEX(Table5[[#All],[Last]],MATCH(DraftResults[[#This Row],[Player ID]],Table5[[#All],[PID]],0)))</f>
        <v>Horton</v>
      </c>
    </row>
    <row r="97" spans="1:11" x14ac:dyDescent="0.25">
      <c r="A97">
        <v>3</v>
      </c>
      <c r="B97">
        <v>0</v>
      </c>
      <c r="C97">
        <v>26</v>
      </c>
      <c r="D97" t="s">
        <v>254</v>
      </c>
      <c r="E97">
        <v>20</v>
      </c>
      <c r="F97">
        <v>20402</v>
      </c>
      <c r="G97" t="s">
        <v>316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94</v>
      </c>
      <c r="I97" t="str">
        <f>IF(DraftResults[[#This Row],[Player ID]]=0,"",INDEX(Table5[[#All],[Pos]],MATCH(DraftResults[[#This Row],[Player ID]],Table5[[#All],[PID]],0)))</f>
        <v>SP</v>
      </c>
      <c r="J97" t="str">
        <f>IF(DraftResults[[#This Row],[Player ID]]=0,"",INDEX(Table5[[#All],[First]],MATCH(DraftResults[[#This Row],[Player ID]],Table5[[#All],[PID]],0)))</f>
        <v>Bruno</v>
      </c>
      <c r="K97" t="str">
        <f>IF(DraftResults[[#This Row],[Player ID]]=0,"",INDEX(Table5[[#All],[Last]],MATCH(DraftResults[[#This Row],[Player ID]],Table5[[#All],[PID]],0)))</f>
        <v>Floyd</v>
      </c>
    </row>
    <row r="98" spans="1:11" x14ac:dyDescent="0.25">
      <c r="A98">
        <v>3</v>
      </c>
      <c r="B98">
        <v>0</v>
      </c>
      <c r="C98">
        <v>27</v>
      </c>
      <c r="D98" t="s">
        <v>457</v>
      </c>
      <c r="E98">
        <v>166</v>
      </c>
      <c r="F98">
        <v>18308</v>
      </c>
      <c r="G98" t="s">
        <v>316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95</v>
      </c>
      <c r="I98" t="str">
        <f>IF(DraftResults[[#This Row],[Player ID]]=0,"",INDEX(Table5[[#All],[Pos]],MATCH(DraftResults[[#This Row],[Player ID]],Table5[[#All],[PID]],0)))</f>
        <v>SP</v>
      </c>
      <c r="J98" t="str">
        <f>IF(DraftResults[[#This Row],[Player ID]]=0,"",INDEX(Table5[[#All],[First]],MATCH(DraftResults[[#This Row],[Player ID]],Table5[[#All],[PID]],0)))</f>
        <v>Kosami</v>
      </c>
      <c r="K98" t="str">
        <f>IF(DraftResults[[#This Row],[Player ID]]=0,"",INDEX(Table5[[#All],[Last]],MATCH(DraftResults[[#This Row],[Player ID]],Table5[[#All],[PID]],0)))</f>
        <v>Yamasaki</v>
      </c>
    </row>
    <row r="99" spans="1:11" x14ac:dyDescent="0.25">
      <c r="A99">
        <v>3</v>
      </c>
      <c r="B99">
        <v>0</v>
      </c>
      <c r="C99">
        <v>28</v>
      </c>
      <c r="D99" t="s">
        <v>246</v>
      </c>
      <c r="E99">
        <v>17</v>
      </c>
      <c r="F99">
        <v>20417</v>
      </c>
      <c r="G99" t="s">
        <v>316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96</v>
      </c>
      <c r="I99" t="str">
        <f>IF(DraftResults[[#This Row],[Player ID]]=0,"",INDEX(Table5[[#All],[Pos]],MATCH(DraftResults[[#This Row],[Player ID]],Table5[[#All],[PID]],0)))</f>
        <v>RF</v>
      </c>
      <c r="J99" t="str">
        <f>IF(DraftResults[[#This Row],[Player ID]]=0,"",INDEX(Table5[[#All],[First]],MATCH(DraftResults[[#This Row],[Player ID]],Table5[[#All],[PID]],0)))</f>
        <v>Aaron</v>
      </c>
      <c r="K99" t="str">
        <f>IF(DraftResults[[#This Row],[Player ID]]=0,"",INDEX(Table5[[#All],[Last]],MATCH(DraftResults[[#This Row],[Player ID]],Table5[[#All],[PID]],0)))</f>
        <v>Limeburner</v>
      </c>
    </row>
    <row r="100" spans="1:11" x14ac:dyDescent="0.25">
      <c r="A100">
        <v>3</v>
      </c>
      <c r="B100">
        <v>0</v>
      </c>
      <c r="C100">
        <v>29</v>
      </c>
      <c r="D100" t="s">
        <v>458</v>
      </c>
      <c r="E100">
        <v>159</v>
      </c>
      <c r="F100">
        <v>18271</v>
      </c>
      <c r="G100" t="s">
        <v>316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97</v>
      </c>
      <c r="I100" t="str">
        <f>IF(DraftResults[[#This Row],[Player ID]]=0,"",INDEX(Table5[[#All],[Pos]],MATCH(DraftResults[[#This Row],[Player ID]],Table5[[#All],[PID]],0)))</f>
        <v>SP</v>
      </c>
      <c r="J100" t="str">
        <f>IF(DraftResults[[#This Row],[Player ID]]=0,"",INDEX(Table5[[#All],[First]],MATCH(DraftResults[[#This Row],[Player ID]],Table5[[#All],[PID]],0)))</f>
        <v>Mal</v>
      </c>
      <c r="K100" t="str">
        <f>IF(DraftResults[[#This Row],[Player ID]]=0,"",INDEX(Table5[[#All],[Last]],MATCH(DraftResults[[#This Row],[Player ID]],Table5[[#All],[PID]],0)))</f>
        <v>Jones</v>
      </c>
    </row>
    <row r="101" spans="1:11" x14ac:dyDescent="0.25">
      <c r="A101">
        <v>3</v>
      </c>
      <c r="B101">
        <v>0</v>
      </c>
      <c r="C101">
        <v>30</v>
      </c>
      <c r="D101" t="s">
        <v>626</v>
      </c>
      <c r="E101">
        <v>160</v>
      </c>
      <c r="F101">
        <v>18185</v>
      </c>
      <c r="G101" t="s">
        <v>316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98</v>
      </c>
      <c r="I101" t="str">
        <f>IF(DraftResults[[#This Row],[Player ID]]=0,"",INDEX(Table5[[#All],[Pos]],MATCH(DraftResults[[#This Row],[Player ID]],Table5[[#All],[PID]],0)))</f>
        <v>SP</v>
      </c>
      <c r="J101" t="str">
        <f>IF(DraftResults[[#This Row],[Player ID]]=0,"",INDEX(Table5[[#All],[First]],MATCH(DraftResults[[#This Row],[Player ID]],Table5[[#All],[PID]],0)))</f>
        <v>David</v>
      </c>
      <c r="K101" t="str">
        <f>IF(DraftResults[[#This Row],[Player ID]]=0,"",INDEX(Table5[[#All],[Last]],MATCH(DraftResults[[#This Row],[Player ID]],Table5[[#All],[PID]],0)))</f>
        <v>Sánz</v>
      </c>
    </row>
    <row r="102" spans="1:11" ht="15.75" customHeight="1" x14ac:dyDescent="0.25">
      <c r="A102">
        <v>3</v>
      </c>
      <c r="B102">
        <v>0</v>
      </c>
      <c r="C102">
        <v>31</v>
      </c>
      <c r="D102" t="s">
        <v>459</v>
      </c>
      <c r="E102">
        <v>163</v>
      </c>
      <c r="F102">
        <v>16084</v>
      </c>
      <c r="G102" t="s">
        <v>316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99</v>
      </c>
      <c r="I102" t="str">
        <f>IF(DraftResults[[#This Row],[Player ID]]=0,"",INDEX(Table5[[#All],[Pos]],MATCH(DraftResults[[#This Row],[Player ID]],Table5[[#All],[PID]],0)))</f>
        <v>SP</v>
      </c>
      <c r="J102" t="str">
        <f>IF(DraftResults[[#This Row],[Player ID]]=0,"",INDEX(Table5[[#All],[First]],MATCH(DraftResults[[#This Row],[Player ID]],Table5[[#All],[PID]],0)))</f>
        <v>Roelof</v>
      </c>
      <c r="K102" t="str">
        <f>IF(DraftResults[[#This Row],[Player ID]]=0,"",INDEX(Table5[[#All],[Last]],MATCH(DraftResults[[#This Row],[Player ID]],Table5[[#All],[PID]],0)))</f>
        <v>Drenth</v>
      </c>
    </row>
    <row r="103" spans="1:11" x14ac:dyDescent="0.25">
      <c r="A103">
        <v>3</v>
      </c>
      <c r="B103">
        <v>0</v>
      </c>
      <c r="C103">
        <v>32</v>
      </c>
      <c r="D103" t="s">
        <v>257</v>
      </c>
      <c r="E103">
        <v>16</v>
      </c>
      <c r="F103">
        <v>20694</v>
      </c>
      <c r="G103" t="s">
        <v>316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100</v>
      </c>
      <c r="I103" t="str">
        <f>IF(DraftResults[[#This Row],[Player ID]]=0,"",INDEX(Table5[[#All],[Pos]],MATCH(DraftResults[[#This Row],[Player ID]],Table5[[#All],[PID]],0)))</f>
        <v>RF</v>
      </c>
      <c r="J103" t="str">
        <f>IF(DraftResults[[#This Row],[Player ID]]=0,"",INDEX(Table5[[#All],[First]],MATCH(DraftResults[[#This Row],[Player ID]],Table5[[#All],[PID]],0)))</f>
        <v>Kung</v>
      </c>
      <c r="K103" t="str">
        <f>IF(DraftResults[[#This Row],[Player ID]]=0,"",INDEX(Table5[[#All],[Last]],MATCH(DraftResults[[#This Row],[Player ID]],Table5[[#All],[PID]],0)))</f>
        <v>Tsai</v>
      </c>
    </row>
    <row r="104" spans="1:11" x14ac:dyDescent="0.25">
      <c r="A104">
        <v>4</v>
      </c>
      <c r="B104">
        <v>0</v>
      </c>
      <c r="C104">
        <v>1</v>
      </c>
      <c r="D104" t="s">
        <v>625</v>
      </c>
      <c r="E104">
        <v>24</v>
      </c>
      <c r="F104">
        <v>18281</v>
      </c>
      <c r="G104" t="s">
        <v>316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101</v>
      </c>
      <c r="I104" t="str">
        <f>IF(DraftResults[[#This Row],[Player ID]]=0,"",INDEX(Table5[[#All],[Pos]],MATCH(DraftResults[[#This Row],[Player ID]],Table5[[#All],[PID]],0)))</f>
        <v>SS</v>
      </c>
      <c r="J104" t="str">
        <f>IF(DraftResults[[#This Row],[Player ID]]=0,"",INDEX(Table5[[#All],[First]],MATCH(DraftResults[[#This Row],[Player ID]],Table5[[#All],[PID]],0)))</f>
        <v>Jun</v>
      </c>
      <c r="K104" t="str">
        <f>IF(DraftResults[[#This Row],[Player ID]]=0,"",INDEX(Table5[[#All],[Last]],MATCH(DraftResults[[#This Row],[Player ID]],Table5[[#All],[PID]],0)))</f>
        <v>Daisen</v>
      </c>
    </row>
    <row r="105" spans="1:11" x14ac:dyDescent="0.25">
      <c r="A105">
        <v>4</v>
      </c>
      <c r="B105">
        <v>0</v>
      </c>
      <c r="C105">
        <v>2</v>
      </c>
      <c r="D105" t="s">
        <v>542</v>
      </c>
      <c r="E105">
        <v>7</v>
      </c>
      <c r="F105">
        <v>21079</v>
      </c>
      <c r="G105" t="s">
        <v>316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102</v>
      </c>
      <c r="I105" t="str">
        <f>IF(DraftResults[[#This Row],[Player ID]]=0,"",INDEX(Table5[[#All],[Pos]],MATCH(DraftResults[[#This Row],[Player ID]],Table5[[#All],[PID]],0)))</f>
        <v>SP</v>
      </c>
      <c r="J105" t="str">
        <f>IF(DraftResults[[#This Row],[Player ID]]=0,"",INDEX(Table5[[#All],[First]],MATCH(DraftResults[[#This Row],[Player ID]],Table5[[#All],[PID]],0)))</f>
        <v>Peter</v>
      </c>
      <c r="K105" t="str">
        <f>IF(DraftResults[[#This Row],[Player ID]]=0,"",INDEX(Table5[[#All],[Last]],MATCH(DraftResults[[#This Row],[Player ID]],Table5[[#All],[PID]],0)))</f>
        <v>Phillips</v>
      </c>
    </row>
    <row r="106" spans="1:11" x14ac:dyDescent="0.25">
      <c r="A106">
        <v>4</v>
      </c>
      <c r="B106">
        <v>0</v>
      </c>
      <c r="C106">
        <v>3</v>
      </c>
      <c r="D106" t="s">
        <v>256</v>
      </c>
      <c r="E106">
        <v>8</v>
      </c>
      <c r="F106">
        <v>20234</v>
      </c>
      <c r="G106" t="s">
        <v>316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103</v>
      </c>
      <c r="I106" t="str">
        <f>IF(DraftResults[[#This Row],[Player ID]]=0,"",INDEX(Table5[[#All],[Pos]],MATCH(DraftResults[[#This Row],[Player ID]],Table5[[#All],[PID]],0)))</f>
        <v>SS</v>
      </c>
      <c r="J106" t="str">
        <f>IF(DraftResults[[#This Row],[Player ID]]=0,"",INDEX(Table5[[#All],[First]],MATCH(DraftResults[[#This Row],[Player ID]],Table5[[#All],[PID]],0)))</f>
        <v>Dave</v>
      </c>
      <c r="K106" t="str">
        <f>IF(DraftResults[[#This Row],[Player ID]]=0,"",INDEX(Table5[[#All],[Last]],MATCH(DraftResults[[#This Row],[Player ID]],Table5[[#All],[PID]],0)))</f>
        <v>Talbot</v>
      </c>
    </row>
    <row r="107" spans="1:11" x14ac:dyDescent="0.25">
      <c r="A107">
        <v>4</v>
      </c>
      <c r="B107">
        <v>0</v>
      </c>
      <c r="C107">
        <v>4</v>
      </c>
      <c r="D107" t="s">
        <v>543</v>
      </c>
      <c r="E107">
        <v>4</v>
      </c>
      <c r="F107">
        <v>18187</v>
      </c>
      <c r="G107" t="s">
        <v>316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104</v>
      </c>
      <c r="I107" t="str">
        <f>IF(DraftResults[[#This Row],[Player ID]]=0,"",INDEX(Table5[[#All],[Pos]],MATCH(DraftResults[[#This Row],[Player ID]],Table5[[#All],[PID]],0)))</f>
        <v>SP</v>
      </c>
      <c r="J107" t="str">
        <f>IF(DraftResults[[#This Row],[Player ID]]=0,"",INDEX(Table5[[#All],[First]],MATCH(DraftResults[[#This Row],[Player ID]],Table5[[#All],[PID]],0)))</f>
        <v>José</v>
      </c>
      <c r="K107" t="str">
        <f>IF(DraftResults[[#This Row],[Player ID]]=0,"",INDEX(Table5[[#All],[Last]],MATCH(DraftResults[[#This Row],[Player ID]],Table5[[#All],[PID]],0)))</f>
        <v>Martínez</v>
      </c>
    </row>
    <row r="108" spans="1:11" x14ac:dyDescent="0.25">
      <c r="A108">
        <v>4</v>
      </c>
      <c r="B108">
        <v>0</v>
      </c>
      <c r="C108">
        <v>5</v>
      </c>
      <c r="D108" t="s">
        <v>628</v>
      </c>
      <c r="E108">
        <v>23</v>
      </c>
      <c r="F108">
        <v>20523</v>
      </c>
      <c r="G108" t="s">
        <v>316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105</v>
      </c>
      <c r="I108" t="str">
        <f>IF(DraftResults[[#This Row],[Player ID]]=0,"",INDEX(Table5[[#All],[Pos]],MATCH(DraftResults[[#This Row],[Player ID]],Table5[[#All],[PID]],0)))</f>
        <v>LF</v>
      </c>
      <c r="J108" t="str">
        <f>IF(DraftResults[[#This Row],[Player ID]]=0,"",INDEX(Table5[[#All],[First]],MATCH(DraftResults[[#This Row],[Player ID]],Table5[[#All],[PID]],0)))</f>
        <v>Danilo</v>
      </c>
      <c r="K108" t="str">
        <f>IF(DraftResults[[#This Row],[Player ID]]=0,"",INDEX(Table5[[#All],[Last]],MATCH(DraftResults[[#This Row],[Player ID]],Table5[[#All],[PID]],0)))</f>
        <v>Loreto</v>
      </c>
    </row>
    <row r="109" spans="1:11" x14ac:dyDescent="0.25">
      <c r="A109">
        <v>4</v>
      </c>
      <c r="B109">
        <v>0</v>
      </c>
      <c r="C109">
        <v>6</v>
      </c>
      <c r="D109" t="s">
        <v>248</v>
      </c>
      <c r="E109">
        <v>11</v>
      </c>
      <c r="F109">
        <v>18194</v>
      </c>
      <c r="G109" t="s">
        <v>316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106</v>
      </c>
      <c r="I109" t="str">
        <f>IF(DraftResults[[#This Row],[Player ID]]=0,"",INDEX(Table5[[#All],[Pos]],MATCH(DraftResults[[#This Row],[Player ID]],Table5[[#All],[PID]],0)))</f>
        <v>CL</v>
      </c>
      <c r="J109" t="str">
        <f>IF(DraftResults[[#This Row],[Player ID]]=0,"",INDEX(Table5[[#All],[First]],MATCH(DraftResults[[#This Row],[Player ID]],Table5[[#All],[PID]],0)))</f>
        <v>Gerald</v>
      </c>
      <c r="K109" t="str">
        <f>IF(DraftResults[[#This Row],[Player ID]]=0,"",INDEX(Table5[[#All],[Last]],MATCH(DraftResults[[#This Row],[Player ID]],Table5[[#All],[PID]],0)))</f>
        <v>Duke</v>
      </c>
    </row>
    <row r="110" spans="1:11" x14ac:dyDescent="0.25">
      <c r="A110">
        <v>4</v>
      </c>
      <c r="B110">
        <v>0</v>
      </c>
      <c r="C110">
        <v>7</v>
      </c>
      <c r="D110" t="s">
        <v>456</v>
      </c>
      <c r="E110">
        <v>164</v>
      </c>
      <c r="F110">
        <v>20289</v>
      </c>
      <c r="G110" t="s">
        <v>316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107</v>
      </c>
      <c r="I110" t="str">
        <f>IF(DraftResults[[#This Row],[Player ID]]=0,"",INDEX(Table5[[#All],[Pos]],MATCH(DraftResults[[#This Row],[Player ID]],Table5[[#All],[PID]],0)))</f>
        <v>RF</v>
      </c>
      <c r="J110" t="str">
        <f>IF(DraftResults[[#This Row],[Player ID]]=0,"",INDEX(Table5[[#All],[First]],MATCH(DraftResults[[#This Row],[Player ID]],Table5[[#All],[PID]],0)))</f>
        <v>Evan</v>
      </c>
      <c r="K110" t="str">
        <f>IF(DraftResults[[#This Row],[Player ID]]=0,"",INDEX(Table5[[#All],[Last]],MATCH(DraftResults[[#This Row],[Player ID]],Table5[[#All],[PID]],0)))</f>
        <v>Hemminga</v>
      </c>
    </row>
    <row r="111" spans="1:11" x14ac:dyDescent="0.25">
      <c r="A111">
        <v>4</v>
      </c>
      <c r="B111">
        <v>0</v>
      </c>
      <c r="C111">
        <v>8</v>
      </c>
      <c r="D111" t="s">
        <v>461</v>
      </c>
      <c r="E111">
        <v>18</v>
      </c>
      <c r="F111">
        <v>18203</v>
      </c>
      <c r="G111" t="s">
        <v>316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108</v>
      </c>
      <c r="I111" t="str">
        <f>IF(DraftResults[[#This Row],[Player ID]]=0,"",INDEX(Table5[[#All],[Pos]],MATCH(DraftResults[[#This Row],[Player ID]],Table5[[#All],[PID]],0)))</f>
        <v>SP</v>
      </c>
      <c r="J111" t="str">
        <f>IF(DraftResults[[#This Row],[Player ID]]=0,"",INDEX(Table5[[#All],[First]],MATCH(DraftResults[[#This Row],[Player ID]],Table5[[#All],[PID]],0)))</f>
        <v>Homer</v>
      </c>
      <c r="K111" t="str">
        <f>IF(DraftResults[[#This Row],[Player ID]]=0,"",INDEX(Table5[[#All],[Last]],MATCH(DraftResults[[#This Row],[Player ID]],Table5[[#All],[PID]],0)))</f>
        <v>Alexander</v>
      </c>
    </row>
    <row r="112" spans="1:11" x14ac:dyDescent="0.25">
      <c r="A112">
        <v>4</v>
      </c>
      <c r="B112">
        <v>0</v>
      </c>
      <c r="C112">
        <v>9</v>
      </c>
      <c r="D112" t="s">
        <v>253</v>
      </c>
      <c r="E112">
        <v>15</v>
      </c>
      <c r="F112">
        <v>18114</v>
      </c>
      <c r="G112" t="s">
        <v>316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109</v>
      </c>
      <c r="I112" t="str">
        <f>IF(DraftResults[[#This Row],[Player ID]]=0,"",INDEX(Table5[[#All],[Pos]],MATCH(DraftResults[[#This Row],[Player ID]],Table5[[#All],[PID]],0)))</f>
        <v>C</v>
      </c>
      <c r="J112" t="str">
        <f>IF(DraftResults[[#This Row],[Player ID]]=0,"",INDEX(Table5[[#All],[First]],MATCH(DraftResults[[#This Row],[Player ID]],Table5[[#All],[PID]],0)))</f>
        <v>Ray</v>
      </c>
      <c r="K112" t="str">
        <f>IF(DraftResults[[#This Row],[Player ID]]=0,"",INDEX(Table5[[#All],[Last]],MATCH(DraftResults[[#This Row],[Player ID]],Table5[[#All],[PID]],0)))</f>
        <v>Brown</v>
      </c>
    </row>
    <row r="113" spans="1:11" x14ac:dyDescent="0.25">
      <c r="A113">
        <v>4</v>
      </c>
      <c r="B113">
        <v>0</v>
      </c>
      <c r="C113">
        <v>10</v>
      </c>
      <c r="D113" t="s">
        <v>245</v>
      </c>
      <c r="E113">
        <v>21</v>
      </c>
      <c r="F113">
        <v>18170</v>
      </c>
      <c r="G113" t="s">
        <v>316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110</v>
      </c>
      <c r="I113" t="str">
        <f>IF(DraftResults[[#This Row],[Player ID]]=0,"",INDEX(Table5[[#All],[Pos]],MATCH(DraftResults[[#This Row],[Player ID]],Table5[[#All],[PID]],0)))</f>
        <v>SP</v>
      </c>
      <c r="J113" t="str">
        <f>IF(DraftResults[[#This Row],[Player ID]]=0,"",INDEX(Table5[[#All],[First]],MATCH(DraftResults[[#This Row],[Player ID]],Table5[[#All],[PID]],0)))</f>
        <v>Carlos</v>
      </c>
      <c r="K113" t="str">
        <f>IF(DraftResults[[#This Row],[Player ID]]=0,"",INDEX(Table5[[#All],[Last]],MATCH(DraftResults[[#This Row],[Player ID]],Table5[[#All],[PID]],0)))</f>
        <v>Quiñones</v>
      </c>
    </row>
    <row r="114" spans="1:11" x14ac:dyDescent="0.25">
      <c r="A114">
        <v>4</v>
      </c>
      <c r="B114">
        <v>0</v>
      </c>
      <c r="C114">
        <v>11</v>
      </c>
      <c r="D114" t="s">
        <v>243</v>
      </c>
      <c r="E114">
        <v>22</v>
      </c>
      <c r="F114">
        <v>20438</v>
      </c>
      <c r="G114" t="s">
        <v>316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111</v>
      </c>
      <c r="I114" t="str">
        <f>IF(DraftResults[[#This Row],[Player ID]]=0,"",INDEX(Table5[[#All],[Pos]],MATCH(DraftResults[[#This Row],[Player ID]],Table5[[#All],[PID]],0)))</f>
        <v>C</v>
      </c>
      <c r="J114" t="str">
        <f>IF(DraftResults[[#This Row],[Player ID]]=0,"",INDEX(Table5[[#All],[First]],MATCH(DraftResults[[#This Row],[Player ID]],Table5[[#All],[PID]],0)))</f>
        <v>Hsin</v>
      </c>
      <c r="K114" t="str">
        <f>IF(DraftResults[[#This Row],[Player ID]]=0,"",INDEX(Table5[[#All],[Last]],MATCH(DraftResults[[#This Row],[Player ID]],Table5[[#All],[PID]],0)))</f>
        <v>Wang</v>
      </c>
    </row>
    <row r="115" spans="1:11" x14ac:dyDescent="0.25">
      <c r="A115">
        <v>4</v>
      </c>
      <c r="B115">
        <v>0</v>
      </c>
      <c r="C115">
        <v>12</v>
      </c>
      <c r="D115" t="s">
        <v>251</v>
      </c>
      <c r="E115">
        <v>1</v>
      </c>
      <c r="F115">
        <v>17893</v>
      </c>
      <c r="G115" t="s">
        <v>316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112</v>
      </c>
      <c r="I115" t="str">
        <f>IF(DraftResults[[#This Row],[Player ID]]=0,"",INDEX(Table5[[#All],[Pos]],MATCH(DraftResults[[#This Row],[Player ID]],Table5[[#All],[PID]],0)))</f>
        <v>1B</v>
      </c>
      <c r="J115" t="str">
        <f>IF(DraftResults[[#This Row],[Player ID]]=0,"",INDEX(Table5[[#All],[First]],MATCH(DraftResults[[#This Row],[Player ID]],Table5[[#All],[PID]],0)))</f>
        <v>Luis</v>
      </c>
      <c r="K115" t="str">
        <f>IF(DraftResults[[#This Row],[Player ID]]=0,"",INDEX(Table5[[#All],[Last]],MATCH(DraftResults[[#This Row],[Player ID]],Table5[[#All],[PID]],0)))</f>
        <v>Cruz</v>
      </c>
    </row>
    <row r="116" spans="1:11" x14ac:dyDescent="0.25">
      <c r="A116">
        <v>4</v>
      </c>
      <c r="B116">
        <v>0</v>
      </c>
      <c r="C116">
        <v>13</v>
      </c>
      <c r="D116" t="s">
        <v>249</v>
      </c>
      <c r="E116">
        <v>10</v>
      </c>
      <c r="F116">
        <v>13039</v>
      </c>
      <c r="G116" t="s">
        <v>316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113</v>
      </c>
      <c r="I116" t="str">
        <f>IF(DraftResults[[#This Row],[Player ID]]=0,"",INDEX(Table5[[#All],[Pos]],MATCH(DraftResults[[#This Row],[Player ID]],Table5[[#All],[PID]],0)))</f>
        <v>SP</v>
      </c>
      <c r="J116" t="str">
        <f>IF(DraftResults[[#This Row],[Player ID]]=0,"",INDEX(Table5[[#All],[First]],MATCH(DraftResults[[#This Row],[Player ID]],Table5[[#All],[PID]],0)))</f>
        <v>Bartolo</v>
      </c>
      <c r="K116" t="str">
        <f>IF(DraftResults[[#This Row],[Player ID]]=0,"",INDEX(Table5[[#All],[Last]],MATCH(DraftResults[[#This Row],[Player ID]],Table5[[#All],[PID]],0)))</f>
        <v>Cervantes</v>
      </c>
    </row>
    <row r="117" spans="1:11" x14ac:dyDescent="0.25">
      <c r="A117">
        <v>4</v>
      </c>
      <c r="B117">
        <v>0</v>
      </c>
      <c r="C117">
        <v>14</v>
      </c>
      <c r="D117" t="s">
        <v>261</v>
      </c>
      <c r="E117">
        <v>12</v>
      </c>
      <c r="F117">
        <v>18081</v>
      </c>
      <c r="G117" t="s">
        <v>316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114</v>
      </c>
      <c r="I117" t="str">
        <f>IF(DraftResults[[#This Row],[Player ID]]=0,"",INDEX(Table5[[#All],[Pos]],MATCH(DraftResults[[#This Row],[Player ID]],Table5[[#All],[PID]],0)))</f>
        <v>SP</v>
      </c>
      <c r="J117" t="str">
        <f>IF(DraftResults[[#This Row],[Player ID]]=0,"",INDEX(Table5[[#All],[First]],MATCH(DraftResults[[#This Row],[Player ID]],Table5[[#All],[PID]],0)))</f>
        <v>Rich</v>
      </c>
      <c r="K117" t="str">
        <f>IF(DraftResults[[#This Row],[Player ID]]=0,"",INDEX(Table5[[#All],[Last]],MATCH(DraftResults[[#This Row],[Player ID]],Table5[[#All],[PID]],0)))</f>
        <v>Herrera</v>
      </c>
    </row>
    <row r="118" spans="1:11" x14ac:dyDescent="0.25">
      <c r="A118">
        <v>4</v>
      </c>
      <c r="B118">
        <v>0</v>
      </c>
      <c r="C118">
        <v>15</v>
      </c>
      <c r="D118" t="s">
        <v>627</v>
      </c>
      <c r="E118">
        <v>13</v>
      </c>
      <c r="F118">
        <v>18385</v>
      </c>
      <c r="G118" t="s">
        <v>316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115</v>
      </c>
      <c r="I118" t="str">
        <f>IF(DraftResults[[#This Row],[Player ID]]=0,"",INDEX(Table5[[#All],[Pos]],MATCH(DraftResults[[#This Row],[Player ID]],Table5[[#All],[PID]],0)))</f>
        <v>2B</v>
      </c>
      <c r="J118" t="str">
        <f>IF(DraftResults[[#This Row],[Player ID]]=0,"",INDEX(Table5[[#All],[First]],MATCH(DraftResults[[#This Row],[Player ID]],Table5[[#All],[PID]],0)))</f>
        <v>Nori</v>
      </c>
      <c r="K118" t="str">
        <f>IF(DraftResults[[#This Row],[Player ID]]=0,"",INDEX(Table5[[#All],[Last]],MATCH(DraftResults[[#This Row],[Player ID]],Table5[[#All],[PID]],0)))</f>
        <v>Yokoyama</v>
      </c>
    </row>
    <row r="119" spans="1:11" x14ac:dyDescent="0.25">
      <c r="A119">
        <v>4</v>
      </c>
      <c r="B119">
        <v>0</v>
      </c>
      <c r="C119">
        <v>16</v>
      </c>
      <c r="D119" t="s">
        <v>254</v>
      </c>
      <c r="E119">
        <v>20</v>
      </c>
      <c r="F119">
        <v>18422</v>
      </c>
      <c r="G119" t="s">
        <v>316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116</v>
      </c>
      <c r="I119" t="str">
        <f>IF(DraftResults[[#This Row],[Player ID]]=0,"",INDEX(Table5[[#All],[Pos]],MATCH(DraftResults[[#This Row],[Player ID]],Table5[[#All],[PID]],0)))</f>
        <v>SP</v>
      </c>
      <c r="J119" t="str">
        <f>IF(DraftResults[[#This Row],[Player ID]]=0,"",INDEX(Table5[[#All],[First]],MATCH(DraftResults[[#This Row],[Player ID]],Table5[[#All],[PID]],0)))</f>
        <v>Yoshiaga</v>
      </c>
      <c r="K119" t="str">
        <f>IF(DraftResults[[#This Row],[Player ID]]=0,"",INDEX(Table5[[#All],[Last]],MATCH(DraftResults[[#This Row],[Player ID]],Table5[[#All],[PID]],0)))</f>
        <v>Watanabe</v>
      </c>
    </row>
    <row r="120" spans="1:11" x14ac:dyDescent="0.25">
      <c r="A120">
        <v>4</v>
      </c>
      <c r="B120">
        <v>0</v>
      </c>
      <c r="C120">
        <v>17</v>
      </c>
      <c r="D120" t="s">
        <v>629</v>
      </c>
      <c r="E120">
        <v>9</v>
      </c>
      <c r="F120">
        <v>18105</v>
      </c>
      <c r="G120" t="s">
        <v>316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117</v>
      </c>
      <c r="I120" t="str">
        <f>IF(DraftResults[[#This Row],[Player ID]]=0,"",INDEX(Table5[[#All],[Pos]],MATCH(DraftResults[[#This Row],[Player ID]],Table5[[#All],[PID]],0)))</f>
        <v>SP</v>
      </c>
      <c r="J120" t="str">
        <f>IF(DraftResults[[#This Row],[Player ID]]=0,"",INDEX(Table5[[#All],[First]],MATCH(DraftResults[[#This Row],[Player ID]],Table5[[#All],[PID]],0)))</f>
        <v>Bob</v>
      </c>
      <c r="K120" t="str">
        <f>IF(DraftResults[[#This Row],[Player ID]]=0,"",INDEX(Table5[[#All],[Last]],MATCH(DraftResults[[#This Row],[Player ID]],Table5[[#All],[PID]],0)))</f>
        <v>Cowan</v>
      </c>
    </row>
    <row r="121" spans="1:11" x14ac:dyDescent="0.25">
      <c r="A121">
        <v>4</v>
      </c>
      <c r="B121">
        <v>0</v>
      </c>
      <c r="C121">
        <v>18</v>
      </c>
      <c r="D121" t="s">
        <v>455</v>
      </c>
      <c r="E121">
        <v>2</v>
      </c>
      <c r="F121">
        <v>21090</v>
      </c>
      <c r="G121" t="s">
        <v>316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118</v>
      </c>
      <c r="I121" t="str">
        <f>IF(DraftResults[[#This Row],[Player ID]]=0,"",INDEX(Table5[[#All],[Pos]],MATCH(DraftResults[[#This Row],[Player ID]],Table5[[#All],[PID]],0)))</f>
        <v>1B</v>
      </c>
      <c r="J121" t="str">
        <f>IF(DraftResults[[#This Row],[Player ID]]=0,"",INDEX(Table5[[#All],[First]],MATCH(DraftResults[[#This Row],[Player ID]],Table5[[#All],[PID]],0)))</f>
        <v>Cory</v>
      </c>
      <c r="K121" t="str">
        <f>IF(DraftResults[[#This Row],[Player ID]]=0,"",INDEX(Table5[[#All],[Last]],MATCH(DraftResults[[#This Row],[Player ID]],Table5[[#All],[PID]],0)))</f>
        <v>Alford</v>
      </c>
    </row>
    <row r="122" spans="1:11" x14ac:dyDescent="0.25">
      <c r="A122">
        <v>4</v>
      </c>
      <c r="B122">
        <v>0</v>
      </c>
      <c r="C122">
        <v>19</v>
      </c>
      <c r="D122" t="s">
        <v>628</v>
      </c>
      <c r="E122">
        <v>23</v>
      </c>
      <c r="F122">
        <v>18244</v>
      </c>
      <c r="G122" t="s">
        <v>316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119</v>
      </c>
      <c r="I122" t="str">
        <f>IF(DraftResults[[#This Row],[Player ID]]=0,"",INDEX(Table5[[#All],[Pos]],MATCH(DraftResults[[#This Row],[Player ID]],Table5[[#All],[PID]],0)))</f>
        <v>LF</v>
      </c>
      <c r="J122" t="str">
        <f>IF(DraftResults[[#This Row],[Player ID]]=0,"",INDEX(Table5[[#All],[First]],MATCH(DraftResults[[#This Row],[Player ID]],Table5[[#All],[PID]],0)))</f>
        <v>Jorge</v>
      </c>
      <c r="K122" t="str">
        <f>IF(DraftResults[[#This Row],[Player ID]]=0,"",INDEX(Table5[[#All],[Last]],MATCH(DraftResults[[#This Row],[Player ID]],Table5[[#All],[PID]],0)))</f>
        <v>Cortés</v>
      </c>
    </row>
    <row r="123" spans="1:11" x14ac:dyDescent="0.25">
      <c r="A123">
        <v>4</v>
      </c>
      <c r="B123">
        <v>0</v>
      </c>
      <c r="C123">
        <v>20</v>
      </c>
      <c r="D123" t="s">
        <v>257</v>
      </c>
      <c r="E123">
        <v>16</v>
      </c>
      <c r="F123">
        <v>20393</v>
      </c>
      <c r="G123" t="s">
        <v>316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120</v>
      </c>
      <c r="I123" t="str">
        <f>IF(DraftResults[[#This Row],[Player ID]]=0,"",INDEX(Table5[[#All],[Pos]],MATCH(DraftResults[[#This Row],[Player ID]],Table5[[#All],[PID]],0)))</f>
        <v>SS</v>
      </c>
      <c r="J123" t="str">
        <f>IF(DraftResults[[#This Row],[Player ID]]=0,"",INDEX(Table5[[#All],[First]],MATCH(DraftResults[[#This Row],[Player ID]],Table5[[#All],[PID]],0)))</f>
        <v>Pol</v>
      </c>
      <c r="K123" t="str">
        <f>IF(DraftResults[[#This Row],[Player ID]]=0,"",INDEX(Table5[[#All],[Last]],MATCH(DraftResults[[#This Row],[Player ID]],Table5[[#All],[PID]],0)))</f>
        <v>Knowles</v>
      </c>
    </row>
    <row r="124" spans="1:11" x14ac:dyDescent="0.25">
      <c r="A124">
        <v>4</v>
      </c>
      <c r="B124">
        <v>0</v>
      </c>
      <c r="C124">
        <v>21</v>
      </c>
      <c r="D124" t="s">
        <v>459</v>
      </c>
      <c r="E124">
        <v>163</v>
      </c>
      <c r="F124">
        <v>18152</v>
      </c>
      <c r="G124" t="s">
        <v>316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121</v>
      </c>
      <c r="I124" t="str">
        <f>IF(DraftResults[[#This Row],[Player ID]]=0,"",INDEX(Table5[[#All],[Pos]],MATCH(DraftResults[[#This Row],[Player ID]],Table5[[#All],[PID]],0)))</f>
        <v>CF</v>
      </c>
      <c r="J124" t="str">
        <f>IF(DraftResults[[#This Row],[Player ID]]=0,"",INDEX(Table5[[#All],[First]],MATCH(DraftResults[[#This Row],[Player ID]],Table5[[#All],[PID]],0)))</f>
        <v>Santiago</v>
      </c>
      <c r="K124" t="str">
        <f>IF(DraftResults[[#This Row],[Player ID]]=0,"",INDEX(Table5[[#All],[Last]],MATCH(DraftResults[[#This Row],[Player ID]],Table5[[#All],[PID]],0)))</f>
        <v>Caballero</v>
      </c>
    </row>
    <row r="125" spans="1:11" x14ac:dyDescent="0.25">
      <c r="A125">
        <v>4</v>
      </c>
      <c r="B125">
        <v>0</v>
      </c>
      <c r="C125">
        <v>22</v>
      </c>
      <c r="D125" t="s">
        <v>250</v>
      </c>
      <c r="E125">
        <v>3</v>
      </c>
      <c r="F125">
        <v>18212</v>
      </c>
      <c r="G125" t="s">
        <v>316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122</v>
      </c>
      <c r="I125" t="str">
        <f>IF(DraftResults[[#This Row],[Player ID]]=0,"",INDEX(Table5[[#All],[Pos]],MATCH(DraftResults[[#This Row],[Player ID]],Table5[[#All],[PID]],0)))</f>
        <v>SP</v>
      </c>
      <c r="J125" t="str">
        <f>IF(DraftResults[[#This Row],[Player ID]]=0,"",INDEX(Table5[[#All],[First]],MATCH(DraftResults[[#This Row],[Player ID]],Table5[[#All],[PID]],0)))</f>
        <v>António</v>
      </c>
      <c r="K125" t="str">
        <f>IF(DraftResults[[#This Row],[Player ID]]=0,"",INDEX(Table5[[#All],[Last]],MATCH(DraftResults[[#This Row],[Player ID]],Table5[[#All],[PID]],0)))</f>
        <v>Trujillo</v>
      </c>
    </row>
    <row r="126" spans="1:11" x14ac:dyDescent="0.25">
      <c r="A126">
        <v>4</v>
      </c>
      <c r="B126">
        <v>0</v>
      </c>
      <c r="C126">
        <v>23</v>
      </c>
      <c r="D126" t="s">
        <v>626</v>
      </c>
      <c r="E126">
        <v>160</v>
      </c>
      <c r="F126">
        <v>20290</v>
      </c>
      <c r="G126" t="s">
        <v>316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123</v>
      </c>
      <c r="I126" t="str">
        <f>IF(DraftResults[[#This Row],[Player ID]]=0,"",INDEX(Table5[[#All],[Pos]],MATCH(DraftResults[[#This Row],[Player ID]],Table5[[#All],[PID]],0)))</f>
        <v>LF</v>
      </c>
      <c r="J126" t="str">
        <f>IF(DraftResults[[#This Row],[Player ID]]=0,"",INDEX(Table5[[#All],[First]],MATCH(DraftResults[[#This Row],[Player ID]],Table5[[#All],[PID]],0)))</f>
        <v>Li-ben</v>
      </c>
      <c r="K126" t="str">
        <f>IF(DraftResults[[#This Row],[Player ID]]=0,"",INDEX(Table5[[#All],[Last]],MATCH(DraftResults[[#This Row],[Player ID]],Table5[[#All],[PID]],0)))</f>
        <v>Wa</v>
      </c>
    </row>
    <row r="127" spans="1:11" x14ac:dyDescent="0.25">
      <c r="A127">
        <v>4</v>
      </c>
      <c r="B127">
        <v>0</v>
      </c>
      <c r="C127">
        <v>24</v>
      </c>
      <c r="D127" t="s">
        <v>457</v>
      </c>
      <c r="E127">
        <v>166</v>
      </c>
      <c r="F127">
        <v>18278</v>
      </c>
      <c r="G127" t="s">
        <v>316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124</v>
      </c>
      <c r="I127" t="str">
        <f>IF(DraftResults[[#This Row],[Player ID]]=0,"",INDEX(Table5[[#All],[Pos]],MATCH(DraftResults[[#This Row],[Player ID]],Table5[[#All],[PID]],0)))</f>
        <v>SP</v>
      </c>
      <c r="J127" t="str">
        <f>IF(DraftResults[[#This Row],[Player ID]]=0,"",INDEX(Table5[[#All],[First]],MATCH(DraftResults[[#This Row],[Player ID]],Table5[[#All],[PID]],0)))</f>
        <v>Michael</v>
      </c>
      <c r="K127" t="str">
        <f>IF(DraftResults[[#This Row],[Player ID]]=0,"",INDEX(Table5[[#All],[Last]],MATCH(DraftResults[[#This Row],[Player ID]],Table5[[#All],[PID]],0)))</f>
        <v>Martin</v>
      </c>
    </row>
    <row r="128" spans="1:11" ht="15.75" customHeight="1" x14ac:dyDescent="0.25">
      <c r="A128">
        <v>4</v>
      </c>
      <c r="B128">
        <v>0</v>
      </c>
      <c r="C128">
        <v>25</v>
      </c>
      <c r="D128" t="s">
        <v>458</v>
      </c>
      <c r="E128">
        <v>159</v>
      </c>
      <c r="F128">
        <v>18206</v>
      </c>
      <c r="G128" t="s">
        <v>316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125</v>
      </c>
      <c r="I128" t="str">
        <f>IF(DraftResults[[#This Row],[Player ID]]=0,"",INDEX(Table5[[#All],[Pos]],MATCH(DraftResults[[#This Row],[Player ID]],Table5[[#All],[PID]],0)))</f>
        <v>RP</v>
      </c>
      <c r="J128" t="str">
        <f>IF(DraftResults[[#This Row],[Player ID]]=0,"",INDEX(Table5[[#All],[First]],MATCH(DraftResults[[#This Row],[Player ID]],Table5[[#All],[PID]],0)))</f>
        <v>Isaac</v>
      </c>
      <c r="K128" t="str">
        <f>IF(DraftResults[[#This Row],[Player ID]]=0,"",INDEX(Table5[[#All],[Last]],MATCH(DraftResults[[#This Row],[Player ID]],Table5[[#All],[PID]],0)))</f>
        <v>Jordan</v>
      </c>
    </row>
    <row r="129" spans="1:11" x14ac:dyDescent="0.25">
      <c r="A129">
        <v>4</v>
      </c>
      <c r="B129">
        <v>0</v>
      </c>
      <c r="C129">
        <v>26</v>
      </c>
      <c r="D129" t="s">
        <v>454</v>
      </c>
      <c r="E129">
        <v>162</v>
      </c>
      <c r="F129">
        <v>20719</v>
      </c>
      <c r="G129" t="s">
        <v>316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126</v>
      </c>
      <c r="I129" t="str">
        <f>IF(DraftResults[[#This Row],[Player ID]]=0,"",INDEX(Table5[[#All],[Pos]],MATCH(DraftResults[[#This Row],[Player ID]],Table5[[#All],[PID]],0)))</f>
        <v>LF</v>
      </c>
      <c r="J129" t="str">
        <f>IF(DraftResults[[#This Row],[Player ID]]=0,"",INDEX(Table5[[#All],[First]],MATCH(DraftResults[[#This Row],[Player ID]],Table5[[#All],[PID]],0)))</f>
        <v>Michael</v>
      </c>
      <c r="K129" t="str">
        <f>IF(DraftResults[[#This Row],[Player ID]]=0,"",INDEX(Table5[[#All],[Last]],MATCH(DraftResults[[#This Row],[Player ID]],Table5[[#All],[PID]],0)))</f>
        <v>Bailey</v>
      </c>
    </row>
    <row r="130" spans="1:11" x14ac:dyDescent="0.25">
      <c r="A130">
        <v>4</v>
      </c>
      <c r="B130">
        <v>0</v>
      </c>
      <c r="C130">
        <v>27</v>
      </c>
      <c r="D130" t="s">
        <v>459</v>
      </c>
      <c r="E130">
        <v>163</v>
      </c>
      <c r="F130">
        <v>18310</v>
      </c>
      <c r="G130" t="s">
        <v>316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127</v>
      </c>
      <c r="I130" t="str">
        <f>IF(DraftResults[[#This Row],[Player ID]]=0,"",INDEX(Table5[[#All],[Pos]],MATCH(DraftResults[[#This Row],[Player ID]],Table5[[#All],[PID]],0)))</f>
        <v>RF</v>
      </c>
      <c r="J130" t="str">
        <f>IF(DraftResults[[#This Row],[Player ID]]=0,"",INDEX(Table5[[#All],[First]],MATCH(DraftResults[[#This Row],[Player ID]],Table5[[#All],[PID]],0)))</f>
        <v>Tokimune</v>
      </c>
      <c r="K130" t="str">
        <f>IF(DraftResults[[#This Row],[Player ID]]=0,"",INDEX(Table5[[#All],[Last]],MATCH(DraftResults[[#This Row],[Player ID]],Table5[[#All],[PID]],0)))</f>
        <v>Nakada</v>
      </c>
    </row>
    <row r="131" spans="1:11" x14ac:dyDescent="0.25">
      <c r="A131">
        <v>4</v>
      </c>
      <c r="B131">
        <v>0</v>
      </c>
      <c r="C131">
        <v>28</v>
      </c>
      <c r="D131" t="s">
        <v>629</v>
      </c>
      <c r="E131">
        <v>9</v>
      </c>
      <c r="F131">
        <v>18326</v>
      </c>
      <c r="G131" t="s">
        <v>316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128</v>
      </c>
      <c r="I131" t="str">
        <f>IF(DraftResults[[#This Row],[Player ID]]=0,"",INDEX(Table5[[#All],[Pos]],MATCH(DraftResults[[#This Row],[Player ID]],Table5[[#All],[PID]],0)))</f>
        <v>SS</v>
      </c>
      <c r="J131" t="str">
        <f>IF(DraftResults[[#This Row],[Player ID]]=0,"",INDEX(Table5[[#All],[First]],MATCH(DraftResults[[#This Row],[Player ID]],Table5[[#All],[PID]],0)))</f>
        <v>Kazuma</v>
      </c>
      <c r="K131" t="str">
        <f>IF(DraftResults[[#This Row],[Player ID]]=0,"",INDEX(Table5[[#All],[Last]],MATCH(DraftResults[[#This Row],[Player ID]],Table5[[#All],[PID]],0)))</f>
        <v>Nii</v>
      </c>
    </row>
    <row r="132" spans="1:11" x14ac:dyDescent="0.25">
      <c r="A132">
        <v>5</v>
      </c>
      <c r="B132">
        <v>0</v>
      </c>
      <c r="C132">
        <v>1</v>
      </c>
      <c r="D132" t="s">
        <v>625</v>
      </c>
      <c r="E132">
        <v>24</v>
      </c>
      <c r="F132">
        <v>18321</v>
      </c>
      <c r="G132" t="s">
        <v>316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129</v>
      </c>
      <c r="I132" t="str">
        <f>IF(DraftResults[[#This Row],[Player ID]]=0,"",INDEX(Table5[[#All],[Pos]],MATCH(DraftResults[[#This Row],[Player ID]],Table5[[#All],[PID]],0)))</f>
        <v>1B</v>
      </c>
      <c r="J132" t="str">
        <f>IF(DraftResults[[#This Row],[Player ID]]=0,"",INDEX(Table5[[#All],[First]],MATCH(DraftResults[[#This Row],[Player ID]],Table5[[#All],[PID]],0)))</f>
        <v>Lane</v>
      </c>
      <c r="K132" t="str">
        <f>IF(DraftResults[[#This Row],[Player ID]]=0,"",INDEX(Table5[[#All],[Last]],MATCH(DraftResults[[#This Row],[Player ID]],Table5[[#All],[PID]],0)))</f>
        <v>Woodroffe</v>
      </c>
    </row>
    <row r="133" spans="1:11" x14ac:dyDescent="0.25">
      <c r="A133">
        <v>5</v>
      </c>
      <c r="B133">
        <v>0</v>
      </c>
      <c r="C133">
        <v>2</v>
      </c>
      <c r="D133" t="s">
        <v>542</v>
      </c>
      <c r="E133">
        <v>7</v>
      </c>
      <c r="F133">
        <v>20400</v>
      </c>
      <c r="G133" t="s">
        <v>316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130</v>
      </c>
      <c r="I133" t="str">
        <f>IF(DraftResults[[#This Row],[Player ID]]=0,"",INDEX(Table5[[#All],[Pos]],MATCH(DraftResults[[#This Row],[Player ID]],Table5[[#All],[PID]],0)))</f>
        <v>SP</v>
      </c>
      <c r="J133" t="str">
        <f>IF(DraftResults[[#This Row],[Player ID]]=0,"",INDEX(Table5[[#All],[First]],MATCH(DraftResults[[#This Row],[Player ID]],Table5[[#All],[PID]],0)))</f>
        <v>Brock</v>
      </c>
      <c r="K133" t="str">
        <f>IF(DraftResults[[#This Row],[Player ID]]=0,"",INDEX(Table5[[#All],[Last]],MATCH(DraftResults[[#This Row],[Player ID]],Table5[[#All],[PID]],0)))</f>
        <v>Southey</v>
      </c>
    </row>
    <row r="134" spans="1:11" x14ac:dyDescent="0.25">
      <c r="A134">
        <v>5</v>
      </c>
      <c r="B134">
        <v>0</v>
      </c>
      <c r="C134">
        <v>3</v>
      </c>
      <c r="D134" t="s">
        <v>256</v>
      </c>
      <c r="E134">
        <v>8</v>
      </c>
      <c r="F134">
        <v>18358</v>
      </c>
      <c r="G134" t="s">
        <v>316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131</v>
      </c>
      <c r="I134" t="str">
        <f>IF(DraftResults[[#This Row],[Player ID]]=0,"",INDEX(Table5[[#All],[Pos]],MATCH(DraftResults[[#This Row],[Player ID]],Table5[[#All],[PID]],0)))</f>
        <v>RP</v>
      </c>
      <c r="J134" t="str">
        <f>IF(DraftResults[[#This Row],[Player ID]]=0,"",INDEX(Table5[[#All],[First]],MATCH(DraftResults[[#This Row],[Player ID]],Table5[[#All],[PID]],0)))</f>
        <v>Bas</v>
      </c>
      <c r="K134" t="str">
        <f>IF(DraftResults[[#This Row],[Player ID]]=0,"",INDEX(Table5[[#All],[Last]],MATCH(DraftResults[[#This Row],[Player ID]],Table5[[#All],[PID]],0)))</f>
        <v>Wagenmakers</v>
      </c>
    </row>
    <row r="135" spans="1:11" x14ac:dyDescent="0.25">
      <c r="A135">
        <v>5</v>
      </c>
      <c r="B135">
        <v>0</v>
      </c>
      <c r="C135">
        <v>4</v>
      </c>
      <c r="D135" t="s">
        <v>629</v>
      </c>
      <c r="E135">
        <v>9</v>
      </c>
      <c r="F135">
        <v>18276</v>
      </c>
      <c r="G135" t="s">
        <v>316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132</v>
      </c>
      <c r="I135" t="str">
        <f>IF(DraftResults[[#This Row],[Player ID]]=0,"",INDEX(Table5[[#All],[Pos]],MATCH(DraftResults[[#This Row],[Player ID]],Table5[[#All],[PID]],0)))</f>
        <v>SP</v>
      </c>
      <c r="J135" t="str">
        <f>IF(DraftResults[[#This Row],[Player ID]]=0,"",INDEX(Table5[[#All],[First]],MATCH(DraftResults[[#This Row],[Player ID]],Table5[[#All],[PID]],0)))</f>
        <v>Michael</v>
      </c>
      <c r="K135" t="str">
        <f>IF(DraftResults[[#This Row],[Player ID]]=0,"",INDEX(Table5[[#All],[Last]],MATCH(DraftResults[[#This Row],[Player ID]],Table5[[#All],[PID]],0)))</f>
        <v>Mooney</v>
      </c>
    </row>
    <row r="136" spans="1:11" x14ac:dyDescent="0.25">
      <c r="A136">
        <v>5</v>
      </c>
      <c r="B136">
        <v>0</v>
      </c>
      <c r="C136">
        <v>5</v>
      </c>
      <c r="D136" t="s">
        <v>543</v>
      </c>
      <c r="E136">
        <v>4</v>
      </c>
      <c r="F136">
        <v>13152</v>
      </c>
      <c r="G136" t="s">
        <v>316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133</v>
      </c>
      <c r="I136" t="str">
        <f>IF(DraftResults[[#This Row],[Player ID]]=0,"",INDEX(Table5[[#All],[Pos]],MATCH(DraftResults[[#This Row],[Player ID]],Table5[[#All],[PID]],0)))</f>
        <v>CF</v>
      </c>
      <c r="J136" t="str">
        <f>IF(DraftResults[[#This Row],[Player ID]]=0,"",INDEX(Table5[[#All],[First]],MATCH(DraftResults[[#This Row],[Player ID]],Table5[[#All],[PID]],0)))</f>
        <v>Paul</v>
      </c>
      <c r="K136" t="str">
        <f>IF(DraftResults[[#This Row],[Player ID]]=0,"",INDEX(Table5[[#All],[Last]],MATCH(DraftResults[[#This Row],[Player ID]],Table5[[#All],[PID]],0)))</f>
        <v>Holmes</v>
      </c>
    </row>
    <row r="137" spans="1:11" x14ac:dyDescent="0.25">
      <c r="A137">
        <v>5</v>
      </c>
      <c r="B137">
        <v>0</v>
      </c>
      <c r="C137">
        <v>6</v>
      </c>
      <c r="D137" t="s">
        <v>626</v>
      </c>
      <c r="E137">
        <v>160</v>
      </c>
      <c r="F137">
        <v>17565</v>
      </c>
      <c r="G137" t="s">
        <v>316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134</v>
      </c>
      <c r="I137" t="str">
        <f>IF(DraftResults[[#This Row],[Player ID]]=0,"",INDEX(Table5[[#All],[Pos]],MATCH(DraftResults[[#This Row],[Player ID]],Table5[[#All],[PID]],0)))</f>
        <v>SP</v>
      </c>
      <c r="J137" t="str">
        <f>IF(DraftResults[[#This Row],[Player ID]]=0,"",INDEX(Table5[[#All],[First]],MATCH(DraftResults[[#This Row],[Player ID]],Table5[[#All],[PID]],0)))</f>
        <v>David</v>
      </c>
      <c r="K137" t="str">
        <f>IF(DraftResults[[#This Row],[Player ID]]=0,"",INDEX(Table5[[#All],[Last]],MATCH(DraftResults[[#This Row],[Player ID]],Table5[[#All],[PID]],0)))</f>
        <v>Walker</v>
      </c>
    </row>
    <row r="138" spans="1:11" x14ac:dyDescent="0.25">
      <c r="A138">
        <v>5</v>
      </c>
      <c r="B138">
        <v>0</v>
      </c>
      <c r="C138">
        <v>7</v>
      </c>
      <c r="D138" t="s">
        <v>250</v>
      </c>
      <c r="E138">
        <v>3</v>
      </c>
      <c r="F138">
        <v>18242</v>
      </c>
      <c r="G138" t="s">
        <v>316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135</v>
      </c>
      <c r="I138" t="str">
        <f>IF(DraftResults[[#This Row],[Player ID]]=0,"",INDEX(Table5[[#All],[Pos]],MATCH(DraftResults[[#This Row],[Player ID]],Table5[[#All],[PID]],0)))</f>
        <v>RP</v>
      </c>
      <c r="J138" t="str">
        <f>IF(DraftResults[[#This Row],[Player ID]]=0,"",INDEX(Table5[[#All],[First]],MATCH(DraftResults[[#This Row],[Player ID]],Table5[[#All],[PID]],0)))</f>
        <v>Cecil</v>
      </c>
      <c r="K138" t="str">
        <f>IF(DraftResults[[#This Row],[Player ID]]=0,"",INDEX(Table5[[#All],[Last]],MATCH(DraftResults[[#This Row],[Player ID]],Table5[[#All],[PID]],0)))</f>
        <v>Langley</v>
      </c>
    </row>
    <row r="139" spans="1:11" x14ac:dyDescent="0.25">
      <c r="A139">
        <v>5</v>
      </c>
      <c r="B139">
        <v>0</v>
      </c>
      <c r="C139">
        <v>8</v>
      </c>
      <c r="D139" t="s">
        <v>456</v>
      </c>
      <c r="E139">
        <v>164</v>
      </c>
      <c r="F139">
        <v>18161</v>
      </c>
      <c r="G139" t="s">
        <v>316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136</v>
      </c>
      <c r="I139" t="str">
        <f>IF(DraftResults[[#This Row],[Player ID]]=0,"",INDEX(Table5[[#All],[Pos]],MATCH(DraftResults[[#This Row],[Player ID]],Table5[[#All],[PID]],0)))</f>
        <v>RF</v>
      </c>
      <c r="J139" t="str">
        <f>IF(DraftResults[[#This Row],[Player ID]]=0,"",INDEX(Table5[[#All],[First]],MATCH(DraftResults[[#This Row],[Player ID]],Table5[[#All],[PID]],0)))</f>
        <v>Bradley</v>
      </c>
      <c r="K139" t="str">
        <f>IF(DraftResults[[#This Row],[Player ID]]=0,"",INDEX(Table5[[#All],[Last]],MATCH(DraftResults[[#This Row],[Player ID]],Table5[[#All],[PID]],0)))</f>
        <v>Snyder</v>
      </c>
    </row>
    <row r="140" spans="1:11" x14ac:dyDescent="0.25">
      <c r="A140">
        <v>5</v>
      </c>
      <c r="B140">
        <v>0</v>
      </c>
      <c r="C140">
        <v>9</v>
      </c>
      <c r="D140" t="s">
        <v>461</v>
      </c>
      <c r="E140">
        <v>18</v>
      </c>
      <c r="F140">
        <v>18419</v>
      </c>
      <c r="G140" t="s">
        <v>316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137</v>
      </c>
      <c r="I140" t="str">
        <f>IF(DraftResults[[#This Row],[Player ID]]=0,"",INDEX(Table5[[#All],[Pos]],MATCH(DraftResults[[#This Row],[Player ID]],Table5[[#All],[PID]],0)))</f>
        <v>SS</v>
      </c>
      <c r="J140" t="str">
        <f>IF(DraftResults[[#This Row],[Player ID]]=0,"",INDEX(Table5[[#All],[First]],MATCH(DraftResults[[#This Row],[Player ID]],Table5[[#All],[PID]],0)))</f>
        <v>Billy</v>
      </c>
      <c r="K140" t="str">
        <f>IF(DraftResults[[#This Row],[Player ID]]=0,"",INDEX(Table5[[#All],[Last]],MATCH(DraftResults[[#This Row],[Player ID]],Table5[[#All],[PID]],0)))</f>
        <v>Norrish</v>
      </c>
    </row>
    <row r="141" spans="1:11" x14ac:dyDescent="0.25">
      <c r="A141">
        <v>5</v>
      </c>
      <c r="B141">
        <v>0</v>
      </c>
      <c r="C141">
        <v>10</v>
      </c>
      <c r="D141" t="s">
        <v>253</v>
      </c>
      <c r="E141">
        <v>15</v>
      </c>
      <c r="F141">
        <v>20739</v>
      </c>
      <c r="G141" t="s">
        <v>316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138</v>
      </c>
      <c r="I141" t="str">
        <f>IF(DraftResults[[#This Row],[Player ID]]=0,"",INDEX(Table5[[#All],[Pos]],MATCH(DraftResults[[#This Row],[Player ID]],Table5[[#All],[PID]],0)))</f>
        <v>C</v>
      </c>
      <c r="J141" t="str">
        <f>IF(DraftResults[[#This Row],[Player ID]]=0,"",INDEX(Table5[[#All],[First]],MATCH(DraftResults[[#This Row],[Player ID]],Table5[[#All],[PID]],0)))</f>
        <v>Marshall</v>
      </c>
      <c r="K141" t="str">
        <f>IF(DraftResults[[#This Row],[Player ID]]=0,"",INDEX(Table5[[#All],[Last]],MATCH(DraftResults[[#This Row],[Player ID]],Table5[[#All],[PID]],0)))</f>
        <v>Harper</v>
      </c>
    </row>
    <row r="142" spans="1:11" x14ac:dyDescent="0.25">
      <c r="A142">
        <v>5</v>
      </c>
      <c r="B142">
        <v>0</v>
      </c>
      <c r="C142">
        <v>11</v>
      </c>
      <c r="D142" t="s">
        <v>245</v>
      </c>
      <c r="E142">
        <v>21</v>
      </c>
      <c r="F142">
        <v>18335</v>
      </c>
      <c r="G142" t="s">
        <v>316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139</v>
      </c>
      <c r="I142" t="str">
        <f>IF(DraftResults[[#This Row],[Player ID]]=0,"",INDEX(Table5[[#All],[Pos]],MATCH(DraftResults[[#This Row],[Player ID]],Table5[[#All],[PID]],0)))</f>
        <v>SP</v>
      </c>
      <c r="J142" t="str">
        <f>IF(DraftResults[[#This Row],[Player ID]]=0,"",INDEX(Table5[[#All],[First]],MATCH(DraftResults[[#This Row],[Player ID]],Table5[[#All],[PID]],0)))</f>
        <v>Shimei</v>
      </c>
      <c r="K142" t="str">
        <f>IF(DraftResults[[#This Row],[Player ID]]=0,"",INDEX(Table5[[#All],[Last]],MATCH(DraftResults[[#This Row],[Player ID]],Table5[[#All],[PID]],0)))</f>
        <v>Oyama</v>
      </c>
    </row>
    <row r="143" spans="1:11" x14ac:dyDescent="0.25">
      <c r="A143">
        <v>5</v>
      </c>
      <c r="B143">
        <v>0</v>
      </c>
      <c r="C143">
        <v>12</v>
      </c>
      <c r="D143" t="s">
        <v>243</v>
      </c>
      <c r="E143">
        <v>22</v>
      </c>
      <c r="F143">
        <v>18264</v>
      </c>
      <c r="G143" t="s">
        <v>316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140</v>
      </c>
      <c r="I143" t="str">
        <f>IF(DraftResults[[#This Row],[Player ID]]=0,"",INDEX(Table5[[#All],[Pos]],MATCH(DraftResults[[#This Row],[Player ID]],Table5[[#All],[PID]],0)))</f>
        <v>CF</v>
      </c>
      <c r="J143" t="str">
        <f>IF(DraftResults[[#This Row],[Player ID]]=0,"",INDEX(Table5[[#All],[First]],MATCH(DraftResults[[#This Row],[Player ID]],Table5[[#All],[PID]],0)))</f>
        <v>Bill</v>
      </c>
      <c r="K143" t="str">
        <f>IF(DraftResults[[#This Row],[Player ID]]=0,"",INDEX(Table5[[#All],[Last]],MATCH(DraftResults[[#This Row],[Player ID]],Table5[[#All],[PID]],0)))</f>
        <v>Flynn</v>
      </c>
    </row>
    <row r="144" spans="1:11" x14ac:dyDescent="0.25">
      <c r="A144">
        <v>5</v>
      </c>
      <c r="B144">
        <v>0</v>
      </c>
      <c r="C144">
        <v>13</v>
      </c>
      <c r="D144" t="s">
        <v>251</v>
      </c>
      <c r="E144">
        <v>1</v>
      </c>
      <c r="F144">
        <v>15360</v>
      </c>
      <c r="G144" t="s">
        <v>316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141</v>
      </c>
      <c r="I144" t="str">
        <f>IF(DraftResults[[#This Row],[Player ID]]=0,"",INDEX(Table5[[#All],[Pos]],MATCH(DraftResults[[#This Row],[Player ID]],Table5[[#All],[PID]],0)))</f>
        <v>RP</v>
      </c>
      <c r="J144" t="str">
        <f>IF(DraftResults[[#This Row],[Player ID]]=0,"",INDEX(Table5[[#All],[First]],MATCH(DraftResults[[#This Row],[Player ID]],Table5[[#All],[PID]],0)))</f>
        <v>Iwane</v>
      </c>
      <c r="K144" t="str">
        <f>IF(DraftResults[[#This Row],[Player ID]]=0,"",INDEX(Table5[[#All],[Last]],MATCH(DraftResults[[#This Row],[Player ID]],Table5[[#All],[PID]],0)))</f>
        <v>Kaneko</v>
      </c>
    </row>
    <row r="145" spans="1:11" x14ac:dyDescent="0.25">
      <c r="A145">
        <v>5</v>
      </c>
      <c r="B145">
        <v>0</v>
      </c>
      <c r="C145">
        <v>14</v>
      </c>
      <c r="D145" t="s">
        <v>625</v>
      </c>
      <c r="E145">
        <v>24</v>
      </c>
      <c r="F145">
        <v>20258</v>
      </c>
      <c r="G145" t="s">
        <v>316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142</v>
      </c>
      <c r="I145" t="str">
        <f>IF(DraftResults[[#This Row],[Player ID]]=0,"",INDEX(Table5[[#All],[Pos]],MATCH(DraftResults[[#This Row],[Player ID]],Table5[[#All],[PID]],0)))</f>
        <v>RF</v>
      </c>
      <c r="J145" t="str">
        <f>IF(DraftResults[[#This Row],[Player ID]]=0,"",INDEX(Table5[[#All],[First]],MATCH(DraftResults[[#This Row],[Player ID]],Table5[[#All],[PID]],0)))</f>
        <v>Alfred</v>
      </c>
      <c r="K145" t="str">
        <f>IF(DraftResults[[#This Row],[Player ID]]=0,"",INDEX(Table5[[#All],[Last]],MATCH(DraftResults[[#This Row],[Player ID]],Table5[[#All],[PID]],0)))</f>
        <v>McCutcheon</v>
      </c>
    </row>
    <row r="146" spans="1:11" x14ac:dyDescent="0.25">
      <c r="A146">
        <v>5</v>
      </c>
      <c r="B146">
        <v>0</v>
      </c>
      <c r="C146">
        <v>15</v>
      </c>
      <c r="D146" t="s">
        <v>249</v>
      </c>
      <c r="E146">
        <v>10</v>
      </c>
      <c r="F146">
        <v>20692</v>
      </c>
      <c r="G146" t="s">
        <v>316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143</v>
      </c>
      <c r="I146" t="str">
        <f>IF(DraftResults[[#This Row],[Player ID]]=0,"",INDEX(Table5[[#All],[Pos]],MATCH(DraftResults[[#This Row],[Player ID]],Table5[[#All],[PID]],0)))</f>
        <v>1B</v>
      </c>
      <c r="J146" t="str">
        <f>IF(DraftResults[[#This Row],[Player ID]]=0,"",INDEX(Table5[[#All],[First]],MATCH(DraftResults[[#This Row],[Player ID]],Table5[[#All],[PID]],0)))</f>
        <v>Yue-jiu</v>
      </c>
      <c r="K146" t="str">
        <f>IF(DraftResults[[#This Row],[Player ID]]=0,"",INDEX(Table5[[#All],[Last]],MATCH(DraftResults[[#This Row],[Player ID]],Table5[[#All],[PID]],0)))</f>
        <v>Cheung</v>
      </c>
    </row>
    <row r="147" spans="1:11" x14ac:dyDescent="0.25">
      <c r="A147">
        <v>5</v>
      </c>
      <c r="B147">
        <v>0</v>
      </c>
      <c r="C147">
        <v>16</v>
      </c>
      <c r="D147" t="s">
        <v>261</v>
      </c>
      <c r="E147">
        <v>12</v>
      </c>
      <c r="F147">
        <v>18315</v>
      </c>
      <c r="G147" t="s">
        <v>316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144</v>
      </c>
      <c r="I147" t="str">
        <f>IF(DraftResults[[#This Row],[Player ID]]=0,"",INDEX(Table5[[#All],[Pos]],MATCH(DraftResults[[#This Row],[Player ID]],Table5[[#All],[PID]],0)))</f>
        <v>SP</v>
      </c>
      <c r="J147" t="str">
        <f>IF(DraftResults[[#This Row],[Player ID]]=0,"",INDEX(Table5[[#All],[First]],MATCH(DraftResults[[#This Row],[Player ID]],Table5[[#All],[PID]],0)))</f>
        <v>Nakamaro</v>
      </c>
      <c r="K147" t="str">
        <f>IF(DraftResults[[#This Row],[Player ID]]=0,"",INDEX(Table5[[#All],[Last]],MATCH(DraftResults[[#This Row],[Player ID]],Table5[[#All],[PID]],0)))</f>
        <v>Nishino</v>
      </c>
    </row>
    <row r="148" spans="1:11" x14ac:dyDescent="0.25">
      <c r="A148">
        <v>5</v>
      </c>
      <c r="B148">
        <v>0</v>
      </c>
      <c r="C148">
        <v>17</v>
      </c>
      <c r="D148" t="s">
        <v>627</v>
      </c>
      <c r="E148">
        <v>13</v>
      </c>
      <c r="F148">
        <v>21015</v>
      </c>
      <c r="G148" t="s">
        <v>316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145</v>
      </c>
      <c r="I148" t="str">
        <f>IF(DraftResults[[#This Row],[Player ID]]=0,"",INDEX(Table5[[#All],[Pos]],MATCH(DraftResults[[#This Row],[Player ID]],Table5[[#All],[PID]],0)))</f>
        <v>1B</v>
      </c>
      <c r="J148" t="str">
        <f>IF(DraftResults[[#This Row],[Player ID]]=0,"",INDEX(Table5[[#All],[First]],MATCH(DraftResults[[#This Row],[Player ID]],Table5[[#All],[PID]],0)))</f>
        <v>Wilson</v>
      </c>
      <c r="K148" t="str">
        <f>IF(DraftResults[[#This Row],[Player ID]]=0,"",INDEX(Table5[[#All],[Last]],MATCH(DraftResults[[#This Row],[Player ID]],Table5[[#All],[PID]],0)))</f>
        <v>Seguillo</v>
      </c>
    </row>
    <row r="149" spans="1:11" x14ac:dyDescent="0.25">
      <c r="A149">
        <v>5</v>
      </c>
      <c r="B149">
        <v>0</v>
      </c>
      <c r="C149">
        <v>18</v>
      </c>
      <c r="D149" t="s">
        <v>254</v>
      </c>
      <c r="E149">
        <v>20</v>
      </c>
      <c r="F149">
        <v>18397</v>
      </c>
      <c r="G149" t="s">
        <v>316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146</v>
      </c>
      <c r="I149" t="str">
        <f>IF(DraftResults[[#This Row],[Player ID]]=0,"",INDEX(Table5[[#All],[Pos]],MATCH(DraftResults[[#This Row],[Player ID]],Table5[[#All],[PID]],0)))</f>
        <v>RF</v>
      </c>
      <c r="J149" t="str">
        <f>IF(DraftResults[[#This Row],[Player ID]]=0,"",INDEX(Table5[[#All],[First]],MATCH(DraftResults[[#This Row],[Player ID]],Table5[[#All],[PID]],0)))</f>
        <v>Sean</v>
      </c>
      <c r="K149" t="str">
        <f>IF(DraftResults[[#This Row],[Player ID]]=0,"",INDEX(Table5[[#All],[Last]],MATCH(DraftResults[[#This Row],[Player ID]],Table5[[#All],[PID]],0)))</f>
        <v>MacFarlane</v>
      </c>
    </row>
    <row r="150" spans="1:11" x14ac:dyDescent="0.25">
      <c r="A150">
        <v>5</v>
      </c>
      <c r="B150">
        <v>0</v>
      </c>
      <c r="C150">
        <v>19</v>
      </c>
      <c r="D150" t="s">
        <v>246</v>
      </c>
      <c r="E150">
        <v>17</v>
      </c>
      <c r="F150">
        <v>18250</v>
      </c>
      <c r="G150" t="s">
        <v>316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147</v>
      </c>
      <c r="I150" t="str">
        <f>IF(DraftResults[[#This Row],[Player ID]]=0,"",INDEX(Table5[[#All],[Pos]],MATCH(DraftResults[[#This Row],[Player ID]],Table5[[#All],[PID]],0)))</f>
        <v>LF</v>
      </c>
      <c r="J150" t="str">
        <f>IF(DraftResults[[#This Row],[Player ID]]=0,"",INDEX(Table5[[#All],[First]],MATCH(DraftResults[[#This Row],[Player ID]],Table5[[#All],[PID]],0)))</f>
        <v>Armando</v>
      </c>
      <c r="K150" t="str">
        <f>IF(DraftResults[[#This Row],[Player ID]]=0,"",INDEX(Table5[[#All],[Last]],MATCH(DraftResults[[#This Row],[Player ID]],Table5[[#All],[PID]],0)))</f>
        <v>Aragón</v>
      </c>
    </row>
    <row r="151" spans="1:11" x14ac:dyDescent="0.25">
      <c r="A151">
        <v>5</v>
      </c>
      <c r="B151">
        <v>0</v>
      </c>
      <c r="C151">
        <v>20</v>
      </c>
      <c r="D151" t="s">
        <v>455</v>
      </c>
      <c r="E151">
        <v>2</v>
      </c>
      <c r="F151">
        <v>17882</v>
      </c>
      <c r="G151" t="s">
        <v>316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148</v>
      </c>
      <c r="I151" t="str">
        <f>IF(DraftResults[[#This Row],[Player ID]]=0,"",INDEX(Table5[[#All],[Pos]],MATCH(DraftResults[[#This Row],[Player ID]],Table5[[#All],[PID]],0)))</f>
        <v>RP</v>
      </c>
      <c r="J151" t="str">
        <f>IF(DraftResults[[#This Row],[Player ID]]=0,"",INDEX(Table5[[#All],[First]],MATCH(DraftResults[[#This Row],[Player ID]],Table5[[#All],[PID]],0)))</f>
        <v>Jake</v>
      </c>
      <c r="K151" t="str">
        <f>IF(DraftResults[[#This Row],[Player ID]]=0,"",INDEX(Table5[[#All],[Last]],MATCH(DraftResults[[#This Row],[Player ID]],Table5[[#All],[PID]],0)))</f>
        <v>Bain</v>
      </c>
    </row>
    <row r="152" spans="1:11" x14ac:dyDescent="0.25">
      <c r="A152">
        <v>5</v>
      </c>
      <c r="B152">
        <v>0</v>
      </c>
      <c r="C152">
        <v>21</v>
      </c>
      <c r="D152" t="s">
        <v>628</v>
      </c>
      <c r="E152">
        <v>23</v>
      </c>
      <c r="F152">
        <v>18104</v>
      </c>
      <c r="G152" t="s">
        <v>316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149</v>
      </c>
      <c r="I152" t="str">
        <f>IF(DraftResults[[#This Row],[Player ID]]=0,"",INDEX(Table5[[#All],[Pos]],MATCH(DraftResults[[#This Row],[Player ID]],Table5[[#All],[PID]],0)))</f>
        <v>CL</v>
      </c>
      <c r="J152" t="str">
        <f>IF(DraftResults[[#This Row],[Player ID]]=0,"",INDEX(Table5[[#All],[First]],MATCH(DraftResults[[#This Row],[Player ID]],Table5[[#All],[PID]],0)))</f>
        <v>Powell</v>
      </c>
      <c r="K152" t="str">
        <f>IF(DraftResults[[#This Row],[Player ID]]=0,"",INDEX(Table5[[#All],[Last]],MATCH(DraftResults[[#This Row],[Player ID]],Table5[[#All],[PID]],0)))</f>
        <v>Ruíz</v>
      </c>
    </row>
    <row r="153" spans="1:11" x14ac:dyDescent="0.25">
      <c r="A153">
        <v>5</v>
      </c>
      <c r="B153">
        <v>0</v>
      </c>
      <c r="C153">
        <v>22</v>
      </c>
      <c r="D153" t="s">
        <v>626</v>
      </c>
      <c r="E153">
        <v>160</v>
      </c>
      <c r="F153">
        <v>20648</v>
      </c>
      <c r="G153" t="s">
        <v>316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150</v>
      </c>
      <c r="I153" t="str">
        <f>IF(DraftResults[[#This Row],[Player ID]]=0,"",INDEX(Table5[[#All],[Pos]],MATCH(DraftResults[[#This Row],[Player ID]],Table5[[#All],[PID]],0)))</f>
        <v>LF</v>
      </c>
      <c r="J153" t="str">
        <f>IF(DraftResults[[#This Row],[Player ID]]=0,"",INDEX(Table5[[#All],[First]],MATCH(DraftResults[[#This Row],[Player ID]],Table5[[#All],[PID]],0)))</f>
        <v>Min-chor</v>
      </c>
      <c r="K153" t="str">
        <f>IF(DraftResults[[#This Row],[Player ID]]=0,"",INDEX(Table5[[#All],[Last]],MATCH(DraftResults[[#This Row],[Player ID]],Table5[[#All],[PID]],0)))</f>
        <v>Kim</v>
      </c>
    </row>
    <row r="154" spans="1:11" ht="15.75" customHeight="1" x14ac:dyDescent="0.25">
      <c r="A154">
        <v>5</v>
      </c>
      <c r="B154">
        <v>0</v>
      </c>
      <c r="C154">
        <v>23</v>
      </c>
      <c r="D154" t="s">
        <v>625</v>
      </c>
      <c r="E154">
        <v>24</v>
      </c>
      <c r="F154">
        <v>18364</v>
      </c>
      <c r="G154" t="s">
        <v>316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151</v>
      </c>
      <c r="I154" t="str">
        <f>IF(DraftResults[[#This Row],[Player ID]]=0,"",INDEX(Table5[[#All],[Pos]],MATCH(DraftResults[[#This Row],[Player ID]],Table5[[#All],[PID]],0)))</f>
        <v>SP</v>
      </c>
      <c r="J154" t="str">
        <f>IF(DraftResults[[#This Row],[Player ID]]=0,"",INDEX(Table5[[#All],[First]],MATCH(DraftResults[[#This Row],[Player ID]],Table5[[#All],[PID]],0)))</f>
        <v>Víctor</v>
      </c>
      <c r="K154" t="str">
        <f>IF(DraftResults[[#This Row],[Player ID]]=0,"",INDEX(Table5[[#All],[Last]],MATCH(DraftResults[[#This Row],[Player ID]],Table5[[#All],[PID]],0)))</f>
        <v>Peña</v>
      </c>
    </row>
    <row r="155" spans="1:11" x14ac:dyDescent="0.25">
      <c r="A155">
        <v>5</v>
      </c>
      <c r="B155">
        <v>0</v>
      </c>
      <c r="C155">
        <v>24</v>
      </c>
      <c r="D155" t="s">
        <v>242</v>
      </c>
      <c r="E155">
        <v>19</v>
      </c>
      <c r="F155">
        <v>18405</v>
      </c>
      <c r="G155" t="s">
        <v>316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152</v>
      </c>
      <c r="I155" t="str">
        <f>IF(DraftResults[[#This Row],[Player ID]]=0,"",INDEX(Table5[[#All],[Pos]],MATCH(DraftResults[[#This Row],[Player ID]],Table5[[#All],[PID]],0)))</f>
        <v>SP</v>
      </c>
      <c r="J155" t="str">
        <f>IF(DraftResults[[#This Row],[Player ID]]=0,"",INDEX(Table5[[#All],[First]],MATCH(DraftResults[[#This Row],[Player ID]],Table5[[#All],[PID]],0)))</f>
        <v>Huibert</v>
      </c>
      <c r="K155" t="str">
        <f>IF(DraftResults[[#This Row],[Player ID]]=0,"",INDEX(Table5[[#All],[Last]],MATCH(DraftResults[[#This Row],[Player ID]],Table5[[#All],[PID]],0)))</f>
        <v>Kodde</v>
      </c>
    </row>
    <row r="156" spans="1:11" x14ac:dyDescent="0.25">
      <c r="A156">
        <v>5</v>
      </c>
      <c r="B156">
        <v>0</v>
      </c>
      <c r="C156">
        <v>25</v>
      </c>
      <c r="D156" t="s">
        <v>457</v>
      </c>
      <c r="E156">
        <v>166</v>
      </c>
      <c r="F156">
        <v>20464</v>
      </c>
      <c r="G156" t="s">
        <v>316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153</v>
      </c>
      <c r="I156" t="str">
        <f>IF(DraftResults[[#This Row],[Player ID]]=0,"",INDEX(Table5[[#All],[Pos]],MATCH(DraftResults[[#This Row],[Player ID]],Table5[[#All],[PID]],0)))</f>
        <v>C</v>
      </c>
      <c r="J156" t="str">
        <f>IF(DraftResults[[#This Row],[Player ID]]=0,"",INDEX(Table5[[#All],[First]],MATCH(DraftResults[[#This Row],[Player ID]],Table5[[#All],[PID]],0)))</f>
        <v>Slamet</v>
      </c>
      <c r="K156" t="str">
        <f>IF(DraftResults[[#This Row],[Player ID]]=0,"",INDEX(Table5[[#All],[Last]],MATCH(DraftResults[[#This Row],[Player ID]],Table5[[#All],[PID]],0)))</f>
        <v>Kawilarang</v>
      </c>
    </row>
    <row r="157" spans="1:11" x14ac:dyDescent="0.25">
      <c r="A157">
        <v>5</v>
      </c>
      <c r="B157">
        <v>0</v>
      </c>
      <c r="C157">
        <v>26</v>
      </c>
      <c r="D157" t="s">
        <v>246</v>
      </c>
      <c r="E157">
        <v>17</v>
      </c>
      <c r="F157">
        <v>18148</v>
      </c>
      <c r="G157" t="s">
        <v>316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154</v>
      </c>
      <c r="I157" t="str">
        <f>IF(DraftResults[[#This Row],[Player ID]]=0,"",INDEX(Table5[[#All],[Pos]],MATCH(DraftResults[[#This Row],[Player ID]],Table5[[#All],[PID]],0)))</f>
        <v>SP</v>
      </c>
      <c r="J157" t="str">
        <f>IF(DraftResults[[#This Row],[Player ID]]=0,"",INDEX(Table5[[#All],[First]],MATCH(DraftResults[[#This Row],[Player ID]],Table5[[#All],[PID]],0)))</f>
        <v>David</v>
      </c>
      <c r="K157" t="str">
        <f>IF(DraftResults[[#This Row],[Player ID]]=0,"",INDEX(Table5[[#All],[Last]],MATCH(DraftResults[[#This Row],[Player ID]],Table5[[#All],[PID]],0)))</f>
        <v>Gowdy</v>
      </c>
    </row>
    <row r="158" spans="1:11" x14ac:dyDescent="0.25">
      <c r="A158">
        <v>5</v>
      </c>
      <c r="B158">
        <v>0</v>
      </c>
      <c r="C158">
        <v>27</v>
      </c>
      <c r="D158" t="s">
        <v>458</v>
      </c>
      <c r="E158">
        <v>159</v>
      </c>
      <c r="F158">
        <v>18215</v>
      </c>
      <c r="G158" t="s">
        <v>316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155</v>
      </c>
      <c r="I158" t="str">
        <f>IF(DraftResults[[#This Row],[Player ID]]=0,"",INDEX(Table5[[#All],[Pos]],MATCH(DraftResults[[#This Row],[Player ID]],Table5[[#All],[PID]],0)))</f>
        <v>CL</v>
      </c>
      <c r="J158" t="str">
        <f>IF(DraftResults[[#This Row],[Player ID]]=0,"",INDEX(Table5[[#All],[First]],MATCH(DraftResults[[#This Row],[Player ID]],Table5[[#All],[PID]],0)))</f>
        <v>Charlie</v>
      </c>
      <c r="K158" t="str">
        <f>IF(DraftResults[[#This Row],[Player ID]]=0,"",INDEX(Table5[[#All],[Last]],MATCH(DraftResults[[#This Row],[Player ID]],Table5[[#All],[PID]],0)))</f>
        <v>Coxall</v>
      </c>
    </row>
    <row r="159" spans="1:11" x14ac:dyDescent="0.25">
      <c r="A159">
        <v>5</v>
      </c>
      <c r="B159">
        <v>0</v>
      </c>
      <c r="C159">
        <v>28</v>
      </c>
      <c r="D159" t="s">
        <v>454</v>
      </c>
      <c r="E159">
        <v>162</v>
      </c>
      <c r="F159">
        <v>18323</v>
      </c>
      <c r="G159" t="s">
        <v>316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156</v>
      </c>
      <c r="I159" t="str">
        <f>IF(DraftResults[[#This Row],[Player ID]]=0,"",INDEX(Table5[[#All],[Pos]],MATCH(DraftResults[[#This Row],[Player ID]],Table5[[#All],[PID]],0)))</f>
        <v>LF</v>
      </c>
      <c r="J159" t="str">
        <f>IF(DraftResults[[#This Row],[Player ID]]=0,"",INDEX(Table5[[#All],[First]],MATCH(DraftResults[[#This Row],[Player ID]],Table5[[#All],[PID]],0)))</f>
        <v>Mark</v>
      </c>
      <c r="K159" t="str">
        <f>IF(DraftResults[[#This Row],[Player ID]]=0,"",INDEX(Table5[[#All],[Last]],MATCH(DraftResults[[#This Row],[Player ID]],Table5[[#All],[PID]],0)))</f>
        <v>Bott</v>
      </c>
    </row>
    <row r="160" spans="1:11" x14ac:dyDescent="0.25">
      <c r="A160">
        <v>5</v>
      </c>
      <c r="B160">
        <v>0</v>
      </c>
      <c r="C160">
        <v>29</v>
      </c>
      <c r="D160" t="s">
        <v>459</v>
      </c>
      <c r="E160">
        <v>163</v>
      </c>
      <c r="F160">
        <v>18119</v>
      </c>
      <c r="G160" t="s">
        <v>316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157</v>
      </c>
      <c r="I160" t="str">
        <f>IF(DraftResults[[#This Row],[Player ID]]=0,"",INDEX(Table5[[#All],[Pos]],MATCH(DraftResults[[#This Row],[Player ID]],Table5[[#All],[PID]],0)))</f>
        <v>LF</v>
      </c>
      <c r="J160" t="str">
        <f>IF(DraftResults[[#This Row],[Player ID]]=0,"",INDEX(Table5[[#All],[First]],MATCH(DraftResults[[#This Row],[Player ID]],Table5[[#All],[PID]],0)))</f>
        <v>Leonardo</v>
      </c>
      <c r="K160" t="str">
        <f>IF(DraftResults[[#This Row],[Player ID]]=0,"",INDEX(Table5[[#All],[Last]],MATCH(DraftResults[[#This Row],[Player ID]],Table5[[#All],[PID]],0)))</f>
        <v>Herrera</v>
      </c>
    </row>
    <row r="161" spans="1:11" x14ac:dyDescent="0.25">
      <c r="A161">
        <v>5</v>
      </c>
      <c r="B161">
        <v>0</v>
      </c>
      <c r="C161">
        <v>30</v>
      </c>
      <c r="D161" t="s">
        <v>626</v>
      </c>
      <c r="E161">
        <v>160</v>
      </c>
      <c r="F161">
        <v>20260</v>
      </c>
      <c r="G161" t="s">
        <v>316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158</v>
      </c>
      <c r="I161" t="str">
        <f>IF(DraftResults[[#This Row],[Player ID]]=0,"",INDEX(Table5[[#All],[Pos]],MATCH(DraftResults[[#This Row],[Player ID]],Table5[[#All],[PID]],0)))</f>
        <v>CF</v>
      </c>
      <c r="J161" t="str">
        <f>IF(DraftResults[[#This Row],[Player ID]]=0,"",INDEX(Table5[[#All],[First]],MATCH(DraftResults[[#This Row],[Player ID]],Table5[[#All],[PID]],0)))</f>
        <v>Tommy</v>
      </c>
      <c r="K161" t="str">
        <f>IF(DraftResults[[#This Row],[Player ID]]=0,"",INDEX(Table5[[#All],[Last]],MATCH(DraftResults[[#This Row],[Player ID]],Table5[[#All],[PID]],0)))</f>
        <v>Millar</v>
      </c>
    </row>
    <row r="162" spans="1:11" x14ac:dyDescent="0.25">
      <c r="A162">
        <v>6</v>
      </c>
      <c r="B162">
        <v>0</v>
      </c>
      <c r="C162">
        <v>1</v>
      </c>
      <c r="D162" t="s">
        <v>625</v>
      </c>
      <c r="E162">
        <v>24</v>
      </c>
      <c r="F162">
        <v>18286</v>
      </c>
      <c r="G162" t="s">
        <v>316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159</v>
      </c>
      <c r="I162" t="str">
        <f>IF(DraftResults[[#This Row],[Player ID]]=0,"",INDEX(Table5[[#All],[Pos]],MATCH(DraftResults[[#This Row],[Player ID]],Table5[[#All],[PID]],0)))</f>
        <v>2B</v>
      </c>
      <c r="J162" t="str">
        <f>IF(DraftResults[[#This Row],[Player ID]]=0,"",INDEX(Table5[[#All],[First]],MATCH(DraftResults[[#This Row],[Player ID]],Table5[[#All],[PID]],0)))</f>
        <v>Alberto</v>
      </c>
      <c r="K162" t="str">
        <f>IF(DraftResults[[#This Row],[Player ID]]=0,"",INDEX(Table5[[#All],[Last]],MATCH(DraftResults[[#This Row],[Player ID]],Table5[[#All],[PID]],0)))</f>
        <v>Polanco</v>
      </c>
    </row>
    <row r="163" spans="1:11" x14ac:dyDescent="0.25">
      <c r="A163">
        <v>6</v>
      </c>
      <c r="B163">
        <v>0</v>
      </c>
      <c r="C163">
        <v>2</v>
      </c>
      <c r="D163" t="s">
        <v>542</v>
      </c>
      <c r="E163">
        <v>7</v>
      </c>
      <c r="F163">
        <v>17988</v>
      </c>
      <c r="G163" t="s">
        <v>316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160</v>
      </c>
      <c r="I163" t="str">
        <f>IF(DraftResults[[#This Row],[Player ID]]=0,"",INDEX(Table5[[#All],[Pos]],MATCH(DraftResults[[#This Row],[Player ID]],Table5[[#All],[PID]],0)))</f>
        <v>CF</v>
      </c>
      <c r="J163" t="str">
        <f>IF(DraftResults[[#This Row],[Player ID]]=0,"",INDEX(Table5[[#All],[First]],MATCH(DraftResults[[#This Row],[Player ID]],Table5[[#All],[PID]],0)))</f>
        <v>Don</v>
      </c>
      <c r="K163" t="str">
        <f>IF(DraftResults[[#This Row],[Player ID]]=0,"",INDEX(Table5[[#All],[Last]],MATCH(DraftResults[[#This Row],[Player ID]],Table5[[#All],[PID]],0)))</f>
        <v>Reed</v>
      </c>
    </row>
    <row r="164" spans="1:11" x14ac:dyDescent="0.25">
      <c r="A164">
        <v>6</v>
      </c>
      <c r="B164">
        <v>0</v>
      </c>
      <c r="C164">
        <v>3</v>
      </c>
      <c r="D164" t="s">
        <v>256</v>
      </c>
      <c r="E164">
        <v>8</v>
      </c>
      <c r="F164">
        <v>18424</v>
      </c>
      <c r="G164" t="s">
        <v>316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161</v>
      </c>
      <c r="I164" t="str">
        <f>IF(DraftResults[[#This Row],[Player ID]]=0,"",INDEX(Table5[[#All],[Pos]],MATCH(DraftResults[[#This Row],[Player ID]],Table5[[#All],[PID]],0)))</f>
        <v>CL</v>
      </c>
      <c r="J164" t="str">
        <f>IF(DraftResults[[#This Row],[Player ID]]=0,"",INDEX(Table5[[#All],[First]],MATCH(DraftResults[[#This Row],[Player ID]],Table5[[#All],[PID]],0)))</f>
        <v>Juan</v>
      </c>
      <c r="K164" t="str">
        <f>IF(DraftResults[[#This Row],[Player ID]]=0,"",INDEX(Table5[[#All],[Last]],MATCH(DraftResults[[#This Row],[Player ID]],Table5[[#All],[PID]],0)))</f>
        <v>Román</v>
      </c>
    </row>
    <row r="165" spans="1:11" x14ac:dyDescent="0.25">
      <c r="A165">
        <v>6</v>
      </c>
      <c r="B165">
        <v>0</v>
      </c>
      <c r="C165">
        <v>4</v>
      </c>
      <c r="D165" t="s">
        <v>628</v>
      </c>
      <c r="E165">
        <v>23</v>
      </c>
      <c r="F165">
        <v>20715</v>
      </c>
      <c r="G165" t="s">
        <v>316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162</v>
      </c>
      <c r="I165" t="str">
        <f>IF(DraftResults[[#This Row],[Player ID]]=0,"",INDEX(Table5[[#All],[Pos]],MATCH(DraftResults[[#This Row],[Player ID]],Table5[[#All],[PID]],0)))</f>
        <v>1B</v>
      </c>
      <c r="J165" t="str">
        <f>IF(DraftResults[[#This Row],[Player ID]]=0,"",INDEX(Table5[[#All],[First]],MATCH(DraftResults[[#This Row],[Player ID]],Table5[[#All],[PID]],0)))</f>
        <v>Fletcher</v>
      </c>
      <c r="K165" t="str">
        <f>IF(DraftResults[[#This Row],[Player ID]]=0,"",INDEX(Table5[[#All],[Last]],MATCH(DraftResults[[#This Row],[Player ID]],Table5[[#All],[PID]],0)))</f>
        <v>Henderson</v>
      </c>
    </row>
    <row r="166" spans="1:11" x14ac:dyDescent="0.25">
      <c r="A166">
        <v>6</v>
      </c>
      <c r="B166">
        <v>0</v>
      </c>
      <c r="C166">
        <v>5</v>
      </c>
      <c r="D166" t="s">
        <v>462</v>
      </c>
      <c r="E166">
        <v>167</v>
      </c>
      <c r="F166">
        <v>18372</v>
      </c>
      <c r="G166" t="s">
        <v>316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163</v>
      </c>
      <c r="I166" t="str">
        <f>IF(DraftResults[[#This Row],[Player ID]]=0,"",INDEX(Table5[[#All],[Pos]],MATCH(DraftResults[[#This Row],[Player ID]],Table5[[#All],[PID]],0)))</f>
        <v>LF</v>
      </c>
      <c r="J166" t="str">
        <f>IF(DraftResults[[#This Row],[Player ID]]=0,"",INDEX(Table5[[#All],[First]],MATCH(DraftResults[[#This Row],[Player ID]],Table5[[#All],[PID]],0)))</f>
        <v>Anzai</v>
      </c>
      <c r="K166" t="str">
        <f>IF(DraftResults[[#This Row],[Player ID]]=0,"",INDEX(Table5[[#All],[Last]],MATCH(DraftResults[[#This Row],[Player ID]],Table5[[#All],[PID]],0)))</f>
        <v>Ogawa</v>
      </c>
    </row>
    <row r="167" spans="1:11" x14ac:dyDescent="0.25">
      <c r="A167">
        <v>6</v>
      </c>
      <c r="B167">
        <v>0</v>
      </c>
      <c r="C167">
        <v>6</v>
      </c>
      <c r="D167" t="s">
        <v>543</v>
      </c>
      <c r="E167">
        <v>4</v>
      </c>
      <c r="F167">
        <v>18260</v>
      </c>
      <c r="G167" t="s">
        <v>316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164</v>
      </c>
      <c r="I167" t="str">
        <f>IF(DraftResults[[#This Row],[Player ID]]=0,"",INDEX(Table5[[#All],[Pos]],MATCH(DraftResults[[#This Row],[Player ID]],Table5[[#All],[PID]],0)))</f>
        <v>RF</v>
      </c>
      <c r="J167" t="str">
        <f>IF(DraftResults[[#This Row],[Player ID]]=0,"",INDEX(Table5[[#All],[First]],MATCH(DraftResults[[#This Row],[Player ID]],Table5[[#All],[PID]],0)))</f>
        <v>Harvey</v>
      </c>
      <c r="K167" t="str">
        <f>IF(DraftResults[[#This Row],[Player ID]]=0,"",INDEX(Table5[[#All],[Last]],MATCH(DraftResults[[#This Row],[Player ID]],Table5[[#All],[PID]],0)))</f>
        <v>James</v>
      </c>
    </row>
    <row r="168" spans="1:11" x14ac:dyDescent="0.25">
      <c r="A168">
        <v>6</v>
      </c>
      <c r="B168">
        <v>0</v>
      </c>
      <c r="C168">
        <v>7</v>
      </c>
      <c r="D168" t="s">
        <v>626</v>
      </c>
      <c r="E168">
        <v>160</v>
      </c>
      <c r="F168">
        <v>20770</v>
      </c>
      <c r="G168" t="s">
        <v>316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165</v>
      </c>
      <c r="I168" t="str">
        <f>IF(DraftResults[[#This Row],[Player ID]]=0,"",INDEX(Table5[[#All],[Pos]],MATCH(DraftResults[[#This Row],[Player ID]],Table5[[#All],[PID]],0)))</f>
        <v>CF</v>
      </c>
      <c r="J168" t="str">
        <f>IF(DraftResults[[#This Row],[Player ID]]=0,"",INDEX(Table5[[#All],[First]],MATCH(DraftResults[[#This Row],[Player ID]],Table5[[#All],[PID]],0)))</f>
        <v>George</v>
      </c>
      <c r="K168" t="str">
        <f>IF(DraftResults[[#This Row],[Player ID]]=0,"",INDEX(Table5[[#All],[Last]],MATCH(DraftResults[[#This Row],[Player ID]],Table5[[#All],[PID]],0)))</f>
        <v>Young</v>
      </c>
    </row>
    <row r="169" spans="1:11" x14ac:dyDescent="0.25">
      <c r="A169">
        <v>6</v>
      </c>
      <c r="B169">
        <v>0</v>
      </c>
      <c r="C169">
        <v>8</v>
      </c>
      <c r="D169" t="s">
        <v>250</v>
      </c>
      <c r="E169">
        <v>3</v>
      </c>
      <c r="F169">
        <v>18099</v>
      </c>
      <c r="G169" t="s">
        <v>316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166</v>
      </c>
      <c r="I169" t="str">
        <f>IF(DraftResults[[#This Row],[Player ID]]=0,"",INDEX(Table5[[#All],[Pos]],MATCH(DraftResults[[#This Row],[Player ID]],Table5[[#All],[PID]],0)))</f>
        <v>SP</v>
      </c>
      <c r="J169" t="str">
        <f>IF(DraftResults[[#This Row],[Player ID]]=0,"",INDEX(Table5[[#All],[First]],MATCH(DraftResults[[#This Row],[Player ID]],Table5[[#All],[PID]],0)))</f>
        <v>John</v>
      </c>
      <c r="K169" t="str">
        <f>IF(DraftResults[[#This Row],[Player ID]]=0,"",INDEX(Table5[[#All],[Last]],MATCH(DraftResults[[#This Row],[Player ID]],Table5[[#All],[PID]],0)))</f>
        <v>Hansen</v>
      </c>
    </row>
    <row r="170" spans="1:11" x14ac:dyDescent="0.25">
      <c r="A170">
        <v>6</v>
      </c>
      <c r="B170">
        <v>0</v>
      </c>
      <c r="C170">
        <v>9</v>
      </c>
      <c r="D170" t="s">
        <v>456</v>
      </c>
      <c r="E170">
        <v>164</v>
      </c>
      <c r="F170">
        <v>20346</v>
      </c>
      <c r="G170" t="s">
        <v>316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167</v>
      </c>
      <c r="I170" t="str">
        <f>IF(DraftResults[[#This Row],[Player ID]]=0,"",INDEX(Table5[[#All],[Pos]],MATCH(DraftResults[[#This Row],[Player ID]],Table5[[#All],[PID]],0)))</f>
        <v>CF</v>
      </c>
      <c r="J170" t="str">
        <f>IF(DraftResults[[#This Row],[Player ID]]=0,"",INDEX(Table5[[#All],[First]],MATCH(DraftResults[[#This Row],[Player ID]],Table5[[#All],[PID]],0)))</f>
        <v>Quentin</v>
      </c>
      <c r="K170" t="str">
        <f>IF(DraftResults[[#This Row],[Player ID]]=0,"",INDEX(Table5[[#All],[Last]],MATCH(DraftResults[[#This Row],[Player ID]],Table5[[#All],[PID]],0)))</f>
        <v>Yaag</v>
      </c>
    </row>
    <row r="171" spans="1:11" x14ac:dyDescent="0.25">
      <c r="A171">
        <v>6</v>
      </c>
      <c r="B171">
        <v>0</v>
      </c>
      <c r="C171">
        <v>10</v>
      </c>
      <c r="D171" t="s">
        <v>461</v>
      </c>
      <c r="E171">
        <v>18</v>
      </c>
      <c r="F171">
        <v>20889</v>
      </c>
      <c r="G171" t="s">
        <v>316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168</v>
      </c>
      <c r="I171" t="str">
        <f>IF(DraftResults[[#This Row],[Player ID]]=0,"",INDEX(Table5[[#All],[Pos]],MATCH(DraftResults[[#This Row],[Player ID]],Table5[[#All],[PID]],0)))</f>
        <v>C</v>
      </c>
      <c r="J171" t="str">
        <f>IF(DraftResults[[#This Row],[Player ID]]=0,"",INDEX(Table5[[#All],[First]],MATCH(DraftResults[[#This Row],[Player ID]],Table5[[#All],[PID]],0)))</f>
        <v>Phil</v>
      </c>
      <c r="K171" t="str">
        <f>IF(DraftResults[[#This Row],[Player ID]]=0,"",INDEX(Table5[[#All],[Last]],MATCH(DraftResults[[#This Row],[Player ID]],Table5[[#All],[PID]],0)))</f>
        <v>Collins</v>
      </c>
    </row>
    <row r="172" spans="1:11" x14ac:dyDescent="0.25">
      <c r="A172">
        <v>6</v>
      </c>
      <c r="B172">
        <v>0</v>
      </c>
      <c r="C172">
        <v>11</v>
      </c>
      <c r="D172" t="s">
        <v>253</v>
      </c>
      <c r="E172">
        <v>15</v>
      </c>
      <c r="F172">
        <v>18433</v>
      </c>
      <c r="G172" t="s">
        <v>316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169</v>
      </c>
      <c r="I172" t="str">
        <f>IF(DraftResults[[#This Row],[Player ID]]=0,"",INDEX(Table5[[#All],[Pos]],MATCH(DraftResults[[#This Row],[Player ID]],Table5[[#All],[PID]],0)))</f>
        <v>LF</v>
      </c>
      <c r="J172" t="str">
        <f>IF(DraftResults[[#This Row],[Player ID]]=0,"",INDEX(Table5[[#All],[First]],MATCH(DraftResults[[#This Row],[Player ID]],Table5[[#All],[PID]],0)))</f>
        <v>Keishi</v>
      </c>
      <c r="K172" t="str">
        <f>IF(DraftResults[[#This Row],[Player ID]]=0,"",INDEX(Table5[[#All],[Last]],MATCH(DraftResults[[#This Row],[Player ID]],Table5[[#All],[PID]],0)))</f>
        <v>Yamashita</v>
      </c>
    </row>
    <row r="173" spans="1:11" x14ac:dyDescent="0.25">
      <c r="A173">
        <v>6</v>
      </c>
      <c r="B173">
        <v>0</v>
      </c>
      <c r="C173">
        <v>12</v>
      </c>
      <c r="D173" t="s">
        <v>245</v>
      </c>
      <c r="E173">
        <v>21</v>
      </c>
      <c r="F173">
        <v>18438</v>
      </c>
      <c r="G173" t="s">
        <v>316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170</v>
      </c>
      <c r="I173" t="str">
        <f>IF(DraftResults[[#This Row],[Player ID]]=0,"",INDEX(Table5[[#All],[Pos]],MATCH(DraftResults[[#This Row],[Player ID]],Table5[[#All],[PID]],0)))</f>
        <v>RF</v>
      </c>
      <c r="J173" t="str">
        <f>IF(DraftResults[[#This Row],[Player ID]]=0,"",INDEX(Table5[[#All],[First]],MATCH(DraftResults[[#This Row],[Player ID]],Table5[[#All],[PID]],0)))</f>
        <v>Shinsui</v>
      </c>
      <c r="K173" t="str">
        <f>IF(DraftResults[[#This Row],[Player ID]]=0,"",INDEX(Table5[[#All],[Last]],MATCH(DraftResults[[#This Row],[Player ID]],Table5[[#All],[PID]],0)))</f>
        <v>Sato</v>
      </c>
    </row>
    <row r="174" spans="1:11" x14ac:dyDescent="0.25">
      <c r="A174">
        <v>6</v>
      </c>
      <c r="B174">
        <v>0</v>
      </c>
      <c r="C174">
        <v>13</v>
      </c>
      <c r="D174" t="s">
        <v>243</v>
      </c>
      <c r="E174">
        <v>22</v>
      </c>
      <c r="F174">
        <v>18314</v>
      </c>
      <c r="G174" t="s">
        <v>316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171</v>
      </c>
      <c r="I174" t="str">
        <f>IF(DraftResults[[#This Row],[Player ID]]=0,"",INDEX(Table5[[#All],[Pos]],MATCH(DraftResults[[#This Row],[Player ID]],Table5[[#All],[PID]],0)))</f>
        <v>SP</v>
      </c>
      <c r="J174" t="str">
        <f>IF(DraftResults[[#This Row],[Player ID]]=0,"",INDEX(Table5[[#All],[First]],MATCH(DraftResults[[#This Row],[Player ID]],Table5[[#All],[PID]],0)))</f>
        <v>Ben</v>
      </c>
      <c r="K174" t="str">
        <f>IF(DraftResults[[#This Row],[Player ID]]=0,"",INDEX(Table5[[#All],[Last]],MATCH(DraftResults[[#This Row],[Player ID]],Table5[[#All],[PID]],0)))</f>
        <v>Paisley</v>
      </c>
    </row>
    <row r="175" spans="1:11" x14ac:dyDescent="0.25">
      <c r="A175">
        <v>6</v>
      </c>
      <c r="B175">
        <v>0</v>
      </c>
      <c r="C175">
        <v>14</v>
      </c>
      <c r="D175" t="s">
        <v>251</v>
      </c>
      <c r="E175">
        <v>1</v>
      </c>
      <c r="F175">
        <v>17839</v>
      </c>
      <c r="G175" t="s">
        <v>316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172</v>
      </c>
      <c r="I175" t="str">
        <f>IF(DraftResults[[#This Row],[Player ID]]=0,"",INDEX(Table5[[#All],[Pos]],MATCH(DraftResults[[#This Row],[Player ID]],Table5[[#All],[PID]],0)))</f>
        <v>SP</v>
      </c>
      <c r="J175" t="str">
        <f>IF(DraftResults[[#This Row],[Player ID]]=0,"",INDEX(Table5[[#All],[First]],MATCH(DraftResults[[#This Row],[Player ID]],Table5[[#All],[PID]],0)))</f>
        <v>Gabriel</v>
      </c>
      <c r="K175" t="str">
        <f>IF(DraftResults[[#This Row],[Player ID]]=0,"",INDEX(Table5[[#All],[Last]],MATCH(DraftResults[[#This Row],[Player ID]],Table5[[#All],[PID]],0)))</f>
        <v>Fernández</v>
      </c>
    </row>
    <row r="176" spans="1:11" x14ac:dyDescent="0.25">
      <c r="A176">
        <v>6</v>
      </c>
      <c r="B176">
        <v>0</v>
      </c>
      <c r="C176">
        <v>15</v>
      </c>
      <c r="D176" t="s">
        <v>249</v>
      </c>
      <c r="E176">
        <v>10</v>
      </c>
      <c r="F176">
        <v>18142</v>
      </c>
      <c r="G176" t="s">
        <v>316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173</v>
      </c>
      <c r="I176" t="str">
        <f>IF(DraftResults[[#This Row],[Player ID]]=0,"",INDEX(Table5[[#All],[Pos]],MATCH(DraftResults[[#This Row],[Player ID]],Table5[[#All],[PID]],0)))</f>
        <v>SP</v>
      </c>
      <c r="J176" t="str">
        <f>IF(DraftResults[[#This Row],[Player ID]]=0,"",INDEX(Table5[[#All],[First]],MATCH(DraftResults[[#This Row],[Player ID]],Table5[[#All],[PID]],0)))</f>
        <v>George</v>
      </c>
      <c r="K176" t="str">
        <f>IF(DraftResults[[#This Row],[Player ID]]=0,"",INDEX(Table5[[#All],[Last]],MATCH(DraftResults[[#This Row],[Player ID]],Table5[[#All],[PID]],0)))</f>
        <v>Brown</v>
      </c>
    </row>
    <row r="177" spans="1:11" x14ac:dyDescent="0.25">
      <c r="A177">
        <v>6</v>
      </c>
      <c r="B177">
        <v>0</v>
      </c>
      <c r="C177">
        <v>16</v>
      </c>
      <c r="D177" t="s">
        <v>261</v>
      </c>
      <c r="E177">
        <v>12</v>
      </c>
      <c r="F177">
        <v>18122</v>
      </c>
      <c r="G177" t="s">
        <v>316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174</v>
      </c>
      <c r="I177" t="str">
        <f>IF(DraftResults[[#This Row],[Player ID]]=0,"",INDEX(Table5[[#All],[Pos]],MATCH(DraftResults[[#This Row],[Player ID]],Table5[[#All],[PID]],0)))</f>
        <v>SP</v>
      </c>
      <c r="J177" t="str">
        <f>IF(DraftResults[[#This Row],[Player ID]]=0,"",INDEX(Table5[[#All],[First]],MATCH(DraftResults[[#This Row],[Player ID]],Table5[[#All],[PID]],0)))</f>
        <v>Ron</v>
      </c>
      <c r="K177" t="str">
        <f>IF(DraftResults[[#This Row],[Player ID]]=0,"",INDEX(Table5[[#All],[Last]],MATCH(DraftResults[[#This Row],[Player ID]],Table5[[#All],[PID]],0)))</f>
        <v>Green</v>
      </c>
    </row>
    <row r="178" spans="1:11" x14ac:dyDescent="0.25">
      <c r="A178">
        <v>6</v>
      </c>
      <c r="B178">
        <v>0</v>
      </c>
      <c r="C178">
        <v>17</v>
      </c>
      <c r="D178" t="s">
        <v>627</v>
      </c>
      <c r="E178">
        <v>13</v>
      </c>
      <c r="F178">
        <v>15280</v>
      </c>
      <c r="G178" t="s">
        <v>316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175</v>
      </c>
      <c r="I178" t="str">
        <f>IF(DraftResults[[#This Row],[Player ID]]=0,"",INDEX(Table5[[#All],[Pos]],MATCH(DraftResults[[#This Row],[Player ID]],Table5[[#All],[PID]],0)))</f>
        <v>RF</v>
      </c>
      <c r="J178" t="str">
        <f>IF(DraftResults[[#This Row],[Player ID]]=0,"",INDEX(Table5[[#All],[First]],MATCH(DraftResults[[#This Row],[Player ID]],Table5[[#All],[PID]],0)))</f>
        <v>Jimmy</v>
      </c>
      <c r="K178" t="str">
        <f>IF(DraftResults[[#This Row],[Player ID]]=0,"",INDEX(Table5[[#All],[Last]],MATCH(DraftResults[[#This Row],[Player ID]],Table5[[#All],[PID]],0)))</f>
        <v>Ernst</v>
      </c>
    </row>
    <row r="179" spans="1:11" x14ac:dyDescent="0.25">
      <c r="A179">
        <v>6</v>
      </c>
      <c r="B179">
        <v>0</v>
      </c>
      <c r="C179">
        <v>18</v>
      </c>
      <c r="D179" t="s">
        <v>254</v>
      </c>
      <c r="E179">
        <v>20</v>
      </c>
      <c r="F179">
        <v>20311</v>
      </c>
      <c r="G179" t="s">
        <v>316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176</v>
      </c>
      <c r="I179" t="str">
        <f>IF(DraftResults[[#This Row],[Player ID]]=0,"",INDEX(Table5[[#All],[Pos]],MATCH(DraftResults[[#This Row],[Player ID]],Table5[[#All],[PID]],0)))</f>
        <v>1B</v>
      </c>
      <c r="J179" t="str">
        <f>IF(DraftResults[[#This Row],[Player ID]]=0,"",INDEX(Table5[[#All],[First]],MATCH(DraftResults[[#This Row],[Player ID]],Table5[[#All],[PID]],0)))</f>
        <v>Dan</v>
      </c>
      <c r="K179" t="str">
        <f>IF(DraftResults[[#This Row],[Player ID]]=0,"",INDEX(Table5[[#All],[Last]],MATCH(DraftResults[[#This Row],[Player ID]],Table5[[#All],[PID]],0)))</f>
        <v>Carter</v>
      </c>
    </row>
    <row r="180" spans="1:11" ht="15.75" customHeight="1" x14ac:dyDescent="0.25">
      <c r="A180">
        <v>6</v>
      </c>
      <c r="B180">
        <v>0</v>
      </c>
      <c r="C180">
        <v>19</v>
      </c>
      <c r="D180" t="s">
        <v>246</v>
      </c>
      <c r="E180">
        <v>17</v>
      </c>
      <c r="F180">
        <v>20571</v>
      </c>
      <c r="G180" t="s">
        <v>316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177</v>
      </c>
      <c r="I180" t="str">
        <f>IF(DraftResults[[#This Row],[Player ID]]=0,"",INDEX(Table5[[#All],[Pos]],MATCH(DraftResults[[#This Row],[Player ID]],Table5[[#All],[PID]],0)))</f>
        <v>RF</v>
      </c>
      <c r="J180" t="str">
        <f>IF(DraftResults[[#This Row],[Player ID]]=0,"",INDEX(Table5[[#All],[First]],MATCH(DraftResults[[#This Row],[Player ID]],Table5[[#All],[PID]],0)))</f>
        <v>Al</v>
      </c>
      <c r="K180" t="str">
        <f>IF(DraftResults[[#This Row],[Player ID]]=0,"",INDEX(Table5[[#All],[Last]],MATCH(DraftResults[[#This Row],[Player ID]],Table5[[#All],[PID]],0)))</f>
        <v>Howell</v>
      </c>
    </row>
    <row r="181" spans="1:11" x14ac:dyDescent="0.25">
      <c r="A181">
        <v>6</v>
      </c>
      <c r="B181">
        <v>0</v>
      </c>
      <c r="C181">
        <v>20</v>
      </c>
      <c r="D181" t="s">
        <v>455</v>
      </c>
      <c r="E181">
        <v>2</v>
      </c>
      <c r="F181">
        <v>12261</v>
      </c>
      <c r="G181" t="s">
        <v>316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178</v>
      </c>
      <c r="I181" t="str">
        <f>IF(DraftResults[[#This Row],[Player ID]]=0,"",INDEX(Table5[[#All],[Pos]],MATCH(DraftResults[[#This Row],[Player ID]],Table5[[#All],[PID]],0)))</f>
        <v>RP</v>
      </c>
      <c r="J181" t="str">
        <f>IF(DraftResults[[#This Row],[Player ID]]=0,"",INDEX(Table5[[#All],[First]],MATCH(DraftResults[[#This Row],[Player ID]],Table5[[#All],[PID]],0)))</f>
        <v>John</v>
      </c>
      <c r="K181" t="str">
        <f>IF(DraftResults[[#This Row],[Player ID]]=0,"",INDEX(Table5[[#All],[Last]],MATCH(DraftResults[[#This Row],[Player ID]],Table5[[#All],[PID]],0)))</f>
        <v>Lee</v>
      </c>
    </row>
    <row r="182" spans="1:11" x14ac:dyDescent="0.25">
      <c r="A182">
        <v>6</v>
      </c>
      <c r="B182">
        <v>0</v>
      </c>
      <c r="C182">
        <v>21</v>
      </c>
      <c r="D182" t="s">
        <v>252</v>
      </c>
      <c r="E182">
        <v>14</v>
      </c>
      <c r="F182">
        <v>21098</v>
      </c>
      <c r="G182" t="s">
        <v>316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179</v>
      </c>
      <c r="I182" t="str">
        <f>IF(DraftResults[[#This Row],[Player ID]]=0,"",INDEX(Table5[[#All],[Pos]],MATCH(DraftResults[[#This Row],[Player ID]],Table5[[#All],[PID]],0)))</f>
        <v>2B</v>
      </c>
      <c r="J182" t="str">
        <f>IF(DraftResults[[#This Row],[Player ID]]=0,"",INDEX(Table5[[#All],[First]],MATCH(DraftResults[[#This Row],[Player ID]],Table5[[#All],[PID]],0)))</f>
        <v>Jim</v>
      </c>
      <c r="K182" t="str">
        <f>IF(DraftResults[[#This Row],[Player ID]]=0,"",INDEX(Table5[[#All],[Last]],MATCH(DraftResults[[#This Row],[Player ID]],Table5[[#All],[PID]],0)))</f>
        <v>Hall</v>
      </c>
    </row>
    <row r="183" spans="1:11" x14ac:dyDescent="0.25">
      <c r="A183">
        <v>6</v>
      </c>
      <c r="B183">
        <v>0</v>
      </c>
      <c r="C183">
        <v>22</v>
      </c>
      <c r="D183" t="s">
        <v>257</v>
      </c>
      <c r="E183">
        <v>16</v>
      </c>
      <c r="F183">
        <v>20640</v>
      </c>
      <c r="G183" t="s">
        <v>316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180</v>
      </c>
      <c r="I183" t="str">
        <f>IF(DraftResults[[#This Row],[Player ID]]=0,"",INDEX(Table5[[#All],[Pos]],MATCH(DraftResults[[#This Row],[Player ID]],Table5[[#All],[PID]],0)))</f>
        <v>1B</v>
      </c>
      <c r="J183" t="str">
        <f>IF(DraftResults[[#This Row],[Player ID]]=0,"",INDEX(Table5[[#All],[First]],MATCH(DraftResults[[#This Row],[Player ID]],Table5[[#All],[PID]],0)))</f>
        <v>Ji-chor</v>
      </c>
      <c r="K183" t="str">
        <f>IF(DraftResults[[#This Row],[Player ID]]=0,"",INDEX(Table5[[#All],[Last]],MATCH(DraftResults[[#This Row],[Player ID]],Table5[[#All],[PID]],0)))</f>
        <v>Hwang</v>
      </c>
    </row>
    <row r="184" spans="1:11" x14ac:dyDescent="0.25">
      <c r="A184">
        <v>6</v>
      </c>
      <c r="B184">
        <v>0</v>
      </c>
      <c r="C184">
        <v>23</v>
      </c>
      <c r="D184" t="s">
        <v>625</v>
      </c>
      <c r="E184">
        <v>24</v>
      </c>
      <c r="F184">
        <v>18214</v>
      </c>
      <c r="G184" t="s">
        <v>316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181</v>
      </c>
      <c r="I184" t="str">
        <f>IF(DraftResults[[#This Row],[Player ID]]=0,"",INDEX(Table5[[#All],[Pos]],MATCH(DraftResults[[#This Row],[Player ID]],Table5[[#All],[PID]],0)))</f>
        <v>SP</v>
      </c>
      <c r="J184" t="str">
        <f>IF(DraftResults[[#This Row],[Player ID]]=0,"",INDEX(Table5[[#All],[First]],MATCH(DraftResults[[#This Row],[Player ID]],Table5[[#All],[PID]],0)))</f>
        <v>Mike</v>
      </c>
      <c r="K184" t="str">
        <f>IF(DraftResults[[#This Row],[Player ID]]=0,"",INDEX(Table5[[#All],[Last]],MATCH(DraftResults[[#This Row],[Player ID]],Table5[[#All],[PID]],0)))</f>
        <v>O'Halloran</v>
      </c>
    </row>
    <row r="185" spans="1:11" x14ac:dyDescent="0.25">
      <c r="A185">
        <v>6</v>
      </c>
      <c r="B185">
        <v>0</v>
      </c>
      <c r="C185">
        <v>24</v>
      </c>
      <c r="D185" t="s">
        <v>242</v>
      </c>
      <c r="E185">
        <v>19</v>
      </c>
      <c r="F185">
        <v>20202</v>
      </c>
      <c r="G185" t="s">
        <v>316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182</v>
      </c>
      <c r="I185" t="str">
        <f>IF(DraftResults[[#This Row],[Player ID]]=0,"",INDEX(Table5[[#All],[Pos]],MATCH(DraftResults[[#This Row],[Player ID]],Table5[[#All],[PID]],0)))</f>
        <v>CF</v>
      </c>
      <c r="J185" t="str">
        <f>IF(DraftResults[[#This Row],[Player ID]]=0,"",INDEX(Table5[[#All],[First]],MATCH(DraftResults[[#This Row],[Player ID]],Table5[[#All],[PID]],0)))</f>
        <v>Oda</v>
      </c>
      <c r="K185" t="str">
        <f>IF(DraftResults[[#This Row],[Player ID]]=0,"",INDEX(Table5[[#All],[Last]],MATCH(DraftResults[[#This Row],[Player ID]],Table5[[#All],[PID]],0)))</f>
        <v>Kataoka</v>
      </c>
    </row>
    <row r="186" spans="1:11" x14ac:dyDescent="0.25">
      <c r="A186">
        <v>6</v>
      </c>
      <c r="B186">
        <v>0</v>
      </c>
      <c r="C186">
        <v>25</v>
      </c>
      <c r="D186" t="s">
        <v>457</v>
      </c>
      <c r="E186">
        <v>166</v>
      </c>
      <c r="F186">
        <v>18254</v>
      </c>
      <c r="G186" t="s">
        <v>316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183</v>
      </c>
      <c r="I186" t="str">
        <f>IF(DraftResults[[#This Row],[Player ID]]=0,"",INDEX(Table5[[#All],[Pos]],MATCH(DraftResults[[#This Row],[Player ID]],Table5[[#All],[PID]],0)))</f>
        <v>SP</v>
      </c>
      <c r="J186" t="str">
        <f>IF(DraftResults[[#This Row],[Player ID]]=0,"",INDEX(Table5[[#All],[First]],MATCH(DraftResults[[#This Row],[Player ID]],Table5[[#All],[PID]],0)))</f>
        <v>Mark</v>
      </c>
      <c r="K186" t="str">
        <f>IF(DraftResults[[#This Row],[Player ID]]=0,"",INDEX(Table5[[#All],[Last]],MATCH(DraftResults[[#This Row],[Player ID]],Table5[[#All],[PID]],0)))</f>
        <v>Myers</v>
      </c>
    </row>
    <row r="187" spans="1:11" x14ac:dyDescent="0.25">
      <c r="A187">
        <v>6</v>
      </c>
      <c r="B187">
        <v>0</v>
      </c>
      <c r="C187">
        <v>26</v>
      </c>
      <c r="D187" t="s">
        <v>251</v>
      </c>
      <c r="E187">
        <v>1</v>
      </c>
      <c r="F187">
        <v>18150</v>
      </c>
      <c r="G187" t="s">
        <v>316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184</v>
      </c>
      <c r="I187" t="str">
        <f>IF(DraftResults[[#This Row],[Player ID]]=0,"",INDEX(Table5[[#All],[Pos]],MATCH(DraftResults[[#This Row],[Player ID]],Table5[[#All],[PID]],0)))</f>
        <v>C</v>
      </c>
      <c r="J187" t="str">
        <f>IF(DraftResults[[#This Row],[Player ID]]=0,"",INDEX(Table5[[#All],[First]],MATCH(DraftResults[[#This Row],[Player ID]],Table5[[#All],[PID]],0)))</f>
        <v>José</v>
      </c>
      <c r="K187" t="str">
        <f>IF(DraftResults[[#This Row],[Player ID]]=0,"",INDEX(Table5[[#All],[Last]],MATCH(DraftResults[[#This Row],[Player ID]],Table5[[#All],[PID]],0)))</f>
        <v>Enríquez</v>
      </c>
    </row>
    <row r="188" spans="1:11" x14ac:dyDescent="0.25">
      <c r="A188">
        <v>6</v>
      </c>
      <c r="B188">
        <v>0</v>
      </c>
      <c r="C188">
        <v>27</v>
      </c>
      <c r="D188" t="s">
        <v>458</v>
      </c>
      <c r="E188">
        <v>159</v>
      </c>
      <c r="F188">
        <v>18446</v>
      </c>
      <c r="G188" t="s">
        <v>316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185</v>
      </c>
      <c r="I188" t="str">
        <f>IF(DraftResults[[#This Row],[Player ID]]=0,"",INDEX(Table5[[#All],[Pos]],MATCH(DraftResults[[#This Row],[Player ID]],Table5[[#All],[PID]],0)))</f>
        <v>LF</v>
      </c>
      <c r="J188" t="str">
        <f>IF(DraftResults[[#This Row],[Player ID]]=0,"",INDEX(Table5[[#All],[First]],MATCH(DraftResults[[#This Row],[Player ID]],Table5[[#All],[PID]],0)))</f>
        <v>Finn</v>
      </c>
      <c r="K188" t="str">
        <f>IF(DraftResults[[#This Row],[Player ID]]=0,"",INDEX(Table5[[#All],[Last]],MATCH(DraftResults[[#This Row],[Player ID]],Table5[[#All],[PID]],0)))</f>
        <v>Lochore</v>
      </c>
    </row>
    <row r="189" spans="1:11" x14ac:dyDescent="0.25">
      <c r="A189">
        <v>6</v>
      </c>
      <c r="B189">
        <v>0</v>
      </c>
      <c r="C189">
        <v>28</v>
      </c>
      <c r="D189" t="s">
        <v>454</v>
      </c>
      <c r="E189">
        <v>162</v>
      </c>
      <c r="F189">
        <v>20546</v>
      </c>
      <c r="G189" t="s">
        <v>316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186</v>
      </c>
      <c r="I189" t="str">
        <f>IF(DraftResults[[#This Row],[Player ID]]=0,"",INDEX(Table5[[#All],[Pos]],MATCH(DraftResults[[#This Row],[Player ID]],Table5[[#All],[PID]],0)))</f>
        <v>CF</v>
      </c>
      <c r="J189" t="str">
        <f>IF(DraftResults[[#This Row],[Player ID]]=0,"",INDEX(Table5[[#All],[First]],MATCH(DraftResults[[#This Row],[Player ID]],Table5[[#All],[PID]],0)))</f>
        <v>Hayden</v>
      </c>
      <c r="K189" t="str">
        <f>IF(DraftResults[[#This Row],[Player ID]]=0,"",INDEX(Table5[[#All],[Last]],MATCH(DraftResults[[#This Row],[Player ID]],Table5[[#All],[PID]],0)))</f>
        <v>Brigatti</v>
      </c>
    </row>
    <row r="190" spans="1:11" x14ac:dyDescent="0.25">
      <c r="A190">
        <v>6</v>
      </c>
      <c r="B190">
        <v>0</v>
      </c>
      <c r="C190">
        <v>29</v>
      </c>
      <c r="D190" t="s">
        <v>459</v>
      </c>
      <c r="E190">
        <v>163</v>
      </c>
      <c r="F190">
        <v>18411</v>
      </c>
      <c r="G190" t="s">
        <v>316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187</v>
      </c>
      <c r="I190" t="str">
        <f>IF(DraftResults[[#This Row],[Player ID]]=0,"",INDEX(Table5[[#All],[Pos]],MATCH(DraftResults[[#This Row],[Player ID]],Table5[[#All],[PID]],0)))</f>
        <v>SP</v>
      </c>
      <c r="J190" t="str">
        <f>IF(DraftResults[[#This Row],[Player ID]]=0,"",INDEX(Table5[[#All],[First]],MATCH(DraftResults[[#This Row],[Player ID]],Table5[[#All],[PID]],0)))</f>
        <v>Alfred</v>
      </c>
      <c r="K190" t="str">
        <f>IF(DraftResults[[#This Row],[Player ID]]=0,"",INDEX(Table5[[#All],[Last]],MATCH(DraftResults[[#This Row],[Player ID]],Table5[[#All],[PID]],0)))</f>
        <v>Hall</v>
      </c>
    </row>
    <row r="191" spans="1:11" x14ac:dyDescent="0.25">
      <c r="A191">
        <v>6</v>
      </c>
      <c r="B191">
        <v>0</v>
      </c>
      <c r="C191">
        <v>30</v>
      </c>
      <c r="D191" t="s">
        <v>629</v>
      </c>
      <c r="E191">
        <v>9</v>
      </c>
      <c r="F191">
        <v>20706</v>
      </c>
      <c r="G191" t="s">
        <v>316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188</v>
      </c>
      <c r="I191" t="str">
        <f>IF(DraftResults[[#This Row],[Player ID]]=0,"",INDEX(Table5[[#All],[Pos]],MATCH(DraftResults[[#This Row],[Player ID]],Table5[[#All],[PID]],0)))</f>
        <v>SP</v>
      </c>
      <c r="J191" t="str">
        <f>IF(DraftResults[[#This Row],[Player ID]]=0,"",INDEX(Table5[[#All],[First]],MATCH(DraftResults[[#This Row],[Player ID]],Table5[[#All],[PID]],0)))</f>
        <v>Katsuyuki</v>
      </c>
      <c r="K191" t="str">
        <f>IF(DraftResults[[#This Row],[Player ID]]=0,"",INDEX(Table5[[#All],[Last]],MATCH(DraftResults[[#This Row],[Player ID]],Table5[[#All],[PID]],0)))</f>
        <v>Sugano</v>
      </c>
    </row>
    <row r="192" spans="1:11" x14ac:dyDescent="0.25">
      <c r="A192">
        <v>7</v>
      </c>
      <c r="B192">
        <v>0</v>
      </c>
      <c r="C192">
        <v>1</v>
      </c>
      <c r="D192" t="s">
        <v>625</v>
      </c>
      <c r="E192">
        <v>24</v>
      </c>
      <c r="F192">
        <v>15234</v>
      </c>
      <c r="G192" t="s">
        <v>316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189</v>
      </c>
      <c r="I192" t="str">
        <f>IF(DraftResults[[#This Row],[Player ID]]=0,"",INDEX(Table5[[#All],[Pos]],MATCH(DraftResults[[#This Row],[Player ID]],Table5[[#All],[PID]],0)))</f>
        <v>CL</v>
      </c>
      <c r="J192" t="str">
        <f>IF(DraftResults[[#This Row],[Player ID]]=0,"",INDEX(Table5[[#All],[First]],MATCH(DraftResults[[#This Row],[Player ID]],Table5[[#All],[PID]],0)))</f>
        <v>Gustavo</v>
      </c>
      <c r="K192" t="str">
        <f>IF(DraftResults[[#This Row],[Player ID]]=0,"",INDEX(Table5[[#All],[Last]],MATCH(DraftResults[[#This Row],[Player ID]],Table5[[#All],[PID]],0)))</f>
        <v>Ramos</v>
      </c>
    </row>
    <row r="193" spans="1:11" x14ac:dyDescent="0.25">
      <c r="A193">
        <v>7</v>
      </c>
      <c r="B193">
        <v>0</v>
      </c>
      <c r="C193">
        <v>2</v>
      </c>
      <c r="D193" t="s">
        <v>542</v>
      </c>
      <c r="E193">
        <v>7</v>
      </c>
      <c r="F193">
        <v>18208</v>
      </c>
      <c r="G193" t="s">
        <v>316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190</v>
      </c>
      <c r="I193" t="str">
        <f>IF(DraftResults[[#This Row],[Player ID]]=0,"",INDEX(Table5[[#All],[Pos]],MATCH(DraftResults[[#This Row],[Player ID]],Table5[[#All],[PID]],0)))</f>
        <v>SP</v>
      </c>
      <c r="J193" t="str">
        <f>IF(DraftResults[[#This Row],[Player ID]]=0,"",INDEX(Table5[[#All],[First]],MATCH(DraftResults[[#This Row],[Player ID]],Table5[[#All],[PID]],0)))</f>
        <v>Brandon</v>
      </c>
      <c r="K193" t="str">
        <f>IF(DraftResults[[#This Row],[Player ID]]=0,"",INDEX(Table5[[#All],[Last]],MATCH(DraftResults[[#This Row],[Player ID]],Table5[[#All],[PID]],0)))</f>
        <v>Nichols</v>
      </c>
    </row>
    <row r="194" spans="1:11" x14ac:dyDescent="0.25">
      <c r="A194">
        <v>7</v>
      </c>
      <c r="B194">
        <v>0</v>
      </c>
      <c r="C194">
        <v>3</v>
      </c>
      <c r="D194" t="s">
        <v>256</v>
      </c>
      <c r="E194">
        <v>8</v>
      </c>
      <c r="F194">
        <v>18117</v>
      </c>
      <c r="G194" t="s">
        <v>316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191</v>
      </c>
      <c r="I194" t="str">
        <f>IF(DraftResults[[#This Row],[Player ID]]=0,"",INDEX(Table5[[#All],[Pos]],MATCH(DraftResults[[#This Row],[Player ID]],Table5[[#All],[PID]],0)))</f>
        <v>CL</v>
      </c>
      <c r="J194" t="str">
        <f>IF(DraftResults[[#This Row],[Player ID]]=0,"",INDEX(Table5[[#All],[First]],MATCH(DraftResults[[#This Row],[Player ID]],Table5[[#All],[PID]],0)))</f>
        <v>Enrique</v>
      </c>
      <c r="K194" t="str">
        <f>IF(DraftResults[[#This Row],[Player ID]]=0,"",INDEX(Table5[[#All],[Last]],MATCH(DraftResults[[#This Row],[Player ID]],Table5[[#All],[PID]],0)))</f>
        <v>Gonzáles</v>
      </c>
    </row>
    <row r="195" spans="1:11" x14ac:dyDescent="0.25">
      <c r="A195">
        <v>7</v>
      </c>
      <c r="B195">
        <v>0</v>
      </c>
      <c r="C195">
        <v>4</v>
      </c>
      <c r="D195" t="s">
        <v>628</v>
      </c>
      <c r="E195">
        <v>23</v>
      </c>
      <c r="F195">
        <v>18336</v>
      </c>
      <c r="G195" t="s">
        <v>316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192</v>
      </c>
      <c r="I195" t="str">
        <f>IF(DraftResults[[#This Row],[Player ID]]=0,"",INDEX(Table5[[#All],[Pos]],MATCH(DraftResults[[#This Row],[Player ID]],Table5[[#All],[PID]],0)))</f>
        <v>SP</v>
      </c>
      <c r="J195" t="str">
        <f>IF(DraftResults[[#This Row],[Player ID]]=0,"",INDEX(Table5[[#All],[First]],MATCH(DraftResults[[#This Row],[Player ID]],Table5[[#All],[PID]],0)))</f>
        <v>David</v>
      </c>
      <c r="K195" t="str">
        <f>IF(DraftResults[[#This Row],[Player ID]]=0,"",INDEX(Table5[[#All],[Last]],MATCH(DraftResults[[#This Row],[Player ID]],Table5[[#All],[PID]],0)))</f>
        <v>García</v>
      </c>
    </row>
    <row r="196" spans="1:11" x14ac:dyDescent="0.25">
      <c r="A196">
        <v>7</v>
      </c>
      <c r="B196">
        <v>0</v>
      </c>
      <c r="C196">
        <v>5</v>
      </c>
      <c r="D196" t="s">
        <v>462</v>
      </c>
      <c r="E196">
        <v>167</v>
      </c>
      <c r="F196">
        <v>18302</v>
      </c>
      <c r="G196" t="s">
        <v>316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193</v>
      </c>
      <c r="I196" t="str">
        <f>IF(DraftResults[[#This Row],[Player ID]]=0,"",INDEX(Table5[[#All],[Pos]],MATCH(DraftResults[[#This Row],[Player ID]],Table5[[#All],[PID]],0)))</f>
        <v>SP</v>
      </c>
      <c r="J196" t="str">
        <f>IF(DraftResults[[#This Row],[Player ID]]=0,"",INDEX(Table5[[#All],[First]],MATCH(DraftResults[[#This Row],[Player ID]],Table5[[#All],[PID]],0)))</f>
        <v>Shojiro</v>
      </c>
      <c r="K196" t="str">
        <f>IF(DraftResults[[#This Row],[Player ID]]=0,"",INDEX(Table5[[#All],[Last]],MATCH(DraftResults[[#This Row],[Player ID]],Table5[[#All],[PID]],0)))</f>
        <v>Ohayashi</v>
      </c>
    </row>
    <row r="197" spans="1:11" x14ac:dyDescent="0.25">
      <c r="A197">
        <v>7</v>
      </c>
      <c r="B197">
        <v>0</v>
      </c>
      <c r="C197">
        <v>6</v>
      </c>
      <c r="D197" t="s">
        <v>543</v>
      </c>
      <c r="E197">
        <v>4</v>
      </c>
      <c r="F197">
        <v>12441</v>
      </c>
      <c r="G197" t="s">
        <v>316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194</v>
      </c>
      <c r="I197" t="str">
        <f>IF(DraftResults[[#This Row],[Player ID]]=0,"",INDEX(Table5[[#All],[Pos]],MATCH(DraftResults[[#This Row],[Player ID]],Table5[[#All],[PID]],0)))</f>
        <v>1B</v>
      </c>
      <c r="J197" t="str">
        <f>IF(DraftResults[[#This Row],[Player ID]]=0,"",INDEX(Table5[[#All],[First]],MATCH(DraftResults[[#This Row],[Player ID]],Table5[[#All],[PID]],0)))</f>
        <v>Virgil</v>
      </c>
      <c r="K197" t="str">
        <f>IF(DraftResults[[#This Row],[Player ID]]=0,"",INDEX(Table5[[#All],[Last]],MATCH(DraftResults[[#This Row],[Player ID]],Table5[[#All],[PID]],0)))</f>
        <v>McCray</v>
      </c>
    </row>
    <row r="198" spans="1:11" x14ac:dyDescent="0.25">
      <c r="A198">
        <v>7</v>
      </c>
      <c r="B198">
        <v>0</v>
      </c>
      <c r="C198">
        <v>7</v>
      </c>
      <c r="D198" t="s">
        <v>626</v>
      </c>
      <c r="E198">
        <v>160</v>
      </c>
      <c r="F198">
        <v>18103</v>
      </c>
      <c r="G198" t="s">
        <v>316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195</v>
      </c>
      <c r="I198" t="str">
        <f>IF(DraftResults[[#This Row],[Player ID]]=0,"",INDEX(Table5[[#All],[Pos]],MATCH(DraftResults[[#This Row],[Player ID]],Table5[[#All],[PID]],0)))</f>
        <v>SP</v>
      </c>
      <c r="J198" t="str">
        <f>IF(DraftResults[[#This Row],[Player ID]]=0,"",INDEX(Table5[[#All],[First]],MATCH(DraftResults[[#This Row],[Player ID]],Table5[[#All],[PID]],0)))</f>
        <v>Júlio</v>
      </c>
      <c r="K198" t="str">
        <f>IF(DraftResults[[#This Row],[Player ID]]=0,"",INDEX(Table5[[#All],[Last]],MATCH(DraftResults[[#This Row],[Player ID]],Table5[[#All],[PID]],0)))</f>
        <v>Vargas</v>
      </c>
    </row>
    <row r="199" spans="1:11" x14ac:dyDescent="0.25">
      <c r="A199">
        <v>7</v>
      </c>
      <c r="B199">
        <v>0</v>
      </c>
      <c r="C199">
        <v>8</v>
      </c>
      <c r="D199" t="s">
        <v>250</v>
      </c>
      <c r="E199">
        <v>3</v>
      </c>
      <c r="F199">
        <v>15621</v>
      </c>
      <c r="G199" t="s">
        <v>316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196</v>
      </c>
      <c r="I199" t="str">
        <f>IF(DraftResults[[#This Row],[Player ID]]=0,"",INDEX(Table5[[#All],[Pos]],MATCH(DraftResults[[#This Row],[Player ID]],Table5[[#All],[PID]],0)))</f>
        <v>SP</v>
      </c>
      <c r="J199" t="str">
        <f>IF(DraftResults[[#This Row],[Player ID]]=0,"",INDEX(Table5[[#All],[First]],MATCH(DraftResults[[#This Row],[Player ID]],Table5[[#All],[PID]],0)))</f>
        <v>Carlton</v>
      </c>
      <c r="K199" t="str">
        <f>IF(DraftResults[[#This Row],[Player ID]]=0,"",INDEX(Table5[[#All],[Last]],MATCH(DraftResults[[#This Row],[Player ID]],Table5[[#All],[PID]],0)))</f>
        <v>Crago</v>
      </c>
    </row>
    <row r="200" spans="1:11" x14ac:dyDescent="0.25">
      <c r="A200">
        <v>7</v>
      </c>
      <c r="B200">
        <v>0</v>
      </c>
      <c r="C200">
        <v>9</v>
      </c>
      <c r="D200" t="s">
        <v>456</v>
      </c>
      <c r="E200">
        <v>164</v>
      </c>
      <c r="F200">
        <v>20223</v>
      </c>
      <c r="G200" t="s">
        <v>316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197</v>
      </c>
      <c r="I200" t="str">
        <f>IF(DraftResults[[#This Row],[Player ID]]=0,"",INDEX(Table5[[#All],[Pos]],MATCH(DraftResults[[#This Row],[Player ID]],Table5[[#All],[PID]],0)))</f>
        <v>C</v>
      </c>
      <c r="J200" t="str">
        <f>IF(DraftResults[[#This Row],[Player ID]]=0,"",INDEX(Table5[[#All],[First]],MATCH(DraftResults[[#This Row],[Player ID]],Table5[[#All],[PID]],0)))</f>
        <v>Vincent</v>
      </c>
      <c r="K200" t="str">
        <f>IF(DraftResults[[#This Row],[Player ID]]=0,"",INDEX(Table5[[#All],[Last]],MATCH(DraftResults[[#This Row],[Player ID]],Table5[[#All],[PID]],0)))</f>
        <v>Thomas</v>
      </c>
    </row>
    <row r="201" spans="1:11" x14ac:dyDescent="0.25">
      <c r="A201">
        <v>7</v>
      </c>
      <c r="B201">
        <v>0</v>
      </c>
      <c r="C201">
        <v>10</v>
      </c>
      <c r="D201" t="s">
        <v>461</v>
      </c>
      <c r="E201">
        <v>18</v>
      </c>
      <c r="F201">
        <v>18076</v>
      </c>
      <c r="G201" t="s">
        <v>316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198</v>
      </c>
      <c r="I201" t="str">
        <f>IF(DraftResults[[#This Row],[Player ID]]=0,"",INDEX(Table5[[#All],[Pos]],MATCH(DraftResults[[#This Row],[Player ID]],Table5[[#All],[PID]],0)))</f>
        <v>SP</v>
      </c>
      <c r="J201" t="str">
        <f>IF(DraftResults[[#This Row],[Player ID]]=0,"",INDEX(Table5[[#All],[First]],MATCH(DraftResults[[#This Row],[Player ID]],Table5[[#All],[PID]],0)))</f>
        <v>Mauro</v>
      </c>
      <c r="K201" t="str">
        <f>IF(DraftResults[[#This Row],[Player ID]]=0,"",INDEX(Table5[[#All],[Last]],MATCH(DraftResults[[#This Row],[Player ID]],Table5[[#All],[PID]],0)))</f>
        <v>Gonzáles</v>
      </c>
    </row>
    <row r="202" spans="1:11" x14ac:dyDescent="0.25">
      <c r="A202">
        <v>7</v>
      </c>
      <c r="B202">
        <v>0</v>
      </c>
      <c r="C202">
        <v>11</v>
      </c>
      <c r="D202" t="s">
        <v>253</v>
      </c>
      <c r="E202">
        <v>15</v>
      </c>
      <c r="F202">
        <v>18113</v>
      </c>
      <c r="G202" t="s">
        <v>316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199</v>
      </c>
      <c r="I202" t="str">
        <f>IF(DraftResults[[#This Row],[Player ID]]=0,"",INDEX(Table5[[#All],[Pos]],MATCH(DraftResults[[#This Row],[Player ID]],Table5[[#All],[PID]],0)))</f>
        <v>SP</v>
      </c>
      <c r="J202" t="str">
        <f>IF(DraftResults[[#This Row],[Player ID]]=0,"",INDEX(Table5[[#All],[First]],MATCH(DraftResults[[#This Row],[Player ID]],Table5[[#All],[PID]],0)))</f>
        <v>Kenny</v>
      </c>
      <c r="K202" t="str">
        <f>IF(DraftResults[[#This Row],[Player ID]]=0,"",INDEX(Table5[[#All],[Last]],MATCH(DraftResults[[#This Row],[Player ID]],Table5[[#All],[PID]],0)))</f>
        <v>Duncan</v>
      </c>
    </row>
    <row r="203" spans="1:11" x14ac:dyDescent="0.25">
      <c r="A203">
        <v>7</v>
      </c>
      <c r="B203">
        <v>0</v>
      </c>
      <c r="C203">
        <v>12</v>
      </c>
      <c r="D203" t="s">
        <v>245</v>
      </c>
      <c r="E203">
        <v>21</v>
      </c>
      <c r="F203">
        <v>18183</v>
      </c>
      <c r="G203" t="s">
        <v>316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200</v>
      </c>
      <c r="I203" t="str">
        <f>IF(DraftResults[[#This Row],[Player ID]]=0,"",INDEX(Table5[[#All],[Pos]],MATCH(DraftResults[[#This Row],[Player ID]],Table5[[#All],[PID]],0)))</f>
        <v>CL</v>
      </c>
      <c r="J203" t="str">
        <f>IF(DraftResults[[#This Row],[Player ID]]=0,"",INDEX(Table5[[#All],[First]],MATCH(DraftResults[[#This Row],[Player ID]],Table5[[#All],[PID]],0)))</f>
        <v>Timothy</v>
      </c>
      <c r="K203" t="str">
        <f>IF(DraftResults[[#This Row],[Player ID]]=0,"",INDEX(Table5[[#All],[Last]],MATCH(DraftResults[[#This Row],[Player ID]],Table5[[#All],[PID]],0)))</f>
        <v>O'Slattery</v>
      </c>
    </row>
    <row r="204" spans="1:11" x14ac:dyDescent="0.25">
      <c r="A204">
        <v>7</v>
      </c>
      <c r="B204">
        <v>0</v>
      </c>
      <c r="C204">
        <v>13</v>
      </c>
      <c r="D204" t="s">
        <v>243</v>
      </c>
      <c r="E204">
        <v>22</v>
      </c>
      <c r="F204">
        <v>18409</v>
      </c>
      <c r="G204" t="s">
        <v>316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201</v>
      </c>
      <c r="I204" t="str">
        <f>IF(DraftResults[[#This Row],[Player ID]]=0,"",INDEX(Table5[[#All],[Pos]],MATCH(DraftResults[[#This Row],[Player ID]],Table5[[#All],[PID]],0)))</f>
        <v>SS</v>
      </c>
      <c r="J204" t="str">
        <f>IF(DraftResults[[#This Row],[Player ID]]=0,"",INDEX(Table5[[#All],[First]],MATCH(DraftResults[[#This Row],[Player ID]],Table5[[#All],[PID]],0)))</f>
        <v>Takejiro</v>
      </c>
      <c r="K204" t="str">
        <f>IF(DraftResults[[#This Row],[Player ID]]=0,"",INDEX(Table5[[#All],[Last]],MATCH(DraftResults[[#This Row],[Player ID]],Table5[[#All],[PID]],0)))</f>
        <v>Takahashi</v>
      </c>
    </row>
    <row r="205" spans="1:11" x14ac:dyDescent="0.25">
      <c r="A205">
        <v>7</v>
      </c>
      <c r="B205">
        <v>0</v>
      </c>
      <c r="C205">
        <v>14</v>
      </c>
      <c r="D205" t="s">
        <v>458</v>
      </c>
      <c r="E205">
        <v>159</v>
      </c>
      <c r="F205">
        <v>20335</v>
      </c>
      <c r="G205" t="s">
        <v>316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202</v>
      </c>
      <c r="I205" t="str">
        <f>IF(DraftResults[[#This Row],[Player ID]]=0,"",INDEX(Table5[[#All],[Pos]],MATCH(DraftResults[[#This Row],[Player ID]],Table5[[#All],[PID]],0)))</f>
        <v>CL</v>
      </c>
      <c r="J205" t="str">
        <f>IF(DraftResults[[#This Row],[Player ID]]=0,"",INDEX(Table5[[#All],[First]],MATCH(DraftResults[[#This Row],[Player ID]],Table5[[#All],[PID]],0)))</f>
        <v>Jake</v>
      </c>
      <c r="K205" t="str">
        <f>IF(DraftResults[[#This Row],[Player ID]]=0,"",INDEX(Table5[[#All],[Last]],MATCH(DraftResults[[#This Row],[Player ID]],Table5[[#All],[PID]],0)))</f>
        <v>Horton</v>
      </c>
    </row>
    <row r="206" spans="1:11" ht="15.75" customHeight="1" x14ac:dyDescent="0.25">
      <c r="A206">
        <v>7</v>
      </c>
      <c r="B206">
        <v>0</v>
      </c>
      <c r="C206">
        <v>15</v>
      </c>
      <c r="D206" t="s">
        <v>249</v>
      </c>
      <c r="E206">
        <v>10</v>
      </c>
      <c r="F206">
        <v>21069</v>
      </c>
      <c r="G206" t="s">
        <v>316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203</v>
      </c>
      <c r="I206" t="str">
        <f>IF(DraftResults[[#This Row],[Player ID]]=0,"",INDEX(Table5[[#All],[Pos]],MATCH(DraftResults[[#This Row],[Player ID]],Table5[[#All],[PID]],0)))</f>
        <v>LF</v>
      </c>
      <c r="J206" t="str">
        <f>IF(DraftResults[[#This Row],[Player ID]]=0,"",INDEX(Table5[[#All],[First]],MATCH(DraftResults[[#This Row],[Player ID]],Table5[[#All],[PID]],0)))</f>
        <v>Kenneth</v>
      </c>
      <c r="K206" t="str">
        <f>IF(DraftResults[[#This Row],[Player ID]]=0,"",INDEX(Table5[[#All],[Last]],MATCH(DraftResults[[#This Row],[Player ID]],Table5[[#All],[PID]],0)))</f>
        <v>Ray</v>
      </c>
    </row>
    <row r="207" spans="1:11" x14ac:dyDescent="0.25">
      <c r="A207">
        <v>7</v>
      </c>
      <c r="B207">
        <v>0</v>
      </c>
      <c r="C207">
        <v>16</v>
      </c>
      <c r="D207" t="s">
        <v>261</v>
      </c>
      <c r="E207">
        <v>12</v>
      </c>
      <c r="F207">
        <v>20740</v>
      </c>
      <c r="G207" t="s">
        <v>316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204</v>
      </c>
      <c r="I207" t="str">
        <f>IF(DraftResults[[#This Row],[Player ID]]=0,"",INDEX(Table5[[#All],[Pos]],MATCH(DraftResults[[#This Row],[Player ID]],Table5[[#All],[PID]],0)))</f>
        <v>1B</v>
      </c>
      <c r="J207" t="str">
        <f>IF(DraftResults[[#This Row],[Player ID]]=0,"",INDEX(Table5[[#All],[First]],MATCH(DraftResults[[#This Row],[Player ID]],Table5[[#All],[PID]],0)))</f>
        <v>Dave</v>
      </c>
      <c r="K207" t="str">
        <f>IF(DraftResults[[#This Row],[Player ID]]=0,"",INDEX(Table5[[#All],[Last]],MATCH(DraftResults[[#This Row],[Player ID]],Table5[[#All],[PID]],0)))</f>
        <v>Reid</v>
      </c>
    </row>
    <row r="208" spans="1:11" x14ac:dyDescent="0.25">
      <c r="A208">
        <v>7</v>
      </c>
      <c r="B208">
        <v>0</v>
      </c>
      <c r="C208">
        <v>17</v>
      </c>
      <c r="D208" t="s">
        <v>627</v>
      </c>
      <c r="E208">
        <v>13</v>
      </c>
      <c r="F208">
        <v>20716</v>
      </c>
      <c r="G208" t="s">
        <v>316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205</v>
      </c>
      <c r="I208" t="str">
        <f>IF(DraftResults[[#This Row],[Player ID]]=0,"",INDEX(Table5[[#All],[Pos]],MATCH(DraftResults[[#This Row],[Player ID]],Table5[[#All],[PID]],0)))</f>
        <v>2B</v>
      </c>
      <c r="J208" t="str">
        <f>IF(DraftResults[[#This Row],[Player ID]]=0,"",INDEX(Table5[[#All],[First]],MATCH(DraftResults[[#This Row],[Player ID]],Table5[[#All],[PID]],0)))</f>
        <v>Thom</v>
      </c>
      <c r="K208" t="str">
        <f>IF(DraftResults[[#This Row],[Player ID]]=0,"",INDEX(Table5[[#All],[Last]],MATCH(DraftResults[[#This Row],[Player ID]],Table5[[#All],[PID]],0)))</f>
        <v>Brown</v>
      </c>
    </row>
    <row r="209" spans="1:11" x14ac:dyDescent="0.25">
      <c r="A209">
        <v>7</v>
      </c>
      <c r="B209">
        <v>0</v>
      </c>
      <c r="C209">
        <v>18</v>
      </c>
      <c r="D209" t="s">
        <v>254</v>
      </c>
      <c r="E209">
        <v>20</v>
      </c>
      <c r="F209">
        <v>18110</v>
      </c>
      <c r="G209" t="s">
        <v>316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206</v>
      </c>
      <c r="I209" t="str">
        <f>IF(DraftResults[[#This Row],[Player ID]]=0,"",INDEX(Table5[[#All],[Pos]],MATCH(DraftResults[[#This Row],[Player ID]],Table5[[#All],[PID]],0)))</f>
        <v>RP</v>
      </c>
      <c r="J209" t="str">
        <f>IF(DraftResults[[#This Row],[Player ID]]=0,"",INDEX(Table5[[#All],[First]],MATCH(DraftResults[[#This Row],[Player ID]],Table5[[#All],[PID]],0)))</f>
        <v>Curt</v>
      </c>
      <c r="K209" t="str">
        <f>IF(DraftResults[[#This Row],[Player ID]]=0,"",INDEX(Table5[[#All],[Last]],MATCH(DraftResults[[#This Row],[Player ID]],Table5[[#All],[PID]],0)))</f>
        <v>McKinley</v>
      </c>
    </row>
    <row r="210" spans="1:11" x14ac:dyDescent="0.25">
      <c r="A210">
        <v>7</v>
      </c>
      <c r="B210">
        <v>0</v>
      </c>
      <c r="C210">
        <v>19</v>
      </c>
      <c r="D210" t="s">
        <v>246</v>
      </c>
      <c r="E210">
        <v>17</v>
      </c>
      <c r="F210">
        <v>21082</v>
      </c>
      <c r="G210" t="s">
        <v>316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207</v>
      </c>
      <c r="I210" t="str">
        <f>IF(DraftResults[[#This Row],[Player ID]]=0,"",INDEX(Table5[[#All],[Pos]],MATCH(DraftResults[[#This Row],[Player ID]],Table5[[#All],[PID]],0)))</f>
        <v>CL</v>
      </c>
      <c r="J210" t="str">
        <f>IF(DraftResults[[#This Row],[Player ID]]=0,"",INDEX(Table5[[#All],[First]],MATCH(DraftResults[[#This Row],[Player ID]],Table5[[#All],[PID]],0)))</f>
        <v>Alex</v>
      </c>
      <c r="K210" t="str">
        <f>IF(DraftResults[[#This Row],[Player ID]]=0,"",INDEX(Table5[[#All],[Last]],MATCH(DraftResults[[#This Row],[Player ID]],Table5[[#All],[PID]],0)))</f>
        <v>Tuttle</v>
      </c>
    </row>
    <row r="211" spans="1:11" x14ac:dyDescent="0.25">
      <c r="A211">
        <v>7</v>
      </c>
      <c r="B211">
        <v>0</v>
      </c>
      <c r="C211">
        <v>20</v>
      </c>
      <c r="D211" t="s">
        <v>455</v>
      </c>
      <c r="E211">
        <v>2</v>
      </c>
      <c r="F211">
        <v>18430</v>
      </c>
      <c r="G211" t="s">
        <v>316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208</v>
      </c>
      <c r="I211" t="str">
        <f>IF(DraftResults[[#This Row],[Player ID]]=0,"",INDEX(Table5[[#All],[Pos]],MATCH(DraftResults[[#This Row],[Player ID]],Table5[[#All],[PID]],0)))</f>
        <v>SP</v>
      </c>
      <c r="J211" t="str">
        <f>IF(DraftResults[[#This Row],[Player ID]]=0,"",INDEX(Table5[[#All],[First]],MATCH(DraftResults[[#This Row],[Player ID]],Table5[[#All],[PID]],0)))</f>
        <v>Masujiro</v>
      </c>
      <c r="K211" t="str">
        <f>IF(DraftResults[[#This Row],[Player ID]]=0,"",INDEX(Table5[[#All],[Last]],MATCH(DraftResults[[#This Row],[Player ID]],Table5[[#All],[PID]],0)))</f>
        <v>Ohayashi</v>
      </c>
    </row>
    <row r="212" spans="1:11" x14ac:dyDescent="0.25">
      <c r="A212">
        <v>7</v>
      </c>
      <c r="B212">
        <v>0</v>
      </c>
      <c r="C212">
        <v>21</v>
      </c>
      <c r="D212" t="s">
        <v>252</v>
      </c>
      <c r="E212">
        <v>14</v>
      </c>
      <c r="F212">
        <v>18211</v>
      </c>
      <c r="G212" t="s">
        <v>316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209</v>
      </c>
      <c r="I212" t="str">
        <f>IF(DraftResults[[#This Row],[Player ID]]=0,"",INDEX(Table5[[#All],[Pos]],MATCH(DraftResults[[#This Row],[Player ID]],Table5[[#All],[PID]],0)))</f>
        <v>RP</v>
      </c>
      <c r="J212" t="str">
        <f>IF(DraftResults[[#This Row],[Player ID]]=0,"",INDEX(Table5[[#All],[First]],MATCH(DraftResults[[#This Row],[Player ID]],Table5[[#All],[PID]],0)))</f>
        <v>Rick</v>
      </c>
      <c r="K212" t="str">
        <f>IF(DraftResults[[#This Row],[Player ID]]=0,"",INDEX(Table5[[#All],[Last]],MATCH(DraftResults[[#This Row],[Player ID]],Table5[[#All],[PID]],0)))</f>
        <v>Lewis</v>
      </c>
    </row>
    <row r="213" spans="1:11" x14ac:dyDescent="0.25">
      <c r="A213">
        <v>7</v>
      </c>
      <c r="B213">
        <v>0</v>
      </c>
      <c r="C213">
        <v>22</v>
      </c>
      <c r="D213" t="s">
        <v>257</v>
      </c>
      <c r="E213">
        <v>16</v>
      </c>
      <c r="F213">
        <v>20253</v>
      </c>
      <c r="G213" t="s">
        <v>316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210</v>
      </c>
      <c r="I213" t="str">
        <f>IF(DraftResults[[#This Row],[Player ID]]=0,"",INDEX(Table5[[#All],[Pos]],MATCH(DraftResults[[#This Row],[Player ID]],Table5[[#All],[PID]],0)))</f>
        <v>2B</v>
      </c>
      <c r="J213" t="str">
        <f>IF(DraftResults[[#This Row],[Player ID]]=0,"",INDEX(Table5[[#All],[First]],MATCH(DraftResults[[#This Row],[Player ID]],Table5[[#All],[PID]],0)))</f>
        <v>Dirk</v>
      </c>
      <c r="K213" t="str">
        <f>IF(DraftResults[[#This Row],[Player ID]]=0,"",INDEX(Table5[[#All],[Last]],MATCH(DraftResults[[#This Row],[Player ID]],Table5[[#All],[PID]],0)))</f>
        <v>Madore</v>
      </c>
    </row>
    <row r="214" spans="1:11" x14ac:dyDescent="0.25">
      <c r="A214">
        <v>7</v>
      </c>
      <c r="B214">
        <v>0</v>
      </c>
      <c r="C214">
        <v>23</v>
      </c>
      <c r="D214" t="s">
        <v>625</v>
      </c>
      <c r="E214">
        <v>24</v>
      </c>
      <c r="F214">
        <v>20217</v>
      </c>
      <c r="G214" t="s">
        <v>316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211</v>
      </c>
      <c r="I214" t="str">
        <f>IF(DraftResults[[#This Row],[Player ID]]=0,"",INDEX(Table5[[#All],[Pos]],MATCH(DraftResults[[#This Row],[Player ID]],Table5[[#All],[PID]],0)))</f>
        <v>RP</v>
      </c>
      <c r="J214" t="str">
        <f>IF(DraftResults[[#This Row],[Player ID]]=0,"",INDEX(Table5[[#All],[First]],MATCH(DraftResults[[#This Row],[Player ID]],Table5[[#All],[PID]],0)))</f>
        <v>Steve</v>
      </c>
      <c r="K214" t="str">
        <f>IF(DraftResults[[#This Row],[Player ID]]=0,"",INDEX(Table5[[#All],[Last]],MATCH(DraftResults[[#This Row],[Player ID]],Table5[[#All],[PID]],0)))</f>
        <v>Fitzgerald</v>
      </c>
    </row>
    <row r="215" spans="1:11" x14ac:dyDescent="0.25">
      <c r="A215">
        <v>7</v>
      </c>
      <c r="B215">
        <v>0</v>
      </c>
      <c r="C215">
        <v>24</v>
      </c>
      <c r="D215" t="s">
        <v>242</v>
      </c>
      <c r="E215">
        <v>19</v>
      </c>
      <c r="F215">
        <v>18171</v>
      </c>
      <c r="G215" t="s">
        <v>316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212</v>
      </c>
      <c r="I215" t="str">
        <f>IF(DraftResults[[#This Row],[Player ID]]=0,"",INDEX(Table5[[#All],[Pos]],MATCH(DraftResults[[#This Row],[Player ID]],Table5[[#All],[PID]],0)))</f>
        <v>SP</v>
      </c>
      <c r="J215" t="str">
        <f>IF(DraftResults[[#This Row],[Player ID]]=0,"",INDEX(Table5[[#All],[First]],MATCH(DraftResults[[#This Row],[Player ID]],Table5[[#All],[PID]],0)))</f>
        <v>Spencer</v>
      </c>
      <c r="K215" t="str">
        <f>IF(DraftResults[[#This Row],[Player ID]]=0,"",INDEX(Table5[[#All],[Last]],MATCH(DraftResults[[#This Row],[Player ID]],Table5[[#All],[PID]],0)))</f>
        <v>Williams</v>
      </c>
    </row>
    <row r="216" spans="1:11" x14ac:dyDescent="0.25">
      <c r="A216">
        <v>7</v>
      </c>
      <c r="B216">
        <v>0</v>
      </c>
      <c r="C216">
        <v>25</v>
      </c>
      <c r="D216" t="s">
        <v>457</v>
      </c>
      <c r="E216">
        <v>166</v>
      </c>
      <c r="F216">
        <v>18294</v>
      </c>
      <c r="G216" t="s">
        <v>316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213</v>
      </c>
      <c r="I216" t="str">
        <f>IF(DraftResults[[#This Row],[Player ID]]=0,"",INDEX(Table5[[#All],[Pos]],MATCH(DraftResults[[#This Row],[Player ID]],Table5[[#All],[PID]],0)))</f>
        <v>SS</v>
      </c>
      <c r="J216" t="str">
        <f>IF(DraftResults[[#This Row],[Player ID]]=0,"",INDEX(Table5[[#All],[First]],MATCH(DraftResults[[#This Row],[Player ID]],Table5[[#All],[PID]],0)))</f>
        <v>Ryozo</v>
      </c>
      <c r="K216" t="str">
        <f>IF(DraftResults[[#This Row],[Player ID]]=0,"",INDEX(Table5[[#All],[Last]],MATCH(DraftResults[[#This Row],[Player ID]],Table5[[#All],[PID]],0)))</f>
        <v>Kouyama</v>
      </c>
    </row>
    <row r="217" spans="1:11" x14ac:dyDescent="0.25">
      <c r="A217">
        <v>7</v>
      </c>
      <c r="B217">
        <v>0</v>
      </c>
      <c r="C217">
        <v>26</v>
      </c>
      <c r="D217" t="s">
        <v>248</v>
      </c>
      <c r="E217">
        <v>11</v>
      </c>
      <c r="F217">
        <v>18374</v>
      </c>
      <c r="G217" t="s">
        <v>316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214</v>
      </c>
      <c r="I217" t="str">
        <f>IF(DraftResults[[#This Row],[Player ID]]=0,"",INDEX(Table5[[#All],[Pos]],MATCH(DraftResults[[#This Row],[Player ID]],Table5[[#All],[PID]],0)))</f>
        <v>RP</v>
      </c>
      <c r="J217" t="str">
        <f>IF(DraftResults[[#This Row],[Player ID]]=0,"",INDEX(Table5[[#All],[First]],MATCH(DraftResults[[#This Row],[Player ID]],Table5[[#All],[PID]],0)))</f>
        <v>Yosai</v>
      </c>
      <c r="K217" t="str">
        <f>IF(DraftResults[[#This Row],[Player ID]]=0,"",INDEX(Table5[[#All],[Last]],MATCH(DraftResults[[#This Row],[Player ID]],Table5[[#All],[PID]],0)))</f>
        <v>Yamauchi</v>
      </c>
    </row>
    <row r="218" spans="1:11" x14ac:dyDescent="0.25">
      <c r="A218">
        <v>7</v>
      </c>
      <c r="B218">
        <v>0</v>
      </c>
      <c r="C218">
        <v>27</v>
      </c>
      <c r="D218" t="s">
        <v>458</v>
      </c>
      <c r="E218">
        <v>159</v>
      </c>
      <c r="F218">
        <v>20923</v>
      </c>
      <c r="G218" t="s">
        <v>316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215</v>
      </c>
      <c r="I218" t="str">
        <f>IF(DraftResults[[#This Row],[Player ID]]=0,"",INDEX(Table5[[#All],[Pos]],MATCH(DraftResults[[#This Row],[Player ID]],Table5[[#All],[PID]],0)))</f>
        <v>1B</v>
      </c>
      <c r="J218" t="str">
        <f>IF(DraftResults[[#This Row],[Player ID]]=0,"",INDEX(Table5[[#All],[First]],MATCH(DraftResults[[#This Row],[Player ID]],Table5[[#All],[PID]],0)))</f>
        <v>Kirk</v>
      </c>
      <c r="K218" t="str">
        <f>IF(DraftResults[[#This Row],[Player ID]]=0,"",INDEX(Table5[[#All],[Last]],MATCH(DraftResults[[#This Row],[Player ID]],Table5[[#All],[PID]],0)))</f>
        <v>Phillips</v>
      </c>
    </row>
    <row r="219" spans="1:11" x14ac:dyDescent="0.25">
      <c r="A219">
        <v>7</v>
      </c>
      <c r="B219">
        <v>0</v>
      </c>
      <c r="C219">
        <v>28</v>
      </c>
      <c r="D219" t="s">
        <v>454</v>
      </c>
      <c r="E219">
        <v>162</v>
      </c>
      <c r="F219">
        <v>18280</v>
      </c>
      <c r="G219" t="s">
        <v>316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216</v>
      </c>
      <c r="I219" t="str">
        <f>IF(DraftResults[[#This Row],[Player ID]]=0,"",INDEX(Table5[[#All],[Pos]],MATCH(DraftResults[[#This Row],[Player ID]],Table5[[#All],[PID]],0)))</f>
        <v>SS</v>
      </c>
      <c r="J219" t="str">
        <f>IF(DraftResults[[#This Row],[Player ID]]=0,"",INDEX(Table5[[#All],[First]],MATCH(DraftResults[[#This Row],[Player ID]],Table5[[#All],[PID]],0)))</f>
        <v>Hikaru</v>
      </c>
      <c r="K219" t="str">
        <f>IF(DraftResults[[#This Row],[Player ID]]=0,"",INDEX(Table5[[#All],[Last]],MATCH(DraftResults[[#This Row],[Player ID]],Table5[[#All],[PID]],0)))</f>
        <v>Goto</v>
      </c>
    </row>
    <row r="220" spans="1:11" x14ac:dyDescent="0.25">
      <c r="A220">
        <v>7</v>
      </c>
      <c r="B220">
        <v>0</v>
      </c>
      <c r="C220">
        <v>29</v>
      </c>
      <c r="D220" t="s">
        <v>459</v>
      </c>
      <c r="E220">
        <v>163</v>
      </c>
      <c r="F220">
        <v>17793</v>
      </c>
      <c r="G220" t="s">
        <v>316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217</v>
      </c>
      <c r="I220" t="str">
        <f>IF(DraftResults[[#This Row],[Player ID]]=0,"",INDEX(Table5[[#All],[Pos]],MATCH(DraftResults[[#This Row],[Player ID]],Table5[[#All],[PID]],0)))</f>
        <v>SP</v>
      </c>
      <c r="J220" t="str">
        <f>IF(DraftResults[[#This Row],[Player ID]]=0,"",INDEX(Table5[[#All],[First]],MATCH(DraftResults[[#This Row],[Player ID]],Table5[[#All],[PID]],0)))</f>
        <v>Seinosuke</v>
      </c>
      <c r="K220" t="str">
        <f>IF(DraftResults[[#This Row],[Player ID]]=0,"",INDEX(Table5[[#All],[Last]],MATCH(DraftResults[[#This Row],[Player ID]],Table5[[#All],[PID]],0)))</f>
        <v>Ichikawa</v>
      </c>
    </row>
    <row r="221" spans="1:11" x14ac:dyDescent="0.25">
      <c r="A221">
        <v>7</v>
      </c>
      <c r="B221">
        <v>0</v>
      </c>
      <c r="C221">
        <v>30</v>
      </c>
      <c r="D221" t="s">
        <v>246</v>
      </c>
      <c r="E221">
        <v>17</v>
      </c>
      <c r="F221">
        <v>18370</v>
      </c>
      <c r="G221" t="s">
        <v>316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218</v>
      </c>
      <c r="I221" t="str">
        <f>IF(DraftResults[[#This Row],[Player ID]]=0,"",INDEX(Table5[[#All],[Pos]],MATCH(DraftResults[[#This Row],[Player ID]],Table5[[#All],[PID]],0)))</f>
        <v>SP</v>
      </c>
      <c r="J221" t="str">
        <f>IF(DraftResults[[#This Row],[Player ID]]=0,"",INDEX(Table5[[#All],[First]],MATCH(DraftResults[[#This Row],[Player ID]],Table5[[#All],[PID]],0)))</f>
        <v>Ángel</v>
      </c>
      <c r="K221" t="str">
        <f>IF(DraftResults[[#This Row],[Player ID]]=0,"",INDEX(Table5[[#All],[Last]],MATCH(DraftResults[[#This Row],[Player ID]],Table5[[#All],[PID]],0)))</f>
        <v>Borges</v>
      </c>
    </row>
    <row r="222" spans="1:11" x14ac:dyDescent="0.25">
      <c r="A222">
        <v>8</v>
      </c>
      <c r="B222">
        <v>0</v>
      </c>
      <c r="C222">
        <v>1</v>
      </c>
      <c r="D222" t="s">
        <v>625</v>
      </c>
      <c r="E222">
        <v>24</v>
      </c>
      <c r="F222">
        <v>18253</v>
      </c>
      <c r="G222" t="s">
        <v>316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219</v>
      </c>
      <c r="I222" t="str">
        <f>IF(DraftResults[[#This Row],[Player ID]]=0,"",INDEX(Table5[[#All],[Pos]],MATCH(DraftResults[[#This Row],[Player ID]],Table5[[#All],[PID]],0)))</f>
        <v>CL</v>
      </c>
      <c r="J222" t="str">
        <f>IF(DraftResults[[#This Row],[Player ID]]=0,"",INDEX(Table5[[#All],[First]],MATCH(DraftResults[[#This Row],[Player ID]],Table5[[#All],[PID]],0)))</f>
        <v>Wallace</v>
      </c>
      <c r="K222" t="str">
        <f>IF(DraftResults[[#This Row],[Player ID]]=0,"",INDEX(Table5[[#All],[Last]],MATCH(DraftResults[[#This Row],[Player ID]],Table5[[#All],[PID]],0)))</f>
        <v>Hart</v>
      </c>
    </row>
    <row r="223" spans="1:11" x14ac:dyDescent="0.25">
      <c r="A223">
        <v>8</v>
      </c>
      <c r="B223">
        <v>0</v>
      </c>
      <c r="C223">
        <v>2</v>
      </c>
      <c r="D223" t="s">
        <v>542</v>
      </c>
      <c r="E223">
        <v>7</v>
      </c>
      <c r="F223">
        <v>18289</v>
      </c>
      <c r="G223" t="s">
        <v>316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220</v>
      </c>
      <c r="I223" t="str">
        <f>IF(DraftResults[[#This Row],[Player ID]]=0,"",INDEX(Table5[[#All],[Pos]],MATCH(DraftResults[[#This Row],[Player ID]],Table5[[#All],[PID]],0)))</f>
        <v>SP</v>
      </c>
      <c r="J223" t="str">
        <f>IF(DraftResults[[#This Row],[Player ID]]=0,"",INDEX(Table5[[#All],[First]],MATCH(DraftResults[[#This Row],[Player ID]],Table5[[#All],[PID]],0)))</f>
        <v>Mitsuo</v>
      </c>
      <c r="K223" t="str">
        <f>IF(DraftResults[[#This Row],[Player ID]]=0,"",INDEX(Table5[[#All],[Last]],MATCH(DraftResults[[#This Row],[Player ID]],Table5[[#All],[PID]],0)))</f>
        <v>Kikuchi</v>
      </c>
    </row>
    <row r="224" spans="1:11" x14ac:dyDescent="0.25">
      <c r="A224">
        <v>8</v>
      </c>
      <c r="B224">
        <v>0</v>
      </c>
      <c r="C224">
        <v>3</v>
      </c>
      <c r="D224" t="s">
        <v>256</v>
      </c>
      <c r="E224">
        <v>8</v>
      </c>
      <c r="F224">
        <v>20540</v>
      </c>
      <c r="G224" t="s">
        <v>316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221</v>
      </c>
      <c r="I224" t="str">
        <f>IF(DraftResults[[#This Row],[Player ID]]=0,"",INDEX(Table5[[#All],[Pos]],MATCH(DraftResults[[#This Row],[Player ID]],Table5[[#All],[PID]],0)))</f>
        <v>1B</v>
      </c>
      <c r="J224" t="str">
        <f>IF(DraftResults[[#This Row],[Player ID]]=0,"",INDEX(Table5[[#All],[First]],MATCH(DraftResults[[#This Row],[Player ID]],Table5[[#All],[PID]],0)))</f>
        <v>Alan</v>
      </c>
      <c r="K224" t="str">
        <f>IF(DraftResults[[#This Row],[Player ID]]=0,"",INDEX(Table5[[#All],[Last]],MATCH(DraftResults[[#This Row],[Player ID]],Table5[[#All],[PID]],0)))</f>
        <v>Sproule</v>
      </c>
    </row>
    <row r="225" spans="1:11" x14ac:dyDescent="0.25">
      <c r="A225">
        <v>8</v>
      </c>
      <c r="B225">
        <v>0</v>
      </c>
      <c r="C225">
        <v>4</v>
      </c>
      <c r="D225" t="s">
        <v>628</v>
      </c>
      <c r="E225">
        <v>23</v>
      </c>
      <c r="F225">
        <v>21046</v>
      </c>
      <c r="G225" t="s">
        <v>316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222</v>
      </c>
      <c r="I225" t="str">
        <f>IF(DraftResults[[#This Row],[Player ID]]=0,"",INDEX(Table5[[#All],[Pos]],MATCH(DraftResults[[#This Row],[Player ID]],Table5[[#All],[PID]],0)))</f>
        <v>RF</v>
      </c>
      <c r="J225" t="str">
        <f>IF(DraftResults[[#This Row],[Player ID]]=0,"",INDEX(Table5[[#All],[First]],MATCH(DraftResults[[#This Row],[Player ID]],Table5[[#All],[PID]],0)))</f>
        <v>Pedro</v>
      </c>
      <c r="K225" t="str">
        <f>IF(DraftResults[[#This Row],[Player ID]]=0,"",INDEX(Table5[[#All],[Last]],MATCH(DraftResults[[#This Row],[Player ID]],Table5[[#All],[PID]],0)))</f>
        <v>González</v>
      </c>
    </row>
    <row r="226" spans="1:11" x14ac:dyDescent="0.25">
      <c r="A226">
        <v>8</v>
      </c>
      <c r="B226">
        <v>0</v>
      </c>
      <c r="C226">
        <v>5</v>
      </c>
      <c r="D226" t="s">
        <v>462</v>
      </c>
      <c r="E226">
        <v>167</v>
      </c>
      <c r="F226">
        <v>20233</v>
      </c>
      <c r="G226" t="s">
        <v>316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223</v>
      </c>
      <c r="I226" t="str">
        <f>IF(DraftResults[[#This Row],[Player ID]]=0,"",INDEX(Table5[[#All],[Pos]],MATCH(DraftResults[[#This Row],[Player ID]],Table5[[#All],[PID]],0)))</f>
        <v>1B</v>
      </c>
      <c r="J226" t="str">
        <f>IF(DraftResults[[#This Row],[Player ID]]=0,"",INDEX(Table5[[#All],[First]],MATCH(DraftResults[[#This Row],[Player ID]],Table5[[#All],[PID]],0)))</f>
        <v>Paul</v>
      </c>
      <c r="K226" t="str">
        <f>IF(DraftResults[[#This Row],[Player ID]]=0,"",INDEX(Table5[[#All],[Last]],MATCH(DraftResults[[#This Row],[Player ID]],Table5[[#All],[PID]],0)))</f>
        <v>McNutt</v>
      </c>
    </row>
    <row r="227" spans="1:11" x14ac:dyDescent="0.25">
      <c r="A227">
        <v>8</v>
      </c>
      <c r="B227">
        <v>0</v>
      </c>
      <c r="C227">
        <v>6</v>
      </c>
      <c r="D227" t="s">
        <v>543</v>
      </c>
      <c r="E227">
        <v>4</v>
      </c>
      <c r="F227">
        <v>1232</v>
      </c>
      <c r="G227" t="s">
        <v>316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224</v>
      </c>
      <c r="I227" t="str">
        <f>IF(DraftResults[[#This Row],[Player ID]]=0,"",INDEX(Table5[[#All],[Pos]],MATCH(DraftResults[[#This Row],[Player ID]],Table5[[#All],[PID]],0)))</f>
        <v>SP</v>
      </c>
      <c r="J227" t="str">
        <f>IF(DraftResults[[#This Row],[Player ID]]=0,"",INDEX(Table5[[#All],[First]],MATCH(DraftResults[[#This Row],[Player ID]],Table5[[#All],[PID]],0)))</f>
        <v>Vicente</v>
      </c>
      <c r="K227" t="str">
        <f>IF(DraftResults[[#This Row],[Player ID]]=0,"",INDEX(Table5[[#All],[Last]],MATCH(DraftResults[[#This Row],[Player ID]],Table5[[#All],[PID]],0)))</f>
        <v>Juárez</v>
      </c>
    </row>
    <row r="228" spans="1:11" x14ac:dyDescent="0.25">
      <c r="A228">
        <v>8</v>
      </c>
      <c r="B228">
        <v>0</v>
      </c>
      <c r="C228">
        <v>7</v>
      </c>
      <c r="D228" t="s">
        <v>626</v>
      </c>
      <c r="E228">
        <v>160</v>
      </c>
      <c r="F228">
        <v>18288</v>
      </c>
      <c r="G228" t="s">
        <v>316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225</v>
      </c>
      <c r="I228" t="str">
        <f>IF(DraftResults[[#This Row],[Player ID]]=0,"",INDEX(Table5[[#All],[Pos]],MATCH(DraftResults[[#This Row],[Player ID]],Table5[[#All],[PID]],0)))</f>
        <v>SP</v>
      </c>
      <c r="J228" t="str">
        <f>IF(DraftResults[[#This Row],[Player ID]]=0,"",INDEX(Table5[[#All],[First]],MATCH(DraftResults[[#This Row],[Player ID]],Table5[[#All],[PID]],0)))</f>
        <v>Reece</v>
      </c>
      <c r="K228" t="str">
        <f>IF(DraftResults[[#This Row],[Player ID]]=0,"",INDEX(Table5[[#All],[Last]],MATCH(DraftResults[[#This Row],[Player ID]],Table5[[#All],[PID]],0)))</f>
        <v>Murray</v>
      </c>
    </row>
    <row r="229" spans="1:11" x14ac:dyDescent="0.25">
      <c r="A229">
        <v>8</v>
      </c>
      <c r="B229">
        <v>0</v>
      </c>
      <c r="C229">
        <v>8</v>
      </c>
      <c r="D229" t="s">
        <v>250</v>
      </c>
      <c r="E229">
        <v>3</v>
      </c>
      <c r="F229">
        <v>20283</v>
      </c>
      <c r="G229" t="s">
        <v>316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226</v>
      </c>
      <c r="I229" t="str">
        <f>IF(DraftResults[[#This Row],[Player ID]]=0,"",INDEX(Table5[[#All],[Pos]],MATCH(DraftResults[[#This Row],[Player ID]],Table5[[#All],[PID]],0)))</f>
        <v>3B</v>
      </c>
      <c r="J229" t="str">
        <f>IF(DraftResults[[#This Row],[Player ID]]=0,"",INDEX(Table5[[#All],[First]],MATCH(DraftResults[[#This Row],[Player ID]],Table5[[#All],[PID]],0)))</f>
        <v>Sven</v>
      </c>
      <c r="K229" t="str">
        <f>IF(DraftResults[[#This Row],[Player ID]]=0,"",INDEX(Table5[[#All],[Last]],MATCH(DraftResults[[#This Row],[Player ID]],Table5[[#All],[PID]],0)))</f>
        <v>Fraters</v>
      </c>
    </row>
    <row r="230" spans="1:11" x14ac:dyDescent="0.25">
      <c r="A230">
        <v>8</v>
      </c>
      <c r="B230">
        <v>0</v>
      </c>
      <c r="C230">
        <v>9</v>
      </c>
      <c r="D230" t="s">
        <v>456</v>
      </c>
      <c r="E230">
        <v>164</v>
      </c>
      <c r="F230">
        <v>20841</v>
      </c>
      <c r="G230" t="s">
        <v>316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227</v>
      </c>
      <c r="I230" t="str">
        <f>IF(DraftResults[[#This Row],[Player ID]]=0,"",INDEX(Table5[[#All],[Pos]],MATCH(DraftResults[[#This Row],[Player ID]],Table5[[#All],[PID]],0)))</f>
        <v>2B</v>
      </c>
      <c r="J230" t="str">
        <f>IF(DraftResults[[#This Row],[Player ID]]=0,"",INDEX(Table5[[#All],[First]],MATCH(DraftResults[[#This Row],[Player ID]],Table5[[#All],[PID]],0)))</f>
        <v>Darrell</v>
      </c>
      <c r="K230" t="str">
        <f>IF(DraftResults[[#This Row],[Player ID]]=0,"",INDEX(Table5[[#All],[Last]],MATCH(DraftResults[[#This Row],[Player ID]],Table5[[#All],[PID]],0)))</f>
        <v>MacKnight</v>
      </c>
    </row>
    <row r="231" spans="1:11" x14ac:dyDescent="0.25">
      <c r="A231">
        <v>8</v>
      </c>
      <c r="B231">
        <v>0</v>
      </c>
      <c r="C231">
        <v>10</v>
      </c>
      <c r="D231" t="s">
        <v>461</v>
      </c>
      <c r="E231">
        <v>18</v>
      </c>
      <c r="F231">
        <v>20769</v>
      </c>
      <c r="G231" t="s">
        <v>316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228</v>
      </c>
      <c r="I231" t="str">
        <f>IF(DraftResults[[#This Row],[Player ID]]=0,"",INDEX(Table5[[#All],[Pos]],MATCH(DraftResults[[#This Row],[Player ID]],Table5[[#All],[PID]],0)))</f>
        <v>LF</v>
      </c>
      <c r="J231" t="str">
        <f>IF(DraftResults[[#This Row],[Player ID]]=0,"",INDEX(Table5[[#All],[First]],MATCH(DraftResults[[#This Row],[Player ID]],Table5[[#All],[PID]],0)))</f>
        <v>Ken</v>
      </c>
      <c r="K231" t="str">
        <f>IF(DraftResults[[#This Row],[Player ID]]=0,"",INDEX(Table5[[#All],[Last]],MATCH(DraftResults[[#This Row],[Player ID]],Table5[[#All],[PID]],0)))</f>
        <v>Hamilton</v>
      </c>
    </row>
    <row r="232" spans="1:11" ht="15.75" customHeight="1" x14ac:dyDescent="0.25">
      <c r="A232">
        <v>8</v>
      </c>
      <c r="B232">
        <v>0</v>
      </c>
      <c r="C232">
        <v>11</v>
      </c>
      <c r="D232" t="s">
        <v>253</v>
      </c>
      <c r="E232">
        <v>15</v>
      </c>
      <c r="F232">
        <v>18129</v>
      </c>
      <c r="G232" t="s">
        <v>316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229</v>
      </c>
      <c r="I232" t="str">
        <f>IF(DraftResults[[#This Row],[Player ID]]=0,"",INDEX(Table5[[#All],[Pos]],MATCH(DraftResults[[#This Row],[Player ID]],Table5[[#All],[PID]],0)))</f>
        <v>RP</v>
      </c>
      <c r="J232" t="str">
        <f>IF(DraftResults[[#This Row],[Player ID]]=0,"",INDEX(Table5[[#All],[First]],MATCH(DraftResults[[#This Row],[Player ID]],Table5[[#All],[PID]],0)))</f>
        <v>Dan</v>
      </c>
      <c r="K232" t="str">
        <f>IF(DraftResults[[#This Row],[Player ID]]=0,"",INDEX(Table5[[#All],[Last]],MATCH(DraftResults[[#This Row],[Player ID]],Table5[[#All],[PID]],0)))</f>
        <v>Davidson</v>
      </c>
    </row>
    <row r="233" spans="1:11" x14ac:dyDescent="0.25">
      <c r="A233">
        <v>8</v>
      </c>
      <c r="B233">
        <v>0</v>
      </c>
      <c r="C233">
        <v>12</v>
      </c>
      <c r="D233" t="s">
        <v>245</v>
      </c>
      <c r="E233">
        <v>21</v>
      </c>
      <c r="F233">
        <v>12778</v>
      </c>
      <c r="G233" t="s">
        <v>316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230</v>
      </c>
      <c r="I233" t="str">
        <f>IF(DraftResults[[#This Row],[Player ID]]=0,"",INDEX(Table5[[#All],[Pos]],MATCH(DraftResults[[#This Row],[Player ID]],Table5[[#All],[PID]],0)))</f>
        <v>CL</v>
      </c>
      <c r="J233" t="str">
        <f>IF(DraftResults[[#This Row],[Player ID]]=0,"",INDEX(Table5[[#All],[First]],MATCH(DraftResults[[#This Row],[Player ID]],Table5[[#All],[PID]],0)))</f>
        <v>Pedro</v>
      </c>
      <c r="K233" t="str">
        <f>IF(DraftResults[[#This Row],[Player ID]]=0,"",INDEX(Table5[[#All],[Last]],MATCH(DraftResults[[#This Row],[Player ID]],Table5[[#All],[PID]],0)))</f>
        <v>Gusmán</v>
      </c>
    </row>
    <row r="234" spans="1:11" x14ac:dyDescent="0.25">
      <c r="A234">
        <v>8</v>
      </c>
      <c r="B234">
        <v>0</v>
      </c>
      <c r="C234">
        <v>13</v>
      </c>
      <c r="D234" t="s">
        <v>243</v>
      </c>
      <c r="E234">
        <v>22</v>
      </c>
      <c r="F234">
        <v>20413</v>
      </c>
      <c r="G234" t="s">
        <v>316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231</v>
      </c>
      <c r="I234" t="str">
        <f>IF(DraftResults[[#This Row],[Player ID]]=0,"",INDEX(Table5[[#All],[Pos]],MATCH(DraftResults[[#This Row],[Player ID]],Table5[[#All],[PID]],0)))</f>
        <v>C</v>
      </c>
      <c r="J234" t="str">
        <f>IF(DraftResults[[#This Row],[Player ID]]=0,"",INDEX(Table5[[#All],[First]],MATCH(DraftResults[[#This Row],[Player ID]],Table5[[#All],[PID]],0)))</f>
        <v>Arthur</v>
      </c>
      <c r="K234" t="str">
        <f>IF(DraftResults[[#This Row],[Player ID]]=0,"",INDEX(Table5[[#All],[Last]],MATCH(DraftResults[[#This Row],[Player ID]],Table5[[#All],[PID]],0)))</f>
        <v>Cottam</v>
      </c>
    </row>
    <row r="235" spans="1:11" x14ac:dyDescent="0.25">
      <c r="A235">
        <v>8</v>
      </c>
      <c r="B235">
        <v>0</v>
      </c>
      <c r="C235">
        <v>14</v>
      </c>
      <c r="D235" t="s">
        <v>251</v>
      </c>
      <c r="E235">
        <v>1</v>
      </c>
      <c r="F235">
        <v>18008</v>
      </c>
      <c r="G235" t="s">
        <v>316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232</v>
      </c>
      <c r="I235" t="str">
        <f>IF(DraftResults[[#This Row],[Player ID]]=0,"",INDEX(Table5[[#All],[Pos]],MATCH(DraftResults[[#This Row],[Player ID]],Table5[[#All],[PID]],0)))</f>
        <v>RP</v>
      </c>
      <c r="J235" t="str">
        <f>IF(DraftResults[[#This Row],[Player ID]]=0,"",INDEX(Table5[[#All],[First]],MATCH(DraftResults[[#This Row],[Player ID]],Table5[[#All],[PID]],0)))</f>
        <v>Cristo</v>
      </c>
      <c r="K235" t="str">
        <f>IF(DraftResults[[#This Row],[Player ID]]=0,"",INDEX(Table5[[#All],[Last]],MATCH(DraftResults[[#This Row],[Player ID]],Table5[[#All],[PID]],0)))</f>
        <v>Lagunas</v>
      </c>
    </row>
    <row r="236" spans="1:11" x14ac:dyDescent="0.25">
      <c r="A236">
        <v>8</v>
      </c>
      <c r="B236">
        <v>0</v>
      </c>
      <c r="C236">
        <v>15</v>
      </c>
      <c r="D236" t="s">
        <v>249</v>
      </c>
      <c r="E236">
        <v>10</v>
      </c>
      <c r="F236">
        <v>20865</v>
      </c>
      <c r="G236" t="s">
        <v>316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233</v>
      </c>
      <c r="I236" t="str">
        <f>IF(DraftResults[[#This Row],[Player ID]]=0,"",INDEX(Table5[[#All],[Pos]],MATCH(DraftResults[[#This Row],[Player ID]],Table5[[#All],[PID]],0)))</f>
        <v>1B</v>
      </c>
      <c r="J236" t="str">
        <f>IF(DraftResults[[#This Row],[Player ID]]=0,"",INDEX(Table5[[#All],[First]],MATCH(DraftResults[[#This Row],[Player ID]],Table5[[#All],[PID]],0)))</f>
        <v>Chris</v>
      </c>
      <c r="K236" t="str">
        <f>IF(DraftResults[[#This Row],[Player ID]]=0,"",INDEX(Table5[[#All],[Last]],MATCH(DraftResults[[#This Row],[Player ID]],Table5[[#All],[PID]],0)))</f>
        <v>Crouch</v>
      </c>
    </row>
    <row r="237" spans="1:11" x14ac:dyDescent="0.25">
      <c r="A237">
        <v>8</v>
      </c>
      <c r="B237">
        <v>0</v>
      </c>
      <c r="C237">
        <v>16</v>
      </c>
      <c r="D237" t="s">
        <v>261</v>
      </c>
      <c r="E237">
        <v>12</v>
      </c>
      <c r="F237">
        <v>21093</v>
      </c>
      <c r="G237" t="s">
        <v>316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234</v>
      </c>
      <c r="I237" t="str">
        <f>IF(DraftResults[[#This Row],[Player ID]]=0,"",INDEX(Table5[[#All],[Pos]],MATCH(DraftResults[[#This Row],[Player ID]],Table5[[#All],[PID]],0)))</f>
        <v>SS</v>
      </c>
      <c r="J237" t="str">
        <f>IF(DraftResults[[#This Row],[Player ID]]=0,"",INDEX(Table5[[#All],[First]],MATCH(DraftResults[[#This Row],[Player ID]],Table5[[#All],[PID]],0)))</f>
        <v>Robin</v>
      </c>
      <c r="K237" t="str">
        <f>IF(DraftResults[[#This Row],[Player ID]]=0,"",INDEX(Table5[[#All],[Last]],MATCH(DraftResults[[#This Row],[Player ID]],Table5[[#All],[PID]],0)))</f>
        <v>Robinson</v>
      </c>
    </row>
    <row r="238" spans="1:11" x14ac:dyDescent="0.25">
      <c r="A238">
        <v>8</v>
      </c>
      <c r="B238">
        <v>0</v>
      </c>
      <c r="C238">
        <v>17</v>
      </c>
      <c r="D238" t="s">
        <v>627</v>
      </c>
      <c r="E238">
        <v>13</v>
      </c>
      <c r="F238">
        <v>18333</v>
      </c>
      <c r="G238" t="s">
        <v>316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235</v>
      </c>
      <c r="I238" t="str">
        <f>IF(DraftResults[[#This Row],[Player ID]]=0,"",INDEX(Table5[[#All],[Pos]],MATCH(DraftResults[[#This Row],[Player ID]],Table5[[#All],[PID]],0)))</f>
        <v>LF</v>
      </c>
      <c r="J238" t="str">
        <f>IF(DraftResults[[#This Row],[Player ID]]=0,"",INDEX(Table5[[#All],[First]],MATCH(DraftResults[[#This Row],[Player ID]],Table5[[#All],[PID]],0)))</f>
        <v>Kuniyoshi</v>
      </c>
      <c r="K238" t="str">
        <f>IF(DraftResults[[#This Row],[Player ID]]=0,"",INDEX(Table5[[#All],[Last]],MATCH(DraftResults[[#This Row],[Player ID]],Table5[[#All],[PID]],0)))</f>
        <v>Gato</v>
      </c>
    </row>
    <row r="239" spans="1:11" x14ac:dyDescent="0.25">
      <c r="A239">
        <v>8</v>
      </c>
      <c r="B239">
        <v>0</v>
      </c>
      <c r="C239">
        <v>18</v>
      </c>
      <c r="D239" t="s">
        <v>254</v>
      </c>
      <c r="E239">
        <v>20</v>
      </c>
      <c r="F239">
        <v>18221</v>
      </c>
      <c r="G239" t="s">
        <v>316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236</v>
      </c>
      <c r="I239" t="str">
        <f>IF(DraftResults[[#This Row],[Player ID]]=0,"",INDEX(Table5[[#All],[Pos]],MATCH(DraftResults[[#This Row],[Player ID]],Table5[[#All],[PID]],0)))</f>
        <v>SP</v>
      </c>
      <c r="J239" t="str">
        <f>IF(DraftResults[[#This Row],[Player ID]]=0,"",INDEX(Table5[[#All],[First]],MATCH(DraftResults[[#This Row],[Player ID]],Table5[[#All],[PID]],0)))</f>
        <v>Emerson</v>
      </c>
      <c r="K239" t="str">
        <f>IF(DraftResults[[#This Row],[Player ID]]=0,"",INDEX(Table5[[#All],[Last]],MATCH(DraftResults[[#This Row],[Player ID]],Table5[[#All],[PID]],0)))</f>
        <v>Hickman</v>
      </c>
    </row>
    <row r="240" spans="1:11" x14ac:dyDescent="0.25">
      <c r="A240">
        <v>8</v>
      </c>
      <c r="B240">
        <v>0</v>
      </c>
      <c r="C240">
        <v>19</v>
      </c>
      <c r="D240" t="s">
        <v>456</v>
      </c>
      <c r="E240">
        <v>164</v>
      </c>
      <c r="F240">
        <v>20646</v>
      </c>
      <c r="G240" t="s">
        <v>316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237</v>
      </c>
      <c r="I240" t="str">
        <f>IF(DraftResults[[#This Row],[Player ID]]=0,"",INDEX(Table5[[#All],[Pos]],MATCH(DraftResults[[#This Row],[Player ID]],Table5[[#All],[PID]],0)))</f>
        <v>RF</v>
      </c>
      <c r="J240" t="str">
        <f>IF(DraftResults[[#This Row],[Player ID]]=0,"",INDEX(Table5[[#All],[First]],MATCH(DraftResults[[#This Row],[Player ID]],Table5[[#All],[PID]],0)))</f>
        <v>Paco</v>
      </c>
      <c r="K240" t="str">
        <f>IF(DraftResults[[#This Row],[Player ID]]=0,"",INDEX(Table5[[#All],[Last]],MATCH(DraftResults[[#This Row],[Player ID]],Table5[[#All],[PID]],0)))</f>
        <v>Gonzáles</v>
      </c>
    </row>
    <row r="241" spans="1:11" x14ac:dyDescent="0.25">
      <c r="A241">
        <v>8</v>
      </c>
      <c r="B241">
        <v>0</v>
      </c>
      <c r="C241">
        <v>20</v>
      </c>
      <c r="D241" t="s">
        <v>455</v>
      </c>
      <c r="E241">
        <v>2</v>
      </c>
      <c r="F241">
        <v>20649</v>
      </c>
      <c r="G241" t="s">
        <v>316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238</v>
      </c>
      <c r="I241" t="str">
        <f>IF(DraftResults[[#This Row],[Player ID]]=0,"",INDEX(Table5[[#All],[Pos]],MATCH(DraftResults[[#This Row],[Player ID]],Table5[[#All],[PID]],0)))</f>
        <v>1B</v>
      </c>
      <c r="J241" t="str">
        <f>IF(DraftResults[[#This Row],[Player ID]]=0,"",INDEX(Table5[[#All],[First]],MATCH(DraftResults[[#This Row],[Player ID]],Table5[[#All],[PID]],0)))</f>
        <v>Yong-u</v>
      </c>
      <c r="K241" t="str">
        <f>IF(DraftResults[[#This Row],[Player ID]]=0,"",INDEX(Table5[[#All],[Last]],MATCH(DraftResults[[#This Row],[Player ID]],Table5[[#All],[PID]],0)))</f>
        <v>Ton</v>
      </c>
    </row>
    <row r="242" spans="1:11" x14ac:dyDescent="0.25">
      <c r="A242">
        <v>8</v>
      </c>
      <c r="B242">
        <v>0</v>
      </c>
      <c r="C242">
        <v>21</v>
      </c>
      <c r="D242" t="s">
        <v>252</v>
      </c>
      <c r="E242">
        <v>14</v>
      </c>
      <c r="F242">
        <v>18262</v>
      </c>
      <c r="G242" t="s">
        <v>316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239</v>
      </c>
      <c r="I242" t="str">
        <f>IF(DraftResults[[#This Row],[Player ID]]=0,"",INDEX(Table5[[#All],[Pos]],MATCH(DraftResults[[#This Row],[Player ID]],Table5[[#All],[PID]],0)))</f>
        <v>CL</v>
      </c>
      <c r="J242" t="str">
        <f>IF(DraftResults[[#This Row],[Player ID]]=0,"",INDEX(Table5[[#All],[First]],MATCH(DraftResults[[#This Row],[Player ID]],Table5[[#All],[PID]],0)))</f>
        <v>Doug</v>
      </c>
      <c r="K242" t="str">
        <f>IF(DraftResults[[#This Row],[Player ID]]=0,"",INDEX(Table5[[#All],[Last]],MATCH(DraftResults[[#This Row],[Player ID]],Table5[[#All],[PID]],0)))</f>
        <v>McKee</v>
      </c>
    </row>
    <row r="243" spans="1:11" x14ac:dyDescent="0.25">
      <c r="A243">
        <v>8</v>
      </c>
      <c r="B243">
        <v>0</v>
      </c>
      <c r="C243">
        <v>22</v>
      </c>
      <c r="D243" t="s">
        <v>257</v>
      </c>
      <c r="E243">
        <v>16</v>
      </c>
      <c r="F243">
        <v>20471</v>
      </c>
      <c r="G243" t="s">
        <v>316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240</v>
      </c>
      <c r="I243" t="str">
        <f>IF(DraftResults[[#This Row],[Player ID]]=0,"",INDEX(Table5[[#All],[Pos]],MATCH(DraftResults[[#This Row],[Player ID]],Table5[[#All],[PID]],0)))</f>
        <v>LF</v>
      </c>
      <c r="J243" t="str">
        <f>IF(DraftResults[[#This Row],[Player ID]]=0,"",INDEX(Table5[[#All],[First]],MATCH(DraftResults[[#This Row],[Player ID]],Table5[[#All],[PID]],0)))</f>
        <v>Purwanto</v>
      </c>
      <c r="K243" t="str">
        <f>IF(DraftResults[[#This Row],[Player ID]]=0,"",INDEX(Table5[[#All],[Last]],MATCH(DraftResults[[#This Row],[Player ID]],Table5[[#All],[PID]],0)))</f>
        <v>Ananas</v>
      </c>
    </row>
    <row r="244" spans="1:11" x14ac:dyDescent="0.25">
      <c r="A244">
        <v>8</v>
      </c>
      <c r="B244">
        <v>0</v>
      </c>
      <c r="C244">
        <v>23</v>
      </c>
      <c r="D244" t="s">
        <v>542</v>
      </c>
      <c r="E244">
        <v>7</v>
      </c>
      <c r="F244">
        <v>18143</v>
      </c>
      <c r="G244" t="s">
        <v>316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241</v>
      </c>
      <c r="I244" t="str">
        <f>IF(DraftResults[[#This Row],[Player ID]]=0,"",INDEX(Table5[[#All],[Pos]],MATCH(DraftResults[[#This Row],[Player ID]],Table5[[#All],[PID]],0)))</f>
        <v>SP</v>
      </c>
      <c r="J244" t="str">
        <f>IF(DraftResults[[#This Row],[Player ID]]=0,"",INDEX(Table5[[#All],[First]],MATCH(DraftResults[[#This Row],[Player ID]],Table5[[#All],[PID]],0)))</f>
        <v>Javier</v>
      </c>
      <c r="K244" t="str">
        <f>IF(DraftResults[[#This Row],[Player ID]]=0,"",INDEX(Table5[[#All],[Last]],MATCH(DraftResults[[#This Row],[Player ID]],Table5[[#All],[PID]],0)))</f>
        <v>Vargas</v>
      </c>
    </row>
    <row r="245" spans="1:11" x14ac:dyDescent="0.25">
      <c r="A245">
        <v>8</v>
      </c>
      <c r="B245">
        <v>0</v>
      </c>
      <c r="C245">
        <v>24</v>
      </c>
      <c r="D245" t="s">
        <v>242</v>
      </c>
      <c r="E245">
        <v>19</v>
      </c>
      <c r="F245">
        <v>18404</v>
      </c>
      <c r="G245" t="s">
        <v>316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242</v>
      </c>
      <c r="I245" t="str">
        <f>IF(DraftResults[[#This Row],[Player ID]]=0,"",INDEX(Table5[[#All],[Pos]],MATCH(DraftResults[[#This Row],[Player ID]],Table5[[#All],[PID]],0)))</f>
        <v>3B</v>
      </c>
      <c r="J245" t="str">
        <f>IF(DraftResults[[#This Row],[Player ID]]=0,"",INDEX(Table5[[#All],[First]],MATCH(DraftResults[[#This Row],[Player ID]],Table5[[#All],[PID]],0)))</f>
        <v>Gijsbert</v>
      </c>
      <c r="K245" t="str">
        <f>IF(DraftResults[[#This Row],[Player ID]]=0,"",INDEX(Table5[[#All],[Last]],MATCH(DraftResults[[#This Row],[Player ID]],Table5[[#All],[PID]],0)))</f>
        <v>Verboven</v>
      </c>
    </row>
    <row r="246" spans="1:11" x14ac:dyDescent="0.25">
      <c r="A246">
        <v>8</v>
      </c>
      <c r="B246">
        <v>0</v>
      </c>
      <c r="C246">
        <v>25</v>
      </c>
      <c r="D246" t="s">
        <v>457</v>
      </c>
      <c r="E246">
        <v>166</v>
      </c>
      <c r="F246">
        <v>18380</v>
      </c>
      <c r="G246" t="s">
        <v>316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243</v>
      </c>
      <c r="I246" t="str">
        <f>IF(DraftResults[[#This Row],[Player ID]]=0,"",INDEX(Table5[[#All],[Pos]],MATCH(DraftResults[[#This Row],[Player ID]],Table5[[#All],[PID]],0)))</f>
        <v>RP</v>
      </c>
      <c r="J246" t="str">
        <f>IF(DraftResults[[#This Row],[Player ID]]=0,"",INDEX(Table5[[#All],[First]],MATCH(DraftResults[[#This Row],[Player ID]],Table5[[#All],[PID]],0)))</f>
        <v>Tsutomu</v>
      </c>
      <c r="K246" t="str">
        <f>IF(DraftResults[[#This Row],[Player ID]]=0,"",INDEX(Table5[[#All],[Last]],MATCH(DraftResults[[#This Row],[Player ID]],Table5[[#All],[PID]],0)))</f>
        <v>Nagai</v>
      </c>
    </row>
    <row r="247" spans="1:11" x14ac:dyDescent="0.25">
      <c r="A247">
        <v>8</v>
      </c>
      <c r="B247">
        <v>0</v>
      </c>
      <c r="C247">
        <v>26</v>
      </c>
      <c r="D247" t="s">
        <v>625</v>
      </c>
      <c r="E247">
        <v>24</v>
      </c>
      <c r="F247">
        <v>20730</v>
      </c>
      <c r="G247" t="s">
        <v>316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244</v>
      </c>
      <c r="I247" t="str">
        <f>IF(DraftResults[[#This Row],[Player ID]]=0,"",INDEX(Table5[[#All],[Pos]],MATCH(DraftResults[[#This Row],[Player ID]],Table5[[#All],[PID]],0)))</f>
        <v>SP</v>
      </c>
      <c r="J247" t="str">
        <f>IF(DraftResults[[#This Row],[Player ID]]=0,"",INDEX(Table5[[#All],[First]],MATCH(DraftResults[[#This Row],[Player ID]],Table5[[#All],[PID]],0)))</f>
        <v>Dennis</v>
      </c>
      <c r="K247" t="str">
        <f>IF(DraftResults[[#This Row],[Player ID]]=0,"",INDEX(Table5[[#All],[Last]],MATCH(DraftResults[[#This Row],[Player ID]],Table5[[#All],[PID]],0)))</f>
        <v>Smith</v>
      </c>
    </row>
    <row r="248" spans="1:11" x14ac:dyDescent="0.25">
      <c r="A248">
        <v>8</v>
      </c>
      <c r="B248">
        <v>0</v>
      </c>
      <c r="C248">
        <v>27</v>
      </c>
      <c r="D248" t="s">
        <v>458</v>
      </c>
      <c r="E248">
        <v>159</v>
      </c>
      <c r="F248">
        <v>17977</v>
      </c>
      <c r="G248" t="s">
        <v>316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245</v>
      </c>
      <c r="I248" t="str">
        <f>IF(DraftResults[[#This Row],[Player ID]]=0,"",INDEX(Table5[[#All],[Pos]],MATCH(DraftResults[[#This Row],[Player ID]],Table5[[#All],[PID]],0)))</f>
        <v>1B</v>
      </c>
      <c r="J248" t="str">
        <f>IF(DraftResults[[#This Row],[Player ID]]=0,"",INDEX(Table5[[#All],[First]],MATCH(DraftResults[[#This Row],[Player ID]],Table5[[#All],[PID]],0)))</f>
        <v>Glenn</v>
      </c>
      <c r="K248" t="str">
        <f>IF(DraftResults[[#This Row],[Player ID]]=0,"",INDEX(Table5[[#All],[Last]],MATCH(DraftResults[[#This Row],[Player ID]],Table5[[#All],[PID]],0)))</f>
        <v>Reynolds</v>
      </c>
    </row>
    <row r="249" spans="1:11" x14ac:dyDescent="0.25">
      <c r="A249">
        <v>8</v>
      </c>
      <c r="B249">
        <v>0</v>
      </c>
      <c r="C249">
        <v>28</v>
      </c>
      <c r="D249" t="s">
        <v>454</v>
      </c>
      <c r="E249">
        <v>162</v>
      </c>
      <c r="F249">
        <v>18398</v>
      </c>
      <c r="G249" t="s">
        <v>316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246</v>
      </c>
      <c r="I249" t="str">
        <f>IF(DraftResults[[#This Row],[Player ID]]=0,"",INDEX(Table5[[#All],[Pos]],MATCH(DraftResults[[#This Row],[Player ID]],Table5[[#All],[PID]],0)))</f>
        <v>CL</v>
      </c>
      <c r="J249" t="str">
        <f>IF(DraftResults[[#This Row],[Player ID]]=0,"",INDEX(Table5[[#All],[First]],MATCH(DraftResults[[#This Row],[Player ID]],Table5[[#All],[PID]],0)))</f>
        <v>Dylan</v>
      </c>
      <c r="K249" t="str">
        <f>IF(DraftResults[[#This Row],[Player ID]]=0,"",INDEX(Table5[[#All],[Last]],MATCH(DraftResults[[#This Row],[Player ID]],Table5[[#All],[PID]],0)))</f>
        <v>Peden</v>
      </c>
    </row>
    <row r="250" spans="1:11" x14ac:dyDescent="0.25">
      <c r="A250">
        <v>8</v>
      </c>
      <c r="B250">
        <v>0</v>
      </c>
      <c r="C250">
        <v>29</v>
      </c>
      <c r="D250" t="s">
        <v>459</v>
      </c>
      <c r="E250">
        <v>163</v>
      </c>
      <c r="F250">
        <v>18162</v>
      </c>
      <c r="G250" t="s">
        <v>316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247</v>
      </c>
      <c r="I250" t="str">
        <f>IF(DraftResults[[#This Row],[Player ID]]=0,"",INDEX(Table5[[#All],[Pos]],MATCH(DraftResults[[#This Row],[Player ID]],Table5[[#All],[PID]],0)))</f>
        <v>SP</v>
      </c>
      <c r="J250" t="str">
        <f>IF(DraftResults[[#This Row],[Player ID]]=0,"",INDEX(Table5[[#All],[First]],MATCH(DraftResults[[#This Row],[Player ID]],Table5[[#All],[PID]],0)))</f>
        <v>Jeffrey</v>
      </c>
      <c r="K250" t="str">
        <f>IF(DraftResults[[#This Row],[Player ID]]=0,"",INDEX(Table5[[#All],[Last]],MATCH(DraftResults[[#This Row],[Player ID]],Table5[[#All],[PID]],0)))</f>
        <v>Cochran</v>
      </c>
    </row>
    <row r="251" spans="1:11" x14ac:dyDescent="0.25">
      <c r="A251">
        <v>8</v>
      </c>
      <c r="B251">
        <v>0</v>
      </c>
      <c r="C251">
        <v>30</v>
      </c>
      <c r="D251" t="s">
        <v>629</v>
      </c>
      <c r="E251">
        <v>9</v>
      </c>
      <c r="F251">
        <v>18402</v>
      </c>
      <c r="G251" t="s">
        <v>316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248</v>
      </c>
      <c r="I251" t="str">
        <f>IF(DraftResults[[#This Row],[Player ID]]=0,"",INDEX(Table5[[#All],[Pos]],MATCH(DraftResults[[#This Row],[Player ID]],Table5[[#All],[PID]],0)))</f>
        <v>RF</v>
      </c>
      <c r="J251" t="str">
        <f>IF(DraftResults[[#This Row],[Player ID]]=0,"",INDEX(Table5[[#All],[First]],MATCH(DraftResults[[#This Row],[Player ID]],Table5[[#All],[PID]],0)))</f>
        <v>Yoshii</v>
      </c>
      <c r="K251" t="str">
        <f>IF(DraftResults[[#This Row],[Player ID]]=0,"",INDEX(Table5[[#All],[Last]],MATCH(DraftResults[[#This Row],[Player ID]],Table5[[#All],[PID]],0)))</f>
        <v>Inoue</v>
      </c>
    </row>
    <row r="252" spans="1:11" x14ac:dyDescent="0.25">
      <c r="A252">
        <v>9</v>
      </c>
      <c r="B252">
        <v>0</v>
      </c>
      <c r="C252">
        <v>1</v>
      </c>
      <c r="D252" t="s">
        <v>251</v>
      </c>
      <c r="E252">
        <v>1</v>
      </c>
      <c r="F252">
        <v>21014</v>
      </c>
      <c r="G252" t="s">
        <v>316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249</v>
      </c>
      <c r="I252" t="str">
        <f>IF(DraftResults[[#This Row],[Player ID]]=0,"",INDEX(Table5[[#All],[Pos]],MATCH(DraftResults[[#This Row],[Player ID]],Table5[[#All],[PID]],0)))</f>
        <v>C</v>
      </c>
      <c r="J252" t="str">
        <f>IF(DraftResults[[#This Row],[Player ID]]=0,"",INDEX(Table5[[#All],[First]],MATCH(DraftResults[[#This Row],[Player ID]],Table5[[#All],[PID]],0)))</f>
        <v>Dave</v>
      </c>
      <c r="K252" t="str">
        <f>IF(DraftResults[[#This Row],[Player ID]]=0,"",INDEX(Table5[[#All],[Last]],MATCH(DraftResults[[#This Row],[Player ID]],Table5[[#All],[PID]],0)))</f>
        <v>McCann</v>
      </c>
    </row>
    <row r="253" spans="1:11" x14ac:dyDescent="0.25">
      <c r="A253">
        <v>9</v>
      </c>
      <c r="B253">
        <v>0</v>
      </c>
      <c r="C253">
        <v>2</v>
      </c>
      <c r="D253" t="s">
        <v>542</v>
      </c>
      <c r="E253">
        <v>7</v>
      </c>
      <c r="F253">
        <v>18258</v>
      </c>
      <c r="G253" t="s">
        <v>316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250</v>
      </c>
      <c r="I253" t="str">
        <f>IF(DraftResults[[#This Row],[Player ID]]=0,"",INDEX(Table5[[#All],[Pos]],MATCH(DraftResults[[#This Row],[Player ID]],Table5[[#All],[PID]],0)))</f>
        <v>SP</v>
      </c>
      <c r="J253" t="str">
        <f>IF(DraftResults[[#This Row],[Player ID]]=0,"",INDEX(Table5[[#All],[First]],MATCH(DraftResults[[#This Row],[Player ID]],Table5[[#All],[PID]],0)))</f>
        <v>Lynn</v>
      </c>
      <c r="K253" t="str">
        <f>IF(DraftResults[[#This Row],[Player ID]]=0,"",INDEX(Table5[[#All],[Last]],MATCH(DraftResults[[#This Row],[Player ID]],Table5[[#All],[PID]],0)))</f>
        <v>Gilbert</v>
      </c>
    </row>
    <row r="254" spans="1:11" x14ac:dyDescent="0.25">
      <c r="A254">
        <v>9</v>
      </c>
      <c r="B254">
        <v>0</v>
      </c>
      <c r="C254">
        <v>3</v>
      </c>
      <c r="D254" t="s">
        <v>256</v>
      </c>
      <c r="E254">
        <v>8</v>
      </c>
      <c r="F254">
        <v>20472</v>
      </c>
      <c r="G254" t="s">
        <v>316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251</v>
      </c>
      <c r="I254" t="str">
        <f>IF(DraftResults[[#This Row],[Player ID]]=0,"",INDEX(Table5[[#All],[Pos]],MATCH(DraftResults[[#This Row],[Player ID]],Table5[[#All],[PID]],0)))</f>
        <v>3B</v>
      </c>
      <c r="J254" t="str">
        <f>IF(DraftResults[[#This Row],[Player ID]]=0,"",INDEX(Table5[[#All],[First]],MATCH(DraftResults[[#This Row],[Player ID]],Table5[[#All],[PID]],0)))</f>
        <v>Bujana</v>
      </c>
      <c r="K254" t="str">
        <f>IF(DraftResults[[#This Row],[Player ID]]=0,"",INDEX(Table5[[#All],[Last]],MATCH(DraftResults[[#This Row],[Player ID]],Table5[[#All],[PID]],0)))</f>
        <v>Sukarno</v>
      </c>
    </row>
    <row r="255" spans="1:11" x14ac:dyDescent="0.25">
      <c r="A255">
        <v>9</v>
      </c>
      <c r="B255">
        <v>0</v>
      </c>
      <c r="C255">
        <v>4</v>
      </c>
      <c r="D255" t="s">
        <v>628</v>
      </c>
      <c r="E255">
        <v>23</v>
      </c>
      <c r="F255">
        <v>18452</v>
      </c>
      <c r="G255" t="s">
        <v>316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252</v>
      </c>
      <c r="I255" t="str">
        <f>IF(DraftResults[[#This Row],[Player ID]]=0,"",INDEX(Table5[[#All],[Pos]],MATCH(DraftResults[[#This Row],[Player ID]],Table5[[#All],[PID]],0)))</f>
        <v>CL</v>
      </c>
      <c r="J255" t="str">
        <f>IF(DraftResults[[#This Row],[Player ID]]=0,"",INDEX(Table5[[#All],[First]],MATCH(DraftResults[[#This Row],[Player ID]],Table5[[#All],[PID]],0)))</f>
        <v>Yukinaga</v>
      </c>
      <c r="K255" t="str">
        <f>IF(DraftResults[[#This Row],[Player ID]]=0,"",INDEX(Table5[[#All],[Last]],MATCH(DraftResults[[#This Row],[Player ID]],Table5[[#All],[PID]],0)))</f>
        <v>Miyazaki</v>
      </c>
    </row>
    <row r="256" spans="1:11" x14ac:dyDescent="0.25">
      <c r="A256">
        <v>9</v>
      </c>
      <c r="B256">
        <v>0</v>
      </c>
      <c r="C256">
        <v>5</v>
      </c>
      <c r="D256" t="s">
        <v>462</v>
      </c>
      <c r="E256">
        <v>167</v>
      </c>
      <c r="F256">
        <v>20965</v>
      </c>
      <c r="G256" t="s">
        <v>316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253</v>
      </c>
      <c r="I256" t="str">
        <f>IF(DraftResults[[#This Row],[Player ID]]=0,"",INDEX(Table5[[#All],[Pos]],MATCH(DraftResults[[#This Row],[Player ID]],Table5[[#All],[PID]],0)))</f>
        <v>1B</v>
      </c>
      <c r="J256" t="str">
        <f>IF(DraftResults[[#This Row],[Player ID]]=0,"",INDEX(Table5[[#All],[First]],MATCH(DraftResults[[#This Row],[Player ID]],Table5[[#All],[PID]],0)))</f>
        <v>Juan</v>
      </c>
      <c r="K256" t="str">
        <f>IF(DraftResults[[#This Row],[Player ID]]=0,"",INDEX(Table5[[#All],[Last]],MATCH(DraftResults[[#This Row],[Player ID]],Table5[[#All],[PID]],0)))</f>
        <v>Long</v>
      </c>
    </row>
    <row r="257" spans="1:11" x14ac:dyDescent="0.25">
      <c r="A257">
        <v>9</v>
      </c>
      <c r="B257">
        <v>0</v>
      </c>
      <c r="C257">
        <v>6</v>
      </c>
      <c r="D257" t="s">
        <v>543</v>
      </c>
      <c r="E257">
        <v>4</v>
      </c>
      <c r="F257">
        <v>18202</v>
      </c>
      <c r="G257" t="s">
        <v>316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254</v>
      </c>
      <c r="I257" t="str">
        <f>IF(DraftResults[[#This Row],[Player ID]]=0,"",INDEX(Table5[[#All],[Pos]],MATCH(DraftResults[[#This Row],[Player ID]],Table5[[#All],[PID]],0)))</f>
        <v>LF</v>
      </c>
      <c r="J257" t="str">
        <f>IF(DraftResults[[#This Row],[Player ID]]=0,"",INDEX(Table5[[#All],[First]],MATCH(DraftResults[[#This Row],[Player ID]],Table5[[#All],[PID]],0)))</f>
        <v>Devin</v>
      </c>
      <c r="K257" t="str">
        <f>IF(DraftResults[[#This Row],[Player ID]]=0,"",INDEX(Table5[[#All],[Last]],MATCH(DraftResults[[#This Row],[Player ID]],Table5[[#All],[PID]],0)))</f>
        <v>Baldwin</v>
      </c>
    </row>
    <row r="258" spans="1:11" ht="15.75" customHeight="1" x14ac:dyDescent="0.25">
      <c r="A258">
        <v>9</v>
      </c>
      <c r="B258">
        <v>0</v>
      </c>
      <c r="C258">
        <v>7</v>
      </c>
      <c r="D258" t="s">
        <v>626</v>
      </c>
      <c r="E258">
        <v>160</v>
      </c>
      <c r="F258">
        <v>20295</v>
      </c>
      <c r="G258" t="s">
        <v>316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255</v>
      </c>
      <c r="I258" t="str">
        <f>IF(DraftResults[[#This Row],[Player ID]]=0,"",INDEX(Table5[[#All],[Pos]],MATCH(DraftResults[[#This Row],[Player ID]],Table5[[#All],[PID]],0)))</f>
        <v>SP</v>
      </c>
      <c r="J258" t="str">
        <f>IF(DraftResults[[#This Row],[Player ID]]=0,"",INDEX(Table5[[#All],[First]],MATCH(DraftResults[[#This Row],[Player ID]],Table5[[#All],[PID]],0)))</f>
        <v>Armando</v>
      </c>
      <c r="K258" t="str">
        <f>IF(DraftResults[[#This Row],[Player ID]]=0,"",INDEX(Table5[[#All],[Last]],MATCH(DraftResults[[#This Row],[Player ID]],Table5[[#All],[PID]],0)))</f>
        <v>Miranda</v>
      </c>
    </row>
    <row r="259" spans="1:11" x14ac:dyDescent="0.25">
      <c r="A259">
        <v>9</v>
      </c>
      <c r="B259">
        <v>0</v>
      </c>
      <c r="C259">
        <v>8</v>
      </c>
      <c r="D259" t="s">
        <v>250</v>
      </c>
      <c r="E259">
        <v>3</v>
      </c>
      <c r="F259">
        <v>20368</v>
      </c>
      <c r="G259" t="s">
        <v>316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256</v>
      </c>
      <c r="I259" t="str">
        <f>IF(DraftResults[[#This Row],[Player ID]]=0,"",INDEX(Table5[[#All],[Pos]],MATCH(DraftResults[[#This Row],[Player ID]],Table5[[#All],[PID]],0)))</f>
        <v>SS</v>
      </c>
      <c r="J259" t="str">
        <f>IF(DraftResults[[#This Row],[Player ID]]=0,"",INDEX(Table5[[#All],[First]],MATCH(DraftResults[[#This Row],[Player ID]],Table5[[#All],[PID]],0)))</f>
        <v>Lawrence</v>
      </c>
      <c r="K259" t="str">
        <f>IF(DraftResults[[#This Row],[Player ID]]=0,"",INDEX(Table5[[#All],[Last]],MATCH(DraftResults[[#This Row],[Player ID]],Table5[[#All],[PID]],0)))</f>
        <v>Myers</v>
      </c>
    </row>
    <row r="260" spans="1:11" x14ac:dyDescent="0.25">
      <c r="A260">
        <v>9</v>
      </c>
      <c r="B260">
        <v>0</v>
      </c>
      <c r="C260">
        <v>9</v>
      </c>
      <c r="D260" t="s">
        <v>456</v>
      </c>
      <c r="E260">
        <v>164</v>
      </c>
      <c r="F260">
        <v>12615</v>
      </c>
      <c r="G260" t="s">
        <v>316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257</v>
      </c>
      <c r="I260" t="str">
        <f>IF(DraftResults[[#This Row],[Player ID]]=0,"",INDEX(Table5[[#All],[Pos]],MATCH(DraftResults[[#This Row],[Player ID]],Table5[[#All],[PID]],0)))</f>
        <v>RP</v>
      </c>
      <c r="J260" t="str">
        <f>IF(DraftResults[[#This Row],[Player ID]]=0,"",INDEX(Table5[[#All],[First]],MATCH(DraftResults[[#This Row],[Player ID]],Table5[[#All],[PID]],0)))</f>
        <v>Jesús</v>
      </c>
      <c r="K260" t="str">
        <f>IF(DraftResults[[#This Row],[Player ID]]=0,"",INDEX(Table5[[#All],[Last]],MATCH(DraftResults[[#This Row],[Player ID]],Table5[[#All],[PID]],0)))</f>
        <v>Ochoa</v>
      </c>
    </row>
    <row r="261" spans="1:11" x14ac:dyDescent="0.25">
      <c r="A261">
        <v>9</v>
      </c>
      <c r="B261">
        <v>0</v>
      </c>
      <c r="C261">
        <v>10</v>
      </c>
      <c r="D261" t="s">
        <v>461</v>
      </c>
      <c r="E261">
        <v>18</v>
      </c>
      <c r="F261">
        <v>18396</v>
      </c>
      <c r="G261" t="s">
        <v>316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258</v>
      </c>
      <c r="I261" t="str">
        <f>IF(DraftResults[[#This Row],[Player ID]]=0,"",INDEX(Table5[[#All],[Pos]],MATCH(DraftResults[[#This Row],[Player ID]],Table5[[#All],[PID]],0)))</f>
        <v>1B</v>
      </c>
      <c r="J261" t="str">
        <f>IF(DraftResults[[#This Row],[Player ID]]=0,"",INDEX(Table5[[#All],[First]],MATCH(DraftResults[[#This Row],[Player ID]],Table5[[#All],[PID]],0)))</f>
        <v>Roberto</v>
      </c>
      <c r="K261" t="str">
        <f>IF(DraftResults[[#This Row],[Player ID]]=0,"",INDEX(Table5[[#All],[Last]],MATCH(DraftResults[[#This Row],[Player ID]],Table5[[#All],[PID]],0)))</f>
        <v>Nae</v>
      </c>
    </row>
    <row r="262" spans="1:11" x14ac:dyDescent="0.25">
      <c r="A262">
        <v>9</v>
      </c>
      <c r="B262">
        <v>0</v>
      </c>
      <c r="C262">
        <v>11</v>
      </c>
      <c r="D262" t="s">
        <v>253</v>
      </c>
      <c r="E262">
        <v>15</v>
      </c>
      <c r="F262">
        <v>17785</v>
      </c>
      <c r="G262" t="s">
        <v>316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259</v>
      </c>
      <c r="I262" t="str">
        <f>IF(DraftResults[[#This Row],[Player ID]]=0,"",INDEX(Table5[[#All],[Pos]],MATCH(DraftResults[[#This Row],[Player ID]],Table5[[#All],[PID]],0)))</f>
        <v>SP</v>
      </c>
      <c r="J262" t="str">
        <f>IF(DraftResults[[#This Row],[Player ID]]=0,"",INDEX(Table5[[#All],[First]],MATCH(DraftResults[[#This Row],[Player ID]],Table5[[#All],[PID]],0)))</f>
        <v>Stephen</v>
      </c>
      <c r="K262" t="str">
        <f>IF(DraftResults[[#This Row],[Player ID]]=0,"",INDEX(Table5[[#All],[Last]],MATCH(DraftResults[[#This Row],[Player ID]],Table5[[#All],[PID]],0)))</f>
        <v>Lowry</v>
      </c>
    </row>
    <row r="263" spans="1:11" x14ac:dyDescent="0.25">
      <c r="A263">
        <v>9</v>
      </c>
      <c r="B263">
        <v>0</v>
      </c>
      <c r="C263">
        <v>12</v>
      </c>
      <c r="D263" t="s">
        <v>245</v>
      </c>
      <c r="E263">
        <v>21</v>
      </c>
      <c r="F263">
        <v>18340</v>
      </c>
      <c r="G263" t="s">
        <v>316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260</v>
      </c>
      <c r="I263" t="str">
        <f>IF(DraftResults[[#This Row],[Player ID]]=0,"",INDEX(Table5[[#All],[Pos]],MATCH(DraftResults[[#This Row],[Player ID]],Table5[[#All],[PID]],0)))</f>
        <v>CL</v>
      </c>
      <c r="J263" t="str">
        <f>IF(DraftResults[[#This Row],[Player ID]]=0,"",INDEX(Table5[[#All],[First]],MATCH(DraftResults[[#This Row],[Player ID]],Table5[[#All],[PID]],0)))</f>
        <v>Gerrie</v>
      </c>
      <c r="K263" t="str">
        <f>IF(DraftResults[[#This Row],[Player ID]]=0,"",INDEX(Table5[[#All],[Last]],MATCH(DraftResults[[#This Row],[Player ID]],Table5[[#All],[PID]],0)))</f>
        <v>de Jong</v>
      </c>
    </row>
    <row r="264" spans="1:11" x14ac:dyDescent="0.25">
      <c r="A264">
        <v>9</v>
      </c>
      <c r="B264">
        <v>0</v>
      </c>
      <c r="C264">
        <v>13</v>
      </c>
      <c r="D264" t="s">
        <v>243</v>
      </c>
      <c r="E264">
        <v>22</v>
      </c>
      <c r="F264">
        <v>18084</v>
      </c>
      <c r="G264" t="s">
        <v>316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261</v>
      </c>
      <c r="I264" t="str">
        <f>IF(DraftResults[[#This Row],[Player ID]]=0,"",INDEX(Table5[[#All],[Pos]],MATCH(DraftResults[[#This Row],[Player ID]],Table5[[#All],[PID]],0)))</f>
        <v>CF</v>
      </c>
      <c r="J264" t="str">
        <f>IF(DraftResults[[#This Row],[Player ID]]=0,"",INDEX(Table5[[#All],[First]],MATCH(DraftResults[[#This Row],[Player ID]],Table5[[#All],[PID]],0)))</f>
        <v>Jeremy</v>
      </c>
      <c r="K264" t="str">
        <f>IF(DraftResults[[#This Row],[Player ID]]=0,"",INDEX(Table5[[#All],[Last]],MATCH(DraftResults[[#This Row],[Player ID]],Table5[[#All],[PID]],0)))</f>
        <v>Higgins</v>
      </c>
    </row>
    <row r="265" spans="1:11" x14ac:dyDescent="0.25">
      <c r="A265">
        <v>9</v>
      </c>
      <c r="B265">
        <v>0</v>
      </c>
      <c r="C265">
        <v>14</v>
      </c>
      <c r="D265" t="s">
        <v>251</v>
      </c>
      <c r="E265">
        <v>1</v>
      </c>
      <c r="F265">
        <v>18100</v>
      </c>
      <c r="G265" t="s">
        <v>316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262</v>
      </c>
      <c r="I265" t="str">
        <f>IF(DraftResults[[#This Row],[Player ID]]=0,"",INDEX(Table5[[#All],[Pos]],MATCH(DraftResults[[#This Row],[Player ID]],Table5[[#All],[PID]],0)))</f>
        <v>CL</v>
      </c>
      <c r="J265" t="str">
        <f>IF(DraftResults[[#This Row],[Player ID]]=0,"",INDEX(Table5[[#All],[First]],MATCH(DraftResults[[#This Row],[Player ID]],Table5[[#All],[PID]],0)))</f>
        <v>Chester</v>
      </c>
      <c r="K265" t="str">
        <f>IF(DraftResults[[#This Row],[Player ID]]=0,"",INDEX(Table5[[#All],[Last]],MATCH(DraftResults[[#This Row],[Player ID]],Table5[[#All],[PID]],0)))</f>
        <v>Jordan</v>
      </c>
    </row>
    <row r="266" spans="1:11" x14ac:dyDescent="0.25">
      <c r="A266">
        <v>9</v>
      </c>
      <c r="B266">
        <v>0</v>
      </c>
      <c r="C266">
        <v>15</v>
      </c>
      <c r="D266" t="s">
        <v>249</v>
      </c>
      <c r="E266">
        <v>10</v>
      </c>
      <c r="F266">
        <v>17976</v>
      </c>
      <c r="G266" t="s">
        <v>316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263</v>
      </c>
      <c r="I266" t="str">
        <f>IF(DraftResults[[#This Row],[Player ID]]=0,"",INDEX(Table5[[#All],[Pos]],MATCH(DraftResults[[#This Row],[Player ID]],Table5[[#All],[PID]],0)))</f>
        <v>LF</v>
      </c>
      <c r="J266" t="str">
        <f>IF(DraftResults[[#This Row],[Player ID]]=0,"",INDEX(Table5[[#All],[First]],MATCH(DraftResults[[#This Row],[Player ID]],Table5[[#All],[PID]],0)))</f>
        <v>Miguel</v>
      </c>
      <c r="K266" t="str">
        <f>IF(DraftResults[[#This Row],[Player ID]]=0,"",INDEX(Table5[[#All],[Last]],MATCH(DraftResults[[#This Row],[Player ID]],Table5[[#All],[PID]],0)))</f>
        <v>Villages</v>
      </c>
    </row>
    <row r="267" spans="1:11" x14ac:dyDescent="0.25">
      <c r="A267">
        <v>9</v>
      </c>
      <c r="B267">
        <v>0</v>
      </c>
      <c r="C267">
        <v>16</v>
      </c>
      <c r="D267" t="s">
        <v>261</v>
      </c>
      <c r="E267">
        <v>12</v>
      </c>
      <c r="F267">
        <v>18080</v>
      </c>
      <c r="G267" t="s">
        <v>316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264</v>
      </c>
      <c r="I267" t="str">
        <f>IF(DraftResults[[#This Row],[Player ID]]=0,"",INDEX(Table5[[#All],[Pos]],MATCH(DraftResults[[#This Row],[Player ID]],Table5[[#All],[PID]],0)))</f>
        <v>SP</v>
      </c>
      <c r="J267" t="str">
        <f>IF(DraftResults[[#This Row],[Player ID]]=0,"",INDEX(Table5[[#All],[First]],MATCH(DraftResults[[#This Row],[Player ID]],Table5[[#All],[PID]],0)))</f>
        <v>Don</v>
      </c>
      <c r="K267" t="str">
        <f>IF(DraftResults[[#This Row],[Player ID]]=0,"",INDEX(Table5[[#All],[Last]],MATCH(DraftResults[[#This Row],[Player ID]],Table5[[#All],[PID]],0)))</f>
        <v>Brown</v>
      </c>
    </row>
    <row r="268" spans="1:11" x14ac:dyDescent="0.25">
      <c r="A268">
        <v>9</v>
      </c>
      <c r="B268">
        <v>0</v>
      </c>
      <c r="C268">
        <v>17</v>
      </c>
      <c r="D268" t="s">
        <v>627</v>
      </c>
      <c r="E268">
        <v>13</v>
      </c>
      <c r="F268">
        <v>18135</v>
      </c>
      <c r="G268" t="s">
        <v>316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265</v>
      </c>
      <c r="I268" t="str">
        <f>IF(DraftResults[[#This Row],[Player ID]]=0,"",INDEX(Table5[[#All],[Pos]],MATCH(DraftResults[[#This Row],[Player ID]],Table5[[#All],[PID]],0)))</f>
        <v>RF</v>
      </c>
      <c r="J268" t="str">
        <f>IF(DraftResults[[#This Row],[Player ID]]=0,"",INDEX(Table5[[#All],[First]],MATCH(DraftResults[[#This Row],[Player ID]],Table5[[#All],[PID]],0)))</f>
        <v>Dave</v>
      </c>
      <c r="K268" t="str">
        <f>IF(DraftResults[[#This Row],[Player ID]]=0,"",INDEX(Table5[[#All],[Last]],MATCH(DraftResults[[#This Row],[Player ID]],Table5[[#All],[PID]],0)))</f>
        <v>Graham</v>
      </c>
    </row>
    <row r="269" spans="1:11" x14ac:dyDescent="0.25">
      <c r="A269">
        <v>9</v>
      </c>
      <c r="B269">
        <v>0</v>
      </c>
      <c r="C269">
        <v>18</v>
      </c>
      <c r="D269" t="s">
        <v>254</v>
      </c>
      <c r="E269">
        <v>20</v>
      </c>
      <c r="F269">
        <v>18145</v>
      </c>
      <c r="G269" t="s">
        <v>316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266</v>
      </c>
      <c r="I269" t="str">
        <f>IF(DraftResults[[#This Row],[Player ID]]=0,"",INDEX(Table5[[#All],[Pos]],MATCH(DraftResults[[#This Row],[Player ID]],Table5[[#All],[PID]],0)))</f>
        <v>1B</v>
      </c>
      <c r="J269" t="str">
        <f>IF(DraftResults[[#This Row],[Player ID]]=0,"",INDEX(Table5[[#All],[First]],MATCH(DraftResults[[#This Row],[Player ID]],Table5[[#All],[PID]],0)))</f>
        <v>Jason</v>
      </c>
      <c r="K269" t="str">
        <f>IF(DraftResults[[#This Row],[Player ID]]=0,"",INDEX(Table5[[#All],[Last]],MATCH(DraftResults[[#This Row],[Player ID]],Table5[[#All],[PID]],0)))</f>
        <v>Barrett</v>
      </c>
    </row>
    <row r="270" spans="1:11" x14ac:dyDescent="0.25">
      <c r="A270">
        <v>9</v>
      </c>
      <c r="B270">
        <v>0</v>
      </c>
      <c r="C270">
        <v>19</v>
      </c>
      <c r="D270" t="s">
        <v>246</v>
      </c>
      <c r="E270">
        <v>17</v>
      </c>
      <c r="F270">
        <v>18082</v>
      </c>
      <c r="G270" t="s">
        <v>316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267</v>
      </c>
      <c r="I270" t="str">
        <f>IF(DraftResults[[#This Row],[Player ID]]=0,"",INDEX(Table5[[#All],[Pos]],MATCH(DraftResults[[#This Row],[Player ID]],Table5[[#All],[PID]],0)))</f>
        <v>3B</v>
      </c>
      <c r="J270" t="str">
        <f>IF(DraftResults[[#This Row],[Player ID]]=0,"",INDEX(Table5[[#All],[First]],MATCH(DraftResults[[#This Row],[Player ID]],Table5[[#All],[PID]],0)))</f>
        <v>Chris</v>
      </c>
      <c r="K270" t="str">
        <f>IF(DraftResults[[#This Row],[Player ID]]=0,"",INDEX(Table5[[#All],[Last]],MATCH(DraftResults[[#This Row],[Player ID]],Table5[[#All],[PID]],0)))</f>
        <v>Adkins</v>
      </c>
    </row>
    <row r="271" spans="1:11" x14ac:dyDescent="0.25">
      <c r="A271">
        <v>9</v>
      </c>
      <c r="B271">
        <v>0</v>
      </c>
      <c r="C271">
        <v>20</v>
      </c>
      <c r="D271" t="s">
        <v>455</v>
      </c>
      <c r="E271">
        <v>2</v>
      </c>
      <c r="F271">
        <v>20920</v>
      </c>
      <c r="G271" t="s">
        <v>316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268</v>
      </c>
      <c r="I271" t="str">
        <f>IF(DraftResults[[#This Row],[Player ID]]=0,"",INDEX(Table5[[#All],[Pos]],MATCH(DraftResults[[#This Row],[Player ID]],Table5[[#All],[PID]],0)))</f>
        <v>CF</v>
      </c>
      <c r="J271" t="str">
        <f>IF(DraftResults[[#This Row],[Player ID]]=0,"",INDEX(Table5[[#All],[First]],MATCH(DraftResults[[#This Row],[Player ID]],Table5[[#All],[PID]],0)))</f>
        <v>Juan</v>
      </c>
      <c r="K271" t="str">
        <f>IF(DraftResults[[#This Row],[Player ID]]=0,"",INDEX(Table5[[#All],[Last]],MATCH(DraftResults[[#This Row],[Player ID]],Table5[[#All],[PID]],0)))</f>
        <v>Galindo</v>
      </c>
    </row>
    <row r="272" spans="1:11" x14ac:dyDescent="0.25">
      <c r="A272">
        <v>9</v>
      </c>
      <c r="B272">
        <v>0</v>
      </c>
      <c r="C272">
        <v>21</v>
      </c>
      <c r="D272" t="s">
        <v>252</v>
      </c>
      <c r="E272">
        <v>14</v>
      </c>
      <c r="F272">
        <v>18237</v>
      </c>
      <c r="G272" t="s">
        <v>316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269</v>
      </c>
      <c r="I272" t="str">
        <f>IF(DraftResults[[#This Row],[Player ID]]=0,"",INDEX(Table5[[#All],[Pos]],MATCH(DraftResults[[#This Row],[Player ID]],Table5[[#All],[PID]],0)))</f>
        <v>SP</v>
      </c>
      <c r="J272" t="str">
        <f>IF(DraftResults[[#This Row],[Player ID]]=0,"",INDEX(Table5[[#All],[First]],MATCH(DraftResults[[#This Row],[Player ID]],Table5[[#All],[PID]],0)))</f>
        <v>Cliff</v>
      </c>
      <c r="K272" t="str">
        <f>IF(DraftResults[[#This Row],[Player ID]]=0,"",INDEX(Table5[[#All],[Last]],MATCH(DraftResults[[#This Row],[Player ID]],Table5[[#All],[PID]],0)))</f>
        <v>Morris</v>
      </c>
    </row>
    <row r="273" spans="1:11" x14ac:dyDescent="0.25">
      <c r="A273">
        <v>9</v>
      </c>
      <c r="B273">
        <v>0</v>
      </c>
      <c r="C273">
        <v>22</v>
      </c>
      <c r="D273" t="s">
        <v>257</v>
      </c>
      <c r="E273">
        <v>16</v>
      </c>
      <c r="F273">
        <v>20674</v>
      </c>
      <c r="G273" t="s">
        <v>316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270</v>
      </c>
      <c r="I273" t="str">
        <f>IF(DraftResults[[#This Row],[Player ID]]=0,"",INDEX(Table5[[#All],[Pos]],MATCH(DraftResults[[#This Row],[Player ID]],Table5[[#All],[PID]],0)))</f>
        <v>RF</v>
      </c>
      <c r="J273" t="str">
        <f>IF(DraftResults[[#This Row],[Player ID]]=0,"",INDEX(Table5[[#All],[First]],MATCH(DraftResults[[#This Row],[Player ID]],Table5[[#All],[PID]],0)))</f>
        <v>Seung-woo</v>
      </c>
      <c r="K273" t="str">
        <f>IF(DraftResults[[#This Row],[Player ID]]=0,"",INDEX(Table5[[#All],[Last]],MATCH(DraftResults[[#This Row],[Player ID]],Table5[[#All],[PID]],0)))</f>
        <v>U</v>
      </c>
    </row>
    <row r="274" spans="1:11" x14ac:dyDescent="0.25">
      <c r="A274">
        <v>9</v>
      </c>
      <c r="B274">
        <v>0</v>
      </c>
      <c r="C274">
        <v>23</v>
      </c>
      <c r="D274" t="s">
        <v>542</v>
      </c>
      <c r="E274">
        <v>7</v>
      </c>
      <c r="F274">
        <v>20210</v>
      </c>
      <c r="G274" t="s">
        <v>316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271</v>
      </c>
      <c r="I274" t="str">
        <f>IF(DraftResults[[#This Row],[Player ID]]=0,"",INDEX(Table5[[#All],[Pos]],MATCH(DraftResults[[#This Row],[Player ID]],Table5[[#All],[PID]],0)))</f>
        <v>SP</v>
      </c>
      <c r="J274" t="str">
        <f>IF(DraftResults[[#This Row],[Player ID]]=0,"",INDEX(Table5[[#All],[First]],MATCH(DraftResults[[#This Row],[Player ID]],Table5[[#All],[PID]],0)))</f>
        <v>Delwyn</v>
      </c>
      <c r="K274" t="str">
        <f>IF(DraftResults[[#This Row],[Player ID]]=0,"",INDEX(Table5[[#All],[Last]],MATCH(DraftResults[[#This Row],[Player ID]],Table5[[#All],[PID]],0)))</f>
        <v>Crowe</v>
      </c>
    </row>
    <row r="275" spans="1:11" x14ac:dyDescent="0.25">
      <c r="A275">
        <v>9</v>
      </c>
      <c r="B275">
        <v>0</v>
      </c>
      <c r="C275">
        <v>24</v>
      </c>
      <c r="D275" t="s">
        <v>242</v>
      </c>
      <c r="E275">
        <v>19</v>
      </c>
      <c r="F275">
        <v>18435</v>
      </c>
      <c r="G275" t="s">
        <v>316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272</v>
      </c>
      <c r="I275" t="str">
        <f>IF(DraftResults[[#This Row],[Player ID]]=0,"",INDEX(Table5[[#All],[Pos]],MATCH(DraftResults[[#This Row],[Player ID]],Table5[[#All],[PID]],0)))</f>
        <v>SP</v>
      </c>
      <c r="J275" t="str">
        <f>IF(DraftResults[[#This Row],[Player ID]]=0,"",INDEX(Table5[[#All],[First]],MATCH(DraftResults[[#This Row],[Player ID]],Table5[[#All],[PID]],0)))</f>
        <v>Yorikane</v>
      </c>
      <c r="K275" t="str">
        <f>IF(DraftResults[[#This Row],[Player ID]]=0,"",INDEX(Table5[[#All],[Last]],MATCH(DraftResults[[#This Row],[Player ID]],Table5[[#All],[PID]],0)))</f>
        <v>Kato</v>
      </c>
    </row>
    <row r="276" spans="1:11" x14ac:dyDescent="0.25">
      <c r="A276">
        <v>9</v>
      </c>
      <c r="B276">
        <v>0</v>
      </c>
      <c r="C276">
        <v>25</v>
      </c>
      <c r="D276" t="s">
        <v>457</v>
      </c>
      <c r="E276">
        <v>166</v>
      </c>
      <c r="F276">
        <v>20344</v>
      </c>
      <c r="G276" t="s">
        <v>316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273</v>
      </c>
      <c r="I276" t="str">
        <f>IF(DraftResults[[#This Row],[Player ID]]=0,"",INDEX(Table5[[#All],[Pos]],MATCH(DraftResults[[#This Row],[Player ID]],Table5[[#All],[PID]],0)))</f>
        <v>RF</v>
      </c>
      <c r="J276" t="str">
        <f>IF(DraftResults[[#This Row],[Player ID]]=0,"",INDEX(Table5[[#All],[First]],MATCH(DraftResults[[#This Row],[Player ID]],Table5[[#All],[PID]],0)))</f>
        <v>Seiichi</v>
      </c>
      <c r="K276" t="str">
        <f>IF(DraftResults[[#This Row],[Player ID]]=0,"",INDEX(Table5[[#All],[Last]],MATCH(DraftResults[[#This Row],[Player ID]],Table5[[#All],[PID]],0)))</f>
        <v>Onodera</v>
      </c>
    </row>
    <row r="277" spans="1:11" x14ac:dyDescent="0.25">
      <c r="A277">
        <v>9</v>
      </c>
      <c r="B277">
        <v>0</v>
      </c>
      <c r="C277">
        <v>26</v>
      </c>
      <c r="D277" t="s">
        <v>248</v>
      </c>
      <c r="E277">
        <v>11</v>
      </c>
      <c r="F277">
        <v>18222</v>
      </c>
      <c r="G277" t="s">
        <v>316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274</v>
      </c>
      <c r="I277" t="str">
        <f>IF(DraftResults[[#This Row],[Player ID]]=0,"",INDEX(Table5[[#All],[Pos]],MATCH(DraftResults[[#This Row],[Player ID]],Table5[[#All],[PID]],0)))</f>
        <v>C</v>
      </c>
      <c r="J277" t="str">
        <f>IF(DraftResults[[#This Row],[Player ID]]=0,"",INDEX(Table5[[#All],[First]],MATCH(DraftResults[[#This Row],[Player ID]],Table5[[#All],[PID]],0)))</f>
        <v>Michael</v>
      </c>
      <c r="K277" t="str">
        <f>IF(DraftResults[[#This Row],[Player ID]]=0,"",INDEX(Table5[[#All],[Last]],MATCH(DraftResults[[#This Row],[Player ID]],Table5[[#All],[PID]],0)))</f>
        <v>Thomas</v>
      </c>
    </row>
    <row r="278" spans="1:11" x14ac:dyDescent="0.25">
      <c r="A278">
        <v>9</v>
      </c>
      <c r="B278">
        <v>0</v>
      </c>
      <c r="C278">
        <v>27</v>
      </c>
      <c r="D278" t="s">
        <v>458</v>
      </c>
      <c r="E278">
        <v>159</v>
      </c>
      <c r="F278">
        <v>18284</v>
      </c>
      <c r="G278" t="s">
        <v>316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275</v>
      </c>
      <c r="I278" t="str">
        <f>IF(DraftResults[[#This Row],[Player ID]]=0,"",INDEX(Table5[[#All],[Pos]],MATCH(DraftResults[[#This Row],[Player ID]],Table5[[#All],[PID]],0)))</f>
        <v>1B</v>
      </c>
      <c r="J278" t="str">
        <f>IF(DraftResults[[#This Row],[Player ID]]=0,"",INDEX(Table5[[#All],[First]],MATCH(DraftResults[[#This Row],[Player ID]],Table5[[#All],[PID]],0)))</f>
        <v>Sen</v>
      </c>
      <c r="K278" t="str">
        <f>IF(DraftResults[[#This Row],[Player ID]]=0,"",INDEX(Table5[[#All],[Last]],MATCH(DraftResults[[#This Row],[Player ID]],Table5[[#All],[PID]],0)))</f>
        <v>Fukuda</v>
      </c>
    </row>
    <row r="279" spans="1:11" x14ac:dyDescent="0.25">
      <c r="A279">
        <v>9</v>
      </c>
      <c r="B279">
        <v>0</v>
      </c>
      <c r="C279">
        <v>28</v>
      </c>
      <c r="D279" t="s">
        <v>454</v>
      </c>
      <c r="E279">
        <v>162</v>
      </c>
      <c r="F279">
        <v>18329</v>
      </c>
      <c r="G279" t="s">
        <v>316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276</v>
      </c>
      <c r="I279" t="str">
        <f>IF(DraftResults[[#This Row],[Player ID]]=0,"",INDEX(Table5[[#All],[Pos]],MATCH(DraftResults[[#This Row],[Player ID]],Table5[[#All],[PID]],0)))</f>
        <v>SP</v>
      </c>
      <c r="J279" t="str">
        <f>IF(DraftResults[[#This Row],[Player ID]]=0,"",INDEX(Table5[[#All],[First]],MATCH(DraftResults[[#This Row],[Player ID]],Table5[[#All],[PID]],0)))</f>
        <v>Jesús</v>
      </c>
      <c r="K279" t="str">
        <f>IF(DraftResults[[#This Row],[Player ID]]=0,"",INDEX(Table5[[#All],[Last]],MATCH(DraftResults[[#This Row],[Player ID]],Table5[[#All],[PID]],0)))</f>
        <v>Rodríguez</v>
      </c>
    </row>
    <row r="280" spans="1:11" x14ac:dyDescent="0.25">
      <c r="A280">
        <v>9</v>
      </c>
      <c r="B280">
        <v>0</v>
      </c>
      <c r="C280">
        <v>29</v>
      </c>
      <c r="D280" t="s">
        <v>459</v>
      </c>
      <c r="E280">
        <v>163</v>
      </c>
      <c r="F280">
        <v>18240</v>
      </c>
      <c r="G280" t="s">
        <v>316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277</v>
      </c>
      <c r="I280" t="str">
        <f>IF(DraftResults[[#This Row],[Player ID]]=0,"",INDEX(Table5[[#All],[Pos]],MATCH(DraftResults[[#This Row],[Player ID]],Table5[[#All],[PID]],0)))</f>
        <v>SP</v>
      </c>
      <c r="J280" t="str">
        <f>IF(DraftResults[[#This Row],[Player ID]]=0,"",INDEX(Table5[[#All],[First]],MATCH(DraftResults[[#This Row],[Player ID]],Table5[[#All],[PID]],0)))</f>
        <v>Juan</v>
      </c>
      <c r="K280" t="str">
        <f>IF(DraftResults[[#This Row],[Player ID]]=0,"",INDEX(Table5[[#All],[Last]],MATCH(DraftResults[[#This Row],[Player ID]],Table5[[#All],[PID]],0)))</f>
        <v>Guerra</v>
      </c>
    </row>
    <row r="281" spans="1:11" x14ac:dyDescent="0.25">
      <c r="A281">
        <v>9</v>
      </c>
      <c r="B281">
        <v>0</v>
      </c>
      <c r="C281">
        <v>30</v>
      </c>
      <c r="D281" t="s">
        <v>629</v>
      </c>
      <c r="E281">
        <v>9</v>
      </c>
      <c r="F281">
        <v>18198</v>
      </c>
      <c r="G281" t="s">
        <v>316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278</v>
      </c>
      <c r="I281" t="str">
        <f>IF(DraftResults[[#This Row],[Player ID]]=0,"",INDEX(Table5[[#All],[Pos]],MATCH(DraftResults[[#This Row],[Player ID]],Table5[[#All],[PID]],0)))</f>
        <v>CF</v>
      </c>
      <c r="J281" t="str">
        <f>IF(DraftResults[[#This Row],[Player ID]]=0,"",INDEX(Table5[[#All],[First]],MATCH(DraftResults[[#This Row],[Player ID]],Table5[[#All],[PID]],0)))</f>
        <v>Lou</v>
      </c>
      <c r="K281" t="str">
        <f>IF(DraftResults[[#This Row],[Player ID]]=0,"",INDEX(Table5[[#All],[Last]],MATCH(DraftResults[[#This Row],[Player ID]],Table5[[#All],[PID]],0)))</f>
        <v>Rodríguez</v>
      </c>
    </row>
    <row r="282" spans="1:11" x14ac:dyDescent="0.25">
      <c r="A282">
        <v>10</v>
      </c>
      <c r="B282">
        <v>0</v>
      </c>
      <c r="C282">
        <v>1</v>
      </c>
      <c r="D282" t="s">
        <v>625</v>
      </c>
      <c r="E282">
        <v>24</v>
      </c>
      <c r="F282">
        <v>18176</v>
      </c>
      <c r="G282" t="s">
        <v>316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279</v>
      </c>
      <c r="I282" t="str">
        <f>IF(DraftResults[[#This Row],[Player ID]]=0,"",INDEX(Table5[[#All],[Pos]],MATCH(DraftResults[[#This Row],[Player ID]],Table5[[#All],[PID]],0)))</f>
        <v>C</v>
      </c>
      <c r="J282" t="str">
        <f>IF(DraftResults[[#This Row],[Player ID]]=0,"",INDEX(Table5[[#All],[First]],MATCH(DraftResults[[#This Row],[Player ID]],Table5[[#All],[PID]],0)))</f>
        <v>Don</v>
      </c>
      <c r="K282" t="str">
        <f>IF(DraftResults[[#This Row],[Player ID]]=0,"",INDEX(Table5[[#All],[Last]],MATCH(DraftResults[[#This Row],[Player ID]],Table5[[#All],[PID]],0)))</f>
        <v>Adams</v>
      </c>
    </row>
    <row r="283" spans="1:11" x14ac:dyDescent="0.25">
      <c r="A283">
        <v>10</v>
      </c>
      <c r="B283">
        <v>0</v>
      </c>
      <c r="C283">
        <v>2</v>
      </c>
      <c r="D283" t="s">
        <v>542</v>
      </c>
      <c r="E283">
        <v>7</v>
      </c>
      <c r="F283">
        <v>13862</v>
      </c>
      <c r="G283" t="s">
        <v>316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280</v>
      </c>
      <c r="I283" t="str">
        <f>IF(DraftResults[[#This Row],[Player ID]]=0,"",INDEX(Table5[[#All],[Pos]],MATCH(DraftResults[[#This Row],[Player ID]],Table5[[#All],[PID]],0)))</f>
        <v>SP</v>
      </c>
      <c r="J283" t="str">
        <f>IF(DraftResults[[#This Row],[Player ID]]=0,"",INDEX(Table5[[#All],[First]],MATCH(DraftResults[[#This Row],[Player ID]],Table5[[#All],[PID]],0)))</f>
        <v>Kurt</v>
      </c>
      <c r="K283" t="str">
        <f>IF(DraftResults[[#This Row],[Player ID]]=0,"",INDEX(Table5[[#All],[Last]],MATCH(DraftResults[[#This Row],[Player ID]],Table5[[#All],[PID]],0)))</f>
        <v>Cameron</v>
      </c>
    </row>
    <row r="284" spans="1:11" ht="15.75" customHeight="1" x14ac:dyDescent="0.25">
      <c r="A284">
        <v>10</v>
      </c>
      <c r="B284">
        <v>0</v>
      </c>
      <c r="C284">
        <v>3</v>
      </c>
      <c r="D284" t="s">
        <v>256</v>
      </c>
      <c r="E284">
        <v>8</v>
      </c>
      <c r="F284">
        <v>18116</v>
      </c>
      <c r="G284" t="s">
        <v>316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281</v>
      </c>
      <c r="I284" t="str">
        <f>IF(DraftResults[[#This Row],[Player ID]]=0,"",INDEX(Table5[[#All],[Pos]],MATCH(DraftResults[[#This Row],[Player ID]],Table5[[#All],[PID]],0)))</f>
        <v>SP</v>
      </c>
      <c r="J284" t="str">
        <f>IF(DraftResults[[#This Row],[Player ID]]=0,"",INDEX(Table5[[#All],[First]],MATCH(DraftResults[[#This Row],[Player ID]],Table5[[#All],[PID]],0)))</f>
        <v>Dan</v>
      </c>
      <c r="K284" t="str">
        <f>IF(DraftResults[[#This Row],[Player ID]]=0,"",INDEX(Table5[[#All],[Last]],MATCH(DraftResults[[#This Row],[Player ID]],Table5[[#All],[PID]],0)))</f>
        <v>Berry</v>
      </c>
    </row>
    <row r="285" spans="1:11" x14ac:dyDescent="0.25">
      <c r="A285">
        <v>10</v>
      </c>
      <c r="B285">
        <v>0</v>
      </c>
      <c r="C285">
        <v>4</v>
      </c>
      <c r="D285" t="s">
        <v>628</v>
      </c>
      <c r="E285">
        <v>23</v>
      </c>
      <c r="F285">
        <v>18337</v>
      </c>
      <c r="G285" t="s">
        <v>316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282</v>
      </c>
      <c r="I285" t="str">
        <f>IF(DraftResults[[#This Row],[Player ID]]=0,"",INDEX(Table5[[#All],[Pos]],MATCH(DraftResults[[#This Row],[Player ID]],Table5[[#All],[PID]],0)))</f>
        <v>RF</v>
      </c>
      <c r="J285" t="str">
        <f>IF(DraftResults[[#This Row],[Player ID]]=0,"",INDEX(Table5[[#All],[First]],MATCH(DraftResults[[#This Row],[Player ID]],Table5[[#All],[PID]],0)))</f>
        <v>Soetsu</v>
      </c>
      <c r="K285" t="str">
        <f>IF(DraftResults[[#This Row],[Player ID]]=0,"",INDEX(Table5[[#All],[Last]],MATCH(DraftResults[[#This Row],[Player ID]],Table5[[#All],[PID]],0)))</f>
        <v>Yamamoto</v>
      </c>
    </row>
    <row r="286" spans="1:11" x14ac:dyDescent="0.25">
      <c r="A286">
        <v>10</v>
      </c>
      <c r="B286">
        <v>0</v>
      </c>
      <c r="C286">
        <v>5</v>
      </c>
      <c r="D286" t="s">
        <v>462</v>
      </c>
      <c r="E286">
        <v>167</v>
      </c>
      <c r="F286">
        <v>18287</v>
      </c>
      <c r="G286" t="s">
        <v>316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283</v>
      </c>
      <c r="I286" t="str">
        <f>IF(DraftResults[[#This Row],[Player ID]]=0,"",INDEX(Table5[[#All],[Pos]],MATCH(DraftResults[[#This Row],[Player ID]],Table5[[#All],[PID]],0)))</f>
        <v>RF</v>
      </c>
      <c r="J286" t="str">
        <f>IF(DraftResults[[#This Row],[Player ID]]=0,"",INDEX(Table5[[#All],[First]],MATCH(DraftResults[[#This Row],[Player ID]],Table5[[#All],[PID]],0)))</f>
        <v>Juan</v>
      </c>
      <c r="K286" t="str">
        <f>IF(DraftResults[[#This Row],[Player ID]]=0,"",INDEX(Table5[[#All],[Last]],MATCH(DraftResults[[#This Row],[Player ID]],Table5[[#All],[PID]],0)))</f>
        <v>Álvarez</v>
      </c>
    </row>
    <row r="287" spans="1:11" x14ac:dyDescent="0.25">
      <c r="A287">
        <v>10</v>
      </c>
      <c r="B287">
        <v>0</v>
      </c>
      <c r="C287">
        <v>6</v>
      </c>
      <c r="D287" t="s">
        <v>543</v>
      </c>
      <c r="E287">
        <v>4</v>
      </c>
      <c r="F287">
        <v>18297</v>
      </c>
      <c r="G287" t="s">
        <v>316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284</v>
      </c>
      <c r="I287" t="str">
        <f>IF(DraftResults[[#This Row],[Player ID]]=0,"",INDEX(Table5[[#All],[Pos]],MATCH(DraftResults[[#This Row],[Player ID]],Table5[[#All],[PID]],0)))</f>
        <v>LF</v>
      </c>
      <c r="J287" t="str">
        <f>IF(DraftResults[[#This Row],[Player ID]]=0,"",INDEX(Table5[[#All],[First]],MATCH(DraftResults[[#This Row],[Player ID]],Table5[[#All],[PID]],0)))</f>
        <v>Katsuhito</v>
      </c>
      <c r="K287" t="str">
        <f>IF(DraftResults[[#This Row],[Player ID]]=0,"",INDEX(Table5[[#All],[Last]],MATCH(DraftResults[[#This Row],[Player ID]],Table5[[#All],[PID]],0)))</f>
        <v>Kouki</v>
      </c>
    </row>
    <row r="288" spans="1:11" x14ac:dyDescent="0.25">
      <c r="A288">
        <v>10</v>
      </c>
      <c r="B288">
        <v>0</v>
      </c>
      <c r="C288">
        <v>7</v>
      </c>
      <c r="D288" t="s">
        <v>626</v>
      </c>
      <c r="E288">
        <v>160</v>
      </c>
      <c r="F288">
        <v>17068</v>
      </c>
      <c r="G288" t="s">
        <v>316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285</v>
      </c>
      <c r="I288" t="str">
        <f>IF(DraftResults[[#This Row],[Player ID]]=0,"",INDEX(Table5[[#All],[Pos]],MATCH(DraftResults[[#This Row],[Player ID]],Table5[[#All],[PID]],0)))</f>
        <v>3B</v>
      </c>
      <c r="J288" t="str">
        <f>IF(DraftResults[[#This Row],[Player ID]]=0,"",INDEX(Table5[[#All],[First]],MATCH(DraftResults[[#This Row],[Player ID]],Table5[[#All],[PID]],0)))</f>
        <v>Moos</v>
      </c>
      <c r="K288" t="str">
        <f>IF(DraftResults[[#This Row],[Player ID]]=0,"",INDEX(Table5[[#All],[Last]],MATCH(DraftResults[[#This Row],[Player ID]],Table5[[#All],[PID]],0)))</f>
        <v>Ippel</v>
      </c>
    </row>
    <row r="289" spans="1:11" x14ac:dyDescent="0.25">
      <c r="A289">
        <v>10</v>
      </c>
      <c r="B289">
        <v>0</v>
      </c>
      <c r="C289">
        <v>8</v>
      </c>
      <c r="D289" t="s">
        <v>250</v>
      </c>
      <c r="E289">
        <v>3</v>
      </c>
      <c r="F289">
        <v>18092</v>
      </c>
      <c r="G289" t="s">
        <v>316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286</v>
      </c>
      <c r="I289" t="str">
        <f>IF(DraftResults[[#This Row],[Player ID]]=0,"",INDEX(Table5[[#All],[Pos]],MATCH(DraftResults[[#This Row],[Player ID]],Table5[[#All],[PID]],0)))</f>
        <v>3B</v>
      </c>
      <c r="J289" t="str">
        <f>IF(DraftResults[[#This Row],[Player ID]]=0,"",INDEX(Table5[[#All],[First]],MATCH(DraftResults[[#This Row],[Player ID]],Table5[[#All],[PID]],0)))</f>
        <v>Pedro</v>
      </c>
      <c r="K289" t="str">
        <f>IF(DraftResults[[#This Row],[Player ID]]=0,"",INDEX(Table5[[#All],[Last]],MATCH(DraftResults[[#This Row],[Player ID]],Table5[[#All],[PID]],0)))</f>
        <v>Frías</v>
      </c>
    </row>
    <row r="290" spans="1:11" x14ac:dyDescent="0.25">
      <c r="A290">
        <v>10</v>
      </c>
      <c r="B290">
        <v>0</v>
      </c>
      <c r="C290">
        <v>9</v>
      </c>
      <c r="D290" t="s">
        <v>456</v>
      </c>
      <c r="E290">
        <v>164</v>
      </c>
      <c r="F290">
        <v>20738</v>
      </c>
      <c r="G290" t="s">
        <v>316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287</v>
      </c>
      <c r="I290" t="str">
        <f>IF(DraftResults[[#This Row],[Player ID]]=0,"",INDEX(Table5[[#All],[Pos]],MATCH(DraftResults[[#This Row],[Player ID]],Table5[[#All],[PID]],0)))</f>
        <v>C</v>
      </c>
      <c r="J290" t="str">
        <f>IF(DraftResults[[#This Row],[Player ID]]=0,"",INDEX(Table5[[#All],[First]],MATCH(DraftResults[[#This Row],[Player ID]],Table5[[#All],[PID]],0)))</f>
        <v>Eric</v>
      </c>
      <c r="K290" t="str">
        <f>IF(DraftResults[[#This Row],[Player ID]]=0,"",INDEX(Table5[[#All],[Last]],MATCH(DraftResults[[#This Row],[Player ID]],Table5[[#All],[PID]],0)))</f>
        <v>Black</v>
      </c>
    </row>
    <row r="291" spans="1:11" x14ac:dyDescent="0.25">
      <c r="A291">
        <v>10</v>
      </c>
      <c r="B291">
        <v>0</v>
      </c>
      <c r="C291">
        <v>10</v>
      </c>
      <c r="D291" t="s">
        <v>461</v>
      </c>
      <c r="E291">
        <v>18</v>
      </c>
      <c r="F291">
        <v>18232</v>
      </c>
      <c r="G291" t="s">
        <v>316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288</v>
      </c>
      <c r="I291" t="str">
        <f>IF(DraftResults[[#This Row],[Player ID]]=0,"",INDEX(Table5[[#All],[Pos]],MATCH(DraftResults[[#This Row],[Player ID]],Table5[[#All],[PID]],0)))</f>
        <v>RF</v>
      </c>
      <c r="J291" t="str">
        <f>IF(DraftResults[[#This Row],[Player ID]]=0,"",INDEX(Table5[[#All],[First]],MATCH(DraftResults[[#This Row],[Player ID]],Table5[[#All],[PID]],0)))</f>
        <v>Glen</v>
      </c>
      <c r="K291" t="str">
        <f>IF(DraftResults[[#This Row],[Player ID]]=0,"",INDEX(Table5[[#All],[Last]],MATCH(DraftResults[[#This Row],[Player ID]],Table5[[#All],[PID]],0)))</f>
        <v>Reed</v>
      </c>
    </row>
    <row r="292" spans="1:11" x14ac:dyDescent="0.25">
      <c r="A292">
        <v>10</v>
      </c>
      <c r="B292">
        <v>0</v>
      </c>
      <c r="C292">
        <v>11</v>
      </c>
      <c r="D292" t="s">
        <v>253</v>
      </c>
      <c r="E292">
        <v>15</v>
      </c>
      <c r="F292">
        <v>18186</v>
      </c>
      <c r="G292" t="s">
        <v>316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289</v>
      </c>
      <c r="I292" t="str">
        <f>IF(DraftResults[[#This Row],[Player ID]]=0,"",INDEX(Table5[[#All],[Pos]],MATCH(DraftResults[[#This Row],[Player ID]],Table5[[#All],[PID]],0)))</f>
        <v>SP</v>
      </c>
      <c r="J292" t="str">
        <f>IF(DraftResults[[#This Row],[Player ID]]=0,"",INDEX(Table5[[#All],[First]],MATCH(DraftResults[[#This Row],[Player ID]],Table5[[#All],[PID]],0)))</f>
        <v>Phil</v>
      </c>
      <c r="K292" t="str">
        <f>IF(DraftResults[[#This Row],[Player ID]]=0,"",INDEX(Table5[[#All],[Last]],MATCH(DraftResults[[#This Row],[Player ID]],Table5[[#All],[PID]],0)))</f>
        <v>Eldridge</v>
      </c>
    </row>
    <row r="293" spans="1:11" x14ac:dyDescent="0.25">
      <c r="A293">
        <v>10</v>
      </c>
      <c r="B293">
        <v>0</v>
      </c>
      <c r="C293">
        <v>12</v>
      </c>
      <c r="D293" t="s">
        <v>245</v>
      </c>
      <c r="E293">
        <v>21</v>
      </c>
      <c r="F293">
        <v>18239</v>
      </c>
      <c r="G293" t="s">
        <v>316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290</v>
      </c>
      <c r="I293" t="str">
        <f>IF(DraftResults[[#This Row],[Player ID]]=0,"",INDEX(Table5[[#All],[Pos]],MATCH(DraftResults[[#This Row],[Player ID]],Table5[[#All],[PID]],0)))</f>
        <v>1B</v>
      </c>
      <c r="J293" t="str">
        <f>IF(DraftResults[[#This Row],[Player ID]]=0,"",INDEX(Table5[[#All],[First]],MATCH(DraftResults[[#This Row],[Player ID]],Table5[[#All],[PID]],0)))</f>
        <v>António</v>
      </c>
      <c r="K293" t="str">
        <f>IF(DraftResults[[#This Row],[Player ID]]=0,"",INDEX(Table5[[#All],[Last]],MATCH(DraftResults[[#This Row],[Player ID]],Table5[[#All],[PID]],0)))</f>
        <v>Padilla</v>
      </c>
    </row>
    <row r="294" spans="1:11" x14ac:dyDescent="0.25">
      <c r="A294">
        <v>10</v>
      </c>
      <c r="B294">
        <v>0</v>
      </c>
      <c r="C294">
        <v>13</v>
      </c>
      <c r="D294" t="s">
        <v>243</v>
      </c>
      <c r="E294">
        <v>22</v>
      </c>
      <c r="F294">
        <v>17572</v>
      </c>
      <c r="G294" t="s">
        <v>316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291</v>
      </c>
      <c r="I294" t="str">
        <f>IF(DraftResults[[#This Row],[Player ID]]=0,"",INDEX(Table5[[#All],[Pos]],MATCH(DraftResults[[#This Row],[Player ID]],Table5[[#All],[PID]],0)))</f>
        <v>C</v>
      </c>
      <c r="J294" t="str">
        <f>IF(DraftResults[[#This Row],[Player ID]]=0,"",INDEX(Table5[[#All],[First]],MATCH(DraftResults[[#This Row],[Player ID]],Table5[[#All],[PID]],0)))</f>
        <v>Andrew</v>
      </c>
      <c r="K294" t="str">
        <f>IF(DraftResults[[#This Row],[Player ID]]=0,"",INDEX(Table5[[#All],[Last]],MATCH(DraftResults[[#This Row],[Player ID]],Table5[[#All],[PID]],0)))</f>
        <v>Burch</v>
      </c>
    </row>
    <row r="295" spans="1:11" x14ac:dyDescent="0.25">
      <c r="A295">
        <v>10</v>
      </c>
      <c r="B295">
        <v>0</v>
      </c>
      <c r="C295">
        <v>14</v>
      </c>
      <c r="D295" t="s">
        <v>251</v>
      </c>
      <c r="E295">
        <v>1</v>
      </c>
      <c r="F295">
        <v>18345</v>
      </c>
      <c r="G295" t="s">
        <v>316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292</v>
      </c>
      <c r="I295" t="str">
        <f>IF(DraftResults[[#This Row],[Player ID]]=0,"",INDEX(Table5[[#All],[Pos]],MATCH(DraftResults[[#This Row],[Player ID]],Table5[[#All],[PID]],0)))</f>
        <v>RP</v>
      </c>
      <c r="J295" t="str">
        <f>IF(DraftResults[[#This Row],[Player ID]]=0,"",INDEX(Table5[[#All],[First]],MATCH(DraftResults[[#This Row],[Player ID]],Table5[[#All],[PID]],0)))</f>
        <v>Yodo</v>
      </c>
      <c r="K295" t="str">
        <f>IF(DraftResults[[#This Row],[Player ID]]=0,"",INDEX(Table5[[#All],[Last]],MATCH(DraftResults[[#This Row],[Player ID]],Table5[[#All],[PID]],0)))</f>
        <v>Hasegawa</v>
      </c>
    </row>
    <row r="296" spans="1:11" x14ac:dyDescent="0.25">
      <c r="A296">
        <v>10</v>
      </c>
      <c r="B296">
        <v>0</v>
      </c>
      <c r="C296">
        <v>15</v>
      </c>
      <c r="D296" t="s">
        <v>249</v>
      </c>
      <c r="E296">
        <v>10</v>
      </c>
      <c r="F296">
        <v>20199</v>
      </c>
      <c r="G296" t="s">
        <v>316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293</v>
      </c>
      <c r="I296" t="str">
        <f>IF(DraftResults[[#This Row],[Player ID]]=0,"",INDEX(Table5[[#All],[Pos]],MATCH(DraftResults[[#This Row],[Player ID]],Table5[[#All],[PID]],0)))</f>
        <v>LF</v>
      </c>
      <c r="J296" t="str">
        <f>IF(DraftResults[[#This Row],[Player ID]]=0,"",INDEX(Table5[[#All],[First]],MATCH(DraftResults[[#This Row],[Player ID]],Table5[[#All],[PID]],0)))</f>
        <v>Hwui-ning</v>
      </c>
      <c r="K296" t="str">
        <f>IF(DraftResults[[#This Row],[Player ID]]=0,"",INDEX(Table5[[#All],[Last]],MATCH(DraftResults[[#This Row],[Player ID]],Table5[[#All],[PID]],0)))</f>
        <v>Yei</v>
      </c>
    </row>
    <row r="297" spans="1:11" x14ac:dyDescent="0.25">
      <c r="A297">
        <v>10</v>
      </c>
      <c r="B297">
        <v>0</v>
      </c>
      <c r="C297">
        <v>16</v>
      </c>
      <c r="D297" t="s">
        <v>261</v>
      </c>
      <c r="E297">
        <v>12</v>
      </c>
      <c r="F297">
        <v>18123</v>
      </c>
      <c r="G297" t="s">
        <v>316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294</v>
      </c>
      <c r="I297" t="str">
        <f>IF(DraftResults[[#This Row],[Player ID]]=0,"",INDEX(Table5[[#All],[Pos]],MATCH(DraftResults[[#This Row],[Player ID]],Table5[[#All],[PID]],0)))</f>
        <v>SP</v>
      </c>
      <c r="J297" t="str">
        <f>IF(DraftResults[[#This Row],[Player ID]]=0,"",INDEX(Table5[[#All],[First]],MATCH(DraftResults[[#This Row],[Player ID]],Table5[[#All],[PID]],0)))</f>
        <v>William</v>
      </c>
      <c r="K297" t="str">
        <f>IF(DraftResults[[#This Row],[Player ID]]=0,"",INDEX(Table5[[#All],[Last]],MATCH(DraftResults[[#This Row],[Player ID]],Table5[[#All],[PID]],0)))</f>
        <v>Kerr</v>
      </c>
    </row>
    <row r="298" spans="1:11" x14ac:dyDescent="0.25">
      <c r="A298">
        <v>10</v>
      </c>
      <c r="B298">
        <v>0</v>
      </c>
      <c r="C298">
        <v>17</v>
      </c>
      <c r="D298" t="s">
        <v>627</v>
      </c>
      <c r="E298">
        <v>13</v>
      </c>
      <c r="F298">
        <v>20971</v>
      </c>
      <c r="G298" t="s">
        <v>316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295</v>
      </c>
      <c r="I298" t="str">
        <f>IF(DraftResults[[#This Row],[Player ID]]=0,"",INDEX(Table5[[#All],[Pos]],MATCH(DraftResults[[#This Row],[Player ID]],Table5[[#All],[PID]],0)))</f>
        <v>CF</v>
      </c>
      <c r="J298" t="str">
        <f>IF(DraftResults[[#This Row],[Player ID]]=0,"",INDEX(Table5[[#All],[First]],MATCH(DraftResults[[#This Row],[Player ID]],Table5[[#All],[PID]],0)))</f>
        <v>Ed</v>
      </c>
      <c r="K298" t="str">
        <f>IF(DraftResults[[#This Row],[Player ID]]=0,"",INDEX(Table5[[#All],[Last]],MATCH(DraftResults[[#This Row],[Player ID]],Table5[[#All],[PID]],0)))</f>
        <v>Hall</v>
      </c>
    </row>
    <row r="299" spans="1:11" x14ac:dyDescent="0.25">
      <c r="A299">
        <v>10</v>
      </c>
      <c r="B299">
        <v>0</v>
      </c>
      <c r="C299">
        <v>18</v>
      </c>
      <c r="D299" t="s">
        <v>254</v>
      </c>
      <c r="E299">
        <v>20</v>
      </c>
      <c r="F299">
        <v>18172</v>
      </c>
      <c r="G299" t="s">
        <v>316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296</v>
      </c>
      <c r="I299" t="str">
        <f>IF(DraftResults[[#This Row],[Player ID]]=0,"",INDEX(Table5[[#All],[Pos]],MATCH(DraftResults[[#This Row],[Player ID]],Table5[[#All],[PID]],0)))</f>
        <v>SP</v>
      </c>
      <c r="J299" t="str">
        <f>IF(DraftResults[[#This Row],[Player ID]]=0,"",INDEX(Table5[[#All],[First]],MATCH(DraftResults[[#This Row],[Player ID]],Table5[[#All],[PID]],0)))</f>
        <v>Sandro</v>
      </c>
      <c r="K299" t="str">
        <f>IF(DraftResults[[#This Row],[Player ID]]=0,"",INDEX(Table5[[#All],[Last]],MATCH(DraftResults[[#This Row],[Player ID]],Table5[[#All],[PID]],0)))</f>
        <v>Cuevas</v>
      </c>
    </row>
    <row r="300" spans="1:11" x14ac:dyDescent="0.25">
      <c r="A300">
        <v>10</v>
      </c>
      <c r="B300">
        <v>0</v>
      </c>
      <c r="C300">
        <v>19</v>
      </c>
      <c r="D300" t="s">
        <v>246</v>
      </c>
      <c r="E300">
        <v>17</v>
      </c>
      <c r="F300">
        <v>18169</v>
      </c>
      <c r="G300" t="s">
        <v>316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297</v>
      </c>
      <c r="I300" t="str">
        <f>IF(DraftResults[[#This Row],[Player ID]]=0,"",INDEX(Table5[[#All],[Pos]],MATCH(DraftResults[[#This Row],[Player ID]],Table5[[#All],[PID]],0)))</f>
        <v>RF</v>
      </c>
      <c r="J300" t="str">
        <f>IF(DraftResults[[#This Row],[Player ID]]=0,"",INDEX(Table5[[#All],[First]],MATCH(DraftResults[[#This Row],[Player ID]],Table5[[#All],[PID]],0)))</f>
        <v>Travis</v>
      </c>
      <c r="K300" t="str">
        <f>IF(DraftResults[[#This Row],[Player ID]]=0,"",INDEX(Table5[[#All],[Last]],MATCH(DraftResults[[#This Row],[Player ID]],Table5[[#All],[PID]],0)))</f>
        <v>Bolden</v>
      </c>
    </row>
    <row r="301" spans="1:11" x14ac:dyDescent="0.25">
      <c r="A301">
        <v>10</v>
      </c>
      <c r="B301">
        <v>0</v>
      </c>
      <c r="C301">
        <v>20</v>
      </c>
      <c r="D301" t="s">
        <v>455</v>
      </c>
      <c r="E301">
        <v>2</v>
      </c>
      <c r="F301">
        <v>18219</v>
      </c>
      <c r="G301" t="s">
        <v>316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298</v>
      </c>
      <c r="I301" t="str">
        <f>IF(DraftResults[[#This Row],[Player ID]]=0,"",INDEX(Table5[[#All],[Pos]],MATCH(DraftResults[[#This Row],[Player ID]],Table5[[#All],[PID]],0)))</f>
        <v>SP</v>
      </c>
      <c r="J301" t="str">
        <f>IF(DraftResults[[#This Row],[Player ID]]=0,"",INDEX(Table5[[#All],[First]],MATCH(DraftResults[[#This Row],[Player ID]],Table5[[#All],[PID]],0)))</f>
        <v>Leonardo</v>
      </c>
      <c r="K301" t="str">
        <f>IF(DraftResults[[#This Row],[Player ID]]=0,"",INDEX(Table5[[#All],[Last]],MATCH(DraftResults[[#This Row],[Player ID]],Table5[[#All],[PID]],0)))</f>
        <v>Silva</v>
      </c>
    </row>
    <row r="302" spans="1:11" x14ac:dyDescent="0.25">
      <c r="A302">
        <v>10</v>
      </c>
      <c r="B302">
        <v>0</v>
      </c>
      <c r="C302">
        <v>21</v>
      </c>
      <c r="D302" t="s">
        <v>252</v>
      </c>
      <c r="E302">
        <v>14</v>
      </c>
      <c r="F302">
        <v>18322</v>
      </c>
      <c r="G302" t="s">
        <v>316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299</v>
      </c>
      <c r="I302" t="str">
        <f>IF(DraftResults[[#This Row],[Player ID]]=0,"",INDEX(Table5[[#All],[Pos]],MATCH(DraftResults[[#This Row],[Player ID]],Table5[[#All],[PID]],0)))</f>
        <v>SS</v>
      </c>
      <c r="J302" t="str">
        <f>IF(DraftResults[[#This Row],[Player ID]]=0,"",INDEX(Table5[[#All],[First]],MATCH(DraftResults[[#This Row],[Player ID]],Table5[[#All],[PID]],0)))</f>
        <v>Jin</v>
      </c>
      <c r="K302" t="str">
        <f>IF(DraftResults[[#This Row],[Player ID]]=0,"",INDEX(Table5[[#All],[Last]],MATCH(DraftResults[[#This Row],[Player ID]],Table5[[#All],[PID]],0)))</f>
        <v>Yoshida</v>
      </c>
    </row>
    <row r="303" spans="1:11" x14ac:dyDescent="0.25">
      <c r="A303">
        <v>10</v>
      </c>
      <c r="B303">
        <v>0</v>
      </c>
      <c r="C303">
        <v>22</v>
      </c>
      <c r="D303" t="s">
        <v>257</v>
      </c>
      <c r="E303">
        <v>16</v>
      </c>
      <c r="F303">
        <v>18085</v>
      </c>
      <c r="G303" t="s">
        <v>316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300</v>
      </c>
      <c r="I303" t="str">
        <f>IF(DraftResults[[#This Row],[Player ID]]=0,"",INDEX(Table5[[#All],[Pos]],MATCH(DraftResults[[#This Row],[Player ID]],Table5[[#All],[PID]],0)))</f>
        <v>CF</v>
      </c>
      <c r="J303" t="str">
        <f>IF(DraftResults[[#This Row],[Player ID]]=0,"",INDEX(Table5[[#All],[First]],MATCH(DraftResults[[#This Row],[Player ID]],Table5[[#All],[PID]],0)))</f>
        <v>Dan</v>
      </c>
      <c r="K303" t="str">
        <f>IF(DraftResults[[#This Row],[Player ID]]=0,"",INDEX(Table5[[#All],[Last]],MATCH(DraftResults[[#This Row],[Player ID]],Table5[[#All],[PID]],0)))</f>
        <v>Burton</v>
      </c>
    </row>
    <row r="304" spans="1:11" x14ac:dyDescent="0.25">
      <c r="A304">
        <v>10</v>
      </c>
      <c r="B304">
        <v>0</v>
      </c>
      <c r="C304">
        <v>23</v>
      </c>
      <c r="D304" t="s">
        <v>542</v>
      </c>
      <c r="E304">
        <v>7</v>
      </c>
      <c r="F304">
        <v>15982</v>
      </c>
      <c r="G304" t="s">
        <v>316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301</v>
      </c>
      <c r="I304" t="str">
        <f>IF(DraftResults[[#This Row],[Player ID]]=0,"",INDEX(Table5[[#All],[Pos]],MATCH(DraftResults[[#This Row],[Player ID]],Table5[[#All],[PID]],0)))</f>
        <v>SP</v>
      </c>
      <c r="J304" t="str">
        <f>IF(DraftResults[[#This Row],[Player ID]]=0,"",INDEX(Table5[[#All],[First]],MATCH(DraftResults[[#This Row],[Player ID]],Table5[[#All],[PID]],0)))</f>
        <v>Joshua</v>
      </c>
      <c r="K304" t="str">
        <f>IF(DraftResults[[#This Row],[Player ID]]=0,"",INDEX(Table5[[#All],[Last]],MATCH(DraftResults[[#This Row],[Player ID]],Table5[[#All],[PID]],0)))</f>
        <v>Waterhouse</v>
      </c>
    </row>
    <row r="305" spans="1:11" x14ac:dyDescent="0.25">
      <c r="A305">
        <v>10</v>
      </c>
      <c r="B305">
        <v>0</v>
      </c>
      <c r="C305">
        <v>24</v>
      </c>
      <c r="D305" t="s">
        <v>242</v>
      </c>
      <c r="E305">
        <v>19</v>
      </c>
      <c r="F305">
        <v>18175</v>
      </c>
      <c r="G305" t="s">
        <v>316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302</v>
      </c>
      <c r="I305" t="str">
        <f>IF(DraftResults[[#This Row],[Player ID]]=0,"",INDEX(Table5[[#All],[Pos]],MATCH(DraftResults[[#This Row],[Player ID]],Table5[[#All],[PID]],0)))</f>
        <v>SP</v>
      </c>
      <c r="J305" t="str">
        <f>IF(DraftResults[[#This Row],[Player ID]]=0,"",INDEX(Table5[[#All],[First]],MATCH(DraftResults[[#This Row],[Player ID]],Table5[[#All],[PID]],0)))</f>
        <v>Martin</v>
      </c>
      <c r="K305" t="str">
        <f>IF(DraftResults[[#This Row],[Player ID]]=0,"",INDEX(Table5[[#All],[Last]],MATCH(DraftResults[[#This Row],[Player ID]],Table5[[#All],[PID]],0)))</f>
        <v>Reynolds</v>
      </c>
    </row>
    <row r="306" spans="1:11" x14ac:dyDescent="0.25">
      <c r="A306">
        <v>10</v>
      </c>
      <c r="B306">
        <v>0</v>
      </c>
      <c r="C306">
        <v>25</v>
      </c>
      <c r="D306" t="s">
        <v>457</v>
      </c>
      <c r="E306">
        <v>166</v>
      </c>
      <c r="F306">
        <v>18431</v>
      </c>
      <c r="G306" t="s">
        <v>316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303</v>
      </c>
      <c r="I306" t="str">
        <f>IF(DraftResults[[#This Row],[Player ID]]=0,"",INDEX(Table5[[#All],[Pos]],MATCH(DraftResults[[#This Row],[Player ID]],Table5[[#All],[PID]],0)))</f>
        <v>CL</v>
      </c>
      <c r="J306" t="str">
        <f>IF(DraftResults[[#This Row],[Player ID]]=0,"",INDEX(Table5[[#All],[First]],MATCH(DraftResults[[#This Row],[Player ID]],Table5[[#All],[PID]],0)))</f>
        <v>Owen</v>
      </c>
      <c r="K306" t="str">
        <f>IF(DraftResults[[#This Row],[Player ID]]=0,"",INDEX(Table5[[#All],[Last]],MATCH(DraftResults[[#This Row],[Player ID]],Table5[[#All],[PID]],0)))</f>
        <v>MacCosh</v>
      </c>
    </row>
    <row r="307" spans="1:11" x14ac:dyDescent="0.25">
      <c r="A307">
        <v>10</v>
      </c>
      <c r="B307">
        <v>0</v>
      </c>
      <c r="C307">
        <v>26</v>
      </c>
      <c r="D307" t="s">
        <v>242</v>
      </c>
      <c r="E307">
        <v>19</v>
      </c>
      <c r="F307">
        <v>17855</v>
      </c>
      <c r="G307" t="s">
        <v>316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304</v>
      </c>
      <c r="I307" t="str">
        <f>IF(DraftResults[[#This Row],[Player ID]]=0,"",INDEX(Table5[[#All],[Pos]],MATCH(DraftResults[[#This Row],[Player ID]],Table5[[#All],[PID]],0)))</f>
        <v>RF</v>
      </c>
      <c r="J307" t="str">
        <f>IF(DraftResults[[#This Row],[Player ID]]=0,"",INDEX(Table5[[#All],[First]],MATCH(DraftResults[[#This Row],[Player ID]],Table5[[#All],[PID]],0)))</f>
        <v>Patrick</v>
      </c>
      <c r="K307" t="str">
        <f>IF(DraftResults[[#This Row],[Player ID]]=0,"",INDEX(Table5[[#All],[Last]],MATCH(DraftResults[[#This Row],[Player ID]],Table5[[#All],[PID]],0)))</f>
        <v>MacLay</v>
      </c>
    </row>
    <row r="308" spans="1:11" x14ac:dyDescent="0.25">
      <c r="A308">
        <v>10</v>
      </c>
      <c r="B308">
        <v>0</v>
      </c>
      <c r="C308">
        <v>27</v>
      </c>
      <c r="D308" t="s">
        <v>458</v>
      </c>
      <c r="E308">
        <v>159</v>
      </c>
      <c r="F308">
        <v>20423</v>
      </c>
      <c r="G308" t="s">
        <v>316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305</v>
      </c>
      <c r="I308" t="str">
        <f>IF(DraftResults[[#This Row],[Player ID]]=0,"",INDEX(Table5[[#All],[Pos]],MATCH(DraftResults[[#This Row],[Player ID]],Table5[[#All],[PID]],0)))</f>
        <v>LF</v>
      </c>
      <c r="J308" t="str">
        <f>IF(DraftResults[[#This Row],[Player ID]]=0,"",INDEX(Table5[[#All],[First]],MATCH(DraftResults[[#This Row],[Player ID]],Table5[[#All],[PID]],0)))</f>
        <v>Juan</v>
      </c>
      <c r="K308" t="str">
        <f>IF(DraftResults[[#This Row],[Player ID]]=0,"",INDEX(Table5[[#All],[Last]],MATCH(DraftResults[[#This Row],[Player ID]],Table5[[#All],[PID]],0)))</f>
        <v>Amador</v>
      </c>
    </row>
    <row r="309" spans="1:11" x14ac:dyDescent="0.25">
      <c r="A309">
        <v>10</v>
      </c>
      <c r="B309">
        <v>0</v>
      </c>
      <c r="C309">
        <v>28</v>
      </c>
      <c r="D309" t="s">
        <v>454</v>
      </c>
      <c r="E309">
        <v>162</v>
      </c>
      <c r="F309">
        <v>18196</v>
      </c>
      <c r="G309" t="s">
        <v>316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306</v>
      </c>
      <c r="I309" t="str">
        <f>IF(DraftResults[[#This Row],[Player ID]]=0,"",INDEX(Table5[[#All],[Pos]],MATCH(DraftResults[[#This Row],[Player ID]],Table5[[#All],[PID]],0)))</f>
        <v>SP</v>
      </c>
      <c r="J309" t="str">
        <f>IF(DraftResults[[#This Row],[Player ID]]=0,"",INDEX(Table5[[#All],[First]],MATCH(DraftResults[[#This Row],[Player ID]],Table5[[#All],[PID]],0)))</f>
        <v>Shawn</v>
      </c>
      <c r="K309" t="str">
        <f>IF(DraftResults[[#This Row],[Player ID]]=0,"",INDEX(Table5[[#All],[Last]],MATCH(DraftResults[[#This Row],[Player ID]],Table5[[#All],[PID]],0)))</f>
        <v>Bradley</v>
      </c>
    </row>
    <row r="310" spans="1:11" ht="15.75" customHeight="1" x14ac:dyDescent="0.25">
      <c r="A310">
        <v>10</v>
      </c>
      <c r="B310">
        <v>0</v>
      </c>
      <c r="C310">
        <v>29</v>
      </c>
      <c r="D310" t="s">
        <v>459</v>
      </c>
      <c r="E310">
        <v>163</v>
      </c>
      <c r="F310">
        <v>18351</v>
      </c>
      <c r="G310" t="s">
        <v>316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307</v>
      </c>
      <c r="I310" t="str">
        <f>IF(DraftResults[[#This Row],[Player ID]]=0,"",INDEX(Table5[[#All],[Pos]],MATCH(DraftResults[[#This Row],[Player ID]],Table5[[#All],[PID]],0)))</f>
        <v>3B</v>
      </c>
      <c r="J310" t="str">
        <f>IF(DraftResults[[#This Row],[Player ID]]=0,"",INDEX(Table5[[#All],[First]],MATCH(DraftResults[[#This Row],[Player ID]],Table5[[#All],[PID]],0)))</f>
        <v>Ron</v>
      </c>
      <c r="K310" t="str">
        <f>IF(DraftResults[[#This Row],[Player ID]]=0,"",INDEX(Table5[[#All],[Last]],MATCH(DraftResults[[#This Row],[Player ID]],Table5[[#All],[PID]],0)))</f>
        <v>Fields</v>
      </c>
    </row>
    <row r="311" spans="1:11" x14ac:dyDescent="0.25">
      <c r="A311">
        <v>10</v>
      </c>
      <c r="B311">
        <v>0</v>
      </c>
      <c r="C311">
        <v>30</v>
      </c>
      <c r="D311" t="s">
        <v>629</v>
      </c>
      <c r="E311">
        <v>9</v>
      </c>
      <c r="F311">
        <v>20830</v>
      </c>
      <c r="G311" t="s">
        <v>316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308</v>
      </c>
      <c r="I311" t="str">
        <f>IF(DraftResults[[#This Row],[Player ID]]=0,"",INDEX(Table5[[#All],[Pos]],MATCH(DraftResults[[#This Row],[Player ID]],Table5[[#All],[PID]],0)))</f>
        <v>SP</v>
      </c>
      <c r="J311" t="str">
        <f>IF(DraftResults[[#This Row],[Player ID]]=0,"",INDEX(Table5[[#All],[First]],MATCH(DraftResults[[#This Row],[Player ID]],Table5[[#All],[PID]],0)))</f>
        <v>John</v>
      </c>
      <c r="K311" t="str">
        <f>IF(DraftResults[[#This Row],[Player ID]]=0,"",INDEX(Table5[[#All],[Last]],MATCH(DraftResults[[#This Row],[Player ID]],Table5[[#All],[PID]],0)))</f>
        <v>Burns</v>
      </c>
    </row>
    <row r="312" spans="1:11" x14ac:dyDescent="0.25">
      <c r="A312">
        <v>11</v>
      </c>
      <c r="B312">
        <v>0</v>
      </c>
      <c r="C312">
        <v>1</v>
      </c>
      <c r="D312" t="s">
        <v>625</v>
      </c>
      <c r="E312">
        <v>24</v>
      </c>
      <c r="F312">
        <v>15327</v>
      </c>
      <c r="G312" t="s">
        <v>316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309</v>
      </c>
      <c r="I312" t="str">
        <f>IF(DraftResults[[#This Row],[Player ID]]=0,"",INDEX(Table5[[#All],[Pos]],MATCH(DraftResults[[#This Row],[Player ID]],Table5[[#All],[PID]],0)))</f>
        <v>1B</v>
      </c>
      <c r="J312" t="str">
        <f>IF(DraftResults[[#This Row],[Player ID]]=0,"",INDEX(Table5[[#All],[First]],MATCH(DraftResults[[#This Row],[Player ID]],Table5[[#All],[PID]],0)))</f>
        <v>Bryan</v>
      </c>
      <c r="K312" t="str">
        <f>IF(DraftResults[[#This Row],[Player ID]]=0,"",INDEX(Table5[[#All],[Last]],MATCH(DraftResults[[#This Row],[Player ID]],Table5[[#All],[PID]],0)))</f>
        <v>Addison</v>
      </c>
    </row>
    <row r="313" spans="1:11" x14ac:dyDescent="0.25">
      <c r="A313">
        <v>11</v>
      </c>
      <c r="B313">
        <v>0</v>
      </c>
      <c r="C313">
        <v>2</v>
      </c>
      <c r="D313" t="s">
        <v>542</v>
      </c>
      <c r="E313">
        <v>7</v>
      </c>
      <c r="F313">
        <v>18182</v>
      </c>
      <c r="G313" t="s">
        <v>316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310</v>
      </c>
      <c r="I313" t="str">
        <f>IF(DraftResults[[#This Row],[Player ID]]=0,"",INDEX(Table5[[#All],[Pos]],MATCH(DraftResults[[#This Row],[Player ID]],Table5[[#All],[PID]],0)))</f>
        <v>RP</v>
      </c>
      <c r="J313" t="str">
        <f>IF(DraftResults[[#This Row],[Player ID]]=0,"",INDEX(Table5[[#All],[First]],MATCH(DraftResults[[#This Row],[Player ID]],Table5[[#All],[PID]],0)))</f>
        <v>John</v>
      </c>
      <c r="K313" t="str">
        <f>IF(DraftResults[[#This Row],[Player ID]]=0,"",INDEX(Table5[[#All],[Last]],MATCH(DraftResults[[#This Row],[Player ID]],Table5[[#All],[PID]],0)))</f>
        <v>McVurie</v>
      </c>
    </row>
    <row r="314" spans="1:11" x14ac:dyDescent="0.25">
      <c r="A314">
        <v>11</v>
      </c>
      <c r="B314">
        <v>0</v>
      </c>
      <c r="C314">
        <v>3</v>
      </c>
      <c r="D314" t="s">
        <v>256</v>
      </c>
      <c r="E314">
        <v>8</v>
      </c>
      <c r="F314">
        <v>20229</v>
      </c>
      <c r="G314" t="s">
        <v>316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311</v>
      </c>
      <c r="I314" t="str">
        <f>IF(DraftResults[[#This Row],[Player ID]]=0,"",INDEX(Table5[[#All],[Pos]],MATCH(DraftResults[[#This Row],[Player ID]],Table5[[#All],[PID]],0)))</f>
        <v>LF</v>
      </c>
      <c r="J314" t="str">
        <f>IF(DraftResults[[#This Row],[Player ID]]=0,"",INDEX(Table5[[#All],[First]],MATCH(DraftResults[[#This Row],[Player ID]],Table5[[#All],[PID]],0)))</f>
        <v>Tommy</v>
      </c>
      <c r="K314" t="str">
        <f>IF(DraftResults[[#This Row],[Player ID]]=0,"",INDEX(Table5[[#All],[Last]],MATCH(DraftResults[[#This Row],[Player ID]],Table5[[#All],[PID]],0)))</f>
        <v>Kennedy</v>
      </c>
    </row>
    <row r="315" spans="1:11" x14ac:dyDescent="0.25">
      <c r="A315">
        <v>11</v>
      </c>
      <c r="B315">
        <v>0</v>
      </c>
      <c r="C315">
        <v>4</v>
      </c>
      <c r="D315" t="s">
        <v>628</v>
      </c>
      <c r="E315">
        <v>23</v>
      </c>
      <c r="F315">
        <v>20415</v>
      </c>
      <c r="G315" t="s">
        <v>316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312</v>
      </c>
      <c r="I315" t="str">
        <f>IF(DraftResults[[#This Row],[Player ID]]=0,"",INDEX(Table5[[#All],[Pos]],MATCH(DraftResults[[#This Row],[Player ID]],Table5[[#All],[PID]],0)))</f>
        <v>1B</v>
      </c>
      <c r="J315" t="str">
        <f>IF(DraftResults[[#This Row],[Player ID]]=0,"",INDEX(Table5[[#All],[First]],MATCH(DraftResults[[#This Row],[Player ID]],Table5[[#All],[PID]],0)))</f>
        <v>Oliver</v>
      </c>
      <c r="K315" t="str">
        <f>IF(DraftResults[[#This Row],[Player ID]]=0,"",INDEX(Table5[[#All],[Last]],MATCH(DraftResults[[#This Row],[Player ID]],Table5[[#All],[PID]],0)))</f>
        <v>Slater</v>
      </c>
    </row>
    <row r="316" spans="1:11" x14ac:dyDescent="0.25">
      <c r="A316">
        <v>11</v>
      </c>
      <c r="B316">
        <v>0</v>
      </c>
      <c r="C316">
        <v>5</v>
      </c>
      <c r="D316" t="s">
        <v>462</v>
      </c>
      <c r="E316">
        <v>167</v>
      </c>
      <c r="F316">
        <v>20904</v>
      </c>
      <c r="G316" t="s">
        <v>316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313</v>
      </c>
      <c r="I316" t="str">
        <f>IF(DraftResults[[#This Row],[Player ID]]=0,"",INDEX(Table5[[#All],[Pos]],MATCH(DraftResults[[#This Row],[Player ID]],Table5[[#All],[PID]],0)))</f>
        <v>SP</v>
      </c>
      <c r="J316" t="str">
        <f>IF(DraftResults[[#This Row],[Player ID]]=0,"",INDEX(Table5[[#All],[First]],MATCH(DraftResults[[#This Row],[Player ID]],Table5[[#All],[PID]],0)))</f>
        <v>Ben</v>
      </c>
      <c r="K316" t="str">
        <f>IF(DraftResults[[#This Row],[Player ID]]=0,"",INDEX(Table5[[#All],[Last]],MATCH(DraftResults[[#This Row],[Player ID]],Table5[[#All],[PID]],0)))</f>
        <v>Bell</v>
      </c>
    </row>
    <row r="317" spans="1:11" x14ac:dyDescent="0.25">
      <c r="A317">
        <v>11</v>
      </c>
      <c r="B317">
        <v>0</v>
      </c>
      <c r="C317">
        <v>6</v>
      </c>
      <c r="D317" t="s">
        <v>543</v>
      </c>
      <c r="E317">
        <v>4</v>
      </c>
      <c r="F317">
        <v>18026</v>
      </c>
      <c r="G317" t="s">
        <v>316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314</v>
      </c>
      <c r="I317" t="str">
        <f>IF(DraftResults[[#This Row],[Player ID]]=0,"",INDEX(Table5[[#All],[Pos]],MATCH(DraftResults[[#This Row],[Player ID]],Table5[[#All],[PID]],0)))</f>
        <v>CF</v>
      </c>
      <c r="J317" t="str">
        <f>IF(DraftResults[[#This Row],[Player ID]]=0,"",INDEX(Table5[[#All],[First]],MATCH(DraftResults[[#This Row],[Player ID]],Table5[[#All],[PID]],0)))</f>
        <v>Jesús</v>
      </c>
      <c r="K317" t="str">
        <f>IF(DraftResults[[#This Row],[Player ID]]=0,"",INDEX(Table5[[#All],[Last]],MATCH(DraftResults[[#This Row],[Player ID]],Table5[[#All],[PID]],0)))</f>
        <v>Ferniza</v>
      </c>
    </row>
    <row r="318" spans="1:11" x14ac:dyDescent="0.25">
      <c r="A318">
        <v>11</v>
      </c>
      <c r="B318">
        <v>0</v>
      </c>
      <c r="C318">
        <v>7</v>
      </c>
      <c r="D318" t="s">
        <v>626</v>
      </c>
      <c r="E318">
        <v>160</v>
      </c>
      <c r="F318">
        <v>17993</v>
      </c>
      <c r="G318" t="s">
        <v>316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315</v>
      </c>
      <c r="I318" t="str">
        <f>IF(DraftResults[[#This Row],[Player ID]]=0,"",INDEX(Table5[[#All],[Pos]],MATCH(DraftResults[[#This Row],[Player ID]],Table5[[#All],[PID]],0)))</f>
        <v>SP</v>
      </c>
      <c r="J318" t="str">
        <f>IF(DraftResults[[#This Row],[Player ID]]=0,"",INDEX(Table5[[#All],[First]],MATCH(DraftResults[[#This Row],[Player ID]],Table5[[#All],[PID]],0)))</f>
        <v>Marvin</v>
      </c>
      <c r="K318" t="str">
        <f>IF(DraftResults[[#This Row],[Player ID]]=0,"",INDEX(Table5[[#All],[Last]],MATCH(DraftResults[[#This Row],[Player ID]],Table5[[#All],[PID]],0)))</f>
        <v>Lee</v>
      </c>
    </row>
    <row r="319" spans="1:11" x14ac:dyDescent="0.25">
      <c r="A319">
        <v>11</v>
      </c>
      <c r="B319">
        <v>0</v>
      </c>
      <c r="C319">
        <v>8</v>
      </c>
      <c r="D319" t="s">
        <v>250</v>
      </c>
      <c r="E319">
        <v>3</v>
      </c>
      <c r="F319">
        <v>18055</v>
      </c>
      <c r="G319" t="s">
        <v>316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316</v>
      </c>
      <c r="I319" t="str">
        <f>IF(DraftResults[[#This Row],[Player ID]]=0,"",INDEX(Table5[[#All],[Pos]],MATCH(DraftResults[[#This Row],[Player ID]],Table5[[#All],[PID]],0)))</f>
        <v>SP</v>
      </c>
      <c r="J319" t="str">
        <f>IF(DraftResults[[#This Row],[Player ID]]=0,"",INDEX(Table5[[#All],[First]],MATCH(DraftResults[[#This Row],[Player ID]],Table5[[#All],[PID]],0)))</f>
        <v>Fred</v>
      </c>
      <c r="K319" t="str">
        <f>IF(DraftResults[[#This Row],[Player ID]]=0,"",INDEX(Table5[[#All],[Last]],MATCH(DraftResults[[#This Row],[Player ID]],Table5[[#All],[PID]],0)))</f>
        <v>Woodward</v>
      </c>
    </row>
    <row r="320" spans="1:11" x14ac:dyDescent="0.25">
      <c r="A320">
        <v>11</v>
      </c>
      <c r="B320">
        <v>0</v>
      </c>
      <c r="C320">
        <v>9</v>
      </c>
      <c r="D320" t="s">
        <v>456</v>
      </c>
      <c r="E320">
        <v>164</v>
      </c>
      <c r="F320">
        <v>17883</v>
      </c>
      <c r="G320" t="s">
        <v>316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317</v>
      </c>
      <c r="I320" t="str">
        <f>IF(DraftResults[[#This Row],[Player ID]]=0,"",INDEX(Table5[[#All],[Pos]],MATCH(DraftResults[[#This Row],[Player ID]],Table5[[#All],[PID]],0)))</f>
        <v>LF</v>
      </c>
      <c r="J320" t="str">
        <f>IF(DraftResults[[#This Row],[Player ID]]=0,"",INDEX(Table5[[#All],[First]],MATCH(DraftResults[[#This Row],[Player ID]],Table5[[#All],[PID]],0)))</f>
        <v>Nobukazu</v>
      </c>
      <c r="K320" t="str">
        <f>IF(DraftResults[[#This Row],[Player ID]]=0,"",INDEX(Table5[[#All],[Last]],MATCH(DraftResults[[#This Row],[Player ID]],Table5[[#All],[PID]],0)))</f>
        <v>Shiraishi</v>
      </c>
    </row>
    <row r="321" spans="1:11" x14ac:dyDescent="0.25">
      <c r="A321">
        <v>11</v>
      </c>
      <c r="B321">
        <v>0</v>
      </c>
      <c r="C321">
        <v>10</v>
      </c>
      <c r="D321" t="s">
        <v>461</v>
      </c>
      <c r="E321">
        <v>18</v>
      </c>
      <c r="F321">
        <v>17771</v>
      </c>
      <c r="G321" t="s">
        <v>316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318</v>
      </c>
      <c r="I321" t="str">
        <f>IF(DraftResults[[#This Row],[Player ID]]=0,"",INDEX(Table5[[#All],[Pos]],MATCH(DraftResults[[#This Row],[Player ID]],Table5[[#All],[PID]],0)))</f>
        <v>LF</v>
      </c>
      <c r="J321" t="str">
        <f>IF(DraftResults[[#This Row],[Player ID]]=0,"",INDEX(Table5[[#All],[First]],MATCH(DraftResults[[#This Row],[Player ID]],Table5[[#All],[PID]],0)))</f>
        <v>Julián</v>
      </c>
      <c r="K321" t="str">
        <f>IF(DraftResults[[#This Row],[Player ID]]=0,"",INDEX(Table5[[#All],[Last]],MATCH(DraftResults[[#This Row],[Player ID]],Table5[[#All],[PID]],0)))</f>
        <v>Lucero</v>
      </c>
    </row>
    <row r="322" spans="1:11" x14ac:dyDescent="0.25">
      <c r="A322">
        <v>11</v>
      </c>
      <c r="B322">
        <v>0</v>
      </c>
      <c r="C322">
        <v>11</v>
      </c>
      <c r="D322" t="s">
        <v>253</v>
      </c>
      <c r="E322">
        <v>15</v>
      </c>
      <c r="F322">
        <v>20353</v>
      </c>
      <c r="G322" t="s">
        <v>316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319</v>
      </c>
      <c r="I322" t="str">
        <f>IF(DraftResults[[#This Row],[Player ID]]=0,"",INDEX(Table5[[#All],[Pos]],MATCH(DraftResults[[#This Row],[Player ID]],Table5[[#All],[PID]],0)))</f>
        <v>SP</v>
      </c>
      <c r="J322" t="str">
        <f>IF(DraftResults[[#This Row],[Player ID]]=0,"",INDEX(Table5[[#All],[First]],MATCH(DraftResults[[#This Row],[Player ID]],Table5[[#All],[PID]],0)))</f>
        <v>Bob</v>
      </c>
      <c r="K322" t="str">
        <f>IF(DraftResults[[#This Row],[Player ID]]=0,"",INDEX(Table5[[#All],[Last]],MATCH(DraftResults[[#This Row],[Player ID]],Table5[[#All],[PID]],0)))</f>
        <v>Donogan</v>
      </c>
    </row>
    <row r="323" spans="1:11" x14ac:dyDescent="0.25">
      <c r="A323">
        <v>11</v>
      </c>
      <c r="B323">
        <v>0</v>
      </c>
      <c r="C323">
        <v>12</v>
      </c>
      <c r="D323" t="s">
        <v>245</v>
      </c>
      <c r="E323">
        <v>21</v>
      </c>
      <c r="F323">
        <v>13214</v>
      </c>
      <c r="G323" t="s">
        <v>316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320</v>
      </c>
      <c r="I323" t="str">
        <f>IF(DraftResults[[#This Row],[Player ID]]=0,"",INDEX(Table5[[#All],[Pos]],MATCH(DraftResults[[#This Row],[Player ID]],Table5[[#All],[PID]],0)))</f>
        <v>3B</v>
      </c>
      <c r="J323" t="str">
        <f>IF(DraftResults[[#This Row],[Player ID]]=0,"",INDEX(Table5[[#All],[First]],MATCH(DraftResults[[#This Row],[Player ID]],Table5[[#All],[PID]],0)))</f>
        <v>Cory</v>
      </c>
      <c r="K323" t="str">
        <f>IF(DraftResults[[#This Row],[Player ID]]=0,"",INDEX(Table5[[#All],[Last]],MATCH(DraftResults[[#This Row],[Player ID]],Table5[[#All],[PID]],0)))</f>
        <v>Allen</v>
      </c>
    </row>
    <row r="324" spans="1:11" x14ac:dyDescent="0.25">
      <c r="A324">
        <v>11</v>
      </c>
      <c r="B324">
        <v>0</v>
      </c>
      <c r="C324">
        <v>13</v>
      </c>
      <c r="D324" t="s">
        <v>243</v>
      </c>
      <c r="E324">
        <v>22</v>
      </c>
      <c r="F324">
        <v>17826</v>
      </c>
      <c r="G324" t="s">
        <v>316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321</v>
      </c>
      <c r="I324" t="str">
        <f>IF(DraftResults[[#This Row],[Player ID]]=0,"",INDEX(Table5[[#All],[Pos]],MATCH(DraftResults[[#This Row],[Player ID]],Table5[[#All],[PID]],0)))</f>
        <v>C</v>
      </c>
      <c r="J324" t="str">
        <f>IF(DraftResults[[#This Row],[Player ID]]=0,"",INDEX(Table5[[#All],[First]],MATCH(DraftResults[[#This Row],[Player ID]],Table5[[#All],[PID]],0)))</f>
        <v>Chris</v>
      </c>
      <c r="K324" t="str">
        <f>IF(DraftResults[[#This Row],[Player ID]]=0,"",INDEX(Table5[[#All],[Last]],MATCH(DraftResults[[#This Row],[Player ID]],Table5[[#All],[PID]],0)))</f>
        <v>Barthorpe</v>
      </c>
    </row>
    <row r="325" spans="1:11" x14ac:dyDescent="0.25">
      <c r="A325">
        <v>11</v>
      </c>
      <c r="B325">
        <v>0</v>
      </c>
      <c r="C325">
        <v>14</v>
      </c>
      <c r="D325" t="s">
        <v>251</v>
      </c>
      <c r="E325">
        <v>1</v>
      </c>
      <c r="F325">
        <v>20949</v>
      </c>
      <c r="G325" t="s">
        <v>316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322</v>
      </c>
      <c r="I325" t="str">
        <f>IF(DraftResults[[#This Row],[Player ID]]=0,"",INDEX(Table5[[#All],[Pos]],MATCH(DraftResults[[#This Row],[Player ID]],Table5[[#All],[PID]],0)))</f>
        <v>LF</v>
      </c>
      <c r="J325" t="str">
        <f>IF(DraftResults[[#This Row],[Player ID]]=0,"",INDEX(Table5[[#All],[First]],MATCH(DraftResults[[#This Row],[Player ID]],Table5[[#All],[PID]],0)))</f>
        <v>José</v>
      </c>
      <c r="K325" t="str">
        <f>IF(DraftResults[[#This Row],[Player ID]]=0,"",INDEX(Table5[[#All],[Last]],MATCH(DraftResults[[#This Row],[Player ID]],Table5[[#All],[PID]],0)))</f>
        <v>Herrera</v>
      </c>
    </row>
    <row r="326" spans="1:11" x14ac:dyDescent="0.25">
      <c r="A326">
        <v>11</v>
      </c>
      <c r="B326">
        <v>0</v>
      </c>
      <c r="C326">
        <v>15</v>
      </c>
      <c r="D326" t="s">
        <v>249</v>
      </c>
      <c r="E326">
        <v>10</v>
      </c>
      <c r="F326">
        <v>12305</v>
      </c>
      <c r="G326" t="s">
        <v>316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323</v>
      </c>
      <c r="I326" t="str">
        <f>IF(DraftResults[[#This Row],[Player ID]]=0,"",INDEX(Table5[[#All],[Pos]],MATCH(DraftResults[[#This Row],[Player ID]],Table5[[#All],[PID]],0)))</f>
        <v>LF</v>
      </c>
      <c r="J326" t="str">
        <f>IF(DraftResults[[#This Row],[Player ID]]=0,"",INDEX(Table5[[#All],[First]],MATCH(DraftResults[[#This Row],[Player ID]],Table5[[#All],[PID]],0)))</f>
        <v>Tony</v>
      </c>
      <c r="K326" t="str">
        <f>IF(DraftResults[[#This Row],[Player ID]]=0,"",INDEX(Table5[[#All],[Last]],MATCH(DraftResults[[#This Row],[Player ID]],Table5[[#All],[PID]],0)))</f>
        <v>Maez</v>
      </c>
    </row>
    <row r="327" spans="1:11" x14ac:dyDescent="0.25">
      <c r="A327">
        <v>11</v>
      </c>
      <c r="B327">
        <v>0</v>
      </c>
      <c r="C327">
        <v>16</v>
      </c>
      <c r="D327" t="s">
        <v>261</v>
      </c>
      <c r="E327">
        <v>12</v>
      </c>
      <c r="F327">
        <v>20992</v>
      </c>
      <c r="G327" t="s">
        <v>316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324</v>
      </c>
      <c r="I327" t="str">
        <f>IF(DraftResults[[#This Row],[Player ID]]=0,"",INDEX(Table5[[#All],[Pos]],MATCH(DraftResults[[#This Row],[Player ID]],Table5[[#All],[PID]],0)))</f>
        <v>3B</v>
      </c>
      <c r="J327" t="str">
        <f>IF(DraftResults[[#This Row],[Player ID]]=0,"",INDEX(Table5[[#All],[First]],MATCH(DraftResults[[#This Row],[Player ID]],Table5[[#All],[PID]],0)))</f>
        <v>Vernon</v>
      </c>
      <c r="K327" t="str">
        <f>IF(DraftResults[[#This Row],[Player ID]]=0,"",INDEX(Table5[[#All],[Last]],MATCH(DraftResults[[#This Row],[Player ID]],Table5[[#All],[PID]],0)))</f>
        <v>Kelley</v>
      </c>
    </row>
    <row r="328" spans="1:11" x14ac:dyDescent="0.25">
      <c r="A328">
        <v>11</v>
      </c>
      <c r="B328">
        <v>0</v>
      </c>
      <c r="C328">
        <v>17</v>
      </c>
      <c r="D328" t="s">
        <v>627</v>
      </c>
      <c r="E328">
        <v>13</v>
      </c>
      <c r="F328">
        <v>20870</v>
      </c>
      <c r="G328" t="s">
        <v>316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325</v>
      </c>
      <c r="I328" t="str">
        <f>IF(DraftResults[[#This Row],[Player ID]]=0,"",INDEX(Table5[[#All],[Pos]],MATCH(DraftResults[[#This Row],[Player ID]],Table5[[#All],[PID]],0)))</f>
        <v>CF</v>
      </c>
      <c r="J328" t="str">
        <f>IF(DraftResults[[#This Row],[Player ID]]=0,"",INDEX(Table5[[#All],[First]],MATCH(DraftResults[[#This Row],[Player ID]],Table5[[#All],[PID]],0)))</f>
        <v>Ángel</v>
      </c>
      <c r="K328" t="str">
        <f>IF(DraftResults[[#This Row],[Player ID]]=0,"",INDEX(Table5[[#All],[Last]],MATCH(DraftResults[[#This Row],[Player ID]],Table5[[#All],[PID]],0)))</f>
        <v>Martínez</v>
      </c>
    </row>
    <row r="329" spans="1:11" x14ac:dyDescent="0.25">
      <c r="A329">
        <v>11</v>
      </c>
      <c r="B329">
        <v>0</v>
      </c>
      <c r="C329">
        <v>18</v>
      </c>
      <c r="D329" t="s">
        <v>254</v>
      </c>
      <c r="E329">
        <v>20</v>
      </c>
      <c r="F329">
        <v>14683</v>
      </c>
      <c r="G329" t="s">
        <v>316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326</v>
      </c>
      <c r="I329" t="str">
        <f>IF(DraftResults[[#This Row],[Player ID]]=0,"",INDEX(Table5[[#All],[Pos]],MATCH(DraftResults[[#This Row],[Player ID]],Table5[[#All],[PID]],0)))</f>
        <v>LF</v>
      </c>
      <c r="J329" t="str">
        <f>IF(DraftResults[[#This Row],[Player ID]]=0,"",INDEX(Table5[[#All],[First]],MATCH(DraftResults[[#This Row],[Player ID]],Table5[[#All],[PID]],0)))</f>
        <v>MacKenzie</v>
      </c>
      <c r="K329" t="str">
        <f>IF(DraftResults[[#This Row],[Player ID]]=0,"",INDEX(Table5[[#All],[Last]],MATCH(DraftResults[[#This Row],[Player ID]],Table5[[#All],[PID]],0)))</f>
        <v>Begley</v>
      </c>
    </row>
    <row r="330" spans="1:11" x14ac:dyDescent="0.25">
      <c r="A330">
        <v>11</v>
      </c>
      <c r="B330">
        <v>0</v>
      </c>
      <c r="C330">
        <v>19</v>
      </c>
      <c r="D330" t="s">
        <v>246</v>
      </c>
      <c r="E330">
        <v>17</v>
      </c>
      <c r="F330">
        <v>20896</v>
      </c>
      <c r="G330" t="s">
        <v>316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327</v>
      </c>
      <c r="I330" t="str">
        <f>IF(DraftResults[[#This Row],[Player ID]]=0,"",INDEX(Table5[[#All],[Pos]],MATCH(DraftResults[[#This Row],[Player ID]],Table5[[#All],[PID]],0)))</f>
        <v>RF</v>
      </c>
      <c r="J330" t="str">
        <f>IF(DraftResults[[#This Row],[Player ID]]=0,"",INDEX(Table5[[#All],[First]],MATCH(DraftResults[[#This Row],[Player ID]],Table5[[#All],[PID]],0)))</f>
        <v>Michael</v>
      </c>
      <c r="K330" t="str">
        <f>IF(DraftResults[[#This Row],[Player ID]]=0,"",INDEX(Table5[[#All],[Last]],MATCH(DraftResults[[#This Row],[Player ID]],Table5[[#All],[PID]],0)))</f>
        <v>Brown</v>
      </c>
    </row>
    <row r="331" spans="1:11" x14ac:dyDescent="0.25">
      <c r="A331">
        <v>11</v>
      </c>
      <c r="B331">
        <v>0</v>
      </c>
      <c r="C331">
        <v>20</v>
      </c>
      <c r="D331" t="s">
        <v>455</v>
      </c>
      <c r="E331">
        <v>2</v>
      </c>
      <c r="F331">
        <v>18428</v>
      </c>
      <c r="G331" t="s">
        <v>316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328</v>
      </c>
      <c r="I331" t="str">
        <f>IF(DraftResults[[#This Row],[Player ID]]=0,"",INDEX(Table5[[#All],[Pos]],MATCH(DraftResults[[#This Row],[Player ID]],Table5[[#All],[PID]],0)))</f>
        <v>SP</v>
      </c>
      <c r="J331" t="str">
        <f>IF(DraftResults[[#This Row],[Player ID]]=0,"",INDEX(Table5[[#All],[First]],MATCH(DraftResults[[#This Row],[Player ID]],Table5[[#All],[PID]],0)))</f>
        <v>Sotatsu</v>
      </c>
      <c r="K331" t="str">
        <f>IF(DraftResults[[#This Row],[Player ID]]=0,"",INDEX(Table5[[#All],[Last]],MATCH(DraftResults[[#This Row],[Player ID]],Table5[[#All],[PID]],0)))</f>
        <v>Nakamura</v>
      </c>
    </row>
    <row r="332" spans="1:11" x14ac:dyDescent="0.25">
      <c r="A332">
        <v>11</v>
      </c>
      <c r="B332">
        <v>0</v>
      </c>
      <c r="C332">
        <v>21</v>
      </c>
      <c r="D332" t="s">
        <v>252</v>
      </c>
      <c r="E332">
        <v>14</v>
      </c>
      <c r="F332">
        <v>20390</v>
      </c>
      <c r="G332" t="s">
        <v>316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329</v>
      </c>
      <c r="I332" t="str">
        <f>IF(DraftResults[[#This Row],[Player ID]]=0,"",INDEX(Table5[[#All],[Pos]],MATCH(DraftResults[[#This Row],[Player ID]],Table5[[#All],[PID]],0)))</f>
        <v>1B</v>
      </c>
      <c r="J332" t="str">
        <f>IF(DraftResults[[#This Row],[Player ID]]=0,"",INDEX(Table5[[#All],[First]],MATCH(DraftResults[[#This Row],[Player ID]],Table5[[#All],[PID]],0)))</f>
        <v>Fionn</v>
      </c>
      <c r="K332" t="str">
        <f>IF(DraftResults[[#This Row],[Player ID]]=0,"",INDEX(Table5[[#All],[Last]],MATCH(DraftResults[[#This Row],[Player ID]],Table5[[#All],[PID]],0)))</f>
        <v>Thorncroft</v>
      </c>
    </row>
    <row r="333" spans="1:11" x14ac:dyDescent="0.25">
      <c r="A333">
        <v>11</v>
      </c>
      <c r="B333">
        <v>0</v>
      </c>
      <c r="C333">
        <v>22</v>
      </c>
      <c r="D333" t="s">
        <v>257</v>
      </c>
      <c r="E333">
        <v>16</v>
      </c>
      <c r="F333">
        <v>18439</v>
      </c>
      <c r="G333" t="s">
        <v>316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330</v>
      </c>
      <c r="I333" t="str">
        <f>IF(DraftResults[[#This Row],[Player ID]]=0,"",INDEX(Table5[[#All],[Pos]],MATCH(DraftResults[[#This Row],[Player ID]],Table5[[#All],[PID]],0)))</f>
        <v>CF</v>
      </c>
      <c r="J333" t="str">
        <f>IF(DraftResults[[#This Row],[Player ID]]=0,"",INDEX(Table5[[#All],[First]],MATCH(DraftResults[[#This Row],[Player ID]],Table5[[#All],[PID]],0)))</f>
        <v>Phil</v>
      </c>
      <c r="K333" t="str">
        <f>IF(DraftResults[[#This Row],[Player ID]]=0,"",INDEX(Table5[[#All],[Last]],MATCH(DraftResults[[#This Row],[Player ID]],Table5[[#All],[PID]],0)))</f>
        <v>Ouwerkerk</v>
      </c>
    </row>
    <row r="334" spans="1:11" x14ac:dyDescent="0.25">
      <c r="A334">
        <v>11</v>
      </c>
      <c r="B334">
        <v>0</v>
      </c>
      <c r="C334">
        <v>23</v>
      </c>
      <c r="D334" t="s">
        <v>460</v>
      </c>
      <c r="E334">
        <v>161</v>
      </c>
      <c r="F334">
        <v>18367</v>
      </c>
      <c r="G334" t="s">
        <v>316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331</v>
      </c>
      <c r="I334" t="str">
        <f>IF(DraftResults[[#This Row],[Player ID]]=0,"",INDEX(Table5[[#All],[Pos]],MATCH(DraftResults[[#This Row],[Player ID]],Table5[[#All],[PID]],0)))</f>
        <v>RF</v>
      </c>
      <c r="J334" t="str">
        <f>IF(DraftResults[[#This Row],[Player ID]]=0,"",INDEX(Table5[[#All],[First]],MATCH(DraftResults[[#This Row],[Player ID]],Table5[[#All],[PID]],0)))</f>
        <v>Georg</v>
      </c>
      <c r="K334" t="str">
        <f>IF(DraftResults[[#This Row],[Player ID]]=0,"",INDEX(Table5[[#All],[Last]],MATCH(DraftResults[[#This Row],[Player ID]],Table5[[#All],[PID]],0)))</f>
        <v>Kallenberger</v>
      </c>
    </row>
    <row r="335" spans="1:11" x14ac:dyDescent="0.25">
      <c r="A335">
        <v>11</v>
      </c>
      <c r="B335">
        <v>0</v>
      </c>
      <c r="C335">
        <v>24</v>
      </c>
      <c r="D335" t="s">
        <v>242</v>
      </c>
      <c r="E335">
        <v>19</v>
      </c>
      <c r="F335">
        <v>14079</v>
      </c>
      <c r="G335" t="s">
        <v>316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332</v>
      </c>
      <c r="I335" t="str">
        <f>IF(DraftResults[[#This Row],[Player ID]]=0,"",INDEX(Table5[[#All],[Pos]],MATCH(DraftResults[[#This Row],[Player ID]],Table5[[#All],[PID]],0)))</f>
        <v>2B</v>
      </c>
      <c r="J335" t="str">
        <f>IF(DraftResults[[#This Row],[Player ID]]=0,"",INDEX(Table5[[#All],[First]],MATCH(DraftResults[[#This Row],[Player ID]],Table5[[#All],[PID]],0)))</f>
        <v>Nakazo</v>
      </c>
      <c r="K335" t="str">
        <f>IF(DraftResults[[#This Row],[Player ID]]=0,"",INDEX(Table5[[#All],[Last]],MATCH(DraftResults[[#This Row],[Player ID]],Table5[[#All],[PID]],0)))</f>
        <v>Shiotani</v>
      </c>
    </row>
    <row r="336" spans="1:11" ht="15.75" customHeight="1" x14ac:dyDescent="0.25">
      <c r="A336">
        <v>11</v>
      </c>
      <c r="B336">
        <v>0</v>
      </c>
      <c r="C336">
        <v>25</v>
      </c>
      <c r="D336" t="s">
        <v>457</v>
      </c>
      <c r="E336">
        <v>166</v>
      </c>
      <c r="F336">
        <v>18197</v>
      </c>
      <c r="G336" t="s">
        <v>316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333</v>
      </c>
      <c r="I336" t="str">
        <f>IF(DraftResults[[#This Row],[Player ID]]=0,"",INDEX(Table5[[#All],[Pos]],MATCH(DraftResults[[#This Row],[Player ID]],Table5[[#All],[PID]],0)))</f>
        <v>SP</v>
      </c>
      <c r="J336" t="str">
        <f>IF(DraftResults[[#This Row],[Player ID]]=0,"",INDEX(Table5[[#All],[First]],MATCH(DraftResults[[#This Row],[Player ID]],Table5[[#All],[PID]],0)))</f>
        <v>José</v>
      </c>
      <c r="K336" t="str">
        <f>IF(DraftResults[[#This Row],[Player ID]]=0,"",INDEX(Table5[[#All],[Last]],MATCH(DraftResults[[#This Row],[Player ID]],Table5[[#All],[PID]],0)))</f>
        <v>Carracheo</v>
      </c>
    </row>
    <row r="337" spans="1:11" x14ac:dyDescent="0.25">
      <c r="A337">
        <v>11</v>
      </c>
      <c r="B337">
        <v>0</v>
      </c>
      <c r="C337">
        <v>26</v>
      </c>
      <c r="D337" t="s">
        <v>242</v>
      </c>
      <c r="E337">
        <v>19</v>
      </c>
      <c r="F337">
        <v>18454</v>
      </c>
      <c r="G337" t="s">
        <v>316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334</v>
      </c>
      <c r="I337" t="str">
        <f>IF(DraftResults[[#This Row],[Player ID]]=0,"",INDEX(Table5[[#All],[Pos]],MATCH(DraftResults[[#This Row],[Player ID]],Table5[[#All],[PID]],0)))</f>
        <v>LF</v>
      </c>
      <c r="J337" t="str">
        <f>IF(DraftResults[[#This Row],[Player ID]]=0,"",INDEX(Table5[[#All],[First]],MATCH(DraftResults[[#This Row],[Player ID]],Table5[[#All],[PID]],0)))</f>
        <v>Lucas</v>
      </c>
      <c r="K337" t="str">
        <f>IF(DraftResults[[#This Row],[Player ID]]=0,"",INDEX(Table5[[#All],[Last]],MATCH(DraftResults[[#This Row],[Player ID]],Table5[[#All],[PID]],0)))</f>
        <v>MacHendrie</v>
      </c>
    </row>
    <row r="338" spans="1:11" x14ac:dyDescent="0.25">
      <c r="A338">
        <v>11</v>
      </c>
      <c r="B338">
        <v>0</v>
      </c>
      <c r="C338">
        <v>27</v>
      </c>
      <c r="D338" t="s">
        <v>458</v>
      </c>
      <c r="E338">
        <v>159</v>
      </c>
      <c r="F338">
        <v>18173</v>
      </c>
      <c r="G338" t="s">
        <v>316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335</v>
      </c>
      <c r="I338" t="str">
        <f>IF(DraftResults[[#This Row],[Player ID]]=0,"",INDEX(Table5[[#All],[Pos]],MATCH(DraftResults[[#This Row],[Player ID]],Table5[[#All],[PID]],0)))</f>
        <v>SP</v>
      </c>
      <c r="J338" t="str">
        <f>IF(DraftResults[[#This Row],[Player ID]]=0,"",INDEX(Table5[[#All],[First]],MATCH(DraftResults[[#This Row],[Player ID]],Table5[[#All],[PID]],0)))</f>
        <v>Edgardo</v>
      </c>
      <c r="K338" t="str">
        <f>IF(DraftResults[[#This Row],[Player ID]]=0,"",INDEX(Table5[[#All],[Last]],MATCH(DraftResults[[#This Row],[Player ID]],Table5[[#All],[PID]],0)))</f>
        <v>Blanca</v>
      </c>
    </row>
    <row r="339" spans="1:11" x14ac:dyDescent="0.25">
      <c r="A339">
        <v>11</v>
      </c>
      <c r="B339">
        <v>0</v>
      </c>
      <c r="C339">
        <v>28</v>
      </c>
      <c r="D339" t="s">
        <v>454</v>
      </c>
      <c r="E339">
        <v>162</v>
      </c>
      <c r="F339">
        <v>18290</v>
      </c>
      <c r="G339" t="s">
        <v>316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336</v>
      </c>
      <c r="I339" t="str">
        <f>IF(DraftResults[[#This Row],[Player ID]]=0,"",INDEX(Table5[[#All],[Pos]],MATCH(DraftResults[[#This Row],[Player ID]],Table5[[#All],[PID]],0)))</f>
        <v>SP</v>
      </c>
      <c r="J339" t="str">
        <f>IF(DraftResults[[#This Row],[Player ID]]=0,"",INDEX(Table5[[#All],[First]],MATCH(DraftResults[[#This Row],[Player ID]],Table5[[#All],[PID]],0)))</f>
        <v>Andrew</v>
      </c>
      <c r="K339" t="str">
        <f>IF(DraftResults[[#This Row],[Player ID]]=0,"",INDEX(Table5[[#All],[Last]],MATCH(DraftResults[[#This Row],[Player ID]],Table5[[#All],[PID]],0)))</f>
        <v>MacElfrish</v>
      </c>
    </row>
    <row r="340" spans="1:11" x14ac:dyDescent="0.25">
      <c r="A340">
        <v>11</v>
      </c>
      <c r="B340">
        <v>0</v>
      </c>
      <c r="C340">
        <v>29</v>
      </c>
      <c r="D340" t="s">
        <v>459</v>
      </c>
      <c r="E340">
        <v>163</v>
      </c>
      <c r="F340">
        <v>12913</v>
      </c>
      <c r="G340" t="s">
        <v>316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337</v>
      </c>
      <c r="I340" t="str">
        <f>IF(DraftResults[[#This Row],[Player ID]]=0,"",INDEX(Table5[[#All],[Pos]],MATCH(DraftResults[[#This Row],[Player ID]],Table5[[#All],[PID]],0)))</f>
        <v>3B</v>
      </c>
      <c r="J340" t="str">
        <f>IF(DraftResults[[#This Row],[Player ID]]=0,"",INDEX(Table5[[#All],[First]],MATCH(DraftResults[[#This Row],[Player ID]],Table5[[#All],[PID]],0)))</f>
        <v>William</v>
      </c>
      <c r="K340" t="str">
        <f>IF(DraftResults[[#This Row],[Player ID]]=0,"",INDEX(Table5[[#All],[Last]],MATCH(DraftResults[[#This Row],[Player ID]],Table5[[#All],[PID]],0)))</f>
        <v>Pope</v>
      </c>
    </row>
    <row r="341" spans="1:11" x14ac:dyDescent="0.25">
      <c r="A341">
        <v>11</v>
      </c>
      <c r="B341">
        <v>0</v>
      </c>
      <c r="C341">
        <v>30</v>
      </c>
      <c r="D341" t="s">
        <v>629</v>
      </c>
      <c r="E341">
        <v>9</v>
      </c>
      <c r="F341">
        <v>13938</v>
      </c>
      <c r="G341" t="s">
        <v>316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338</v>
      </c>
      <c r="I341" t="str">
        <f>IF(DraftResults[[#This Row],[Player ID]]=0,"",INDEX(Table5[[#All],[Pos]],MATCH(DraftResults[[#This Row],[Player ID]],Table5[[#All],[PID]],0)))</f>
        <v>RP</v>
      </c>
      <c r="J341" t="str">
        <f>IF(DraftResults[[#This Row],[Player ID]]=0,"",INDEX(Table5[[#All],[First]],MATCH(DraftResults[[#This Row],[Player ID]],Table5[[#All],[PID]],0)))</f>
        <v>Steven</v>
      </c>
      <c r="K341" t="str">
        <f>IF(DraftResults[[#This Row],[Player ID]]=0,"",INDEX(Table5[[#All],[Last]],MATCH(DraftResults[[#This Row],[Player ID]],Table5[[#All],[PID]],0)))</f>
        <v>Fluck</v>
      </c>
    </row>
    <row r="342" spans="1:11" x14ac:dyDescent="0.25">
      <c r="A342">
        <v>12</v>
      </c>
      <c r="B342">
        <v>0</v>
      </c>
      <c r="C342">
        <v>1</v>
      </c>
      <c r="D342" t="s">
        <v>625</v>
      </c>
      <c r="E342">
        <v>24</v>
      </c>
      <c r="F342">
        <v>20389</v>
      </c>
      <c r="G342" t="s">
        <v>316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339</v>
      </c>
      <c r="I342" t="str">
        <f>IF(DraftResults[[#This Row],[Player ID]]=0,"",INDEX(Table5[[#All],[Pos]],MATCH(DraftResults[[#This Row],[Player ID]],Table5[[#All],[PID]],0)))</f>
        <v>C</v>
      </c>
      <c r="J342" t="str">
        <f>IF(DraftResults[[#This Row],[Player ID]]=0,"",INDEX(Table5[[#All],[First]],MATCH(DraftResults[[#This Row],[Player ID]],Table5[[#All],[PID]],0)))</f>
        <v>Derek</v>
      </c>
      <c r="K342" t="str">
        <f>IF(DraftResults[[#This Row],[Player ID]]=0,"",INDEX(Table5[[#All],[Last]],MATCH(DraftResults[[#This Row],[Player ID]],Table5[[#All],[PID]],0)))</f>
        <v>Beales</v>
      </c>
    </row>
    <row r="343" spans="1:11" x14ac:dyDescent="0.25">
      <c r="A343">
        <v>12</v>
      </c>
      <c r="B343">
        <v>0</v>
      </c>
      <c r="C343">
        <v>2</v>
      </c>
      <c r="D343" t="s">
        <v>542</v>
      </c>
      <c r="E343">
        <v>7</v>
      </c>
      <c r="F343">
        <v>17012</v>
      </c>
      <c r="G343" t="s">
        <v>316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340</v>
      </c>
      <c r="I343" t="str">
        <f>IF(DraftResults[[#This Row],[Player ID]]=0,"",INDEX(Table5[[#All],[Pos]],MATCH(DraftResults[[#This Row],[Player ID]],Table5[[#All],[PID]],0)))</f>
        <v>C</v>
      </c>
      <c r="J343" t="str">
        <f>IF(DraftResults[[#This Row],[Player ID]]=0,"",INDEX(Table5[[#All],[First]],MATCH(DraftResults[[#This Row],[Player ID]],Table5[[#All],[PID]],0)))</f>
        <v>Héctor</v>
      </c>
      <c r="K343" t="str">
        <f>IF(DraftResults[[#This Row],[Player ID]]=0,"",INDEX(Table5[[#All],[Last]],MATCH(DraftResults[[#This Row],[Player ID]],Table5[[#All],[PID]],0)))</f>
        <v>Cardenas</v>
      </c>
    </row>
    <row r="344" spans="1:11" x14ac:dyDescent="0.25">
      <c r="A344">
        <v>12</v>
      </c>
      <c r="B344">
        <v>0</v>
      </c>
      <c r="C344">
        <v>3</v>
      </c>
      <c r="D344" t="s">
        <v>256</v>
      </c>
      <c r="E344">
        <v>8</v>
      </c>
      <c r="F344">
        <v>18086</v>
      </c>
      <c r="G344" t="s">
        <v>316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341</v>
      </c>
      <c r="I344" t="str">
        <f>IF(DraftResults[[#This Row],[Player ID]]=0,"",INDEX(Table5[[#All],[Pos]],MATCH(DraftResults[[#This Row],[Player ID]],Table5[[#All],[PID]],0)))</f>
        <v>SP</v>
      </c>
      <c r="J344" t="str">
        <f>IF(DraftResults[[#This Row],[Player ID]]=0,"",INDEX(Table5[[#All],[First]],MATCH(DraftResults[[#This Row],[Player ID]],Table5[[#All],[PID]],0)))</f>
        <v>Ángel</v>
      </c>
      <c r="K344" t="str">
        <f>IF(DraftResults[[#This Row],[Player ID]]=0,"",INDEX(Table5[[#All],[Last]],MATCH(DraftResults[[#This Row],[Player ID]],Table5[[#All],[PID]],0)))</f>
        <v>Moreno</v>
      </c>
    </row>
    <row r="345" spans="1:11" x14ac:dyDescent="0.25">
      <c r="A345">
        <v>12</v>
      </c>
      <c r="B345">
        <v>0</v>
      </c>
      <c r="C345">
        <v>4</v>
      </c>
      <c r="D345" t="s">
        <v>628</v>
      </c>
      <c r="E345">
        <v>23</v>
      </c>
      <c r="F345">
        <v>20892</v>
      </c>
      <c r="G345" t="s">
        <v>316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342</v>
      </c>
      <c r="I345" t="str">
        <f>IF(DraftResults[[#This Row],[Player ID]]=0,"",INDEX(Table5[[#All],[Pos]],MATCH(DraftResults[[#This Row],[Player ID]],Table5[[#All],[PID]],0)))</f>
        <v>3B</v>
      </c>
      <c r="J345" t="str">
        <f>IF(DraftResults[[#This Row],[Player ID]]=0,"",INDEX(Table5[[#All],[First]],MATCH(DraftResults[[#This Row],[Player ID]],Table5[[#All],[PID]],0)))</f>
        <v>John</v>
      </c>
      <c r="K345" t="str">
        <f>IF(DraftResults[[#This Row],[Player ID]]=0,"",INDEX(Table5[[#All],[Last]],MATCH(DraftResults[[#This Row],[Player ID]],Table5[[#All],[PID]],0)))</f>
        <v>Vaden</v>
      </c>
    </row>
    <row r="346" spans="1:11" x14ac:dyDescent="0.25">
      <c r="A346">
        <v>12</v>
      </c>
      <c r="B346">
        <v>0</v>
      </c>
      <c r="C346">
        <v>5</v>
      </c>
      <c r="D346" t="s">
        <v>462</v>
      </c>
      <c r="E346">
        <v>167</v>
      </c>
      <c r="F346">
        <v>18283</v>
      </c>
      <c r="G346" t="s">
        <v>316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343</v>
      </c>
      <c r="I346" t="str">
        <f>IF(DraftResults[[#This Row],[Player ID]]=0,"",INDEX(Table5[[#All],[Pos]],MATCH(DraftResults[[#This Row],[Player ID]],Table5[[#All],[PID]],0)))</f>
        <v>SP</v>
      </c>
      <c r="J346" t="str">
        <f>IF(DraftResults[[#This Row],[Player ID]]=0,"",INDEX(Table5[[#All],[First]],MATCH(DraftResults[[#This Row],[Player ID]],Table5[[#All],[PID]],0)))</f>
        <v>César</v>
      </c>
      <c r="K346" t="str">
        <f>IF(DraftResults[[#This Row],[Player ID]]=0,"",INDEX(Table5[[#All],[Last]],MATCH(DraftResults[[#This Row],[Player ID]],Table5[[#All],[PID]],0)))</f>
        <v>Montés</v>
      </c>
    </row>
    <row r="347" spans="1:11" x14ac:dyDescent="0.25">
      <c r="A347">
        <v>12</v>
      </c>
      <c r="B347">
        <v>0</v>
      </c>
      <c r="C347">
        <v>6</v>
      </c>
      <c r="D347" t="s">
        <v>543</v>
      </c>
      <c r="E347">
        <v>4</v>
      </c>
      <c r="F347">
        <v>18251</v>
      </c>
      <c r="G347" t="s">
        <v>316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344</v>
      </c>
      <c r="I347" t="str">
        <f>IF(DraftResults[[#This Row],[Player ID]]=0,"",INDEX(Table5[[#All],[Pos]],MATCH(DraftResults[[#This Row],[Player ID]],Table5[[#All],[PID]],0)))</f>
        <v>3B</v>
      </c>
      <c r="J347" t="str">
        <f>IF(DraftResults[[#This Row],[Player ID]]=0,"",INDEX(Table5[[#All],[First]],MATCH(DraftResults[[#This Row],[Player ID]],Table5[[#All],[PID]],0)))</f>
        <v>Raúl</v>
      </c>
      <c r="K347" t="str">
        <f>IF(DraftResults[[#This Row],[Player ID]]=0,"",INDEX(Table5[[#All],[Last]],MATCH(DraftResults[[#This Row],[Player ID]],Table5[[#All],[PID]],0)))</f>
        <v>Pinazo</v>
      </c>
    </row>
    <row r="348" spans="1:11" x14ac:dyDescent="0.25">
      <c r="A348">
        <v>12</v>
      </c>
      <c r="B348">
        <v>0</v>
      </c>
      <c r="C348">
        <v>7</v>
      </c>
      <c r="D348" t="s">
        <v>626</v>
      </c>
      <c r="E348">
        <v>160</v>
      </c>
      <c r="F348">
        <v>18307</v>
      </c>
      <c r="G348" t="s">
        <v>316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345</v>
      </c>
      <c r="I348" t="str">
        <f>IF(DraftResults[[#This Row],[Player ID]]=0,"",INDEX(Table5[[#All],[Pos]],MATCH(DraftResults[[#This Row],[Player ID]],Table5[[#All],[PID]],0)))</f>
        <v>SP</v>
      </c>
      <c r="J348" t="str">
        <f>IF(DraftResults[[#This Row],[Player ID]]=0,"",INDEX(Table5[[#All],[First]],MATCH(DraftResults[[#This Row],[Player ID]],Table5[[#All],[PID]],0)))</f>
        <v>Nobuhisa</v>
      </c>
      <c r="K348" t="str">
        <f>IF(DraftResults[[#This Row],[Player ID]]=0,"",INDEX(Table5[[#All],[Last]],MATCH(DraftResults[[#This Row],[Player ID]],Table5[[#All],[PID]],0)))</f>
        <v>Ohayashi</v>
      </c>
    </row>
    <row r="349" spans="1:11" x14ac:dyDescent="0.25">
      <c r="A349">
        <v>12</v>
      </c>
      <c r="B349">
        <v>0</v>
      </c>
      <c r="C349">
        <v>8</v>
      </c>
      <c r="D349" t="s">
        <v>250</v>
      </c>
      <c r="E349">
        <v>3</v>
      </c>
      <c r="F349">
        <v>16923</v>
      </c>
      <c r="G349" t="s">
        <v>316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346</v>
      </c>
      <c r="I349" t="str">
        <f>IF(DraftResults[[#This Row],[Player ID]]=0,"",INDEX(Table5[[#All],[Pos]],MATCH(DraftResults[[#This Row],[Player ID]],Table5[[#All],[PID]],0)))</f>
        <v>RF</v>
      </c>
      <c r="J349" t="str">
        <f>IF(DraftResults[[#This Row],[Player ID]]=0,"",INDEX(Table5[[#All],[First]],MATCH(DraftResults[[#This Row],[Player ID]],Table5[[#All],[PID]],0)))</f>
        <v>Sloan</v>
      </c>
      <c r="K349" t="str">
        <f>IF(DraftResults[[#This Row],[Player ID]]=0,"",INDEX(Table5[[#All],[Last]],MATCH(DraftResults[[#This Row],[Player ID]],Table5[[#All],[PID]],0)))</f>
        <v>Anderson</v>
      </c>
    </row>
    <row r="350" spans="1:11" x14ac:dyDescent="0.25">
      <c r="A350">
        <v>12</v>
      </c>
      <c r="B350">
        <v>0</v>
      </c>
      <c r="C350">
        <v>9</v>
      </c>
      <c r="D350" t="s">
        <v>456</v>
      </c>
      <c r="E350">
        <v>164</v>
      </c>
      <c r="F350">
        <v>20749</v>
      </c>
      <c r="G350" t="s">
        <v>316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347</v>
      </c>
      <c r="I350" t="str">
        <f>IF(DraftResults[[#This Row],[Player ID]]=0,"",INDEX(Table5[[#All],[Pos]],MATCH(DraftResults[[#This Row],[Player ID]],Table5[[#All],[PID]],0)))</f>
        <v>RF</v>
      </c>
      <c r="J350" t="str">
        <f>IF(DraftResults[[#This Row],[Player ID]]=0,"",INDEX(Table5[[#All],[First]],MATCH(DraftResults[[#This Row],[Player ID]],Table5[[#All],[PID]],0)))</f>
        <v>Cam</v>
      </c>
      <c r="K350" t="str">
        <f>IF(DraftResults[[#This Row],[Player ID]]=0,"",INDEX(Table5[[#All],[Last]],MATCH(DraftResults[[#This Row],[Player ID]],Table5[[#All],[PID]],0)))</f>
        <v>Hagger</v>
      </c>
    </row>
    <row r="351" spans="1:11" x14ac:dyDescent="0.25">
      <c r="A351">
        <v>12</v>
      </c>
      <c r="B351">
        <v>0</v>
      </c>
      <c r="C351">
        <v>10</v>
      </c>
      <c r="D351" t="s">
        <v>461</v>
      </c>
      <c r="E351">
        <v>18</v>
      </c>
      <c r="F351">
        <v>18147</v>
      </c>
      <c r="G351" t="s">
        <v>316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348</v>
      </c>
      <c r="I351" t="str">
        <f>IF(DraftResults[[#This Row],[Player ID]]=0,"",INDEX(Table5[[#All],[Pos]],MATCH(DraftResults[[#This Row],[Player ID]],Table5[[#All],[PID]],0)))</f>
        <v>SP</v>
      </c>
      <c r="J351" t="str">
        <f>IF(DraftResults[[#This Row],[Player ID]]=0,"",INDEX(Table5[[#All],[First]],MATCH(DraftResults[[#This Row],[Player ID]],Table5[[#All],[PID]],0)))</f>
        <v>Cam</v>
      </c>
      <c r="K351" t="str">
        <f>IF(DraftResults[[#This Row],[Player ID]]=0,"",INDEX(Table5[[#All],[Last]],MATCH(DraftResults[[#This Row],[Player ID]],Table5[[#All],[PID]],0)))</f>
        <v>Lewis</v>
      </c>
    </row>
    <row r="352" spans="1:11" x14ac:dyDescent="0.25">
      <c r="A352">
        <v>12</v>
      </c>
      <c r="B352">
        <v>0</v>
      </c>
      <c r="C352">
        <v>11</v>
      </c>
      <c r="D352" t="s">
        <v>253</v>
      </c>
      <c r="E352">
        <v>15</v>
      </c>
      <c r="F352">
        <v>12934</v>
      </c>
      <c r="G352" t="s">
        <v>316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349</v>
      </c>
      <c r="I352" t="str">
        <f>IF(DraftResults[[#This Row],[Player ID]]=0,"",INDEX(Table5[[#All],[Pos]],MATCH(DraftResults[[#This Row],[Player ID]],Table5[[#All],[PID]],0)))</f>
        <v>CL</v>
      </c>
      <c r="J352" t="str">
        <f>IF(DraftResults[[#This Row],[Player ID]]=0,"",INDEX(Table5[[#All],[First]],MATCH(DraftResults[[#This Row],[Player ID]],Table5[[#All],[PID]],0)))</f>
        <v>Kuniyuki</v>
      </c>
      <c r="K352" t="str">
        <f>IF(DraftResults[[#This Row],[Player ID]]=0,"",INDEX(Table5[[#All],[Last]],MATCH(DraftResults[[#This Row],[Player ID]],Table5[[#All],[PID]],0)))</f>
        <v>Murata</v>
      </c>
    </row>
    <row r="353" spans="1:11" x14ac:dyDescent="0.25">
      <c r="A353">
        <v>12</v>
      </c>
      <c r="B353">
        <v>0</v>
      </c>
      <c r="C353">
        <v>12</v>
      </c>
      <c r="D353" t="s">
        <v>245</v>
      </c>
      <c r="E353">
        <v>21</v>
      </c>
      <c r="F353">
        <v>18246</v>
      </c>
      <c r="G353" t="s">
        <v>316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350</v>
      </c>
      <c r="I353" t="str">
        <f>IF(DraftResults[[#This Row],[Player ID]]=0,"",INDEX(Table5[[#All],[Pos]],MATCH(DraftResults[[#This Row],[Player ID]],Table5[[#All],[PID]],0)))</f>
        <v>RP</v>
      </c>
      <c r="J353" t="str">
        <f>IF(DraftResults[[#This Row],[Player ID]]=0,"",INDEX(Table5[[#All],[First]],MATCH(DraftResults[[#This Row],[Player ID]],Table5[[#All],[PID]],0)))</f>
        <v>José</v>
      </c>
      <c r="K353" t="str">
        <f>IF(DraftResults[[#This Row],[Player ID]]=0,"",INDEX(Table5[[#All],[Last]],MATCH(DraftResults[[#This Row],[Player ID]],Table5[[#All],[PID]],0)))</f>
        <v>Escobar</v>
      </c>
    </row>
    <row r="354" spans="1:11" x14ac:dyDescent="0.25">
      <c r="A354">
        <v>12</v>
      </c>
      <c r="B354">
        <v>0</v>
      </c>
      <c r="C354">
        <v>13</v>
      </c>
      <c r="D354" t="s">
        <v>243</v>
      </c>
      <c r="E354">
        <v>22</v>
      </c>
      <c r="F354">
        <v>20862</v>
      </c>
      <c r="G354" t="s">
        <v>316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351</v>
      </c>
      <c r="I354" t="str">
        <f>IF(DraftResults[[#This Row],[Player ID]]=0,"",INDEX(Table5[[#All],[Pos]],MATCH(DraftResults[[#This Row],[Player ID]],Table5[[#All],[PID]],0)))</f>
        <v>C</v>
      </c>
      <c r="J354" t="str">
        <f>IF(DraftResults[[#This Row],[Player ID]]=0,"",INDEX(Table5[[#All],[First]],MATCH(DraftResults[[#This Row],[Player ID]],Table5[[#All],[PID]],0)))</f>
        <v>Hamilton</v>
      </c>
      <c r="K354" t="str">
        <f>IF(DraftResults[[#This Row],[Player ID]]=0,"",INDEX(Table5[[#All],[Last]],MATCH(DraftResults[[#This Row],[Player ID]],Table5[[#All],[PID]],0)))</f>
        <v>Lleras</v>
      </c>
    </row>
    <row r="355" spans="1:11" x14ac:dyDescent="0.25">
      <c r="A355">
        <v>12</v>
      </c>
      <c r="B355">
        <v>0</v>
      </c>
      <c r="C355">
        <v>14</v>
      </c>
      <c r="D355" t="s">
        <v>251</v>
      </c>
      <c r="E355">
        <v>1</v>
      </c>
      <c r="F355">
        <v>20720</v>
      </c>
      <c r="G355" t="s">
        <v>316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352</v>
      </c>
      <c r="I355" t="str">
        <f>IF(DraftResults[[#This Row],[Player ID]]=0,"",INDEX(Table5[[#All],[Pos]],MATCH(DraftResults[[#This Row],[Player ID]],Table5[[#All],[PID]],0)))</f>
        <v>CF</v>
      </c>
      <c r="J355" t="str">
        <f>IF(DraftResults[[#This Row],[Player ID]]=0,"",INDEX(Table5[[#All],[First]],MATCH(DraftResults[[#This Row],[Player ID]],Table5[[#All],[PID]],0)))</f>
        <v>Jim</v>
      </c>
      <c r="K355" t="str">
        <f>IF(DraftResults[[#This Row],[Player ID]]=0,"",INDEX(Table5[[#All],[Last]],MATCH(DraftResults[[#This Row],[Player ID]],Table5[[#All],[PID]],0)))</f>
        <v>Waddell</v>
      </c>
    </row>
    <row r="356" spans="1:11" x14ac:dyDescent="0.25">
      <c r="A356">
        <v>12</v>
      </c>
      <c r="B356">
        <v>0</v>
      </c>
      <c r="C356">
        <v>15</v>
      </c>
      <c r="D356" t="s">
        <v>249</v>
      </c>
      <c r="E356">
        <v>10</v>
      </c>
      <c r="F356">
        <v>20261</v>
      </c>
      <c r="G356" t="s">
        <v>316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353</v>
      </c>
      <c r="I356" t="str">
        <f>IF(DraftResults[[#This Row],[Player ID]]=0,"",INDEX(Table5[[#All],[Pos]],MATCH(DraftResults[[#This Row],[Player ID]],Table5[[#All],[PID]],0)))</f>
        <v>LF</v>
      </c>
      <c r="J356" t="str">
        <f>IF(DraftResults[[#This Row],[Player ID]]=0,"",INDEX(Table5[[#All],[First]],MATCH(DraftResults[[#This Row],[Player ID]],Table5[[#All],[PID]],0)))</f>
        <v>Jaime</v>
      </c>
      <c r="K356" t="str">
        <f>IF(DraftResults[[#This Row],[Player ID]]=0,"",INDEX(Table5[[#All],[Last]],MATCH(DraftResults[[#This Row],[Player ID]],Table5[[#All],[PID]],0)))</f>
        <v>Drake</v>
      </c>
    </row>
    <row r="357" spans="1:11" x14ac:dyDescent="0.25">
      <c r="A357">
        <v>12</v>
      </c>
      <c r="B357">
        <v>0</v>
      </c>
      <c r="C357">
        <v>16</v>
      </c>
      <c r="D357" t="s">
        <v>261</v>
      </c>
      <c r="E357">
        <v>12</v>
      </c>
      <c r="F357">
        <v>18209</v>
      </c>
      <c r="G357" t="s">
        <v>316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354</v>
      </c>
      <c r="I357" t="str">
        <f>IF(DraftResults[[#This Row],[Player ID]]=0,"",INDEX(Table5[[#All],[Pos]],MATCH(DraftResults[[#This Row],[Player ID]],Table5[[#All],[PID]],0)))</f>
        <v>3B</v>
      </c>
      <c r="J357" t="str">
        <f>IF(DraftResults[[#This Row],[Player ID]]=0,"",INDEX(Table5[[#All],[First]],MATCH(DraftResults[[#This Row],[Player ID]],Table5[[#All],[PID]],0)))</f>
        <v>Esteban</v>
      </c>
      <c r="K357" t="str">
        <f>IF(DraftResults[[#This Row],[Player ID]]=0,"",INDEX(Table5[[#All],[Last]],MATCH(DraftResults[[#This Row],[Player ID]],Table5[[#All],[PID]],0)))</f>
        <v>Flores</v>
      </c>
    </row>
    <row r="358" spans="1:11" x14ac:dyDescent="0.25">
      <c r="A358">
        <v>12</v>
      </c>
      <c r="B358">
        <v>0</v>
      </c>
      <c r="C358">
        <v>17</v>
      </c>
      <c r="D358" t="s">
        <v>627</v>
      </c>
      <c r="E358">
        <v>13</v>
      </c>
      <c r="F358">
        <v>20441</v>
      </c>
      <c r="G358" t="s">
        <v>316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355</v>
      </c>
      <c r="I358" t="str">
        <f>IF(DraftResults[[#This Row],[Player ID]]=0,"",INDEX(Table5[[#All],[Pos]],MATCH(DraftResults[[#This Row],[Player ID]],Table5[[#All],[PID]],0)))</f>
        <v>SS</v>
      </c>
      <c r="J358" t="str">
        <f>IF(DraftResults[[#This Row],[Player ID]]=0,"",INDEX(Table5[[#All],[First]],MATCH(DraftResults[[#This Row],[Player ID]],Table5[[#All],[PID]],0)))</f>
        <v>Hong-bo</v>
      </c>
      <c r="K358" t="str">
        <f>IF(DraftResults[[#This Row],[Player ID]]=0,"",INDEX(Table5[[#All],[Last]],MATCH(DraftResults[[#This Row],[Player ID]],Table5[[#All],[PID]],0)))</f>
        <v>Zhang</v>
      </c>
    </row>
    <row r="359" spans="1:11" x14ac:dyDescent="0.25">
      <c r="A359">
        <v>12</v>
      </c>
      <c r="B359">
        <v>0</v>
      </c>
      <c r="C359">
        <v>18</v>
      </c>
      <c r="D359" t="s">
        <v>254</v>
      </c>
      <c r="E359">
        <v>20</v>
      </c>
      <c r="F359">
        <v>20796</v>
      </c>
      <c r="G359" t="s">
        <v>316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356</v>
      </c>
      <c r="I359" t="str">
        <f>IF(DraftResults[[#This Row],[Player ID]]=0,"",INDEX(Table5[[#All],[Pos]],MATCH(DraftResults[[#This Row],[Player ID]],Table5[[#All],[PID]],0)))</f>
        <v>LF</v>
      </c>
      <c r="J359" t="str">
        <f>IF(DraftResults[[#This Row],[Player ID]]=0,"",INDEX(Table5[[#All],[First]],MATCH(DraftResults[[#This Row],[Player ID]],Table5[[#All],[PID]],0)))</f>
        <v>Edward</v>
      </c>
      <c r="K359" t="str">
        <f>IF(DraftResults[[#This Row],[Player ID]]=0,"",INDEX(Table5[[#All],[Last]],MATCH(DraftResults[[#This Row],[Player ID]],Table5[[#All],[PID]],0)))</f>
        <v>López</v>
      </c>
    </row>
    <row r="360" spans="1:11" x14ac:dyDescent="0.25">
      <c r="A360">
        <v>12</v>
      </c>
      <c r="B360">
        <v>0</v>
      </c>
      <c r="C360">
        <v>19</v>
      </c>
      <c r="D360" t="s">
        <v>246</v>
      </c>
      <c r="E360">
        <v>17</v>
      </c>
      <c r="F360">
        <v>18273</v>
      </c>
      <c r="G360" t="s">
        <v>316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357</v>
      </c>
      <c r="I360" t="str">
        <f>IF(DraftResults[[#This Row],[Player ID]]=0,"",INDEX(Table5[[#All],[Pos]],MATCH(DraftResults[[#This Row],[Player ID]],Table5[[#All],[PID]],0)))</f>
        <v>CL</v>
      </c>
      <c r="J360" t="str">
        <f>IF(DraftResults[[#This Row],[Player ID]]=0,"",INDEX(Table5[[#All],[First]],MATCH(DraftResults[[#This Row],[Player ID]],Table5[[#All],[PID]],0)))</f>
        <v>Jorge</v>
      </c>
      <c r="K360" t="str">
        <f>IF(DraftResults[[#This Row],[Player ID]]=0,"",INDEX(Table5[[#All],[Last]],MATCH(DraftResults[[#This Row],[Player ID]],Table5[[#All],[PID]],0)))</f>
        <v>Fierro</v>
      </c>
    </row>
    <row r="361" spans="1:11" x14ac:dyDescent="0.25">
      <c r="A361">
        <v>12</v>
      </c>
      <c r="B361">
        <v>0</v>
      </c>
      <c r="C361">
        <v>20</v>
      </c>
      <c r="D361" t="s">
        <v>455</v>
      </c>
      <c r="E361">
        <v>2</v>
      </c>
      <c r="F361">
        <v>20312</v>
      </c>
      <c r="G361" t="s">
        <v>316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358</v>
      </c>
      <c r="I361" t="str">
        <f>IF(DraftResults[[#This Row],[Player ID]]=0,"",INDEX(Table5[[#All],[Pos]],MATCH(DraftResults[[#This Row],[Player ID]],Table5[[#All],[PID]],0)))</f>
        <v>2B</v>
      </c>
      <c r="J361" t="str">
        <f>IF(DraftResults[[#This Row],[Player ID]]=0,"",INDEX(Table5[[#All],[First]],MATCH(DraftResults[[#This Row],[Player ID]],Table5[[#All],[PID]],0)))</f>
        <v>Dong-hee</v>
      </c>
      <c r="K361" t="str">
        <f>IF(DraftResults[[#This Row],[Player ID]]=0,"",INDEX(Table5[[#All],[Last]],MATCH(DraftResults[[#This Row],[Player ID]],Table5[[#All],[PID]],0)))</f>
        <v>Yi</v>
      </c>
    </row>
    <row r="362" spans="1:11" ht="15.75" customHeight="1" x14ac:dyDescent="0.25">
      <c r="A362">
        <v>12</v>
      </c>
      <c r="B362">
        <v>0</v>
      </c>
      <c r="C362">
        <v>21</v>
      </c>
      <c r="D362" t="s">
        <v>252</v>
      </c>
      <c r="E362">
        <v>14</v>
      </c>
      <c r="F362">
        <v>12841</v>
      </c>
      <c r="G362" t="s">
        <v>316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359</v>
      </c>
      <c r="I362" t="str">
        <f>IF(DraftResults[[#This Row],[Player ID]]=0,"",INDEX(Table5[[#All],[Pos]],MATCH(DraftResults[[#This Row],[Player ID]],Table5[[#All],[PID]],0)))</f>
        <v>SS</v>
      </c>
      <c r="J362" t="str">
        <f>IF(DraftResults[[#This Row],[Player ID]]=0,"",INDEX(Table5[[#All],[First]],MATCH(DraftResults[[#This Row],[Player ID]],Table5[[#All],[PID]],0)))</f>
        <v>Frazer</v>
      </c>
      <c r="K362" t="str">
        <f>IF(DraftResults[[#This Row],[Player ID]]=0,"",INDEX(Table5[[#All],[Last]],MATCH(DraftResults[[#This Row],[Player ID]],Table5[[#All],[PID]],0)))</f>
        <v>Singer</v>
      </c>
    </row>
    <row r="363" spans="1:11" x14ac:dyDescent="0.25">
      <c r="A363">
        <v>12</v>
      </c>
      <c r="B363">
        <v>0</v>
      </c>
      <c r="C363">
        <v>22</v>
      </c>
      <c r="D363" t="s">
        <v>257</v>
      </c>
      <c r="E363">
        <v>16</v>
      </c>
      <c r="F363">
        <v>20898</v>
      </c>
      <c r="G363" t="s">
        <v>316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360</v>
      </c>
      <c r="I363" t="str">
        <f>IF(DraftResults[[#This Row],[Player ID]]=0,"",INDEX(Table5[[#All],[Pos]],MATCH(DraftResults[[#This Row],[Player ID]],Table5[[#All],[PID]],0)))</f>
        <v>1B</v>
      </c>
      <c r="J363" t="str">
        <f>IF(DraftResults[[#This Row],[Player ID]]=0,"",INDEX(Table5[[#All],[First]],MATCH(DraftResults[[#This Row],[Player ID]],Table5[[#All],[PID]],0)))</f>
        <v>Bud</v>
      </c>
      <c r="K363" t="str">
        <f>IF(DraftResults[[#This Row],[Player ID]]=0,"",INDEX(Table5[[#All],[Last]],MATCH(DraftResults[[#This Row],[Player ID]],Table5[[#All],[PID]],0)))</f>
        <v>Meyer</v>
      </c>
    </row>
    <row r="364" spans="1:11" x14ac:dyDescent="0.25">
      <c r="A364">
        <v>12</v>
      </c>
      <c r="B364">
        <v>0</v>
      </c>
      <c r="C364">
        <v>23</v>
      </c>
      <c r="D364" t="s">
        <v>460</v>
      </c>
      <c r="E364">
        <v>161</v>
      </c>
      <c r="F364">
        <v>12299</v>
      </c>
      <c r="G364" t="s">
        <v>316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361</v>
      </c>
      <c r="I364" t="str">
        <f>IF(DraftResults[[#This Row],[Player ID]]=0,"",INDEX(Table5[[#All],[Pos]],MATCH(DraftResults[[#This Row],[Player ID]],Table5[[#All],[PID]],0)))</f>
        <v>C</v>
      </c>
      <c r="J364" t="str">
        <f>IF(DraftResults[[#This Row],[Player ID]]=0,"",INDEX(Table5[[#All],[First]],MATCH(DraftResults[[#This Row],[Player ID]],Table5[[#All],[PID]],0)))</f>
        <v>Manny</v>
      </c>
      <c r="K364" t="str">
        <f>IF(DraftResults[[#This Row],[Player ID]]=0,"",INDEX(Table5[[#All],[Last]],MATCH(DraftResults[[#This Row],[Player ID]],Table5[[#All],[PID]],0)))</f>
        <v>Benítez</v>
      </c>
    </row>
    <row r="365" spans="1:11" x14ac:dyDescent="0.25">
      <c r="A365">
        <v>12</v>
      </c>
      <c r="B365">
        <v>0</v>
      </c>
      <c r="C365">
        <v>24</v>
      </c>
      <c r="D365" t="s">
        <v>242</v>
      </c>
      <c r="E365">
        <v>19</v>
      </c>
      <c r="F365">
        <v>17924</v>
      </c>
      <c r="G365" t="s">
        <v>316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362</v>
      </c>
      <c r="I365" t="str">
        <f>IF(DraftResults[[#This Row],[Player ID]]=0,"",INDEX(Table5[[#All],[Pos]],MATCH(DraftResults[[#This Row],[Player ID]],Table5[[#All],[PID]],0)))</f>
        <v>C</v>
      </c>
      <c r="J365" t="str">
        <f>IF(DraftResults[[#This Row],[Player ID]]=0,"",INDEX(Table5[[#All],[First]],MATCH(DraftResults[[#This Row],[Player ID]],Table5[[#All],[PID]],0)))</f>
        <v>Lucas</v>
      </c>
      <c r="K365" t="str">
        <f>IF(DraftResults[[#This Row],[Player ID]]=0,"",INDEX(Table5[[#All],[Last]],MATCH(DraftResults[[#This Row],[Player ID]],Table5[[#All],[PID]],0)))</f>
        <v>Craigie</v>
      </c>
    </row>
    <row r="366" spans="1:11" x14ac:dyDescent="0.25">
      <c r="A366">
        <v>12</v>
      </c>
      <c r="B366">
        <v>0</v>
      </c>
      <c r="C366">
        <v>25</v>
      </c>
      <c r="D366" t="s">
        <v>457</v>
      </c>
      <c r="E366">
        <v>166</v>
      </c>
      <c r="F366">
        <v>18338</v>
      </c>
      <c r="G366" t="s">
        <v>316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363</v>
      </c>
      <c r="I366" t="str">
        <f>IF(DraftResults[[#This Row],[Player ID]]=0,"",INDEX(Table5[[#All],[Pos]],MATCH(DraftResults[[#This Row],[Player ID]],Table5[[#All],[PID]],0)))</f>
        <v>CF</v>
      </c>
      <c r="J366" t="str">
        <f>IF(DraftResults[[#This Row],[Player ID]]=0,"",INDEX(Table5[[#All],[First]],MATCH(DraftResults[[#This Row],[Player ID]],Table5[[#All],[PID]],0)))</f>
        <v>Natsu</v>
      </c>
      <c r="K366" t="str">
        <f>IF(DraftResults[[#This Row],[Player ID]]=0,"",INDEX(Table5[[#All],[Last]],MATCH(DraftResults[[#This Row],[Player ID]],Table5[[#All],[PID]],0)))</f>
        <v>Kono</v>
      </c>
    </row>
    <row r="367" spans="1:11" x14ac:dyDescent="0.25">
      <c r="A367">
        <v>12</v>
      </c>
      <c r="B367">
        <v>0</v>
      </c>
      <c r="C367">
        <v>26</v>
      </c>
      <c r="D367" t="s">
        <v>242</v>
      </c>
      <c r="E367">
        <v>19</v>
      </c>
      <c r="F367">
        <v>17587</v>
      </c>
      <c r="G367" t="s">
        <v>316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364</v>
      </c>
      <c r="I367" t="str">
        <f>IF(DraftResults[[#This Row],[Player ID]]=0,"",INDEX(Table5[[#All],[Pos]],MATCH(DraftResults[[#This Row],[Player ID]],Table5[[#All],[PID]],0)))</f>
        <v>RF</v>
      </c>
      <c r="J367" t="str">
        <f>IF(DraftResults[[#This Row],[Player ID]]=0,"",INDEX(Table5[[#All],[First]],MATCH(DraftResults[[#This Row],[Player ID]],Table5[[#All],[PID]],0)))</f>
        <v>Ernesto</v>
      </c>
      <c r="K367" t="str">
        <f>IF(DraftResults[[#This Row],[Player ID]]=0,"",INDEX(Table5[[#All],[Last]],MATCH(DraftResults[[#This Row],[Player ID]],Table5[[#All],[PID]],0)))</f>
        <v>Morán</v>
      </c>
    </row>
    <row r="368" spans="1:11" x14ac:dyDescent="0.25">
      <c r="A368">
        <v>12</v>
      </c>
      <c r="B368">
        <v>0</v>
      </c>
      <c r="C368">
        <v>27</v>
      </c>
      <c r="D368" t="s">
        <v>458</v>
      </c>
      <c r="E368">
        <v>159</v>
      </c>
      <c r="F368">
        <v>17761</v>
      </c>
      <c r="G368" t="s">
        <v>316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365</v>
      </c>
      <c r="I368" t="str">
        <f>IF(DraftResults[[#This Row],[Player ID]]=0,"",INDEX(Table5[[#All],[Pos]],MATCH(DraftResults[[#This Row],[Player ID]],Table5[[#All],[PID]],0)))</f>
        <v>1B</v>
      </c>
      <c r="J368" t="str">
        <f>IF(DraftResults[[#This Row],[Player ID]]=0,"",INDEX(Table5[[#All],[First]],MATCH(DraftResults[[#This Row],[Player ID]],Table5[[#All],[PID]],0)))</f>
        <v>Walter</v>
      </c>
      <c r="K368" t="str">
        <f>IF(DraftResults[[#This Row],[Player ID]]=0,"",INDEX(Table5[[#All],[Last]],MATCH(DraftResults[[#This Row],[Player ID]],Table5[[#All],[PID]],0)))</f>
        <v>Guesne</v>
      </c>
    </row>
    <row r="369" spans="1:11" x14ac:dyDescent="0.25">
      <c r="A369">
        <v>12</v>
      </c>
      <c r="B369">
        <v>0</v>
      </c>
      <c r="C369">
        <v>28</v>
      </c>
      <c r="D369" t="s">
        <v>454</v>
      </c>
      <c r="E369">
        <v>162</v>
      </c>
      <c r="F369">
        <v>17837</v>
      </c>
      <c r="G369" t="s">
        <v>316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366</v>
      </c>
      <c r="I369" t="str">
        <f>IF(DraftResults[[#This Row],[Player ID]]=0,"",INDEX(Table5[[#All],[Pos]],MATCH(DraftResults[[#This Row],[Player ID]],Table5[[#All],[PID]],0)))</f>
        <v>SP</v>
      </c>
      <c r="J369" t="str">
        <f>IF(DraftResults[[#This Row],[Player ID]]=0,"",INDEX(Table5[[#All],[First]],MATCH(DraftResults[[#This Row],[Player ID]],Table5[[#All],[PID]],0)))</f>
        <v>Kunimatsu</v>
      </c>
      <c r="K369" t="str">
        <f>IF(DraftResults[[#This Row],[Player ID]]=0,"",INDEX(Table5[[#All],[Last]],MATCH(DraftResults[[#This Row],[Player ID]],Table5[[#All],[PID]],0)))</f>
        <v>Yamasaki</v>
      </c>
    </row>
    <row r="370" spans="1:11" x14ac:dyDescent="0.25">
      <c r="A370">
        <v>12</v>
      </c>
      <c r="B370">
        <v>0</v>
      </c>
      <c r="C370">
        <v>29</v>
      </c>
      <c r="D370" t="s">
        <v>459</v>
      </c>
      <c r="E370">
        <v>163</v>
      </c>
      <c r="F370">
        <v>15123</v>
      </c>
      <c r="G370" t="s">
        <v>316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367</v>
      </c>
      <c r="I370" t="str">
        <f>IF(DraftResults[[#This Row],[Player ID]]=0,"",INDEX(Table5[[#All],[Pos]],MATCH(DraftResults[[#This Row],[Player ID]],Table5[[#All],[PID]],0)))</f>
        <v>SP</v>
      </c>
      <c r="J370" t="str">
        <f>IF(DraftResults[[#This Row],[Player ID]]=0,"",INDEX(Table5[[#All],[First]],MATCH(DraftResults[[#This Row],[Player ID]],Table5[[#All],[PID]],0)))</f>
        <v>Oliver</v>
      </c>
      <c r="K370" t="str">
        <f>IF(DraftResults[[#This Row],[Player ID]]=0,"",INDEX(Table5[[#All],[Last]],MATCH(DraftResults[[#This Row],[Player ID]],Table5[[#All],[PID]],0)))</f>
        <v>Flores</v>
      </c>
    </row>
    <row r="371" spans="1:11" x14ac:dyDescent="0.25">
      <c r="A371">
        <v>12</v>
      </c>
      <c r="B371">
        <v>0</v>
      </c>
      <c r="C371">
        <v>30</v>
      </c>
      <c r="D371" t="s">
        <v>629</v>
      </c>
      <c r="E371">
        <v>9</v>
      </c>
      <c r="F371">
        <v>20543</v>
      </c>
      <c r="G371" t="s">
        <v>316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368</v>
      </c>
      <c r="I371" t="str">
        <f>IF(DraftResults[[#This Row],[Player ID]]=0,"",INDEX(Table5[[#All],[Pos]],MATCH(DraftResults[[#This Row],[Player ID]],Table5[[#All],[PID]],0)))</f>
        <v>SS</v>
      </c>
      <c r="J371" t="str">
        <f>IF(DraftResults[[#This Row],[Player ID]]=0,"",INDEX(Table5[[#All],[First]],MATCH(DraftResults[[#This Row],[Player ID]],Table5[[#All],[PID]],0)))</f>
        <v>Randy</v>
      </c>
      <c r="K371" t="str">
        <f>IF(DraftResults[[#This Row],[Player ID]]=0,"",INDEX(Table5[[#All],[Last]],MATCH(DraftResults[[#This Row],[Player ID]],Table5[[#All],[PID]],0)))</f>
        <v>Mossop</v>
      </c>
    </row>
    <row r="372" spans="1:11" x14ac:dyDescent="0.25">
      <c r="A372">
        <v>13</v>
      </c>
      <c r="B372">
        <v>0</v>
      </c>
      <c r="C372">
        <v>1</v>
      </c>
      <c r="D372" t="s">
        <v>625</v>
      </c>
      <c r="E372">
        <v>24</v>
      </c>
      <c r="F372">
        <v>18096</v>
      </c>
      <c r="G372" t="s">
        <v>316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369</v>
      </c>
      <c r="I372" t="str">
        <f>IF(DraftResults[[#This Row],[Player ID]]=0,"",INDEX(Table5[[#All],[Pos]],MATCH(DraftResults[[#This Row],[Player ID]],Table5[[#All],[PID]],0)))</f>
        <v>2B</v>
      </c>
      <c r="J372" t="str">
        <f>IF(DraftResults[[#This Row],[Player ID]]=0,"",INDEX(Table5[[#All],[First]],MATCH(DraftResults[[#This Row],[Player ID]],Table5[[#All],[PID]],0)))</f>
        <v>Ronald</v>
      </c>
      <c r="K372" t="str">
        <f>IF(DraftResults[[#This Row],[Player ID]]=0,"",INDEX(Table5[[#All],[Last]],MATCH(DraftResults[[#This Row],[Player ID]],Table5[[#All],[PID]],0)))</f>
        <v>Bonnell</v>
      </c>
    </row>
    <row r="373" spans="1:11" x14ac:dyDescent="0.25">
      <c r="A373">
        <v>13</v>
      </c>
      <c r="B373">
        <v>0</v>
      </c>
      <c r="C373">
        <v>2</v>
      </c>
      <c r="D373" t="s">
        <v>542</v>
      </c>
      <c r="E373">
        <v>7</v>
      </c>
      <c r="F373">
        <v>11389</v>
      </c>
      <c r="G373" t="s">
        <v>316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370</v>
      </c>
      <c r="I373" t="str">
        <f>IF(DraftResults[[#This Row],[Player ID]]=0,"",INDEX(Table5[[#All],[Pos]],MATCH(DraftResults[[#This Row],[Player ID]],Table5[[#All],[PID]],0)))</f>
        <v>C</v>
      </c>
      <c r="J373" t="str">
        <f>IF(DraftResults[[#This Row],[Player ID]]=0,"",INDEX(Table5[[#All],[First]],MATCH(DraftResults[[#This Row],[Player ID]],Table5[[#All],[PID]],0)))</f>
        <v>Claudio</v>
      </c>
      <c r="K373" t="str">
        <f>IF(DraftResults[[#This Row],[Player ID]]=0,"",INDEX(Table5[[#All],[Last]],MATCH(DraftResults[[#This Row],[Player ID]],Table5[[#All],[PID]],0)))</f>
        <v>Snel</v>
      </c>
    </row>
    <row r="374" spans="1:11" x14ac:dyDescent="0.25">
      <c r="A374">
        <v>13</v>
      </c>
      <c r="B374">
        <v>0</v>
      </c>
      <c r="C374">
        <v>3</v>
      </c>
      <c r="D374" t="s">
        <v>256</v>
      </c>
      <c r="E374">
        <v>8</v>
      </c>
      <c r="F374">
        <v>18311</v>
      </c>
      <c r="G374" t="s">
        <v>316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371</v>
      </c>
      <c r="I374" t="str">
        <f>IF(DraftResults[[#This Row],[Player ID]]=0,"",INDEX(Table5[[#All],[Pos]],MATCH(DraftResults[[#This Row],[Player ID]],Table5[[#All],[PID]],0)))</f>
        <v>SP</v>
      </c>
      <c r="J374" t="str">
        <f>IF(DraftResults[[#This Row],[Player ID]]=0,"",INDEX(Table5[[#All],[First]],MATCH(DraftResults[[#This Row],[Player ID]],Table5[[#All],[PID]],0)))</f>
        <v>Hideyoshi</v>
      </c>
      <c r="K374" t="str">
        <f>IF(DraftResults[[#This Row],[Player ID]]=0,"",INDEX(Table5[[#All],[Last]],MATCH(DraftResults[[#This Row],[Player ID]],Table5[[#All],[PID]],0)))</f>
        <v>Kouno</v>
      </c>
    </row>
    <row r="375" spans="1:11" x14ac:dyDescent="0.25">
      <c r="A375">
        <v>13</v>
      </c>
      <c r="B375">
        <v>0</v>
      </c>
      <c r="C375">
        <v>4</v>
      </c>
      <c r="D375" t="s">
        <v>628</v>
      </c>
      <c r="E375">
        <v>23</v>
      </c>
      <c r="F375">
        <v>18448</v>
      </c>
      <c r="G375" t="s">
        <v>316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372</v>
      </c>
      <c r="I375" t="str">
        <f>IF(DraftResults[[#This Row],[Player ID]]=0,"",INDEX(Table5[[#All],[Pos]],MATCH(DraftResults[[#This Row],[Player ID]],Table5[[#All],[PID]],0)))</f>
        <v>RP</v>
      </c>
      <c r="J375" t="str">
        <f>IF(DraftResults[[#This Row],[Player ID]]=0,"",INDEX(Table5[[#All],[First]],MATCH(DraftResults[[#This Row],[Player ID]],Table5[[#All],[PID]],0)))</f>
        <v>Adam</v>
      </c>
      <c r="K375" t="str">
        <f>IF(DraftResults[[#This Row],[Player ID]]=0,"",INDEX(Table5[[#All],[Last]],MATCH(DraftResults[[#This Row],[Player ID]],Table5[[#All],[PID]],0)))</f>
        <v>Opie</v>
      </c>
    </row>
    <row r="376" spans="1:11" x14ac:dyDescent="0.25">
      <c r="A376">
        <v>13</v>
      </c>
      <c r="B376">
        <v>0</v>
      </c>
      <c r="C376">
        <v>5</v>
      </c>
      <c r="D376" t="s">
        <v>462</v>
      </c>
      <c r="E376">
        <v>167</v>
      </c>
      <c r="F376">
        <v>18272</v>
      </c>
      <c r="G376" t="s">
        <v>316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373</v>
      </c>
      <c r="I376" t="str">
        <f>IF(DraftResults[[#This Row],[Player ID]]=0,"",INDEX(Table5[[#All],[Pos]],MATCH(DraftResults[[#This Row],[Player ID]],Table5[[#All],[PID]],0)))</f>
        <v>SP</v>
      </c>
      <c r="J376" t="str">
        <f>IF(DraftResults[[#This Row],[Player ID]]=0,"",INDEX(Table5[[#All],[First]],MATCH(DraftResults[[#This Row],[Player ID]],Table5[[#All],[PID]],0)))</f>
        <v>Ramón</v>
      </c>
      <c r="K376" t="str">
        <f>IF(DraftResults[[#This Row],[Player ID]]=0,"",INDEX(Table5[[#All],[Last]],MATCH(DraftResults[[#This Row],[Player ID]],Table5[[#All],[PID]],0)))</f>
        <v>Noriega</v>
      </c>
    </row>
    <row r="377" spans="1:11" x14ac:dyDescent="0.25">
      <c r="A377">
        <v>13</v>
      </c>
      <c r="B377">
        <v>0</v>
      </c>
      <c r="C377">
        <v>6</v>
      </c>
      <c r="D377" t="s">
        <v>543</v>
      </c>
      <c r="E377">
        <v>4</v>
      </c>
      <c r="F377">
        <v>18426</v>
      </c>
      <c r="G377" t="s">
        <v>316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374</v>
      </c>
      <c r="I377" t="str">
        <f>IF(DraftResults[[#This Row],[Player ID]]=0,"",INDEX(Table5[[#All],[Pos]],MATCH(DraftResults[[#This Row],[Player ID]],Table5[[#All],[PID]],0)))</f>
        <v>LF</v>
      </c>
      <c r="J377" t="str">
        <f>IF(DraftResults[[#This Row],[Player ID]]=0,"",INDEX(Table5[[#All],[First]],MATCH(DraftResults[[#This Row],[Player ID]],Table5[[#All],[PID]],0)))</f>
        <v>Quinn</v>
      </c>
      <c r="K377" t="str">
        <f>IF(DraftResults[[#This Row],[Player ID]]=0,"",INDEX(Table5[[#All],[Last]],MATCH(DraftResults[[#This Row],[Player ID]],Table5[[#All],[PID]],0)))</f>
        <v>Weegerink</v>
      </c>
    </row>
    <row r="378" spans="1:11" x14ac:dyDescent="0.25">
      <c r="A378">
        <v>13</v>
      </c>
      <c r="B378">
        <v>0</v>
      </c>
      <c r="C378">
        <v>7</v>
      </c>
      <c r="D378" t="s">
        <v>626</v>
      </c>
      <c r="E378">
        <v>160</v>
      </c>
      <c r="F378">
        <v>20363</v>
      </c>
      <c r="G378" t="s">
        <v>316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375</v>
      </c>
      <c r="I378" t="str">
        <f>IF(DraftResults[[#This Row],[Player ID]]=0,"",INDEX(Table5[[#All],[Pos]],MATCH(DraftResults[[#This Row],[Player ID]],Table5[[#All],[PID]],0)))</f>
        <v>C</v>
      </c>
      <c r="J378" t="str">
        <f>IF(DraftResults[[#This Row],[Player ID]]=0,"",INDEX(Table5[[#All],[First]],MATCH(DraftResults[[#This Row],[Player ID]],Table5[[#All],[PID]],0)))</f>
        <v>David</v>
      </c>
      <c r="K378" t="str">
        <f>IF(DraftResults[[#This Row],[Player ID]]=0,"",INDEX(Table5[[#All],[Last]],MATCH(DraftResults[[#This Row],[Player ID]],Table5[[#All],[PID]],0)))</f>
        <v>Phillips</v>
      </c>
    </row>
    <row r="379" spans="1:11" x14ac:dyDescent="0.25">
      <c r="A379">
        <v>13</v>
      </c>
      <c r="B379">
        <v>0</v>
      </c>
      <c r="C379">
        <v>8</v>
      </c>
      <c r="D379" t="s">
        <v>250</v>
      </c>
      <c r="E379">
        <v>3</v>
      </c>
      <c r="F379">
        <v>18218</v>
      </c>
      <c r="G379" t="s">
        <v>316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376</v>
      </c>
      <c r="I379" t="str">
        <f>IF(DraftResults[[#This Row],[Player ID]]=0,"",INDEX(Table5[[#All],[Pos]],MATCH(DraftResults[[#This Row],[Player ID]],Table5[[#All],[PID]],0)))</f>
        <v>SP</v>
      </c>
      <c r="J379" t="str">
        <f>IF(DraftResults[[#This Row],[Player ID]]=0,"",INDEX(Table5[[#All],[First]],MATCH(DraftResults[[#This Row],[Player ID]],Table5[[#All],[PID]],0)))</f>
        <v>Alonso</v>
      </c>
      <c r="K379" t="str">
        <f>IF(DraftResults[[#This Row],[Player ID]]=0,"",INDEX(Table5[[#All],[Last]],MATCH(DraftResults[[#This Row],[Player ID]],Table5[[#All],[PID]],0)))</f>
        <v>Martínez</v>
      </c>
    </row>
    <row r="380" spans="1:11" x14ac:dyDescent="0.25">
      <c r="A380">
        <v>13</v>
      </c>
      <c r="B380">
        <v>0</v>
      </c>
      <c r="C380">
        <v>9</v>
      </c>
      <c r="D380" t="s">
        <v>456</v>
      </c>
      <c r="E380">
        <v>164</v>
      </c>
      <c r="F380">
        <v>20251</v>
      </c>
      <c r="G380" t="s">
        <v>316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377</v>
      </c>
      <c r="I380" t="str">
        <f>IF(DraftResults[[#This Row],[Player ID]]=0,"",INDEX(Table5[[#All],[Pos]],MATCH(DraftResults[[#This Row],[Player ID]],Table5[[#All],[PID]],0)))</f>
        <v>C</v>
      </c>
      <c r="J380" t="str">
        <f>IF(DraftResults[[#This Row],[Player ID]]=0,"",INDEX(Table5[[#All],[First]],MATCH(DraftResults[[#This Row],[Player ID]],Table5[[#All],[PID]],0)))</f>
        <v>Bernard</v>
      </c>
      <c r="K380" t="str">
        <f>IF(DraftResults[[#This Row],[Player ID]]=0,"",INDEX(Table5[[#All],[Last]],MATCH(DraftResults[[#This Row],[Player ID]],Table5[[#All],[PID]],0)))</f>
        <v>Pardy</v>
      </c>
    </row>
    <row r="381" spans="1:11" x14ac:dyDescent="0.25">
      <c r="A381">
        <v>13</v>
      </c>
      <c r="B381">
        <v>0</v>
      </c>
      <c r="C381">
        <v>10</v>
      </c>
      <c r="D381" t="s">
        <v>461</v>
      </c>
      <c r="E381">
        <v>18</v>
      </c>
      <c r="F381">
        <v>18088</v>
      </c>
      <c r="G381" t="s">
        <v>316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378</v>
      </c>
      <c r="I381" t="str">
        <f>IF(DraftResults[[#This Row],[Player ID]]=0,"",INDEX(Table5[[#All],[Pos]],MATCH(DraftResults[[#This Row],[Player ID]],Table5[[#All],[PID]],0)))</f>
        <v>SP</v>
      </c>
      <c r="J381" t="str">
        <f>IF(DraftResults[[#This Row],[Player ID]]=0,"",INDEX(Table5[[#All],[First]],MATCH(DraftResults[[#This Row],[Player ID]],Table5[[#All],[PID]],0)))</f>
        <v>Anthony</v>
      </c>
      <c r="K381" t="str">
        <f>IF(DraftResults[[#This Row],[Player ID]]=0,"",INDEX(Table5[[#All],[Last]],MATCH(DraftResults[[#This Row],[Player ID]],Table5[[#All],[PID]],0)))</f>
        <v>Swanson</v>
      </c>
    </row>
    <row r="382" spans="1:11" x14ac:dyDescent="0.25">
      <c r="A382">
        <v>13</v>
      </c>
      <c r="B382">
        <v>0</v>
      </c>
      <c r="C382">
        <v>11</v>
      </c>
      <c r="D382" t="s">
        <v>253</v>
      </c>
      <c r="E382">
        <v>15</v>
      </c>
      <c r="F382">
        <v>8360</v>
      </c>
      <c r="G382" t="s">
        <v>316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379</v>
      </c>
      <c r="I382" t="str">
        <f>IF(DraftResults[[#This Row],[Player ID]]=0,"",INDEX(Table5[[#All],[Pos]],MATCH(DraftResults[[#This Row],[Player ID]],Table5[[#All],[PID]],0)))</f>
        <v>SS</v>
      </c>
      <c r="J382" t="str">
        <f>IF(DraftResults[[#This Row],[Player ID]]=0,"",INDEX(Table5[[#All],[First]],MATCH(DraftResults[[#This Row],[Player ID]],Table5[[#All],[PID]],0)))</f>
        <v>Jesús</v>
      </c>
      <c r="K382" t="str">
        <f>IF(DraftResults[[#This Row],[Player ID]]=0,"",INDEX(Table5[[#All],[Last]],MATCH(DraftResults[[#This Row],[Player ID]],Table5[[#All],[PID]],0)))</f>
        <v>Vásquez</v>
      </c>
    </row>
    <row r="383" spans="1:11" x14ac:dyDescent="0.25">
      <c r="A383">
        <v>13</v>
      </c>
      <c r="B383">
        <v>0</v>
      </c>
      <c r="C383">
        <v>12</v>
      </c>
      <c r="D383" t="s">
        <v>245</v>
      </c>
      <c r="E383">
        <v>21</v>
      </c>
      <c r="F383">
        <v>17814</v>
      </c>
      <c r="G383" t="s">
        <v>316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380</v>
      </c>
      <c r="I383" t="str">
        <f>IF(DraftResults[[#This Row],[Player ID]]=0,"",INDEX(Table5[[#All],[Pos]],MATCH(DraftResults[[#This Row],[Player ID]],Table5[[#All],[PID]],0)))</f>
        <v>C</v>
      </c>
      <c r="J383" t="str">
        <f>IF(DraftResults[[#This Row],[Player ID]]=0,"",INDEX(Table5[[#All],[First]],MATCH(DraftResults[[#This Row],[Player ID]],Table5[[#All],[PID]],0)))</f>
        <v>Marc</v>
      </c>
      <c r="K383" t="str">
        <f>IF(DraftResults[[#This Row],[Player ID]]=0,"",INDEX(Table5[[#All],[Last]],MATCH(DraftResults[[#This Row],[Player ID]],Table5[[#All],[PID]],0)))</f>
        <v>Zuijdam</v>
      </c>
    </row>
    <row r="384" spans="1:11" x14ac:dyDescent="0.25">
      <c r="A384">
        <v>13</v>
      </c>
      <c r="B384">
        <v>0</v>
      </c>
      <c r="C384">
        <v>13</v>
      </c>
      <c r="D384" t="s">
        <v>243</v>
      </c>
      <c r="E384">
        <v>22</v>
      </c>
      <c r="F384">
        <v>13593</v>
      </c>
      <c r="G384" t="s">
        <v>316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381</v>
      </c>
      <c r="I384" t="str">
        <f>IF(DraftResults[[#This Row],[Player ID]]=0,"",INDEX(Table5[[#All],[Pos]],MATCH(DraftResults[[#This Row],[Player ID]],Table5[[#All],[PID]],0)))</f>
        <v>SS</v>
      </c>
      <c r="J384" t="str">
        <f>IF(DraftResults[[#This Row],[Player ID]]=0,"",INDEX(Table5[[#All],[First]],MATCH(DraftResults[[#This Row],[Player ID]],Table5[[#All],[PID]],0)))</f>
        <v>Javier</v>
      </c>
      <c r="K384" t="str">
        <f>IF(DraftResults[[#This Row],[Player ID]]=0,"",INDEX(Table5[[#All],[Last]],MATCH(DraftResults[[#This Row],[Player ID]],Table5[[#All],[PID]],0)))</f>
        <v>Guevara</v>
      </c>
    </row>
    <row r="385" spans="1:11" x14ac:dyDescent="0.25">
      <c r="A385">
        <v>13</v>
      </c>
      <c r="B385">
        <v>0</v>
      </c>
      <c r="C385">
        <v>14</v>
      </c>
      <c r="D385" t="s">
        <v>251</v>
      </c>
      <c r="E385">
        <v>1</v>
      </c>
      <c r="F385">
        <v>20696</v>
      </c>
      <c r="G385" t="s">
        <v>316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382</v>
      </c>
      <c r="I385" t="str">
        <f>IF(DraftResults[[#This Row],[Player ID]]=0,"",INDEX(Table5[[#All],[Pos]],MATCH(DraftResults[[#This Row],[Player ID]],Table5[[#All],[PID]],0)))</f>
        <v>RF</v>
      </c>
      <c r="J385" t="str">
        <f>IF(DraftResults[[#This Row],[Player ID]]=0,"",INDEX(Table5[[#All],[First]],MATCH(DraftResults[[#This Row],[Player ID]],Table5[[#All],[PID]],0)))</f>
        <v>Hsiao-lou</v>
      </c>
      <c r="K385" t="str">
        <f>IF(DraftResults[[#This Row],[Player ID]]=0,"",INDEX(Table5[[#All],[Last]],MATCH(DraftResults[[#This Row],[Player ID]],Table5[[#All],[PID]],0)))</f>
        <v>Seto</v>
      </c>
    </row>
    <row r="386" spans="1:11" x14ac:dyDescent="0.25">
      <c r="A386">
        <v>13</v>
      </c>
      <c r="B386">
        <v>0</v>
      </c>
      <c r="C386">
        <v>15</v>
      </c>
      <c r="D386" t="s">
        <v>249</v>
      </c>
      <c r="E386">
        <v>10</v>
      </c>
      <c r="F386">
        <v>18320</v>
      </c>
      <c r="G386" t="s">
        <v>316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383</v>
      </c>
      <c r="I386" t="str">
        <f>IF(DraftResults[[#This Row],[Player ID]]=0,"",INDEX(Table5[[#All],[Pos]],MATCH(DraftResults[[#This Row],[Player ID]],Table5[[#All],[PID]],0)))</f>
        <v>SP</v>
      </c>
      <c r="J386" t="str">
        <f>IF(DraftResults[[#This Row],[Player ID]]=0,"",INDEX(Table5[[#All],[First]],MATCH(DraftResults[[#This Row],[Player ID]],Table5[[#All],[PID]],0)))</f>
        <v>Yujiro</v>
      </c>
      <c r="K386" t="str">
        <f>IF(DraftResults[[#This Row],[Player ID]]=0,"",INDEX(Table5[[#All],[Last]],MATCH(DraftResults[[#This Row],[Player ID]],Table5[[#All],[PID]],0)))</f>
        <v>Tamura</v>
      </c>
    </row>
    <row r="387" spans="1:11" x14ac:dyDescent="0.25">
      <c r="A387">
        <v>13</v>
      </c>
      <c r="B387">
        <v>0</v>
      </c>
      <c r="C387">
        <v>16</v>
      </c>
      <c r="D387" t="s">
        <v>261</v>
      </c>
      <c r="E387">
        <v>12</v>
      </c>
      <c r="F387">
        <v>13100</v>
      </c>
      <c r="G387" t="s">
        <v>316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384</v>
      </c>
      <c r="I387" t="str">
        <f>IF(DraftResults[[#This Row],[Player ID]]=0,"",INDEX(Table5[[#All],[Pos]],MATCH(DraftResults[[#This Row],[Player ID]],Table5[[#All],[PID]],0)))</f>
        <v>RP</v>
      </c>
      <c r="J387" t="str">
        <f>IF(DraftResults[[#This Row],[Player ID]]=0,"",INDEX(Table5[[#All],[First]],MATCH(DraftResults[[#This Row],[Player ID]],Table5[[#All],[PID]],0)))</f>
        <v>José</v>
      </c>
      <c r="K387" t="str">
        <f>IF(DraftResults[[#This Row],[Player ID]]=0,"",INDEX(Table5[[#All],[Last]],MATCH(DraftResults[[#This Row],[Player ID]],Table5[[#All],[PID]],0)))</f>
        <v>Silva</v>
      </c>
    </row>
    <row r="388" spans="1:11" ht="15.75" customHeight="1" x14ac:dyDescent="0.25">
      <c r="A388">
        <v>13</v>
      </c>
      <c r="B388">
        <v>0</v>
      </c>
      <c r="C388">
        <v>17</v>
      </c>
      <c r="D388" t="s">
        <v>627</v>
      </c>
      <c r="E388">
        <v>13</v>
      </c>
      <c r="F388">
        <v>16486</v>
      </c>
      <c r="G388" t="s">
        <v>316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385</v>
      </c>
      <c r="I388" t="str">
        <f>IF(DraftResults[[#This Row],[Player ID]]=0,"",INDEX(Table5[[#All],[Pos]],MATCH(DraftResults[[#This Row],[Player ID]],Table5[[#All],[PID]],0)))</f>
        <v>2B</v>
      </c>
      <c r="J388" t="str">
        <f>IF(DraftResults[[#This Row],[Player ID]]=0,"",INDEX(Table5[[#All],[First]],MATCH(DraftResults[[#This Row],[Player ID]],Table5[[#All],[PID]],0)))</f>
        <v>James</v>
      </c>
      <c r="K388" t="str">
        <f>IF(DraftResults[[#This Row],[Player ID]]=0,"",INDEX(Table5[[#All],[Last]],MATCH(DraftResults[[#This Row],[Player ID]],Table5[[#All],[PID]],0)))</f>
        <v>King</v>
      </c>
    </row>
    <row r="389" spans="1:11" x14ac:dyDescent="0.25">
      <c r="A389">
        <v>13</v>
      </c>
      <c r="B389">
        <v>0</v>
      </c>
      <c r="C389">
        <v>18</v>
      </c>
      <c r="D389" t="s">
        <v>254</v>
      </c>
      <c r="E389">
        <v>20</v>
      </c>
      <c r="F389">
        <v>20827</v>
      </c>
      <c r="G389" t="s">
        <v>316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386</v>
      </c>
      <c r="I389" t="str">
        <f>IF(DraftResults[[#This Row],[Player ID]]=0,"",INDEX(Table5[[#All],[Pos]],MATCH(DraftResults[[#This Row],[Player ID]],Table5[[#All],[PID]],0)))</f>
        <v>SP</v>
      </c>
      <c r="J389" t="str">
        <f>IF(DraftResults[[#This Row],[Player ID]]=0,"",INDEX(Table5[[#All],[First]],MATCH(DraftResults[[#This Row],[Player ID]],Table5[[#All],[PID]],0)))</f>
        <v>Duane</v>
      </c>
      <c r="K389" t="str">
        <f>IF(DraftResults[[#This Row],[Player ID]]=0,"",INDEX(Table5[[#All],[Last]],MATCH(DraftResults[[#This Row],[Player ID]],Table5[[#All],[PID]],0)))</f>
        <v>Moore</v>
      </c>
    </row>
    <row r="390" spans="1:11" x14ac:dyDescent="0.25">
      <c r="A390">
        <v>13</v>
      </c>
      <c r="B390">
        <v>0</v>
      </c>
      <c r="C390">
        <v>19</v>
      </c>
      <c r="D390" t="s">
        <v>246</v>
      </c>
      <c r="E390">
        <v>17</v>
      </c>
      <c r="F390">
        <v>20372</v>
      </c>
      <c r="G390" t="s">
        <v>316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387</v>
      </c>
      <c r="I390" t="str">
        <f>IF(DraftResults[[#This Row],[Player ID]]=0,"",INDEX(Table5[[#All],[Pos]],MATCH(DraftResults[[#This Row],[Player ID]],Table5[[#All],[PID]],0)))</f>
        <v>2B</v>
      </c>
      <c r="J390" t="str">
        <f>IF(DraftResults[[#This Row],[Player ID]]=0,"",INDEX(Table5[[#All],[First]],MATCH(DraftResults[[#This Row],[Player ID]],Table5[[#All],[PID]],0)))</f>
        <v>Travis</v>
      </c>
      <c r="K390" t="str">
        <f>IF(DraftResults[[#This Row],[Player ID]]=0,"",INDEX(Table5[[#All],[Last]],MATCH(DraftResults[[#This Row],[Player ID]],Table5[[#All],[PID]],0)))</f>
        <v>Jackson</v>
      </c>
    </row>
    <row r="391" spans="1:11" x14ac:dyDescent="0.25">
      <c r="A391">
        <v>13</v>
      </c>
      <c r="B391">
        <v>0</v>
      </c>
      <c r="C391">
        <v>20</v>
      </c>
      <c r="D391" t="s">
        <v>455</v>
      </c>
      <c r="E391">
        <v>2</v>
      </c>
      <c r="F391">
        <v>20496</v>
      </c>
      <c r="G391" t="s">
        <v>316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388</v>
      </c>
      <c r="I391" t="str">
        <f>IF(DraftResults[[#This Row],[Player ID]]=0,"",INDEX(Table5[[#All],[Pos]],MATCH(DraftResults[[#This Row],[Player ID]],Table5[[#All],[PID]],0)))</f>
        <v>RF</v>
      </c>
      <c r="J391" t="str">
        <f>IF(DraftResults[[#This Row],[Player ID]]=0,"",INDEX(Table5[[#All],[First]],MATCH(DraftResults[[#This Row],[Player ID]],Table5[[#All],[PID]],0)))</f>
        <v>Michihiro</v>
      </c>
      <c r="K391" t="str">
        <f>IF(DraftResults[[#This Row],[Player ID]]=0,"",INDEX(Table5[[#All],[Last]],MATCH(DraftResults[[#This Row],[Player ID]],Table5[[#All],[PID]],0)))</f>
        <v>Sakei</v>
      </c>
    </row>
    <row r="392" spans="1:11" x14ac:dyDescent="0.25">
      <c r="A392">
        <v>13</v>
      </c>
      <c r="B392">
        <v>0</v>
      </c>
      <c r="C392">
        <v>21</v>
      </c>
      <c r="D392" t="s">
        <v>252</v>
      </c>
      <c r="E392">
        <v>14</v>
      </c>
      <c r="F392">
        <v>18342</v>
      </c>
      <c r="G392" t="s">
        <v>316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389</v>
      </c>
      <c r="I392" t="str">
        <f>IF(DraftResults[[#This Row],[Player ID]]=0,"",INDEX(Table5[[#All],[Pos]],MATCH(DraftResults[[#This Row],[Player ID]],Table5[[#All],[PID]],0)))</f>
        <v>2B</v>
      </c>
      <c r="J392" t="str">
        <f>IF(DraftResults[[#This Row],[Player ID]]=0,"",INDEX(Table5[[#All],[First]],MATCH(DraftResults[[#This Row],[Player ID]],Table5[[#All],[PID]],0)))</f>
        <v>Ira</v>
      </c>
      <c r="K392" t="str">
        <f>IF(DraftResults[[#This Row],[Player ID]]=0,"",INDEX(Table5[[#All],[Last]],MATCH(DraftResults[[#This Row],[Player ID]],Table5[[#All],[PID]],0)))</f>
        <v>Santegoeds</v>
      </c>
    </row>
    <row r="393" spans="1:11" x14ac:dyDescent="0.25">
      <c r="A393">
        <v>13</v>
      </c>
      <c r="B393">
        <v>0</v>
      </c>
      <c r="C393">
        <v>22</v>
      </c>
      <c r="D393" t="s">
        <v>257</v>
      </c>
      <c r="E393">
        <v>16</v>
      </c>
      <c r="F393">
        <v>20492</v>
      </c>
      <c r="G393" t="s">
        <v>316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390</v>
      </c>
      <c r="I393" t="str">
        <f>IF(DraftResults[[#This Row],[Player ID]]=0,"",INDEX(Table5[[#All],[Pos]],MATCH(DraftResults[[#This Row],[Player ID]],Table5[[#All],[PID]],0)))</f>
        <v>1B</v>
      </c>
      <c r="J393" t="str">
        <f>IF(DraftResults[[#This Row],[Player ID]]=0,"",INDEX(Table5[[#All],[First]],MATCH(DraftResults[[#This Row],[Player ID]],Table5[[#All],[PID]],0)))</f>
        <v>Shigemasa</v>
      </c>
      <c r="K393" t="str">
        <f>IF(DraftResults[[#This Row],[Player ID]]=0,"",INDEX(Table5[[#All],[Last]],MATCH(DraftResults[[#This Row],[Player ID]],Table5[[#All],[PID]],0)))</f>
        <v>Hara</v>
      </c>
    </row>
    <row r="394" spans="1:11" x14ac:dyDescent="0.25">
      <c r="A394">
        <v>13</v>
      </c>
      <c r="B394">
        <v>0</v>
      </c>
      <c r="C394">
        <v>23</v>
      </c>
      <c r="D394" t="s">
        <v>460</v>
      </c>
      <c r="E394">
        <v>161</v>
      </c>
      <c r="F394">
        <v>12904</v>
      </c>
      <c r="G394" t="s">
        <v>316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391</v>
      </c>
      <c r="I394" t="str">
        <f>IF(DraftResults[[#This Row],[Player ID]]=0,"",INDEX(Table5[[#All],[Pos]],MATCH(DraftResults[[#This Row],[Player ID]],Table5[[#All],[PID]],0)))</f>
        <v>3B</v>
      </c>
      <c r="J394" t="str">
        <f>IF(DraftResults[[#This Row],[Player ID]]=0,"",INDEX(Table5[[#All],[First]],MATCH(DraftResults[[#This Row],[Player ID]],Table5[[#All],[PID]],0)))</f>
        <v>Pedro</v>
      </c>
      <c r="K394" t="str">
        <f>IF(DraftResults[[#This Row],[Player ID]]=0,"",INDEX(Table5[[#All],[Last]],MATCH(DraftResults[[#This Row],[Player ID]],Table5[[#All],[PID]],0)))</f>
        <v>Cordero</v>
      </c>
    </row>
    <row r="395" spans="1:11" x14ac:dyDescent="0.25">
      <c r="A395">
        <v>13</v>
      </c>
      <c r="B395">
        <v>0</v>
      </c>
      <c r="C395">
        <v>24</v>
      </c>
      <c r="D395" t="s">
        <v>242</v>
      </c>
      <c r="E395">
        <v>19</v>
      </c>
      <c r="F395">
        <v>18440</v>
      </c>
      <c r="G395" t="s">
        <v>316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392</v>
      </c>
      <c r="I395" t="str">
        <f>IF(DraftResults[[#This Row],[Player ID]]=0,"",INDEX(Table5[[#All],[Pos]],MATCH(DraftResults[[#This Row],[Player ID]],Table5[[#All],[PID]],0)))</f>
        <v>SP</v>
      </c>
      <c r="J395" t="str">
        <f>IF(DraftResults[[#This Row],[Player ID]]=0,"",INDEX(Table5[[#All],[First]],MATCH(DraftResults[[#This Row],[Player ID]],Table5[[#All],[PID]],0)))</f>
        <v>Sadao</v>
      </c>
      <c r="K395" t="str">
        <f>IF(DraftResults[[#This Row],[Player ID]]=0,"",INDEX(Table5[[#All],[Last]],MATCH(DraftResults[[#This Row],[Player ID]],Table5[[#All],[PID]],0)))</f>
        <v>Kodo</v>
      </c>
    </row>
    <row r="396" spans="1:11" x14ac:dyDescent="0.25">
      <c r="A396">
        <v>13</v>
      </c>
      <c r="B396">
        <v>0</v>
      </c>
      <c r="C396">
        <v>25</v>
      </c>
      <c r="D396" t="s">
        <v>457</v>
      </c>
      <c r="E396">
        <v>166</v>
      </c>
      <c r="F396">
        <v>18421</v>
      </c>
      <c r="G396" t="s">
        <v>316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393</v>
      </c>
      <c r="I396" t="str">
        <f>IF(DraftResults[[#This Row],[Player ID]]=0,"",INDEX(Table5[[#All],[Pos]],MATCH(DraftResults[[#This Row],[Player ID]],Table5[[#All],[PID]],0)))</f>
        <v>1B</v>
      </c>
      <c r="J396" t="str">
        <f>IF(DraftResults[[#This Row],[Player ID]]=0,"",INDEX(Table5[[#All],[First]],MATCH(DraftResults[[#This Row],[Player ID]],Table5[[#All],[PID]],0)))</f>
        <v>Katsumi</v>
      </c>
      <c r="K396" t="str">
        <f>IF(DraftResults[[#This Row],[Player ID]]=0,"",INDEX(Table5[[#All],[Last]],MATCH(DraftResults[[#This Row],[Player ID]],Table5[[#All],[PID]],0)))</f>
        <v>Wada</v>
      </c>
    </row>
    <row r="397" spans="1:11" x14ac:dyDescent="0.25">
      <c r="A397">
        <v>13</v>
      </c>
      <c r="B397">
        <v>0</v>
      </c>
      <c r="C397">
        <v>26</v>
      </c>
      <c r="D397" t="s">
        <v>625</v>
      </c>
      <c r="E397">
        <v>24</v>
      </c>
      <c r="F397">
        <v>18128</v>
      </c>
      <c r="G397" t="s">
        <v>316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394</v>
      </c>
      <c r="I397" t="str">
        <f>IF(DraftResults[[#This Row],[Player ID]]=0,"",INDEX(Table5[[#All],[Pos]],MATCH(DraftResults[[#This Row],[Player ID]],Table5[[#All],[PID]],0)))</f>
        <v>2B</v>
      </c>
      <c r="J397" t="str">
        <f>IF(DraftResults[[#This Row],[Player ID]]=0,"",INDEX(Table5[[#All],[First]],MATCH(DraftResults[[#This Row],[Player ID]],Table5[[#All],[PID]],0)))</f>
        <v>Roy</v>
      </c>
      <c r="K397" t="str">
        <f>IF(DraftResults[[#This Row],[Player ID]]=0,"",INDEX(Table5[[#All],[Last]],MATCH(DraftResults[[#This Row],[Player ID]],Table5[[#All],[PID]],0)))</f>
        <v>Cahill</v>
      </c>
    </row>
    <row r="398" spans="1:11" x14ac:dyDescent="0.25">
      <c r="A398">
        <v>13</v>
      </c>
      <c r="B398">
        <v>0</v>
      </c>
      <c r="C398">
        <v>27</v>
      </c>
      <c r="D398" t="s">
        <v>458</v>
      </c>
      <c r="E398">
        <v>159</v>
      </c>
      <c r="F398">
        <v>18229</v>
      </c>
      <c r="G398" t="s">
        <v>316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395</v>
      </c>
      <c r="I398" t="str">
        <f>IF(DraftResults[[#This Row],[Player ID]]=0,"",INDEX(Table5[[#All],[Pos]],MATCH(DraftResults[[#This Row],[Player ID]],Table5[[#All],[PID]],0)))</f>
        <v>1B</v>
      </c>
      <c r="J398" t="str">
        <f>IF(DraftResults[[#This Row],[Player ID]]=0,"",INDEX(Table5[[#All],[First]],MATCH(DraftResults[[#This Row],[Player ID]],Table5[[#All],[PID]],0)))</f>
        <v>Denny</v>
      </c>
      <c r="K398" t="str">
        <f>IF(DraftResults[[#This Row],[Player ID]]=0,"",INDEX(Table5[[#All],[Last]],MATCH(DraftResults[[#This Row],[Player ID]],Table5[[#All],[PID]],0)))</f>
        <v>Shirley</v>
      </c>
    </row>
    <row r="399" spans="1:11" x14ac:dyDescent="0.25">
      <c r="A399">
        <v>13</v>
      </c>
      <c r="B399">
        <v>0</v>
      </c>
      <c r="C399">
        <v>28</v>
      </c>
      <c r="D399" t="s">
        <v>454</v>
      </c>
      <c r="E399">
        <v>162</v>
      </c>
      <c r="F399">
        <v>18266</v>
      </c>
      <c r="G399" t="s">
        <v>316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396</v>
      </c>
      <c r="I399" t="str">
        <f>IF(DraftResults[[#This Row],[Player ID]]=0,"",INDEX(Table5[[#All],[Pos]],MATCH(DraftResults[[#This Row],[Player ID]],Table5[[#All],[PID]],0)))</f>
        <v>CL</v>
      </c>
      <c r="J399" t="str">
        <f>IF(DraftResults[[#This Row],[Player ID]]=0,"",INDEX(Table5[[#All],[First]],MATCH(DraftResults[[#This Row],[Player ID]],Table5[[#All],[PID]],0)))</f>
        <v>Leonard</v>
      </c>
      <c r="K399" t="str">
        <f>IF(DraftResults[[#This Row],[Player ID]]=0,"",INDEX(Table5[[#All],[Last]],MATCH(DraftResults[[#This Row],[Player ID]],Table5[[#All],[PID]],0)))</f>
        <v>Hurley</v>
      </c>
    </row>
    <row r="400" spans="1:11" x14ac:dyDescent="0.25">
      <c r="A400">
        <v>13</v>
      </c>
      <c r="B400">
        <v>0</v>
      </c>
      <c r="C400">
        <v>29</v>
      </c>
      <c r="D400" t="s">
        <v>459</v>
      </c>
      <c r="E400">
        <v>163</v>
      </c>
      <c r="F400">
        <v>18238</v>
      </c>
      <c r="G400" t="s">
        <v>316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397</v>
      </c>
      <c r="I400" t="str">
        <f>IF(DraftResults[[#This Row],[Player ID]]=0,"",INDEX(Table5[[#All],[Pos]],MATCH(DraftResults[[#This Row],[Player ID]],Table5[[#All],[PID]],0)))</f>
        <v>SP</v>
      </c>
      <c r="J400" t="str">
        <f>IF(DraftResults[[#This Row],[Player ID]]=0,"",INDEX(Table5[[#All],[First]],MATCH(DraftResults[[#This Row],[Player ID]],Table5[[#All],[PID]],0)))</f>
        <v>Hugh</v>
      </c>
      <c r="K400" t="str">
        <f>IF(DraftResults[[#This Row],[Player ID]]=0,"",INDEX(Table5[[#All],[Last]],MATCH(DraftResults[[#This Row],[Player ID]],Table5[[#All],[PID]],0)))</f>
        <v>Peña</v>
      </c>
    </row>
    <row r="401" spans="1:11" x14ac:dyDescent="0.25">
      <c r="A401">
        <v>13</v>
      </c>
      <c r="B401">
        <v>0</v>
      </c>
      <c r="C401">
        <v>30</v>
      </c>
      <c r="D401" t="s">
        <v>629</v>
      </c>
      <c r="E401">
        <v>9</v>
      </c>
      <c r="F401">
        <v>20848</v>
      </c>
      <c r="G401" t="s">
        <v>316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398</v>
      </c>
      <c r="I401" t="str">
        <f>IF(DraftResults[[#This Row],[Player ID]]=0,"",INDEX(Table5[[#All],[Pos]],MATCH(DraftResults[[#This Row],[Player ID]],Table5[[#All],[PID]],0)))</f>
        <v>SS</v>
      </c>
      <c r="J401" t="str">
        <f>IF(DraftResults[[#This Row],[Player ID]]=0,"",INDEX(Table5[[#All],[First]],MATCH(DraftResults[[#This Row],[Player ID]],Table5[[#All],[PID]],0)))</f>
        <v>Dylan</v>
      </c>
      <c r="K401" t="str">
        <f>IF(DraftResults[[#This Row],[Player ID]]=0,"",INDEX(Table5[[#All],[Last]],MATCH(DraftResults[[#This Row],[Player ID]],Table5[[#All],[PID]],0)))</f>
        <v>Brown</v>
      </c>
    </row>
    <row r="402" spans="1:11" x14ac:dyDescent="0.25">
      <c r="A402">
        <v>14</v>
      </c>
      <c r="B402">
        <v>0</v>
      </c>
      <c r="C402">
        <v>1</v>
      </c>
      <c r="D402" t="s">
        <v>625</v>
      </c>
      <c r="E402">
        <v>24</v>
      </c>
      <c r="F402">
        <v>20968</v>
      </c>
      <c r="G402" t="s">
        <v>316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399</v>
      </c>
      <c r="I402" t="str">
        <f>IF(DraftResults[[#This Row],[Player ID]]=0,"",INDEX(Table5[[#All],[Pos]],MATCH(DraftResults[[#This Row],[Player ID]],Table5[[#All],[PID]],0)))</f>
        <v>SS</v>
      </c>
      <c r="J402" t="str">
        <f>IF(DraftResults[[#This Row],[Player ID]]=0,"",INDEX(Table5[[#All],[First]],MATCH(DraftResults[[#This Row],[Player ID]],Table5[[#All],[PID]],0)))</f>
        <v>Alberto</v>
      </c>
      <c r="K402" t="str">
        <f>IF(DraftResults[[#This Row],[Player ID]]=0,"",INDEX(Table5[[#All],[Last]],MATCH(DraftResults[[#This Row],[Player ID]],Table5[[#All],[PID]],0)))</f>
        <v>Canseco</v>
      </c>
    </row>
    <row r="403" spans="1:11" x14ac:dyDescent="0.25">
      <c r="A403">
        <v>14</v>
      </c>
      <c r="B403">
        <v>0</v>
      </c>
      <c r="C403">
        <v>2</v>
      </c>
      <c r="D403" t="s">
        <v>542</v>
      </c>
      <c r="E403">
        <v>7</v>
      </c>
      <c r="F403">
        <v>20502</v>
      </c>
      <c r="G403" t="s">
        <v>316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400</v>
      </c>
      <c r="I403" t="str">
        <f>IF(DraftResults[[#This Row],[Player ID]]=0,"",INDEX(Table5[[#All],[Pos]],MATCH(DraftResults[[#This Row],[Player ID]],Table5[[#All],[PID]],0)))</f>
        <v>SP</v>
      </c>
      <c r="J403" t="str">
        <f>IF(DraftResults[[#This Row],[Player ID]]=0,"",INDEX(Table5[[#All],[First]],MATCH(DraftResults[[#This Row],[Player ID]],Table5[[#All],[PID]],0)))</f>
        <v>Warren</v>
      </c>
      <c r="K403" t="str">
        <f>IF(DraftResults[[#This Row],[Player ID]]=0,"",INDEX(Table5[[#All],[Last]],MATCH(DraftResults[[#This Row],[Player ID]],Table5[[#All],[PID]],0)))</f>
        <v>Bambase</v>
      </c>
    </row>
    <row r="404" spans="1:11" x14ac:dyDescent="0.25">
      <c r="A404">
        <v>14</v>
      </c>
      <c r="B404">
        <v>0</v>
      </c>
      <c r="C404">
        <v>3</v>
      </c>
      <c r="D404" t="s">
        <v>256</v>
      </c>
      <c r="E404">
        <v>8</v>
      </c>
      <c r="F404">
        <v>18154</v>
      </c>
      <c r="G404" t="s">
        <v>316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401</v>
      </c>
      <c r="I404" t="str">
        <f>IF(DraftResults[[#This Row],[Player ID]]=0,"",INDEX(Table5[[#All],[Pos]],MATCH(DraftResults[[#This Row],[Player ID]],Table5[[#All],[PID]],0)))</f>
        <v>RP</v>
      </c>
      <c r="J404" t="str">
        <f>IF(DraftResults[[#This Row],[Player ID]]=0,"",INDEX(Table5[[#All],[First]],MATCH(DraftResults[[#This Row],[Player ID]],Table5[[#All],[PID]],0)))</f>
        <v>Thomas</v>
      </c>
      <c r="K404" t="str">
        <f>IF(DraftResults[[#This Row],[Player ID]]=0,"",INDEX(Table5[[#All],[Last]],MATCH(DraftResults[[#This Row],[Player ID]],Table5[[#All],[PID]],0)))</f>
        <v>Casillas</v>
      </c>
    </row>
    <row r="405" spans="1:11" x14ac:dyDescent="0.25">
      <c r="A405">
        <v>14</v>
      </c>
      <c r="B405">
        <v>0</v>
      </c>
      <c r="C405">
        <v>4</v>
      </c>
      <c r="D405" t="s">
        <v>628</v>
      </c>
      <c r="E405">
        <v>23</v>
      </c>
      <c r="F405">
        <v>18384</v>
      </c>
      <c r="G405" t="s">
        <v>316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402</v>
      </c>
      <c r="I405" t="str">
        <f>IF(DraftResults[[#This Row],[Player ID]]=0,"",INDEX(Table5[[#All],[Pos]],MATCH(DraftResults[[#This Row],[Player ID]],Table5[[#All],[PID]],0)))</f>
        <v>3B</v>
      </c>
      <c r="J405" t="str">
        <f>IF(DraftResults[[#This Row],[Player ID]]=0,"",INDEX(Table5[[#All],[First]],MATCH(DraftResults[[#This Row],[Player ID]],Table5[[#All],[PID]],0)))</f>
        <v>Yoshitoki</v>
      </c>
      <c r="K405" t="str">
        <f>IF(DraftResults[[#This Row],[Player ID]]=0,"",INDEX(Table5[[#All],[Last]],MATCH(DraftResults[[#This Row],[Player ID]],Table5[[#All],[PID]],0)))</f>
        <v>Araki</v>
      </c>
    </row>
    <row r="406" spans="1:11" x14ac:dyDescent="0.25">
      <c r="A406">
        <v>14</v>
      </c>
      <c r="B406">
        <v>0</v>
      </c>
      <c r="C406">
        <v>5</v>
      </c>
      <c r="D406" t="s">
        <v>462</v>
      </c>
      <c r="E406">
        <v>167</v>
      </c>
      <c r="F406">
        <v>17766</v>
      </c>
      <c r="G406" t="s">
        <v>316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403</v>
      </c>
      <c r="I406" t="str">
        <f>IF(DraftResults[[#This Row],[Player ID]]=0,"",INDEX(Table5[[#All],[Pos]],MATCH(DraftResults[[#This Row],[Player ID]],Table5[[#All],[PID]],0)))</f>
        <v>RP</v>
      </c>
      <c r="J406" t="str">
        <f>IF(DraftResults[[#This Row],[Player ID]]=0,"",INDEX(Table5[[#All],[First]],MATCH(DraftResults[[#This Row],[Player ID]],Table5[[#All],[PID]],0)))</f>
        <v>Kohei</v>
      </c>
      <c r="K406" t="str">
        <f>IF(DraftResults[[#This Row],[Player ID]]=0,"",INDEX(Table5[[#All],[Last]],MATCH(DraftResults[[#This Row],[Player ID]],Table5[[#All],[PID]],0)))</f>
        <v>Takahashi</v>
      </c>
    </row>
    <row r="407" spans="1:11" x14ac:dyDescent="0.25">
      <c r="A407">
        <v>14</v>
      </c>
      <c r="B407">
        <v>0</v>
      </c>
      <c r="C407">
        <v>6</v>
      </c>
      <c r="D407" t="s">
        <v>543</v>
      </c>
      <c r="E407">
        <v>4</v>
      </c>
      <c r="F407">
        <v>20821</v>
      </c>
      <c r="G407" t="s">
        <v>316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404</v>
      </c>
      <c r="I407" t="str">
        <f>IF(DraftResults[[#This Row],[Player ID]]=0,"",INDEX(Table5[[#All],[Pos]],MATCH(DraftResults[[#This Row],[Player ID]],Table5[[#All],[PID]],0)))</f>
        <v>RF</v>
      </c>
      <c r="J407" t="str">
        <f>IF(DraftResults[[#This Row],[Player ID]]=0,"",INDEX(Table5[[#All],[First]],MATCH(DraftResults[[#This Row],[Player ID]],Table5[[#All],[PID]],0)))</f>
        <v>Bud</v>
      </c>
      <c r="K407" t="str">
        <f>IF(DraftResults[[#This Row],[Player ID]]=0,"",INDEX(Table5[[#All],[Last]],MATCH(DraftResults[[#This Row],[Player ID]],Table5[[#All],[PID]],0)))</f>
        <v>Brown</v>
      </c>
    </row>
    <row r="408" spans="1:11" x14ac:dyDescent="0.25">
      <c r="A408">
        <v>14</v>
      </c>
      <c r="B408">
        <v>0</v>
      </c>
      <c r="C408">
        <v>7</v>
      </c>
      <c r="D408" t="s">
        <v>626</v>
      </c>
      <c r="E408">
        <v>160</v>
      </c>
      <c r="F408">
        <v>18167</v>
      </c>
      <c r="G408" t="s">
        <v>316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405</v>
      </c>
      <c r="I408" t="str">
        <f>IF(DraftResults[[#This Row],[Player ID]]=0,"",INDEX(Table5[[#All],[Pos]],MATCH(DraftResults[[#This Row],[Player ID]],Table5[[#All],[PID]],0)))</f>
        <v>RF</v>
      </c>
      <c r="J408" t="str">
        <f>IF(DraftResults[[#This Row],[Player ID]]=0,"",INDEX(Table5[[#All],[First]],MATCH(DraftResults[[#This Row],[Player ID]],Table5[[#All],[PID]],0)))</f>
        <v>Eric</v>
      </c>
      <c r="K408" t="str">
        <f>IF(DraftResults[[#This Row],[Player ID]]=0,"",INDEX(Table5[[#All],[Last]],MATCH(DraftResults[[#This Row],[Player ID]],Table5[[#All],[PID]],0)))</f>
        <v>Smith</v>
      </c>
    </row>
    <row r="409" spans="1:11" x14ac:dyDescent="0.25">
      <c r="A409">
        <v>14</v>
      </c>
      <c r="B409">
        <v>0</v>
      </c>
      <c r="C409">
        <v>8</v>
      </c>
      <c r="D409" t="s">
        <v>250</v>
      </c>
      <c r="E409">
        <v>3</v>
      </c>
      <c r="F409">
        <v>17786</v>
      </c>
      <c r="G409" t="s">
        <v>316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406</v>
      </c>
      <c r="I409" t="str">
        <f>IF(DraftResults[[#This Row],[Player ID]]=0,"",INDEX(Table5[[#All],[Pos]],MATCH(DraftResults[[#This Row],[Player ID]],Table5[[#All],[PID]],0)))</f>
        <v>RP</v>
      </c>
      <c r="J409" t="str">
        <f>IF(DraftResults[[#This Row],[Player ID]]=0,"",INDEX(Table5[[#All],[First]],MATCH(DraftResults[[#This Row],[Player ID]],Table5[[#All],[PID]],0)))</f>
        <v>Shinsaku</v>
      </c>
      <c r="K409" t="str">
        <f>IF(DraftResults[[#This Row],[Player ID]]=0,"",INDEX(Table5[[#All],[Last]],MATCH(DraftResults[[#This Row],[Player ID]],Table5[[#All],[PID]],0)))</f>
        <v>Sato</v>
      </c>
    </row>
    <row r="410" spans="1:11" x14ac:dyDescent="0.25">
      <c r="A410">
        <v>14</v>
      </c>
      <c r="B410">
        <v>0</v>
      </c>
      <c r="C410">
        <v>9</v>
      </c>
      <c r="D410" t="s">
        <v>456</v>
      </c>
      <c r="E410">
        <v>164</v>
      </c>
      <c r="F410">
        <v>20972</v>
      </c>
      <c r="G410" t="s">
        <v>316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407</v>
      </c>
      <c r="I410" t="str">
        <f>IF(DraftResults[[#This Row],[Player ID]]=0,"",INDEX(Table5[[#All],[Pos]],MATCH(DraftResults[[#This Row],[Player ID]],Table5[[#All],[PID]],0)))</f>
        <v>1B</v>
      </c>
      <c r="J410" t="str">
        <f>IF(DraftResults[[#This Row],[Player ID]]=0,"",INDEX(Table5[[#All],[First]],MATCH(DraftResults[[#This Row],[Player ID]],Table5[[#All],[PID]],0)))</f>
        <v>Bobby</v>
      </c>
      <c r="K410" t="str">
        <f>IF(DraftResults[[#This Row],[Player ID]]=0,"",INDEX(Table5[[#All],[Last]],MATCH(DraftResults[[#This Row],[Player ID]],Table5[[#All],[PID]],0)))</f>
        <v>Hamilton</v>
      </c>
    </row>
    <row r="411" spans="1:11" x14ac:dyDescent="0.25">
      <c r="A411">
        <v>14</v>
      </c>
      <c r="B411">
        <v>0</v>
      </c>
      <c r="C411">
        <v>10</v>
      </c>
      <c r="D411" t="s">
        <v>461</v>
      </c>
      <c r="E411">
        <v>18</v>
      </c>
      <c r="F411">
        <v>20670</v>
      </c>
      <c r="G411" t="s">
        <v>316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408</v>
      </c>
      <c r="I411" t="str">
        <f>IF(DraftResults[[#This Row],[Player ID]]=0,"",INDEX(Table5[[#All],[Pos]],MATCH(DraftResults[[#This Row],[Player ID]],Table5[[#All],[PID]],0)))</f>
        <v>CF</v>
      </c>
      <c r="J411" t="str">
        <f>IF(DraftResults[[#This Row],[Player ID]]=0,"",INDEX(Table5[[#All],[First]],MATCH(DraftResults[[#This Row],[Player ID]],Table5[[#All],[PID]],0)))</f>
        <v>Sang-hoon</v>
      </c>
      <c r="K411" t="str">
        <f>IF(DraftResults[[#This Row],[Player ID]]=0,"",INDEX(Table5[[#All],[Last]],MATCH(DraftResults[[#This Row],[Player ID]],Table5[[#All],[PID]],0)))</f>
        <v>Kim</v>
      </c>
    </row>
    <row r="412" spans="1:11" x14ac:dyDescent="0.25">
      <c r="A412">
        <v>14</v>
      </c>
      <c r="B412">
        <v>0</v>
      </c>
      <c r="C412">
        <v>11</v>
      </c>
      <c r="D412" t="s">
        <v>253</v>
      </c>
      <c r="E412">
        <v>15</v>
      </c>
      <c r="F412">
        <v>18033</v>
      </c>
      <c r="G412" t="s">
        <v>316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409</v>
      </c>
      <c r="I412" t="str">
        <f>IF(DraftResults[[#This Row],[Player ID]]=0,"",INDEX(Table5[[#All],[Pos]],MATCH(DraftResults[[#This Row],[Player ID]],Table5[[#All],[PID]],0)))</f>
        <v>CL</v>
      </c>
      <c r="J412" t="str">
        <f>IF(DraftResults[[#This Row],[Player ID]]=0,"",INDEX(Table5[[#All],[First]],MATCH(DraftResults[[#This Row],[Player ID]],Table5[[#All],[PID]],0)))</f>
        <v>Pat</v>
      </c>
      <c r="K412" t="str">
        <f>IF(DraftResults[[#This Row],[Player ID]]=0,"",INDEX(Table5[[#All],[Last]],MATCH(DraftResults[[#This Row],[Player ID]],Table5[[#All],[PID]],0)))</f>
        <v>Wallace</v>
      </c>
    </row>
    <row r="413" spans="1:11" x14ac:dyDescent="0.25">
      <c r="A413">
        <v>14</v>
      </c>
      <c r="B413">
        <v>0</v>
      </c>
      <c r="C413">
        <v>12</v>
      </c>
      <c r="D413" t="s">
        <v>245</v>
      </c>
      <c r="E413">
        <v>21</v>
      </c>
      <c r="F413">
        <v>17757</v>
      </c>
      <c r="G413" t="s">
        <v>316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410</v>
      </c>
      <c r="I413" t="str">
        <f>IF(DraftResults[[#This Row],[Player ID]]=0,"",INDEX(Table5[[#All],[Pos]],MATCH(DraftResults[[#This Row],[Player ID]],Table5[[#All],[PID]],0)))</f>
        <v>3B</v>
      </c>
      <c r="J413" t="str">
        <f>IF(DraftResults[[#This Row],[Player ID]]=0,"",INDEX(Table5[[#All],[First]],MATCH(DraftResults[[#This Row],[Player ID]],Table5[[#All],[PID]],0)))</f>
        <v>Tsutomu</v>
      </c>
      <c r="K413" t="str">
        <f>IF(DraftResults[[#This Row],[Player ID]]=0,"",INDEX(Table5[[#All],[Last]],MATCH(DraftResults[[#This Row],[Player ID]],Table5[[#All],[PID]],0)))</f>
        <v>Ohayashi</v>
      </c>
    </row>
    <row r="414" spans="1:11" x14ac:dyDescent="0.25">
      <c r="A414">
        <v>14</v>
      </c>
      <c r="B414">
        <v>0</v>
      </c>
      <c r="C414">
        <v>13</v>
      </c>
      <c r="D414" t="s">
        <v>243</v>
      </c>
      <c r="E414">
        <v>22</v>
      </c>
      <c r="F414">
        <v>20374</v>
      </c>
      <c r="G414" t="s">
        <v>316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411</v>
      </c>
      <c r="I414" t="str">
        <f>IF(DraftResults[[#This Row],[Player ID]]=0,"",INDEX(Table5[[#All],[Pos]],MATCH(DraftResults[[#This Row],[Player ID]],Table5[[#All],[PID]],0)))</f>
        <v>LF</v>
      </c>
      <c r="J414" t="str">
        <f>IF(DraftResults[[#This Row],[Player ID]]=0,"",INDEX(Table5[[#All],[First]],MATCH(DraftResults[[#This Row],[Player ID]],Table5[[#All],[PID]],0)))</f>
        <v>Joe</v>
      </c>
      <c r="K414" t="str">
        <f>IF(DraftResults[[#This Row],[Player ID]]=0,"",INDEX(Table5[[#All],[Last]],MATCH(DraftResults[[#This Row],[Player ID]],Table5[[#All],[PID]],0)))</f>
        <v>Crawford</v>
      </c>
    </row>
    <row r="415" spans="1:11" x14ac:dyDescent="0.25">
      <c r="A415">
        <v>14</v>
      </c>
      <c r="B415">
        <v>0</v>
      </c>
      <c r="C415">
        <v>14</v>
      </c>
      <c r="D415" t="s">
        <v>251</v>
      </c>
      <c r="E415">
        <v>1</v>
      </c>
      <c r="F415">
        <v>20197</v>
      </c>
      <c r="G415" t="s">
        <v>316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412</v>
      </c>
      <c r="I415" t="str">
        <f>IF(DraftResults[[#This Row],[Player ID]]=0,"",INDEX(Table5[[#All],[Pos]],MATCH(DraftResults[[#This Row],[Player ID]],Table5[[#All],[PID]],0)))</f>
        <v>1B</v>
      </c>
      <c r="J415" t="str">
        <f>IF(DraftResults[[#This Row],[Player ID]]=0,"",INDEX(Table5[[#All],[First]],MATCH(DraftResults[[#This Row],[Player ID]],Table5[[#All],[PID]],0)))</f>
        <v>Dan</v>
      </c>
      <c r="K415" t="str">
        <f>IF(DraftResults[[#This Row],[Player ID]]=0,"",INDEX(Table5[[#All],[Last]],MATCH(DraftResults[[#This Row],[Player ID]],Table5[[#All],[PID]],0)))</f>
        <v>Campbell</v>
      </c>
    </row>
    <row r="416" spans="1:11" x14ac:dyDescent="0.25">
      <c r="A416">
        <v>14</v>
      </c>
      <c r="B416">
        <v>0</v>
      </c>
      <c r="C416">
        <v>15</v>
      </c>
      <c r="D416" t="s">
        <v>249</v>
      </c>
      <c r="E416">
        <v>10</v>
      </c>
      <c r="F416">
        <v>20225</v>
      </c>
      <c r="G416" t="s">
        <v>316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413</v>
      </c>
      <c r="I416" t="str">
        <f>IF(DraftResults[[#This Row],[Player ID]]=0,"",INDEX(Table5[[#All],[Pos]],MATCH(DraftResults[[#This Row],[Player ID]],Table5[[#All],[PID]],0)))</f>
        <v>1B</v>
      </c>
      <c r="J416" t="str">
        <f>IF(DraftResults[[#This Row],[Player ID]]=0,"",INDEX(Table5[[#All],[First]],MATCH(DraftResults[[#This Row],[Player ID]],Table5[[#All],[PID]],0)))</f>
        <v>Mendel</v>
      </c>
      <c r="K416" t="str">
        <f>IF(DraftResults[[#This Row],[Player ID]]=0,"",INDEX(Table5[[#All],[Last]],MATCH(DraftResults[[#This Row],[Player ID]],Table5[[#All],[PID]],0)))</f>
        <v>Baartwijk</v>
      </c>
    </row>
    <row r="417" spans="1:11" x14ac:dyDescent="0.25">
      <c r="A417">
        <v>14</v>
      </c>
      <c r="B417">
        <v>0</v>
      </c>
      <c r="C417">
        <v>16</v>
      </c>
      <c r="D417" t="s">
        <v>261</v>
      </c>
      <c r="E417">
        <v>12</v>
      </c>
      <c r="F417">
        <v>17788</v>
      </c>
      <c r="G417" t="s">
        <v>316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414</v>
      </c>
      <c r="I417" t="str">
        <f>IF(DraftResults[[#This Row],[Player ID]]=0,"",INDEX(Table5[[#All],[Pos]],MATCH(DraftResults[[#This Row],[Player ID]],Table5[[#All],[PID]],0)))</f>
        <v>LF</v>
      </c>
      <c r="J417" t="str">
        <f>IF(DraftResults[[#This Row],[Player ID]]=0,"",INDEX(Table5[[#All],[First]],MATCH(DraftResults[[#This Row],[Player ID]],Table5[[#All],[PID]],0)))</f>
        <v>Bailey</v>
      </c>
      <c r="K417" t="str">
        <f>IF(DraftResults[[#This Row],[Player ID]]=0,"",INDEX(Table5[[#All],[Last]],MATCH(DraftResults[[#This Row],[Player ID]],Table5[[#All],[PID]],0)))</f>
        <v>Aldridge</v>
      </c>
    </row>
    <row r="418" spans="1:11" x14ac:dyDescent="0.25">
      <c r="A418">
        <v>14</v>
      </c>
      <c r="B418">
        <v>0</v>
      </c>
      <c r="C418">
        <v>17</v>
      </c>
      <c r="D418" t="s">
        <v>627</v>
      </c>
      <c r="E418">
        <v>13</v>
      </c>
      <c r="F418">
        <v>18304</v>
      </c>
      <c r="G418" t="s">
        <v>316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415</v>
      </c>
      <c r="I418" t="str">
        <f>IF(DraftResults[[#This Row],[Player ID]]=0,"",INDEX(Table5[[#All],[Pos]],MATCH(DraftResults[[#This Row],[Player ID]],Table5[[#All],[PID]],0)))</f>
        <v>SS</v>
      </c>
      <c r="J418" t="str">
        <f>IF(DraftResults[[#This Row],[Player ID]]=0,"",INDEX(Table5[[#All],[First]],MATCH(DraftResults[[#This Row],[Player ID]],Table5[[#All],[PID]],0)))</f>
        <v>Sotan</v>
      </c>
      <c r="K418" t="str">
        <f>IF(DraftResults[[#This Row],[Player ID]]=0,"",INDEX(Table5[[#All],[Last]],MATCH(DraftResults[[#This Row],[Player ID]],Table5[[#All],[PID]],0)))</f>
        <v>Sakata</v>
      </c>
    </row>
    <row r="419" spans="1:11" x14ac:dyDescent="0.25">
      <c r="A419">
        <v>14</v>
      </c>
      <c r="B419">
        <v>0</v>
      </c>
      <c r="C419">
        <v>18</v>
      </c>
      <c r="D419" t="s">
        <v>254</v>
      </c>
      <c r="E419">
        <v>20</v>
      </c>
      <c r="F419">
        <v>18124</v>
      </c>
      <c r="G419" t="s">
        <v>316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416</v>
      </c>
      <c r="I419" t="str">
        <f>IF(DraftResults[[#This Row],[Player ID]]=0,"",INDEX(Table5[[#All],[Pos]],MATCH(DraftResults[[#This Row],[Player ID]],Table5[[#All],[PID]],0)))</f>
        <v>C</v>
      </c>
      <c r="J419" t="str">
        <f>IF(DraftResults[[#This Row],[Player ID]]=0,"",INDEX(Table5[[#All],[First]],MATCH(DraftResults[[#This Row],[Player ID]],Table5[[#All],[PID]],0)))</f>
        <v>Curtis</v>
      </c>
      <c r="K419" t="str">
        <f>IF(DraftResults[[#This Row],[Player ID]]=0,"",INDEX(Table5[[#All],[Last]],MATCH(DraftResults[[#This Row],[Player ID]],Table5[[#All],[PID]],0)))</f>
        <v>Patterson</v>
      </c>
    </row>
    <row r="420" spans="1:11" x14ac:dyDescent="0.25">
      <c r="A420">
        <v>14</v>
      </c>
      <c r="B420">
        <v>0</v>
      </c>
      <c r="C420">
        <v>19</v>
      </c>
      <c r="D420" t="s">
        <v>246</v>
      </c>
      <c r="E420">
        <v>17</v>
      </c>
      <c r="F420">
        <v>18347</v>
      </c>
      <c r="G420" t="s">
        <v>316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417</v>
      </c>
      <c r="I420" t="str">
        <f>IF(DraftResults[[#This Row],[Player ID]]=0,"",INDEX(Table5[[#All],[Pos]],MATCH(DraftResults[[#This Row],[Player ID]],Table5[[#All],[PID]],0)))</f>
        <v>CF</v>
      </c>
      <c r="J420" t="str">
        <f>IF(DraftResults[[#This Row],[Player ID]]=0,"",INDEX(Table5[[#All],[First]],MATCH(DraftResults[[#This Row],[Player ID]],Table5[[#All],[PID]],0)))</f>
        <v>Arturo</v>
      </c>
      <c r="K420" t="str">
        <f>IF(DraftResults[[#This Row],[Player ID]]=0,"",INDEX(Table5[[#All],[Last]],MATCH(DraftResults[[#This Row],[Player ID]],Table5[[#All],[PID]],0)))</f>
        <v>Sandoval</v>
      </c>
    </row>
    <row r="421" spans="1:11" x14ac:dyDescent="0.25">
      <c r="A421">
        <v>14</v>
      </c>
      <c r="B421">
        <v>0</v>
      </c>
      <c r="C421">
        <v>20</v>
      </c>
      <c r="D421" t="s">
        <v>455</v>
      </c>
      <c r="E421">
        <v>2</v>
      </c>
      <c r="F421">
        <v>15836</v>
      </c>
      <c r="G421" t="s">
        <v>316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418</v>
      </c>
      <c r="I421" t="str">
        <f>IF(DraftResults[[#This Row],[Player ID]]=0,"",INDEX(Table5[[#All],[Pos]],MATCH(DraftResults[[#This Row],[Player ID]],Table5[[#All],[PID]],0)))</f>
        <v>LF</v>
      </c>
      <c r="J421" t="str">
        <f>IF(DraftResults[[#This Row],[Player ID]]=0,"",INDEX(Table5[[#All],[First]],MATCH(DraftResults[[#This Row],[Player ID]],Table5[[#All],[PID]],0)))</f>
        <v>Sidney</v>
      </c>
      <c r="K421" t="str">
        <f>IF(DraftResults[[#This Row],[Player ID]]=0,"",INDEX(Table5[[#All],[Last]],MATCH(DraftResults[[#This Row],[Player ID]],Table5[[#All],[PID]],0)))</f>
        <v>Green</v>
      </c>
    </row>
    <row r="422" spans="1:11" x14ac:dyDescent="0.25">
      <c r="A422">
        <v>14</v>
      </c>
      <c r="B422">
        <v>0</v>
      </c>
      <c r="C422">
        <v>21</v>
      </c>
      <c r="D422" t="s">
        <v>252</v>
      </c>
      <c r="E422">
        <v>14</v>
      </c>
      <c r="F422">
        <v>18414</v>
      </c>
      <c r="G422" t="s">
        <v>316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419</v>
      </c>
      <c r="I422" t="str">
        <f>IF(DraftResults[[#This Row],[Player ID]]=0,"",INDEX(Table5[[#All],[Pos]],MATCH(DraftResults[[#This Row],[Player ID]],Table5[[#All],[PID]],0)))</f>
        <v>2B</v>
      </c>
      <c r="J422" t="str">
        <f>IF(DraftResults[[#This Row],[Player ID]]=0,"",INDEX(Table5[[#All],[First]],MATCH(DraftResults[[#This Row],[Player ID]],Table5[[#All],[PID]],0)))</f>
        <v>Jacky</v>
      </c>
      <c r="K422" t="str">
        <f>IF(DraftResults[[#This Row],[Player ID]]=0,"",INDEX(Table5[[#All],[Last]],MATCH(DraftResults[[#This Row],[Player ID]],Table5[[#All],[PID]],0)))</f>
        <v>van Straaten</v>
      </c>
    </row>
    <row r="423" spans="1:11" x14ac:dyDescent="0.25">
      <c r="A423">
        <v>14</v>
      </c>
      <c r="B423">
        <v>0</v>
      </c>
      <c r="C423">
        <v>22</v>
      </c>
      <c r="D423" t="s">
        <v>257</v>
      </c>
      <c r="E423">
        <v>16</v>
      </c>
      <c r="F423">
        <v>20613</v>
      </c>
      <c r="G423" t="s">
        <v>316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420</v>
      </c>
      <c r="I423" t="str">
        <f>IF(DraftResults[[#This Row],[Player ID]]=0,"",INDEX(Table5[[#All],[Pos]],MATCH(DraftResults[[#This Row],[Player ID]],Table5[[#All],[PID]],0)))</f>
        <v>C</v>
      </c>
      <c r="J423" t="str">
        <f>IF(DraftResults[[#This Row],[Player ID]]=0,"",INDEX(Table5[[#All],[First]],MATCH(DraftResults[[#This Row],[Player ID]],Table5[[#All],[PID]],0)))</f>
        <v>Kwang-chih</v>
      </c>
      <c r="K423" t="str">
        <f>IF(DraftResults[[#This Row],[Player ID]]=0,"",INDEX(Table5[[#All],[Last]],MATCH(DraftResults[[#This Row],[Player ID]],Table5[[#All],[PID]],0)))</f>
        <v>Zhu</v>
      </c>
    </row>
    <row r="424" spans="1:11" x14ac:dyDescent="0.25">
      <c r="A424">
        <v>14</v>
      </c>
      <c r="B424">
        <v>0</v>
      </c>
      <c r="C424">
        <v>23</v>
      </c>
      <c r="D424" t="s">
        <v>460</v>
      </c>
      <c r="E424">
        <v>161</v>
      </c>
      <c r="F424">
        <v>20459</v>
      </c>
      <c r="G424" t="s">
        <v>316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421</v>
      </c>
      <c r="I424" t="str">
        <f>IF(DraftResults[[#This Row],[Player ID]]=0,"",INDEX(Table5[[#All],[Pos]],MATCH(DraftResults[[#This Row],[Player ID]],Table5[[#All],[PID]],0)))</f>
        <v>CL</v>
      </c>
      <c r="J424" t="str">
        <f>IF(DraftResults[[#This Row],[Player ID]]=0,"",INDEX(Table5[[#All],[First]],MATCH(DraftResults[[#This Row],[Player ID]],Table5[[#All],[PID]],0)))</f>
        <v>Asmo</v>
      </c>
      <c r="K424" t="str">
        <f>IF(DraftResults[[#This Row],[Player ID]]=0,"",INDEX(Table5[[#All],[Last]],MATCH(DraftResults[[#This Row],[Player ID]],Table5[[#All],[PID]],0)))</f>
        <v>Subadio</v>
      </c>
    </row>
    <row r="425" spans="1:11" x14ac:dyDescent="0.25">
      <c r="A425">
        <v>14</v>
      </c>
      <c r="B425">
        <v>0</v>
      </c>
      <c r="C425">
        <v>24</v>
      </c>
      <c r="D425" t="s">
        <v>242</v>
      </c>
      <c r="E425">
        <v>19</v>
      </c>
      <c r="F425">
        <v>18024</v>
      </c>
      <c r="G425" t="s">
        <v>316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422</v>
      </c>
      <c r="I425" t="str">
        <f>IF(DraftResults[[#This Row],[Player ID]]=0,"",INDEX(Table5[[#All],[Pos]],MATCH(DraftResults[[#This Row],[Player ID]],Table5[[#All],[PID]],0)))</f>
        <v>SS</v>
      </c>
      <c r="J425" t="str">
        <f>IF(DraftResults[[#This Row],[Player ID]]=0,"",INDEX(Table5[[#All],[First]],MATCH(DraftResults[[#This Row],[Player ID]],Table5[[#All],[PID]],0)))</f>
        <v>Luis</v>
      </c>
      <c r="K425" t="str">
        <f>IF(DraftResults[[#This Row],[Player ID]]=0,"",INDEX(Table5[[#All],[Last]],MATCH(DraftResults[[#This Row],[Player ID]],Table5[[#All],[PID]],0)))</f>
        <v>Gómez</v>
      </c>
    </row>
    <row r="426" spans="1:11" x14ac:dyDescent="0.25">
      <c r="A426">
        <v>14</v>
      </c>
      <c r="B426">
        <v>0</v>
      </c>
      <c r="C426">
        <v>25</v>
      </c>
      <c r="D426" t="s">
        <v>457</v>
      </c>
      <c r="E426">
        <v>166</v>
      </c>
      <c r="F426">
        <v>15990</v>
      </c>
      <c r="G426" t="s">
        <v>316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423</v>
      </c>
      <c r="I426" t="str">
        <f>IF(DraftResults[[#This Row],[Player ID]]=0,"",INDEX(Table5[[#All],[Pos]],MATCH(DraftResults[[#This Row],[Player ID]],Table5[[#All],[PID]],0)))</f>
        <v>3B</v>
      </c>
      <c r="J426" t="str">
        <f>IF(DraftResults[[#This Row],[Player ID]]=0,"",INDEX(Table5[[#All],[First]],MATCH(DraftResults[[#This Row],[Player ID]],Table5[[#All],[PID]],0)))</f>
        <v>Kyushichi</v>
      </c>
      <c r="K426" t="str">
        <f>IF(DraftResults[[#This Row],[Player ID]]=0,"",INDEX(Table5[[#All],[Last]],MATCH(DraftResults[[#This Row],[Player ID]],Table5[[#All],[PID]],0)))</f>
        <v>Komatsu</v>
      </c>
    </row>
    <row r="427" spans="1:11" x14ac:dyDescent="0.25">
      <c r="A427">
        <v>14</v>
      </c>
      <c r="B427">
        <v>0</v>
      </c>
      <c r="C427">
        <v>26</v>
      </c>
      <c r="D427" t="s">
        <v>625</v>
      </c>
      <c r="E427">
        <v>24</v>
      </c>
      <c r="F427">
        <v>20342</v>
      </c>
      <c r="G427" t="s">
        <v>316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424</v>
      </c>
      <c r="I427" t="str">
        <f>IF(DraftResults[[#This Row],[Player ID]]=0,"",INDEX(Table5[[#All],[Pos]],MATCH(DraftResults[[#This Row],[Player ID]],Table5[[#All],[PID]],0)))</f>
        <v>3B</v>
      </c>
      <c r="J427" t="str">
        <f>IF(DraftResults[[#This Row],[Player ID]]=0,"",INDEX(Table5[[#All],[First]],MATCH(DraftResults[[#This Row],[Player ID]],Table5[[#All],[PID]],0)))</f>
        <v>Hayden</v>
      </c>
      <c r="K427" t="str">
        <f>IF(DraftResults[[#This Row],[Player ID]]=0,"",INDEX(Table5[[#All],[Last]],MATCH(DraftResults[[#This Row],[Player ID]],Table5[[#All],[PID]],0)))</f>
        <v>Dethridge</v>
      </c>
    </row>
    <row r="428" spans="1:11" x14ac:dyDescent="0.25">
      <c r="A428">
        <v>14</v>
      </c>
      <c r="B428">
        <v>0</v>
      </c>
      <c r="C428">
        <v>27</v>
      </c>
      <c r="D428" t="s">
        <v>458</v>
      </c>
      <c r="E428">
        <v>159</v>
      </c>
      <c r="F428">
        <v>18252</v>
      </c>
      <c r="G428" t="s">
        <v>316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425</v>
      </c>
      <c r="I428" t="str">
        <f>IF(DraftResults[[#This Row],[Player ID]]=0,"",INDEX(Table5[[#All],[Pos]],MATCH(DraftResults[[#This Row],[Player ID]],Table5[[#All],[PID]],0)))</f>
        <v>RP</v>
      </c>
      <c r="J428" t="str">
        <f>IF(DraftResults[[#This Row],[Player ID]]=0,"",INDEX(Table5[[#All],[First]],MATCH(DraftResults[[#This Row],[Player ID]],Table5[[#All],[PID]],0)))</f>
        <v>John</v>
      </c>
      <c r="K428" t="str">
        <f>IF(DraftResults[[#This Row],[Player ID]]=0,"",INDEX(Table5[[#All],[Last]],MATCH(DraftResults[[#This Row],[Player ID]],Table5[[#All],[PID]],0)))</f>
        <v>Knapp</v>
      </c>
    </row>
    <row r="429" spans="1:11" x14ac:dyDescent="0.25">
      <c r="A429">
        <v>14</v>
      </c>
      <c r="B429">
        <v>0</v>
      </c>
      <c r="C429">
        <v>28</v>
      </c>
      <c r="D429" t="s">
        <v>454</v>
      </c>
      <c r="E429">
        <v>162</v>
      </c>
      <c r="F429">
        <v>12958</v>
      </c>
      <c r="G429" t="s">
        <v>316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426</v>
      </c>
      <c r="I429" t="str">
        <f>IF(DraftResults[[#This Row],[Player ID]]=0,"",INDEX(Table5[[#All],[Pos]],MATCH(DraftResults[[#This Row],[Player ID]],Table5[[#All],[PID]],0)))</f>
        <v>RP</v>
      </c>
      <c r="J429" t="str">
        <f>IF(DraftResults[[#This Row],[Player ID]]=0,"",INDEX(Table5[[#All],[First]],MATCH(DraftResults[[#This Row],[Player ID]],Table5[[#All],[PID]],0)))</f>
        <v>Derrek</v>
      </c>
      <c r="K429" t="str">
        <f>IF(DraftResults[[#This Row],[Player ID]]=0,"",INDEX(Table5[[#All],[Last]],MATCH(DraftResults[[#This Row],[Player ID]],Table5[[#All],[PID]],0)))</f>
        <v>Harper</v>
      </c>
    </row>
    <row r="430" spans="1:11" x14ac:dyDescent="0.25">
      <c r="A430">
        <v>14</v>
      </c>
      <c r="B430">
        <v>0</v>
      </c>
      <c r="C430">
        <v>29</v>
      </c>
      <c r="D430" t="s">
        <v>459</v>
      </c>
      <c r="E430">
        <v>163</v>
      </c>
      <c r="F430">
        <v>11476</v>
      </c>
      <c r="G430" t="s">
        <v>316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427</v>
      </c>
      <c r="I430" t="str">
        <f>IF(DraftResults[[#This Row],[Player ID]]=0,"",INDEX(Table5[[#All],[Pos]],MATCH(DraftResults[[#This Row],[Player ID]],Table5[[#All],[PID]],0)))</f>
        <v>C</v>
      </c>
      <c r="J430" t="str">
        <f>IF(DraftResults[[#This Row],[Player ID]]=0,"",INDEX(Table5[[#All],[First]],MATCH(DraftResults[[#This Row],[Player ID]],Table5[[#All],[PID]],0)))</f>
        <v>John</v>
      </c>
      <c r="K430" t="str">
        <f>IF(DraftResults[[#This Row],[Player ID]]=0,"",INDEX(Table5[[#All],[Last]],MATCH(DraftResults[[#This Row],[Player ID]],Table5[[#All],[PID]],0)))</f>
        <v>McNish</v>
      </c>
    </row>
    <row r="431" spans="1:11" x14ac:dyDescent="0.25">
      <c r="A431">
        <v>14</v>
      </c>
      <c r="B431">
        <v>0</v>
      </c>
      <c r="C431">
        <v>30</v>
      </c>
      <c r="D431" t="s">
        <v>629</v>
      </c>
      <c r="E431">
        <v>9</v>
      </c>
      <c r="F431">
        <v>17030</v>
      </c>
      <c r="G431" t="s">
        <v>316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428</v>
      </c>
      <c r="I431" t="str">
        <f>IF(DraftResults[[#This Row],[Player ID]]=0,"",INDEX(Table5[[#All],[Pos]],MATCH(DraftResults[[#This Row],[Player ID]],Table5[[#All],[PID]],0)))</f>
        <v>C</v>
      </c>
      <c r="J431" t="str">
        <f>IF(DraftResults[[#This Row],[Player ID]]=0,"",INDEX(Table5[[#All],[First]],MATCH(DraftResults[[#This Row],[Player ID]],Table5[[#All],[PID]],0)))</f>
        <v>Carlos</v>
      </c>
      <c r="K431" t="str">
        <f>IF(DraftResults[[#This Row],[Player ID]]=0,"",INDEX(Table5[[#All],[Last]],MATCH(DraftResults[[#This Row],[Player ID]],Table5[[#All],[PID]],0)))</f>
        <v>Ortíz</v>
      </c>
    </row>
    <row r="432" spans="1:11" x14ac:dyDescent="0.25">
      <c r="A432">
        <v>15</v>
      </c>
      <c r="B432">
        <v>0</v>
      </c>
      <c r="C432">
        <v>1</v>
      </c>
      <c r="D432" t="s">
        <v>625</v>
      </c>
      <c r="E432">
        <v>24</v>
      </c>
      <c r="F432">
        <v>20566</v>
      </c>
      <c r="G432" t="s">
        <v>316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429</v>
      </c>
      <c r="I432" t="str">
        <f>IF(DraftResults[[#This Row],[Player ID]]=0,"",INDEX(Table5[[#All],[Pos]],MATCH(DraftResults[[#This Row],[Player ID]],Table5[[#All],[PID]],0)))</f>
        <v>2B</v>
      </c>
      <c r="J432" t="str">
        <f>IF(DraftResults[[#This Row],[Player ID]]=0,"",INDEX(Table5[[#All],[First]],MATCH(DraftResults[[#This Row],[Player ID]],Table5[[#All],[PID]],0)))</f>
        <v>Joshua</v>
      </c>
      <c r="K432" t="str">
        <f>IF(DraftResults[[#This Row],[Player ID]]=0,"",INDEX(Table5[[#All],[Last]],MATCH(DraftResults[[#This Row],[Player ID]],Table5[[#All],[PID]],0)))</f>
        <v>Eveson</v>
      </c>
    </row>
    <row r="433" spans="1:11" x14ac:dyDescent="0.25">
      <c r="A433">
        <v>15</v>
      </c>
      <c r="B433">
        <v>0</v>
      </c>
      <c r="C433">
        <v>2</v>
      </c>
      <c r="D433" t="s">
        <v>542</v>
      </c>
      <c r="E433">
        <v>7</v>
      </c>
      <c r="F433">
        <v>20534</v>
      </c>
      <c r="G433" t="s">
        <v>316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430</v>
      </c>
      <c r="I433" t="str">
        <f>IF(DraftResults[[#This Row],[Player ID]]=0,"",INDEX(Table5[[#All],[Pos]],MATCH(DraftResults[[#This Row],[Player ID]],Table5[[#All],[PID]],0)))</f>
        <v>SP</v>
      </c>
      <c r="J433" t="str">
        <f>IF(DraftResults[[#This Row],[Player ID]]=0,"",INDEX(Table5[[#All],[First]],MATCH(DraftResults[[#This Row],[Player ID]],Table5[[#All],[PID]],0)))</f>
        <v>Brendan</v>
      </c>
      <c r="K433" t="str">
        <f>IF(DraftResults[[#This Row],[Player ID]]=0,"",INDEX(Table5[[#All],[Last]],MATCH(DraftResults[[#This Row],[Player ID]],Table5[[#All],[PID]],0)))</f>
        <v>Mullet</v>
      </c>
    </row>
    <row r="434" spans="1:11" x14ac:dyDescent="0.25">
      <c r="A434">
        <v>15</v>
      </c>
      <c r="B434">
        <v>0</v>
      </c>
      <c r="C434">
        <v>3</v>
      </c>
      <c r="D434" t="s">
        <v>256</v>
      </c>
      <c r="E434">
        <v>8</v>
      </c>
      <c r="F434">
        <v>17798</v>
      </c>
      <c r="G434" t="s">
        <v>316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431</v>
      </c>
      <c r="I434" t="str">
        <f>IF(DraftResults[[#This Row],[Player ID]]=0,"",INDEX(Table5[[#All],[Pos]],MATCH(DraftResults[[#This Row],[Player ID]],Table5[[#All],[PID]],0)))</f>
        <v>2B</v>
      </c>
      <c r="J434" t="str">
        <f>IF(DraftResults[[#This Row],[Player ID]]=0,"",INDEX(Table5[[#All],[First]],MATCH(DraftResults[[#This Row],[Player ID]],Table5[[#All],[PID]],0)))</f>
        <v>Matsusuke</v>
      </c>
      <c r="K434" t="str">
        <f>IF(DraftResults[[#This Row],[Player ID]]=0,"",INDEX(Table5[[#All],[Last]],MATCH(DraftResults[[#This Row],[Player ID]],Table5[[#All],[PID]],0)))</f>
        <v>Ishikawa</v>
      </c>
    </row>
    <row r="435" spans="1:11" x14ac:dyDescent="0.25">
      <c r="A435">
        <v>15</v>
      </c>
      <c r="B435">
        <v>0</v>
      </c>
      <c r="C435">
        <v>4</v>
      </c>
      <c r="D435" t="s">
        <v>628</v>
      </c>
      <c r="E435">
        <v>23</v>
      </c>
      <c r="F435">
        <v>20849</v>
      </c>
      <c r="G435" t="s">
        <v>316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432</v>
      </c>
      <c r="I435" t="str">
        <f>IF(DraftResults[[#This Row],[Player ID]]=0,"",INDEX(Table5[[#All],[Pos]],MATCH(DraftResults[[#This Row],[Player ID]],Table5[[#All],[PID]],0)))</f>
        <v>LF</v>
      </c>
      <c r="J435" t="str">
        <f>IF(DraftResults[[#This Row],[Player ID]]=0,"",INDEX(Table5[[#All],[First]],MATCH(DraftResults[[#This Row],[Player ID]],Table5[[#All],[PID]],0)))</f>
        <v>Roberto</v>
      </c>
      <c r="K435" t="str">
        <f>IF(DraftResults[[#This Row],[Player ID]]=0,"",INDEX(Table5[[#All],[Last]],MATCH(DraftResults[[#This Row],[Player ID]],Table5[[#All],[PID]],0)))</f>
        <v>Aguilar</v>
      </c>
    </row>
    <row r="436" spans="1:11" x14ac:dyDescent="0.25">
      <c r="A436">
        <v>15</v>
      </c>
      <c r="B436">
        <v>0</v>
      </c>
      <c r="C436">
        <v>5</v>
      </c>
      <c r="D436" t="s">
        <v>462</v>
      </c>
      <c r="E436">
        <v>167</v>
      </c>
      <c r="F436">
        <v>20239</v>
      </c>
      <c r="G436" t="s">
        <v>316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433</v>
      </c>
      <c r="I436" t="str">
        <f>IF(DraftResults[[#This Row],[Player ID]]=0,"",INDEX(Table5[[#All],[Pos]],MATCH(DraftResults[[#This Row],[Player ID]],Table5[[#All],[PID]],0)))</f>
        <v>SP</v>
      </c>
      <c r="J436" t="str">
        <f>IF(DraftResults[[#This Row],[Player ID]]=0,"",INDEX(Table5[[#All],[First]],MATCH(DraftResults[[#This Row],[Player ID]],Table5[[#All],[PID]],0)))</f>
        <v>Shusaku</v>
      </c>
      <c r="K436" t="str">
        <f>IF(DraftResults[[#This Row],[Player ID]]=0,"",INDEX(Table5[[#All],[Last]],MATCH(DraftResults[[#This Row],[Player ID]],Table5[[#All],[PID]],0)))</f>
        <v>Okamoto</v>
      </c>
    </row>
    <row r="437" spans="1:11" x14ac:dyDescent="0.25">
      <c r="A437">
        <v>15</v>
      </c>
      <c r="B437">
        <v>0</v>
      </c>
      <c r="C437">
        <v>6</v>
      </c>
      <c r="D437" t="s">
        <v>543</v>
      </c>
      <c r="E437">
        <v>4</v>
      </c>
      <c r="F437">
        <v>20252</v>
      </c>
      <c r="G437" t="s">
        <v>316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434</v>
      </c>
      <c r="I437" t="str">
        <f>IF(DraftResults[[#This Row],[Player ID]]=0,"",INDEX(Table5[[#All],[Pos]],MATCH(DraftResults[[#This Row],[Player ID]],Table5[[#All],[PID]],0)))</f>
        <v>1B</v>
      </c>
      <c r="J437" t="str">
        <f>IF(DraftResults[[#This Row],[Player ID]]=0,"",INDEX(Table5[[#All],[First]],MATCH(DraftResults[[#This Row],[Player ID]],Table5[[#All],[PID]],0)))</f>
        <v>Orrin</v>
      </c>
      <c r="K437" t="str">
        <f>IF(DraftResults[[#This Row],[Player ID]]=0,"",INDEX(Table5[[#All],[Last]],MATCH(DraftResults[[#This Row],[Player ID]],Table5[[#All],[PID]],0)))</f>
        <v>Grant</v>
      </c>
    </row>
    <row r="438" spans="1:11" x14ac:dyDescent="0.25">
      <c r="A438">
        <v>15</v>
      </c>
      <c r="B438">
        <v>0</v>
      </c>
      <c r="C438">
        <v>7</v>
      </c>
      <c r="D438" t="s">
        <v>626</v>
      </c>
      <c r="E438">
        <v>160</v>
      </c>
      <c r="F438">
        <v>17972</v>
      </c>
      <c r="G438" t="s">
        <v>316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435</v>
      </c>
      <c r="I438" t="str">
        <f>IF(DraftResults[[#This Row],[Player ID]]=0,"",INDEX(Table5[[#All],[Pos]],MATCH(DraftResults[[#This Row],[Player ID]],Table5[[#All],[PID]],0)))</f>
        <v>CF</v>
      </c>
      <c r="J438" t="str">
        <f>IF(DraftResults[[#This Row],[Player ID]]=0,"",INDEX(Table5[[#All],[First]],MATCH(DraftResults[[#This Row],[Player ID]],Table5[[#All],[PID]],0)))</f>
        <v>Ambrose</v>
      </c>
      <c r="K438" t="str">
        <f>IF(DraftResults[[#This Row],[Player ID]]=0,"",INDEX(Table5[[#All],[Last]],MATCH(DraftResults[[#This Row],[Player ID]],Table5[[#All],[PID]],0)))</f>
        <v>Bailey</v>
      </c>
    </row>
    <row r="439" spans="1:11" x14ac:dyDescent="0.25">
      <c r="A439">
        <v>15</v>
      </c>
      <c r="B439">
        <v>0</v>
      </c>
      <c r="C439">
        <v>8</v>
      </c>
      <c r="D439" t="s">
        <v>250</v>
      </c>
      <c r="E439">
        <v>3</v>
      </c>
      <c r="F439">
        <v>1219</v>
      </c>
      <c r="G439" t="s">
        <v>316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436</v>
      </c>
      <c r="I439" t="str">
        <f>IF(DraftResults[[#This Row],[Player ID]]=0,"",INDEX(Table5[[#All],[Pos]],MATCH(DraftResults[[#This Row],[Player ID]],Table5[[#All],[PID]],0)))</f>
        <v>RF</v>
      </c>
      <c r="J439" t="str">
        <f>IF(DraftResults[[#This Row],[Player ID]]=0,"",INDEX(Table5[[#All],[First]],MATCH(DraftResults[[#This Row],[Player ID]],Table5[[#All],[PID]],0)))</f>
        <v>Sergio</v>
      </c>
      <c r="K439" t="str">
        <f>IF(DraftResults[[#This Row],[Player ID]]=0,"",INDEX(Table5[[#All],[Last]],MATCH(DraftResults[[#This Row],[Player ID]],Table5[[#All],[PID]],0)))</f>
        <v>Ruíz</v>
      </c>
    </row>
    <row r="440" spans="1:11" x14ac:dyDescent="0.25">
      <c r="A440">
        <v>15</v>
      </c>
      <c r="B440">
        <v>0</v>
      </c>
      <c r="C440">
        <v>9</v>
      </c>
      <c r="D440" t="s">
        <v>456</v>
      </c>
      <c r="E440">
        <v>164</v>
      </c>
      <c r="F440">
        <v>18132</v>
      </c>
      <c r="G440" t="s">
        <v>316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437</v>
      </c>
      <c r="I440" t="str">
        <f>IF(DraftResults[[#This Row],[Player ID]]=0,"",INDEX(Table5[[#All],[Pos]],MATCH(DraftResults[[#This Row],[Player ID]],Table5[[#All],[PID]],0)))</f>
        <v>SP</v>
      </c>
      <c r="J440" t="str">
        <f>IF(DraftResults[[#This Row],[Player ID]]=0,"",INDEX(Table5[[#All],[First]],MATCH(DraftResults[[#This Row],[Player ID]],Table5[[#All],[PID]],0)))</f>
        <v>Johnny</v>
      </c>
      <c r="K440" t="str">
        <f>IF(DraftResults[[#This Row],[Player ID]]=0,"",INDEX(Table5[[#All],[Last]],MATCH(DraftResults[[#This Row],[Player ID]],Table5[[#All],[PID]],0)))</f>
        <v>Copeland</v>
      </c>
    </row>
    <row r="441" spans="1:11" x14ac:dyDescent="0.25">
      <c r="A441">
        <v>15</v>
      </c>
      <c r="B441">
        <v>0</v>
      </c>
      <c r="C441">
        <v>10</v>
      </c>
      <c r="D441" t="s">
        <v>461</v>
      </c>
      <c r="E441">
        <v>18</v>
      </c>
      <c r="F441">
        <v>18299</v>
      </c>
      <c r="G441" t="s">
        <v>316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438</v>
      </c>
      <c r="I441" t="str">
        <f>IF(DraftResults[[#This Row],[Player ID]]=0,"",INDEX(Table5[[#All],[Pos]],MATCH(DraftResults[[#This Row],[Player ID]],Table5[[#All],[PID]],0)))</f>
        <v>SP</v>
      </c>
      <c r="J441" t="str">
        <f>IF(DraftResults[[#This Row],[Player ID]]=0,"",INDEX(Table5[[#All],[First]],MATCH(DraftResults[[#This Row],[Player ID]],Table5[[#All],[PID]],0)))</f>
        <v>Ciaran</v>
      </c>
      <c r="K441" t="str">
        <f>IF(DraftResults[[#This Row],[Player ID]]=0,"",INDEX(Table5[[#All],[Last]],MATCH(DraftResults[[#This Row],[Player ID]],Table5[[#All],[PID]],0)))</f>
        <v>Willey</v>
      </c>
    </row>
    <row r="442" spans="1:11" x14ac:dyDescent="0.25">
      <c r="A442">
        <v>15</v>
      </c>
      <c r="B442">
        <v>0</v>
      </c>
      <c r="C442">
        <v>11</v>
      </c>
      <c r="D442" t="s">
        <v>253</v>
      </c>
      <c r="E442">
        <v>15</v>
      </c>
      <c r="F442">
        <v>18006</v>
      </c>
      <c r="G442" t="s">
        <v>316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439</v>
      </c>
      <c r="I442" t="str">
        <f>IF(DraftResults[[#This Row],[Player ID]]=0,"",INDEX(Table5[[#All],[Pos]],MATCH(DraftResults[[#This Row],[Player ID]],Table5[[#All],[PID]],0)))</f>
        <v>RF</v>
      </c>
      <c r="J442" t="str">
        <f>IF(DraftResults[[#This Row],[Player ID]]=0,"",INDEX(Table5[[#All],[First]],MATCH(DraftResults[[#This Row],[Player ID]],Table5[[#All],[PID]],0)))</f>
        <v>Phil</v>
      </c>
      <c r="K442" t="str">
        <f>IF(DraftResults[[#This Row],[Player ID]]=0,"",INDEX(Table5[[#All],[Last]],MATCH(DraftResults[[#This Row],[Player ID]],Table5[[#All],[PID]],0)))</f>
        <v>López</v>
      </c>
    </row>
    <row r="443" spans="1:11" x14ac:dyDescent="0.25">
      <c r="A443">
        <v>15</v>
      </c>
      <c r="B443">
        <v>0</v>
      </c>
      <c r="C443">
        <v>12</v>
      </c>
      <c r="D443" t="s">
        <v>245</v>
      </c>
      <c r="E443">
        <v>21</v>
      </c>
      <c r="F443">
        <v>20381</v>
      </c>
      <c r="G443" t="s">
        <v>316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440</v>
      </c>
      <c r="I443" t="str">
        <f>IF(DraftResults[[#This Row],[Player ID]]=0,"",INDEX(Table5[[#All],[Pos]],MATCH(DraftResults[[#This Row],[Player ID]],Table5[[#All],[PID]],0)))</f>
        <v>RP</v>
      </c>
      <c r="J443" t="str">
        <f>IF(DraftResults[[#This Row],[Player ID]]=0,"",INDEX(Table5[[#All],[First]],MATCH(DraftResults[[#This Row],[Player ID]],Table5[[#All],[PID]],0)))</f>
        <v>Colm</v>
      </c>
      <c r="K443" t="str">
        <f>IF(DraftResults[[#This Row],[Player ID]]=0,"",INDEX(Table5[[#All],[Last]],MATCH(DraftResults[[#This Row],[Player ID]],Table5[[#All],[PID]],0)))</f>
        <v>Cooper</v>
      </c>
    </row>
    <row r="444" spans="1:11" x14ac:dyDescent="0.25">
      <c r="A444">
        <v>15</v>
      </c>
      <c r="B444">
        <v>0</v>
      </c>
      <c r="C444">
        <v>13</v>
      </c>
      <c r="D444" t="s">
        <v>243</v>
      </c>
      <c r="E444">
        <v>22</v>
      </c>
      <c r="F444">
        <v>17856</v>
      </c>
      <c r="G444" t="s">
        <v>316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441</v>
      </c>
      <c r="I444" t="str">
        <f>IF(DraftResults[[#This Row],[Player ID]]=0,"",INDEX(Table5[[#All],[Pos]],MATCH(DraftResults[[#This Row],[Player ID]],Table5[[#All],[PID]],0)))</f>
        <v>CF</v>
      </c>
      <c r="J444" t="str">
        <f>IF(DraftResults[[#This Row],[Player ID]]=0,"",INDEX(Table5[[#All],[First]],MATCH(DraftResults[[#This Row],[Player ID]],Table5[[#All],[PID]],0)))</f>
        <v>Mike</v>
      </c>
      <c r="K444" t="str">
        <f>IF(DraftResults[[#This Row],[Player ID]]=0,"",INDEX(Table5[[#All],[Last]],MATCH(DraftResults[[#This Row],[Player ID]],Table5[[#All],[PID]],0)))</f>
        <v>Lorimer</v>
      </c>
    </row>
    <row r="445" spans="1:11" x14ac:dyDescent="0.25">
      <c r="A445">
        <v>15</v>
      </c>
      <c r="B445">
        <v>0</v>
      </c>
      <c r="C445">
        <v>14</v>
      </c>
      <c r="D445" t="s">
        <v>251</v>
      </c>
      <c r="E445">
        <v>1</v>
      </c>
      <c r="F445">
        <v>18213</v>
      </c>
      <c r="G445" t="s">
        <v>316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442</v>
      </c>
      <c r="I445" t="str">
        <f>IF(DraftResults[[#This Row],[Player ID]]=0,"",INDEX(Table5[[#All],[Pos]],MATCH(DraftResults[[#This Row],[Player ID]],Table5[[#All],[PID]],0)))</f>
        <v>SS</v>
      </c>
      <c r="J445" t="str">
        <f>IF(DraftResults[[#This Row],[Player ID]]=0,"",INDEX(Table5[[#All],[First]],MATCH(DraftResults[[#This Row],[Player ID]],Table5[[#All],[PID]],0)))</f>
        <v>Bill</v>
      </c>
      <c r="K445" t="str">
        <f>IF(DraftResults[[#This Row],[Player ID]]=0,"",INDEX(Table5[[#All],[Last]],MATCH(DraftResults[[#This Row],[Player ID]],Table5[[#All],[PID]],0)))</f>
        <v>Randall</v>
      </c>
    </row>
    <row r="446" spans="1:11" x14ac:dyDescent="0.25">
      <c r="A446">
        <v>15</v>
      </c>
      <c r="B446">
        <v>0</v>
      </c>
      <c r="C446">
        <v>15</v>
      </c>
      <c r="D446" t="s">
        <v>249</v>
      </c>
      <c r="E446">
        <v>10</v>
      </c>
      <c r="F446">
        <v>18427</v>
      </c>
      <c r="G446" t="s">
        <v>316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443</v>
      </c>
      <c r="I446" t="str">
        <f>IF(DraftResults[[#This Row],[Player ID]]=0,"",INDEX(Table5[[#All],[Pos]],MATCH(DraftResults[[#This Row],[Player ID]],Table5[[#All],[PID]],0)))</f>
        <v>SP</v>
      </c>
      <c r="J446" t="str">
        <f>IF(DraftResults[[#This Row],[Player ID]]=0,"",INDEX(Table5[[#All],[First]],MATCH(DraftResults[[#This Row],[Player ID]],Table5[[#All],[PID]],0)))</f>
        <v>Mick</v>
      </c>
      <c r="K446" t="str">
        <f>IF(DraftResults[[#This Row],[Player ID]]=0,"",INDEX(Table5[[#All],[Last]],MATCH(DraftResults[[#This Row],[Player ID]],Table5[[#All],[PID]],0)))</f>
        <v>Abbott</v>
      </c>
    </row>
    <row r="447" spans="1:11" x14ac:dyDescent="0.25">
      <c r="A447">
        <v>15</v>
      </c>
      <c r="B447">
        <v>0</v>
      </c>
      <c r="C447">
        <v>16</v>
      </c>
      <c r="D447" t="s">
        <v>261</v>
      </c>
      <c r="E447">
        <v>12</v>
      </c>
      <c r="F447">
        <v>20427</v>
      </c>
      <c r="G447" t="s">
        <v>316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444</v>
      </c>
      <c r="I447" t="str">
        <f>IF(DraftResults[[#This Row],[Player ID]]=0,"",INDEX(Table5[[#All],[Pos]],MATCH(DraftResults[[#This Row],[Player ID]],Table5[[#All],[PID]],0)))</f>
        <v>SP</v>
      </c>
      <c r="J447" t="str">
        <f>IF(DraftResults[[#This Row],[Player ID]]=0,"",INDEX(Table5[[#All],[First]],MATCH(DraftResults[[#This Row],[Player ID]],Table5[[#All],[PID]],0)))</f>
        <v>Lu</v>
      </c>
      <c r="K447" t="str">
        <f>IF(DraftResults[[#This Row],[Player ID]]=0,"",INDEX(Table5[[#All],[Last]],MATCH(DraftResults[[#This Row],[Player ID]],Table5[[#All],[PID]],0)))</f>
        <v>Yang</v>
      </c>
    </row>
    <row r="448" spans="1:11" x14ac:dyDescent="0.25">
      <c r="A448">
        <v>15</v>
      </c>
      <c r="B448">
        <v>0</v>
      </c>
      <c r="C448">
        <v>17</v>
      </c>
      <c r="D448" t="s">
        <v>627</v>
      </c>
      <c r="E448">
        <v>13</v>
      </c>
      <c r="F448">
        <v>18101</v>
      </c>
      <c r="G448" t="s">
        <v>316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445</v>
      </c>
      <c r="I448" t="str">
        <f>IF(DraftResults[[#This Row],[Player ID]]=0,"",INDEX(Table5[[#All],[Pos]],MATCH(DraftResults[[#This Row],[Player ID]],Table5[[#All],[PID]],0)))</f>
        <v>C</v>
      </c>
      <c r="J448" t="str">
        <f>IF(DraftResults[[#This Row],[Player ID]]=0,"",INDEX(Table5[[#All],[First]],MATCH(DraftResults[[#This Row],[Player ID]],Table5[[#All],[PID]],0)))</f>
        <v>Terry</v>
      </c>
      <c r="K448" t="str">
        <f>IF(DraftResults[[#This Row],[Player ID]]=0,"",INDEX(Table5[[#All],[Last]],MATCH(DraftResults[[#This Row],[Player ID]],Table5[[#All],[PID]],0)))</f>
        <v>Booker</v>
      </c>
    </row>
    <row r="449" spans="1:11" x14ac:dyDescent="0.25">
      <c r="A449">
        <v>15</v>
      </c>
      <c r="B449">
        <v>0</v>
      </c>
      <c r="C449">
        <v>18</v>
      </c>
      <c r="D449" t="s">
        <v>254</v>
      </c>
      <c r="E449">
        <v>20</v>
      </c>
      <c r="F449">
        <v>16131</v>
      </c>
      <c r="G449" t="s">
        <v>316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446</v>
      </c>
      <c r="I449" t="str">
        <f>IF(DraftResults[[#This Row],[Player ID]]=0,"",INDEX(Table5[[#All],[Pos]],MATCH(DraftResults[[#This Row],[Player ID]],Table5[[#All],[PID]],0)))</f>
        <v>C</v>
      </c>
      <c r="J449" t="str">
        <f>IF(DraftResults[[#This Row],[Player ID]]=0,"",INDEX(Table5[[#All],[First]],MATCH(DraftResults[[#This Row],[Player ID]],Table5[[#All],[PID]],0)))</f>
        <v>Tadamichi</v>
      </c>
      <c r="K449" t="str">
        <f>IF(DraftResults[[#This Row],[Player ID]]=0,"",INDEX(Table5[[#All],[Last]],MATCH(DraftResults[[#This Row],[Player ID]],Table5[[#All],[PID]],0)))</f>
        <v>Yamamoto</v>
      </c>
    </row>
    <row r="450" spans="1:11" x14ac:dyDescent="0.25">
      <c r="A450">
        <v>15</v>
      </c>
      <c r="B450">
        <v>0</v>
      </c>
      <c r="C450">
        <v>19</v>
      </c>
      <c r="D450" t="s">
        <v>246</v>
      </c>
      <c r="E450">
        <v>17</v>
      </c>
      <c r="F450">
        <v>18205</v>
      </c>
      <c r="G450" t="s">
        <v>316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447</v>
      </c>
      <c r="I450" t="str">
        <f>IF(DraftResults[[#This Row],[Player ID]]=0,"",INDEX(Table5[[#All],[Pos]],MATCH(DraftResults[[#This Row],[Player ID]],Table5[[#All],[PID]],0)))</f>
        <v>SP</v>
      </c>
      <c r="J450" t="str">
        <f>IF(DraftResults[[#This Row],[Player ID]]=0,"",INDEX(Table5[[#All],[First]],MATCH(DraftResults[[#This Row],[Player ID]],Table5[[#All],[PID]],0)))</f>
        <v>Eric</v>
      </c>
      <c r="K450" t="str">
        <f>IF(DraftResults[[#This Row],[Player ID]]=0,"",INDEX(Table5[[#All],[Last]],MATCH(DraftResults[[#This Row],[Player ID]],Table5[[#All],[PID]],0)))</f>
        <v>Coleman</v>
      </c>
    </row>
    <row r="451" spans="1:11" x14ac:dyDescent="0.25">
      <c r="A451">
        <v>15</v>
      </c>
      <c r="B451">
        <v>0</v>
      </c>
      <c r="C451">
        <v>20</v>
      </c>
      <c r="D451" t="s">
        <v>455</v>
      </c>
      <c r="E451">
        <v>2</v>
      </c>
      <c r="F451">
        <v>20563</v>
      </c>
      <c r="G451" t="s">
        <v>316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448</v>
      </c>
      <c r="I451" t="str">
        <f>IF(DraftResults[[#This Row],[Player ID]]=0,"",INDEX(Table5[[#All],[Pos]],MATCH(DraftResults[[#This Row],[Player ID]],Table5[[#All],[PID]],0)))</f>
        <v>C</v>
      </c>
      <c r="J451" t="str">
        <f>IF(DraftResults[[#This Row],[Player ID]]=0,"",INDEX(Table5[[#All],[First]],MATCH(DraftResults[[#This Row],[Player ID]],Table5[[#All],[PID]],0)))</f>
        <v>Mitch</v>
      </c>
      <c r="K451" t="str">
        <f>IF(DraftResults[[#This Row],[Player ID]]=0,"",INDEX(Table5[[#All],[Last]],MATCH(DraftResults[[#This Row],[Player ID]],Table5[[#All],[PID]],0)))</f>
        <v>Marriott</v>
      </c>
    </row>
    <row r="452" spans="1:11" x14ac:dyDescent="0.25">
      <c r="A452">
        <v>15</v>
      </c>
      <c r="B452">
        <v>0</v>
      </c>
      <c r="C452">
        <v>21</v>
      </c>
      <c r="D452" t="s">
        <v>252</v>
      </c>
      <c r="E452">
        <v>14</v>
      </c>
      <c r="F452">
        <v>15248</v>
      </c>
      <c r="G452" t="s">
        <v>316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449</v>
      </c>
      <c r="I452" t="str">
        <f>IF(DraftResults[[#This Row],[Player ID]]=0,"",INDEX(Table5[[#All],[Pos]],MATCH(DraftResults[[#This Row],[Player ID]],Table5[[#All],[PID]],0)))</f>
        <v>CF</v>
      </c>
      <c r="J452" t="str">
        <f>IF(DraftResults[[#This Row],[Player ID]]=0,"",INDEX(Table5[[#All],[First]],MATCH(DraftResults[[#This Row],[Player ID]],Table5[[#All],[PID]],0)))</f>
        <v>Kazuhiro</v>
      </c>
      <c r="K452" t="str">
        <f>IF(DraftResults[[#This Row],[Player ID]]=0,"",INDEX(Table5[[#All],[Last]],MATCH(DraftResults[[#This Row],[Player ID]],Table5[[#All],[PID]],0)))</f>
        <v>Hashimoto</v>
      </c>
    </row>
    <row r="453" spans="1:11" x14ac:dyDescent="0.25">
      <c r="A453">
        <v>15</v>
      </c>
      <c r="B453">
        <v>0</v>
      </c>
      <c r="C453">
        <v>22</v>
      </c>
      <c r="D453" t="s">
        <v>257</v>
      </c>
      <c r="E453">
        <v>16</v>
      </c>
      <c r="F453">
        <v>18156</v>
      </c>
      <c r="G453" t="s">
        <v>316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450</v>
      </c>
      <c r="I453" t="str">
        <f>IF(DraftResults[[#This Row],[Player ID]]=0,"",INDEX(Table5[[#All],[Pos]],MATCH(DraftResults[[#This Row],[Player ID]],Table5[[#All],[PID]],0)))</f>
        <v>C</v>
      </c>
      <c r="J453" t="str">
        <f>IF(DraftResults[[#This Row],[Player ID]]=0,"",INDEX(Table5[[#All],[First]],MATCH(DraftResults[[#This Row],[Player ID]],Table5[[#All],[PID]],0)))</f>
        <v>Nick</v>
      </c>
      <c r="K453" t="str">
        <f>IF(DraftResults[[#This Row],[Player ID]]=0,"",INDEX(Table5[[#All],[Last]],MATCH(DraftResults[[#This Row],[Player ID]],Table5[[#All],[PID]],0)))</f>
        <v>Richardson</v>
      </c>
    </row>
    <row r="454" spans="1:11" x14ac:dyDescent="0.25">
      <c r="A454">
        <v>15</v>
      </c>
      <c r="B454">
        <v>0</v>
      </c>
      <c r="C454">
        <v>23</v>
      </c>
      <c r="D454" t="s">
        <v>460</v>
      </c>
      <c r="E454">
        <v>161</v>
      </c>
      <c r="F454">
        <v>18355</v>
      </c>
      <c r="G454" t="s">
        <v>316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451</v>
      </c>
      <c r="I454" t="str">
        <f>IF(DraftResults[[#This Row],[Player ID]]=0,"",INDEX(Table5[[#All],[Pos]],MATCH(DraftResults[[#This Row],[Player ID]],Table5[[#All],[PID]],0)))</f>
        <v>SP</v>
      </c>
      <c r="J454" t="str">
        <f>IF(DraftResults[[#This Row],[Player ID]]=0,"",INDEX(Table5[[#All],[First]],MATCH(DraftResults[[#This Row],[Player ID]],Table5[[#All],[PID]],0)))</f>
        <v>Declan</v>
      </c>
      <c r="K454" t="str">
        <f>IF(DraftResults[[#This Row],[Player ID]]=0,"",INDEX(Table5[[#All],[Last]],MATCH(DraftResults[[#This Row],[Player ID]],Table5[[#All],[PID]],0)))</f>
        <v>Jamieson</v>
      </c>
    </row>
    <row r="455" spans="1:11" x14ac:dyDescent="0.25">
      <c r="A455">
        <v>15</v>
      </c>
      <c r="B455">
        <v>0</v>
      </c>
      <c r="C455">
        <v>24</v>
      </c>
      <c r="D455" t="s">
        <v>242</v>
      </c>
      <c r="E455">
        <v>19</v>
      </c>
      <c r="F455">
        <v>18388</v>
      </c>
      <c r="G455" t="s">
        <v>316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452</v>
      </c>
      <c r="I455" t="str">
        <f>IF(DraftResults[[#This Row],[Player ID]]=0,"",INDEX(Table5[[#All],[Pos]],MATCH(DraftResults[[#This Row],[Player ID]],Table5[[#All],[PID]],0)))</f>
        <v>SP</v>
      </c>
      <c r="J455" t="str">
        <f>IF(DraftResults[[#This Row],[Player ID]]=0,"",INDEX(Table5[[#All],[First]],MATCH(DraftResults[[#This Row],[Player ID]],Table5[[#All],[PID]],0)))</f>
        <v>Peter</v>
      </c>
      <c r="K455" t="str">
        <f>IF(DraftResults[[#This Row],[Player ID]]=0,"",INDEX(Table5[[#All],[Last]],MATCH(DraftResults[[#This Row],[Player ID]],Table5[[#All],[PID]],0)))</f>
        <v>Linwood</v>
      </c>
    </row>
    <row r="456" spans="1:11" x14ac:dyDescent="0.25">
      <c r="A456">
        <v>15</v>
      </c>
      <c r="B456">
        <v>0</v>
      </c>
      <c r="C456">
        <v>25</v>
      </c>
      <c r="D456" t="s">
        <v>457</v>
      </c>
      <c r="E456">
        <v>166</v>
      </c>
      <c r="F456">
        <v>18418</v>
      </c>
      <c r="G456" t="s">
        <v>316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453</v>
      </c>
      <c r="I456" t="str">
        <f>IF(DraftResults[[#This Row],[Player ID]]=0,"",INDEX(Table5[[#All],[Pos]],MATCH(DraftResults[[#This Row],[Player ID]],Table5[[#All],[PID]],0)))</f>
        <v>SP</v>
      </c>
      <c r="J456" t="str">
        <f>IF(DraftResults[[#This Row],[Player ID]]=0,"",INDEX(Table5[[#All],[First]],MATCH(DraftResults[[#This Row],[Player ID]],Table5[[#All],[PID]],0)))</f>
        <v>Terao</v>
      </c>
      <c r="K456" t="str">
        <f>IF(DraftResults[[#This Row],[Player ID]]=0,"",INDEX(Table5[[#All],[Last]],MATCH(DraftResults[[#This Row],[Player ID]],Table5[[#All],[PID]],0)))</f>
        <v>Ito</v>
      </c>
    </row>
    <row r="457" spans="1:11" x14ac:dyDescent="0.25">
      <c r="A457">
        <v>15</v>
      </c>
      <c r="B457">
        <v>0</v>
      </c>
      <c r="C457">
        <v>26</v>
      </c>
      <c r="D457" t="s">
        <v>625</v>
      </c>
      <c r="E457">
        <v>24</v>
      </c>
      <c r="F457">
        <v>17767</v>
      </c>
      <c r="G457" t="s">
        <v>316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454</v>
      </c>
      <c r="I457" t="str">
        <f>IF(DraftResults[[#This Row],[Player ID]]=0,"",INDEX(Table5[[#All],[Pos]],MATCH(DraftResults[[#This Row],[Player ID]],Table5[[#All],[PID]],0)))</f>
        <v>2B</v>
      </c>
      <c r="J457" t="str">
        <f>IF(DraftResults[[#This Row],[Player ID]]=0,"",INDEX(Table5[[#All],[First]],MATCH(DraftResults[[#This Row],[Player ID]],Table5[[#All],[PID]],0)))</f>
        <v>George</v>
      </c>
      <c r="K457" t="str">
        <f>IF(DraftResults[[#This Row],[Player ID]]=0,"",INDEX(Table5[[#All],[Last]],MATCH(DraftResults[[#This Row],[Player ID]],Table5[[#All],[PID]],0)))</f>
        <v>Frearson</v>
      </c>
    </row>
    <row r="458" spans="1:11" x14ac:dyDescent="0.25">
      <c r="A458">
        <v>15</v>
      </c>
      <c r="B458">
        <v>0</v>
      </c>
      <c r="C458">
        <v>27</v>
      </c>
      <c r="D458" t="s">
        <v>458</v>
      </c>
      <c r="E458">
        <v>159</v>
      </c>
      <c r="F458">
        <v>20669</v>
      </c>
      <c r="G458" t="s">
        <v>316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455</v>
      </c>
      <c r="I458" t="str">
        <f>IF(DraftResults[[#This Row],[Player ID]]=0,"",INDEX(Table5[[#All],[Pos]],MATCH(DraftResults[[#This Row],[Player ID]],Table5[[#All],[PID]],0)))</f>
        <v>3B</v>
      </c>
      <c r="J458" t="str">
        <f>IF(DraftResults[[#This Row],[Player ID]]=0,"",INDEX(Table5[[#All],[First]],MATCH(DraftResults[[#This Row],[Player ID]],Table5[[#All],[PID]],0)))</f>
        <v>Yeong-min</v>
      </c>
      <c r="K458" t="str">
        <f>IF(DraftResults[[#This Row],[Player ID]]=0,"",INDEX(Table5[[#All],[Last]],MATCH(DraftResults[[#This Row],[Player ID]],Table5[[#All],[PID]],0)))</f>
        <v>Yu</v>
      </c>
    </row>
    <row r="459" spans="1:11" x14ac:dyDescent="0.25">
      <c r="A459">
        <v>15</v>
      </c>
      <c r="B459">
        <v>0</v>
      </c>
      <c r="C459">
        <v>28</v>
      </c>
      <c r="D459" t="s">
        <v>454</v>
      </c>
      <c r="E459">
        <v>162</v>
      </c>
      <c r="F459">
        <v>18443</v>
      </c>
      <c r="G459" t="s">
        <v>316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456</v>
      </c>
      <c r="I459" t="str">
        <f>IF(DraftResults[[#This Row],[Player ID]]=0,"",INDEX(Table5[[#All],[Pos]],MATCH(DraftResults[[#This Row],[Player ID]],Table5[[#All],[PID]],0)))</f>
        <v>SP</v>
      </c>
      <c r="J459" t="str">
        <f>IF(DraftResults[[#This Row],[Player ID]]=0,"",INDEX(Table5[[#All],[First]],MATCH(DraftResults[[#This Row],[Player ID]],Table5[[#All],[PID]],0)))</f>
        <v>Bjorn</v>
      </c>
      <c r="K459" t="str">
        <f>IF(DraftResults[[#This Row],[Player ID]]=0,"",INDEX(Table5[[#All],[Last]],MATCH(DraftResults[[#This Row],[Player ID]],Table5[[#All],[PID]],0)))</f>
        <v>Hak</v>
      </c>
    </row>
    <row r="460" spans="1:11" x14ac:dyDescent="0.25">
      <c r="A460">
        <v>15</v>
      </c>
      <c r="B460">
        <v>0</v>
      </c>
      <c r="C460">
        <v>29</v>
      </c>
      <c r="D460" t="s">
        <v>459</v>
      </c>
      <c r="E460">
        <v>163</v>
      </c>
      <c r="F460">
        <v>18144</v>
      </c>
      <c r="G460" t="s">
        <v>316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457</v>
      </c>
      <c r="I460" t="str">
        <f>IF(DraftResults[[#This Row],[Player ID]]=0,"",INDEX(Table5[[#All],[Pos]],MATCH(DraftResults[[#This Row],[Player ID]],Table5[[#All],[PID]],0)))</f>
        <v>SP</v>
      </c>
      <c r="J460" t="str">
        <f>IF(DraftResults[[#This Row],[Player ID]]=0,"",INDEX(Table5[[#All],[First]],MATCH(DraftResults[[#This Row],[Player ID]],Table5[[#All],[PID]],0)))</f>
        <v>Fernando</v>
      </c>
      <c r="K460" t="str">
        <f>IF(DraftResults[[#This Row],[Player ID]]=0,"",INDEX(Table5[[#All],[Last]],MATCH(DraftResults[[#This Row],[Player ID]],Table5[[#All],[PID]],0)))</f>
        <v>Cruz</v>
      </c>
    </row>
    <row r="461" spans="1:11" x14ac:dyDescent="0.25">
      <c r="A461">
        <v>15</v>
      </c>
      <c r="B461">
        <v>0</v>
      </c>
      <c r="C461">
        <v>30</v>
      </c>
      <c r="D461" t="s">
        <v>629</v>
      </c>
      <c r="E461">
        <v>9</v>
      </c>
      <c r="F461">
        <v>21092</v>
      </c>
      <c r="G461" t="s">
        <v>316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458</v>
      </c>
      <c r="I461" t="str">
        <f>IF(DraftResults[[#This Row],[Player ID]]=0,"",INDEX(Table5[[#All],[Pos]],MATCH(DraftResults[[#This Row],[Player ID]],Table5[[#All],[PID]],0)))</f>
        <v>3B</v>
      </c>
      <c r="J461" t="str">
        <f>IF(DraftResults[[#This Row],[Player ID]]=0,"",INDEX(Table5[[#All],[First]],MATCH(DraftResults[[#This Row],[Player ID]],Table5[[#All],[PID]],0)))</f>
        <v>Mike</v>
      </c>
      <c r="K461" t="str">
        <f>IF(DraftResults[[#This Row],[Player ID]]=0,"",INDEX(Table5[[#All],[Last]],MATCH(DraftResults[[#This Row],[Player ID]],Table5[[#All],[PID]],0)))</f>
        <v>Parkinson</v>
      </c>
    </row>
    <row r="462" spans="1:11" x14ac:dyDescent="0.25">
      <c r="A462">
        <v>16</v>
      </c>
      <c r="B462">
        <v>0</v>
      </c>
      <c r="C462">
        <v>1</v>
      </c>
      <c r="D462" t="s">
        <v>625</v>
      </c>
      <c r="E462">
        <v>24</v>
      </c>
      <c r="F462">
        <v>14861</v>
      </c>
      <c r="G462" t="s">
        <v>316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459</v>
      </c>
      <c r="I462" t="str">
        <f>IF(DraftResults[[#This Row],[Player ID]]=0,"",INDEX(Table5[[#All],[Pos]],MATCH(DraftResults[[#This Row],[Player ID]],Table5[[#All],[PID]],0)))</f>
        <v>C</v>
      </c>
      <c r="J462" t="str">
        <f>IF(DraftResults[[#This Row],[Player ID]]=0,"",INDEX(Table5[[#All],[First]],MATCH(DraftResults[[#This Row],[Player ID]],Table5[[#All],[PID]],0)))</f>
        <v>Arturo</v>
      </c>
      <c r="K462" t="str">
        <f>IF(DraftResults[[#This Row],[Player ID]]=0,"",INDEX(Table5[[#All],[Last]],MATCH(DraftResults[[#This Row],[Player ID]],Table5[[#All],[PID]],0)))</f>
        <v>Fuentes</v>
      </c>
    </row>
    <row r="463" spans="1:11" x14ac:dyDescent="0.25">
      <c r="A463">
        <v>16</v>
      </c>
      <c r="B463">
        <v>0</v>
      </c>
      <c r="C463">
        <v>2</v>
      </c>
      <c r="D463" t="s">
        <v>542</v>
      </c>
      <c r="E463">
        <v>7</v>
      </c>
      <c r="F463">
        <v>18223</v>
      </c>
      <c r="G463" t="s">
        <v>316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460</v>
      </c>
      <c r="I463" t="str">
        <f>IF(DraftResults[[#This Row],[Player ID]]=0,"",INDEX(Table5[[#All],[Pos]],MATCH(DraftResults[[#This Row],[Player ID]],Table5[[#All],[PID]],0)))</f>
        <v>SS</v>
      </c>
      <c r="J463" t="str">
        <f>IF(DraftResults[[#This Row],[Player ID]]=0,"",INDEX(Table5[[#All],[First]],MATCH(DraftResults[[#This Row],[Player ID]],Table5[[#All],[PID]],0)))</f>
        <v>Michael</v>
      </c>
      <c r="K463" t="str">
        <f>IF(DraftResults[[#This Row],[Player ID]]=0,"",INDEX(Table5[[#All],[Last]],MATCH(DraftResults[[#This Row],[Player ID]],Table5[[#All],[PID]],0)))</f>
        <v>Edwards</v>
      </c>
    </row>
    <row r="464" spans="1:11" x14ac:dyDescent="0.25">
      <c r="A464">
        <v>16</v>
      </c>
      <c r="B464">
        <v>0</v>
      </c>
      <c r="C464">
        <v>3</v>
      </c>
      <c r="D464" t="s">
        <v>256</v>
      </c>
      <c r="E464">
        <v>8</v>
      </c>
      <c r="F464">
        <v>17017</v>
      </c>
      <c r="G464" t="s">
        <v>316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461</v>
      </c>
      <c r="I464" t="str">
        <f>IF(DraftResults[[#This Row],[Player ID]]=0,"",INDEX(Table5[[#All],[Pos]],MATCH(DraftResults[[#This Row],[Player ID]],Table5[[#All],[PID]],0)))</f>
        <v>LF</v>
      </c>
      <c r="J464" t="str">
        <f>IF(DraftResults[[#This Row],[Player ID]]=0,"",INDEX(Table5[[#All],[First]],MATCH(DraftResults[[#This Row],[Player ID]],Table5[[#All],[PID]],0)))</f>
        <v>Yuki</v>
      </c>
      <c r="K464" t="str">
        <f>IF(DraftResults[[#This Row],[Player ID]]=0,"",INDEX(Table5[[#All],[Last]],MATCH(DraftResults[[#This Row],[Player ID]],Table5[[#All],[PID]],0)))</f>
        <v>Maeda</v>
      </c>
    </row>
    <row r="465" spans="1:11" x14ac:dyDescent="0.25">
      <c r="A465">
        <v>16</v>
      </c>
      <c r="B465">
        <v>0</v>
      </c>
      <c r="C465">
        <v>4</v>
      </c>
      <c r="D465" t="s">
        <v>628</v>
      </c>
      <c r="E465">
        <v>23</v>
      </c>
      <c r="F465">
        <v>979</v>
      </c>
      <c r="G465" t="s">
        <v>316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462</v>
      </c>
      <c r="I465" t="str">
        <f>IF(DraftResults[[#This Row],[Player ID]]=0,"",INDEX(Table5[[#All],[Pos]],MATCH(DraftResults[[#This Row],[Player ID]],Table5[[#All],[PID]],0)))</f>
        <v>LF</v>
      </c>
      <c r="J465" t="str">
        <f>IF(DraftResults[[#This Row],[Player ID]]=0,"",INDEX(Table5[[#All],[First]],MATCH(DraftResults[[#This Row],[Player ID]],Table5[[#All],[PID]],0)))</f>
        <v>Jered</v>
      </c>
      <c r="K465" t="str">
        <f>IF(DraftResults[[#This Row],[Player ID]]=0,"",INDEX(Table5[[#All],[Last]],MATCH(DraftResults[[#This Row],[Player ID]],Table5[[#All],[PID]],0)))</f>
        <v>McLeod</v>
      </c>
    </row>
    <row r="466" spans="1:11" x14ac:dyDescent="0.25">
      <c r="A466">
        <v>16</v>
      </c>
      <c r="B466">
        <v>0</v>
      </c>
      <c r="C466">
        <v>5</v>
      </c>
      <c r="D466" t="s">
        <v>462</v>
      </c>
      <c r="E466">
        <v>167</v>
      </c>
      <c r="F466">
        <v>20313</v>
      </c>
      <c r="G466" t="s">
        <v>316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463</v>
      </c>
      <c r="I466" t="str">
        <f>IF(DraftResults[[#This Row],[Player ID]]=0,"",INDEX(Table5[[#All],[Pos]],MATCH(DraftResults[[#This Row],[Player ID]],Table5[[#All],[PID]],0)))</f>
        <v>3B</v>
      </c>
      <c r="J466" t="str">
        <f>IF(DraftResults[[#This Row],[Player ID]]=0,"",INDEX(Table5[[#All],[First]],MATCH(DraftResults[[#This Row],[Player ID]],Table5[[#All],[PID]],0)))</f>
        <v>Kwang-sub</v>
      </c>
      <c r="K466" t="str">
        <f>IF(DraftResults[[#This Row],[Player ID]]=0,"",INDEX(Table5[[#All],[Last]],MATCH(DraftResults[[#This Row],[Player ID]],Table5[[#All],[PID]],0)))</f>
        <v>Pak</v>
      </c>
    </row>
    <row r="467" spans="1:11" x14ac:dyDescent="0.25">
      <c r="A467">
        <v>16</v>
      </c>
      <c r="B467">
        <v>0</v>
      </c>
      <c r="C467">
        <v>6</v>
      </c>
      <c r="D467" t="s">
        <v>543</v>
      </c>
      <c r="E467">
        <v>4</v>
      </c>
      <c r="F467">
        <v>20367</v>
      </c>
      <c r="G467" t="s">
        <v>316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464</v>
      </c>
      <c r="I467" t="str">
        <f>IF(DraftResults[[#This Row],[Player ID]]=0,"",INDEX(Table5[[#All],[Pos]],MATCH(DraftResults[[#This Row],[Player ID]],Table5[[#All],[PID]],0)))</f>
        <v>3B</v>
      </c>
      <c r="J467" t="str">
        <f>IF(DraftResults[[#This Row],[Player ID]]=0,"",INDEX(Table5[[#All],[First]],MATCH(DraftResults[[#This Row],[Player ID]],Table5[[#All],[PID]],0)))</f>
        <v>Elton</v>
      </c>
      <c r="K467" t="str">
        <f>IF(DraftResults[[#This Row],[Player ID]]=0,"",INDEX(Table5[[#All],[Last]],MATCH(DraftResults[[#This Row],[Player ID]],Table5[[#All],[PID]],0)))</f>
        <v>Davis</v>
      </c>
    </row>
    <row r="468" spans="1:11" x14ac:dyDescent="0.25">
      <c r="A468">
        <v>16</v>
      </c>
      <c r="B468">
        <v>0</v>
      </c>
      <c r="C468">
        <v>7</v>
      </c>
      <c r="D468" t="s">
        <v>626</v>
      </c>
      <c r="E468">
        <v>160</v>
      </c>
      <c r="F468">
        <v>18014</v>
      </c>
      <c r="G468" t="s">
        <v>316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465</v>
      </c>
      <c r="I468" t="str">
        <f>IF(DraftResults[[#This Row],[Player ID]]=0,"",INDEX(Table5[[#All],[Pos]],MATCH(DraftResults[[#This Row],[Player ID]],Table5[[#All],[PID]],0)))</f>
        <v>SP</v>
      </c>
      <c r="J468" t="str">
        <f>IF(DraftResults[[#This Row],[Player ID]]=0,"",INDEX(Table5[[#All],[First]],MATCH(DraftResults[[#This Row],[Player ID]],Table5[[#All],[PID]],0)))</f>
        <v>Stephen</v>
      </c>
      <c r="K468" t="str">
        <f>IF(DraftResults[[#This Row],[Player ID]]=0,"",INDEX(Table5[[#All],[Last]],MATCH(DraftResults[[#This Row],[Player ID]],Table5[[#All],[PID]],0)))</f>
        <v>Rivera</v>
      </c>
    </row>
    <row r="469" spans="1:11" x14ac:dyDescent="0.25">
      <c r="A469">
        <v>16</v>
      </c>
      <c r="B469">
        <v>0</v>
      </c>
      <c r="C469">
        <v>8</v>
      </c>
      <c r="D469" t="s">
        <v>250</v>
      </c>
      <c r="E469">
        <v>3</v>
      </c>
      <c r="F469">
        <v>13430</v>
      </c>
      <c r="G469" t="s">
        <v>316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466</v>
      </c>
      <c r="I469" t="str">
        <f>IF(DraftResults[[#This Row],[Player ID]]=0,"",INDEX(Table5[[#All],[Pos]],MATCH(DraftResults[[#This Row],[Player ID]],Table5[[#All],[PID]],0)))</f>
        <v>SP</v>
      </c>
      <c r="J469" t="str">
        <f>IF(DraftResults[[#This Row],[Player ID]]=0,"",INDEX(Table5[[#All],[First]],MATCH(DraftResults[[#This Row],[Player ID]],Table5[[#All],[PID]],0)))</f>
        <v>Cole</v>
      </c>
      <c r="K469" t="str">
        <f>IF(DraftResults[[#This Row],[Player ID]]=0,"",INDEX(Table5[[#All],[Last]],MATCH(DraftResults[[#This Row],[Player ID]],Table5[[#All],[PID]],0)))</f>
        <v>Smith</v>
      </c>
    </row>
    <row r="470" spans="1:11" x14ac:dyDescent="0.25">
      <c r="A470">
        <v>16</v>
      </c>
      <c r="B470">
        <v>0</v>
      </c>
      <c r="C470">
        <v>9</v>
      </c>
      <c r="D470" t="s">
        <v>456</v>
      </c>
      <c r="E470">
        <v>164</v>
      </c>
      <c r="F470">
        <v>20642</v>
      </c>
      <c r="G470" t="s">
        <v>316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467</v>
      </c>
      <c r="I470" t="str">
        <f>IF(DraftResults[[#This Row],[Player ID]]=0,"",INDEX(Table5[[#All],[Pos]],MATCH(DraftResults[[#This Row],[Player ID]],Table5[[#All],[PID]],0)))</f>
        <v>3B</v>
      </c>
      <c r="J470" t="str">
        <f>IF(DraftResults[[#This Row],[Player ID]]=0,"",INDEX(Table5[[#All],[First]],MATCH(DraftResults[[#This Row],[Player ID]],Table5[[#All],[PID]],0)))</f>
        <v>Gwang-oo</v>
      </c>
      <c r="K470" t="str">
        <f>IF(DraftResults[[#This Row],[Player ID]]=0,"",INDEX(Table5[[#All],[Last]],MATCH(DraftResults[[#This Row],[Player ID]],Table5[[#All],[PID]],0)))</f>
        <v>Chon</v>
      </c>
    </row>
    <row r="471" spans="1:11" x14ac:dyDescent="0.25">
      <c r="A471">
        <v>16</v>
      </c>
      <c r="B471">
        <v>0</v>
      </c>
      <c r="C471">
        <v>10</v>
      </c>
      <c r="D471" t="s">
        <v>461</v>
      </c>
      <c r="E471">
        <v>18</v>
      </c>
      <c r="F471">
        <v>18344</v>
      </c>
      <c r="G471" t="s">
        <v>316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468</v>
      </c>
      <c r="I471" t="str">
        <f>IF(DraftResults[[#This Row],[Player ID]]=0,"",INDEX(Table5[[#All],[Pos]],MATCH(DraftResults[[#This Row],[Player ID]],Table5[[#All],[PID]],0)))</f>
        <v>RP</v>
      </c>
      <c r="J471" t="str">
        <f>IF(DraftResults[[#This Row],[Player ID]]=0,"",INDEX(Table5[[#All],[First]],MATCH(DraftResults[[#This Row],[Player ID]],Table5[[#All],[PID]],0)))</f>
        <v>César</v>
      </c>
      <c r="K471" t="str">
        <f>IF(DraftResults[[#This Row],[Player ID]]=0,"",INDEX(Table5[[#All],[Last]],MATCH(DraftResults[[#This Row],[Player ID]],Table5[[#All],[PID]],0)))</f>
        <v>Mejía</v>
      </c>
    </row>
    <row r="472" spans="1:11" x14ac:dyDescent="0.25">
      <c r="A472">
        <v>16</v>
      </c>
      <c r="B472">
        <v>0</v>
      </c>
      <c r="C472">
        <v>11</v>
      </c>
      <c r="D472" t="s">
        <v>253</v>
      </c>
      <c r="E472">
        <v>15</v>
      </c>
      <c r="F472">
        <v>18054</v>
      </c>
      <c r="G472" t="s">
        <v>316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469</v>
      </c>
      <c r="I472" t="str">
        <f>IF(DraftResults[[#This Row],[Player ID]]=0,"",INDEX(Table5[[#All],[Pos]],MATCH(DraftResults[[#This Row],[Player ID]],Table5[[#All],[PID]],0)))</f>
        <v>SP</v>
      </c>
      <c r="J472" t="str">
        <f>IF(DraftResults[[#This Row],[Player ID]]=0,"",INDEX(Table5[[#All],[First]],MATCH(DraftResults[[#This Row],[Player ID]],Table5[[#All],[PID]],0)))</f>
        <v>Steve</v>
      </c>
      <c r="K472" t="str">
        <f>IF(DraftResults[[#This Row],[Player ID]]=0,"",INDEX(Table5[[#All],[Last]],MATCH(DraftResults[[#This Row],[Player ID]],Table5[[#All],[PID]],0)))</f>
        <v>Jones</v>
      </c>
    </row>
    <row r="473" spans="1:11" x14ac:dyDescent="0.25">
      <c r="A473">
        <v>16</v>
      </c>
      <c r="B473">
        <v>0</v>
      </c>
      <c r="C473">
        <v>12</v>
      </c>
      <c r="D473" t="s">
        <v>245</v>
      </c>
      <c r="E473">
        <v>21</v>
      </c>
      <c r="F473">
        <v>13347</v>
      </c>
      <c r="G473" t="s">
        <v>316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470</v>
      </c>
      <c r="I473" t="str">
        <f>IF(DraftResults[[#This Row],[Player ID]]=0,"",INDEX(Table5[[#All],[Pos]],MATCH(DraftResults[[#This Row],[Player ID]],Table5[[#All],[PID]],0)))</f>
        <v>RP</v>
      </c>
      <c r="J473" t="str">
        <f>IF(DraftResults[[#This Row],[Player ID]]=0,"",INDEX(Table5[[#All],[First]],MATCH(DraftResults[[#This Row],[Player ID]],Table5[[#All],[PID]],0)))</f>
        <v>Rafael</v>
      </c>
      <c r="K473" t="str">
        <f>IF(DraftResults[[#This Row],[Player ID]]=0,"",INDEX(Table5[[#All],[Last]],MATCH(DraftResults[[#This Row],[Player ID]],Table5[[#All],[PID]],0)))</f>
        <v>García</v>
      </c>
    </row>
    <row r="474" spans="1:11" x14ac:dyDescent="0.25">
      <c r="A474">
        <v>16</v>
      </c>
      <c r="B474">
        <v>0</v>
      </c>
      <c r="C474">
        <v>13</v>
      </c>
      <c r="D474" t="s">
        <v>243</v>
      </c>
      <c r="E474">
        <v>22</v>
      </c>
      <c r="F474">
        <v>17586</v>
      </c>
      <c r="G474" t="s">
        <v>316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471</v>
      </c>
      <c r="I474" t="str">
        <f>IF(DraftResults[[#This Row],[Player ID]]=0,"",INDEX(Table5[[#All],[Pos]],MATCH(DraftResults[[#This Row],[Player ID]],Table5[[#All],[PID]],0)))</f>
        <v>2B</v>
      </c>
      <c r="J474" t="str">
        <f>IF(DraftResults[[#This Row],[Player ID]]=0,"",INDEX(Table5[[#All],[First]],MATCH(DraftResults[[#This Row],[Player ID]],Table5[[#All],[PID]],0)))</f>
        <v>Richard</v>
      </c>
      <c r="K474" t="str">
        <f>IF(DraftResults[[#This Row],[Player ID]]=0,"",INDEX(Table5[[#All],[Last]],MATCH(DraftResults[[#This Row],[Player ID]],Table5[[#All],[PID]],0)))</f>
        <v>Bailey</v>
      </c>
    </row>
    <row r="475" spans="1:11" x14ac:dyDescent="0.25">
      <c r="A475">
        <v>16</v>
      </c>
      <c r="B475">
        <v>0</v>
      </c>
      <c r="C475">
        <v>14</v>
      </c>
      <c r="D475" t="s">
        <v>251</v>
      </c>
      <c r="E475">
        <v>1</v>
      </c>
      <c r="F475">
        <v>18334</v>
      </c>
      <c r="G475" t="s">
        <v>316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472</v>
      </c>
      <c r="I475" t="str">
        <f>IF(DraftResults[[#This Row],[Player ID]]=0,"",INDEX(Table5[[#All],[Pos]],MATCH(DraftResults[[#This Row],[Player ID]],Table5[[#All],[PID]],0)))</f>
        <v>SP</v>
      </c>
      <c r="J475" t="str">
        <f>IF(DraftResults[[#This Row],[Player ID]]=0,"",INDEX(Table5[[#All],[First]],MATCH(DraftResults[[#This Row],[Player ID]],Table5[[#All],[PID]],0)))</f>
        <v>James</v>
      </c>
      <c r="K475" t="str">
        <f>IF(DraftResults[[#This Row],[Player ID]]=0,"",INDEX(Table5[[#All],[Last]],MATCH(DraftResults[[#This Row],[Player ID]],Table5[[#All],[PID]],0)))</f>
        <v>MacWatters</v>
      </c>
    </row>
    <row r="476" spans="1:11" x14ac:dyDescent="0.25">
      <c r="A476">
        <v>16</v>
      </c>
      <c r="B476">
        <v>0</v>
      </c>
      <c r="C476">
        <v>15</v>
      </c>
      <c r="D476" t="s">
        <v>249</v>
      </c>
      <c r="E476">
        <v>10</v>
      </c>
      <c r="F476">
        <v>18015</v>
      </c>
      <c r="G476" t="s">
        <v>316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473</v>
      </c>
      <c r="I476" t="str">
        <f>IF(DraftResults[[#This Row],[Player ID]]=0,"",INDEX(Table5[[#All],[Pos]],MATCH(DraftResults[[#This Row],[Player ID]],Table5[[#All],[PID]],0)))</f>
        <v>3B</v>
      </c>
      <c r="J476" t="str">
        <f>IF(DraftResults[[#This Row],[Player ID]]=0,"",INDEX(Table5[[#All],[First]],MATCH(DraftResults[[#This Row],[Player ID]],Table5[[#All],[PID]],0)))</f>
        <v>Mike</v>
      </c>
      <c r="K476" t="str">
        <f>IF(DraftResults[[#This Row],[Player ID]]=0,"",INDEX(Table5[[#All],[Last]],MATCH(DraftResults[[#This Row],[Player ID]],Table5[[#All],[PID]],0)))</f>
        <v>Curtis</v>
      </c>
    </row>
    <row r="477" spans="1:11" x14ac:dyDescent="0.25">
      <c r="A477">
        <v>16</v>
      </c>
      <c r="B477">
        <v>0</v>
      </c>
      <c r="C477">
        <v>16</v>
      </c>
      <c r="D477" t="s">
        <v>261</v>
      </c>
      <c r="E477">
        <v>12</v>
      </c>
      <c r="F477">
        <v>17815</v>
      </c>
      <c r="G477" t="s">
        <v>316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474</v>
      </c>
      <c r="I477" t="str">
        <f>IF(DraftResults[[#This Row],[Player ID]]=0,"",INDEX(Table5[[#All],[Pos]],MATCH(DraftResults[[#This Row],[Player ID]],Table5[[#All],[PID]],0)))</f>
        <v>SP</v>
      </c>
      <c r="J477" t="str">
        <f>IF(DraftResults[[#This Row],[Player ID]]=0,"",INDEX(Table5[[#All],[First]],MATCH(DraftResults[[#This Row],[Player ID]],Table5[[#All],[PID]],0)))</f>
        <v>Tokaji</v>
      </c>
      <c r="K477" t="str">
        <f>IF(DraftResults[[#This Row],[Player ID]]=0,"",INDEX(Table5[[#All],[Last]],MATCH(DraftResults[[#This Row],[Player ID]],Table5[[#All],[PID]],0)))</f>
        <v>Kodo</v>
      </c>
    </row>
    <row r="478" spans="1:11" x14ac:dyDescent="0.25">
      <c r="A478">
        <v>16</v>
      </c>
      <c r="B478">
        <v>0</v>
      </c>
      <c r="C478">
        <v>17</v>
      </c>
      <c r="D478" t="s">
        <v>627</v>
      </c>
      <c r="E478">
        <v>13</v>
      </c>
      <c r="F478">
        <v>17998</v>
      </c>
      <c r="G478" t="s">
        <v>316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475</v>
      </c>
      <c r="I478" t="str">
        <f>IF(DraftResults[[#This Row],[Player ID]]=0,"",INDEX(Table5[[#All],[Pos]],MATCH(DraftResults[[#This Row],[Player ID]],Table5[[#All],[PID]],0)))</f>
        <v>SS</v>
      </c>
      <c r="J478" t="str">
        <f>IF(DraftResults[[#This Row],[Player ID]]=0,"",INDEX(Table5[[#All],[First]],MATCH(DraftResults[[#This Row],[Player ID]],Table5[[#All],[PID]],0)))</f>
        <v>Tim</v>
      </c>
      <c r="K478" t="str">
        <f>IF(DraftResults[[#This Row],[Player ID]]=0,"",INDEX(Table5[[#All],[Last]],MATCH(DraftResults[[#This Row],[Player ID]],Table5[[#All],[PID]],0)))</f>
        <v>Davis</v>
      </c>
    </row>
    <row r="479" spans="1:11" x14ac:dyDescent="0.25">
      <c r="A479">
        <v>16</v>
      </c>
      <c r="B479">
        <v>0</v>
      </c>
      <c r="C479">
        <v>18</v>
      </c>
      <c r="D479" t="s">
        <v>254</v>
      </c>
      <c r="E479">
        <v>20</v>
      </c>
      <c r="F479">
        <v>17618</v>
      </c>
      <c r="G479" t="s">
        <v>316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476</v>
      </c>
      <c r="I479" t="str">
        <f>IF(DraftResults[[#This Row],[Player ID]]=0,"",INDEX(Table5[[#All],[Pos]],MATCH(DraftResults[[#This Row],[Player ID]],Table5[[#All],[PID]],0)))</f>
        <v>RP</v>
      </c>
      <c r="J479" t="str">
        <f>IF(DraftResults[[#This Row],[Player ID]]=0,"",INDEX(Table5[[#All],[First]],MATCH(DraftResults[[#This Row],[Player ID]],Table5[[#All],[PID]],0)))</f>
        <v>Alberto</v>
      </c>
      <c r="K479" t="str">
        <f>IF(DraftResults[[#This Row],[Player ID]]=0,"",INDEX(Table5[[#All],[Last]],MATCH(DraftResults[[#This Row],[Player ID]],Table5[[#All],[PID]],0)))</f>
        <v>Medina</v>
      </c>
    </row>
    <row r="480" spans="1:11" x14ac:dyDescent="0.25">
      <c r="A480">
        <v>16</v>
      </c>
      <c r="B480">
        <v>0</v>
      </c>
      <c r="C480">
        <v>19</v>
      </c>
      <c r="D480" t="s">
        <v>246</v>
      </c>
      <c r="E480">
        <v>17</v>
      </c>
      <c r="F480">
        <v>18436</v>
      </c>
      <c r="G480" t="s">
        <v>316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477</v>
      </c>
      <c r="I480" t="str">
        <f>IF(DraftResults[[#This Row],[Player ID]]=0,"",INDEX(Table5[[#All],[Pos]],MATCH(DraftResults[[#This Row],[Player ID]],Table5[[#All],[PID]],0)))</f>
        <v>C</v>
      </c>
      <c r="J480" t="str">
        <f>IF(DraftResults[[#This Row],[Player ID]]=0,"",INDEX(Table5[[#All],[First]],MATCH(DraftResults[[#This Row],[Player ID]],Table5[[#All],[PID]],0)))</f>
        <v>Sergio</v>
      </c>
      <c r="K480" t="str">
        <f>IF(DraftResults[[#This Row],[Player ID]]=0,"",INDEX(Table5[[#All],[Last]],MATCH(DraftResults[[#This Row],[Player ID]],Table5[[#All],[PID]],0)))</f>
        <v>García</v>
      </c>
    </row>
    <row r="481" spans="1:11" x14ac:dyDescent="0.25">
      <c r="A481">
        <v>16</v>
      </c>
      <c r="B481">
        <v>0</v>
      </c>
      <c r="C481">
        <v>20</v>
      </c>
      <c r="D481" t="s">
        <v>455</v>
      </c>
      <c r="E481">
        <v>2</v>
      </c>
      <c r="F481">
        <v>15748</v>
      </c>
      <c r="G481" t="s">
        <v>316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478</v>
      </c>
      <c r="I481" t="str">
        <f>IF(DraftResults[[#This Row],[Player ID]]=0,"",INDEX(Table5[[#All],[Pos]],MATCH(DraftResults[[#This Row],[Player ID]],Table5[[#All],[PID]],0)))</f>
        <v>RF</v>
      </c>
      <c r="J481" t="str">
        <f>IF(DraftResults[[#This Row],[Player ID]]=0,"",INDEX(Table5[[#All],[First]],MATCH(DraftResults[[#This Row],[Player ID]],Table5[[#All],[PID]],0)))</f>
        <v>José</v>
      </c>
      <c r="K481" t="str">
        <f>IF(DraftResults[[#This Row],[Player ID]]=0,"",INDEX(Table5[[#All],[Last]],MATCH(DraftResults[[#This Row],[Player ID]],Table5[[#All],[PID]],0)))</f>
        <v>Tovar</v>
      </c>
    </row>
    <row r="482" spans="1:11" x14ac:dyDescent="0.25">
      <c r="A482">
        <v>16</v>
      </c>
      <c r="B482">
        <v>0</v>
      </c>
      <c r="C482">
        <v>21</v>
      </c>
      <c r="D482" t="s">
        <v>252</v>
      </c>
      <c r="E482">
        <v>14</v>
      </c>
      <c r="F482">
        <v>20882</v>
      </c>
      <c r="G482" t="s">
        <v>316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479</v>
      </c>
      <c r="I482" t="str">
        <f>IF(DraftResults[[#This Row],[Player ID]]=0,"",INDEX(Table5[[#All],[Pos]],MATCH(DraftResults[[#This Row],[Player ID]],Table5[[#All],[PID]],0)))</f>
        <v>RP</v>
      </c>
      <c r="J482" t="str">
        <f>IF(DraftResults[[#This Row],[Player ID]]=0,"",INDEX(Table5[[#All],[First]],MATCH(DraftResults[[#This Row],[Player ID]],Table5[[#All],[PID]],0)))</f>
        <v>Juan</v>
      </c>
      <c r="K482" t="str">
        <f>IF(DraftResults[[#This Row],[Player ID]]=0,"",INDEX(Table5[[#All],[Last]],MATCH(DraftResults[[#This Row],[Player ID]],Table5[[#All],[PID]],0)))</f>
        <v>Gámez</v>
      </c>
    </row>
    <row r="483" spans="1:11" x14ac:dyDescent="0.25">
      <c r="A483">
        <v>16</v>
      </c>
      <c r="B483">
        <v>0</v>
      </c>
      <c r="C483">
        <v>22</v>
      </c>
      <c r="D483" t="s">
        <v>257</v>
      </c>
      <c r="E483">
        <v>16</v>
      </c>
      <c r="F483">
        <v>20587</v>
      </c>
      <c r="G483" t="s">
        <v>316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480</v>
      </c>
      <c r="I483" t="str">
        <f>IF(DraftResults[[#This Row],[Player ID]]=0,"",INDEX(Table5[[#All],[Pos]],MATCH(DraftResults[[#This Row],[Player ID]],Table5[[#All],[PID]],0)))</f>
        <v>C</v>
      </c>
      <c r="J483" t="str">
        <f>IF(DraftResults[[#This Row],[Player ID]]=0,"",INDEX(Table5[[#All],[First]],MATCH(DraftResults[[#This Row],[Player ID]],Table5[[#All],[PID]],0)))</f>
        <v>Xun</v>
      </c>
      <c r="K483" t="str">
        <f>IF(DraftResults[[#This Row],[Player ID]]=0,"",INDEX(Table5[[#All],[Last]],MATCH(DraftResults[[#This Row],[Player ID]],Table5[[#All],[PID]],0)))</f>
        <v>Shih</v>
      </c>
    </row>
    <row r="484" spans="1:11" x14ac:dyDescent="0.25">
      <c r="A484">
        <v>16</v>
      </c>
      <c r="B484">
        <v>0</v>
      </c>
      <c r="C484">
        <v>23</v>
      </c>
      <c r="D484" t="s">
        <v>460</v>
      </c>
      <c r="E484">
        <v>161</v>
      </c>
      <c r="F484">
        <v>20934</v>
      </c>
      <c r="G484" t="s">
        <v>316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481</v>
      </c>
      <c r="I484" t="str">
        <f>IF(DraftResults[[#This Row],[Player ID]]=0,"",INDEX(Table5[[#All],[Pos]],MATCH(DraftResults[[#This Row],[Player ID]],Table5[[#All],[PID]],0)))</f>
        <v>SP</v>
      </c>
      <c r="J484" t="str">
        <f>IF(DraftResults[[#This Row],[Player ID]]=0,"",INDEX(Table5[[#All],[First]],MATCH(DraftResults[[#This Row],[Player ID]],Table5[[#All],[PID]],0)))</f>
        <v>Bill</v>
      </c>
      <c r="K484" t="str">
        <f>IF(DraftResults[[#This Row],[Player ID]]=0,"",INDEX(Table5[[#All],[Last]],MATCH(DraftResults[[#This Row],[Player ID]],Table5[[#All],[PID]],0)))</f>
        <v>Harris</v>
      </c>
    </row>
    <row r="485" spans="1:11" x14ac:dyDescent="0.25">
      <c r="A485">
        <v>16</v>
      </c>
      <c r="B485">
        <v>0</v>
      </c>
      <c r="C485">
        <v>24</v>
      </c>
      <c r="D485" t="s">
        <v>242</v>
      </c>
      <c r="E485">
        <v>19</v>
      </c>
      <c r="F485">
        <v>18376</v>
      </c>
      <c r="G485" t="s">
        <v>316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482</v>
      </c>
      <c r="I485" t="str">
        <f>IF(DraftResults[[#This Row],[Player ID]]=0,"",INDEX(Table5[[#All],[Pos]],MATCH(DraftResults[[#This Row],[Player ID]],Table5[[#All],[PID]],0)))</f>
        <v>SP</v>
      </c>
      <c r="J485" t="str">
        <f>IF(DraftResults[[#This Row],[Player ID]]=0,"",INDEX(Table5[[#All],[First]],MATCH(DraftResults[[#This Row],[Player ID]],Table5[[#All],[PID]],0)))</f>
        <v>Masamichi</v>
      </c>
      <c r="K485" t="str">
        <f>IF(DraftResults[[#This Row],[Player ID]]=0,"",INDEX(Table5[[#All],[Last]],MATCH(DraftResults[[#This Row],[Player ID]],Table5[[#All],[PID]],0)))</f>
        <v>Yoshida</v>
      </c>
    </row>
    <row r="486" spans="1:11" x14ac:dyDescent="0.25">
      <c r="A486">
        <v>16</v>
      </c>
      <c r="B486">
        <v>0</v>
      </c>
      <c r="C486">
        <v>25</v>
      </c>
      <c r="D486" t="s">
        <v>457</v>
      </c>
      <c r="E486">
        <v>166</v>
      </c>
      <c r="F486">
        <v>18339</v>
      </c>
      <c r="G486" t="s">
        <v>316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483</v>
      </c>
      <c r="I486" t="str">
        <f>IF(DraftResults[[#This Row],[Player ID]]=0,"",INDEX(Table5[[#All],[Pos]],MATCH(DraftResults[[#This Row],[Player ID]],Table5[[#All],[PID]],0)))</f>
        <v>RP</v>
      </c>
      <c r="J486" t="str">
        <f>IF(DraftResults[[#This Row],[Player ID]]=0,"",INDEX(Table5[[#All],[First]],MATCH(DraftResults[[#This Row],[Player ID]],Table5[[#All],[PID]],0)))</f>
        <v>Yoshiyuki</v>
      </c>
      <c r="K486" t="str">
        <f>IF(DraftResults[[#This Row],[Player ID]]=0,"",INDEX(Table5[[#All],[Last]],MATCH(DraftResults[[#This Row],[Player ID]],Table5[[#All],[PID]],0)))</f>
        <v>Yokoyama</v>
      </c>
    </row>
    <row r="487" spans="1:11" x14ac:dyDescent="0.25">
      <c r="A487">
        <v>16</v>
      </c>
      <c r="B487">
        <v>0</v>
      </c>
      <c r="C487">
        <v>26</v>
      </c>
      <c r="D487" t="s">
        <v>242</v>
      </c>
      <c r="E487">
        <v>19</v>
      </c>
      <c r="F487">
        <v>18236</v>
      </c>
      <c r="G487" t="s">
        <v>316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484</v>
      </c>
      <c r="I487" t="str">
        <f>IF(DraftResults[[#This Row],[Player ID]]=0,"",INDEX(Table5[[#All],[Pos]],MATCH(DraftResults[[#This Row],[Player ID]],Table5[[#All],[PID]],0)))</f>
        <v>SS</v>
      </c>
      <c r="J487" t="str">
        <f>IF(DraftResults[[#This Row],[Player ID]]=0,"",INDEX(Table5[[#All],[First]],MATCH(DraftResults[[#This Row],[Player ID]],Table5[[#All],[PID]],0)))</f>
        <v>Myles</v>
      </c>
      <c r="K487" t="str">
        <f>IF(DraftResults[[#This Row],[Player ID]]=0,"",INDEX(Table5[[#All],[Last]],MATCH(DraftResults[[#This Row],[Player ID]],Table5[[#All],[PID]],0)))</f>
        <v>Weber</v>
      </c>
    </row>
    <row r="488" spans="1:11" x14ac:dyDescent="0.25">
      <c r="A488">
        <v>16</v>
      </c>
      <c r="B488">
        <v>0</v>
      </c>
      <c r="C488">
        <v>27</v>
      </c>
      <c r="D488" t="s">
        <v>458</v>
      </c>
      <c r="E488">
        <v>159</v>
      </c>
      <c r="F488">
        <v>20201</v>
      </c>
      <c r="G488" t="s">
        <v>316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485</v>
      </c>
      <c r="I488" t="str">
        <f>IF(DraftResults[[#This Row],[Player ID]]=0,"",INDEX(Table5[[#All],[Pos]],MATCH(DraftResults[[#This Row],[Player ID]],Table5[[#All],[PID]],0)))</f>
        <v>RF</v>
      </c>
      <c r="J488" t="str">
        <f>IF(DraftResults[[#This Row],[Player ID]]=0,"",INDEX(Table5[[#All],[First]],MATCH(DraftResults[[#This Row],[Player ID]],Table5[[#All],[PID]],0)))</f>
        <v>Xun</v>
      </c>
      <c r="K488" t="str">
        <f>IF(DraftResults[[#This Row],[Player ID]]=0,"",INDEX(Table5[[#All],[Last]],MATCH(DraftResults[[#This Row],[Player ID]],Table5[[#All],[PID]],0)))</f>
        <v>Zhou</v>
      </c>
    </row>
    <row r="489" spans="1:11" x14ac:dyDescent="0.25">
      <c r="A489">
        <v>16</v>
      </c>
      <c r="B489">
        <v>0</v>
      </c>
      <c r="C489">
        <v>28</v>
      </c>
      <c r="D489" t="s">
        <v>454</v>
      </c>
      <c r="E489">
        <v>162</v>
      </c>
      <c r="F489">
        <v>18233</v>
      </c>
      <c r="G489" t="s">
        <v>316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486</v>
      </c>
      <c r="I489" t="str">
        <f>IF(DraftResults[[#This Row],[Player ID]]=0,"",INDEX(Table5[[#All],[Pos]],MATCH(DraftResults[[#This Row],[Player ID]],Table5[[#All],[PID]],0)))</f>
        <v>RP</v>
      </c>
      <c r="J489" t="str">
        <f>IF(DraftResults[[#This Row],[Player ID]]=0,"",INDEX(Table5[[#All],[First]],MATCH(DraftResults[[#This Row],[Player ID]],Table5[[#All],[PID]],0)))</f>
        <v>Jerome</v>
      </c>
      <c r="K489" t="str">
        <f>IF(DraftResults[[#This Row],[Player ID]]=0,"",INDEX(Table5[[#All],[Last]],MATCH(DraftResults[[#This Row],[Player ID]],Table5[[#All],[PID]],0)))</f>
        <v>Montero</v>
      </c>
    </row>
    <row r="490" spans="1:11" x14ac:dyDescent="0.25">
      <c r="A490">
        <v>16</v>
      </c>
      <c r="B490">
        <v>0</v>
      </c>
      <c r="C490">
        <v>29</v>
      </c>
      <c r="D490" t="s">
        <v>459</v>
      </c>
      <c r="E490">
        <v>163</v>
      </c>
      <c r="F490">
        <v>18255</v>
      </c>
      <c r="G490" t="s">
        <v>316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487</v>
      </c>
      <c r="I490" t="str">
        <f>IF(DraftResults[[#This Row],[Player ID]]=0,"",INDEX(Table5[[#All],[Pos]],MATCH(DraftResults[[#This Row],[Player ID]],Table5[[#All],[PID]],0)))</f>
        <v>3B</v>
      </c>
      <c r="J490" t="str">
        <f>IF(DraftResults[[#This Row],[Player ID]]=0,"",INDEX(Table5[[#All],[First]],MATCH(DraftResults[[#This Row],[Player ID]],Table5[[#All],[PID]],0)))</f>
        <v>Manuel</v>
      </c>
      <c r="K490" t="str">
        <f>IF(DraftResults[[#This Row],[Player ID]]=0,"",INDEX(Table5[[#All],[Last]],MATCH(DraftResults[[#This Row],[Player ID]],Table5[[#All],[PID]],0)))</f>
        <v>Serna</v>
      </c>
    </row>
    <row r="491" spans="1:11" x14ac:dyDescent="0.25">
      <c r="A491">
        <v>16</v>
      </c>
      <c r="B491">
        <v>0</v>
      </c>
      <c r="C491">
        <v>30</v>
      </c>
      <c r="D491" t="s">
        <v>629</v>
      </c>
      <c r="E491">
        <v>9</v>
      </c>
      <c r="F491">
        <v>16926</v>
      </c>
      <c r="G491" t="s">
        <v>316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488</v>
      </c>
      <c r="I491" t="str">
        <f>IF(DraftResults[[#This Row],[Player ID]]=0,"",INDEX(Table5[[#All],[Pos]],MATCH(DraftResults[[#This Row],[Player ID]],Table5[[#All],[PID]],0)))</f>
        <v>CF</v>
      </c>
      <c r="J491" t="str">
        <f>IF(DraftResults[[#This Row],[Player ID]]=0,"",INDEX(Table5[[#All],[First]],MATCH(DraftResults[[#This Row],[Player ID]],Table5[[#All],[PID]],0)))</f>
        <v>Don</v>
      </c>
      <c r="K491" t="str">
        <f>IF(DraftResults[[#This Row],[Player ID]]=0,"",INDEX(Table5[[#All],[Last]],MATCH(DraftResults[[#This Row],[Player ID]],Table5[[#All],[PID]],0)))</f>
        <v>Washington</v>
      </c>
    </row>
    <row r="492" spans="1:11" x14ac:dyDescent="0.25">
      <c r="A492">
        <v>17</v>
      </c>
      <c r="B492">
        <v>0</v>
      </c>
      <c r="C492">
        <v>1</v>
      </c>
      <c r="D492" t="s">
        <v>625</v>
      </c>
      <c r="E492">
        <v>24</v>
      </c>
      <c r="F492">
        <v>18285</v>
      </c>
      <c r="G492" t="s">
        <v>316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489</v>
      </c>
      <c r="I492" t="str">
        <f>IF(DraftResults[[#This Row],[Player ID]]=0,"",INDEX(Table5[[#All],[Pos]],MATCH(DraftResults[[#This Row],[Player ID]],Table5[[#All],[PID]],0)))</f>
        <v>C</v>
      </c>
      <c r="J492" t="str">
        <f>IF(DraftResults[[#This Row],[Player ID]]=0,"",INDEX(Table5[[#All],[First]],MATCH(DraftResults[[#This Row],[Player ID]],Table5[[#All],[PID]],0)))</f>
        <v>Hideki</v>
      </c>
      <c r="K492" t="str">
        <f>IF(DraftResults[[#This Row],[Player ID]]=0,"",INDEX(Table5[[#All],[Last]],MATCH(DraftResults[[#This Row],[Player ID]],Table5[[#All],[PID]],0)))</f>
        <v>Ito</v>
      </c>
    </row>
    <row r="493" spans="1:11" x14ac:dyDescent="0.25">
      <c r="A493">
        <v>17</v>
      </c>
      <c r="B493">
        <v>0</v>
      </c>
      <c r="C493">
        <v>2</v>
      </c>
      <c r="D493" t="s">
        <v>542</v>
      </c>
      <c r="E493">
        <v>7</v>
      </c>
      <c r="F493">
        <v>18434</v>
      </c>
      <c r="G493" t="s">
        <v>316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490</v>
      </c>
      <c r="I493" t="str">
        <f>IF(DraftResults[[#This Row],[Player ID]]=0,"",INDEX(Table5[[#All],[Pos]],MATCH(DraftResults[[#This Row],[Player ID]],Table5[[#All],[PID]],0)))</f>
        <v>SP</v>
      </c>
      <c r="J493" t="str">
        <f>IF(DraftResults[[#This Row],[Player ID]]=0,"",INDEX(Table5[[#All],[First]],MATCH(DraftResults[[#This Row],[Player ID]],Table5[[#All],[PID]],0)))</f>
        <v>Naozane</v>
      </c>
      <c r="K493" t="str">
        <f>IF(DraftResults[[#This Row],[Player ID]]=0,"",INDEX(Table5[[#All],[Last]],MATCH(DraftResults[[#This Row],[Player ID]],Table5[[#All],[PID]],0)))</f>
        <v>Watanabe</v>
      </c>
    </row>
    <row r="494" spans="1:11" x14ac:dyDescent="0.25">
      <c r="A494">
        <v>17</v>
      </c>
      <c r="B494">
        <v>0</v>
      </c>
      <c r="C494">
        <v>3</v>
      </c>
      <c r="D494" t="s">
        <v>256</v>
      </c>
      <c r="E494">
        <v>8</v>
      </c>
      <c r="F494">
        <v>17794</v>
      </c>
      <c r="G494" t="s">
        <v>316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491</v>
      </c>
      <c r="I494" t="str">
        <f>IF(DraftResults[[#This Row],[Player ID]]=0,"",INDEX(Table5[[#All],[Pos]],MATCH(DraftResults[[#This Row],[Player ID]],Table5[[#All],[PID]],0)))</f>
        <v>RP</v>
      </c>
      <c r="J494" t="str">
        <f>IF(DraftResults[[#This Row],[Player ID]]=0,"",INDEX(Table5[[#All],[First]],MATCH(DraftResults[[#This Row],[Player ID]],Table5[[#All],[PID]],0)))</f>
        <v>Juan</v>
      </c>
      <c r="K494" t="str">
        <f>IF(DraftResults[[#This Row],[Player ID]]=0,"",INDEX(Table5[[#All],[Last]],MATCH(DraftResults[[#This Row],[Player ID]],Table5[[#All],[PID]],0)))</f>
        <v>Chávez</v>
      </c>
    </row>
    <row r="495" spans="1:11" x14ac:dyDescent="0.25">
      <c r="A495">
        <v>17</v>
      </c>
      <c r="B495">
        <v>0</v>
      </c>
      <c r="C495">
        <v>4</v>
      </c>
      <c r="D495" t="s">
        <v>628</v>
      </c>
      <c r="E495">
        <v>23</v>
      </c>
      <c r="F495">
        <v>18217</v>
      </c>
      <c r="G495" t="s">
        <v>316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492</v>
      </c>
      <c r="I495" t="str">
        <f>IF(DraftResults[[#This Row],[Player ID]]=0,"",INDEX(Table5[[#All],[Pos]],MATCH(DraftResults[[#This Row],[Player ID]],Table5[[#All],[PID]],0)))</f>
        <v>CL</v>
      </c>
      <c r="J495" t="str">
        <f>IF(DraftResults[[#This Row],[Player ID]]=0,"",INDEX(Table5[[#All],[First]],MATCH(DraftResults[[#This Row],[Player ID]],Table5[[#All],[PID]],0)))</f>
        <v>Armando</v>
      </c>
      <c r="K495" t="str">
        <f>IF(DraftResults[[#This Row],[Player ID]]=0,"",INDEX(Table5[[#All],[Last]],MATCH(DraftResults[[#This Row],[Player ID]],Table5[[#All],[PID]],0)))</f>
        <v>Gómez</v>
      </c>
    </row>
    <row r="496" spans="1:11" x14ac:dyDescent="0.25">
      <c r="A496">
        <v>17</v>
      </c>
      <c r="B496">
        <v>0</v>
      </c>
      <c r="C496">
        <v>5</v>
      </c>
      <c r="D496" t="s">
        <v>462</v>
      </c>
      <c r="E496">
        <v>167</v>
      </c>
      <c r="F496">
        <v>17799</v>
      </c>
      <c r="G496" t="s">
        <v>316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493</v>
      </c>
      <c r="I496" t="str">
        <f>IF(DraftResults[[#This Row],[Player ID]]=0,"",INDEX(Table5[[#All],[Pos]],MATCH(DraftResults[[#This Row],[Player ID]],Table5[[#All],[PID]],0)))</f>
        <v>SP</v>
      </c>
      <c r="J496" t="str">
        <f>IF(DraftResults[[#This Row],[Player ID]]=0,"",INDEX(Table5[[#All],[First]],MATCH(DraftResults[[#This Row],[Player ID]],Table5[[#All],[PID]],0)))</f>
        <v>Tetsuhiko</v>
      </c>
      <c r="K496" t="str">
        <f>IF(DraftResults[[#This Row],[Player ID]]=0,"",INDEX(Table5[[#All],[Last]],MATCH(DraftResults[[#This Row],[Player ID]],Table5[[#All],[PID]],0)))</f>
        <v>Nakamura</v>
      </c>
    </row>
    <row r="497" spans="1:11" x14ac:dyDescent="0.25">
      <c r="A497">
        <v>17</v>
      </c>
      <c r="B497">
        <v>0</v>
      </c>
      <c r="C497">
        <v>6</v>
      </c>
      <c r="D497" t="s">
        <v>543</v>
      </c>
      <c r="E497">
        <v>4</v>
      </c>
      <c r="F497">
        <v>18115</v>
      </c>
      <c r="G497" t="s">
        <v>316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494</v>
      </c>
      <c r="I497" t="str">
        <f>IF(DraftResults[[#This Row],[Player ID]]=0,"",INDEX(Table5[[#All],[Pos]],MATCH(DraftResults[[#This Row],[Player ID]],Table5[[#All],[PID]],0)))</f>
        <v>LF</v>
      </c>
      <c r="J497" t="str">
        <f>IF(DraftResults[[#This Row],[Player ID]]=0,"",INDEX(Table5[[#All],[First]],MATCH(DraftResults[[#This Row],[Player ID]],Table5[[#All],[PID]],0)))</f>
        <v>Jacob</v>
      </c>
      <c r="K497" t="str">
        <f>IF(DraftResults[[#This Row],[Player ID]]=0,"",INDEX(Table5[[#All],[Last]],MATCH(DraftResults[[#This Row],[Player ID]],Table5[[#All],[PID]],0)))</f>
        <v>Williams</v>
      </c>
    </row>
    <row r="498" spans="1:11" x14ac:dyDescent="0.25">
      <c r="A498">
        <v>17</v>
      </c>
      <c r="B498">
        <v>0</v>
      </c>
      <c r="C498">
        <v>7</v>
      </c>
      <c r="D498" t="s">
        <v>626</v>
      </c>
      <c r="E498">
        <v>160</v>
      </c>
      <c r="F498">
        <v>17612</v>
      </c>
      <c r="G498" t="s">
        <v>316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495</v>
      </c>
      <c r="I498" t="str">
        <f>IF(DraftResults[[#This Row],[Player ID]]=0,"",INDEX(Table5[[#All],[Pos]],MATCH(DraftResults[[#This Row],[Player ID]],Table5[[#All],[PID]],0)))</f>
        <v>SP</v>
      </c>
      <c r="J498" t="str">
        <f>IF(DraftResults[[#This Row],[Player ID]]=0,"",INDEX(Table5[[#All],[First]],MATCH(DraftResults[[#This Row],[Player ID]],Table5[[#All],[PID]],0)))</f>
        <v>Patrick</v>
      </c>
      <c r="K498" t="str">
        <f>IF(DraftResults[[#This Row],[Player ID]]=0,"",INDEX(Table5[[#All],[Last]],MATCH(DraftResults[[#This Row],[Player ID]],Table5[[#All],[PID]],0)))</f>
        <v>Paige</v>
      </c>
    </row>
    <row r="499" spans="1:11" x14ac:dyDescent="0.25">
      <c r="A499">
        <v>17</v>
      </c>
      <c r="B499">
        <v>0</v>
      </c>
      <c r="C499">
        <v>8</v>
      </c>
      <c r="D499" t="s">
        <v>250</v>
      </c>
      <c r="E499">
        <v>3</v>
      </c>
      <c r="F499">
        <v>18363</v>
      </c>
      <c r="G499" t="s">
        <v>316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496</v>
      </c>
      <c r="I499" t="str">
        <f>IF(DraftResults[[#This Row],[Player ID]]=0,"",INDEX(Table5[[#All],[Pos]],MATCH(DraftResults[[#This Row],[Player ID]],Table5[[#All],[PID]],0)))</f>
        <v>SP</v>
      </c>
      <c r="J499" t="str">
        <f>IF(DraftResults[[#This Row],[Player ID]]=0,"",INDEX(Table5[[#All],[First]],MATCH(DraftResults[[#This Row],[Player ID]],Table5[[#All],[PID]],0)))</f>
        <v>Craig</v>
      </c>
      <c r="K499" t="str">
        <f>IF(DraftResults[[#This Row],[Player ID]]=0,"",INDEX(Table5[[#All],[Last]],MATCH(DraftResults[[#This Row],[Player ID]],Table5[[#All],[PID]],0)))</f>
        <v>MacKinley</v>
      </c>
    </row>
    <row r="500" spans="1:11" x14ac:dyDescent="0.25">
      <c r="A500">
        <v>17</v>
      </c>
      <c r="B500">
        <v>0</v>
      </c>
      <c r="C500">
        <v>9</v>
      </c>
      <c r="D500" t="s">
        <v>456</v>
      </c>
      <c r="E500">
        <v>164</v>
      </c>
      <c r="F500">
        <v>20392</v>
      </c>
      <c r="G500" t="s">
        <v>316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497</v>
      </c>
      <c r="I500" t="str">
        <f>IF(DraftResults[[#This Row],[Player ID]]=0,"",INDEX(Table5[[#All],[Pos]],MATCH(DraftResults[[#This Row],[Player ID]],Table5[[#All],[PID]],0)))</f>
        <v>3B</v>
      </c>
      <c r="J500" t="str">
        <f>IF(DraftResults[[#This Row],[Player ID]]=0,"",INDEX(Table5[[#All],[First]],MATCH(DraftResults[[#This Row],[Player ID]],Table5[[#All],[PID]],0)))</f>
        <v>Falley</v>
      </c>
      <c r="K500" t="str">
        <f>IF(DraftResults[[#This Row],[Player ID]]=0,"",INDEX(Table5[[#All],[Last]],MATCH(DraftResults[[#This Row],[Player ID]],Table5[[#All],[PID]],0)))</f>
        <v>L'ami</v>
      </c>
    </row>
    <row r="501" spans="1:11" x14ac:dyDescent="0.25">
      <c r="A501">
        <v>17</v>
      </c>
      <c r="B501">
        <v>0</v>
      </c>
      <c r="C501">
        <v>10</v>
      </c>
      <c r="D501" t="s">
        <v>461</v>
      </c>
      <c r="E501">
        <v>18</v>
      </c>
      <c r="F501">
        <v>17823</v>
      </c>
      <c r="G501" t="s">
        <v>316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498</v>
      </c>
      <c r="I501" t="str">
        <f>IF(DraftResults[[#This Row],[Player ID]]=0,"",INDEX(Table5[[#All],[Pos]],MATCH(DraftResults[[#This Row],[Player ID]],Table5[[#All],[PID]],0)))</f>
        <v>SP</v>
      </c>
      <c r="J501" t="str">
        <f>IF(DraftResults[[#This Row],[Player ID]]=0,"",INDEX(Table5[[#All],[First]],MATCH(DraftResults[[#This Row],[Player ID]],Table5[[#All],[PID]],0)))</f>
        <v>Craig</v>
      </c>
      <c r="K501" t="str">
        <f>IF(DraftResults[[#This Row],[Player ID]]=0,"",INDEX(Table5[[#All],[Last]],MATCH(DraftResults[[#This Row],[Player ID]],Table5[[#All],[PID]],0)))</f>
        <v>MacGowing</v>
      </c>
    </row>
    <row r="502" spans="1:11" x14ac:dyDescent="0.25">
      <c r="A502">
        <v>17</v>
      </c>
      <c r="B502">
        <v>0</v>
      </c>
      <c r="C502">
        <v>11</v>
      </c>
      <c r="D502" t="s">
        <v>253</v>
      </c>
      <c r="E502">
        <v>15</v>
      </c>
      <c r="F502">
        <v>18303</v>
      </c>
      <c r="G502" t="s">
        <v>316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499</v>
      </c>
      <c r="I502" t="str">
        <f>IF(DraftResults[[#This Row],[Player ID]]=0,"",INDEX(Table5[[#All],[Pos]],MATCH(DraftResults[[#This Row],[Player ID]],Table5[[#All],[PID]],0)))</f>
        <v>SP</v>
      </c>
      <c r="J502" t="str">
        <f>IF(DraftResults[[#This Row],[Player ID]]=0,"",INDEX(Table5[[#All],[First]],MATCH(DraftResults[[#This Row],[Player ID]],Table5[[#All],[PID]],0)))</f>
        <v>Manuel</v>
      </c>
      <c r="K502" t="str">
        <f>IF(DraftResults[[#This Row],[Player ID]]=0,"",INDEX(Table5[[#All],[Last]],MATCH(DraftResults[[#This Row],[Player ID]],Table5[[#All],[PID]],0)))</f>
        <v>Escobedo</v>
      </c>
    </row>
    <row r="503" spans="1:11" x14ac:dyDescent="0.25">
      <c r="A503">
        <v>17</v>
      </c>
      <c r="B503">
        <v>0</v>
      </c>
      <c r="C503">
        <v>12</v>
      </c>
      <c r="D503" t="s">
        <v>245</v>
      </c>
      <c r="E503">
        <v>21</v>
      </c>
      <c r="F503">
        <v>17600</v>
      </c>
      <c r="G503" t="s">
        <v>316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500</v>
      </c>
      <c r="I503" t="str">
        <f>IF(DraftResults[[#This Row],[Player ID]]=0,"",INDEX(Table5[[#All],[Pos]],MATCH(DraftResults[[#This Row],[Player ID]],Table5[[#All],[PID]],0)))</f>
        <v>RP</v>
      </c>
      <c r="J503" t="str">
        <f>IF(DraftResults[[#This Row],[Player ID]]=0,"",INDEX(Table5[[#All],[First]],MATCH(DraftResults[[#This Row],[Player ID]],Table5[[#All],[PID]],0)))</f>
        <v>Wade</v>
      </c>
      <c r="K503" t="str">
        <f>IF(DraftResults[[#This Row],[Player ID]]=0,"",INDEX(Table5[[#All],[Last]],MATCH(DraftResults[[#This Row],[Player ID]],Table5[[#All],[PID]],0)))</f>
        <v>Fox</v>
      </c>
    </row>
    <row r="504" spans="1:11" x14ac:dyDescent="0.25">
      <c r="A504">
        <v>17</v>
      </c>
      <c r="B504">
        <v>0</v>
      </c>
      <c r="C504">
        <v>13</v>
      </c>
      <c r="D504" t="s">
        <v>243</v>
      </c>
      <c r="E504">
        <v>22</v>
      </c>
      <c r="F504">
        <v>20872</v>
      </c>
      <c r="G504" t="s">
        <v>316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501</v>
      </c>
      <c r="I504" t="str">
        <f>IF(DraftResults[[#This Row],[Player ID]]=0,"",INDEX(Table5[[#All],[Pos]],MATCH(DraftResults[[#This Row],[Player ID]],Table5[[#All],[PID]],0)))</f>
        <v>2B</v>
      </c>
      <c r="J504" t="str">
        <f>IF(DraftResults[[#This Row],[Player ID]]=0,"",INDEX(Table5[[#All],[First]],MATCH(DraftResults[[#This Row],[Player ID]],Table5[[#All],[PID]],0)))</f>
        <v>Rodney</v>
      </c>
      <c r="K504" t="str">
        <f>IF(DraftResults[[#This Row],[Player ID]]=0,"",INDEX(Table5[[#All],[Last]],MATCH(DraftResults[[#This Row],[Player ID]],Table5[[#All],[PID]],0)))</f>
        <v>Davis</v>
      </c>
    </row>
    <row r="505" spans="1:11" x14ac:dyDescent="0.25">
      <c r="A505">
        <v>17</v>
      </c>
      <c r="B505">
        <v>0</v>
      </c>
      <c r="C505">
        <v>14</v>
      </c>
      <c r="D505" t="s">
        <v>251</v>
      </c>
      <c r="E505">
        <v>1</v>
      </c>
      <c r="F505">
        <v>18300</v>
      </c>
      <c r="G505" t="s">
        <v>316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502</v>
      </c>
      <c r="I505" t="str">
        <f>IF(DraftResults[[#This Row],[Player ID]]=0,"",INDEX(Table5[[#All],[Pos]],MATCH(DraftResults[[#This Row],[Player ID]],Table5[[#All],[PID]],0)))</f>
        <v>SP</v>
      </c>
      <c r="J505" t="str">
        <f>IF(DraftResults[[#This Row],[Player ID]]=0,"",INDEX(Table5[[#All],[First]],MATCH(DraftResults[[#This Row],[Player ID]],Table5[[#All],[PID]],0)))</f>
        <v>Arnold</v>
      </c>
      <c r="K505" t="str">
        <f>IF(DraftResults[[#This Row],[Player ID]]=0,"",INDEX(Table5[[#All],[Last]],MATCH(DraftResults[[#This Row],[Player ID]],Table5[[#All],[PID]],0)))</f>
        <v>Carmody</v>
      </c>
    </row>
    <row r="506" spans="1:11" x14ac:dyDescent="0.25">
      <c r="A506">
        <v>17</v>
      </c>
      <c r="B506">
        <v>0</v>
      </c>
      <c r="C506">
        <v>15</v>
      </c>
      <c r="D506" t="s">
        <v>249</v>
      </c>
      <c r="E506">
        <v>10</v>
      </c>
      <c r="F506">
        <v>12277</v>
      </c>
      <c r="G506" t="s">
        <v>316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503</v>
      </c>
      <c r="I506" t="str">
        <f>IF(DraftResults[[#This Row],[Player ID]]=0,"",INDEX(Table5[[#All],[Pos]],MATCH(DraftResults[[#This Row],[Player ID]],Table5[[#All],[PID]],0)))</f>
        <v>3B</v>
      </c>
      <c r="J506" t="str">
        <f>IF(DraftResults[[#This Row],[Player ID]]=0,"",INDEX(Table5[[#All],[First]],MATCH(DraftResults[[#This Row],[Player ID]],Table5[[#All],[PID]],0)))</f>
        <v>Ronnie</v>
      </c>
      <c r="K506" t="str">
        <f>IF(DraftResults[[#This Row],[Player ID]]=0,"",INDEX(Table5[[#All],[Last]],MATCH(DraftResults[[#This Row],[Player ID]],Table5[[#All],[PID]],0)))</f>
        <v>Gaylord</v>
      </c>
    </row>
    <row r="507" spans="1:11" x14ac:dyDescent="0.25">
      <c r="A507">
        <v>17</v>
      </c>
      <c r="B507">
        <v>0</v>
      </c>
      <c r="C507">
        <v>16</v>
      </c>
      <c r="D507" t="s">
        <v>261</v>
      </c>
      <c r="E507">
        <v>12</v>
      </c>
      <c r="F507">
        <v>16948</v>
      </c>
      <c r="G507" t="s">
        <v>316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504</v>
      </c>
      <c r="I507" t="str">
        <f>IF(DraftResults[[#This Row],[Player ID]]=0,"",INDEX(Table5[[#All],[Pos]],MATCH(DraftResults[[#This Row],[Player ID]],Table5[[#All],[PID]],0)))</f>
        <v>LF</v>
      </c>
      <c r="J507" t="str">
        <f>IF(DraftResults[[#This Row],[Player ID]]=0,"",INDEX(Table5[[#All],[First]],MATCH(DraftResults[[#This Row],[Player ID]],Table5[[#All],[PID]],0)))</f>
        <v>William</v>
      </c>
      <c r="K507" t="str">
        <f>IF(DraftResults[[#This Row],[Player ID]]=0,"",INDEX(Table5[[#All],[Last]],MATCH(DraftResults[[#This Row],[Player ID]],Table5[[#All],[PID]],0)))</f>
        <v>Keller</v>
      </c>
    </row>
    <row r="508" spans="1:11" x14ac:dyDescent="0.25">
      <c r="A508">
        <v>17</v>
      </c>
      <c r="B508">
        <v>0</v>
      </c>
      <c r="C508">
        <v>17</v>
      </c>
      <c r="D508" t="s">
        <v>627</v>
      </c>
      <c r="E508">
        <v>13</v>
      </c>
      <c r="F508">
        <v>18193</v>
      </c>
      <c r="G508" t="s">
        <v>316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505</v>
      </c>
      <c r="I508" t="str">
        <f>IF(DraftResults[[#This Row],[Player ID]]=0,"",INDEX(Table5[[#All],[Pos]],MATCH(DraftResults[[#This Row],[Player ID]],Table5[[#All],[PID]],0)))</f>
        <v>RP</v>
      </c>
      <c r="J508" t="str">
        <f>IF(DraftResults[[#This Row],[Player ID]]=0,"",INDEX(Table5[[#All],[First]],MATCH(DraftResults[[#This Row],[Player ID]],Table5[[#All],[PID]],0)))</f>
        <v>Alex</v>
      </c>
      <c r="K508" t="str">
        <f>IF(DraftResults[[#This Row],[Player ID]]=0,"",INDEX(Table5[[#All],[Last]],MATCH(DraftResults[[#This Row],[Player ID]],Table5[[#All],[PID]],0)))</f>
        <v>Davis</v>
      </c>
    </row>
    <row r="509" spans="1:11" x14ac:dyDescent="0.25">
      <c r="A509">
        <v>17</v>
      </c>
      <c r="B509">
        <v>0</v>
      </c>
      <c r="C509">
        <v>18</v>
      </c>
      <c r="D509" t="s">
        <v>254</v>
      </c>
      <c r="E509">
        <v>20</v>
      </c>
      <c r="F509">
        <v>17774</v>
      </c>
      <c r="G509" t="s">
        <v>316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506</v>
      </c>
      <c r="I509" t="str">
        <f>IF(DraftResults[[#This Row],[Player ID]]=0,"",INDEX(Table5[[#All],[Pos]],MATCH(DraftResults[[#This Row],[Player ID]],Table5[[#All],[PID]],0)))</f>
        <v>RF</v>
      </c>
      <c r="J509" t="str">
        <f>IF(DraftResults[[#This Row],[Player ID]]=0,"",INDEX(Table5[[#All],[First]],MATCH(DraftResults[[#This Row],[Player ID]],Table5[[#All],[PID]],0)))</f>
        <v>Yosai</v>
      </c>
      <c r="K509" t="str">
        <f>IF(DraftResults[[#This Row],[Player ID]]=0,"",INDEX(Table5[[#All],[Last]],MATCH(DraftResults[[#This Row],[Player ID]],Table5[[#All],[PID]],0)))</f>
        <v>Yamasaki</v>
      </c>
    </row>
    <row r="510" spans="1:11" x14ac:dyDescent="0.25">
      <c r="A510">
        <v>17</v>
      </c>
      <c r="B510">
        <v>0</v>
      </c>
      <c r="C510">
        <v>19</v>
      </c>
      <c r="D510" t="s">
        <v>246</v>
      </c>
      <c r="E510">
        <v>17</v>
      </c>
      <c r="F510">
        <v>21095</v>
      </c>
      <c r="G510" t="s">
        <v>316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507</v>
      </c>
      <c r="I510" t="str">
        <f>IF(DraftResults[[#This Row],[Player ID]]=0,"",INDEX(Table5[[#All],[Pos]],MATCH(DraftResults[[#This Row],[Player ID]],Table5[[#All],[PID]],0)))</f>
        <v>CF</v>
      </c>
      <c r="J510" t="str">
        <f>IF(DraftResults[[#This Row],[Player ID]]=0,"",INDEX(Table5[[#All],[First]],MATCH(DraftResults[[#This Row],[Player ID]],Table5[[#All],[PID]],0)))</f>
        <v>David</v>
      </c>
      <c r="K510" t="str">
        <f>IF(DraftResults[[#This Row],[Player ID]]=0,"",INDEX(Table5[[#All],[Last]],MATCH(DraftResults[[#This Row],[Player ID]],Table5[[#All],[PID]],0)))</f>
        <v>Morris</v>
      </c>
    </row>
    <row r="511" spans="1:11" x14ac:dyDescent="0.25">
      <c r="A511">
        <v>17</v>
      </c>
      <c r="B511">
        <v>0</v>
      </c>
      <c r="C511">
        <v>20</v>
      </c>
      <c r="D511" t="s">
        <v>455</v>
      </c>
      <c r="E511">
        <v>2</v>
      </c>
      <c r="F511">
        <v>18207</v>
      </c>
      <c r="G511" t="s">
        <v>316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508</v>
      </c>
      <c r="I511" t="str">
        <f>IF(DraftResults[[#This Row],[Player ID]]=0,"",INDEX(Table5[[#All],[Pos]],MATCH(DraftResults[[#This Row],[Player ID]],Table5[[#All],[PID]],0)))</f>
        <v>SP</v>
      </c>
      <c r="J511" t="str">
        <f>IF(DraftResults[[#This Row],[Player ID]]=0,"",INDEX(Table5[[#All],[First]],MATCH(DraftResults[[#This Row],[Player ID]],Table5[[#All],[PID]],0)))</f>
        <v>Domingo</v>
      </c>
      <c r="K511" t="str">
        <f>IF(DraftResults[[#This Row],[Player ID]]=0,"",INDEX(Table5[[#All],[Last]],MATCH(DraftResults[[#This Row],[Player ID]],Table5[[#All],[PID]],0)))</f>
        <v>Vera</v>
      </c>
    </row>
    <row r="512" spans="1:11" x14ac:dyDescent="0.25">
      <c r="A512">
        <v>17</v>
      </c>
      <c r="B512">
        <v>0</v>
      </c>
      <c r="C512">
        <v>21</v>
      </c>
      <c r="D512" t="s">
        <v>252</v>
      </c>
      <c r="E512">
        <v>14</v>
      </c>
      <c r="F512">
        <v>17563</v>
      </c>
      <c r="G512" t="s">
        <v>316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509</v>
      </c>
      <c r="I512" t="str">
        <f>IF(DraftResults[[#This Row],[Player ID]]=0,"",INDEX(Table5[[#All],[Pos]],MATCH(DraftResults[[#This Row],[Player ID]],Table5[[#All],[PID]],0)))</f>
        <v>SP</v>
      </c>
      <c r="J512" t="str">
        <f>IF(DraftResults[[#This Row],[Player ID]]=0,"",INDEX(Table5[[#All],[First]],MATCH(DraftResults[[#This Row],[Player ID]],Table5[[#All],[PID]],0)))</f>
        <v>Gus</v>
      </c>
      <c r="K512" t="str">
        <f>IF(DraftResults[[#This Row],[Player ID]]=0,"",INDEX(Table5[[#All],[Last]],MATCH(DraftResults[[#This Row],[Player ID]],Table5[[#All],[PID]],0)))</f>
        <v>Hebert</v>
      </c>
    </row>
    <row r="513" spans="1:11" x14ac:dyDescent="0.25">
      <c r="A513">
        <v>17</v>
      </c>
      <c r="B513">
        <v>0</v>
      </c>
      <c r="C513">
        <v>22</v>
      </c>
      <c r="D513" t="s">
        <v>257</v>
      </c>
      <c r="E513">
        <v>16</v>
      </c>
      <c r="F513">
        <v>17772</v>
      </c>
      <c r="G513" t="s">
        <v>316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510</v>
      </c>
      <c r="I513" t="str">
        <f>IF(DraftResults[[#This Row],[Player ID]]=0,"",INDEX(Table5[[#All],[Pos]],MATCH(DraftResults[[#This Row],[Player ID]],Table5[[#All],[PID]],0)))</f>
        <v>SP</v>
      </c>
      <c r="J513" t="str">
        <f>IF(DraftResults[[#This Row],[Player ID]]=0,"",INDEX(Table5[[#All],[First]],MATCH(DraftResults[[#This Row],[Player ID]],Table5[[#All],[PID]],0)))</f>
        <v>Ryuzaburo</v>
      </c>
      <c r="K513" t="str">
        <f>IF(DraftResults[[#This Row],[Player ID]]=0,"",INDEX(Table5[[#All],[Last]],MATCH(DraftResults[[#This Row],[Player ID]],Table5[[#All],[PID]],0)))</f>
        <v>Ine</v>
      </c>
    </row>
    <row r="514" spans="1:11" x14ac:dyDescent="0.25">
      <c r="A514">
        <v>17</v>
      </c>
      <c r="B514">
        <v>0</v>
      </c>
      <c r="C514">
        <v>23</v>
      </c>
      <c r="D514" t="s">
        <v>460</v>
      </c>
      <c r="E514">
        <v>161</v>
      </c>
      <c r="F514">
        <v>21024</v>
      </c>
      <c r="G514" t="s">
        <v>316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511</v>
      </c>
      <c r="I514" t="str">
        <f>IF(DraftResults[[#This Row],[Player ID]]=0,"",INDEX(Table5[[#All],[Pos]],MATCH(DraftResults[[#This Row],[Player ID]],Table5[[#All],[PID]],0)))</f>
        <v>1B</v>
      </c>
      <c r="J514" t="str">
        <f>IF(DraftResults[[#This Row],[Player ID]]=0,"",INDEX(Table5[[#All],[First]],MATCH(DraftResults[[#This Row],[Player ID]],Table5[[#All],[PID]],0)))</f>
        <v>Flint</v>
      </c>
      <c r="K514" t="str">
        <f>IF(DraftResults[[#This Row],[Player ID]]=0,"",INDEX(Table5[[#All],[Last]],MATCH(DraftResults[[#This Row],[Player ID]],Table5[[#All],[PID]],0)))</f>
        <v>Perry</v>
      </c>
    </row>
    <row r="515" spans="1:11" x14ac:dyDescent="0.25">
      <c r="A515">
        <v>17</v>
      </c>
      <c r="B515">
        <v>0</v>
      </c>
      <c r="C515">
        <v>24</v>
      </c>
      <c r="D515" t="s">
        <v>242</v>
      </c>
      <c r="E515">
        <v>19</v>
      </c>
      <c r="F515">
        <v>18400</v>
      </c>
      <c r="G515" t="s">
        <v>316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512</v>
      </c>
      <c r="I515" t="str">
        <f>IF(DraftResults[[#This Row],[Player ID]]=0,"",INDEX(Table5[[#All],[Pos]],MATCH(DraftResults[[#This Row],[Player ID]],Table5[[#All],[PID]],0)))</f>
        <v>SP</v>
      </c>
      <c r="J515" t="str">
        <f>IF(DraftResults[[#This Row],[Player ID]]=0,"",INDEX(Table5[[#All],[First]],MATCH(DraftResults[[#This Row],[Player ID]],Table5[[#All],[PID]],0)))</f>
        <v>Noriyori</v>
      </c>
      <c r="K515" t="str">
        <f>IF(DraftResults[[#This Row],[Player ID]]=0,"",INDEX(Table5[[#All],[Last]],MATCH(DraftResults[[#This Row],[Player ID]],Table5[[#All],[PID]],0)))</f>
        <v>Takaki</v>
      </c>
    </row>
    <row r="516" spans="1:11" x14ac:dyDescent="0.25">
      <c r="A516">
        <v>17</v>
      </c>
      <c r="B516">
        <v>0</v>
      </c>
      <c r="C516">
        <v>25</v>
      </c>
      <c r="D516" t="s">
        <v>457</v>
      </c>
      <c r="E516">
        <v>166</v>
      </c>
      <c r="F516">
        <v>17831</v>
      </c>
      <c r="G516" t="s">
        <v>316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513</v>
      </c>
      <c r="I516" t="str">
        <f>IF(DraftResults[[#This Row],[Player ID]]=0,"",INDEX(Table5[[#All],[Pos]],MATCH(DraftResults[[#This Row],[Player ID]],Table5[[#All],[PID]],0)))</f>
        <v>C</v>
      </c>
      <c r="J516" t="str">
        <f>IF(DraftResults[[#This Row],[Player ID]]=0,"",INDEX(Table5[[#All],[First]],MATCH(DraftResults[[#This Row],[Player ID]],Table5[[#All],[PID]],0)))</f>
        <v>Toshimichi</v>
      </c>
      <c r="K516" t="str">
        <f>IF(DraftResults[[#This Row],[Player ID]]=0,"",INDEX(Table5[[#All],[Last]],MATCH(DraftResults[[#This Row],[Player ID]],Table5[[#All],[PID]],0)))</f>
        <v>Ito</v>
      </c>
    </row>
    <row r="517" spans="1:11" x14ac:dyDescent="0.25">
      <c r="A517">
        <v>17</v>
      </c>
      <c r="B517">
        <v>0</v>
      </c>
      <c r="C517">
        <v>26</v>
      </c>
      <c r="D517" t="s">
        <v>242</v>
      </c>
      <c r="E517">
        <v>19</v>
      </c>
      <c r="F517">
        <v>17579</v>
      </c>
      <c r="G517" t="s">
        <v>316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514</v>
      </c>
      <c r="I517" t="str">
        <f>IF(DraftResults[[#This Row],[Player ID]]=0,"",INDEX(Table5[[#All],[Pos]],MATCH(DraftResults[[#This Row],[Player ID]],Table5[[#All],[PID]],0)))</f>
        <v>RF</v>
      </c>
      <c r="J517" t="str">
        <f>IF(DraftResults[[#This Row],[Player ID]]=0,"",INDEX(Table5[[#All],[First]],MATCH(DraftResults[[#This Row],[Player ID]],Table5[[#All],[PID]],0)))</f>
        <v>Jack</v>
      </c>
      <c r="K517" t="str">
        <f>IF(DraftResults[[#This Row],[Player ID]]=0,"",INDEX(Table5[[#All],[Last]],MATCH(DraftResults[[#This Row],[Player ID]],Table5[[#All],[PID]],0)))</f>
        <v>Alirezam</v>
      </c>
    </row>
    <row r="518" spans="1:11" x14ac:dyDescent="0.25">
      <c r="A518">
        <v>17</v>
      </c>
      <c r="B518">
        <v>0</v>
      </c>
      <c r="C518">
        <v>27</v>
      </c>
      <c r="D518" t="s">
        <v>458</v>
      </c>
      <c r="E518">
        <v>159</v>
      </c>
      <c r="F518">
        <v>18245</v>
      </c>
      <c r="G518" t="s">
        <v>316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515</v>
      </c>
      <c r="I518" t="str">
        <f>IF(DraftResults[[#This Row],[Player ID]]=0,"",INDEX(Table5[[#All],[Pos]],MATCH(DraftResults[[#This Row],[Player ID]],Table5[[#All],[PID]],0)))</f>
        <v>RP</v>
      </c>
      <c r="J518" t="str">
        <f>IF(DraftResults[[#This Row],[Player ID]]=0,"",INDEX(Table5[[#All],[First]],MATCH(DraftResults[[#This Row],[Player ID]],Table5[[#All],[PID]],0)))</f>
        <v>Tom</v>
      </c>
      <c r="K518" t="str">
        <f>IF(DraftResults[[#This Row],[Player ID]]=0,"",INDEX(Table5[[#All],[Last]],MATCH(DraftResults[[#This Row],[Player ID]],Table5[[#All],[PID]],0)))</f>
        <v>Vélez</v>
      </c>
    </row>
    <row r="519" spans="1:11" x14ac:dyDescent="0.25">
      <c r="A519">
        <v>17</v>
      </c>
      <c r="B519">
        <v>0</v>
      </c>
      <c r="C519">
        <v>28</v>
      </c>
      <c r="D519" t="s">
        <v>454</v>
      </c>
      <c r="E519">
        <v>162</v>
      </c>
      <c r="F519">
        <v>18350</v>
      </c>
      <c r="G519" t="s">
        <v>316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516</v>
      </c>
      <c r="I519" t="str">
        <f>IF(DraftResults[[#This Row],[Player ID]]=0,"",INDEX(Table5[[#All],[Pos]],MATCH(DraftResults[[#This Row],[Player ID]],Table5[[#All],[PID]],0)))</f>
        <v>SP</v>
      </c>
      <c r="J519" t="str">
        <f>IF(DraftResults[[#This Row],[Player ID]]=0,"",INDEX(Table5[[#All],[First]],MATCH(DraftResults[[#This Row],[Player ID]],Table5[[#All],[PID]],0)))</f>
        <v>Max</v>
      </c>
      <c r="K519" t="str">
        <f>IF(DraftResults[[#This Row],[Player ID]]=0,"",INDEX(Table5[[#All],[Last]],MATCH(DraftResults[[#This Row],[Player ID]],Table5[[#All],[PID]],0)))</f>
        <v>Kitchener</v>
      </c>
    </row>
    <row r="520" spans="1:11" x14ac:dyDescent="0.25">
      <c r="A520">
        <v>17</v>
      </c>
      <c r="B520">
        <v>0</v>
      </c>
      <c r="C520">
        <v>29</v>
      </c>
      <c r="D520" t="s">
        <v>459</v>
      </c>
      <c r="E520">
        <v>163</v>
      </c>
      <c r="F520">
        <v>18127</v>
      </c>
      <c r="G520" t="s">
        <v>316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517</v>
      </c>
      <c r="I520" t="str">
        <f>IF(DraftResults[[#This Row],[Player ID]]=0,"",INDEX(Table5[[#All],[Pos]],MATCH(DraftResults[[#This Row],[Player ID]],Table5[[#All],[PID]],0)))</f>
        <v>RF</v>
      </c>
      <c r="J520" t="str">
        <f>IF(DraftResults[[#This Row],[Player ID]]=0,"",INDEX(Table5[[#All],[First]],MATCH(DraftResults[[#This Row],[Player ID]],Table5[[#All],[PID]],0)))</f>
        <v>Casey</v>
      </c>
      <c r="K520" t="str">
        <f>IF(DraftResults[[#This Row],[Player ID]]=0,"",INDEX(Table5[[#All],[Last]],MATCH(DraftResults[[#This Row],[Player ID]],Table5[[#All],[PID]],0)))</f>
        <v>Davis</v>
      </c>
    </row>
    <row r="521" spans="1:11" x14ac:dyDescent="0.25">
      <c r="A521">
        <v>17</v>
      </c>
      <c r="B521">
        <v>0</v>
      </c>
      <c r="C521">
        <v>30</v>
      </c>
      <c r="D521" t="s">
        <v>629</v>
      </c>
      <c r="E521">
        <v>9</v>
      </c>
      <c r="F521">
        <v>16919</v>
      </c>
      <c r="G521" t="s">
        <v>316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518</v>
      </c>
      <c r="I521" t="str">
        <f>IF(DraftResults[[#This Row],[Player ID]]=0,"",INDEX(Table5[[#All],[Pos]],MATCH(DraftResults[[#This Row],[Player ID]],Table5[[#All],[PID]],0)))</f>
        <v>SS</v>
      </c>
      <c r="J521" t="str">
        <f>IF(DraftResults[[#This Row],[Player ID]]=0,"",INDEX(Table5[[#All],[First]],MATCH(DraftResults[[#This Row],[Player ID]],Table5[[#All],[PID]],0)))</f>
        <v>Ernest</v>
      </c>
      <c r="K521" t="str">
        <f>IF(DraftResults[[#This Row],[Player ID]]=0,"",INDEX(Table5[[#All],[Last]],MATCH(DraftResults[[#This Row],[Player ID]],Table5[[#All],[PID]],0)))</f>
        <v>Everhart</v>
      </c>
    </row>
    <row r="522" spans="1:11" x14ac:dyDescent="0.25">
      <c r="A522">
        <v>18</v>
      </c>
      <c r="B522">
        <v>0</v>
      </c>
      <c r="C522">
        <v>1</v>
      </c>
      <c r="D522" t="s">
        <v>625</v>
      </c>
      <c r="E522">
        <v>24</v>
      </c>
      <c r="F522">
        <v>20364</v>
      </c>
      <c r="G522" t="s">
        <v>316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519</v>
      </c>
      <c r="I522" t="str">
        <f>IF(DraftResults[[#This Row],[Player ID]]=0,"",INDEX(Table5[[#All],[Pos]],MATCH(DraftResults[[#This Row],[Player ID]],Table5[[#All],[PID]],0)))</f>
        <v>C</v>
      </c>
      <c r="J522" t="str">
        <f>IF(DraftResults[[#This Row],[Player ID]]=0,"",INDEX(Table5[[#All],[First]],MATCH(DraftResults[[#This Row],[Player ID]],Table5[[#All],[PID]],0)))</f>
        <v>Ken</v>
      </c>
      <c r="K522" t="str">
        <f>IF(DraftResults[[#This Row],[Player ID]]=0,"",INDEX(Table5[[#All],[Last]],MATCH(DraftResults[[#This Row],[Player ID]],Table5[[#All],[PID]],0)))</f>
        <v>Jones</v>
      </c>
    </row>
    <row r="523" spans="1:11" x14ac:dyDescent="0.25">
      <c r="A523">
        <v>18</v>
      </c>
      <c r="B523">
        <v>0</v>
      </c>
      <c r="C523">
        <v>2</v>
      </c>
      <c r="D523" t="s">
        <v>542</v>
      </c>
      <c r="E523">
        <v>7</v>
      </c>
      <c r="F523">
        <v>20943</v>
      </c>
      <c r="G523" t="s">
        <v>316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520</v>
      </c>
      <c r="I523" t="str">
        <f>IF(DraftResults[[#This Row],[Player ID]]=0,"",INDEX(Table5[[#All],[Pos]],MATCH(DraftResults[[#This Row],[Player ID]],Table5[[#All],[PID]],0)))</f>
        <v>SS</v>
      </c>
      <c r="J523" t="str">
        <f>IF(DraftResults[[#This Row],[Player ID]]=0,"",INDEX(Table5[[#All],[First]],MATCH(DraftResults[[#This Row],[Player ID]],Table5[[#All],[PID]],0)))</f>
        <v>Doug</v>
      </c>
      <c r="K523" t="str">
        <f>IF(DraftResults[[#This Row],[Player ID]]=0,"",INDEX(Table5[[#All],[Last]],MATCH(DraftResults[[#This Row],[Player ID]],Table5[[#All],[PID]],0)))</f>
        <v>Hester</v>
      </c>
    </row>
    <row r="524" spans="1:11" x14ac:dyDescent="0.25">
      <c r="A524">
        <v>18</v>
      </c>
      <c r="B524">
        <v>0</v>
      </c>
      <c r="C524">
        <v>3</v>
      </c>
      <c r="D524" t="s">
        <v>256</v>
      </c>
      <c r="E524">
        <v>8</v>
      </c>
      <c r="F524">
        <v>20314</v>
      </c>
      <c r="G524" t="s">
        <v>316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521</v>
      </c>
      <c r="I524" t="str">
        <f>IF(DraftResults[[#This Row],[Player ID]]=0,"",INDEX(Table5[[#All],[Pos]],MATCH(DraftResults[[#This Row],[Player ID]],Table5[[#All],[PID]],0)))</f>
        <v>SS</v>
      </c>
      <c r="J524" t="str">
        <f>IF(DraftResults[[#This Row],[Player ID]]=0,"",INDEX(Table5[[#All],[First]],MATCH(DraftResults[[#This Row],[Player ID]],Table5[[#All],[PID]],0)))</f>
        <v>Ik-jun</v>
      </c>
      <c r="K524" t="str">
        <f>IF(DraftResults[[#This Row],[Player ID]]=0,"",INDEX(Table5[[#All],[Last]],MATCH(DraftResults[[#This Row],[Player ID]],Table5[[#All],[PID]],0)))</f>
        <v>Ha</v>
      </c>
    </row>
    <row r="525" spans="1:11" x14ac:dyDescent="0.25">
      <c r="A525">
        <v>18</v>
      </c>
      <c r="B525">
        <v>0</v>
      </c>
      <c r="C525">
        <v>4</v>
      </c>
      <c r="D525" t="s">
        <v>628</v>
      </c>
      <c r="E525">
        <v>23</v>
      </c>
      <c r="F525">
        <v>18348</v>
      </c>
      <c r="G525" t="s">
        <v>316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522</v>
      </c>
      <c r="I525" t="str">
        <f>IF(DraftResults[[#This Row],[Player ID]]=0,"",INDEX(Table5[[#All],[Pos]],MATCH(DraftResults[[#This Row],[Player ID]],Table5[[#All],[PID]],0)))</f>
        <v>SP</v>
      </c>
      <c r="J525" t="str">
        <f>IF(DraftResults[[#This Row],[Player ID]]=0,"",INDEX(Table5[[#All],[First]],MATCH(DraftResults[[#This Row],[Player ID]],Table5[[#All],[PID]],0)))</f>
        <v>Luis</v>
      </c>
      <c r="K525" t="str">
        <f>IF(DraftResults[[#This Row],[Player ID]]=0,"",INDEX(Table5[[#All],[Last]],MATCH(DraftResults[[#This Row],[Player ID]],Table5[[#All],[PID]],0)))</f>
        <v>Ramírez</v>
      </c>
    </row>
    <row r="526" spans="1:11" x14ac:dyDescent="0.25">
      <c r="A526">
        <v>18</v>
      </c>
      <c r="B526">
        <v>0</v>
      </c>
      <c r="C526">
        <v>5</v>
      </c>
      <c r="D526" t="s">
        <v>462</v>
      </c>
      <c r="E526">
        <v>167</v>
      </c>
      <c r="F526">
        <v>20249</v>
      </c>
      <c r="G526" t="s">
        <v>316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523</v>
      </c>
      <c r="I526" t="str">
        <f>IF(DraftResults[[#This Row],[Player ID]]=0,"",INDEX(Table5[[#All],[Pos]],MATCH(DraftResults[[#This Row],[Player ID]],Table5[[#All],[PID]],0)))</f>
        <v>1B</v>
      </c>
      <c r="J526" t="str">
        <f>IF(DraftResults[[#This Row],[Player ID]]=0,"",INDEX(Table5[[#All],[First]],MATCH(DraftResults[[#This Row],[Player ID]],Table5[[#All],[PID]],0)))</f>
        <v>Harry</v>
      </c>
      <c r="K526" t="str">
        <f>IF(DraftResults[[#This Row],[Player ID]]=0,"",INDEX(Table5[[#All],[Last]],MATCH(DraftResults[[#This Row],[Player ID]],Table5[[#All],[PID]],0)))</f>
        <v>Penton</v>
      </c>
    </row>
    <row r="527" spans="1:11" x14ac:dyDescent="0.25">
      <c r="A527">
        <v>18</v>
      </c>
      <c r="B527">
        <v>0</v>
      </c>
      <c r="C527">
        <v>6</v>
      </c>
      <c r="D527" t="s">
        <v>543</v>
      </c>
      <c r="E527">
        <v>4</v>
      </c>
      <c r="F527">
        <v>20232</v>
      </c>
      <c r="G527" t="s">
        <v>316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524</v>
      </c>
      <c r="I527" t="str">
        <f>IF(DraftResults[[#This Row],[Player ID]]=0,"",INDEX(Table5[[#All],[Pos]],MATCH(DraftResults[[#This Row],[Player ID]],Table5[[#All],[PID]],0)))</f>
        <v>3B</v>
      </c>
      <c r="J527" t="str">
        <f>IF(DraftResults[[#This Row],[Player ID]]=0,"",INDEX(Table5[[#All],[First]],MATCH(DraftResults[[#This Row],[Player ID]],Table5[[#All],[PID]],0)))</f>
        <v>Scott</v>
      </c>
      <c r="K527" t="str">
        <f>IF(DraftResults[[#This Row],[Player ID]]=0,"",INDEX(Table5[[#All],[Last]],MATCH(DraftResults[[#This Row],[Player ID]],Table5[[#All],[PID]],0)))</f>
        <v>Graves</v>
      </c>
    </row>
    <row r="528" spans="1:11" x14ac:dyDescent="0.25">
      <c r="A528">
        <v>18</v>
      </c>
      <c r="B528">
        <v>0</v>
      </c>
      <c r="C528">
        <v>7</v>
      </c>
      <c r="D528" t="s">
        <v>626</v>
      </c>
      <c r="E528">
        <v>160</v>
      </c>
      <c r="F528">
        <v>18410</v>
      </c>
      <c r="G528" t="s">
        <v>316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525</v>
      </c>
      <c r="I528" t="str">
        <f>IF(DraftResults[[#This Row],[Player ID]]=0,"",INDEX(Table5[[#All],[Pos]],MATCH(DraftResults[[#This Row],[Player ID]],Table5[[#All],[PID]],0)))</f>
        <v>SP</v>
      </c>
      <c r="J528" t="str">
        <f>IF(DraftResults[[#This Row],[Player ID]]=0,"",INDEX(Table5[[#All],[First]],MATCH(DraftResults[[#This Row],[Player ID]],Table5[[#All],[PID]],0)))</f>
        <v>Paul</v>
      </c>
      <c r="K528" t="str">
        <f>IF(DraftResults[[#This Row],[Player ID]]=0,"",INDEX(Table5[[#All],[Last]],MATCH(DraftResults[[#This Row],[Player ID]],Table5[[#All],[PID]],0)))</f>
        <v>Mews</v>
      </c>
    </row>
    <row r="529" spans="1:11" x14ac:dyDescent="0.25">
      <c r="A529">
        <v>18</v>
      </c>
      <c r="B529">
        <v>0</v>
      </c>
      <c r="C529">
        <v>8</v>
      </c>
      <c r="D529" t="s">
        <v>250</v>
      </c>
      <c r="E529">
        <v>3</v>
      </c>
      <c r="F529">
        <v>13003</v>
      </c>
      <c r="G529" t="s">
        <v>316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526</v>
      </c>
      <c r="I529" t="str">
        <f>IF(DraftResults[[#This Row],[Player ID]]=0,"",INDEX(Table5[[#All],[Pos]],MATCH(DraftResults[[#This Row],[Player ID]],Table5[[#All],[PID]],0)))</f>
        <v>SP</v>
      </c>
      <c r="J529" t="str">
        <f>IF(DraftResults[[#This Row],[Player ID]]=0,"",INDEX(Table5[[#All],[First]],MATCH(DraftResults[[#This Row],[Player ID]],Table5[[#All],[PID]],0)))</f>
        <v>Jesús</v>
      </c>
      <c r="K529" t="str">
        <f>IF(DraftResults[[#This Row],[Player ID]]=0,"",INDEX(Table5[[#All],[Last]],MATCH(DraftResults[[#This Row],[Player ID]],Table5[[#All],[PID]],0)))</f>
        <v>Oliveira</v>
      </c>
    </row>
    <row r="530" spans="1:11" x14ac:dyDescent="0.25">
      <c r="A530">
        <v>18</v>
      </c>
      <c r="B530">
        <v>0</v>
      </c>
      <c r="C530">
        <v>9</v>
      </c>
      <c r="D530" t="s">
        <v>456</v>
      </c>
      <c r="E530">
        <v>164</v>
      </c>
      <c r="F530">
        <v>21067</v>
      </c>
      <c r="G530" t="s">
        <v>316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527</v>
      </c>
      <c r="I530" t="str">
        <f>IF(DraftResults[[#This Row],[Player ID]]=0,"",INDEX(Table5[[#All],[Pos]],MATCH(DraftResults[[#This Row],[Player ID]],Table5[[#All],[PID]],0)))</f>
        <v>3B</v>
      </c>
      <c r="J530" t="str">
        <f>IF(DraftResults[[#This Row],[Player ID]]=0,"",INDEX(Table5[[#All],[First]],MATCH(DraftResults[[#This Row],[Player ID]],Table5[[#All],[PID]],0)))</f>
        <v>Jesús</v>
      </c>
      <c r="K530" t="str">
        <f>IF(DraftResults[[#This Row],[Player ID]]=0,"",INDEX(Table5[[#All],[Last]],MATCH(DraftResults[[#This Row],[Player ID]],Table5[[#All],[PID]],0)))</f>
        <v>Torres</v>
      </c>
    </row>
    <row r="531" spans="1:11" x14ac:dyDescent="0.25">
      <c r="A531">
        <v>18</v>
      </c>
      <c r="B531">
        <v>0</v>
      </c>
      <c r="C531">
        <v>10</v>
      </c>
      <c r="D531" t="s">
        <v>461</v>
      </c>
      <c r="E531">
        <v>18</v>
      </c>
      <c r="F531">
        <v>20494</v>
      </c>
      <c r="G531" t="s">
        <v>316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528</v>
      </c>
      <c r="I531" t="str">
        <f>IF(DraftResults[[#This Row],[Player ID]]=0,"",INDEX(Table5[[#All],[Pos]],MATCH(DraftResults[[#This Row],[Player ID]],Table5[[#All],[PID]],0)))</f>
        <v>LF</v>
      </c>
      <c r="J531" t="str">
        <f>IF(DraftResults[[#This Row],[Player ID]]=0,"",INDEX(Table5[[#All],[First]],MATCH(DraftResults[[#This Row],[Player ID]],Table5[[#All],[PID]],0)))</f>
        <v>Guus</v>
      </c>
      <c r="K531" t="str">
        <f>IF(DraftResults[[#This Row],[Player ID]]=0,"",INDEX(Table5[[#All],[Last]],MATCH(DraftResults[[#This Row],[Player ID]],Table5[[#All],[PID]],0)))</f>
        <v>Wichers</v>
      </c>
    </row>
    <row r="532" spans="1:11" x14ac:dyDescent="0.25">
      <c r="A532">
        <v>18</v>
      </c>
      <c r="B532">
        <v>0</v>
      </c>
      <c r="C532">
        <v>11</v>
      </c>
      <c r="D532" t="s">
        <v>253</v>
      </c>
      <c r="E532">
        <v>15</v>
      </c>
      <c r="F532">
        <v>17624</v>
      </c>
      <c r="G532" t="s">
        <v>316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529</v>
      </c>
      <c r="I532" t="str">
        <f>IF(DraftResults[[#This Row],[Player ID]]=0,"",INDEX(Table5[[#All],[Pos]],MATCH(DraftResults[[#This Row],[Player ID]],Table5[[#All],[PID]],0)))</f>
        <v>RP</v>
      </c>
      <c r="J532" t="str">
        <f>IF(DraftResults[[#This Row],[Player ID]]=0,"",INDEX(Table5[[#All],[First]],MATCH(DraftResults[[#This Row],[Player ID]],Table5[[#All],[PID]],0)))</f>
        <v>Tim</v>
      </c>
      <c r="K532" t="str">
        <f>IF(DraftResults[[#This Row],[Player ID]]=0,"",INDEX(Table5[[#All],[Last]],MATCH(DraftResults[[#This Row],[Player ID]],Table5[[#All],[PID]],0)))</f>
        <v>Riley</v>
      </c>
    </row>
    <row r="533" spans="1:11" x14ac:dyDescent="0.25">
      <c r="A533">
        <v>18</v>
      </c>
      <c r="B533">
        <v>0</v>
      </c>
      <c r="C533">
        <v>12</v>
      </c>
      <c r="D533" t="s">
        <v>245</v>
      </c>
      <c r="E533">
        <v>21</v>
      </c>
      <c r="F533">
        <v>20237</v>
      </c>
      <c r="G533" t="s">
        <v>316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530</v>
      </c>
      <c r="I533" t="str">
        <f>IF(DraftResults[[#This Row],[Player ID]]=0,"",INDEX(Table5[[#All],[Pos]],MATCH(DraftResults[[#This Row],[Player ID]],Table5[[#All],[PID]],0)))</f>
        <v>SP</v>
      </c>
      <c r="J533" t="str">
        <f>IF(DraftResults[[#This Row],[Player ID]]=0,"",INDEX(Table5[[#All],[First]],MATCH(DraftResults[[#This Row],[Player ID]],Table5[[#All],[PID]],0)))</f>
        <v>Eddie</v>
      </c>
      <c r="K533" t="str">
        <f>IF(DraftResults[[#This Row],[Player ID]]=0,"",INDEX(Table5[[#All],[Last]],MATCH(DraftResults[[#This Row],[Player ID]],Table5[[#All],[PID]],0)))</f>
        <v>Russell</v>
      </c>
    </row>
    <row r="534" spans="1:11" x14ac:dyDescent="0.25">
      <c r="A534">
        <v>18</v>
      </c>
      <c r="B534">
        <v>0</v>
      </c>
      <c r="C534">
        <v>13</v>
      </c>
      <c r="D534" t="s">
        <v>243</v>
      </c>
      <c r="E534">
        <v>22</v>
      </c>
      <c r="F534">
        <v>17040</v>
      </c>
      <c r="G534" t="s">
        <v>316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531</v>
      </c>
      <c r="I534" t="str">
        <f>IF(DraftResults[[#This Row],[Player ID]]=0,"",INDEX(Table5[[#All],[Pos]],MATCH(DraftResults[[#This Row],[Player ID]],Table5[[#All],[PID]],0)))</f>
        <v>2B</v>
      </c>
      <c r="J534" t="str">
        <f>IF(DraftResults[[#This Row],[Player ID]]=0,"",INDEX(Table5[[#All],[First]],MATCH(DraftResults[[#This Row],[Player ID]],Table5[[#All],[PID]],0)))</f>
        <v>Declan</v>
      </c>
      <c r="K534" t="str">
        <f>IF(DraftResults[[#This Row],[Player ID]]=0,"",INDEX(Table5[[#All],[Last]],MATCH(DraftResults[[#This Row],[Player ID]],Table5[[#All],[PID]],0)))</f>
        <v>Fletcher</v>
      </c>
    </row>
    <row r="535" spans="1:11" x14ac:dyDescent="0.25">
      <c r="A535">
        <v>18</v>
      </c>
      <c r="B535">
        <v>0</v>
      </c>
      <c r="C535">
        <v>14</v>
      </c>
      <c r="D535" t="s">
        <v>251</v>
      </c>
      <c r="E535">
        <v>1</v>
      </c>
      <c r="F535">
        <v>18204</v>
      </c>
      <c r="G535" t="s">
        <v>316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532</v>
      </c>
      <c r="I535" t="str">
        <f>IF(DraftResults[[#This Row],[Player ID]]=0,"",INDEX(Table5[[#All],[Pos]],MATCH(DraftResults[[#This Row],[Player ID]],Table5[[#All],[PID]],0)))</f>
        <v>SP</v>
      </c>
      <c r="J535" t="str">
        <f>IF(DraftResults[[#This Row],[Player ID]]=0,"",INDEX(Table5[[#All],[First]],MATCH(DraftResults[[#This Row],[Player ID]],Table5[[#All],[PID]],0)))</f>
        <v>Gerald</v>
      </c>
      <c r="K535" t="str">
        <f>IF(DraftResults[[#This Row],[Player ID]]=0,"",INDEX(Table5[[#All],[Last]],MATCH(DraftResults[[#This Row],[Player ID]],Table5[[#All],[PID]],0)))</f>
        <v>Helwig</v>
      </c>
    </row>
    <row r="536" spans="1:11" x14ac:dyDescent="0.25">
      <c r="A536">
        <v>18</v>
      </c>
      <c r="B536">
        <v>0</v>
      </c>
      <c r="C536">
        <v>15</v>
      </c>
      <c r="D536" t="s">
        <v>249</v>
      </c>
      <c r="E536">
        <v>10</v>
      </c>
      <c r="F536">
        <v>18020</v>
      </c>
      <c r="G536" t="s">
        <v>316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533</v>
      </c>
      <c r="I536" t="str">
        <f>IF(DraftResults[[#This Row],[Player ID]]=0,"",INDEX(Table5[[#All],[Pos]],MATCH(DraftResults[[#This Row],[Player ID]],Table5[[#All],[PID]],0)))</f>
        <v>3B</v>
      </c>
      <c r="J536" t="str">
        <f>IF(DraftResults[[#This Row],[Player ID]]=0,"",INDEX(Table5[[#All],[First]],MATCH(DraftResults[[#This Row],[Player ID]],Table5[[#All],[PID]],0)))</f>
        <v>Dane</v>
      </c>
      <c r="K536" t="str">
        <f>IF(DraftResults[[#This Row],[Player ID]]=0,"",INDEX(Table5[[#All],[Last]],MATCH(DraftResults[[#This Row],[Player ID]],Table5[[#All],[PID]],0)))</f>
        <v>Porcell</v>
      </c>
    </row>
    <row r="537" spans="1:11" x14ac:dyDescent="0.25">
      <c r="A537">
        <v>18</v>
      </c>
      <c r="B537">
        <v>0</v>
      </c>
      <c r="C537">
        <v>16</v>
      </c>
      <c r="D537" t="s">
        <v>261</v>
      </c>
      <c r="E537">
        <v>12</v>
      </c>
      <c r="F537">
        <v>18453</v>
      </c>
      <c r="G537" t="s">
        <v>316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534</v>
      </c>
      <c r="I537" t="str">
        <f>IF(DraftResults[[#This Row],[Player ID]]=0,"",INDEX(Table5[[#All],[Pos]],MATCH(DraftResults[[#This Row],[Player ID]],Table5[[#All],[PID]],0)))</f>
        <v>1B</v>
      </c>
      <c r="J537" t="str">
        <f>IF(DraftResults[[#This Row],[Player ID]]=0,"",INDEX(Table5[[#All],[First]],MATCH(DraftResults[[#This Row],[Player ID]],Table5[[#All],[PID]],0)))</f>
        <v>Shinsaku</v>
      </c>
      <c r="K537" t="str">
        <f>IF(DraftResults[[#This Row],[Player ID]]=0,"",INDEX(Table5[[#All],[Last]],MATCH(DraftResults[[#This Row],[Player ID]],Table5[[#All],[PID]],0)))</f>
        <v>Chikafuji</v>
      </c>
    </row>
    <row r="538" spans="1:11" x14ac:dyDescent="0.25">
      <c r="A538">
        <v>18</v>
      </c>
      <c r="B538">
        <v>0</v>
      </c>
      <c r="C538">
        <v>17</v>
      </c>
      <c r="D538" t="s">
        <v>627</v>
      </c>
      <c r="E538">
        <v>13</v>
      </c>
      <c r="F538">
        <v>20196</v>
      </c>
      <c r="G538" t="s">
        <v>316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535</v>
      </c>
      <c r="I538" t="str">
        <f>IF(DraftResults[[#This Row],[Player ID]]=0,"",INDEX(Table5[[#All],[Pos]],MATCH(DraftResults[[#This Row],[Player ID]],Table5[[#All],[PID]],0)))</f>
        <v>C</v>
      </c>
      <c r="J538" t="str">
        <f>IF(DraftResults[[#This Row],[Player ID]]=0,"",INDEX(Table5[[#All],[First]],MATCH(DraftResults[[#This Row],[Player ID]],Table5[[#All],[PID]],0)))</f>
        <v>Allen</v>
      </c>
      <c r="K538" t="str">
        <f>IF(DraftResults[[#This Row],[Player ID]]=0,"",INDEX(Table5[[#All],[Last]],MATCH(DraftResults[[#This Row],[Player ID]],Table5[[#All],[PID]],0)))</f>
        <v>Gaynon</v>
      </c>
    </row>
    <row r="539" spans="1:11" x14ac:dyDescent="0.25">
      <c r="A539">
        <v>18</v>
      </c>
      <c r="B539">
        <v>0</v>
      </c>
      <c r="C539">
        <v>18</v>
      </c>
      <c r="D539" t="s">
        <v>254</v>
      </c>
      <c r="E539">
        <v>20</v>
      </c>
      <c r="F539">
        <v>18031</v>
      </c>
      <c r="G539" t="s">
        <v>316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536</v>
      </c>
      <c r="I539" t="str">
        <f>IF(DraftResults[[#This Row],[Player ID]]=0,"",INDEX(Table5[[#All],[Pos]],MATCH(DraftResults[[#This Row],[Player ID]],Table5[[#All],[PID]],0)))</f>
        <v>RP</v>
      </c>
      <c r="J539" t="str">
        <f>IF(DraftResults[[#This Row],[Player ID]]=0,"",INDEX(Table5[[#All],[First]],MATCH(DraftResults[[#This Row],[Player ID]],Table5[[#All],[PID]],0)))</f>
        <v>Dave</v>
      </c>
      <c r="K539" t="str">
        <f>IF(DraftResults[[#This Row],[Player ID]]=0,"",INDEX(Table5[[#All],[Last]],MATCH(DraftResults[[#This Row],[Player ID]],Table5[[#All],[PID]],0)))</f>
        <v>Gibson</v>
      </c>
    </row>
    <row r="540" spans="1:11" x14ac:dyDescent="0.25">
      <c r="A540">
        <v>18</v>
      </c>
      <c r="B540">
        <v>0</v>
      </c>
      <c r="C540">
        <v>19</v>
      </c>
      <c r="D540" t="s">
        <v>246</v>
      </c>
      <c r="E540">
        <v>17</v>
      </c>
      <c r="F540">
        <v>18365</v>
      </c>
      <c r="G540" t="s">
        <v>316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537</v>
      </c>
      <c r="I540" t="str">
        <f>IF(DraftResults[[#This Row],[Player ID]]=0,"",INDEX(Table5[[#All],[Pos]],MATCH(DraftResults[[#This Row],[Player ID]],Table5[[#All],[PID]],0)))</f>
        <v>SP</v>
      </c>
      <c r="J540" t="str">
        <f>IF(DraftResults[[#This Row],[Player ID]]=0,"",INDEX(Table5[[#All],[First]],MATCH(DraftResults[[#This Row],[Player ID]],Table5[[#All],[PID]],0)))</f>
        <v>Aidan</v>
      </c>
      <c r="K540" t="str">
        <f>IF(DraftResults[[#This Row],[Player ID]]=0,"",INDEX(Table5[[#All],[Last]],MATCH(DraftResults[[#This Row],[Player ID]],Table5[[#All],[PID]],0)))</f>
        <v>Mitchell</v>
      </c>
    </row>
    <row r="541" spans="1:11" x14ac:dyDescent="0.25">
      <c r="A541">
        <v>18</v>
      </c>
      <c r="B541">
        <v>0</v>
      </c>
      <c r="C541">
        <v>20</v>
      </c>
      <c r="D541" t="s">
        <v>455</v>
      </c>
      <c r="E541">
        <v>2</v>
      </c>
      <c r="F541">
        <v>18416</v>
      </c>
      <c r="G541" t="s">
        <v>316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538</v>
      </c>
      <c r="I541" t="str">
        <f>IF(DraftResults[[#This Row],[Player ID]]=0,"",INDEX(Table5[[#All],[Pos]],MATCH(DraftResults[[#This Row],[Player ID]],Table5[[#All],[PID]],0)))</f>
        <v>LF</v>
      </c>
      <c r="J541" t="str">
        <f>IF(DraftResults[[#This Row],[Player ID]]=0,"",INDEX(Table5[[#All],[First]],MATCH(DraftResults[[#This Row],[Player ID]],Table5[[#All],[PID]],0)))</f>
        <v>Cameron</v>
      </c>
      <c r="K541" t="str">
        <f>IF(DraftResults[[#This Row],[Player ID]]=0,"",INDEX(Table5[[#All],[Last]],MATCH(DraftResults[[#This Row],[Player ID]],Table5[[#All],[PID]],0)))</f>
        <v>Mcclung</v>
      </c>
    </row>
    <row r="542" spans="1:11" x14ac:dyDescent="0.25">
      <c r="A542">
        <v>18</v>
      </c>
      <c r="B542">
        <v>0</v>
      </c>
      <c r="C542">
        <v>21</v>
      </c>
      <c r="D542" t="s">
        <v>252</v>
      </c>
      <c r="E542">
        <v>14</v>
      </c>
      <c r="F542">
        <v>8665</v>
      </c>
      <c r="G542" t="s">
        <v>316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539</v>
      </c>
      <c r="I542" t="str">
        <f>IF(DraftResults[[#This Row],[Player ID]]=0,"",INDEX(Table5[[#All],[Pos]],MATCH(DraftResults[[#This Row],[Player ID]],Table5[[#All],[PID]],0)))</f>
        <v>SP</v>
      </c>
      <c r="J542" t="str">
        <f>IF(DraftResults[[#This Row],[Player ID]]=0,"",INDEX(Table5[[#All],[First]],MATCH(DraftResults[[#This Row],[Player ID]],Table5[[#All],[PID]],0)))</f>
        <v>Doug</v>
      </c>
      <c r="K542" t="str">
        <f>IF(DraftResults[[#This Row],[Player ID]]=0,"",INDEX(Table5[[#All],[Last]],MATCH(DraftResults[[#This Row],[Player ID]],Table5[[#All],[PID]],0)))</f>
        <v>Kurz</v>
      </c>
    </row>
    <row r="543" spans="1:11" x14ac:dyDescent="0.25">
      <c r="A543">
        <v>18</v>
      </c>
      <c r="B543">
        <v>0</v>
      </c>
      <c r="C543">
        <v>22</v>
      </c>
      <c r="D543" t="s">
        <v>257</v>
      </c>
      <c r="E543">
        <v>16</v>
      </c>
      <c r="F543">
        <v>20655</v>
      </c>
      <c r="G543" t="s">
        <v>316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540</v>
      </c>
      <c r="I543" t="str">
        <f>IF(DraftResults[[#This Row],[Player ID]]=0,"",INDEX(Table5[[#All],[Pos]],MATCH(DraftResults[[#This Row],[Player ID]],Table5[[#All],[PID]],0)))</f>
        <v>RP</v>
      </c>
      <c r="J543" t="str">
        <f>IF(DraftResults[[#This Row],[Player ID]]=0,"",INDEX(Table5[[#All],[First]],MATCH(DraftResults[[#This Row],[Player ID]],Table5[[#All],[PID]],0)))</f>
        <v>Min-yul</v>
      </c>
      <c r="K543" t="str">
        <f>IF(DraftResults[[#This Row],[Player ID]]=0,"",INDEX(Table5[[#All],[Last]],MATCH(DraftResults[[#This Row],[Player ID]],Table5[[#All],[PID]],0)))</f>
        <v>Pak</v>
      </c>
    </row>
    <row r="544" spans="1:11" x14ac:dyDescent="0.25">
      <c r="A544">
        <v>18</v>
      </c>
      <c r="B544">
        <v>0</v>
      </c>
      <c r="C544">
        <v>23</v>
      </c>
      <c r="D544" t="s">
        <v>460</v>
      </c>
      <c r="E544">
        <v>161</v>
      </c>
      <c r="F544">
        <v>17812</v>
      </c>
      <c r="G544" t="s">
        <v>316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541</v>
      </c>
      <c r="I544" t="str">
        <f>IF(DraftResults[[#This Row],[Player ID]]=0,"",INDEX(Table5[[#All],[Pos]],MATCH(DraftResults[[#This Row],[Player ID]],Table5[[#All],[PID]],0)))</f>
        <v>RP</v>
      </c>
      <c r="J544" t="str">
        <f>IF(DraftResults[[#This Row],[Player ID]]=0,"",INDEX(Table5[[#All],[First]],MATCH(DraftResults[[#This Row],[Player ID]],Table5[[#All],[PID]],0)))</f>
        <v>Júlio</v>
      </c>
      <c r="K544" t="str">
        <f>IF(DraftResults[[#This Row],[Player ID]]=0,"",INDEX(Table5[[#All],[Last]],MATCH(DraftResults[[#This Row],[Player ID]],Table5[[#All],[PID]],0)))</f>
        <v>Rodríguez</v>
      </c>
    </row>
    <row r="545" spans="1:11" x14ac:dyDescent="0.25">
      <c r="A545">
        <v>18</v>
      </c>
      <c r="B545">
        <v>0</v>
      </c>
      <c r="C545">
        <v>24</v>
      </c>
      <c r="D545" t="s">
        <v>242</v>
      </c>
      <c r="E545">
        <v>19</v>
      </c>
      <c r="F545">
        <v>20984</v>
      </c>
      <c r="G545" t="s">
        <v>316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542</v>
      </c>
      <c r="I545" t="str">
        <f>IF(DraftResults[[#This Row],[Player ID]]=0,"",INDEX(Table5[[#All],[Pos]],MATCH(DraftResults[[#This Row],[Player ID]],Table5[[#All],[PID]],0)))</f>
        <v>RP</v>
      </c>
      <c r="J545" t="str">
        <f>IF(DraftResults[[#This Row],[Player ID]]=0,"",INDEX(Table5[[#All],[First]],MATCH(DraftResults[[#This Row],[Player ID]],Table5[[#All],[PID]],0)))</f>
        <v>Norm</v>
      </c>
      <c r="K545" t="str">
        <f>IF(DraftResults[[#This Row],[Player ID]]=0,"",INDEX(Table5[[#All],[Last]],MATCH(DraftResults[[#This Row],[Player ID]],Table5[[#All],[PID]],0)))</f>
        <v>Kennedy</v>
      </c>
    </row>
    <row r="546" spans="1:11" x14ac:dyDescent="0.25">
      <c r="A546">
        <v>18</v>
      </c>
      <c r="B546">
        <v>0</v>
      </c>
      <c r="C546">
        <v>25</v>
      </c>
      <c r="D546" t="s">
        <v>457</v>
      </c>
      <c r="E546">
        <v>166</v>
      </c>
      <c r="F546">
        <v>21025</v>
      </c>
      <c r="G546" t="s">
        <v>316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543</v>
      </c>
      <c r="I546" t="str">
        <f>IF(DraftResults[[#This Row],[Player ID]]=0,"",INDEX(Table5[[#All],[Pos]],MATCH(DraftResults[[#This Row],[Player ID]],Table5[[#All],[PID]],0)))</f>
        <v>RP</v>
      </c>
      <c r="J546" t="str">
        <f>IF(DraftResults[[#This Row],[Player ID]]=0,"",INDEX(Table5[[#All],[First]],MATCH(DraftResults[[#This Row],[Player ID]],Table5[[#All],[PID]],0)))</f>
        <v>António</v>
      </c>
      <c r="K546" t="str">
        <f>IF(DraftResults[[#This Row],[Player ID]]=0,"",INDEX(Table5[[#All],[Last]],MATCH(DraftResults[[#This Row],[Player ID]],Table5[[#All],[PID]],0)))</f>
        <v>García</v>
      </c>
    </row>
    <row r="547" spans="1:11" x14ac:dyDescent="0.25">
      <c r="A547">
        <v>18</v>
      </c>
      <c r="B547">
        <v>0</v>
      </c>
      <c r="C547">
        <v>26</v>
      </c>
      <c r="D547" t="s">
        <v>242</v>
      </c>
      <c r="E547">
        <v>19</v>
      </c>
      <c r="F547">
        <v>20506</v>
      </c>
      <c r="G547" t="s">
        <v>316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544</v>
      </c>
      <c r="I547" t="str">
        <f>IF(DraftResults[[#This Row],[Player ID]]=0,"",INDEX(Table5[[#All],[Pos]],MATCH(DraftResults[[#This Row],[Player ID]],Table5[[#All],[PID]],0)))</f>
        <v>RP</v>
      </c>
      <c r="J547" t="str">
        <f>IF(DraftResults[[#This Row],[Player ID]]=0,"",INDEX(Table5[[#All],[First]],MATCH(DraftResults[[#This Row],[Player ID]],Table5[[#All],[PID]],0)))</f>
        <v>Raph</v>
      </c>
      <c r="K547" t="str">
        <f>IF(DraftResults[[#This Row],[Player ID]]=0,"",INDEX(Table5[[#All],[Last]],MATCH(DraftResults[[#This Row],[Player ID]],Table5[[#All],[PID]],0)))</f>
        <v>Ebalan</v>
      </c>
    </row>
    <row r="548" spans="1:11" x14ac:dyDescent="0.25">
      <c r="A548">
        <v>18</v>
      </c>
      <c r="B548">
        <v>0</v>
      </c>
      <c r="C548">
        <v>27</v>
      </c>
      <c r="D548" t="s">
        <v>458</v>
      </c>
      <c r="E548">
        <v>159</v>
      </c>
      <c r="F548">
        <v>18199</v>
      </c>
      <c r="G548" t="s">
        <v>316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545</v>
      </c>
      <c r="I548" t="str">
        <f>IF(DraftResults[[#This Row],[Player ID]]=0,"",INDEX(Table5[[#All],[Pos]],MATCH(DraftResults[[#This Row],[Player ID]],Table5[[#All],[PID]],0)))</f>
        <v>SP</v>
      </c>
      <c r="J548" t="str">
        <f>IF(DraftResults[[#This Row],[Player ID]]=0,"",INDEX(Table5[[#All],[First]],MATCH(DraftResults[[#This Row],[Player ID]],Table5[[#All],[PID]],0)))</f>
        <v>António</v>
      </c>
      <c r="K548" t="str">
        <f>IF(DraftResults[[#This Row],[Player ID]]=0,"",INDEX(Table5[[#All],[Last]],MATCH(DraftResults[[#This Row],[Player ID]],Table5[[#All],[PID]],0)))</f>
        <v>Ramos</v>
      </c>
    </row>
    <row r="549" spans="1:11" x14ac:dyDescent="0.25">
      <c r="A549">
        <v>18</v>
      </c>
      <c r="B549">
        <v>0</v>
      </c>
      <c r="C549">
        <v>28</v>
      </c>
      <c r="D549" t="s">
        <v>454</v>
      </c>
      <c r="E549">
        <v>162</v>
      </c>
      <c r="F549">
        <v>17862</v>
      </c>
      <c r="G549" t="s">
        <v>316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546</v>
      </c>
      <c r="I549" t="str">
        <f>IF(DraftResults[[#This Row],[Player ID]]=0,"",INDEX(Table5[[#All],[Pos]],MATCH(DraftResults[[#This Row],[Player ID]],Table5[[#All],[PID]],0)))</f>
        <v>LF</v>
      </c>
      <c r="J549" t="str">
        <f>IF(DraftResults[[#This Row],[Player ID]]=0,"",INDEX(Table5[[#All],[First]],MATCH(DraftResults[[#This Row],[Player ID]],Table5[[#All],[PID]],0)))</f>
        <v>Okakura</v>
      </c>
      <c r="K549" t="str">
        <f>IF(DraftResults[[#This Row],[Player ID]]=0,"",INDEX(Table5[[#All],[Last]],MATCH(DraftResults[[#This Row],[Player ID]],Table5[[#All],[PID]],0)))</f>
        <v>Hashimoto</v>
      </c>
    </row>
    <row r="550" spans="1:11" x14ac:dyDescent="0.25">
      <c r="A550">
        <v>18</v>
      </c>
      <c r="B550">
        <v>0</v>
      </c>
      <c r="C550">
        <v>29</v>
      </c>
      <c r="D550" t="s">
        <v>459</v>
      </c>
      <c r="E550">
        <v>163</v>
      </c>
      <c r="F550">
        <v>18121</v>
      </c>
      <c r="G550" t="s">
        <v>316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547</v>
      </c>
      <c r="I550" t="str">
        <f>IF(DraftResults[[#This Row],[Player ID]]=0,"",INDEX(Table5[[#All],[Pos]],MATCH(DraftResults[[#This Row],[Player ID]],Table5[[#All],[PID]],0)))</f>
        <v>CF</v>
      </c>
      <c r="J550" t="str">
        <f>IF(DraftResults[[#This Row],[Player ID]]=0,"",INDEX(Table5[[#All],[First]],MATCH(DraftResults[[#This Row],[Player ID]],Table5[[#All],[PID]],0)))</f>
        <v>Joseph</v>
      </c>
      <c r="K550" t="str">
        <f>IF(DraftResults[[#This Row],[Player ID]]=0,"",INDEX(Table5[[#All],[Last]],MATCH(DraftResults[[#This Row],[Player ID]],Table5[[#All],[PID]],0)))</f>
        <v>Godfrey</v>
      </c>
    </row>
    <row r="551" spans="1:11" x14ac:dyDescent="0.25">
      <c r="A551">
        <v>18</v>
      </c>
      <c r="B551">
        <v>0</v>
      </c>
      <c r="C551">
        <v>30</v>
      </c>
      <c r="D551" t="s">
        <v>629</v>
      </c>
      <c r="E551">
        <v>9</v>
      </c>
      <c r="F551">
        <v>17592</v>
      </c>
      <c r="G551" t="s">
        <v>316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548</v>
      </c>
      <c r="I551" t="str">
        <f>IF(DraftResults[[#This Row],[Player ID]]=0,"",INDEX(Table5[[#All],[Pos]],MATCH(DraftResults[[#This Row],[Player ID]],Table5[[#All],[PID]],0)))</f>
        <v>RP</v>
      </c>
      <c r="J551" t="str">
        <f>IF(DraftResults[[#This Row],[Player ID]]=0,"",INDEX(Table5[[#All],[First]],MATCH(DraftResults[[#This Row],[Player ID]],Table5[[#All],[PID]],0)))</f>
        <v>Paul</v>
      </c>
      <c r="K551" t="str">
        <f>IF(DraftResults[[#This Row],[Player ID]]=0,"",INDEX(Table5[[#All],[Last]],MATCH(DraftResults[[#This Row],[Player ID]],Table5[[#All],[PID]],0)))</f>
        <v>Dickey</v>
      </c>
    </row>
    <row r="552" spans="1:11" x14ac:dyDescent="0.25">
      <c r="A552">
        <v>19</v>
      </c>
      <c r="B552">
        <v>0</v>
      </c>
      <c r="C552">
        <v>1</v>
      </c>
      <c r="D552" t="s">
        <v>625</v>
      </c>
      <c r="E552">
        <v>24</v>
      </c>
      <c r="F552">
        <v>18151</v>
      </c>
      <c r="G552" t="s">
        <v>316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549</v>
      </c>
      <c r="I552" t="str">
        <f>IF(DraftResults[[#This Row],[Player ID]]=0,"",INDEX(Table5[[#All],[Pos]],MATCH(DraftResults[[#This Row],[Player ID]],Table5[[#All],[PID]],0)))</f>
        <v>2B</v>
      </c>
      <c r="J552" t="str">
        <f>IF(DraftResults[[#This Row],[Player ID]]=0,"",INDEX(Table5[[#All],[First]],MATCH(DraftResults[[#This Row],[Player ID]],Table5[[#All],[PID]],0)))</f>
        <v>Todd</v>
      </c>
      <c r="K552" t="str">
        <f>IF(DraftResults[[#This Row],[Player ID]]=0,"",INDEX(Table5[[#All],[Last]],MATCH(DraftResults[[#This Row],[Player ID]],Table5[[#All],[PID]],0)))</f>
        <v>Martin</v>
      </c>
    </row>
    <row r="553" spans="1:11" x14ac:dyDescent="0.25">
      <c r="A553">
        <v>19</v>
      </c>
      <c r="B553">
        <v>0</v>
      </c>
      <c r="C553">
        <v>2</v>
      </c>
      <c r="D553" t="s">
        <v>542</v>
      </c>
      <c r="E553">
        <v>7</v>
      </c>
      <c r="F553">
        <v>20799</v>
      </c>
      <c r="G553" t="s">
        <v>316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550</v>
      </c>
      <c r="I553" t="str">
        <f>IF(DraftResults[[#This Row],[Player ID]]=0,"",INDEX(Table5[[#All],[Pos]],MATCH(DraftResults[[#This Row],[Player ID]],Table5[[#All],[PID]],0)))</f>
        <v>3B</v>
      </c>
      <c r="J553" t="str">
        <f>IF(DraftResults[[#This Row],[Player ID]]=0,"",INDEX(Table5[[#All],[First]],MATCH(DraftResults[[#This Row],[Player ID]],Table5[[#All],[PID]],0)))</f>
        <v>Donald</v>
      </c>
      <c r="K553" t="str">
        <f>IF(DraftResults[[#This Row],[Player ID]]=0,"",INDEX(Table5[[#All],[Last]],MATCH(DraftResults[[#This Row],[Player ID]],Table5[[#All],[PID]],0)))</f>
        <v>Lara</v>
      </c>
    </row>
    <row r="554" spans="1:11" x14ac:dyDescent="0.25">
      <c r="A554">
        <v>19</v>
      </c>
      <c r="B554">
        <v>0</v>
      </c>
      <c r="C554">
        <v>3</v>
      </c>
      <c r="D554" t="s">
        <v>256</v>
      </c>
      <c r="E554">
        <v>8</v>
      </c>
      <c r="F554">
        <v>18106</v>
      </c>
      <c r="G554" t="s">
        <v>316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551</v>
      </c>
      <c r="I554" t="str">
        <f>IF(DraftResults[[#This Row],[Player ID]]=0,"",INDEX(Table5[[#All],[Pos]],MATCH(DraftResults[[#This Row],[Player ID]],Table5[[#All],[PID]],0)))</f>
        <v>1B</v>
      </c>
      <c r="J554" t="str">
        <f>IF(DraftResults[[#This Row],[Player ID]]=0,"",INDEX(Table5[[#All],[First]],MATCH(DraftResults[[#This Row],[Player ID]],Table5[[#All],[PID]],0)))</f>
        <v>Jack</v>
      </c>
      <c r="K554" t="str">
        <f>IF(DraftResults[[#This Row],[Player ID]]=0,"",INDEX(Table5[[#All],[Last]],MATCH(DraftResults[[#This Row],[Player ID]],Table5[[#All],[PID]],0)))</f>
        <v>Gates</v>
      </c>
    </row>
    <row r="555" spans="1:11" x14ac:dyDescent="0.25">
      <c r="A555">
        <v>19</v>
      </c>
      <c r="B555">
        <v>0</v>
      </c>
      <c r="C555">
        <v>4</v>
      </c>
      <c r="D555" t="s">
        <v>628</v>
      </c>
      <c r="E555">
        <v>23</v>
      </c>
      <c r="F555">
        <v>17979</v>
      </c>
      <c r="G555" t="s">
        <v>316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552</v>
      </c>
      <c r="I555" t="str">
        <f>IF(DraftResults[[#This Row],[Player ID]]=0,"",INDEX(Table5[[#All],[Pos]],MATCH(DraftResults[[#This Row],[Player ID]],Table5[[#All],[PID]],0)))</f>
        <v>SP</v>
      </c>
      <c r="J555" t="str">
        <f>IF(DraftResults[[#This Row],[Player ID]]=0,"",INDEX(Table5[[#All],[First]],MATCH(DraftResults[[#This Row],[Player ID]],Table5[[#All],[PID]],0)))</f>
        <v>Javier</v>
      </c>
      <c r="K555" t="str">
        <f>IF(DraftResults[[#This Row],[Player ID]]=0,"",INDEX(Table5[[#All],[Last]],MATCH(DraftResults[[#This Row],[Player ID]],Table5[[#All],[PID]],0)))</f>
        <v>Tovar</v>
      </c>
    </row>
    <row r="556" spans="1:11" x14ac:dyDescent="0.25">
      <c r="A556">
        <v>19</v>
      </c>
      <c r="B556">
        <v>0</v>
      </c>
      <c r="C556">
        <v>5</v>
      </c>
      <c r="D556" t="s">
        <v>462</v>
      </c>
      <c r="E556">
        <v>167</v>
      </c>
      <c r="F556">
        <v>20824</v>
      </c>
      <c r="G556" t="s">
        <v>316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553</v>
      </c>
      <c r="I556" t="str">
        <f>IF(DraftResults[[#This Row],[Player ID]]=0,"",INDEX(Table5[[#All],[Pos]],MATCH(DraftResults[[#This Row],[Player ID]],Table5[[#All],[PID]],0)))</f>
        <v>LF</v>
      </c>
      <c r="J556" t="str">
        <f>IF(DraftResults[[#This Row],[Player ID]]=0,"",INDEX(Table5[[#All],[First]],MATCH(DraftResults[[#This Row],[Player ID]],Table5[[#All],[PID]],0)))</f>
        <v>Ryan</v>
      </c>
      <c r="K556" t="str">
        <f>IF(DraftResults[[#This Row],[Player ID]]=0,"",INDEX(Table5[[#All],[Last]],MATCH(DraftResults[[#This Row],[Player ID]],Table5[[#All],[PID]],0)))</f>
        <v>Watts</v>
      </c>
    </row>
    <row r="557" spans="1:11" x14ac:dyDescent="0.25">
      <c r="A557">
        <v>19</v>
      </c>
      <c r="B557">
        <v>0</v>
      </c>
      <c r="C557">
        <v>6</v>
      </c>
      <c r="D557" t="s">
        <v>543</v>
      </c>
      <c r="E557">
        <v>4</v>
      </c>
      <c r="F557">
        <v>20548</v>
      </c>
      <c r="G557" t="s">
        <v>316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554</v>
      </c>
      <c r="I557" t="str">
        <f>IF(DraftResults[[#This Row],[Player ID]]=0,"",INDEX(Table5[[#All],[Pos]],MATCH(DraftResults[[#This Row],[Player ID]],Table5[[#All],[PID]],0)))</f>
        <v>LF</v>
      </c>
      <c r="J557" t="str">
        <f>IF(DraftResults[[#This Row],[Player ID]]=0,"",INDEX(Table5[[#All],[First]],MATCH(DraftResults[[#This Row],[Player ID]],Table5[[#All],[PID]],0)))</f>
        <v>Rodney</v>
      </c>
      <c r="K557" t="str">
        <f>IF(DraftResults[[#This Row],[Player ID]]=0,"",INDEX(Table5[[#All],[Last]],MATCH(DraftResults[[#This Row],[Player ID]],Table5[[#All],[PID]],0)))</f>
        <v>Voigt</v>
      </c>
    </row>
    <row r="558" spans="1:11" x14ac:dyDescent="0.25">
      <c r="A558">
        <v>19</v>
      </c>
      <c r="B558">
        <v>0</v>
      </c>
      <c r="C558">
        <v>7</v>
      </c>
      <c r="D558" t="s">
        <v>626</v>
      </c>
      <c r="E558">
        <v>160</v>
      </c>
      <c r="F558">
        <v>20446</v>
      </c>
      <c r="G558" t="s">
        <v>316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555</v>
      </c>
      <c r="I558" t="str">
        <f>IF(DraftResults[[#This Row],[Player ID]]=0,"",INDEX(Table5[[#All],[Pos]],MATCH(DraftResults[[#This Row],[Player ID]],Table5[[#All],[PID]],0)))</f>
        <v>RF</v>
      </c>
      <c r="J558" t="str">
        <f>IF(DraftResults[[#This Row],[Player ID]]=0,"",INDEX(Table5[[#All],[First]],MATCH(DraftResults[[#This Row],[Player ID]],Table5[[#All],[PID]],0)))</f>
        <v>Wei-hong</v>
      </c>
      <c r="K558" t="str">
        <f>IF(DraftResults[[#This Row],[Player ID]]=0,"",INDEX(Table5[[#All],[Last]],MATCH(DraftResults[[#This Row],[Player ID]],Table5[[#All],[PID]],0)))</f>
        <v>Tse</v>
      </c>
    </row>
    <row r="559" spans="1:11" x14ac:dyDescent="0.25">
      <c r="A559">
        <v>19</v>
      </c>
      <c r="B559">
        <v>0</v>
      </c>
      <c r="C559">
        <v>8</v>
      </c>
      <c r="D559" t="s">
        <v>250</v>
      </c>
      <c r="E559">
        <v>3</v>
      </c>
      <c r="F559">
        <v>5217</v>
      </c>
      <c r="G559" t="s">
        <v>316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556</v>
      </c>
      <c r="I559" t="str">
        <f>IF(DraftResults[[#This Row],[Player ID]]=0,"",INDEX(Table5[[#All],[Pos]],MATCH(DraftResults[[#This Row],[Player ID]],Table5[[#All],[PID]],0)))</f>
        <v>RP</v>
      </c>
      <c r="J559" t="str">
        <f>IF(DraftResults[[#This Row],[Player ID]]=0,"",INDEX(Table5[[#All],[First]],MATCH(DraftResults[[#This Row],[Player ID]],Table5[[#All],[PID]],0)))</f>
        <v>Ted</v>
      </c>
      <c r="K559" t="str">
        <f>IF(DraftResults[[#This Row],[Player ID]]=0,"",INDEX(Table5[[#All],[Last]],MATCH(DraftResults[[#This Row],[Player ID]],Table5[[#All],[PID]],0)))</f>
        <v>Lynch</v>
      </c>
    </row>
    <row r="560" spans="1:11" x14ac:dyDescent="0.25">
      <c r="A560">
        <v>19</v>
      </c>
      <c r="B560">
        <v>0</v>
      </c>
      <c r="C560">
        <v>9</v>
      </c>
      <c r="D560" t="s">
        <v>456</v>
      </c>
      <c r="E560">
        <v>164</v>
      </c>
      <c r="F560">
        <v>20619</v>
      </c>
      <c r="G560" t="s">
        <v>316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557</v>
      </c>
      <c r="I560" t="str">
        <f>IF(DraftResults[[#This Row],[Player ID]]=0,"",INDEX(Table5[[#All],[Pos]],MATCH(DraftResults[[#This Row],[Player ID]],Table5[[#All],[PID]],0)))</f>
        <v>RF</v>
      </c>
      <c r="J560" t="str">
        <f>IF(DraftResults[[#This Row],[Player ID]]=0,"",INDEX(Table5[[#All],[First]],MATCH(DraftResults[[#This Row],[Player ID]],Table5[[#All],[PID]],0)))</f>
        <v>Bang</v>
      </c>
      <c r="K560" t="str">
        <f>IF(DraftResults[[#This Row],[Player ID]]=0,"",INDEX(Table5[[#All],[Last]],MATCH(DraftResults[[#This Row],[Player ID]],Table5[[#All],[PID]],0)))</f>
        <v>Dong</v>
      </c>
    </row>
    <row r="561" spans="1:11" x14ac:dyDescent="0.25">
      <c r="A561">
        <v>19</v>
      </c>
      <c r="B561">
        <v>0</v>
      </c>
      <c r="C561">
        <v>10</v>
      </c>
      <c r="D561" t="s">
        <v>461</v>
      </c>
      <c r="E561">
        <v>18</v>
      </c>
      <c r="F561">
        <v>20184</v>
      </c>
      <c r="G561" t="s">
        <v>316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558</v>
      </c>
      <c r="I561" t="str">
        <f>IF(DraftResults[[#This Row],[Player ID]]=0,"",INDEX(Table5[[#All],[Pos]],MATCH(DraftResults[[#This Row],[Player ID]],Table5[[#All],[PID]],0)))</f>
        <v>SP</v>
      </c>
      <c r="J561" t="str">
        <f>IF(DraftResults[[#This Row],[Player ID]]=0,"",INDEX(Table5[[#All],[First]],MATCH(DraftResults[[#This Row],[Player ID]],Table5[[#All],[PID]],0)))</f>
        <v>Li</v>
      </c>
      <c r="K561" t="str">
        <f>IF(DraftResults[[#This Row],[Player ID]]=0,"",INDEX(Table5[[#All],[Last]],MATCH(DraftResults[[#This Row],[Player ID]],Table5[[#All],[PID]],0)))</f>
        <v>Chambers</v>
      </c>
    </row>
    <row r="562" spans="1:11" x14ac:dyDescent="0.25">
      <c r="A562">
        <v>19</v>
      </c>
      <c r="B562">
        <v>0</v>
      </c>
      <c r="C562">
        <v>11</v>
      </c>
      <c r="D562" t="s">
        <v>253</v>
      </c>
      <c r="E562">
        <v>15</v>
      </c>
      <c r="F562">
        <v>21053</v>
      </c>
      <c r="G562" t="s">
        <v>316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559</v>
      </c>
      <c r="I562" t="str">
        <f>IF(DraftResults[[#This Row],[Player ID]]=0,"",INDEX(Table5[[#All],[Pos]],MATCH(DraftResults[[#This Row],[Player ID]],Table5[[#All],[PID]],0)))</f>
        <v>SP</v>
      </c>
      <c r="J562" t="str">
        <f>IF(DraftResults[[#This Row],[Player ID]]=0,"",INDEX(Table5[[#All],[First]],MATCH(DraftResults[[#This Row],[Player ID]],Table5[[#All],[PID]],0)))</f>
        <v>Zane</v>
      </c>
      <c r="K562" t="str">
        <f>IF(DraftResults[[#This Row],[Player ID]]=0,"",INDEX(Table5[[#All],[Last]],MATCH(DraftResults[[#This Row],[Player ID]],Table5[[#All],[PID]],0)))</f>
        <v>Steele</v>
      </c>
    </row>
    <row r="563" spans="1:11" x14ac:dyDescent="0.25">
      <c r="A563">
        <v>19</v>
      </c>
      <c r="B563">
        <v>0</v>
      </c>
      <c r="C563">
        <v>12</v>
      </c>
      <c r="D563" t="s">
        <v>245</v>
      </c>
      <c r="E563">
        <v>21</v>
      </c>
      <c r="F563">
        <v>17580</v>
      </c>
      <c r="G563" t="s">
        <v>316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560</v>
      </c>
      <c r="I563" t="str">
        <f>IF(DraftResults[[#This Row],[Player ID]]=0,"",INDEX(Table5[[#All],[Pos]],MATCH(DraftResults[[#This Row],[Player ID]],Table5[[#All],[PID]],0)))</f>
        <v>LF</v>
      </c>
      <c r="J563" t="str">
        <f>IF(DraftResults[[#This Row],[Player ID]]=0,"",INDEX(Table5[[#All],[First]],MATCH(DraftResults[[#This Row],[Player ID]],Table5[[#All],[PID]],0)))</f>
        <v>Steve</v>
      </c>
      <c r="K563" t="str">
        <f>IF(DraftResults[[#This Row],[Player ID]]=0,"",INDEX(Table5[[#All],[Last]],MATCH(DraftResults[[#This Row],[Player ID]],Table5[[#All],[PID]],0)))</f>
        <v>Pryor</v>
      </c>
    </row>
    <row r="564" spans="1:11" x14ac:dyDescent="0.25">
      <c r="A564">
        <v>19</v>
      </c>
      <c r="B564">
        <v>0</v>
      </c>
      <c r="C564">
        <v>13</v>
      </c>
      <c r="D564" t="s">
        <v>252</v>
      </c>
      <c r="E564">
        <v>14</v>
      </c>
      <c r="F564">
        <v>17858</v>
      </c>
      <c r="G564" t="s">
        <v>316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561</v>
      </c>
      <c r="I564" t="str">
        <f>IF(DraftResults[[#This Row],[Player ID]]=0,"",INDEX(Table5[[#All],[Pos]],MATCH(DraftResults[[#This Row],[Player ID]],Table5[[#All],[PID]],0)))</f>
        <v>RP</v>
      </c>
      <c r="J564" t="str">
        <f>IF(DraftResults[[#This Row],[Player ID]]=0,"",INDEX(Table5[[#All],[First]],MATCH(DraftResults[[#This Row],[Player ID]],Table5[[#All],[PID]],0)))</f>
        <v>Nathan</v>
      </c>
      <c r="K564" t="str">
        <f>IF(DraftResults[[#This Row],[Player ID]]=0,"",INDEX(Table5[[#All],[Last]],MATCH(DraftResults[[#This Row],[Player ID]],Table5[[#All],[PID]],0)))</f>
        <v>MacRuer</v>
      </c>
    </row>
    <row r="565" spans="1:11" x14ac:dyDescent="0.25">
      <c r="A565">
        <v>19</v>
      </c>
      <c r="B565">
        <v>0</v>
      </c>
      <c r="C565">
        <v>14</v>
      </c>
      <c r="D565" t="s">
        <v>251</v>
      </c>
      <c r="E565">
        <v>1</v>
      </c>
      <c r="F565">
        <v>18369</v>
      </c>
      <c r="G565" t="s">
        <v>316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562</v>
      </c>
      <c r="I565" t="str">
        <f>IF(DraftResults[[#This Row],[Player ID]]=0,"",INDEX(Table5[[#All],[Pos]],MATCH(DraftResults[[#This Row],[Player ID]],Table5[[#All],[PID]],0)))</f>
        <v>SP</v>
      </c>
      <c r="J565" t="str">
        <f>IF(DraftResults[[#This Row],[Player ID]]=0,"",INDEX(Table5[[#All],[First]],MATCH(DraftResults[[#This Row],[Player ID]],Table5[[#All],[PID]],0)))</f>
        <v>Ludovico</v>
      </c>
      <c r="K565" t="str">
        <f>IF(DraftResults[[#This Row],[Player ID]]=0,"",INDEX(Table5[[#All],[Last]],MATCH(DraftResults[[#This Row],[Player ID]],Table5[[#All],[PID]],0)))</f>
        <v>Lugo</v>
      </c>
    </row>
    <row r="566" spans="1:11" x14ac:dyDescent="0.25">
      <c r="A566">
        <v>19</v>
      </c>
      <c r="B566">
        <v>0</v>
      </c>
      <c r="C566">
        <v>15</v>
      </c>
      <c r="D566" t="s">
        <v>249</v>
      </c>
      <c r="E566">
        <v>10</v>
      </c>
      <c r="F566">
        <v>21077</v>
      </c>
      <c r="G566" t="s">
        <v>316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563</v>
      </c>
      <c r="I566" t="str">
        <f>IF(DraftResults[[#This Row],[Player ID]]=0,"",INDEX(Table5[[#All],[Pos]],MATCH(DraftResults[[#This Row],[Player ID]],Table5[[#All],[PID]],0)))</f>
        <v>SP</v>
      </c>
      <c r="J566" t="str">
        <f>IF(DraftResults[[#This Row],[Player ID]]=0,"",INDEX(Table5[[#All],[First]],MATCH(DraftResults[[#This Row],[Player ID]],Table5[[#All],[PID]],0)))</f>
        <v>Quinn</v>
      </c>
      <c r="K566" t="str">
        <f>IF(DraftResults[[#This Row],[Player ID]]=0,"",INDEX(Table5[[#All],[Last]],MATCH(DraftResults[[#This Row],[Player ID]],Table5[[#All],[PID]],0)))</f>
        <v>Tomlinson</v>
      </c>
    </row>
    <row r="567" spans="1:11" x14ac:dyDescent="0.25">
      <c r="A567">
        <v>19</v>
      </c>
      <c r="B567">
        <v>0</v>
      </c>
      <c r="C567">
        <v>16</v>
      </c>
      <c r="D567" t="s">
        <v>261</v>
      </c>
      <c r="E567">
        <v>12</v>
      </c>
      <c r="F567">
        <v>20503</v>
      </c>
      <c r="G567" t="s">
        <v>316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564</v>
      </c>
      <c r="I567" t="str">
        <f>IF(DraftResults[[#This Row],[Player ID]]=0,"",INDEX(Table5[[#All],[Pos]],MATCH(DraftResults[[#This Row],[Player ID]],Table5[[#All],[PID]],0)))</f>
        <v>SP</v>
      </c>
      <c r="J567" t="str">
        <f>IF(DraftResults[[#This Row],[Player ID]]=0,"",INDEX(Table5[[#All],[First]],MATCH(DraftResults[[#This Row],[Player ID]],Table5[[#All],[PID]],0)))</f>
        <v>Malibok</v>
      </c>
      <c r="K567" t="str">
        <f>IF(DraftResults[[#This Row],[Player ID]]=0,"",INDEX(Table5[[#All],[Last]],MATCH(DraftResults[[#This Row],[Player ID]],Table5[[#All],[PID]],0)))</f>
        <v>Belgica</v>
      </c>
    </row>
    <row r="568" spans="1:11" x14ac:dyDescent="0.25">
      <c r="A568">
        <v>19</v>
      </c>
      <c r="B568">
        <v>0</v>
      </c>
      <c r="C568">
        <v>17</v>
      </c>
      <c r="D568" t="s">
        <v>627</v>
      </c>
      <c r="E568">
        <v>13</v>
      </c>
      <c r="F568">
        <v>17978</v>
      </c>
      <c r="G568" t="s">
        <v>316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565</v>
      </c>
      <c r="I568" t="str">
        <f>IF(DraftResults[[#This Row],[Player ID]]=0,"",INDEX(Table5[[#All],[Pos]],MATCH(DraftResults[[#This Row],[Player ID]],Table5[[#All],[PID]],0)))</f>
        <v>SS</v>
      </c>
      <c r="J568" t="str">
        <f>IF(DraftResults[[#This Row],[Player ID]]=0,"",INDEX(Table5[[#All],[First]],MATCH(DraftResults[[#This Row],[Player ID]],Table5[[#All],[PID]],0)))</f>
        <v>Andrés</v>
      </c>
      <c r="K568" t="str">
        <f>IF(DraftResults[[#This Row],[Player ID]]=0,"",INDEX(Table5[[#All],[Last]],MATCH(DraftResults[[#This Row],[Player ID]],Table5[[#All],[PID]],0)))</f>
        <v>Díaz</v>
      </c>
    </row>
    <row r="569" spans="1:11" x14ac:dyDescent="0.25">
      <c r="A569">
        <v>19</v>
      </c>
      <c r="B569">
        <v>0</v>
      </c>
      <c r="C569">
        <v>18</v>
      </c>
      <c r="D569" t="s">
        <v>254</v>
      </c>
      <c r="E569">
        <v>20</v>
      </c>
      <c r="F569">
        <v>17584</v>
      </c>
      <c r="G569" t="s">
        <v>316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566</v>
      </c>
      <c r="I569" t="str">
        <f>IF(DraftResults[[#This Row],[Player ID]]=0,"",INDEX(Table5[[#All],[Pos]],MATCH(DraftResults[[#This Row],[Player ID]],Table5[[#All],[PID]],0)))</f>
        <v>LF</v>
      </c>
      <c r="J569" t="str">
        <f>IF(DraftResults[[#This Row],[Player ID]]=0,"",INDEX(Table5[[#All],[First]],MATCH(DraftResults[[#This Row],[Player ID]],Table5[[#All],[PID]],0)))</f>
        <v>Dan</v>
      </c>
      <c r="K569" t="str">
        <f>IF(DraftResults[[#This Row],[Player ID]]=0,"",INDEX(Table5[[#All],[Last]],MATCH(DraftResults[[#This Row],[Player ID]],Table5[[#All],[PID]],0)))</f>
        <v>Simmons</v>
      </c>
    </row>
    <row r="570" spans="1:11" x14ac:dyDescent="0.25">
      <c r="A570">
        <v>19</v>
      </c>
      <c r="B570">
        <v>0</v>
      </c>
      <c r="C570">
        <v>19</v>
      </c>
      <c r="D570" t="s">
        <v>246</v>
      </c>
      <c r="E570">
        <v>17</v>
      </c>
      <c r="F570">
        <v>20815</v>
      </c>
      <c r="G570" t="s">
        <v>316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567</v>
      </c>
      <c r="I570" t="str">
        <f>IF(DraftResults[[#This Row],[Player ID]]=0,"",INDEX(Table5[[#All],[Pos]],MATCH(DraftResults[[#This Row],[Player ID]],Table5[[#All],[PID]],0)))</f>
        <v>1B</v>
      </c>
      <c r="J570" t="str">
        <f>IF(DraftResults[[#This Row],[Player ID]]=0,"",INDEX(Table5[[#All],[First]],MATCH(DraftResults[[#This Row],[Player ID]],Table5[[#All],[PID]],0)))</f>
        <v>Carlos</v>
      </c>
      <c r="K570" t="str">
        <f>IF(DraftResults[[#This Row],[Player ID]]=0,"",INDEX(Table5[[#All],[Last]],MATCH(DraftResults[[#This Row],[Player ID]],Table5[[#All],[PID]],0)))</f>
        <v>Ramírez</v>
      </c>
    </row>
    <row r="571" spans="1:11" x14ac:dyDescent="0.25">
      <c r="A571">
        <v>19</v>
      </c>
      <c r="B571">
        <v>0</v>
      </c>
      <c r="C571">
        <v>20</v>
      </c>
      <c r="D571" t="s">
        <v>455</v>
      </c>
      <c r="E571">
        <v>2</v>
      </c>
      <c r="F571">
        <v>12202</v>
      </c>
      <c r="G571" t="s">
        <v>316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568</v>
      </c>
      <c r="I571" t="str">
        <f>IF(DraftResults[[#This Row],[Player ID]]=0,"",INDEX(Table5[[#All],[Pos]],MATCH(DraftResults[[#This Row],[Player ID]],Table5[[#All],[PID]],0)))</f>
        <v>SP</v>
      </c>
      <c r="J571" t="str">
        <f>IF(DraftResults[[#This Row],[Player ID]]=0,"",INDEX(Table5[[#All],[First]],MATCH(DraftResults[[#This Row],[Player ID]],Table5[[#All],[PID]],0)))</f>
        <v>Ryan</v>
      </c>
      <c r="K571" t="str">
        <f>IF(DraftResults[[#This Row],[Player ID]]=0,"",INDEX(Table5[[#All],[Last]],MATCH(DraftResults[[#This Row],[Player ID]],Table5[[#All],[PID]],0)))</f>
        <v>Cook</v>
      </c>
    </row>
    <row r="572" spans="1:11" x14ac:dyDescent="0.25">
      <c r="A572">
        <v>19</v>
      </c>
      <c r="B572">
        <v>0</v>
      </c>
      <c r="C572">
        <v>21</v>
      </c>
      <c r="D572" t="s">
        <v>243</v>
      </c>
      <c r="E572">
        <v>22</v>
      </c>
      <c r="F572">
        <v>20858</v>
      </c>
      <c r="G572" t="s">
        <v>316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569</v>
      </c>
      <c r="I572" t="str">
        <f>IF(DraftResults[[#This Row],[Player ID]]=0,"",INDEX(Table5[[#All],[Pos]],MATCH(DraftResults[[#This Row],[Player ID]],Table5[[#All],[PID]],0)))</f>
        <v>2B</v>
      </c>
      <c r="J572" t="str">
        <f>IF(DraftResults[[#This Row],[Player ID]]=0,"",INDEX(Table5[[#All],[First]],MATCH(DraftResults[[#This Row],[Player ID]],Table5[[#All],[PID]],0)))</f>
        <v>William</v>
      </c>
      <c r="K572" t="str">
        <f>IF(DraftResults[[#This Row],[Player ID]]=0,"",INDEX(Table5[[#All],[Last]],MATCH(DraftResults[[#This Row],[Player ID]],Table5[[#All],[PID]],0)))</f>
        <v>McElyea</v>
      </c>
    </row>
    <row r="573" spans="1:11" x14ac:dyDescent="0.25">
      <c r="A573">
        <v>19</v>
      </c>
      <c r="B573">
        <v>0</v>
      </c>
      <c r="C573">
        <v>22</v>
      </c>
      <c r="D573" t="s">
        <v>257</v>
      </c>
      <c r="E573">
        <v>16</v>
      </c>
      <c r="F573">
        <v>13020</v>
      </c>
      <c r="G573" t="s">
        <v>316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570</v>
      </c>
      <c r="I573" t="str">
        <f>IF(DraftResults[[#This Row],[Player ID]]=0,"",INDEX(Table5[[#All],[Pos]],MATCH(DraftResults[[#This Row],[Player ID]],Table5[[#All],[PID]],0)))</f>
        <v>SP</v>
      </c>
      <c r="J573" t="str">
        <f>IF(DraftResults[[#This Row],[Player ID]]=0,"",INDEX(Table5[[#All],[First]],MATCH(DraftResults[[#This Row],[Player ID]],Table5[[#All],[PID]],0)))</f>
        <v>Ray</v>
      </c>
      <c r="K573" t="str">
        <f>IF(DraftResults[[#This Row],[Player ID]]=0,"",INDEX(Table5[[#All],[Last]],MATCH(DraftResults[[#This Row],[Player ID]],Table5[[#All],[PID]],0)))</f>
        <v>Pérez</v>
      </c>
    </row>
    <row r="574" spans="1:11" x14ac:dyDescent="0.25">
      <c r="A574">
        <v>19</v>
      </c>
      <c r="B574">
        <v>0</v>
      </c>
      <c r="C574">
        <v>23</v>
      </c>
      <c r="D574" t="s">
        <v>460</v>
      </c>
      <c r="E574">
        <v>161</v>
      </c>
      <c r="F574">
        <v>20899</v>
      </c>
      <c r="G574" t="s">
        <v>316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571</v>
      </c>
      <c r="I574" t="str">
        <f>IF(DraftResults[[#This Row],[Player ID]]=0,"",INDEX(Table5[[#All],[Pos]],MATCH(DraftResults[[#This Row],[Player ID]],Table5[[#All],[PID]],0)))</f>
        <v>LF</v>
      </c>
      <c r="J574" t="str">
        <f>IF(DraftResults[[#This Row],[Player ID]]=0,"",INDEX(Table5[[#All],[First]],MATCH(DraftResults[[#This Row],[Player ID]],Table5[[#All],[PID]],0)))</f>
        <v>Brian</v>
      </c>
      <c r="K574" t="str">
        <f>IF(DraftResults[[#This Row],[Player ID]]=0,"",INDEX(Table5[[#All],[Last]],MATCH(DraftResults[[#This Row],[Player ID]],Table5[[#All],[PID]],0)))</f>
        <v>Burlingame</v>
      </c>
    </row>
    <row r="575" spans="1:11" x14ac:dyDescent="0.25">
      <c r="A575">
        <v>19</v>
      </c>
      <c r="B575">
        <v>0</v>
      </c>
      <c r="C575">
        <v>24</v>
      </c>
      <c r="D575" t="s">
        <v>242</v>
      </c>
      <c r="E575">
        <v>19</v>
      </c>
      <c r="F575">
        <v>18083</v>
      </c>
      <c r="G575" t="s">
        <v>316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572</v>
      </c>
      <c r="I575" t="str">
        <f>IF(DraftResults[[#This Row],[Player ID]]=0,"",INDEX(Table5[[#All],[Pos]],MATCH(DraftResults[[#This Row],[Player ID]],Table5[[#All],[PID]],0)))</f>
        <v>RF</v>
      </c>
      <c r="J575" t="str">
        <f>IF(DraftResults[[#This Row],[Player ID]]=0,"",INDEX(Table5[[#All],[First]],MATCH(DraftResults[[#This Row],[Player ID]],Table5[[#All],[PID]],0)))</f>
        <v>Valentín</v>
      </c>
      <c r="K575" t="str">
        <f>IF(DraftResults[[#This Row],[Player ID]]=0,"",INDEX(Table5[[#All],[Last]],MATCH(DraftResults[[#This Row],[Player ID]],Table5[[#All],[PID]],0)))</f>
        <v>Silva</v>
      </c>
    </row>
    <row r="576" spans="1:11" x14ac:dyDescent="0.25">
      <c r="A576">
        <v>19</v>
      </c>
      <c r="B576">
        <v>0</v>
      </c>
      <c r="C576">
        <v>25</v>
      </c>
      <c r="D576" t="s">
        <v>457</v>
      </c>
      <c r="E576">
        <v>166</v>
      </c>
      <c r="F576">
        <v>14426</v>
      </c>
      <c r="G576" t="s">
        <v>316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573</v>
      </c>
      <c r="I576" t="str">
        <f>IF(DraftResults[[#This Row],[Player ID]]=0,"",INDEX(Table5[[#All],[Pos]],MATCH(DraftResults[[#This Row],[Player ID]],Table5[[#All],[PID]],0)))</f>
        <v>1B</v>
      </c>
      <c r="J576" t="str">
        <f>IF(DraftResults[[#This Row],[Player ID]]=0,"",INDEX(Table5[[#All],[First]],MATCH(DraftResults[[#This Row],[Player ID]],Table5[[#All],[PID]],0)))</f>
        <v>Shigekazu</v>
      </c>
      <c r="K576" t="str">
        <f>IF(DraftResults[[#This Row],[Player ID]]=0,"",INDEX(Table5[[#All],[Last]],MATCH(DraftResults[[#This Row],[Player ID]],Table5[[#All],[PID]],0)))</f>
        <v>Yamaguchi</v>
      </c>
    </row>
    <row r="577" spans="1:11" x14ac:dyDescent="0.25">
      <c r="A577">
        <v>19</v>
      </c>
      <c r="B577">
        <v>0</v>
      </c>
      <c r="C577">
        <v>26</v>
      </c>
      <c r="D577" t="s">
        <v>242</v>
      </c>
      <c r="E577">
        <v>19</v>
      </c>
      <c r="F577">
        <v>17762</v>
      </c>
      <c r="G577" t="s">
        <v>316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574</v>
      </c>
      <c r="I577" t="str">
        <f>IF(DraftResults[[#This Row],[Player ID]]=0,"",INDEX(Table5[[#All],[Pos]],MATCH(DraftResults[[#This Row],[Player ID]],Table5[[#All],[PID]],0)))</f>
        <v>CL</v>
      </c>
      <c r="J577" t="str">
        <f>IF(DraftResults[[#This Row],[Player ID]]=0,"",INDEX(Table5[[#All],[First]],MATCH(DraftResults[[#This Row],[Player ID]],Table5[[#All],[PID]],0)))</f>
        <v>Ricardo</v>
      </c>
      <c r="K577" t="str">
        <f>IF(DraftResults[[#This Row],[Player ID]]=0,"",INDEX(Table5[[#All],[Last]],MATCH(DraftResults[[#This Row],[Player ID]],Table5[[#All],[PID]],0)))</f>
        <v>Vagas</v>
      </c>
    </row>
    <row r="578" spans="1:11" x14ac:dyDescent="0.25">
      <c r="A578">
        <v>19</v>
      </c>
      <c r="B578">
        <v>0</v>
      </c>
      <c r="C578">
        <v>27</v>
      </c>
      <c r="D578" t="s">
        <v>458</v>
      </c>
      <c r="E578">
        <v>159</v>
      </c>
      <c r="F578">
        <v>21000</v>
      </c>
      <c r="G578" t="s">
        <v>316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575</v>
      </c>
      <c r="I578" t="str">
        <f>IF(DraftResults[[#This Row],[Player ID]]=0,"",INDEX(Table5[[#All],[Pos]],MATCH(DraftResults[[#This Row],[Player ID]],Table5[[#All],[PID]],0)))</f>
        <v>SP</v>
      </c>
      <c r="J578" t="str">
        <f>IF(DraftResults[[#This Row],[Player ID]]=0,"",INDEX(Table5[[#All],[First]],MATCH(DraftResults[[#This Row],[Player ID]],Table5[[#All],[PID]],0)))</f>
        <v>Wesley</v>
      </c>
      <c r="K578" t="str">
        <f>IF(DraftResults[[#This Row],[Player ID]]=0,"",INDEX(Table5[[#All],[Last]],MATCH(DraftResults[[#This Row],[Player ID]],Table5[[#All],[PID]],0)))</f>
        <v>MacKinley</v>
      </c>
    </row>
    <row r="579" spans="1:11" x14ac:dyDescent="0.25">
      <c r="A579">
        <v>19</v>
      </c>
      <c r="B579">
        <v>0</v>
      </c>
      <c r="C579">
        <v>28</v>
      </c>
      <c r="D579" t="s">
        <v>454</v>
      </c>
      <c r="E579">
        <v>162</v>
      </c>
      <c r="F579">
        <v>18137</v>
      </c>
      <c r="G579" t="s">
        <v>316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576</v>
      </c>
      <c r="I579" t="str">
        <f>IF(DraftResults[[#This Row],[Player ID]]=0,"",INDEX(Table5[[#All],[Pos]],MATCH(DraftResults[[#This Row],[Player ID]],Table5[[#All],[PID]],0)))</f>
        <v>CF</v>
      </c>
      <c r="J579" t="str">
        <f>IF(DraftResults[[#This Row],[Player ID]]=0,"",INDEX(Table5[[#All],[First]],MATCH(DraftResults[[#This Row],[Player ID]],Table5[[#All],[PID]],0)))</f>
        <v>Cy</v>
      </c>
      <c r="K579" t="str">
        <f>IF(DraftResults[[#This Row],[Player ID]]=0,"",INDEX(Table5[[#All],[Last]],MATCH(DraftResults[[#This Row],[Player ID]],Table5[[#All],[PID]],0)))</f>
        <v>Turner</v>
      </c>
    </row>
    <row r="580" spans="1:11" x14ac:dyDescent="0.25">
      <c r="A580">
        <v>19</v>
      </c>
      <c r="B580">
        <v>0</v>
      </c>
      <c r="C580">
        <v>29</v>
      </c>
      <c r="D580" t="s">
        <v>459</v>
      </c>
      <c r="E580">
        <v>163</v>
      </c>
      <c r="F580">
        <v>17768</v>
      </c>
      <c r="G580" t="s">
        <v>316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577</v>
      </c>
      <c r="I580" t="str">
        <f>IF(DraftResults[[#This Row],[Player ID]]=0,"",INDEX(Table5[[#All],[Pos]],MATCH(DraftResults[[#This Row],[Player ID]],Table5[[#All],[PID]],0)))</f>
        <v>SS</v>
      </c>
      <c r="J580" t="str">
        <f>IF(DraftResults[[#This Row],[Player ID]]=0,"",INDEX(Table5[[#All],[First]],MATCH(DraftResults[[#This Row],[Player ID]],Table5[[#All],[PID]],0)))</f>
        <v>Evan</v>
      </c>
      <c r="K580" t="str">
        <f>IF(DraftResults[[#This Row],[Player ID]]=0,"",INDEX(Table5[[#All],[Last]],MATCH(DraftResults[[#This Row],[Player ID]],Table5[[#All],[PID]],0)))</f>
        <v>Snelleman</v>
      </c>
    </row>
    <row r="581" spans="1:11" x14ac:dyDescent="0.25">
      <c r="A581">
        <v>19</v>
      </c>
      <c r="B581">
        <v>0</v>
      </c>
      <c r="C581">
        <v>30</v>
      </c>
      <c r="D581" t="s">
        <v>629</v>
      </c>
      <c r="E581">
        <v>9</v>
      </c>
      <c r="F581">
        <v>17803</v>
      </c>
      <c r="G581" t="s">
        <v>316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578</v>
      </c>
      <c r="I581" t="str">
        <f>IF(DraftResults[[#This Row],[Player ID]]=0,"",INDEX(Table5[[#All],[Pos]],MATCH(DraftResults[[#This Row],[Player ID]],Table5[[#All],[PID]],0)))</f>
        <v>CF</v>
      </c>
      <c r="J581" t="str">
        <f>IF(DraftResults[[#This Row],[Player ID]]=0,"",INDEX(Table5[[#All],[First]],MATCH(DraftResults[[#This Row],[Player ID]],Table5[[#All],[PID]],0)))</f>
        <v>Xander</v>
      </c>
      <c r="K581" t="str">
        <f>IF(DraftResults[[#This Row],[Player ID]]=0,"",INDEX(Table5[[#All],[Last]],MATCH(DraftResults[[#This Row],[Player ID]],Table5[[#All],[PID]],0)))</f>
        <v>Toxopeus</v>
      </c>
    </row>
    <row r="582" spans="1:11" x14ac:dyDescent="0.25">
      <c r="A582">
        <v>20</v>
      </c>
      <c r="B582">
        <v>0</v>
      </c>
      <c r="C582">
        <v>1</v>
      </c>
      <c r="D582" t="s">
        <v>625</v>
      </c>
      <c r="E582">
        <v>24</v>
      </c>
      <c r="F582">
        <v>20391</v>
      </c>
      <c r="G582" t="s">
        <v>316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579</v>
      </c>
      <c r="I582" t="str">
        <f>IF(DraftResults[[#This Row],[Player ID]]=0,"",INDEX(Table5[[#All],[Pos]],MATCH(DraftResults[[#This Row],[Player ID]],Table5[[#All],[PID]],0)))</f>
        <v>2B</v>
      </c>
      <c r="J582" t="str">
        <f>IF(DraftResults[[#This Row],[Player ID]]=0,"",INDEX(Table5[[#All],[First]],MATCH(DraftResults[[#This Row],[Player ID]],Table5[[#All],[PID]],0)))</f>
        <v>Donny</v>
      </c>
      <c r="K582" t="str">
        <f>IF(DraftResults[[#This Row],[Player ID]]=0,"",INDEX(Table5[[#All],[Last]],MATCH(DraftResults[[#This Row],[Player ID]],Table5[[#All],[PID]],0)))</f>
        <v>McKillilea</v>
      </c>
    </row>
    <row r="583" spans="1:11" x14ac:dyDescent="0.25">
      <c r="A583">
        <v>20</v>
      </c>
      <c r="B583">
        <v>0</v>
      </c>
      <c r="C583">
        <v>2</v>
      </c>
      <c r="D583" t="s">
        <v>542</v>
      </c>
      <c r="E583">
        <v>7</v>
      </c>
      <c r="F583">
        <v>21091</v>
      </c>
      <c r="G583" t="s">
        <v>316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580</v>
      </c>
      <c r="I583" t="str">
        <f>IF(DraftResults[[#This Row],[Player ID]]=0,"",INDEX(Table5[[#All],[Pos]],MATCH(DraftResults[[#This Row],[Player ID]],Table5[[#All],[PID]],0)))</f>
        <v>2B</v>
      </c>
      <c r="J583" t="str">
        <f>IF(DraftResults[[#This Row],[Player ID]]=0,"",INDEX(Table5[[#All],[First]],MATCH(DraftResults[[#This Row],[Player ID]],Table5[[#All],[PID]],0)))</f>
        <v>Scott</v>
      </c>
      <c r="K583" t="str">
        <f>IF(DraftResults[[#This Row],[Player ID]]=0,"",INDEX(Table5[[#All],[Last]],MATCH(DraftResults[[#This Row],[Player ID]],Table5[[#All],[PID]],0)))</f>
        <v>Rodgers</v>
      </c>
    </row>
    <row r="584" spans="1:11" x14ac:dyDescent="0.25">
      <c r="A584">
        <v>20</v>
      </c>
      <c r="B584">
        <v>0</v>
      </c>
      <c r="C584">
        <v>3</v>
      </c>
      <c r="D584" t="s">
        <v>256</v>
      </c>
      <c r="E584">
        <v>8</v>
      </c>
      <c r="F584">
        <v>11852</v>
      </c>
      <c r="G584" t="s">
        <v>316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581</v>
      </c>
      <c r="I584" t="str">
        <f>IF(DraftResults[[#This Row],[Player ID]]=0,"",INDEX(Table5[[#All],[Pos]],MATCH(DraftResults[[#This Row],[Player ID]],Table5[[#All],[PID]],0)))</f>
        <v>SP</v>
      </c>
      <c r="J584" t="str">
        <f>IF(DraftResults[[#This Row],[Player ID]]=0,"",INDEX(Table5[[#All],[First]],MATCH(DraftResults[[#This Row],[Player ID]],Table5[[#All],[PID]],0)))</f>
        <v>Manolito</v>
      </c>
      <c r="K584" t="str">
        <f>IF(DraftResults[[#This Row],[Player ID]]=0,"",INDEX(Table5[[#All],[Last]],MATCH(DraftResults[[#This Row],[Player ID]],Table5[[#All],[PID]],0)))</f>
        <v>Díaz</v>
      </c>
    </row>
    <row r="585" spans="1:11" x14ac:dyDescent="0.25">
      <c r="A585">
        <v>20</v>
      </c>
      <c r="B585">
        <v>0</v>
      </c>
      <c r="C585">
        <v>4</v>
      </c>
      <c r="D585" t="s">
        <v>628</v>
      </c>
      <c r="E585">
        <v>23</v>
      </c>
      <c r="F585">
        <v>20993</v>
      </c>
      <c r="G585" t="s">
        <v>316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582</v>
      </c>
      <c r="I585" t="str">
        <f>IF(DraftResults[[#This Row],[Player ID]]=0,"",INDEX(Table5[[#All],[Pos]],MATCH(DraftResults[[#This Row],[Player ID]],Table5[[#All],[PID]],0)))</f>
        <v>SS</v>
      </c>
      <c r="J585" t="str">
        <f>IF(DraftResults[[#This Row],[Player ID]]=0,"",INDEX(Table5[[#All],[First]],MATCH(DraftResults[[#This Row],[Player ID]],Table5[[#All],[PID]],0)))</f>
        <v>John</v>
      </c>
      <c r="K585" t="str">
        <f>IF(DraftResults[[#This Row],[Player ID]]=0,"",INDEX(Table5[[#All],[Last]],MATCH(DraftResults[[#This Row],[Player ID]],Table5[[#All],[PID]],0)))</f>
        <v>Reed</v>
      </c>
    </row>
    <row r="586" spans="1:11" x14ac:dyDescent="0.25">
      <c r="A586">
        <v>20</v>
      </c>
      <c r="B586">
        <v>0</v>
      </c>
      <c r="C586">
        <v>5</v>
      </c>
      <c r="D586" t="s">
        <v>462</v>
      </c>
      <c r="E586">
        <v>167</v>
      </c>
      <c r="F586">
        <v>17967</v>
      </c>
      <c r="G586" t="s">
        <v>316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583</v>
      </c>
      <c r="I586" t="str">
        <f>IF(DraftResults[[#This Row],[Player ID]]=0,"",INDEX(Table5[[#All],[Pos]],MATCH(DraftResults[[#This Row],[Player ID]],Table5[[#All],[PID]],0)))</f>
        <v>SP</v>
      </c>
      <c r="J586" t="str">
        <f>IF(DraftResults[[#This Row],[Player ID]]=0,"",INDEX(Table5[[#All],[First]],MATCH(DraftResults[[#This Row],[Player ID]],Table5[[#All],[PID]],0)))</f>
        <v>Albert</v>
      </c>
      <c r="K586" t="str">
        <f>IF(DraftResults[[#This Row],[Player ID]]=0,"",INDEX(Table5[[#All],[Last]],MATCH(DraftResults[[#This Row],[Player ID]],Table5[[#All],[PID]],0)))</f>
        <v>Pérez</v>
      </c>
    </row>
    <row r="587" spans="1:11" x14ac:dyDescent="0.25">
      <c r="A587">
        <v>20</v>
      </c>
      <c r="B587">
        <v>0</v>
      </c>
      <c r="C587">
        <v>6</v>
      </c>
      <c r="D587" t="s">
        <v>543</v>
      </c>
      <c r="E587">
        <v>4</v>
      </c>
      <c r="F587">
        <v>17817</v>
      </c>
      <c r="G587" t="s">
        <v>316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584</v>
      </c>
      <c r="I587" t="str">
        <f>IF(DraftResults[[#This Row],[Player ID]]=0,"",INDEX(Table5[[#All],[Pos]],MATCH(DraftResults[[#This Row],[Player ID]],Table5[[#All],[PID]],0)))</f>
        <v>SP</v>
      </c>
      <c r="J587" t="str">
        <f>IF(DraftResults[[#This Row],[Player ID]]=0,"",INDEX(Table5[[#All],[First]],MATCH(DraftResults[[#This Row],[Player ID]],Table5[[#All],[PID]],0)))</f>
        <v>Scott</v>
      </c>
      <c r="K587" t="str">
        <f>IF(DraftResults[[#This Row],[Player ID]]=0,"",INDEX(Table5[[#All],[Last]],MATCH(DraftResults[[#This Row],[Player ID]],Table5[[#All],[PID]],0)))</f>
        <v>Begley</v>
      </c>
    </row>
    <row r="588" spans="1:11" x14ac:dyDescent="0.25">
      <c r="A588">
        <v>20</v>
      </c>
      <c r="B588">
        <v>0</v>
      </c>
      <c r="C588">
        <v>7</v>
      </c>
      <c r="D588" t="s">
        <v>626</v>
      </c>
      <c r="E588">
        <v>160</v>
      </c>
      <c r="F588">
        <v>17578</v>
      </c>
      <c r="G588" t="s">
        <v>316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585</v>
      </c>
      <c r="I588" t="str">
        <f>IF(DraftResults[[#This Row],[Player ID]]=0,"",INDEX(Table5[[#All],[Pos]],MATCH(DraftResults[[#This Row],[Player ID]],Table5[[#All],[PID]],0)))</f>
        <v>SP</v>
      </c>
      <c r="J588" t="str">
        <f>IF(DraftResults[[#This Row],[Player ID]]=0,"",INDEX(Table5[[#All],[First]],MATCH(DraftResults[[#This Row],[Player ID]],Table5[[#All],[PID]],0)))</f>
        <v>Drew</v>
      </c>
      <c r="K588" t="str">
        <f>IF(DraftResults[[#This Row],[Player ID]]=0,"",INDEX(Table5[[#All],[Last]],MATCH(DraftResults[[#This Row],[Player ID]],Table5[[#All],[PID]],0)))</f>
        <v>Stephenson</v>
      </c>
    </row>
    <row r="589" spans="1:11" x14ac:dyDescent="0.25">
      <c r="A589">
        <v>20</v>
      </c>
      <c r="B589">
        <v>0</v>
      </c>
      <c r="C589">
        <v>8</v>
      </c>
      <c r="D589" t="s">
        <v>250</v>
      </c>
      <c r="E589">
        <v>3</v>
      </c>
      <c r="F589">
        <v>20240</v>
      </c>
      <c r="G589" t="s">
        <v>316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586</v>
      </c>
      <c r="I589" t="str">
        <f>IF(DraftResults[[#This Row],[Player ID]]=0,"",INDEX(Table5[[#All],[Pos]],MATCH(DraftResults[[#This Row],[Player ID]],Table5[[#All],[PID]],0)))</f>
        <v>SP</v>
      </c>
      <c r="J589" t="str">
        <f>IF(DraftResults[[#This Row],[Player ID]]=0,"",INDEX(Table5[[#All],[First]],MATCH(DraftResults[[#This Row],[Player ID]],Table5[[#All],[PID]],0)))</f>
        <v>Todd</v>
      </c>
      <c r="K589" t="str">
        <f>IF(DraftResults[[#This Row],[Player ID]]=0,"",INDEX(Table5[[#All],[Last]],MATCH(DraftResults[[#This Row],[Player ID]],Table5[[#All],[PID]],0)))</f>
        <v>Stockley</v>
      </c>
    </row>
    <row r="590" spans="1:11" x14ac:dyDescent="0.25">
      <c r="A590">
        <v>20</v>
      </c>
      <c r="B590">
        <v>0</v>
      </c>
      <c r="C590">
        <v>9</v>
      </c>
      <c r="D590" t="s">
        <v>456</v>
      </c>
      <c r="E590">
        <v>164</v>
      </c>
      <c r="F590">
        <v>18353</v>
      </c>
      <c r="G590" t="s">
        <v>316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587</v>
      </c>
      <c r="I590" t="str">
        <f>IF(DraftResults[[#This Row],[Player ID]]=0,"",INDEX(Table5[[#All],[Pos]],MATCH(DraftResults[[#This Row],[Player ID]],Table5[[#All],[PID]],0)))</f>
        <v>SP</v>
      </c>
      <c r="J590" t="str">
        <f>IF(DraftResults[[#This Row],[Player ID]]=0,"",INDEX(Table5[[#All],[First]],MATCH(DraftResults[[#This Row],[Player ID]],Table5[[#All],[PID]],0)))</f>
        <v>Masayuki</v>
      </c>
      <c r="K590" t="str">
        <f>IF(DraftResults[[#This Row],[Player ID]]=0,"",INDEX(Table5[[#All],[Last]],MATCH(DraftResults[[#This Row],[Player ID]],Table5[[#All],[PID]],0)))</f>
        <v>Tashima</v>
      </c>
    </row>
    <row r="591" spans="1:11" x14ac:dyDescent="0.25">
      <c r="A591">
        <v>20</v>
      </c>
      <c r="B591">
        <v>0</v>
      </c>
      <c r="C591">
        <v>10</v>
      </c>
      <c r="D591" t="s">
        <v>461</v>
      </c>
      <c r="E591">
        <v>18</v>
      </c>
      <c r="F591">
        <v>18317</v>
      </c>
      <c r="G591" t="s">
        <v>316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588</v>
      </c>
      <c r="I591" t="str">
        <f>IF(DraftResults[[#This Row],[Player ID]]=0,"",INDEX(Table5[[#All],[Pos]],MATCH(DraftResults[[#This Row],[Player ID]],Table5[[#All],[PID]],0)))</f>
        <v>LF</v>
      </c>
      <c r="J591" t="str">
        <f>IF(DraftResults[[#This Row],[Player ID]]=0,"",INDEX(Table5[[#All],[First]],MATCH(DraftResults[[#This Row],[Player ID]],Table5[[#All],[PID]],0)))</f>
        <v>Kieran</v>
      </c>
      <c r="K591" t="str">
        <f>IF(DraftResults[[#This Row],[Player ID]]=0,"",INDEX(Table5[[#All],[Last]],MATCH(DraftResults[[#This Row],[Player ID]],Table5[[#All],[PID]],0)))</f>
        <v>Stickells</v>
      </c>
    </row>
    <row r="592" spans="1:11" x14ac:dyDescent="0.25">
      <c r="A592">
        <v>20</v>
      </c>
      <c r="B592">
        <v>0</v>
      </c>
      <c r="C592">
        <v>11</v>
      </c>
      <c r="D592" t="s">
        <v>253</v>
      </c>
      <c r="E592">
        <v>15</v>
      </c>
      <c r="F592">
        <v>15085</v>
      </c>
      <c r="G592" t="s">
        <v>316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589</v>
      </c>
      <c r="I592" t="str">
        <f>IF(DraftResults[[#This Row],[Player ID]]=0,"",INDEX(Table5[[#All],[Pos]],MATCH(DraftResults[[#This Row],[Player ID]],Table5[[#All],[PID]],0)))</f>
        <v>3B</v>
      </c>
      <c r="J592" t="str">
        <f>IF(DraftResults[[#This Row],[Player ID]]=0,"",INDEX(Table5[[#All],[First]],MATCH(DraftResults[[#This Row],[Player ID]],Table5[[#All],[PID]],0)))</f>
        <v>José</v>
      </c>
      <c r="K592" t="str">
        <f>IF(DraftResults[[#This Row],[Player ID]]=0,"",INDEX(Table5[[#All],[Last]],MATCH(DraftResults[[#This Row],[Player ID]],Table5[[#All],[PID]],0)))</f>
        <v>Torres</v>
      </c>
    </row>
    <row r="593" spans="1:11" x14ac:dyDescent="0.25">
      <c r="A593">
        <v>20</v>
      </c>
      <c r="B593">
        <v>0</v>
      </c>
      <c r="C593">
        <v>12</v>
      </c>
      <c r="D593" t="s">
        <v>245</v>
      </c>
      <c r="E593">
        <v>21</v>
      </c>
      <c r="F593">
        <v>17852</v>
      </c>
      <c r="G593" t="s">
        <v>316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590</v>
      </c>
      <c r="I593" t="str">
        <f>IF(DraftResults[[#This Row],[Player ID]]=0,"",INDEX(Table5[[#All],[Pos]],MATCH(DraftResults[[#This Row],[Player ID]],Table5[[#All],[PID]],0)))</f>
        <v>3B</v>
      </c>
      <c r="J593" t="str">
        <f>IF(DraftResults[[#This Row],[Player ID]]=0,"",INDEX(Table5[[#All],[First]],MATCH(DraftResults[[#This Row],[Player ID]],Table5[[#All],[PID]],0)))</f>
        <v>Kata</v>
      </c>
      <c r="K593" t="str">
        <f>IF(DraftResults[[#This Row],[Player ID]]=0,"",INDEX(Table5[[#All],[Last]],MATCH(DraftResults[[#This Row],[Player ID]],Table5[[#All],[PID]],0)))</f>
        <v>Noguchi</v>
      </c>
    </row>
    <row r="594" spans="1:11" x14ac:dyDescent="0.25">
      <c r="A594">
        <v>20</v>
      </c>
      <c r="B594">
        <v>0</v>
      </c>
      <c r="C594">
        <v>13</v>
      </c>
      <c r="D594" t="s">
        <v>243</v>
      </c>
      <c r="E594">
        <v>22</v>
      </c>
      <c r="F594">
        <v>21038</v>
      </c>
      <c r="G594" t="s">
        <v>316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591</v>
      </c>
      <c r="I594" t="str">
        <f>IF(DraftResults[[#This Row],[Player ID]]=0,"",INDEX(Table5[[#All],[Pos]],MATCH(DraftResults[[#This Row],[Player ID]],Table5[[#All],[PID]],0)))</f>
        <v>C</v>
      </c>
      <c r="J594" t="str">
        <f>IF(DraftResults[[#This Row],[Player ID]]=0,"",INDEX(Table5[[#All],[First]],MATCH(DraftResults[[#This Row],[Player ID]],Table5[[#All],[PID]],0)))</f>
        <v>Norman</v>
      </c>
      <c r="K594" t="str">
        <f>IF(DraftResults[[#This Row],[Player ID]]=0,"",INDEX(Table5[[#All],[Last]],MATCH(DraftResults[[#This Row],[Player ID]],Table5[[#All],[PID]],0)))</f>
        <v>Key</v>
      </c>
    </row>
    <row r="595" spans="1:11" x14ac:dyDescent="0.25">
      <c r="A595">
        <v>20</v>
      </c>
      <c r="B595">
        <v>0</v>
      </c>
      <c r="C595">
        <v>14</v>
      </c>
      <c r="D595" t="s">
        <v>251</v>
      </c>
      <c r="E595">
        <v>1</v>
      </c>
      <c r="F595">
        <v>18188</v>
      </c>
      <c r="G595" t="s">
        <v>316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592</v>
      </c>
      <c r="I595" t="str">
        <f>IF(DraftResults[[#This Row],[Player ID]]=0,"",INDEX(Table5[[#All],[Pos]],MATCH(DraftResults[[#This Row],[Player ID]],Table5[[#All],[PID]],0)))</f>
        <v>SP</v>
      </c>
      <c r="J595" t="str">
        <f>IF(DraftResults[[#This Row],[Player ID]]=0,"",INDEX(Table5[[#All],[First]],MATCH(DraftResults[[#This Row],[Player ID]],Table5[[#All],[PID]],0)))</f>
        <v>Kurt</v>
      </c>
      <c r="K595" t="str">
        <f>IF(DraftResults[[#This Row],[Player ID]]=0,"",INDEX(Table5[[#All],[Last]],MATCH(DraftResults[[#This Row],[Player ID]],Table5[[#All],[PID]],0)))</f>
        <v>McKinney</v>
      </c>
    </row>
    <row r="596" spans="1:11" x14ac:dyDescent="0.25">
      <c r="A596">
        <v>20</v>
      </c>
      <c r="B596">
        <v>0</v>
      </c>
      <c r="C596">
        <v>15</v>
      </c>
      <c r="D596" t="s">
        <v>249</v>
      </c>
      <c r="E596">
        <v>10</v>
      </c>
      <c r="F596">
        <v>18179</v>
      </c>
      <c r="G596" t="s">
        <v>316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593</v>
      </c>
      <c r="I596" t="str">
        <f>IF(DraftResults[[#This Row],[Player ID]]=0,"",INDEX(Table5[[#All],[Pos]],MATCH(DraftResults[[#This Row],[Player ID]],Table5[[#All],[PID]],0)))</f>
        <v>2B</v>
      </c>
      <c r="J596" t="str">
        <f>IF(DraftResults[[#This Row],[Player ID]]=0,"",INDEX(Table5[[#All],[First]],MATCH(DraftResults[[#This Row],[Player ID]],Table5[[#All],[PID]],0)))</f>
        <v>Paul</v>
      </c>
      <c r="K596" t="str">
        <f>IF(DraftResults[[#This Row],[Player ID]]=0,"",INDEX(Table5[[#All],[Last]],MATCH(DraftResults[[#This Row],[Player ID]],Table5[[#All],[PID]],0)))</f>
        <v>Norman</v>
      </c>
    </row>
    <row r="597" spans="1:11" x14ac:dyDescent="0.25">
      <c r="A597">
        <v>20</v>
      </c>
      <c r="B597">
        <v>0</v>
      </c>
      <c r="C597">
        <v>16</v>
      </c>
      <c r="D597" t="s">
        <v>261</v>
      </c>
      <c r="E597">
        <v>12</v>
      </c>
      <c r="F597">
        <v>20944</v>
      </c>
      <c r="G597" t="s">
        <v>316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594</v>
      </c>
      <c r="I597" t="str">
        <f>IF(DraftResults[[#This Row],[Player ID]]=0,"",INDEX(Table5[[#All],[Pos]],MATCH(DraftResults[[#This Row],[Player ID]],Table5[[#All],[PID]],0)))</f>
        <v>RF</v>
      </c>
      <c r="J597" t="str">
        <f>IF(DraftResults[[#This Row],[Player ID]]=0,"",INDEX(Table5[[#All],[First]],MATCH(DraftResults[[#This Row],[Player ID]],Table5[[#All],[PID]],0)))</f>
        <v>Vincent</v>
      </c>
      <c r="K597" t="str">
        <f>IF(DraftResults[[#This Row],[Player ID]]=0,"",INDEX(Table5[[#All],[Last]],MATCH(DraftResults[[#This Row],[Player ID]],Table5[[#All],[PID]],0)))</f>
        <v>Rogers</v>
      </c>
    </row>
    <row r="598" spans="1:11" x14ac:dyDescent="0.25">
      <c r="A598">
        <v>20</v>
      </c>
      <c r="B598">
        <v>0</v>
      </c>
      <c r="C598">
        <v>17</v>
      </c>
      <c r="D598" t="s">
        <v>627</v>
      </c>
      <c r="E598">
        <v>13</v>
      </c>
      <c r="F598">
        <v>20722</v>
      </c>
      <c r="G598" t="s">
        <v>316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595</v>
      </c>
      <c r="I598" t="str">
        <f>IF(DraftResults[[#This Row],[Player ID]]=0,"",INDEX(Table5[[#All],[Pos]],MATCH(DraftResults[[#This Row],[Player ID]],Table5[[#All],[PID]],0)))</f>
        <v>SS</v>
      </c>
      <c r="J598" t="str">
        <f>IF(DraftResults[[#This Row],[Player ID]]=0,"",INDEX(Table5[[#All],[First]],MATCH(DraftResults[[#This Row],[Player ID]],Table5[[#All],[PID]],0)))</f>
        <v>Andy</v>
      </c>
      <c r="K598" t="str">
        <f>IF(DraftResults[[#This Row],[Player ID]]=0,"",INDEX(Table5[[#All],[Last]],MATCH(DraftResults[[#This Row],[Player ID]],Table5[[#All],[PID]],0)))</f>
        <v>Walker</v>
      </c>
    </row>
    <row r="599" spans="1:11" x14ac:dyDescent="0.25">
      <c r="A599">
        <v>20</v>
      </c>
      <c r="B599">
        <v>0</v>
      </c>
      <c r="C599">
        <v>18</v>
      </c>
      <c r="D599" t="s">
        <v>254</v>
      </c>
      <c r="E599">
        <v>20</v>
      </c>
      <c r="F599">
        <v>21016</v>
      </c>
      <c r="G599" t="s">
        <v>316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596</v>
      </c>
      <c r="I599" t="str">
        <f>IF(DraftResults[[#This Row],[Player ID]]=0,"",INDEX(Table5[[#All],[Pos]],MATCH(DraftResults[[#This Row],[Player ID]],Table5[[#All],[PID]],0)))</f>
        <v>2B</v>
      </c>
      <c r="J599" t="str">
        <f>IF(DraftResults[[#This Row],[Player ID]]=0,"",INDEX(Table5[[#All],[First]],MATCH(DraftResults[[#This Row],[Player ID]],Table5[[#All],[PID]],0)))</f>
        <v>Colin</v>
      </c>
      <c r="K599" t="str">
        <f>IF(DraftResults[[#This Row],[Player ID]]=0,"",INDEX(Table5[[#All],[Last]],MATCH(DraftResults[[#This Row],[Player ID]],Table5[[#All],[PID]],0)))</f>
        <v>Popham</v>
      </c>
    </row>
    <row r="600" spans="1:11" x14ac:dyDescent="0.25">
      <c r="A600">
        <v>20</v>
      </c>
      <c r="B600">
        <v>0</v>
      </c>
      <c r="C600">
        <v>19</v>
      </c>
      <c r="D600" t="s">
        <v>246</v>
      </c>
      <c r="E600">
        <v>17</v>
      </c>
      <c r="F600">
        <v>17884</v>
      </c>
      <c r="G600" t="s">
        <v>316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597</v>
      </c>
      <c r="I600" t="str">
        <f>IF(DraftResults[[#This Row],[Player ID]]=0,"",INDEX(Table5[[#All],[Pos]],MATCH(DraftResults[[#This Row],[Player ID]],Table5[[#All],[PID]],0)))</f>
        <v>RP</v>
      </c>
      <c r="J600" t="str">
        <f>IF(DraftResults[[#This Row],[Player ID]]=0,"",INDEX(Table5[[#All],[First]],MATCH(DraftResults[[#This Row],[Player ID]],Table5[[#All],[PID]],0)))</f>
        <v>Rintaro</v>
      </c>
      <c r="K600" t="str">
        <f>IF(DraftResults[[#This Row],[Player ID]]=0,"",INDEX(Table5[[#All],[Last]],MATCH(DraftResults[[#This Row],[Player ID]],Table5[[#All],[PID]],0)))</f>
        <v>Harada</v>
      </c>
    </row>
    <row r="601" spans="1:11" x14ac:dyDescent="0.25">
      <c r="A601">
        <v>20</v>
      </c>
      <c r="B601">
        <v>0</v>
      </c>
      <c r="C601">
        <v>20</v>
      </c>
      <c r="D601" t="s">
        <v>455</v>
      </c>
      <c r="E601">
        <v>2</v>
      </c>
      <c r="F601">
        <v>18357</v>
      </c>
      <c r="G601" t="s">
        <v>316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598</v>
      </c>
      <c r="I601" t="str">
        <f>IF(DraftResults[[#This Row],[Player ID]]=0,"",INDEX(Table5[[#All],[Pos]],MATCH(DraftResults[[#This Row],[Player ID]],Table5[[#All],[PID]],0)))</f>
        <v>RF</v>
      </c>
      <c r="J601" t="str">
        <f>IF(DraftResults[[#This Row],[Player ID]]=0,"",INDEX(Table5[[#All],[First]],MATCH(DraftResults[[#This Row],[Player ID]],Table5[[#All],[PID]],0)))</f>
        <v>Rafael</v>
      </c>
      <c r="K601" t="str">
        <f>IF(DraftResults[[#This Row],[Player ID]]=0,"",INDEX(Table5[[#All],[Last]],MATCH(DraftResults[[#This Row],[Player ID]],Table5[[#All],[PID]],0)))</f>
        <v>Trevino</v>
      </c>
    </row>
    <row r="602" spans="1:11" x14ac:dyDescent="0.25">
      <c r="A602">
        <v>20</v>
      </c>
      <c r="B602">
        <v>0</v>
      </c>
      <c r="C602">
        <v>21</v>
      </c>
      <c r="D602" t="s">
        <v>252</v>
      </c>
      <c r="E602">
        <v>14</v>
      </c>
      <c r="F602">
        <v>20585</v>
      </c>
      <c r="G602" t="s">
        <v>316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599</v>
      </c>
      <c r="I602" t="str">
        <f>IF(DraftResults[[#This Row],[Player ID]]=0,"",INDEX(Table5[[#All],[Pos]],MATCH(DraftResults[[#This Row],[Player ID]],Table5[[#All],[PID]],0)))</f>
        <v>RP</v>
      </c>
      <c r="J602" t="str">
        <f>IF(DraftResults[[#This Row],[Player ID]]=0,"",INDEX(Table5[[#All],[First]],MATCH(DraftResults[[#This Row],[Player ID]],Table5[[#All],[PID]],0)))</f>
        <v>Wu-han</v>
      </c>
      <c r="K602" t="str">
        <f>IF(DraftResults[[#This Row],[Player ID]]=0,"",INDEX(Table5[[#All],[Last]],MATCH(DraftResults[[#This Row],[Player ID]],Table5[[#All],[PID]],0)))</f>
        <v>Won</v>
      </c>
    </row>
    <row r="603" spans="1:11" x14ac:dyDescent="0.25">
      <c r="A603">
        <v>20</v>
      </c>
      <c r="B603">
        <v>0</v>
      </c>
      <c r="C603">
        <v>22</v>
      </c>
      <c r="D603" t="s">
        <v>257</v>
      </c>
      <c r="E603">
        <v>16</v>
      </c>
      <c r="F603">
        <v>17805</v>
      </c>
      <c r="G603" t="s">
        <v>316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600</v>
      </c>
      <c r="I603" t="str">
        <f>IF(DraftResults[[#This Row],[Player ID]]=0,"",INDEX(Table5[[#All],[Pos]],MATCH(DraftResults[[#This Row],[Player ID]],Table5[[#All],[PID]],0)))</f>
        <v>RP</v>
      </c>
      <c r="J603" t="str">
        <f>IF(DraftResults[[#This Row],[Player ID]]=0,"",INDEX(Table5[[#All],[First]],MATCH(DraftResults[[#This Row],[Player ID]],Table5[[#All],[PID]],0)))</f>
        <v>Roald</v>
      </c>
      <c r="K603" t="str">
        <f>IF(DraftResults[[#This Row],[Player ID]]=0,"",INDEX(Table5[[#All],[Last]],MATCH(DraftResults[[#This Row],[Player ID]],Table5[[#All],[PID]],0)))</f>
        <v>van Ginderen</v>
      </c>
    </row>
    <row r="604" spans="1:11" x14ac:dyDescent="0.25">
      <c r="A604">
        <v>20</v>
      </c>
      <c r="B604">
        <v>0</v>
      </c>
      <c r="C604">
        <v>23</v>
      </c>
      <c r="D604" t="s">
        <v>460</v>
      </c>
      <c r="E604">
        <v>161</v>
      </c>
      <c r="F604">
        <v>20675</v>
      </c>
      <c r="G604" t="s">
        <v>316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601</v>
      </c>
      <c r="I604" t="str">
        <f>IF(DraftResults[[#This Row],[Player ID]]=0,"",INDEX(Table5[[#All],[Pos]],MATCH(DraftResults[[#This Row],[Player ID]],Table5[[#All],[PID]],0)))</f>
        <v>RP</v>
      </c>
      <c r="J604" t="str">
        <f>IF(DraftResults[[#This Row],[Player ID]]=0,"",INDEX(Table5[[#All],[First]],MATCH(DraftResults[[#This Row],[Player ID]],Table5[[#All],[PID]],0)))</f>
        <v>Wu-jiang</v>
      </c>
      <c r="K604" t="str">
        <f>IF(DraftResults[[#This Row],[Player ID]]=0,"",INDEX(Table5[[#All],[Last]],MATCH(DraftResults[[#This Row],[Player ID]],Table5[[#All],[PID]],0)))</f>
        <v>Lan</v>
      </c>
    </row>
    <row r="605" spans="1:11" x14ac:dyDescent="0.25">
      <c r="A605">
        <v>20</v>
      </c>
      <c r="B605">
        <v>0</v>
      </c>
      <c r="C605">
        <v>24</v>
      </c>
      <c r="D605" t="s">
        <v>242</v>
      </c>
      <c r="E605">
        <v>19</v>
      </c>
      <c r="F605">
        <v>20204</v>
      </c>
      <c r="G605" t="s">
        <v>316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602</v>
      </c>
      <c r="I605" t="str">
        <f>IF(DraftResults[[#This Row],[Player ID]]=0,"",INDEX(Table5[[#All],[Pos]],MATCH(DraftResults[[#This Row],[Player ID]],Table5[[#All],[PID]],0)))</f>
        <v>3B</v>
      </c>
      <c r="J605" t="str">
        <f>IF(DraftResults[[#This Row],[Player ID]]=0,"",INDEX(Table5[[#All],[First]],MATCH(DraftResults[[#This Row],[Player ID]],Table5[[#All],[PID]],0)))</f>
        <v>Allen</v>
      </c>
      <c r="K605" t="str">
        <f>IF(DraftResults[[#This Row],[Player ID]]=0,"",INDEX(Table5[[#All],[Last]],MATCH(DraftResults[[#This Row],[Player ID]],Table5[[#All],[PID]],0)))</f>
        <v>Brown</v>
      </c>
    </row>
    <row r="606" spans="1:11" x14ac:dyDescent="0.25">
      <c r="A606">
        <v>20</v>
      </c>
      <c r="B606">
        <v>0</v>
      </c>
      <c r="C606">
        <v>25</v>
      </c>
      <c r="D606" t="s">
        <v>457</v>
      </c>
      <c r="E606">
        <v>166</v>
      </c>
      <c r="F606">
        <v>17787</v>
      </c>
      <c r="G606" t="s">
        <v>316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603</v>
      </c>
      <c r="I606" t="str">
        <f>IF(DraftResults[[#This Row],[Player ID]]=0,"",INDEX(Table5[[#All],[Pos]],MATCH(DraftResults[[#This Row],[Player ID]],Table5[[#All],[PID]],0)))</f>
        <v>RP</v>
      </c>
      <c r="J606" t="str">
        <f>IF(DraftResults[[#This Row],[Player ID]]=0,"",INDEX(Table5[[#All],[First]],MATCH(DraftResults[[#This Row],[Player ID]],Table5[[#All],[PID]],0)))</f>
        <v>Iemitsu</v>
      </c>
      <c r="K606" t="str">
        <f>IF(DraftResults[[#This Row],[Player ID]]=0,"",INDEX(Table5[[#All],[Last]],MATCH(DraftResults[[#This Row],[Player ID]],Table5[[#All],[PID]],0)))</f>
        <v>Kamida</v>
      </c>
    </row>
    <row r="607" spans="1:11" x14ac:dyDescent="0.25">
      <c r="A607">
        <v>20</v>
      </c>
      <c r="B607">
        <v>0</v>
      </c>
      <c r="C607">
        <v>26</v>
      </c>
      <c r="D607" t="s">
        <v>242</v>
      </c>
      <c r="E607">
        <v>19</v>
      </c>
      <c r="F607">
        <v>17822</v>
      </c>
      <c r="G607" t="s">
        <v>316</v>
      </c>
      <c r="H6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604</v>
      </c>
      <c r="I607" t="str">
        <f>IF(DraftResults[[#This Row],[Player ID]]=0,"",INDEX(Table5[[#All],[Pos]],MATCH(DraftResults[[#This Row],[Player ID]],Table5[[#All],[PID]],0)))</f>
        <v>2B</v>
      </c>
      <c r="J607" t="str">
        <f>IF(DraftResults[[#This Row],[Player ID]]=0,"",INDEX(Table5[[#All],[First]],MATCH(DraftResults[[#This Row],[Player ID]],Table5[[#All],[PID]],0)))</f>
        <v>Reuben</v>
      </c>
      <c r="K607" t="str">
        <f>IF(DraftResults[[#This Row],[Player ID]]=0,"",INDEX(Table5[[#All],[Last]],MATCH(DraftResults[[#This Row],[Player ID]],Table5[[#All],[PID]],0)))</f>
        <v>Ubbens</v>
      </c>
    </row>
    <row r="608" spans="1:11" x14ac:dyDescent="0.25">
      <c r="A608">
        <v>20</v>
      </c>
      <c r="B608">
        <v>0</v>
      </c>
      <c r="C608">
        <v>27</v>
      </c>
      <c r="D608" t="s">
        <v>458</v>
      </c>
      <c r="E608">
        <v>159</v>
      </c>
      <c r="F608">
        <v>15038</v>
      </c>
      <c r="G608" t="s">
        <v>316</v>
      </c>
      <c r="H608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605</v>
      </c>
      <c r="I608" s="19" t="str">
        <f>IF(DraftResults[[#This Row],[Player ID]]=0,"",INDEX(Table5[[#All],[Pos]],MATCH(DraftResults[[#This Row],[Player ID]],Table5[[#All],[PID]],0)))</f>
        <v>RF</v>
      </c>
      <c r="J608" s="19" t="str">
        <f>IF(DraftResults[[#This Row],[Player ID]]=0,"",INDEX(Table5[[#All],[First]],MATCH(DraftResults[[#This Row],[Player ID]],Table5[[#All],[PID]],0)))</f>
        <v>Isei</v>
      </c>
      <c r="K608" s="19" t="str">
        <f>IF(DraftResults[[#This Row],[Player ID]]=0,"",INDEX(Table5[[#All],[Last]],MATCH(DraftResults[[#This Row],[Player ID]],Table5[[#All],[PID]],0)))</f>
        <v>Sato</v>
      </c>
    </row>
    <row r="609" spans="1:11" x14ac:dyDescent="0.25">
      <c r="A609">
        <v>20</v>
      </c>
      <c r="B609">
        <v>0</v>
      </c>
      <c r="C609">
        <v>28</v>
      </c>
      <c r="D609" t="s">
        <v>454</v>
      </c>
      <c r="E609">
        <v>162</v>
      </c>
      <c r="F609">
        <v>20279</v>
      </c>
      <c r="G609" t="s">
        <v>316</v>
      </c>
      <c r="H609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606</v>
      </c>
      <c r="I609" s="19" t="str">
        <f>IF(DraftResults[[#This Row],[Player ID]]=0,"",INDEX(Table5[[#All],[Pos]],MATCH(DraftResults[[#This Row],[Player ID]],Table5[[#All],[PID]],0)))</f>
        <v>C</v>
      </c>
      <c r="J609" s="19" t="str">
        <f>IF(DraftResults[[#This Row],[Player ID]]=0,"",INDEX(Table5[[#All],[First]],MATCH(DraftResults[[#This Row],[Player ID]],Table5[[#All],[PID]],0)))</f>
        <v>Wu-han</v>
      </c>
      <c r="K609" s="19" t="str">
        <f>IF(DraftResults[[#This Row],[Player ID]]=0,"",INDEX(Table5[[#All],[Last]],MATCH(DraftResults[[#This Row],[Player ID]],Table5[[#All],[PID]],0)))</f>
        <v>Sen</v>
      </c>
    </row>
    <row r="610" spans="1:11" x14ac:dyDescent="0.25">
      <c r="A610">
        <v>20</v>
      </c>
      <c r="B610">
        <v>0</v>
      </c>
      <c r="C610">
        <v>29</v>
      </c>
      <c r="D610" t="s">
        <v>459</v>
      </c>
      <c r="E610">
        <v>163</v>
      </c>
      <c r="F610">
        <v>18109</v>
      </c>
      <c r="G610" t="s">
        <v>316</v>
      </c>
      <c r="H610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607</v>
      </c>
      <c r="I610" s="19" t="str">
        <f>IF(DraftResults[[#This Row],[Player ID]]=0,"",INDEX(Table5[[#All],[Pos]],MATCH(DraftResults[[#This Row],[Player ID]],Table5[[#All],[PID]],0)))</f>
        <v>RP</v>
      </c>
      <c r="J610" s="19" t="str">
        <f>IF(DraftResults[[#This Row],[Player ID]]=0,"",INDEX(Table5[[#All],[First]],MATCH(DraftResults[[#This Row],[Player ID]],Table5[[#All],[PID]],0)))</f>
        <v>Rusty</v>
      </c>
      <c r="K610" s="19" t="str">
        <f>IF(DraftResults[[#This Row],[Player ID]]=0,"",INDEX(Table5[[#All],[Last]],MATCH(DraftResults[[#This Row],[Player ID]],Table5[[#All],[PID]],0)))</f>
        <v>Knight</v>
      </c>
    </row>
    <row r="611" spans="1:11" x14ac:dyDescent="0.25">
      <c r="A611">
        <v>20</v>
      </c>
      <c r="B611">
        <v>0</v>
      </c>
      <c r="C611">
        <v>30</v>
      </c>
      <c r="D611" t="s">
        <v>629</v>
      </c>
      <c r="E611">
        <v>9</v>
      </c>
      <c r="F611">
        <v>18378</v>
      </c>
      <c r="G611" t="s">
        <v>316</v>
      </c>
      <c r="H611" s="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608</v>
      </c>
      <c r="I611" s="19" t="str">
        <f>IF(DraftResults[[#This Row],[Player ID]]=0,"",INDEX(Table5[[#All],[Pos]],MATCH(DraftResults[[#This Row],[Player ID]],Table5[[#All],[PID]],0)))</f>
        <v>3B</v>
      </c>
      <c r="J611" s="19" t="str">
        <f>IF(DraftResults[[#This Row],[Player ID]]=0,"",INDEX(Table5[[#All],[First]],MATCH(DraftResults[[#This Row],[Player ID]],Table5[[#All],[PID]],0)))</f>
        <v>Jeff</v>
      </c>
      <c r="K611" s="19" t="str">
        <f>IF(DraftResults[[#This Row],[Player ID]]=0,"",INDEX(Table5[[#All],[Last]],MATCH(DraftResults[[#This Row],[Player ID]],Table5[[#All],[PID]],0)))</f>
        <v>Freake</v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6" bestFit="1" customWidth="1"/>
    <col min="6" max="6" width="19.140625" style="7" bestFit="1" customWidth="1"/>
    <col min="7" max="7" width="4.42578125" style="7" bestFit="1" customWidth="1"/>
    <col min="8" max="8" width="2.140625" style="7" bestFit="1" customWidth="1"/>
    <col min="9" max="9" width="2.140625" style="3" bestFit="1" customWidth="1"/>
    <col min="10" max="10" width="9.5703125" bestFit="1" customWidth="1"/>
    <col min="11" max="11" width="9.5703125" style="3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3" bestFit="1" customWidth="1"/>
    <col min="17" max="17" width="6.5703125" bestFit="1" customWidth="1"/>
    <col min="18" max="18" width="6.7109375" style="3" bestFit="1" customWidth="1"/>
    <col min="19" max="19" width="11.5703125" bestFit="1" customWidth="1"/>
    <col min="20" max="20" width="7" style="3" bestFit="1" customWidth="1"/>
    <col min="23" max="23" width="9.140625" style="3"/>
  </cols>
  <sheetData>
    <row r="1" spans="1:31" x14ac:dyDescent="0.25">
      <c r="D1">
        <v>2</v>
      </c>
      <c r="E1" s="6">
        <v>3</v>
      </c>
      <c r="F1" s="7">
        <v>4</v>
      </c>
      <c r="G1" s="7">
        <v>5</v>
      </c>
      <c r="H1" s="7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215</v>
      </c>
      <c r="AC1" t="e">
        <f>AVERAGE(AC5:AC105)</f>
        <v>#DIV/0!</v>
      </c>
    </row>
    <row r="2" spans="1:31" x14ac:dyDescent="0.25">
      <c r="D2">
        <v>2</v>
      </c>
      <c r="E2" s="6">
        <v>3</v>
      </c>
      <c r="F2" s="7">
        <v>4</v>
      </c>
      <c r="G2" s="7">
        <v>5</v>
      </c>
      <c r="H2" s="7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25">
      <c r="L3" t="s">
        <v>216</v>
      </c>
      <c r="M3" t="s">
        <v>217</v>
      </c>
      <c r="N3" t="s">
        <v>218</v>
      </c>
      <c r="O3" t="s">
        <v>219</v>
      </c>
      <c r="P3" s="3" t="s">
        <v>220</v>
      </c>
      <c r="S3" s="5">
        <v>2000000</v>
      </c>
      <c r="X3">
        <v>24</v>
      </c>
      <c r="Y3">
        <v>8</v>
      </c>
      <c r="AB3" t="s">
        <v>221</v>
      </c>
      <c r="AC3" t="e">
        <f>MEDIAN(AC5:AC105)</f>
        <v>#NUM!</v>
      </c>
    </row>
    <row r="4" spans="1:31" s="1" customFormat="1" x14ac:dyDescent="0.25">
      <c r="A4" s="1" t="s">
        <v>214</v>
      </c>
      <c r="B4" s="1" t="s">
        <v>237</v>
      </c>
      <c r="C4" s="1" t="s">
        <v>222</v>
      </c>
      <c r="D4" s="1" t="s">
        <v>213</v>
      </c>
      <c r="E4" s="8" t="s">
        <v>122</v>
      </c>
      <c r="F4" s="9" t="s">
        <v>1</v>
      </c>
      <c r="G4" s="9" t="s">
        <v>2</v>
      </c>
      <c r="H4" s="9" t="s">
        <v>3</v>
      </c>
      <c r="I4" s="4" t="s">
        <v>4</v>
      </c>
      <c r="J4" s="1" t="s">
        <v>6</v>
      </c>
      <c r="K4" s="4" t="s">
        <v>7</v>
      </c>
      <c r="L4" s="1" t="s">
        <v>223</v>
      </c>
      <c r="M4" s="1" t="s">
        <v>224</v>
      </c>
      <c r="N4" s="1" t="s">
        <v>216</v>
      </c>
      <c r="O4" s="1" t="s">
        <v>94</v>
      </c>
      <c r="P4" s="4" t="s">
        <v>225</v>
      </c>
      <c r="Q4" s="1" t="s">
        <v>95</v>
      </c>
      <c r="R4" s="4" t="s">
        <v>96</v>
      </c>
      <c r="S4" s="1" t="s">
        <v>226</v>
      </c>
      <c r="T4" s="4" t="s">
        <v>100</v>
      </c>
      <c r="U4" s="1" t="s">
        <v>227</v>
      </c>
      <c r="V4" s="1" t="s">
        <v>228</v>
      </c>
      <c r="W4" s="4" t="s">
        <v>229</v>
      </c>
      <c r="X4" s="1" t="s">
        <v>230</v>
      </c>
      <c r="Y4" s="1" t="s">
        <v>231</v>
      </c>
      <c r="Z4" s="1" t="s">
        <v>232</v>
      </c>
      <c r="AA4" s="1" t="s">
        <v>233</v>
      </c>
      <c r="AB4" s="1" t="s">
        <v>234</v>
      </c>
      <c r="AC4" s="1" t="s">
        <v>102</v>
      </c>
      <c r="AD4" s="1" t="s">
        <v>235</v>
      </c>
      <c r="AE4" s="1" t="s">
        <v>236</v>
      </c>
    </row>
    <row r="5" spans="1:31" s="15" customFormat="1" x14ac:dyDescent="0.25">
      <c r="A5" s="15" t="s">
        <v>281</v>
      </c>
      <c r="B5" s="15">
        <f t="shared" ref="B5:B19" si="0">COUNTIF($A$5:$A$20,A5)</f>
        <v>1</v>
      </c>
      <c r="C5" s="15" t="str">
        <f t="shared" ref="C5:C19" si="1">IF(OR(MID(A5,1,2)="SP",MID(A5,1,2)="MR",MID(A5,1,2)="CL",MID(A5,1,2)="RP"),"P","B")</f>
        <v>P</v>
      </c>
      <c r="D5" s="11" t="e">
        <f>IF($C5="B",VLOOKUP($A5,Bat!$A$4:$BG$1419,D$1,FALSE),VLOOKUP($A5,Pit!$A$4:$BA$557,D$2,FALSE))</f>
        <v>#N/A</v>
      </c>
      <c r="E5" s="10" t="e">
        <f>IF($C5="B",VLOOKUP($A5,Bat!$A$4:$BG$1419,E$1,FALSE),VLOOKUP($A5,Pit!$A$4:$BA$557,E$2,FALSE))</f>
        <v>#N/A</v>
      </c>
      <c r="F5" s="10" t="e">
        <f>IF($C5="B",VLOOKUP($A5,Bat!$A$4:$BG$1419,F$1,FALSE),VLOOKUP($A5,Pit!$A$4:$BA$557,F$2,FALSE))</f>
        <v>#N/A</v>
      </c>
      <c r="G5" s="10" t="e">
        <f>IF($C5="B",VLOOKUP($A5,Bat!$A$4:$BG$1419,G$1,FALSE),VLOOKUP($A5,Pit!$A$4:$BA$557,G$2,FALSE))</f>
        <v>#N/A</v>
      </c>
      <c r="H5" s="10" t="e">
        <f>IF($C5="B",VLOOKUP($A5,Bat!$A$4:$BG$1419,H$1,FALSE),VLOOKUP($A5,Pit!$A$4:$BA$557,H$2,FALSE))</f>
        <v>#N/A</v>
      </c>
      <c r="I5" s="10" t="e">
        <f>IF($C5="B",VLOOKUP($A5,Bat!$A$4:$BG$1419,I$1,FALSE),VLOOKUP($A5,Pit!$A$4:$BA$557,I$2,FALSE))</f>
        <v>#N/A</v>
      </c>
      <c r="J5" s="10" t="e">
        <f>IF($C5="B",VLOOKUP($A5,Bat!$A$4:$BG$1419,J$1,FALSE),VLOOKUP($A5,Pit!$A$4:$BA$557,J$2,FALSE))</f>
        <v>#N/A</v>
      </c>
      <c r="K5" s="11" t="e">
        <f>IF($C5="B",VLOOKUP($A5,Bat!$A$4:$BG$1419,K$1,FALSE),VLOOKUP($A5,Pit!$A$4:$BA$557,K$2,FALSE))</f>
        <v>#N/A</v>
      </c>
      <c r="L5" s="10" t="e">
        <f>IF($C5="B",VLOOKUP($A5,Bat!$A$4:$BG$1419,L$1,FALSE),VLOOKUP($A5,Pit!$A$4:$BA$557,L$2,FALSE))</f>
        <v>#N/A</v>
      </c>
      <c r="M5" s="10" t="e">
        <f>IF($C5="B",VLOOKUP($A5,Bat!$A$4:$BG$1419,M$1,FALSE),VLOOKUP($A5,Pit!$A$4:$BA$557,M$2,FALSE))</f>
        <v>#N/A</v>
      </c>
      <c r="N5" s="10" t="e">
        <f>IF($C5="B",VLOOKUP($A5,Bat!$A$4:$BG$1419,N$1,FALSE),VLOOKUP($A5,Pit!$A$4:$BA$557,N$2,FALSE))</f>
        <v>#N/A</v>
      </c>
      <c r="O5" s="10" t="e">
        <f>IF($C5="B",VLOOKUP($A5,Bat!$A$4:$BG$1419,O$1,FALSE),VLOOKUP($A5,Pit!$A$4:$BA$557,O$2,FALSE))</f>
        <v>#N/A</v>
      </c>
      <c r="P5" s="11" t="e">
        <f>IF($C5="B",VLOOKUP($A5,Bat!$A$4:$BG$1419,P$1,FALSE),VLOOKUP($A5,Pit!$A$4:$BA$557,P$2,FALSE))</f>
        <v>#N/A</v>
      </c>
      <c r="Q5" s="12" t="e">
        <f>IF($C5="B",VLOOKUP($A5,Bat!$A$4:$BG$1419,Q$1,FALSE),VLOOKUP($A5,Pit!$A$4:$BA$557,Q$2,FALSE))</f>
        <v>#N/A</v>
      </c>
      <c r="R5" s="13" t="e">
        <f>IF($C5="B",VLOOKUP($A5,Bat!$A$4:$BG$1419,R$1,FALSE),VLOOKUP($A5,Pit!$A$4:$BA$557,R$2,FALSE))</f>
        <v>#N/A</v>
      </c>
      <c r="S5" s="14" t="e">
        <f>IF($C5="B",VLOOKUP($A5,Bat!$A$4:$BG$1419,S$1,FALSE),VLOOKUP($A5,Pit!$A$4:$BA$557,S$2,FALSE))</f>
        <v>#N/A</v>
      </c>
      <c r="T5" s="11" t="e">
        <f>VLOOKUP(IF($C5="B",VLOOKUP($A5,Bat!$A$4:$AV$1657,T$1,FALSE),VLOOKUP($A5,Pit!$A$4:$BE$557,T$2,FALSE)),COND!$A$35:$B$41,2,FALSE)</f>
        <v>#N/A</v>
      </c>
      <c r="V5" s="15" t="e">
        <f t="shared" ref="V5:V19" si="2">IF(OR(U5=999,AND(S5&gt;$S$3,S5&lt;&gt;"Slot")),"",U5)</f>
        <v>#N/A</v>
      </c>
      <c r="W5" s="16" t="e">
        <f t="shared" ref="W5:W19" si="3">RANK(R5,$R$5:$R$891)</f>
        <v>#N/A</v>
      </c>
      <c r="X5" s="10" t="str">
        <f>IFERROR(VLOOKUP($D5,Results37!$F$3:$G$1400,X$1,FALSE),"")</f>
        <v/>
      </c>
      <c r="Y5" s="10" t="str">
        <f>IFERROR(VLOOKUP($D5,Results37!$F$3:$G$1400,Y$1,FALSE),"")</f>
        <v/>
      </c>
      <c r="Z5" s="10" t="str">
        <f>IFERROR(VLOOKUP($D5,Results37!$F$3:$G$1400,Z$1,FALSE),"")</f>
        <v/>
      </c>
      <c r="AA5" s="10" t="str">
        <f>IFERROR(VLOOKUP($D5,Results37!$F$3:$G$1400,AA$1,FALSE),"")</f>
        <v/>
      </c>
    </row>
    <row r="6" spans="1:31" s="15" customFormat="1" x14ac:dyDescent="0.25">
      <c r="A6" s="15" t="s">
        <v>288</v>
      </c>
      <c r="B6" s="15">
        <f t="shared" si="0"/>
        <v>1</v>
      </c>
      <c r="C6" s="15" t="str">
        <f t="shared" si="1"/>
        <v>B</v>
      </c>
      <c r="D6" s="11" t="e">
        <f>IF($C6="B",VLOOKUP($A6,Bat!$A$4:$BG$1419,D$1,FALSE),VLOOKUP($A6,Pit!$A$4:$BA$557,D$2,FALSE))</f>
        <v>#N/A</v>
      </c>
      <c r="E6" s="10" t="e">
        <f>IF($C6="B",VLOOKUP($A6,Bat!$A$4:$BG$1419,E$1,FALSE),VLOOKUP($A6,Pit!$A$4:$BA$557,E$2,FALSE))</f>
        <v>#N/A</v>
      </c>
      <c r="F6" s="10" t="e">
        <f>IF($C6="B",VLOOKUP($A6,Bat!$A$4:$BG$1419,F$1,FALSE),VLOOKUP($A6,Pit!$A$4:$BA$557,F$2,FALSE))</f>
        <v>#N/A</v>
      </c>
      <c r="G6" s="10" t="e">
        <f>IF($C6="B",VLOOKUP($A6,Bat!$A$4:$BG$1419,G$1,FALSE),VLOOKUP($A6,Pit!$A$4:$BA$557,G$2,FALSE))</f>
        <v>#N/A</v>
      </c>
      <c r="H6" s="10" t="e">
        <f>IF($C6="B",VLOOKUP($A6,Bat!$A$4:$BG$1419,H$1,FALSE),VLOOKUP($A6,Pit!$A$4:$BA$557,H$2,FALSE))</f>
        <v>#N/A</v>
      </c>
      <c r="I6" s="10" t="e">
        <f>IF($C6="B",VLOOKUP($A6,Bat!$A$4:$BG$1419,I$1,FALSE),VLOOKUP($A6,Pit!$A$4:$BA$557,I$2,FALSE))</f>
        <v>#N/A</v>
      </c>
      <c r="J6" s="10" t="e">
        <f>IF($C6="B",VLOOKUP($A6,Bat!$A$4:$BG$1419,J$1,FALSE),VLOOKUP($A6,Pit!$A$4:$BA$557,J$2,FALSE))</f>
        <v>#N/A</v>
      </c>
      <c r="K6" s="11" t="e">
        <f>IF($C6="B",VLOOKUP($A6,Bat!$A$4:$BG$1419,K$1,FALSE),VLOOKUP($A6,Pit!$A$4:$BA$557,K$2,FALSE))</f>
        <v>#N/A</v>
      </c>
      <c r="L6" s="10" t="e">
        <f>IF($C6="B",VLOOKUP($A6,Bat!$A$4:$BG$1419,L$1,FALSE),VLOOKUP($A6,Pit!$A$4:$BA$557,L$2,FALSE))</f>
        <v>#N/A</v>
      </c>
      <c r="M6" s="10" t="e">
        <f>IF($C6="B",VLOOKUP($A6,Bat!$A$4:$BG$1419,M$1,FALSE),VLOOKUP($A6,Pit!$A$4:$BA$557,M$2,FALSE))</f>
        <v>#N/A</v>
      </c>
      <c r="N6" s="10" t="e">
        <f>IF($C6="B",VLOOKUP($A6,Bat!$A$4:$BG$1419,N$1,FALSE),VLOOKUP($A6,Pit!$A$4:$BA$557,N$2,FALSE))</f>
        <v>#N/A</v>
      </c>
      <c r="O6" s="10" t="e">
        <f>IF($C6="B",VLOOKUP($A6,Bat!$A$4:$BG$1419,O$1,FALSE),VLOOKUP($A6,Pit!$A$4:$BA$557,O$2,FALSE))</f>
        <v>#N/A</v>
      </c>
      <c r="P6" s="11" t="e">
        <f>IF($C6="B",VLOOKUP($A6,Bat!$A$4:$BG$1419,P$1,FALSE),VLOOKUP($A6,Pit!$A$4:$BA$557,P$2,FALSE))</f>
        <v>#N/A</v>
      </c>
      <c r="Q6" s="12" t="e">
        <f>IF($C6="B",VLOOKUP($A6,Bat!$A$4:$BG$1419,Q$1,FALSE),VLOOKUP($A6,Pit!$A$4:$BA$557,Q$2,FALSE))</f>
        <v>#N/A</v>
      </c>
      <c r="R6" s="13" t="e">
        <f>IF($C6="B",VLOOKUP($A6,Bat!$A$4:$BG$1419,R$1,FALSE),VLOOKUP($A6,Pit!$A$4:$BA$557,R$2,FALSE))</f>
        <v>#N/A</v>
      </c>
      <c r="S6" s="14" t="e">
        <f>IF($C6="B",VLOOKUP($A6,Bat!$A$4:$BG$1419,S$1,FALSE),VLOOKUP($A6,Pit!$A$4:$BA$557,S$2,FALSE))</f>
        <v>#N/A</v>
      </c>
      <c r="T6" s="11" t="e">
        <f>VLOOKUP(IF($C6="B",VLOOKUP($A6,Bat!$A$4:$AV$1657,T$1,FALSE),VLOOKUP($A6,Pit!$A$4:$BE$557,T$2,FALSE)),COND!$A$35:$B$41,2,FALSE)</f>
        <v>#N/A</v>
      </c>
      <c r="V6" s="15" t="e">
        <f t="shared" si="2"/>
        <v>#N/A</v>
      </c>
      <c r="W6" s="16" t="e">
        <f t="shared" si="3"/>
        <v>#N/A</v>
      </c>
      <c r="X6" s="10" t="str">
        <f>IFERROR(VLOOKUP($D6,Results37!$F$3:$G$1400,X$1,FALSE),"")</f>
        <v/>
      </c>
      <c r="Y6" s="10" t="str">
        <f>IFERROR(VLOOKUP($D6,Results37!$F$3:$G$1400,Y$1,FALSE),"")</f>
        <v/>
      </c>
      <c r="Z6" s="10" t="str">
        <f>IFERROR(VLOOKUP($D6,Results37!$F$3:$G$1400,Z$1,FALSE),"")</f>
        <v/>
      </c>
      <c r="AA6" s="10" t="str">
        <f>IFERROR(VLOOKUP($D6,Results37!$F$3:$G$1400,AA$1,FALSE),"")</f>
        <v/>
      </c>
    </row>
    <row r="7" spans="1:31" s="15" customFormat="1" x14ac:dyDescent="0.25">
      <c r="A7" s="15" t="s">
        <v>283</v>
      </c>
      <c r="B7" s="15">
        <f t="shared" si="0"/>
        <v>1</v>
      </c>
      <c r="C7" s="15" t="str">
        <f t="shared" si="1"/>
        <v>P</v>
      </c>
      <c r="D7" s="11" t="e">
        <f>IF($C7="B",VLOOKUP($A7,Bat!$A$4:$BG$1419,D$1,FALSE),VLOOKUP($A7,Pit!$A$4:$BA$557,D$2,FALSE))</f>
        <v>#N/A</v>
      </c>
      <c r="E7" s="10" t="e">
        <f>IF($C7="B",VLOOKUP($A7,Bat!$A$4:$BG$1419,E$1,FALSE),VLOOKUP($A7,Pit!$A$4:$BA$557,E$2,FALSE))</f>
        <v>#N/A</v>
      </c>
      <c r="F7" s="10" t="e">
        <f>IF($C7="B",VLOOKUP($A7,Bat!$A$4:$BG$1419,F$1,FALSE),VLOOKUP($A7,Pit!$A$4:$BA$557,F$2,FALSE))</f>
        <v>#N/A</v>
      </c>
      <c r="G7" s="10" t="e">
        <f>IF($C7="B",VLOOKUP($A7,Bat!$A$4:$BG$1419,G$1,FALSE),VLOOKUP($A7,Pit!$A$4:$BA$557,G$2,FALSE))</f>
        <v>#N/A</v>
      </c>
      <c r="H7" s="10" t="e">
        <f>IF($C7="B",VLOOKUP($A7,Bat!$A$4:$BG$1419,H$1,FALSE),VLOOKUP($A7,Pit!$A$4:$BA$557,H$2,FALSE))</f>
        <v>#N/A</v>
      </c>
      <c r="I7" s="10" t="e">
        <f>IF($C7="B",VLOOKUP($A7,Bat!$A$4:$BG$1419,I$1,FALSE),VLOOKUP($A7,Pit!$A$4:$BA$557,I$2,FALSE))</f>
        <v>#N/A</v>
      </c>
      <c r="J7" s="10" t="e">
        <f>IF($C7="B",VLOOKUP($A7,Bat!$A$4:$BG$1419,J$1,FALSE),VLOOKUP($A7,Pit!$A$4:$BA$557,J$2,FALSE))</f>
        <v>#N/A</v>
      </c>
      <c r="K7" s="11" t="e">
        <f>IF($C7="B",VLOOKUP($A7,Bat!$A$4:$BG$1419,K$1,FALSE),VLOOKUP($A7,Pit!$A$4:$BA$557,K$2,FALSE))</f>
        <v>#N/A</v>
      </c>
      <c r="L7" s="10" t="e">
        <f>IF($C7="B",VLOOKUP($A7,Bat!$A$4:$BG$1419,L$1,FALSE),VLOOKUP($A7,Pit!$A$4:$BA$557,L$2,FALSE))</f>
        <v>#N/A</v>
      </c>
      <c r="M7" s="10" t="e">
        <f>IF($C7="B",VLOOKUP($A7,Bat!$A$4:$BG$1419,M$1,FALSE),VLOOKUP($A7,Pit!$A$4:$BA$557,M$2,FALSE))</f>
        <v>#N/A</v>
      </c>
      <c r="N7" s="10" t="e">
        <f>IF($C7="B",VLOOKUP($A7,Bat!$A$4:$BG$1419,N$1,FALSE),VLOOKUP($A7,Pit!$A$4:$BA$557,N$2,FALSE))</f>
        <v>#N/A</v>
      </c>
      <c r="O7" s="10" t="e">
        <f>IF($C7="B",VLOOKUP($A7,Bat!$A$4:$BG$1419,O$1,FALSE),VLOOKUP($A7,Pit!$A$4:$BA$557,O$2,FALSE))</f>
        <v>#N/A</v>
      </c>
      <c r="P7" s="11" t="e">
        <f>IF($C7="B",VLOOKUP($A7,Bat!$A$4:$BG$1419,P$1,FALSE),VLOOKUP($A7,Pit!$A$4:$BA$557,P$2,FALSE))</f>
        <v>#N/A</v>
      </c>
      <c r="Q7" s="12" t="e">
        <f>IF($C7="B",VLOOKUP($A7,Bat!$A$4:$BG$1419,Q$1,FALSE),VLOOKUP($A7,Pit!$A$4:$BA$557,Q$2,FALSE))</f>
        <v>#N/A</v>
      </c>
      <c r="R7" s="13" t="e">
        <f>IF($C7="B",VLOOKUP($A7,Bat!$A$4:$BG$1419,R$1,FALSE),VLOOKUP($A7,Pit!$A$4:$BA$557,R$2,FALSE))</f>
        <v>#N/A</v>
      </c>
      <c r="S7" s="14" t="e">
        <f>IF($C7="B",VLOOKUP($A7,Bat!$A$4:$BG$1419,S$1,FALSE),VLOOKUP($A7,Pit!$A$4:$BA$557,S$2,FALSE))</f>
        <v>#N/A</v>
      </c>
      <c r="T7" s="11" t="e">
        <f>VLOOKUP(IF($C7="B",VLOOKUP($A7,Bat!$A$4:$AV$1657,T$1,FALSE),VLOOKUP($A7,Pit!$A$4:$BE$557,T$2,FALSE)),COND!$A$35:$B$41,2,FALSE)</f>
        <v>#N/A</v>
      </c>
      <c r="V7" s="15" t="e">
        <f t="shared" si="2"/>
        <v>#N/A</v>
      </c>
      <c r="W7" s="16" t="e">
        <f t="shared" si="3"/>
        <v>#N/A</v>
      </c>
      <c r="X7" s="10" t="str">
        <f>IFERROR(VLOOKUP($D7,Results37!$F$3:$G$1400,X$1,FALSE),"")</f>
        <v/>
      </c>
      <c r="Y7" s="10" t="str">
        <f>IFERROR(VLOOKUP($D7,Results37!$F$3:$G$1400,Y$1,FALSE),"")</f>
        <v/>
      </c>
      <c r="Z7" s="10" t="str">
        <f>IFERROR(VLOOKUP($D7,Results37!$F$3:$G$1400,Z$1,FALSE),"")</f>
        <v/>
      </c>
      <c r="AA7" s="10" t="str">
        <f>IFERROR(VLOOKUP($D7,Results37!$F$3:$G$1400,AA$1,FALSE),"")</f>
        <v/>
      </c>
    </row>
    <row r="8" spans="1:31" s="15" customFormat="1" x14ac:dyDescent="0.25">
      <c r="A8" s="15" t="s">
        <v>277</v>
      </c>
      <c r="B8" s="15">
        <f t="shared" si="0"/>
        <v>1</v>
      </c>
      <c r="C8" s="15" t="str">
        <f t="shared" si="1"/>
        <v>B</v>
      </c>
      <c r="D8" s="11" t="e">
        <f>IF($C8="B",VLOOKUP($A8,Bat!$A$4:$BG$1419,D$1,FALSE),VLOOKUP($A8,Pit!$A$4:$BA$557,D$2,FALSE))</f>
        <v>#N/A</v>
      </c>
      <c r="E8" s="10" t="e">
        <f>IF($C8="B",VLOOKUP($A8,Bat!$A$4:$BG$1419,E$1,FALSE),VLOOKUP($A8,Pit!$A$4:$BA$557,E$2,FALSE))</f>
        <v>#N/A</v>
      </c>
      <c r="F8" s="10" t="e">
        <f>IF($C8="B",VLOOKUP($A8,Bat!$A$4:$BG$1419,F$1,FALSE),VLOOKUP($A8,Pit!$A$4:$BA$557,F$2,FALSE))</f>
        <v>#N/A</v>
      </c>
      <c r="G8" s="10" t="e">
        <f>IF($C8="B",VLOOKUP($A8,Bat!$A$4:$BG$1419,G$1,FALSE),VLOOKUP($A8,Pit!$A$4:$BA$557,G$2,FALSE))</f>
        <v>#N/A</v>
      </c>
      <c r="H8" s="10" t="e">
        <f>IF($C8="B",VLOOKUP($A8,Bat!$A$4:$BG$1419,H$1,FALSE),VLOOKUP($A8,Pit!$A$4:$BA$557,H$2,FALSE))</f>
        <v>#N/A</v>
      </c>
      <c r="I8" s="10" t="e">
        <f>IF($C8="B",VLOOKUP($A8,Bat!$A$4:$BG$1419,I$1,FALSE),VLOOKUP($A8,Pit!$A$4:$BA$557,I$2,FALSE))</f>
        <v>#N/A</v>
      </c>
      <c r="J8" s="10" t="e">
        <f>IF($C8="B",VLOOKUP($A8,Bat!$A$4:$BG$1419,J$1,FALSE),VLOOKUP($A8,Pit!$A$4:$BA$557,J$2,FALSE))</f>
        <v>#N/A</v>
      </c>
      <c r="K8" s="11" t="e">
        <f>IF($C8="B",VLOOKUP($A8,Bat!$A$4:$BG$1419,K$1,FALSE),VLOOKUP($A8,Pit!$A$4:$BA$557,K$2,FALSE))</f>
        <v>#N/A</v>
      </c>
      <c r="L8" s="10" t="e">
        <f>IF($C8="B",VLOOKUP($A8,Bat!$A$4:$BG$1419,L$1,FALSE),VLOOKUP($A8,Pit!$A$4:$BA$557,L$2,FALSE))</f>
        <v>#N/A</v>
      </c>
      <c r="M8" s="10" t="e">
        <f>IF($C8="B",VLOOKUP($A8,Bat!$A$4:$BG$1419,M$1,FALSE),VLOOKUP($A8,Pit!$A$4:$BA$557,M$2,FALSE))</f>
        <v>#N/A</v>
      </c>
      <c r="N8" s="10" t="e">
        <f>IF($C8="B",VLOOKUP($A8,Bat!$A$4:$BG$1419,N$1,FALSE),VLOOKUP($A8,Pit!$A$4:$BA$557,N$2,FALSE))</f>
        <v>#N/A</v>
      </c>
      <c r="O8" s="10" t="e">
        <f>IF($C8="B",VLOOKUP($A8,Bat!$A$4:$BG$1419,O$1,FALSE),VLOOKUP($A8,Pit!$A$4:$BA$557,O$2,FALSE))</f>
        <v>#N/A</v>
      </c>
      <c r="P8" s="11" t="e">
        <f>IF($C8="B",VLOOKUP($A8,Bat!$A$4:$BG$1419,P$1,FALSE),VLOOKUP($A8,Pit!$A$4:$BA$557,P$2,FALSE))</f>
        <v>#N/A</v>
      </c>
      <c r="Q8" s="12" t="e">
        <f>IF($C8="B",VLOOKUP($A8,Bat!$A$4:$BG$1419,Q$1,FALSE),VLOOKUP($A8,Pit!$A$4:$BA$557,Q$2,FALSE))</f>
        <v>#N/A</v>
      </c>
      <c r="R8" s="13" t="e">
        <f>IF($C8="B",VLOOKUP($A8,Bat!$A$4:$BG$1419,R$1,FALSE),VLOOKUP($A8,Pit!$A$4:$BA$557,R$2,FALSE))</f>
        <v>#N/A</v>
      </c>
      <c r="S8" s="14" t="e">
        <f>IF($C8="B",VLOOKUP($A8,Bat!$A$4:$BG$1419,S$1,FALSE),VLOOKUP($A8,Pit!$A$4:$BA$557,S$2,FALSE))</f>
        <v>#N/A</v>
      </c>
      <c r="T8" s="11" t="e">
        <f>VLOOKUP(IF($C8="B",VLOOKUP($A8,Bat!$A$4:$AV$1657,T$1,FALSE),VLOOKUP($A8,Pit!$A$4:$BE$557,T$2,FALSE)),COND!$A$35:$B$41,2,FALSE)</f>
        <v>#N/A</v>
      </c>
      <c r="V8" s="15" t="e">
        <f t="shared" si="2"/>
        <v>#N/A</v>
      </c>
      <c r="W8" s="16" t="e">
        <f t="shared" si="3"/>
        <v>#N/A</v>
      </c>
      <c r="X8" s="10" t="str">
        <f>IFERROR(VLOOKUP($D8,Results37!$F$3:$G$1400,X$1,FALSE),"")</f>
        <v/>
      </c>
      <c r="Y8" s="10" t="str">
        <f>IFERROR(VLOOKUP($D8,Results37!$F$3:$G$1400,Y$1,FALSE),"")</f>
        <v/>
      </c>
      <c r="Z8" s="10" t="str">
        <f>IFERROR(VLOOKUP($D8,Results37!$F$3:$G$1400,Z$1,FALSE),"")</f>
        <v/>
      </c>
      <c r="AA8" s="10" t="str">
        <f>IFERROR(VLOOKUP($D8,Results37!$F$3:$G$1400,AA$1,FALSE),"")</f>
        <v/>
      </c>
    </row>
    <row r="9" spans="1:31" s="15" customFormat="1" x14ac:dyDescent="0.25">
      <c r="A9" s="15" t="s">
        <v>278</v>
      </c>
      <c r="B9" s="15">
        <f t="shared" si="0"/>
        <v>1</v>
      </c>
      <c r="C9" s="15" t="str">
        <f t="shared" si="1"/>
        <v>B</v>
      </c>
      <c r="D9" s="11" t="e">
        <f>IF($C9="B",VLOOKUP($A9,Bat!$A$4:$BG$1419,D$1,FALSE),VLOOKUP($A9,Pit!$A$4:$BA$557,D$2,FALSE))</f>
        <v>#N/A</v>
      </c>
      <c r="E9" s="10" t="e">
        <f>IF($C9="B",VLOOKUP($A9,Bat!$A$4:$BG$1419,E$1,FALSE),VLOOKUP($A9,Pit!$A$4:$BA$557,E$2,FALSE))</f>
        <v>#N/A</v>
      </c>
      <c r="F9" s="10" t="e">
        <f>IF($C9="B",VLOOKUP($A9,Bat!$A$4:$BG$1419,F$1,FALSE),VLOOKUP($A9,Pit!$A$4:$BA$557,F$2,FALSE))</f>
        <v>#N/A</v>
      </c>
      <c r="G9" s="10" t="e">
        <f>IF($C9="B",VLOOKUP($A9,Bat!$A$4:$BG$1419,G$1,FALSE),VLOOKUP($A9,Pit!$A$4:$BA$557,G$2,FALSE))</f>
        <v>#N/A</v>
      </c>
      <c r="H9" s="10" t="e">
        <f>IF($C9="B",VLOOKUP($A9,Bat!$A$4:$BG$1419,H$1,FALSE),VLOOKUP($A9,Pit!$A$4:$BA$557,H$2,FALSE))</f>
        <v>#N/A</v>
      </c>
      <c r="I9" s="10" t="e">
        <f>IF($C9="B",VLOOKUP($A9,Bat!$A$4:$BG$1419,I$1,FALSE),VLOOKUP($A9,Pit!$A$4:$BA$557,I$2,FALSE))</f>
        <v>#N/A</v>
      </c>
      <c r="J9" s="10" t="e">
        <f>IF($C9="B",VLOOKUP($A9,Bat!$A$4:$BG$1419,J$1,FALSE),VLOOKUP($A9,Pit!$A$4:$BA$557,J$2,FALSE))</f>
        <v>#N/A</v>
      </c>
      <c r="K9" s="11" t="e">
        <f>IF($C9="B",VLOOKUP($A9,Bat!$A$4:$BG$1419,K$1,FALSE),VLOOKUP($A9,Pit!$A$4:$BA$557,K$2,FALSE))</f>
        <v>#N/A</v>
      </c>
      <c r="L9" s="10" t="e">
        <f>IF($C9="B",VLOOKUP($A9,Bat!$A$4:$BG$1419,L$1,FALSE),VLOOKUP($A9,Pit!$A$4:$BA$557,L$2,FALSE))</f>
        <v>#N/A</v>
      </c>
      <c r="M9" s="10" t="e">
        <f>IF($C9="B",VLOOKUP($A9,Bat!$A$4:$BG$1419,M$1,FALSE),VLOOKUP($A9,Pit!$A$4:$BA$557,M$2,FALSE))</f>
        <v>#N/A</v>
      </c>
      <c r="N9" s="10" t="e">
        <f>IF($C9="B",VLOOKUP($A9,Bat!$A$4:$BG$1419,N$1,FALSE),VLOOKUP($A9,Pit!$A$4:$BA$557,N$2,FALSE))</f>
        <v>#N/A</v>
      </c>
      <c r="O9" s="10" t="e">
        <f>IF($C9="B",VLOOKUP($A9,Bat!$A$4:$BG$1419,O$1,FALSE),VLOOKUP($A9,Pit!$A$4:$BA$557,O$2,FALSE))</f>
        <v>#N/A</v>
      </c>
      <c r="P9" s="11" t="e">
        <f>IF($C9="B",VLOOKUP($A9,Bat!$A$4:$BG$1419,P$1,FALSE),VLOOKUP($A9,Pit!$A$4:$BA$557,P$2,FALSE))</f>
        <v>#N/A</v>
      </c>
      <c r="Q9" s="12" t="e">
        <f>IF($C9="B",VLOOKUP($A9,Bat!$A$4:$BG$1419,Q$1,FALSE),VLOOKUP($A9,Pit!$A$4:$BA$557,Q$2,FALSE))</f>
        <v>#N/A</v>
      </c>
      <c r="R9" s="13" t="e">
        <f>IF($C9="B",VLOOKUP($A9,Bat!$A$4:$BG$1419,R$1,FALSE),VLOOKUP($A9,Pit!$A$4:$BA$557,R$2,FALSE))</f>
        <v>#N/A</v>
      </c>
      <c r="S9" s="14" t="e">
        <f>IF($C9="B",VLOOKUP($A9,Bat!$A$4:$BG$1419,S$1,FALSE),VLOOKUP($A9,Pit!$A$4:$BA$557,S$2,FALSE))</f>
        <v>#N/A</v>
      </c>
      <c r="T9" s="11" t="e">
        <f>VLOOKUP(IF($C9="B",VLOOKUP($A9,Bat!$A$4:$AV$1657,T$1,FALSE),VLOOKUP($A9,Pit!$A$4:$BE$557,T$2,FALSE)),COND!$A$35:$B$41,2,FALSE)</f>
        <v>#N/A</v>
      </c>
      <c r="V9" s="15" t="e">
        <f t="shared" si="2"/>
        <v>#N/A</v>
      </c>
      <c r="W9" s="16" t="e">
        <f t="shared" si="3"/>
        <v>#N/A</v>
      </c>
      <c r="X9" s="10" t="str">
        <f>IFERROR(VLOOKUP($D9,Results37!$F$3:$G$1400,X$1,FALSE),"")</f>
        <v/>
      </c>
      <c r="Y9" s="10" t="str">
        <f>IFERROR(VLOOKUP($D9,Results37!$F$3:$G$1400,Y$1,FALSE),"")</f>
        <v/>
      </c>
      <c r="Z9" s="10" t="str">
        <f>IFERROR(VLOOKUP($D9,Results37!$F$3:$G$1400,Z$1,FALSE),"")</f>
        <v/>
      </c>
      <c r="AA9" s="10" t="str">
        <f>IFERROR(VLOOKUP($D9,Results37!$F$3:$G$1400,AA$1,FALSE),"")</f>
        <v/>
      </c>
    </row>
    <row r="10" spans="1:31" s="15" customFormat="1" x14ac:dyDescent="0.25">
      <c r="A10" s="15" t="s">
        <v>282</v>
      </c>
      <c r="B10" s="15">
        <f t="shared" si="0"/>
        <v>1</v>
      </c>
      <c r="C10" s="15" t="str">
        <f t="shared" si="1"/>
        <v>P</v>
      </c>
      <c r="D10" s="11" t="e">
        <f>IF($C10="B",VLOOKUP($A10,Bat!$A$4:$BG$1419,D$1,FALSE),VLOOKUP($A10,Pit!$A$4:$BA$557,D$2,FALSE))</f>
        <v>#N/A</v>
      </c>
      <c r="E10" s="10" t="e">
        <f>IF($C10="B",VLOOKUP($A10,Bat!$A$4:$BG$1419,E$1,FALSE),VLOOKUP($A10,Pit!$A$4:$BA$557,E$2,FALSE))</f>
        <v>#N/A</v>
      </c>
      <c r="F10" s="10" t="e">
        <f>IF($C10="B",VLOOKUP($A10,Bat!$A$4:$BG$1419,F$1,FALSE),VLOOKUP($A10,Pit!$A$4:$BA$557,F$2,FALSE))</f>
        <v>#N/A</v>
      </c>
      <c r="G10" s="10" t="e">
        <f>IF($C10="B",VLOOKUP($A10,Bat!$A$4:$BG$1419,G$1,FALSE),VLOOKUP($A10,Pit!$A$4:$BA$557,G$2,FALSE))</f>
        <v>#N/A</v>
      </c>
      <c r="H10" s="10" t="e">
        <f>IF($C10="B",VLOOKUP($A10,Bat!$A$4:$BG$1419,H$1,FALSE),VLOOKUP($A10,Pit!$A$4:$BA$557,H$2,FALSE))</f>
        <v>#N/A</v>
      </c>
      <c r="I10" s="10" t="e">
        <f>IF($C10="B",VLOOKUP($A10,Bat!$A$4:$BG$1419,I$1,FALSE),VLOOKUP($A10,Pit!$A$4:$BA$557,I$2,FALSE))</f>
        <v>#N/A</v>
      </c>
      <c r="J10" s="10" t="e">
        <f>IF($C10="B",VLOOKUP($A10,Bat!$A$4:$BG$1419,J$1,FALSE),VLOOKUP($A10,Pit!$A$4:$BA$557,J$2,FALSE))</f>
        <v>#N/A</v>
      </c>
      <c r="K10" s="11" t="e">
        <f>IF($C10="B",VLOOKUP($A10,Bat!$A$4:$BG$1419,K$1,FALSE),VLOOKUP($A10,Pit!$A$4:$BA$557,K$2,FALSE))</f>
        <v>#N/A</v>
      </c>
      <c r="L10" s="10" t="e">
        <f>IF($C10="B",VLOOKUP($A10,Bat!$A$4:$BG$1419,L$1,FALSE),VLOOKUP($A10,Pit!$A$4:$BA$557,L$2,FALSE))</f>
        <v>#N/A</v>
      </c>
      <c r="M10" s="10" t="e">
        <f>IF($C10="B",VLOOKUP($A10,Bat!$A$4:$BG$1419,M$1,FALSE),VLOOKUP($A10,Pit!$A$4:$BA$557,M$2,FALSE))</f>
        <v>#N/A</v>
      </c>
      <c r="N10" s="10" t="e">
        <f>IF($C10="B",VLOOKUP($A10,Bat!$A$4:$BG$1419,N$1,FALSE),VLOOKUP($A10,Pit!$A$4:$BA$557,N$2,FALSE))</f>
        <v>#N/A</v>
      </c>
      <c r="O10" s="10" t="e">
        <f>IF($C10="B",VLOOKUP($A10,Bat!$A$4:$BG$1419,O$1,FALSE),VLOOKUP($A10,Pit!$A$4:$BA$557,O$2,FALSE))</f>
        <v>#N/A</v>
      </c>
      <c r="P10" s="11" t="e">
        <f>IF($C10="B",VLOOKUP($A10,Bat!$A$4:$BG$1419,P$1,FALSE),VLOOKUP($A10,Pit!$A$4:$BA$557,P$2,FALSE))</f>
        <v>#N/A</v>
      </c>
      <c r="Q10" s="12" t="e">
        <f>IF($C10="B",VLOOKUP($A10,Bat!$A$4:$BG$1419,Q$1,FALSE),VLOOKUP($A10,Pit!$A$4:$BA$557,Q$2,FALSE))</f>
        <v>#N/A</v>
      </c>
      <c r="R10" s="13" t="e">
        <f>IF($C10="B",VLOOKUP($A10,Bat!$A$4:$BG$1419,R$1,FALSE),VLOOKUP($A10,Pit!$A$4:$BA$557,R$2,FALSE))</f>
        <v>#N/A</v>
      </c>
      <c r="S10" s="14" t="e">
        <f>IF($C10="B",VLOOKUP($A10,Bat!$A$4:$BG$1419,S$1,FALSE),VLOOKUP($A10,Pit!$A$4:$BA$557,S$2,FALSE))</f>
        <v>#N/A</v>
      </c>
      <c r="T10" s="11" t="e">
        <f>VLOOKUP(IF($C10="B",VLOOKUP($A10,Bat!$A$4:$AV$1657,T$1,FALSE),VLOOKUP($A10,Pit!$A$4:$BE$557,T$2,FALSE)),COND!$A$35:$B$41,2,FALSE)</f>
        <v>#N/A</v>
      </c>
      <c r="V10" s="15" t="e">
        <f t="shared" si="2"/>
        <v>#N/A</v>
      </c>
      <c r="W10" s="16" t="e">
        <f t="shared" si="3"/>
        <v>#N/A</v>
      </c>
      <c r="X10" s="10" t="str">
        <f>IFERROR(VLOOKUP($D10,Results37!$F$3:$G$1400,X$1,FALSE),"")</f>
        <v/>
      </c>
      <c r="Y10" s="10" t="str">
        <f>IFERROR(VLOOKUP($D10,Results37!$F$3:$G$1400,Y$1,FALSE),"")</f>
        <v/>
      </c>
      <c r="Z10" s="10" t="str">
        <f>IFERROR(VLOOKUP($D10,Results37!$F$3:$G$1400,Z$1,FALSE),"")</f>
        <v/>
      </c>
      <c r="AA10" s="10" t="str">
        <f>IFERROR(VLOOKUP($D10,Results37!$F$3:$G$1400,AA$1,FALSE),"")</f>
        <v/>
      </c>
    </row>
    <row r="11" spans="1:31" s="15" customFormat="1" x14ac:dyDescent="0.25">
      <c r="A11" s="15" t="s">
        <v>305</v>
      </c>
      <c r="B11" s="15">
        <f t="shared" si="0"/>
        <v>1</v>
      </c>
      <c r="C11" s="15" t="str">
        <f t="shared" si="1"/>
        <v>B</v>
      </c>
      <c r="D11" s="11" t="e">
        <f>IF($C11="B",VLOOKUP($A11,Bat!$A$4:$BG$1419,D$1,FALSE),VLOOKUP($A11,Pit!$A$4:$BA$557,D$2,FALSE))</f>
        <v>#N/A</v>
      </c>
      <c r="E11" s="10" t="e">
        <f>IF($C11="B",VLOOKUP($A11,Bat!$A$4:$BG$1419,E$1,FALSE),VLOOKUP($A11,Pit!$A$4:$BA$557,E$2,FALSE))</f>
        <v>#N/A</v>
      </c>
      <c r="F11" s="10" t="e">
        <f>IF($C11="B",VLOOKUP($A11,Bat!$A$4:$BG$1419,F$1,FALSE),VLOOKUP($A11,Pit!$A$4:$BA$557,F$2,FALSE))</f>
        <v>#N/A</v>
      </c>
      <c r="G11" s="10" t="e">
        <f>IF($C11="B",VLOOKUP($A11,Bat!$A$4:$BG$1419,G$1,FALSE),VLOOKUP($A11,Pit!$A$4:$BA$557,G$2,FALSE))</f>
        <v>#N/A</v>
      </c>
      <c r="H11" s="10" t="e">
        <f>IF($C11="B",VLOOKUP($A11,Bat!$A$4:$BG$1419,H$1,FALSE),VLOOKUP($A11,Pit!$A$4:$BA$557,H$2,FALSE))</f>
        <v>#N/A</v>
      </c>
      <c r="I11" s="10" t="e">
        <f>IF($C11="B",VLOOKUP($A11,Bat!$A$4:$BG$1419,I$1,FALSE),VLOOKUP($A11,Pit!$A$4:$BA$557,I$2,FALSE))</f>
        <v>#N/A</v>
      </c>
      <c r="J11" s="10" t="e">
        <f>IF($C11="B",VLOOKUP($A11,Bat!$A$4:$BG$1419,J$1,FALSE),VLOOKUP($A11,Pit!$A$4:$BA$557,J$2,FALSE))</f>
        <v>#N/A</v>
      </c>
      <c r="K11" s="11" t="e">
        <f>IF($C11="B",VLOOKUP($A11,Bat!$A$4:$BG$1419,K$1,FALSE),VLOOKUP($A11,Pit!$A$4:$BA$557,K$2,FALSE))</f>
        <v>#N/A</v>
      </c>
      <c r="L11" s="10" t="e">
        <f>IF($C11="B",VLOOKUP($A11,Bat!$A$4:$BG$1419,L$1,FALSE),VLOOKUP($A11,Pit!$A$4:$BA$557,L$2,FALSE))</f>
        <v>#N/A</v>
      </c>
      <c r="M11" s="10" t="e">
        <f>IF($C11="B",VLOOKUP($A11,Bat!$A$4:$BG$1419,M$1,FALSE),VLOOKUP($A11,Pit!$A$4:$BA$557,M$2,FALSE))</f>
        <v>#N/A</v>
      </c>
      <c r="N11" s="10" t="e">
        <f>IF($C11="B",VLOOKUP($A11,Bat!$A$4:$BG$1419,N$1,FALSE),VLOOKUP($A11,Pit!$A$4:$BA$557,N$2,FALSE))</f>
        <v>#N/A</v>
      </c>
      <c r="O11" s="10" t="e">
        <f>IF($C11="B",VLOOKUP($A11,Bat!$A$4:$BG$1419,O$1,FALSE),VLOOKUP($A11,Pit!$A$4:$BA$557,O$2,FALSE))</f>
        <v>#N/A</v>
      </c>
      <c r="P11" s="11" t="e">
        <f>IF($C11="B",VLOOKUP($A11,Bat!$A$4:$BG$1419,P$1,FALSE),VLOOKUP($A11,Pit!$A$4:$BA$557,P$2,FALSE))</f>
        <v>#N/A</v>
      </c>
      <c r="Q11" s="12" t="e">
        <f>IF($C11="B",VLOOKUP($A11,Bat!$A$4:$BG$1419,Q$1,FALSE),VLOOKUP($A11,Pit!$A$4:$BA$557,Q$2,FALSE))</f>
        <v>#N/A</v>
      </c>
      <c r="R11" s="13" t="e">
        <f>IF($C11="B",VLOOKUP($A11,Bat!$A$4:$BG$1419,R$1,FALSE),VLOOKUP($A11,Pit!$A$4:$BA$557,R$2,FALSE))</f>
        <v>#N/A</v>
      </c>
      <c r="S11" s="14" t="e">
        <f>IF($C11="B",VLOOKUP($A11,Bat!$A$4:$BG$1419,S$1,FALSE),VLOOKUP($A11,Pit!$A$4:$BA$557,S$2,FALSE))</f>
        <v>#N/A</v>
      </c>
      <c r="T11" s="11" t="e">
        <f>VLOOKUP(IF($C11="B",VLOOKUP($A11,Bat!$A$4:$AV$1657,T$1,FALSE),VLOOKUP($A11,Pit!$A$4:$BE$557,T$2,FALSE)),COND!$A$35:$B$41,2,FALSE)</f>
        <v>#N/A</v>
      </c>
      <c r="V11" s="15" t="e">
        <f t="shared" si="2"/>
        <v>#N/A</v>
      </c>
      <c r="W11" s="16" t="e">
        <f t="shared" si="3"/>
        <v>#N/A</v>
      </c>
      <c r="X11" s="10" t="str">
        <f>IFERROR(VLOOKUP($D11,Results37!$F$3:$G$1400,X$1,FALSE),"")</f>
        <v/>
      </c>
      <c r="Y11" s="10" t="str">
        <f>IFERROR(VLOOKUP($D11,Results37!$F$3:$G$1400,Y$1,FALSE),"")</f>
        <v/>
      </c>
      <c r="Z11" s="10" t="str">
        <f>IFERROR(VLOOKUP($D11,Results37!$F$3:$G$1400,Z$1,FALSE),"")</f>
        <v/>
      </c>
      <c r="AA11" s="10" t="str">
        <f>IFERROR(VLOOKUP($D11,Results37!$F$3:$G$1400,AA$1,FALSE),"")</f>
        <v/>
      </c>
    </row>
    <row r="12" spans="1:31" s="15" customFormat="1" x14ac:dyDescent="0.25">
      <c r="A12" s="15" t="s">
        <v>287</v>
      </c>
      <c r="B12" s="15">
        <f t="shared" si="0"/>
        <v>1</v>
      </c>
      <c r="C12" s="15" t="str">
        <f t="shared" si="1"/>
        <v>P</v>
      </c>
      <c r="D12" s="11" t="e">
        <f>IF($C12="B",VLOOKUP($A12,Bat!$A$4:$BG$1419,D$1,FALSE),VLOOKUP($A12,Pit!$A$4:$BA$557,D$2,FALSE))</f>
        <v>#N/A</v>
      </c>
      <c r="E12" s="10" t="e">
        <f>IF($C12="B",VLOOKUP($A12,Bat!$A$4:$BG$1419,E$1,FALSE),VLOOKUP($A12,Pit!$A$4:$BA$557,E$2,FALSE))</f>
        <v>#N/A</v>
      </c>
      <c r="F12" s="10" t="e">
        <f>IF($C12="B",VLOOKUP($A12,Bat!$A$4:$BG$1419,F$1,FALSE),VLOOKUP($A12,Pit!$A$4:$BA$557,F$2,FALSE))</f>
        <v>#N/A</v>
      </c>
      <c r="G12" s="10" t="e">
        <f>IF($C12="B",VLOOKUP($A12,Bat!$A$4:$BG$1419,G$1,FALSE),VLOOKUP($A12,Pit!$A$4:$BA$557,G$2,FALSE))</f>
        <v>#N/A</v>
      </c>
      <c r="H12" s="10" t="e">
        <f>IF($C12="B",VLOOKUP($A12,Bat!$A$4:$BG$1419,H$1,FALSE),VLOOKUP($A12,Pit!$A$4:$BA$557,H$2,FALSE))</f>
        <v>#N/A</v>
      </c>
      <c r="I12" s="10" t="e">
        <f>IF($C12="B",VLOOKUP($A12,Bat!$A$4:$BG$1419,I$1,FALSE),VLOOKUP($A12,Pit!$A$4:$BA$557,I$2,FALSE))</f>
        <v>#N/A</v>
      </c>
      <c r="J12" s="10" t="e">
        <f>IF($C12="B",VLOOKUP($A12,Bat!$A$4:$BG$1419,J$1,FALSE),VLOOKUP($A12,Pit!$A$4:$BA$557,J$2,FALSE))</f>
        <v>#N/A</v>
      </c>
      <c r="K12" s="11" t="e">
        <f>IF($C12="B",VLOOKUP($A12,Bat!$A$4:$BG$1419,K$1,FALSE),VLOOKUP($A12,Pit!$A$4:$BA$557,K$2,FALSE))</f>
        <v>#N/A</v>
      </c>
      <c r="L12" s="10" t="e">
        <f>IF($C12="B",VLOOKUP($A12,Bat!$A$4:$BG$1419,L$1,FALSE),VLOOKUP($A12,Pit!$A$4:$BA$557,L$2,FALSE))</f>
        <v>#N/A</v>
      </c>
      <c r="M12" s="10" t="e">
        <f>IF($C12="B",VLOOKUP($A12,Bat!$A$4:$BG$1419,M$1,FALSE),VLOOKUP($A12,Pit!$A$4:$BA$557,M$2,FALSE))</f>
        <v>#N/A</v>
      </c>
      <c r="N12" s="10" t="e">
        <f>IF($C12="B",VLOOKUP($A12,Bat!$A$4:$BG$1419,N$1,FALSE),VLOOKUP($A12,Pit!$A$4:$BA$557,N$2,FALSE))</f>
        <v>#N/A</v>
      </c>
      <c r="O12" s="10" t="e">
        <f>IF($C12="B",VLOOKUP($A12,Bat!$A$4:$BG$1419,O$1,FALSE),VLOOKUP($A12,Pit!$A$4:$BA$557,O$2,FALSE))</f>
        <v>#N/A</v>
      </c>
      <c r="P12" s="11" t="e">
        <f>IF($C12="B",VLOOKUP($A12,Bat!$A$4:$BG$1419,P$1,FALSE),VLOOKUP($A12,Pit!$A$4:$BA$557,P$2,FALSE))</f>
        <v>#N/A</v>
      </c>
      <c r="Q12" s="12" t="e">
        <f>IF($C12="B",VLOOKUP($A12,Bat!$A$4:$BG$1419,Q$1,FALSE),VLOOKUP($A12,Pit!$A$4:$BA$557,Q$2,FALSE))</f>
        <v>#N/A</v>
      </c>
      <c r="R12" s="13" t="e">
        <f>IF($C12="B",VLOOKUP($A12,Bat!$A$4:$BG$1419,R$1,FALSE),VLOOKUP($A12,Pit!$A$4:$BA$557,R$2,FALSE))</f>
        <v>#N/A</v>
      </c>
      <c r="S12" s="14" t="e">
        <f>IF($C12="B",VLOOKUP($A12,Bat!$A$4:$BG$1419,S$1,FALSE),VLOOKUP($A12,Pit!$A$4:$BA$557,S$2,FALSE))</f>
        <v>#N/A</v>
      </c>
      <c r="T12" s="11" t="e">
        <f>VLOOKUP(IF($C12="B",VLOOKUP($A12,Bat!$A$4:$AV$1657,T$1,FALSE),VLOOKUP($A12,Pit!$A$4:$BE$557,T$2,FALSE)),COND!$A$35:$B$41,2,FALSE)</f>
        <v>#N/A</v>
      </c>
      <c r="V12" s="15" t="e">
        <f t="shared" si="2"/>
        <v>#N/A</v>
      </c>
      <c r="W12" s="16" t="e">
        <f t="shared" si="3"/>
        <v>#N/A</v>
      </c>
      <c r="X12" s="10" t="str">
        <f>IFERROR(VLOOKUP($D12,Results37!$F$3:$G$1400,X$1,FALSE),"")</f>
        <v/>
      </c>
      <c r="Y12" s="10" t="str">
        <f>IFERROR(VLOOKUP($D12,Results37!$F$3:$G$1400,Y$1,FALSE),"")</f>
        <v/>
      </c>
      <c r="Z12" s="10" t="str">
        <f>IFERROR(VLOOKUP($D12,Results37!$F$3:$G$1400,Z$1,FALSE),"")</f>
        <v/>
      </c>
      <c r="AA12" s="10" t="str">
        <f>IFERROR(VLOOKUP($D12,Results37!$F$3:$G$1400,AA$1,FALSE),"")</f>
        <v/>
      </c>
    </row>
    <row r="13" spans="1:31" s="15" customFormat="1" x14ac:dyDescent="0.25">
      <c r="A13" s="15" t="s">
        <v>289</v>
      </c>
      <c r="B13" s="15">
        <f t="shared" si="0"/>
        <v>1</v>
      </c>
      <c r="C13" s="15" t="str">
        <f t="shared" si="1"/>
        <v>B</v>
      </c>
      <c r="D13" s="11" t="e">
        <f>IF($C13="B",VLOOKUP($A13,Bat!$A$4:$BG$1419,D$1,FALSE),VLOOKUP($A13,Pit!$A$4:$BA$557,D$2,FALSE))</f>
        <v>#N/A</v>
      </c>
      <c r="E13" s="10" t="e">
        <f>IF($C13="B",VLOOKUP($A13,Bat!$A$4:$BG$1419,E$1,FALSE),VLOOKUP($A13,Pit!$A$4:$BA$557,E$2,FALSE))</f>
        <v>#N/A</v>
      </c>
      <c r="F13" s="10" t="e">
        <f>IF($C13="B",VLOOKUP($A13,Bat!$A$4:$BG$1419,F$1,FALSE),VLOOKUP($A13,Pit!$A$4:$BA$557,F$2,FALSE))</f>
        <v>#N/A</v>
      </c>
      <c r="G13" s="10" t="e">
        <f>IF($C13="B",VLOOKUP($A13,Bat!$A$4:$BG$1419,G$1,FALSE),VLOOKUP($A13,Pit!$A$4:$BA$557,G$2,FALSE))</f>
        <v>#N/A</v>
      </c>
      <c r="H13" s="10" t="e">
        <f>IF($C13="B",VLOOKUP($A13,Bat!$A$4:$BG$1419,H$1,FALSE),VLOOKUP($A13,Pit!$A$4:$BA$557,H$2,FALSE))</f>
        <v>#N/A</v>
      </c>
      <c r="I13" s="10" t="e">
        <f>IF($C13="B",VLOOKUP($A13,Bat!$A$4:$BG$1419,I$1,FALSE),VLOOKUP($A13,Pit!$A$4:$BA$557,I$2,FALSE))</f>
        <v>#N/A</v>
      </c>
      <c r="J13" s="10" t="e">
        <f>IF($C13="B",VLOOKUP($A13,Bat!$A$4:$BG$1419,J$1,FALSE),VLOOKUP($A13,Pit!$A$4:$BA$557,J$2,FALSE))</f>
        <v>#N/A</v>
      </c>
      <c r="K13" s="11" t="e">
        <f>IF($C13="B",VLOOKUP($A13,Bat!$A$4:$BG$1419,K$1,FALSE),VLOOKUP($A13,Pit!$A$4:$BA$557,K$2,FALSE))</f>
        <v>#N/A</v>
      </c>
      <c r="L13" s="10" t="e">
        <f>IF($C13="B",VLOOKUP($A13,Bat!$A$4:$BG$1419,L$1,FALSE),VLOOKUP($A13,Pit!$A$4:$BA$557,L$2,FALSE))</f>
        <v>#N/A</v>
      </c>
      <c r="M13" s="10" t="e">
        <f>IF($C13="B",VLOOKUP($A13,Bat!$A$4:$BG$1419,M$1,FALSE),VLOOKUP($A13,Pit!$A$4:$BA$557,M$2,FALSE))</f>
        <v>#N/A</v>
      </c>
      <c r="N13" s="10" t="e">
        <f>IF($C13="B",VLOOKUP($A13,Bat!$A$4:$BG$1419,N$1,FALSE),VLOOKUP($A13,Pit!$A$4:$BA$557,N$2,FALSE))</f>
        <v>#N/A</v>
      </c>
      <c r="O13" s="10" t="e">
        <f>IF($C13="B",VLOOKUP($A13,Bat!$A$4:$BG$1419,O$1,FALSE),VLOOKUP($A13,Pit!$A$4:$BA$557,O$2,FALSE))</f>
        <v>#N/A</v>
      </c>
      <c r="P13" s="11" t="e">
        <f>IF($C13="B",VLOOKUP($A13,Bat!$A$4:$BG$1419,P$1,FALSE),VLOOKUP($A13,Pit!$A$4:$BA$557,P$2,FALSE))</f>
        <v>#N/A</v>
      </c>
      <c r="Q13" s="12" t="e">
        <f>IF($C13="B",VLOOKUP($A13,Bat!$A$4:$BG$1419,Q$1,FALSE),VLOOKUP($A13,Pit!$A$4:$BA$557,Q$2,FALSE))</f>
        <v>#N/A</v>
      </c>
      <c r="R13" s="13" t="e">
        <f>IF($C13="B",VLOOKUP($A13,Bat!$A$4:$BG$1419,R$1,FALSE),VLOOKUP($A13,Pit!$A$4:$BA$557,R$2,FALSE))</f>
        <v>#N/A</v>
      </c>
      <c r="S13" s="14" t="e">
        <f>IF($C13="B",VLOOKUP($A13,Bat!$A$4:$BG$1419,S$1,FALSE),VLOOKUP($A13,Pit!$A$4:$BA$557,S$2,FALSE))</f>
        <v>#N/A</v>
      </c>
      <c r="T13" s="11" t="e">
        <f>VLOOKUP(IF($C13="B",VLOOKUP($A13,Bat!$A$4:$AV$1657,T$1,FALSE),VLOOKUP($A13,Pit!$A$4:$BE$557,T$2,FALSE)),COND!$A$35:$B$41,2,FALSE)</f>
        <v>#N/A</v>
      </c>
      <c r="V13" s="15" t="e">
        <f t="shared" si="2"/>
        <v>#N/A</v>
      </c>
      <c r="W13" s="16" t="e">
        <f t="shared" si="3"/>
        <v>#N/A</v>
      </c>
      <c r="X13" s="10" t="str">
        <f>IFERROR(VLOOKUP($D13,Results37!$F$3:$G$1400,X$1,FALSE),"")</f>
        <v/>
      </c>
      <c r="Y13" s="10" t="str">
        <f>IFERROR(VLOOKUP($D13,Results37!$F$3:$G$1400,Y$1,FALSE),"")</f>
        <v/>
      </c>
      <c r="Z13" s="10" t="str">
        <f>IFERROR(VLOOKUP($D13,Results37!$F$3:$G$1400,Z$1,FALSE),"")</f>
        <v/>
      </c>
      <c r="AA13" s="10" t="str">
        <f>IFERROR(VLOOKUP($D13,Results37!$F$3:$G$1400,AA$1,FALSE),"")</f>
        <v/>
      </c>
    </row>
    <row r="14" spans="1:31" s="15" customFormat="1" x14ac:dyDescent="0.25">
      <c r="A14" s="15" t="s">
        <v>279</v>
      </c>
      <c r="B14" s="15">
        <f t="shared" si="0"/>
        <v>1</v>
      </c>
      <c r="C14" s="15" t="str">
        <f t="shared" si="1"/>
        <v>B</v>
      </c>
      <c r="D14" s="11" t="e">
        <f>IF($C14="B",VLOOKUP($A14,Bat!$A$4:$BG$1419,D$1,FALSE),VLOOKUP($A14,Pit!$A$4:$BA$557,D$2,FALSE))</f>
        <v>#N/A</v>
      </c>
      <c r="E14" s="10" t="e">
        <f>IF($C14="B",VLOOKUP($A14,Bat!$A$4:$BG$1419,E$1,FALSE),VLOOKUP($A14,Pit!$A$4:$BA$557,E$2,FALSE))</f>
        <v>#N/A</v>
      </c>
      <c r="F14" s="10" t="e">
        <f>IF($C14="B",VLOOKUP($A14,Bat!$A$4:$BG$1419,F$1,FALSE),VLOOKUP($A14,Pit!$A$4:$BA$557,F$2,FALSE))</f>
        <v>#N/A</v>
      </c>
      <c r="G14" s="10" t="e">
        <f>IF($C14="B",VLOOKUP($A14,Bat!$A$4:$BG$1419,G$1,FALSE),VLOOKUP($A14,Pit!$A$4:$BA$557,G$2,FALSE))</f>
        <v>#N/A</v>
      </c>
      <c r="H14" s="10" t="e">
        <f>IF($C14="B",VLOOKUP($A14,Bat!$A$4:$BG$1419,H$1,FALSE),VLOOKUP($A14,Pit!$A$4:$BA$557,H$2,FALSE))</f>
        <v>#N/A</v>
      </c>
      <c r="I14" s="10" t="e">
        <f>IF($C14="B",VLOOKUP($A14,Bat!$A$4:$BG$1419,I$1,FALSE),VLOOKUP($A14,Pit!$A$4:$BA$557,I$2,FALSE))</f>
        <v>#N/A</v>
      </c>
      <c r="J14" s="10" t="e">
        <f>IF($C14="B",VLOOKUP($A14,Bat!$A$4:$BG$1419,J$1,FALSE),VLOOKUP($A14,Pit!$A$4:$BA$557,J$2,FALSE))</f>
        <v>#N/A</v>
      </c>
      <c r="K14" s="11" t="e">
        <f>IF($C14="B",VLOOKUP($A14,Bat!$A$4:$BG$1419,K$1,FALSE),VLOOKUP($A14,Pit!$A$4:$BA$557,K$2,FALSE))</f>
        <v>#N/A</v>
      </c>
      <c r="L14" s="10" t="e">
        <f>IF($C14="B",VLOOKUP($A14,Bat!$A$4:$BG$1419,L$1,FALSE),VLOOKUP($A14,Pit!$A$4:$BA$557,L$2,FALSE))</f>
        <v>#N/A</v>
      </c>
      <c r="M14" s="10" t="e">
        <f>IF($C14="B",VLOOKUP($A14,Bat!$A$4:$BG$1419,M$1,FALSE),VLOOKUP($A14,Pit!$A$4:$BA$557,M$2,FALSE))</f>
        <v>#N/A</v>
      </c>
      <c r="N14" s="10" t="e">
        <f>IF($C14="B",VLOOKUP($A14,Bat!$A$4:$BG$1419,N$1,FALSE),VLOOKUP($A14,Pit!$A$4:$BA$557,N$2,FALSE))</f>
        <v>#N/A</v>
      </c>
      <c r="O14" s="10" t="e">
        <f>IF($C14="B",VLOOKUP($A14,Bat!$A$4:$BG$1419,O$1,FALSE),VLOOKUP($A14,Pit!$A$4:$BA$557,O$2,FALSE))</f>
        <v>#N/A</v>
      </c>
      <c r="P14" s="11" t="e">
        <f>IF($C14="B",VLOOKUP($A14,Bat!$A$4:$BG$1419,P$1,FALSE),VLOOKUP($A14,Pit!$A$4:$BA$557,P$2,FALSE))</f>
        <v>#N/A</v>
      </c>
      <c r="Q14" s="12" t="e">
        <f>IF($C14="B",VLOOKUP($A14,Bat!$A$4:$BG$1419,Q$1,FALSE),VLOOKUP($A14,Pit!$A$4:$BA$557,Q$2,FALSE))</f>
        <v>#N/A</v>
      </c>
      <c r="R14" s="13" t="e">
        <f>IF($C14="B",VLOOKUP($A14,Bat!$A$4:$BG$1419,R$1,FALSE),VLOOKUP($A14,Pit!$A$4:$BA$557,R$2,FALSE))</f>
        <v>#N/A</v>
      </c>
      <c r="S14" s="14" t="e">
        <f>IF($C14="B",VLOOKUP($A14,Bat!$A$4:$BG$1419,S$1,FALSE),VLOOKUP($A14,Pit!$A$4:$BA$557,S$2,FALSE))</f>
        <v>#N/A</v>
      </c>
      <c r="T14" s="11" t="e">
        <f>VLOOKUP(IF($C14="B",VLOOKUP($A14,Bat!$A$4:$AV$1657,T$1,FALSE),VLOOKUP($A14,Pit!$A$4:$BE$557,T$2,FALSE)),COND!$A$35:$B$41,2,FALSE)</f>
        <v>#N/A</v>
      </c>
      <c r="V14" s="15" t="e">
        <f t="shared" si="2"/>
        <v>#N/A</v>
      </c>
      <c r="W14" s="16" t="e">
        <f t="shared" si="3"/>
        <v>#N/A</v>
      </c>
      <c r="X14" s="10" t="str">
        <f>IFERROR(VLOOKUP($D14,Results37!$F$3:$G$1400,X$1,FALSE),"")</f>
        <v/>
      </c>
      <c r="Y14" s="10" t="str">
        <f>IFERROR(VLOOKUP($D14,Results37!$F$3:$G$1400,Y$1,FALSE),"")</f>
        <v/>
      </c>
      <c r="Z14" s="10" t="str">
        <f>IFERROR(VLOOKUP($D14,Results37!$F$3:$G$1400,Z$1,FALSE),"")</f>
        <v/>
      </c>
      <c r="AA14" s="10" t="str">
        <f>IFERROR(VLOOKUP($D14,Results37!$F$3:$G$1400,AA$1,FALSE),"")</f>
        <v/>
      </c>
    </row>
    <row r="15" spans="1:31" s="15" customFormat="1" x14ac:dyDescent="0.25">
      <c r="A15" s="15" t="s">
        <v>280</v>
      </c>
      <c r="B15" s="15">
        <f t="shared" si="0"/>
        <v>1</v>
      </c>
      <c r="C15" s="15" t="str">
        <f t="shared" si="1"/>
        <v>B</v>
      </c>
      <c r="D15" s="11" t="e">
        <f>IF($C15="B",VLOOKUP($A15,Bat!$A$4:$BG$1419,D$1,FALSE),VLOOKUP($A15,Pit!$A$4:$BA$557,D$2,FALSE))</f>
        <v>#N/A</v>
      </c>
      <c r="E15" s="10" t="e">
        <f>IF($C15="B",VLOOKUP($A15,Bat!$A$4:$BG$1419,E$1,FALSE),VLOOKUP($A15,Pit!$A$4:$BA$557,E$2,FALSE))</f>
        <v>#N/A</v>
      </c>
      <c r="F15" s="10" t="e">
        <f>IF($C15="B",VLOOKUP($A15,Bat!$A$4:$BG$1419,F$1,FALSE),VLOOKUP($A15,Pit!$A$4:$BA$557,F$2,FALSE))</f>
        <v>#N/A</v>
      </c>
      <c r="G15" s="10" t="e">
        <f>IF($C15="B",VLOOKUP($A15,Bat!$A$4:$BG$1419,G$1,FALSE),VLOOKUP($A15,Pit!$A$4:$BA$557,G$2,FALSE))</f>
        <v>#N/A</v>
      </c>
      <c r="H15" s="10" t="e">
        <f>IF($C15="B",VLOOKUP($A15,Bat!$A$4:$BG$1419,H$1,FALSE),VLOOKUP($A15,Pit!$A$4:$BA$557,H$2,FALSE))</f>
        <v>#N/A</v>
      </c>
      <c r="I15" s="10" t="e">
        <f>IF($C15="B",VLOOKUP($A15,Bat!$A$4:$BG$1419,I$1,FALSE),VLOOKUP($A15,Pit!$A$4:$BA$557,I$2,FALSE))</f>
        <v>#N/A</v>
      </c>
      <c r="J15" s="10" t="e">
        <f>IF($C15="B",VLOOKUP($A15,Bat!$A$4:$BG$1419,J$1,FALSE),VLOOKUP($A15,Pit!$A$4:$BA$557,J$2,FALSE))</f>
        <v>#N/A</v>
      </c>
      <c r="K15" s="11" t="e">
        <f>IF($C15="B",VLOOKUP($A15,Bat!$A$4:$BG$1419,K$1,FALSE),VLOOKUP($A15,Pit!$A$4:$BA$557,K$2,FALSE))</f>
        <v>#N/A</v>
      </c>
      <c r="L15" s="10" t="e">
        <f>IF($C15="B",VLOOKUP($A15,Bat!$A$4:$BG$1419,L$1,FALSE),VLOOKUP($A15,Pit!$A$4:$BA$557,L$2,FALSE))</f>
        <v>#N/A</v>
      </c>
      <c r="M15" s="10" t="e">
        <f>IF($C15="B",VLOOKUP($A15,Bat!$A$4:$BG$1419,M$1,FALSE),VLOOKUP($A15,Pit!$A$4:$BA$557,M$2,FALSE))</f>
        <v>#N/A</v>
      </c>
      <c r="N15" s="10" t="e">
        <f>IF($C15="B",VLOOKUP($A15,Bat!$A$4:$BG$1419,N$1,FALSE),VLOOKUP($A15,Pit!$A$4:$BA$557,N$2,FALSE))</f>
        <v>#N/A</v>
      </c>
      <c r="O15" s="10" t="e">
        <f>IF($C15="B",VLOOKUP($A15,Bat!$A$4:$BG$1419,O$1,FALSE),VLOOKUP($A15,Pit!$A$4:$BA$557,O$2,FALSE))</f>
        <v>#N/A</v>
      </c>
      <c r="P15" s="11" t="e">
        <f>IF($C15="B",VLOOKUP($A15,Bat!$A$4:$BG$1419,P$1,FALSE),VLOOKUP($A15,Pit!$A$4:$BA$557,P$2,FALSE))</f>
        <v>#N/A</v>
      </c>
      <c r="Q15" s="12" t="e">
        <f>IF($C15="B",VLOOKUP($A15,Bat!$A$4:$BG$1419,Q$1,FALSE),VLOOKUP($A15,Pit!$A$4:$BA$557,Q$2,FALSE))</f>
        <v>#N/A</v>
      </c>
      <c r="R15" s="13" t="e">
        <f>IF($C15="B",VLOOKUP($A15,Bat!$A$4:$BG$1419,R$1,FALSE),VLOOKUP($A15,Pit!$A$4:$BA$557,R$2,FALSE))</f>
        <v>#N/A</v>
      </c>
      <c r="S15" s="14" t="e">
        <f>IF($C15="B",VLOOKUP($A15,Bat!$A$4:$BG$1419,S$1,FALSE),VLOOKUP($A15,Pit!$A$4:$BA$557,S$2,FALSE))</f>
        <v>#N/A</v>
      </c>
      <c r="T15" s="11" t="e">
        <f>VLOOKUP(IF($C15="B",VLOOKUP($A15,Bat!$A$4:$AV$1657,T$1,FALSE),VLOOKUP($A15,Pit!$A$4:$BE$557,T$2,FALSE)),COND!$A$35:$B$41,2,FALSE)</f>
        <v>#N/A</v>
      </c>
      <c r="V15" s="15" t="e">
        <f t="shared" si="2"/>
        <v>#N/A</v>
      </c>
      <c r="W15" s="16" t="e">
        <f t="shared" si="3"/>
        <v>#N/A</v>
      </c>
      <c r="X15" s="10" t="str">
        <f>IFERROR(VLOOKUP($D15,Results37!$F$3:$G$1400,X$1,FALSE),"")</f>
        <v/>
      </c>
      <c r="Y15" s="10" t="str">
        <f>IFERROR(VLOOKUP($D15,Results37!$F$3:$G$1400,Y$1,FALSE),"")</f>
        <v/>
      </c>
      <c r="Z15" s="10" t="str">
        <f>IFERROR(VLOOKUP($D15,Results37!$F$3:$G$1400,Z$1,FALSE),"")</f>
        <v/>
      </c>
      <c r="AA15" s="10" t="str">
        <f>IFERROR(VLOOKUP($D15,Results37!$F$3:$G$1400,AA$1,FALSE),"")</f>
        <v/>
      </c>
    </row>
    <row r="16" spans="1:31" s="15" customFormat="1" x14ac:dyDescent="0.25">
      <c r="A16" s="15" t="s">
        <v>284</v>
      </c>
      <c r="B16" s="15">
        <f t="shared" si="0"/>
        <v>1</v>
      </c>
      <c r="C16" s="15" t="str">
        <f t="shared" si="1"/>
        <v>P</v>
      </c>
      <c r="D16" s="11" t="e">
        <f>IF($C16="B",VLOOKUP($A16,Bat!$A$4:$BG$1419,D$1,FALSE),VLOOKUP($A16,Pit!$A$4:$BA$557,D$2,FALSE))</f>
        <v>#N/A</v>
      </c>
      <c r="E16" s="10" t="e">
        <f>IF($C16="B",VLOOKUP($A16,Bat!$A$4:$BG$1419,E$1,FALSE),VLOOKUP($A16,Pit!$A$4:$BA$557,E$2,FALSE))</f>
        <v>#N/A</v>
      </c>
      <c r="F16" s="10" t="e">
        <f>IF($C16="B",VLOOKUP($A16,Bat!$A$4:$BG$1419,F$1,FALSE),VLOOKUP($A16,Pit!$A$4:$BA$557,F$2,FALSE))</f>
        <v>#N/A</v>
      </c>
      <c r="G16" s="10" t="e">
        <f>IF($C16="B",VLOOKUP($A16,Bat!$A$4:$BG$1419,G$1,FALSE),VLOOKUP($A16,Pit!$A$4:$BA$557,G$2,FALSE))</f>
        <v>#N/A</v>
      </c>
      <c r="H16" s="10" t="e">
        <f>IF($C16="B",VLOOKUP($A16,Bat!$A$4:$BG$1419,H$1,FALSE),VLOOKUP($A16,Pit!$A$4:$BA$557,H$2,FALSE))</f>
        <v>#N/A</v>
      </c>
      <c r="I16" s="10" t="e">
        <f>IF($C16="B",VLOOKUP($A16,Bat!$A$4:$BG$1419,I$1,FALSE),VLOOKUP($A16,Pit!$A$4:$BA$557,I$2,FALSE))</f>
        <v>#N/A</v>
      </c>
      <c r="J16" s="10" t="e">
        <f>IF($C16="B",VLOOKUP($A16,Bat!$A$4:$BG$1419,J$1,FALSE),VLOOKUP($A16,Pit!$A$4:$BA$557,J$2,FALSE))</f>
        <v>#N/A</v>
      </c>
      <c r="K16" s="11" t="e">
        <f>IF($C16="B",VLOOKUP($A16,Bat!$A$4:$BG$1419,K$1,FALSE),VLOOKUP($A16,Pit!$A$4:$BA$557,K$2,FALSE))</f>
        <v>#N/A</v>
      </c>
      <c r="L16" s="10" t="e">
        <f>IF($C16="B",VLOOKUP($A16,Bat!$A$4:$BG$1419,L$1,FALSE),VLOOKUP($A16,Pit!$A$4:$BA$557,L$2,FALSE))</f>
        <v>#N/A</v>
      </c>
      <c r="M16" s="10" t="e">
        <f>IF($C16="B",VLOOKUP($A16,Bat!$A$4:$BG$1419,M$1,FALSE),VLOOKUP($A16,Pit!$A$4:$BA$557,M$2,FALSE))</f>
        <v>#N/A</v>
      </c>
      <c r="N16" s="10" t="e">
        <f>IF($C16="B",VLOOKUP($A16,Bat!$A$4:$BG$1419,N$1,FALSE),VLOOKUP($A16,Pit!$A$4:$BA$557,N$2,FALSE))</f>
        <v>#N/A</v>
      </c>
      <c r="O16" s="10" t="e">
        <f>IF($C16="B",VLOOKUP($A16,Bat!$A$4:$BG$1419,O$1,FALSE),VLOOKUP($A16,Pit!$A$4:$BA$557,O$2,FALSE))</f>
        <v>#N/A</v>
      </c>
      <c r="P16" s="11" t="e">
        <f>IF($C16="B",VLOOKUP($A16,Bat!$A$4:$BG$1419,P$1,FALSE),VLOOKUP($A16,Pit!$A$4:$BA$557,P$2,FALSE))</f>
        <v>#N/A</v>
      </c>
      <c r="Q16" s="12" t="e">
        <f>IF($C16="B",VLOOKUP($A16,Bat!$A$4:$BG$1419,Q$1,FALSE),VLOOKUP($A16,Pit!$A$4:$BA$557,Q$2,FALSE))</f>
        <v>#N/A</v>
      </c>
      <c r="R16" s="13" t="e">
        <f>IF($C16="B",VLOOKUP($A16,Bat!$A$4:$BG$1419,R$1,FALSE),VLOOKUP($A16,Pit!$A$4:$BA$557,R$2,FALSE))</f>
        <v>#N/A</v>
      </c>
      <c r="S16" s="14" t="e">
        <f>IF($C16="B",VLOOKUP($A16,Bat!$A$4:$BG$1419,S$1,FALSE),VLOOKUP($A16,Pit!$A$4:$BA$557,S$2,FALSE))</f>
        <v>#N/A</v>
      </c>
      <c r="T16" s="11" t="e">
        <f>VLOOKUP(IF($C16="B",VLOOKUP($A16,Bat!$A$4:$AV$1657,T$1,FALSE),VLOOKUP($A16,Pit!$A$4:$BE$557,T$2,FALSE)),COND!$A$35:$B$41,2,FALSE)</f>
        <v>#N/A</v>
      </c>
      <c r="V16" s="15" t="e">
        <f t="shared" si="2"/>
        <v>#N/A</v>
      </c>
      <c r="W16" s="16" t="e">
        <f t="shared" si="3"/>
        <v>#N/A</v>
      </c>
      <c r="X16" s="10" t="str">
        <f>IFERROR(VLOOKUP($D16,Results37!$F$3:$G$1400,X$1,FALSE),"")</f>
        <v/>
      </c>
      <c r="Y16" s="10" t="str">
        <f>IFERROR(VLOOKUP($D16,Results37!$F$3:$G$1400,Y$1,FALSE),"")</f>
        <v/>
      </c>
      <c r="Z16" s="10" t="str">
        <f>IFERROR(VLOOKUP($D16,Results37!$F$3:$G$1400,Z$1,FALSE),"")</f>
        <v/>
      </c>
      <c r="AA16" s="10" t="str">
        <f>IFERROR(VLOOKUP($D16,Results37!$F$3:$G$1400,AA$1,FALSE),"")</f>
        <v/>
      </c>
    </row>
    <row r="17" spans="1:27" s="15" customFormat="1" x14ac:dyDescent="0.25">
      <c r="A17" s="15" t="s">
        <v>286</v>
      </c>
      <c r="B17" s="15">
        <f t="shared" si="0"/>
        <v>1</v>
      </c>
      <c r="C17" s="15" t="str">
        <f t="shared" si="1"/>
        <v>P</v>
      </c>
      <c r="D17" s="11" t="e">
        <f>IF($C17="B",VLOOKUP($A17,Bat!$A$4:$BG$1419,D$1,FALSE),VLOOKUP($A17,Pit!$A$4:$BA$557,D$2,FALSE))</f>
        <v>#N/A</v>
      </c>
      <c r="E17" s="10" t="e">
        <f>IF($C17="B",VLOOKUP($A17,Bat!$A$4:$BG$1419,E$1,FALSE),VLOOKUP($A17,Pit!$A$4:$BA$557,E$2,FALSE))</f>
        <v>#N/A</v>
      </c>
      <c r="F17" s="10" t="e">
        <f>IF($C17="B",VLOOKUP($A17,Bat!$A$4:$BG$1419,F$1,FALSE),VLOOKUP($A17,Pit!$A$4:$BA$557,F$2,FALSE))</f>
        <v>#N/A</v>
      </c>
      <c r="G17" s="10" t="e">
        <f>IF($C17="B",VLOOKUP($A17,Bat!$A$4:$BG$1419,G$1,FALSE),VLOOKUP($A17,Pit!$A$4:$BA$557,G$2,FALSE))</f>
        <v>#N/A</v>
      </c>
      <c r="H17" s="10" t="e">
        <f>IF($C17="B",VLOOKUP($A17,Bat!$A$4:$BG$1419,H$1,FALSE),VLOOKUP($A17,Pit!$A$4:$BA$557,H$2,FALSE))</f>
        <v>#N/A</v>
      </c>
      <c r="I17" s="10" t="e">
        <f>IF($C17="B",VLOOKUP($A17,Bat!$A$4:$BG$1419,I$1,FALSE),VLOOKUP($A17,Pit!$A$4:$BA$557,I$2,FALSE))</f>
        <v>#N/A</v>
      </c>
      <c r="J17" s="10" t="e">
        <f>IF($C17="B",VLOOKUP($A17,Bat!$A$4:$BG$1419,J$1,FALSE),VLOOKUP($A17,Pit!$A$4:$BA$557,J$2,FALSE))</f>
        <v>#N/A</v>
      </c>
      <c r="K17" s="11" t="e">
        <f>IF($C17="B",VLOOKUP($A17,Bat!$A$4:$BG$1419,K$1,FALSE),VLOOKUP($A17,Pit!$A$4:$BA$557,K$2,FALSE))</f>
        <v>#N/A</v>
      </c>
      <c r="L17" s="10" t="e">
        <f>IF($C17="B",VLOOKUP($A17,Bat!$A$4:$BG$1419,L$1,FALSE),VLOOKUP($A17,Pit!$A$4:$BA$557,L$2,FALSE))</f>
        <v>#N/A</v>
      </c>
      <c r="M17" s="10" t="e">
        <f>IF($C17="B",VLOOKUP($A17,Bat!$A$4:$BG$1419,M$1,FALSE),VLOOKUP($A17,Pit!$A$4:$BA$557,M$2,FALSE))</f>
        <v>#N/A</v>
      </c>
      <c r="N17" s="10" t="e">
        <f>IF($C17="B",VLOOKUP($A17,Bat!$A$4:$BG$1419,N$1,FALSE),VLOOKUP($A17,Pit!$A$4:$BA$557,N$2,FALSE))</f>
        <v>#N/A</v>
      </c>
      <c r="O17" s="10" t="e">
        <f>IF($C17="B",VLOOKUP($A17,Bat!$A$4:$BG$1419,O$1,FALSE),VLOOKUP($A17,Pit!$A$4:$BA$557,O$2,FALSE))</f>
        <v>#N/A</v>
      </c>
      <c r="P17" s="11" t="e">
        <f>IF($C17="B",VLOOKUP($A17,Bat!$A$4:$BG$1419,P$1,FALSE),VLOOKUP($A17,Pit!$A$4:$BA$557,P$2,FALSE))</f>
        <v>#N/A</v>
      </c>
      <c r="Q17" s="12" t="e">
        <f>IF($C17="B",VLOOKUP($A17,Bat!$A$4:$BG$1419,Q$1,FALSE),VLOOKUP($A17,Pit!$A$4:$BA$557,Q$2,FALSE))</f>
        <v>#N/A</v>
      </c>
      <c r="R17" s="13" t="e">
        <f>IF($C17="B",VLOOKUP($A17,Bat!$A$4:$BG$1419,R$1,FALSE),VLOOKUP($A17,Pit!$A$4:$BA$557,R$2,FALSE))</f>
        <v>#N/A</v>
      </c>
      <c r="S17" s="14" t="e">
        <f>IF($C17="B",VLOOKUP($A17,Bat!$A$4:$BG$1419,S$1,FALSE),VLOOKUP($A17,Pit!$A$4:$BA$557,S$2,FALSE))</f>
        <v>#N/A</v>
      </c>
      <c r="T17" s="11" t="e">
        <f>VLOOKUP(IF($C17="B",VLOOKUP($A17,Bat!$A$4:$AV$1657,T$1,FALSE),VLOOKUP($A17,Pit!$A$4:$BE$557,T$2,FALSE)),COND!$A$35:$B$41,2,FALSE)</f>
        <v>#N/A</v>
      </c>
      <c r="V17" s="15" t="e">
        <f t="shared" si="2"/>
        <v>#N/A</v>
      </c>
      <c r="W17" s="16" t="e">
        <f t="shared" si="3"/>
        <v>#N/A</v>
      </c>
      <c r="X17" s="10" t="str">
        <f>IFERROR(VLOOKUP($D17,Results37!$F$3:$G$1400,X$1,FALSE),"")</f>
        <v/>
      </c>
      <c r="Y17" s="10" t="str">
        <f>IFERROR(VLOOKUP($D17,Results37!$F$3:$G$1400,Y$1,FALSE),"")</f>
        <v/>
      </c>
      <c r="Z17" s="10" t="str">
        <f>IFERROR(VLOOKUP($D17,Results37!$F$3:$G$1400,Z$1,FALSE),"")</f>
        <v/>
      </c>
      <c r="AA17" s="10" t="str">
        <f>IFERROR(VLOOKUP($D17,Results37!$F$3:$G$1400,AA$1,FALSE),"")</f>
        <v/>
      </c>
    </row>
    <row r="18" spans="1:27" s="15" customFormat="1" x14ac:dyDescent="0.25">
      <c r="A18" s="15" t="s">
        <v>306</v>
      </c>
      <c r="B18" s="15">
        <f t="shared" si="0"/>
        <v>1</v>
      </c>
      <c r="C18" s="15" t="str">
        <f t="shared" si="1"/>
        <v>P</v>
      </c>
      <c r="D18" s="11" t="e">
        <f>IF($C18="B",VLOOKUP($A18,Bat!$A$4:$BG$1419,D$1,FALSE),VLOOKUP($A18,Pit!$A$4:$BA$557,D$2,FALSE))</f>
        <v>#N/A</v>
      </c>
      <c r="E18" s="10" t="e">
        <f>IF($C18="B",VLOOKUP($A18,Bat!$A$4:$BG$1419,E$1,FALSE),VLOOKUP($A18,Pit!$A$4:$BA$557,E$2,FALSE))</f>
        <v>#N/A</v>
      </c>
      <c r="F18" s="10" t="e">
        <f>IF($C18="B",VLOOKUP($A18,Bat!$A$4:$BG$1419,F$1,FALSE),VLOOKUP($A18,Pit!$A$4:$BA$557,F$2,FALSE))</f>
        <v>#N/A</v>
      </c>
      <c r="G18" s="10" t="e">
        <f>IF($C18="B",VLOOKUP($A18,Bat!$A$4:$BG$1419,G$1,FALSE),VLOOKUP($A18,Pit!$A$4:$BA$557,G$2,FALSE))</f>
        <v>#N/A</v>
      </c>
      <c r="H18" s="10" t="e">
        <f>IF($C18="B",VLOOKUP($A18,Bat!$A$4:$BG$1419,H$1,FALSE),VLOOKUP($A18,Pit!$A$4:$BA$557,H$2,FALSE))</f>
        <v>#N/A</v>
      </c>
      <c r="I18" s="10" t="e">
        <f>IF($C18="B",VLOOKUP($A18,Bat!$A$4:$BG$1419,I$1,FALSE),VLOOKUP($A18,Pit!$A$4:$BA$557,I$2,FALSE))</f>
        <v>#N/A</v>
      </c>
      <c r="J18" s="10" t="e">
        <f>IF($C18="B",VLOOKUP($A18,Bat!$A$4:$BG$1419,J$1,FALSE),VLOOKUP($A18,Pit!$A$4:$BA$557,J$2,FALSE))</f>
        <v>#N/A</v>
      </c>
      <c r="K18" s="11" t="e">
        <f>IF($C18="B",VLOOKUP($A18,Bat!$A$4:$BG$1419,K$1,FALSE),VLOOKUP($A18,Pit!$A$4:$BA$557,K$2,FALSE))</f>
        <v>#N/A</v>
      </c>
      <c r="L18" s="10" t="e">
        <f>IF($C18="B",VLOOKUP($A18,Bat!$A$4:$BG$1419,L$1,FALSE),VLOOKUP($A18,Pit!$A$4:$BA$557,L$2,FALSE))</f>
        <v>#N/A</v>
      </c>
      <c r="M18" s="10" t="e">
        <f>IF($C18="B",VLOOKUP($A18,Bat!$A$4:$BG$1419,M$1,FALSE),VLOOKUP($A18,Pit!$A$4:$BA$557,M$2,FALSE))</f>
        <v>#N/A</v>
      </c>
      <c r="N18" s="10" t="e">
        <f>IF($C18="B",VLOOKUP($A18,Bat!$A$4:$BG$1419,N$1,FALSE),VLOOKUP($A18,Pit!$A$4:$BA$557,N$2,FALSE))</f>
        <v>#N/A</v>
      </c>
      <c r="O18" s="10" t="e">
        <f>IF($C18="B",VLOOKUP($A18,Bat!$A$4:$BG$1419,O$1,FALSE),VLOOKUP($A18,Pit!$A$4:$BA$557,O$2,FALSE))</f>
        <v>#N/A</v>
      </c>
      <c r="P18" s="11" t="e">
        <f>IF($C18="B",VLOOKUP($A18,Bat!$A$4:$BG$1419,P$1,FALSE),VLOOKUP($A18,Pit!$A$4:$BA$557,P$2,FALSE))</f>
        <v>#N/A</v>
      </c>
      <c r="Q18" s="12" t="e">
        <f>IF($C18="B",VLOOKUP($A18,Bat!$A$4:$BG$1419,Q$1,FALSE),VLOOKUP($A18,Pit!$A$4:$BA$557,Q$2,FALSE))</f>
        <v>#N/A</v>
      </c>
      <c r="R18" s="13" t="e">
        <f>IF($C18="B",VLOOKUP($A18,Bat!$A$4:$BG$1419,R$1,FALSE),VLOOKUP($A18,Pit!$A$4:$BA$557,R$2,FALSE))</f>
        <v>#N/A</v>
      </c>
      <c r="S18" s="14" t="e">
        <f>IF($C18="B",VLOOKUP($A18,Bat!$A$4:$BG$1419,S$1,FALSE),VLOOKUP($A18,Pit!$A$4:$BA$557,S$2,FALSE))</f>
        <v>#N/A</v>
      </c>
      <c r="T18" s="11" t="e">
        <f>VLOOKUP(IF($C18="B",VLOOKUP($A18,Bat!$A$4:$AV$1657,T$1,FALSE),VLOOKUP($A18,Pit!$A$4:$BE$557,T$2,FALSE)),COND!$A$35:$B$41,2,FALSE)</f>
        <v>#N/A</v>
      </c>
      <c r="V18" s="15" t="e">
        <f t="shared" si="2"/>
        <v>#N/A</v>
      </c>
      <c r="W18" s="16" t="e">
        <f t="shared" si="3"/>
        <v>#N/A</v>
      </c>
      <c r="X18" s="10" t="str">
        <f>IFERROR(VLOOKUP($D18,Results37!$F$3:$G$1400,X$1,FALSE),"")</f>
        <v/>
      </c>
      <c r="Y18" s="10" t="str">
        <f>IFERROR(VLOOKUP($D18,Results37!$F$3:$G$1400,Y$1,FALSE),"")</f>
        <v/>
      </c>
      <c r="Z18" s="10" t="str">
        <f>IFERROR(VLOOKUP($D18,Results37!$F$3:$G$1400,Z$1,FALSE),"")</f>
        <v/>
      </c>
      <c r="AA18" s="10" t="str">
        <f>IFERROR(VLOOKUP($D18,Results37!$F$3:$G$1400,AA$1,FALSE),"")</f>
        <v/>
      </c>
    </row>
    <row r="19" spans="1:27" s="15" customFormat="1" x14ac:dyDescent="0.25">
      <c r="A19" s="15" t="s">
        <v>285</v>
      </c>
      <c r="B19" s="15">
        <f t="shared" si="0"/>
        <v>1</v>
      </c>
      <c r="C19" s="15" t="str">
        <f t="shared" si="1"/>
        <v>P</v>
      </c>
      <c r="D19" s="11" t="e">
        <f>IF($C19="B",VLOOKUP($A19,Bat!$A$4:$BG$1419,D$1,FALSE),VLOOKUP($A19,Pit!$A$4:$BA$557,D$2,FALSE))</f>
        <v>#N/A</v>
      </c>
      <c r="E19" s="10" t="e">
        <f>IF($C19="B",VLOOKUP($A19,Bat!$A$4:$BG$1419,E$1,FALSE),VLOOKUP($A19,Pit!$A$4:$BA$557,E$2,FALSE))</f>
        <v>#N/A</v>
      </c>
      <c r="F19" s="10" t="e">
        <f>IF($C19="B",VLOOKUP($A19,Bat!$A$4:$BG$1419,F$1,FALSE),VLOOKUP($A19,Pit!$A$4:$BA$557,F$2,FALSE))</f>
        <v>#N/A</v>
      </c>
      <c r="G19" s="10" t="e">
        <f>IF($C19="B",VLOOKUP($A19,Bat!$A$4:$BG$1419,G$1,FALSE),VLOOKUP($A19,Pit!$A$4:$BA$557,G$2,FALSE))</f>
        <v>#N/A</v>
      </c>
      <c r="H19" s="10" t="e">
        <f>IF($C19="B",VLOOKUP($A19,Bat!$A$4:$BG$1419,H$1,FALSE),VLOOKUP($A19,Pit!$A$4:$BA$557,H$2,FALSE))</f>
        <v>#N/A</v>
      </c>
      <c r="I19" s="10" t="e">
        <f>IF($C19="B",VLOOKUP($A19,Bat!$A$4:$BG$1419,I$1,FALSE),VLOOKUP($A19,Pit!$A$4:$BA$557,I$2,FALSE))</f>
        <v>#N/A</v>
      </c>
      <c r="J19" s="10" t="e">
        <f>IF($C19="B",VLOOKUP($A19,Bat!$A$4:$BG$1419,J$1,FALSE),VLOOKUP($A19,Pit!$A$4:$BA$557,J$2,FALSE))</f>
        <v>#N/A</v>
      </c>
      <c r="K19" s="11" t="e">
        <f>IF($C19="B",VLOOKUP($A19,Bat!$A$4:$BG$1419,K$1,FALSE),VLOOKUP($A19,Pit!$A$4:$BA$557,K$2,FALSE))</f>
        <v>#N/A</v>
      </c>
      <c r="L19" s="10" t="e">
        <f>IF($C19="B",VLOOKUP($A19,Bat!$A$4:$BG$1419,L$1,FALSE),VLOOKUP($A19,Pit!$A$4:$BA$557,L$2,FALSE))</f>
        <v>#N/A</v>
      </c>
      <c r="M19" s="10" t="e">
        <f>IF($C19="B",VLOOKUP($A19,Bat!$A$4:$BG$1419,M$1,FALSE),VLOOKUP($A19,Pit!$A$4:$BA$557,M$2,FALSE))</f>
        <v>#N/A</v>
      </c>
      <c r="N19" s="10" t="e">
        <f>IF($C19="B",VLOOKUP($A19,Bat!$A$4:$BG$1419,N$1,FALSE),VLOOKUP($A19,Pit!$A$4:$BA$557,N$2,FALSE))</f>
        <v>#N/A</v>
      </c>
      <c r="O19" s="10" t="e">
        <f>IF($C19="B",VLOOKUP($A19,Bat!$A$4:$BG$1419,O$1,FALSE),VLOOKUP($A19,Pit!$A$4:$BA$557,O$2,FALSE))</f>
        <v>#N/A</v>
      </c>
      <c r="P19" s="11" t="e">
        <f>IF($C19="B",VLOOKUP($A19,Bat!$A$4:$BG$1419,P$1,FALSE),VLOOKUP($A19,Pit!$A$4:$BA$557,P$2,FALSE))</f>
        <v>#N/A</v>
      </c>
      <c r="Q19" s="12" t="e">
        <f>IF($C19="B",VLOOKUP($A19,Bat!$A$4:$BG$1419,Q$1,FALSE),VLOOKUP($A19,Pit!$A$4:$BA$557,Q$2,FALSE))</f>
        <v>#N/A</v>
      </c>
      <c r="R19" s="13" t="e">
        <f>IF($C19="B",VLOOKUP($A19,Bat!$A$4:$BG$1419,R$1,FALSE),VLOOKUP($A19,Pit!$A$4:$BA$557,R$2,FALSE))</f>
        <v>#N/A</v>
      </c>
      <c r="S19" s="14" t="e">
        <f>IF($C19="B",VLOOKUP($A19,Bat!$A$4:$BG$1419,S$1,FALSE),VLOOKUP($A19,Pit!$A$4:$BA$557,S$2,FALSE))</f>
        <v>#N/A</v>
      </c>
      <c r="T19" s="11" t="e">
        <f>VLOOKUP(IF($C19="B",VLOOKUP($A19,Bat!$A$4:$AV$1657,T$1,FALSE),VLOOKUP($A19,Pit!$A$4:$BE$557,T$2,FALSE)),COND!$A$35:$B$41,2,FALSE)</f>
        <v>#N/A</v>
      </c>
      <c r="V19" s="15" t="e">
        <f t="shared" si="2"/>
        <v>#N/A</v>
      </c>
      <c r="W19" s="16" t="e">
        <f t="shared" si="3"/>
        <v>#N/A</v>
      </c>
      <c r="X19" s="10" t="str">
        <f>IFERROR(VLOOKUP($D19,Results37!$F$3:$G$1400,X$1,FALSE),"")</f>
        <v/>
      </c>
      <c r="Y19" s="10" t="str">
        <f>IFERROR(VLOOKUP($D19,Results37!$F$3:$G$1400,Y$1,FALSE),"")</f>
        <v/>
      </c>
      <c r="Z19" s="10" t="str">
        <f>IFERROR(VLOOKUP($D19,Results37!$F$3:$G$1400,Z$1,FALSE),"")</f>
        <v/>
      </c>
      <c r="AA19" s="10" t="str">
        <f>IFERROR(VLOOKUP($D19,Results37!$F$3:$G$1400,AA$1,FALSE),"")</f>
        <v/>
      </c>
    </row>
    <row r="20" spans="1:27" s="15" customFormat="1" x14ac:dyDescent="0.25">
      <c r="B20" s="15">
        <f>COUNTIF($A$5:$A$20,A20)</f>
        <v>0</v>
      </c>
      <c r="C20" s="15" t="str">
        <f>IF(OR(MID(A20,1,2)="SP",MID(A20,1,2)="MR",MID(A20,1,2)="CL",MID(A20,1,2)="RP"),"P","B")</f>
        <v>B</v>
      </c>
      <c r="D20" s="11" t="e">
        <f>IF($C20="B",VLOOKUP($A20,Bat!$A$4:$BG$1419,D$1,FALSE),VLOOKUP($A20,Pit!$A$4:$BA$557,D$2,FALSE))</f>
        <v>#N/A</v>
      </c>
      <c r="E20" s="10" t="e">
        <f>IF($C20="B",VLOOKUP($A20,Bat!$A$4:$BG$1419,E$1,FALSE),VLOOKUP($A20,Pit!$A$4:$BA$557,E$2,FALSE))</f>
        <v>#N/A</v>
      </c>
      <c r="F20" s="10" t="e">
        <f>IF($C20="B",VLOOKUP($A20,Bat!$A$4:$BG$1419,F$1,FALSE),VLOOKUP($A20,Pit!$A$4:$BA$557,F$2,FALSE))</f>
        <v>#N/A</v>
      </c>
      <c r="G20" s="10" t="e">
        <f>IF($C20="B",VLOOKUP($A20,Bat!$A$4:$BG$1419,G$1,FALSE),VLOOKUP($A20,Pit!$A$4:$BA$557,G$2,FALSE))</f>
        <v>#N/A</v>
      </c>
      <c r="H20" s="10" t="e">
        <f>IF($C20="B",VLOOKUP($A20,Bat!$A$4:$BG$1419,H$1,FALSE),VLOOKUP($A20,Pit!$A$4:$BA$557,H$2,FALSE))</f>
        <v>#N/A</v>
      </c>
      <c r="I20" s="10" t="e">
        <f>IF($C20="B",VLOOKUP($A20,Bat!$A$4:$BG$1419,I$1,FALSE),VLOOKUP($A20,Pit!$A$4:$BA$557,I$2,FALSE))</f>
        <v>#N/A</v>
      </c>
      <c r="J20" s="10" t="e">
        <f>IF($C20="B",VLOOKUP($A20,Bat!$A$4:$BG$1419,J$1,FALSE),VLOOKUP($A20,Pit!$A$4:$BA$557,J$2,FALSE))</f>
        <v>#N/A</v>
      </c>
      <c r="K20" s="11" t="e">
        <f>IF($C20="B",VLOOKUP($A20,Bat!$A$4:$BG$1419,K$1,FALSE),VLOOKUP($A20,Pit!$A$4:$BA$557,K$2,FALSE))</f>
        <v>#N/A</v>
      </c>
      <c r="L20" s="10" t="e">
        <f>IF($C20="B",VLOOKUP($A20,Bat!$A$4:$BG$1419,L$1,FALSE),VLOOKUP($A20,Pit!$A$4:$BA$557,L$2,FALSE))</f>
        <v>#N/A</v>
      </c>
      <c r="M20" s="10" t="e">
        <f>IF($C20="B",VLOOKUP($A20,Bat!$A$4:$BG$1419,M$1,FALSE),VLOOKUP($A20,Pit!$A$4:$BA$557,M$2,FALSE))</f>
        <v>#N/A</v>
      </c>
      <c r="N20" s="10" t="e">
        <f>IF($C20="B",VLOOKUP($A20,Bat!$A$4:$BG$1419,N$1,FALSE),VLOOKUP($A20,Pit!$A$4:$BA$557,N$2,FALSE))</f>
        <v>#N/A</v>
      </c>
      <c r="O20" s="10" t="e">
        <f>IF($C20="B",VLOOKUP($A20,Bat!$A$4:$BG$1419,O$1,FALSE),VLOOKUP($A20,Pit!$A$4:$BA$557,O$2,FALSE))</f>
        <v>#N/A</v>
      </c>
      <c r="P20" s="11" t="e">
        <f>IF($C20="B",VLOOKUP($A20,Bat!$A$4:$BG$1419,P$1,FALSE),VLOOKUP($A20,Pit!$A$4:$BA$557,P$2,FALSE))</f>
        <v>#N/A</v>
      </c>
      <c r="Q20" s="12" t="e">
        <f>IF($C20="B",VLOOKUP($A20,Bat!$A$4:$BG$1419,Q$1,FALSE),VLOOKUP($A20,Pit!$A$4:$BA$557,Q$2,FALSE))</f>
        <v>#N/A</v>
      </c>
      <c r="R20" s="13" t="e">
        <f>IF($C20="B",VLOOKUP($A20,Bat!$A$4:$BG$1419,R$1,FALSE),VLOOKUP($A20,Pit!$A$4:$BA$557,R$2,FALSE))</f>
        <v>#N/A</v>
      </c>
      <c r="S20" s="14" t="e">
        <f>IF($C20="B",VLOOKUP($A20,Bat!$A$4:$BG$1419,S$1,FALSE),VLOOKUP($A20,Pit!$A$4:$BA$557,S$2,FALSE))</f>
        <v>#N/A</v>
      </c>
      <c r="T20" s="11" t="e">
        <f>VLOOKUP(IF($C20="B",VLOOKUP($A20,Bat!$A$4:$AV$1657,T$1,FALSE),VLOOKUP($A20,Pit!$A$4:$BE$557,T$2,FALSE)),COND!$A$35:$B$41,2,FALSE)</f>
        <v>#N/A</v>
      </c>
      <c r="V20" s="15" t="e">
        <f>IF(OR(U20=999,AND(S20&gt;$S$3,S20&lt;&gt;"Slot")),"",U20)</f>
        <v>#N/A</v>
      </c>
      <c r="W20" s="16" t="e">
        <f>RANK(R20,$R$5:$R$891)</f>
        <v>#N/A</v>
      </c>
      <c r="X20" s="10" t="str">
        <f>IFERROR(VLOOKUP($D20,Results37!$F$3:$G$1400,X$1,FALSE),"")</f>
        <v/>
      </c>
      <c r="Y20" s="10" t="str">
        <f>IFERROR(VLOOKUP($D20,Results37!$F$3:$G$1400,Y$1,FALSE),"")</f>
        <v/>
      </c>
      <c r="Z20" s="10" t="str">
        <f>IFERROR(VLOOKUP($D20,Results37!$F$3:$G$1400,Z$1,FALSE),"")</f>
        <v/>
      </c>
      <c r="AA20" s="10" t="str">
        <f>IFERROR(VLOOKUP($D20,Results37!$F$3:$G$1400,AA$1,FALSE),"")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0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24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ht="15.75" x14ac:dyDescent="0.3">
      <c r="A2" s="1" t="s">
        <v>233</v>
      </c>
      <c r="B2" s="1" t="s">
        <v>268</v>
      </c>
      <c r="C2" s="1" t="s">
        <v>269</v>
      </c>
      <c r="D2" s="1" t="s">
        <v>270</v>
      </c>
      <c r="E2" s="1" t="s">
        <v>271</v>
      </c>
      <c r="F2" s="1" t="s">
        <v>273</v>
      </c>
      <c r="G2" s="1" t="s">
        <v>272</v>
      </c>
      <c r="H2" s="1" t="s">
        <v>275</v>
      </c>
      <c r="I2" s="22" t="s">
        <v>276</v>
      </c>
    </row>
    <row r="3" spans="1:9" x14ac:dyDescent="0.25">
      <c r="A3" t="s">
        <v>247</v>
      </c>
      <c r="B3">
        <f>COUNTIF('Draft List'!$AB$5:$AB$1543,$A3)</f>
        <v>0</v>
      </c>
      <c r="C3">
        <f>SUMPRODUCT(('Draft List'!$AB$5:$AB$1543=$A3)*('Draft List'!$Z$5:$Z$1543&lt;6))+SUMPRODUCT(('Draft List'!$AB$5:$AB$1543=$A3)*('Draft List'!$Z$5:$Z$1543="S1"))+SUMPRODUCT(('Draft List'!$AB$5:$AB$1543=$A3)*('Draft List'!$Z$5:$Z$1543&lt;&gt;"S1")*('Draft List'!$Z$5:$Z$1543&gt;5)*('Draft List'!$AD$5:$AD$1543&gt;0)*('Draft List'!$AD$5:$AD$1543&lt;100000000))</f>
        <v>0</v>
      </c>
      <c r="D3">
        <f>SUMPRODUCT(('Draft List'!$AB$5:$AB$1234=$A3)*('Draft List'!$AD$5:$AD$1234&gt;0)*('Draft List'!$AD$5:$AD$1234&lt;1000000000))</f>
        <v>0</v>
      </c>
      <c r="E3">
        <f t="shared" ref="E3:E28" si="0">C3-D3</f>
        <v>0</v>
      </c>
      <c r="F3" s="5">
        <f>SUMIF('Draft List'!$AB$5:$AB$1543,$A3,'Draft List'!$AD$5:$AD$1543)</f>
        <v>0</v>
      </c>
      <c r="G3" s="20">
        <f t="shared" ref="G3:G28" si="1">IF(D3&gt;0,F3/D3,0)</f>
        <v>0</v>
      </c>
      <c r="H3" s="19">
        <f>LEN(Table1[[#This Row],[Team]])</f>
        <v>20</v>
      </c>
      <c r="I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25">
      <c r="A4" t="s">
        <v>250</v>
      </c>
      <c r="B4">
        <f>COUNTIF('Draft List'!$AB$5:$AB$1543,$A4)</f>
        <v>21</v>
      </c>
      <c r="C4">
        <f>SUMPRODUCT(('Draft List'!$AB$5:$AB$1543=$A4)*('Draft List'!$Z$5:$Z$1543&lt;6))+SUMPRODUCT(('Draft List'!$AB$5:$AB$1543=$A4)*('Draft List'!$Z$5:$Z$1543="S1"))+SUMPRODUCT(('Draft List'!$AB$5:$AB$1543=$A4)*('Draft List'!$Z$5:$Z$1543&lt;&gt;"S1")*('Draft List'!$Z$5:$Z$1543&gt;5)*('Draft List'!$AD$5:$AD$1543&gt;0)*('Draft List'!$AD$5:$AD$1543&lt;100000000))</f>
        <v>0</v>
      </c>
      <c r="D4">
        <f>SUMPRODUCT(('Draft List'!$AB$5:$AB$1234=$A4)*('Draft List'!$AD$5:$AD$1234&gt;0)*('Draft List'!$AD$5:$AD$1234&lt;1000000000))</f>
        <v>0</v>
      </c>
      <c r="E4">
        <f t="shared" si="0"/>
        <v>0</v>
      </c>
      <c r="F4" s="5">
        <f>SUMIF('Draft List'!$AB$5:$AB$1234,$A4,'Draft List'!$AD$5:$AD$1234)</f>
        <v>0</v>
      </c>
      <c r="G4" s="20">
        <f t="shared" si="1"/>
        <v>0</v>
      </c>
      <c r="H4" s="19">
        <f>LEN(Table1[[#This Row],[Team]])</f>
        <v>18</v>
      </c>
      <c r="I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21    0    0    0        $0,000        $0,000</v>
      </c>
    </row>
    <row r="5" spans="1:9" x14ac:dyDescent="0.25">
      <c r="A5" t="s">
        <v>257</v>
      </c>
      <c r="B5">
        <f>COUNTIF('Draft List'!$AB$5:$AB$1543,$A5)</f>
        <v>18</v>
      </c>
      <c r="C5">
        <f>SUMPRODUCT(('Draft List'!$AB$5:$AB$1543=$A5)*('Draft List'!$Z$5:$Z$1543&lt;6))+SUMPRODUCT(('Draft List'!$AB$5:$AB$1543=$A5)*('Draft List'!$Z$5:$Z$1543="S1"))+SUMPRODUCT(('Draft List'!$AB$5:$AB$1543=$A5)*('Draft List'!$Z$5:$Z$1543&lt;&gt;"S1")*('Draft List'!$Z$5:$Z$1543&gt;5)*('Draft List'!$AD$5:$AD$1543&gt;0)*('Draft List'!$AD$5:$AD$1543&lt;100000000))</f>
        <v>0</v>
      </c>
      <c r="D5">
        <f>SUMPRODUCT(('Draft List'!$AB$5:$AB$1234=$A5)*('Draft List'!$AD$5:$AD$1234&gt;0)*('Draft List'!$AD$5:$AD$1234&lt;1000000000))</f>
        <v>0</v>
      </c>
      <c r="E5">
        <f t="shared" si="0"/>
        <v>0</v>
      </c>
      <c r="F5" s="5">
        <f>SUMIF('Draft List'!$AB$5:$AB$1543,$A5,'Draft List'!$AD$5:$AD$1543)</f>
        <v>0</v>
      </c>
      <c r="G5" s="20">
        <f t="shared" si="1"/>
        <v>0</v>
      </c>
      <c r="H5" s="19">
        <f>LEN(Table1[[#This Row],[Team]])</f>
        <v>15</v>
      </c>
      <c r="I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18    0    0    0        $0,000        $0,000</v>
      </c>
    </row>
    <row r="6" spans="1:9" x14ac:dyDescent="0.25">
      <c r="A6" t="s">
        <v>455</v>
      </c>
      <c r="B6">
        <f>COUNTIF('Draft List'!$AB$5:$AB$1543,$A6)</f>
        <v>18</v>
      </c>
      <c r="C6">
        <f>SUMPRODUCT(('Draft List'!$AB$5:$AB$1543=$A6)*('Draft List'!$Z$5:$Z$1543&lt;6))+SUMPRODUCT(('Draft List'!$AB$5:$AB$1543=$A6)*('Draft List'!$Z$5:$Z$1543="S1"))+SUMPRODUCT(('Draft List'!$AB$5:$AB$1543=$A6)*('Draft List'!$Z$5:$Z$1543&lt;&gt;"S1")*('Draft List'!$Z$5:$Z$1543&gt;5)*('Draft List'!$AD$5:$AD$1543&gt;0)*('Draft List'!$AD$5:$AD$1543&lt;100000000))</f>
        <v>0</v>
      </c>
      <c r="D6">
        <f>SUMPRODUCT(('Draft List'!$AB$5:$AB$1234=$A6)*('Draft List'!$AD$5:$AD$1234&gt;0)*('Draft List'!$AD$5:$AD$1234&lt;1000000000))</f>
        <v>0</v>
      </c>
      <c r="E6">
        <f t="shared" si="0"/>
        <v>0</v>
      </c>
      <c r="F6" s="5">
        <f>SUMIF('Draft List'!$AB$5:$AB$1543,$A6,'Draft List'!$AD$5:$AD$1543)</f>
        <v>0</v>
      </c>
      <c r="G6" s="20">
        <f t="shared" si="1"/>
        <v>0</v>
      </c>
      <c r="H6" s="19">
        <f>LEN(Table1[[#This Row],[Team]])</f>
        <v>15</v>
      </c>
      <c r="I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18    0    0    0        $0,000        $0,000</v>
      </c>
    </row>
    <row r="7" spans="1:9" x14ac:dyDescent="0.25">
      <c r="A7" t="s">
        <v>241</v>
      </c>
      <c r="B7">
        <f>COUNTIF('Draft List'!$AB$5:$AB$1543,$A7)</f>
        <v>0</v>
      </c>
      <c r="C7">
        <f>SUMPRODUCT(('Draft List'!$AB$5:$AB$1543=$A7)*('Draft List'!$Z$5:$Z$1543&lt;6))+SUMPRODUCT(('Draft List'!$AB$5:$AB$1543=$A7)*('Draft List'!$Z$5:$Z$1543="S1"))+SUMPRODUCT(('Draft List'!$AB$5:$AB$1543=$A7)*('Draft List'!$Z$5:$Z$1543&lt;&gt;"S1")*('Draft List'!$Z$5:$Z$1543&gt;5)*('Draft List'!$AD$5:$AD$1543&gt;0)*('Draft List'!$AD$5:$AD$1543&lt;100000000))</f>
        <v>0</v>
      </c>
      <c r="D7">
        <f>SUMPRODUCT(('Draft List'!$AB$5:$AB$1234=$A7)*('Draft List'!$AD$5:$AD$1234&gt;0)*('Draft List'!$AD$5:$AD$1234&lt;1000000000))</f>
        <v>0</v>
      </c>
      <c r="E7">
        <f t="shared" si="0"/>
        <v>0</v>
      </c>
      <c r="F7" s="5">
        <f>SUMIF('Draft List'!$AB$5:$AB$1234,$A7,'Draft List'!$AD$5:$AD$1234)</f>
        <v>0</v>
      </c>
      <c r="G7" s="20">
        <f t="shared" si="1"/>
        <v>0</v>
      </c>
      <c r="H7" s="19">
        <f>LEN(Table1[[#This Row],[Team]])</f>
        <v>15</v>
      </c>
      <c r="I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25">
      <c r="A8" t="s">
        <v>256</v>
      </c>
      <c r="B8">
        <f>COUNTIF('Draft List'!$AB$5:$AB$1543,$A8)</f>
        <v>21</v>
      </c>
      <c r="C8">
        <f>SUMPRODUCT(('Draft List'!$AB$5:$AB$1543=$A8)*('Draft List'!$Z$5:$Z$1543&lt;6))+SUMPRODUCT(('Draft List'!$AB$5:$AB$1543=$A8)*('Draft List'!$Z$5:$Z$1543="S1"))+SUMPRODUCT(('Draft List'!$AB$5:$AB$1543=$A8)*('Draft List'!$Z$5:$Z$1543&lt;&gt;"S1")*('Draft List'!$Z$5:$Z$1543&gt;5)*('Draft List'!$AD$5:$AD$1543&gt;0)*('Draft List'!$AD$5:$AD$1543&lt;100000000))</f>
        <v>0</v>
      </c>
      <c r="D8">
        <f>SUMPRODUCT(('Draft List'!$AB$5:$AB$1234=$A8)*('Draft List'!$AD$5:$AD$1234&gt;0)*('Draft List'!$AD$5:$AD$1234&lt;1000000000))</f>
        <v>0</v>
      </c>
      <c r="E8">
        <f t="shared" si="0"/>
        <v>0</v>
      </c>
      <c r="F8" s="5">
        <f>SUMIF('Draft List'!$AB$5:$AB$1234,$A8,'Draft List'!$AD$5:$AD$1234)</f>
        <v>0</v>
      </c>
      <c r="G8" s="20">
        <f t="shared" si="1"/>
        <v>0</v>
      </c>
      <c r="H8" s="19">
        <f>LEN(Table1[[#This Row],[Team]])</f>
        <v>24</v>
      </c>
      <c r="I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21    0    0    0        $0,000        $0,000</v>
      </c>
    </row>
    <row r="9" spans="1:9" x14ac:dyDescent="0.25">
      <c r="A9" t="s">
        <v>457</v>
      </c>
      <c r="B9">
        <f>COUNTIF('Draft List'!$AB$5:$AB$1543,$A9)</f>
        <v>21</v>
      </c>
      <c r="C9">
        <f>SUMPRODUCT(('Draft List'!$AB$5:$AB$1543=$A9)*('Draft List'!$Z$5:$Z$1543&lt;6))+SUMPRODUCT(('Draft List'!$AB$5:$AB$1543=$A9)*('Draft List'!$Z$5:$Z$1543="S1"))+SUMPRODUCT(('Draft List'!$AB$5:$AB$1543=$A9)*('Draft List'!$Z$5:$Z$1543&lt;&gt;"S1")*('Draft List'!$Z$5:$Z$1543&gt;5)*('Draft List'!$AD$5:$AD$1543&gt;0)*('Draft List'!$AD$5:$AD$1543&lt;100000000))</f>
        <v>0</v>
      </c>
      <c r="D9">
        <f>SUMPRODUCT(('Draft List'!$AB$5:$AB$1234=$A9)*('Draft List'!$AD$5:$AD$1234&gt;0)*('Draft List'!$AD$5:$AD$1234&lt;1000000000))</f>
        <v>0</v>
      </c>
      <c r="E9">
        <f t="shared" si="0"/>
        <v>0</v>
      </c>
      <c r="F9" s="5">
        <f>SUMIF('Draft List'!$AB$5:$AB$1234,$A9,'Draft List'!$AD$5:$AD$1234)</f>
        <v>0</v>
      </c>
      <c r="G9" s="20">
        <f t="shared" si="1"/>
        <v>0</v>
      </c>
      <c r="H9" s="19">
        <f>LEN(Table1[[#This Row],[Team]])</f>
        <v>19</v>
      </c>
      <c r="I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21    0    0    0        $0,000        $0,000</v>
      </c>
    </row>
    <row r="10" spans="1:9" x14ac:dyDescent="0.25">
      <c r="A10" t="s">
        <v>249</v>
      </c>
      <c r="B10">
        <f>COUNTIF('Draft List'!$AB$5:$AB$1543,$A10)</f>
        <v>19</v>
      </c>
      <c r="C10">
        <f>SUMPRODUCT(('Draft List'!$AB$5:$AB$1543=$A10)*('Draft List'!$Z$5:$Z$1543&lt;6))+SUMPRODUCT(('Draft List'!$AB$5:$AB$1543=$A10)*('Draft List'!$Z$5:$Z$1543="S1"))+SUMPRODUCT(('Draft List'!$AB$5:$AB$1543=$A10)*('Draft List'!$Z$5:$Z$1543&lt;&gt;"S1")*('Draft List'!$Z$5:$Z$1543&gt;5)*('Draft List'!$AD$5:$AD$1543&gt;0)*('Draft List'!$AD$5:$AD$1543&lt;100000000))</f>
        <v>0</v>
      </c>
      <c r="D10">
        <f>SUMPRODUCT(('Draft List'!$AB$5:$AB$1234=$A10)*('Draft List'!$AD$5:$AD$1234&gt;0)*('Draft List'!$AD$5:$AD$1234&lt;1000000000))</f>
        <v>0</v>
      </c>
      <c r="E10">
        <f t="shared" si="0"/>
        <v>0</v>
      </c>
      <c r="F10" s="5">
        <f>SUMIF('Draft List'!$AB$5:$AB$1234,$A10,'Draft List'!$AD$5:$AD$1234)</f>
        <v>0</v>
      </c>
      <c r="G10" s="20">
        <f t="shared" si="1"/>
        <v>0</v>
      </c>
      <c r="H10" s="19">
        <f>LEN(Table1[[#This Row],[Team]])</f>
        <v>22</v>
      </c>
      <c r="I1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19    0    0    0        $0,000        $0,000</v>
      </c>
    </row>
    <row r="11" spans="1:9" x14ac:dyDescent="0.25">
      <c r="A11" t="s">
        <v>246</v>
      </c>
      <c r="B11">
        <f>COUNTIF('Draft List'!$AB$5:$AB$1543,$A11)</f>
        <v>21</v>
      </c>
      <c r="C11">
        <f>SUMPRODUCT(('Draft List'!$AB$5:$AB$1543=$A11)*('Draft List'!$Z$5:$Z$1543&lt;6))+SUMPRODUCT(('Draft List'!$AB$5:$AB$1543=$A11)*('Draft List'!$Z$5:$Z$1543="S1"))+SUMPRODUCT(('Draft List'!$AB$5:$AB$1543=$A11)*('Draft List'!$Z$5:$Z$1543&lt;&gt;"S1")*('Draft List'!$Z$5:$Z$1543&gt;5)*('Draft List'!$AD$5:$AD$1543&gt;0)*('Draft List'!$AD$5:$AD$1543&lt;100000000))</f>
        <v>1</v>
      </c>
      <c r="D11">
        <f>SUMPRODUCT(('Draft List'!$AB$5:$AB$1543=$A11)*('Draft List'!$AD$5:$AD$1543&gt;0)*('Draft List'!$AD$5:$AD$1543&lt;1000000000))</f>
        <v>0</v>
      </c>
      <c r="E11">
        <f t="shared" si="0"/>
        <v>1</v>
      </c>
      <c r="F11" s="5">
        <f>SUMIF('Draft List'!$AB$5:$AB$1543,$A11,'Draft List'!$AD$5:$AD$1543)</f>
        <v>0</v>
      </c>
      <c r="G11" s="20">
        <f t="shared" si="1"/>
        <v>0</v>
      </c>
      <c r="H11" s="19">
        <f>LEN(Table1[[#This Row],[Team]])</f>
        <v>17</v>
      </c>
      <c r="I1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21    1    0    1        $0,000        $0,000</v>
      </c>
    </row>
    <row r="12" spans="1:9" x14ac:dyDescent="0.25">
      <c r="A12" t="s">
        <v>458</v>
      </c>
      <c r="B12">
        <f>COUNTIF('Draft List'!$AB$5:$AB$1543,$A12)</f>
        <v>20</v>
      </c>
      <c r="C12">
        <f>SUMPRODUCT(('Draft List'!$AB$5:$AB$1543=$A12)*('Draft List'!$Z$5:$Z$1543&lt;6))+SUMPRODUCT(('Draft List'!$AB$5:$AB$1543=$A12)*('Draft List'!$Z$5:$Z$1543="S1"))+SUMPRODUCT(('Draft List'!$AB$5:$AB$1543=$A12)*('Draft List'!$Z$5:$Z$1543&lt;&gt;"S1")*('Draft List'!$Z$5:$Z$1543&gt;5)*('Draft List'!$AD$5:$AD$1543&gt;0)*('Draft List'!$AD$5:$AD$1543&lt;100000000))</f>
        <v>0</v>
      </c>
      <c r="D12">
        <f>SUMPRODUCT(('Draft List'!$AB$5:$AB$1234=$A12)*('Draft List'!$AD$5:$AD$1234&gt;0)*('Draft List'!$AD$5:$AD$1234&lt;1000000000))</f>
        <v>0</v>
      </c>
      <c r="E12">
        <f t="shared" si="0"/>
        <v>0</v>
      </c>
      <c r="F12" s="5">
        <f>SUMIF('Draft List'!$AB$5:$AB$1543,$A12,'Draft List'!$AD$5:$AD$1543)</f>
        <v>0</v>
      </c>
      <c r="G12" s="20">
        <f t="shared" si="1"/>
        <v>0</v>
      </c>
      <c r="H12" s="19">
        <f>LEN(Table1[[#This Row],[Team]])</f>
        <v>15</v>
      </c>
      <c r="I1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20    0    0    0        $0,000        $0,000</v>
      </c>
    </row>
    <row r="13" spans="1:9" x14ac:dyDescent="0.25">
      <c r="A13" t="s">
        <v>251</v>
      </c>
      <c r="B13">
        <f>COUNTIF('Draft List'!$AB$5:$AB$1543,$A13)</f>
        <v>19</v>
      </c>
      <c r="C13">
        <f>SUMPRODUCT(('Draft List'!$AB$5:$AB$1543=$A13)*('Draft List'!$Z$5:$Z$1543&lt;6))+SUMPRODUCT(('Draft List'!$AB$5:$AB$1543=$A13)*('Draft List'!$Z$5:$Z$1543="S1"))+SUMPRODUCT(('Draft List'!$AB$5:$AB$1543=$A13)*('Draft List'!$Z$5:$Z$1543&lt;&gt;"S1")*('Draft List'!$Z$5:$Z$1543&gt;5)*('Draft List'!$AD$5:$AD$1543&gt;0)*('Draft List'!$AD$5:$AD$1543&lt;100000000))</f>
        <v>0</v>
      </c>
      <c r="D13">
        <f>SUMPRODUCT(('Draft List'!$AB$5:$AB$1234=$A13)*('Draft List'!$AD$5:$AD$1234&gt;0)*('Draft List'!$AD$5:$AD$1234&lt;1000000000))</f>
        <v>0</v>
      </c>
      <c r="E13">
        <f t="shared" si="0"/>
        <v>0</v>
      </c>
      <c r="F13" s="5">
        <f>SUMIF('Draft List'!$AB$5:$AB$1543,$A13,'Draft List'!$AD$5:$AD$1543)</f>
        <v>0</v>
      </c>
      <c r="G13" s="20">
        <f t="shared" si="1"/>
        <v>0</v>
      </c>
      <c r="H13" s="19">
        <f>LEN(Table1[[#This Row],[Team]])</f>
        <v>21</v>
      </c>
      <c r="I1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19    0    0    0        $0,000        $0,000</v>
      </c>
    </row>
    <row r="14" spans="1:9" x14ac:dyDescent="0.25">
      <c r="A14" t="s">
        <v>460</v>
      </c>
      <c r="B14">
        <f>COUNTIF('Draft List'!$AB$5:$AB$1543,$A14)</f>
        <v>10</v>
      </c>
      <c r="C14">
        <f>SUMPRODUCT(('Draft List'!$AB$5:$AB$1543=$A14)*('Draft List'!$Z$5:$Z$1543&lt;6))+SUMPRODUCT(('Draft List'!$AB$5:$AB$1543=$A14)*('Draft List'!$Z$5:$Z$1543="S1"))+SUMPRODUCT(('Draft List'!$AB$5:$AB$1543=$A14)*('Draft List'!$Z$5:$Z$1543&lt;&gt;"S1")*('Draft List'!$Z$5:$Z$1543&gt;5)*('Draft List'!$AD$5:$AD$1543&gt;0)*('Draft List'!$AD$5:$AD$1543&lt;100000000))</f>
        <v>0</v>
      </c>
      <c r="D14">
        <f>SUMPRODUCT(('Draft List'!$AB$5:$AB$1234=$A14)*('Draft List'!$AD$5:$AD$1234&gt;0)*('Draft List'!$AD$5:$AD$1234&lt;1000000000))</f>
        <v>0</v>
      </c>
      <c r="E14">
        <f t="shared" si="0"/>
        <v>0</v>
      </c>
      <c r="F14" s="5">
        <f>SUMIF('Draft List'!$AB$5:$AB$1543,$A14,'Draft List'!$AD$5:$AD$1543)</f>
        <v>0</v>
      </c>
      <c r="G14" s="20">
        <f t="shared" si="1"/>
        <v>0</v>
      </c>
      <c r="H14" s="19">
        <f>LEN(Table1[[#This Row],[Team]])</f>
        <v>15</v>
      </c>
      <c r="I1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10    0    0    0        $0,000        $0,000</v>
      </c>
    </row>
    <row r="15" spans="1:9" x14ac:dyDescent="0.25">
      <c r="A15" t="s">
        <v>454</v>
      </c>
      <c r="B15">
        <f>COUNTIF('Draft List'!$AB$5:$AB$1543,$A15)</f>
        <v>20</v>
      </c>
      <c r="C15">
        <f>SUMPRODUCT(('Draft List'!$AB$5:$AB$1543=$A15)*('Draft List'!$Z$5:$Z$1543&lt;6))+SUMPRODUCT(('Draft List'!$AB$5:$AB$1543=$A15)*('Draft List'!$Z$5:$Z$1543="S1"))+SUMPRODUCT(('Draft List'!$AB$5:$AB$1543=$A15)*('Draft List'!$Z$5:$Z$1543&lt;&gt;"S1")*('Draft List'!$Z$5:$Z$1543&gt;5)*('Draft List'!$AD$5:$AD$1543&gt;0)*('Draft List'!$AD$5:$AD$1543&lt;100000000))</f>
        <v>1</v>
      </c>
      <c r="D15">
        <f>SUMPRODUCT(('Draft List'!$AB$5:$AB$1234=$A15)*('Draft List'!$AD$5:$AD$1234&gt;0)*('Draft List'!$AD$5:$AD$1234&lt;1000000000))</f>
        <v>0</v>
      </c>
      <c r="E15">
        <f t="shared" si="0"/>
        <v>1</v>
      </c>
      <c r="F15" s="5">
        <f>SUMIF('Draft List'!$AB$5:$AB$1234,$A15,'Draft List'!$AD$5:$AD$1234)</f>
        <v>0</v>
      </c>
      <c r="G15" s="20">
        <f t="shared" si="1"/>
        <v>0</v>
      </c>
      <c r="H15" s="19">
        <f>LEN(Table1[[#This Row],[Team]])</f>
        <v>14</v>
      </c>
      <c r="I1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20    1    0    1        $0,000        $0,000</v>
      </c>
    </row>
    <row r="16" spans="1:9" x14ac:dyDescent="0.25">
      <c r="A16" t="s">
        <v>242</v>
      </c>
      <c r="B16">
        <f>COUNTIF('Draft List'!$AB$5:$AB$1543,$A16)</f>
        <v>25</v>
      </c>
      <c r="C16">
        <f>SUMPRODUCT(('Draft List'!$AB$5:$AB$1543=$A16)*('Draft List'!$Z$5:$Z$1543&lt;6))+SUMPRODUCT(('Draft List'!$AB$5:$AB$1543=$A16)*('Draft List'!$Z$5:$Z$1543="S1"))+SUMPRODUCT(('Draft List'!$AB$5:$AB$1543=$A16)*('Draft List'!$Z$5:$Z$1543&lt;&gt;"S1")*('Draft List'!$Z$5:$Z$1543&gt;5)*('Draft List'!$AD$5:$AD$1543&gt;0)*('Draft List'!$AD$5:$AD$1543&lt;100000000))</f>
        <v>0</v>
      </c>
      <c r="D16">
        <f>SUMPRODUCT(('Draft List'!$AB$5:$AB$1234=$A16)*('Draft List'!$AD$5:$AD$1234&gt;0)*('Draft List'!$AD$5:$AD$1234&lt;1000000000))</f>
        <v>0</v>
      </c>
      <c r="E16">
        <f t="shared" si="0"/>
        <v>0</v>
      </c>
      <c r="F16" s="5">
        <f>SUMIF('Draft List'!$AB$5:$AB$1234,$A16,'Draft List'!$AD$5:$AD$1234)</f>
        <v>0</v>
      </c>
      <c r="G16" s="20">
        <f t="shared" si="1"/>
        <v>0</v>
      </c>
      <c r="H16" s="19">
        <f>LEN(Table1[[#This Row],[Team]])</f>
        <v>15</v>
      </c>
      <c r="I1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25    0    0    0        $0,000        $0,000</v>
      </c>
    </row>
    <row r="17" spans="1:9" x14ac:dyDescent="0.25">
      <c r="A17" t="s">
        <v>459</v>
      </c>
      <c r="B17">
        <f>COUNTIF('Draft List'!$AB$5:$AB$1543,$A17)</f>
        <v>21</v>
      </c>
      <c r="C17">
        <f>SUMPRODUCT(('Draft List'!$AB$5:$AB$1543=$A17)*('Draft List'!$Z$5:$Z$1543&lt;6))+SUMPRODUCT(('Draft List'!$AB$5:$AB$1543=$A17)*('Draft List'!$Z$5:$Z$1543="S1"))+SUMPRODUCT(('Draft List'!$AB$5:$AB$1543=$A17)*('Draft List'!$Z$5:$Z$1543&lt;&gt;"S1")*('Draft List'!$Z$5:$Z$1543&gt;5)*('Draft List'!$AD$5:$AD$1543&gt;0)*('Draft List'!$AD$5:$AD$1543&lt;100000000))</f>
        <v>0</v>
      </c>
      <c r="D17">
        <f>SUMPRODUCT(('Draft List'!$AB$5:$AB$1234=$A17)*('Draft List'!$AD$5:$AD$1234&gt;0)*('Draft List'!$AD$5:$AD$1234&lt;1000000000))</f>
        <v>0</v>
      </c>
      <c r="E17">
        <f t="shared" si="0"/>
        <v>0</v>
      </c>
      <c r="F17" s="5">
        <f>SUMIF('Draft List'!$AB$5:$AB$1234,$A17,'Draft List'!$AD$5:$AD$1234)</f>
        <v>0</v>
      </c>
      <c r="G17" s="20">
        <f t="shared" si="1"/>
        <v>0</v>
      </c>
      <c r="H17" s="19">
        <f>LEN(Table1[[#This Row],[Team]])</f>
        <v>13</v>
      </c>
      <c r="I1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21    0    0    0        $0,000        $0,000</v>
      </c>
    </row>
    <row r="18" spans="1:9" x14ac:dyDescent="0.25">
      <c r="A18" t="s">
        <v>254</v>
      </c>
      <c r="B18">
        <f>COUNTIF('Draft List'!$AB$5:$AB$1543,$A18)</f>
        <v>22</v>
      </c>
      <c r="C18">
        <f>SUMPRODUCT(('Draft List'!$AB$5:$AB$1543=$A18)*('Draft List'!$Z$5:$Z$1543&lt;6))+SUMPRODUCT(('Draft List'!$AB$5:$AB$1543=$A18)*('Draft List'!$Z$5:$Z$1543="S1"))+SUMPRODUCT(('Draft List'!$AB$5:$AB$1543=$A18)*('Draft List'!$Z$5:$Z$1543&lt;&gt;"S1")*('Draft List'!$Z$5:$Z$1543&gt;5)*('Draft List'!$AD$5:$AD$1543&gt;0)*('Draft List'!$AD$5:$AD$1543&lt;100000000))</f>
        <v>1</v>
      </c>
      <c r="D18">
        <f>SUMPRODUCT(('Draft List'!$AB$5:$AB$1234=$A18)*('Draft List'!$AD$5:$AD$1234&gt;0)*('Draft List'!$AD$5:$AD$1234&lt;1000000000))</f>
        <v>0</v>
      </c>
      <c r="E18">
        <f t="shared" si="0"/>
        <v>1</v>
      </c>
      <c r="F18" s="5">
        <f>SUMIF('Draft List'!$AB$5:$AB$1234,$A18,'Draft List'!$AD$5:$AD$1234)</f>
        <v>0</v>
      </c>
      <c r="G18" s="20">
        <f t="shared" si="1"/>
        <v>0</v>
      </c>
      <c r="H18" s="19">
        <f>LEN(Table1[[#This Row],[Team]])</f>
        <v>17</v>
      </c>
      <c r="I1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22    1    0    1        $0,000        $0,000</v>
      </c>
    </row>
    <row r="19" spans="1:9" x14ac:dyDescent="0.25">
      <c r="A19" t="s">
        <v>248</v>
      </c>
      <c r="B19">
        <f>COUNTIF('Draft List'!$AB$5:$AB$1543,$A19)</f>
        <v>15</v>
      </c>
      <c r="C19">
        <f>SUMPRODUCT(('Draft List'!$AB$5:$AB$1543=$A19)*('Draft List'!$Z$5:$Z$1543&lt;6))+SUMPRODUCT(('Draft List'!$AB$5:$AB$1543=$A19)*('Draft List'!$Z$5:$Z$1543="S1"))+SUMPRODUCT(('Draft List'!$AB$5:$AB$1543=$A19)*('Draft List'!$Z$5:$Z$1543&lt;&gt;"S1")*('Draft List'!$Z$5:$Z$1543&gt;5)*('Draft List'!$AD$5:$AD$1543&gt;0)*('Draft List'!$AD$5:$AD$1543&lt;100000000))</f>
        <v>1</v>
      </c>
      <c r="D19">
        <f>SUMPRODUCT(('Draft List'!$AB$5:$AB$1234=$A19)*('Draft List'!$AD$5:$AD$1234&gt;0)*('Draft List'!$AD$5:$AD$1234&lt;1000000000))</f>
        <v>0</v>
      </c>
      <c r="E19">
        <f t="shared" si="0"/>
        <v>1</v>
      </c>
      <c r="F19" s="5">
        <f>SUMIF('Draft List'!$AB$5:$AB$1234,$A19,'Draft List'!$AD$5:$AD$1234)</f>
        <v>0</v>
      </c>
      <c r="G19" s="20">
        <f t="shared" si="1"/>
        <v>0</v>
      </c>
      <c r="H19" s="19">
        <f>LEN(Table1[[#This Row],[Team]])</f>
        <v>25</v>
      </c>
      <c r="I19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15    1    0    1        $0,000        $0,000</v>
      </c>
    </row>
    <row r="20" spans="1:9" x14ac:dyDescent="0.25">
      <c r="A20" t="s">
        <v>243</v>
      </c>
      <c r="B20">
        <f>COUNTIF('Draft List'!$AB$5:$AB$1543,$A20)</f>
        <v>22</v>
      </c>
      <c r="C20">
        <f>SUMPRODUCT(('Draft List'!$AB$5:$AB$1543=$A20)*('Draft List'!$Z$5:$Z$1543&lt;6))+SUMPRODUCT(('Draft List'!$AB$5:$AB$1543=$A20)*('Draft List'!$Z$5:$Z$1543="S1"))+SUMPRODUCT(('Draft List'!$AB$5:$AB$1543=$A20)*('Draft List'!$Z$5:$Z$1543&lt;&gt;"S1")*('Draft List'!$Z$5:$Z$1543&gt;5)*('Draft List'!$AD$5:$AD$1543&gt;0)*('Draft List'!$AD$5:$AD$1543&lt;100000000))</f>
        <v>0</v>
      </c>
      <c r="D20">
        <f>SUMPRODUCT(('Draft List'!$AB$5:$AB$1234=$A20)*('Draft List'!$AD$5:$AD$1234&gt;0)*('Draft List'!$AD$5:$AD$1234&lt;1000000000))</f>
        <v>0</v>
      </c>
      <c r="E20">
        <f t="shared" si="0"/>
        <v>0</v>
      </c>
      <c r="F20" s="5">
        <f>SUMIF('Draft List'!$AB$5:$AB$1234,$A20,'Draft List'!$AD$5:$AD$1234)</f>
        <v>0</v>
      </c>
      <c r="G20" s="20">
        <f t="shared" si="1"/>
        <v>0</v>
      </c>
      <c r="H20" s="19">
        <f>LEN(Table1[[#This Row],[Team]])</f>
        <v>12</v>
      </c>
      <c r="I20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22    0    0    0        $0,000        $0,000</v>
      </c>
    </row>
    <row r="21" spans="1:9" x14ac:dyDescent="0.25">
      <c r="A21" t="s">
        <v>461</v>
      </c>
      <c r="B21">
        <f>COUNTIF('Draft List'!$AB$5:$AB$1543,$A21)</f>
        <v>22</v>
      </c>
      <c r="C21">
        <f>SUMPRODUCT(('Draft List'!$AB$5:$AB$1543=$A21)*('Draft List'!$Z$5:$Z$1543&lt;6))+SUMPRODUCT(('Draft List'!$AB$5:$AB$1543=$A21)*('Draft List'!$Z$5:$Z$1543="S1"))+SUMPRODUCT(('Draft List'!$AB$5:$AB$1543=$A21)*('Draft List'!$Z$5:$Z$1543&lt;&gt;"S1")*('Draft List'!$Z$5:$Z$1543&gt;5)*('Draft List'!$AD$5:$AD$1543&gt;0)*('Draft List'!$AD$5:$AD$1543&lt;100000000))</f>
        <v>0</v>
      </c>
      <c r="D21">
        <f>SUMPRODUCT(('Draft List'!$AB$5:$AB$1234=$A21)*('Draft List'!$AD$5:$AD$1234&gt;0)*('Draft List'!$AD$5:$AD$1234&lt;1000000000))</f>
        <v>0</v>
      </c>
      <c r="E21">
        <f t="shared" si="0"/>
        <v>0</v>
      </c>
      <c r="F21" s="5">
        <f>SUMIF('Draft List'!$AB$5:$AB$1234,$A21,'Draft List'!$AD$5:$AD$1234)</f>
        <v>0</v>
      </c>
      <c r="G21" s="20">
        <f t="shared" si="1"/>
        <v>0</v>
      </c>
      <c r="H21" s="19">
        <f>LEN(Table1[[#This Row],[Team]])</f>
        <v>16</v>
      </c>
      <c r="I21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22    0    0    0        $0,000        $0,000</v>
      </c>
    </row>
    <row r="22" spans="1:9" x14ac:dyDescent="0.25">
      <c r="A22" t="s">
        <v>253</v>
      </c>
      <c r="B22">
        <f>COUNTIF('Draft List'!$AB$5:$AB$1543,$A22)</f>
        <v>20</v>
      </c>
      <c r="C22">
        <f>SUMPRODUCT(('Draft List'!$AB$5:$AB$1543=$A22)*('Draft List'!$Z$5:$Z$1543&lt;6))+SUMPRODUCT(('Draft List'!$AB$5:$AB$1543=$A22)*('Draft List'!$Z$5:$Z$1543="S1"))+SUMPRODUCT(('Draft List'!$AB$5:$AB$1543=$A22)*('Draft List'!$Z$5:$Z$1543&lt;&gt;"S1")*('Draft List'!$Z$5:$Z$1543&gt;5)*('Draft List'!$AD$5:$AD$1543&gt;0)*('Draft List'!$AD$5:$AD$1543&lt;100000000))</f>
        <v>0</v>
      </c>
      <c r="D22">
        <f>SUMPRODUCT(('Draft List'!$AB$5:$AB$1234=$A22)*('Draft List'!$AD$5:$AD$1234&gt;0)*('Draft List'!$AD$5:$AD$1234&lt;1000000000))</f>
        <v>0</v>
      </c>
      <c r="E22">
        <f t="shared" si="0"/>
        <v>0</v>
      </c>
      <c r="F22" s="5">
        <f>SUMIF('Draft List'!$AB$5:$AB$1543,$A22,'Draft List'!$AD$5:$AD$1543)</f>
        <v>0</v>
      </c>
      <c r="G22" s="20">
        <f t="shared" si="1"/>
        <v>0</v>
      </c>
      <c r="H22" s="19">
        <f>LEN(Table1[[#This Row],[Team]])</f>
        <v>15</v>
      </c>
      <c r="I22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20    0    0    0        $0,000        $0,000</v>
      </c>
    </row>
    <row r="23" spans="1:9" x14ac:dyDescent="0.25">
      <c r="A23" t="s">
        <v>462</v>
      </c>
      <c r="B23">
        <f>COUNTIF('Draft List'!$AB$5:$AB$1543,$A23)</f>
        <v>15</v>
      </c>
      <c r="C23">
        <f>SUMPRODUCT(('Draft List'!$AB$5:$AB$1543=$A23)*('Draft List'!$Z$5:$Z$1543&lt;6))+SUMPRODUCT(('Draft List'!$AB$5:$AB$1543=$A23)*('Draft List'!$Z$5:$Z$1543="S1"))+SUMPRODUCT(('Draft List'!$AB$5:$AB$1543=$A23)*('Draft List'!$Z$5:$Z$1543&lt;&gt;"S1")*('Draft List'!$Z$5:$Z$1543&gt;5)*('Draft List'!$AD$5:$AD$1543&gt;0)*('Draft List'!$AD$5:$AD$1543&lt;100000000))</f>
        <v>0</v>
      </c>
      <c r="D23">
        <f>SUMPRODUCT(('Draft List'!$AB$5:$AB$1543=$A23)*('Draft List'!$AD$5:$AD$1543&gt;0)*('Draft List'!$AD$5:$AD$1543&lt;1000000000))</f>
        <v>0</v>
      </c>
      <c r="E23">
        <f t="shared" si="0"/>
        <v>0</v>
      </c>
      <c r="F23" s="5">
        <f>SUMIF('Draft List'!$AB$5:$AB$1234,$A23,'Draft List'!$AD$5:$AD$1234)</f>
        <v>0</v>
      </c>
      <c r="G23" s="20">
        <f t="shared" si="1"/>
        <v>0</v>
      </c>
      <c r="H23" s="19">
        <f>LEN(Table1[[#This Row],[Team]])</f>
        <v>13</v>
      </c>
      <c r="I23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15    0    0    0        $0,000        $0,000</v>
      </c>
    </row>
    <row r="24" spans="1:9" x14ac:dyDescent="0.25">
      <c r="A24" t="s">
        <v>456</v>
      </c>
      <c r="B24">
        <f>COUNTIF('Draft List'!$AB$5:$AB$1543,$A24)</f>
        <v>21</v>
      </c>
      <c r="C24">
        <f>SUMPRODUCT(('Draft List'!$AB$5:$AB$1543=$A24)*('Draft List'!$Z$5:$Z$1543&lt;6))+SUMPRODUCT(('Draft List'!$AB$5:$AB$1543=$A24)*('Draft List'!$Z$5:$Z$1543="S1"))+SUMPRODUCT(('Draft List'!$AB$5:$AB$1543=$A24)*('Draft List'!$Z$5:$Z$1543&lt;&gt;"S1")*('Draft List'!$Z$5:$Z$1543&gt;5)*('Draft List'!$AD$5:$AD$1543&gt;0)*('Draft List'!$AD$5:$AD$1543&lt;100000000))</f>
        <v>0</v>
      </c>
      <c r="D24">
        <f>SUMPRODUCT(('Draft List'!$AB$5:$AB$1234=$A24)*('Draft List'!$AD$5:$AD$1234&gt;0)*('Draft List'!$AD$5:$AD$1234&lt;1000000000))</f>
        <v>0</v>
      </c>
      <c r="E24">
        <f t="shared" si="0"/>
        <v>0</v>
      </c>
      <c r="F24" s="5">
        <f>SUMIF('Draft List'!$AB$5:$AB$1234,$A24,'Draft List'!$AD$5:$AD$1234)</f>
        <v>0</v>
      </c>
      <c r="G24" s="20">
        <f t="shared" si="1"/>
        <v>0</v>
      </c>
      <c r="H24" s="19">
        <f>LEN(Table1[[#This Row],[Team]])</f>
        <v>18</v>
      </c>
      <c r="I24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21    0    0    0        $0,000        $0,000</v>
      </c>
    </row>
    <row r="25" spans="1:9" x14ac:dyDescent="0.25">
      <c r="A25" t="s">
        <v>261</v>
      </c>
      <c r="B25">
        <f>COUNTIF('Draft List'!$AB$5:$AB$1543,$A25)</f>
        <v>19</v>
      </c>
      <c r="C25">
        <f>SUMPRODUCT(('Draft List'!$AB$5:$AB$1543=$A25)*('Draft List'!$Z$5:$Z$1543&lt;6))+SUMPRODUCT(('Draft List'!$AB$5:$AB$1543=$A25)*('Draft List'!$Z$5:$Z$1543="S1"))+SUMPRODUCT(('Draft List'!$AB$5:$AB$1543=$A25)*('Draft List'!$Z$5:$Z$1543&lt;&gt;"S1")*('Draft List'!$Z$5:$Z$1543&gt;5)*('Draft List'!$AD$5:$AD$1543&gt;0)*('Draft List'!$AD$5:$AD$1543&lt;100000000))</f>
        <v>0</v>
      </c>
      <c r="D25">
        <f>SUMPRODUCT(('Draft List'!$AB$5:$AB$1543=$A25)*('Draft List'!$AD$5:$AD$1543&gt;0)*('Draft List'!$AD$5:$AD$1543&lt;1000000000))</f>
        <v>0</v>
      </c>
      <c r="E25">
        <f t="shared" si="0"/>
        <v>0</v>
      </c>
      <c r="F25" s="5">
        <f>SUMIF('Draft List'!$AB$5:$AB$1543,$A25,'Draft List'!$AD$5:$AD$1543)</f>
        <v>0</v>
      </c>
      <c r="G25" s="20">
        <f t="shared" si="1"/>
        <v>0</v>
      </c>
      <c r="H25" s="19">
        <f>LEN(Table1[[#This Row],[Team]])</f>
        <v>30</v>
      </c>
      <c r="I25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19    0    0    0        $0,000        $0,000</v>
      </c>
    </row>
    <row r="26" spans="1:9" x14ac:dyDescent="0.25">
      <c r="A26" t="s">
        <v>245</v>
      </c>
      <c r="B26">
        <f>COUNTIF('Draft List'!$AB$5:$AB$1543,$A26)</f>
        <v>21</v>
      </c>
      <c r="C26">
        <f>SUMPRODUCT(('Draft List'!$AB$5:$AB$1543=$A26)*('Draft List'!$Z$5:$Z$1543&lt;6))+SUMPRODUCT(('Draft List'!$AB$5:$AB$1543=$A26)*('Draft List'!$Z$5:$Z$1543="S1"))+SUMPRODUCT(('Draft List'!$AB$5:$AB$1543=$A26)*('Draft List'!$Z$5:$Z$1543&lt;&gt;"S1")*('Draft List'!$Z$5:$Z$1543&gt;5)*('Draft List'!$AD$5:$AD$1543&gt;0)*('Draft List'!$AD$5:$AD$1543&lt;100000000))</f>
        <v>0</v>
      </c>
      <c r="D26">
        <f>SUMPRODUCT(('Draft List'!$AB$5:$AB$1234=$A26)*('Draft List'!$AD$5:$AD$1234&gt;0)*('Draft List'!$AD$5:$AD$1234&lt;1000000000))</f>
        <v>0</v>
      </c>
      <c r="E26">
        <f t="shared" si="0"/>
        <v>0</v>
      </c>
      <c r="F26" s="5">
        <f>SUMIF('Draft List'!$AB$5:$AB$1234,$A26,'Draft List'!$AD$5:$AD$1234)</f>
        <v>0</v>
      </c>
      <c r="G26" s="20">
        <f t="shared" si="1"/>
        <v>0</v>
      </c>
      <c r="H26" s="19">
        <f>LEN(Table1[[#This Row],[Team]])</f>
        <v>20</v>
      </c>
      <c r="I26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21    0    0    0        $0,000        $0,000</v>
      </c>
    </row>
    <row r="27" spans="1:9" x14ac:dyDescent="0.25">
      <c r="A27" t="s">
        <v>244</v>
      </c>
      <c r="B27">
        <f>COUNTIF('Draft List'!$AB$5:$AB$1543,$A27)</f>
        <v>0</v>
      </c>
      <c r="C27">
        <f>SUMPRODUCT(('Draft List'!$AB$5:$AB$1543=$A27)*('Draft List'!$Z$5:$Z$1543&lt;6))+SUMPRODUCT(('Draft List'!$AB$5:$AB$1543=$A27)*('Draft List'!$Z$5:$Z$1543="S1"))+SUMPRODUCT(('Draft List'!$AB$5:$AB$1543=$A27)*('Draft List'!$Z$5:$Z$1543&lt;&gt;"S1")*('Draft List'!$Z$5:$Z$1543&gt;5)*('Draft List'!$AD$5:$AD$1543&gt;0)*('Draft List'!$AD$5:$AD$1543&lt;100000000))</f>
        <v>0</v>
      </c>
      <c r="D27">
        <f>SUMPRODUCT(('Draft List'!$AB$5:$AB$1234=$A27)*('Draft List'!$AD$5:$AD$1234&gt;0)*('Draft List'!$AD$5:$AD$1234&lt;1000000000))</f>
        <v>0</v>
      </c>
      <c r="E27">
        <f t="shared" si="0"/>
        <v>0</v>
      </c>
      <c r="F27" s="5">
        <f>SUMIF('Draft List'!$AB$5:$AB$1543,$A27,'Draft List'!$AD$5:$AD$1543)</f>
        <v>0</v>
      </c>
      <c r="G27" s="20">
        <f t="shared" si="1"/>
        <v>0</v>
      </c>
      <c r="H27" s="19">
        <f>LEN(Table1[[#This Row],[Team]])</f>
        <v>19</v>
      </c>
      <c r="I27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25">
      <c r="A28" t="s">
        <v>252</v>
      </c>
      <c r="B28">
        <f>COUNTIF('Draft List'!$AB$5:$AB$1543,$A28)</f>
        <v>18</v>
      </c>
      <c r="C28">
        <f>SUMPRODUCT(('Draft List'!$AB$5:$AB$1543=$A28)*('Draft List'!$Z$5:$Z$1543&lt;6))+SUMPRODUCT(('Draft List'!$AB$5:$AB$1543=$A28)*('Draft List'!$Z$5:$Z$1543="S1"))+SUMPRODUCT(('Draft List'!$AB$5:$AB$1543=$A28)*('Draft List'!$Z$5:$Z$1543&lt;&gt;"S1")*('Draft List'!$Z$5:$Z$1543&gt;5)*('Draft List'!$AD$5:$AD$1543&gt;0)*('Draft List'!$AD$5:$AD$1543&lt;100000000))</f>
        <v>3</v>
      </c>
      <c r="D28">
        <f>SUMPRODUCT(('Draft List'!$AB$5:$AB$1234=$A28)*('Draft List'!$AD$5:$AD$1234&gt;0)*('Draft List'!$AD$5:$AD$1234&lt;1000000000))</f>
        <v>0</v>
      </c>
      <c r="E28">
        <f t="shared" si="0"/>
        <v>3</v>
      </c>
      <c r="F28" s="5">
        <f>SUMIF('Draft List'!$AB$5:$AB$1543,$A28,'Draft List'!$AD$5:$AD$1543)</f>
        <v>0</v>
      </c>
      <c r="G28" s="20">
        <f t="shared" si="1"/>
        <v>0</v>
      </c>
      <c r="H28" s="19">
        <f>LEN(Table1[[#This Row],[Team]])</f>
        <v>22</v>
      </c>
      <c r="I28" s="23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18    3    0    3        $0,000        $0,000</v>
      </c>
    </row>
    <row r="29" spans="1:9" s="1" customFormat="1" x14ac:dyDescent="0.25">
      <c r="A29" s="1" t="s">
        <v>274</v>
      </c>
      <c r="B29" s="1">
        <f>SUBTOTAL(109,Table1[Drafted Players])</f>
        <v>449</v>
      </c>
      <c r="C29" s="1">
        <f>SUBTOTAL(109,Table1[Bonus Eligible])</f>
        <v>7</v>
      </c>
      <c r="D29" s="1">
        <f>SUBTOTAL(109,Table1[Signed])</f>
        <v>0</v>
      </c>
      <c r="E29" s="1">
        <f>SUBTOTAL(109,Table1[Unsigned])</f>
        <v>7</v>
      </c>
      <c r="F29" s="21">
        <f>SUBTOTAL(109,Table1[Tot Bonus])</f>
        <v>0</v>
      </c>
      <c r="G29" s="21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" customWidth="1"/>
    <col min="5" max="5" width="5.28515625" bestFit="1" customWidth="1"/>
  </cols>
  <sheetData>
    <row r="2" spans="1:5" x14ac:dyDescent="0.25">
      <c r="B2" t="s">
        <v>6</v>
      </c>
      <c r="C2" t="s">
        <v>7</v>
      </c>
      <c r="D2" t="s">
        <v>621</v>
      </c>
      <c r="E2" t="s">
        <v>105</v>
      </c>
    </row>
    <row r="3" spans="1:5" x14ac:dyDescent="0.25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25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25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25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25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25">
      <c r="A10" t="s">
        <v>110</v>
      </c>
      <c r="B10" t="s">
        <v>111</v>
      </c>
    </row>
    <row r="11" spans="1:5" x14ac:dyDescent="0.25">
      <c r="A11" t="s">
        <v>112</v>
      </c>
      <c r="B11">
        <v>0.75</v>
      </c>
    </row>
    <row r="12" spans="1:5" x14ac:dyDescent="0.25">
      <c r="A12" t="s">
        <v>73</v>
      </c>
      <c r="B12">
        <v>0.85</v>
      </c>
    </row>
    <row r="13" spans="1:5" x14ac:dyDescent="0.25">
      <c r="A13" t="s">
        <v>113</v>
      </c>
      <c r="B13">
        <v>0.85</v>
      </c>
    </row>
    <row r="14" spans="1:5" x14ac:dyDescent="0.25">
      <c r="A14" t="s">
        <v>52</v>
      </c>
      <c r="B14">
        <v>0.85</v>
      </c>
    </row>
    <row r="15" spans="1:5" x14ac:dyDescent="0.25">
      <c r="A15" t="s">
        <v>70</v>
      </c>
      <c r="B15">
        <v>0.9</v>
      </c>
    </row>
    <row r="16" spans="1:5" x14ac:dyDescent="0.25">
      <c r="A16" t="s">
        <v>67</v>
      </c>
      <c r="B16">
        <v>0.9</v>
      </c>
    </row>
    <row r="17" spans="1:2" x14ac:dyDescent="0.25">
      <c r="A17" t="s">
        <v>65</v>
      </c>
      <c r="B17">
        <v>0.95</v>
      </c>
    </row>
    <row r="18" spans="1:2" x14ac:dyDescent="0.25">
      <c r="A18" t="s">
        <v>68</v>
      </c>
      <c r="B18">
        <v>0.95</v>
      </c>
    </row>
    <row r="19" spans="1:2" x14ac:dyDescent="0.25">
      <c r="A19" t="s">
        <v>64</v>
      </c>
      <c r="B19">
        <v>1</v>
      </c>
    </row>
    <row r="20" spans="1:2" x14ac:dyDescent="0.25">
      <c r="A20" t="s">
        <v>349</v>
      </c>
      <c r="B20">
        <v>1</v>
      </c>
    </row>
    <row r="21" spans="1:2" x14ac:dyDescent="0.25">
      <c r="A21" t="s">
        <v>350</v>
      </c>
      <c r="B21">
        <v>1</v>
      </c>
    </row>
    <row r="22" spans="1:2" x14ac:dyDescent="0.25">
      <c r="A22" t="s">
        <v>57</v>
      </c>
      <c r="B22">
        <v>1</v>
      </c>
    </row>
    <row r="23" spans="1:2" x14ac:dyDescent="0.25">
      <c r="A23" t="s">
        <v>56</v>
      </c>
      <c r="B23">
        <v>1</v>
      </c>
    </row>
    <row r="24" spans="1:2" x14ac:dyDescent="0.25">
      <c r="A24" t="s">
        <v>58</v>
      </c>
      <c r="B24">
        <v>1</v>
      </c>
    </row>
    <row r="25" spans="1:2" x14ac:dyDescent="0.25">
      <c r="A25" t="s">
        <v>60</v>
      </c>
      <c r="B25">
        <v>1.0249999999999999</v>
      </c>
    </row>
    <row r="26" spans="1:2" x14ac:dyDescent="0.25">
      <c r="A26" t="s">
        <v>54</v>
      </c>
      <c r="B26">
        <v>1.0249999999999999</v>
      </c>
    </row>
    <row r="27" spans="1:2" x14ac:dyDescent="0.25">
      <c r="A27" t="s">
        <v>48</v>
      </c>
      <c r="B27">
        <v>1.05</v>
      </c>
    </row>
    <row r="28" spans="1:2" x14ac:dyDescent="0.25">
      <c r="A28" t="s">
        <v>61</v>
      </c>
      <c r="B28">
        <v>1.05</v>
      </c>
    </row>
    <row r="29" spans="1:2" x14ac:dyDescent="0.25">
      <c r="A29" t="s">
        <v>46</v>
      </c>
      <c r="B29">
        <v>1.05</v>
      </c>
    </row>
    <row r="30" spans="1:2" x14ac:dyDescent="0.25">
      <c r="A30" t="s">
        <v>59</v>
      </c>
      <c r="B30">
        <v>1.075</v>
      </c>
    </row>
    <row r="31" spans="1:2" x14ac:dyDescent="0.25">
      <c r="A31" t="s">
        <v>63</v>
      </c>
      <c r="B31">
        <v>1.075</v>
      </c>
    </row>
    <row r="32" spans="1:2" x14ac:dyDescent="0.25">
      <c r="A32" t="s">
        <v>114</v>
      </c>
      <c r="B32">
        <v>1.075</v>
      </c>
    </row>
    <row r="35" spans="1:2" x14ac:dyDescent="0.25">
      <c r="A35" t="s">
        <v>115</v>
      </c>
      <c r="B35" t="s">
        <v>105</v>
      </c>
    </row>
    <row r="36" spans="1:2" x14ac:dyDescent="0.25">
      <c r="A36" t="s">
        <v>103</v>
      </c>
      <c r="B36" t="s">
        <v>116</v>
      </c>
    </row>
    <row r="37" spans="1:2" x14ac:dyDescent="0.25">
      <c r="A37" t="s">
        <v>117</v>
      </c>
      <c r="B37" t="s">
        <v>107</v>
      </c>
    </row>
    <row r="38" spans="1:2" x14ac:dyDescent="0.25">
      <c r="A38" t="s">
        <v>43</v>
      </c>
      <c r="B38" t="s">
        <v>108</v>
      </c>
    </row>
    <row r="39" spans="1:2" x14ac:dyDescent="0.25">
      <c r="A39" t="s">
        <v>118</v>
      </c>
      <c r="B39" t="s">
        <v>119</v>
      </c>
    </row>
    <row r="40" spans="1:2" x14ac:dyDescent="0.25">
      <c r="A40" t="s">
        <v>104</v>
      </c>
      <c r="B40" t="s">
        <v>120</v>
      </c>
    </row>
    <row r="41" spans="1:2" x14ac:dyDescent="0.25">
      <c r="A41">
        <v>0</v>
      </c>
      <c r="B41" t="s">
        <v>238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1" customFormat="1" x14ac:dyDescent="0.25">
      <c r="A1" s="1" t="s">
        <v>262</v>
      </c>
      <c r="B1" s="1" t="s">
        <v>267</v>
      </c>
      <c r="C1" s="1" t="s">
        <v>240</v>
      </c>
      <c r="D1" s="1" t="s">
        <v>233</v>
      </c>
      <c r="E1" s="1" t="s">
        <v>263</v>
      </c>
      <c r="F1" s="1" t="s">
        <v>265</v>
      </c>
      <c r="G1" s="1" t="s">
        <v>266</v>
      </c>
    </row>
    <row r="2" spans="1:7" s="1" customFormat="1" x14ac:dyDescent="0.25">
      <c r="A2" s="28" t="s">
        <v>239</v>
      </c>
      <c r="B2" s="29">
        <v>3000000</v>
      </c>
      <c r="C2" t="s">
        <v>307</v>
      </c>
    </row>
    <row r="3" spans="1:7" s="1" customFormat="1" x14ac:dyDescent="0.25">
      <c r="A3" s="28" t="s">
        <v>255</v>
      </c>
      <c r="B3" s="29">
        <v>1000000</v>
      </c>
      <c r="C3" s="30" t="s">
        <v>308</v>
      </c>
    </row>
    <row r="4" spans="1:7" s="1" customFormat="1" x14ac:dyDescent="0.25">
      <c r="A4" s="28" t="s">
        <v>258</v>
      </c>
      <c r="B4" s="29">
        <v>400000</v>
      </c>
      <c r="C4" s="30" t="s">
        <v>309</v>
      </c>
    </row>
    <row r="5" spans="1:7" s="1" customFormat="1" x14ac:dyDescent="0.25">
      <c r="A5" s="28" t="s">
        <v>259</v>
      </c>
      <c r="B5" s="29">
        <v>300000</v>
      </c>
      <c r="C5" s="30" t="s">
        <v>310</v>
      </c>
    </row>
    <row r="6" spans="1:7" s="1" customFormat="1" x14ac:dyDescent="0.25">
      <c r="A6" s="28" t="s">
        <v>260</v>
      </c>
      <c r="B6" s="29">
        <v>250000</v>
      </c>
      <c r="C6" s="30" t="s">
        <v>311</v>
      </c>
    </row>
    <row r="7" spans="1:7" s="1" customFormat="1" x14ac:dyDescent="0.25"/>
    <row r="8" spans="1:7" x14ac:dyDescent="0.25">
      <c r="A8" t="s">
        <v>464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465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466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467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468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469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470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471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472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473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474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475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476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477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478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479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480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481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482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483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484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485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486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487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488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489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490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491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492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493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494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495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496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497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498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499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500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501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502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503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504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505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506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507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508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509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510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511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512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513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514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515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516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517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2021-10-11T23:57:26Z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